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charts/chart1.xml" ContentType="application/vnd.openxmlformats-officedocument.drawingml.chart+xml"/>
  <Override PartName="/xl/drawings/drawing5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PLENOSONO\CAIXA DISTRIBUIDORES\"/>
    </mc:Choice>
  </mc:AlternateContent>
  <xr:revisionPtr revIDLastSave="0" documentId="13_ncr:1_{427F8F57-70E8-4C16-BB04-423928BAA2A1}" xr6:coauthVersionLast="45" xr6:coauthVersionMax="45" xr10:uidLastSave="{00000000-0000-0000-0000-000000000000}"/>
  <bookViews>
    <workbookView xWindow="-108" yWindow="-108" windowWidth="23256" windowHeight="12576" xr2:uid="{A2A12EB5-331C-4F45-B9B4-0D804A0BB9F9}"/>
  </bookViews>
  <sheets>
    <sheet name="Vendas" sheetId="6" r:id="rId1"/>
    <sheet name="Pedido" sheetId="2" r:id="rId2"/>
    <sheet name="Clientes" sheetId="3" r:id="rId3"/>
    <sheet name="Análises" sheetId="4" r:id="rId4"/>
    <sheet name="Cadastros" sheetId="5" r:id="rId5"/>
  </sheets>
  <externalReferences>
    <externalReference r:id="rId6"/>
  </externalReferences>
  <definedNames>
    <definedName name="_xlnm._FilterDatabase" localSheetId="3" hidden="1">Análises!$B$7:$AB$49</definedName>
    <definedName name="_xlnm.Print_Area" localSheetId="1">Pedido!$B$3:$G$34</definedName>
    <definedName name="Cliente" localSheetId="3">[1]!Tabela1[Cliente]</definedName>
    <definedName name="Cliente" localSheetId="4">[1]!Tabela1[Cliente]</definedName>
    <definedName name="Cliente" localSheetId="1">[1]!Tabela1[Cliente]</definedName>
    <definedName name="Cliente">Tabela1[Vendedor]</definedName>
    <definedName name="Clientes" localSheetId="3">[1]!Tabela1[#Data]</definedName>
    <definedName name="Clientes" localSheetId="4">[1]!Tabela1[#Data]</definedName>
    <definedName name="Clientes" localSheetId="1">[1]!Tabela1[#Data]</definedName>
    <definedName name="Clientes">Tabela1[]</definedName>
    <definedName name="infospedidos">Vendas!$B$8:$I$2008,Vendas!$M$8:$N$2008,Vendas!$R$8:$S$2008,Vendas!$W$8:$X$2008,Vendas!$AB$8:$AC$2008,Vendas!$AG$8:$AH$2008,Vendas!$AL$8:$AM$2008,Vendas!$AQ$8:$AR$2008,Vendas!$AV$8:$AY$2008,Vendas!$AZ$8:$BA$2008</definedName>
    <definedName name="Nível" localSheetId="3">[1]!Tabela1[Nível]</definedName>
    <definedName name="Nível" localSheetId="4">[1]!Tabela1[Nível]</definedName>
    <definedName name="Nível" localSheetId="1">[1]!Tabela1[Nível]</definedName>
    <definedName name="Nível">Tabela1[Nível]</definedName>
    <definedName name="Pedido">Pedido!$B$4:$G$35</definedName>
    <definedName name="Vendas">[1]!Tabela2[#Data]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9" i="6" l="1"/>
  <c r="C12" i="2" l="1"/>
  <c r="C11" i="2"/>
  <c r="B11" i="2"/>
  <c r="B12" i="2"/>
  <c r="G12" i="2"/>
  <c r="G10" i="2"/>
  <c r="G9" i="2"/>
  <c r="BC10" i="6" l="1" a="1"/>
  <c r="BC10" i="6" s="1"/>
  <c r="BD10" i="6" s="1" a="1"/>
  <c r="BD10" i="6" s="1"/>
  <c r="BC16" i="6" a="1"/>
  <c r="BC16" i="6"/>
  <c r="BC17" i="6" a="1"/>
  <c r="BC17" i="6" s="1"/>
  <c r="BC18" i="6" a="1"/>
  <c r="BC18" i="6" s="1"/>
  <c r="BC19" i="6" a="1"/>
  <c r="BC19" i="6" s="1"/>
  <c r="BC20" i="6" a="1"/>
  <c r="BC20" i="6"/>
  <c r="BC21" i="6" a="1"/>
  <c r="BC21" i="6" s="1"/>
  <c r="BC22" i="6" a="1"/>
  <c r="BC22" i="6" s="1"/>
  <c r="BC23" i="6" a="1"/>
  <c r="BC23" i="6" s="1"/>
  <c r="BC24" i="6" a="1"/>
  <c r="BC24" i="6"/>
  <c r="BC25" i="6" a="1"/>
  <c r="BC25" i="6" s="1"/>
  <c r="BC26" i="6" a="1"/>
  <c r="BC26" i="6" s="1"/>
  <c r="BC27" i="6" a="1"/>
  <c r="BC27" i="6" s="1"/>
  <c r="BC28" i="6" a="1"/>
  <c r="BC28" i="6"/>
  <c r="BC29" i="6" a="1"/>
  <c r="BC29" i="6" s="1"/>
  <c r="BC30" i="6" a="1"/>
  <c r="BC30" i="6" s="1"/>
  <c r="BC31" i="6" a="1"/>
  <c r="BC31" i="6" s="1"/>
  <c r="BC32" i="6" a="1"/>
  <c r="BC32" i="6"/>
  <c r="BC33" i="6" a="1"/>
  <c r="BC33" i="6" s="1"/>
  <c r="BC34" i="6" a="1"/>
  <c r="BC34" i="6" s="1"/>
  <c r="BC35" i="6" a="1"/>
  <c r="BC35" i="6" s="1"/>
  <c r="BC36" i="6" a="1"/>
  <c r="BC36" i="6"/>
  <c r="BC37" i="6" a="1"/>
  <c r="BC37" i="6" s="1"/>
  <c r="BC38" i="6" a="1"/>
  <c r="BC38" i="6" s="1"/>
  <c r="BC39" i="6" a="1"/>
  <c r="BC39" i="6" s="1"/>
  <c r="BC40" i="6" a="1"/>
  <c r="BC40" i="6"/>
  <c r="BC41" i="6" a="1"/>
  <c r="BC41" i="6" s="1"/>
  <c r="BC42" i="6" a="1"/>
  <c r="BC42" i="6" s="1"/>
  <c r="BC43" i="6" a="1"/>
  <c r="BC43" i="6" s="1"/>
  <c r="BC44" i="6" a="1"/>
  <c r="BC44" i="6"/>
  <c r="BC45" i="6" a="1"/>
  <c r="BC45" i="6" s="1"/>
  <c r="BC46" i="6" a="1"/>
  <c r="BC46" i="6" s="1"/>
  <c r="BC47" i="6" a="1"/>
  <c r="BC47" i="6" s="1"/>
  <c r="BC48" i="6" a="1"/>
  <c r="BC48" i="6"/>
  <c r="BC49" i="6" a="1"/>
  <c r="BC49" i="6" s="1"/>
  <c r="BC50" i="6" a="1"/>
  <c r="BC50" i="6" s="1"/>
  <c r="BC51" i="6" a="1"/>
  <c r="BC51" i="6" s="1"/>
  <c r="BC52" i="6" a="1"/>
  <c r="BC52" i="6"/>
  <c r="BC53" i="6" a="1"/>
  <c r="BC53" i="6" s="1"/>
  <c r="BC54" i="6" a="1"/>
  <c r="BC54" i="6" s="1"/>
  <c r="BC55" i="6" a="1"/>
  <c r="BC55" i="6" s="1"/>
  <c r="BC56" i="6" a="1"/>
  <c r="BC56" i="6"/>
  <c r="BC57" i="6" a="1"/>
  <c r="BC57" i="6" s="1"/>
  <c r="BC58" i="6" a="1"/>
  <c r="BC58" i="6" s="1"/>
  <c r="BC59" i="6" a="1"/>
  <c r="BC59" i="6" s="1"/>
  <c r="BC60" i="6" a="1"/>
  <c r="BC60" i="6"/>
  <c r="BC61" i="6" a="1"/>
  <c r="BC61" i="6" s="1"/>
  <c r="BC62" i="6" a="1"/>
  <c r="BC62" i="6" s="1"/>
  <c r="BC63" i="6" a="1"/>
  <c r="BC63" i="6" s="1"/>
  <c r="BC64" i="6" a="1"/>
  <c r="BC64" i="6"/>
  <c r="BC65" i="6" a="1"/>
  <c r="BC65" i="6" s="1"/>
  <c r="BC66" i="6" a="1"/>
  <c r="BC66" i="6" s="1"/>
  <c r="BC67" i="6" a="1"/>
  <c r="BC67" i="6" s="1"/>
  <c r="BC68" i="6" a="1"/>
  <c r="BC68" i="6"/>
  <c r="BC69" i="6" a="1"/>
  <c r="BC69" i="6" s="1"/>
  <c r="BC70" i="6" a="1"/>
  <c r="BC70" i="6" s="1"/>
  <c r="BC71" i="6" a="1"/>
  <c r="BC71" i="6" s="1"/>
  <c r="BC72" i="6" a="1"/>
  <c r="BC72" i="6"/>
  <c r="BC73" i="6" a="1"/>
  <c r="BC73" i="6" s="1"/>
  <c r="BC74" i="6" a="1"/>
  <c r="BC74" i="6" s="1"/>
  <c r="BC75" i="6" a="1"/>
  <c r="BC75" i="6" s="1"/>
  <c r="BC76" i="6" a="1"/>
  <c r="BC76" i="6"/>
  <c r="BC77" i="6" a="1"/>
  <c r="BC77" i="6" s="1"/>
  <c r="BC78" i="6" a="1"/>
  <c r="BC78" i="6" s="1"/>
  <c r="BC79" i="6" a="1"/>
  <c r="BC79" i="6" s="1"/>
  <c r="BC80" i="6" a="1"/>
  <c r="BC80" i="6"/>
  <c r="BC81" i="6" a="1"/>
  <c r="BC81" i="6" s="1"/>
  <c r="BC82" i="6" a="1"/>
  <c r="BC82" i="6" s="1"/>
  <c r="BC83" i="6" a="1"/>
  <c r="BC83" i="6" s="1"/>
  <c r="BC84" i="6" a="1"/>
  <c r="BC84" i="6"/>
  <c r="BC85" i="6" a="1"/>
  <c r="BC85" i="6" s="1"/>
  <c r="BC86" i="6" a="1"/>
  <c r="BC86" i="6" s="1"/>
  <c r="BC87" i="6" a="1"/>
  <c r="BC87" i="6" s="1"/>
  <c r="BC88" i="6" a="1"/>
  <c r="BC88" i="6"/>
  <c r="BC89" i="6" a="1"/>
  <c r="BC89" i="6" s="1"/>
  <c r="BC90" i="6" a="1"/>
  <c r="BC90" i="6" s="1"/>
  <c r="BC91" i="6" a="1"/>
  <c r="BC91" i="6" s="1"/>
  <c r="BC92" i="6" a="1"/>
  <c r="BC92" i="6"/>
  <c r="BC93" i="6" a="1"/>
  <c r="BC93" i="6" s="1"/>
  <c r="BC94" i="6" a="1"/>
  <c r="BC94" i="6" s="1"/>
  <c r="BC95" i="6" a="1"/>
  <c r="BC95" i="6" s="1"/>
  <c r="BC96" i="6" a="1"/>
  <c r="BC96" i="6"/>
  <c r="BC97" i="6" a="1"/>
  <c r="BC97" i="6" s="1"/>
  <c r="BC98" i="6" a="1"/>
  <c r="BC98" i="6" s="1"/>
  <c r="BC99" i="6" a="1"/>
  <c r="BC99" i="6" s="1"/>
  <c r="BC100" i="6" a="1"/>
  <c r="BC100" i="6"/>
  <c r="BC101" i="6" a="1"/>
  <c r="BC101" i="6" s="1"/>
  <c r="BC102" i="6" a="1"/>
  <c r="BC102" i="6" s="1"/>
  <c r="BC103" i="6" a="1"/>
  <c r="BC103" i="6" s="1"/>
  <c r="BC104" i="6" a="1"/>
  <c r="BC104" i="6"/>
  <c r="BC105" i="6" a="1"/>
  <c r="BC105" i="6" s="1"/>
  <c r="BC106" i="6" a="1"/>
  <c r="BC106" i="6" s="1"/>
  <c r="BC107" i="6" a="1"/>
  <c r="BC107" i="6" s="1"/>
  <c r="BC108" i="6" a="1"/>
  <c r="BC108" i="6"/>
  <c r="BC109" i="6" a="1"/>
  <c r="BC109" i="6" s="1"/>
  <c r="BC110" i="6" a="1"/>
  <c r="BC110" i="6" s="1"/>
  <c r="BC111" i="6" a="1"/>
  <c r="BC111" i="6" s="1"/>
  <c r="BC112" i="6" a="1"/>
  <c r="BC112" i="6"/>
  <c r="BC113" i="6" a="1"/>
  <c r="BC113" i="6" s="1"/>
  <c r="BC114" i="6" a="1"/>
  <c r="BC114" i="6" s="1"/>
  <c r="BC115" i="6" a="1"/>
  <c r="BC115" i="6" s="1"/>
  <c r="BC116" i="6" a="1"/>
  <c r="BC116" i="6"/>
  <c r="BC117" i="6" a="1"/>
  <c r="BC117" i="6" s="1"/>
  <c r="BC118" i="6" a="1"/>
  <c r="BC118" i="6" s="1"/>
  <c r="BC119" i="6" a="1"/>
  <c r="BC119" i="6" s="1"/>
  <c r="BC120" i="6" a="1"/>
  <c r="BC120" i="6"/>
  <c r="BC121" i="6" a="1"/>
  <c r="BC121" i="6" s="1"/>
  <c r="BC122" i="6" a="1"/>
  <c r="BC122" i="6" s="1"/>
  <c r="BC123" i="6" a="1"/>
  <c r="BC123" i="6" s="1"/>
  <c r="BC124" i="6" a="1"/>
  <c r="BC124" i="6"/>
  <c r="BC125" i="6" a="1"/>
  <c r="BC125" i="6" s="1"/>
  <c r="BC126" i="6" a="1"/>
  <c r="BC126" i="6" s="1"/>
  <c r="BC127" i="6" a="1"/>
  <c r="BC127" i="6" s="1"/>
  <c r="BC128" i="6" a="1"/>
  <c r="BC128" i="6"/>
  <c r="BC129" i="6" a="1"/>
  <c r="BC129" i="6" s="1"/>
  <c r="BC130" i="6" a="1"/>
  <c r="BC130" i="6" s="1"/>
  <c r="BC131" i="6" a="1"/>
  <c r="BC131" i="6" s="1"/>
  <c r="BC132" i="6" a="1"/>
  <c r="BC132" i="6"/>
  <c r="BC133" i="6" a="1"/>
  <c r="BC133" i="6" s="1"/>
  <c r="BC134" i="6" a="1"/>
  <c r="BC134" i="6" s="1"/>
  <c r="BC135" i="6" a="1"/>
  <c r="BC135" i="6" s="1"/>
  <c r="BC136" i="6" a="1"/>
  <c r="BC136" i="6"/>
  <c r="BC137" i="6" a="1"/>
  <c r="BC137" i="6" s="1"/>
  <c r="BC138" i="6" a="1"/>
  <c r="BC138" i="6" s="1"/>
  <c r="BC139" i="6" a="1"/>
  <c r="BC139" i="6" s="1"/>
  <c r="BC140" i="6" a="1"/>
  <c r="BC140" i="6"/>
  <c r="BC141" i="6" a="1"/>
  <c r="BC141" i="6" s="1"/>
  <c r="BC142" i="6" a="1"/>
  <c r="BC142" i="6" s="1"/>
  <c r="BC143" i="6" a="1"/>
  <c r="BC143" i="6" s="1"/>
  <c r="BC144" i="6" a="1"/>
  <c r="BC144" i="6"/>
  <c r="BC145" i="6" a="1"/>
  <c r="BC145" i="6" s="1"/>
  <c r="BC146" i="6" a="1"/>
  <c r="BC146" i="6" s="1"/>
  <c r="BC147" i="6" a="1"/>
  <c r="BC147" i="6" s="1"/>
  <c r="BC148" i="6" a="1"/>
  <c r="BC148" i="6"/>
  <c r="BC149" i="6" a="1"/>
  <c r="BC149" i="6" s="1"/>
  <c r="BC150" i="6" a="1"/>
  <c r="BC150" i="6" s="1"/>
  <c r="BC151" i="6" a="1"/>
  <c r="BC151" i="6" s="1"/>
  <c r="BC152" i="6" a="1"/>
  <c r="BC152" i="6"/>
  <c r="BC153" i="6" a="1"/>
  <c r="BC153" i="6" s="1"/>
  <c r="BC154" i="6" a="1"/>
  <c r="BC154" i="6" s="1"/>
  <c r="BC155" i="6" a="1"/>
  <c r="BC155" i="6" s="1"/>
  <c r="BC156" i="6" a="1"/>
  <c r="BC156" i="6"/>
  <c r="BC157" i="6" a="1"/>
  <c r="BC157" i="6" s="1"/>
  <c r="BC158" i="6" a="1"/>
  <c r="BC158" i="6" s="1"/>
  <c r="BC159" i="6" a="1"/>
  <c r="BC159" i="6" s="1"/>
  <c r="BC160" i="6" a="1"/>
  <c r="BC160" i="6"/>
  <c r="BC161" i="6" a="1"/>
  <c r="BC161" i="6" s="1"/>
  <c r="BC162" i="6" a="1"/>
  <c r="BC162" i="6" s="1"/>
  <c r="BC163" i="6" a="1"/>
  <c r="BC163" i="6" s="1"/>
  <c r="BC164" i="6" a="1"/>
  <c r="BC164" i="6"/>
  <c r="BC165" i="6" a="1"/>
  <c r="BC165" i="6" s="1"/>
  <c r="BC166" i="6" a="1"/>
  <c r="BC166" i="6" s="1"/>
  <c r="BC167" i="6" a="1"/>
  <c r="BC167" i="6" s="1"/>
  <c r="BC168" i="6" a="1"/>
  <c r="BC168" i="6"/>
  <c r="BC169" i="6" a="1"/>
  <c r="BC169" i="6" s="1"/>
  <c r="BC170" i="6" a="1"/>
  <c r="BC170" i="6" s="1"/>
  <c r="BC171" i="6" a="1"/>
  <c r="BC171" i="6" s="1"/>
  <c r="BC172" i="6" a="1"/>
  <c r="BC172" i="6"/>
  <c r="BC173" i="6" a="1"/>
  <c r="BC173" i="6" s="1"/>
  <c r="BC174" i="6" a="1"/>
  <c r="BC174" i="6" s="1"/>
  <c r="BC175" i="6" a="1"/>
  <c r="BC175" i="6" s="1"/>
  <c r="BC176" i="6" a="1"/>
  <c r="BC176" i="6"/>
  <c r="BC177" i="6" a="1"/>
  <c r="BC177" i="6" s="1"/>
  <c r="BC178" i="6" a="1"/>
  <c r="BC178" i="6" s="1"/>
  <c r="BC179" i="6" a="1"/>
  <c r="BC179" i="6" s="1"/>
  <c r="BC180" i="6" a="1"/>
  <c r="BC180" i="6" s="1"/>
  <c r="BC181" i="6" a="1"/>
  <c r="BC181" i="6" s="1"/>
  <c r="BC182" i="6" a="1"/>
  <c r="BC182" i="6" s="1"/>
  <c r="BC183" i="6" a="1"/>
  <c r="BC183" i="6" s="1"/>
  <c r="BC184" i="6" a="1"/>
  <c r="BC184" i="6" s="1"/>
  <c r="BC185" i="6" a="1"/>
  <c r="BC185" i="6" s="1"/>
  <c r="BC186" i="6" a="1"/>
  <c r="BC186" i="6" s="1"/>
  <c r="BC187" i="6" a="1"/>
  <c r="BC187" i="6" s="1"/>
  <c r="BC188" i="6" a="1"/>
  <c r="BC188" i="6" s="1"/>
  <c r="BC189" i="6" a="1"/>
  <c r="BC189" i="6" s="1"/>
  <c r="BC190" i="6" a="1"/>
  <c r="BC190" i="6" s="1"/>
  <c r="BC191" i="6" a="1"/>
  <c r="BC191" i="6" s="1"/>
  <c r="BC192" i="6" a="1"/>
  <c r="BC192" i="6" s="1"/>
  <c r="BC193" i="6" a="1"/>
  <c r="BC193" i="6" s="1"/>
  <c r="BC194" i="6" a="1"/>
  <c r="BC194" i="6" s="1"/>
  <c r="BC195" i="6" a="1"/>
  <c r="BC195" i="6" s="1"/>
  <c r="BC196" i="6" a="1"/>
  <c r="BC196" i="6" s="1"/>
  <c r="BC197" i="6" a="1"/>
  <c r="BC197" i="6" s="1"/>
  <c r="BC198" i="6" a="1"/>
  <c r="BC198" i="6" s="1"/>
  <c r="BC199" i="6" a="1"/>
  <c r="BC199" i="6" s="1"/>
  <c r="BC200" i="6" a="1"/>
  <c r="BC200" i="6" s="1"/>
  <c r="BC201" i="6" a="1"/>
  <c r="BC201" i="6" s="1"/>
  <c r="BC202" i="6" a="1"/>
  <c r="BC202" i="6" s="1"/>
  <c r="BC203" i="6" a="1"/>
  <c r="BC203" i="6" s="1"/>
  <c r="BC204" i="6" a="1"/>
  <c r="BC204" i="6" s="1"/>
  <c r="BC205" i="6" a="1"/>
  <c r="BC205" i="6" s="1"/>
  <c r="BC206" i="6" a="1"/>
  <c r="BC206" i="6" s="1"/>
  <c r="BC207" i="6" a="1"/>
  <c r="BC207" i="6" s="1"/>
  <c r="BC208" i="6" a="1"/>
  <c r="BC208" i="6" s="1"/>
  <c r="BC209" i="6" a="1"/>
  <c r="BC209" i="6" s="1"/>
  <c r="BC210" i="6" a="1"/>
  <c r="BC210" i="6" s="1"/>
  <c r="BC211" i="6" a="1"/>
  <c r="BC211" i="6" s="1"/>
  <c r="BC212" i="6" a="1"/>
  <c r="BC212" i="6" s="1"/>
  <c r="BC213" i="6" a="1"/>
  <c r="BC213" i="6" s="1"/>
  <c r="BC214" i="6" a="1"/>
  <c r="BC214" i="6" s="1"/>
  <c r="BC215" i="6" a="1"/>
  <c r="BC215" i="6" s="1"/>
  <c r="BC216" i="6" a="1"/>
  <c r="BC216" i="6" s="1"/>
  <c r="BC217" i="6" a="1"/>
  <c r="BC217" i="6" s="1"/>
  <c r="BC218" i="6" a="1"/>
  <c r="BC218" i="6" s="1"/>
  <c r="BC219" i="6" a="1"/>
  <c r="BC219" i="6" s="1"/>
  <c r="BC220" i="6" a="1"/>
  <c r="BC220" i="6" s="1"/>
  <c r="BC221" i="6" a="1"/>
  <c r="BC221" i="6" s="1"/>
  <c r="BC222" i="6" a="1"/>
  <c r="BC222" i="6" s="1"/>
  <c r="BC223" i="6" a="1"/>
  <c r="BC223" i="6" s="1"/>
  <c r="BC224" i="6" a="1"/>
  <c r="BC224" i="6" s="1"/>
  <c r="BC225" i="6" a="1"/>
  <c r="BC225" i="6" s="1"/>
  <c r="BC226" i="6" a="1"/>
  <c r="BC226" i="6" s="1"/>
  <c r="BC227" i="6" a="1"/>
  <c r="BC227" i="6" s="1"/>
  <c r="BC228" i="6" a="1"/>
  <c r="BC228" i="6" s="1"/>
  <c r="BC229" i="6" a="1"/>
  <c r="BC229" i="6" s="1"/>
  <c r="BC230" i="6" a="1"/>
  <c r="BC230" i="6" s="1"/>
  <c r="BC231" i="6" a="1"/>
  <c r="BC231" i="6" s="1"/>
  <c r="BC232" i="6" a="1"/>
  <c r="BC232" i="6" s="1"/>
  <c r="BC233" i="6" a="1"/>
  <c r="BC233" i="6" s="1"/>
  <c r="BC234" i="6" a="1"/>
  <c r="BC234" i="6" s="1"/>
  <c r="BC235" i="6" a="1"/>
  <c r="BC235" i="6" s="1"/>
  <c r="BC236" i="6" a="1"/>
  <c r="BC236" i="6" s="1"/>
  <c r="BC237" i="6" a="1"/>
  <c r="BC237" i="6" s="1"/>
  <c r="BC238" i="6" a="1"/>
  <c r="BC238" i="6" s="1"/>
  <c r="BC239" i="6" a="1"/>
  <c r="BC239" i="6" s="1"/>
  <c r="BC240" i="6" a="1"/>
  <c r="BC240" i="6" s="1"/>
  <c r="BC241" i="6" a="1"/>
  <c r="BC241" i="6" s="1"/>
  <c r="BC242" i="6" a="1"/>
  <c r="BC242" i="6" s="1"/>
  <c r="BC243" i="6" a="1"/>
  <c r="BC243" i="6" s="1"/>
  <c r="BC244" i="6" a="1"/>
  <c r="BC244" i="6" s="1"/>
  <c r="BC245" i="6" a="1"/>
  <c r="BC245" i="6" s="1"/>
  <c r="BC246" i="6" a="1"/>
  <c r="BC246" i="6" s="1"/>
  <c r="BC247" i="6" a="1"/>
  <c r="BC247" i="6" s="1"/>
  <c r="BC248" i="6" a="1"/>
  <c r="BC248" i="6" s="1"/>
  <c r="BC249" i="6" a="1"/>
  <c r="BC249" i="6" s="1"/>
  <c r="BC250" i="6" a="1"/>
  <c r="BC250" i="6" s="1"/>
  <c r="BC251" i="6" a="1"/>
  <c r="BC251" i="6" s="1"/>
  <c r="BC252" i="6" a="1"/>
  <c r="BC252" i="6" s="1"/>
  <c r="BC253" i="6" a="1"/>
  <c r="BC253" i="6" s="1"/>
  <c r="BC254" i="6" a="1"/>
  <c r="BC254" i="6" s="1"/>
  <c r="BC255" i="6" a="1"/>
  <c r="BC255" i="6" s="1"/>
  <c r="BC256" i="6" a="1"/>
  <c r="BC256" i="6" s="1"/>
  <c r="BC257" i="6" a="1"/>
  <c r="BC257" i="6" s="1"/>
  <c r="BC258" i="6" a="1"/>
  <c r="BC258" i="6" s="1"/>
  <c r="BC259" i="6" a="1"/>
  <c r="BC259" i="6" s="1"/>
  <c r="BC260" i="6" a="1"/>
  <c r="BC260" i="6" s="1"/>
  <c r="BC261" i="6" a="1"/>
  <c r="BC261" i="6" s="1"/>
  <c r="BC262" i="6" a="1"/>
  <c r="BC262" i="6" s="1"/>
  <c r="BC263" i="6" a="1"/>
  <c r="BC263" i="6" s="1"/>
  <c r="BC264" i="6" a="1"/>
  <c r="BC264" i="6" s="1"/>
  <c r="BC265" i="6" a="1"/>
  <c r="BC265" i="6" s="1"/>
  <c r="BC266" i="6" a="1"/>
  <c r="BC266" i="6" s="1"/>
  <c r="BC267" i="6" a="1"/>
  <c r="BC267" i="6" s="1"/>
  <c r="BC268" i="6" a="1"/>
  <c r="BC268" i="6" s="1"/>
  <c r="BC269" i="6" a="1"/>
  <c r="BC269" i="6" s="1"/>
  <c r="BC270" i="6" a="1"/>
  <c r="BC270" i="6" s="1"/>
  <c r="BC271" i="6" a="1"/>
  <c r="BC271" i="6" s="1"/>
  <c r="BC272" i="6" a="1"/>
  <c r="BC272" i="6" s="1"/>
  <c r="BC273" i="6" a="1"/>
  <c r="BC273" i="6" s="1"/>
  <c r="BC274" i="6" a="1"/>
  <c r="BC274" i="6" s="1"/>
  <c r="BC275" i="6" a="1"/>
  <c r="BC275" i="6" s="1"/>
  <c r="BC276" i="6" a="1"/>
  <c r="BC276" i="6" s="1"/>
  <c r="BC277" i="6" a="1"/>
  <c r="BC277" i="6" s="1"/>
  <c r="BC278" i="6" a="1"/>
  <c r="BC278" i="6" s="1"/>
  <c r="BC279" i="6" a="1"/>
  <c r="BC279" i="6" s="1"/>
  <c r="BC280" i="6" a="1"/>
  <c r="BC280" i="6" s="1"/>
  <c r="BC281" i="6" a="1"/>
  <c r="BC281" i="6" s="1"/>
  <c r="BC282" i="6" a="1"/>
  <c r="BC282" i="6" s="1"/>
  <c r="BC283" i="6" a="1"/>
  <c r="BC283" i="6" s="1"/>
  <c r="BC284" i="6" a="1"/>
  <c r="BC284" i="6" s="1"/>
  <c r="BC285" i="6" a="1"/>
  <c r="BC285" i="6" s="1"/>
  <c r="BC286" i="6" a="1"/>
  <c r="BC286" i="6" s="1"/>
  <c r="BC287" i="6" a="1"/>
  <c r="BC287" i="6" s="1"/>
  <c r="BC288" i="6" a="1"/>
  <c r="BC288" i="6" s="1"/>
  <c r="BC289" i="6" a="1"/>
  <c r="BC289" i="6" s="1"/>
  <c r="BC290" i="6" a="1"/>
  <c r="BC290" i="6" s="1"/>
  <c r="BC291" i="6" a="1"/>
  <c r="BC291" i="6" s="1"/>
  <c r="BC292" i="6" a="1"/>
  <c r="BC292" i="6" s="1"/>
  <c r="BC293" i="6" a="1"/>
  <c r="BC293" i="6" s="1"/>
  <c r="BC294" i="6" a="1"/>
  <c r="BC294" i="6" s="1"/>
  <c r="BC295" i="6" a="1"/>
  <c r="BC295" i="6" s="1"/>
  <c r="BC296" i="6" a="1"/>
  <c r="BC296" i="6" s="1"/>
  <c r="BC297" i="6" a="1"/>
  <c r="BC297" i="6" s="1"/>
  <c r="BC298" i="6" a="1"/>
  <c r="BC298" i="6" s="1"/>
  <c r="BC299" i="6" a="1"/>
  <c r="BC299" i="6" s="1"/>
  <c r="BC300" i="6" a="1"/>
  <c r="BC300" i="6" s="1"/>
  <c r="BC301" i="6" a="1"/>
  <c r="BC301" i="6" s="1"/>
  <c r="BC302" i="6" a="1"/>
  <c r="BC302" i="6" s="1"/>
  <c r="BC303" i="6" a="1"/>
  <c r="BC303" i="6" s="1"/>
  <c r="BC304" i="6" a="1"/>
  <c r="BC304" i="6" s="1"/>
  <c r="BC305" i="6" a="1"/>
  <c r="BC305" i="6" s="1"/>
  <c r="BC306" i="6" a="1"/>
  <c r="BC306" i="6" s="1"/>
  <c r="BC307" i="6" a="1"/>
  <c r="BC307" i="6" s="1"/>
  <c r="BC308" i="6" a="1"/>
  <c r="BC308" i="6" s="1"/>
  <c r="BC309" i="6" a="1"/>
  <c r="BC309" i="6" s="1"/>
  <c r="BC310" i="6" a="1"/>
  <c r="BC310" i="6" s="1"/>
  <c r="BC311" i="6" a="1"/>
  <c r="BC311" i="6" s="1"/>
  <c r="BC312" i="6" a="1"/>
  <c r="BC312" i="6" s="1"/>
  <c r="BC313" i="6" a="1"/>
  <c r="BC313" i="6" s="1"/>
  <c r="BC314" i="6" a="1"/>
  <c r="BC314" i="6" s="1"/>
  <c r="BC315" i="6" a="1"/>
  <c r="BC315" i="6" s="1"/>
  <c r="BC316" i="6" a="1"/>
  <c r="BC316" i="6" s="1"/>
  <c r="BC317" i="6" a="1"/>
  <c r="BC317" i="6" s="1"/>
  <c r="BC318" i="6" a="1"/>
  <c r="BC318" i="6" s="1"/>
  <c r="BC319" i="6" a="1"/>
  <c r="BC319" i="6" s="1"/>
  <c r="BC320" i="6" a="1"/>
  <c r="BC320" i="6" s="1"/>
  <c r="BC321" i="6" a="1"/>
  <c r="BC321" i="6" s="1"/>
  <c r="BC322" i="6" a="1"/>
  <c r="BC322" i="6" s="1"/>
  <c r="BC323" i="6" a="1"/>
  <c r="BC323" i="6" s="1"/>
  <c r="BC324" i="6" a="1"/>
  <c r="BC324" i="6" s="1"/>
  <c r="BC325" i="6" a="1"/>
  <c r="BC325" i="6" s="1"/>
  <c r="BC326" i="6" a="1"/>
  <c r="BC326" i="6" s="1"/>
  <c r="BC327" i="6" a="1"/>
  <c r="BC327" i="6" s="1"/>
  <c r="BC328" i="6" a="1"/>
  <c r="BC328" i="6" s="1"/>
  <c r="BC329" i="6" a="1"/>
  <c r="BC329" i="6" s="1"/>
  <c r="BC330" i="6" a="1"/>
  <c r="BC330" i="6" s="1"/>
  <c r="BC331" i="6" a="1"/>
  <c r="BC331" i="6" s="1"/>
  <c r="BC332" i="6" a="1"/>
  <c r="BC332" i="6" s="1"/>
  <c r="BC333" i="6" a="1"/>
  <c r="BC333" i="6" s="1"/>
  <c r="BC334" i="6" a="1"/>
  <c r="BC334" i="6" s="1"/>
  <c r="BC335" i="6" a="1"/>
  <c r="BC335" i="6" s="1"/>
  <c r="BC336" i="6" a="1"/>
  <c r="BC336" i="6" s="1"/>
  <c r="BC337" i="6" a="1"/>
  <c r="BC337" i="6" s="1"/>
  <c r="BC338" i="6" a="1"/>
  <c r="BC338" i="6" s="1"/>
  <c r="BC339" i="6" a="1"/>
  <c r="BC339" i="6" s="1"/>
  <c r="BC340" i="6" a="1"/>
  <c r="BC340" i="6" s="1"/>
  <c r="BC341" i="6" a="1"/>
  <c r="BC341" i="6" s="1"/>
  <c r="BC342" i="6" a="1"/>
  <c r="BC342" i="6" s="1"/>
  <c r="BC343" i="6" a="1"/>
  <c r="BC343" i="6" s="1"/>
  <c r="BC344" i="6" a="1"/>
  <c r="BC344" i="6" s="1"/>
  <c r="BC345" i="6" a="1"/>
  <c r="BC345" i="6" s="1"/>
  <c r="BC346" i="6" a="1"/>
  <c r="BC346" i="6" s="1"/>
  <c r="BC347" i="6" a="1"/>
  <c r="BC347" i="6" s="1"/>
  <c r="BC348" i="6" a="1"/>
  <c r="BC348" i="6" s="1"/>
  <c r="BC349" i="6" a="1"/>
  <c r="BC349" i="6" s="1"/>
  <c r="BC350" i="6" a="1"/>
  <c r="BC350" i="6" s="1"/>
  <c r="BC351" i="6" a="1"/>
  <c r="BC351" i="6" s="1"/>
  <c r="BC352" i="6" a="1"/>
  <c r="BC352" i="6" s="1"/>
  <c r="BC353" i="6" a="1"/>
  <c r="BC353" i="6" s="1"/>
  <c r="BC354" i="6" a="1"/>
  <c r="BC354" i="6" s="1"/>
  <c r="BC355" i="6" a="1"/>
  <c r="BC355" i="6" s="1"/>
  <c r="BC356" i="6" a="1"/>
  <c r="BC356" i="6" s="1"/>
  <c r="BC357" i="6" a="1"/>
  <c r="BC357" i="6" s="1"/>
  <c r="BC358" i="6" a="1"/>
  <c r="BC358" i="6" s="1"/>
  <c r="BC359" i="6" a="1"/>
  <c r="BC359" i="6" s="1"/>
  <c r="BC360" i="6" a="1"/>
  <c r="BC360" i="6" s="1"/>
  <c r="BC361" i="6" a="1"/>
  <c r="BC361" i="6" s="1"/>
  <c r="BC362" i="6" a="1"/>
  <c r="BC362" i="6" s="1"/>
  <c r="BC363" i="6" a="1"/>
  <c r="BC363" i="6" s="1"/>
  <c r="BC364" i="6" a="1"/>
  <c r="BC364" i="6" s="1"/>
  <c r="BC365" i="6" a="1"/>
  <c r="BC365" i="6" s="1"/>
  <c r="BC366" i="6" a="1"/>
  <c r="BC366" i="6" s="1"/>
  <c r="BC367" i="6" a="1"/>
  <c r="BC367" i="6" s="1"/>
  <c r="BC368" i="6" a="1"/>
  <c r="BC368" i="6" s="1"/>
  <c r="BC369" i="6" a="1"/>
  <c r="BC369" i="6" s="1"/>
  <c r="BC370" i="6" a="1"/>
  <c r="BC370" i="6" s="1"/>
  <c r="BC371" i="6" a="1"/>
  <c r="BC371" i="6" s="1"/>
  <c r="BC372" i="6" a="1"/>
  <c r="BC372" i="6" s="1"/>
  <c r="BC373" i="6" a="1"/>
  <c r="BC373" i="6" s="1"/>
  <c r="BC374" i="6" a="1"/>
  <c r="BC374" i="6" s="1"/>
  <c r="BC375" i="6" a="1"/>
  <c r="BC375" i="6" s="1"/>
  <c r="BC376" i="6" a="1"/>
  <c r="BC376" i="6" s="1"/>
  <c r="BC377" i="6" a="1"/>
  <c r="BC377" i="6" s="1"/>
  <c r="BC378" i="6" a="1"/>
  <c r="BC378" i="6" s="1"/>
  <c r="BC379" i="6" a="1"/>
  <c r="BC379" i="6" s="1"/>
  <c r="BC380" i="6" a="1"/>
  <c r="BC380" i="6" s="1"/>
  <c r="BC381" i="6" a="1"/>
  <c r="BC381" i="6" s="1"/>
  <c r="BC382" i="6" a="1"/>
  <c r="BC382" i="6" s="1"/>
  <c r="BC383" i="6" a="1"/>
  <c r="BC383" i="6" s="1"/>
  <c r="BC384" i="6" a="1"/>
  <c r="BC384" i="6" s="1"/>
  <c r="BC385" i="6" a="1"/>
  <c r="BC385" i="6" s="1"/>
  <c r="BC386" i="6" a="1"/>
  <c r="BC386" i="6" s="1"/>
  <c r="BC387" i="6" a="1"/>
  <c r="BC387" i="6" s="1"/>
  <c r="BC388" i="6" a="1"/>
  <c r="BC388" i="6" s="1"/>
  <c r="BC389" i="6" a="1"/>
  <c r="BC389" i="6" s="1"/>
  <c r="BC390" i="6" a="1"/>
  <c r="BC390" i="6" s="1"/>
  <c r="BC391" i="6" a="1"/>
  <c r="BC391" i="6" s="1"/>
  <c r="BC392" i="6" a="1"/>
  <c r="BC392" i="6" s="1"/>
  <c r="BC393" i="6" a="1"/>
  <c r="BC393" i="6" s="1"/>
  <c r="BC394" i="6" a="1"/>
  <c r="BC394" i="6" s="1"/>
  <c r="BC395" i="6" a="1"/>
  <c r="BC395" i="6" s="1"/>
  <c r="BC396" i="6" a="1"/>
  <c r="BC396" i="6" s="1"/>
  <c r="BC397" i="6" a="1"/>
  <c r="BC397" i="6" s="1"/>
  <c r="BC398" i="6" a="1"/>
  <c r="BC398" i="6" s="1"/>
  <c r="BC399" i="6" a="1"/>
  <c r="BC399" i="6" s="1"/>
  <c r="BC400" i="6" a="1"/>
  <c r="BC400" i="6" s="1"/>
  <c r="BC401" i="6" a="1"/>
  <c r="BC401" i="6" s="1"/>
  <c r="BC402" i="6" a="1"/>
  <c r="BC402" i="6" s="1"/>
  <c r="BC403" i="6" a="1"/>
  <c r="BC403" i="6" s="1"/>
  <c r="BC404" i="6" a="1"/>
  <c r="BC404" i="6" s="1"/>
  <c r="BC405" i="6" a="1"/>
  <c r="BC405" i="6" s="1"/>
  <c r="BC406" i="6" a="1"/>
  <c r="BC406" i="6" s="1"/>
  <c r="BC407" i="6" a="1"/>
  <c r="BC407" i="6" s="1"/>
  <c r="BC408" i="6" a="1"/>
  <c r="BC408" i="6" s="1"/>
  <c r="BC409" i="6" a="1"/>
  <c r="BC409" i="6" s="1"/>
  <c r="BC410" i="6" a="1"/>
  <c r="BC410" i="6" s="1"/>
  <c r="BC411" i="6" a="1"/>
  <c r="BC411" i="6" s="1"/>
  <c r="BC412" i="6" a="1"/>
  <c r="BC412" i="6" s="1"/>
  <c r="BC413" i="6" a="1"/>
  <c r="BC413" i="6" s="1"/>
  <c r="BC414" i="6" a="1"/>
  <c r="BC414" i="6" s="1"/>
  <c r="BC415" i="6" a="1"/>
  <c r="BC415" i="6" s="1"/>
  <c r="BC416" i="6" a="1"/>
  <c r="BC416" i="6" s="1"/>
  <c r="BC417" i="6" a="1"/>
  <c r="BC417" i="6" s="1"/>
  <c r="BC418" i="6" a="1"/>
  <c r="BC418" i="6" s="1"/>
  <c r="BC419" i="6" a="1"/>
  <c r="BC419" i="6" s="1"/>
  <c r="BC420" i="6" a="1"/>
  <c r="BC420" i="6" s="1"/>
  <c r="BC421" i="6" a="1"/>
  <c r="BC421" i="6" s="1"/>
  <c r="BC422" i="6" a="1"/>
  <c r="BC422" i="6" s="1"/>
  <c r="BC423" i="6" a="1"/>
  <c r="BC423" i="6" s="1"/>
  <c r="BC424" i="6" a="1"/>
  <c r="BC424" i="6" s="1"/>
  <c r="BC425" i="6" a="1"/>
  <c r="BC425" i="6" s="1"/>
  <c r="BC426" i="6" a="1"/>
  <c r="BC426" i="6" s="1"/>
  <c r="BC427" i="6" a="1"/>
  <c r="BC427" i="6" s="1"/>
  <c r="BC428" i="6" a="1"/>
  <c r="BC428" i="6" s="1"/>
  <c r="BC429" i="6" a="1"/>
  <c r="BC429" i="6" s="1"/>
  <c r="BC430" i="6" a="1"/>
  <c r="BC430" i="6" s="1"/>
  <c r="BC431" i="6" a="1"/>
  <c r="BC431" i="6" s="1"/>
  <c r="BC432" i="6" a="1"/>
  <c r="BC432" i="6" s="1"/>
  <c r="BC433" i="6" a="1"/>
  <c r="BC433" i="6" s="1"/>
  <c r="BC434" i="6" a="1"/>
  <c r="BC434" i="6" s="1"/>
  <c r="BC435" i="6" a="1"/>
  <c r="BC435" i="6" s="1"/>
  <c r="BC436" i="6" a="1"/>
  <c r="BC436" i="6" s="1"/>
  <c r="BC437" i="6" a="1"/>
  <c r="BC437" i="6" s="1"/>
  <c r="BC438" i="6" a="1"/>
  <c r="BC438" i="6" s="1"/>
  <c r="BC439" i="6" a="1"/>
  <c r="BC439" i="6" s="1"/>
  <c r="BC440" i="6" a="1"/>
  <c r="BC440" i="6" s="1"/>
  <c r="BC441" i="6" a="1"/>
  <c r="BC441" i="6" s="1"/>
  <c r="BC442" i="6" a="1"/>
  <c r="BC442" i="6" s="1"/>
  <c r="BC443" i="6" a="1"/>
  <c r="BC443" i="6" s="1"/>
  <c r="BC444" i="6" a="1"/>
  <c r="BC444" i="6" s="1"/>
  <c r="BC445" i="6" a="1"/>
  <c r="BC445" i="6" s="1"/>
  <c r="BC446" i="6" a="1"/>
  <c r="BC446" i="6" s="1"/>
  <c r="BC447" i="6" a="1"/>
  <c r="BC447" i="6" s="1"/>
  <c r="BC448" i="6" a="1"/>
  <c r="BC448" i="6" s="1"/>
  <c r="BC449" i="6" a="1"/>
  <c r="BC449" i="6" s="1"/>
  <c r="BC450" i="6" a="1"/>
  <c r="BC450" i="6" s="1"/>
  <c r="BC451" i="6" a="1"/>
  <c r="BC451" i="6" s="1"/>
  <c r="BC452" i="6" a="1"/>
  <c r="BC452" i="6" s="1"/>
  <c r="BC453" i="6" a="1"/>
  <c r="BC453" i="6" s="1"/>
  <c r="BC454" i="6" a="1"/>
  <c r="BC454" i="6" s="1"/>
  <c r="BC455" i="6" a="1"/>
  <c r="BC455" i="6" s="1"/>
  <c r="BC456" i="6" a="1"/>
  <c r="BC456" i="6" s="1"/>
  <c r="BC457" i="6" a="1"/>
  <c r="BC457" i="6" s="1"/>
  <c r="BC458" i="6" a="1"/>
  <c r="BC458" i="6" s="1"/>
  <c r="BC459" i="6" a="1"/>
  <c r="BC459" i="6" s="1"/>
  <c r="BC460" i="6" a="1"/>
  <c r="BC460" i="6" s="1"/>
  <c r="BC461" i="6" a="1"/>
  <c r="BC461" i="6" s="1"/>
  <c r="BC462" i="6" a="1"/>
  <c r="BC462" i="6" s="1"/>
  <c r="BC463" i="6" a="1"/>
  <c r="BC463" i="6" s="1"/>
  <c r="BC464" i="6" a="1"/>
  <c r="BC464" i="6" s="1"/>
  <c r="BC465" i="6" a="1"/>
  <c r="BC465" i="6" s="1"/>
  <c r="BC466" i="6" a="1"/>
  <c r="BC466" i="6" s="1"/>
  <c r="BC467" i="6" a="1"/>
  <c r="BC467" i="6" s="1"/>
  <c r="BC468" i="6" a="1"/>
  <c r="BC468" i="6" s="1"/>
  <c r="BC469" i="6" a="1"/>
  <c r="BC469" i="6" s="1"/>
  <c r="BC470" i="6" a="1"/>
  <c r="BC470" i="6" s="1"/>
  <c r="BC471" i="6" a="1"/>
  <c r="BC471" i="6" s="1"/>
  <c r="BC472" i="6" a="1"/>
  <c r="BC472" i="6" s="1"/>
  <c r="BC473" i="6" a="1"/>
  <c r="BC473" i="6" s="1"/>
  <c r="BC474" i="6" a="1"/>
  <c r="BC474" i="6" s="1"/>
  <c r="BC475" i="6" a="1"/>
  <c r="BC475" i="6" s="1"/>
  <c r="BC476" i="6" a="1"/>
  <c r="BC476" i="6" s="1"/>
  <c r="BC477" i="6" a="1"/>
  <c r="BC477" i="6" s="1"/>
  <c r="BC478" i="6" a="1"/>
  <c r="BC478" i="6" s="1"/>
  <c r="BC479" i="6" a="1"/>
  <c r="BC479" i="6" s="1"/>
  <c r="BC480" i="6" a="1"/>
  <c r="BC480" i="6" s="1"/>
  <c r="BC481" i="6" a="1"/>
  <c r="BC481" i="6" s="1"/>
  <c r="BC482" i="6" a="1"/>
  <c r="BC482" i="6" s="1"/>
  <c r="BC483" i="6" a="1"/>
  <c r="BC483" i="6" s="1"/>
  <c r="BC484" i="6" a="1"/>
  <c r="BC484" i="6" s="1"/>
  <c r="BC485" i="6" a="1"/>
  <c r="BC485" i="6" s="1"/>
  <c r="BC486" i="6" a="1"/>
  <c r="BC486" i="6" s="1"/>
  <c r="BC487" i="6" a="1"/>
  <c r="BC487" i="6" s="1"/>
  <c r="BC488" i="6" a="1"/>
  <c r="BC488" i="6" s="1"/>
  <c r="BC489" i="6" a="1"/>
  <c r="BC489" i="6" s="1"/>
  <c r="BC490" i="6" a="1"/>
  <c r="BC490" i="6" s="1"/>
  <c r="BC491" i="6" a="1"/>
  <c r="BC491" i="6" s="1"/>
  <c r="BC492" i="6" a="1"/>
  <c r="BC492" i="6" s="1"/>
  <c r="BC493" i="6" a="1"/>
  <c r="BC493" i="6" s="1"/>
  <c r="BC494" i="6" a="1"/>
  <c r="BC494" i="6" s="1"/>
  <c r="BC495" i="6" a="1"/>
  <c r="BC495" i="6" s="1"/>
  <c r="BC496" i="6" a="1"/>
  <c r="BC496" i="6" s="1"/>
  <c r="BC497" i="6" a="1"/>
  <c r="BC497" i="6" s="1"/>
  <c r="BC498" i="6" a="1"/>
  <c r="BC498" i="6" s="1"/>
  <c r="BC499" i="6" a="1"/>
  <c r="BC499" i="6" s="1"/>
  <c r="BC500" i="6" a="1"/>
  <c r="BC500" i="6" s="1"/>
  <c r="BC501" i="6" a="1"/>
  <c r="BC501" i="6" s="1"/>
  <c r="BC502" i="6" a="1"/>
  <c r="BC502" i="6" s="1"/>
  <c r="BC503" i="6" a="1"/>
  <c r="BC503" i="6" s="1"/>
  <c r="BC504" i="6" a="1"/>
  <c r="BC504" i="6" s="1"/>
  <c r="BC505" i="6" a="1"/>
  <c r="BC505" i="6" s="1"/>
  <c r="BC506" i="6" a="1"/>
  <c r="BC506" i="6" s="1"/>
  <c r="BC507" i="6" a="1"/>
  <c r="BC507" i="6" s="1"/>
  <c r="BC508" i="6" a="1"/>
  <c r="BC508" i="6" s="1"/>
  <c r="BC509" i="6" a="1"/>
  <c r="BC509" i="6" s="1"/>
  <c r="BC510" i="6" a="1"/>
  <c r="BC510" i="6" s="1"/>
  <c r="BC511" i="6" a="1"/>
  <c r="BC511" i="6" s="1"/>
  <c r="BC512" i="6" a="1"/>
  <c r="BC512" i="6" s="1"/>
  <c r="BC513" i="6" a="1"/>
  <c r="BC513" i="6" s="1"/>
  <c r="BC514" i="6" a="1"/>
  <c r="BC514" i="6" s="1"/>
  <c r="BC515" i="6" a="1"/>
  <c r="BC515" i="6" s="1"/>
  <c r="BC516" i="6" a="1"/>
  <c r="BC516" i="6" s="1"/>
  <c r="BC517" i="6" a="1"/>
  <c r="BC517" i="6" s="1"/>
  <c r="BC518" i="6" a="1"/>
  <c r="BC518" i="6" s="1"/>
  <c r="BC519" i="6" a="1"/>
  <c r="BC519" i="6" s="1"/>
  <c r="BC520" i="6" a="1"/>
  <c r="BC520" i="6" s="1"/>
  <c r="BC521" i="6" a="1"/>
  <c r="BC521" i="6" s="1"/>
  <c r="BC522" i="6" a="1"/>
  <c r="BC522" i="6" s="1"/>
  <c r="BC523" i="6" a="1"/>
  <c r="BC523" i="6" s="1"/>
  <c r="BC524" i="6" a="1"/>
  <c r="BC524" i="6" s="1"/>
  <c r="BC525" i="6" a="1"/>
  <c r="BC525" i="6" s="1"/>
  <c r="BC526" i="6" a="1"/>
  <c r="BC526" i="6" s="1"/>
  <c r="BC527" i="6" a="1"/>
  <c r="BC527" i="6" s="1"/>
  <c r="BC528" i="6" a="1"/>
  <c r="BC528" i="6" s="1"/>
  <c r="BC529" i="6" a="1"/>
  <c r="BC529" i="6" s="1"/>
  <c r="BC530" i="6" a="1"/>
  <c r="BC530" i="6" s="1"/>
  <c r="BC531" i="6" a="1"/>
  <c r="BC531" i="6" s="1"/>
  <c r="BC532" i="6" a="1"/>
  <c r="BC532" i="6" s="1"/>
  <c r="BC533" i="6" a="1"/>
  <c r="BC533" i="6" s="1"/>
  <c r="BC534" i="6" a="1"/>
  <c r="BC534" i="6" s="1"/>
  <c r="BC535" i="6" a="1"/>
  <c r="BC535" i="6" s="1"/>
  <c r="BC536" i="6" a="1"/>
  <c r="BC536" i="6" s="1"/>
  <c r="BC537" i="6" a="1"/>
  <c r="BC537" i="6" s="1"/>
  <c r="BC538" i="6" a="1"/>
  <c r="BC538" i="6" s="1"/>
  <c r="BC539" i="6" a="1"/>
  <c r="BC539" i="6" s="1"/>
  <c r="BC540" i="6" a="1"/>
  <c r="BC540" i="6" s="1"/>
  <c r="BC541" i="6" a="1"/>
  <c r="BC541" i="6" s="1"/>
  <c r="BC542" i="6" a="1"/>
  <c r="BC542" i="6" s="1"/>
  <c r="BC543" i="6" a="1"/>
  <c r="BC543" i="6" s="1"/>
  <c r="BC544" i="6" a="1"/>
  <c r="BC544" i="6" s="1"/>
  <c r="BC545" i="6" a="1"/>
  <c r="BC545" i="6" s="1"/>
  <c r="BC546" i="6" a="1"/>
  <c r="BC546" i="6" s="1"/>
  <c r="BC547" i="6" a="1"/>
  <c r="BC547" i="6" s="1"/>
  <c r="BC548" i="6" a="1"/>
  <c r="BC548" i="6" s="1"/>
  <c r="BC549" i="6" a="1"/>
  <c r="BC549" i="6" s="1"/>
  <c r="BC550" i="6" a="1"/>
  <c r="BC550" i="6" s="1"/>
  <c r="BC551" i="6" a="1"/>
  <c r="BC551" i="6" s="1"/>
  <c r="BC552" i="6" a="1"/>
  <c r="BC552" i="6" s="1"/>
  <c r="BC553" i="6" a="1"/>
  <c r="BC553" i="6" s="1"/>
  <c r="BC554" i="6" a="1"/>
  <c r="BC554" i="6" s="1"/>
  <c r="BC555" i="6" a="1"/>
  <c r="BC555" i="6" s="1"/>
  <c r="BC556" i="6" a="1"/>
  <c r="BC556" i="6" s="1"/>
  <c r="BC557" i="6" a="1"/>
  <c r="BC557" i="6" s="1"/>
  <c r="BC558" i="6" a="1"/>
  <c r="BC558" i="6" s="1"/>
  <c r="BC559" i="6" a="1"/>
  <c r="BC559" i="6" s="1"/>
  <c r="BC560" i="6" a="1"/>
  <c r="BC560" i="6" s="1"/>
  <c r="BC561" i="6" a="1"/>
  <c r="BC561" i="6" s="1"/>
  <c r="BC562" i="6" a="1"/>
  <c r="BC562" i="6" s="1"/>
  <c r="BC563" i="6" a="1"/>
  <c r="BC563" i="6" s="1"/>
  <c r="BC564" i="6" a="1"/>
  <c r="BC564" i="6" s="1"/>
  <c r="BC565" i="6" a="1"/>
  <c r="BC565" i="6" s="1"/>
  <c r="BC566" i="6" a="1"/>
  <c r="BC566" i="6" s="1"/>
  <c r="BC567" i="6" a="1"/>
  <c r="BC567" i="6" s="1"/>
  <c r="BC568" i="6" a="1"/>
  <c r="BC568" i="6" s="1"/>
  <c r="BC569" i="6" a="1"/>
  <c r="BC569" i="6" s="1"/>
  <c r="BC570" i="6" a="1"/>
  <c r="BC570" i="6" s="1"/>
  <c r="BC571" i="6" a="1"/>
  <c r="BC571" i="6" s="1"/>
  <c r="BC572" i="6" a="1"/>
  <c r="BC572" i="6" s="1"/>
  <c r="BC573" i="6" a="1"/>
  <c r="BC573" i="6" s="1"/>
  <c r="BC574" i="6" a="1"/>
  <c r="BC574" i="6" s="1"/>
  <c r="BC575" i="6" a="1"/>
  <c r="BC575" i="6" s="1"/>
  <c r="BC576" i="6" a="1"/>
  <c r="BC576" i="6" s="1"/>
  <c r="BC577" i="6" a="1"/>
  <c r="BC577" i="6" s="1"/>
  <c r="BC578" i="6" a="1"/>
  <c r="BC578" i="6" s="1"/>
  <c r="BC579" i="6" a="1"/>
  <c r="BC579" i="6" s="1"/>
  <c r="BC580" i="6" a="1"/>
  <c r="BC580" i="6" s="1"/>
  <c r="BC581" i="6" a="1"/>
  <c r="BC581" i="6" s="1"/>
  <c r="BC582" i="6" a="1"/>
  <c r="BC582" i="6" s="1"/>
  <c r="BC583" i="6" a="1"/>
  <c r="BC583" i="6" s="1"/>
  <c r="BC584" i="6" a="1"/>
  <c r="BC584" i="6" s="1"/>
  <c r="BC585" i="6" a="1"/>
  <c r="BC585" i="6" s="1"/>
  <c r="BC586" i="6" a="1"/>
  <c r="BC586" i="6" s="1"/>
  <c r="BC587" i="6" a="1"/>
  <c r="BC587" i="6" s="1"/>
  <c r="BC588" i="6" a="1"/>
  <c r="BC588" i="6" s="1"/>
  <c r="BC589" i="6" a="1"/>
  <c r="BC589" i="6" s="1"/>
  <c r="BC590" i="6" a="1"/>
  <c r="BC590" i="6" s="1"/>
  <c r="BC591" i="6" a="1"/>
  <c r="BC591" i="6" s="1"/>
  <c r="BC592" i="6" a="1"/>
  <c r="BC592" i="6" s="1"/>
  <c r="BC593" i="6" a="1"/>
  <c r="BC593" i="6" s="1"/>
  <c r="BC594" i="6" a="1"/>
  <c r="BC594" i="6" s="1"/>
  <c r="BC595" i="6" a="1"/>
  <c r="BC595" i="6" s="1"/>
  <c r="BC596" i="6" a="1"/>
  <c r="BC596" i="6" s="1"/>
  <c r="BC597" i="6" a="1"/>
  <c r="BC597" i="6" s="1"/>
  <c r="BC598" i="6" a="1"/>
  <c r="BC598" i="6" s="1"/>
  <c r="BC599" i="6" a="1"/>
  <c r="BC599" i="6" s="1"/>
  <c r="BC600" i="6" a="1"/>
  <c r="BC600" i="6" s="1"/>
  <c r="BC601" i="6" a="1"/>
  <c r="BC601" i="6" s="1"/>
  <c r="BC602" i="6" a="1"/>
  <c r="BC602" i="6" s="1"/>
  <c r="BC603" i="6" a="1"/>
  <c r="BC603" i="6" s="1"/>
  <c r="BC604" i="6" a="1"/>
  <c r="BC604" i="6" s="1"/>
  <c r="BC605" i="6" a="1"/>
  <c r="BC605" i="6" s="1"/>
  <c r="BC606" i="6" a="1"/>
  <c r="BC606" i="6" s="1"/>
  <c r="BC607" i="6" a="1"/>
  <c r="BC607" i="6" s="1"/>
  <c r="BC608" i="6" a="1"/>
  <c r="BC608" i="6" s="1"/>
  <c r="BC609" i="6" a="1"/>
  <c r="BC609" i="6" s="1"/>
  <c r="BC610" i="6" a="1"/>
  <c r="BC610" i="6" s="1"/>
  <c r="BC611" i="6" a="1"/>
  <c r="BC611" i="6" s="1"/>
  <c r="BC612" i="6" a="1"/>
  <c r="BC612" i="6" s="1"/>
  <c r="BC613" i="6" a="1"/>
  <c r="BC613" i="6" s="1"/>
  <c r="BC614" i="6" a="1"/>
  <c r="BC614" i="6" s="1"/>
  <c r="BC615" i="6" a="1"/>
  <c r="BC615" i="6" s="1"/>
  <c r="BC616" i="6" a="1"/>
  <c r="BC616" i="6" s="1"/>
  <c r="BC617" i="6" a="1"/>
  <c r="BC617" i="6" s="1"/>
  <c r="BC618" i="6" a="1"/>
  <c r="BC618" i="6" s="1"/>
  <c r="BC619" i="6" a="1"/>
  <c r="BC619" i="6" s="1"/>
  <c r="BC620" i="6" a="1"/>
  <c r="BC620" i="6" s="1"/>
  <c r="BC621" i="6" a="1"/>
  <c r="BC621" i="6" s="1"/>
  <c r="BC622" i="6" a="1"/>
  <c r="BC622" i="6" s="1"/>
  <c r="BC623" i="6" a="1"/>
  <c r="BC623" i="6" s="1"/>
  <c r="BC624" i="6" a="1"/>
  <c r="BC624" i="6" s="1"/>
  <c r="BC625" i="6" a="1"/>
  <c r="BC625" i="6" s="1"/>
  <c r="BC626" i="6" a="1"/>
  <c r="BC626" i="6" s="1"/>
  <c r="BC627" i="6" a="1"/>
  <c r="BC627" i="6" s="1"/>
  <c r="BC628" i="6" a="1"/>
  <c r="BC628" i="6" s="1"/>
  <c r="BC629" i="6" a="1"/>
  <c r="BC629" i="6" s="1"/>
  <c r="BC630" i="6" a="1"/>
  <c r="BC630" i="6" s="1"/>
  <c r="BC631" i="6" a="1"/>
  <c r="BC631" i="6" s="1"/>
  <c r="BC632" i="6" a="1"/>
  <c r="BC632" i="6" s="1"/>
  <c r="BC633" i="6" a="1"/>
  <c r="BC633" i="6" s="1"/>
  <c r="BC634" i="6" a="1"/>
  <c r="BC634" i="6" s="1"/>
  <c r="BC635" i="6" a="1"/>
  <c r="BC635" i="6" s="1"/>
  <c r="BC636" i="6" a="1"/>
  <c r="BC636" i="6" s="1"/>
  <c r="BC637" i="6" a="1"/>
  <c r="BC637" i="6" s="1"/>
  <c r="BC638" i="6" a="1"/>
  <c r="BC638" i="6" s="1"/>
  <c r="BC639" i="6" a="1"/>
  <c r="BC639" i="6" s="1"/>
  <c r="BC640" i="6" a="1"/>
  <c r="BC640" i="6" s="1"/>
  <c r="BC641" i="6" a="1"/>
  <c r="BC641" i="6" s="1"/>
  <c r="BC642" i="6" a="1"/>
  <c r="BC642" i="6" s="1"/>
  <c r="BC643" i="6" a="1"/>
  <c r="BC643" i="6" s="1"/>
  <c r="BC644" i="6" a="1"/>
  <c r="BC644" i="6" s="1"/>
  <c r="BC645" i="6" a="1"/>
  <c r="BC645" i="6" s="1"/>
  <c r="BC646" i="6" a="1"/>
  <c r="BC646" i="6" s="1"/>
  <c r="BC647" i="6" a="1"/>
  <c r="BC647" i="6" s="1"/>
  <c r="BC648" i="6" a="1"/>
  <c r="BC648" i="6" s="1"/>
  <c r="BC649" i="6" a="1"/>
  <c r="BC649" i="6" s="1"/>
  <c r="BC650" i="6" a="1"/>
  <c r="BC650" i="6" s="1"/>
  <c r="BC651" i="6" a="1"/>
  <c r="BC651" i="6" s="1"/>
  <c r="BC652" i="6" a="1"/>
  <c r="BC652" i="6" s="1"/>
  <c r="BC653" i="6" a="1"/>
  <c r="BC653" i="6" s="1"/>
  <c r="BC654" i="6" a="1"/>
  <c r="BC654" i="6" s="1"/>
  <c r="BC655" i="6" a="1"/>
  <c r="BC655" i="6" s="1"/>
  <c r="BC656" i="6" a="1"/>
  <c r="BC656" i="6" s="1"/>
  <c r="BC657" i="6" a="1"/>
  <c r="BC657" i="6" s="1"/>
  <c r="BC658" i="6" a="1"/>
  <c r="BC658" i="6" s="1"/>
  <c r="BC659" i="6" a="1"/>
  <c r="BC659" i="6" s="1"/>
  <c r="BC660" i="6" a="1"/>
  <c r="BC660" i="6" s="1"/>
  <c r="BC661" i="6" a="1"/>
  <c r="BC661" i="6" s="1"/>
  <c r="BC662" i="6" a="1"/>
  <c r="BC662" i="6" s="1"/>
  <c r="BC663" i="6" a="1"/>
  <c r="BC663" i="6" s="1"/>
  <c r="BC664" i="6" a="1"/>
  <c r="BC664" i="6" s="1"/>
  <c r="BC665" i="6" a="1"/>
  <c r="BC665" i="6" s="1"/>
  <c r="BC666" i="6" a="1"/>
  <c r="BC666" i="6" s="1"/>
  <c r="BC667" i="6" a="1"/>
  <c r="BC667" i="6" s="1"/>
  <c r="BC668" i="6" a="1"/>
  <c r="BC668" i="6" s="1"/>
  <c r="BC669" i="6" a="1"/>
  <c r="BC669" i="6" s="1"/>
  <c r="BC670" i="6" a="1"/>
  <c r="BC670" i="6" s="1"/>
  <c r="BC671" i="6" a="1"/>
  <c r="BC671" i="6" s="1"/>
  <c r="BC672" i="6" a="1"/>
  <c r="BC672" i="6" s="1"/>
  <c r="BC673" i="6" a="1"/>
  <c r="BC673" i="6" s="1"/>
  <c r="BC674" i="6" a="1"/>
  <c r="BC674" i="6" s="1"/>
  <c r="BC675" i="6" a="1"/>
  <c r="BC675" i="6" s="1"/>
  <c r="BC676" i="6" a="1"/>
  <c r="BC676" i="6" s="1"/>
  <c r="BC677" i="6" a="1"/>
  <c r="BC677" i="6" s="1"/>
  <c r="BC678" i="6" a="1"/>
  <c r="BC678" i="6" s="1"/>
  <c r="BC679" i="6" a="1"/>
  <c r="BC679" i="6" s="1"/>
  <c r="BC680" i="6" a="1"/>
  <c r="BC680" i="6" s="1"/>
  <c r="BC681" i="6" a="1"/>
  <c r="BC681" i="6" s="1"/>
  <c r="BC682" i="6" a="1"/>
  <c r="BC682" i="6" s="1"/>
  <c r="BC683" i="6" a="1"/>
  <c r="BC683" i="6" s="1"/>
  <c r="BC684" i="6" a="1"/>
  <c r="BC684" i="6" s="1"/>
  <c r="BC685" i="6" a="1"/>
  <c r="BC685" i="6" s="1"/>
  <c r="BC686" i="6" a="1"/>
  <c r="BC686" i="6" s="1"/>
  <c r="BC687" i="6" a="1"/>
  <c r="BC687" i="6" s="1"/>
  <c r="BC688" i="6" a="1"/>
  <c r="BC688" i="6" s="1"/>
  <c r="BC689" i="6" a="1"/>
  <c r="BC689" i="6" s="1"/>
  <c r="BC690" i="6" a="1"/>
  <c r="BC690" i="6" s="1"/>
  <c r="BC691" i="6" a="1"/>
  <c r="BC691" i="6" s="1"/>
  <c r="BC692" i="6" a="1"/>
  <c r="BC692" i="6" s="1"/>
  <c r="BC693" i="6" a="1"/>
  <c r="BC693" i="6" s="1"/>
  <c r="BC694" i="6" a="1"/>
  <c r="BC694" i="6" s="1"/>
  <c r="BC695" i="6" a="1"/>
  <c r="BC695" i="6" s="1"/>
  <c r="BC696" i="6" a="1"/>
  <c r="BC696" i="6" s="1"/>
  <c r="BC697" i="6" a="1"/>
  <c r="BC697" i="6" s="1"/>
  <c r="BC698" i="6" a="1"/>
  <c r="BC698" i="6" s="1"/>
  <c r="BC699" i="6" a="1"/>
  <c r="BC699" i="6" s="1"/>
  <c r="BC700" i="6" a="1"/>
  <c r="BC700" i="6" s="1"/>
  <c r="BC701" i="6" a="1"/>
  <c r="BC701" i="6" s="1"/>
  <c r="BC702" i="6" a="1"/>
  <c r="BC702" i="6" s="1"/>
  <c r="BC703" i="6" a="1"/>
  <c r="BC703" i="6" s="1"/>
  <c r="BC704" i="6" a="1"/>
  <c r="BC704" i="6" s="1"/>
  <c r="BC705" i="6" a="1"/>
  <c r="BC705" i="6" s="1"/>
  <c r="BC706" i="6" a="1"/>
  <c r="BC706" i="6" s="1"/>
  <c r="BC707" i="6" a="1"/>
  <c r="BC707" i="6" s="1"/>
  <c r="BC708" i="6" a="1"/>
  <c r="BC708" i="6" s="1"/>
  <c r="BC709" i="6" a="1"/>
  <c r="BC709" i="6" s="1"/>
  <c r="BC710" i="6" a="1"/>
  <c r="BC710" i="6" s="1"/>
  <c r="BC711" i="6" a="1"/>
  <c r="BC711" i="6" s="1"/>
  <c r="BC712" i="6" a="1"/>
  <c r="BC712" i="6" s="1"/>
  <c r="BC713" i="6" a="1"/>
  <c r="BC713" i="6" s="1"/>
  <c r="BC714" i="6" a="1"/>
  <c r="BC714" i="6" s="1"/>
  <c r="BC715" i="6" a="1"/>
  <c r="BC715" i="6" s="1"/>
  <c r="BC716" i="6" a="1"/>
  <c r="BC716" i="6" s="1"/>
  <c r="BC717" i="6" a="1"/>
  <c r="BC717" i="6" s="1"/>
  <c r="BC718" i="6" a="1"/>
  <c r="BC718" i="6" s="1"/>
  <c r="BC719" i="6" a="1"/>
  <c r="BC719" i="6" s="1"/>
  <c r="BC720" i="6" a="1"/>
  <c r="BC720" i="6" s="1"/>
  <c r="BC721" i="6" a="1"/>
  <c r="BC721" i="6" s="1"/>
  <c r="BC722" i="6" a="1"/>
  <c r="BC722" i="6" s="1"/>
  <c r="BC723" i="6" a="1"/>
  <c r="BC723" i="6" s="1"/>
  <c r="BC724" i="6" a="1"/>
  <c r="BC724" i="6" s="1"/>
  <c r="BC725" i="6" a="1"/>
  <c r="BC725" i="6" s="1"/>
  <c r="BC726" i="6" a="1"/>
  <c r="BC726" i="6" s="1"/>
  <c r="BC727" i="6" a="1"/>
  <c r="BC727" i="6" s="1"/>
  <c r="BC728" i="6" a="1"/>
  <c r="BC728" i="6" s="1"/>
  <c r="BC729" i="6" a="1"/>
  <c r="BC729" i="6" s="1"/>
  <c r="BC730" i="6" a="1"/>
  <c r="BC730" i="6" s="1"/>
  <c r="BC731" i="6" a="1"/>
  <c r="BC731" i="6" s="1"/>
  <c r="BC732" i="6" a="1"/>
  <c r="BC732" i="6" s="1"/>
  <c r="BC733" i="6" a="1"/>
  <c r="BC733" i="6" s="1"/>
  <c r="BC734" i="6" a="1"/>
  <c r="BC734" i="6" s="1"/>
  <c r="BC735" i="6" a="1"/>
  <c r="BC735" i="6" s="1"/>
  <c r="BC736" i="6" a="1"/>
  <c r="BC736" i="6" s="1"/>
  <c r="BC737" i="6" a="1"/>
  <c r="BC737" i="6" s="1"/>
  <c r="BC738" i="6" a="1"/>
  <c r="BC738" i="6" s="1"/>
  <c r="BC739" i="6" a="1"/>
  <c r="BC739" i="6" s="1"/>
  <c r="BC740" i="6" a="1"/>
  <c r="BC740" i="6" s="1"/>
  <c r="BC741" i="6" a="1"/>
  <c r="BC741" i="6" s="1"/>
  <c r="BC742" i="6" a="1"/>
  <c r="BC742" i="6" s="1"/>
  <c r="BC743" i="6" a="1"/>
  <c r="BC743" i="6" s="1"/>
  <c r="BC744" i="6" a="1"/>
  <c r="BC744" i="6" s="1"/>
  <c r="BC745" i="6" a="1"/>
  <c r="BC745" i="6" s="1"/>
  <c r="BC746" i="6" a="1"/>
  <c r="BC746" i="6" s="1"/>
  <c r="BC747" i="6" a="1"/>
  <c r="BC747" i="6" s="1"/>
  <c r="BC748" i="6" a="1"/>
  <c r="BC748" i="6" s="1"/>
  <c r="BC749" i="6" a="1"/>
  <c r="BC749" i="6" s="1"/>
  <c r="BC750" i="6" a="1"/>
  <c r="BC750" i="6" s="1"/>
  <c r="BC751" i="6" a="1"/>
  <c r="BC751" i="6" s="1"/>
  <c r="BC752" i="6" a="1"/>
  <c r="BC752" i="6" s="1"/>
  <c r="BC753" i="6" a="1"/>
  <c r="BC753" i="6" s="1"/>
  <c r="BC754" i="6" a="1"/>
  <c r="BC754" i="6" s="1"/>
  <c r="BC755" i="6" a="1"/>
  <c r="BC755" i="6" s="1"/>
  <c r="BC756" i="6" a="1"/>
  <c r="BC756" i="6" s="1"/>
  <c r="BC757" i="6" a="1"/>
  <c r="BC757" i="6" s="1"/>
  <c r="BC758" i="6" a="1"/>
  <c r="BC758" i="6" s="1"/>
  <c r="BC759" i="6" a="1"/>
  <c r="BC759" i="6" s="1"/>
  <c r="BC760" i="6" a="1"/>
  <c r="BC760" i="6" s="1"/>
  <c r="BC761" i="6" a="1"/>
  <c r="BC761" i="6" s="1"/>
  <c r="BC762" i="6" a="1"/>
  <c r="BC762" i="6" s="1"/>
  <c r="BC763" i="6" a="1"/>
  <c r="BC763" i="6" s="1"/>
  <c r="BC764" i="6" a="1"/>
  <c r="BC764" i="6" s="1"/>
  <c r="BC765" i="6" a="1"/>
  <c r="BC765" i="6" s="1"/>
  <c r="BC766" i="6" a="1"/>
  <c r="BC766" i="6" s="1"/>
  <c r="BC767" i="6" a="1"/>
  <c r="BC767" i="6" s="1"/>
  <c r="BC768" i="6" a="1"/>
  <c r="BC768" i="6" s="1"/>
  <c r="BC769" i="6" a="1"/>
  <c r="BC769" i="6" s="1"/>
  <c r="BC770" i="6" a="1"/>
  <c r="BC770" i="6" s="1"/>
  <c r="BC771" i="6" a="1"/>
  <c r="BC771" i="6" s="1"/>
  <c r="BC772" i="6" a="1"/>
  <c r="BC772" i="6" s="1"/>
  <c r="BC773" i="6" a="1"/>
  <c r="BC773" i="6" s="1"/>
  <c r="BC774" i="6" a="1"/>
  <c r="BC774" i="6" s="1"/>
  <c r="BC775" i="6" a="1"/>
  <c r="BC775" i="6" s="1"/>
  <c r="BC776" i="6" a="1"/>
  <c r="BC776" i="6" s="1"/>
  <c r="BC777" i="6" a="1"/>
  <c r="BC777" i="6" s="1"/>
  <c r="BC778" i="6" a="1"/>
  <c r="BC778" i="6" s="1"/>
  <c r="BC779" i="6" a="1"/>
  <c r="BC779" i="6" s="1"/>
  <c r="BC780" i="6" a="1"/>
  <c r="BC780" i="6" s="1"/>
  <c r="BC781" i="6" a="1"/>
  <c r="BC781" i="6" s="1"/>
  <c r="BC782" i="6" a="1"/>
  <c r="BC782" i="6" s="1"/>
  <c r="BC783" i="6" a="1"/>
  <c r="BC783" i="6" s="1"/>
  <c r="BC784" i="6" a="1"/>
  <c r="BC784" i="6" s="1"/>
  <c r="BC785" i="6" a="1"/>
  <c r="BC785" i="6" s="1"/>
  <c r="BC786" i="6" a="1"/>
  <c r="BC786" i="6" s="1"/>
  <c r="BC787" i="6" a="1"/>
  <c r="BC787" i="6" s="1"/>
  <c r="BC788" i="6" a="1"/>
  <c r="BC788" i="6" s="1"/>
  <c r="BC789" i="6" a="1"/>
  <c r="BC789" i="6" s="1"/>
  <c r="BC790" i="6" a="1"/>
  <c r="BC790" i="6" s="1"/>
  <c r="BC791" i="6" a="1"/>
  <c r="BC791" i="6" s="1"/>
  <c r="BC792" i="6" a="1"/>
  <c r="BC792" i="6" s="1"/>
  <c r="BC793" i="6" a="1"/>
  <c r="BC793" i="6" s="1"/>
  <c r="BC794" i="6" a="1"/>
  <c r="BC794" i="6" s="1"/>
  <c r="BC795" i="6" a="1"/>
  <c r="BC795" i="6" s="1"/>
  <c r="BC796" i="6" a="1"/>
  <c r="BC796" i="6" s="1"/>
  <c r="BC797" i="6" a="1"/>
  <c r="BC797" i="6" s="1"/>
  <c r="BC798" i="6" a="1"/>
  <c r="BC798" i="6" s="1"/>
  <c r="BC799" i="6" a="1"/>
  <c r="BC799" i="6" s="1"/>
  <c r="BC800" i="6" a="1"/>
  <c r="BC800" i="6" s="1"/>
  <c r="BC801" i="6" a="1"/>
  <c r="BC801" i="6" s="1"/>
  <c r="BC802" i="6" a="1"/>
  <c r="BC802" i="6" s="1"/>
  <c r="BC803" i="6" a="1"/>
  <c r="BC803" i="6" s="1"/>
  <c r="BC804" i="6" a="1"/>
  <c r="BC804" i="6" s="1"/>
  <c r="BC805" i="6" a="1"/>
  <c r="BC805" i="6" s="1"/>
  <c r="BC806" i="6" a="1"/>
  <c r="BC806" i="6" s="1"/>
  <c r="BC807" i="6" a="1"/>
  <c r="BC807" i="6" s="1"/>
  <c r="BC808" i="6" a="1"/>
  <c r="BC808" i="6" s="1"/>
  <c r="BC809" i="6" a="1"/>
  <c r="BC809" i="6" s="1"/>
  <c r="BC810" i="6" a="1"/>
  <c r="BC810" i="6" s="1"/>
  <c r="BC811" i="6" a="1"/>
  <c r="BC811" i="6" s="1"/>
  <c r="BC812" i="6" a="1"/>
  <c r="BC812" i="6" s="1"/>
  <c r="BC813" i="6" a="1"/>
  <c r="BC813" i="6" s="1"/>
  <c r="BC814" i="6" a="1"/>
  <c r="BC814" i="6" s="1"/>
  <c r="BC815" i="6" a="1"/>
  <c r="BC815" i="6" s="1"/>
  <c r="BC816" i="6" a="1"/>
  <c r="BC816" i="6" s="1"/>
  <c r="BC817" i="6" a="1"/>
  <c r="BC817" i="6" s="1"/>
  <c r="BC818" i="6" a="1"/>
  <c r="BC818" i="6" s="1"/>
  <c r="BC819" i="6" a="1"/>
  <c r="BC819" i="6" s="1"/>
  <c r="BC820" i="6" a="1"/>
  <c r="BC820" i="6" s="1"/>
  <c r="BC821" i="6" a="1"/>
  <c r="BC821" i="6" s="1"/>
  <c r="BC822" i="6" a="1"/>
  <c r="BC822" i="6" s="1"/>
  <c r="BC823" i="6" a="1"/>
  <c r="BC823" i="6" s="1"/>
  <c r="BC824" i="6" a="1"/>
  <c r="BC824" i="6" s="1"/>
  <c r="BC825" i="6" a="1"/>
  <c r="BC825" i="6" s="1"/>
  <c r="BC826" i="6" a="1"/>
  <c r="BC826" i="6" s="1"/>
  <c r="BC827" i="6" a="1"/>
  <c r="BC827" i="6" s="1"/>
  <c r="BC828" i="6" a="1"/>
  <c r="BC828" i="6" s="1"/>
  <c r="BC829" i="6" a="1"/>
  <c r="BC829" i="6" s="1"/>
  <c r="BC830" i="6" a="1"/>
  <c r="BC830" i="6" s="1"/>
  <c r="BC831" i="6" a="1"/>
  <c r="BC831" i="6" s="1"/>
  <c r="BC832" i="6" a="1"/>
  <c r="BC832" i="6" s="1"/>
  <c r="BC833" i="6" a="1"/>
  <c r="BC833" i="6" s="1"/>
  <c r="BC834" i="6" a="1"/>
  <c r="BC834" i="6" s="1"/>
  <c r="BC835" i="6" a="1"/>
  <c r="BC835" i="6" s="1"/>
  <c r="BC836" i="6" a="1"/>
  <c r="BC836" i="6" s="1"/>
  <c r="BC837" i="6" a="1"/>
  <c r="BC837" i="6" s="1"/>
  <c r="BC838" i="6" a="1"/>
  <c r="BC838" i="6" s="1"/>
  <c r="BC839" i="6" a="1"/>
  <c r="BC839" i="6" s="1"/>
  <c r="BC840" i="6" a="1"/>
  <c r="BC840" i="6" s="1"/>
  <c r="BC841" i="6" a="1"/>
  <c r="BC841" i="6" s="1"/>
  <c r="BC842" i="6" a="1"/>
  <c r="BC842" i="6" s="1"/>
  <c r="BC843" i="6" a="1"/>
  <c r="BC843" i="6" s="1"/>
  <c r="BC844" i="6" a="1"/>
  <c r="BC844" i="6" s="1"/>
  <c r="BC845" i="6" a="1"/>
  <c r="BC845" i="6" s="1"/>
  <c r="BC846" i="6" a="1"/>
  <c r="BC846" i="6" s="1"/>
  <c r="BC847" i="6" a="1"/>
  <c r="BC847" i="6" s="1"/>
  <c r="BC848" i="6" a="1"/>
  <c r="BC848" i="6" s="1"/>
  <c r="BC849" i="6" a="1"/>
  <c r="BC849" i="6" s="1"/>
  <c r="BC850" i="6" a="1"/>
  <c r="BC850" i="6" s="1"/>
  <c r="BC851" i="6" a="1"/>
  <c r="BC851" i="6" s="1"/>
  <c r="BC852" i="6" a="1"/>
  <c r="BC852" i="6" s="1"/>
  <c r="BC853" i="6" a="1"/>
  <c r="BC853" i="6" s="1"/>
  <c r="BC854" i="6" a="1"/>
  <c r="BC854" i="6" s="1"/>
  <c r="BC855" i="6" a="1"/>
  <c r="BC855" i="6" s="1"/>
  <c r="BC856" i="6" a="1"/>
  <c r="BC856" i="6" s="1"/>
  <c r="BC857" i="6" a="1"/>
  <c r="BC857" i="6" s="1"/>
  <c r="BC858" i="6" a="1"/>
  <c r="BC858" i="6" s="1"/>
  <c r="BC859" i="6" a="1"/>
  <c r="BC859" i="6" s="1"/>
  <c r="BC860" i="6" a="1"/>
  <c r="BC860" i="6" s="1"/>
  <c r="BC861" i="6" a="1"/>
  <c r="BC861" i="6" s="1"/>
  <c r="BC862" i="6" a="1"/>
  <c r="BC862" i="6" s="1"/>
  <c r="BC863" i="6" a="1"/>
  <c r="BC863" i="6" s="1"/>
  <c r="BC864" i="6" a="1"/>
  <c r="BC864" i="6" s="1"/>
  <c r="BC865" i="6" a="1"/>
  <c r="BC865" i="6" s="1"/>
  <c r="BC866" i="6" a="1"/>
  <c r="BC866" i="6" s="1"/>
  <c r="BC867" i="6" a="1"/>
  <c r="BC867" i="6" s="1"/>
  <c r="BC868" i="6" a="1"/>
  <c r="BC868" i="6" s="1"/>
  <c r="BC869" i="6" a="1"/>
  <c r="BC869" i="6" s="1"/>
  <c r="BC870" i="6" a="1"/>
  <c r="BC870" i="6" s="1"/>
  <c r="BC871" i="6" a="1"/>
  <c r="BC871" i="6" s="1"/>
  <c r="BC872" i="6" a="1"/>
  <c r="BC872" i="6" s="1"/>
  <c r="BC873" i="6" a="1"/>
  <c r="BC873" i="6" s="1"/>
  <c r="BC874" i="6" a="1"/>
  <c r="BC874" i="6" s="1"/>
  <c r="BC875" i="6" a="1"/>
  <c r="BC875" i="6" s="1"/>
  <c r="BC876" i="6" a="1"/>
  <c r="BC876" i="6" s="1"/>
  <c r="BC877" i="6" a="1"/>
  <c r="BC877" i="6" s="1"/>
  <c r="BC878" i="6" a="1"/>
  <c r="BC878" i="6" s="1"/>
  <c r="BC879" i="6" a="1"/>
  <c r="BC879" i="6" s="1"/>
  <c r="BC880" i="6" a="1"/>
  <c r="BC880" i="6" s="1"/>
  <c r="BC881" i="6" a="1"/>
  <c r="BC881" i="6" s="1"/>
  <c r="BC882" i="6" a="1"/>
  <c r="BC882" i="6" s="1"/>
  <c r="BC883" i="6" a="1"/>
  <c r="BC883" i="6" s="1"/>
  <c r="BC884" i="6" a="1"/>
  <c r="BC884" i="6" s="1"/>
  <c r="BC885" i="6" a="1"/>
  <c r="BC885" i="6" s="1"/>
  <c r="BC886" i="6" a="1"/>
  <c r="BC886" i="6" s="1"/>
  <c r="BC887" i="6" a="1"/>
  <c r="BC887" i="6" s="1"/>
  <c r="BC888" i="6" a="1"/>
  <c r="BC888" i="6" s="1"/>
  <c r="BC889" i="6" a="1"/>
  <c r="BC889" i="6" s="1"/>
  <c r="BC890" i="6" a="1"/>
  <c r="BC890" i="6" s="1"/>
  <c r="BC891" i="6" a="1"/>
  <c r="BC891" i="6" s="1"/>
  <c r="BC892" i="6" a="1"/>
  <c r="BC892" i="6" s="1"/>
  <c r="BC893" i="6" a="1"/>
  <c r="BC893" i="6" s="1"/>
  <c r="BC894" i="6" a="1"/>
  <c r="BC894" i="6" s="1"/>
  <c r="BC895" i="6" a="1"/>
  <c r="BC895" i="6" s="1"/>
  <c r="BC896" i="6" a="1"/>
  <c r="BC896" i="6" s="1"/>
  <c r="BC897" i="6" a="1"/>
  <c r="BC897" i="6" s="1"/>
  <c r="BC898" i="6" a="1"/>
  <c r="BC898" i="6" s="1"/>
  <c r="BC899" i="6" a="1"/>
  <c r="BC899" i="6" s="1"/>
  <c r="BC900" i="6" a="1"/>
  <c r="BC900" i="6" s="1"/>
  <c r="BC901" i="6" a="1"/>
  <c r="BC901" i="6" s="1"/>
  <c r="BC902" i="6" a="1"/>
  <c r="BC902" i="6" s="1"/>
  <c r="BC903" i="6" a="1"/>
  <c r="BC903" i="6" s="1"/>
  <c r="BC904" i="6" a="1"/>
  <c r="BC904" i="6" s="1"/>
  <c r="BC905" i="6" a="1"/>
  <c r="BC905" i="6" s="1"/>
  <c r="BC906" i="6" a="1"/>
  <c r="BC906" i="6" s="1"/>
  <c r="BC907" i="6" a="1"/>
  <c r="BC907" i="6" s="1"/>
  <c r="BC908" i="6" a="1"/>
  <c r="BC908" i="6" s="1"/>
  <c r="BC909" i="6" a="1"/>
  <c r="BC909" i="6" s="1"/>
  <c r="BC910" i="6" a="1"/>
  <c r="BC910" i="6" s="1"/>
  <c r="BC911" i="6" a="1"/>
  <c r="BC911" i="6" s="1"/>
  <c r="BC912" i="6" a="1"/>
  <c r="BC912" i="6" s="1"/>
  <c r="BC913" i="6" a="1"/>
  <c r="BC913" i="6" s="1"/>
  <c r="BC914" i="6" a="1"/>
  <c r="BC914" i="6" s="1"/>
  <c r="BC915" i="6" a="1"/>
  <c r="BC915" i="6" s="1"/>
  <c r="BC916" i="6" a="1"/>
  <c r="BC916" i="6" s="1"/>
  <c r="BC917" i="6" a="1"/>
  <c r="BC917" i="6" s="1"/>
  <c r="BC918" i="6" a="1"/>
  <c r="BC918" i="6" s="1"/>
  <c r="BC919" i="6" a="1"/>
  <c r="BC919" i="6" s="1"/>
  <c r="BC920" i="6" a="1"/>
  <c r="BC920" i="6" s="1"/>
  <c r="BC921" i="6" a="1"/>
  <c r="BC921" i="6" s="1"/>
  <c r="BC922" i="6" a="1"/>
  <c r="BC922" i="6" s="1"/>
  <c r="BC923" i="6" a="1"/>
  <c r="BC923" i="6" s="1"/>
  <c r="BC924" i="6" a="1"/>
  <c r="BC924" i="6" s="1"/>
  <c r="BC925" i="6" a="1"/>
  <c r="BC925" i="6" s="1"/>
  <c r="BC926" i="6" a="1"/>
  <c r="BC926" i="6" s="1"/>
  <c r="BC927" i="6" a="1"/>
  <c r="BC927" i="6" s="1"/>
  <c r="BC928" i="6" a="1"/>
  <c r="BC928" i="6" s="1"/>
  <c r="BC929" i="6" a="1"/>
  <c r="BC929" i="6" s="1"/>
  <c r="BC930" i="6" a="1"/>
  <c r="BC930" i="6" s="1"/>
  <c r="BC931" i="6" a="1"/>
  <c r="BC931" i="6" s="1"/>
  <c r="BC932" i="6" a="1"/>
  <c r="BC932" i="6" s="1"/>
  <c r="BC933" i="6" a="1"/>
  <c r="BC933" i="6" s="1"/>
  <c r="BC934" i="6" a="1"/>
  <c r="BC934" i="6" s="1"/>
  <c r="BC935" i="6" a="1"/>
  <c r="BC935" i="6" s="1"/>
  <c r="BC936" i="6" a="1"/>
  <c r="BC936" i="6" s="1"/>
  <c r="BC937" i="6" a="1"/>
  <c r="BC937" i="6" s="1"/>
  <c r="BC938" i="6" a="1"/>
  <c r="BC938" i="6" s="1"/>
  <c r="BC939" i="6" a="1"/>
  <c r="BC939" i="6" s="1"/>
  <c r="BC940" i="6" a="1"/>
  <c r="BC940" i="6" s="1"/>
  <c r="BC941" i="6" a="1"/>
  <c r="BC941" i="6" s="1"/>
  <c r="BC942" i="6" a="1"/>
  <c r="BC942" i="6" s="1"/>
  <c r="BC943" i="6" a="1"/>
  <c r="BC943" i="6" s="1"/>
  <c r="BC944" i="6" a="1"/>
  <c r="BC944" i="6" s="1"/>
  <c r="BC945" i="6" a="1"/>
  <c r="BC945" i="6" s="1"/>
  <c r="BC946" i="6" a="1"/>
  <c r="BC946" i="6" s="1"/>
  <c r="BC947" i="6" a="1"/>
  <c r="BC947" i="6" s="1"/>
  <c r="BC948" i="6" a="1"/>
  <c r="BC948" i="6" s="1"/>
  <c r="BC949" i="6" a="1"/>
  <c r="BC949" i="6" s="1"/>
  <c r="BC950" i="6" a="1"/>
  <c r="BC950" i="6" s="1"/>
  <c r="BC951" i="6" a="1"/>
  <c r="BC951" i="6" s="1"/>
  <c r="BC952" i="6" a="1"/>
  <c r="BC952" i="6" s="1"/>
  <c r="BC953" i="6" a="1"/>
  <c r="BC953" i="6" s="1"/>
  <c r="BC954" i="6" a="1"/>
  <c r="BC954" i="6" s="1"/>
  <c r="BC955" i="6" a="1"/>
  <c r="BC955" i="6" s="1"/>
  <c r="BC956" i="6" a="1"/>
  <c r="BC956" i="6" s="1"/>
  <c r="BC957" i="6" a="1"/>
  <c r="BC957" i="6" s="1"/>
  <c r="BC958" i="6" a="1"/>
  <c r="BC958" i="6" s="1"/>
  <c r="BC959" i="6" a="1"/>
  <c r="BC959" i="6" s="1"/>
  <c r="BC960" i="6" a="1"/>
  <c r="BC960" i="6" s="1"/>
  <c r="BC961" i="6" a="1"/>
  <c r="BC961" i="6" s="1"/>
  <c r="BC962" i="6" a="1"/>
  <c r="BC962" i="6" s="1"/>
  <c r="BC963" i="6" a="1"/>
  <c r="BC963" i="6" s="1"/>
  <c r="BC964" i="6" a="1"/>
  <c r="BC964" i="6" s="1"/>
  <c r="BC965" i="6" a="1"/>
  <c r="BC965" i="6" s="1"/>
  <c r="BC966" i="6" a="1"/>
  <c r="BC966" i="6" s="1"/>
  <c r="BC967" i="6" a="1"/>
  <c r="BC967" i="6" s="1"/>
  <c r="BC968" i="6" a="1"/>
  <c r="BC968" i="6" s="1"/>
  <c r="BC969" i="6" a="1"/>
  <c r="BC969" i="6" s="1"/>
  <c r="BC970" i="6" a="1"/>
  <c r="BC970" i="6" s="1"/>
  <c r="BC971" i="6" a="1"/>
  <c r="BC971" i="6" s="1"/>
  <c r="BC972" i="6" a="1"/>
  <c r="BC972" i="6" s="1"/>
  <c r="BC973" i="6" a="1"/>
  <c r="BC973" i="6" s="1"/>
  <c r="BC974" i="6" a="1"/>
  <c r="BC974" i="6" s="1"/>
  <c r="BC975" i="6" a="1"/>
  <c r="BC975" i="6" s="1"/>
  <c r="BC976" i="6" a="1"/>
  <c r="BC976" i="6" s="1"/>
  <c r="BC977" i="6" a="1"/>
  <c r="BC977" i="6" s="1"/>
  <c r="BC978" i="6" a="1"/>
  <c r="BC978" i="6" s="1"/>
  <c r="BC979" i="6" a="1"/>
  <c r="BC979" i="6" s="1"/>
  <c r="BC980" i="6" a="1"/>
  <c r="BC980" i="6" s="1"/>
  <c r="BC981" i="6" a="1"/>
  <c r="BC981" i="6" s="1"/>
  <c r="BC982" i="6" a="1"/>
  <c r="BC982" i="6" s="1"/>
  <c r="BC983" i="6" a="1"/>
  <c r="BC983" i="6" s="1"/>
  <c r="BC984" i="6" a="1"/>
  <c r="BC984" i="6" s="1"/>
  <c r="BC985" i="6" a="1"/>
  <c r="BC985" i="6" s="1"/>
  <c r="BC986" i="6" a="1"/>
  <c r="BC986" i="6" s="1"/>
  <c r="BC987" i="6" a="1"/>
  <c r="BC987" i="6" s="1"/>
  <c r="BC988" i="6" a="1"/>
  <c r="BC988" i="6" s="1"/>
  <c r="BC989" i="6" a="1"/>
  <c r="BC989" i="6" s="1"/>
  <c r="BC990" i="6" a="1"/>
  <c r="BC990" i="6" s="1"/>
  <c r="BC991" i="6" a="1"/>
  <c r="BC991" i="6" s="1"/>
  <c r="BC992" i="6" a="1"/>
  <c r="BC992" i="6" s="1"/>
  <c r="BC993" i="6" a="1"/>
  <c r="BC993" i="6" s="1"/>
  <c r="BC994" i="6" a="1"/>
  <c r="BC994" i="6" s="1"/>
  <c r="BC995" i="6" a="1"/>
  <c r="BC995" i="6" s="1"/>
  <c r="BC996" i="6" a="1"/>
  <c r="BC996" i="6" s="1"/>
  <c r="BC997" i="6" a="1"/>
  <c r="BC997" i="6" s="1"/>
  <c r="BC998" i="6" a="1"/>
  <c r="BC998" i="6" s="1"/>
  <c r="BC999" i="6" a="1"/>
  <c r="BC999" i="6" s="1"/>
  <c r="BC1000" i="6" a="1"/>
  <c r="BC1000" i="6" s="1"/>
  <c r="BC1001" i="6" a="1"/>
  <c r="BC1001" i="6" s="1"/>
  <c r="BC1002" i="6" a="1"/>
  <c r="BC1002" i="6" s="1"/>
  <c r="BC1003" i="6" a="1"/>
  <c r="BC1003" i="6" s="1"/>
  <c r="BC1004" i="6" a="1"/>
  <c r="BC1004" i="6" s="1"/>
  <c r="BC1005" i="6" a="1"/>
  <c r="BC1005" i="6" s="1"/>
  <c r="BC1006" i="6" a="1"/>
  <c r="BC1006" i="6" s="1"/>
  <c r="BC1007" i="6" a="1"/>
  <c r="BC1007" i="6" s="1"/>
  <c r="BC1008" i="6" a="1"/>
  <c r="BC1008" i="6" s="1"/>
  <c r="BC1009" i="6" a="1"/>
  <c r="BC1009" i="6" s="1"/>
  <c r="BC1010" i="6" a="1"/>
  <c r="BC1010" i="6" s="1"/>
  <c r="BC1011" i="6" a="1"/>
  <c r="BC1011" i="6" s="1"/>
  <c r="BC1012" i="6" a="1"/>
  <c r="BC1012" i="6" s="1"/>
  <c r="BC1013" i="6" a="1"/>
  <c r="BC1013" i="6" s="1"/>
  <c r="BC1014" i="6" a="1"/>
  <c r="BC1014" i="6" s="1"/>
  <c r="BC1015" i="6" a="1"/>
  <c r="BC1015" i="6" s="1"/>
  <c r="BC1016" i="6" a="1"/>
  <c r="BC1016" i="6" s="1"/>
  <c r="BC1017" i="6" a="1"/>
  <c r="BC1017" i="6" s="1"/>
  <c r="BC1018" i="6" a="1"/>
  <c r="BC1018" i="6" s="1"/>
  <c r="BC1019" i="6" a="1"/>
  <c r="BC1019" i="6" s="1"/>
  <c r="BC1020" i="6" a="1"/>
  <c r="BC1020" i="6" s="1"/>
  <c r="BC1021" i="6" a="1"/>
  <c r="BC1021" i="6" s="1"/>
  <c r="BC1022" i="6" a="1"/>
  <c r="BC1022" i="6" s="1"/>
  <c r="BC1023" i="6" a="1"/>
  <c r="BC1023" i="6" s="1"/>
  <c r="BC1024" i="6" a="1"/>
  <c r="BC1024" i="6" s="1"/>
  <c r="BC1025" i="6" a="1"/>
  <c r="BC1025" i="6" s="1"/>
  <c r="BC1026" i="6" a="1"/>
  <c r="BC1026" i="6" s="1"/>
  <c r="BC1027" i="6" a="1"/>
  <c r="BC1027" i="6" s="1"/>
  <c r="BC1028" i="6" a="1"/>
  <c r="BC1028" i="6" s="1"/>
  <c r="BC1029" i="6" a="1"/>
  <c r="BC1029" i="6" s="1"/>
  <c r="BC1030" i="6" a="1"/>
  <c r="BC1030" i="6" s="1"/>
  <c r="BC1031" i="6" a="1"/>
  <c r="BC1031" i="6" s="1"/>
  <c r="BC1032" i="6" a="1"/>
  <c r="BC1032" i="6" s="1"/>
  <c r="BC1033" i="6" a="1"/>
  <c r="BC1033" i="6" s="1"/>
  <c r="BC1034" i="6" a="1"/>
  <c r="BC1034" i="6" s="1"/>
  <c r="BC1035" i="6" a="1"/>
  <c r="BC1035" i="6" s="1"/>
  <c r="BC1036" i="6" a="1"/>
  <c r="BC1036" i="6" s="1"/>
  <c r="BC1037" i="6" a="1"/>
  <c r="BC1037" i="6" s="1"/>
  <c r="BC1038" i="6" a="1"/>
  <c r="BC1038" i="6" s="1"/>
  <c r="BC1039" i="6" a="1"/>
  <c r="BC1039" i="6" s="1"/>
  <c r="BC1040" i="6" a="1"/>
  <c r="BC1040" i="6" s="1"/>
  <c r="BC1041" i="6" a="1"/>
  <c r="BC1041" i="6" s="1"/>
  <c r="BC1042" i="6" a="1"/>
  <c r="BC1042" i="6" s="1"/>
  <c r="BC1043" i="6" a="1"/>
  <c r="BC1043" i="6" s="1"/>
  <c r="BC1044" i="6" a="1"/>
  <c r="BC1044" i="6" s="1"/>
  <c r="BC1045" i="6" a="1"/>
  <c r="BC1045" i="6" s="1"/>
  <c r="BC1046" i="6" a="1"/>
  <c r="BC1046" i="6" s="1"/>
  <c r="BC1047" i="6" a="1"/>
  <c r="BC1047" i="6" s="1"/>
  <c r="BC1048" i="6" a="1"/>
  <c r="BC1048" i="6" s="1"/>
  <c r="BC1049" i="6" a="1"/>
  <c r="BC1049" i="6" s="1"/>
  <c r="BC1050" i="6" a="1"/>
  <c r="BC1050" i="6" s="1"/>
  <c r="BC1051" i="6" a="1"/>
  <c r="BC1051" i="6" s="1"/>
  <c r="BC1052" i="6" a="1"/>
  <c r="BC1052" i="6" s="1"/>
  <c r="BC1053" i="6" a="1"/>
  <c r="BC1053" i="6" s="1"/>
  <c r="BC1054" i="6" a="1"/>
  <c r="BC1054" i="6" s="1"/>
  <c r="BC1055" i="6" a="1"/>
  <c r="BC1055" i="6" s="1"/>
  <c r="BC1056" i="6" a="1"/>
  <c r="BC1056" i="6" s="1"/>
  <c r="BC1057" i="6" a="1"/>
  <c r="BC1057" i="6" s="1"/>
  <c r="BC1058" i="6" a="1"/>
  <c r="BC1058" i="6" s="1"/>
  <c r="BC1059" i="6" a="1"/>
  <c r="BC1059" i="6" s="1"/>
  <c r="BC1060" i="6" a="1"/>
  <c r="BC1060" i="6" s="1"/>
  <c r="BC1061" i="6" a="1"/>
  <c r="BC1061" i="6" s="1"/>
  <c r="BC1062" i="6" a="1"/>
  <c r="BC1062" i="6" s="1"/>
  <c r="BC1063" i="6" a="1"/>
  <c r="BC1063" i="6" s="1"/>
  <c r="BC1064" i="6" a="1"/>
  <c r="BC1064" i="6" s="1"/>
  <c r="BC1065" i="6" a="1"/>
  <c r="BC1065" i="6" s="1"/>
  <c r="BC1066" i="6" a="1"/>
  <c r="BC1066" i="6" s="1"/>
  <c r="BC1067" i="6" a="1"/>
  <c r="BC1067" i="6" s="1"/>
  <c r="BC1068" i="6" a="1"/>
  <c r="BC1068" i="6" s="1"/>
  <c r="BC1069" i="6" a="1"/>
  <c r="BC1069" i="6" s="1"/>
  <c r="BC1070" i="6" a="1"/>
  <c r="BC1070" i="6" s="1"/>
  <c r="BC1071" i="6" a="1"/>
  <c r="BC1071" i="6" s="1"/>
  <c r="BC1072" i="6" a="1"/>
  <c r="BC1072" i="6" s="1"/>
  <c r="BC1073" i="6" a="1"/>
  <c r="BC1073" i="6" s="1"/>
  <c r="BC1074" i="6" a="1"/>
  <c r="BC1074" i="6" s="1"/>
  <c r="BC1075" i="6" a="1"/>
  <c r="BC1075" i="6" s="1"/>
  <c r="BC1076" i="6" a="1"/>
  <c r="BC1076" i="6" s="1"/>
  <c r="BC1077" i="6" a="1"/>
  <c r="BC1077" i="6" s="1"/>
  <c r="BC1078" i="6" a="1"/>
  <c r="BC1078" i="6" s="1"/>
  <c r="BC1079" i="6" a="1"/>
  <c r="BC1079" i="6" s="1"/>
  <c r="BC1080" i="6" a="1"/>
  <c r="BC1080" i="6" s="1"/>
  <c r="BC1081" i="6" a="1"/>
  <c r="BC1081" i="6" s="1"/>
  <c r="BC1082" i="6" a="1"/>
  <c r="BC1082" i="6" s="1"/>
  <c r="BC1083" i="6" a="1"/>
  <c r="BC1083" i="6" s="1"/>
  <c r="BC1084" i="6" a="1"/>
  <c r="BC1084" i="6" s="1"/>
  <c r="BC1085" i="6" a="1"/>
  <c r="BC1085" i="6" s="1"/>
  <c r="BC1086" i="6" a="1"/>
  <c r="BC1086" i="6" s="1"/>
  <c r="BC1087" i="6" a="1"/>
  <c r="BC1087" i="6" s="1"/>
  <c r="BC1088" i="6" a="1"/>
  <c r="BC1088" i="6" s="1"/>
  <c r="BC1089" i="6" a="1"/>
  <c r="BC1089" i="6" s="1"/>
  <c r="BC1090" i="6" a="1"/>
  <c r="BC1090" i="6" s="1"/>
  <c r="BC1091" i="6" a="1"/>
  <c r="BC1091" i="6" s="1"/>
  <c r="BC1092" i="6" a="1"/>
  <c r="BC1092" i="6" s="1"/>
  <c r="BC1093" i="6" a="1"/>
  <c r="BC1093" i="6" s="1"/>
  <c r="BC1094" i="6" a="1"/>
  <c r="BC1094" i="6" s="1"/>
  <c r="BC1095" i="6" a="1"/>
  <c r="BC1095" i="6" s="1"/>
  <c r="BC1096" i="6" a="1"/>
  <c r="BC1096" i="6" s="1"/>
  <c r="BC1097" i="6" a="1"/>
  <c r="BC1097" i="6" s="1"/>
  <c r="BC1098" i="6" a="1"/>
  <c r="BC1098" i="6" s="1"/>
  <c r="BC1099" i="6" a="1"/>
  <c r="BC1099" i="6" s="1"/>
  <c r="BC1100" i="6" a="1"/>
  <c r="BC1100" i="6" s="1"/>
  <c r="BC1101" i="6" a="1"/>
  <c r="BC1101" i="6" s="1"/>
  <c r="BC1102" i="6" a="1"/>
  <c r="BC1102" i="6" s="1"/>
  <c r="BC1103" i="6" a="1"/>
  <c r="BC1103" i="6" s="1"/>
  <c r="BC1104" i="6" a="1"/>
  <c r="BC1104" i="6" s="1"/>
  <c r="BC1105" i="6" a="1"/>
  <c r="BC1105" i="6" s="1"/>
  <c r="BC1106" i="6" a="1"/>
  <c r="BC1106" i="6" s="1"/>
  <c r="BC1107" i="6" a="1"/>
  <c r="BC1107" i="6" s="1"/>
  <c r="BC1108" i="6" a="1"/>
  <c r="BC1108" i="6" s="1"/>
  <c r="BC1109" i="6" a="1"/>
  <c r="BC1109" i="6" s="1"/>
  <c r="BC1110" i="6" a="1"/>
  <c r="BC1110" i="6" s="1"/>
  <c r="BC1111" i="6" a="1"/>
  <c r="BC1111" i="6" s="1"/>
  <c r="BC1112" i="6" a="1"/>
  <c r="BC1112" i="6" s="1"/>
  <c r="BC1113" i="6" a="1"/>
  <c r="BC1113" i="6" s="1"/>
  <c r="BC1114" i="6" a="1"/>
  <c r="BC1114" i="6" s="1"/>
  <c r="BC1115" i="6" a="1"/>
  <c r="BC1115" i="6" s="1"/>
  <c r="BC1116" i="6" a="1"/>
  <c r="BC1116" i="6" s="1"/>
  <c r="BC1117" i="6" a="1"/>
  <c r="BC1117" i="6" s="1"/>
  <c r="BC1118" i="6" a="1"/>
  <c r="BC1118" i="6" s="1"/>
  <c r="BC1119" i="6" a="1"/>
  <c r="BC1119" i="6" s="1"/>
  <c r="BC1120" i="6" a="1"/>
  <c r="BC1120" i="6" s="1"/>
  <c r="BC1121" i="6" a="1"/>
  <c r="BC1121" i="6" s="1"/>
  <c r="BC1122" i="6" a="1"/>
  <c r="BC1122" i="6" s="1"/>
  <c r="BC1123" i="6" a="1"/>
  <c r="BC1123" i="6" s="1"/>
  <c r="BC1124" i="6" a="1"/>
  <c r="BC1124" i="6" s="1"/>
  <c r="BC1125" i="6" a="1"/>
  <c r="BC1125" i="6" s="1"/>
  <c r="BC1126" i="6" a="1"/>
  <c r="BC1126" i="6" s="1"/>
  <c r="BC1127" i="6" a="1"/>
  <c r="BC1127" i="6" s="1"/>
  <c r="BC1128" i="6" a="1"/>
  <c r="BC1128" i="6" s="1"/>
  <c r="BC1129" i="6" a="1"/>
  <c r="BC1129" i="6" s="1"/>
  <c r="BC1130" i="6" a="1"/>
  <c r="BC1130" i="6" s="1"/>
  <c r="BC1131" i="6" a="1"/>
  <c r="BC1131" i="6" s="1"/>
  <c r="BC1132" i="6" a="1"/>
  <c r="BC1132" i="6" s="1"/>
  <c r="BC1133" i="6" a="1"/>
  <c r="BC1133" i="6" s="1"/>
  <c r="BC1134" i="6" a="1"/>
  <c r="BC1134" i="6" s="1"/>
  <c r="BC1135" i="6" a="1"/>
  <c r="BC1135" i="6" s="1"/>
  <c r="BC1136" i="6" a="1"/>
  <c r="BC1136" i="6" s="1"/>
  <c r="BC1137" i="6" a="1"/>
  <c r="BC1137" i="6" s="1"/>
  <c r="BC1138" i="6" a="1"/>
  <c r="BC1138" i="6" s="1"/>
  <c r="BC1139" i="6" a="1"/>
  <c r="BC1139" i="6" s="1"/>
  <c r="BC1140" i="6" a="1"/>
  <c r="BC1140" i="6" s="1"/>
  <c r="BC1141" i="6" a="1"/>
  <c r="BC1141" i="6" s="1"/>
  <c r="BC1142" i="6" a="1"/>
  <c r="BC1142" i="6" s="1"/>
  <c r="BC1143" i="6" a="1"/>
  <c r="BC1143" i="6" s="1"/>
  <c r="BC1144" i="6" a="1"/>
  <c r="BC1144" i="6" s="1"/>
  <c r="BC1145" i="6" a="1"/>
  <c r="BC1145" i="6" s="1"/>
  <c r="BC1146" i="6" a="1"/>
  <c r="BC1146" i="6" s="1"/>
  <c r="BC1147" i="6" a="1"/>
  <c r="BC1147" i="6" s="1"/>
  <c r="BC1148" i="6" a="1"/>
  <c r="BC1148" i="6" s="1"/>
  <c r="BC1149" i="6" a="1"/>
  <c r="BC1149" i="6" s="1"/>
  <c r="BC1150" i="6" a="1"/>
  <c r="BC1150" i="6" s="1"/>
  <c r="BC1151" i="6" a="1"/>
  <c r="BC1151" i="6" s="1"/>
  <c r="BC1152" i="6" a="1"/>
  <c r="BC1152" i="6" s="1"/>
  <c r="BC1153" i="6" a="1"/>
  <c r="BC1153" i="6" s="1"/>
  <c r="BC1154" i="6" a="1"/>
  <c r="BC1154" i="6" s="1"/>
  <c r="BC1155" i="6" a="1"/>
  <c r="BC1155" i="6" s="1"/>
  <c r="BC1156" i="6" a="1"/>
  <c r="BC1156" i="6" s="1"/>
  <c r="BC1157" i="6" a="1"/>
  <c r="BC1157" i="6" s="1"/>
  <c r="BC1158" i="6" a="1"/>
  <c r="BC1158" i="6"/>
  <c r="BC1159" i="6" a="1"/>
  <c r="BC1159" i="6"/>
  <c r="BC1160" i="6" a="1"/>
  <c r="BC1160" i="6"/>
  <c r="BC1161" i="6" a="1"/>
  <c r="BC1161" i="6"/>
  <c r="BC1162" i="6" a="1"/>
  <c r="BC1162" i="6"/>
  <c r="BC1163" i="6" a="1"/>
  <c r="BC1163" i="6"/>
  <c r="BC1164" i="6" a="1"/>
  <c r="BC1164" i="6"/>
  <c r="BC1165" i="6" a="1"/>
  <c r="BC1165" i="6"/>
  <c r="BC1166" i="6" a="1"/>
  <c r="BC1166" i="6"/>
  <c r="BC1167" i="6" a="1"/>
  <c r="BC1167" i="6"/>
  <c r="BC1168" i="6" a="1"/>
  <c r="BC1168" i="6"/>
  <c r="BC1169" i="6" a="1"/>
  <c r="BC1169" i="6"/>
  <c r="BC1170" i="6" a="1"/>
  <c r="BC1170" i="6"/>
  <c r="BC1171" i="6" a="1"/>
  <c r="BC1171" i="6"/>
  <c r="BC1172" i="6" a="1"/>
  <c r="BC1172" i="6"/>
  <c r="BC1173" i="6" a="1"/>
  <c r="BC1173" i="6"/>
  <c r="BC1174" i="6" a="1"/>
  <c r="BC1174" i="6"/>
  <c r="BC1175" i="6" a="1"/>
  <c r="BC1175" i="6"/>
  <c r="BC1176" i="6" a="1"/>
  <c r="BC1176" i="6"/>
  <c r="BC1177" i="6" a="1"/>
  <c r="BC1177" i="6"/>
  <c r="BC1178" i="6" a="1"/>
  <c r="BC1178" i="6"/>
  <c r="BC1179" i="6" a="1"/>
  <c r="BC1179" i="6"/>
  <c r="BC1180" i="6" a="1"/>
  <c r="BC1180" i="6"/>
  <c r="BC1181" i="6" a="1"/>
  <c r="BC1181" i="6"/>
  <c r="BC1182" i="6" a="1"/>
  <c r="BC1182" i="6"/>
  <c r="BC1183" i="6" a="1"/>
  <c r="BC1183" i="6"/>
  <c r="BC1184" i="6" a="1"/>
  <c r="BC1184" i="6"/>
  <c r="BC1185" i="6" a="1"/>
  <c r="BC1185" i="6"/>
  <c r="BC1186" i="6" a="1"/>
  <c r="BC1186" i="6"/>
  <c r="BC1187" i="6" a="1"/>
  <c r="BC1187" i="6"/>
  <c r="BC1188" i="6" a="1"/>
  <c r="BC1188" i="6"/>
  <c r="BC1189" i="6" a="1"/>
  <c r="BC1189" i="6"/>
  <c r="BC1190" i="6" a="1"/>
  <c r="BC1190" i="6"/>
  <c r="BC1191" i="6" a="1"/>
  <c r="BC1191" i="6"/>
  <c r="BC1192" i="6" a="1"/>
  <c r="BC1192" i="6"/>
  <c r="BC1193" i="6" a="1"/>
  <c r="BC1193" i="6"/>
  <c r="BC1194" i="6" a="1"/>
  <c r="BC1194" i="6"/>
  <c r="BC1195" i="6" a="1"/>
  <c r="BC1195" i="6"/>
  <c r="BC1196" i="6" a="1"/>
  <c r="BC1196" i="6"/>
  <c r="BC1197" i="6" a="1"/>
  <c r="BC1197" i="6"/>
  <c r="BC1198" i="6" a="1"/>
  <c r="BC1198" i="6"/>
  <c r="BC1199" i="6" a="1"/>
  <c r="BC1199" i="6"/>
  <c r="BC1200" i="6" a="1"/>
  <c r="BC1200" i="6"/>
  <c r="BC1201" i="6" a="1"/>
  <c r="BC1201" i="6"/>
  <c r="BC1202" i="6" a="1"/>
  <c r="BC1202" i="6"/>
  <c r="BC1203" i="6" a="1"/>
  <c r="BC1203" i="6"/>
  <c r="BC1204" i="6" a="1"/>
  <c r="BC1204" i="6"/>
  <c r="BC1205" i="6" a="1"/>
  <c r="BC1205" i="6"/>
  <c r="BC1206" i="6" a="1"/>
  <c r="BC1206" i="6"/>
  <c r="BC1207" i="6" a="1"/>
  <c r="BC1207" i="6"/>
  <c r="BC1208" i="6" a="1"/>
  <c r="BC1208" i="6"/>
  <c r="BC1209" i="6" a="1"/>
  <c r="BC1209" i="6"/>
  <c r="BC1210" i="6" a="1"/>
  <c r="BC1210" i="6"/>
  <c r="BC1211" i="6" a="1"/>
  <c r="BC1211" i="6"/>
  <c r="BC1212" i="6" a="1"/>
  <c r="BC1212" i="6"/>
  <c r="BC1213" i="6" a="1"/>
  <c r="BC1213" i="6"/>
  <c r="BC1214" i="6" a="1"/>
  <c r="BC1214" i="6"/>
  <c r="BC1215" i="6" a="1"/>
  <c r="BC1215" i="6"/>
  <c r="BC1216" i="6" a="1"/>
  <c r="BC1216" i="6"/>
  <c r="BC1217" i="6" a="1"/>
  <c r="BC1217" i="6"/>
  <c r="BC1218" i="6" a="1"/>
  <c r="BC1218" i="6"/>
  <c r="BC1219" i="6" a="1"/>
  <c r="BC1219" i="6"/>
  <c r="BC1220" i="6" a="1"/>
  <c r="BC1220" i="6"/>
  <c r="BC1221" i="6" a="1"/>
  <c r="BC1221" i="6"/>
  <c r="BC1222" i="6" a="1"/>
  <c r="BC1222" i="6"/>
  <c r="BC1223" i="6" a="1"/>
  <c r="BC1223" i="6"/>
  <c r="BC1224" i="6" a="1"/>
  <c r="BC1224" i="6"/>
  <c r="BC1225" i="6" a="1"/>
  <c r="BC1225" i="6"/>
  <c r="BC1226" i="6" a="1"/>
  <c r="BC1226" i="6"/>
  <c r="BC1227" i="6" a="1"/>
  <c r="BC1227" i="6"/>
  <c r="BC1228" i="6" a="1"/>
  <c r="BC1228" i="6"/>
  <c r="BC1229" i="6" a="1"/>
  <c r="BC1229" i="6"/>
  <c r="BC1230" i="6" a="1"/>
  <c r="BC1230" i="6"/>
  <c r="BC1231" i="6" a="1"/>
  <c r="BC1231" i="6"/>
  <c r="BC1232" i="6" a="1"/>
  <c r="BC1232" i="6"/>
  <c r="BC1233" i="6" a="1"/>
  <c r="BC1233" i="6"/>
  <c r="BC1234" i="6" a="1"/>
  <c r="BC1234" i="6"/>
  <c r="BC1235" i="6" a="1"/>
  <c r="BC1235" i="6"/>
  <c r="BC1236" i="6" a="1"/>
  <c r="BC1236" i="6"/>
  <c r="BC1237" i="6" a="1"/>
  <c r="BC1237" i="6"/>
  <c r="BC1238" i="6" a="1"/>
  <c r="BC1238" i="6"/>
  <c r="BC1239" i="6" a="1"/>
  <c r="BC1239" i="6"/>
  <c r="BC1240" i="6" a="1"/>
  <c r="BC1240" i="6"/>
  <c r="BC1241" i="6" a="1"/>
  <c r="BC1241" i="6"/>
  <c r="BC1242" i="6" a="1"/>
  <c r="BC1242" i="6"/>
  <c r="BC1243" i="6" a="1"/>
  <c r="BC1243" i="6"/>
  <c r="BC1244" i="6" a="1"/>
  <c r="BC1244" i="6"/>
  <c r="BC1245" i="6" a="1"/>
  <c r="BC1245" i="6"/>
  <c r="BC1246" i="6" a="1"/>
  <c r="BC1246" i="6"/>
  <c r="BC1247" i="6" a="1"/>
  <c r="BC1247" i="6"/>
  <c r="BC1248" i="6" a="1"/>
  <c r="BC1248" i="6"/>
  <c r="BC1249" i="6" a="1"/>
  <c r="BC1249" i="6"/>
  <c r="BC1250" i="6" a="1"/>
  <c r="BC1250" i="6"/>
  <c r="BC1251" i="6" a="1"/>
  <c r="BC1251" i="6"/>
  <c r="BC1252" i="6" a="1"/>
  <c r="BC1252" i="6"/>
  <c r="BC1253" i="6" a="1"/>
  <c r="BC1253" i="6"/>
  <c r="BC1254" i="6" a="1"/>
  <c r="BC1254" i="6"/>
  <c r="BC1255" i="6" a="1"/>
  <c r="BC1255" i="6"/>
  <c r="BC1256" i="6" a="1"/>
  <c r="BC1256" i="6"/>
  <c r="BC1257" i="6" a="1"/>
  <c r="BC1257" i="6"/>
  <c r="BC1258" i="6" a="1"/>
  <c r="BC1258" i="6"/>
  <c r="BC1259" i="6" a="1"/>
  <c r="BC1259" i="6"/>
  <c r="BC1260" i="6" a="1"/>
  <c r="BC1260" i="6"/>
  <c r="BC1261" i="6" a="1"/>
  <c r="BC1261" i="6"/>
  <c r="BC1262" i="6" a="1"/>
  <c r="BC1262" i="6"/>
  <c r="BC1263" i="6" a="1"/>
  <c r="BC1263" i="6"/>
  <c r="BC1264" i="6" a="1"/>
  <c r="BC1264" i="6"/>
  <c r="BC1265" i="6" a="1"/>
  <c r="BC1265" i="6"/>
  <c r="BC1266" i="6" a="1"/>
  <c r="BC1266" i="6"/>
  <c r="BC1267" i="6" a="1"/>
  <c r="BC1267" i="6"/>
  <c r="BC1268" i="6" a="1"/>
  <c r="BC1268" i="6"/>
  <c r="BC1269" i="6" a="1"/>
  <c r="BC1269" i="6"/>
  <c r="BC1270" i="6" a="1"/>
  <c r="BC1270" i="6"/>
  <c r="BC1271" i="6" a="1"/>
  <c r="BC1271" i="6"/>
  <c r="BC1272" i="6" a="1"/>
  <c r="BC1272" i="6"/>
  <c r="BC1273" i="6" a="1"/>
  <c r="BC1273" i="6"/>
  <c r="BC1274" i="6" a="1"/>
  <c r="BC1274" i="6"/>
  <c r="BC1275" i="6" a="1"/>
  <c r="BC1275" i="6"/>
  <c r="BC1276" i="6" a="1"/>
  <c r="BC1276" i="6"/>
  <c r="BC1277" i="6" a="1"/>
  <c r="BC1277" i="6"/>
  <c r="BC1278" i="6" a="1"/>
  <c r="BC1278" i="6"/>
  <c r="BC1279" i="6" a="1"/>
  <c r="BC1279" i="6"/>
  <c r="BC1280" i="6" a="1"/>
  <c r="BC1280" i="6"/>
  <c r="BC1281" i="6" a="1"/>
  <c r="BC1281" i="6"/>
  <c r="BC1282" i="6" a="1"/>
  <c r="BC1282" i="6"/>
  <c r="BC1283" i="6" a="1"/>
  <c r="BC1283" i="6"/>
  <c r="BC1284" i="6" a="1"/>
  <c r="BC1284" i="6"/>
  <c r="BC1285" i="6" a="1"/>
  <c r="BC1285" i="6"/>
  <c r="BC1286" i="6" a="1"/>
  <c r="BC1286" i="6"/>
  <c r="BC1287" i="6" a="1"/>
  <c r="BC1287" i="6"/>
  <c r="BC1288" i="6" a="1"/>
  <c r="BC1288" i="6"/>
  <c r="BC1289" i="6" a="1"/>
  <c r="BC1289" i="6"/>
  <c r="BC1290" i="6" a="1"/>
  <c r="BC1290" i="6"/>
  <c r="BC1291" i="6" a="1"/>
  <c r="BC1291" i="6"/>
  <c r="BC1292" i="6" a="1"/>
  <c r="BC1292" i="6"/>
  <c r="BC1293" i="6" a="1"/>
  <c r="BC1293" i="6"/>
  <c r="BC1294" i="6" a="1"/>
  <c r="BC1294" i="6"/>
  <c r="BC1295" i="6" a="1"/>
  <c r="BC1295" i="6"/>
  <c r="BC1296" i="6" a="1"/>
  <c r="BC1296" i="6"/>
  <c r="BC1297" i="6" a="1"/>
  <c r="BC1297" i="6"/>
  <c r="BC1298" i="6" a="1"/>
  <c r="BC1298" i="6"/>
  <c r="BC1299" i="6" a="1"/>
  <c r="BC1299" i="6"/>
  <c r="BC1300" i="6" a="1"/>
  <c r="BC1300" i="6"/>
  <c r="BC1301" i="6" a="1"/>
  <c r="BC1301" i="6"/>
  <c r="BC1302" i="6" a="1"/>
  <c r="BC1302" i="6"/>
  <c r="BC1303" i="6" a="1"/>
  <c r="BC1303" i="6"/>
  <c r="BC1304" i="6" a="1"/>
  <c r="BC1304" i="6"/>
  <c r="BC1305" i="6" a="1"/>
  <c r="BC1305" i="6"/>
  <c r="BC1306" i="6" a="1"/>
  <c r="BC1306" i="6"/>
  <c r="BC1307" i="6" a="1"/>
  <c r="BC1307" i="6"/>
  <c r="BC1308" i="6" a="1"/>
  <c r="BC1308" i="6"/>
  <c r="BC1309" i="6" a="1"/>
  <c r="BC1309" i="6"/>
  <c r="BC1310" i="6" a="1"/>
  <c r="BC1310" i="6"/>
  <c r="BC1311" i="6" a="1"/>
  <c r="BC1311" i="6"/>
  <c r="BC1312" i="6" a="1"/>
  <c r="BC1312" i="6"/>
  <c r="BC1313" i="6" a="1"/>
  <c r="BC1313" i="6"/>
  <c r="BC1314" i="6" a="1"/>
  <c r="BC1314" i="6"/>
  <c r="BC1315" i="6" a="1"/>
  <c r="BC1315" i="6"/>
  <c r="BC1316" i="6" a="1"/>
  <c r="BC1316" i="6" s="1"/>
  <c r="BC1317" i="6" a="1"/>
  <c r="BC1317" i="6"/>
  <c r="BC1318" i="6" a="1"/>
  <c r="BC1318" i="6" s="1"/>
  <c r="BC1319" i="6" a="1"/>
  <c r="BC1319" i="6"/>
  <c r="BC1320" i="6" a="1"/>
  <c r="BC1320" i="6" s="1"/>
  <c r="BC1321" i="6" a="1"/>
  <c r="BC1321" i="6"/>
  <c r="BC1322" i="6" a="1"/>
  <c r="BC1322" i="6" s="1"/>
  <c r="BC1323" i="6" a="1"/>
  <c r="BC1323" i="6"/>
  <c r="BC1324" i="6" a="1"/>
  <c r="BC1324" i="6" s="1"/>
  <c r="BC1325" i="6" a="1"/>
  <c r="BC1325" i="6"/>
  <c r="BC1326" i="6" a="1"/>
  <c r="BC1326" i="6" s="1"/>
  <c r="BC1327" i="6" a="1"/>
  <c r="BC1327" i="6"/>
  <c r="BC1328" i="6" a="1"/>
  <c r="BC1328" i="6" s="1"/>
  <c r="BC1329" i="6" a="1"/>
  <c r="BC1329" i="6"/>
  <c r="BC1330" i="6" a="1"/>
  <c r="BC1330" i="6" s="1"/>
  <c r="BC1331" i="6" a="1"/>
  <c r="BC1331" i="6"/>
  <c r="BC1332" i="6" a="1"/>
  <c r="BC1332" i="6" s="1"/>
  <c r="BC1333" i="6" a="1"/>
  <c r="BC1333" i="6"/>
  <c r="BC1334" i="6" a="1"/>
  <c r="BC1334" i="6" s="1"/>
  <c r="BC1335" i="6" a="1"/>
  <c r="BC1335" i="6" s="1"/>
  <c r="BC1336" i="6" a="1"/>
  <c r="BC1336" i="6" s="1"/>
  <c r="BC1337" i="6" a="1"/>
  <c r="BC1337" i="6" s="1"/>
  <c r="BC1338" i="6" a="1"/>
  <c r="BC1338" i="6" s="1"/>
  <c r="BC1339" i="6" a="1"/>
  <c r="BC1339" i="6"/>
  <c r="BC1340" i="6" a="1"/>
  <c r="BC1340" i="6" s="1"/>
  <c r="BC1341" i="6" a="1"/>
  <c r="BC1341" i="6" s="1"/>
  <c r="BC1342" i="6" a="1"/>
  <c r="BC1342" i="6" s="1"/>
  <c r="BC1343" i="6" a="1"/>
  <c r="BC1343" i="6"/>
  <c r="BC1344" i="6" a="1"/>
  <c r="BC1344" i="6" s="1"/>
  <c r="BC1345" i="6" a="1"/>
  <c r="BC1345" i="6" s="1"/>
  <c r="BC1346" i="6" a="1"/>
  <c r="BC1346" i="6" s="1"/>
  <c r="BC1347" i="6" a="1"/>
  <c r="BC1347" i="6"/>
  <c r="BC1348" i="6" a="1"/>
  <c r="BC1348" i="6" s="1"/>
  <c r="BC1349" i="6" a="1"/>
  <c r="BC1349" i="6" s="1"/>
  <c r="BC1350" i="6" a="1"/>
  <c r="BC1350" i="6" s="1"/>
  <c r="BC1351" i="6" a="1"/>
  <c r="BC1351" i="6"/>
  <c r="BC1352" i="6" a="1"/>
  <c r="BC1352" i="6" s="1"/>
  <c r="BC1353" i="6" a="1"/>
  <c r="BC1353" i="6" s="1"/>
  <c r="BC1354" i="6" a="1"/>
  <c r="BC1354" i="6" s="1"/>
  <c r="BC1355" i="6" a="1"/>
  <c r="BC1355" i="6"/>
  <c r="BC1356" i="6" a="1"/>
  <c r="BC1356" i="6" s="1"/>
  <c r="BC1357" i="6" a="1"/>
  <c r="BC1357" i="6" s="1"/>
  <c r="BC1358" i="6" a="1"/>
  <c r="BC1358" i="6" s="1"/>
  <c r="BC1359" i="6" a="1"/>
  <c r="BC1359" i="6"/>
  <c r="BC1360" i="6" a="1"/>
  <c r="BC1360" i="6" s="1"/>
  <c r="BC1361" i="6" a="1"/>
  <c r="BC1361" i="6" s="1"/>
  <c r="BC1362" i="6" a="1"/>
  <c r="BC1362" i="6" s="1"/>
  <c r="BC1363" i="6" a="1"/>
  <c r="BC1363" i="6"/>
  <c r="BC1364" i="6" a="1"/>
  <c r="BC1364" i="6" s="1"/>
  <c r="BC1365" i="6" a="1"/>
  <c r="BC1365" i="6" s="1"/>
  <c r="BC1366" i="6" a="1"/>
  <c r="BC1366" i="6" s="1"/>
  <c r="BC1367" i="6" a="1"/>
  <c r="BC1367" i="6"/>
  <c r="BC1368" i="6" a="1"/>
  <c r="BC1368" i="6" s="1"/>
  <c r="BC1369" i="6" a="1"/>
  <c r="BC1369" i="6" s="1"/>
  <c r="BC1370" i="6" a="1"/>
  <c r="BC1370" i="6" s="1"/>
  <c r="BC1371" i="6" a="1"/>
  <c r="BC1371" i="6"/>
  <c r="BC1372" i="6" a="1"/>
  <c r="BC1372" i="6" s="1"/>
  <c r="BC1373" i="6" a="1"/>
  <c r="BC1373" i="6" s="1"/>
  <c r="BC1374" i="6" a="1"/>
  <c r="BC1374" i="6" s="1"/>
  <c r="BC1375" i="6" a="1"/>
  <c r="BC1375" i="6"/>
  <c r="BC1376" i="6" a="1"/>
  <c r="BC1376" i="6" s="1"/>
  <c r="BC1377" i="6" a="1"/>
  <c r="BC1377" i="6" s="1"/>
  <c r="BC1378" i="6" a="1"/>
  <c r="BC1378" i="6" s="1"/>
  <c r="BC1379" i="6" a="1"/>
  <c r="BC1379" i="6"/>
  <c r="BC1380" i="6" a="1"/>
  <c r="BC1380" i="6" s="1"/>
  <c r="BC1381" i="6" a="1"/>
  <c r="BC1381" i="6" s="1"/>
  <c r="BC1382" i="6" a="1"/>
  <c r="BC1382" i="6" s="1"/>
  <c r="BC1383" i="6" a="1"/>
  <c r="BC1383" i="6"/>
  <c r="BC1384" i="6" a="1"/>
  <c r="BC1384" i="6" s="1"/>
  <c r="BC1385" i="6" a="1"/>
  <c r="BC1385" i="6" s="1"/>
  <c r="BC1386" i="6" a="1"/>
  <c r="BC1386" i="6" s="1"/>
  <c r="BC1387" i="6" a="1"/>
  <c r="BC1387" i="6"/>
  <c r="BC1388" i="6" a="1"/>
  <c r="BC1388" i="6" s="1"/>
  <c r="BC1389" i="6" a="1"/>
  <c r="BC1389" i="6" s="1"/>
  <c r="BC1390" i="6" a="1"/>
  <c r="BC1390" i="6" s="1"/>
  <c r="BC1391" i="6" a="1"/>
  <c r="BC1391" i="6"/>
  <c r="BC1392" i="6" a="1"/>
  <c r="BC1392" i="6" s="1"/>
  <c r="BC1393" i="6" a="1"/>
  <c r="BC1393" i="6" s="1"/>
  <c r="BC1394" i="6" a="1"/>
  <c r="BC1394" i="6" s="1"/>
  <c r="BC1395" i="6" a="1"/>
  <c r="BC1395" i="6"/>
  <c r="BC1396" i="6" a="1"/>
  <c r="BC1396" i="6" s="1"/>
  <c r="BC1397" i="6" a="1"/>
  <c r="BC1397" i="6" s="1"/>
  <c r="BC1398" i="6" a="1"/>
  <c r="BC1398" i="6" s="1"/>
  <c r="BC1399" i="6" a="1"/>
  <c r="BC1399" i="6"/>
  <c r="BC1400" i="6" a="1"/>
  <c r="BC1400" i="6" s="1"/>
  <c r="BC1401" i="6" a="1"/>
  <c r="BC1401" i="6" s="1"/>
  <c r="BC1402" i="6" a="1"/>
  <c r="BC1402" i="6" s="1"/>
  <c r="BC1403" i="6" a="1"/>
  <c r="BC1403" i="6"/>
  <c r="BC1404" i="6" a="1"/>
  <c r="BC1404" i="6" s="1"/>
  <c r="BC1405" i="6" a="1"/>
  <c r="BC1405" i="6" s="1"/>
  <c r="BC1406" i="6" a="1"/>
  <c r="BC1406" i="6" s="1"/>
  <c r="BC1407" i="6" a="1"/>
  <c r="BC1407" i="6"/>
  <c r="BC1408" i="6" a="1"/>
  <c r="BC1408" i="6" s="1"/>
  <c r="BC1409" i="6" a="1"/>
  <c r="BC1409" i="6" s="1"/>
  <c r="BC1410" i="6" a="1"/>
  <c r="BC1410" i="6" s="1"/>
  <c r="BC1411" i="6" a="1"/>
  <c r="BC1411" i="6"/>
  <c r="BC1412" i="6" a="1"/>
  <c r="BC1412" i="6" s="1"/>
  <c r="BC1413" i="6" a="1"/>
  <c r="BC1413" i="6" s="1"/>
  <c r="BC1414" i="6" a="1"/>
  <c r="BC1414" i="6" s="1"/>
  <c r="BC1415" i="6" a="1"/>
  <c r="BC1415" i="6"/>
  <c r="BC1416" i="6" a="1"/>
  <c r="BC1416" i="6" s="1"/>
  <c r="BC1417" i="6" a="1"/>
  <c r="BC1417" i="6" s="1"/>
  <c r="BC1418" i="6" a="1"/>
  <c r="BC1418" i="6" s="1"/>
  <c r="BC1419" i="6" a="1"/>
  <c r="BC1419" i="6"/>
  <c r="BC1420" i="6" a="1"/>
  <c r="BC1420" i="6" s="1"/>
  <c r="BC1421" i="6" a="1"/>
  <c r="BC1421" i="6" s="1"/>
  <c r="BC1422" i="6" a="1"/>
  <c r="BC1422" i="6" s="1"/>
  <c r="BC1423" i="6" a="1"/>
  <c r="BC1423" i="6"/>
  <c r="BC1424" i="6" a="1"/>
  <c r="BC1424" i="6" s="1"/>
  <c r="BC1425" i="6" a="1"/>
  <c r="BC1425" i="6" s="1"/>
  <c r="BC1426" i="6" a="1"/>
  <c r="BC1426" i="6" s="1"/>
  <c r="BC1427" i="6" a="1"/>
  <c r="BC1427" i="6"/>
  <c r="BC1428" i="6" a="1"/>
  <c r="BC1428" i="6" s="1"/>
  <c r="BC1429" i="6" a="1"/>
  <c r="BC1429" i="6" s="1"/>
  <c r="BC1430" i="6" a="1"/>
  <c r="BC1430" i="6" s="1"/>
  <c r="BC1431" i="6" a="1"/>
  <c r="BC1431" i="6"/>
  <c r="BC1432" i="6" a="1"/>
  <c r="BC1432" i="6" s="1"/>
  <c r="BC1433" i="6" a="1"/>
  <c r="BC1433" i="6" s="1"/>
  <c r="BC1434" i="6" a="1"/>
  <c r="BC1434" i="6" s="1"/>
  <c r="BC1435" i="6" a="1"/>
  <c r="BC1435" i="6"/>
  <c r="BC1436" i="6" a="1"/>
  <c r="BC1436" i="6" s="1"/>
  <c r="BC1437" i="6" a="1"/>
  <c r="BC1437" i="6" s="1"/>
  <c r="BC1438" i="6" a="1"/>
  <c r="BC1438" i="6" s="1"/>
  <c r="BC1439" i="6" a="1"/>
  <c r="BC1439" i="6"/>
  <c r="BC1440" i="6" a="1"/>
  <c r="BC1440" i="6" s="1"/>
  <c r="BC1441" i="6" a="1"/>
  <c r="BC1441" i="6" s="1"/>
  <c r="BC1442" i="6" a="1"/>
  <c r="BC1442" i="6" s="1"/>
  <c r="BC1443" i="6" a="1"/>
  <c r="BC1443" i="6"/>
  <c r="BC1444" i="6" a="1"/>
  <c r="BC1444" i="6" s="1"/>
  <c r="BC1445" i="6" a="1"/>
  <c r="BC1445" i="6" s="1"/>
  <c r="BC1446" i="6" a="1"/>
  <c r="BC1446" i="6" s="1"/>
  <c r="BC1447" i="6" a="1"/>
  <c r="BC1447" i="6"/>
  <c r="BC1448" i="6" a="1"/>
  <c r="BC1448" i="6" s="1"/>
  <c r="BC1449" i="6" a="1"/>
  <c r="BC1449" i="6" s="1"/>
  <c r="BC1450" i="6" a="1"/>
  <c r="BC1450" i="6" s="1"/>
  <c r="BC1451" i="6" a="1"/>
  <c r="BC1451" i="6"/>
  <c r="BC1452" i="6" a="1"/>
  <c r="BC1452" i="6" s="1"/>
  <c r="BC1453" i="6" a="1"/>
  <c r="BC1453" i="6" s="1"/>
  <c r="BC1454" i="6" a="1"/>
  <c r="BC1454" i="6" s="1"/>
  <c r="BC1455" i="6" a="1"/>
  <c r="BC1455" i="6"/>
  <c r="BC1456" i="6" a="1"/>
  <c r="BC1456" i="6" s="1"/>
  <c r="BC1457" i="6" a="1"/>
  <c r="BC1457" i="6" s="1"/>
  <c r="BC1458" i="6" a="1"/>
  <c r="BC1458" i="6" s="1"/>
  <c r="BC1459" i="6" a="1"/>
  <c r="BC1459" i="6"/>
  <c r="BC1460" i="6" a="1"/>
  <c r="BC1460" i="6" s="1"/>
  <c r="BC1461" i="6" a="1"/>
  <c r="BC1461" i="6" s="1"/>
  <c r="BC1462" i="6" a="1"/>
  <c r="BC1462" i="6" s="1"/>
  <c r="BC1463" i="6" a="1"/>
  <c r="BC1463" i="6"/>
  <c r="BC1464" i="6" a="1"/>
  <c r="BC1464" i="6" s="1"/>
  <c r="BC1465" i="6" a="1"/>
  <c r="BC1465" i="6" s="1"/>
  <c r="BC1466" i="6" a="1"/>
  <c r="BC1466" i="6" s="1"/>
  <c r="BC1467" i="6" a="1"/>
  <c r="BC1467" i="6"/>
  <c r="BC1468" i="6" a="1"/>
  <c r="BC1468" i="6" s="1"/>
  <c r="BC1469" i="6" a="1"/>
  <c r="BC1469" i="6" s="1"/>
  <c r="BC1470" i="6" a="1"/>
  <c r="BC1470" i="6" s="1"/>
  <c r="BC1471" i="6" a="1"/>
  <c r="BC1471" i="6"/>
  <c r="BC1472" i="6" a="1"/>
  <c r="BC1472" i="6" s="1"/>
  <c r="BC1473" i="6" a="1"/>
  <c r="BC1473" i="6" s="1"/>
  <c r="BC1474" i="6" a="1"/>
  <c r="BC1474" i="6" s="1"/>
  <c r="BC1475" i="6" a="1"/>
  <c r="BC1475" i="6"/>
  <c r="BC1476" i="6" a="1"/>
  <c r="BC1476" i="6" s="1"/>
  <c r="BC1477" i="6" a="1"/>
  <c r="BC1477" i="6" s="1"/>
  <c r="BC1478" i="6" a="1"/>
  <c r="BC1478" i="6" s="1"/>
  <c r="BC1479" i="6" a="1"/>
  <c r="BC1479" i="6"/>
  <c r="BC1480" i="6" a="1"/>
  <c r="BC1480" i="6" s="1"/>
  <c r="BC1481" i="6" a="1"/>
  <c r="BC1481" i="6" s="1"/>
  <c r="BC1482" i="6" a="1"/>
  <c r="BC1482" i="6" s="1"/>
  <c r="BC1483" i="6" a="1"/>
  <c r="BC1483" i="6"/>
  <c r="BC1484" i="6" a="1"/>
  <c r="BC1484" i="6" s="1"/>
  <c r="BC1485" i="6" a="1"/>
  <c r="BC1485" i="6" s="1"/>
  <c r="BC1486" i="6" a="1"/>
  <c r="BC1486" i="6" s="1"/>
  <c r="BC1487" i="6" a="1"/>
  <c r="BC1487" i="6"/>
  <c r="BC1488" i="6" a="1"/>
  <c r="BC1488" i="6" s="1"/>
  <c r="BC1489" i="6" a="1"/>
  <c r="BC1489" i="6" s="1"/>
  <c r="BC1490" i="6" a="1"/>
  <c r="BC1490" i="6" s="1"/>
  <c r="BC1491" i="6" a="1"/>
  <c r="BC1491" i="6"/>
  <c r="BC1492" i="6" a="1"/>
  <c r="BC1492" i="6" s="1"/>
  <c r="BC1493" i="6" a="1"/>
  <c r="BC1493" i="6" s="1"/>
  <c r="BC1494" i="6" a="1"/>
  <c r="BC1494" i="6" s="1"/>
  <c r="BC1495" i="6" a="1"/>
  <c r="BC1495" i="6"/>
  <c r="BC1496" i="6" a="1"/>
  <c r="BC1496" i="6" s="1"/>
  <c r="BC1497" i="6" a="1"/>
  <c r="BC1497" i="6" s="1"/>
  <c r="BC1498" i="6" a="1"/>
  <c r="BC1498" i="6" s="1"/>
  <c r="BC1499" i="6" a="1"/>
  <c r="BC1499" i="6"/>
  <c r="BC1500" i="6" a="1"/>
  <c r="BC1500" i="6" s="1"/>
  <c r="BC1501" i="6" a="1"/>
  <c r="BC1501" i="6" s="1"/>
  <c r="BC1502" i="6" a="1"/>
  <c r="BC1502" i="6" s="1"/>
  <c r="BC1503" i="6" a="1"/>
  <c r="BC1503" i="6"/>
  <c r="BC1504" i="6" a="1"/>
  <c r="BC1504" i="6" s="1"/>
  <c r="BC1505" i="6" a="1"/>
  <c r="BC1505" i="6" s="1"/>
  <c r="BC1506" i="6" a="1"/>
  <c r="BC1506" i="6" s="1"/>
  <c r="BC1507" i="6" a="1"/>
  <c r="BC1507" i="6"/>
  <c r="BC1508" i="6" a="1"/>
  <c r="BC1508" i="6" s="1"/>
  <c r="BC1509" i="6" a="1"/>
  <c r="BC1509" i="6" s="1"/>
  <c r="BC1510" i="6" a="1"/>
  <c r="BC1510" i="6" s="1"/>
  <c r="BC1511" i="6" a="1"/>
  <c r="BC1511" i="6"/>
  <c r="BC1512" i="6" a="1"/>
  <c r="BC1512" i="6" s="1"/>
  <c r="BC1513" i="6" a="1"/>
  <c r="BC1513" i="6" s="1"/>
  <c r="BC1514" i="6" a="1"/>
  <c r="BC1514" i="6" s="1"/>
  <c r="BC1515" i="6" a="1"/>
  <c r="BC1515" i="6"/>
  <c r="BC1516" i="6" a="1"/>
  <c r="BC1516" i="6" s="1"/>
  <c r="BC1517" i="6" a="1"/>
  <c r="BC1517" i="6" s="1"/>
  <c r="BC1518" i="6" a="1"/>
  <c r="BC1518" i="6" s="1"/>
  <c r="BC1519" i="6" a="1"/>
  <c r="BC1519" i="6"/>
  <c r="BC1520" i="6" a="1"/>
  <c r="BC1520" i="6" s="1"/>
  <c r="BC1521" i="6" a="1"/>
  <c r="BC1521" i="6" s="1"/>
  <c r="BC1522" i="6" a="1"/>
  <c r="BC1522" i="6" s="1"/>
  <c r="BC1523" i="6" a="1"/>
  <c r="BC1523" i="6"/>
  <c r="BC1524" i="6" a="1"/>
  <c r="BC1524" i="6" s="1"/>
  <c r="BC1525" i="6" a="1"/>
  <c r="BC1525" i="6" s="1"/>
  <c r="BC1526" i="6" a="1"/>
  <c r="BC1526" i="6" s="1"/>
  <c r="BC1527" i="6" a="1"/>
  <c r="BC1527" i="6"/>
  <c r="BC1528" i="6" a="1"/>
  <c r="BC1528" i="6" s="1"/>
  <c r="BC1529" i="6" a="1"/>
  <c r="BC1529" i="6" s="1"/>
  <c r="BC1530" i="6" a="1"/>
  <c r="BC1530" i="6" s="1"/>
  <c r="BC1531" i="6" a="1"/>
  <c r="BC1531" i="6"/>
  <c r="BC1532" i="6" a="1"/>
  <c r="BC1532" i="6" s="1"/>
  <c r="BC1533" i="6" a="1"/>
  <c r="BC1533" i="6" s="1"/>
  <c r="BC1534" i="6" a="1"/>
  <c r="BC1534" i="6" s="1"/>
  <c r="BC1535" i="6" a="1"/>
  <c r="BC1535" i="6"/>
  <c r="BC1536" i="6" a="1"/>
  <c r="BC1536" i="6" s="1"/>
  <c r="BC1537" i="6" a="1"/>
  <c r="BC1537" i="6" s="1"/>
  <c r="BC1538" i="6" a="1"/>
  <c r="BC1538" i="6" s="1"/>
  <c r="BC1539" i="6" a="1"/>
  <c r="BC1539" i="6"/>
  <c r="BC1540" i="6" a="1"/>
  <c r="BC1540" i="6" s="1"/>
  <c r="BC1541" i="6" a="1"/>
  <c r="BC1541" i="6" s="1"/>
  <c r="BC1542" i="6" a="1"/>
  <c r="BC1542" i="6" s="1"/>
  <c r="BC1543" i="6" a="1"/>
  <c r="BC1543" i="6"/>
  <c r="BC1544" i="6" a="1"/>
  <c r="BC1544" i="6" s="1"/>
  <c r="BC1545" i="6" a="1"/>
  <c r="BC1545" i="6" s="1"/>
  <c r="BC1546" i="6" a="1"/>
  <c r="BC1546" i="6" s="1"/>
  <c r="BC1547" i="6" a="1"/>
  <c r="BC1547" i="6"/>
  <c r="BC1548" i="6" a="1"/>
  <c r="BC1548" i="6" s="1"/>
  <c r="BC1549" i="6" a="1"/>
  <c r="BC1549" i="6" s="1"/>
  <c r="BC1550" i="6" a="1"/>
  <c r="BC1550" i="6" s="1"/>
  <c r="BC1551" i="6" a="1"/>
  <c r="BC1551" i="6"/>
  <c r="BC1552" i="6" a="1"/>
  <c r="BC1552" i="6" s="1"/>
  <c r="BC1553" i="6" a="1"/>
  <c r="BC1553" i="6" s="1"/>
  <c r="BC1554" i="6" a="1"/>
  <c r="BC1554" i="6" s="1"/>
  <c r="BC1555" i="6" a="1"/>
  <c r="BC1555" i="6"/>
  <c r="BC1556" i="6" a="1"/>
  <c r="BC1556" i="6" s="1"/>
  <c r="BC1557" i="6" a="1"/>
  <c r="BC1557" i="6" s="1"/>
  <c r="BC1558" i="6" a="1"/>
  <c r="BC1558" i="6" s="1"/>
  <c r="BC1559" i="6" a="1"/>
  <c r="BC1559" i="6"/>
  <c r="BC1560" i="6" a="1"/>
  <c r="BC1560" i="6" s="1"/>
  <c r="BC1561" i="6" a="1"/>
  <c r="BC1561" i="6" s="1"/>
  <c r="BC1562" i="6" a="1"/>
  <c r="BC1562" i="6" s="1"/>
  <c r="BC1563" i="6" a="1"/>
  <c r="BC1563" i="6"/>
  <c r="BC1564" i="6" a="1"/>
  <c r="BC1564" i="6" s="1"/>
  <c r="BC1565" i="6" a="1"/>
  <c r="BC1565" i="6" s="1"/>
  <c r="BC1566" i="6" a="1"/>
  <c r="BC1566" i="6" s="1"/>
  <c r="BC1567" i="6" a="1"/>
  <c r="BC1567" i="6"/>
  <c r="BC1568" i="6" a="1"/>
  <c r="BC1568" i="6" s="1"/>
  <c r="BC1569" i="6" a="1"/>
  <c r="BC1569" i="6" s="1"/>
  <c r="BC1570" i="6" a="1"/>
  <c r="BC1570" i="6" s="1"/>
  <c r="BC1571" i="6" a="1"/>
  <c r="BC1571" i="6"/>
  <c r="BC1572" i="6" a="1"/>
  <c r="BC1572" i="6" s="1"/>
  <c r="BC1573" i="6" a="1"/>
  <c r="BC1573" i="6" s="1"/>
  <c r="BC1574" i="6" a="1"/>
  <c r="BC1574" i="6" s="1"/>
  <c r="BC1575" i="6" a="1"/>
  <c r="BC1575" i="6"/>
  <c r="BC1576" i="6" a="1"/>
  <c r="BC1576" i="6" s="1"/>
  <c r="BC1577" i="6" a="1"/>
  <c r="BC1577" i="6" s="1"/>
  <c r="BC1578" i="6" a="1"/>
  <c r="BC1578" i="6" s="1"/>
  <c r="BC1579" i="6" a="1"/>
  <c r="BC1579" i="6"/>
  <c r="BC1580" i="6" a="1"/>
  <c r="BC1580" i="6" s="1"/>
  <c r="BC1581" i="6" a="1"/>
  <c r="BC1581" i="6" s="1"/>
  <c r="BC1582" i="6" a="1"/>
  <c r="BC1582" i="6" s="1"/>
  <c r="BC1583" i="6" a="1"/>
  <c r="BC1583" i="6"/>
  <c r="BC1584" i="6" a="1"/>
  <c r="BC1584" i="6" s="1"/>
  <c r="BC1585" i="6" a="1"/>
  <c r="BC1585" i="6" s="1"/>
  <c r="BC1586" i="6" a="1"/>
  <c r="BC1586" i="6" s="1"/>
  <c r="BC1587" i="6" a="1"/>
  <c r="BC1587" i="6"/>
  <c r="BC1588" i="6" a="1"/>
  <c r="BC1588" i="6" s="1"/>
  <c r="BC1589" i="6" a="1"/>
  <c r="BC1589" i="6" s="1"/>
  <c r="BC1590" i="6" a="1"/>
  <c r="BC1590" i="6" s="1"/>
  <c r="BC1591" i="6" a="1"/>
  <c r="BC1591" i="6"/>
  <c r="BC1592" i="6" a="1"/>
  <c r="BC1592" i="6" s="1"/>
  <c r="BC1593" i="6" a="1"/>
  <c r="BC1593" i="6" s="1"/>
  <c r="BC1594" i="6" a="1"/>
  <c r="BC1594" i="6" s="1"/>
  <c r="BC1595" i="6" a="1"/>
  <c r="BC1595" i="6"/>
  <c r="BC1596" i="6" a="1"/>
  <c r="BC1596" i="6" s="1"/>
  <c r="BC1597" i="6" a="1"/>
  <c r="BC1597" i="6" s="1"/>
  <c r="BC1598" i="6" a="1"/>
  <c r="BC1598" i="6" s="1"/>
  <c r="BC1599" i="6" a="1"/>
  <c r="BC1599" i="6"/>
  <c r="BC1600" i="6" a="1"/>
  <c r="BC1600" i="6" s="1"/>
  <c r="BC1601" i="6" a="1"/>
  <c r="BC1601" i="6" s="1"/>
  <c r="BC1602" i="6" a="1"/>
  <c r="BC1602" i="6" s="1"/>
  <c r="BC1603" i="6" a="1"/>
  <c r="BC1603" i="6"/>
  <c r="BC1604" i="6" a="1"/>
  <c r="BC1604" i="6" s="1"/>
  <c r="BC1605" i="6" a="1"/>
  <c r="BC1605" i="6" s="1"/>
  <c r="BC1606" i="6" a="1"/>
  <c r="BC1606" i="6" s="1"/>
  <c r="BC1607" i="6" a="1"/>
  <c r="BC1607" i="6"/>
  <c r="BC1608" i="6" a="1"/>
  <c r="BC1608" i="6" s="1"/>
  <c r="BC1609" i="6" a="1"/>
  <c r="BC1609" i="6" s="1"/>
  <c r="BC1610" i="6" a="1"/>
  <c r="BC1610" i="6" s="1"/>
  <c r="BC1611" i="6" a="1"/>
  <c r="BC1611" i="6"/>
  <c r="BC1612" i="6" a="1"/>
  <c r="BC1612" i="6" s="1"/>
  <c r="BC1613" i="6" a="1"/>
  <c r="BC1613" i="6" s="1"/>
  <c r="BC1614" i="6" a="1"/>
  <c r="BC1614" i="6" s="1"/>
  <c r="BC1615" i="6" a="1"/>
  <c r="BC1615" i="6"/>
  <c r="BC1616" i="6" a="1"/>
  <c r="BC1616" i="6" s="1"/>
  <c r="BC1617" i="6" a="1"/>
  <c r="BC1617" i="6" s="1"/>
  <c r="BC1618" i="6" a="1"/>
  <c r="BC1618" i="6" s="1"/>
  <c r="BC1619" i="6" a="1"/>
  <c r="BC1619" i="6"/>
  <c r="BC1620" i="6" a="1"/>
  <c r="BC1620" i="6" s="1"/>
  <c r="BC1621" i="6" a="1"/>
  <c r="BC1621" i="6" s="1"/>
  <c r="BC1622" i="6" a="1"/>
  <c r="BC1622" i="6" s="1"/>
  <c r="BC1623" i="6" a="1"/>
  <c r="BC1623" i="6"/>
  <c r="BC1624" i="6" a="1"/>
  <c r="BC1624" i="6" s="1"/>
  <c r="BC1625" i="6" a="1"/>
  <c r="BC1625" i="6" s="1"/>
  <c r="BC1626" i="6" a="1"/>
  <c r="BC1626" i="6" s="1"/>
  <c r="BC1627" i="6" a="1"/>
  <c r="BC1627" i="6"/>
  <c r="BC1628" i="6" a="1"/>
  <c r="BC1628" i="6" s="1"/>
  <c r="BC1629" i="6" a="1"/>
  <c r="BC1629" i="6" s="1"/>
  <c r="BC1630" i="6" a="1"/>
  <c r="BC1630" i="6" s="1"/>
  <c r="BC1631" i="6" a="1"/>
  <c r="BC1631" i="6"/>
  <c r="BC1632" i="6" a="1"/>
  <c r="BC1632" i="6" s="1"/>
  <c r="BC1633" i="6" a="1"/>
  <c r="BC1633" i="6" s="1"/>
  <c r="BC1634" i="6" a="1"/>
  <c r="BC1634" i="6" s="1"/>
  <c r="BC1635" i="6" a="1"/>
  <c r="BC1635" i="6"/>
  <c r="BC1636" i="6" a="1"/>
  <c r="BC1636" i="6" s="1"/>
  <c r="BC1637" i="6" a="1"/>
  <c r="BC1637" i="6" s="1"/>
  <c r="BC1638" i="6" a="1"/>
  <c r="BC1638" i="6" s="1"/>
  <c r="BC1639" i="6" a="1"/>
  <c r="BC1639" i="6"/>
  <c r="BC1640" i="6" a="1"/>
  <c r="BC1640" i="6" s="1"/>
  <c r="BC1641" i="6" a="1"/>
  <c r="BC1641" i="6" s="1"/>
  <c r="BC1642" i="6" a="1"/>
  <c r="BC1642" i="6" s="1"/>
  <c r="BC1643" i="6" a="1"/>
  <c r="BC1643" i="6"/>
  <c r="BC1644" i="6" a="1"/>
  <c r="BC1644" i="6" s="1"/>
  <c r="BC1645" i="6" a="1"/>
  <c r="BC1645" i="6" s="1"/>
  <c r="BC1646" i="6" a="1"/>
  <c r="BC1646" i="6" s="1"/>
  <c r="BC1647" i="6" a="1"/>
  <c r="BC1647" i="6"/>
  <c r="BC1648" i="6" a="1"/>
  <c r="BC1648" i="6" s="1"/>
  <c r="BC1649" i="6" a="1"/>
  <c r="BC1649" i="6" s="1"/>
  <c r="BC1650" i="6" a="1"/>
  <c r="BC1650" i="6" s="1"/>
  <c r="BC1651" i="6" a="1"/>
  <c r="BC1651" i="6"/>
  <c r="BC1652" i="6" a="1"/>
  <c r="BC1652" i="6" s="1"/>
  <c r="BC1653" i="6" a="1"/>
  <c r="BC1653" i="6" s="1"/>
  <c r="BC1654" i="6" a="1"/>
  <c r="BC1654" i="6" s="1"/>
  <c r="BC1655" i="6" a="1"/>
  <c r="BC1655" i="6"/>
  <c r="BC1656" i="6" a="1"/>
  <c r="BC1656" i="6"/>
  <c r="BC1657" i="6" a="1"/>
  <c r="BC1657" i="6"/>
  <c r="BC1658" i="6" a="1"/>
  <c r="BC1658" i="6"/>
  <c r="BC1659" i="6" a="1"/>
  <c r="BC1659" i="6"/>
  <c r="BC1660" i="6" a="1"/>
  <c r="BC1660" i="6"/>
  <c r="BC1661" i="6" a="1"/>
  <c r="BC1661" i="6"/>
  <c r="BC1662" i="6" a="1"/>
  <c r="BC1662" i="6"/>
  <c r="BC1663" i="6" a="1"/>
  <c r="BC1663" i="6"/>
  <c r="BC1664" i="6" a="1"/>
  <c r="BC1664" i="6"/>
  <c r="BC1665" i="6" a="1"/>
  <c r="BC1665" i="6"/>
  <c r="BC1666" i="6" a="1"/>
  <c r="BC1666" i="6"/>
  <c r="BC1667" i="6" a="1"/>
  <c r="BC1667" i="6"/>
  <c r="BC1668" i="6" a="1"/>
  <c r="BC1668" i="6"/>
  <c r="BC1669" i="6" a="1"/>
  <c r="BC1669" i="6"/>
  <c r="BC1670" i="6" a="1"/>
  <c r="BC1670" i="6"/>
  <c r="BC1671" i="6" a="1"/>
  <c r="BC1671" i="6"/>
  <c r="BC1672" i="6" a="1"/>
  <c r="BC1672" i="6"/>
  <c r="BC1673" i="6" a="1"/>
  <c r="BC1673" i="6"/>
  <c r="BC1674" i="6" a="1"/>
  <c r="BC1674" i="6"/>
  <c r="BC1675" i="6" a="1"/>
  <c r="BC1675" i="6"/>
  <c r="BC1676" i="6" a="1"/>
  <c r="BC1676" i="6"/>
  <c r="BC1677" i="6" a="1"/>
  <c r="BC1677" i="6"/>
  <c r="BC1678" i="6" a="1"/>
  <c r="BC1678" i="6"/>
  <c r="BC1679" i="6" a="1"/>
  <c r="BC1679" i="6"/>
  <c r="BC1680" i="6" a="1"/>
  <c r="BC1680" i="6"/>
  <c r="BC1681" i="6" a="1"/>
  <c r="BC1681" i="6"/>
  <c r="BC1682" i="6" a="1"/>
  <c r="BC1682" i="6"/>
  <c r="BC1683" i="6" a="1"/>
  <c r="BC1683" i="6"/>
  <c r="BC1684" i="6" a="1"/>
  <c r="BC1684" i="6"/>
  <c r="BC1685" i="6" a="1"/>
  <c r="BC1685" i="6"/>
  <c r="BC1686" i="6" a="1"/>
  <c r="BC1686" i="6"/>
  <c r="BC1687" i="6" a="1"/>
  <c r="BC1687" i="6"/>
  <c r="BC1688" i="6" a="1"/>
  <c r="BC1688" i="6"/>
  <c r="BC1689" i="6" a="1"/>
  <c r="BC1689" i="6"/>
  <c r="BC1690" i="6" a="1"/>
  <c r="BC1690" i="6"/>
  <c r="BC1691" i="6" a="1"/>
  <c r="BC1691" i="6"/>
  <c r="BC1692" i="6" a="1"/>
  <c r="BC1692" i="6"/>
  <c r="BC1693" i="6" a="1"/>
  <c r="BC1693" i="6"/>
  <c r="BC1694" i="6" a="1"/>
  <c r="BC1694" i="6"/>
  <c r="BC1695" i="6" a="1"/>
  <c r="BC1695" i="6"/>
  <c r="BC1696" i="6" a="1"/>
  <c r="BC1696" i="6"/>
  <c r="BC1697" i="6" a="1"/>
  <c r="BC1697" i="6"/>
  <c r="BC1698" i="6" a="1"/>
  <c r="BC1698" i="6"/>
  <c r="BC1699" i="6" a="1"/>
  <c r="BC1699" i="6"/>
  <c r="BC1700" i="6" a="1"/>
  <c r="BC1700" i="6"/>
  <c r="BC1701" i="6" a="1"/>
  <c r="BC1701" i="6"/>
  <c r="BC1702" i="6" a="1"/>
  <c r="BC1702" i="6"/>
  <c r="BC1703" i="6" a="1"/>
  <c r="BC1703" i="6"/>
  <c r="BC1704" i="6" a="1"/>
  <c r="BC1704" i="6"/>
  <c r="BC1705" i="6" a="1"/>
  <c r="BC1705" i="6"/>
  <c r="BC1706" i="6" a="1"/>
  <c r="BC1706" i="6"/>
  <c r="BC1707" i="6" a="1"/>
  <c r="BC1707" i="6"/>
  <c r="BC1708" i="6" a="1"/>
  <c r="BC1708" i="6"/>
  <c r="BC1709" i="6" a="1"/>
  <c r="BC1709" i="6"/>
  <c r="BC1710" i="6" a="1"/>
  <c r="BC1710" i="6"/>
  <c r="BC1711" i="6" a="1"/>
  <c r="BC1711" i="6" s="1"/>
  <c r="BC1712" i="6" a="1"/>
  <c r="BC1712" i="6"/>
  <c r="BC1713" i="6" a="1"/>
  <c r="BC1713" i="6" s="1"/>
  <c r="BC1714" i="6" a="1"/>
  <c r="BC1714" i="6"/>
  <c r="BC1715" i="6" a="1"/>
  <c r="BC1715" i="6" s="1"/>
  <c r="BC1716" i="6" a="1"/>
  <c r="BC1716" i="6"/>
  <c r="BC1717" i="6" a="1"/>
  <c r="BC1717" i="6" s="1"/>
  <c r="BC1718" i="6" a="1"/>
  <c r="BC1718" i="6"/>
  <c r="BC1719" i="6" a="1"/>
  <c r="BC1719" i="6" s="1"/>
  <c r="BC1720" i="6" a="1"/>
  <c r="BC1720" i="6"/>
  <c r="BC1721" i="6" a="1"/>
  <c r="BC1721" i="6" s="1"/>
  <c r="BC1722" i="6" a="1"/>
  <c r="BC1722" i="6"/>
  <c r="BC1723" i="6" a="1"/>
  <c r="BC1723" i="6" s="1"/>
  <c r="BC1724" i="6" a="1"/>
  <c r="BC1724" i="6"/>
  <c r="BC1725" i="6" a="1"/>
  <c r="BC1725" i="6" s="1"/>
  <c r="BC1726" i="6" a="1"/>
  <c r="BC1726" i="6"/>
  <c r="BC1727" i="6" a="1"/>
  <c r="BC1727" i="6" s="1"/>
  <c r="BC1728" i="6" a="1"/>
  <c r="BC1728" i="6"/>
  <c r="BC1729" i="6" a="1"/>
  <c r="BC1729" i="6" s="1"/>
  <c r="BC1730" i="6" a="1"/>
  <c r="BC1730" i="6"/>
  <c r="BC1731" i="6" a="1"/>
  <c r="BC1731" i="6" s="1"/>
  <c r="BC1732" i="6" a="1"/>
  <c r="BC1732" i="6"/>
  <c r="BC1733" i="6" a="1"/>
  <c r="BC1733" i="6" s="1"/>
  <c r="BC1734" i="6" a="1"/>
  <c r="BC1734" i="6"/>
  <c r="BC1735" i="6" a="1"/>
  <c r="BC1735" i="6" s="1"/>
  <c r="BC1736" i="6" a="1"/>
  <c r="BC1736" i="6"/>
  <c r="BC1737" i="6" a="1"/>
  <c r="BC1737" i="6" s="1"/>
  <c r="BC1738" i="6" a="1"/>
  <c r="BC1738" i="6"/>
  <c r="BC1739" i="6" a="1"/>
  <c r="BC1739" i="6" s="1"/>
  <c r="BC1740" i="6" a="1"/>
  <c r="BC1740" i="6"/>
  <c r="BC1741" i="6" a="1"/>
  <c r="BC1741" i="6" s="1"/>
  <c r="BC1742" i="6" a="1"/>
  <c r="BC1742" i="6"/>
  <c r="BC1743" i="6" a="1"/>
  <c r="BC1743" i="6" s="1"/>
  <c r="BC1744" i="6" a="1"/>
  <c r="BC1744" i="6"/>
  <c r="BC1745" i="6" a="1"/>
  <c r="BC1745" i="6" s="1"/>
  <c r="BC1746" i="6" a="1"/>
  <c r="BC1746" i="6"/>
  <c r="BC1747" i="6" a="1"/>
  <c r="BC1747" i="6" s="1"/>
  <c r="BC1748" i="6" a="1"/>
  <c r="BC1748" i="6"/>
  <c r="BC1749" i="6" a="1"/>
  <c r="BC1749" i="6" s="1"/>
  <c r="BC1750" i="6" a="1"/>
  <c r="BC1750" i="6"/>
  <c r="BC1751" i="6" a="1"/>
  <c r="BC1751" i="6" s="1"/>
  <c r="BC1752" i="6" a="1"/>
  <c r="BC1752" i="6"/>
  <c r="BC1753" i="6" a="1"/>
  <c r="BC1753" i="6" s="1"/>
  <c r="BC1754" i="6" a="1"/>
  <c r="BC1754" i="6"/>
  <c r="BC1755" i="6" a="1"/>
  <c r="BC1755" i="6" s="1"/>
  <c r="BC1756" i="6" a="1"/>
  <c r="BC1756" i="6"/>
  <c r="BC1757" i="6" a="1"/>
  <c r="BC1757" i="6" s="1"/>
  <c r="BC1758" i="6" a="1"/>
  <c r="BC1758" i="6"/>
  <c r="BC1759" i="6" a="1"/>
  <c r="BC1759" i="6" s="1"/>
  <c r="BC1760" i="6" a="1"/>
  <c r="BC1760" i="6"/>
  <c r="BC1761" i="6" a="1"/>
  <c r="BC1761" i="6" s="1"/>
  <c r="BC1762" i="6" a="1"/>
  <c r="BC1762" i="6"/>
  <c r="BC1763" i="6" a="1"/>
  <c r="BC1763" i="6" s="1"/>
  <c r="BC1764" i="6" a="1"/>
  <c r="BC1764" i="6"/>
  <c r="BC1765" i="6" a="1"/>
  <c r="BC1765" i="6" s="1"/>
  <c r="BC1766" i="6" a="1"/>
  <c r="BC1766" i="6"/>
  <c r="BC1767" i="6" a="1"/>
  <c r="BC1767" i="6" s="1"/>
  <c r="BC1768" i="6" a="1"/>
  <c r="BC1768" i="6"/>
  <c r="BC1769" i="6" a="1"/>
  <c r="BC1769" i="6" s="1"/>
  <c r="BC1770" i="6" a="1"/>
  <c r="BC1770" i="6"/>
  <c r="BC1771" i="6" a="1"/>
  <c r="BC1771" i="6" s="1"/>
  <c r="BC1772" i="6" a="1"/>
  <c r="BC1772" i="6"/>
  <c r="BC1773" i="6" a="1"/>
  <c r="BC1773" i="6" s="1"/>
  <c r="BC1774" i="6" a="1"/>
  <c r="BC1774" i="6"/>
  <c r="BC1775" i="6" a="1"/>
  <c r="BC1775" i="6" s="1"/>
  <c r="BC1776" i="6" a="1"/>
  <c r="BC1776" i="6"/>
  <c r="BC1777" i="6" a="1"/>
  <c r="BC1777" i="6" s="1"/>
  <c r="BC1778" i="6" a="1"/>
  <c r="BC1778" i="6"/>
  <c r="BC1779" i="6" a="1"/>
  <c r="BC1779" i="6" s="1"/>
  <c r="BC1780" i="6" a="1"/>
  <c r="BC1780" i="6"/>
  <c r="BC1781" i="6" a="1"/>
  <c r="BC1781" i="6" s="1"/>
  <c r="BC1782" i="6" a="1"/>
  <c r="BC1782" i="6"/>
  <c r="BC1783" i="6" a="1"/>
  <c r="BC1783" i="6" s="1"/>
  <c r="BC1784" i="6" a="1"/>
  <c r="BC1784" i="6"/>
  <c r="BC1785" i="6" a="1"/>
  <c r="BC1785" i="6" s="1"/>
  <c r="BC1786" i="6" a="1"/>
  <c r="BC1786" i="6"/>
  <c r="BC1787" i="6" a="1"/>
  <c r="BC1787" i="6" s="1"/>
  <c r="BC1788" i="6" a="1"/>
  <c r="BC1788" i="6"/>
  <c r="BC1789" i="6" a="1"/>
  <c r="BC1789" i="6" s="1"/>
  <c r="BC1790" i="6" a="1"/>
  <c r="BC1790" i="6"/>
  <c r="BC1791" i="6" a="1"/>
  <c r="BC1791" i="6" s="1"/>
  <c r="BC1792" i="6" a="1"/>
  <c r="BC1792" i="6"/>
  <c r="BC1793" i="6" a="1"/>
  <c r="BC1793" i="6" s="1"/>
  <c r="BC1794" i="6" a="1"/>
  <c r="BC1794" i="6"/>
  <c r="BC1795" i="6" a="1"/>
  <c r="BC1795" i="6" s="1"/>
  <c r="BC1796" i="6" a="1"/>
  <c r="BC1796" i="6"/>
  <c r="BC1797" i="6" a="1"/>
  <c r="BC1797" i="6" s="1"/>
  <c r="BC1798" i="6" a="1"/>
  <c r="BC1798" i="6"/>
  <c r="BC1799" i="6" a="1"/>
  <c r="BC1799" i="6" s="1"/>
  <c r="BC1800" i="6" a="1"/>
  <c r="BC1800" i="6"/>
  <c r="BC1801" i="6" a="1"/>
  <c r="BC1801" i="6" s="1"/>
  <c r="BC1802" i="6" a="1"/>
  <c r="BC1802" i="6"/>
  <c r="BC1803" i="6" a="1"/>
  <c r="BC1803" i="6" s="1"/>
  <c r="BC1804" i="6" a="1"/>
  <c r="BC1804" i="6"/>
  <c r="BC1805" i="6" a="1"/>
  <c r="BC1805" i="6" s="1"/>
  <c r="BC1806" i="6" a="1"/>
  <c r="BC1806" i="6"/>
  <c r="BC1807" i="6" a="1"/>
  <c r="BC1807" i="6" s="1"/>
  <c r="BC1808" i="6" a="1"/>
  <c r="BC1808" i="6"/>
  <c r="BC1809" i="6" a="1"/>
  <c r="BC1809" i="6" s="1"/>
  <c r="BC1810" i="6" a="1"/>
  <c r="BC1810" i="6"/>
  <c r="BC1811" i="6" a="1"/>
  <c r="BC1811" i="6" s="1"/>
  <c r="BC1812" i="6" a="1"/>
  <c r="BC1812" i="6"/>
  <c r="BC1813" i="6" a="1"/>
  <c r="BC1813" i="6" s="1"/>
  <c r="BC1814" i="6" a="1"/>
  <c r="BC1814" i="6"/>
  <c r="BC1815" i="6" a="1"/>
  <c r="BC1815" i="6" s="1"/>
  <c r="BC1816" i="6" a="1"/>
  <c r="BC1816" i="6"/>
  <c r="BC1817" i="6" a="1"/>
  <c r="BC1817" i="6" s="1"/>
  <c r="BC1818" i="6" a="1"/>
  <c r="BC1818" i="6"/>
  <c r="BC1819" i="6" a="1"/>
  <c r="BC1819" i="6" s="1"/>
  <c r="BC1820" i="6" a="1"/>
  <c r="BC1820" i="6"/>
  <c r="BC1821" i="6" a="1"/>
  <c r="BC1821" i="6" s="1"/>
  <c r="BC1822" i="6" a="1"/>
  <c r="BC1822" i="6"/>
  <c r="BC1823" i="6" a="1"/>
  <c r="BC1823" i="6" s="1"/>
  <c r="BC1824" i="6" a="1"/>
  <c r="BC1824" i="6"/>
  <c r="BC1825" i="6" a="1"/>
  <c r="BC1825" i="6" s="1"/>
  <c r="BC1826" i="6" a="1"/>
  <c r="BC1826" i="6"/>
  <c r="BC1827" i="6" a="1"/>
  <c r="BC1827" i="6" s="1"/>
  <c r="BC1828" i="6" a="1"/>
  <c r="BC1828" i="6"/>
  <c r="BC1829" i="6" a="1"/>
  <c r="BC1829" i="6" s="1"/>
  <c r="BC1830" i="6" a="1"/>
  <c r="BC1830" i="6"/>
  <c r="BC1831" i="6" a="1"/>
  <c r="BC1831" i="6" s="1"/>
  <c r="BC1832" i="6" a="1"/>
  <c r="BC1832" i="6"/>
  <c r="BC1833" i="6" a="1"/>
  <c r="BC1833" i="6" s="1"/>
  <c r="BC1834" i="6" a="1"/>
  <c r="BC1834" i="6"/>
  <c r="BC1835" i="6" a="1"/>
  <c r="BC1835" i="6" s="1"/>
  <c r="BC1836" i="6" a="1"/>
  <c r="BC1836" i="6"/>
  <c r="BC1837" i="6" a="1"/>
  <c r="BC1837" i="6" s="1"/>
  <c r="BC1838" i="6" a="1"/>
  <c r="BC1838" i="6"/>
  <c r="BC1839" i="6" a="1"/>
  <c r="BC1839" i="6" s="1"/>
  <c r="BC1840" i="6" a="1"/>
  <c r="BC1840" i="6"/>
  <c r="BC1841" i="6" a="1"/>
  <c r="BC1841" i="6" s="1"/>
  <c r="BC1842" i="6" a="1"/>
  <c r="BC1842" i="6"/>
  <c r="BC1843" i="6" a="1"/>
  <c r="BC1843" i="6" s="1"/>
  <c r="BC1844" i="6" a="1"/>
  <c r="BC1844" i="6"/>
  <c r="BC1845" i="6" a="1"/>
  <c r="BC1845" i="6" s="1"/>
  <c r="BC1846" i="6" a="1"/>
  <c r="BC1846" i="6"/>
  <c r="BC1847" i="6" a="1"/>
  <c r="BC1847" i="6" s="1"/>
  <c r="BC1848" i="6" a="1"/>
  <c r="BC1848" i="6"/>
  <c r="BC1849" i="6" a="1"/>
  <c r="BC1849" i="6" s="1"/>
  <c r="BC1850" i="6" a="1"/>
  <c r="BC1850" i="6"/>
  <c r="BC1851" i="6" a="1"/>
  <c r="BC1851" i="6" s="1"/>
  <c r="BC1852" i="6" a="1"/>
  <c r="BC1852" i="6"/>
  <c r="BC1853" i="6" a="1"/>
  <c r="BC1853" i="6" s="1"/>
  <c r="BC1854" i="6" a="1"/>
  <c r="BC1854" i="6"/>
  <c r="BC1855" i="6" a="1"/>
  <c r="BC1855" i="6" s="1"/>
  <c r="BC1856" i="6" a="1"/>
  <c r="BC1856" i="6"/>
  <c r="BC1857" i="6" a="1"/>
  <c r="BC1857" i="6" s="1"/>
  <c r="BC1858" i="6" a="1"/>
  <c r="BC1858" i="6"/>
  <c r="BC1859" i="6" a="1"/>
  <c r="BC1859" i="6" s="1"/>
  <c r="BC1860" i="6" a="1"/>
  <c r="BC1860" i="6"/>
  <c r="BC1861" i="6" a="1"/>
  <c r="BC1861" i="6" s="1"/>
  <c r="BC1862" i="6" a="1"/>
  <c r="BC1862" i="6"/>
  <c r="BC1863" i="6" a="1"/>
  <c r="BC1863" i="6" s="1"/>
  <c r="BC1864" i="6" a="1"/>
  <c r="BC1864" i="6"/>
  <c r="BC1865" i="6" a="1"/>
  <c r="BC1865" i="6" s="1"/>
  <c r="BC1866" i="6" a="1"/>
  <c r="BC1866" i="6"/>
  <c r="BC1867" i="6" a="1"/>
  <c r="BC1867" i="6" s="1"/>
  <c r="BC1868" i="6" a="1"/>
  <c r="BC1868" i="6"/>
  <c r="BC1869" i="6" a="1"/>
  <c r="BC1869" i="6" s="1"/>
  <c r="BC1870" i="6" a="1"/>
  <c r="BC1870" i="6"/>
  <c r="BC1871" i="6" a="1"/>
  <c r="BC1871" i="6" s="1"/>
  <c r="BC1872" i="6" a="1"/>
  <c r="BC1872" i="6"/>
  <c r="BC1873" i="6" a="1"/>
  <c r="BC1873" i="6" s="1"/>
  <c r="BC1874" i="6" a="1"/>
  <c r="BC1874" i="6"/>
  <c r="BC1875" i="6" a="1"/>
  <c r="BC1875" i="6" s="1"/>
  <c r="BC1876" i="6" a="1"/>
  <c r="BC1876" i="6"/>
  <c r="BC1877" i="6" a="1"/>
  <c r="BC1877" i="6" s="1"/>
  <c r="BC1878" i="6" a="1"/>
  <c r="BC1878" i="6"/>
  <c r="BC1879" i="6" a="1"/>
  <c r="BC1879" i="6" s="1"/>
  <c r="BC1880" i="6" a="1"/>
  <c r="BC1880" i="6"/>
  <c r="BC1881" i="6" a="1"/>
  <c r="BC1881" i="6" s="1"/>
  <c r="BC1882" i="6" a="1"/>
  <c r="BC1882" i="6"/>
  <c r="BC1883" i="6" a="1"/>
  <c r="BC1883" i="6" s="1"/>
  <c r="BC1884" i="6" a="1"/>
  <c r="BC1884" i="6"/>
  <c r="BC1885" i="6" a="1"/>
  <c r="BC1885" i="6" s="1"/>
  <c r="BC1886" i="6" a="1"/>
  <c r="BC1886" i="6"/>
  <c r="BC1887" i="6" a="1"/>
  <c r="BC1887" i="6" s="1"/>
  <c r="BC1888" i="6" a="1"/>
  <c r="BC1888" i="6"/>
  <c r="BC1889" i="6" a="1"/>
  <c r="BC1889" i="6" s="1"/>
  <c r="BC1890" i="6" a="1"/>
  <c r="BC1890" i="6"/>
  <c r="BC1891" i="6" a="1"/>
  <c r="BC1891" i="6" s="1"/>
  <c r="BC1892" i="6" a="1"/>
  <c r="BC1892" i="6"/>
  <c r="BC1893" i="6" a="1"/>
  <c r="BC1893" i="6" s="1"/>
  <c r="BC1894" i="6" a="1"/>
  <c r="BC1894" i="6"/>
  <c r="BC1895" i="6" a="1"/>
  <c r="BC1895" i="6" s="1"/>
  <c r="BC1896" i="6" a="1"/>
  <c r="BC1896" i="6"/>
  <c r="BC1897" i="6" a="1"/>
  <c r="BC1897" i="6" s="1"/>
  <c r="BC1898" i="6" a="1"/>
  <c r="BC1898" i="6"/>
  <c r="BC1899" i="6" a="1"/>
  <c r="BC1899" i="6" s="1"/>
  <c r="BC1900" i="6" a="1"/>
  <c r="BC1900" i="6"/>
  <c r="BC1901" i="6" a="1"/>
  <c r="BC1901" i="6" s="1"/>
  <c r="BC1902" i="6" a="1"/>
  <c r="BC1902" i="6"/>
  <c r="BC1903" i="6" a="1"/>
  <c r="BC1903" i="6" s="1"/>
  <c r="BC1904" i="6" a="1"/>
  <c r="BC1904" i="6"/>
  <c r="BC1905" i="6" a="1"/>
  <c r="BC1905" i="6" s="1"/>
  <c r="BC1906" i="6" a="1"/>
  <c r="BC1906" i="6"/>
  <c r="BC1907" i="6" a="1"/>
  <c r="BC1907" i="6" s="1"/>
  <c r="BC1908" i="6" a="1"/>
  <c r="BC1908" i="6"/>
  <c r="BC1909" i="6" a="1"/>
  <c r="BC1909" i="6" s="1"/>
  <c r="BC1910" i="6" a="1"/>
  <c r="BC1910" i="6"/>
  <c r="BC1911" i="6" a="1"/>
  <c r="BC1911" i="6" s="1"/>
  <c r="BC1912" i="6" a="1"/>
  <c r="BC1912" i="6"/>
  <c r="BC1913" i="6" a="1"/>
  <c r="BC1913" i="6" s="1"/>
  <c r="BC1914" i="6" a="1"/>
  <c r="BC1914" i="6"/>
  <c r="BC1915" i="6" a="1"/>
  <c r="BC1915" i="6" s="1"/>
  <c r="BC1916" i="6" a="1"/>
  <c r="BC1916" i="6"/>
  <c r="BC1917" i="6" a="1"/>
  <c r="BC1917" i="6" s="1"/>
  <c r="BC1918" i="6" a="1"/>
  <c r="BC1918" i="6"/>
  <c r="BC1919" i="6" a="1"/>
  <c r="BC1919" i="6" s="1"/>
  <c r="BC1920" i="6" a="1"/>
  <c r="BC1920" i="6"/>
  <c r="BC1921" i="6" a="1"/>
  <c r="BC1921" i="6" s="1"/>
  <c r="BC1922" i="6" a="1"/>
  <c r="BC1922" i="6"/>
  <c r="BC1923" i="6" a="1"/>
  <c r="BC1923" i="6" s="1"/>
  <c r="BC1924" i="6" a="1"/>
  <c r="BC1924" i="6"/>
  <c r="BC1925" i="6" a="1"/>
  <c r="BC1925" i="6" s="1"/>
  <c r="BC1926" i="6" a="1"/>
  <c r="BC1926" i="6"/>
  <c r="BC1927" i="6" a="1"/>
  <c r="BC1927" i="6" s="1"/>
  <c r="BC1928" i="6" a="1"/>
  <c r="BC1928" i="6"/>
  <c r="BC1929" i="6" a="1"/>
  <c r="BC1929" i="6" s="1"/>
  <c r="BC1930" i="6" a="1"/>
  <c r="BC1930" i="6"/>
  <c r="BC1931" i="6" a="1"/>
  <c r="BC1931" i="6" s="1"/>
  <c r="BC1932" i="6" a="1"/>
  <c r="BC1932" i="6"/>
  <c r="BC1933" i="6" a="1"/>
  <c r="BC1933" i="6" s="1"/>
  <c r="BC1934" i="6" a="1"/>
  <c r="BC1934" i="6"/>
  <c r="BC1935" i="6" a="1"/>
  <c r="BC1935" i="6" s="1"/>
  <c r="BC1936" i="6" a="1"/>
  <c r="BC1936" i="6"/>
  <c r="BC1937" i="6" a="1"/>
  <c r="BC1937" i="6" s="1"/>
  <c r="BC1938" i="6" a="1"/>
  <c r="BC1938" i="6"/>
  <c r="BC1939" i="6" a="1"/>
  <c r="BC1939" i="6" s="1"/>
  <c r="BC1940" i="6" a="1"/>
  <c r="BC1940" i="6"/>
  <c r="BC1941" i="6" a="1"/>
  <c r="BC1941" i="6" s="1"/>
  <c r="BC1942" i="6" a="1"/>
  <c r="BC1942" i="6"/>
  <c r="BC1943" i="6" a="1"/>
  <c r="BC1943" i="6" s="1"/>
  <c r="BC1944" i="6" a="1"/>
  <c r="BC1944" i="6"/>
  <c r="BC1945" i="6" a="1"/>
  <c r="BC1945" i="6" s="1"/>
  <c r="BC1946" i="6" a="1"/>
  <c r="BC1946" i="6"/>
  <c r="BC1947" i="6" a="1"/>
  <c r="BC1947" i="6" s="1"/>
  <c r="BC1948" i="6" a="1"/>
  <c r="BC1948" i="6"/>
  <c r="BC1949" i="6" a="1"/>
  <c r="BC1949" i="6" s="1"/>
  <c r="BC1950" i="6" a="1"/>
  <c r="BC1950" i="6"/>
  <c r="BC1951" i="6" a="1"/>
  <c r="BC1951" i="6" s="1"/>
  <c r="BC1952" i="6" a="1"/>
  <c r="BC1952" i="6"/>
  <c r="BC1953" i="6" a="1"/>
  <c r="BC1953" i="6" s="1"/>
  <c r="BC1954" i="6" a="1"/>
  <c r="BC1954" i="6"/>
  <c r="BC1955" i="6" a="1"/>
  <c r="BC1955" i="6" s="1"/>
  <c r="BC1956" i="6" a="1"/>
  <c r="BC1956" i="6"/>
  <c r="BC1957" i="6" a="1"/>
  <c r="BC1957" i="6" s="1"/>
  <c r="BC1958" i="6" a="1"/>
  <c r="BC1958" i="6"/>
  <c r="BC1959" i="6" a="1"/>
  <c r="BC1959" i="6" s="1"/>
  <c r="BC1960" i="6" a="1"/>
  <c r="BC1960" i="6"/>
  <c r="BC1961" i="6" a="1"/>
  <c r="BC1961" i="6" s="1"/>
  <c r="BC1962" i="6" a="1"/>
  <c r="BC1962" i="6"/>
  <c r="BC1963" i="6" a="1"/>
  <c r="BC1963" i="6" s="1"/>
  <c r="BC1964" i="6" a="1"/>
  <c r="BC1964" i="6"/>
  <c r="BC1965" i="6" a="1"/>
  <c r="BC1965" i="6" s="1"/>
  <c r="BC1966" i="6" a="1"/>
  <c r="BC1966" i="6"/>
  <c r="BC1967" i="6" a="1"/>
  <c r="BC1967" i="6" s="1"/>
  <c r="BC1968" i="6" a="1"/>
  <c r="BC1968" i="6"/>
  <c r="BC1969" i="6" a="1"/>
  <c r="BC1969" i="6" s="1"/>
  <c r="BC1970" i="6" a="1"/>
  <c r="BC1970" i="6"/>
  <c r="BC1971" i="6" a="1"/>
  <c r="BC1971" i="6" s="1"/>
  <c r="BC1972" i="6" a="1"/>
  <c r="BC1972" i="6"/>
  <c r="BC1973" i="6" a="1"/>
  <c r="BC1973" i="6" s="1"/>
  <c r="BC1974" i="6" a="1"/>
  <c r="BC1974" i="6"/>
  <c r="BC1975" i="6" a="1"/>
  <c r="BC1975" i="6" s="1"/>
  <c r="BC1976" i="6" a="1"/>
  <c r="BC1976" i="6"/>
  <c r="BC1977" i="6" a="1"/>
  <c r="BC1977" i="6" s="1"/>
  <c r="BC1978" i="6" a="1"/>
  <c r="BC1978" i="6"/>
  <c r="BC1979" i="6" a="1"/>
  <c r="BC1979" i="6" s="1"/>
  <c r="BC1980" i="6" a="1"/>
  <c r="BC1980" i="6"/>
  <c r="BC1981" i="6" a="1"/>
  <c r="BC1981" i="6" s="1"/>
  <c r="BC1982" i="6" a="1"/>
  <c r="BC1982" i="6"/>
  <c r="BC1983" i="6" a="1"/>
  <c r="BC1983" i="6" s="1"/>
  <c r="BC1984" i="6" a="1"/>
  <c r="BC1984" i="6"/>
  <c r="BC1985" i="6" a="1"/>
  <c r="BC1985" i="6" s="1"/>
  <c r="BC1986" i="6" a="1"/>
  <c r="BC1986" i="6"/>
  <c r="BC1987" i="6" a="1"/>
  <c r="BC1987" i="6" s="1"/>
  <c r="BC1988" i="6" a="1"/>
  <c r="BC1988" i="6"/>
  <c r="BC1989" i="6" a="1"/>
  <c r="BC1989" i="6" s="1"/>
  <c r="BC1990" i="6" a="1"/>
  <c r="BC1990" i="6"/>
  <c r="BC1991" i="6" a="1"/>
  <c r="BC1991" i="6" s="1"/>
  <c r="BC1992" i="6" a="1"/>
  <c r="BC1992" i="6"/>
  <c r="BC1993" i="6" a="1"/>
  <c r="BC1993" i="6" s="1"/>
  <c r="BC1994" i="6" a="1"/>
  <c r="BC1994" i="6"/>
  <c r="BC1995" i="6" a="1"/>
  <c r="BC1995" i="6" s="1"/>
  <c r="BC1996" i="6" a="1"/>
  <c r="BC1996" i="6"/>
  <c r="BC1997" i="6" a="1"/>
  <c r="BC1997" i="6" s="1"/>
  <c r="BC1998" i="6" a="1"/>
  <c r="BC1998" i="6"/>
  <c r="BC1999" i="6" a="1"/>
  <c r="BC1999" i="6" s="1"/>
  <c r="BC2000" i="6" a="1"/>
  <c r="BC2000" i="6"/>
  <c r="BC2001" i="6" a="1"/>
  <c r="BC2001" i="6" s="1"/>
  <c r="BC2002" i="6" a="1"/>
  <c r="BC2002" i="6"/>
  <c r="BC2003" i="6" a="1"/>
  <c r="BC2003" i="6" s="1"/>
  <c r="BC2004" i="6" a="1"/>
  <c r="BC2004" i="6"/>
  <c r="BC2005" i="6" a="1"/>
  <c r="BC2005" i="6" s="1"/>
  <c r="BC2006" i="6" a="1"/>
  <c r="BC2006" i="6"/>
  <c r="BC2007" i="6" a="1"/>
  <c r="BC2007" i="6" s="1"/>
  <c r="BC2008" i="6" a="1"/>
  <c r="BC2008" i="6"/>
  <c r="BD15" i="6" a="1"/>
  <c r="BD15" i="6" s="1"/>
  <c r="BD16" i="6" a="1"/>
  <c r="BD16" i="6" s="1"/>
  <c r="BD17" i="6" a="1"/>
  <c r="BD17" i="6" s="1"/>
  <c r="BD18" i="6" a="1"/>
  <c r="BD18" i="6" s="1"/>
  <c r="BD19" i="6" a="1"/>
  <c r="BD19" i="6" s="1"/>
  <c r="BD20" i="6" a="1"/>
  <c r="BD20" i="6" s="1"/>
  <c r="BD21" i="6" a="1"/>
  <c r="BD21" i="6" s="1"/>
  <c r="BD22" i="6" a="1"/>
  <c r="BD22" i="6" s="1"/>
  <c r="BD23" i="6" a="1"/>
  <c r="BD23" i="6" s="1"/>
  <c r="BD24" i="6" a="1"/>
  <c r="BD24" i="6" s="1"/>
  <c r="BD25" i="6" a="1"/>
  <c r="BD25" i="6" s="1"/>
  <c r="BD26" i="6" a="1"/>
  <c r="BD26" i="6"/>
  <c r="BD27" i="6" a="1"/>
  <c r="BD27" i="6" s="1"/>
  <c r="BD28" i="6" a="1"/>
  <c r="BD28" i="6" s="1"/>
  <c r="BD29" i="6" a="1"/>
  <c r="BD29" i="6" s="1"/>
  <c r="BD30" i="6" a="1"/>
  <c r="BD30" i="6" s="1"/>
  <c r="BD31" i="6" a="1"/>
  <c r="BD31" i="6" s="1"/>
  <c r="BD32" i="6" a="1"/>
  <c r="BD32" i="6" s="1"/>
  <c r="BD33" i="6" a="1"/>
  <c r="BD33" i="6" s="1"/>
  <c r="BD34" i="6" a="1"/>
  <c r="BD34" i="6" s="1"/>
  <c r="BD35" i="6" a="1"/>
  <c r="BD35" i="6" s="1"/>
  <c r="BD36" i="6" a="1"/>
  <c r="BD36" i="6" s="1"/>
  <c r="BD37" i="6" a="1"/>
  <c r="BD37" i="6" s="1"/>
  <c r="BD38" i="6" a="1"/>
  <c r="BD38" i="6" s="1"/>
  <c r="BD39" i="6" a="1"/>
  <c r="BD39" i="6" s="1"/>
  <c r="BD40" i="6" a="1"/>
  <c r="BD40" i="6"/>
  <c r="BD41" i="6" a="1"/>
  <c r="BD41" i="6" s="1"/>
  <c r="BD42" i="6" a="1"/>
  <c r="BD42" i="6" s="1"/>
  <c r="BD43" i="6" a="1"/>
  <c r="BD43" i="6" s="1"/>
  <c r="BD44" i="6" a="1"/>
  <c r="BD44" i="6" s="1"/>
  <c r="BD45" i="6" a="1"/>
  <c r="BD45" i="6" s="1"/>
  <c r="BD46" i="6" a="1"/>
  <c r="BD46" i="6" s="1"/>
  <c r="BD47" i="6" a="1"/>
  <c r="BD47" i="6" s="1"/>
  <c r="BD48" i="6" a="1"/>
  <c r="BD48" i="6" s="1"/>
  <c r="BD49" i="6" a="1"/>
  <c r="BD49" i="6" s="1"/>
  <c r="BD50" i="6" a="1"/>
  <c r="BD50" i="6" s="1"/>
  <c r="BD51" i="6" a="1"/>
  <c r="BD51" i="6" s="1"/>
  <c r="BD52" i="6" a="1"/>
  <c r="BD52" i="6" s="1"/>
  <c r="BD53" i="6" a="1"/>
  <c r="BD53" i="6" s="1"/>
  <c r="BD54" i="6" a="1"/>
  <c r="BD54" i="6" s="1"/>
  <c r="BD55" i="6" a="1"/>
  <c r="BD55" i="6" s="1"/>
  <c r="BD56" i="6" a="1"/>
  <c r="BD56" i="6" s="1"/>
  <c r="BD57" i="6" a="1"/>
  <c r="BD57" i="6" s="1"/>
  <c r="BD58" i="6" a="1"/>
  <c r="BD58" i="6" s="1"/>
  <c r="BD59" i="6" a="1"/>
  <c r="BD59" i="6" s="1"/>
  <c r="BD60" i="6" a="1"/>
  <c r="BD60" i="6" s="1"/>
  <c r="BD61" i="6" a="1"/>
  <c r="BD61" i="6" s="1"/>
  <c r="BD62" i="6" a="1"/>
  <c r="BD62" i="6" s="1"/>
  <c r="BD63" i="6" a="1"/>
  <c r="BD63" i="6" s="1"/>
  <c r="BD64" i="6" a="1"/>
  <c r="BD64" i="6"/>
  <c r="BD65" i="6" a="1"/>
  <c r="BD65" i="6" s="1"/>
  <c r="BD66" i="6" a="1"/>
  <c r="BD66" i="6" s="1"/>
  <c r="BD67" i="6" a="1"/>
  <c r="BD67" i="6" s="1"/>
  <c r="BD68" i="6" a="1"/>
  <c r="BD68" i="6" s="1"/>
  <c r="BD69" i="6" a="1"/>
  <c r="BD69" i="6" s="1"/>
  <c r="BD70" i="6" a="1"/>
  <c r="BD70" i="6" s="1"/>
  <c r="BD71" i="6" a="1"/>
  <c r="BD71" i="6" s="1"/>
  <c r="BD72" i="6" a="1"/>
  <c r="BD72" i="6" s="1"/>
  <c r="BD73" i="6" a="1"/>
  <c r="BD73" i="6" s="1"/>
  <c r="BD74" i="6" a="1"/>
  <c r="BD74" i="6" s="1"/>
  <c r="BD75" i="6" a="1"/>
  <c r="BD75" i="6" s="1"/>
  <c r="BD76" i="6" a="1"/>
  <c r="BD76" i="6" s="1"/>
  <c r="BD77" i="6" a="1"/>
  <c r="BD77" i="6" s="1"/>
  <c r="BD78" i="6" a="1"/>
  <c r="BD78" i="6" s="1"/>
  <c r="BD79" i="6" a="1"/>
  <c r="BD79" i="6" s="1"/>
  <c r="BD80" i="6" a="1"/>
  <c r="BD80" i="6" s="1"/>
  <c r="BD81" i="6" a="1"/>
  <c r="BD81" i="6" s="1"/>
  <c r="BD82" i="6" a="1"/>
  <c r="BD82" i="6" s="1"/>
  <c r="BD83" i="6" a="1"/>
  <c r="BD83" i="6" s="1"/>
  <c r="BD84" i="6" a="1"/>
  <c r="BD84" i="6" s="1"/>
  <c r="BD85" i="6" a="1"/>
  <c r="BD85" i="6" s="1"/>
  <c r="BD86" i="6" a="1"/>
  <c r="BD86" i="6" s="1"/>
  <c r="BD87" i="6" a="1"/>
  <c r="BD87" i="6" s="1"/>
  <c r="BD88" i="6" a="1"/>
  <c r="BD88" i="6" s="1"/>
  <c r="BD89" i="6" a="1"/>
  <c r="BD89" i="6" s="1"/>
  <c r="BD90" i="6" a="1"/>
  <c r="BD90" i="6" s="1"/>
  <c r="BD91" i="6" a="1"/>
  <c r="BD91" i="6" s="1"/>
  <c r="BD92" i="6" a="1"/>
  <c r="BD92" i="6" s="1"/>
  <c r="BD93" i="6" a="1"/>
  <c r="BD93" i="6" s="1"/>
  <c r="BD94" i="6" a="1"/>
  <c r="BD94" i="6" s="1"/>
  <c r="BD95" i="6" a="1"/>
  <c r="BD95" i="6" s="1"/>
  <c r="BD96" i="6" a="1"/>
  <c r="BD96" i="6" s="1"/>
  <c r="BD97" i="6" a="1"/>
  <c r="BD97" i="6" s="1"/>
  <c r="BD98" i="6" a="1"/>
  <c r="BD98" i="6" s="1"/>
  <c r="BD99" i="6" a="1"/>
  <c r="BD99" i="6" s="1"/>
  <c r="BD100" i="6" a="1"/>
  <c r="BD100" i="6" s="1"/>
  <c r="BD101" i="6" a="1"/>
  <c r="BD101" i="6" s="1"/>
  <c r="BD102" i="6" a="1"/>
  <c r="BD102" i="6" s="1"/>
  <c r="BD103" i="6" a="1"/>
  <c r="BD103" i="6" s="1"/>
  <c r="BD104" i="6" a="1"/>
  <c r="BD104" i="6" s="1"/>
  <c r="BD105" i="6" a="1"/>
  <c r="BD105" i="6" s="1"/>
  <c r="BD106" i="6" a="1"/>
  <c r="BD106" i="6" s="1"/>
  <c r="BD107" i="6" a="1"/>
  <c r="BD107" i="6" s="1"/>
  <c r="BD108" i="6" a="1"/>
  <c r="BD108" i="6" s="1"/>
  <c r="BD109" i="6" a="1"/>
  <c r="BD109" i="6" s="1"/>
  <c r="BD110" i="6" a="1"/>
  <c r="BD110" i="6" s="1"/>
  <c r="BD111" i="6" a="1"/>
  <c r="BD111" i="6" s="1"/>
  <c r="BD112" i="6" a="1"/>
  <c r="BD112" i="6" s="1"/>
  <c r="BD113" i="6" a="1"/>
  <c r="BD113" i="6" s="1"/>
  <c r="BD114" i="6" a="1"/>
  <c r="BD114" i="6" s="1"/>
  <c r="BD115" i="6" a="1"/>
  <c r="BD115" i="6" s="1"/>
  <c r="BD116" i="6" a="1"/>
  <c r="BD116" i="6" s="1"/>
  <c r="BD117" i="6" a="1"/>
  <c r="BD117" i="6" s="1"/>
  <c r="BD118" i="6" a="1"/>
  <c r="BD118" i="6" s="1"/>
  <c r="BD119" i="6" a="1"/>
  <c r="BD119" i="6" s="1"/>
  <c r="BD120" i="6" a="1"/>
  <c r="BD120" i="6" s="1"/>
  <c r="BD121" i="6" a="1"/>
  <c r="BD121" i="6" s="1"/>
  <c r="BD122" i="6" a="1"/>
  <c r="BD122" i="6" s="1"/>
  <c r="BD123" i="6" a="1"/>
  <c r="BD123" i="6" s="1"/>
  <c r="BD124" i="6" a="1"/>
  <c r="BD124" i="6" s="1"/>
  <c r="BD125" i="6" a="1"/>
  <c r="BD125" i="6" s="1"/>
  <c r="BD126" i="6" a="1"/>
  <c r="BD126" i="6" s="1"/>
  <c r="BD127" i="6" a="1"/>
  <c r="BD127" i="6" s="1"/>
  <c r="BD128" i="6" a="1"/>
  <c r="BD128" i="6" s="1"/>
  <c r="BD129" i="6" a="1"/>
  <c r="BD129" i="6" s="1"/>
  <c r="BD130" i="6" a="1"/>
  <c r="BD130" i="6" s="1"/>
  <c r="BD131" i="6" a="1"/>
  <c r="BD131" i="6" s="1"/>
  <c r="BD132" i="6" a="1"/>
  <c r="BD132" i="6" s="1"/>
  <c r="BD133" i="6" a="1"/>
  <c r="BD133" i="6" s="1"/>
  <c r="BD134" i="6" a="1"/>
  <c r="BD134" i="6" s="1"/>
  <c r="BD135" i="6" a="1"/>
  <c r="BD135" i="6" s="1"/>
  <c r="BD136" i="6" a="1"/>
  <c r="BD136" i="6"/>
  <c r="BD137" i="6" a="1"/>
  <c r="BD137" i="6" s="1"/>
  <c r="BD138" i="6" a="1"/>
  <c r="BD138" i="6" s="1"/>
  <c r="BD139" i="6" a="1"/>
  <c r="BD139" i="6" s="1"/>
  <c r="BD140" i="6" a="1"/>
  <c r="BD140" i="6" s="1"/>
  <c r="BD141" i="6" a="1"/>
  <c r="BD141" i="6" s="1"/>
  <c r="BD142" i="6" a="1"/>
  <c r="BD142" i="6" s="1"/>
  <c r="BD143" i="6" a="1"/>
  <c r="BD143" i="6" s="1"/>
  <c r="BD144" i="6" a="1"/>
  <c r="BD144" i="6" s="1"/>
  <c r="BD145" i="6" a="1"/>
  <c r="BD145" i="6" s="1"/>
  <c r="BD146" i="6" a="1"/>
  <c r="BD146" i="6" s="1"/>
  <c r="BD147" i="6" a="1"/>
  <c r="BD147" i="6" s="1"/>
  <c r="BD148" i="6" a="1"/>
  <c r="BD148" i="6" s="1"/>
  <c r="BD149" i="6" a="1"/>
  <c r="BD149" i="6" s="1"/>
  <c r="BD150" i="6" a="1"/>
  <c r="BD150" i="6" s="1"/>
  <c r="BD151" i="6" a="1"/>
  <c r="BD151" i="6" s="1"/>
  <c r="BD152" i="6" a="1"/>
  <c r="BD152" i="6" s="1"/>
  <c r="BD153" i="6" a="1"/>
  <c r="BD153" i="6" s="1"/>
  <c r="BD154" i="6" a="1"/>
  <c r="BD154" i="6" s="1"/>
  <c r="BD155" i="6" a="1"/>
  <c r="BD155" i="6" s="1"/>
  <c r="BD156" i="6" a="1"/>
  <c r="BD156" i="6" s="1"/>
  <c r="BD157" i="6" a="1"/>
  <c r="BD157" i="6" s="1"/>
  <c r="BD158" i="6" a="1"/>
  <c r="BD158" i="6" s="1"/>
  <c r="BD159" i="6" a="1"/>
  <c r="BD159" i="6" s="1"/>
  <c r="BD160" i="6" a="1"/>
  <c r="BD160" i="6" s="1"/>
  <c r="BD161" i="6" a="1"/>
  <c r="BD161" i="6" s="1"/>
  <c r="BD162" i="6" a="1"/>
  <c r="BD162" i="6" s="1"/>
  <c r="BD163" i="6" a="1"/>
  <c r="BD163" i="6" s="1"/>
  <c r="BD164" i="6" a="1"/>
  <c r="BD164" i="6" s="1"/>
  <c r="BD165" i="6" a="1"/>
  <c r="BD165" i="6" s="1"/>
  <c r="BD166" i="6" a="1"/>
  <c r="BD166" i="6" s="1"/>
  <c r="BD167" i="6" a="1"/>
  <c r="BD167" i="6" s="1"/>
  <c r="BD168" i="6" a="1"/>
  <c r="BD168" i="6"/>
  <c r="BD169" i="6" a="1"/>
  <c r="BD169" i="6" s="1"/>
  <c r="BD170" i="6" a="1"/>
  <c r="BD170" i="6" s="1"/>
  <c r="BD171" i="6" a="1"/>
  <c r="BD171" i="6" s="1"/>
  <c r="BD172" i="6" a="1"/>
  <c r="BD172" i="6" s="1"/>
  <c r="BD173" i="6" a="1"/>
  <c r="BD173" i="6" s="1"/>
  <c r="BD174" i="6" a="1"/>
  <c r="BD174" i="6" s="1"/>
  <c r="BD175" i="6" a="1"/>
  <c r="BD175" i="6" s="1"/>
  <c r="BD176" i="6" a="1"/>
  <c r="BD176" i="6" s="1"/>
  <c r="BD177" i="6" a="1"/>
  <c r="BD177" i="6" s="1"/>
  <c r="BD178" i="6" a="1"/>
  <c r="BD178" i="6" s="1"/>
  <c r="BD179" i="6" a="1"/>
  <c r="BD179" i="6" s="1"/>
  <c r="BD180" i="6" a="1"/>
  <c r="BD180" i="6" s="1"/>
  <c r="BD181" i="6" a="1"/>
  <c r="BD181" i="6" s="1"/>
  <c r="BD182" i="6" a="1"/>
  <c r="BD182" i="6" s="1"/>
  <c r="BD183" i="6" a="1"/>
  <c r="BD183" i="6" s="1"/>
  <c r="BD184" i="6" a="1"/>
  <c r="BD184" i="6" s="1"/>
  <c r="BD185" i="6" a="1"/>
  <c r="BD185" i="6" s="1"/>
  <c r="BD186" i="6" a="1"/>
  <c r="BD186" i="6" s="1"/>
  <c r="BD187" i="6" a="1"/>
  <c r="BD187" i="6" s="1"/>
  <c r="BD188" i="6" a="1"/>
  <c r="BD188" i="6" s="1"/>
  <c r="BD189" i="6" a="1"/>
  <c r="BD189" i="6" s="1"/>
  <c r="BD190" i="6" a="1"/>
  <c r="BD190" i="6" s="1"/>
  <c r="BD191" i="6" a="1"/>
  <c r="BD191" i="6" s="1"/>
  <c r="BD192" i="6" a="1"/>
  <c r="BD192" i="6" s="1"/>
  <c r="BD193" i="6" a="1"/>
  <c r="BD193" i="6" s="1"/>
  <c r="BD194" i="6" a="1"/>
  <c r="BD194" i="6" s="1"/>
  <c r="BD195" i="6" a="1"/>
  <c r="BD195" i="6" s="1"/>
  <c r="BD196" i="6" a="1"/>
  <c r="BD196" i="6" s="1"/>
  <c r="BD197" i="6" a="1"/>
  <c r="BD197" i="6" s="1"/>
  <c r="BD198" i="6" a="1"/>
  <c r="BD198" i="6" s="1"/>
  <c r="BD199" i="6" a="1"/>
  <c r="BD199" i="6" s="1"/>
  <c r="BD200" i="6" a="1"/>
  <c r="BD200" i="6" s="1"/>
  <c r="BD201" i="6" a="1"/>
  <c r="BD201" i="6" s="1"/>
  <c r="BD202" i="6" a="1"/>
  <c r="BD202" i="6" s="1"/>
  <c r="BD203" i="6" a="1"/>
  <c r="BD203" i="6" s="1"/>
  <c r="BD204" i="6" a="1"/>
  <c r="BD204" i="6" s="1"/>
  <c r="BD205" i="6" a="1"/>
  <c r="BD205" i="6" s="1"/>
  <c r="BD206" i="6" a="1"/>
  <c r="BD206" i="6" s="1"/>
  <c r="BD207" i="6" a="1"/>
  <c r="BD207" i="6" s="1"/>
  <c r="BD208" i="6" a="1"/>
  <c r="BD208" i="6" s="1"/>
  <c r="BD209" i="6" a="1"/>
  <c r="BD209" i="6" s="1"/>
  <c r="BD210" i="6" a="1"/>
  <c r="BD210" i="6" s="1"/>
  <c r="BD211" i="6" a="1"/>
  <c r="BD211" i="6" s="1"/>
  <c r="BD212" i="6" a="1"/>
  <c r="BD212" i="6" s="1"/>
  <c r="BD213" i="6" a="1"/>
  <c r="BD213" i="6" s="1"/>
  <c r="BD214" i="6" a="1"/>
  <c r="BD214" i="6" s="1"/>
  <c r="BD215" i="6" a="1"/>
  <c r="BD215" i="6" s="1"/>
  <c r="BD216" i="6" a="1"/>
  <c r="BD216" i="6" s="1"/>
  <c r="BD217" i="6" a="1"/>
  <c r="BD217" i="6" s="1"/>
  <c r="BD218" i="6" a="1"/>
  <c r="BD218" i="6" s="1"/>
  <c r="BD219" i="6" a="1"/>
  <c r="BD219" i="6" s="1"/>
  <c r="BD220" i="6" a="1"/>
  <c r="BD220" i="6" s="1"/>
  <c r="BD221" i="6" a="1"/>
  <c r="BD221" i="6" s="1"/>
  <c r="BD222" i="6" a="1"/>
  <c r="BD222" i="6" s="1"/>
  <c r="BD223" i="6" a="1"/>
  <c r="BD223" i="6" s="1"/>
  <c r="BD224" i="6" a="1"/>
  <c r="BD224" i="6" s="1"/>
  <c r="BD225" i="6" a="1"/>
  <c r="BD225" i="6" s="1"/>
  <c r="BD226" i="6" a="1"/>
  <c r="BD226" i="6" s="1"/>
  <c r="BD227" i="6" a="1"/>
  <c r="BD227" i="6" s="1"/>
  <c r="BD228" i="6" a="1"/>
  <c r="BD228" i="6" s="1"/>
  <c r="BD229" i="6" a="1"/>
  <c r="BD229" i="6" s="1"/>
  <c r="BD230" i="6" a="1"/>
  <c r="BD230" i="6" s="1"/>
  <c r="BD231" i="6" a="1"/>
  <c r="BD231" i="6" s="1"/>
  <c r="BD232" i="6" a="1"/>
  <c r="BD232" i="6" s="1"/>
  <c r="BD233" i="6" a="1"/>
  <c r="BD233" i="6" s="1"/>
  <c r="BD234" i="6" a="1"/>
  <c r="BD234" i="6" s="1"/>
  <c r="BD235" i="6" a="1"/>
  <c r="BD235" i="6" s="1"/>
  <c r="BD236" i="6" a="1"/>
  <c r="BD236" i="6" s="1"/>
  <c r="BD237" i="6" a="1"/>
  <c r="BD237" i="6" s="1"/>
  <c r="BD238" i="6" a="1"/>
  <c r="BD238" i="6" s="1"/>
  <c r="BD239" i="6" a="1"/>
  <c r="BD239" i="6" s="1"/>
  <c r="BD240" i="6" a="1"/>
  <c r="BD240" i="6" s="1"/>
  <c r="BD241" i="6" a="1"/>
  <c r="BD241" i="6" s="1"/>
  <c r="BD242" i="6" a="1"/>
  <c r="BD242" i="6" s="1"/>
  <c r="BD243" i="6" a="1"/>
  <c r="BD243" i="6" s="1"/>
  <c r="BD244" i="6" a="1"/>
  <c r="BD244" i="6" s="1"/>
  <c r="BD245" i="6" a="1"/>
  <c r="BD245" i="6" s="1"/>
  <c r="BD246" i="6" a="1"/>
  <c r="BD246" i="6" s="1"/>
  <c r="BD247" i="6" a="1"/>
  <c r="BD247" i="6" s="1"/>
  <c r="BD248" i="6" a="1"/>
  <c r="BD248" i="6" s="1"/>
  <c r="BD249" i="6" a="1"/>
  <c r="BD249" i="6" s="1"/>
  <c r="BD250" i="6" a="1"/>
  <c r="BD250" i="6" s="1"/>
  <c r="BD251" i="6" a="1"/>
  <c r="BD251" i="6" s="1"/>
  <c r="BD252" i="6" a="1"/>
  <c r="BD252" i="6" s="1"/>
  <c r="BD253" i="6" a="1"/>
  <c r="BD253" i="6" s="1"/>
  <c r="BD254" i="6" a="1"/>
  <c r="BD254" i="6" s="1"/>
  <c r="BD255" i="6" a="1"/>
  <c r="BD255" i="6" s="1"/>
  <c r="BD256" i="6" a="1"/>
  <c r="BD256" i="6" s="1"/>
  <c r="BD257" i="6" a="1"/>
  <c r="BD257" i="6" s="1"/>
  <c r="BD258" i="6" a="1"/>
  <c r="BD258" i="6" s="1"/>
  <c r="BD259" i="6" a="1"/>
  <c r="BD259" i="6" s="1"/>
  <c r="BD260" i="6" a="1"/>
  <c r="BD260" i="6" s="1"/>
  <c r="BD261" i="6" a="1"/>
  <c r="BD261" i="6" s="1"/>
  <c r="BD262" i="6" a="1"/>
  <c r="BD262" i="6" s="1"/>
  <c r="BD263" i="6" a="1"/>
  <c r="BD263" i="6" s="1"/>
  <c r="BD264" i="6" a="1"/>
  <c r="BD264" i="6" s="1"/>
  <c r="BD265" i="6" a="1"/>
  <c r="BD265" i="6" s="1"/>
  <c r="BD266" i="6" a="1"/>
  <c r="BD266" i="6" s="1"/>
  <c r="BD267" i="6" a="1"/>
  <c r="BD267" i="6" s="1"/>
  <c r="BD268" i="6" a="1"/>
  <c r="BD268" i="6" s="1"/>
  <c r="BD269" i="6" a="1"/>
  <c r="BD269" i="6" s="1"/>
  <c r="BD270" i="6" a="1"/>
  <c r="BD270" i="6" s="1"/>
  <c r="BD271" i="6" a="1"/>
  <c r="BD271" i="6" s="1"/>
  <c r="BD272" i="6" a="1"/>
  <c r="BD272" i="6" s="1"/>
  <c r="BD273" i="6" a="1"/>
  <c r="BD273" i="6" s="1"/>
  <c r="BD274" i="6" a="1"/>
  <c r="BD274" i="6" s="1"/>
  <c r="BD275" i="6" a="1"/>
  <c r="BD275" i="6" s="1"/>
  <c r="BD276" i="6" a="1"/>
  <c r="BD276" i="6" s="1"/>
  <c r="BD277" i="6" a="1"/>
  <c r="BD277" i="6" s="1"/>
  <c r="BD278" i="6" a="1"/>
  <c r="BD278" i="6" s="1"/>
  <c r="BD279" i="6" a="1"/>
  <c r="BD279" i="6" s="1"/>
  <c r="BD280" i="6" a="1"/>
  <c r="BD280" i="6" s="1"/>
  <c r="BD281" i="6" a="1"/>
  <c r="BD281" i="6" s="1"/>
  <c r="BD282" i="6" a="1"/>
  <c r="BD282" i="6" s="1"/>
  <c r="BD283" i="6" a="1"/>
  <c r="BD283" i="6" s="1"/>
  <c r="BD284" i="6" a="1"/>
  <c r="BD284" i="6" s="1"/>
  <c r="BD285" i="6" a="1"/>
  <c r="BD285" i="6" s="1"/>
  <c r="BD286" i="6" a="1"/>
  <c r="BD286" i="6" s="1"/>
  <c r="BD287" i="6" a="1"/>
  <c r="BD287" i="6" s="1"/>
  <c r="BD288" i="6" a="1"/>
  <c r="BD288" i="6" s="1"/>
  <c r="BD289" i="6" a="1"/>
  <c r="BD289" i="6" s="1"/>
  <c r="BD290" i="6" a="1"/>
  <c r="BD290" i="6" s="1"/>
  <c r="BD291" i="6" a="1"/>
  <c r="BD291" i="6"/>
  <c r="BD292" i="6" a="1"/>
  <c r="BD292" i="6" s="1"/>
  <c r="BD293" i="6" a="1"/>
  <c r="BD293" i="6" s="1"/>
  <c r="BD294" i="6" a="1"/>
  <c r="BD294" i="6" s="1"/>
  <c r="BD295" i="6" a="1"/>
  <c r="BD295" i="6" s="1"/>
  <c r="BD296" i="6" a="1"/>
  <c r="BD296" i="6" s="1"/>
  <c r="BD297" i="6" a="1"/>
  <c r="BD297" i="6" s="1"/>
  <c r="BD298" i="6" a="1"/>
  <c r="BD298" i="6" s="1"/>
  <c r="BD299" i="6" a="1"/>
  <c r="BD299" i="6" s="1"/>
  <c r="BD300" i="6" a="1"/>
  <c r="BD300" i="6" s="1"/>
  <c r="BD301" i="6" a="1"/>
  <c r="BD301" i="6" s="1"/>
  <c r="BD302" i="6" a="1"/>
  <c r="BD302" i="6" s="1"/>
  <c r="BD303" i="6" a="1"/>
  <c r="BD303" i="6" s="1"/>
  <c r="BD304" i="6" a="1"/>
  <c r="BD304" i="6" s="1"/>
  <c r="BD305" i="6" a="1"/>
  <c r="BD305" i="6" s="1"/>
  <c r="BD306" i="6" a="1"/>
  <c r="BD306" i="6" s="1"/>
  <c r="BD307" i="6" a="1"/>
  <c r="BD307" i="6" s="1"/>
  <c r="BD308" i="6" a="1"/>
  <c r="BD308" i="6" s="1"/>
  <c r="BD309" i="6" a="1"/>
  <c r="BD309" i="6" s="1"/>
  <c r="BD310" i="6" a="1"/>
  <c r="BD310" i="6" s="1"/>
  <c r="BD311" i="6" a="1"/>
  <c r="BD311" i="6" s="1"/>
  <c r="BD312" i="6" a="1"/>
  <c r="BD312" i="6" s="1"/>
  <c r="BD313" i="6" a="1"/>
  <c r="BD313" i="6" s="1"/>
  <c r="BD314" i="6" a="1"/>
  <c r="BD314" i="6" s="1"/>
  <c r="BD315" i="6" a="1"/>
  <c r="BD315" i="6" s="1"/>
  <c r="BD316" i="6" a="1"/>
  <c r="BD316" i="6" s="1"/>
  <c r="BD317" i="6" a="1"/>
  <c r="BD317" i="6" s="1"/>
  <c r="BD318" i="6" a="1"/>
  <c r="BD318" i="6" s="1"/>
  <c r="BD319" i="6" a="1"/>
  <c r="BD319" i="6" s="1"/>
  <c r="BD320" i="6" a="1"/>
  <c r="BD320" i="6" s="1"/>
  <c r="BD321" i="6" a="1"/>
  <c r="BD321" i="6" s="1"/>
  <c r="BD322" i="6" a="1"/>
  <c r="BD322" i="6" s="1"/>
  <c r="BD323" i="6" a="1"/>
  <c r="BD323" i="6" s="1"/>
  <c r="BD324" i="6" a="1"/>
  <c r="BD324" i="6" s="1"/>
  <c r="BD325" i="6" a="1"/>
  <c r="BD325" i="6" s="1"/>
  <c r="BD326" i="6" a="1"/>
  <c r="BD326" i="6" s="1"/>
  <c r="BD327" i="6" a="1"/>
  <c r="BD327" i="6" s="1"/>
  <c r="BD328" i="6" a="1"/>
  <c r="BD328" i="6" s="1"/>
  <c r="BD329" i="6" a="1"/>
  <c r="BD329" i="6" s="1"/>
  <c r="BD330" i="6" a="1"/>
  <c r="BD330" i="6" s="1"/>
  <c r="BD331" i="6" a="1"/>
  <c r="BD331" i="6" s="1"/>
  <c r="BD332" i="6" a="1"/>
  <c r="BD332" i="6" s="1"/>
  <c r="BD333" i="6" a="1"/>
  <c r="BD333" i="6" s="1"/>
  <c r="BD334" i="6" a="1"/>
  <c r="BD334" i="6" s="1"/>
  <c r="BD335" i="6" a="1"/>
  <c r="BD335" i="6" s="1"/>
  <c r="BD336" i="6" a="1"/>
  <c r="BD336" i="6" s="1"/>
  <c r="BD337" i="6" a="1"/>
  <c r="BD337" i="6" s="1"/>
  <c r="BD338" i="6" a="1"/>
  <c r="BD338" i="6" s="1"/>
  <c r="BD339" i="6" a="1"/>
  <c r="BD339" i="6" s="1"/>
  <c r="BD340" i="6" a="1"/>
  <c r="BD340" i="6" s="1"/>
  <c r="BD341" i="6" a="1"/>
  <c r="BD341" i="6" s="1"/>
  <c r="BD342" i="6" a="1"/>
  <c r="BD342" i="6" s="1"/>
  <c r="BD343" i="6" a="1"/>
  <c r="BD343" i="6" s="1"/>
  <c r="BD344" i="6" a="1"/>
  <c r="BD344" i="6" s="1"/>
  <c r="BD345" i="6" a="1"/>
  <c r="BD345" i="6" s="1"/>
  <c r="BD346" i="6" a="1"/>
  <c r="BD346" i="6" s="1"/>
  <c r="BD347" i="6" a="1"/>
  <c r="BD347" i="6" s="1"/>
  <c r="BD348" i="6" a="1"/>
  <c r="BD348" i="6" s="1"/>
  <c r="BD349" i="6" a="1"/>
  <c r="BD349" i="6" s="1"/>
  <c r="BD350" i="6" a="1"/>
  <c r="BD350" i="6" s="1"/>
  <c r="BD351" i="6" a="1"/>
  <c r="BD351" i="6" s="1"/>
  <c r="BD352" i="6" a="1"/>
  <c r="BD352" i="6" s="1"/>
  <c r="BD353" i="6" a="1"/>
  <c r="BD353" i="6" s="1"/>
  <c r="BD354" i="6" a="1"/>
  <c r="BD354" i="6" s="1"/>
  <c r="BD355" i="6" a="1"/>
  <c r="BD355" i="6" s="1"/>
  <c r="BD356" i="6" a="1"/>
  <c r="BD356" i="6" s="1"/>
  <c r="BD357" i="6" a="1"/>
  <c r="BD357" i="6" s="1"/>
  <c r="BD358" i="6" a="1"/>
  <c r="BD358" i="6" s="1"/>
  <c r="BD359" i="6" a="1"/>
  <c r="BD359" i="6" s="1"/>
  <c r="BD360" i="6" a="1"/>
  <c r="BD360" i="6" s="1"/>
  <c r="BD361" i="6" a="1"/>
  <c r="BD361" i="6" s="1"/>
  <c r="BD362" i="6" a="1"/>
  <c r="BD362" i="6" s="1"/>
  <c r="BD363" i="6" a="1"/>
  <c r="BD363" i="6" s="1"/>
  <c r="BD364" i="6" a="1"/>
  <c r="BD364" i="6" s="1"/>
  <c r="BD365" i="6" a="1"/>
  <c r="BD365" i="6" s="1"/>
  <c r="BD366" i="6" a="1"/>
  <c r="BD366" i="6" s="1"/>
  <c r="BD367" i="6" a="1"/>
  <c r="BD367" i="6" s="1"/>
  <c r="BD368" i="6" a="1"/>
  <c r="BD368" i="6" s="1"/>
  <c r="BD369" i="6" a="1"/>
  <c r="BD369" i="6" s="1"/>
  <c r="BD370" i="6" a="1"/>
  <c r="BD370" i="6" s="1"/>
  <c r="BD371" i="6" a="1"/>
  <c r="BD371" i="6" s="1"/>
  <c r="BD372" i="6" a="1"/>
  <c r="BD372" i="6" s="1"/>
  <c r="BD373" i="6" a="1"/>
  <c r="BD373" i="6" s="1"/>
  <c r="BD374" i="6" a="1"/>
  <c r="BD374" i="6" s="1"/>
  <c r="BD375" i="6" a="1"/>
  <c r="BD375" i="6" s="1"/>
  <c r="BD376" i="6" a="1"/>
  <c r="BD376" i="6" s="1"/>
  <c r="BD377" i="6" a="1"/>
  <c r="BD377" i="6" s="1"/>
  <c r="BD378" i="6" a="1"/>
  <c r="BD378" i="6" s="1"/>
  <c r="BD379" i="6" a="1"/>
  <c r="BD379" i="6" s="1"/>
  <c r="BD380" i="6" a="1"/>
  <c r="BD380" i="6" s="1"/>
  <c r="BD381" i="6" a="1"/>
  <c r="BD381" i="6" s="1"/>
  <c r="BD382" i="6" a="1"/>
  <c r="BD382" i="6" s="1"/>
  <c r="BD383" i="6" a="1"/>
  <c r="BD383" i="6" s="1"/>
  <c r="BD384" i="6" a="1"/>
  <c r="BD384" i="6" s="1"/>
  <c r="BD385" i="6" a="1"/>
  <c r="BD385" i="6" s="1"/>
  <c r="BD386" i="6" a="1"/>
  <c r="BD386" i="6" s="1"/>
  <c r="BD387" i="6" a="1"/>
  <c r="BD387" i="6" s="1"/>
  <c r="BD388" i="6" a="1"/>
  <c r="BD388" i="6" s="1"/>
  <c r="BD389" i="6" a="1"/>
  <c r="BD389" i="6" s="1"/>
  <c r="BD390" i="6" a="1"/>
  <c r="BD390" i="6" s="1"/>
  <c r="BD391" i="6" a="1"/>
  <c r="BD391" i="6" s="1"/>
  <c r="BD392" i="6" a="1"/>
  <c r="BD392" i="6" s="1"/>
  <c r="BD393" i="6" a="1"/>
  <c r="BD393" i="6" s="1"/>
  <c r="BD394" i="6" a="1"/>
  <c r="BD394" i="6" s="1"/>
  <c r="BD395" i="6" a="1"/>
  <c r="BD395" i="6" s="1"/>
  <c r="BD396" i="6" a="1"/>
  <c r="BD396" i="6" s="1"/>
  <c r="BD397" i="6" a="1"/>
  <c r="BD397" i="6" s="1"/>
  <c r="BD398" i="6" a="1"/>
  <c r="BD398" i="6" s="1"/>
  <c r="BD399" i="6" a="1"/>
  <c r="BD399" i="6" s="1"/>
  <c r="BD400" i="6" a="1"/>
  <c r="BD400" i="6" s="1"/>
  <c r="BD401" i="6" a="1"/>
  <c r="BD401" i="6" s="1"/>
  <c r="BD402" i="6" a="1"/>
  <c r="BD402" i="6" s="1"/>
  <c r="BD403" i="6" a="1"/>
  <c r="BD403" i="6" s="1"/>
  <c r="BD404" i="6" a="1"/>
  <c r="BD404" i="6" s="1"/>
  <c r="BD405" i="6" a="1"/>
  <c r="BD405" i="6" s="1"/>
  <c r="BD406" i="6" a="1"/>
  <c r="BD406" i="6" s="1"/>
  <c r="BD407" i="6" a="1"/>
  <c r="BD407" i="6" s="1"/>
  <c r="BD408" i="6" a="1"/>
  <c r="BD408" i="6" s="1"/>
  <c r="BD409" i="6" a="1"/>
  <c r="BD409" i="6" s="1"/>
  <c r="BD410" i="6" a="1"/>
  <c r="BD410" i="6" s="1"/>
  <c r="BD411" i="6" a="1"/>
  <c r="BD411" i="6" s="1"/>
  <c r="BD412" i="6" a="1"/>
  <c r="BD412" i="6" s="1"/>
  <c r="BD413" i="6" a="1"/>
  <c r="BD413" i="6" s="1"/>
  <c r="BD414" i="6" a="1"/>
  <c r="BD414" i="6" s="1"/>
  <c r="BD415" i="6" a="1"/>
  <c r="BD415" i="6" s="1"/>
  <c r="BD416" i="6" a="1"/>
  <c r="BD416" i="6" s="1"/>
  <c r="BD417" i="6" a="1"/>
  <c r="BD417" i="6" s="1"/>
  <c r="BD418" i="6" a="1"/>
  <c r="BD418" i="6" s="1"/>
  <c r="BD419" i="6" a="1"/>
  <c r="BD419" i="6" s="1"/>
  <c r="BD420" i="6" a="1"/>
  <c r="BD420" i="6" s="1"/>
  <c r="BD421" i="6" a="1"/>
  <c r="BD421" i="6" s="1"/>
  <c r="BD422" i="6" a="1"/>
  <c r="BD422" i="6" s="1"/>
  <c r="BD423" i="6" a="1"/>
  <c r="BD423" i="6" s="1"/>
  <c r="BD424" i="6" a="1"/>
  <c r="BD424" i="6" s="1"/>
  <c r="BD425" i="6" a="1"/>
  <c r="BD425" i="6" s="1"/>
  <c r="BD426" i="6" a="1"/>
  <c r="BD426" i="6" s="1"/>
  <c r="BD427" i="6" a="1"/>
  <c r="BD427" i="6" s="1"/>
  <c r="BD428" i="6" a="1"/>
  <c r="BD428" i="6" s="1"/>
  <c r="BD429" i="6" a="1"/>
  <c r="BD429" i="6" s="1"/>
  <c r="BD430" i="6" a="1"/>
  <c r="BD430" i="6" s="1"/>
  <c r="BD431" i="6" a="1"/>
  <c r="BD431" i="6" s="1"/>
  <c r="BD432" i="6" a="1"/>
  <c r="BD432" i="6" s="1"/>
  <c r="BD433" i="6" a="1"/>
  <c r="BD433" i="6" s="1"/>
  <c r="BD434" i="6" a="1"/>
  <c r="BD434" i="6" s="1"/>
  <c r="BD435" i="6" a="1"/>
  <c r="BD435" i="6" s="1"/>
  <c r="BD436" i="6" a="1"/>
  <c r="BD436" i="6" s="1"/>
  <c r="BD437" i="6" a="1"/>
  <c r="BD437" i="6" s="1"/>
  <c r="BD438" i="6" a="1"/>
  <c r="BD438" i="6" s="1"/>
  <c r="BD439" i="6" a="1"/>
  <c r="BD439" i="6" s="1"/>
  <c r="BD440" i="6" a="1"/>
  <c r="BD440" i="6" s="1"/>
  <c r="BD441" i="6" a="1"/>
  <c r="BD441" i="6" s="1"/>
  <c r="BD442" i="6" a="1"/>
  <c r="BD442" i="6" s="1"/>
  <c r="BD443" i="6" a="1"/>
  <c r="BD443" i="6" s="1"/>
  <c r="BD444" i="6" a="1"/>
  <c r="BD444" i="6" s="1"/>
  <c r="BD445" i="6" a="1"/>
  <c r="BD445" i="6" s="1"/>
  <c r="BD446" i="6" a="1"/>
  <c r="BD446" i="6" s="1"/>
  <c r="BD447" i="6" a="1"/>
  <c r="BD447" i="6" s="1"/>
  <c r="BD448" i="6" a="1"/>
  <c r="BD448" i="6" s="1"/>
  <c r="BD449" i="6" a="1"/>
  <c r="BD449" i="6" s="1"/>
  <c r="BD450" i="6" a="1"/>
  <c r="BD450" i="6" s="1"/>
  <c r="BD451" i="6" a="1"/>
  <c r="BD451" i="6" s="1"/>
  <c r="BD452" i="6" a="1"/>
  <c r="BD452" i="6" s="1"/>
  <c r="BD453" i="6" a="1"/>
  <c r="BD453" i="6" s="1"/>
  <c r="BD454" i="6" a="1"/>
  <c r="BD454" i="6" s="1"/>
  <c r="BD455" i="6" a="1"/>
  <c r="BD455" i="6" s="1"/>
  <c r="BD456" i="6" a="1"/>
  <c r="BD456" i="6" s="1"/>
  <c r="BD457" i="6" a="1"/>
  <c r="BD457" i="6" s="1"/>
  <c r="BD458" i="6" a="1"/>
  <c r="BD458" i="6" s="1"/>
  <c r="BD459" i="6" a="1"/>
  <c r="BD459" i="6" s="1"/>
  <c r="BD460" i="6" a="1"/>
  <c r="BD460" i="6" s="1"/>
  <c r="BD461" i="6" a="1"/>
  <c r="BD461" i="6" s="1"/>
  <c r="BD462" i="6" a="1"/>
  <c r="BD462" i="6" s="1"/>
  <c r="BD463" i="6" a="1"/>
  <c r="BD463" i="6" s="1"/>
  <c r="BD464" i="6" a="1"/>
  <c r="BD464" i="6" s="1"/>
  <c r="BD465" i="6" a="1"/>
  <c r="BD465" i="6" s="1"/>
  <c r="BD466" i="6" a="1"/>
  <c r="BD466" i="6" s="1"/>
  <c r="BD467" i="6" a="1"/>
  <c r="BD467" i="6" s="1"/>
  <c r="BD468" i="6" a="1"/>
  <c r="BD468" i="6" s="1"/>
  <c r="BD469" i="6" a="1"/>
  <c r="BD469" i="6" s="1"/>
  <c r="BD470" i="6" a="1"/>
  <c r="BD470" i="6" s="1"/>
  <c r="BD471" i="6" a="1"/>
  <c r="BD471" i="6" s="1"/>
  <c r="BD472" i="6" a="1"/>
  <c r="BD472" i="6" s="1"/>
  <c r="BD473" i="6" a="1"/>
  <c r="BD473" i="6" s="1"/>
  <c r="BD474" i="6" a="1"/>
  <c r="BD474" i="6" s="1"/>
  <c r="BD475" i="6" a="1"/>
  <c r="BD475" i="6" s="1"/>
  <c r="BD476" i="6" a="1"/>
  <c r="BD476" i="6" s="1"/>
  <c r="BD477" i="6" a="1"/>
  <c r="BD477" i="6" s="1"/>
  <c r="BD478" i="6" a="1"/>
  <c r="BD478" i="6" s="1"/>
  <c r="BD479" i="6" a="1"/>
  <c r="BD479" i="6" s="1"/>
  <c r="BD480" i="6" a="1"/>
  <c r="BD480" i="6" s="1"/>
  <c r="BD481" i="6" a="1"/>
  <c r="BD481" i="6" s="1"/>
  <c r="BD482" i="6" a="1"/>
  <c r="BD482" i="6" s="1"/>
  <c r="BD483" i="6" a="1"/>
  <c r="BD483" i="6" s="1"/>
  <c r="BD484" i="6" a="1"/>
  <c r="BD484" i="6" s="1"/>
  <c r="BD485" i="6" a="1"/>
  <c r="BD485" i="6" s="1"/>
  <c r="BD486" i="6" a="1"/>
  <c r="BD486" i="6" s="1"/>
  <c r="BD487" i="6" a="1"/>
  <c r="BD487" i="6" s="1"/>
  <c r="BD488" i="6" a="1"/>
  <c r="BD488" i="6" s="1"/>
  <c r="BD489" i="6" a="1"/>
  <c r="BD489" i="6" s="1"/>
  <c r="BD490" i="6" a="1"/>
  <c r="BD490" i="6" s="1"/>
  <c r="BD491" i="6" a="1"/>
  <c r="BD491" i="6" s="1"/>
  <c r="BD492" i="6" a="1"/>
  <c r="BD492" i="6" s="1"/>
  <c r="BD493" i="6" a="1"/>
  <c r="BD493" i="6" s="1"/>
  <c r="BD494" i="6" a="1"/>
  <c r="BD494" i="6" s="1"/>
  <c r="BD495" i="6" a="1"/>
  <c r="BD495" i="6" s="1"/>
  <c r="BD496" i="6" a="1"/>
  <c r="BD496" i="6" s="1"/>
  <c r="BD497" i="6" a="1"/>
  <c r="BD497" i="6" s="1"/>
  <c r="BD498" i="6" a="1"/>
  <c r="BD498" i="6" s="1"/>
  <c r="BD499" i="6" a="1"/>
  <c r="BD499" i="6" s="1"/>
  <c r="BD500" i="6" a="1"/>
  <c r="BD500" i="6" s="1"/>
  <c r="BD501" i="6" a="1"/>
  <c r="BD501" i="6" s="1"/>
  <c r="BD502" i="6" a="1"/>
  <c r="BD502" i="6" s="1"/>
  <c r="BD503" i="6" a="1"/>
  <c r="BD503" i="6" s="1"/>
  <c r="BD504" i="6" a="1"/>
  <c r="BD504" i="6" s="1"/>
  <c r="BD505" i="6" a="1"/>
  <c r="BD505" i="6" s="1"/>
  <c r="BD506" i="6" a="1"/>
  <c r="BD506" i="6" s="1"/>
  <c r="BD507" i="6" a="1"/>
  <c r="BD507" i="6" s="1"/>
  <c r="BD508" i="6" a="1"/>
  <c r="BD508" i="6" s="1"/>
  <c r="BD509" i="6" a="1"/>
  <c r="BD509" i="6" s="1"/>
  <c r="BD510" i="6" a="1"/>
  <c r="BD510" i="6" s="1"/>
  <c r="BD511" i="6" a="1"/>
  <c r="BD511" i="6" s="1"/>
  <c r="BD512" i="6" a="1"/>
  <c r="BD512" i="6" s="1"/>
  <c r="BD513" i="6" a="1"/>
  <c r="BD513" i="6" s="1"/>
  <c r="BD514" i="6" a="1"/>
  <c r="BD514" i="6" s="1"/>
  <c r="BD515" i="6" a="1"/>
  <c r="BD515" i="6" s="1"/>
  <c r="BD516" i="6" a="1"/>
  <c r="BD516" i="6" s="1"/>
  <c r="BD517" i="6" a="1"/>
  <c r="BD517" i="6" s="1"/>
  <c r="BD518" i="6" a="1"/>
  <c r="BD518" i="6" s="1"/>
  <c r="BD519" i="6" a="1"/>
  <c r="BD519" i="6" s="1"/>
  <c r="BD520" i="6" a="1"/>
  <c r="BD520" i="6" s="1"/>
  <c r="BD521" i="6" a="1"/>
  <c r="BD521" i="6" s="1"/>
  <c r="BD522" i="6" a="1"/>
  <c r="BD522" i="6" s="1"/>
  <c r="BD523" i="6" a="1"/>
  <c r="BD523" i="6" s="1"/>
  <c r="BD524" i="6" a="1"/>
  <c r="BD524" i="6" s="1"/>
  <c r="BD525" i="6" a="1"/>
  <c r="BD525" i="6" s="1"/>
  <c r="BD526" i="6" a="1"/>
  <c r="BD526" i="6" s="1"/>
  <c r="BD527" i="6" a="1"/>
  <c r="BD527" i="6" s="1"/>
  <c r="BD528" i="6" a="1"/>
  <c r="BD528" i="6" s="1"/>
  <c r="BD529" i="6" a="1"/>
  <c r="BD529" i="6" s="1"/>
  <c r="BD530" i="6" a="1"/>
  <c r="BD530" i="6" s="1"/>
  <c r="BD531" i="6" a="1"/>
  <c r="BD531" i="6" s="1"/>
  <c r="BD532" i="6" a="1"/>
  <c r="BD532" i="6" s="1"/>
  <c r="BD533" i="6" a="1"/>
  <c r="BD533" i="6" s="1"/>
  <c r="BD534" i="6" a="1"/>
  <c r="BD534" i="6" s="1"/>
  <c r="BD535" i="6" a="1"/>
  <c r="BD535" i="6" s="1"/>
  <c r="BD536" i="6" a="1"/>
  <c r="BD536" i="6" s="1"/>
  <c r="BD537" i="6" a="1"/>
  <c r="BD537" i="6" s="1"/>
  <c r="BD538" i="6" a="1"/>
  <c r="BD538" i="6" s="1"/>
  <c r="BD539" i="6" a="1"/>
  <c r="BD539" i="6" s="1"/>
  <c r="BD540" i="6" a="1"/>
  <c r="BD540" i="6" s="1"/>
  <c r="BD541" i="6" a="1"/>
  <c r="BD541" i="6" s="1"/>
  <c r="BD542" i="6" a="1"/>
  <c r="BD542" i="6" s="1"/>
  <c r="BD543" i="6" a="1"/>
  <c r="BD543" i="6" s="1"/>
  <c r="BD544" i="6" a="1"/>
  <c r="BD544" i="6" s="1"/>
  <c r="BD545" i="6" a="1"/>
  <c r="BD545" i="6" s="1"/>
  <c r="BD546" i="6" a="1"/>
  <c r="BD546" i="6" s="1"/>
  <c r="BD547" i="6" a="1"/>
  <c r="BD547" i="6" s="1"/>
  <c r="BD548" i="6" a="1"/>
  <c r="BD548" i="6" s="1"/>
  <c r="BD549" i="6" a="1"/>
  <c r="BD549" i="6" s="1"/>
  <c r="BD550" i="6" a="1"/>
  <c r="BD550" i="6" s="1"/>
  <c r="BD551" i="6" a="1"/>
  <c r="BD551" i="6" s="1"/>
  <c r="BD552" i="6" a="1"/>
  <c r="BD552" i="6" s="1"/>
  <c r="BD553" i="6" a="1"/>
  <c r="BD553" i="6" s="1"/>
  <c r="BD554" i="6" a="1"/>
  <c r="BD554" i="6" s="1"/>
  <c r="BD555" i="6" a="1"/>
  <c r="BD555" i="6" s="1"/>
  <c r="BD556" i="6" a="1"/>
  <c r="BD556" i="6" s="1"/>
  <c r="BD557" i="6" a="1"/>
  <c r="BD557" i="6" s="1"/>
  <c r="BD558" i="6" a="1"/>
  <c r="BD558" i="6" s="1"/>
  <c r="BD559" i="6" a="1"/>
  <c r="BD559" i="6" s="1"/>
  <c r="BD560" i="6" a="1"/>
  <c r="BD560" i="6" s="1"/>
  <c r="BD561" i="6" a="1"/>
  <c r="BD561" i="6" s="1"/>
  <c r="BD562" i="6" a="1"/>
  <c r="BD562" i="6" s="1"/>
  <c r="BD563" i="6" a="1"/>
  <c r="BD563" i="6" s="1"/>
  <c r="BD564" i="6" a="1"/>
  <c r="BD564" i="6" s="1"/>
  <c r="BD565" i="6" a="1"/>
  <c r="BD565" i="6" s="1"/>
  <c r="BD566" i="6" a="1"/>
  <c r="BD566" i="6" s="1"/>
  <c r="BD567" i="6" a="1"/>
  <c r="BD567" i="6" s="1"/>
  <c r="BD568" i="6" a="1"/>
  <c r="BD568" i="6" s="1"/>
  <c r="BD569" i="6" a="1"/>
  <c r="BD569" i="6" s="1"/>
  <c r="BD570" i="6" a="1"/>
  <c r="BD570" i="6" s="1"/>
  <c r="BD571" i="6" a="1"/>
  <c r="BD571" i="6" s="1"/>
  <c r="BD572" i="6" a="1"/>
  <c r="BD572" i="6" s="1"/>
  <c r="BD573" i="6" a="1"/>
  <c r="BD573" i="6" s="1"/>
  <c r="BD574" i="6" a="1"/>
  <c r="BD574" i="6" s="1"/>
  <c r="BD575" i="6" a="1"/>
  <c r="BD575" i="6" s="1"/>
  <c r="BD576" i="6" a="1"/>
  <c r="BD576" i="6" s="1"/>
  <c r="BD577" i="6" a="1"/>
  <c r="BD577" i="6" s="1"/>
  <c r="BD578" i="6" a="1"/>
  <c r="BD578" i="6" s="1"/>
  <c r="BD579" i="6" a="1"/>
  <c r="BD579" i="6" s="1"/>
  <c r="BD580" i="6" a="1"/>
  <c r="BD580" i="6" s="1"/>
  <c r="BD581" i="6" a="1"/>
  <c r="BD581" i="6" s="1"/>
  <c r="BD582" i="6" a="1"/>
  <c r="BD582" i="6" s="1"/>
  <c r="BD583" i="6" a="1"/>
  <c r="BD583" i="6" s="1"/>
  <c r="BD584" i="6" a="1"/>
  <c r="BD584" i="6" s="1"/>
  <c r="BD585" i="6" a="1"/>
  <c r="BD585" i="6" s="1"/>
  <c r="BD586" i="6" a="1"/>
  <c r="BD586" i="6" s="1"/>
  <c r="BD587" i="6" a="1"/>
  <c r="BD587" i="6" s="1"/>
  <c r="BD588" i="6" a="1"/>
  <c r="BD588" i="6" s="1"/>
  <c r="BD589" i="6" a="1"/>
  <c r="BD589" i="6" s="1"/>
  <c r="BD590" i="6" a="1"/>
  <c r="BD590" i="6" s="1"/>
  <c r="BD591" i="6" a="1"/>
  <c r="BD591" i="6" s="1"/>
  <c r="BD592" i="6" a="1"/>
  <c r="BD592" i="6" s="1"/>
  <c r="BD593" i="6" a="1"/>
  <c r="BD593" i="6" s="1"/>
  <c r="BD594" i="6" a="1"/>
  <c r="BD594" i="6" s="1"/>
  <c r="BD595" i="6" a="1"/>
  <c r="BD595" i="6" s="1"/>
  <c r="BD596" i="6" a="1"/>
  <c r="BD596" i="6" s="1"/>
  <c r="BD597" i="6" a="1"/>
  <c r="BD597" i="6" s="1"/>
  <c r="BD598" i="6" a="1"/>
  <c r="BD598" i="6" s="1"/>
  <c r="BD599" i="6" a="1"/>
  <c r="BD599" i="6" s="1"/>
  <c r="BD600" i="6" a="1"/>
  <c r="BD600" i="6" s="1"/>
  <c r="BD601" i="6" a="1"/>
  <c r="BD601" i="6" s="1"/>
  <c r="BD602" i="6" a="1"/>
  <c r="BD602" i="6" s="1"/>
  <c r="BD603" i="6" a="1"/>
  <c r="BD603" i="6" s="1"/>
  <c r="BD604" i="6" a="1"/>
  <c r="BD604" i="6" s="1"/>
  <c r="BD605" i="6" a="1"/>
  <c r="BD605" i="6" s="1"/>
  <c r="BD606" i="6" a="1"/>
  <c r="BD606" i="6" s="1"/>
  <c r="BD607" i="6" a="1"/>
  <c r="BD607" i="6" s="1"/>
  <c r="BD608" i="6" a="1"/>
  <c r="BD608" i="6" s="1"/>
  <c r="BD609" i="6" a="1"/>
  <c r="BD609" i="6" s="1"/>
  <c r="BD610" i="6" a="1"/>
  <c r="BD610" i="6" s="1"/>
  <c r="BD611" i="6" a="1"/>
  <c r="BD611" i="6" s="1"/>
  <c r="BD612" i="6" a="1"/>
  <c r="BD612" i="6" s="1"/>
  <c r="BD613" i="6" a="1"/>
  <c r="BD613" i="6" s="1"/>
  <c r="BD614" i="6" a="1"/>
  <c r="BD614" i="6" s="1"/>
  <c r="BD615" i="6" a="1"/>
  <c r="BD615" i="6" s="1"/>
  <c r="BD616" i="6" a="1"/>
  <c r="BD616" i="6" s="1"/>
  <c r="BD617" i="6" a="1"/>
  <c r="BD617" i="6" s="1"/>
  <c r="BD618" i="6" a="1"/>
  <c r="BD618" i="6" s="1"/>
  <c r="BD619" i="6" a="1"/>
  <c r="BD619" i="6" s="1"/>
  <c r="BD620" i="6" a="1"/>
  <c r="BD620" i="6" s="1"/>
  <c r="BD621" i="6" a="1"/>
  <c r="BD621" i="6" s="1"/>
  <c r="BD622" i="6" a="1"/>
  <c r="BD622" i="6" s="1"/>
  <c r="BD623" i="6" a="1"/>
  <c r="BD623" i="6" s="1"/>
  <c r="BD624" i="6" a="1"/>
  <c r="BD624" i="6" s="1"/>
  <c r="BD625" i="6" a="1"/>
  <c r="BD625" i="6" s="1"/>
  <c r="BD626" i="6" a="1"/>
  <c r="BD626" i="6" s="1"/>
  <c r="BD627" i="6" a="1"/>
  <c r="BD627" i="6" s="1"/>
  <c r="BD628" i="6" a="1"/>
  <c r="BD628" i="6" s="1"/>
  <c r="BD629" i="6" a="1"/>
  <c r="BD629" i="6" s="1"/>
  <c r="BD630" i="6" a="1"/>
  <c r="BD630" i="6" s="1"/>
  <c r="BD631" i="6" a="1"/>
  <c r="BD631" i="6" s="1"/>
  <c r="BD632" i="6" a="1"/>
  <c r="BD632" i="6" s="1"/>
  <c r="BD633" i="6" a="1"/>
  <c r="BD633" i="6" s="1"/>
  <c r="BD634" i="6" a="1"/>
  <c r="BD634" i="6" s="1"/>
  <c r="BD635" i="6" a="1"/>
  <c r="BD635" i="6" s="1"/>
  <c r="BD636" i="6" a="1"/>
  <c r="BD636" i="6" s="1"/>
  <c r="BD637" i="6" a="1"/>
  <c r="BD637" i="6" s="1"/>
  <c r="BD638" i="6" a="1"/>
  <c r="BD638" i="6" s="1"/>
  <c r="BD639" i="6" a="1"/>
  <c r="BD639" i="6" s="1"/>
  <c r="BD640" i="6" a="1"/>
  <c r="BD640" i="6" s="1"/>
  <c r="BD641" i="6" a="1"/>
  <c r="BD641" i="6" s="1"/>
  <c r="BD642" i="6" a="1"/>
  <c r="BD642" i="6" s="1"/>
  <c r="BD643" i="6" a="1"/>
  <c r="BD643" i="6" s="1"/>
  <c r="BD644" i="6" a="1"/>
  <c r="BD644" i="6" s="1"/>
  <c r="BD645" i="6" a="1"/>
  <c r="BD645" i="6" s="1"/>
  <c r="BD646" i="6" a="1"/>
  <c r="BD646" i="6" s="1"/>
  <c r="BD647" i="6" a="1"/>
  <c r="BD647" i="6" s="1"/>
  <c r="BD648" i="6" a="1"/>
  <c r="BD648" i="6" s="1"/>
  <c r="BD649" i="6" a="1"/>
  <c r="BD649" i="6" s="1"/>
  <c r="BD650" i="6" a="1"/>
  <c r="BD650" i="6" s="1"/>
  <c r="BD651" i="6" a="1"/>
  <c r="BD651" i="6" s="1"/>
  <c r="BD652" i="6" a="1"/>
  <c r="BD652" i="6" s="1"/>
  <c r="BD653" i="6" a="1"/>
  <c r="BD653" i="6" s="1"/>
  <c r="BD654" i="6" a="1"/>
  <c r="BD654" i="6" s="1"/>
  <c r="BD655" i="6" a="1"/>
  <c r="BD655" i="6" s="1"/>
  <c r="BD656" i="6" a="1"/>
  <c r="BD656" i="6" s="1"/>
  <c r="BD657" i="6" a="1"/>
  <c r="BD657" i="6" s="1"/>
  <c r="BD658" i="6" a="1"/>
  <c r="BD658" i="6" s="1"/>
  <c r="BD659" i="6" a="1"/>
  <c r="BD659" i="6" s="1"/>
  <c r="BD660" i="6" a="1"/>
  <c r="BD660" i="6" s="1"/>
  <c r="BD661" i="6" a="1"/>
  <c r="BD661" i="6" s="1"/>
  <c r="BD662" i="6" a="1"/>
  <c r="BD662" i="6" s="1"/>
  <c r="BD663" i="6" a="1"/>
  <c r="BD663" i="6" s="1"/>
  <c r="BD664" i="6" a="1"/>
  <c r="BD664" i="6" s="1"/>
  <c r="BD665" i="6" a="1"/>
  <c r="BD665" i="6" s="1"/>
  <c r="BD666" i="6" a="1"/>
  <c r="BD666" i="6" s="1"/>
  <c r="BD667" i="6" a="1"/>
  <c r="BD667" i="6" s="1"/>
  <c r="BD668" i="6" a="1"/>
  <c r="BD668" i="6" s="1"/>
  <c r="BD669" i="6" a="1"/>
  <c r="BD669" i="6" s="1"/>
  <c r="BD670" i="6" a="1"/>
  <c r="BD670" i="6" s="1"/>
  <c r="BD671" i="6" a="1"/>
  <c r="BD671" i="6" s="1"/>
  <c r="BD672" i="6" a="1"/>
  <c r="BD672" i="6" s="1"/>
  <c r="BD673" i="6" a="1"/>
  <c r="BD673" i="6" s="1"/>
  <c r="BD674" i="6" a="1"/>
  <c r="BD674" i="6" s="1"/>
  <c r="BD675" i="6" a="1"/>
  <c r="BD675" i="6" s="1"/>
  <c r="BD676" i="6" a="1"/>
  <c r="BD676" i="6" s="1"/>
  <c r="BD677" i="6" a="1"/>
  <c r="BD677" i="6" s="1"/>
  <c r="BD678" i="6" a="1"/>
  <c r="BD678" i="6" s="1"/>
  <c r="BD679" i="6" a="1"/>
  <c r="BD679" i="6" s="1"/>
  <c r="BD680" i="6" a="1"/>
  <c r="BD680" i="6" s="1"/>
  <c r="BD681" i="6" a="1"/>
  <c r="BD681" i="6" s="1"/>
  <c r="BD682" i="6" a="1"/>
  <c r="BD682" i="6" s="1"/>
  <c r="BD683" i="6" a="1"/>
  <c r="BD683" i="6" s="1"/>
  <c r="BD684" i="6" a="1"/>
  <c r="BD684" i="6" s="1"/>
  <c r="BD685" i="6" a="1"/>
  <c r="BD685" i="6" s="1"/>
  <c r="BD686" i="6" a="1"/>
  <c r="BD686" i="6" s="1"/>
  <c r="BD687" i="6" a="1"/>
  <c r="BD687" i="6" s="1"/>
  <c r="BD688" i="6" a="1"/>
  <c r="BD688" i="6" s="1"/>
  <c r="BD689" i="6" a="1"/>
  <c r="BD689" i="6" s="1"/>
  <c r="BD690" i="6" a="1"/>
  <c r="BD690" i="6" s="1"/>
  <c r="BD691" i="6" a="1"/>
  <c r="BD691" i="6" s="1"/>
  <c r="BD692" i="6" a="1"/>
  <c r="BD692" i="6" s="1"/>
  <c r="BD693" i="6" a="1"/>
  <c r="BD693" i="6" s="1"/>
  <c r="BD694" i="6" a="1"/>
  <c r="BD694" i="6" s="1"/>
  <c r="BD695" i="6" a="1"/>
  <c r="BD695" i="6" s="1"/>
  <c r="BD696" i="6" a="1"/>
  <c r="BD696" i="6" s="1"/>
  <c r="BD697" i="6" a="1"/>
  <c r="BD697" i="6" s="1"/>
  <c r="BD698" i="6" a="1"/>
  <c r="BD698" i="6" s="1"/>
  <c r="BD699" i="6" a="1"/>
  <c r="BD699" i="6" s="1"/>
  <c r="BD700" i="6" a="1"/>
  <c r="BD700" i="6" s="1"/>
  <c r="BD701" i="6" a="1"/>
  <c r="BD701" i="6" s="1"/>
  <c r="BD702" i="6" a="1"/>
  <c r="BD702" i="6" s="1"/>
  <c r="BD703" i="6" a="1"/>
  <c r="BD703" i="6" s="1"/>
  <c r="BD704" i="6" a="1"/>
  <c r="BD704" i="6" s="1"/>
  <c r="BD705" i="6" a="1"/>
  <c r="BD705" i="6" s="1"/>
  <c r="BD706" i="6" a="1"/>
  <c r="BD706" i="6" s="1"/>
  <c r="BD707" i="6" a="1"/>
  <c r="BD707" i="6" s="1"/>
  <c r="BD708" i="6" a="1"/>
  <c r="BD708" i="6" s="1"/>
  <c r="BD709" i="6" a="1"/>
  <c r="BD709" i="6" s="1"/>
  <c r="BD710" i="6" a="1"/>
  <c r="BD710" i="6" s="1"/>
  <c r="BD711" i="6" a="1"/>
  <c r="BD711" i="6" s="1"/>
  <c r="BD712" i="6" a="1"/>
  <c r="BD712" i="6" s="1"/>
  <c r="BD713" i="6" a="1"/>
  <c r="BD713" i="6" s="1"/>
  <c r="BD714" i="6" a="1"/>
  <c r="BD714" i="6" s="1"/>
  <c r="BD715" i="6" a="1"/>
  <c r="BD715" i="6" s="1"/>
  <c r="BD716" i="6" a="1"/>
  <c r="BD716" i="6" s="1"/>
  <c r="BD717" i="6" a="1"/>
  <c r="BD717" i="6" s="1"/>
  <c r="BD718" i="6" a="1"/>
  <c r="BD718" i="6" s="1"/>
  <c r="BD719" i="6" a="1"/>
  <c r="BD719" i="6" s="1"/>
  <c r="BD720" i="6" a="1"/>
  <c r="BD720" i="6" s="1"/>
  <c r="BD721" i="6" a="1"/>
  <c r="BD721" i="6" s="1"/>
  <c r="BD722" i="6" a="1"/>
  <c r="BD722" i="6" s="1"/>
  <c r="BD723" i="6" a="1"/>
  <c r="BD723" i="6" s="1"/>
  <c r="BD724" i="6" a="1"/>
  <c r="BD724" i="6" s="1"/>
  <c r="BD725" i="6" a="1"/>
  <c r="BD725" i="6" s="1"/>
  <c r="BD726" i="6" a="1"/>
  <c r="BD726" i="6" s="1"/>
  <c r="BD727" i="6" a="1"/>
  <c r="BD727" i="6" s="1"/>
  <c r="BD728" i="6" a="1"/>
  <c r="BD728" i="6" s="1"/>
  <c r="BD729" i="6" a="1"/>
  <c r="BD729" i="6" s="1"/>
  <c r="BD730" i="6" a="1"/>
  <c r="BD730" i="6" s="1"/>
  <c r="BD731" i="6" a="1"/>
  <c r="BD731" i="6" s="1"/>
  <c r="BD732" i="6" a="1"/>
  <c r="BD732" i="6" s="1"/>
  <c r="BD733" i="6" a="1"/>
  <c r="BD733" i="6" s="1"/>
  <c r="BD734" i="6" a="1"/>
  <c r="BD734" i="6" s="1"/>
  <c r="BD735" i="6" a="1"/>
  <c r="BD735" i="6" s="1"/>
  <c r="BD736" i="6" a="1"/>
  <c r="BD736" i="6" s="1"/>
  <c r="BD737" i="6" a="1"/>
  <c r="BD737" i="6" s="1"/>
  <c r="BD738" i="6" a="1"/>
  <c r="BD738" i="6" s="1"/>
  <c r="BD739" i="6" a="1"/>
  <c r="BD739" i="6" s="1"/>
  <c r="BD740" i="6" a="1"/>
  <c r="BD740" i="6" s="1"/>
  <c r="BD741" i="6" a="1"/>
  <c r="BD741" i="6" s="1"/>
  <c r="BD742" i="6" a="1"/>
  <c r="BD742" i="6" s="1"/>
  <c r="BD743" i="6" a="1"/>
  <c r="BD743" i="6" s="1"/>
  <c r="BD744" i="6" a="1"/>
  <c r="BD744" i="6" s="1"/>
  <c r="BD745" i="6" a="1"/>
  <c r="BD745" i="6" s="1"/>
  <c r="BD746" i="6" a="1"/>
  <c r="BD746" i="6" s="1"/>
  <c r="BD747" i="6" a="1"/>
  <c r="BD747" i="6" s="1"/>
  <c r="BD748" i="6" a="1"/>
  <c r="BD748" i="6" s="1"/>
  <c r="BD749" i="6" a="1"/>
  <c r="BD749" i="6" s="1"/>
  <c r="BD750" i="6" a="1"/>
  <c r="BD750" i="6" s="1"/>
  <c r="BD751" i="6" a="1"/>
  <c r="BD751" i="6" s="1"/>
  <c r="BD752" i="6" a="1"/>
  <c r="BD752" i="6" s="1"/>
  <c r="BD753" i="6" a="1"/>
  <c r="BD753" i="6" s="1"/>
  <c r="BD754" i="6" a="1"/>
  <c r="BD754" i="6" s="1"/>
  <c r="BD755" i="6" a="1"/>
  <c r="BD755" i="6" s="1"/>
  <c r="BD756" i="6" a="1"/>
  <c r="BD756" i="6" s="1"/>
  <c r="BD757" i="6" a="1"/>
  <c r="BD757" i="6" s="1"/>
  <c r="BD758" i="6" a="1"/>
  <c r="BD758" i="6" s="1"/>
  <c r="BD759" i="6" a="1"/>
  <c r="BD759" i="6" s="1"/>
  <c r="BD760" i="6" a="1"/>
  <c r="BD760" i="6" s="1"/>
  <c r="BD761" i="6" a="1"/>
  <c r="BD761" i="6" s="1"/>
  <c r="BD762" i="6" a="1"/>
  <c r="BD762" i="6" s="1"/>
  <c r="BD763" i="6" a="1"/>
  <c r="BD763" i="6" s="1"/>
  <c r="BD764" i="6" a="1"/>
  <c r="BD764" i="6" s="1"/>
  <c r="BD765" i="6" a="1"/>
  <c r="BD765" i="6" s="1"/>
  <c r="BD766" i="6" a="1"/>
  <c r="BD766" i="6" s="1"/>
  <c r="BD767" i="6" a="1"/>
  <c r="BD767" i="6" s="1"/>
  <c r="BD768" i="6" a="1"/>
  <c r="BD768" i="6" s="1"/>
  <c r="BD769" i="6" a="1"/>
  <c r="BD769" i="6" s="1"/>
  <c r="BD770" i="6" a="1"/>
  <c r="BD770" i="6" s="1"/>
  <c r="BD771" i="6" a="1"/>
  <c r="BD771" i="6" s="1"/>
  <c r="BD772" i="6" a="1"/>
  <c r="BD772" i="6" s="1"/>
  <c r="BD773" i="6" a="1"/>
  <c r="BD773" i="6" s="1"/>
  <c r="BD774" i="6" a="1"/>
  <c r="BD774" i="6" s="1"/>
  <c r="BD775" i="6" a="1"/>
  <c r="BD775" i="6" s="1"/>
  <c r="BD776" i="6" a="1"/>
  <c r="BD776" i="6" s="1"/>
  <c r="BD777" i="6" a="1"/>
  <c r="BD777" i="6" s="1"/>
  <c r="BD778" i="6" a="1"/>
  <c r="BD778" i="6" s="1"/>
  <c r="BD779" i="6" a="1"/>
  <c r="BD779" i="6" s="1"/>
  <c r="BD780" i="6" a="1"/>
  <c r="BD780" i="6" s="1"/>
  <c r="BD781" i="6" a="1"/>
  <c r="BD781" i="6" s="1"/>
  <c r="BD782" i="6" a="1"/>
  <c r="BD782" i="6" s="1"/>
  <c r="BD783" i="6" a="1"/>
  <c r="BD783" i="6" s="1"/>
  <c r="BD784" i="6" a="1"/>
  <c r="BD784" i="6" s="1"/>
  <c r="BD785" i="6" a="1"/>
  <c r="BD785" i="6" s="1"/>
  <c r="BD786" i="6" a="1"/>
  <c r="BD786" i="6" s="1"/>
  <c r="BD787" i="6" a="1"/>
  <c r="BD787" i="6" s="1"/>
  <c r="BD788" i="6" a="1"/>
  <c r="BD788" i="6" s="1"/>
  <c r="BD789" i="6" a="1"/>
  <c r="BD789" i="6" s="1"/>
  <c r="BD790" i="6" a="1"/>
  <c r="BD790" i="6" s="1"/>
  <c r="BD791" i="6" a="1"/>
  <c r="BD791" i="6" s="1"/>
  <c r="BD792" i="6" a="1"/>
  <c r="BD792" i="6" s="1"/>
  <c r="BD793" i="6" a="1"/>
  <c r="BD793" i="6" s="1"/>
  <c r="BD794" i="6" a="1"/>
  <c r="BD794" i="6" s="1"/>
  <c r="BD795" i="6" a="1"/>
  <c r="BD795" i="6" s="1"/>
  <c r="BD796" i="6" a="1"/>
  <c r="BD796" i="6" s="1"/>
  <c r="BD797" i="6" a="1"/>
  <c r="BD797" i="6" s="1"/>
  <c r="BD798" i="6" a="1"/>
  <c r="BD798" i="6" s="1"/>
  <c r="BD799" i="6" a="1"/>
  <c r="BD799" i="6" s="1"/>
  <c r="BD800" i="6" a="1"/>
  <c r="BD800" i="6" s="1"/>
  <c r="BD801" i="6" a="1"/>
  <c r="BD801" i="6" s="1"/>
  <c r="BD802" i="6" a="1"/>
  <c r="BD802" i="6" s="1"/>
  <c r="BD803" i="6" a="1"/>
  <c r="BD803" i="6" s="1"/>
  <c r="BD804" i="6" a="1"/>
  <c r="BD804" i="6" s="1"/>
  <c r="BD805" i="6" a="1"/>
  <c r="BD805" i="6" s="1"/>
  <c r="BD806" i="6" a="1"/>
  <c r="BD806" i="6" s="1"/>
  <c r="BD807" i="6" a="1"/>
  <c r="BD807" i="6" s="1"/>
  <c r="BD808" i="6" a="1"/>
  <c r="BD808" i="6" s="1"/>
  <c r="BD809" i="6" a="1"/>
  <c r="BD809" i="6" s="1"/>
  <c r="BD810" i="6" a="1"/>
  <c r="BD810" i="6" s="1"/>
  <c r="BD811" i="6" a="1"/>
  <c r="BD811" i="6" s="1"/>
  <c r="BD812" i="6" a="1"/>
  <c r="BD812" i="6" s="1"/>
  <c r="BD813" i="6" a="1"/>
  <c r="BD813" i="6" s="1"/>
  <c r="BD814" i="6" a="1"/>
  <c r="BD814" i="6" s="1"/>
  <c r="BD815" i="6" a="1"/>
  <c r="BD815" i="6" s="1"/>
  <c r="BD816" i="6" a="1"/>
  <c r="BD816" i="6" s="1"/>
  <c r="BD817" i="6" a="1"/>
  <c r="BD817" i="6" s="1"/>
  <c r="BD818" i="6" a="1"/>
  <c r="BD818" i="6" s="1"/>
  <c r="BD819" i="6" a="1"/>
  <c r="BD819" i="6" s="1"/>
  <c r="BD820" i="6" a="1"/>
  <c r="BD820" i="6" s="1"/>
  <c r="BD821" i="6" a="1"/>
  <c r="BD821" i="6" s="1"/>
  <c r="BD822" i="6" a="1"/>
  <c r="BD822" i="6" s="1"/>
  <c r="BD823" i="6" a="1"/>
  <c r="BD823" i="6" s="1"/>
  <c r="BD824" i="6" a="1"/>
  <c r="BD824" i="6" s="1"/>
  <c r="BD825" i="6" a="1"/>
  <c r="BD825" i="6" s="1"/>
  <c r="BD826" i="6" a="1"/>
  <c r="BD826" i="6" s="1"/>
  <c r="BD827" i="6" a="1"/>
  <c r="BD827" i="6" s="1"/>
  <c r="BD828" i="6" a="1"/>
  <c r="BD828" i="6" s="1"/>
  <c r="BD829" i="6" a="1"/>
  <c r="BD829" i="6" s="1"/>
  <c r="BD830" i="6" a="1"/>
  <c r="BD830" i="6" s="1"/>
  <c r="BD831" i="6" a="1"/>
  <c r="BD831" i="6" s="1"/>
  <c r="BD832" i="6" a="1"/>
  <c r="BD832" i="6" s="1"/>
  <c r="BD833" i="6" a="1"/>
  <c r="BD833" i="6" s="1"/>
  <c r="BD834" i="6" a="1"/>
  <c r="BD834" i="6" s="1"/>
  <c r="BD835" i="6" a="1"/>
  <c r="BD835" i="6" s="1"/>
  <c r="BD836" i="6" a="1"/>
  <c r="BD836" i="6" s="1"/>
  <c r="BD837" i="6" a="1"/>
  <c r="BD837" i="6" s="1"/>
  <c r="BD838" i="6" a="1"/>
  <c r="BD838" i="6" s="1"/>
  <c r="BD839" i="6" a="1"/>
  <c r="BD839" i="6" s="1"/>
  <c r="BD840" i="6" a="1"/>
  <c r="BD840" i="6" s="1"/>
  <c r="BD841" i="6" a="1"/>
  <c r="BD841" i="6" s="1"/>
  <c r="BD842" i="6" a="1"/>
  <c r="BD842" i="6" s="1"/>
  <c r="BD843" i="6" a="1"/>
  <c r="BD843" i="6" s="1"/>
  <c r="BD844" i="6" a="1"/>
  <c r="BD844" i="6" s="1"/>
  <c r="BD845" i="6" a="1"/>
  <c r="BD845" i="6" s="1"/>
  <c r="BD846" i="6" a="1"/>
  <c r="BD846" i="6" s="1"/>
  <c r="BD847" i="6" a="1"/>
  <c r="BD847" i="6" s="1"/>
  <c r="BD848" i="6" a="1"/>
  <c r="BD848" i="6" s="1"/>
  <c r="BD849" i="6" a="1"/>
  <c r="BD849" i="6" s="1"/>
  <c r="BD850" i="6" a="1"/>
  <c r="BD850" i="6" s="1"/>
  <c r="BD851" i="6" a="1"/>
  <c r="BD851" i="6" s="1"/>
  <c r="BD852" i="6" a="1"/>
  <c r="BD852" i="6" s="1"/>
  <c r="BD853" i="6" a="1"/>
  <c r="BD853" i="6" s="1"/>
  <c r="BD854" i="6" a="1"/>
  <c r="BD854" i="6" s="1"/>
  <c r="BD855" i="6" a="1"/>
  <c r="BD855" i="6" s="1"/>
  <c r="BD856" i="6" a="1"/>
  <c r="BD856" i="6" s="1"/>
  <c r="BD857" i="6" a="1"/>
  <c r="BD857" i="6" s="1"/>
  <c r="BD858" i="6" a="1"/>
  <c r="BD858" i="6" s="1"/>
  <c r="BD859" i="6" a="1"/>
  <c r="BD859" i="6" s="1"/>
  <c r="BD860" i="6" a="1"/>
  <c r="BD860" i="6" s="1"/>
  <c r="BD861" i="6" a="1"/>
  <c r="BD861" i="6" s="1"/>
  <c r="BD862" i="6" a="1"/>
  <c r="BD862" i="6" s="1"/>
  <c r="BD863" i="6" a="1"/>
  <c r="BD863" i="6" s="1"/>
  <c r="BD864" i="6" a="1"/>
  <c r="BD864" i="6" s="1"/>
  <c r="BD865" i="6" a="1"/>
  <c r="BD865" i="6" s="1"/>
  <c r="BD866" i="6" a="1"/>
  <c r="BD866" i="6" s="1"/>
  <c r="BD867" i="6" a="1"/>
  <c r="BD867" i="6" s="1"/>
  <c r="BD868" i="6" a="1"/>
  <c r="BD868" i="6" s="1"/>
  <c r="BD869" i="6" a="1"/>
  <c r="BD869" i="6" s="1"/>
  <c r="BD870" i="6" a="1"/>
  <c r="BD870" i="6" s="1"/>
  <c r="BD871" i="6" a="1"/>
  <c r="BD871" i="6" s="1"/>
  <c r="BD872" i="6" a="1"/>
  <c r="BD872" i="6" s="1"/>
  <c r="BD873" i="6" a="1"/>
  <c r="BD873" i="6" s="1"/>
  <c r="BD874" i="6" a="1"/>
  <c r="BD874" i="6" s="1"/>
  <c r="BD875" i="6" a="1"/>
  <c r="BD875" i="6" s="1"/>
  <c r="BD876" i="6" a="1"/>
  <c r="BD876" i="6" s="1"/>
  <c r="BD877" i="6" a="1"/>
  <c r="BD877" i="6" s="1"/>
  <c r="BD878" i="6" a="1"/>
  <c r="BD878" i="6" s="1"/>
  <c r="BD879" i="6" a="1"/>
  <c r="BD879" i="6" s="1"/>
  <c r="BD880" i="6" a="1"/>
  <c r="BD880" i="6" s="1"/>
  <c r="BD881" i="6" a="1"/>
  <c r="BD881" i="6" s="1"/>
  <c r="BD882" i="6" a="1"/>
  <c r="BD882" i="6" s="1"/>
  <c r="BD883" i="6" a="1"/>
  <c r="BD883" i="6" s="1"/>
  <c r="BD884" i="6" a="1"/>
  <c r="BD884" i="6" s="1"/>
  <c r="BD885" i="6" a="1"/>
  <c r="BD885" i="6" s="1"/>
  <c r="BD886" i="6" a="1"/>
  <c r="BD886" i="6" s="1"/>
  <c r="BD887" i="6" a="1"/>
  <c r="BD887" i="6" s="1"/>
  <c r="BD888" i="6" a="1"/>
  <c r="BD888" i="6" s="1"/>
  <c r="BD889" i="6" a="1"/>
  <c r="BD889" i="6" s="1"/>
  <c r="BD890" i="6" a="1"/>
  <c r="BD890" i="6" s="1"/>
  <c r="BD891" i="6" a="1"/>
  <c r="BD891" i="6" s="1"/>
  <c r="BD892" i="6" a="1"/>
  <c r="BD892" i="6" s="1"/>
  <c r="BD893" i="6" a="1"/>
  <c r="BD893" i="6" s="1"/>
  <c r="BD894" i="6" a="1"/>
  <c r="BD894" i="6" s="1"/>
  <c r="BD895" i="6" a="1"/>
  <c r="BD895" i="6" s="1"/>
  <c r="BD896" i="6" a="1"/>
  <c r="BD896" i="6" s="1"/>
  <c r="BD897" i="6" a="1"/>
  <c r="BD897" i="6" s="1"/>
  <c r="BD898" i="6" a="1"/>
  <c r="BD898" i="6" s="1"/>
  <c r="BD899" i="6" a="1"/>
  <c r="BD899" i="6" s="1"/>
  <c r="BD900" i="6" a="1"/>
  <c r="BD900" i="6" s="1"/>
  <c r="BD901" i="6" a="1"/>
  <c r="BD901" i="6" s="1"/>
  <c r="BD902" i="6" a="1"/>
  <c r="BD902" i="6" s="1"/>
  <c r="BD903" i="6" a="1"/>
  <c r="BD903" i="6" s="1"/>
  <c r="BD904" i="6" a="1"/>
  <c r="BD904" i="6" s="1"/>
  <c r="BD905" i="6" a="1"/>
  <c r="BD905" i="6" s="1"/>
  <c r="BD906" i="6" a="1"/>
  <c r="BD906" i="6" s="1"/>
  <c r="BD907" i="6" a="1"/>
  <c r="BD907" i="6" s="1"/>
  <c r="BD908" i="6" a="1"/>
  <c r="BD908" i="6" s="1"/>
  <c r="BD909" i="6" a="1"/>
  <c r="BD909" i="6" s="1"/>
  <c r="BD910" i="6" a="1"/>
  <c r="BD910" i="6" s="1"/>
  <c r="BD911" i="6" a="1"/>
  <c r="BD911" i="6" s="1"/>
  <c r="BD912" i="6" a="1"/>
  <c r="BD912" i="6" s="1"/>
  <c r="BD913" i="6" a="1"/>
  <c r="BD913" i="6" s="1"/>
  <c r="BD914" i="6" a="1"/>
  <c r="BD914" i="6" s="1"/>
  <c r="BD915" i="6" a="1"/>
  <c r="BD915" i="6" s="1"/>
  <c r="BD916" i="6" a="1"/>
  <c r="BD916" i="6" s="1"/>
  <c r="BD917" i="6" a="1"/>
  <c r="BD917" i="6" s="1"/>
  <c r="BD918" i="6" a="1"/>
  <c r="BD918" i="6" s="1"/>
  <c r="BD919" i="6" a="1"/>
  <c r="BD919" i="6" s="1"/>
  <c r="BD920" i="6" a="1"/>
  <c r="BD920" i="6" s="1"/>
  <c r="BD921" i="6" a="1"/>
  <c r="BD921" i="6" s="1"/>
  <c r="BD922" i="6" a="1"/>
  <c r="BD922" i="6" s="1"/>
  <c r="BD923" i="6" a="1"/>
  <c r="BD923" i="6" s="1"/>
  <c r="BD924" i="6" a="1"/>
  <c r="BD924" i="6" s="1"/>
  <c r="BD925" i="6" a="1"/>
  <c r="BD925" i="6" s="1"/>
  <c r="BD926" i="6" a="1"/>
  <c r="BD926" i="6" s="1"/>
  <c r="BD927" i="6" a="1"/>
  <c r="BD927" i="6" s="1"/>
  <c r="BD928" i="6" a="1"/>
  <c r="BD928" i="6" s="1"/>
  <c r="BD929" i="6" a="1"/>
  <c r="BD929" i="6" s="1"/>
  <c r="BD930" i="6" a="1"/>
  <c r="BD930" i="6" s="1"/>
  <c r="BD931" i="6" a="1"/>
  <c r="BD931" i="6" s="1"/>
  <c r="BD932" i="6" a="1"/>
  <c r="BD932" i="6" s="1"/>
  <c r="BD933" i="6" a="1"/>
  <c r="BD933" i="6" s="1"/>
  <c r="BD934" i="6" a="1"/>
  <c r="BD934" i="6" s="1"/>
  <c r="BD935" i="6" a="1"/>
  <c r="BD935" i="6" s="1"/>
  <c r="BD936" i="6" a="1"/>
  <c r="BD936" i="6" s="1"/>
  <c r="BD937" i="6" a="1"/>
  <c r="BD937" i="6" s="1"/>
  <c r="BD938" i="6" a="1"/>
  <c r="BD938" i="6" s="1"/>
  <c r="BD939" i="6" a="1"/>
  <c r="BD939" i="6" s="1"/>
  <c r="BD940" i="6" a="1"/>
  <c r="BD940" i="6" s="1"/>
  <c r="BD941" i="6" a="1"/>
  <c r="BD941" i="6" s="1"/>
  <c r="BD942" i="6" a="1"/>
  <c r="BD942" i="6" s="1"/>
  <c r="BD943" i="6" a="1"/>
  <c r="BD943" i="6" s="1"/>
  <c r="BD944" i="6" a="1"/>
  <c r="BD944" i="6" s="1"/>
  <c r="BD945" i="6" a="1"/>
  <c r="BD945" i="6" s="1"/>
  <c r="BD946" i="6" a="1"/>
  <c r="BD946" i="6" s="1"/>
  <c r="BD947" i="6" a="1"/>
  <c r="BD947" i="6" s="1"/>
  <c r="BD948" i="6" a="1"/>
  <c r="BD948" i="6" s="1"/>
  <c r="BD949" i="6" a="1"/>
  <c r="BD949" i="6" s="1"/>
  <c r="BD950" i="6" a="1"/>
  <c r="BD950" i="6" s="1"/>
  <c r="BD951" i="6" a="1"/>
  <c r="BD951" i="6" s="1"/>
  <c r="BD952" i="6" a="1"/>
  <c r="BD952" i="6" s="1"/>
  <c r="BD953" i="6" a="1"/>
  <c r="BD953" i="6" s="1"/>
  <c r="BD954" i="6" a="1"/>
  <c r="BD954" i="6" s="1"/>
  <c r="BD955" i="6" a="1"/>
  <c r="BD955" i="6" s="1"/>
  <c r="BD956" i="6" a="1"/>
  <c r="BD956" i="6" s="1"/>
  <c r="BD957" i="6" a="1"/>
  <c r="BD957" i="6" s="1"/>
  <c r="BD958" i="6" a="1"/>
  <c r="BD958" i="6" s="1"/>
  <c r="BD959" i="6" a="1"/>
  <c r="BD959" i="6" s="1"/>
  <c r="BD960" i="6" a="1"/>
  <c r="BD960" i="6" s="1"/>
  <c r="BD961" i="6" a="1"/>
  <c r="BD961" i="6" s="1"/>
  <c r="BD962" i="6" a="1"/>
  <c r="BD962" i="6" s="1"/>
  <c r="BD963" i="6" a="1"/>
  <c r="BD963" i="6" s="1"/>
  <c r="BD964" i="6" a="1"/>
  <c r="BD964" i="6" s="1"/>
  <c r="BD965" i="6" a="1"/>
  <c r="BD965" i="6" s="1"/>
  <c r="BD966" i="6" a="1"/>
  <c r="BD966" i="6" s="1"/>
  <c r="BD967" i="6" a="1"/>
  <c r="BD967" i="6" s="1"/>
  <c r="BD968" i="6" a="1"/>
  <c r="BD968" i="6" s="1"/>
  <c r="BD969" i="6" a="1"/>
  <c r="BD969" i="6" s="1"/>
  <c r="BD970" i="6" a="1"/>
  <c r="BD970" i="6" s="1"/>
  <c r="BD971" i="6" a="1"/>
  <c r="BD971" i="6" s="1"/>
  <c r="BD972" i="6" a="1"/>
  <c r="BD972" i="6" s="1"/>
  <c r="BD973" i="6" a="1"/>
  <c r="BD973" i="6" s="1"/>
  <c r="BD974" i="6" a="1"/>
  <c r="BD974" i="6" s="1"/>
  <c r="BD975" i="6" a="1"/>
  <c r="BD975" i="6" s="1"/>
  <c r="BD976" i="6" a="1"/>
  <c r="BD976" i="6" s="1"/>
  <c r="BD977" i="6" a="1"/>
  <c r="BD977" i="6" s="1"/>
  <c r="BD978" i="6" a="1"/>
  <c r="BD978" i="6" s="1"/>
  <c r="BD979" i="6" a="1"/>
  <c r="BD979" i="6" s="1"/>
  <c r="BD980" i="6" a="1"/>
  <c r="BD980" i="6" s="1"/>
  <c r="BD981" i="6" a="1"/>
  <c r="BD981" i="6" s="1"/>
  <c r="BD982" i="6" a="1"/>
  <c r="BD982" i="6" s="1"/>
  <c r="BD983" i="6" a="1"/>
  <c r="BD983" i="6" s="1"/>
  <c r="BD984" i="6" a="1"/>
  <c r="BD984" i="6" s="1"/>
  <c r="BD985" i="6" a="1"/>
  <c r="BD985" i="6" s="1"/>
  <c r="BD986" i="6" a="1"/>
  <c r="BD986" i="6" s="1"/>
  <c r="BD987" i="6" a="1"/>
  <c r="BD987" i="6" s="1"/>
  <c r="BD988" i="6" a="1"/>
  <c r="BD988" i="6" s="1"/>
  <c r="BD989" i="6" a="1"/>
  <c r="BD989" i="6" s="1"/>
  <c r="BD990" i="6" a="1"/>
  <c r="BD990" i="6" s="1"/>
  <c r="BD991" i="6" a="1"/>
  <c r="BD991" i="6" s="1"/>
  <c r="BD992" i="6" a="1"/>
  <c r="BD992" i="6" s="1"/>
  <c r="BD993" i="6" a="1"/>
  <c r="BD993" i="6" s="1"/>
  <c r="BD994" i="6" a="1"/>
  <c r="BD994" i="6" s="1"/>
  <c r="BD995" i="6" a="1"/>
  <c r="BD995" i="6" s="1"/>
  <c r="BD996" i="6" a="1"/>
  <c r="BD996" i="6" s="1"/>
  <c r="BD997" i="6" a="1"/>
  <c r="BD997" i="6" s="1"/>
  <c r="BD998" i="6" a="1"/>
  <c r="BD998" i="6" s="1"/>
  <c r="BD999" i="6" a="1"/>
  <c r="BD999" i="6" s="1"/>
  <c r="BD1000" i="6" a="1"/>
  <c r="BD1000" i="6" s="1"/>
  <c r="BD1001" i="6" a="1"/>
  <c r="BD1001" i="6" s="1"/>
  <c r="BD1002" i="6" a="1"/>
  <c r="BD1002" i="6" s="1"/>
  <c r="BD1003" i="6" a="1"/>
  <c r="BD1003" i="6" s="1"/>
  <c r="BD1004" i="6" a="1"/>
  <c r="BD1004" i="6" s="1"/>
  <c r="BD1005" i="6" a="1"/>
  <c r="BD1005" i="6" s="1"/>
  <c r="BD1006" i="6" a="1"/>
  <c r="BD1006" i="6" s="1"/>
  <c r="BD1007" i="6" a="1"/>
  <c r="BD1007" i="6" s="1"/>
  <c r="BD1008" i="6" a="1"/>
  <c r="BD1008" i="6" s="1"/>
  <c r="BD1009" i="6" a="1"/>
  <c r="BD1009" i="6" s="1"/>
  <c r="BD1010" i="6" a="1"/>
  <c r="BD1010" i="6" s="1"/>
  <c r="BD1011" i="6" a="1"/>
  <c r="BD1011" i="6" s="1"/>
  <c r="BD1012" i="6" a="1"/>
  <c r="BD1012" i="6" s="1"/>
  <c r="BD1013" i="6" a="1"/>
  <c r="BD1013" i="6" s="1"/>
  <c r="BD1014" i="6" a="1"/>
  <c r="BD1014" i="6" s="1"/>
  <c r="BD1015" i="6" a="1"/>
  <c r="BD1015" i="6" s="1"/>
  <c r="BD1016" i="6" a="1"/>
  <c r="BD1016" i="6" s="1"/>
  <c r="BD1017" i="6" a="1"/>
  <c r="BD1017" i="6" s="1"/>
  <c r="BD1018" i="6" a="1"/>
  <c r="BD1018" i="6" s="1"/>
  <c r="BD1019" i="6" a="1"/>
  <c r="BD1019" i="6" s="1"/>
  <c r="BD1020" i="6" a="1"/>
  <c r="BD1020" i="6" s="1"/>
  <c r="BD1021" i="6" a="1"/>
  <c r="BD1021" i="6" s="1"/>
  <c r="BD1022" i="6" a="1"/>
  <c r="BD1022" i="6" s="1"/>
  <c r="BD1023" i="6" a="1"/>
  <c r="BD1023" i="6" s="1"/>
  <c r="BD1024" i="6" a="1"/>
  <c r="BD1024" i="6" s="1"/>
  <c r="BD1025" i="6" a="1"/>
  <c r="BD1025" i="6" s="1"/>
  <c r="BD1026" i="6" a="1"/>
  <c r="BD1026" i="6" s="1"/>
  <c r="BD1027" i="6" a="1"/>
  <c r="BD1027" i="6" s="1"/>
  <c r="BD1028" i="6" a="1"/>
  <c r="BD1028" i="6" s="1"/>
  <c r="BD1029" i="6" a="1"/>
  <c r="BD1029" i="6" s="1"/>
  <c r="BD1030" i="6" a="1"/>
  <c r="BD1030" i="6" s="1"/>
  <c r="BD1031" i="6" a="1"/>
  <c r="BD1031" i="6" s="1"/>
  <c r="BD1032" i="6" a="1"/>
  <c r="BD1032" i="6" s="1"/>
  <c r="BD1033" i="6" a="1"/>
  <c r="BD1033" i="6" s="1"/>
  <c r="BD1034" i="6" a="1"/>
  <c r="BD1034" i="6" s="1"/>
  <c r="BD1035" i="6" a="1"/>
  <c r="BD1035" i="6" s="1"/>
  <c r="BD1036" i="6" a="1"/>
  <c r="BD1036" i="6" s="1"/>
  <c r="BD1037" i="6" a="1"/>
  <c r="BD1037" i="6" s="1"/>
  <c r="BD1038" i="6" a="1"/>
  <c r="BD1038" i="6" s="1"/>
  <c r="BD1039" i="6" a="1"/>
  <c r="BD1039" i="6" s="1"/>
  <c r="BD1040" i="6" a="1"/>
  <c r="BD1040" i="6" s="1"/>
  <c r="BD1041" i="6" a="1"/>
  <c r="BD1041" i="6" s="1"/>
  <c r="BD1042" i="6" a="1"/>
  <c r="BD1042" i="6" s="1"/>
  <c r="BD1043" i="6" a="1"/>
  <c r="BD1043" i="6" s="1"/>
  <c r="BD1044" i="6" a="1"/>
  <c r="BD1044" i="6" s="1"/>
  <c r="BD1045" i="6" a="1"/>
  <c r="BD1045" i="6" s="1"/>
  <c r="BD1046" i="6" a="1"/>
  <c r="BD1046" i="6" s="1"/>
  <c r="BD1047" i="6" a="1"/>
  <c r="BD1047" i="6" s="1"/>
  <c r="BD1048" i="6" a="1"/>
  <c r="BD1048" i="6" s="1"/>
  <c r="BD1049" i="6" a="1"/>
  <c r="BD1049" i="6" s="1"/>
  <c r="BD1050" i="6" a="1"/>
  <c r="BD1050" i="6" s="1"/>
  <c r="BD1051" i="6" a="1"/>
  <c r="BD1051" i="6" s="1"/>
  <c r="BD1052" i="6" a="1"/>
  <c r="BD1052" i="6" s="1"/>
  <c r="BD1053" i="6" a="1"/>
  <c r="BD1053" i="6" s="1"/>
  <c r="BD1054" i="6" a="1"/>
  <c r="BD1054" i="6" s="1"/>
  <c r="BD1055" i="6" a="1"/>
  <c r="BD1055" i="6" s="1"/>
  <c r="BD1056" i="6" a="1"/>
  <c r="BD1056" i="6" s="1"/>
  <c r="BD1057" i="6" a="1"/>
  <c r="BD1057" i="6" s="1"/>
  <c r="BD1058" i="6" a="1"/>
  <c r="BD1058" i="6" s="1"/>
  <c r="BD1059" i="6" a="1"/>
  <c r="BD1059" i="6" s="1"/>
  <c r="BD1060" i="6" a="1"/>
  <c r="BD1060" i="6" s="1"/>
  <c r="BD1061" i="6" a="1"/>
  <c r="BD1061" i="6" s="1"/>
  <c r="BD1062" i="6" a="1"/>
  <c r="BD1062" i="6" s="1"/>
  <c r="BD1063" i="6" a="1"/>
  <c r="BD1063" i="6" s="1"/>
  <c r="BD1064" i="6" a="1"/>
  <c r="BD1064" i="6" s="1"/>
  <c r="BD1065" i="6" a="1"/>
  <c r="BD1065" i="6" s="1"/>
  <c r="BD1066" i="6" a="1"/>
  <c r="BD1066" i="6" s="1"/>
  <c r="BD1067" i="6" a="1"/>
  <c r="BD1067" i="6" s="1"/>
  <c r="BD1068" i="6" a="1"/>
  <c r="BD1068" i="6" s="1"/>
  <c r="BD1069" i="6" a="1"/>
  <c r="BD1069" i="6" s="1"/>
  <c r="BD1070" i="6" a="1"/>
  <c r="BD1070" i="6" s="1"/>
  <c r="BD1071" i="6" a="1"/>
  <c r="BD1071" i="6" s="1"/>
  <c r="BD1072" i="6" a="1"/>
  <c r="BD1072" i="6" s="1"/>
  <c r="BD1073" i="6" a="1"/>
  <c r="BD1073" i="6" s="1"/>
  <c r="BD1074" i="6" a="1"/>
  <c r="BD1074" i="6" s="1"/>
  <c r="BD1075" i="6" a="1"/>
  <c r="BD1075" i="6" s="1"/>
  <c r="BD1076" i="6" a="1"/>
  <c r="BD1076" i="6" s="1"/>
  <c r="BD1077" i="6" a="1"/>
  <c r="BD1077" i="6" s="1"/>
  <c r="BD1078" i="6" a="1"/>
  <c r="BD1078" i="6" s="1"/>
  <c r="BD1079" i="6" a="1"/>
  <c r="BD1079" i="6" s="1"/>
  <c r="BD1080" i="6" a="1"/>
  <c r="BD1080" i="6" s="1"/>
  <c r="BD1081" i="6" a="1"/>
  <c r="BD1081" i="6" s="1"/>
  <c r="BD1082" i="6" a="1"/>
  <c r="BD1082" i="6" s="1"/>
  <c r="BD1083" i="6" a="1"/>
  <c r="BD1083" i="6" s="1"/>
  <c r="BD1084" i="6" a="1"/>
  <c r="BD1084" i="6" s="1"/>
  <c r="BD1085" i="6" a="1"/>
  <c r="BD1085" i="6" s="1"/>
  <c r="BD1086" i="6" a="1"/>
  <c r="BD1086" i="6" s="1"/>
  <c r="BD1087" i="6" a="1"/>
  <c r="BD1087" i="6" s="1"/>
  <c r="BD1088" i="6" a="1"/>
  <c r="BD1088" i="6" s="1"/>
  <c r="BD1089" i="6" a="1"/>
  <c r="BD1089" i="6" s="1"/>
  <c r="BD1090" i="6" a="1"/>
  <c r="BD1090" i="6" s="1"/>
  <c r="BD1091" i="6" a="1"/>
  <c r="BD1091" i="6" s="1"/>
  <c r="BD1092" i="6" a="1"/>
  <c r="BD1092" i="6" s="1"/>
  <c r="BD1093" i="6" a="1"/>
  <c r="BD1093" i="6" s="1"/>
  <c r="BD1094" i="6" a="1"/>
  <c r="BD1094" i="6" s="1"/>
  <c r="BD1095" i="6" a="1"/>
  <c r="BD1095" i="6" s="1"/>
  <c r="BD1096" i="6" a="1"/>
  <c r="BD1096" i="6" s="1"/>
  <c r="BD1097" i="6" a="1"/>
  <c r="BD1097" i="6" s="1"/>
  <c r="BD1098" i="6" a="1"/>
  <c r="BD1098" i="6" s="1"/>
  <c r="BD1099" i="6" a="1"/>
  <c r="BD1099" i="6" s="1"/>
  <c r="BD1100" i="6" a="1"/>
  <c r="BD1100" i="6" s="1"/>
  <c r="BD1101" i="6" a="1"/>
  <c r="BD1101" i="6" s="1"/>
  <c r="BD1102" i="6" a="1"/>
  <c r="BD1102" i="6" s="1"/>
  <c r="BD1103" i="6" a="1"/>
  <c r="BD1103" i="6" s="1"/>
  <c r="BD1104" i="6" a="1"/>
  <c r="BD1104" i="6" s="1"/>
  <c r="BD1105" i="6" a="1"/>
  <c r="BD1105" i="6" s="1"/>
  <c r="BD1106" i="6" a="1"/>
  <c r="BD1106" i="6" s="1"/>
  <c r="BD1107" i="6" a="1"/>
  <c r="BD1107" i="6" s="1"/>
  <c r="BD1108" i="6" a="1"/>
  <c r="BD1108" i="6" s="1"/>
  <c r="BD1109" i="6" a="1"/>
  <c r="BD1109" i="6" s="1"/>
  <c r="BD1110" i="6" a="1"/>
  <c r="BD1110" i="6" s="1"/>
  <c r="BD1111" i="6" a="1"/>
  <c r="BD1111" i="6" s="1"/>
  <c r="BD1112" i="6" a="1"/>
  <c r="BD1112" i="6" s="1"/>
  <c r="BD1113" i="6" a="1"/>
  <c r="BD1113" i="6" s="1"/>
  <c r="BD1114" i="6" a="1"/>
  <c r="BD1114" i="6" s="1"/>
  <c r="BD1115" i="6" a="1"/>
  <c r="BD1115" i="6" s="1"/>
  <c r="BD1116" i="6" a="1"/>
  <c r="BD1116" i="6" s="1"/>
  <c r="BD1117" i="6" a="1"/>
  <c r="BD1117" i="6" s="1"/>
  <c r="BD1118" i="6" a="1"/>
  <c r="BD1118" i="6" s="1"/>
  <c r="BD1119" i="6" a="1"/>
  <c r="BD1119" i="6" s="1"/>
  <c r="BD1120" i="6" a="1"/>
  <c r="BD1120" i="6" s="1"/>
  <c r="BD1121" i="6" a="1"/>
  <c r="BD1121" i="6" s="1"/>
  <c r="BD1122" i="6" a="1"/>
  <c r="BD1122" i="6" s="1"/>
  <c r="BD1123" i="6" a="1"/>
  <c r="BD1123" i="6" s="1"/>
  <c r="BD1124" i="6" a="1"/>
  <c r="BD1124" i="6" s="1"/>
  <c r="BD1125" i="6" a="1"/>
  <c r="BD1125" i="6" s="1"/>
  <c r="BD1126" i="6" a="1"/>
  <c r="BD1126" i="6" s="1"/>
  <c r="BD1127" i="6" a="1"/>
  <c r="BD1127" i="6" s="1"/>
  <c r="BD1128" i="6" a="1"/>
  <c r="BD1128" i="6" s="1"/>
  <c r="BD1129" i="6" a="1"/>
  <c r="BD1129" i="6" s="1"/>
  <c r="BD1130" i="6" a="1"/>
  <c r="BD1130" i="6" s="1"/>
  <c r="BD1131" i="6" a="1"/>
  <c r="BD1131" i="6" s="1"/>
  <c r="BD1132" i="6" a="1"/>
  <c r="BD1132" i="6" s="1"/>
  <c r="BD1133" i="6" a="1"/>
  <c r="BD1133" i="6" s="1"/>
  <c r="BD1134" i="6" a="1"/>
  <c r="BD1134" i="6" s="1"/>
  <c r="BD1135" i="6" a="1"/>
  <c r="BD1135" i="6" s="1"/>
  <c r="BD1136" i="6" a="1"/>
  <c r="BD1136" i="6" s="1"/>
  <c r="BD1137" i="6" a="1"/>
  <c r="BD1137" i="6" s="1"/>
  <c r="BD1138" i="6" a="1"/>
  <c r="BD1138" i="6" s="1"/>
  <c r="BD1139" i="6" a="1"/>
  <c r="BD1139" i="6" s="1"/>
  <c r="BD1140" i="6" a="1"/>
  <c r="BD1140" i="6" s="1"/>
  <c r="BD1141" i="6" a="1"/>
  <c r="BD1141" i="6" s="1"/>
  <c r="BD1142" i="6" a="1"/>
  <c r="BD1142" i="6" s="1"/>
  <c r="BD1143" i="6" a="1"/>
  <c r="BD1143" i="6" s="1"/>
  <c r="BD1144" i="6" a="1"/>
  <c r="BD1144" i="6" s="1"/>
  <c r="BD1145" i="6" a="1"/>
  <c r="BD1145" i="6" s="1"/>
  <c r="BD1146" i="6" a="1"/>
  <c r="BD1146" i="6" s="1"/>
  <c r="BD1147" i="6" a="1"/>
  <c r="BD1147" i="6" s="1"/>
  <c r="BD1148" i="6" a="1"/>
  <c r="BD1148" i="6" s="1"/>
  <c r="BD1149" i="6" a="1"/>
  <c r="BD1149" i="6" s="1"/>
  <c r="BD1150" i="6" a="1"/>
  <c r="BD1150" i="6" s="1"/>
  <c r="BD1151" i="6" a="1"/>
  <c r="BD1151" i="6" s="1"/>
  <c r="BD1152" i="6" a="1"/>
  <c r="BD1152" i="6" s="1"/>
  <c r="BD1153" i="6" a="1"/>
  <c r="BD1153" i="6" s="1"/>
  <c r="BD1154" i="6" a="1"/>
  <c r="BD1154" i="6" s="1"/>
  <c r="BD1155" i="6" a="1"/>
  <c r="BD1155" i="6" s="1"/>
  <c r="BD1156" i="6" a="1"/>
  <c r="BD1156" i="6" s="1"/>
  <c r="BD1157" i="6" a="1"/>
  <c r="BD1157" i="6" s="1"/>
  <c r="BD1158" i="6" a="1"/>
  <c r="BD1158" i="6" s="1"/>
  <c r="BD1159" i="6" a="1"/>
  <c r="BD1159" i="6" s="1"/>
  <c r="BD1160" i="6" a="1"/>
  <c r="BD1160" i="6" s="1"/>
  <c r="BD1161" i="6" a="1"/>
  <c r="BD1161" i="6" s="1"/>
  <c r="BD1162" i="6" a="1"/>
  <c r="BD1162" i="6" s="1"/>
  <c r="BD1163" i="6" a="1"/>
  <c r="BD1163" i="6" s="1"/>
  <c r="BD1164" i="6" a="1"/>
  <c r="BD1164" i="6" s="1"/>
  <c r="BD1165" i="6" a="1"/>
  <c r="BD1165" i="6" s="1"/>
  <c r="BD1166" i="6" a="1"/>
  <c r="BD1166" i="6" s="1"/>
  <c r="BD1167" i="6" a="1"/>
  <c r="BD1167" i="6" s="1"/>
  <c r="BD1168" i="6" a="1"/>
  <c r="BD1168" i="6" s="1"/>
  <c r="BD1169" i="6" a="1"/>
  <c r="BD1169" i="6" s="1"/>
  <c r="BD1170" i="6" a="1"/>
  <c r="BD1170" i="6" s="1"/>
  <c r="BD1171" i="6" a="1"/>
  <c r="BD1171" i="6" s="1"/>
  <c r="BD1172" i="6" a="1"/>
  <c r="BD1172" i="6"/>
  <c r="BD1173" i="6" a="1"/>
  <c r="BD1173" i="6" s="1"/>
  <c r="BD1174" i="6" a="1"/>
  <c r="BD1174" i="6" s="1"/>
  <c r="BD1175" i="6" a="1"/>
  <c r="BD1175" i="6" s="1"/>
  <c r="BD1176" i="6" a="1"/>
  <c r="BD1176" i="6" s="1"/>
  <c r="BD1177" i="6" a="1"/>
  <c r="BD1177" i="6" s="1"/>
  <c r="BD1178" i="6" a="1"/>
  <c r="BD1178" i="6"/>
  <c r="BD1179" i="6" a="1"/>
  <c r="BD1179" i="6" s="1"/>
  <c r="BD1180" i="6" a="1"/>
  <c r="BD1180" i="6" s="1"/>
  <c r="BD1181" i="6" a="1"/>
  <c r="BD1181" i="6" s="1"/>
  <c r="BD1182" i="6" a="1"/>
  <c r="BD1182" i="6" s="1"/>
  <c r="BD1183" i="6" a="1"/>
  <c r="BD1183" i="6" s="1"/>
  <c r="BD1184" i="6" a="1"/>
  <c r="BD1184" i="6" s="1"/>
  <c r="BD1185" i="6" a="1"/>
  <c r="BD1185" i="6" s="1"/>
  <c r="BD1186" i="6" a="1"/>
  <c r="BD1186" i="6" s="1"/>
  <c r="BD1187" i="6" a="1"/>
  <c r="BD1187" i="6" s="1"/>
  <c r="BD1188" i="6" a="1"/>
  <c r="BD1188" i="6" s="1"/>
  <c r="BD1189" i="6" a="1"/>
  <c r="BD1189" i="6" s="1"/>
  <c r="BD1190" i="6" a="1"/>
  <c r="BD1190" i="6" s="1"/>
  <c r="BD1191" i="6" a="1"/>
  <c r="BD1191" i="6" s="1"/>
  <c r="BD1192" i="6" a="1"/>
  <c r="BD1192" i="6" s="1"/>
  <c r="BD1193" i="6" a="1"/>
  <c r="BD1193" i="6" s="1"/>
  <c r="BD1194" i="6" a="1"/>
  <c r="BD1194" i="6" s="1"/>
  <c r="BD1195" i="6" a="1"/>
  <c r="BD1195" i="6" s="1"/>
  <c r="BD1196" i="6" a="1"/>
  <c r="BD1196" i="6" s="1"/>
  <c r="BD1197" i="6" a="1"/>
  <c r="BD1197" i="6" s="1"/>
  <c r="BD1198" i="6" a="1"/>
  <c r="BD1198" i="6" s="1"/>
  <c r="BD1199" i="6" a="1"/>
  <c r="BD1199" i="6" s="1"/>
  <c r="BD1200" i="6" a="1"/>
  <c r="BD1200" i="6" s="1"/>
  <c r="BD1201" i="6" a="1"/>
  <c r="BD1201" i="6" s="1"/>
  <c r="BD1202" i="6" a="1"/>
  <c r="BD1202" i="6" s="1"/>
  <c r="BD1203" i="6" a="1"/>
  <c r="BD1203" i="6" s="1"/>
  <c r="BD1204" i="6" a="1"/>
  <c r="BD1204" i="6" s="1"/>
  <c r="BD1205" i="6" a="1"/>
  <c r="BD1205" i="6" s="1"/>
  <c r="BD1206" i="6" a="1"/>
  <c r="BD1206" i="6" s="1"/>
  <c r="BD1207" i="6" a="1"/>
  <c r="BD1207" i="6" s="1"/>
  <c r="BD1208" i="6" a="1"/>
  <c r="BD1208" i="6" s="1"/>
  <c r="BD1209" i="6" a="1"/>
  <c r="BD1209" i="6" s="1"/>
  <c r="BD1210" i="6" a="1"/>
  <c r="BD1210" i="6"/>
  <c r="BD1211" i="6" a="1"/>
  <c r="BD1211" i="6" s="1"/>
  <c r="BD1212" i="6" a="1"/>
  <c r="BD1212" i="6" s="1"/>
  <c r="BD1213" i="6" a="1"/>
  <c r="BD1213" i="6" s="1"/>
  <c r="BD1214" i="6" a="1"/>
  <c r="BD1214" i="6" s="1"/>
  <c r="BD1215" i="6" a="1"/>
  <c r="BD1215" i="6" s="1"/>
  <c r="BD1216" i="6" a="1"/>
  <c r="BD1216" i="6" s="1"/>
  <c r="BD1217" i="6" a="1"/>
  <c r="BD1217" i="6" s="1"/>
  <c r="BD1218" i="6" a="1"/>
  <c r="BD1218" i="6" s="1"/>
  <c r="BD1219" i="6" a="1"/>
  <c r="BD1219" i="6" s="1"/>
  <c r="BD1220" i="6" a="1"/>
  <c r="BD1220" i="6"/>
  <c r="BD1221" i="6" a="1"/>
  <c r="BD1221" i="6" s="1"/>
  <c r="BD1222" i="6" a="1"/>
  <c r="BD1222" i="6" s="1"/>
  <c r="BD1223" i="6" a="1"/>
  <c r="BD1223" i="6" s="1"/>
  <c r="BD1224" i="6" a="1"/>
  <c r="BD1224" i="6" s="1"/>
  <c r="BD1225" i="6" a="1"/>
  <c r="BD1225" i="6" s="1"/>
  <c r="BD1226" i="6" a="1"/>
  <c r="BD1226" i="6" s="1"/>
  <c r="BD1227" i="6" a="1"/>
  <c r="BD1227" i="6" s="1"/>
  <c r="BD1228" i="6" a="1"/>
  <c r="BD1228" i="6" s="1"/>
  <c r="BD1229" i="6" a="1"/>
  <c r="BD1229" i="6" s="1"/>
  <c r="BD1230" i="6" a="1"/>
  <c r="BD1230" i="6"/>
  <c r="BD1231" i="6" a="1"/>
  <c r="BD1231" i="6" s="1"/>
  <c r="BD1232" i="6" a="1"/>
  <c r="BD1232" i="6" s="1"/>
  <c r="BD1233" i="6" a="1"/>
  <c r="BD1233" i="6" s="1"/>
  <c r="BD1234" i="6" a="1"/>
  <c r="BD1234" i="6" s="1"/>
  <c r="BD1235" i="6" a="1"/>
  <c r="BD1235" i="6" s="1"/>
  <c r="BD1236" i="6" a="1"/>
  <c r="BD1236" i="6" s="1"/>
  <c r="BD1237" i="6" a="1"/>
  <c r="BD1237" i="6" s="1"/>
  <c r="BD1238" i="6" a="1"/>
  <c r="BD1238" i="6"/>
  <c r="BD1239" i="6" a="1"/>
  <c r="BD1239" i="6" s="1"/>
  <c r="BD1240" i="6" a="1"/>
  <c r="BD1240" i="6" s="1"/>
  <c r="BD1241" i="6" a="1"/>
  <c r="BD1241" i="6" s="1"/>
  <c r="BD1242" i="6" a="1"/>
  <c r="BD1242" i="6" s="1"/>
  <c r="BD1243" i="6" a="1"/>
  <c r="BD1243" i="6" s="1"/>
  <c r="BD1244" i="6" a="1"/>
  <c r="BD1244" i="6" s="1"/>
  <c r="BD1245" i="6" a="1"/>
  <c r="BD1245" i="6" s="1"/>
  <c r="BD1246" i="6" a="1"/>
  <c r="BD1246" i="6" s="1"/>
  <c r="BD1247" i="6" a="1"/>
  <c r="BD1247" i="6" s="1"/>
  <c r="BD1248" i="6" a="1"/>
  <c r="BD1248" i="6" s="1"/>
  <c r="BD1249" i="6" a="1"/>
  <c r="BD1249" i="6" s="1"/>
  <c r="BD1250" i="6" a="1"/>
  <c r="BD1250" i="6" s="1"/>
  <c r="BD1251" i="6" a="1"/>
  <c r="BD1251" i="6" s="1"/>
  <c r="BD1252" i="6" a="1"/>
  <c r="BD1252" i="6" s="1"/>
  <c r="BD1253" i="6" a="1"/>
  <c r="BD1253" i="6" s="1"/>
  <c r="BD1254" i="6" a="1"/>
  <c r="BD1254" i="6" s="1"/>
  <c r="BD1255" i="6" a="1"/>
  <c r="BD1255" i="6" s="1"/>
  <c r="BD1256" i="6" a="1"/>
  <c r="BD1256" i="6" s="1"/>
  <c r="BD1257" i="6" a="1"/>
  <c r="BD1257" i="6" s="1"/>
  <c r="BD1258" i="6" a="1"/>
  <c r="BD1258" i="6" s="1"/>
  <c r="BD1259" i="6" a="1"/>
  <c r="BD1259" i="6" s="1"/>
  <c r="BD1260" i="6" a="1"/>
  <c r="BD1260" i="6" s="1"/>
  <c r="BD1261" i="6" a="1"/>
  <c r="BD1261" i="6" s="1"/>
  <c r="BD1262" i="6" a="1"/>
  <c r="BD1262" i="6" s="1"/>
  <c r="BD1263" i="6" a="1"/>
  <c r="BD1263" i="6" s="1"/>
  <c r="BD1264" i="6" a="1"/>
  <c r="BD1264" i="6" s="1"/>
  <c r="BD1265" i="6" a="1"/>
  <c r="BD1265" i="6" s="1"/>
  <c r="BD1266" i="6" a="1"/>
  <c r="BD1266" i="6" s="1"/>
  <c r="BD1267" i="6" a="1"/>
  <c r="BD1267" i="6" s="1"/>
  <c r="BD1268" i="6" a="1"/>
  <c r="BD1268" i="6" s="1"/>
  <c r="BD1269" i="6" a="1"/>
  <c r="BD1269" i="6" s="1"/>
  <c r="BD1270" i="6" a="1"/>
  <c r="BD1270" i="6" s="1"/>
  <c r="BD1271" i="6" a="1"/>
  <c r="BD1271" i="6" s="1"/>
  <c r="BD1272" i="6" a="1"/>
  <c r="BD1272" i="6" s="1"/>
  <c r="BD1273" i="6" a="1"/>
  <c r="BD1273" i="6" s="1"/>
  <c r="BD1274" i="6" a="1"/>
  <c r="BD1274" i="6" s="1"/>
  <c r="BD1275" i="6" a="1"/>
  <c r="BD1275" i="6" s="1"/>
  <c r="BD1276" i="6" a="1"/>
  <c r="BD1276" i="6" s="1"/>
  <c r="BD1277" i="6" a="1"/>
  <c r="BD1277" i="6" s="1"/>
  <c r="BD1278" i="6" a="1"/>
  <c r="BD1278" i="6" s="1"/>
  <c r="BD1279" i="6" a="1"/>
  <c r="BD1279" i="6" s="1"/>
  <c r="BD1280" i="6" a="1"/>
  <c r="BD1280" i="6" s="1"/>
  <c r="BD1281" i="6" a="1"/>
  <c r="BD1281" i="6" s="1"/>
  <c r="BD1282" i="6" a="1"/>
  <c r="BD1282" i="6" s="1"/>
  <c r="BD1283" i="6" a="1"/>
  <c r="BD1283" i="6" s="1"/>
  <c r="BD1284" i="6" a="1"/>
  <c r="BD1284" i="6" s="1"/>
  <c r="BD1285" i="6" a="1"/>
  <c r="BD1285" i="6" s="1"/>
  <c r="BD1286" i="6" a="1"/>
  <c r="BD1286" i="6" s="1"/>
  <c r="BD1287" i="6" a="1"/>
  <c r="BD1287" i="6" s="1"/>
  <c r="BD1288" i="6" a="1"/>
  <c r="BD1288" i="6" s="1"/>
  <c r="BD1289" i="6" a="1"/>
  <c r="BD1289" i="6" s="1"/>
  <c r="BD1290" i="6" a="1"/>
  <c r="BD1290" i="6" s="1"/>
  <c r="BD1291" i="6" a="1"/>
  <c r="BD1291" i="6" s="1"/>
  <c r="BD1292" i="6" a="1"/>
  <c r="BD1292" i="6" s="1"/>
  <c r="BD1293" i="6" a="1"/>
  <c r="BD1293" i="6" s="1"/>
  <c r="BD1294" i="6" a="1"/>
  <c r="BD1294" i="6"/>
  <c r="BD1295" i="6" a="1"/>
  <c r="BD1295" i="6" s="1"/>
  <c r="BD1296" i="6" a="1"/>
  <c r="BD1296" i="6" s="1"/>
  <c r="BD1297" i="6" a="1"/>
  <c r="BD1297" i="6" s="1"/>
  <c r="BD1298" i="6" a="1"/>
  <c r="BD1298" i="6" s="1"/>
  <c r="BD1299" i="6" a="1"/>
  <c r="BD1299" i="6" s="1"/>
  <c r="BD1300" i="6" a="1"/>
  <c r="BD1300" i="6" s="1"/>
  <c r="BD1301" i="6" a="1"/>
  <c r="BD1301" i="6" s="1"/>
  <c r="BD1302" i="6" a="1"/>
  <c r="BD1302" i="6" s="1"/>
  <c r="BD1303" i="6" a="1"/>
  <c r="BD1303" i="6" s="1"/>
  <c r="BD1304" i="6" a="1"/>
  <c r="BD1304" i="6" s="1"/>
  <c r="BD1305" i="6" a="1"/>
  <c r="BD1305" i="6" s="1"/>
  <c r="BD1306" i="6" a="1"/>
  <c r="BD1306" i="6" s="1"/>
  <c r="BD1307" i="6" a="1"/>
  <c r="BD1307" i="6" s="1"/>
  <c r="BD1308" i="6" a="1"/>
  <c r="BD1308" i="6" s="1"/>
  <c r="BD1309" i="6" a="1"/>
  <c r="BD1309" i="6" s="1"/>
  <c r="BD1310" i="6" a="1"/>
  <c r="BD1310" i="6" s="1"/>
  <c r="BD1311" i="6" a="1"/>
  <c r="BD1311" i="6" s="1"/>
  <c r="BD1312" i="6" a="1"/>
  <c r="BD1312" i="6" s="1"/>
  <c r="BD1313" i="6" a="1"/>
  <c r="BD1313" i="6" s="1"/>
  <c r="BD1314" i="6" a="1"/>
  <c r="BD1314" i="6"/>
  <c r="BD1315" i="6" a="1"/>
  <c r="BD1315" i="6" s="1"/>
  <c r="BD1316" i="6" a="1"/>
  <c r="BD1316" i="6" s="1"/>
  <c r="BD1317" i="6" a="1"/>
  <c r="BD1317" i="6" s="1"/>
  <c r="BD1318" i="6" a="1"/>
  <c r="BD1318" i="6" s="1"/>
  <c r="BD1319" i="6" a="1"/>
  <c r="BD1319" i="6" s="1"/>
  <c r="BD1320" i="6" a="1"/>
  <c r="BD1320" i="6" s="1"/>
  <c r="BD1321" i="6" a="1"/>
  <c r="BD1321" i="6" s="1"/>
  <c r="BD1322" i="6" a="1"/>
  <c r="BD1322" i="6" s="1"/>
  <c r="BD1323" i="6" a="1"/>
  <c r="BD1323" i="6" s="1"/>
  <c r="BD1324" i="6" a="1"/>
  <c r="BD1324" i="6" s="1"/>
  <c r="BD1325" i="6" a="1"/>
  <c r="BD1325" i="6" s="1"/>
  <c r="BD1326" i="6" a="1"/>
  <c r="BD1326" i="6" s="1"/>
  <c r="BD1327" i="6" a="1"/>
  <c r="BD1327" i="6" s="1"/>
  <c r="BD1328" i="6" a="1"/>
  <c r="BD1328" i="6" s="1"/>
  <c r="BD1329" i="6" a="1"/>
  <c r="BD1329" i="6" s="1"/>
  <c r="BD1330" i="6" a="1"/>
  <c r="BD1330" i="6" s="1"/>
  <c r="BD1331" i="6" a="1"/>
  <c r="BD1331" i="6" s="1"/>
  <c r="BD1332" i="6" a="1"/>
  <c r="BD1332" i="6" s="1"/>
  <c r="BD1333" i="6" a="1"/>
  <c r="BD1333" i="6" s="1"/>
  <c r="BD1334" i="6" a="1"/>
  <c r="BD1334" i="6" s="1"/>
  <c r="BD1335" i="6" a="1"/>
  <c r="BD1335" i="6" s="1"/>
  <c r="BD1336" i="6" a="1"/>
  <c r="BD1336" i="6" s="1"/>
  <c r="BD1337" i="6" a="1"/>
  <c r="BD1337" i="6" s="1"/>
  <c r="BD1338" i="6" a="1"/>
  <c r="BD1338" i="6" s="1"/>
  <c r="BD1339" i="6" a="1"/>
  <c r="BD1339" i="6" s="1"/>
  <c r="BD1340" i="6" a="1"/>
  <c r="BD1340" i="6" s="1"/>
  <c r="BD1341" i="6" a="1"/>
  <c r="BD1341" i="6" s="1"/>
  <c r="BD1342" i="6" a="1"/>
  <c r="BD1342" i="6" s="1"/>
  <c r="BD1343" i="6" a="1"/>
  <c r="BD1343" i="6" s="1"/>
  <c r="BD1344" i="6" a="1"/>
  <c r="BD1344" i="6" s="1"/>
  <c r="BD1345" i="6" a="1"/>
  <c r="BD1345" i="6" s="1"/>
  <c r="BD1346" i="6" a="1"/>
  <c r="BD1346" i="6" s="1"/>
  <c r="BD1347" i="6" a="1"/>
  <c r="BD1347" i="6" s="1"/>
  <c r="BD1348" i="6" a="1"/>
  <c r="BD1348" i="6" s="1"/>
  <c r="BD1349" i="6" a="1"/>
  <c r="BD1349" i="6" s="1"/>
  <c r="BD1350" i="6" a="1"/>
  <c r="BD1350" i="6" s="1"/>
  <c r="BD1351" i="6" a="1"/>
  <c r="BD1351" i="6" s="1"/>
  <c r="BD1352" i="6" a="1"/>
  <c r="BD1352" i="6" s="1"/>
  <c r="BD1353" i="6" a="1"/>
  <c r="BD1353" i="6" s="1"/>
  <c r="BD1354" i="6" a="1"/>
  <c r="BD1354" i="6" s="1"/>
  <c r="BD1355" i="6" a="1"/>
  <c r="BD1355" i="6" s="1"/>
  <c r="BD1356" i="6" a="1"/>
  <c r="BD1356" i="6" s="1"/>
  <c r="BD1357" i="6" a="1"/>
  <c r="BD1357" i="6" s="1"/>
  <c r="BD1358" i="6" a="1"/>
  <c r="BD1358" i="6"/>
  <c r="BD1359" i="6" a="1"/>
  <c r="BD1359" i="6" s="1"/>
  <c r="BD1360" i="6" a="1"/>
  <c r="BD1360" i="6" s="1"/>
  <c r="BD1361" i="6" a="1"/>
  <c r="BD1361" i="6" s="1"/>
  <c r="BD1362" i="6" a="1"/>
  <c r="BD1362" i="6" s="1"/>
  <c r="BD1363" i="6" a="1"/>
  <c r="BD1363" i="6" s="1"/>
  <c r="BD1364" i="6" a="1"/>
  <c r="BD1364" i="6" s="1"/>
  <c r="BD1365" i="6" a="1"/>
  <c r="BD1365" i="6" s="1"/>
  <c r="BD1366" i="6" a="1"/>
  <c r="BD1366" i="6" s="1"/>
  <c r="BD1367" i="6" a="1"/>
  <c r="BD1367" i="6" s="1"/>
  <c r="BD1368" i="6" a="1"/>
  <c r="BD1368" i="6" s="1"/>
  <c r="BD1369" i="6" a="1"/>
  <c r="BD1369" i="6" s="1"/>
  <c r="BD1370" i="6" a="1"/>
  <c r="BD1370" i="6" s="1"/>
  <c r="BD1371" i="6" a="1"/>
  <c r="BD1371" i="6" s="1"/>
  <c r="BD1372" i="6" a="1"/>
  <c r="BD1372" i="6" s="1"/>
  <c r="BD1373" i="6" a="1"/>
  <c r="BD1373" i="6" s="1"/>
  <c r="BD1374" i="6" a="1"/>
  <c r="BD1374" i="6"/>
  <c r="BD1375" i="6" a="1"/>
  <c r="BD1375" i="6" s="1"/>
  <c r="BD1376" i="6" a="1"/>
  <c r="BD1376" i="6" s="1"/>
  <c r="BD1377" i="6" a="1"/>
  <c r="BD1377" i="6" s="1"/>
  <c r="BD1378" i="6" a="1"/>
  <c r="BD1378" i="6" s="1"/>
  <c r="BD1379" i="6" a="1"/>
  <c r="BD1379" i="6" s="1"/>
  <c r="BD1380" i="6" a="1"/>
  <c r="BD1380" i="6" s="1"/>
  <c r="BD1381" i="6" a="1"/>
  <c r="BD1381" i="6" s="1"/>
  <c r="BD1382" i="6" a="1"/>
  <c r="BD1382" i="6" s="1"/>
  <c r="BD1383" i="6" a="1"/>
  <c r="BD1383" i="6" s="1"/>
  <c r="BD1384" i="6" a="1"/>
  <c r="BD1384" i="6" s="1"/>
  <c r="BD1385" i="6" a="1"/>
  <c r="BD1385" i="6" s="1"/>
  <c r="BD1386" i="6" a="1"/>
  <c r="BD1386" i="6" s="1"/>
  <c r="BD1387" i="6" a="1"/>
  <c r="BD1387" i="6" s="1"/>
  <c r="BD1388" i="6" a="1"/>
  <c r="BD1388" i="6" s="1"/>
  <c r="BD1389" i="6" a="1"/>
  <c r="BD1389" i="6" s="1"/>
  <c r="BD1390" i="6" a="1"/>
  <c r="BD1390" i="6" s="1"/>
  <c r="BD1391" i="6" a="1"/>
  <c r="BD1391" i="6" s="1"/>
  <c r="BD1392" i="6" a="1"/>
  <c r="BD1392" i="6" s="1"/>
  <c r="BD1393" i="6" a="1"/>
  <c r="BD1393" i="6" s="1"/>
  <c r="BD1394" i="6" a="1"/>
  <c r="BD1394" i="6" s="1"/>
  <c r="BD1395" i="6" a="1"/>
  <c r="BD1395" i="6" s="1"/>
  <c r="BD1396" i="6" a="1"/>
  <c r="BD1396" i="6" s="1"/>
  <c r="BD1397" i="6" a="1"/>
  <c r="BD1397" i="6" s="1"/>
  <c r="BD1398" i="6" a="1"/>
  <c r="BD1398" i="6" s="1"/>
  <c r="BD1399" i="6" a="1"/>
  <c r="BD1399" i="6" s="1"/>
  <c r="BD1400" i="6" a="1"/>
  <c r="BD1400" i="6" s="1"/>
  <c r="BD1401" i="6" a="1"/>
  <c r="BD1401" i="6" s="1"/>
  <c r="BD1402" i="6" a="1"/>
  <c r="BD1402" i="6" s="1"/>
  <c r="BD1403" i="6" a="1"/>
  <c r="BD1403" i="6" s="1"/>
  <c r="BD1404" i="6" a="1"/>
  <c r="BD1404" i="6" s="1"/>
  <c r="BD1405" i="6" a="1"/>
  <c r="BD1405" i="6" s="1"/>
  <c r="BD1406" i="6" a="1"/>
  <c r="BD1406" i="6" s="1"/>
  <c r="BD1407" i="6" a="1"/>
  <c r="BD1407" i="6" s="1"/>
  <c r="BD1408" i="6" a="1"/>
  <c r="BD1408" i="6" s="1"/>
  <c r="BD1409" i="6" a="1"/>
  <c r="BD1409" i="6" s="1"/>
  <c r="BD1410" i="6" a="1"/>
  <c r="BD1410" i="6"/>
  <c r="BD1411" i="6" a="1"/>
  <c r="BD1411" i="6" s="1"/>
  <c r="BD1412" i="6" a="1"/>
  <c r="BD1412" i="6" s="1"/>
  <c r="BD1413" i="6" a="1"/>
  <c r="BD1413" i="6" s="1"/>
  <c r="BD1414" i="6" a="1"/>
  <c r="BD1414" i="6" s="1"/>
  <c r="BD1415" i="6" a="1"/>
  <c r="BD1415" i="6" s="1"/>
  <c r="BD1416" i="6" a="1"/>
  <c r="BD1416" i="6" s="1"/>
  <c r="BD1417" i="6" a="1"/>
  <c r="BD1417" i="6" s="1"/>
  <c r="BD1418" i="6" a="1"/>
  <c r="BD1418" i="6" s="1"/>
  <c r="BD1419" i="6" a="1"/>
  <c r="BD1419" i="6" s="1"/>
  <c r="BD1420" i="6" a="1"/>
  <c r="BD1420" i="6" s="1"/>
  <c r="BD1421" i="6" a="1"/>
  <c r="BD1421" i="6" s="1"/>
  <c r="BD1422" i="6" a="1"/>
  <c r="BD1422" i="6"/>
  <c r="BD1423" i="6" a="1"/>
  <c r="BD1423" i="6" s="1"/>
  <c r="BD1424" i="6" a="1"/>
  <c r="BD1424" i="6" s="1"/>
  <c r="BD1425" i="6" a="1"/>
  <c r="BD1425" i="6" s="1"/>
  <c r="BD1426" i="6" a="1"/>
  <c r="BD1426" i="6" s="1"/>
  <c r="BD1427" i="6" a="1"/>
  <c r="BD1427" i="6" s="1"/>
  <c r="BD1428" i="6" a="1"/>
  <c r="BD1428" i="6" s="1"/>
  <c r="BD1429" i="6" a="1"/>
  <c r="BD1429" i="6" s="1"/>
  <c r="BD1430" i="6" a="1"/>
  <c r="BD1430" i="6" s="1"/>
  <c r="BD1431" i="6" a="1"/>
  <c r="BD1431" i="6" s="1"/>
  <c r="BD1432" i="6" a="1"/>
  <c r="BD1432" i="6" s="1"/>
  <c r="BD1433" i="6" a="1"/>
  <c r="BD1433" i="6" s="1"/>
  <c r="BD1434" i="6" a="1"/>
  <c r="BD1434" i="6" s="1"/>
  <c r="BD1435" i="6" a="1"/>
  <c r="BD1435" i="6" s="1"/>
  <c r="BD1436" i="6" a="1"/>
  <c r="BD1436" i="6" s="1"/>
  <c r="BD1437" i="6" a="1"/>
  <c r="BD1437" i="6" s="1"/>
  <c r="BD1438" i="6" a="1"/>
  <c r="BD1438" i="6" s="1"/>
  <c r="BD1439" i="6" a="1"/>
  <c r="BD1439" i="6" s="1"/>
  <c r="BD1440" i="6" a="1"/>
  <c r="BD1440" i="6" s="1"/>
  <c r="BD1441" i="6" a="1"/>
  <c r="BD1441" i="6" s="1"/>
  <c r="BD1442" i="6" a="1"/>
  <c r="BD1442" i="6" s="1"/>
  <c r="BD1443" i="6" a="1"/>
  <c r="BD1443" i="6" s="1"/>
  <c r="BD1444" i="6" a="1"/>
  <c r="BD1444" i="6" s="1"/>
  <c r="BD1445" i="6" a="1"/>
  <c r="BD1445" i="6" s="1"/>
  <c r="BD1446" i="6" a="1"/>
  <c r="BD1446" i="6" s="1"/>
  <c r="BD1447" i="6" a="1"/>
  <c r="BD1447" i="6" s="1"/>
  <c r="BD1448" i="6" a="1"/>
  <c r="BD1448" i="6" s="1"/>
  <c r="BD1449" i="6" a="1"/>
  <c r="BD1449" i="6" s="1"/>
  <c r="BD1450" i="6" a="1"/>
  <c r="BD1450" i="6" s="1"/>
  <c r="BD1451" i="6" a="1"/>
  <c r="BD1451" i="6" s="1"/>
  <c r="BD1452" i="6" a="1"/>
  <c r="BD1452" i="6" s="1"/>
  <c r="BD1453" i="6" a="1"/>
  <c r="BD1453" i="6" s="1"/>
  <c r="BD1454" i="6" a="1"/>
  <c r="BD1454" i="6" s="1"/>
  <c r="BD1455" i="6" a="1"/>
  <c r="BD1455" i="6" s="1"/>
  <c r="BD1456" i="6" a="1"/>
  <c r="BD1456" i="6" s="1"/>
  <c r="BD1457" i="6" a="1"/>
  <c r="BD1457" i="6" s="1"/>
  <c r="BD1458" i="6" a="1"/>
  <c r="BD1458" i="6" s="1"/>
  <c r="BD1459" i="6" a="1"/>
  <c r="BD1459" i="6" s="1"/>
  <c r="BD1460" i="6" a="1"/>
  <c r="BD1460" i="6" s="1"/>
  <c r="BD1461" i="6" a="1"/>
  <c r="BD1461" i="6" s="1"/>
  <c r="BD1462" i="6" a="1"/>
  <c r="BD1462" i="6"/>
  <c r="BD1463" i="6" a="1"/>
  <c r="BD1463" i="6" s="1"/>
  <c r="BD1464" i="6" a="1"/>
  <c r="BD1464" i="6" s="1"/>
  <c r="BD1465" i="6" a="1"/>
  <c r="BD1465" i="6" s="1"/>
  <c r="BD1466" i="6" a="1"/>
  <c r="BD1466" i="6" s="1"/>
  <c r="BD1467" i="6" a="1"/>
  <c r="BD1467" i="6" s="1"/>
  <c r="BD1468" i="6" a="1"/>
  <c r="BD1468" i="6" s="1"/>
  <c r="BD1469" i="6" a="1"/>
  <c r="BD1469" i="6" s="1"/>
  <c r="BD1470" i="6" a="1"/>
  <c r="BD1470" i="6"/>
  <c r="BD1471" i="6" a="1"/>
  <c r="BD1471" i="6" s="1"/>
  <c r="BD1472" i="6" a="1"/>
  <c r="BD1472" i="6" s="1"/>
  <c r="BD1473" i="6" a="1"/>
  <c r="BD1473" i="6" s="1"/>
  <c r="BD1474" i="6" a="1"/>
  <c r="BD1474" i="6" s="1"/>
  <c r="BD1475" i="6" a="1"/>
  <c r="BD1475" i="6" s="1"/>
  <c r="BD1476" i="6" a="1"/>
  <c r="BD1476" i="6" s="1"/>
  <c r="BD1477" i="6" a="1"/>
  <c r="BD1477" i="6" s="1"/>
  <c r="BD1478" i="6" a="1"/>
  <c r="BD1478" i="6" s="1"/>
  <c r="BD1479" i="6" a="1"/>
  <c r="BD1479" i="6" s="1"/>
  <c r="BD1480" i="6" a="1"/>
  <c r="BD1480" i="6" s="1"/>
  <c r="BD1481" i="6" a="1"/>
  <c r="BD1481" i="6" s="1"/>
  <c r="BD1482" i="6" a="1"/>
  <c r="BD1482" i="6" s="1"/>
  <c r="BD1483" i="6" a="1"/>
  <c r="BD1483" i="6" s="1"/>
  <c r="BD1484" i="6" a="1"/>
  <c r="BD1484" i="6" s="1"/>
  <c r="BD1485" i="6" a="1"/>
  <c r="BD1485" i="6" s="1"/>
  <c r="BD1486" i="6" a="1"/>
  <c r="BD1486" i="6" s="1"/>
  <c r="BD1487" i="6" a="1"/>
  <c r="BD1487" i="6" s="1"/>
  <c r="BD1488" i="6" a="1"/>
  <c r="BD1488" i="6" s="1"/>
  <c r="BD1489" i="6" a="1"/>
  <c r="BD1489" i="6" s="1"/>
  <c r="BD1490" i="6" a="1"/>
  <c r="BD1490" i="6" s="1"/>
  <c r="BD1491" i="6" a="1"/>
  <c r="BD1491" i="6" s="1"/>
  <c r="BD1492" i="6" a="1"/>
  <c r="BD1492" i="6" s="1"/>
  <c r="BD1493" i="6" a="1"/>
  <c r="BD1493" i="6" s="1"/>
  <c r="BD1494" i="6" a="1"/>
  <c r="BD1494" i="6" s="1"/>
  <c r="BD1495" i="6" a="1"/>
  <c r="BD1495" i="6" s="1"/>
  <c r="BD1496" i="6" a="1"/>
  <c r="BD1496" i="6" s="1"/>
  <c r="BD1497" i="6" a="1"/>
  <c r="BD1497" i="6" s="1"/>
  <c r="BD1498" i="6" a="1"/>
  <c r="BD1498" i="6" s="1"/>
  <c r="BD1499" i="6" a="1"/>
  <c r="BD1499" i="6" s="1"/>
  <c r="BD1500" i="6" a="1"/>
  <c r="BD1500" i="6" s="1"/>
  <c r="BD1501" i="6" a="1"/>
  <c r="BD1501" i="6" s="1"/>
  <c r="BD1502" i="6" a="1"/>
  <c r="BD1502" i="6"/>
  <c r="BD1503" i="6" a="1"/>
  <c r="BD1503" i="6" s="1"/>
  <c r="BD1504" i="6" a="1"/>
  <c r="BD1504" i="6" s="1"/>
  <c r="BD1505" i="6" a="1"/>
  <c r="BD1505" i="6" s="1"/>
  <c r="BD1506" i="6" a="1"/>
  <c r="BD1506" i="6" s="1"/>
  <c r="BD1507" i="6" a="1"/>
  <c r="BD1507" i="6" s="1"/>
  <c r="BD1508" i="6" a="1"/>
  <c r="BD1508" i="6" s="1"/>
  <c r="BD1509" i="6" a="1"/>
  <c r="BD1509" i="6" s="1"/>
  <c r="BD1510" i="6" a="1"/>
  <c r="BD1510" i="6" s="1"/>
  <c r="BD1511" i="6" a="1"/>
  <c r="BD1511" i="6" s="1"/>
  <c r="BD1512" i="6" a="1"/>
  <c r="BD1512" i="6" s="1"/>
  <c r="BD1513" i="6" a="1"/>
  <c r="BD1513" i="6"/>
  <c r="BD1514" i="6" a="1"/>
  <c r="BD1514" i="6" s="1"/>
  <c r="BD1515" i="6" a="1"/>
  <c r="BD1515" i="6" s="1"/>
  <c r="BD1516" i="6" a="1"/>
  <c r="BD1516" i="6" s="1"/>
  <c r="BD1517" i="6" a="1"/>
  <c r="BD1517" i="6"/>
  <c r="BD1518" i="6" a="1"/>
  <c r="BD1518" i="6" s="1"/>
  <c r="BD1519" i="6" a="1"/>
  <c r="BD1519" i="6" s="1"/>
  <c r="BD1520" i="6" a="1"/>
  <c r="BD1520" i="6" s="1"/>
  <c r="BD1521" i="6" a="1"/>
  <c r="BD1521" i="6" s="1"/>
  <c r="BD1522" i="6" a="1"/>
  <c r="BD1522" i="6" s="1"/>
  <c r="BD1523" i="6" a="1"/>
  <c r="BD1523" i="6" s="1"/>
  <c r="BD1524" i="6" a="1"/>
  <c r="BD1524" i="6" s="1"/>
  <c r="BD1525" i="6" a="1"/>
  <c r="BD1525" i="6" s="1"/>
  <c r="BD1526" i="6" a="1"/>
  <c r="BD1526" i="6" s="1"/>
  <c r="BD1527" i="6" a="1"/>
  <c r="BD1527" i="6" s="1"/>
  <c r="BD1528" i="6" a="1"/>
  <c r="BD1528" i="6" s="1"/>
  <c r="BD1529" i="6" a="1"/>
  <c r="BD1529" i="6" s="1"/>
  <c r="BD1530" i="6" a="1"/>
  <c r="BD1530" i="6" s="1"/>
  <c r="BD1531" i="6" a="1"/>
  <c r="BD1531" i="6" s="1"/>
  <c r="BD1532" i="6" a="1"/>
  <c r="BD1532" i="6" s="1"/>
  <c r="BD1533" i="6" a="1"/>
  <c r="BD1533" i="6" s="1"/>
  <c r="BD1534" i="6" a="1"/>
  <c r="BD1534" i="6" s="1"/>
  <c r="BD1535" i="6" a="1"/>
  <c r="BD1535" i="6" s="1"/>
  <c r="BD1536" i="6" a="1"/>
  <c r="BD1536" i="6" s="1"/>
  <c r="BD1537" i="6" a="1"/>
  <c r="BD1537" i="6" s="1"/>
  <c r="BD1538" i="6" a="1"/>
  <c r="BD1538" i="6" s="1"/>
  <c r="BD1539" i="6" a="1"/>
  <c r="BD1539" i="6" s="1"/>
  <c r="BD1540" i="6" a="1"/>
  <c r="BD1540" i="6" s="1"/>
  <c r="BD1541" i="6" a="1"/>
  <c r="BD1541" i="6"/>
  <c r="BD1542" i="6" a="1"/>
  <c r="BD1542" i="6" s="1"/>
  <c r="BD1543" i="6" a="1"/>
  <c r="BD1543" i="6" s="1"/>
  <c r="BD1544" i="6" a="1"/>
  <c r="BD1544" i="6" s="1"/>
  <c r="BD1545" i="6" a="1"/>
  <c r="BD1545" i="6" s="1"/>
  <c r="BD1546" i="6" a="1"/>
  <c r="BD1546" i="6" s="1"/>
  <c r="BD1547" i="6" a="1"/>
  <c r="BD1547" i="6" s="1"/>
  <c r="BD1548" i="6" a="1"/>
  <c r="BD1548" i="6" s="1"/>
  <c r="BD1549" i="6" a="1"/>
  <c r="BD1549" i="6"/>
  <c r="BD1550" i="6" a="1"/>
  <c r="BD1550" i="6" s="1"/>
  <c r="BD1551" i="6" a="1"/>
  <c r="BD1551" i="6" s="1"/>
  <c r="BD1552" i="6" a="1"/>
  <c r="BD1552" i="6" s="1"/>
  <c r="BD1553" i="6" a="1"/>
  <c r="BD1553" i="6" s="1"/>
  <c r="BD1554" i="6" a="1"/>
  <c r="BD1554" i="6" s="1"/>
  <c r="BD1555" i="6" a="1"/>
  <c r="BD1555" i="6" s="1"/>
  <c r="BD1556" i="6" a="1"/>
  <c r="BD1556" i="6" s="1"/>
  <c r="BD1557" i="6" a="1"/>
  <c r="BD1557" i="6" s="1"/>
  <c r="BD1558" i="6" a="1"/>
  <c r="BD1558" i="6" s="1"/>
  <c r="BD1559" i="6" a="1"/>
  <c r="BD1559" i="6" s="1"/>
  <c r="BD1560" i="6" a="1"/>
  <c r="BD1560" i="6" s="1"/>
  <c r="BD1561" i="6" a="1"/>
  <c r="BD1561" i="6" s="1"/>
  <c r="BD1562" i="6" a="1"/>
  <c r="BD1562" i="6" s="1"/>
  <c r="BD1563" i="6" a="1"/>
  <c r="BD1563" i="6" s="1"/>
  <c r="BD1564" i="6" a="1"/>
  <c r="BD1564" i="6" s="1"/>
  <c r="BD1565" i="6" a="1"/>
  <c r="BD1565" i="6" s="1"/>
  <c r="BD1566" i="6" a="1"/>
  <c r="BD1566" i="6" s="1"/>
  <c r="BD1567" i="6" a="1"/>
  <c r="BD1567" i="6" s="1"/>
  <c r="BD1568" i="6" a="1"/>
  <c r="BD1568" i="6" s="1"/>
  <c r="BD1569" i="6" a="1"/>
  <c r="BD1569" i="6" s="1"/>
  <c r="BD1570" i="6" a="1"/>
  <c r="BD1570" i="6" s="1"/>
  <c r="BD1571" i="6" a="1"/>
  <c r="BD1571" i="6" s="1"/>
  <c r="BD1572" i="6" a="1"/>
  <c r="BD1572" i="6" s="1"/>
  <c r="BD1573" i="6" a="1"/>
  <c r="BD1573" i="6"/>
  <c r="BD1574" i="6" a="1"/>
  <c r="BD1574" i="6" s="1"/>
  <c r="BD1575" i="6" a="1"/>
  <c r="BD1575" i="6" s="1"/>
  <c r="BD1576" i="6" a="1"/>
  <c r="BD1576" i="6" s="1"/>
  <c r="BD1577" i="6" a="1"/>
  <c r="BD1577" i="6" s="1"/>
  <c r="BD1578" i="6" a="1"/>
  <c r="BD1578" i="6" s="1"/>
  <c r="BD1579" i="6" a="1"/>
  <c r="BD1579" i="6" s="1"/>
  <c r="BD1580" i="6" a="1"/>
  <c r="BD1580" i="6" s="1"/>
  <c r="BD1581" i="6" a="1"/>
  <c r="BD1581" i="6" s="1"/>
  <c r="BD1582" i="6" a="1"/>
  <c r="BD1582" i="6" s="1"/>
  <c r="BD1583" i="6" a="1"/>
  <c r="BD1583" i="6" s="1"/>
  <c r="BD1584" i="6" a="1"/>
  <c r="BD1584" i="6" s="1"/>
  <c r="BD1585" i="6" a="1"/>
  <c r="BD1585" i="6" s="1"/>
  <c r="BD1586" i="6" a="1"/>
  <c r="BD1586" i="6" s="1"/>
  <c r="BD1587" i="6" a="1"/>
  <c r="BD1587" i="6"/>
  <c r="BD1588" i="6" a="1"/>
  <c r="BD1588" i="6" s="1"/>
  <c r="BD1589" i="6" a="1"/>
  <c r="BD1589" i="6" s="1"/>
  <c r="BD1590" i="6" a="1"/>
  <c r="BD1590" i="6" s="1"/>
  <c r="BD1591" i="6" a="1"/>
  <c r="BD1591" i="6" s="1"/>
  <c r="BD1592" i="6" a="1"/>
  <c r="BD1592" i="6" s="1"/>
  <c r="BD1593" i="6" a="1"/>
  <c r="BD1593" i="6" s="1"/>
  <c r="BD1594" i="6" a="1"/>
  <c r="BD1594" i="6" s="1"/>
  <c r="BD1595" i="6" a="1"/>
  <c r="BD1595" i="6"/>
  <c r="BD1596" i="6" a="1"/>
  <c r="BD1596" i="6" s="1"/>
  <c r="BD1597" i="6" a="1"/>
  <c r="BD1597" i="6" s="1"/>
  <c r="BD1598" i="6" a="1"/>
  <c r="BD1598" i="6" s="1"/>
  <c r="BD1599" i="6" a="1"/>
  <c r="BD1599" i="6" s="1"/>
  <c r="BD1600" i="6" a="1"/>
  <c r="BD1600" i="6" s="1"/>
  <c r="BD1601" i="6" a="1"/>
  <c r="BD1601" i="6" s="1"/>
  <c r="BD1602" i="6" a="1"/>
  <c r="BD1602" i="6" s="1"/>
  <c r="BD1603" i="6" a="1"/>
  <c r="BD1603" i="6" s="1"/>
  <c r="BD1604" i="6" a="1"/>
  <c r="BD1604" i="6" s="1"/>
  <c r="BD1605" i="6" a="1"/>
  <c r="BD1605" i="6" s="1"/>
  <c r="BD1606" i="6" a="1"/>
  <c r="BD1606" i="6" s="1"/>
  <c r="BD1607" i="6" a="1"/>
  <c r="BD1607" i="6" s="1"/>
  <c r="BD1608" i="6" a="1"/>
  <c r="BD1608" i="6" s="1"/>
  <c r="BD1609" i="6" a="1"/>
  <c r="BD1609" i="6" s="1"/>
  <c r="BD1610" i="6" a="1"/>
  <c r="BD1610" i="6" s="1"/>
  <c r="BD1611" i="6" a="1"/>
  <c r="BD1611" i="6" s="1"/>
  <c r="BD1612" i="6" a="1"/>
  <c r="BD1612" i="6" s="1"/>
  <c r="BD1613" i="6" a="1"/>
  <c r="BD1613" i="6" s="1"/>
  <c r="BD1614" i="6" a="1"/>
  <c r="BD1614" i="6" s="1"/>
  <c r="BD1615" i="6" a="1"/>
  <c r="BD1615" i="6" s="1"/>
  <c r="BD1616" i="6" a="1"/>
  <c r="BD1616" i="6" s="1"/>
  <c r="BD1617" i="6" a="1"/>
  <c r="BD1617" i="6" s="1"/>
  <c r="BD1618" i="6" a="1"/>
  <c r="BD1618" i="6" s="1"/>
  <c r="BD1619" i="6" a="1"/>
  <c r="BD1619" i="6"/>
  <c r="BD1620" i="6" a="1"/>
  <c r="BD1620" i="6" s="1"/>
  <c r="BD1621" i="6" a="1"/>
  <c r="BD1621" i="6" s="1"/>
  <c r="BD1622" i="6" a="1"/>
  <c r="BD1622" i="6" s="1"/>
  <c r="BD1623" i="6" a="1"/>
  <c r="BD1623" i="6"/>
  <c r="BD1624" i="6" a="1"/>
  <c r="BD1624" i="6" s="1"/>
  <c r="BD1625" i="6" a="1"/>
  <c r="BD1625" i="6" s="1"/>
  <c r="BD1626" i="6" a="1"/>
  <c r="BD1626" i="6" s="1"/>
  <c r="BD1627" i="6" a="1"/>
  <c r="BD1627" i="6" s="1"/>
  <c r="BD1628" i="6" a="1"/>
  <c r="BD1628" i="6" s="1"/>
  <c r="BD1629" i="6" a="1"/>
  <c r="BD1629" i="6"/>
  <c r="BD1630" i="6" a="1"/>
  <c r="BD1630" i="6" s="1"/>
  <c r="BD1631" i="6" a="1"/>
  <c r="BD1631" i="6" s="1"/>
  <c r="BD1632" i="6" a="1"/>
  <c r="BD1632" i="6" s="1"/>
  <c r="BD1633" i="6" a="1"/>
  <c r="BD1633" i="6" s="1"/>
  <c r="BD1634" i="6" a="1"/>
  <c r="BD1634" i="6" s="1"/>
  <c r="BD1635" i="6" a="1"/>
  <c r="BD1635" i="6" s="1"/>
  <c r="BD1636" i="6" a="1"/>
  <c r="BD1636" i="6" s="1"/>
  <c r="BD1637" i="6" a="1"/>
  <c r="BD1637" i="6"/>
  <c r="BD1638" i="6" a="1"/>
  <c r="BD1638" i="6" s="1"/>
  <c r="BD1639" i="6" a="1"/>
  <c r="BD1639" i="6" s="1"/>
  <c r="BD1640" i="6" a="1"/>
  <c r="BD1640" i="6" s="1"/>
  <c r="BD1641" i="6" a="1"/>
  <c r="BD1641" i="6" s="1"/>
  <c r="BD1642" i="6" a="1"/>
  <c r="BD1642" i="6" s="1"/>
  <c r="BD1643" i="6" a="1"/>
  <c r="BD1643" i="6" s="1"/>
  <c r="BD1644" i="6" a="1"/>
  <c r="BD1644" i="6" s="1"/>
  <c r="BD1645" i="6" a="1"/>
  <c r="BD1645" i="6" s="1"/>
  <c r="BD1646" i="6" a="1"/>
  <c r="BD1646" i="6" s="1"/>
  <c r="BD1647" i="6" a="1"/>
  <c r="BD1647" i="6" s="1"/>
  <c r="BD1648" i="6" a="1"/>
  <c r="BD1648" i="6" s="1"/>
  <c r="BD1649" i="6" a="1"/>
  <c r="BD1649" i="6" s="1"/>
  <c r="BD1650" i="6" a="1"/>
  <c r="BD1650" i="6" s="1"/>
  <c r="BD1651" i="6" a="1"/>
  <c r="BD1651" i="6" s="1"/>
  <c r="BD1652" i="6" a="1"/>
  <c r="BD1652" i="6" s="1"/>
  <c r="BD1653" i="6" a="1"/>
  <c r="BD1653" i="6" s="1"/>
  <c r="BD1654" i="6" a="1"/>
  <c r="BD1654" i="6" s="1"/>
  <c r="BD1655" i="6" a="1"/>
  <c r="BD1655" i="6" s="1"/>
  <c r="BD1656" i="6" a="1"/>
  <c r="BD1656" i="6" s="1"/>
  <c r="BD1657" i="6" a="1"/>
  <c r="BD1657" i="6" s="1"/>
  <c r="BD1658" i="6" a="1"/>
  <c r="BD1658" i="6" s="1"/>
  <c r="BD1659" i="6" a="1"/>
  <c r="BD1659" i="6" s="1"/>
  <c r="BD1660" i="6" a="1"/>
  <c r="BD1660" i="6" s="1"/>
  <c r="BD1661" i="6" a="1"/>
  <c r="BD1661" i="6"/>
  <c r="BD1662" i="6" a="1"/>
  <c r="BD1662" i="6" s="1"/>
  <c r="BD1663" i="6" a="1"/>
  <c r="BD1663" i="6" s="1"/>
  <c r="BD1664" i="6" a="1"/>
  <c r="BD1664" i="6" s="1"/>
  <c r="BD1665" i="6" a="1"/>
  <c r="BD1665" i="6" s="1"/>
  <c r="BD1666" i="6" a="1"/>
  <c r="BD1666" i="6" s="1"/>
  <c r="BD1667" i="6" a="1"/>
  <c r="BD1667" i="6" s="1"/>
  <c r="BD1668" i="6" a="1"/>
  <c r="BD1668" i="6" s="1"/>
  <c r="BD1669" i="6" a="1"/>
  <c r="BD1669" i="6"/>
  <c r="BD1670" i="6" a="1"/>
  <c r="BD1670" i="6" s="1"/>
  <c r="BD1671" i="6" a="1"/>
  <c r="BD1671" i="6" s="1"/>
  <c r="BD1672" i="6" a="1"/>
  <c r="BD1672" i="6" s="1"/>
  <c r="BD1673" i="6" a="1"/>
  <c r="BD1673" i="6" s="1"/>
  <c r="BD1674" i="6" a="1"/>
  <c r="BD1674" i="6" s="1"/>
  <c r="BD1675" i="6" a="1"/>
  <c r="BD1675" i="6"/>
  <c r="BD1676" i="6" a="1"/>
  <c r="BD1676" i="6" s="1"/>
  <c r="BD1677" i="6" a="1"/>
  <c r="BD1677" i="6" s="1"/>
  <c r="BD1678" i="6" a="1"/>
  <c r="BD1678" i="6" s="1"/>
  <c r="BD1679" i="6" a="1"/>
  <c r="BD1679" i="6" s="1"/>
  <c r="BD1680" i="6" a="1"/>
  <c r="BD1680" i="6" s="1"/>
  <c r="BD1681" i="6" a="1"/>
  <c r="BD1681" i="6" s="1"/>
  <c r="BD1682" i="6" a="1"/>
  <c r="BD1682" i="6" s="1"/>
  <c r="BD1683" i="6" a="1"/>
  <c r="BD1683" i="6"/>
  <c r="BD1684" i="6" a="1"/>
  <c r="BD1684" i="6" s="1"/>
  <c r="BD1685" i="6" a="1"/>
  <c r="BD1685" i="6" s="1"/>
  <c r="BD1686" i="6" a="1"/>
  <c r="BD1686" i="6" s="1"/>
  <c r="BD1687" i="6" a="1"/>
  <c r="BD1687" i="6" s="1"/>
  <c r="BD1688" i="6" a="1"/>
  <c r="BD1688" i="6" s="1"/>
  <c r="BD1689" i="6" a="1"/>
  <c r="BD1689" i="6" s="1"/>
  <c r="BD1690" i="6" a="1"/>
  <c r="BD1690" i="6" s="1"/>
  <c r="BD1691" i="6" a="1"/>
  <c r="BD1691" i="6" s="1"/>
  <c r="BD1692" i="6" a="1"/>
  <c r="BD1692" i="6" s="1"/>
  <c r="BD1693" i="6" a="1"/>
  <c r="BD1693" i="6"/>
  <c r="BD1694" i="6" a="1"/>
  <c r="BD1694" i="6" s="1"/>
  <c r="BD1695" i="6" a="1"/>
  <c r="BD1695" i="6" s="1"/>
  <c r="BD1696" i="6" a="1"/>
  <c r="BD1696" i="6" s="1"/>
  <c r="BD1697" i="6" a="1"/>
  <c r="BD1697" i="6" s="1"/>
  <c r="BD1698" i="6" a="1"/>
  <c r="BD1698" i="6" s="1"/>
  <c r="BD1699" i="6" a="1"/>
  <c r="BD1699" i="6" s="1"/>
  <c r="BD1700" i="6" a="1"/>
  <c r="BD1700" i="6" s="1"/>
  <c r="BD1701" i="6" a="1"/>
  <c r="BD1701" i="6" s="1"/>
  <c r="BD1702" i="6" a="1"/>
  <c r="BD1702" i="6" s="1"/>
  <c r="BD1703" i="6" a="1"/>
  <c r="BD1703" i="6" s="1"/>
  <c r="BD1704" i="6" a="1"/>
  <c r="BD1704" i="6" s="1"/>
  <c r="BD1705" i="6" a="1"/>
  <c r="BD1705" i="6" s="1"/>
  <c r="BD1706" i="6" a="1"/>
  <c r="BD1706" i="6" s="1"/>
  <c r="BD1707" i="6" a="1"/>
  <c r="BD1707" i="6" s="1"/>
  <c r="BD1708" i="6" a="1"/>
  <c r="BD1708" i="6" s="1"/>
  <c r="BD1709" i="6" a="1"/>
  <c r="BD1709" i="6" s="1"/>
  <c r="BD1710" i="6" a="1"/>
  <c r="BD1710" i="6" s="1"/>
  <c r="BD1711" i="6" a="1"/>
  <c r="BD1711" i="6" s="1"/>
  <c r="BD1712" i="6" a="1"/>
  <c r="BD1712" i="6" s="1"/>
  <c r="BD1713" i="6" a="1"/>
  <c r="BD1713" i="6" s="1"/>
  <c r="BD1714" i="6" a="1"/>
  <c r="BD1714" i="6" s="1"/>
  <c r="BD1715" i="6" a="1"/>
  <c r="BD1715" i="6" s="1"/>
  <c r="BD1716" i="6" a="1"/>
  <c r="BD1716" i="6" s="1"/>
  <c r="BD1717" i="6" a="1"/>
  <c r="BD1717" i="6"/>
  <c r="BD1718" i="6" a="1"/>
  <c r="BD1718" i="6" s="1"/>
  <c r="BD1719" i="6" a="1"/>
  <c r="BD1719" i="6" s="1"/>
  <c r="BD1720" i="6" a="1"/>
  <c r="BD1720" i="6" s="1"/>
  <c r="BD1721" i="6" a="1"/>
  <c r="BD1721" i="6" s="1"/>
  <c r="BD1722" i="6" a="1"/>
  <c r="BD1722" i="6" s="1"/>
  <c r="BD1723" i="6" a="1"/>
  <c r="BD1723" i="6" s="1"/>
  <c r="BD1724" i="6" a="1"/>
  <c r="BD1724" i="6" s="1"/>
  <c r="BD1725" i="6" a="1"/>
  <c r="BD1725" i="6"/>
  <c r="BD1726" i="6" a="1"/>
  <c r="BD1726" i="6" s="1"/>
  <c r="BD1727" i="6" a="1"/>
  <c r="BD1727" i="6" s="1"/>
  <c r="BD1728" i="6" a="1"/>
  <c r="BD1728" i="6" s="1"/>
  <c r="BD1729" i="6" a="1"/>
  <c r="BD1729" i="6" s="1"/>
  <c r="BD1730" i="6" a="1"/>
  <c r="BD1730" i="6" s="1"/>
  <c r="BD1731" i="6" a="1"/>
  <c r="BD1731" i="6" s="1"/>
  <c r="BD1732" i="6" a="1"/>
  <c r="BD1732" i="6" s="1"/>
  <c r="BD1733" i="6" a="1"/>
  <c r="BD1733" i="6" s="1"/>
  <c r="BD1734" i="6" a="1"/>
  <c r="BD1734" i="6" s="1"/>
  <c r="BD1735" i="6" a="1"/>
  <c r="BD1735" i="6" s="1"/>
  <c r="BD1736" i="6" a="1"/>
  <c r="BD1736" i="6" s="1"/>
  <c r="BD1737" i="6" a="1"/>
  <c r="BD1737" i="6" s="1"/>
  <c r="BD1738" i="6" a="1"/>
  <c r="BD1738" i="6" s="1"/>
  <c r="BD1739" i="6" a="1"/>
  <c r="BD1739" i="6" s="1"/>
  <c r="BD1740" i="6" a="1"/>
  <c r="BD1740" i="6" s="1"/>
  <c r="BD1741" i="6" a="1"/>
  <c r="BD1741" i="6" s="1"/>
  <c r="BD1742" i="6" a="1"/>
  <c r="BD1742" i="6" s="1"/>
  <c r="BD1743" i="6" a="1"/>
  <c r="BD1743" i="6" s="1"/>
  <c r="BD1744" i="6" a="1"/>
  <c r="BD1744" i="6" s="1"/>
  <c r="BD1745" i="6" a="1"/>
  <c r="BD1745" i="6" s="1"/>
  <c r="BD1746" i="6" a="1"/>
  <c r="BD1746" i="6" s="1"/>
  <c r="BD1747" i="6" a="1"/>
  <c r="BD1747" i="6" s="1"/>
  <c r="BD1748" i="6" a="1"/>
  <c r="BD1748" i="6" s="1"/>
  <c r="BD1749" i="6" a="1"/>
  <c r="BD1749" i="6"/>
  <c r="BD1750" i="6" a="1"/>
  <c r="BD1750" i="6" s="1"/>
  <c r="BD1751" i="6" a="1"/>
  <c r="BD1751" i="6" s="1"/>
  <c r="BD1752" i="6" a="1"/>
  <c r="BD1752" i="6" s="1"/>
  <c r="BD1753" i="6" a="1"/>
  <c r="BD1753" i="6" s="1"/>
  <c r="BD1754" i="6" a="1"/>
  <c r="BD1754" i="6" s="1"/>
  <c r="BD1755" i="6" a="1"/>
  <c r="BD1755" i="6" s="1"/>
  <c r="BD1756" i="6" a="1"/>
  <c r="BD1756" i="6" s="1"/>
  <c r="BD1757" i="6" a="1"/>
  <c r="BD1757" i="6"/>
  <c r="BD1758" i="6" a="1"/>
  <c r="BD1758" i="6" s="1"/>
  <c r="BD1759" i="6" a="1"/>
  <c r="BD1759" i="6" s="1"/>
  <c r="BD1760" i="6" a="1"/>
  <c r="BD1760" i="6" s="1"/>
  <c r="BD1761" i="6" a="1"/>
  <c r="BD1761" i="6" s="1"/>
  <c r="BD1762" i="6" a="1"/>
  <c r="BD1762" i="6" s="1"/>
  <c r="BD1763" i="6" a="1"/>
  <c r="BD1763" i="6" s="1"/>
  <c r="BD1764" i="6" a="1"/>
  <c r="BD1764" i="6" s="1"/>
  <c r="BD1765" i="6" a="1"/>
  <c r="BD1765" i="6" s="1"/>
  <c r="BD1766" i="6" a="1"/>
  <c r="BD1766" i="6" s="1"/>
  <c r="BD1767" i="6" a="1"/>
  <c r="BD1767" i="6" s="1"/>
  <c r="BD1768" i="6" a="1"/>
  <c r="BD1768" i="6" s="1"/>
  <c r="BD1769" i="6" a="1"/>
  <c r="BD1769" i="6" s="1"/>
  <c r="BD1770" i="6" a="1"/>
  <c r="BD1770" i="6" s="1"/>
  <c r="BD1771" i="6" a="1"/>
  <c r="BD1771" i="6" s="1"/>
  <c r="BD1772" i="6" a="1"/>
  <c r="BD1772" i="6" s="1"/>
  <c r="BD1773" i="6" a="1"/>
  <c r="BD1773" i="6" s="1"/>
  <c r="BD1774" i="6" a="1"/>
  <c r="BD1774" i="6" s="1"/>
  <c r="BD1775" i="6" a="1"/>
  <c r="BD1775" i="6" s="1"/>
  <c r="BD1776" i="6" a="1"/>
  <c r="BD1776" i="6" s="1"/>
  <c r="BD1777" i="6" a="1"/>
  <c r="BD1777" i="6" s="1"/>
  <c r="BD1778" i="6" a="1"/>
  <c r="BD1778" i="6" s="1"/>
  <c r="BD1779" i="6" a="1"/>
  <c r="BD1779" i="6" s="1"/>
  <c r="BD1780" i="6" a="1"/>
  <c r="BD1780" i="6" s="1"/>
  <c r="BD1781" i="6" a="1"/>
  <c r="BD1781" i="6"/>
  <c r="BD1782" i="6" a="1"/>
  <c r="BD1782" i="6" s="1"/>
  <c r="BD1783" i="6" a="1"/>
  <c r="BD1783" i="6" s="1"/>
  <c r="BD1784" i="6" a="1"/>
  <c r="BD1784" i="6" s="1"/>
  <c r="BD1785" i="6" a="1"/>
  <c r="BD1785" i="6" s="1"/>
  <c r="BD1786" i="6" a="1"/>
  <c r="BD1786" i="6" s="1"/>
  <c r="BD1787" i="6" a="1"/>
  <c r="BD1787" i="6" s="1"/>
  <c r="BD1788" i="6" a="1"/>
  <c r="BD1788" i="6" s="1"/>
  <c r="BD1789" i="6" a="1"/>
  <c r="BD1789" i="6"/>
  <c r="BD1790" i="6" a="1"/>
  <c r="BD1790" i="6" s="1"/>
  <c r="BD1791" i="6" a="1"/>
  <c r="BD1791" i="6" s="1"/>
  <c r="BD1792" i="6" a="1"/>
  <c r="BD1792" i="6" s="1"/>
  <c r="BD1793" i="6" a="1"/>
  <c r="BD1793" i="6" s="1"/>
  <c r="BD1794" i="6" a="1"/>
  <c r="BD1794" i="6" s="1"/>
  <c r="BD1795" i="6" a="1"/>
  <c r="BD1795" i="6" s="1"/>
  <c r="BD1796" i="6" a="1"/>
  <c r="BD1796" i="6" s="1"/>
  <c r="BD1797" i="6" a="1"/>
  <c r="BD1797" i="6" s="1"/>
  <c r="BD1798" i="6" a="1"/>
  <c r="BD1798" i="6" s="1"/>
  <c r="BD1799" i="6" a="1"/>
  <c r="BD1799" i="6" s="1"/>
  <c r="BD1800" i="6" a="1"/>
  <c r="BD1800" i="6" s="1"/>
  <c r="BD1801" i="6" a="1"/>
  <c r="BD1801" i="6" s="1"/>
  <c r="BD1802" i="6" a="1"/>
  <c r="BD1802" i="6" s="1"/>
  <c r="BD1803" i="6" a="1"/>
  <c r="BD1803" i="6" s="1"/>
  <c r="BD1804" i="6" a="1"/>
  <c r="BD1804" i="6" s="1"/>
  <c r="BD1805" i="6" a="1"/>
  <c r="BD1805" i="6" s="1"/>
  <c r="BD1806" i="6" a="1"/>
  <c r="BD1806" i="6" s="1"/>
  <c r="BD1807" i="6" a="1"/>
  <c r="BD1807" i="6" s="1"/>
  <c r="BD1808" i="6" a="1"/>
  <c r="BD1808" i="6" s="1"/>
  <c r="BD1809" i="6" a="1"/>
  <c r="BD1809" i="6" s="1"/>
  <c r="BD1810" i="6" a="1"/>
  <c r="BD1810" i="6" s="1"/>
  <c r="BD1811" i="6" a="1"/>
  <c r="BD1811" i="6" s="1"/>
  <c r="BD1812" i="6" a="1"/>
  <c r="BD1812" i="6" s="1"/>
  <c r="BD1813" i="6" a="1"/>
  <c r="BD1813" i="6"/>
  <c r="BD1814" i="6" a="1"/>
  <c r="BD1814" i="6" s="1"/>
  <c r="BD1815" i="6" a="1"/>
  <c r="BD1815" i="6" s="1"/>
  <c r="BD1816" i="6" a="1"/>
  <c r="BD1816" i="6" s="1"/>
  <c r="BD1817" i="6" a="1"/>
  <c r="BD1817" i="6" s="1"/>
  <c r="BD1818" i="6" a="1"/>
  <c r="BD1818" i="6" s="1"/>
  <c r="BD1819" i="6" a="1"/>
  <c r="BD1819" i="6" s="1"/>
  <c r="BD1820" i="6" a="1"/>
  <c r="BD1820" i="6" s="1"/>
  <c r="BD1821" i="6" a="1"/>
  <c r="BD1821" i="6"/>
  <c r="BD1822" i="6" a="1"/>
  <c r="BD1822" i="6" s="1"/>
  <c r="BD1823" i="6" a="1"/>
  <c r="BD1823" i="6" s="1"/>
  <c r="BD1824" i="6" a="1"/>
  <c r="BD1824" i="6" s="1"/>
  <c r="BD1825" i="6" a="1"/>
  <c r="BD1825" i="6" s="1"/>
  <c r="BD1826" i="6" a="1"/>
  <c r="BD1826" i="6" s="1"/>
  <c r="BD1827" i="6" a="1"/>
  <c r="BD1827" i="6" s="1"/>
  <c r="BD1828" i="6" a="1"/>
  <c r="BD1828" i="6" s="1"/>
  <c r="BD1829" i="6" a="1"/>
  <c r="BD1829" i="6" s="1"/>
  <c r="BD1830" i="6" a="1"/>
  <c r="BD1830" i="6" s="1"/>
  <c r="BD1831" i="6" a="1"/>
  <c r="BD1831" i="6" s="1"/>
  <c r="BD1832" i="6" a="1"/>
  <c r="BD1832" i="6" s="1"/>
  <c r="BD1833" i="6" a="1"/>
  <c r="BD1833" i="6" s="1"/>
  <c r="BD1834" i="6" a="1"/>
  <c r="BD1834" i="6" s="1"/>
  <c r="BD1835" i="6" a="1"/>
  <c r="BD1835" i="6" s="1"/>
  <c r="BD1836" i="6" a="1"/>
  <c r="BD1836" i="6" s="1"/>
  <c r="BD1837" i="6" a="1"/>
  <c r="BD1837" i="6" s="1"/>
  <c r="BD1838" i="6" a="1"/>
  <c r="BD1838" i="6" s="1"/>
  <c r="BD1839" i="6" a="1"/>
  <c r="BD1839" i="6" s="1"/>
  <c r="BD1840" i="6" a="1"/>
  <c r="BD1840" i="6" s="1"/>
  <c r="BD1841" i="6" a="1"/>
  <c r="BD1841" i="6" s="1"/>
  <c r="BD1842" i="6" a="1"/>
  <c r="BD1842" i="6" s="1"/>
  <c r="BD1843" i="6" a="1"/>
  <c r="BD1843" i="6" s="1"/>
  <c r="BD1844" i="6" a="1"/>
  <c r="BD1844" i="6" s="1"/>
  <c r="BD1845" i="6" a="1"/>
  <c r="BD1845" i="6"/>
  <c r="BD1846" i="6" a="1"/>
  <c r="BD1846" i="6" s="1"/>
  <c r="BD1847" i="6" a="1"/>
  <c r="BD1847" i="6" s="1"/>
  <c r="BD1848" i="6" a="1"/>
  <c r="BD1848" i="6" s="1"/>
  <c r="BD1849" i="6" a="1"/>
  <c r="BD1849" i="6" s="1"/>
  <c r="BD1850" i="6" a="1"/>
  <c r="BD1850" i="6" s="1"/>
  <c r="BD1851" i="6" a="1"/>
  <c r="BD1851" i="6" s="1"/>
  <c r="BD1852" i="6" a="1"/>
  <c r="BD1852" i="6" s="1"/>
  <c r="BD1853" i="6" a="1"/>
  <c r="BD1853" i="6"/>
  <c r="BD1854" i="6" a="1"/>
  <c r="BD1854" i="6" s="1"/>
  <c r="BD1855" i="6" a="1"/>
  <c r="BD1855" i="6" s="1"/>
  <c r="BD1856" i="6" a="1"/>
  <c r="BD1856" i="6" s="1"/>
  <c r="BD1857" i="6" a="1"/>
  <c r="BD1857" i="6" s="1"/>
  <c r="BD1858" i="6" a="1"/>
  <c r="BD1858" i="6" s="1"/>
  <c r="BD1859" i="6" a="1"/>
  <c r="BD1859" i="6" s="1"/>
  <c r="BD1860" i="6" a="1"/>
  <c r="BD1860" i="6" s="1"/>
  <c r="BD1861" i="6" a="1"/>
  <c r="BD1861" i="6" s="1"/>
  <c r="BD1862" i="6" a="1"/>
  <c r="BD1862" i="6" s="1"/>
  <c r="BD1863" i="6" a="1"/>
  <c r="BD1863" i="6" s="1"/>
  <c r="BD1864" i="6" a="1"/>
  <c r="BD1864" i="6" s="1"/>
  <c r="BD1865" i="6" a="1"/>
  <c r="BD1865" i="6" s="1"/>
  <c r="BD1866" i="6" a="1"/>
  <c r="BD1866" i="6" s="1"/>
  <c r="BD1867" i="6" a="1"/>
  <c r="BD1867" i="6" s="1"/>
  <c r="BD1868" i="6" a="1"/>
  <c r="BD1868" i="6" s="1"/>
  <c r="BD1869" i="6" a="1"/>
  <c r="BD1869" i="6" s="1"/>
  <c r="BD1870" i="6" a="1"/>
  <c r="BD1870" i="6" s="1"/>
  <c r="BD1871" i="6" a="1"/>
  <c r="BD1871" i="6" s="1"/>
  <c r="BD1872" i="6" a="1"/>
  <c r="BD1872" i="6" s="1"/>
  <c r="BD1873" i="6" a="1"/>
  <c r="BD1873" i="6" s="1"/>
  <c r="BD1874" i="6" a="1"/>
  <c r="BD1874" i="6" s="1"/>
  <c r="BD1875" i="6" a="1"/>
  <c r="BD1875" i="6" s="1"/>
  <c r="BD1876" i="6" a="1"/>
  <c r="BD1876" i="6" s="1"/>
  <c r="BD1877" i="6" a="1"/>
  <c r="BD1877" i="6"/>
  <c r="BD1878" i="6" a="1"/>
  <c r="BD1878" i="6" s="1"/>
  <c r="BD1879" i="6" a="1"/>
  <c r="BD1879" i="6" s="1"/>
  <c r="BD1880" i="6" a="1"/>
  <c r="BD1880" i="6" s="1"/>
  <c r="BD1881" i="6" a="1"/>
  <c r="BD1881" i="6" s="1"/>
  <c r="BD1882" i="6" a="1"/>
  <c r="BD1882" i="6" s="1"/>
  <c r="BD1883" i="6" a="1"/>
  <c r="BD1883" i="6" s="1"/>
  <c r="BD1884" i="6" a="1"/>
  <c r="BD1884" i="6" s="1"/>
  <c r="BD1885" i="6" a="1"/>
  <c r="BD1885" i="6"/>
  <c r="BD1886" i="6" a="1"/>
  <c r="BD1886" i="6" s="1"/>
  <c r="BD1887" i="6" a="1"/>
  <c r="BD1887" i="6" s="1"/>
  <c r="BD1888" i="6" a="1"/>
  <c r="BD1888" i="6" s="1"/>
  <c r="BD1889" i="6" a="1"/>
  <c r="BD1889" i="6" s="1"/>
  <c r="BD1890" i="6" a="1"/>
  <c r="BD1890" i="6" s="1"/>
  <c r="BD1891" i="6" a="1"/>
  <c r="BD1891" i="6" s="1"/>
  <c r="BD1892" i="6" a="1"/>
  <c r="BD1892" i="6" s="1"/>
  <c r="BD1893" i="6" a="1"/>
  <c r="BD1893" i="6" s="1"/>
  <c r="BD1894" i="6" a="1"/>
  <c r="BD1894" i="6" s="1"/>
  <c r="BD1895" i="6" a="1"/>
  <c r="BD1895" i="6" s="1"/>
  <c r="BD1896" i="6" a="1"/>
  <c r="BD1896" i="6" s="1"/>
  <c r="BD1897" i="6" a="1"/>
  <c r="BD1897" i="6" s="1"/>
  <c r="BD1898" i="6" a="1"/>
  <c r="BD1898" i="6" s="1"/>
  <c r="BD1899" i="6" a="1"/>
  <c r="BD1899" i="6" s="1"/>
  <c r="BD1900" i="6" a="1"/>
  <c r="BD1900" i="6" s="1"/>
  <c r="BD1901" i="6" a="1"/>
  <c r="BD1901" i="6" s="1"/>
  <c r="BD1902" i="6" a="1"/>
  <c r="BD1902" i="6" s="1"/>
  <c r="BD1903" i="6" a="1"/>
  <c r="BD1903" i="6" s="1"/>
  <c r="BD1904" i="6" a="1"/>
  <c r="BD1904" i="6" s="1"/>
  <c r="BD1905" i="6" a="1"/>
  <c r="BD1905" i="6" s="1"/>
  <c r="BD1906" i="6" a="1"/>
  <c r="BD1906" i="6" s="1"/>
  <c r="BD1907" i="6" a="1"/>
  <c r="BD1907" i="6" s="1"/>
  <c r="BD1908" i="6" a="1"/>
  <c r="BD1908" i="6" s="1"/>
  <c r="BD1909" i="6" a="1"/>
  <c r="BD1909" i="6"/>
  <c r="BD1910" i="6" a="1"/>
  <c r="BD1910" i="6" s="1"/>
  <c r="BD1911" i="6" a="1"/>
  <c r="BD1911" i="6" s="1"/>
  <c r="BD1912" i="6" a="1"/>
  <c r="BD1912" i="6" s="1"/>
  <c r="BD1913" i="6" a="1"/>
  <c r="BD1913" i="6" s="1"/>
  <c r="BD1914" i="6" a="1"/>
  <c r="BD1914" i="6" s="1"/>
  <c r="BD1915" i="6" a="1"/>
  <c r="BD1915" i="6" s="1"/>
  <c r="BD1916" i="6" a="1"/>
  <c r="BD1916" i="6" s="1"/>
  <c r="BD1917" i="6" a="1"/>
  <c r="BD1917" i="6"/>
  <c r="BD1918" i="6" a="1"/>
  <c r="BD1918" i="6" s="1"/>
  <c r="BD1919" i="6" a="1"/>
  <c r="BD1919" i="6" s="1"/>
  <c r="BD1920" i="6" a="1"/>
  <c r="BD1920" i="6" s="1"/>
  <c r="BD1921" i="6" a="1"/>
  <c r="BD1921" i="6" s="1"/>
  <c r="BD1922" i="6" a="1"/>
  <c r="BD1922" i="6" s="1"/>
  <c r="BD1923" i="6" a="1"/>
  <c r="BD1923" i="6" s="1"/>
  <c r="BD1924" i="6" a="1"/>
  <c r="BD1924" i="6" s="1"/>
  <c r="BD1925" i="6" a="1"/>
  <c r="BD1925" i="6" s="1"/>
  <c r="BD1926" i="6" a="1"/>
  <c r="BD1926" i="6" s="1"/>
  <c r="BD1927" i="6" a="1"/>
  <c r="BD1927" i="6" s="1"/>
  <c r="BD1928" i="6" a="1"/>
  <c r="BD1928" i="6" s="1"/>
  <c r="BD1929" i="6" a="1"/>
  <c r="BD1929" i="6" s="1"/>
  <c r="BD1930" i="6" a="1"/>
  <c r="BD1930" i="6" s="1"/>
  <c r="BD1931" i="6" a="1"/>
  <c r="BD1931" i="6" s="1"/>
  <c r="BD1932" i="6" a="1"/>
  <c r="BD1932" i="6" s="1"/>
  <c r="BD1933" i="6" a="1"/>
  <c r="BD1933" i="6" s="1"/>
  <c r="BD1934" i="6" a="1"/>
  <c r="BD1934" i="6" s="1"/>
  <c r="BD1935" i="6" a="1"/>
  <c r="BD1935" i="6" s="1"/>
  <c r="BD1936" i="6" a="1"/>
  <c r="BD1936" i="6" s="1"/>
  <c r="BD1937" i="6" a="1"/>
  <c r="BD1937" i="6" s="1"/>
  <c r="BD1938" i="6" a="1"/>
  <c r="BD1938" i="6" s="1"/>
  <c r="BD1939" i="6" a="1"/>
  <c r="BD1939" i="6" s="1"/>
  <c r="BD1940" i="6" a="1"/>
  <c r="BD1940" i="6" s="1"/>
  <c r="BD1941" i="6" a="1"/>
  <c r="BD1941" i="6"/>
  <c r="BD1942" i="6" a="1"/>
  <c r="BD1942" i="6" s="1"/>
  <c r="BD1943" i="6" a="1"/>
  <c r="BD1943" i="6" s="1"/>
  <c r="BD1944" i="6" a="1"/>
  <c r="BD1944" i="6" s="1"/>
  <c r="BD1945" i="6" a="1"/>
  <c r="BD1945" i="6" s="1"/>
  <c r="BD1946" i="6" a="1"/>
  <c r="BD1946" i="6" s="1"/>
  <c r="BD1947" i="6" a="1"/>
  <c r="BD1947" i="6" s="1"/>
  <c r="BD1948" i="6" a="1"/>
  <c r="BD1948" i="6" s="1"/>
  <c r="BD1949" i="6" a="1"/>
  <c r="BD1949" i="6"/>
  <c r="BD1950" i="6" a="1"/>
  <c r="BD1950" i="6" s="1"/>
  <c r="BD1951" i="6" a="1"/>
  <c r="BD1951" i="6" s="1"/>
  <c r="BD1952" i="6" a="1"/>
  <c r="BD1952" i="6" s="1"/>
  <c r="BD1953" i="6" a="1"/>
  <c r="BD1953" i="6" s="1"/>
  <c r="BD1954" i="6" a="1"/>
  <c r="BD1954" i="6" s="1"/>
  <c r="BD1955" i="6" a="1"/>
  <c r="BD1955" i="6" s="1"/>
  <c r="BD1956" i="6" a="1"/>
  <c r="BD1956" i="6" s="1"/>
  <c r="BD1957" i="6" a="1"/>
  <c r="BD1957" i="6" s="1"/>
  <c r="BD1958" i="6" a="1"/>
  <c r="BD1958" i="6" s="1"/>
  <c r="BD1959" i="6" a="1"/>
  <c r="BD1959" i="6" s="1"/>
  <c r="BD1960" i="6" a="1"/>
  <c r="BD1960" i="6" s="1"/>
  <c r="BD1961" i="6" a="1"/>
  <c r="BD1961" i="6" s="1"/>
  <c r="BD1962" i="6" a="1"/>
  <c r="BD1962" i="6" s="1"/>
  <c r="BD1963" i="6" a="1"/>
  <c r="BD1963" i="6" s="1"/>
  <c r="BD1964" i="6" a="1"/>
  <c r="BD1964" i="6" s="1"/>
  <c r="BD1965" i="6" a="1"/>
  <c r="BD1965" i="6" s="1"/>
  <c r="BD1966" i="6" a="1"/>
  <c r="BD1966" i="6" s="1"/>
  <c r="BD1967" i="6" a="1"/>
  <c r="BD1967" i="6" s="1"/>
  <c r="BD1968" i="6" a="1"/>
  <c r="BD1968" i="6" s="1"/>
  <c r="BD1969" i="6" a="1"/>
  <c r="BD1969" i="6" s="1"/>
  <c r="BD1970" i="6" a="1"/>
  <c r="BD1970" i="6" s="1"/>
  <c r="BD1971" i="6" a="1"/>
  <c r="BD1971" i="6" s="1"/>
  <c r="BD1972" i="6" a="1"/>
  <c r="BD1972" i="6" s="1"/>
  <c r="BD1973" i="6" a="1"/>
  <c r="BD1973" i="6"/>
  <c r="BD1974" i="6" a="1"/>
  <c r="BD1974" i="6" s="1"/>
  <c r="BD1975" i="6" a="1"/>
  <c r="BD1975" i="6" s="1"/>
  <c r="BD1976" i="6" a="1"/>
  <c r="BD1976" i="6" s="1"/>
  <c r="BD1977" i="6" a="1"/>
  <c r="BD1977" i="6" s="1"/>
  <c r="BD1978" i="6" a="1"/>
  <c r="BD1978" i="6" s="1"/>
  <c r="BD1979" i="6" a="1"/>
  <c r="BD1979" i="6" s="1"/>
  <c r="BD1980" i="6" a="1"/>
  <c r="BD1980" i="6" s="1"/>
  <c r="BD1981" i="6" a="1"/>
  <c r="BD1981" i="6"/>
  <c r="BD1982" i="6" a="1"/>
  <c r="BD1982" i="6" s="1"/>
  <c r="BD1983" i="6" a="1"/>
  <c r="BD1983" i="6" s="1"/>
  <c r="BD1984" i="6" a="1"/>
  <c r="BD1984" i="6" s="1"/>
  <c r="BD1985" i="6" a="1"/>
  <c r="BD1985" i="6" s="1"/>
  <c r="BD1986" i="6" a="1"/>
  <c r="BD1986" i="6" s="1"/>
  <c r="BD1987" i="6" a="1"/>
  <c r="BD1987" i="6" s="1"/>
  <c r="BD1988" i="6" a="1"/>
  <c r="BD1988" i="6" s="1"/>
  <c r="BD1989" i="6" a="1"/>
  <c r="BD1989" i="6" s="1"/>
  <c r="BD1990" i="6" a="1"/>
  <c r="BD1990" i="6" s="1"/>
  <c r="BD1991" i="6" a="1"/>
  <c r="BD1991" i="6" s="1"/>
  <c r="BD1992" i="6" a="1"/>
  <c r="BD1992" i="6" s="1"/>
  <c r="BD1993" i="6" a="1"/>
  <c r="BD1993" i="6" s="1"/>
  <c r="BD1994" i="6" a="1"/>
  <c r="BD1994" i="6" s="1"/>
  <c r="BD1995" i="6" a="1"/>
  <c r="BD1995" i="6" s="1"/>
  <c r="BD1996" i="6" a="1"/>
  <c r="BD1996" i="6" s="1"/>
  <c r="BD1997" i="6" a="1"/>
  <c r="BD1997" i="6" s="1"/>
  <c r="BD1998" i="6" a="1"/>
  <c r="BD1998" i="6" s="1"/>
  <c r="BD1999" i="6" a="1"/>
  <c r="BD1999" i="6" s="1"/>
  <c r="BD2000" i="6" a="1"/>
  <c r="BD2000" i="6" s="1"/>
  <c r="BD2001" i="6" a="1"/>
  <c r="BD2001" i="6" s="1"/>
  <c r="BD2002" i="6" a="1"/>
  <c r="BD2002" i="6" s="1"/>
  <c r="BD2003" i="6" a="1"/>
  <c r="BD2003" i="6" s="1"/>
  <c r="BD2004" i="6" a="1"/>
  <c r="BD2004" i="6" s="1"/>
  <c r="BD2005" i="6" a="1"/>
  <c r="BD2005" i="6"/>
  <c r="BD2006" i="6" a="1"/>
  <c r="BD2006" i="6" s="1"/>
  <c r="BD2007" i="6" a="1"/>
  <c r="BD2007" i="6" s="1"/>
  <c r="BD2008" i="6" a="1"/>
  <c r="BD2008" i="6" s="1"/>
  <c r="BC8" i="6" a="1"/>
  <c r="BC8" i="6" s="1"/>
  <c r="BD8" i="6" s="1" a="1"/>
  <c r="BD8" i="6" s="1"/>
  <c r="BB9" i="6" a="1"/>
  <c r="BB9" i="6" s="1"/>
  <c r="BC9" i="6" s="1" a="1"/>
  <c r="BC9" i="6" s="1"/>
  <c r="BB10" i="6" a="1"/>
  <c r="BB10" i="6"/>
  <c r="BB11" i="6" a="1"/>
  <c r="BB11" i="6" s="1"/>
  <c r="BC11" i="6" s="1" a="1"/>
  <c r="BC11" i="6" s="1"/>
  <c r="BB16" i="6" a="1"/>
  <c r="BB16" i="6"/>
  <c r="BB17" i="6" a="1"/>
  <c r="BB17" i="6" s="1"/>
  <c r="BB18" i="6" a="1"/>
  <c r="BB18" i="6" s="1"/>
  <c r="BB19" i="6" a="1"/>
  <c r="BB19" i="6" s="1"/>
  <c r="BB20" i="6" a="1"/>
  <c r="BB20" i="6" s="1"/>
  <c r="BB21" i="6" a="1"/>
  <c r="BB21" i="6" s="1"/>
  <c r="BB22" i="6" a="1"/>
  <c r="BB22" i="6" s="1"/>
  <c r="BB23" i="6" a="1"/>
  <c r="BB23" i="6" s="1"/>
  <c r="BB24" i="6" a="1"/>
  <c r="BB24" i="6"/>
  <c r="BB25" i="6" a="1"/>
  <c r="BB25" i="6" s="1"/>
  <c r="BB26" i="6" a="1"/>
  <c r="BB26" i="6" s="1"/>
  <c r="BB27" i="6" a="1"/>
  <c r="BB27" i="6" s="1"/>
  <c r="BB28" i="6" a="1"/>
  <c r="BB28" i="6" s="1"/>
  <c r="BB29" i="6" a="1"/>
  <c r="BB29" i="6" s="1"/>
  <c r="BB30" i="6" a="1"/>
  <c r="BB30" i="6" s="1"/>
  <c r="BB31" i="6" a="1"/>
  <c r="BB31" i="6" s="1"/>
  <c r="BB32" i="6" a="1"/>
  <c r="BB32" i="6"/>
  <c r="BB33" i="6" a="1"/>
  <c r="BB33" i="6" s="1"/>
  <c r="BB34" i="6" a="1"/>
  <c r="BB34" i="6" s="1"/>
  <c r="BB35" i="6" a="1"/>
  <c r="BB35" i="6" s="1"/>
  <c r="BB36" i="6" a="1"/>
  <c r="BB36" i="6" s="1"/>
  <c r="BB37" i="6" a="1"/>
  <c r="BB37" i="6" s="1"/>
  <c r="BB38" i="6" a="1"/>
  <c r="BB38" i="6" s="1"/>
  <c r="BB39" i="6" a="1"/>
  <c r="BB39" i="6" s="1"/>
  <c r="BB40" i="6" a="1"/>
  <c r="BB40" i="6"/>
  <c r="BB41" i="6" a="1"/>
  <c r="BB41" i="6" s="1"/>
  <c r="BB42" i="6" a="1"/>
  <c r="BB42" i="6" s="1"/>
  <c r="BB43" i="6" a="1"/>
  <c r="BB43" i="6" s="1"/>
  <c r="BB44" i="6" a="1"/>
  <c r="BB44" i="6" s="1"/>
  <c r="BB45" i="6" a="1"/>
  <c r="BB45" i="6" s="1"/>
  <c r="BB46" i="6" a="1"/>
  <c r="BB46" i="6" s="1"/>
  <c r="BB47" i="6" a="1"/>
  <c r="BB47" i="6" s="1"/>
  <c r="BB48" i="6" a="1"/>
  <c r="BB48" i="6"/>
  <c r="BB49" i="6" a="1"/>
  <c r="BB49" i="6" s="1"/>
  <c r="BB50" i="6" a="1"/>
  <c r="BB50" i="6" s="1"/>
  <c r="BB51" i="6" a="1"/>
  <c r="BB51" i="6" s="1"/>
  <c r="BB52" i="6" a="1"/>
  <c r="BB52" i="6" s="1"/>
  <c r="BB53" i="6" a="1"/>
  <c r="BB53" i="6" s="1"/>
  <c r="BB54" i="6" a="1"/>
  <c r="BB54" i="6" s="1"/>
  <c r="BB55" i="6" a="1"/>
  <c r="BB55" i="6" s="1"/>
  <c r="BB56" i="6" a="1"/>
  <c r="BB56" i="6"/>
  <c r="BB57" i="6" a="1"/>
  <c r="BB57" i="6" s="1"/>
  <c r="BB58" i="6" a="1"/>
  <c r="BB58" i="6" s="1"/>
  <c r="BB59" i="6" a="1"/>
  <c r="BB59" i="6" s="1"/>
  <c r="BB60" i="6" a="1"/>
  <c r="BB60" i="6" s="1"/>
  <c r="BB61" i="6" a="1"/>
  <c r="BB61" i="6" s="1"/>
  <c r="BB62" i="6" a="1"/>
  <c r="BB62" i="6" s="1"/>
  <c r="BB63" i="6" a="1"/>
  <c r="BB63" i="6" s="1"/>
  <c r="BB64" i="6" a="1"/>
  <c r="BB64" i="6"/>
  <c r="BB65" i="6" a="1"/>
  <c r="BB65" i="6" s="1"/>
  <c r="BB66" i="6" a="1"/>
  <c r="BB66" i="6" s="1"/>
  <c r="BB67" i="6" a="1"/>
  <c r="BB67" i="6" s="1"/>
  <c r="BB68" i="6" a="1"/>
  <c r="BB68" i="6" s="1"/>
  <c r="BB69" i="6" a="1"/>
  <c r="BB69" i="6" s="1"/>
  <c r="BB70" i="6" a="1"/>
  <c r="BB70" i="6" s="1"/>
  <c r="BB71" i="6" a="1"/>
  <c r="BB71" i="6" s="1"/>
  <c r="BB72" i="6" a="1"/>
  <c r="BB72" i="6"/>
  <c r="BB73" i="6" a="1"/>
  <c r="BB73" i="6" s="1"/>
  <c r="BB74" i="6" a="1"/>
  <c r="BB74" i="6" s="1"/>
  <c r="BB75" i="6" a="1"/>
  <c r="BB75" i="6" s="1"/>
  <c r="BB76" i="6" a="1"/>
  <c r="BB76" i="6" s="1"/>
  <c r="BB77" i="6" a="1"/>
  <c r="BB77" i="6" s="1"/>
  <c r="BB78" i="6" a="1"/>
  <c r="BB78" i="6" s="1"/>
  <c r="BB79" i="6" a="1"/>
  <c r="BB79" i="6" s="1"/>
  <c r="BB80" i="6" a="1"/>
  <c r="BB80" i="6"/>
  <c r="BB81" i="6" a="1"/>
  <c r="BB81" i="6" s="1"/>
  <c r="BB82" i="6" a="1"/>
  <c r="BB82" i="6" s="1"/>
  <c r="BB83" i="6" a="1"/>
  <c r="BB83" i="6" s="1"/>
  <c r="BB84" i="6" a="1"/>
  <c r="BB84" i="6" s="1"/>
  <c r="BB85" i="6" a="1"/>
  <c r="BB85" i="6" s="1"/>
  <c r="BB86" i="6" a="1"/>
  <c r="BB86" i="6" s="1"/>
  <c r="BB87" i="6" a="1"/>
  <c r="BB87" i="6" s="1"/>
  <c r="BB88" i="6" a="1"/>
  <c r="BB88" i="6"/>
  <c r="BB89" i="6" a="1"/>
  <c r="BB89" i="6" s="1"/>
  <c r="BB90" i="6" a="1"/>
  <c r="BB90" i="6" s="1"/>
  <c r="BB91" i="6" a="1"/>
  <c r="BB91" i="6" s="1"/>
  <c r="BB92" i="6" a="1"/>
  <c r="BB92" i="6" s="1"/>
  <c r="BB93" i="6" a="1"/>
  <c r="BB93" i="6" s="1"/>
  <c r="BB94" i="6" a="1"/>
  <c r="BB94" i="6" s="1"/>
  <c r="BB95" i="6" a="1"/>
  <c r="BB95" i="6" s="1"/>
  <c r="BB96" i="6" a="1"/>
  <c r="BB96" i="6"/>
  <c r="BB97" i="6" a="1"/>
  <c r="BB97" i="6" s="1"/>
  <c r="BB98" i="6" a="1"/>
  <c r="BB98" i="6" s="1"/>
  <c r="BB99" i="6" a="1"/>
  <c r="BB99" i="6" s="1"/>
  <c r="BB100" i="6" a="1"/>
  <c r="BB100" i="6" s="1"/>
  <c r="BB101" i="6" a="1"/>
  <c r="BB101" i="6" s="1"/>
  <c r="BB102" i="6" a="1"/>
  <c r="BB102" i="6" s="1"/>
  <c r="BB103" i="6" a="1"/>
  <c r="BB103" i="6" s="1"/>
  <c r="BB104" i="6" a="1"/>
  <c r="BB104" i="6"/>
  <c r="BB105" i="6" a="1"/>
  <c r="BB105" i="6" s="1"/>
  <c r="BB106" i="6" a="1"/>
  <c r="BB106" i="6" s="1"/>
  <c r="BB107" i="6" a="1"/>
  <c r="BB107" i="6" s="1"/>
  <c r="BB108" i="6" a="1"/>
  <c r="BB108" i="6" s="1"/>
  <c r="BB109" i="6" a="1"/>
  <c r="BB109" i="6" s="1"/>
  <c r="BB110" i="6" a="1"/>
  <c r="BB110" i="6" s="1"/>
  <c r="BB111" i="6" a="1"/>
  <c r="BB111" i="6" s="1"/>
  <c r="BB112" i="6" a="1"/>
  <c r="BB112" i="6"/>
  <c r="BB113" i="6" a="1"/>
  <c r="BB113" i="6" s="1"/>
  <c r="BB114" i="6" a="1"/>
  <c r="BB114" i="6" s="1"/>
  <c r="BB115" i="6" a="1"/>
  <c r="BB115" i="6" s="1"/>
  <c r="BB116" i="6" a="1"/>
  <c r="BB116" i="6" s="1"/>
  <c r="BB117" i="6" a="1"/>
  <c r="BB117" i="6" s="1"/>
  <c r="BB118" i="6" a="1"/>
  <c r="BB118" i="6" s="1"/>
  <c r="BB119" i="6" a="1"/>
  <c r="BB119" i="6" s="1"/>
  <c r="BB120" i="6" a="1"/>
  <c r="BB120" i="6"/>
  <c r="BB121" i="6" a="1"/>
  <c r="BB121" i="6" s="1"/>
  <c r="BB122" i="6" a="1"/>
  <c r="BB122" i="6" s="1"/>
  <c r="BB123" i="6" a="1"/>
  <c r="BB123" i="6" s="1"/>
  <c r="BB124" i="6" a="1"/>
  <c r="BB124" i="6" s="1"/>
  <c r="BB125" i="6" a="1"/>
  <c r="BB125" i="6" s="1"/>
  <c r="BB126" i="6" a="1"/>
  <c r="BB126" i="6" s="1"/>
  <c r="BB127" i="6" a="1"/>
  <c r="BB127" i="6" s="1"/>
  <c r="BB128" i="6" a="1"/>
  <c r="BB128" i="6"/>
  <c r="BB129" i="6" a="1"/>
  <c r="BB129" i="6" s="1"/>
  <c r="BB130" i="6" a="1"/>
  <c r="BB130" i="6" s="1"/>
  <c r="BB131" i="6" a="1"/>
  <c r="BB131" i="6" s="1"/>
  <c r="BB132" i="6" a="1"/>
  <c r="BB132" i="6" s="1"/>
  <c r="BB133" i="6" a="1"/>
  <c r="BB133" i="6" s="1"/>
  <c r="BB134" i="6" a="1"/>
  <c r="BB134" i="6" s="1"/>
  <c r="BB135" i="6" a="1"/>
  <c r="BB135" i="6" s="1"/>
  <c r="BB136" i="6" a="1"/>
  <c r="BB136" i="6"/>
  <c r="BB137" i="6" a="1"/>
  <c r="BB137" i="6" s="1"/>
  <c r="BB138" i="6" a="1"/>
  <c r="BB138" i="6" s="1"/>
  <c r="BB139" i="6" a="1"/>
  <c r="BB139" i="6" s="1"/>
  <c r="BB140" i="6" a="1"/>
  <c r="BB140" i="6" s="1"/>
  <c r="BB141" i="6" a="1"/>
  <c r="BB141" i="6" s="1"/>
  <c r="BB142" i="6" a="1"/>
  <c r="BB142" i="6" s="1"/>
  <c r="BB143" i="6" a="1"/>
  <c r="BB143" i="6" s="1"/>
  <c r="BB144" i="6" a="1"/>
  <c r="BB144" i="6"/>
  <c r="BB145" i="6" a="1"/>
  <c r="BB145" i="6" s="1"/>
  <c r="BB146" i="6" a="1"/>
  <c r="BB146" i="6" s="1"/>
  <c r="BB147" i="6" a="1"/>
  <c r="BB147" i="6" s="1"/>
  <c r="BB148" i="6" a="1"/>
  <c r="BB148" i="6" s="1"/>
  <c r="BB149" i="6" a="1"/>
  <c r="BB149" i="6" s="1"/>
  <c r="BB150" i="6" a="1"/>
  <c r="BB150" i="6" s="1"/>
  <c r="BB151" i="6" a="1"/>
  <c r="BB151" i="6" s="1"/>
  <c r="BB152" i="6" a="1"/>
  <c r="BB152" i="6"/>
  <c r="BB153" i="6" a="1"/>
  <c r="BB153" i="6" s="1"/>
  <c r="BB154" i="6" a="1"/>
  <c r="BB154" i="6" s="1"/>
  <c r="BB155" i="6" a="1"/>
  <c r="BB155" i="6" s="1"/>
  <c r="BB156" i="6" a="1"/>
  <c r="BB156" i="6" s="1"/>
  <c r="BB157" i="6" a="1"/>
  <c r="BB157" i="6" s="1"/>
  <c r="BB158" i="6" a="1"/>
  <c r="BB158" i="6" s="1"/>
  <c r="BB159" i="6" a="1"/>
  <c r="BB159" i="6" s="1"/>
  <c r="BB160" i="6" a="1"/>
  <c r="BB160" i="6"/>
  <c r="BB161" i="6" a="1"/>
  <c r="BB161" i="6" s="1"/>
  <c r="BB162" i="6" a="1"/>
  <c r="BB162" i="6" s="1"/>
  <c r="BB163" i="6" a="1"/>
  <c r="BB163" i="6" s="1"/>
  <c r="BB164" i="6" a="1"/>
  <c r="BB164" i="6" s="1"/>
  <c r="BB165" i="6" a="1"/>
  <c r="BB165" i="6" s="1"/>
  <c r="BB166" i="6" a="1"/>
  <c r="BB166" i="6" s="1"/>
  <c r="BB167" i="6" a="1"/>
  <c r="BB167" i="6" s="1"/>
  <c r="BB168" i="6" a="1"/>
  <c r="BB168" i="6"/>
  <c r="BB169" i="6" a="1"/>
  <c r="BB169" i="6" s="1"/>
  <c r="BB170" i="6" a="1"/>
  <c r="BB170" i="6" s="1"/>
  <c r="BB171" i="6" a="1"/>
  <c r="BB171" i="6" s="1"/>
  <c r="BB172" i="6" a="1"/>
  <c r="BB172" i="6" s="1"/>
  <c r="BB173" i="6" a="1"/>
  <c r="BB173" i="6" s="1"/>
  <c r="BB174" i="6" a="1"/>
  <c r="BB174" i="6" s="1"/>
  <c r="BB175" i="6" a="1"/>
  <c r="BB175" i="6" s="1"/>
  <c r="BB176" i="6" a="1"/>
  <c r="BB176" i="6"/>
  <c r="BB177" i="6" a="1"/>
  <c r="BB177" i="6" s="1"/>
  <c r="BB178" i="6" a="1"/>
  <c r="BB178" i="6" s="1"/>
  <c r="BB179" i="6" a="1"/>
  <c r="BB179" i="6" s="1"/>
  <c r="BB180" i="6" a="1"/>
  <c r="BB180" i="6" s="1"/>
  <c r="BB181" i="6" a="1"/>
  <c r="BB181" i="6"/>
  <c r="BB182" i="6" a="1"/>
  <c r="BB182" i="6" s="1"/>
  <c r="BB183" i="6" a="1"/>
  <c r="BB183" i="6"/>
  <c r="BB184" i="6" a="1"/>
  <c r="BB184" i="6" s="1"/>
  <c r="BB185" i="6" a="1"/>
  <c r="BB185" i="6"/>
  <c r="BB186" i="6" a="1"/>
  <c r="BB186" i="6" s="1"/>
  <c r="BB187" i="6" a="1"/>
  <c r="BB187" i="6" s="1"/>
  <c r="BB188" i="6" a="1"/>
  <c r="BB188" i="6" s="1"/>
  <c r="BB189" i="6" a="1"/>
  <c r="BB189" i="6"/>
  <c r="BB190" i="6" a="1"/>
  <c r="BB190" i="6" s="1"/>
  <c r="BB191" i="6" a="1"/>
  <c r="BB191" i="6"/>
  <c r="BB192" i="6" a="1"/>
  <c r="BB192" i="6" s="1"/>
  <c r="BB193" i="6" a="1"/>
  <c r="BB193" i="6"/>
  <c r="BB194" i="6" a="1"/>
  <c r="BB194" i="6" s="1"/>
  <c r="BB195" i="6" a="1"/>
  <c r="BB195" i="6" s="1"/>
  <c r="BB196" i="6" a="1"/>
  <c r="BB196" i="6" s="1"/>
  <c r="BB197" i="6" a="1"/>
  <c r="BB197" i="6"/>
  <c r="BB198" i="6" a="1"/>
  <c r="BB198" i="6" s="1"/>
  <c r="BB199" i="6" a="1"/>
  <c r="BB199" i="6"/>
  <c r="BB200" i="6" a="1"/>
  <c r="BB200" i="6" s="1"/>
  <c r="BB201" i="6" a="1"/>
  <c r="BB201" i="6" s="1"/>
  <c r="BB202" i="6" a="1"/>
  <c r="BB202" i="6" s="1"/>
  <c r="BB203" i="6" a="1"/>
  <c r="BB203" i="6" s="1"/>
  <c r="BB204" i="6" a="1"/>
  <c r="BB204" i="6" s="1"/>
  <c r="BB205" i="6" a="1"/>
  <c r="BB205" i="6"/>
  <c r="BB206" i="6" a="1"/>
  <c r="BB206" i="6" s="1"/>
  <c r="BB207" i="6" a="1"/>
  <c r="BB207" i="6"/>
  <c r="BB208" i="6" a="1"/>
  <c r="BB208" i="6" s="1"/>
  <c r="BB209" i="6" a="1"/>
  <c r="BB209" i="6" s="1"/>
  <c r="BB210" i="6" a="1"/>
  <c r="BB210" i="6" s="1"/>
  <c r="BB211" i="6" a="1"/>
  <c r="BB211" i="6" s="1"/>
  <c r="BB212" i="6" a="1"/>
  <c r="BB212" i="6" s="1"/>
  <c r="BB213" i="6" a="1"/>
  <c r="BB213" i="6"/>
  <c r="BB214" i="6" a="1"/>
  <c r="BB214" i="6" s="1"/>
  <c r="BB215" i="6" a="1"/>
  <c r="BB215" i="6"/>
  <c r="BB216" i="6" a="1"/>
  <c r="BB216" i="6" s="1"/>
  <c r="BB217" i="6" a="1"/>
  <c r="BB217" i="6"/>
  <c r="BB218" i="6" a="1"/>
  <c r="BB218" i="6" s="1"/>
  <c r="BB219" i="6" a="1"/>
  <c r="BB219" i="6" s="1"/>
  <c r="BB220" i="6" a="1"/>
  <c r="BB220" i="6" s="1"/>
  <c r="BB221" i="6" a="1"/>
  <c r="BB221" i="6"/>
  <c r="BB222" i="6" a="1"/>
  <c r="BB222" i="6" s="1"/>
  <c r="BB223" i="6" a="1"/>
  <c r="BB223" i="6"/>
  <c r="BB224" i="6" a="1"/>
  <c r="BB224" i="6" s="1"/>
  <c r="BB225" i="6" a="1"/>
  <c r="BB225" i="6" s="1"/>
  <c r="BB226" i="6" a="1"/>
  <c r="BB226" i="6" s="1"/>
  <c r="BB227" i="6" a="1"/>
  <c r="BB227" i="6" s="1"/>
  <c r="BB228" i="6" a="1"/>
  <c r="BB228" i="6" s="1"/>
  <c r="BB229" i="6" a="1"/>
  <c r="BB229" i="6"/>
  <c r="BB230" i="6" a="1"/>
  <c r="BB230" i="6" s="1"/>
  <c r="BB231" i="6" a="1"/>
  <c r="BB231" i="6"/>
  <c r="BB232" i="6" a="1"/>
  <c r="BB232" i="6" s="1"/>
  <c r="BB233" i="6" a="1"/>
  <c r="BB233" i="6"/>
  <c r="BB234" i="6" a="1"/>
  <c r="BB234" i="6" s="1"/>
  <c r="BB235" i="6" a="1"/>
  <c r="BB235" i="6" s="1"/>
  <c r="BB236" i="6" a="1"/>
  <c r="BB236" i="6" s="1"/>
  <c r="BB237" i="6" a="1"/>
  <c r="BB237" i="6"/>
  <c r="BB238" i="6" a="1"/>
  <c r="BB238" i="6" s="1"/>
  <c r="BB239" i="6" a="1"/>
  <c r="BB239" i="6"/>
  <c r="BB240" i="6" a="1"/>
  <c r="BB240" i="6" s="1"/>
  <c r="BB241" i="6" a="1"/>
  <c r="BB241" i="6"/>
  <c r="BB242" i="6" a="1"/>
  <c r="BB242" i="6" s="1"/>
  <c r="BB243" i="6" a="1"/>
  <c r="BB243" i="6" s="1"/>
  <c r="BB244" i="6" a="1"/>
  <c r="BB244" i="6" s="1"/>
  <c r="BB245" i="6" a="1"/>
  <c r="BB245" i="6"/>
  <c r="BB246" i="6" a="1"/>
  <c r="BB246" i="6" s="1"/>
  <c r="BB247" i="6" a="1"/>
  <c r="BB247" i="6"/>
  <c r="BB248" i="6" a="1"/>
  <c r="BB248" i="6" s="1"/>
  <c r="BB249" i="6" a="1"/>
  <c r="BB249" i="6" s="1"/>
  <c r="BB250" i="6" a="1"/>
  <c r="BB250" i="6" s="1"/>
  <c r="BB251" i="6" a="1"/>
  <c r="BB251" i="6" s="1"/>
  <c r="BB252" i="6" a="1"/>
  <c r="BB252" i="6" s="1"/>
  <c r="BB253" i="6" a="1"/>
  <c r="BB253" i="6"/>
  <c r="BB254" i="6" a="1"/>
  <c r="BB254" i="6" s="1"/>
  <c r="BB255" i="6" a="1"/>
  <c r="BB255" i="6"/>
  <c r="BB256" i="6" a="1"/>
  <c r="BB256" i="6" s="1"/>
  <c r="BB257" i="6" a="1"/>
  <c r="BB257" i="6" s="1"/>
  <c r="BB258" i="6" a="1"/>
  <c r="BB258" i="6" s="1"/>
  <c r="BB259" i="6" a="1"/>
  <c r="BB259" i="6" s="1"/>
  <c r="BB260" i="6" a="1"/>
  <c r="BB260" i="6" s="1"/>
  <c r="BB261" i="6" a="1"/>
  <c r="BB261" i="6"/>
  <c r="BB262" i="6" a="1"/>
  <c r="BB262" i="6" s="1"/>
  <c r="BB263" i="6" a="1"/>
  <c r="BB263" i="6"/>
  <c r="BB264" i="6" a="1"/>
  <c r="BB264" i="6" s="1"/>
  <c r="BB265" i="6" a="1"/>
  <c r="BB265" i="6" s="1"/>
  <c r="BB266" i="6" a="1"/>
  <c r="BB266" i="6" s="1"/>
  <c r="BB267" i="6" a="1"/>
  <c r="BB267" i="6" s="1"/>
  <c r="BB268" i="6" a="1"/>
  <c r="BB268" i="6" s="1"/>
  <c r="BB269" i="6" a="1"/>
  <c r="BB269" i="6"/>
  <c r="BB270" i="6" a="1"/>
  <c r="BB270" i="6" s="1"/>
  <c r="BB271" i="6" a="1"/>
  <c r="BB271" i="6"/>
  <c r="BB272" i="6" a="1"/>
  <c r="BB272" i="6" s="1"/>
  <c r="BB273" i="6" a="1"/>
  <c r="BB273" i="6" s="1"/>
  <c r="BB274" i="6" a="1"/>
  <c r="BB274" i="6" s="1"/>
  <c r="BB275" i="6" a="1"/>
  <c r="BB275" i="6" s="1"/>
  <c r="BB276" i="6" a="1"/>
  <c r="BB276" i="6" s="1"/>
  <c r="BB277" i="6" a="1"/>
  <c r="BB277" i="6"/>
  <c r="BB278" i="6" a="1"/>
  <c r="BB278" i="6" s="1"/>
  <c r="BB279" i="6" a="1"/>
  <c r="BB279" i="6"/>
  <c r="BB280" i="6" a="1"/>
  <c r="BB280" i="6" s="1"/>
  <c r="BB281" i="6" a="1"/>
  <c r="BB281" i="6" s="1"/>
  <c r="BB282" i="6" a="1"/>
  <c r="BB282" i="6" s="1"/>
  <c r="BB283" i="6" a="1"/>
  <c r="BB283" i="6" s="1"/>
  <c r="BB284" i="6" a="1"/>
  <c r="BB284" i="6" s="1"/>
  <c r="BB285" i="6" a="1"/>
  <c r="BB285" i="6"/>
  <c r="BB286" i="6" a="1"/>
  <c r="BB286" i="6" s="1"/>
  <c r="BB287" i="6" a="1"/>
  <c r="BB287" i="6"/>
  <c r="BB288" i="6" a="1"/>
  <c r="BB288" i="6" s="1"/>
  <c r="BB289" i="6" a="1"/>
  <c r="BB289" i="6" s="1"/>
  <c r="BB290" i="6" a="1"/>
  <c r="BB290" i="6" s="1"/>
  <c r="BB291" i="6" a="1"/>
  <c r="BB291" i="6" s="1"/>
  <c r="BB292" i="6" a="1"/>
  <c r="BB292" i="6" s="1"/>
  <c r="BB293" i="6" a="1"/>
  <c r="BB293" i="6" s="1"/>
  <c r="BB294" i="6" a="1"/>
  <c r="BB294" i="6" s="1"/>
  <c r="BB295" i="6" a="1"/>
  <c r="BB295" i="6"/>
  <c r="BB296" i="6" a="1"/>
  <c r="BB296" i="6" s="1"/>
  <c r="BB297" i="6" a="1"/>
  <c r="BB297" i="6" s="1"/>
  <c r="BB298" i="6" a="1"/>
  <c r="BB298" i="6" s="1"/>
  <c r="BB299" i="6" a="1"/>
  <c r="BB299" i="6" s="1"/>
  <c r="BB300" i="6" a="1"/>
  <c r="BB300" i="6" s="1"/>
  <c r="BB301" i="6" a="1"/>
  <c r="BB301" i="6" s="1"/>
  <c r="BB302" i="6" a="1"/>
  <c r="BB302" i="6" s="1"/>
  <c r="BB303" i="6" a="1"/>
  <c r="BB303" i="6"/>
  <c r="BB304" i="6" a="1"/>
  <c r="BB304" i="6" s="1"/>
  <c r="BB305" i="6" a="1"/>
  <c r="BB305" i="6" s="1"/>
  <c r="BB306" i="6" a="1"/>
  <c r="BB306" i="6" s="1"/>
  <c r="BB307" i="6" a="1"/>
  <c r="BB307" i="6" s="1"/>
  <c r="BB308" i="6" a="1"/>
  <c r="BB308" i="6"/>
  <c r="BB309" i="6" a="1"/>
  <c r="BB309" i="6" s="1"/>
  <c r="BB310" i="6" a="1"/>
  <c r="BB310" i="6"/>
  <c r="BB311" i="6" a="1"/>
  <c r="BB311" i="6" s="1"/>
  <c r="BB312" i="6" a="1"/>
  <c r="BB312" i="6"/>
  <c r="BB313" i="6" a="1"/>
  <c r="BB313" i="6" s="1"/>
  <c r="BB314" i="6" a="1"/>
  <c r="BB314" i="6"/>
  <c r="BB315" i="6" a="1"/>
  <c r="BB315" i="6" s="1"/>
  <c r="BB316" i="6" a="1"/>
  <c r="BB316" i="6" s="1"/>
  <c r="BB317" i="6" a="1"/>
  <c r="BB317" i="6" s="1"/>
  <c r="BB318" i="6" a="1"/>
  <c r="BB318" i="6" s="1"/>
  <c r="BB319" i="6" a="1"/>
  <c r="BB319" i="6" s="1"/>
  <c r="BB320" i="6" a="1"/>
  <c r="BB320" i="6"/>
  <c r="BB321" i="6" a="1"/>
  <c r="BB321" i="6" s="1"/>
  <c r="BB322" i="6" a="1"/>
  <c r="BB322" i="6" s="1"/>
  <c r="BB323" i="6" a="1"/>
  <c r="BB323" i="6" s="1"/>
  <c r="BB324" i="6" a="1"/>
  <c r="BB324" i="6" s="1"/>
  <c r="BB325" i="6" a="1"/>
  <c r="BB325" i="6" s="1"/>
  <c r="BB326" i="6" a="1"/>
  <c r="BB326" i="6" s="1"/>
  <c r="BB327" i="6" a="1"/>
  <c r="BB327" i="6" s="1"/>
  <c r="BB328" i="6" a="1"/>
  <c r="BB328" i="6"/>
  <c r="BB329" i="6" a="1"/>
  <c r="BB329" i="6" s="1"/>
  <c r="BB330" i="6" a="1"/>
  <c r="BB330" i="6" s="1"/>
  <c r="BB331" i="6" a="1"/>
  <c r="BB331" i="6" s="1"/>
  <c r="BB332" i="6" a="1"/>
  <c r="BB332" i="6" s="1"/>
  <c r="BB333" i="6" a="1"/>
  <c r="BB333" i="6" s="1"/>
  <c r="BB334" i="6" a="1"/>
  <c r="BB334" i="6" s="1"/>
  <c r="BB335" i="6" a="1"/>
  <c r="BB335" i="6" s="1"/>
  <c r="BB336" i="6" a="1"/>
  <c r="BB336" i="6"/>
  <c r="BB337" i="6" a="1"/>
  <c r="BB337" i="6" s="1"/>
  <c r="BB338" i="6" a="1"/>
  <c r="BB338" i="6" s="1"/>
  <c r="BB339" i="6" a="1"/>
  <c r="BB339" i="6" s="1"/>
  <c r="BB340" i="6" a="1"/>
  <c r="BB340" i="6" s="1"/>
  <c r="BB341" i="6" a="1"/>
  <c r="BB341" i="6" s="1"/>
  <c r="BB342" i="6" a="1"/>
  <c r="BB342" i="6" s="1"/>
  <c r="BB343" i="6" a="1"/>
  <c r="BB343" i="6" s="1"/>
  <c r="BB344" i="6" a="1"/>
  <c r="BB344" i="6"/>
  <c r="BB345" i="6" a="1"/>
  <c r="BB345" i="6" s="1"/>
  <c r="BB346" i="6" a="1"/>
  <c r="BB346" i="6" s="1"/>
  <c r="BB347" i="6" a="1"/>
  <c r="BB347" i="6" s="1"/>
  <c r="BB348" i="6" a="1"/>
  <c r="BB348" i="6" s="1"/>
  <c r="BB349" i="6" a="1"/>
  <c r="BB349" i="6" s="1"/>
  <c r="BB350" i="6" a="1"/>
  <c r="BB350" i="6" s="1"/>
  <c r="BB351" i="6" a="1"/>
  <c r="BB351" i="6" s="1"/>
  <c r="BB352" i="6" a="1"/>
  <c r="BB352" i="6"/>
  <c r="BB353" i="6" a="1"/>
  <c r="BB353" i="6" s="1"/>
  <c r="BB354" i="6" a="1"/>
  <c r="BB354" i="6" s="1"/>
  <c r="BB355" i="6" a="1"/>
  <c r="BB355" i="6" s="1"/>
  <c r="BB356" i="6" a="1"/>
  <c r="BB356" i="6" s="1"/>
  <c r="BB357" i="6" a="1"/>
  <c r="BB357" i="6" s="1"/>
  <c r="BB358" i="6" a="1"/>
  <c r="BB358" i="6" s="1"/>
  <c r="BB359" i="6" a="1"/>
  <c r="BB359" i="6" s="1"/>
  <c r="BB360" i="6" a="1"/>
  <c r="BB360" i="6"/>
  <c r="BB361" i="6" a="1"/>
  <c r="BB361" i="6" s="1"/>
  <c r="BB362" i="6" a="1"/>
  <c r="BB362" i="6" s="1"/>
  <c r="BB363" i="6" a="1"/>
  <c r="BB363" i="6" s="1"/>
  <c r="BB364" i="6" a="1"/>
  <c r="BB364" i="6" s="1"/>
  <c r="BB365" i="6" a="1"/>
  <c r="BB365" i="6" s="1"/>
  <c r="BB366" i="6" a="1"/>
  <c r="BB366" i="6" s="1"/>
  <c r="BB367" i="6" a="1"/>
  <c r="BB367" i="6" s="1"/>
  <c r="BB368" i="6" a="1"/>
  <c r="BB368" i="6"/>
  <c r="BB369" i="6" a="1"/>
  <c r="BB369" i="6" s="1"/>
  <c r="BB370" i="6" a="1"/>
  <c r="BB370" i="6" s="1"/>
  <c r="BB371" i="6" a="1"/>
  <c r="BB371" i="6" s="1"/>
  <c r="BB372" i="6" a="1"/>
  <c r="BB372" i="6" s="1"/>
  <c r="BB373" i="6" a="1"/>
  <c r="BB373" i="6" s="1"/>
  <c r="BB374" i="6" a="1"/>
  <c r="BB374" i="6" s="1"/>
  <c r="BB375" i="6" a="1"/>
  <c r="BB375" i="6" s="1"/>
  <c r="BB376" i="6" a="1"/>
  <c r="BB376" i="6"/>
  <c r="BB377" i="6" a="1"/>
  <c r="BB377" i="6" s="1"/>
  <c r="BB378" i="6" a="1"/>
  <c r="BB378" i="6" s="1"/>
  <c r="BB379" i="6" a="1"/>
  <c r="BB379" i="6" s="1"/>
  <c r="BB380" i="6" a="1"/>
  <c r="BB380" i="6" s="1"/>
  <c r="BB381" i="6" a="1"/>
  <c r="BB381" i="6" s="1"/>
  <c r="BB382" i="6" a="1"/>
  <c r="BB382" i="6" s="1"/>
  <c r="BB383" i="6" a="1"/>
  <c r="BB383" i="6" s="1"/>
  <c r="BB384" i="6" a="1"/>
  <c r="BB384" i="6"/>
  <c r="BB385" i="6" a="1"/>
  <c r="BB385" i="6" s="1"/>
  <c r="BB386" i="6" a="1"/>
  <c r="BB386" i="6" s="1"/>
  <c r="BB387" i="6" a="1"/>
  <c r="BB387" i="6" s="1"/>
  <c r="BB388" i="6" a="1"/>
  <c r="BB388" i="6" s="1"/>
  <c r="BB389" i="6" a="1"/>
  <c r="BB389" i="6" s="1"/>
  <c r="BB390" i="6" a="1"/>
  <c r="BB390" i="6" s="1"/>
  <c r="BB391" i="6" a="1"/>
  <c r="BB391" i="6" s="1"/>
  <c r="BB392" i="6" a="1"/>
  <c r="BB392" i="6"/>
  <c r="BB393" i="6" a="1"/>
  <c r="BB393" i="6" s="1"/>
  <c r="BB394" i="6" a="1"/>
  <c r="BB394" i="6" s="1"/>
  <c r="BB395" i="6" a="1"/>
  <c r="BB395" i="6" s="1"/>
  <c r="BB396" i="6" a="1"/>
  <c r="BB396" i="6" s="1"/>
  <c r="BB397" i="6" a="1"/>
  <c r="BB397" i="6" s="1"/>
  <c r="BB398" i="6" a="1"/>
  <c r="BB398" i="6" s="1"/>
  <c r="BB399" i="6" a="1"/>
  <c r="BB399" i="6" s="1"/>
  <c r="BB400" i="6" a="1"/>
  <c r="BB400" i="6"/>
  <c r="BB401" i="6" a="1"/>
  <c r="BB401" i="6" s="1"/>
  <c r="BB402" i="6" a="1"/>
  <c r="BB402" i="6" s="1"/>
  <c r="BB403" i="6" a="1"/>
  <c r="BB403" i="6" s="1"/>
  <c r="BB404" i="6" a="1"/>
  <c r="BB404" i="6" s="1"/>
  <c r="BB405" i="6" a="1"/>
  <c r="BB405" i="6" s="1"/>
  <c r="BB406" i="6" a="1"/>
  <c r="BB406" i="6" s="1"/>
  <c r="BB407" i="6" a="1"/>
  <c r="BB407" i="6" s="1"/>
  <c r="BB408" i="6" a="1"/>
  <c r="BB408" i="6"/>
  <c r="BB409" i="6" a="1"/>
  <c r="BB409" i="6" s="1"/>
  <c r="BB410" i="6" a="1"/>
  <c r="BB410" i="6"/>
  <c r="BB411" i="6" a="1"/>
  <c r="BB411" i="6" s="1"/>
  <c r="BB412" i="6" a="1"/>
  <c r="BB412" i="6" s="1"/>
  <c r="BB413" i="6" a="1"/>
  <c r="BB413" i="6" s="1"/>
  <c r="BB414" i="6" a="1"/>
  <c r="BB414" i="6" s="1"/>
  <c r="BB415" i="6" a="1"/>
  <c r="BB415" i="6" s="1"/>
  <c r="BB416" i="6" a="1"/>
  <c r="BB416" i="6"/>
  <c r="BB417" i="6" a="1"/>
  <c r="BB417" i="6" s="1"/>
  <c r="BB418" i="6" a="1"/>
  <c r="BB418" i="6" s="1"/>
  <c r="BB419" i="6" a="1"/>
  <c r="BB419" i="6" s="1"/>
  <c r="BB420" i="6" a="1"/>
  <c r="BB420" i="6" s="1"/>
  <c r="BB421" i="6" a="1"/>
  <c r="BB421" i="6" s="1"/>
  <c r="BB422" i="6" a="1"/>
  <c r="BB422" i="6" s="1"/>
  <c r="BB423" i="6" a="1"/>
  <c r="BB423" i="6" s="1"/>
  <c r="BB424" i="6" a="1"/>
  <c r="BB424" i="6"/>
  <c r="BB425" i="6" a="1"/>
  <c r="BB425" i="6" s="1"/>
  <c r="BB426" i="6" a="1"/>
  <c r="BB426" i="6" s="1"/>
  <c r="BB427" i="6" a="1"/>
  <c r="BB427" i="6" s="1"/>
  <c r="BB428" i="6" a="1"/>
  <c r="BB428" i="6" s="1"/>
  <c r="BB429" i="6" a="1"/>
  <c r="BB429" i="6" s="1"/>
  <c r="BB430" i="6" a="1"/>
  <c r="BB430" i="6" s="1"/>
  <c r="BB431" i="6" a="1"/>
  <c r="BB431" i="6" s="1"/>
  <c r="BB432" i="6" a="1"/>
  <c r="BB432" i="6"/>
  <c r="BB433" i="6" a="1"/>
  <c r="BB433" i="6" s="1"/>
  <c r="BB434" i="6" a="1"/>
  <c r="BB434" i="6" s="1"/>
  <c r="BB435" i="6" a="1"/>
  <c r="BB435" i="6" s="1"/>
  <c r="BB436" i="6" a="1"/>
  <c r="BB436" i="6" s="1"/>
  <c r="BB437" i="6" a="1"/>
  <c r="BB437" i="6" s="1"/>
  <c r="BB438" i="6" a="1"/>
  <c r="BB438" i="6"/>
  <c r="BB439" i="6" a="1"/>
  <c r="BB439" i="6" s="1"/>
  <c r="BB440" i="6" a="1"/>
  <c r="BB440" i="6"/>
  <c r="BB441" i="6" a="1"/>
  <c r="BB441" i="6" s="1"/>
  <c r="BB442" i="6" a="1"/>
  <c r="BB442" i="6"/>
  <c r="BB443" i="6" a="1"/>
  <c r="BB443" i="6" s="1"/>
  <c r="BB444" i="6" a="1"/>
  <c r="BB444" i="6" s="1"/>
  <c r="BB445" i="6" a="1"/>
  <c r="BB445" i="6"/>
  <c r="BB446" i="6" a="1"/>
  <c r="BB446" i="6" s="1"/>
  <c r="BB447" i="6" a="1"/>
  <c r="BB447" i="6"/>
  <c r="BB448" i="6" a="1"/>
  <c r="BB448" i="6" s="1"/>
  <c r="BB449" i="6" a="1"/>
  <c r="BB449" i="6"/>
  <c r="BB450" i="6" a="1"/>
  <c r="BB450" i="6" s="1"/>
  <c r="BB451" i="6" a="1"/>
  <c r="BB451" i="6"/>
  <c r="BB452" i="6" a="1"/>
  <c r="BB452" i="6" s="1"/>
  <c r="BB453" i="6" a="1"/>
  <c r="BB453" i="6"/>
  <c r="BB454" i="6" a="1"/>
  <c r="BB454" i="6" s="1"/>
  <c r="BB455" i="6" a="1"/>
  <c r="BB455" i="6"/>
  <c r="BB456" i="6" a="1"/>
  <c r="BB456" i="6" s="1"/>
  <c r="BB457" i="6" a="1"/>
  <c r="BB457" i="6"/>
  <c r="BB458" i="6" a="1"/>
  <c r="BB458" i="6" s="1"/>
  <c r="BB459" i="6" a="1"/>
  <c r="BB459" i="6" s="1"/>
  <c r="BB460" i="6" a="1"/>
  <c r="BB460" i="6" s="1"/>
  <c r="BB461" i="6" a="1"/>
  <c r="BB461" i="6"/>
  <c r="BB462" i="6" a="1"/>
  <c r="BB462" i="6" s="1"/>
  <c r="BB463" i="6" a="1"/>
  <c r="BB463" i="6" s="1"/>
  <c r="BB464" i="6" a="1"/>
  <c r="BB464" i="6" s="1"/>
  <c r="BB465" i="6" a="1"/>
  <c r="BB465" i="6"/>
  <c r="BB466" i="6" a="1"/>
  <c r="BB466" i="6" s="1"/>
  <c r="BB467" i="6" a="1"/>
  <c r="BB467" i="6" s="1"/>
  <c r="BB468" i="6" a="1"/>
  <c r="BB468" i="6" s="1"/>
  <c r="BB469" i="6" a="1"/>
  <c r="BB469" i="6"/>
  <c r="BB470" i="6" a="1"/>
  <c r="BB470" i="6" s="1"/>
  <c r="BB471" i="6" a="1"/>
  <c r="BB471" i="6" s="1"/>
  <c r="BB472" i="6" a="1"/>
  <c r="BB472" i="6" s="1"/>
  <c r="BB473" i="6" a="1"/>
  <c r="BB473" i="6"/>
  <c r="BB474" i="6" a="1"/>
  <c r="BB474" i="6" s="1"/>
  <c r="BB475" i="6" a="1"/>
  <c r="BB475" i="6" s="1"/>
  <c r="BB476" i="6" a="1"/>
  <c r="BB476" i="6" s="1"/>
  <c r="BB477" i="6" a="1"/>
  <c r="BB477" i="6"/>
  <c r="BB478" i="6" a="1"/>
  <c r="BB478" i="6" s="1"/>
  <c r="BB479" i="6" a="1"/>
  <c r="BB479" i="6" s="1"/>
  <c r="BB480" i="6" a="1"/>
  <c r="BB480" i="6" s="1"/>
  <c r="BB481" i="6" a="1"/>
  <c r="BB481" i="6"/>
  <c r="BB482" i="6" a="1"/>
  <c r="BB482" i="6" s="1"/>
  <c r="BB483" i="6" a="1"/>
  <c r="BB483" i="6" s="1"/>
  <c r="BB484" i="6" a="1"/>
  <c r="BB484" i="6" s="1"/>
  <c r="BB485" i="6" a="1"/>
  <c r="BB485" i="6"/>
  <c r="BB486" i="6" a="1"/>
  <c r="BB486" i="6" s="1"/>
  <c r="BB487" i="6" a="1"/>
  <c r="BB487" i="6" s="1"/>
  <c r="BB488" i="6" a="1"/>
  <c r="BB488" i="6" s="1"/>
  <c r="BB489" i="6" a="1"/>
  <c r="BB489" i="6"/>
  <c r="BB490" i="6" a="1"/>
  <c r="BB490" i="6" s="1"/>
  <c r="BB491" i="6" a="1"/>
  <c r="BB491" i="6" s="1"/>
  <c r="BB492" i="6" a="1"/>
  <c r="BB492" i="6" s="1"/>
  <c r="BB493" i="6" a="1"/>
  <c r="BB493" i="6"/>
  <c r="BB494" i="6" a="1"/>
  <c r="BB494" i="6" s="1"/>
  <c r="BB495" i="6" a="1"/>
  <c r="BB495" i="6" s="1"/>
  <c r="BB496" i="6" a="1"/>
  <c r="BB496" i="6" s="1"/>
  <c r="BB497" i="6" a="1"/>
  <c r="BB497" i="6"/>
  <c r="BB498" i="6" a="1"/>
  <c r="BB498" i="6" s="1"/>
  <c r="BB499" i="6" a="1"/>
  <c r="BB499" i="6" s="1"/>
  <c r="BB500" i="6" a="1"/>
  <c r="BB500" i="6" s="1"/>
  <c r="BB501" i="6" a="1"/>
  <c r="BB501" i="6"/>
  <c r="BB502" i="6" a="1"/>
  <c r="BB502" i="6" s="1"/>
  <c r="BB503" i="6" a="1"/>
  <c r="BB503" i="6"/>
  <c r="BB504" i="6" a="1"/>
  <c r="BB504" i="6" s="1"/>
  <c r="BB505" i="6" a="1"/>
  <c r="BB505" i="6"/>
  <c r="BB506" i="6" a="1"/>
  <c r="BB506" i="6" s="1"/>
  <c r="BB507" i="6" a="1"/>
  <c r="BB507" i="6" s="1"/>
  <c r="BB508" i="6" a="1"/>
  <c r="BB508" i="6" s="1"/>
  <c r="BB509" i="6" a="1"/>
  <c r="BB509" i="6"/>
  <c r="BB510" i="6" a="1"/>
  <c r="BB510" i="6" s="1"/>
  <c r="BB511" i="6" a="1"/>
  <c r="BB511" i="6"/>
  <c r="BB512" i="6" a="1"/>
  <c r="BB512" i="6" s="1"/>
  <c r="BB513" i="6" a="1"/>
  <c r="BB513" i="6"/>
  <c r="BB514" i="6" a="1"/>
  <c r="BB514" i="6" s="1"/>
  <c r="BB515" i="6" a="1"/>
  <c r="BB515" i="6" s="1"/>
  <c r="BB516" i="6" a="1"/>
  <c r="BB516" i="6" s="1"/>
  <c r="BB517" i="6" a="1"/>
  <c r="BB517" i="6"/>
  <c r="BB518" i="6" a="1"/>
  <c r="BB518" i="6" s="1"/>
  <c r="BB519" i="6" a="1"/>
  <c r="BB519" i="6"/>
  <c r="BB520" i="6" a="1"/>
  <c r="BB520" i="6" s="1"/>
  <c r="BB521" i="6" a="1"/>
  <c r="BB521" i="6"/>
  <c r="BB522" i="6" a="1"/>
  <c r="BB522" i="6" s="1"/>
  <c r="BB523" i="6" a="1"/>
  <c r="BB523" i="6" s="1"/>
  <c r="BB524" i="6" a="1"/>
  <c r="BB524" i="6" s="1"/>
  <c r="BB525" i="6" a="1"/>
  <c r="BB525" i="6"/>
  <c r="BB526" i="6" a="1"/>
  <c r="BB526" i="6" s="1"/>
  <c r="BB527" i="6" a="1"/>
  <c r="BB527" i="6"/>
  <c r="BB528" i="6" a="1"/>
  <c r="BB528" i="6" s="1"/>
  <c r="BB529" i="6" a="1"/>
  <c r="BB529" i="6"/>
  <c r="BB530" i="6" a="1"/>
  <c r="BB530" i="6" s="1"/>
  <c r="BB531" i="6" a="1"/>
  <c r="BB531" i="6" s="1"/>
  <c r="BB532" i="6" a="1"/>
  <c r="BB532" i="6" s="1"/>
  <c r="BB533" i="6" a="1"/>
  <c r="BB533" i="6"/>
  <c r="BB534" i="6" a="1"/>
  <c r="BB534" i="6" s="1"/>
  <c r="BB535" i="6" a="1"/>
  <c r="BB535" i="6"/>
  <c r="BB536" i="6" a="1"/>
  <c r="BB536" i="6" s="1"/>
  <c r="BB537" i="6" a="1"/>
  <c r="BB537" i="6"/>
  <c r="BB538" i="6" a="1"/>
  <c r="BB538" i="6" s="1"/>
  <c r="BB539" i="6" a="1"/>
  <c r="BB539" i="6" s="1"/>
  <c r="BB540" i="6" a="1"/>
  <c r="BB540" i="6" s="1"/>
  <c r="BB541" i="6" a="1"/>
  <c r="BB541" i="6"/>
  <c r="BB542" i="6" a="1"/>
  <c r="BB542" i="6" s="1"/>
  <c r="BB543" i="6" a="1"/>
  <c r="BB543" i="6"/>
  <c r="BB544" i="6" a="1"/>
  <c r="BB544" i="6" s="1"/>
  <c r="BB545" i="6" a="1"/>
  <c r="BB545" i="6"/>
  <c r="BB546" i="6" a="1"/>
  <c r="BB546" i="6" s="1"/>
  <c r="BB547" i="6" a="1"/>
  <c r="BB547" i="6" s="1"/>
  <c r="BB548" i="6" a="1"/>
  <c r="BB548" i="6" s="1"/>
  <c r="BB549" i="6" a="1"/>
  <c r="BB549" i="6"/>
  <c r="BB550" i="6" a="1"/>
  <c r="BB550" i="6" s="1"/>
  <c r="BB551" i="6" a="1"/>
  <c r="BB551" i="6"/>
  <c r="BB552" i="6" a="1"/>
  <c r="BB552" i="6" s="1"/>
  <c r="BB553" i="6" a="1"/>
  <c r="BB553" i="6" s="1"/>
  <c r="BB554" i="6" a="1"/>
  <c r="BB554" i="6" s="1"/>
  <c r="BB555" i="6" a="1"/>
  <c r="BB555" i="6" s="1"/>
  <c r="BB556" i="6" a="1"/>
  <c r="BB556" i="6" s="1"/>
  <c r="BB557" i="6" a="1"/>
  <c r="BB557" i="6"/>
  <c r="BB558" i="6" a="1"/>
  <c r="BB558" i="6" s="1"/>
  <c r="BB559" i="6" a="1"/>
  <c r="BB559" i="6"/>
  <c r="BB560" i="6" a="1"/>
  <c r="BB560" i="6" s="1"/>
  <c r="BB561" i="6" a="1"/>
  <c r="BB561" i="6" s="1"/>
  <c r="BB562" i="6" a="1"/>
  <c r="BB562" i="6" s="1"/>
  <c r="BB563" i="6" a="1"/>
  <c r="BB563" i="6" s="1"/>
  <c r="BB564" i="6" a="1"/>
  <c r="BB564" i="6" s="1"/>
  <c r="BB565" i="6" a="1"/>
  <c r="BB565" i="6"/>
  <c r="BB566" i="6" a="1"/>
  <c r="BB566" i="6" s="1"/>
  <c r="BB567" i="6" a="1"/>
  <c r="BB567" i="6"/>
  <c r="BB568" i="6" a="1"/>
  <c r="BB568" i="6" s="1"/>
  <c r="BB569" i="6" a="1"/>
  <c r="BB569" i="6"/>
  <c r="BB570" i="6" a="1"/>
  <c r="BB570" i="6" s="1"/>
  <c r="BB571" i="6" a="1"/>
  <c r="BB571" i="6" s="1"/>
  <c r="BB572" i="6" a="1"/>
  <c r="BB572" i="6" s="1"/>
  <c r="BB573" i="6" a="1"/>
  <c r="BB573" i="6"/>
  <c r="BB574" i="6" a="1"/>
  <c r="BB574" i="6" s="1"/>
  <c r="BB575" i="6" a="1"/>
  <c r="BB575" i="6"/>
  <c r="BB576" i="6" a="1"/>
  <c r="BB576" i="6" s="1"/>
  <c r="BB577" i="6" a="1"/>
  <c r="BB577" i="6"/>
  <c r="BB578" i="6" a="1"/>
  <c r="BB578" i="6" s="1"/>
  <c r="BB579" i="6" a="1"/>
  <c r="BB579" i="6" s="1"/>
  <c r="BB580" i="6" a="1"/>
  <c r="BB580" i="6" s="1"/>
  <c r="BB581" i="6" a="1"/>
  <c r="BB581" i="6"/>
  <c r="BB582" i="6" a="1"/>
  <c r="BB582" i="6" s="1"/>
  <c r="BB583" i="6" a="1"/>
  <c r="BB583" i="6"/>
  <c r="BB584" i="6" a="1"/>
  <c r="BB584" i="6" s="1"/>
  <c r="BB585" i="6" a="1"/>
  <c r="BB585" i="6" s="1"/>
  <c r="BB586" i="6" a="1"/>
  <c r="BB586" i="6" s="1"/>
  <c r="BB587" i="6" a="1"/>
  <c r="BB587" i="6" s="1"/>
  <c r="BB588" i="6" a="1"/>
  <c r="BB588" i="6" s="1"/>
  <c r="BB589" i="6" a="1"/>
  <c r="BB589" i="6"/>
  <c r="BB590" i="6" a="1"/>
  <c r="BB590" i="6" s="1"/>
  <c r="BB591" i="6" a="1"/>
  <c r="BB591" i="6"/>
  <c r="BB592" i="6" a="1"/>
  <c r="BB592" i="6" s="1"/>
  <c r="BB593" i="6" a="1"/>
  <c r="BB593" i="6" s="1"/>
  <c r="BB594" i="6" a="1"/>
  <c r="BB594" i="6" s="1"/>
  <c r="BB595" i="6" a="1"/>
  <c r="BB595" i="6" s="1"/>
  <c r="BB596" i="6" a="1"/>
  <c r="BB596" i="6" s="1"/>
  <c r="BB597" i="6" a="1"/>
  <c r="BB597" i="6"/>
  <c r="BB598" i="6" a="1"/>
  <c r="BB598" i="6" s="1"/>
  <c r="BB599" i="6" a="1"/>
  <c r="BB599" i="6"/>
  <c r="BB600" i="6" a="1"/>
  <c r="BB600" i="6" s="1"/>
  <c r="BB601" i="6" a="1"/>
  <c r="BB601" i="6"/>
  <c r="BB602" i="6" a="1"/>
  <c r="BB602" i="6" s="1"/>
  <c r="BB603" i="6" a="1"/>
  <c r="BB603" i="6" s="1"/>
  <c r="BB604" i="6" a="1"/>
  <c r="BB604" i="6" s="1"/>
  <c r="BB605" i="6" a="1"/>
  <c r="BB605" i="6"/>
  <c r="BB606" i="6" a="1"/>
  <c r="BB606" i="6" s="1"/>
  <c r="BB607" i="6" a="1"/>
  <c r="BB607" i="6"/>
  <c r="BB608" i="6" a="1"/>
  <c r="BB608" i="6" s="1"/>
  <c r="BB609" i="6" a="1"/>
  <c r="BB609" i="6"/>
  <c r="BB610" i="6" a="1"/>
  <c r="BB610" i="6" s="1"/>
  <c r="BB611" i="6" a="1"/>
  <c r="BB611" i="6" s="1"/>
  <c r="BB612" i="6" a="1"/>
  <c r="BB612" i="6" s="1"/>
  <c r="BB613" i="6" a="1"/>
  <c r="BB613" i="6"/>
  <c r="BB614" i="6" a="1"/>
  <c r="BB614" i="6" s="1"/>
  <c r="BB615" i="6" a="1"/>
  <c r="BB615" i="6"/>
  <c r="BB616" i="6" a="1"/>
  <c r="BB616" i="6" s="1"/>
  <c r="BB617" i="6" a="1"/>
  <c r="BB617" i="6" s="1"/>
  <c r="BB618" i="6" a="1"/>
  <c r="BB618" i="6" s="1"/>
  <c r="BB619" i="6" a="1"/>
  <c r="BB619" i="6" s="1"/>
  <c r="BB620" i="6" a="1"/>
  <c r="BB620" i="6" s="1"/>
  <c r="BB621" i="6" a="1"/>
  <c r="BB621" i="6"/>
  <c r="BB622" i="6" a="1"/>
  <c r="BB622" i="6" s="1"/>
  <c r="BB623" i="6" a="1"/>
  <c r="BB623" i="6"/>
  <c r="BB624" i="6" a="1"/>
  <c r="BB624" i="6" s="1"/>
  <c r="BB625" i="6" a="1"/>
  <c r="BB625" i="6"/>
  <c r="BB626" i="6" a="1"/>
  <c r="BB626" i="6" s="1"/>
  <c r="BB627" i="6" a="1"/>
  <c r="BB627" i="6" s="1"/>
  <c r="BB628" i="6" a="1"/>
  <c r="BB628" i="6" s="1"/>
  <c r="BB629" i="6" a="1"/>
  <c r="BB629" i="6"/>
  <c r="BB630" i="6" a="1"/>
  <c r="BB630" i="6" s="1"/>
  <c r="BB631" i="6" a="1"/>
  <c r="BB631" i="6"/>
  <c r="BB632" i="6" a="1"/>
  <c r="BB632" i="6" s="1"/>
  <c r="BB633" i="6" a="1"/>
  <c r="BB633" i="6" s="1"/>
  <c r="BB634" i="6" a="1"/>
  <c r="BB634" i="6" s="1"/>
  <c r="BB635" i="6" a="1"/>
  <c r="BB635" i="6" s="1"/>
  <c r="BB636" i="6" a="1"/>
  <c r="BB636" i="6" s="1"/>
  <c r="BB637" i="6" a="1"/>
  <c r="BB637" i="6"/>
  <c r="BB638" i="6" a="1"/>
  <c r="BB638" i="6" s="1"/>
  <c r="BB639" i="6" a="1"/>
  <c r="BB639" i="6"/>
  <c r="BB640" i="6" a="1"/>
  <c r="BB640" i="6" s="1"/>
  <c r="BB641" i="6" a="1"/>
  <c r="BB641" i="6" s="1"/>
  <c r="BB642" i="6" a="1"/>
  <c r="BB642" i="6" s="1"/>
  <c r="BB643" i="6" a="1"/>
  <c r="BB643" i="6" s="1"/>
  <c r="BB644" i="6" a="1"/>
  <c r="BB644" i="6" s="1"/>
  <c r="BB645" i="6" a="1"/>
  <c r="BB645" i="6"/>
  <c r="BB646" i="6" a="1"/>
  <c r="BB646" i="6" s="1"/>
  <c r="BB647" i="6" a="1"/>
  <c r="BB647" i="6"/>
  <c r="BB648" i="6" a="1"/>
  <c r="BB648" i="6" s="1"/>
  <c r="BB649" i="6" a="1"/>
  <c r="BB649" i="6" s="1"/>
  <c r="BB650" i="6" a="1"/>
  <c r="BB650" i="6" s="1"/>
  <c r="BB651" i="6" a="1"/>
  <c r="BB651" i="6" s="1"/>
  <c r="BB652" i="6" a="1"/>
  <c r="BB652" i="6" s="1"/>
  <c r="BB653" i="6" a="1"/>
  <c r="BB653" i="6"/>
  <c r="BB654" i="6" a="1"/>
  <c r="BB654" i="6" s="1"/>
  <c r="BB655" i="6" a="1"/>
  <c r="BB655" i="6"/>
  <c r="BB656" i="6" a="1"/>
  <c r="BB656" i="6" s="1"/>
  <c r="BB657" i="6" a="1"/>
  <c r="BB657" i="6" s="1"/>
  <c r="BB658" i="6" a="1"/>
  <c r="BB658" i="6" s="1"/>
  <c r="BB659" i="6" a="1"/>
  <c r="BB659" i="6" s="1"/>
  <c r="BB660" i="6" a="1"/>
  <c r="BB660" i="6" s="1"/>
  <c r="BB661" i="6" a="1"/>
  <c r="BB661" i="6"/>
  <c r="BB662" i="6" a="1"/>
  <c r="BB662" i="6" s="1"/>
  <c r="BB663" i="6" a="1"/>
  <c r="BB663" i="6"/>
  <c r="BB664" i="6" a="1"/>
  <c r="BB664" i="6" s="1"/>
  <c r="BB665" i="6" a="1"/>
  <c r="BB665" i="6" s="1"/>
  <c r="BB666" i="6" a="1"/>
  <c r="BB666" i="6" s="1"/>
  <c r="BB667" i="6" a="1"/>
  <c r="BB667" i="6" s="1"/>
  <c r="BB668" i="6" a="1"/>
  <c r="BB668" i="6" s="1"/>
  <c r="BB669" i="6" a="1"/>
  <c r="BB669" i="6"/>
  <c r="BB670" i="6" a="1"/>
  <c r="BB670" i="6" s="1"/>
  <c r="BB671" i="6" a="1"/>
  <c r="BB671" i="6"/>
  <c r="BB672" i="6" a="1"/>
  <c r="BB672" i="6" s="1"/>
  <c r="BB673" i="6" a="1"/>
  <c r="BB673" i="6" s="1"/>
  <c r="BB674" i="6" a="1"/>
  <c r="BB674" i="6" s="1"/>
  <c r="BB675" i="6" a="1"/>
  <c r="BB675" i="6" s="1"/>
  <c r="BB676" i="6" a="1"/>
  <c r="BB676" i="6" s="1"/>
  <c r="BB677" i="6" a="1"/>
  <c r="BB677" i="6"/>
  <c r="BB678" i="6" a="1"/>
  <c r="BB678" i="6" s="1"/>
  <c r="BB679" i="6" a="1"/>
  <c r="BB679" i="6"/>
  <c r="BB680" i="6" a="1"/>
  <c r="BB680" i="6" s="1"/>
  <c r="BB681" i="6" a="1"/>
  <c r="BB681" i="6" s="1"/>
  <c r="BB682" i="6" a="1"/>
  <c r="BB682" i="6" s="1"/>
  <c r="BB683" i="6" a="1"/>
  <c r="BB683" i="6" s="1"/>
  <c r="BB684" i="6" a="1"/>
  <c r="BB684" i="6" s="1"/>
  <c r="BB685" i="6" a="1"/>
  <c r="BB685" i="6"/>
  <c r="BB686" i="6" a="1"/>
  <c r="BB686" i="6" s="1"/>
  <c r="BB687" i="6" a="1"/>
  <c r="BB687" i="6"/>
  <c r="BB688" i="6" a="1"/>
  <c r="BB688" i="6" s="1"/>
  <c r="BB689" i="6" a="1"/>
  <c r="BB689" i="6" s="1"/>
  <c r="BB690" i="6" a="1"/>
  <c r="BB690" i="6" s="1"/>
  <c r="BB691" i="6" a="1"/>
  <c r="BB691" i="6" s="1"/>
  <c r="BB692" i="6" a="1"/>
  <c r="BB692" i="6" s="1"/>
  <c r="BB693" i="6" a="1"/>
  <c r="BB693" i="6"/>
  <c r="BB694" i="6" a="1"/>
  <c r="BB694" i="6" s="1"/>
  <c r="BB695" i="6" a="1"/>
  <c r="BB695" i="6"/>
  <c r="BB696" i="6" a="1"/>
  <c r="BB696" i="6" s="1"/>
  <c r="BB697" i="6" a="1"/>
  <c r="BB697" i="6" s="1"/>
  <c r="BB698" i="6" a="1"/>
  <c r="BB698" i="6" s="1"/>
  <c r="BB699" i="6" a="1"/>
  <c r="BB699" i="6" s="1"/>
  <c r="BB700" i="6" a="1"/>
  <c r="BB700" i="6" s="1"/>
  <c r="BB701" i="6" a="1"/>
  <c r="BB701" i="6"/>
  <c r="BB702" i="6" a="1"/>
  <c r="BB702" i="6" s="1"/>
  <c r="BB703" i="6" a="1"/>
  <c r="BB703" i="6"/>
  <c r="BB704" i="6" a="1"/>
  <c r="BB704" i="6" s="1"/>
  <c r="BB705" i="6" a="1"/>
  <c r="BB705" i="6" s="1"/>
  <c r="BB706" i="6" a="1"/>
  <c r="BB706" i="6" s="1"/>
  <c r="BB707" i="6" a="1"/>
  <c r="BB707" i="6" s="1"/>
  <c r="BB708" i="6" a="1"/>
  <c r="BB708" i="6" s="1"/>
  <c r="BB709" i="6" a="1"/>
  <c r="BB709" i="6"/>
  <c r="BB710" i="6" a="1"/>
  <c r="BB710" i="6" s="1"/>
  <c r="BB711" i="6" a="1"/>
  <c r="BB711" i="6"/>
  <c r="BB712" i="6" a="1"/>
  <c r="BB712" i="6" s="1"/>
  <c r="BB713" i="6" a="1"/>
  <c r="BB713" i="6" s="1"/>
  <c r="BB714" i="6" a="1"/>
  <c r="BB714" i="6" s="1"/>
  <c r="BB715" i="6" a="1"/>
  <c r="BB715" i="6" s="1"/>
  <c r="BB716" i="6" a="1"/>
  <c r="BB716" i="6" s="1"/>
  <c r="BB717" i="6" a="1"/>
  <c r="BB717" i="6"/>
  <c r="BB718" i="6" a="1"/>
  <c r="BB718" i="6" s="1"/>
  <c r="BB719" i="6" a="1"/>
  <c r="BB719" i="6"/>
  <c r="BB720" i="6" a="1"/>
  <c r="BB720" i="6" s="1"/>
  <c r="BB721" i="6" a="1"/>
  <c r="BB721" i="6" s="1"/>
  <c r="BB722" i="6" a="1"/>
  <c r="BB722" i="6" s="1"/>
  <c r="BB723" i="6" a="1"/>
  <c r="BB723" i="6" s="1"/>
  <c r="BB724" i="6" a="1"/>
  <c r="BB724" i="6" s="1"/>
  <c r="BB725" i="6" a="1"/>
  <c r="BB725" i="6"/>
  <c r="BB726" i="6" a="1"/>
  <c r="BB726" i="6" s="1"/>
  <c r="BB727" i="6" a="1"/>
  <c r="BB727" i="6"/>
  <c r="BB728" i="6" a="1"/>
  <c r="BB728" i="6" s="1"/>
  <c r="BB729" i="6" a="1"/>
  <c r="BB729" i="6" s="1"/>
  <c r="BB730" i="6" a="1"/>
  <c r="BB730" i="6" s="1"/>
  <c r="BB731" i="6" a="1"/>
  <c r="BB731" i="6" s="1"/>
  <c r="BB732" i="6" a="1"/>
  <c r="BB732" i="6" s="1"/>
  <c r="BB733" i="6" a="1"/>
  <c r="BB733" i="6"/>
  <c r="BB734" i="6" a="1"/>
  <c r="BB734" i="6" s="1"/>
  <c r="BB735" i="6" a="1"/>
  <c r="BB735" i="6"/>
  <c r="BB736" i="6" a="1"/>
  <c r="BB736" i="6" s="1"/>
  <c r="BB737" i="6" a="1"/>
  <c r="BB737" i="6" s="1"/>
  <c r="BB738" i="6" a="1"/>
  <c r="BB738" i="6" s="1"/>
  <c r="BB739" i="6" a="1"/>
  <c r="BB739" i="6" s="1"/>
  <c r="BB740" i="6" a="1"/>
  <c r="BB740" i="6" s="1"/>
  <c r="BB741" i="6" a="1"/>
  <c r="BB741" i="6"/>
  <c r="BB742" i="6" a="1"/>
  <c r="BB742" i="6" s="1"/>
  <c r="BB743" i="6" a="1"/>
  <c r="BB743" i="6"/>
  <c r="BB744" i="6" a="1"/>
  <c r="BB744" i="6" s="1"/>
  <c r="BB745" i="6" a="1"/>
  <c r="BB745" i="6" s="1"/>
  <c r="BB746" i="6" a="1"/>
  <c r="BB746" i="6" s="1"/>
  <c r="BB747" i="6" a="1"/>
  <c r="BB747" i="6" s="1"/>
  <c r="BB748" i="6" a="1"/>
  <c r="BB748" i="6" s="1"/>
  <c r="BB749" i="6" a="1"/>
  <c r="BB749" i="6"/>
  <c r="BB750" i="6" a="1"/>
  <c r="BB750" i="6" s="1"/>
  <c r="BB751" i="6" a="1"/>
  <c r="BB751" i="6"/>
  <c r="BB752" i="6" a="1"/>
  <c r="BB752" i="6" s="1"/>
  <c r="BB753" i="6" a="1"/>
  <c r="BB753" i="6"/>
  <c r="BB754" i="6" a="1"/>
  <c r="BB754" i="6" s="1"/>
  <c r="BB755" i="6" a="1"/>
  <c r="BB755" i="6"/>
  <c r="BB756" i="6" a="1"/>
  <c r="BB756" i="6" s="1"/>
  <c r="BB757" i="6" a="1"/>
  <c r="BB757" i="6" s="1"/>
  <c r="BB758" i="6" a="1"/>
  <c r="BB758" i="6" s="1"/>
  <c r="BB759" i="6" a="1"/>
  <c r="BB759" i="6" s="1"/>
  <c r="BB760" i="6" a="1"/>
  <c r="BB760" i="6" s="1"/>
  <c r="BB761" i="6" a="1"/>
  <c r="BB761" i="6" s="1"/>
  <c r="BB762" i="6" a="1"/>
  <c r="BB762" i="6" s="1"/>
  <c r="BB763" i="6" a="1"/>
  <c r="BB763" i="6" s="1"/>
  <c r="BB764" i="6" a="1"/>
  <c r="BB764" i="6" s="1"/>
  <c r="BB765" i="6" a="1"/>
  <c r="BB765" i="6" s="1"/>
  <c r="BB766" i="6" a="1"/>
  <c r="BB766" i="6" s="1"/>
  <c r="BB767" i="6" a="1"/>
  <c r="BB767" i="6" s="1"/>
  <c r="BB768" i="6" a="1"/>
  <c r="BB768" i="6" s="1"/>
  <c r="BB769" i="6" a="1"/>
  <c r="BB769" i="6" s="1"/>
  <c r="BB770" i="6" a="1"/>
  <c r="BB770" i="6" s="1"/>
  <c r="BB771" i="6" a="1"/>
  <c r="BB771" i="6" s="1"/>
  <c r="BB772" i="6" a="1"/>
  <c r="BB772" i="6" s="1"/>
  <c r="BB773" i="6" a="1"/>
  <c r="BB773" i="6" s="1"/>
  <c r="BB774" i="6" a="1"/>
  <c r="BB774" i="6" s="1"/>
  <c r="BB775" i="6" a="1"/>
  <c r="BB775" i="6" s="1"/>
  <c r="BB776" i="6" a="1"/>
  <c r="BB776" i="6" s="1"/>
  <c r="BB777" i="6" a="1"/>
  <c r="BB777" i="6" s="1"/>
  <c r="BB778" i="6" a="1"/>
  <c r="BB778" i="6" s="1"/>
  <c r="BB779" i="6" a="1"/>
  <c r="BB779" i="6" s="1"/>
  <c r="BB780" i="6" a="1"/>
  <c r="BB780" i="6" s="1"/>
  <c r="BB781" i="6" a="1"/>
  <c r="BB781" i="6" s="1"/>
  <c r="BB782" i="6" a="1"/>
  <c r="BB782" i="6" s="1"/>
  <c r="BB783" i="6" a="1"/>
  <c r="BB783" i="6" s="1"/>
  <c r="BB784" i="6" a="1"/>
  <c r="BB784" i="6" s="1"/>
  <c r="BB785" i="6" a="1"/>
  <c r="BB785" i="6" s="1"/>
  <c r="BB786" i="6" a="1"/>
  <c r="BB786" i="6" s="1"/>
  <c r="BB787" i="6" a="1"/>
  <c r="BB787" i="6" s="1"/>
  <c r="BB788" i="6" a="1"/>
  <c r="BB788" i="6" s="1"/>
  <c r="BB789" i="6" a="1"/>
  <c r="BB789" i="6" s="1"/>
  <c r="BB790" i="6" a="1"/>
  <c r="BB790" i="6" s="1"/>
  <c r="BB791" i="6" a="1"/>
  <c r="BB791" i="6" s="1"/>
  <c r="BB792" i="6" a="1"/>
  <c r="BB792" i="6" s="1"/>
  <c r="BB793" i="6" a="1"/>
  <c r="BB793" i="6" s="1"/>
  <c r="BB794" i="6" a="1"/>
  <c r="BB794" i="6" s="1"/>
  <c r="BB795" i="6" a="1"/>
  <c r="BB795" i="6" s="1"/>
  <c r="BB796" i="6" a="1"/>
  <c r="BB796" i="6" s="1"/>
  <c r="BB797" i="6" a="1"/>
  <c r="BB797" i="6" s="1"/>
  <c r="BB798" i="6" a="1"/>
  <c r="BB798" i="6" s="1"/>
  <c r="BB799" i="6" a="1"/>
  <c r="BB799" i="6" s="1"/>
  <c r="BB800" i="6" a="1"/>
  <c r="BB800" i="6" s="1"/>
  <c r="BB801" i="6" a="1"/>
  <c r="BB801" i="6" s="1"/>
  <c r="BB802" i="6" a="1"/>
  <c r="BB802" i="6" s="1"/>
  <c r="BB803" i="6" a="1"/>
  <c r="BB803" i="6" s="1"/>
  <c r="BB804" i="6" a="1"/>
  <c r="BB804" i="6" s="1"/>
  <c r="BB805" i="6" a="1"/>
  <c r="BB805" i="6" s="1"/>
  <c r="BB806" i="6" a="1"/>
  <c r="BB806" i="6" s="1"/>
  <c r="BB807" i="6" a="1"/>
  <c r="BB807" i="6" s="1"/>
  <c r="BB808" i="6" a="1"/>
  <c r="BB808" i="6" s="1"/>
  <c r="BB809" i="6" a="1"/>
  <c r="BB809" i="6" s="1"/>
  <c r="BB810" i="6" a="1"/>
  <c r="BB810" i="6" s="1"/>
  <c r="BB811" i="6" a="1"/>
  <c r="BB811" i="6" s="1"/>
  <c r="BB812" i="6" a="1"/>
  <c r="BB812" i="6" s="1"/>
  <c r="BB813" i="6" a="1"/>
  <c r="BB813" i="6" s="1"/>
  <c r="BB814" i="6" a="1"/>
  <c r="BB814" i="6" s="1"/>
  <c r="BB815" i="6" a="1"/>
  <c r="BB815" i="6" s="1"/>
  <c r="BB816" i="6" a="1"/>
  <c r="BB816" i="6" s="1"/>
  <c r="BB817" i="6" a="1"/>
  <c r="BB817" i="6" s="1"/>
  <c r="BB818" i="6" a="1"/>
  <c r="BB818" i="6" s="1"/>
  <c r="BB819" i="6" a="1"/>
  <c r="BB819" i="6" s="1"/>
  <c r="BB820" i="6" a="1"/>
  <c r="BB820" i="6" s="1"/>
  <c r="BB821" i="6" a="1"/>
  <c r="BB821" i="6" s="1"/>
  <c r="BB822" i="6" a="1"/>
  <c r="BB822" i="6" s="1"/>
  <c r="BB823" i="6" a="1"/>
  <c r="BB823" i="6" s="1"/>
  <c r="BB824" i="6" a="1"/>
  <c r="BB824" i="6" s="1"/>
  <c r="BB825" i="6" a="1"/>
  <c r="BB825" i="6" s="1"/>
  <c r="BB826" i="6" a="1"/>
  <c r="BB826" i="6" s="1"/>
  <c r="BB827" i="6" a="1"/>
  <c r="BB827" i="6" s="1"/>
  <c r="BB828" i="6" a="1"/>
  <c r="BB828" i="6" s="1"/>
  <c r="BB829" i="6" a="1"/>
  <c r="BB829" i="6" s="1"/>
  <c r="BB830" i="6" a="1"/>
  <c r="BB830" i="6" s="1"/>
  <c r="BB831" i="6" a="1"/>
  <c r="BB831" i="6" s="1"/>
  <c r="BB832" i="6" a="1"/>
  <c r="BB832" i="6" s="1"/>
  <c r="BB833" i="6" a="1"/>
  <c r="BB833" i="6" s="1"/>
  <c r="BB834" i="6" a="1"/>
  <c r="BB834" i="6" s="1"/>
  <c r="BB835" i="6" a="1"/>
  <c r="BB835" i="6" s="1"/>
  <c r="BB836" i="6" a="1"/>
  <c r="BB836" i="6" s="1"/>
  <c r="BB837" i="6" a="1"/>
  <c r="BB837" i="6" s="1"/>
  <c r="BB838" i="6" a="1"/>
  <c r="BB838" i="6" s="1"/>
  <c r="BB839" i="6" a="1"/>
  <c r="BB839" i="6" s="1"/>
  <c r="BB840" i="6" a="1"/>
  <c r="BB840" i="6" s="1"/>
  <c r="BB841" i="6" a="1"/>
  <c r="BB841" i="6" s="1"/>
  <c r="BB842" i="6" a="1"/>
  <c r="BB842" i="6" s="1"/>
  <c r="BB843" i="6" a="1"/>
  <c r="BB843" i="6" s="1"/>
  <c r="BB844" i="6" a="1"/>
  <c r="BB844" i="6" s="1"/>
  <c r="BB845" i="6" a="1"/>
  <c r="BB845" i="6" s="1"/>
  <c r="BB846" i="6" a="1"/>
  <c r="BB846" i="6" s="1"/>
  <c r="BB847" i="6" a="1"/>
  <c r="BB847" i="6" s="1"/>
  <c r="BB848" i="6" a="1"/>
  <c r="BB848" i="6" s="1"/>
  <c r="BB849" i="6" a="1"/>
  <c r="BB849" i="6" s="1"/>
  <c r="BB850" i="6" a="1"/>
  <c r="BB850" i="6" s="1"/>
  <c r="BB851" i="6" a="1"/>
  <c r="BB851" i="6" s="1"/>
  <c r="BB852" i="6" a="1"/>
  <c r="BB852" i="6" s="1"/>
  <c r="BB853" i="6" a="1"/>
  <c r="BB853" i="6" s="1"/>
  <c r="BB854" i="6" a="1"/>
  <c r="BB854" i="6" s="1"/>
  <c r="BB855" i="6" a="1"/>
  <c r="BB855" i="6" s="1"/>
  <c r="BB856" i="6" a="1"/>
  <c r="BB856" i="6" s="1"/>
  <c r="BB857" i="6" a="1"/>
  <c r="BB857" i="6" s="1"/>
  <c r="BB858" i="6" a="1"/>
  <c r="BB858" i="6" s="1"/>
  <c r="BB859" i="6" a="1"/>
  <c r="BB859" i="6" s="1"/>
  <c r="BB860" i="6" a="1"/>
  <c r="BB860" i="6" s="1"/>
  <c r="BB861" i="6" a="1"/>
  <c r="BB861" i="6" s="1"/>
  <c r="BB862" i="6" a="1"/>
  <c r="BB862" i="6" s="1"/>
  <c r="BB863" i="6" a="1"/>
  <c r="BB863" i="6" s="1"/>
  <c r="BB864" i="6" a="1"/>
  <c r="BB864" i="6" s="1"/>
  <c r="BB865" i="6" a="1"/>
  <c r="BB865" i="6" s="1"/>
  <c r="BB866" i="6" a="1"/>
  <c r="BB866" i="6" s="1"/>
  <c r="BB867" i="6" a="1"/>
  <c r="BB867" i="6" s="1"/>
  <c r="BB868" i="6" a="1"/>
  <c r="BB868" i="6" s="1"/>
  <c r="BB869" i="6" a="1"/>
  <c r="BB869" i="6" s="1"/>
  <c r="BB870" i="6" a="1"/>
  <c r="BB870" i="6" s="1"/>
  <c r="BB871" i="6" a="1"/>
  <c r="BB871" i="6" s="1"/>
  <c r="BB872" i="6" a="1"/>
  <c r="BB872" i="6" s="1"/>
  <c r="BB873" i="6" a="1"/>
  <c r="BB873" i="6" s="1"/>
  <c r="BB874" i="6" a="1"/>
  <c r="BB874" i="6" s="1"/>
  <c r="BB875" i="6" a="1"/>
  <c r="BB875" i="6" s="1"/>
  <c r="BB876" i="6" a="1"/>
  <c r="BB876" i="6" s="1"/>
  <c r="BB877" i="6" a="1"/>
  <c r="BB877" i="6" s="1"/>
  <c r="BB878" i="6" a="1"/>
  <c r="BB878" i="6" s="1"/>
  <c r="BB879" i="6" a="1"/>
  <c r="BB879" i="6" s="1"/>
  <c r="BB880" i="6" a="1"/>
  <c r="BB880" i="6" s="1"/>
  <c r="BB881" i="6" a="1"/>
  <c r="BB881" i="6" s="1"/>
  <c r="BB882" i="6" a="1"/>
  <c r="BB882" i="6" s="1"/>
  <c r="BB883" i="6" a="1"/>
  <c r="BB883" i="6" s="1"/>
  <c r="BB884" i="6" a="1"/>
  <c r="BB884" i="6" s="1"/>
  <c r="BB885" i="6" a="1"/>
  <c r="BB885" i="6" s="1"/>
  <c r="BB886" i="6" a="1"/>
  <c r="BB886" i="6" s="1"/>
  <c r="BB887" i="6" a="1"/>
  <c r="BB887" i="6" s="1"/>
  <c r="BB888" i="6" a="1"/>
  <c r="BB888" i="6" s="1"/>
  <c r="BB889" i="6" a="1"/>
  <c r="BB889" i="6" s="1"/>
  <c r="BB890" i="6" a="1"/>
  <c r="BB890" i="6" s="1"/>
  <c r="BB891" i="6" a="1"/>
  <c r="BB891" i="6" s="1"/>
  <c r="BB892" i="6" a="1"/>
  <c r="BB892" i="6" s="1"/>
  <c r="BB893" i="6" a="1"/>
  <c r="BB893" i="6" s="1"/>
  <c r="BB894" i="6" a="1"/>
  <c r="BB894" i="6" s="1"/>
  <c r="BB895" i="6" a="1"/>
  <c r="BB895" i="6" s="1"/>
  <c r="BB896" i="6" a="1"/>
  <c r="BB896" i="6" s="1"/>
  <c r="BB897" i="6" a="1"/>
  <c r="BB897" i="6" s="1"/>
  <c r="BB898" i="6" a="1"/>
  <c r="BB898" i="6" s="1"/>
  <c r="BB899" i="6" a="1"/>
  <c r="BB899" i="6" s="1"/>
  <c r="BB900" i="6" a="1"/>
  <c r="BB900" i="6" s="1"/>
  <c r="BB901" i="6" a="1"/>
  <c r="BB901" i="6" s="1"/>
  <c r="BB902" i="6" a="1"/>
  <c r="BB902" i="6" s="1"/>
  <c r="BB903" i="6" a="1"/>
  <c r="BB903" i="6" s="1"/>
  <c r="BB904" i="6" a="1"/>
  <c r="BB904" i="6" s="1"/>
  <c r="BB905" i="6" a="1"/>
  <c r="BB905" i="6" s="1"/>
  <c r="BB906" i="6" a="1"/>
  <c r="BB906" i="6" s="1"/>
  <c r="BB907" i="6" a="1"/>
  <c r="BB907" i="6" s="1"/>
  <c r="BB908" i="6" a="1"/>
  <c r="BB908" i="6" s="1"/>
  <c r="BB909" i="6" a="1"/>
  <c r="BB909" i="6" s="1"/>
  <c r="BB910" i="6" a="1"/>
  <c r="BB910" i="6" s="1"/>
  <c r="BB911" i="6" a="1"/>
  <c r="BB911" i="6" s="1"/>
  <c r="BB912" i="6" a="1"/>
  <c r="BB912" i="6" s="1"/>
  <c r="BB913" i="6" a="1"/>
  <c r="BB913" i="6" s="1"/>
  <c r="BB914" i="6" a="1"/>
  <c r="BB914" i="6" s="1"/>
  <c r="BB915" i="6" a="1"/>
  <c r="BB915" i="6" s="1"/>
  <c r="BB916" i="6" a="1"/>
  <c r="BB916" i="6" s="1"/>
  <c r="BB917" i="6" a="1"/>
  <c r="BB917" i="6" s="1"/>
  <c r="BB918" i="6" a="1"/>
  <c r="BB918" i="6" s="1"/>
  <c r="BB919" i="6" a="1"/>
  <c r="BB919" i="6" s="1"/>
  <c r="BB920" i="6" a="1"/>
  <c r="BB920" i="6" s="1"/>
  <c r="BB921" i="6" a="1"/>
  <c r="BB921" i="6" s="1"/>
  <c r="BB922" i="6" a="1"/>
  <c r="BB922" i="6" s="1"/>
  <c r="BB923" i="6" a="1"/>
  <c r="BB923" i="6" s="1"/>
  <c r="BB924" i="6" a="1"/>
  <c r="BB924" i="6" s="1"/>
  <c r="BB925" i="6" a="1"/>
  <c r="BB925" i="6" s="1"/>
  <c r="BB926" i="6" a="1"/>
  <c r="BB926" i="6" s="1"/>
  <c r="BB927" i="6" a="1"/>
  <c r="BB927" i="6" s="1"/>
  <c r="BB928" i="6" a="1"/>
  <c r="BB928" i="6" s="1"/>
  <c r="BB929" i="6" a="1"/>
  <c r="BB929" i="6"/>
  <c r="BB930" i="6" a="1"/>
  <c r="BB930" i="6" s="1"/>
  <c r="BB931" i="6" a="1"/>
  <c r="BB931" i="6" s="1"/>
  <c r="BB932" i="6" a="1"/>
  <c r="BB932" i="6" s="1"/>
  <c r="BB933" i="6" a="1"/>
  <c r="BB933" i="6" s="1"/>
  <c r="BB934" i="6" a="1"/>
  <c r="BB934" i="6" s="1"/>
  <c r="BB935" i="6" a="1"/>
  <c r="BB935" i="6" s="1"/>
  <c r="BB936" i="6" a="1"/>
  <c r="BB936" i="6" s="1"/>
  <c r="BB937" i="6" a="1"/>
  <c r="BB937" i="6"/>
  <c r="BB938" i="6" a="1"/>
  <c r="BB938" i="6" s="1"/>
  <c r="BB939" i="6" a="1"/>
  <c r="BB939" i="6" s="1"/>
  <c r="BB940" i="6" a="1"/>
  <c r="BB940" i="6" s="1"/>
  <c r="BB941" i="6" a="1"/>
  <c r="BB941" i="6" s="1"/>
  <c r="BB942" i="6" a="1"/>
  <c r="BB942" i="6" s="1"/>
  <c r="BB943" i="6" a="1"/>
  <c r="BB943" i="6" s="1"/>
  <c r="BB944" i="6" a="1"/>
  <c r="BB944" i="6" s="1"/>
  <c r="BB945" i="6" a="1"/>
  <c r="BB945" i="6"/>
  <c r="BB946" i="6" a="1"/>
  <c r="BB946" i="6" s="1"/>
  <c r="BB947" i="6" a="1"/>
  <c r="BB947" i="6" s="1"/>
  <c r="BB948" i="6" a="1"/>
  <c r="BB948" i="6" s="1"/>
  <c r="BB949" i="6" a="1"/>
  <c r="BB949" i="6" s="1"/>
  <c r="BB950" i="6" a="1"/>
  <c r="BB950" i="6" s="1"/>
  <c r="BB951" i="6" a="1"/>
  <c r="BB951" i="6" s="1"/>
  <c r="BB952" i="6" a="1"/>
  <c r="BB952" i="6" s="1"/>
  <c r="BB953" i="6" a="1"/>
  <c r="BB953" i="6"/>
  <c r="BB954" i="6" a="1"/>
  <c r="BB954" i="6" s="1"/>
  <c r="BB955" i="6" a="1"/>
  <c r="BB955" i="6" s="1"/>
  <c r="BB956" i="6" a="1"/>
  <c r="BB956" i="6" s="1"/>
  <c r="BB957" i="6" a="1"/>
  <c r="BB957" i="6" s="1"/>
  <c r="BB958" i="6" a="1"/>
  <c r="BB958" i="6" s="1"/>
  <c r="BB959" i="6" a="1"/>
  <c r="BB959" i="6" s="1"/>
  <c r="BB960" i="6" a="1"/>
  <c r="BB960" i="6" s="1"/>
  <c r="BB961" i="6" a="1"/>
  <c r="BB961" i="6"/>
  <c r="BB962" i="6" a="1"/>
  <c r="BB962" i="6" s="1"/>
  <c r="BB963" i="6" a="1"/>
  <c r="BB963" i="6" s="1"/>
  <c r="BB964" i="6" a="1"/>
  <c r="BB964" i="6" s="1"/>
  <c r="BB965" i="6" a="1"/>
  <c r="BB965" i="6" s="1"/>
  <c r="BB966" i="6" a="1"/>
  <c r="BB966" i="6" s="1"/>
  <c r="BB967" i="6" a="1"/>
  <c r="BB967" i="6" s="1"/>
  <c r="BB968" i="6" a="1"/>
  <c r="BB968" i="6" s="1"/>
  <c r="BB969" i="6" a="1"/>
  <c r="BB969" i="6"/>
  <c r="BB970" i="6" a="1"/>
  <c r="BB970" i="6" s="1"/>
  <c r="BB971" i="6" a="1"/>
  <c r="BB971" i="6" s="1"/>
  <c r="BB972" i="6" a="1"/>
  <c r="BB972" i="6" s="1"/>
  <c r="BB973" i="6" a="1"/>
  <c r="BB973" i="6" s="1"/>
  <c r="BB974" i="6" a="1"/>
  <c r="BB974" i="6" s="1"/>
  <c r="BB975" i="6" a="1"/>
  <c r="BB975" i="6" s="1"/>
  <c r="BB976" i="6" a="1"/>
  <c r="BB976" i="6" s="1"/>
  <c r="BB977" i="6" a="1"/>
  <c r="BB977" i="6"/>
  <c r="BB978" i="6" a="1"/>
  <c r="BB978" i="6" s="1"/>
  <c r="BB979" i="6" a="1"/>
  <c r="BB979" i="6" s="1"/>
  <c r="BB980" i="6" a="1"/>
  <c r="BB980" i="6" s="1"/>
  <c r="BB981" i="6" a="1"/>
  <c r="BB981" i="6" s="1"/>
  <c r="BB982" i="6" a="1"/>
  <c r="BB982" i="6" s="1"/>
  <c r="BB983" i="6" a="1"/>
  <c r="BB983" i="6" s="1"/>
  <c r="BB984" i="6" a="1"/>
  <c r="BB984" i="6" s="1"/>
  <c r="BB985" i="6" a="1"/>
  <c r="BB985" i="6"/>
  <c r="BB986" i="6" a="1"/>
  <c r="BB986" i="6" s="1"/>
  <c r="BB987" i="6" a="1"/>
  <c r="BB987" i="6" s="1"/>
  <c r="BB988" i="6" a="1"/>
  <c r="BB988" i="6" s="1"/>
  <c r="BB989" i="6" a="1"/>
  <c r="BB989" i="6" s="1"/>
  <c r="BB990" i="6" a="1"/>
  <c r="BB990" i="6" s="1"/>
  <c r="BB991" i="6" a="1"/>
  <c r="BB991" i="6" s="1"/>
  <c r="BB992" i="6" a="1"/>
  <c r="BB992" i="6" s="1"/>
  <c r="BB993" i="6" a="1"/>
  <c r="BB993" i="6"/>
  <c r="BB994" i="6" a="1"/>
  <c r="BB994" i="6" s="1"/>
  <c r="BB995" i="6" a="1"/>
  <c r="BB995" i="6" s="1"/>
  <c r="BB996" i="6" a="1"/>
  <c r="BB996" i="6" s="1"/>
  <c r="BB997" i="6" a="1"/>
  <c r="BB997" i="6" s="1"/>
  <c r="BB998" i="6" a="1"/>
  <c r="BB998" i="6" s="1"/>
  <c r="BB999" i="6" a="1"/>
  <c r="BB999" i="6" s="1"/>
  <c r="BB1000" i="6" a="1"/>
  <c r="BB1000" i="6" s="1"/>
  <c r="BB1001" i="6" a="1"/>
  <c r="BB1001" i="6"/>
  <c r="BB1002" i="6" a="1"/>
  <c r="BB1002" i="6" s="1"/>
  <c r="BB1003" i="6" a="1"/>
  <c r="BB1003" i="6" s="1"/>
  <c r="BB1004" i="6" a="1"/>
  <c r="BB1004" i="6" s="1"/>
  <c r="BB1005" i="6" a="1"/>
  <c r="BB1005" i="6" s="1"/>
  <c r="BB1006" i="6" a="1"/>
  <c r="BB1006" i="6" s="1"/>
  <c r="BB1007" i="6" a="1"/>
  <c r="BB1007" i="6" s="1"/>
  <c r="BB1008" i="6" a="1"/>
  <c r="BB1008" i="6" s="1"/>
  <c r="BB1009" i="6" a="1"/>
  <c r="BB1009" i="6"/>
  <c r="BB1010" i="6" a="1"/>
  <c r="BB1010" i="6" s="1"/>
  <c r="BB1011" i="6" a="1"/>
  <c r="BB1011" i="6" s="1"/>
  <c r="BB1012" i="6" a="1"/>
  <c r="BB1012" i="6" s="1"/>
  <c r="BB1013" i="6" a="1"/>
  <c r="BB1013" i="6" s="1"/>
  <c r="BB1014" i="6" a="1"/>
  <c r="BB1014" i="6" s="1"/>
  <c r="BB1015" i="6" a="1"/>
  <c r="BB1015" i="6" s="1"/>
  <c r="BB1016" i="6" a="1"/>
  <c r="BB1016" i="6" s="1"/>
  <c r="BB1017" i="6" a="1"/>
  <c r="BB1017" i="6"/>
  <c r="BB1018" i="6" a="1"/>
  <c r="BB1018" i="6" s="1"/>
  <c r="BB1019" i="6" a="1"/>
  <c r="BB1019" i="6"/>
  <c r="BB1020" i="6" a="1"/>
  <c r="BB1020" i="6" s="1"/>
  <c r="BB1021" i="6" a="1"/>
  <c r="BB1021" i="6"/>
  <c r="BB1022" i="6" a="1"/>
  <c r="BB1022" i="6" s="1"/>
  <c r="BB1023" i="6" a="1"/>
  <c r="BB1023" i="6"/>
  <c r="BB1024" i="6" a="1"/>
  <c r="BB1024" i="6" s="1"/>
  <c r="BB1025" i="6" a="1"/>
  <c r="BB1025" i="6"/>
  <c r="BB1026" i="6" a="1"/>
  <c r="BB1026" i="6" s="1"/>
  <c r="BB1027" i="6" a="1"/>
  <c r="BB1027" i="6"/>
  <c r="BB1028" i="6" a="1"/>
  <c r="BB1028" i="6" s="1"/>
  <c r="BB1029" i="6" a="1"/>
  <c r="BB1029" i="6"/>
  <c r="BB1030" i="6" a="1"/>
  <c r="BB1030" i="6" s="1"/>
  <c r="BB1031" i="6" a="1"/>
  <c r="BB1031" i="6"/>
  <c r="BB1032" i="6" a="1"/>
  <c r="BB1032" i="6" s="1"/>
  <c r="BB1033" i="6" a="1"/>
  <c r="BB1033" i="6"/>
  <c r="BB1034" i="6" a="1"/>
  <c r="BB1034" i="6" s="1"/>
  <c r="BB1035" i="6" a="1"/>
  <c r="BB1035" i="6"/>
  <c r="BB1036" i="6" a="1"/>
  <c r="BB1036" i="6" s="1"/>
  <c r="BB1037" i="6" a="1"/>
  <c r="BB1037" i="6"/>
  <c r="BB1038" i="6" a="1"/>
  <c r="BB1038" i="6" s="1"/>
  <c r="BB1039" i="6" a="1"/>
  <c r="BB1039" i="6"/>
  <c r="BB1040" i="6" a="1"/>
  <c r="BB1040" i="6" s="1"/>
  <c r="BB1041" i="6" a="1"/>
  <c r="BB1041" i="6"/>
  <c r="BB1042" i="6" a="1"/>
  <c r="BB1042" i="6" s="1"/>
  <c r="BB1043" i="6" a="1"/>
  <c r="BB1043" i="6"/>
  <c r="BB1044" i="6" a="1"/>
  <c r="BB1044" i="6" s="1"/>
  <c r="BB1045" i="6" a="1"/>
  <c r="BB1045" i="6"/>
  <c r="BB1046" i="6" a="1"/>
  <c r="BB1046" i="6" s="1"/>
  <c r="BB1047" i="6" a="1"/>
  <c r="BB1047" i="6"/>
  <c r="BB1048" i="6" a="1"/>
  <c r="BB1048" i="6" s="1"/>
  <c r="BB1049" i="6" a="1"/>
  <c r="BB1049" i="6"/>
  <c r="BB1050" i="6" a="1"/>
  <c r="BB1050" i="6" s="1"/>
  <c r="BB1051" i="6" a="1"/>
  <c r="BB1051" i="6"/>
  <c r="BB1052" i="6" a="1"/>
  <c r="BB1052" i="6" s="1"/>
  <c r="BB1053" i="6" a="1"/>
  <c r="BB1053" i="6"/>
  <c r="BB1054" i="6" a="1"/>
  <c r="BB1054" i="6" s="1"/>
  <c r="BB1055" i="6" a="1"/>
  <c r="BB1055" i="6" s="1"/>
  <c r="BB1056" i="6" a="1"/>
  <c r="BB1056" i="6" s="1"/>
  <c r="BB1057" i="6" a="1"/>
  <c r="BB1057" i="6" s="1"/>
  <c r="BB1058" i="6" a="1"/>
  <c r="BB1058" i="6" s="1"/>
  <c r="BB1059" i="6" a="1"/>
  <c r="BB1059" i="6"/>
  <c r="BB1060" i="6" a="1"/>
  <c r="BB1060" i="6" s="1"/>
  <c r="BB1061" i="6" a="1"/>
  <c r="BB1061" i="6"/>
  <c r="BB1062" i="6" a="1"/>
  <c r="BB1062" i="6" s="1"/>
  <c r="BB1063" i="6" a="1"/>
  <c r="BB1063" i="6" s="1"/>
  <c r="BB1064" i="6" a="1"/>
  <c r="BB1064" i="6" s="1"/>
  <c r="BB1065" i="6" a="1"/>
  <c r="BB1065" i="6" s="1"/>
  <c r="BB1066" i="6" a="1"/>
  <c r="BB1066" i="6" s="1"/>
  <c r="BB1067" i="6" a="1"/>
  <c r="BB1067" i="6"/>
  <c r="BB1068" i="6" a="1"/>
  <c r="BB1068" i="6" s="1"/>
  <c r="BB1069" i="6" a="1"/>
  <c r="BB1069" i="6"/>
  <c r="BB1070" i="6" a="1"/>
  <c r="BB1070" i="6" s="1"/>
  <c r="BB1071" i="6" a="1"/>
  <c r="BB1071" i="6" s="1"/>
  <c r="BB1072" i="6" a="1"/>
  <c r="BB1072" i="6" s="1"/>
  <c r="BB1073" i="6" a="1"/>
  <c r="BB1073" i="6" s="1"/>
  <c r="BB1074" i="6" a="1"/>
  <c r="BB1074" i="6" s="1"/>
  <c r="BB1075" i="6" a="1"/>
  <c r="BB1075" i="6"/>
  <c r="BB1076" i="6" a="1"/>
  <c r="BB1076" i="6" s="1"/>
  <c r="BB1077" i="6" a="1"/>
  <c r="BB1077" i="6"/>
  <c r="BB1078" i="6" a="1"/>
  <c r="BB1078" i="6" s="1"/>
  <c r="BB1079" i="6" a="1"/>
  <c r="BB1079" i="6" s="1"/>
  <c r="BB1080" i="6" a="1"/>
  <c r="BB1080" i="6" s="1"/>
  <c r="BB1081" i="6" a="1"/>
  <c r="BB1081" i="6" s="1"/>
  <c r="BB1082" i="6" a="1"/>
  <c r="BB1082" i="6" s="1"/>
  <c r="BB1083" i="6" a="1"/>
  <c r="BB1083" i="6"/>
  <c r="BB1084" i="6" a="1"/>
  <c r="BB1084" i="6" s="1"/>
  <c r="BB1085" i="6" a="1"/>
  <c r="BB1085" i="6"/>
  <c r="BB1086" i="6" a="1"/>
  <c r="BB1086" i="6" s="1"/>
  <c r="BB1087" i="6" a="1"/>
  <c r="BB1087" i="6" s="1"/>
  <c r="BB1088" i="6" a="1"/>
  <c r="BB1088" i="6" s="1"/>
  <c r="BB1089" i="6" a="1"/>
  <c r="BB1089" i="6" s="1"/>
  <c r="BB1090" i="6" a="1"/>
  <c r="BB1090" i="6" s="1"/>
  <c r="BB1091" i="6" a="1"/>
  <c r="BB1091" i="6"/>
  <c r="BB1092" i="6" a="1"/>
  <c r="BB1092" i="6" s="1"/>
  <c r="BB1093" i="6" a="1"/>
  <c r="BB1093" i="6"/>
  <c r="BB1094" i="6" a="1"/>
  <c r="BB1094" i="6" s="1"/>
  <c r="BB1095" i="6" a="1"/>
  <c r="BB1095" i="6" s="1"/>
  <c r="BB1096" i="6" a="1"/>
  <c r="BB1096" i="6" s="1"/>
  <c r="BB1097" i="6" a="1"/>
  <c r="BB1097" i="6" s="1"/>
  <c r="BB1098" i="6" a="1"/>
  <c r="BB1098" i="6" s="1"/>
  <c r="BB1099" i="6" a="1"/>
  <c r="BB1099" i="6"/>
  <c r="BB1100" i="6" a="1"/>
  <c r="BB1100" i="6" s="1"/>
  <c r="BB1101" i="6" a="1"/>
  <c r="BB1101" i="6"/>
  <c r="BB1102" i="6" a="1"/>
  <c r="BB1102" i="6" s="1"/>
  <c r="BB1103" i="6" a="1"/>
  <c r="BB1103" i="6" s="1"/>
  <c r="BB1104" i="6" a="1"/>
  <c r="BB1104" i="6" s="1"/>
  <c r="BB1105" i="6" a="1"/>
  <c r="BB1105" i="6" s="1"/>
  <c r="BB1106" i="6" a="1"/>
  <c r="BB1106" i="6" s="1"/>
  <c r="BB1107" i="6" a="1"/>
  <c r="BB1107" i="6"/>
  <c r="BB1108" i="6" a="1"/>
  <c r="BB1108" i="6" s="1"/>
  <c r="BB1109" i="6" a="1"/>
  <c r="BB1109" i="6"/>
  <c r="BB1110" i="6" a="1"/>
  <c r="BB1110" i="6" s="1"/>
  <c r="BB1111" i="6" a="1"/>
  <c r="BB1111" i="6" s="1"/>
  <c r="BB1112" i="6" a="1"/>
  <c r="BB1112" i="6" s="1"/>
  <c r="BB1113" i="6" a="1"/>
  <c r="BB1113" i="6" s="1"/>
  <c r="BB1114" i="6" a="1"/>
  <c r="BB1114" i="6" s="1"/>
  <c r="BB1115" i="6" a="1"/>
  <c r="BB1115" i="6"/>
  <c r="BB1116" i="6" a="1"/>
  <c r="BB1116" i="6" s="1"/>
  <c r="BB1117" i="6" a="1"/>
  <c r="BB1117" i="6" s="1"/>
  <c r="BB1118" i="6" a="1"/>
  <c r="BB1118" i="6" s="1"/>
  <c r="BB1119" i="6" a="1"/>
  <c r="BB1119" i="6" s="1"/>
  <c r="BB1120" i="6" a="1"/>
  <c r="BB1120" i="6" s="1"/>
  <c r="BB1121" i="6" a="1"/>
  <c r="BB1121" i="6" s="1"/>
  <c r="BB1122" i="6" a="1"/>
  <c r="BB1122" i="6" s="1"/>
  <c r="BB1123" i="6" a="1"/>
  <c r="BB1123" i="6"/>
  <c r="BB1124" i="6" a="1"/>
  <c r="BB1124" i="6" s="1"/>
  <c r="BB1125" i="6" a="1"/>
  <c r="BB1125" i="6"/>
  <c r="BB1126" i="6" a="1"/>
  <c r="BB1126" i="6" s="1"/>
  <c r="BB1127" i="6" a="1"/>
  <c r="BB1127" i="6" s="1"/>
  <c r="BB1128" i="6" a="1"/>
  <c r="BB1128" i="6" s="1"/>
  <c r="BB1129" i="6" a="1"/>
  <c r="BB1129" i="6" s="1"/>
  <c r="BB1130" i="6" a="1"/>
  <c r="BB1130" i="6" s="1"/>
  <c r="BB1131" i="6" a="1"/>
  <c r="BB1131" i="6"/>
  <c r="BB1132" i="6" a="1"/>
  <c r="BB1132" i="6" s="1"/>
  <c r="BB1133" i="6" a="1"/>
  <c r="BB1133" i="6"/>
  <c r="BB1134" i="6" a="1"/>
  <c r="BB1134" i="6" s="1"/>
  <c r="BB1135" i="6" a="1"/>
  <c r="BB1135" i="6" s="1"/>
  <c r="BB1136" i="6" a="1"/>
  <c r="BB1136" i="6" s="1"/>
  <c r="BB1137" i="6" a="1"/>
  <c r="BB1137" i="6" s="1"/>
  <c r="BB1138" i="6" a="1"/>
  <c r="BB1138" i="6" s="1"/>
  <c r="BB1139" i="6" a="1"/>
  <c r="BB1139" i="6"/>
  <c r="BB1140" i="6" a="1"/>
  <c r="BB1140" i="6" s="1"/>
  <c r="BB1141" i="6" a="1"/>
  <c r="BB1141" i="6" s="1"/>
  <c r="BB1142" i="6" a="1"/>
  <c r="BB1142" i="6" s="1"/>
  <c r="BB1143" i="6" a="1"/>
  <c r="BB1143" i="6" s="1"/>
  <c r="BB1144" i="6" a="1"/>
  <c r="BB1144" i="6" s="1"/>
  <c r="BB1145" i="6" a="1"/>
  <c r="BB1145" i="6" s="1"/>
  <c r="BB1146" i="6" a="1"/>
  <c r="BB1146" i="6" s="1"/>
  <c r="BB1147" i="6" a="1"/>
  <c r="BB1147" i="6"/>
  <c r="BB1148" i="6" a="1"/>
  <c r="BB1148" i="6" s="1"/>
  <c r="BB1149" i="6" a="1"/>
  <c r="BB1149" i="6" s="1"/>
  <c r="BB1150" i="6" a="1"/>
  <c r="BB1150" i="6" s="1"/>
  <c r="BB1151" i="6" a="1"/>
  <c r="BB1151" i="6" s="1"/>
  <c r="BB1152" i="6" a="1"/>
  <c r="BB1152" i="6" s="1"/>
  <c r="BB1153" i="6" a="1"/>
  <c r="BB1153" i="6" s="1"/>
  <c r="BB1154" i="6" a="1"/>
  <c r="BB1154" i="6" s="1"/>
  <c r="BB1155" i="6" a="1"/>
  <c r="BB1155" i="6"/>
  <c r="BB1156" i="6" a="1"/>
  <c r="BB1156" i="6" s="1"/>
  <c r="BB1157" i="6" a="1"/>
  <c r="BB1157" i="6" s="1"/>
  <c r="BB1158" i="6" a="1"/>
  <c r="BB1158" i="6" s="1"/>
  <c r="BB1159" i="6" a="1"/>
  <c r="BB1159" i="6" s="1"/>
  <c r="BB1160" i="6" a="1"/>
  <c r="BB1160" i="6" s="1"/>
  <c r="BB1161" i="6" a="1"/>
  <c r="BB1161" i="6" s="1"/>
  <c r="BB1162" i="6" a="1"/>
  <c r="BB1162" i="6" s="1"/>
  <c r="BB1163" i="6" a="1"/>
  <c r="BB1163" i="6"/>
  <c r="BB1164" i="6" a="1"/>
  <c r="BB1164" i="6" s="1"/>
  <c r="BB1165" i="6" a="1"/>
  <c r="BB1165" i="6" s="1"/>
  <c r="BB1166" i="6" a="1"/>
  <c r="BB1166" i="6" s="1"/>
  <c r="BB1167" i="6" a="1"/>
  <c r="BB1167" i="6" s="1"/>
  <c r="BB1168" i="6" a="1"/>
  <c r="BB1168" i="6" s="1"/>
  <c r="BB1169" i="6" a="1"/>
  <c r="BB1169" i="6" s="1"/>
  <c r="BB1170" i="6" a="1"/>
  <c r="BB1170" i="6" s="1"/>
  <c r="BB1171" i="6" a="1"/>
  <c r="BB1171" i="6"/>
  <c r="BB1172" i="6" a="1"/>
  <c r="BB1172" i="6" s="1"/>
  <c r="BB1173" i="6" a="1"/>
  <c r="BB1173" i="6" s="1"/>
  <c r="BB1174" i="6" a="1"/>
  <c r="BB1174" i="6" s="1"/>
  <c r="BB1175" i="6" a="1"/>
  <c r="BB1175" i="6" s="1"/>
  <c r="BB1176" i="6" a="1"/>
  <c r="BB1176" i="6" s="1"/>
  <c r="BB1177" i="6" a="1"/>
  <c r="BB1177" i="6" s="1"/>
  <c r="BB1178" i="6" a="1"/>
  <c r="BB1178" i="6" s="1"/>
  <c r="BB1179" i="6" a="1"/>
  <c r="BB1179" i="6"/>
  <c r="BB1180" i="6" a="1"/>
  <c r="BB1180" i="6" s="1"/>
  <c r="BB1181" i="6" a="1"/>
  <c r="BB1181" i="6" s="1"/>
  <c r="BB1182" i="6" a="1"/>
  <c r="BB1182" i="6" s="1"/>
  <c r="BB1183" i="6" a="1"/>
  <c r="BB1183" i="6" s="1"/>
  <c r="BB1184" i="6" a="1"/>
  <c r="BB1184" i="6" s="1"/>
  <c r="BB1185" i="6" a="1"/>
  <c r="BB1185" i="6" s="1"/>
  <c r="BB1186" i="6" a="1"/>
  <c r="BB1186" i="6" s="1"/>
  <c r="BB1187" i="6" a="1"/>
  <c r="BB1187" i="6"/>
  <c r="BB1188" i="6" a="1"/>
  <c r="BB1188" i="6" s="1"/>
  <c r="BB1189" i="6" a="1"/>
  <c r="BB1189" i="6" s="1"/>
  <c r="BB1190" i="6" a="1"/>
  <c r="BB1190" i="6" s="1"/>
  <c r="BB1191" i="6" a="1"/>
  <c r="BB1191" i="6" s="1"/>
  <c r="BB1192" i="6" a="1"/>
  <c r="BB1192" i="6" s="1"/>
  <c r="BB1193" i="6" a="1"/>
  <c r="BB1193" i="6" s="1"/>
  <c r="BB1194" i="6" a="1"/>
  <c r="BB1194" i="6" s="1"/>
  <c r="BB1195" i="6" a="1"/>
  <c r="BB1195" i="6"/>
  <c r="BB1196" i="6" a="1"/>
  <c r="BB1196" i="6" s="1"/>
  <c r="BB1197" i="6" a="1"/>
  <c r="BB1197" i="6" s="1"/>
  <c r="BB1198" i="6" a="1"/>
  <c r="BB1198" i="6" s="1"/>
  <c r="BB1199" i="6" a="1"/>
  <c r="BB1199" i="6" s="1"/>
  <c r="BB1200" i="6" a="1"/>
  <c r="BB1200" i="6" s="1"/>
  <c r="BB1201" i="6" a="1"/>
  <c r="BB1201" i="6" s="1"/>
  <c r="BB1202" i="6" a="1"/>
  <c r="BB1202" i="6" s="1"/>
  <c r="BB1203" i="6" a="1"/>
  <c r="BB1203" i="6"/>
  <c r="BB1204" i="6" a="1"/>
  <c r="BB1204" i="6" s="1"/>
  <c r="BB1205" i="6" a="1"/>
  <c r="BB1205" i="6" s="1"/>
  <c r="BB1206" i="6" a="1"/>
  <c r="BB1206" i="6" s="1"/>
  <c r="BB1207" i="6" a="1"/>
  <c r="BB1207" i="6" s="1"/>
  <c r="BB1208" i="6" a="1"/>
  <c r="BB1208" i="6" s="1"/>
  <c r="BB1209" i="6" a="1"/>
  <c r="BB1209" i="6" s="1"/>
  <c r="BB1210" i="6" a="1"/>
  <c r="BB1210" i="6" s="1"/>
  <c r="BB1211" i="6" a="1"/>
  <c r="BB1211" i="6"/>
  <c r="BB1212" i="6" a="1"/>
  <c r="BB1212" i="6" s="1"/>
  <c r="BB1213" i="6" a="1"/>
  <c r="BB1213" i="6" s="1"/>
  <c r="BB1214" i="6" a="1"/>
  <c r="BB1214" i="6" s="1"/>
  <c r="BB1215" i="6" a="1"/>
  <c r="BB1215" i="6" s="1"/>
  <c r="BB1216" i="6" a="1"/>
  <c r="BB1216" i="6" s="1"/>
  <c r="BB1217" i="6" a="1"/>
  <c r="BB1217" i="6" s="1"/>
  <c r="BB1218" i="6" a="1"/>
  <c r="BB1218" i="6" s="1"/>
  <c r="BB1219" i="6" a="1"/>
  <c r="BB1219" i="6"/>
  <c r="BB1220" i="6" a="1"/>
  <c r="BB1220" i="6" s="1"/>
  <c r="BB1221" i="6" a="1"/>
  <c r="BB1221" i="6" s="1"/>
  <c r="BB1222" i="6" a="1"/>
  <c r="BB1222" i="6" s="1"/>
  <c r="BB1223" i="6" a="1"/>
  <c r="BB1223" i="6" s="1"/>
  <c r="BB1224" i="6" a="1"/>
  <c r="BB1224" i="6" s="1"/>
  <c r="BB1225" i="6" a="1"/>
  <c r="BB1225" i="6" s="1"/>
  <c r="BB1226" i="6" a="1"/>
  <c r="BB1226" i="6" s="1"/>
  <c r="BB1227" i="6" a="1"/>
  <c r="BB1227" i="6"/>
  <c r="BB1228" i="6" a="1"/>
  <c r="BB1228" i="6" s="1"/>
  <c r="BB1229" i="6" a="1"/>
  <c r="BB1229" i="6" s="1"/>
  <c r="BB1230" i="6" a="1"/>
  <c r="BB1230" i="6" s="1"/>
  <c r="BB1231" i="6" a="1"/>
  <c r="BB1231" i="6" s="1"/>
  <c r="BB1232" i="6" a="1"/>
  <c r="BB1232" i="6" s="1"/>
  <c r="BB1233" i="6" a="1"/>
  <c r="BB1233" i="6" s="1"/>
  <c r="BB1234" i="6" a="1"/>
  <c r="BB1234" i="6" s="1"/>
  <c r="BB1235" i="6" a="1"/>
  <c r="BB1235" i="6"/>
  <c r="BB1236" i="6" a="1"/>
  <c r="BB1236" i="6" s="1"/>
  <c r="BB1237" i="6" a="1"/>
  <c r="BB1237" i="6" s="1"/>
  <c r="BB1238" i="6" a="1"/>
  <c r="BB1238" i="6" s="1"/>
  <c r="BB1239" i="6" a="1"/>
  <c r="BB1239" i="6" s="1"/>
  <c r="BB1240" i="6" a="1"/>
  <c r="BB1240" i="6" s="1"/>
  <c r="BB1241" i="6" a="1"/>
  <c r="BB1241" i="6" s="1"/>
  <c r="BB1242" i="6" a="1"/>
  <c r="BB1242" i="6" s="1"/>
  <c r="BB1243" i="6" a="1"/>
  <c r="BB1243" i="6"/>
  <c r="BB1244" i="6" a="1"/>
  <c r="BB1244" i="6" s="1"/>
  <c r="BB1245" i="6" a="1"/>
  <c r="BB1245" i="6" s="1"/>
  <c r="BB1246" i="6" a="1"/>
  <c r="BB1246" i="6" s="1"/>
  <c r="BB1247" i="6" a="1"/>
  <c r="BB1247" i="6" s="1"/>
  <c r="BB1248" i="6" a="1"/>
  <c r="BB1248" i="6" s="1"/>
  <c r="BB1249" i="6" a="1"/>
  <c r="BB1249" i="6" s="1"/>
  <c r="BB1250" i="6" a="1"/>
  <c r="BB1250" i="6" s="1"/>
  <c r="BB1251" i="6" a="1"/>
  <c r="BB1251" i="6"/>
  <c r="BB1252" i="6" a="1"/>
  <c r="BB1252" i="6" s="1"/>
  <c r="BB1253" i="6" a="1"/>
  <c r="BB1253" i="6" s="1"/>
  <c r="BB1254" i="6" a="1"/>
  <c r="BB1254" i="6" s="1"/>
  <c r="BB1255" i="6" a="1"/>
  <c r="BB1255" i="6" s="1"/>
  <c r="BB1256" i="6" a="1"/>
  <c r="BB1256" i="6" s="1"/>
  <c r="BB1257" i="6" a="1"/>
  <c r="BB1257" i="6" s="1"/>
  <c r="BB1258" i="6" a="1"/>
  <c r="BB1258" i="6" s="1"/>
  <c r="BB1259" i="6" a="1"/>
  <c r="BB1259" i="6"/>
  <c r="BB1260" i="6" a="1"/>
  <c r="BB1260" i="6" s="1"/>
  <c r="BB1261" i="6" a="1"/>
  <c r="BB1261" i="6" s="1"/>
  <c r="BB1262" i="6" a="1"/>
  <c r="BB1262" i="6" s="1"/>
  <c r="BB1263" i="6" a="1"/>
  <c r="BB1263" i="6" s="1"/>
  <c r="BB1264" i="6" a="1"/>
  <c r="BB1264" i="6" s="1"/>
  <c r="BB1265" i="6" a="1"/>
  <c r="BB1265" i="6" s="1"/>
  <c r="BB1266" i="6" a="1"/>
  <c r="BB1266" i="6" s="1"/>
  <c r="BB1267" i="6" a="1"/>
  <c r="BB1267" i="6"/>
  <c r="BB1268" i="6" a="1"/>
  <c r="BB1268" i="6" s="1"/>
  <c r="BB1269" i="6" a="1"/>
  <c r="BB1269" i="6" s="1"/>
  <c r="BB1270" i="6" a="1"/>
  <c r="BB1270" i="6" s="1"/>
  <c r="BB1271" i="6" a="1"/>
  <c r="BB1271" i="6" s="1"/>
  <c r="BB1272" i="6" a="1"/>
  <c r="BB1272" i="6" s="1"/>
  <c r="BB1273" i="6" a="1"/>
  <c r="BB1273" i="6" s="1"/>
  <c r="BB1274" i="6" a="1"/>
  <c r="BB1274" i="6" s="1"/>
  <c r="BB1275" i="6" a="1"/>
  <c r="BB1275" i="6"/>
  <c r="BB1276" i="6" a="1"/>
  <c r="BB1276" i="6" s="1"/>
  <c r="BB1277" i="6" a="1"/>
  <c r="BB1277" i="6" s="1"/>
  <c r="BB1278" i="6" a="1"/>
  <c r="BB1278" i="6" s="1"/>
  <c r="BB1279" i="6" a="1"/>
  <c r="BB1279" i="6" s="1"/>
  <c r="BB1280" i="6" a="1"/>
  <c r="BB1280" i="6" s="1"/>
  <c r="BB1281" i="6" a="1"/>
  <c r="BB1281" i="6" s="1"/>
  <c r="BB1282" i="6" a="1"/>
  <c r="BB1282" i="6" s="1"/>
  <c r="BB1283" i="6" a="1"/>
  <c r="BB1283" i="6"/>
  <c r="BB1284" i="6" a="1"/>
  <c r="BB1284" i="6" s="1"/>
  <c r="BB1285" i="6" a="1"/>
  <c r="BB1285" i="6" s="1"/>
  <c r="BB1286" i="6" a="1"/>
  <c r="BB1286" i="6" s="1"/>
  <c r="BB1287" i="6" a="1"/>
  <c r="BB1287" i="6" s="1"/>
  <c r="BB1288" i="6" a="1"/>
  <c r="BB1288" i="6" s="1"/>
  <c r="BB1289" i="6" a="1"/>
  <c r="BB1289" i="6" s="1"/>
  <c r="BB1290" i="6" a="1"/>
  <c r="BB1290" i="6" s="1"/>
  <c r="BB1291" i="6" a="1"/>
  <c r="BB1291" i="6"/>
  <c r="BB1292" i="6" a="1"/>
  <c r="BB1292" i="6" s="1"/>
  <c r="BB1293" i="6" a="1"/>
  <c r="BB1293" i="6" s="1"/>
  <c r="BB1294" i="6" a="1"/>
  <c r="BB1294" i="6" s="1"/>
  <c r="BB1295" i="6" a="1"/>
  <c r="BB1295" i="6" s="1"/>
  <c r="BB1296" i="6" a="1"/>
  <c r="BB1296" i="6" s="1"/>
  <c r="BB1297" i="6" a="1"/>
  <c r="BB1297" i="6" s="1"/>
  <c r="BB1298" i="6" a="1"/>
  <c r="BB1298" i="6" s="1"/>
  <c r="BB1299" i="6" a="1"/>
  <c r="BB1299" i="6"/>
  <c r="BB1300" i="6" a="1"/>
  <c r="BB1300" i="6" s="1"/>
  <c r="BB1301" i="6" a="1"/>
  <c r="BB1301" i="6" s="1"/>
  <c r="BB1302" i="6" a="1"/>
  <c r="BB1302" i="6" s="1"/>
  <c r="BB1303" i="6" a="1"/>
  <c r="BB1303" i="6" s="1"/>
  <c r="BB1304" i="6" a="1"/>
  <c r="BB1304" i="6" s="1"/>
  <c r="BB1305" i="6" a="1"/>
  <c r="BB1305" i="6" s="1"/>
  <c r="BB1306" i="6" a="1"/>
  <c r="BB1306" i="6" s="1"/>
  <c r="BB1307" i="6" a="1"/>
  <c r="BB1307" i="6"/>
  <c r="BB1308" i="6" a="1"/>
  <c r="BB1308" i="6" s="1"/>
  <c r="BB1309" i="6" a="1"/>
  <c r="BB1309" i="6" s="1"/>
  <c r="BB1310" i="6" a="1"/>
  <c r="BB1310" i="6" s="1"/>
  <c r="BB1311" i="6" a="1"/>
  <c r="BB1311" i="6" s="1"/>
  <c r="BB1312" i="6" a="1"/>
  <c r="BB1312" i="6" s="1"/>
  <c r="BB1313" i="6" a="1"/>
  <c r="BB1313" i="6" s="1"/>
  <c r="BB1314" i="6" a="1"/>
  <c r="BB1314" i="6" s="1"/>
  <c r="BB1315" i="6" a="1"/>
  <c r="BB1315" i="6"/>
  <c r="BB1316" i="6" a="1"/>
  <c r="BB1316" i="6" s="1"/>
  <c r="BB1317" i="6" a="1"/>
  <c r="BB1317" i="6" s="1"/>
  <c r="BB1318" i="6" a="1"/>
  <c r="BB1318" i="6" s="1"/>
  <c r="BB1319" i="6" a="1"/>
  <c r="BB1319" i="6" s="1"/>
  <c r="BB1320" i="6" a="1"/>
  <c r="BB1320" i="6" s="1"/>
  <c r="BB1321" i="6" a="1"/>
  <c r="BB1321" i="6" s="1"/>
  <c r="BB1322" i="6" a="1"/>
  <c r="BB1322" i="6" s="1"/>
  <c r="BB1323" i="6" a="1"/>
  <c r="BB1323" i="6"/>
  <c r="BB1324" i="6" a="1"/>
  <c r="BB1324" i="6" s="1"/>
  <c r="BB1325" i="6" a="1"/>
  <c r="BB1325" i="6" s="1"/>
  <c r="BB1326" i="6" a="1"/>
  <c r="BB1326" i="6" s="1"/>
  <c r="BB1327" i="6" a="1"/>
  <c r="BB1327" i="6" s="1"/>
  <c r="BB1328" i="6" a="1"/>
  <c r="BB1328" i="6" s="1"/>
  <c r="BB1329" i="6" a="1"/>
  <c r="BB1329" i="6" s="1"/>
  <c r="BB1330" i="6" a="1"/>
  <c r="BB1330" i="6" s="1"/>
  <c r="BB1331" i="6" a="1"/>
  <c r="BB1331" i="6"/>
  <c r="BB1332" i="6" a="1"/>
  <c r="BB1332" i="6" s="1"/>
  <c r="BB1333" i="6" a="1"/>
  <c r="BB1333" i="6" s="1"/>
  <c r="BB1334" i="6" a="1"/>
  <c r="BB1334" i="6" s="1"/>
  <c r="BB1335" i="6" a="1"/>
  <c r="BB1335" i="6" s="1"/>
  <c r="BB1336" i="6" a="1"/>
  <c r="BB1336" i="6" s="1"/>
  <c r="BB1337" i="6" a="1"/>
  <c r="BB1337" i="6" s="1"/>
  <c r="BB1338" i="6" a="1"/>
  <c r="BB1338" i="6" s="1"/>
  <c r="BB1339" i="6" a="1"/>
  <c r="BB1339" i="6"/>
  <c r="BB1340" i="6" a="1"/>
  <c r="BB1340" i="6" s="1"/>
  <c r="BB1341" i="6" a="1"/>
  <c r="BB1341" i="6" s="1"/>
  <c r="BB1342" i="6" a="1"/>
  <c r="BB1342" i="6" s="1"/>
  <c r="BB1343" i="6" a="1"/>
  <c r="BB1343" i="6" s="1"/>
  <c r="BB1344" i="6" a="1"/>
  <c r="BB1344" i="6" s="1"/>
  <c r="BB1345" i="6" a="1"/>
  <c r="BB1345" i="6" s="1"/>
  <c r="BB1346" i="6" a="1"/>
  <c r="BB1346" i="6" s="1"/>
  <c r="BB1347" i="6" a="1"/>
  <c r="BB1347" i="6"/>
  <c r="BB1348" i="6" a="1"/>
  <c r="BB1348" i="6" s="1"/>
  <c r="BB1349" i="6" a="1"/>
  <c r="BB1349" i="6" s="1"/>
  <c r="BB1350" i="6" a="1"/>
  <c r="BB1350" i="6" s="1"/>
  <c r="BB1351" i="6" a="1"/>
  <c r="BB1351" i="6" s="1"/>
  <c r="BB1352" i="6" a="1"/>
  <c r="BB1352" i="6" s="1"/>
  <c r="BB1353" i="6" a="1"/>
  <c r="BB1353" i="6" s="1"/>
  <c r="BB1354" i="6" a="1"/>
  <c r="BB1354" i="6" s="1"/>
  <c r="BB1355" i="6" a="1"/>
  <c r="BB1355" i="6"/>
  <c r="BB1356" i="6" a="1"/>
  <c r="BB1356" i="6" s="1"/>
  <c r="BB1357" i="6" a="1"/>
  <c r="BB1357" i="6" s="1"/>
  <c r="BB1358" i="6" a="1"/>
  <c r="BB1358" i="6" s="1"/>
  <c r="BB1359" i="6" a="1"/>
  <c r="BB1359" i="6" s="1"/>
  <c r="BB1360" i="6" a="1"/>
  <c r="BB1360" i="6" s="1"/>
  <c r="BB1361" i="6" a="1"/>
  <c r="BB1361" i="6" s="1"/>
  <c r="BB1362" i="6" a="1"/>
  <c r="BB1362" i="6" s="1"/>
  <c r="BB1363" i="6" a="1"/>
  <c r="BB1363" i="6"/>
  <c r="BB1364" i="6" a="1"/>
  <c r="BB1364" i="6" s="1"/>
  <c r="BB1365" i="6" a="1"/>
  <c r="BB1365" i="6" s="1"/>
  <c r="BB1366" i="6" a="1"/>
  <c r="BB1366" i="6" s="1"/>
  <c r="BB1367" i="6" a="1"/>
  <c r="BB1367" i="6" s="1"/>
  <c r="BB1368" i="6" a="1"/>
  <c r="BB1368" i="6" s="1"/>
  <c r="BB1369" i="6" a="1"/>
  <c r="BB1369" i="6" s="1"/>
  <c r="BB1370" i="6" a="1"/>
  <c r="BB1370" i="6" s="1"/>
  <c r="BB1371" i="6" a="1"/>
  <c r="BB1371" i="6"/>
  <c r="BB1372" i="6" a="1"/>
  <c r="BB1372" i="6" s="1"/>
  <c r="BB1373" i="6" a="1"/>
  <c r="BB1373" i="6"/>
  <c r="BB1374" i="6" a="1"/>
  <c r="BB1374" i="6" s="1"/>
  <c r="BB1375" i="6" a="1"/>
  <c r="BB1375" i="6" s="1"/>
  <c r="BB1376" i="6" a="1"/>
  <c r="BB1376" i="6" s="1"/>
  <c r="BB1377" i="6" a="1"/>
  <c r="BB1377" i="6" s="1"/>
  <c r="BB1378" i="6" a="1"/>
  <c r="BB1378" i="6" s="1"/>
  <c r="BB1379" i="6" a="1"/>
  <c r="BB1379" i="6"/>
  <c r="BB1380" i="6" a="1"/>
  <c r="BB1380" i="6" s="1"/>
  <c r="BB1381" i="6" a="1"/>
  <c r="BB1381" i="6"/>
  <c r="BB1382" i="6" a="1"/>
  <c r="BB1382" i="6" s="1"/>
  <c r="BB1383" i="6" a="1"/>
  <c r="BB1383" i="6" s="1"/>
  <c r="BB1384" i="6" a="1"/>
  <c r="BB1384" i="6" s="1"/>
  <c r="BB1385" i="6" a="1"/>
  <c r="BB1385" i="6" s="1"/>
  <c r="BB1386" i="6" a="1"/>
  <c r="BB1386" i="6" s="1"/>
  <c r="BB1387" i="6" a="1"/>
  <c r="BB1387" i="6"/>
  <c r="BB1388" i="6" a="1"/>
  <c r="BB1388" i="6" s="1"/>
  <c r="BB1389" i="6" a="1"/>
  <c r="BB1389" i="6"/>
  <c r="BB1390" i="6" a="1"/>
  <c r="BB1390" i="6" s="1"/>
  <c r="BB1391" i="6" a="1"/>
  <c r="BB1391" i="6" s="1"/>
  <c r="BB1392" i="6" a="1"/>
  <c r="BB1392" i="6" s="1"/>
  <c r="BB1393" i="6" a="1"/>
  <c r="BB1393" i="6" s="1"/>
  <c r="BB1394" i="6" a="1"/>
  <c r="BB1394" i="6" s="1"/>
  <c r="BB1395" i="6" a="1"/>
  <c r="BB1395" i="6"/>
  <c r="BB1396" i="6" a="1"/>
  <c r="BB1396" i="6" s="1"/>
  <c r="BB1397" i="6" a="1"/>
  <c r="BB1397" i="6"/>
  <c r="BB1398" i="6" a="1"/>
  <c r="BB1398" i="6" s="1"/>
  <c r="BB1399" i="6" a="1"/>
  <c r="BB1399" i="6" s="1"/>
  <c r="BB1400" i="6" a="1"/>
  <c r="BB1400" i="6" s="1"/>
  <c r="BB1401" i="6" a="1"/>
  <c r="BB1401" i="6" s="1"/>
  <c r="BB1402" i="6" a="1"/>
  <c r="BB1402" i="6" s="1"/>
  <c r="BB1403" i="6" a="1"/>
  <c r="BB1403" i="6"/>
  <c r="BB1404" i="6" a="1"/>
  <c r="BB1404" i="6" s="1"/>
  <c r="BB1405" i="6" a="1"/>
  <c r="BB1405" i="6"/>
  <c r="BB1406" i="6" a="1"/>
  <c r="BB1406" i="6" s="1"/>
  <c r="BB1407" i="6" a="1"/>
  <c r="BB1407" i="6" s="1"/>
  <c r="BB1408" i="6" a="1"/>
  <c r="BB1408" i="6" s="1"/>
  <c r="BB1409" i="6" a="1"/>
  <c r="BB1409" i="6" s="1"/>
  <c r="BB1410" i="6" a="1"/>
  <c r="BB1410" i="6" s="1"/>
  <c r="BB1411" i="6" a="1"/>
  <c r="BB1411" i="6"/>
  <c r="BB1412" i="6" a="1"/>
  <c r="BB1412" i="6" s="1"/>
  <c r="BB1413" i="6" a="1"/>
  <c r="BB1413" i="6"/>
  <c r="BB1414" i="6" a="1"/>
  <c r="BB1414" i="6" s="1"/>
  <c r="BB1415" i="6" a="1"/>
  <c r="BB1415" i="6" s="1"/>
  <c r="BB1416" i="6" a="1"/>
  <c r="BB1416" i="6" s="1"/>
  <c r="BB1417" i="6" a="1"/>
  <c r="BB1417" i="6" s="1"/>
  <c r="BB1418" i="6" a="1"/>
  <c r="BB1418" i="6" s="1"/>
  <c r="BB1419" i="6" a="1"/>
  <c r="BB1419" i="6"/>
  <c r="BB1420" i="6" a="1"/>
  <c r="BB1420" i="6" s="1"/>
  <c r="BB1421" i="6" a="1"/>
  <c r="BB1421" i="6"/>
  <c r="BB1422" i="6" a="1"/>
  <c r="BB1422" i="6" s="1"/>
  <c r="BB1423" i="6" a="1"/>
  <c r="BB1423" i="6" s="1"/>
  <c r="BB1424" i="6" a="1"/>
  <c r="BB1424" i="6" s="1"/>
  <c r="BB1425" i="6" a="1"/>
  <c r="BB1425" i="6" s="1"/>
  <c r="BB1426" i="6" a="1"/>
  <c r="BB1426" i="6" s="1"/>
  <c r="BB1427" i="6" a="1"/>
  <c r="BB1427" i="6"/>
  <c r="BB1428" i="6" a="1"/>
  <c r="BB1428" i="6" s="1"/>
  <c r="BB1429" i="6" a="1"/>
  <c r="BB1429" i="6"/>
  <c r="BB1430" i="6" a="1"/>
  <c r="BB1430" i="6" s="1"/>
  <c r="BB1431" i="6" a="1"/>
  <c r="BB1431" i="6" s="1"/>
  <c r="BB1432" i="6" a="1"/>
  <c r="BB1432" i="6" s="1"/>
  <c r="BB1433" i="6" a="1"/>
  <c r="BB1433" i="6" s="1"/>
  <c r="BB1434" i="6" a="1"/>
  <c r="BB1434" i="6" s="1"/>
  <c r="BB1435" i="6" a="1"/>
  <c r="BB1435" i="6"/>
  <c r="BB1436" i="6" a="1"/>
  <c r="BB1436" i="6" s="1"/>
  <c r="BB1437" i="6" a="1"/>
  <c r="BB1437" i="6"/>
  <c r="BB1438" i="6" a="1"/>
  <c r="BB1438" i="6" s="1"/>
  <c r="BB1439" i="6" a="1"/>
  <c r="BB1439" i="6" s="1"/>
  <c r="BB1440" i="6" a="1"/>
  <c r="BB1440" i="6" s="1"/>
  <c r="BB1441" i="6" a="1"/>
  <c r="BB1441" i="6" s="1"/>
  <c r="BB1442" i="6" a="1"/>
  <c r="BB1442" i="6" s="1"/>
  <c r="BB1443" i="6" a="1"/>
  <c r="BB1443" i="6"/>
  <c r="BB1444" i="6" a="1"/>
  <c r="BB1444" i="6" s="1"/>
  <c r="BB1445" i="6" a="1"/>
  <c r="BB1445" i="6"/>
  <c r="BB1446" i="6" a="1"/>
  <c r="BB1446" i="6" s="1"/>
  <c r="BB1447" i="6" a="1"/>
  <c r="BB1447" i="6" s="1"/>
  <c r="BB1448" i="6" a="1"/>
  <c r="BB1448" i="6" s="1"/>
  <c r="BB1449" i="6" a="1"/>
  <c r="BB1449" i="6" s="1"/>
  <c r="BB1450" i="6" a="1"/>
  <c r="BB1450" i="6" s="1"/>
  <c r="BB1451" i="6" a="1"/>
  <c r="BB1451" i="6"/>
  <c r="BB1452" i="6" a="1"/>
  <c r="BB1452" i="6" s="1"/>
  <c r="BB1453" i="6" a="1"/>
  <c r="BB1453" i="6"/>
  <c r="BB1454" i="6" a="1"/>
  <c r="BB1454" i="6" s="1"/>
  <c r="BB1455" i="6" a="1"/>
  <c r="BB1455" i="6" s="1"/>
  <c r="BB1456" i="6" a="1"/>
  <c r="BB1456" i="6" s="1"/>
  <c r="BB1457" i="6" a="1"/>
  <c r="BB1457" i="6" s="1"/>
  <c r="BB1458" i="6" a="1"/>
  <c r="BB1458" i="6" s="1"/>
  <c r="BB1459" i="6" a="1"/>
  <c r="BB1459" i="6"/>
  <c r="BB1460" i="6" a="1"/>
  <c r="BB1460" i="6" s="1"/>
  <c r="BB1461" i="6" a="1"/>
  <c r="BB1461" i="6"/>
  <c r="BB1462" i="6" a="1"/>
  <c r="BB1462" i="6" s="1"/>
  <c r="BB1463" i="6" a="1"/>
  <c r="BB1463" i="6" s="1"/>
  <c r="BB1464" i="6" a="1"/>
  <c r="BB1464" i="6" s="1"/>
  <c r="BB1465" i="6" a="1"/>
  <c r="BB1465" i="6" s="1"/>
  <c r="BB1466" i="6" a="1"/>
  <c r="BB1466" i="6" s="1"/>
  <c r="BB1467" i="6" a="1"/>
  <c r="BB1467" i="6"/>
  <c r="BB1468" i="6" a="1"/>
  <c r="BB1468" i="6" s="1"/>
  <c r="BB1469" i="6" a="1"/>
  <c r="BB1469" i="6"/>
  <c r="BB1470" i="6" a="1"/>
  <c r="BB1470" i="6" s="1"/>
  <c r="BB1471" i="6" a="1"/>
  <c r="BB1471" i="6" s="1"/>
  <c r="BB1472" i="6" a="1"/>
  <c r="BB1472" i="6" s="1"/>
  <c r="BB1473" i="6" a="1"/>
  <c r="BB1473" i="6" s="1"/>
  <c r="BB1474" i="6" a="1"/>
  <c r="BB1474" i="6" s="1"/>
  <c r="BB1475" i="6" a="1"/>
  <c r="BB1475" i="6"/>
  <c r="BB1476" i="6" a="1"/>
  <c r="BB1476" i="6" s="1"/>
  <c r="BB1477" i="6" a="1"/>
  <c r="BB1477" i="6"/>
  <c r="BB1478" i="6" a="1"/>
  <c r="BB1478" i="6" s="1"/>
  <c r="BB1479" i="6" a="1"/>
  <c r="BB1479" i="6" s="1"/>
  <c r="BB1480" i="6" a="1"/>
  <c r="BB1480" i="6" s="1"/>
  <c r="BB1481" i="6" a="1"/>
  <c r="BB1481" i="6" s="1"/>
  <c r="BB1482" i="6" a="1"/>
  <c r="BB1482" i="6" s="1"/>
  <c r="BB1483" i="6" a="1"/>
  <c r="BB1483" i="6"/>
  <c r="BB1484" i="6" a="1"/>
  <c r="BB1484" i="6" s="1"/>
  <c r="BB1485" i="6" a="1"/>
  <c r="BB1485" i="6"/>
  <c r="BB1486" i="6" a="1"/>
  <c r="BB1486" i="6" s="1"/>
  <c r="BB1487" i="6" a="1"/>
  <c r="BB1487" i="6" s="1"/>
  <c r="BB1488" i="6" a="1"/>
  <c r="BB1488" i="6" s="1"/>
  <c r="BB1489" i="6" a="1"/>
  <c r="BB1489" i="6" s="1"/>
  <c r="BB1490" i="6" a="1"/>
  <c r="BB1490" i="6" s="1"/>
  <c r="BB1491" i="6" a="1"/>
  <c r="BB1491" i="6"/>
  <c r="BB1492" i="6" a="1"/>
  <c r="BB1492" i="6" s="1"/>
  <c r="BB1493" i="6" a="1"/>
  <c r="BB1493" i="6" s="1"/>
  <c r="BB1494" i="6" a="1"/>
  <c r="BB1494" i="6" s="1"/>
  <c r="BB1495" i="6" a="1"/>
  <c r="BB1495" i="6" s="1"/>
  <c r="BB1496" i="6" a="1"/>
  <c r="BB1496" i="6" s="1"/>
  <c r="BB1497" i="6" a="1"/>
  <c r="BB1497" i="6" s="1"/>
  <c r="BB1498" i="6" a="1"/>
  <c r="BB1498" i="6" s="1"/>
  <c r="BB1499" i="6" a="1"/>
  <c r="BB1499" i="6"/>
  <c r="BB1500" i="6" a="1"/>
  <c r="BB1500" i="6" s="1"/>
  <c r="BB1501" i="6" a="1"/>
  <c r="BB1501" i="6" s="1"/>
  <c r="BB1502" i="6" a="1"/>
  <c r="BB1502" i="6" s="1"/>
  <c r="BB1503" i="6" a="1"/>
  <c r="BB1503" i="6" s="1"/>
  <c r="BB1504" i="6" a="1"/>
  <c r="BB1504" i="6" s="1"/>
  <c r="BB1505" i="6" a="1"/>
  <c r="BB1505" i="6" s="1"/>
  <c r="BB1506" i="6" a="1"/>
  <c r="BB1506" i="6" s="1"/>
  <c r="BB1507" i="6" a="1"/>
  <c r="BB1507" i="6"/>
  <c r="BB1508" i="6" a="1"/>
  <c r="BB1508" i="6" s="1"/>
  <c r="BB1509" i="6" a="1"/>
  <c r="BB1509" i="6" s="1"/>
  <c r="BB1510" i="6" a="1"/>
  <c r="BB1510" i="6" s="1"/>
  <c r="BB1511" i="6" a="1"/>
  <c r="BB1511" i="6" s="1"/>
  <c r="BB1512" i="6" a="1"/>
  <c r="BB1512" i="6" s="1"/>
  <c r="BB1513" i="6" a="1"/>
  <c r="BB1513" i="6" s="1"/>
  <c r="BB1514" i="6" a="1"/>
  <c r="BB1514" i="6" s="1"/>
  <c r="BB1515" i="6" a="1"/>
  <c r="BB1515" i="6"/>
  <c r="BB1516" i="6" a="1"/>
  <c r="BB1516" i="6" s="1"/>
  <c r="BB1517" i="6" a="1"/>
  <c r="BB1517" i="6" s="1"/>
  <c r="BB1518" i="6" a="1"/>
  <c r="BB1518" i="6" s="1"/>
  <c r="BB1519" i="6" a="1"/>
  <c r="BB1519" i="6" s="1"/>
  <c r="BB1520" i="6" a="1"/>
  <c r="BB1520" i="6" s="1"/>
  <c r="BB1521" i="6" a="1"/>
  <c r="BB1521" i="6" s="1"/>
  <c r="BB1522" i="6" a="1"/>
  <c r="BB1522" i="6" s="1"/>
  <c r="BB1523" i="6" a="1"/>
  <c r="BB1523" i="6"/>
  <c r="BB1524" i="6" a="1"/>
  <c r="BB1524" i="6" s="1"/>
  <c r="BB1525" i="6" a="1"/>
  <c r="BB1525" i="6" s="1"/>
  <c r="BB1526" i="6" a="1"/>
  <c r="BB1526" i="6" s="1"/>
  <c r="BB1527" i="6" a="1"/>
  <c r="BB1527" i="6" s="1"/>
  <c r="BB1528" i="6" a="1"/>
  <c r="BB1528" i="6" s="1"/>
  <c r="BB1529" i="6" a="1"/>
  <c r="BB1529" i="6" s="1"/>
  <c r="BB1530" i="6" a="1"/>
  <c r="BB1530" i="6" s="1"/>
  <c r="BB1531" i="6" a="1"/>
  <c r="BB1531" i="6"/>
  <c r="BB1532" i="6" a="1"/>
  <c r="BB1532" i="6" s="1"/>
  <c r="BB1533" i="6" a="1"/>
  <c r="BB1533" i="6" s="1"/>
  <c r="BB1534" i="6" a="1"/>
  <c r="BB1534" i="6" s="1"/>
  <c r="BB1535" i="6" a="1"/>
  <c r="BB1535" i="6" s="1"/>
  <c r="BB1536" i="6" a="1"/>
  <c r="BB1536" i="6" s="1"/>
  <c r="BB1537" i="6" a="1"/>
  <c r="BB1537" i="6" s="1"/>
  <c r="BB1538" i="6" a="1"/>
  <c r="BB1538" i="6" s="1"/>
  <c r="BB1539" i="6" a="1"/>
  <c r="BB1539" i="6"/>
  <c r="BB1540" i="6" a="1"/>
  <c r="BB1540" i="6" s="1"/>
  <c r="BB1541" i="6" a="1"/>
  <c r="BB1541" i="6" s="1"/>
  <c r="BB1542" i="6" a="1"/>
  <c r="BB1542" i="6" s="1"/>
  <c r="BB1543" i="6" a="1"/>
  <c r="BB1543" i="6" s="1"/>
  <c r="BB1544" i="6" a="1"/>
  <c r="BB1544" i="6" s="1"/>
  <c r="BB1545" i="6" a="1"/>
  <c r="BB1545" i="6" s="1"/>
  <c r="BB1546" i="6" a="1"/>
  <c r="BB1546" i="6" s="1"/>
  <c r="BB1547" i="6" a="1"/>
  <c r="BB1547" i="6"/>
  <c r="BB1548" i="6" a="1"/>
  <c r="BB1548" i="6" s="1"/>
  <c r="BB1549" i="6" a="1"/>
  <c r="BB1549" i="6" s="1"/>
  <c r="BB1550" i="6" a="1"/>
  <c r="BB1550" i="6" s="1"/>
  <c r="BB1551" i="6" a="1"/>
  <c r="BB1551" i="6" s="1"/>
  <c r="BB1552" i="6" a="1"/>
  <c r="BB1552" i="6" s="1"/>
  <c r="BB1553" i="6" a="1"/>
  <c r="BB1553" i="6" s="1"/>
  <c r="BB1554" i="6" a="1"/>
  <c r="BB1554" i="6" s="1"/>
  <c r="BB1555" i="6" a="1"/>
  <c r="BB1555" i="6"/>
  <c r="BB1556" i="6" a="1"/>
  <c r="BB1556" i="6" s="1"/>
  <c r="BB1557" i="6" a="1"/>
  <c r="BB1557" i="6" s="1"/>
  <c r="BB1558" i="6" a="1"/>
  <c r="BB1558" i="6" s="1"/>
  <c r="BB1559" i="6" a="1"/>
  <c r="BB1559" i="6" s="1"/>
  <c r="BB1560" i="6" a="1"/>
  <c r="BB1560" i="6" s="1"/>
  <c r="BB1561" i="6" a="1"/>
  <c r="BB1561" i="6" s="1"/>
  <c r="BB1562" i="6" a="1"/>
  <c r="BB1562" i="6" s="1"/>
  <c r="BB1563" i="6" a="1"/>
  <c r="BB1563" i="6"/>
  <c r="BB1564" i="6" a="1"/>
  <c r="BB1564" i="6" s="1"/>
  <c r="BB1565" i="6" a="1"/>
  <c r="BB1565" i="6" s="1"/>
  <c r="BB1566" i="6" a="1"/>
  <c r="BB1566" i="6" s="1"/>
  <c r="BB1567" i="6" a="1"/>
  <c r="BB1567" i="6" s="1"/>
  <c r="BB1568" i="6" a="1"/>
  <c r="BB1568" i="6" s="1"/>
  <c r="BB1569" i="6" a="1"/>
  <c r="BB1569" i="6" s="1"/>
  <c r="BB1570" i="6" a="1"/>
  <c r="BB1570" i="6" s="1"/>
  <c r="BB1571" i="6" a="1"/>
  <c r="BB1571" i="6"/>
  <c r="BB1572" i="6" a="1"/>
  <c r="BB1572" i="6" s="1"/>
  <c r="BB1573" i="6" a="1"/>
  <c r="BB1573" i="6" s="1"/>
  <c r="BB1574" i="6" a="1"/>
  <c r="BB1574" i="6" s="1"/>
  <c r="BB1575" i="6" a="1"/>
  <c r="BB1575" i="6" s="1"/>
  <c r="BB1576" i="6" a="1"/>
  <c r="BB1576" i="6" s="1"/>
  <c r="BB1577" i="6" a="1"/>
  <c r="BB1577" i="6" s="1"/>
  <c r="BB1578" i="6" a="1"/>
  <c r="BB1578" i="6" s="1"/>
  <c r="BB1579" i="6" a="1"/>
  <c r="BB1579" i="6"/>
  <c r="BB1580" i="6" a="1"/>
  <c r="BB1580" i="6" s="1"/>
  <c r="BB1581" i="6" a="1"/>
  <c r="BB1581" i="6" s="1"/>
  <c r="BB1582" i="6" a="1"/>
  <c r="BB1582" i="6" s="1"/>
  <c r="BB1583" i="6" a="1"/>
  <c r="BB1583" i="6" s="1"/>
  <c r="BB1584" i="6" a="1"/>
  <c r="BB1584" i="6" s="1"/>
  <c r="BB1585" i="6" a="1"/>
  <c r="BB1585" i="6" s="1"/>
  <c r="BB1586" i="6" a="1"/>
  <c r="BB1586" i="6" s="1"/>
  <c r="BB1587" i="6" a="1"/>
  <c r="BB1587" i="6"/>
  <c r="BB1588" i="6" a="1"/>
  <c r="BB1588" i="6" s="1"/>
  <c r="BB1589" i="6" a="1"/>
  <c r="BB1589" i="6" s="1"/>
  <c r="BB1590" i="6" a="1"/>
  <c r="BB1590" i="6" s="1"/>
  <c r="BB1591" i="6" a="1"/>
  <c r="BB1591" i="6" s="1"/>
  <c r="BB1592" i="6" a="1"/>
  <c r="BB1592" i="6" s="1"/>
  <c r="BB1593" i="6" a="1"/>
  <c r="BB1593" i="6" s="1"/>
  <c r="BB1594" i="6" a="1"/>
  <c r="BB1594" i="6" s="1"/>
  <c r="BB1595" i="6" a="1"/>
  <c r="BB1595" i="6"/>
  <c r="BB1596" i="6" a="1"/>
  <c r="BB1596" i="6" s="1"/>
  <c r="BB1597" i="6" a="1"/>
  <c r="BB1597" i="6" s="1"/>
  <c r="BB1598" i="6" a="1"/>
  <c r="BB1598" i="6" s="1"/>
  <c r="BB1599" i="6" a="1"/>
  <c r="BB1599" i="6" s="1"/>
  <c r="BB1600" i="6" a="1"/>
  <c r="BB1600" i="6" s="1"/>
  <c r="BB1601" i="6" a="1"/>
  <c r="BB1601" i="6" s="1"/>
  <c r="BB1602" i="6" a="1"/>
  <c r="BB1602" i="6" s="1"/>
  <c r="BB1603" i="6" a="1"/>
  <c r="BB1603" i="6"/>
  <c r="BB1604" i="6" a="1"/>
  <c r="BB1604" i="6" s="1"/>
  <c r="BB1605" i="6" a="1"/>
  <c r="BB1605" i="6" s="1"/>
  <c r="BB1606" i="6" a="1"/>
  <c r="BB1606" i="6" s="1"/>
  <c r="BB1607" i="6" a="1"/>
  <c r="BB1607" i="6" s="1"/>
  <c r="BB1608" i="6" a="1"/>
  <c r="BB1608" i="6" s="1"/>
  <c r="BB1609" i="6" a="1"/>
  <c r="BB1609" i="6" s="1"/>
  <c r="BB1610" i="6" a="1"/>
  <c r="BB1610" i="6" s="1"/>
  <c r="BB1611" i="6" a="1"/>
  <c r="BB1611" i="6"/>
  <c r="BB1612" i="6" a="1"/>
  <c r="BB1612" i="6" s="1"/>
  <c r="BB1613" i="6" a="1"/>
  <c r="BB1613" i="6" s="1"/>
  <c r="BB1614" i="6" a="1"/>
  <c r="BB1614" i="6" s="1"/>
  <c r="BB1615" i="6" a="1"/>
  <c r="BB1615" i="6" s="1"/>
  <c r="BB1616" i="6" a="1"/>
  <c r="BB1616" i="6" s="1"/>
  <c r="BB1617" i="6" a="1"/>
  <c r="BB1617" i="6" s="1"/>
  <c r="BB1618" i="6" a="1"/>
  <c r="BB1618" i="6" s="1"/>
  <c r="BB1619" i="6" a="1"/>
  <c r="BB1619" i="6"/>
  <c r="BB1620" i="6" a="1"/>
  <c r="BB1620" i="6" s="1"/>
  <c r="BB1621" i="6" a="1"/>
  <c r="BB1621" i="6" s="1"/>
  <c r="BB1622" i="6" a="1"/>
  <c r="BB1622" i="6" s="1"/>
  <c r="BB1623" i="6" a="1"/>
  <c r="BB1623" i="6" s="1"/>
  <c r="BB1624" i="6" a="1"/>
  <c r="BB1624" i="6" s="1"/>
  <c r="BB1625" i="6" a="1"/>
  <c r="BB1625" i="6" s="1"/>
  <c r="BB1626" i="6" a="1"/>
  <c r="BB1626" i="6" s="1"/>
  <c r="BB1627" i="6" a="1"/>
  <c r="BB1627" i="6"/>
  <c r="BB1628" i="6" a="1"/>
  <c r="BB1628" i="6" s="1"/>
  <c r="BB1629" i="6" a="1"/>
  <c r="BB1629" i="6" s="1"/>
  <c r="BB1630" i="6" a="1"/>
  <c r="BB1630" i="6" s="1"/>
  <c r="BB1631" i="6" a="1"/>
  <c r="BB1631" i="6" s="1"/>
  <c r="BB1632" i="6" a="1"/>
  <c r="BB1632" i="6" s="1"/>
  <c r="BB1633" i="6" a="1"/>
  <c r="BB1633" i="6" s="1"/>
  <c r="BB1634" i="6" a="1"/>
  <c r="BB1634" i="6" s="1"/>
  <c r="BB1635" i="6" a="1"/>
  <c r="BB1635" i="6"/>
  <c r="BB1636" i="6" a="1"/>
  <c r="BB1636" i="6" s="1"/>
  <c r="BB1637" i="6" a="1"/>
  <c r="BB1637" i="6" s="1"/>
  <c r="BB1638" i="6" a="1"/>
  <c r="BB1638" i="6" s="1"/>
  <c r="BB1639" i="6" a="1"/>
  <c r="BB1639" i="6" s="1"/>
  <c r="BB1640" i="6" a="1"/>
  <c r="BB1640" i="6" s="1"/>
  <c r="BB1641" i="6" a="1"/>
  <c r="BB1641" i="6" s="1"/>
  <c r="BB1642" i="6" a="1"/>
  <c r="BB1642" i="6" s="1"/>
  <c r="BB1643" i="6" a="1"/>
  <c r="BB1643" i="6"/>
  <c r="BB1644" i="6" a="1"/>
  <c r="BB1644" i="6" s="1"/>
  <c r="BB1645" i="6" a="1"/>
  <c r="BB1645" i="6" s="1"/>
  <c r="BB1646" i="6" a="1"/>
  <c r="BB1646" i="6" s="1"/>
  <c r="BB1647" i="6" a="1"/>
  <c r="BB1647" i="6" s="1"/>
  <c r="BB1648" i="6" a="1"/>
  <c r="BB1648" i="6" s="1"/>
  <c r="BB1649" i="6" a="1"/>
  <c r="BB1649" i="6" s="1"/>
  <c r="BB1650" i="6" a="1"/>
  <c r="BB1650" i="6" s="1"/>
  <c r="BB1651" i="6" a="1"/>
  <c r="BB1651" i="6"/>
  <c r="BB1652" i="6" a="1"/>
  <c r="BB1652" i="6" s="1"/>
  <c r="BB1653" i="6" a="1"/>
  <c r="BB1653" i="6" s="1"/>
  <c r="BB1654" i="6" a="1"/>
  <c r="BB1654" i="6" s="1"/>
  <c r="BB1655" i="6" a="1"/>
  <c r="BB1655" i="6" s="1"/>
  <c r="BB1656" i="6" a="1"/>
  <c r="BB1656" i="6" s="1"/>
  <c r="BB1657" i="6" a="1"/>
  <c r="BB1657" i="6" s="1"/>
  <c r="BB1658" i="6" a="1"/>
  <c r="BB1658" i="6" s="1"/>
  <c r="BB1659" i="6" a="1"/>
  <c r="BB1659" i="6"/>
  <c r="BB1660" i="6" a="1"/>
  <c r="BB1660" i="6" s="1"/>
  <c r="BB1661" i="6" a="1"/>
  <c r="BB1661" i="6" s="1"/>
  <c r="BB1662" i="6" a="1"/>
  <c r="BB1662" i="6" s="1"/>
  <c r="BB1663" i="6" a="1"/>
  <c r="BB1663" i="6" s="1"/>
  <c r="BB1664" i="6" a="1"/>
  <c r="BB1664" i="6" s="1"/>
  <c r="BB1665" i="6" a="1"/>
  <c r="BB1665" i="6" s="1"/>
  <c r="BB1666" i="6" a="1"/>
  <c r="BB1666" i="6" s="1"/>
  <c r="BB1667" i="6" a="1"/>
  <c r="BB1667" i="6"/>
  <c r="BB1668" i="6" a="1"/>
  <c r="BB1668" i="6" s="1"/>
  <c r="BB1669" i="6" a="1"/>
  <c r="BB1669" i="6" s="1"/>
  <c r="BB1670" i="6" a="1"/>
  <c r="BB1670" i="6" s="1"/>
  <c r="BB1671" i="6" a="1"/>
  <c r="BB1671" i="6" s="1"/>
  <c r="BB1672" i="6" a="1"/>
  <c r="BB1672" i="6" s="1"/>
  <c r="BB1673" i="6" a="1"/>
  <c r="BB1673" i="6" s="1"/>
  <c r="BB1674" i="6" a="1"/>
  <c r="BB1674" i="6" s="1"/>
  <c r="BB1675" i="6" a="1"/>
  <c r="BB1675" i="6"/>
  <c r="BB1676" i="6" a="1"/>
  <c r="BB1676" i="6" s="1"/>
  <c r="BB1677" i="6" a="1"/>
  <c r="BB1677" i="6"/>
  <c r="BB1678" i="6" a="1"/>
  <c r="BB1678" i="6" s="1"/>
  <c r="BB1679" i="6" a="1"/>
  <c r="BB1679" i="6"/>
  <c r="BB1680" i="6" a="1"/>
  <c r="BB1680" i="6" s="1"/>
  <c r="BB1681" i="6" a="1"/>
  <c r="BB1681" i="6"/>
  <c r="BB1682" i="6" a="1"/>
  <c r="BB1682" i="6" s="1"/>
  <c r="BB1683" i="6" a="1"/>
  <c r="BB1683" i="6"/>
  <c r="BB1684" i="6" a="1"/>
  <c r="BB1684" i="6" s="1"/>
  <c r="BB1685" i="6" a="1"/>
  <c r="BB1685" i="6"/>
  <c r="BB1686" i="6" a="1"/>
  <c r="BB1686" i="6" s="1"/>
  <c r="BB1687" i="6" a="1"/>
  <c r="BB1687" i="6"/>
  <c r="BB1688" i="6" a="1"/>
  <c r="BB1688" i="6" s="1"/>
  <c r="BB1689" i="6" a="1"/>
  <c r="BB1689" i="6"/>
  <c r="BB1690" i="6" a="1"/>
  <c r="BB1690" i="6" s="1"/>
  <c r="BB1691" i="6" a="1"/>
  <c r="BB1691" i="6"/>
  <c r="BB1692" i="6" a="1"/>
  <c r="BB1692" i="6" s="1"/>
  <c r="BB1693" i="6" a="1"/>
  <c r="BB1693" i="6"/>
  <c r="BB1694" i="6" a="1"/>
  <c r="BB1694" i="6" s="1"/>
  <c r="BB1695" i="6" a="1"/>
  <c r="BB1695" i="6"/>
  <c r="BB1696" i="6" a="1"/>
  <c r="BB1696" i="6" s="1"/>
  <c r="BB1697" i="6" a="1"/>
  <c r="BB1697" i="6"/>
  <c r="BB1698" i="6" a="1"/>
  <c r="BB1698" i="6" s="1"/>
  <c r="BB1699" i="6" a="1"/>
  <c r="BB1699" i="6"/>
  <c r="BB1700" i="6" a="1"/>
  <c r="BB1700" i="6" s="1"/>
  <c r="BB1701" i="6" a="1"/>
  <c r="BB1701" i="6"/>
  <c r="BB1702" i="6" a="1"/>
  <c r="BB1702" i="6" s="1"/>
  <c r="BB1703" i="6" a="1"/>
  <c r="BB1703" i="6"/>
  <c r="BB1704" i="6" a="1"/>
  <c r="BB1704" i="6" s="1"/>
  <c r="BB1705" i="6" a="1"/>
  <c r="BB1705" i="6"/>
  <c r="BB1706" i="6" a="1"/>
  <c r="BB1706" i="6" s="1"/>
  <c r="BB1707" i="6" a="1"/>
  <c r="BB1707" i="6"/>
  <c r="BB1708" i="6" a="1"/>
  <c r="BB1708" i="6" s="1"/>
  <c r="BB1709" i="6" a="1"/>
  <c r="BB1709" i="6"/>
  <c r="BB1710" i="6" a="1"/>
  <c r="BB1710" i="6" s="1"/>
  <c r="BB1711" i="6" a="1"/>
  <c r="BB1711" i="6"/>
  <c r="BB1712" i="6" a="1"/>
  <c r="BB1712" i="6" s="1"/>
  <c r="BB1713" i="6" a="1"/>
  <c r="BB1713" i="6"/>
  <c r="BB1714" i="6" a="1"/>
  <c r="BB1714" i="6" s="1"/>
  <c r="BB1715" i="6" a="1"/>
  <c r="BB1715" i="6"/>
  <c r="BB1716" i="6" a="1"/>
  <c r="BB1716" i="6" s="1"/>
  <c r="BB1717" i="6" a="1"/>
  <c r="BB1717" i="6"/>
  <c r="BB1718" i="6" a="1"/>
  <c r="BB1718" i="6" s="1"/>
  <c r="BB1719" i="6" a="1"/>
  <c r="BB1719" i="6"/>
  <c r="BB1720" i="6" a="1"/>
  <c r="BB1720" i="6" s="1"/>
  <c r="BB1721" i="6" a="1"/>
  <c r="BB1721" i="6"/>
  <c r="BB1722" i="6" a="1"/>
  <c r="BB1722" i="6" s="1"/>
  <c r="BB1723" i="6" a="1"/>
  <c r="BB1723" i="6"/>
  <c r="BB1724" i="6" a="1"/>
  <c r="BB1724" i="6" s="1"/>
  <c r="BB1725" i="6" a="1"/>
  <c r="BB1725" i="6"/>
  <c r="BB1726" i="6" a="1"/>
  <c r="BB1726" i="6" s="1"/>
  <c r="BB1727" i="6" a="1"/>
  <c r="BB1727" i="6"/>
  <c r="BB1728" i="6" a="1"/>
  <c r="BB1728" i="6" s="1"/>
  <c r="BB1729" i="6" a="1"/>
  <c r="BB1729" i="6"/>
  <c r="BB1730" i="6" a="1"/>
  <c r="BB1730" i="6" s="1"/>
  <c r="BB1731" i="6" a="1"/>
  <c r="BB1731" i="6"/>
  <c r="BB1732" i="6" a="1"/>
  <c r="BB1732" i="6" s="1"/>
  <c r="BB1733" i="6" a="1"/>
  <c r="BB1733" i="6"/>
  <c r="BB1734" i="6" a="1"/>
  <c r="BB1734" i="6" s="1"/>
  <c r="BB1735" i="6" a="1"/>
  <c r="BB1735" i="6"/>
  <c r="BB1736" i="6" a="1"/>
  <c r="BB1736" i="6" s="1"/>
  <c r="BB1737" i="6" a="1"/>
  <c r="BB1737" i="6"/>
  <c r="BB1738" i="6" a="1"/>
  <c r="BB1738" i="6" s="1"/>
  <c r="BB1739" i="6" a="1"/>
  <c r="BB1739" i="6"/>
  <c r="BB1740" i="6" a="1"/>
  <c r="BB1740" i="6" s="1"/>
  <c r="BB1741" i="6" a="1"/>
  <c r="BB1741" i="6"/>
  <c r="BB1742" i="6" a="1"/>
  <c r="BB1742" i="6" s="1"/>
  <c r="BB1743" i="6" a="1"/>
  <c r="BB1743" i="6"/>
  <c r="BB1744" i="6" a="1"/>
  <c r="BB1744" i="6" s="1"/>
  <c r="BB1745" i="6" a="1"/>
  <c r="BB1745" i="6"/>
  <c r="BB1746" i="6" a="1"/>
  <c r="BB1746" i="6" s="1"/>
  <c r="BB1747" i="6" a="1"/>
  <c r="BB1747" i="6"/>
  <c r="BB1748" i="6" a="1"/>
  <c r="BB1748" i="6" s="1"/>
  <c r="BB1749" i="6" a="1"/>
  <c r="BB1749" i="6"/>
  <c r="BB1750" i="6" a="1"/>
  <c r="BB1750" i="6" s="1"/>
  <c r="BB1751" i="6" a="1"/>
  <c r="BB1751" i="6"/>
  <c r="BB1752" i="6" a="1"/>
  <c r="BB1752" i="6" s="1"/>
  <c r="BB1753" i="6" a="1"/>
  <c r="BB1753" i="6"/>
  <c r="BB1754" i="6" a="1"/>
  <c r="BB1754" i="6" s="1"/>
  <c r="BB1755" i="6" a="1"/>
  <c r="BB1755" i="6"/>
  <c r="BB1756" i="6" a="1"/>
  <c r="BB1756" i="6" s="1"/>
  <c r="BB1757" i="6" a="1"/>
  <c r="BB1757" i="6"/>
  <c r="BB1758" i="6" a="1"/>
  <c r="BB1758" i="6" s="1"/>
  <c r="BB1759" i="6" a="1"/>
  <c r="BB1759" i="6"/>
  <c r="BB1760" i="6" a="1"/>
  <c r="BB1760" i="6" s="1"/>
  <c r="BB1761" i="6" a="1"/>
  <c r="BB1761" i="6"/>
  <c r="BB1762" i="6" a="1"/>
  <c r="BB1762" i="6" s="1"/>
  <c r="BB1763" i="6" a="1"/>
  <c r="BB1763" i="6"/>
  <c r="BB1764" i="6" a="1"/>
  <c r="BB1764" i="6" s="1"/>
  <c r="BB1765" i="6" a="1"/>
  <c r="BB1765" i="6"/>
  <c r="BB1766" i="6" a="1"/>
  <c r="BB1766" i="6" s="1"/>
  <c r="BB1767" i="6" a="1"/>
  <c r="BB1767" i="6"/>
  <c r="BB1768" i="6" a="1"/>
  <c r="BB1768" i="6" s="1"/>
  <c r="BB1769" i="6" a="1"/>
  <c r="BB1769" i="6"/>
  <c r="BB1770" i="6" a="1"/>
  <c r="BB1770" i="6" s="1"/>
  <c r="BB1771" i="6" a="1"/>
  <c r="BB1771" i="6"/>
  <c r="BB1772" i="6" a="1"/>
  <c r="BB1772" i="6" s="1"/>
  <c r="BB1773" i="6" a="1"/>
  <c r="BB1773" i="6"/>
  <c r="BB1774" i="6" a="1"/>
  <c r="BB1774" i="6" s="1"/>
  <c r="BB1775" i="6" a="1"/>
  <c r="BB1775" i="6"/>
  <c r="BB1776" i="6" a="1"/>
  <c r="BB1776" i="6" s="1"/>
  <c r="BB1777" i="6" a="1"/>
  <c r="BB1777" i="6"/>
  <c r="BB1778" i="6" a="1"/>
  <c r="BB1778" i="6" s="1"/>
  <c r="BB1779" i="6" a="1"/>
  <c r="BB1779" i="6"/>
  <c r="BB1780" i="6" a="1"/>
  <c r="BB1780" i="6" s="1"/>
  <c r="BB1781" i="6" a="1"/>
  <c r="BB1781" i="6"/>
  <c r="BB1782" i="6" a="1"/>
  <c r="BB1782" i="6" s="1"/>
  <c r="BB1783" i="6" a="1"/>
  <c r="BB1783" i="6"/>
  <c r="BB1784" i="6" a="1"/>
  <c r="BB1784" i="6" s="1"/>
  <c r="BB1785" i="6" a="1"/>
  <c r="BB1785" i="6"/>
  <c r="BB1786" i="6" a="1"/>
  <c r="BB1786" i="6" s="1"/>
  <c r="BB1787" i="6" a="1"/>
  <c r="BB1787" i="6"/>
  <c r="BB1788" i="6" a="1"/>
  <c r="BB1788" i="6" s="1"/>
  <c r="BB1789" i="6" a="1"/>
  <c r="BB1789" i="6"/>
  <c r="BB1790" i="6" a="1"/>
  <c r="BB1790" i="6" s="1"/>
  <c r="BB1791" i="6" a="1"/>
  <c r="BB1791" i="6"/>
  <c r="BB1792" i="6" a="1"/>
  <c r="BB1792" i="6" s="1"/>
  <c r="BB1793" i="6" a="1"/>
  <c r="BB1793" i="6"/>
  <c r="BB1794" i="6" a="1"/>
  <c r="BB1794" i="6" s="1"/>
  <c r="BB1795" i="6" a="1"/>
  <c r="BB1795" i="6"/>
  <c r="BB1796" i="6" a="1"/>
  <c r="BB1796" i="6" s="1"/>
  <c r="BB1797" i="6" a="1"/>
  <c r="BB1797" i="6"/>
  <c r="BB1798" i="6" a="1"/>
  <c r="BB1798" i="6" s="1"/>
  <c r="BB1799" i="6" a="1"/>
  <c r="BB1799" i="6"/>
  <c r="BB1800" i="6" a="1"/>
  <c r="BB1800" i="6" s="1"/>
  <c r="BB1801" i="6" a="1"/>
  <c r="BB1801" i="6"/>
  <c r="BB1802" i="6" a="1"/>
  <c r="BB1802" i="6" s="1"/>
  <c r="BB1803" i="6" a="1"/>
  <c r="BB1803" i="6"/>
  <c r="BB1804" i="6" a="1"/>
  <c r="BB1804" i="6" s="1"/>
  <c r="BB1805" i="6" a="1"/>
  <c r="BB1805" i="6"/>
  <c r="BB1806" i="6" a="1"/>
  <c r="BB1806" i="6" s="1"/>
  <c r="BB1807" i="6" a="1"/>
  <c r="BB1807" i="6"/>
  <c r="BB1808" i="6" a="1"/>
  <c r="BB1808" i="6" s="1"/>
  <c r="BB1809" i="6" a="1"/>
  <c r="BB1809" i="6"/>
  <c r="BB1810" i="6" a="1"/>
  <c r="BB1810" i="6" s="1"/>
  <c r="BB1811" i="6" a="1"/>
  <c r="BB1811" i="6"/>
  <c r="BB1812" i="6" a="1"/>
  <c r="BB1812" i="6" s="1"/>
  <c r="BB1813" i="6" a="1"/>
  <c r="BB1813" i="6"/>
  <c r="BB1814" i="6" a="1"/>
  <c r="BB1814" i="6" s="1"/>
  <c r="BB1815" i="6" a="1"/>
  <c r="BB1815" i="6"/>
  <c r="BB1816" i="6" a="1"/>
  <c r="BB1816" i="6" s="1"/>
  <c r="BB1817" i="6" a="1"/>
  <c r="BB1817" i="6"/>
  <c r="BB1818" i="6" a="1"/>
  <c r="BB1818" i="6" s="1"/>
  <c r="BB1819" i="6" a="1"/>
  <c r="BB1819" i="6"/>
  <c r="BB1820" i="6" a="1"/>
  <c r="BB1820" i="6" s="1"/>
  <c r="BB1821" i="6" a="1"/>
  <c r="BB1821" i="6"/>
  <c r="BB1822" i="6" a="1"/>
  <c r="BB1822" i="6" s="1"/>
  <c r="BB1823" i="6" a="1"/>
  <c r="BB1823" i="6"/>
  <c r="BB1824" i="6" a="1"/>
  <c r="BB1824" i="6" s="1"/>
  <c r="BB1825" i="6" a="1"/>
  <c r="BB1825" i="6"/>
  <c r="BB1826" i="6" a="1"/>
  <c r="BB1826" i="6" s="1"/>
  <c r="BB1827" i="6" a="1"/>
  <c r="BB1827" i="6"/>
  <c r="BB1828" i="6" a="1"/>
  <c r="BB1828" i="6" s="1"/>
  <c r="BB1829" i="6" a="1"/>
  <c r="BB1829" i="6"/>
  <c r="BB1830" i="6" a="1"/>
  <c r="BB1830" i="6" s="1"/>
  <c r="BB1831" i="6" a="1"/>
  <c r="BB1831" i="6"/>
  <c r="BB1832" i="6" a="1"/>
  <c r="BB1832" i="6" s="1"/>
  <c r="BB1833" i="6" a="1"/>
  <c r="BB1833" i="6"/>
  <c r="BB1834" i="6" a="1"/>
  <c r="BB1834" i="6" s="1"/>
  <c r="BB1835" i="6" a="1"/>
  <c r="BB1835" i="6"/>
  <c r="BB1836" i="6" a="1"/>
  <c r="BB1836" i="6" s="1"/>
  <c r="BB1837" i="6" a="1"/>
  <c r="BB1837" i="6"/>
  <c r="BB1838" i="6" a="1"/>
  <c r="BB1838" i="6" s="1"/>
  <c r="BB1839" i="6" a="1"/>
  <c r="BB1839" i="6"/>
  <c r="BB1840" i="6" a="1"/>
  <c r="BB1840" i="6" s="1"/>
  <c r="BB1841" i="6" a="1"/>
  <c r="BB1841" i="6"/>
  <c r="BB1842" i="6" a="1"/>
  <c r="BB1842" i="6" s="1"/>
  <c r="BB1843" i="6" a="1"/>
  <c r="BB1843" i="6"/>
  <c r="BB1844" i="6" a="1"/>
  <c r="BB1844" i="6" s="1"/>
  <c r="BB1845" i="6" a="1"/>
  <c r="BB1845" i="6"/>
  <c r="BB1846" i="6" a="1"/>
  <c r="BB1846" i="6" s="1"/>
  <c r="BB1847" i="6" a="1"/>
  <c r="BB1847" i="6"/>
  <c r="BB1848" i="6" a="1"/>
  <c r="BB1848" i="6" s="1"/>
  <c r="BB1849" i="6" a="1"/>
  <c r="BB1849" i="6"/>
  <c r="BB1850" i="6" a="1"/>
  <c r="BB1850" i="6" s="1"/>
  <c r="BB1851" i="6" a="1"/>
  <c r="BB1851" i="6"/>
  <c r="BB1852" i="6" a="1"/>
  <c r="BB1852" i="6" s="1"/>
  <c r="BB1853" i="6" a="1"/>
  <c r="BB1853" i="6"/>
  <c r="BB1854" i="6" a="1"/>
  <c r="BB1854" i="6" s="1"/>
  <c r="BB1855" i="6" a="1"/>
  <c r="BB1855" i="6"/>
  <c r="BB1856" i="6" a="1"/>
  <c r="BB1856" i="6" s="1"/>
  <c r="BB1857" i="6" a="1"/>
  <c r="BB1857" i="6"/>
  <c r="BB1858" i="6" a="1"/>
  <c r="BB1858" i="6" s="1"/>
  <c r="BB1859" i="6" a="1"/>
  <c r="BB1859" i="6"/>
  <c r="BB1860" i="6" a="1"/>
  <c r="BB1860" i="6" s="1"/>
  <c r="BB1861" i="6" a="1"/>
  <c r="BB1861" i="6"/>
  <c r="BB1862" i="6" a="1"/>
  <c r="BB1862" i="6" s="1"/>
  <c r="BB1863" i="6" a="1"/>
  <c r="BB1863" i="6"/>
  <c r="BB1864" i="6" a="1"/>
  <c r="BB1864" i="6" s="1"/>
  <c r="BB1865" i="6" a="1"/>
  <c r="BB1865" i="6"/>
  <c r="BB1866" i="6" a="1"/>
  <c r="BB1866" i="6" s="1"/>
  <c r="BB1867" i="6" a="1"/>
  <c r="BB1867" i="6"/>
  <c r="BB1868" i="6" a="1"/>
  <c r="BB1868" i="6" s="1"/>
  <c r="BB1869" i="6" a="1"/>
  <c r="BB1869" i="6"/>
  <c r="BB1870" i="6" a="1"/>
  <c r="BB1870" i="6" s="1"/>
  <c r="BB1871" i="6" a="1"/>
  <c r="BB1871" i="6"/>
  <c r="BB1872" i="6" a="1"/>
  <c r="BB1872" i="6" s="1"/>
  <c r="BB1873" i="6" a="1"/>
  <c r="BB1873" i="6"/>
  <c r="BB1874" i="6" a="1"/>
  <c r="BB1874" i="6" s="1"/>
  <c r="BB1875" i="6" a="1"/>
  <c r="BB1875" i="6"/>
  <c r="BB1876" i="6" a="1"/>
  <c r="BB1876" i="6" s="1"/>
  <c r="BB1877" i="6" a="1"/>
  <c r="BB1877" i="6"/>
  <c r="BB1878" i="6" a="1"/>
  <c r="BB1878" i="6" s="1"/>
  <c r="BB1879" i="6" a="1"/>
  <c r="BB1879" i="6"/>
  <c r="BB1880" i="6" a="1"/>
  <c r="BB1880" i="6" s="1"/>
  <c r="BB1881" i="6" a="1"/>
  <c r="BB1881" i="6"/>
  <c r="BB1882" i="6" a="1"/>
  <c r="BB1882" i="6" s="1"/>
  <c r="BB1883" i="6" a="1"/>
  <c r="BB1883" i="6"/>
  <c r="BB1884" i="6" a="1"/>
  <c r="BB1884" i="6" s="1"/>
  <c r="BB1885" i="6" a="1"/>
  <c r="BB1885" i="6"/>
  <c r="BB1886" i="6" a="1"/>
  <c r="BB1886" i="6" s="1"/>
  <c r="BB1887" i="6" a="1"/>
  <c r="BB1887" i="6"/>
  <c r="BB1888" i="6" a="1"/>
  <c r="BB1888" i="6" s="1"/>
  <c r="BB1889" i="6" a="1"/>
  <c r="BB1889" i="6"/>
  <c r="BB1890" i="6" a="1"/>
  <c r="BB1890" i="6" s="1"/>
  <c r="BB1891" i="6" a="1"/>
  <c r="BB1891" i="6"/>
  <c r="BB1892" i="6" a="1"/>
  <c r="BB1892" i="6" s="1"/>
  <c r="BB1893" i="6" a="1"/>
  <c r="BB1893" i="6"/>
  <c r="BB1894" i="6" a="1"/>
  <c r="BB1894" i="6" s="1"/>
  <c r="BB1895" i="6" a="1"/>
  <c r="BB1895" i="6"/>
  <c r="BB1896" i="6" a="1"/>
  <c r="BB1896" i="6" s="1"/>
  <c r="BB1897" i="6" a="1"/>
  <c r="BB1897" i="6"/>
  <c r="BB1898" i="6" a="1"/>
  <c r="BB1898" i="6" s="1"/>
  <c r="BB1899" i="6" a="1"/>
  <c r="BB1899" i="6"/>
  <c r="BB1900" i="6" a="1"/>
  <c r="BB1900" i="6" s="1"/>
  <c r="BB1901" i="6" a="1"/>
  <c r="BB1901" i="6"/>
  <c r="BB1902" i="6" a="1"/>
  <c r="BB1902" i="6" s="1"/>
  <c r="BB1903" i="6" a="1"/>
  <c r="BB1903" i="6"/>
  <c r="BB1904" i="6" a="1"/>
  <c r="BB1904" i="6" s="1"/>
  <c r="BB1905" i="6" a="1"/>
  <c r="BB1905" i="6"/>
  <c r="BB1906" i="6" a="1"/>
  <c r="BB1906" i="6" s="1"/>
  <c r="BB1907" i="6" a="1"/>
  <c r="BB1907" i="6"/>
  <c r="BB1908" i="6" a="1"/>
  <c r="BB1908" i="6" s="1"/>
  <c r="BB1909" i="6" a="1"/>
  <c r="BB1909" i="6"/>
  <c r="BB1910" i="6" a="1"/>
  <c r="BB1910" i="6" s="1"/>
  <c r="BB1911" i="6" a="1"/>
  <c r="BB1911" i="6"/>
  <c r="BB1912" i="6" a="1"/>
  <c r="BB1912" i="6" s="1"/>
  <c r="BB1913" i="6" a="1"/>
  <c r="BB1913" i="6"/>
  <c r="BB1914" i="6" a="1"/>
  <c r="BB1914" i="6" s="1"/>
  <c r="BB1915" i="6" a="1"/>
  <c r="BB1915" i="6"/>
  <c r="BB1916" i="6" a="1"/>
  <c r="BB1916" i="6" s="1"/>
  <c r="BB1917" i="6" a="1"/>
  <c r="BB1917" i="6"/>
  <c r="BB1918" i="6" a="1"/>
  <c r="BB1918" i="6" s="1"/>
  <c r="BB1919" i="6" a="1"/>
  <c r="BB1919" i="6"/>
  <c r="BB1920" i="6" a="1"/>
  <c r="BB1920" i="6" s="1"/>
  <c r="BB1921" i="6" a="1"/>
  <c r="BB1921" i="6"/>
  <c r="BB1922" i="6" a="1"/>
  <c r="BB1922" i="6" s="1"/>
  <c r="BB1923" i="6" a="1"/>
  <c r="BB1923" i="6"/>
  <c r="BB1924" i="6" a="1"/>
  <c r="BB1924" i="6" s="1"/>
  <c r="BB1925" i="6" a="1"/>
  <c r="BB1925" i="6"/>
  <c r="BB1926" i="6" a="1"/>
  <c r="BB1926" i="6" s="1"/>
  <c r="BB1927" i="6" a="1"/>
  <c r="BB1927" i="6"/>
  <c r="BB1928" i="6" a="1"/>
  <c r="BB1928" i="6" s="1"/>
  <c r="BB1929" i="6" a="1"/>
  <c r="BB1929" i="6"/>
  <c r="BB1930" i="6" a="1"/>
  <c r="BB1930" i="6" s="1"/>
  <c r="BB1931" i="6" a="1"/>
  <c r="BB1931" i="6"/>
  <c r="BB1932" i="6" a="1"/>
  <c r="BB1932" i="6" s="1"/>
  <c r="BB1933" i="6" a="1"/>
  <c r="BB1933" i="6"/>
  <c r="BB1934" i="6" a="1"/>
  <c r="BB1934" i="6" s="1"/>
  <c r="BB1935" i="6" a="1"/>
  <c r="BB1935" i="6"/>
  <c r="BB1936" i="6" a="1"/>
  <c r="BB1936" i="6" s="1"/>
  <c r="BB1937" i="6" a="1"/>
  <c r="BB1937" i="6"/>
  <c r="BB1938" i="6" a="1"/>
  <c r="BB1938" i="6" s="1"/>
  <c r="BB1939" i="6" a="1"/>
  <c r="BB1939" i="6"/>
  <c r="BB1940" i="6" a="1"/>
  <c r="BB1940" i="6" s="1"/>
  <c r="BB1941" i="6" a="1"/>
  <c r="BB1941" i="6"/>
  <c r="BB1942" i="6" a="1"/>
  <c r="BB1942" i="6" s="1"/>
  <c r="BB1943" i="6" a="1"/>
  <c r="BB1943" i="6"/>
  <c r="BB1944" i="6" a="1"/>
  <c r="BB1944" i="6" s="1"/>
  <c r="BB1945" i="6" a="1"/>
  <c r="BB1945" i="6"/>
  <c r="BB1946" i="6" a="1"/>
  <c r="BB1946" i="6" s="1"/>
  <c r="BB1947" i="6" a="1"/>
  <c r="BB1947" i="6"/>
  <c r="BB1948" i="6" a="1"/>
  <c r="BB1948" i="6" s="1"/>
  <c r="BB1949" i="6" a="1"/>
  <c r="BB1949" i="6"/>
  <c r="BB1950" i="6" a="1"/>
  <c r="BB1950" i="6" s="1"/>
  <c r="BB1951" i="6" a="1"/>
  <c r="BB1951" i="6"/>
  <c r="BB1952" i="6" a="1"/>
  <c r="BB1952" i="6" s="1"/>
  <c r="BB1953" i="6" a="1"/>
  <c r="BB1953" i="6"/>
  <c r="BB1954" i="6" a="1"/>
  <c r="BB1954" i="6" s="1"/>
  <c r="BB1955" i="6" a="1"/>
  <c r="BB1955" i="6"/>
  <c r="BB1956" i="6" a="1"/>
  <c r="BB1956" i="6" s="1"/>
  <c r="BB1957" i="6" a="1"/>
  <c r="BB1957" i="6"/>
  <c r="BB1958" i="6" a="1"/>
  <c r="BB1958" i="6" s="1"/>
  <c r="BB1959" i="6" a="1"/>
  <c r="BB1959" i="6"/>
  <c r="BB1960" i="6" a="1"/>
  <c r="BB1960" i="6" s="1"/>
  <c r="BB1961" i="6" a="1"/>
  <c r="BB1961" i="6"/>
  <c r="BB1962" i="6" a="1"/>
  <c r="BB1962" i="6" s="1"/>
  <c r="BB1963" i="6" a="1"/>
  <c r="BB1963" i="6"/>
  <c r="BB1964" i="6" a="1"/>
  <c r="BB1964" i="6" s="1"/>
  <c r="BB1965" i="6" a="1"/>
  <c r="BB1965" i="6"/>
  <c r="BB1966" i="6" a="1"/>
  <c r="BB1966" i="6" s="1"/>
  <c r="BB1967" i="6" a="1"/>
  <c r="BB1967" i="6"/>
  <c r="BB1968" i="6" a="1"/>
  <c r="BB1968" i="6" s="1"/>
  <c r="BB1969" i="6" a="1"/>
  <c r="BB1969" i="6"/>
  <c r="BB1970" i="6" a="1"/>
  <c r="BB1970" i="6" s="1"/>
  <c r="BB1971" i="6" a="1"/>
  <c r="BB1971" i="6"/>
  <c r="BB1972" i="6" a="1"/>
  <c r="BB1972" i="6" s="1"/>
  <c r="BB1973" i="6" a="1"/>
  <c r="BB1973" i="6"/>
  <c r="BB1974" i="6" a="1"/>
  <c r="BB1974" i="6" s="1"/>
  <c r="BB1975" i="6" a="1"/>
  <c r="BB1975" i="6"/>
  <c r="BB1976" i="6" a="1"/>
  <c r="BB1976" i="6" s="1"/>
  <c r="BB1977" i="6" a="1"/>
  <c r="BB1977" i="6"/>
  <c r="BB1978" i="6" a="1"/>
  <c r="BB1978" i="6" s="1"/>
  <c r="BB1979" i="6" a="1"/>
  <c r="BB1979" i="6"/>
  <c r="BB1980" i="6" a="1"/>
  <c r="BB1980" i="6" s="1"/>
  <c r="BB1981" i="6" a="1"/>
  <c r="BB1981" i="6"/>
  <c r="BB1982" i="6" a="1"/>
  <c r="BB1982" i="6" s="1"/>
  <c r="BB1983" i="6" a="1"/>
  <c r="BB1983" i="6"/>
  <c r="BB1984" i="6" a="1"/>
  <c r="BB1984" i="6" s="1"/>
  <c r="BB1985" i="6" a="1"/>
  <c r="BB1985" i="6"/>
  <c r="BB1986" i="6" a="1"/>
  <c r="BB1986" i="6" s="1"/>
  <c r="BB1987" i="6" a="1"/>
  <c r="BB1987" i="6"/>
  <c r="BB1988" i="6" a="1"/>
  <c r="BB1988" i="6" s="1"/>
  <c r="BB1989" i="6" a="1"/>
  <c r="BB1989" i="6"/>
  <c r="BB1990" i="6" a="1"/>
  <c r="BB1990" i="6" s="1"/>
  <c r="BB1991" i="6" a="1"/>
  <c r="BB1991" i="6"/>
  <c r="BB1992" i="6" a="1"/>
  <c r="BB1992" i="6" s="1"/>
  <c r="BB1993" i="6" a="1"/>
  <c r="BB1993" i="6"/>
  <c r="BB1994" i="6" a="1"/>
  <c r="BB1994" i="6" s="1"/>
  <c r="BB1995" i="6" a="1"/>
  <c r="BB1995" i="6"/>
  <c r="BB1996" i="6" a="1"/>
  <c r="BB1996" i="6" s="1"/>
  <c r="BB1997" i="6" a="1"/>
  <c r="BB1997" i="6"/>
  <c r="BB1998" i="6" a="1"/>
  <c r="BB1998" i="6" s="1"/>
  <c r="BB1999" i="6" a="1"/>
  <c r="BB1999" i="6"/>
  <c r="BB2000" i="6" a="1"/>
  <c r="BB2000" i="6" s="1"/>
  <c r="BB2001" i="6" a="1"/>
  <c r="BB2001" i="6"/>
  <c r="BB2002" i="6" a="1"/>
  <c r="BB2002" i="6" s="1"/>
  <c r="BB2003" i="6" a="1"/>
  <c r="BB2003" i="6"/>
  <c r="BB2004" i="6" a="1"/>
  <c r="BB2004" i="6" s="1"/>
  <c r="BB2005" i="6" a="1"/>
  <c r="BB2005" i="6"/>
  <c r="BB2006" i="6" a="1"/>
  <c r="BB2006" i="6" s="1"/>
  <c r="BB2007" i="6" a="1"/>
  <c r="BB2007" i="6"/>
  <c r="BB2008" i="6" a="1"/>
  <c r="BB2008" i="6" s="1"/>
  <c r="BD11" i="6" l="1" a="1"/>
  <c r="BD11" i="6" s="1"/>
  <c r="O9" i="6"/>
  <c r="F12" i="2" l="1"/>
  <c r="B28" i="2"/>
  <c r="E55" i="4" l="1"/>
  <c r="C55" i="4"/>
  <c r="B46" i="4"/>
  <c r="B47" i="4"/>
  <c r="B48" i="4"/>
  <c r="B45" i="4"/>
  <c r="B39" i="4"/>
  <c r="B40" i="4"/>
  <c r="B41" i="4"/>
  <c r="B42" i="4"/>
  <c r="B43" i="4"/>
  <c r="B44" i="4"/>
  <c r="B38" i="4"/>
  <c r="B31" i="4"/>
  <c r="B32" i="4"/>
  <c r="B33" i="4"/>
  <c r="B34" i="4"/>
  <c r="B35" i="4"/>
  <c r="B36" i="4"/>
  <c r="B37" i="4"/>
  <c r="B30" i="4"/>
  <c r="B27" i="4"/>
  <c r="B28" i="4"/>
  <c r="B29" i="4"/>
  <c r="B26" i="4"/>
  <c r="B25" i="4"/>
  <c r="B24" i="4"/>
  <c r="B21" i="4"/>
  <c r="B22" i="4"/>
  <c r="B23" i="4"/>
  <c r="B20" i="4"/>
  <c r="O8" i="6"/>
  <c r="P8" i="6" s="1"/>
  <c r="J10" i="6"/>
  <c r="K10" i="6" s="1"/>
  <c r="J11" i="6"/>
  <c r="K11" i="6" s="1"/>
  <c r="J12" i="6"/>
  <c r="K12" i="6" s="1"/>
  <c r="J13" i="6"/>
  <c r="K13" i="6" s="1"/>
  <c r="J14" i="6"/>
  <c r="K14" i="6" s="1"/>
  <c r="J15" i="6"/>
  <c r="K15" i="6" s="1"/>
  <c r="BB15" i="6" s="1" a="1"/>
  <c r="BB15" i="6" s="1"/>
  <c r="BC15" i="6" s="1" a="1"/>
  <c r="BC15" i="6" s="1"/>
  <c r="J16" i="6"/>
  <c r="K16" i="6" s="1"/>
  <c r="J17" i="6"/>
  <c r="K17" i="6" s="1"/>
  <c r="J18" i="6"/>
  <c r="K18" i="6" s="1"/>
  <c r="J19" i="6"/>
  <c r="K19" i="6" s="1"/>
  <c r="J20" i="6"/>
  <c r="K20" i="6" s="1"/>
  <c r="J21" i="6"/>
  <c r="K21" i="6" s="1"/>
  <c r="J22" i="6"/>
  <c r="K22" i="6" s="1"/>
  <c r="J23" i="6"/>
  <c r="K23" i="6" s="1"/>
  <c r="J24" i="6"/>
  <c r="K24" i="6" s="1"/>
  <c r="J25" i="6"/>
  <c r="K25" i="6" s="1"/>
  <c r="J26" i="6"/>
  <c r="K26" i="6" s="1"/>
  <c r="J27" i="6"/>
  <c r="K27" i="6" s="1"/>
  <c r="J28" i="6"/>
  <c r="K28" i="6" s="1"/>
  <c r="J29" i="6"/>
  <c r="K29" i="6" s="1"/>
  <c r="J30" i="6"/>
  <c r="K30" i="6" s="1"/>
  <c r="J31" i="6"/>
  <c r="K31" i="6" s="1"/>
  <c r="J32" i="6"/>
  <c r="K32" i="6" s="1"/>
  <c r="J33" i="6"/>
  <c r="K33" i="6" s="1"/>
  <c r="J34" i="6"/>
  <c r="K34" i="6" s="1"/>
  <c r="J35" i="6"/>
  <c r="K35" i="6" s="1"/>
  <c r="J36" i="6"/>
  <c r="K36" i="6" s="1"/>
  <c r="J37" i="6"/>
  <c r="K37" i="6" s="1"/>
  <c r="J38" i="6"/>
  <c r="K38" i="6" s="1"/>
  <c r="J39" i="6"/>
  <c r="K39" i="6" s="1"/>
  <c r="J40" i="6"/>
  <c r="K40" i="6" s="1"/>
  <c r="J41" i="6"/>
  <c r="K41" i="6" s="1"/>
  <c r="J42" i="6"/>
  <c r="K42" i="6" s="1"/>
  <c r="J43" i="6"/>
  <c r="K43" i="6" s="1"/>
  <c r="J44" i="6"/>
  <c r="K44" i="6" s="1"/>
  <c r="J45" i="6"/>
  <c r="K45" i="6" s="1"/>
  <c r="J46" i="6"/>
  <c r="K46" i="6" s="1"/>
  <c r="J47" i="6"/>
  <c r="K47" i="6" s="1"/>
  <c r="J48" i="6"/>
  <c r="K48" i="6" s="1"/>
  <c r="J49" i="6"/>
  <c r="K49" i="6" s="1"/>
  <c r="J50" i="6"/>
  <c r="K50" i="6" s="1"/>
  <c r="J51" i="6"/>
  <c r="K51" i="6" s="1"/>
  <c r="J52" i="6"/>
  <c r="K52" i="6" s="1"/>
  <c r="J53" i="6"/>
  <c r="K53" i="6" s="1"/>
  <c r="J54" i="6"/>
  <c r="K54" i="6" s="1"/>
  <c r="J55" i="6"/>
  <c r="K55" i="6" s="1"/>
  <c r="J56" i="6"/>
  <c r="K56" i="6" s="1"/>
  <c r="J57" i="6"/>
  <c r="K57" i="6" s="1"/>
  <c r="J58" i="6"/>
  <c r="K58" i="6" s="1"/>
  <c r="J59" i="6"/>
  <c r="K59" i="6" s="1"/>
  <c r="J60" i="6"/>
  <c r="K60" i="6" s="1"/>
  <c r="J61" i="6"/>
  <c r="K61" i="6" s="1"/>
  <c r="J62" i="6"/>
  <c r="K62" i="6" s="1"/>
  <c r="J63" i="6"/>
  <c r="K63" i="6" s="1"/>
  <c r="J64" i="6"/>
  <c r="K64" i="6" s="1"/>
  <c r="J65" i="6"/>
  <c r="K65" i="6" s="1"/>
  <c r="J66" i="6"/>
  <c r="K66" i="6" s="1"/>
  <c r="J67" i="6"/>
  <c r="K67" i="6" s="1"/>
  <c r="J68" i="6"/>
  <c r="K68" i="6" s="1"/>
  <c r="J69" i="6"/>
  <c r="K69" i="6" s="1"/>
  <c r="J70" i="6"/>
  <c r="K70" i="6" s="1"/>
  <c r="J71" i="6"/>
  <c r="K71" i="6" s="1"/>
  <c r="J72" i="6"/>
  <c r="K72" i="6" s="1"/>
  <c r="J73" i="6"/>
  <c r="K73" i="6" s="1"/>
  <c r="J74" i="6"/>
  <c r="K74" i="6" s="1"/>
  <c r="J75" i="6"/>
  <c r="K75" i="6" s="1"/>
  <c r="J76" i="6"/>
  <c r="K76" i="6" s="1"/>
  <c r="J77" i="6"/>
  <c r="K77" i="6" s="1"/>
  <c r="J78" i="6"/>
  <c r="K78" i="6" s="1"/>
  <c r="J79" i="6"/>
  <c r="K79" i="6" s="1"/>
  <c r="J80" i="6"/>
  <c r="K80" i="6" s="1"/>
  <c r="J81" i="6"/>
  <c r="K81" i="6" s="1"/>
  <c r="J82" i="6"/>
  <c r="K82" i="6" s="1"/>
  <c r="J83" i="6"/>
  <c r="K83" i="6" s="1"/>
  <c r="J84" i="6"/>
  <c r="K84" i="6" s="1"/>
  <c r="J85" i="6"/>
  <c r="K85" i="6" s="1"/>
  <c r="J86" i="6"/>
  <c r="K86" i="6" s="1"/>
  <c r="J87" i="6"/>
  <c r="K87" i="6" s="1"/>
  <c r="J88" i="6"/>
  <c r="K88" i="6" s="1"/>
  <c r="J89" i="6"/>
  <c r="K89" i="6" s="1"/>
  <c r="J90" i="6"/>
  <c r="K90" i="6" s="1"/>
  <c r="J91" i="6"/>
  <c r="K91" i="6" s="1"/>
  <c r="J92" i="6"/>
  <c r="K92" i="6" s="1"/>
  <c r="J93" i="6"/>
  <c r="K93" i="6" s="1"/>
  <c r="J94" i="6"/>
  <c r="K94" i="6" s="1"/>
  <c r="J95" i="6"/>
  <c r="K95" i="6" s="1"/>
  <c r="J96" i="6"/>
  <c r="K96" i="6" s="1"/>
  <c r="J97" i="6"/>
  <c r="K97" i="6" s="1"/>
  <c r="J98" i="6"/>
  <c r="K98" i="6" s="1"/>
  <c r="J99" i="6"/>
  <c r="K99" i="6" s="1"/>
  <c r="J100" i="6"/>
  <c r="K100" i="6" s="1"/>
  <c r="J101" i="6"/>
  <c r="K101" i="6" s="1"/>
  <c r="J102" i="6"/>
  <c r="K102" i="6" s="1"/>
  <c r="J103" i="6"/>
  <c r="K103" i="6" s="1"/>
  <c r="J104" i="6"/>
  <c r="K104" i="6" s="1"/>
  <c r="J105" i="6"/>
  <c r="K105" i="6" s="1"/>
  <c r="J106" i="6"/>
  <c r="K106" i="6" s="1"/>
  <c r="J107" i="6"/>
  <c r="K107" i="6" s="1"/>
  <c r="J108" i="6"/>
  <c r="K108" i="6" s="1"/>
  <c r="J109" i="6"/>
  <c r="K109" i="6" s="1"/>
  <c r="J110" i="6"/>
  <c r="K110" i="6" s="1"/>
  <c r="J111" i="6"/>
  <c r="K111" i="6" s="1"/>
  <c r="J112" i="6"/>
  <c r="K112" i="6" s="1"/>
  <c r="J113" i="6"/>
  <c r="K113" i="6" s="1"/>
  <c r="J114" i="6"/>
  <c r="K114" i="6" s="1"/>
  <c r="J115" i="6"/>
  <c r="K115" i="6" s="1"/>
  <c r="J116" i="6"/>
  <c r="K116" i="6" s="1"/>
  <c r="J117" i="6"/>
  <c r="K117" i="6" s="1"/>
  <c r="J118" i="6"/>
  <c r="K118" i="6" s="1"/>
  <c r="J119" i="6"/>
  <c r="K119" i="6" s="1"/>
  <c r="J120" i="6"/>
  <c r="K120" i="6" s="1"/>
  <c r="J121" i="6"/>
  <c r="K121" i="6" s="1"/>
  <c r="J122" i="6"/>
  <c r="K122" i="6" s="1"/>
  <c r="J123" i="6"/>
  <c r="K123" i="6" s="1"/>
  <c r="J124" i="6"/>
  <c r="K124" i="6" s="1"/>
  <c r="J125" i="6"/>
  <c r="K125" i="6" s="1"/>
  <c r="J126" i="6"/>
  <c r="K126" i="6" s="1"/>
  <c r="J127" i="6"/>
  <c r="K127" i="6" s="1"/>
  <c r="J128" i="6"/>
  <c r="K128" i="6" s="1"/>
  <c r="J129" i="6"/>
  <c r="K129" i="6" s="1"/>
  <c r="J130" i="6"/>
  <c r="K130" i="6" s="1"/>
  <c r="J131" i="6"/>
  <c r="K131" i="6" s="1"/>
  <c r="J132" i="6"/>
  <c r="K132" i="6" s="1"/>
  <c r="J133" i="6"/>
  <c r="K133" i="6" s="1"/>
  <c r="J134" i="6"/>
  <c r="K134" i="6" s="1"/>
  <c r="J135" i="6"/>
  <c r="K135" i="6" s="1"/>
  <c r="J136" i="6"/>
  <c r="K136" i="6" s="1"/>
  <c r="J137" i="6"/>
  <c r="K137" i="6" s="1"/>
  <c r="J138" i="6"/>
  <c r="K138" i="6" s="1"/>
  <c r="J139" i="6"/>
  <c r="K139" i="6" s="1"/>
  <c r="J140" i="6"/>
  <c r="K140" i="6" s="1"/>
  <c r="J141" i="6"/>
  <c r="K141" i="6" s="1"/>
  <c r="J142" i="6"/>
  <c r="K142" i="6" s="1"/>
  <c r="J143" i="6"/>
  <c r="K143" i="6" s="1"/>
  <c r="J144" i="6"/>
  <c r="K144" i="6" s="1"/>
  <c r="J145" i="6"/>
  <c r="K145" i="6" s="1"/>
  <c r="J146" i="6"/>
  <c r="K146" i="6" s="1"/>
  <c r="J147" i="6"/>
  <c r="K147" i="6" s="1"/>
  <c r="J148" i="6"/>
  <c r="K148" i="6" s="1"/>
  <c r="J149" i="6"/>
  <c r="K149" i="6" s="1"/>
  <c r="J150" i="6"/>
  <c r="K150" i="6" s="1"/>
  <c r="J151" i="6"/>
  <c r="K151" i="6" s="1"/>
  <c r="J152" i="6"/>
  <c r="K152" i="6" s="1"/>
  <c r="J153" i="6"/>
  <c r="K153" i="6" s="1"/>
  <c r="J154" i="6"/>
  <c r="K154" i="6" s="1"/>
  <c r="J155" i="6"/>
  <c r="K155" i="6" s="1"/>
  <c r="J156" i="6"/>
  <c r="K156" i="6" s="1"/>
  <c r="J157" i="6"/>
  <c r="K157" i="6" s="1"/>
  <c r="J158" i="6"/>
  <c r="K158" i="6" s="1"/>
  <c r="J159" i="6"/>
  <c r="K159" i="6" s="1"/>
  <c r="J160" i="6"/>
  <c r="K160" i="6" s="1"/>
  <c r="J161" i="6"/>
  <c r="K161" i="6" s="1"/>
  <c r="J162" i="6"/>
  <c r="K162" i="6" s="1"/>
  <c r="J163" i="6"/>
  <c r="K163" i="6" s="1"/>
  <c r="J164" i="6"/>
  <c r="K164" i="6" s="1"/>
  <c r="J165" i="6"/>
  <c r="K165" i="6" s="1"/>
  <c r="J166" i="6"/>
  <c r="K166" i="6" s="1"/>
  <c r="J167" i="6"/>
  <c r="K167" i="6" s="1"/>
  <c r="J168" i="6"/>
  <c r="K168" i="6" s="1"/>
  <c r="J169" i="6"/>
  <c r="K169" i="6" s="1"/>
  <c r="J170" i="6"/>
  <c r="K170" i="6" s="1"/>
  <c r="J171" i="6"/>
  <c r="K171" i="6" s="1"/>
  <c r="J172" i="6"/>
  <c r="K172" i="6" s="1"/>
  <c r="J173" i="6"/>
  <c r="K173" i="6" s="1"/>
  <c r="J174" i="6"/>
  <c r="K174" i="6" s="1"/>
  <c r="J175" i="6"/>
  <c r="K175" i="6" s="1"/>
  <c r="J176" i="6"/>
  <c r="K176" i="6" s="1"/>
  <c r="J177" i="6"/>
  <c r="K177" i="6" s="1"/>
  <c r="J178" i="6"/>
  <c r="K178" i="6" s="1"/>
  <c r="J179" i="6"/>
  <c r="K179" i="6" s="1"/>
  <c r="J180" i="6"/>
  <c r="K180" i="6" s="1"/>
  <c r="J181" i="6"/>
  <c r="K181" i="6" s="1"/>
  <c r="J182" i="6"/>
  <c r="K182" i="6" s="1"/>
  <c r="J183" i="6"/>
  <c r="K183" i="6" s="1"/>
  <c r="J184" i="6"/>
  <c r="K184" i="6" s="1"/>
  <c r="J185" i="6"/>
  <c r="K185" i="6" s="1"/>
  <c r="J186" i="6"/>
  <c r="K186" i="6" s="1"/>
  <c r="J187" i="6"/>
  <c r="K187" i="6" s="1"/>
  <c r="J188" i="6"/>
  <c r="K188" i="6" s="1"/>
  <c r="J189" i="6"/>
  <c r="K189" i="6" s="1"/>
  <c r="J190" i="6"/>
  <c r="K190" i="6" s="1"/>
  <c r="J191" i="6"/>
  <c r="K191" i="6" s="1"/>
  <c r="J192" i="6"/>
  <c r="K192" i="6" s="1"/>
  <c r="J193" i="6"/>
  <c r="K193" i="6" s="1"/>
  <c r="J194" i="6"/>
  <c r="K194" i="6" s="1"/>
  <c r="J195" i="6"/>
  <c r="K195" i="6" s="1"/>
  <c r="J196" i="6"/>
  <c r="K196" i="6" s="1"/>
  <c r="J197" i="6"/>
  <c r="K197" i="6" s="1"/>
  <c r="J198" i="6"/>
  <c r="K198" i="6" s="1"/>
  <c r="J199" i="6"/>
  <c r="K199" i="6" s="1"/>
  <c r="J200" i="6"/>
  <c r="K200" i="6" s="1"/>
  <c r="J201" i="6"/>
  <c r="K201" i="6" s="1"/>
  <c r="J202" i="6"/>
  <c r="K202" i="6" s="1"/>
  <c r="J203" i="6"/>
  <c r="K203" i="6" s="1"/>
  <c r="J204" i="6"/>
  <c r="K204" i="6" s="1"/>
  <c r="J205" i="6"/>
  <c r="K205" i="6" s="1"/>
  <c r="J206" i="6"/>
  <c r="K206" i="6" s="1"/>
  <c r="J207" i="6"/>
  <c r="K207" i="6" s="1"/>
  <c r="J208" i="6"/>
  <c r="K208" i="6" s="1"/>
  <c r="J209" i="6"/>
  <c r="K209" i="6" s="1"/>
  <c r="J210" i="6"/>
  <c r="K210" i="6" s="1"/>
  <c r="J211" i="6"/>
  <c r="K211" i="6" s="1"/>
  <c r="J212" i="6"/>
  <c r="K212" i="6" s="1"/>
  <c r="J213" i="6"/>
  <c r="K213" i="6" s="1"/>
  <c r="J214" i="6"/>
  <c r="K214" i="6" s="1"/>
  <c r="J215" i="6"/>
  <c r="K215" i="6" s="1"/>
  <c r="J216" i="6"/>
  <c r="K216" i="6" s="1"/>
  <c r="J217" i="6"/>
  <c r="K217" i="6" s="1"/>
  <c r="J218" i="6"/>
  <c r="K218" i="6" s="1"/>
  <c r="J219" i="6"/>
  <c r="K219" i="6" s="1"/>
  <c r="J220" i="6"/>
  <c r="K220" i="6" s="1"/>
  <c r="J221" i="6"/>
  <c r="K221" i="6" s="1"/>
  <c r="J222" i="6"/>
  <c r="K222" i="6" s="1"/>
  <c r="J223" i="6"/>
  <c r="K223" i="6" s="1"/>
  <c r="J224" i="6"/>
  <c r="K224" i="6" s="1"/>
  <c r="J225" i="6"/>
  <c r="K225" i="6" s="1"/>
  <c r="J226" i="6"/>
  <c r="K226" i="6" s="1"/>
  <c r="J227" i="6"/>
  <c r="K227" i="6" s="1"/>
  <c r="J228" i="6"/>
  <c r="K228" i="6" s="1"/>
  <c r="J229" i="6"/>
  <c r="K229" i="6" s="1"/>
  <c r="J230" i="6"/>
  <c r="K230" i="6" s="1"/>
  <c r="J231" i="6"/>
  <c r="K231" i="6" s="1"/>
  <c r="J232" i="6"/>
  <c r="K232" i="6" s="1"/>
  <c r="J233" i="6"/>
  <c r="K233" i="6" s="1"/>
  <c r="J234" i="6"/>
  <c r="K234" i="6" s="1"/>
  <c r="J235" i="6"/>
  <c r="K235" i="6" s="1"/>
  <c r="J236" i="6"/>
  <c r="K236" i="6" s="1"/>
  <c r="J237" i="6"/>
  <c r="K237" i="6" s="1"/>
  <c r="J238" i="6"/>
  <c r="K238" i="6" s="1"/>
  <c r="J239" i="6"/>
  <c r="K239" i="6" s="1"/>
  <c r="J240" i="6"/>
  <c r="K240" i="6" s="1"/>
  <c r="J241" i="6"/>
  <c r="K241" i="6" s="1"/>
  <c r="J242" i="6"/>
  <c r="K242" i="6" s="1"/>
  <c r="J243" i="6"/>
  <c r="K243" i="6" s="1"/>
  <c r="J244" i="6"/>
  <c r="K244" i="6" s="1"/>
  <c r="J245" i="6"/>
  <c r="K245" i="6" s="1"/>
  <c r="J246" i="6"/>
  <c r="K246" i="6" s="1"/>
  <c r="J247" i="6"/>
  <c r="K247" i="6" s="1"/>
  <c r="J248" i="6"/>
  <c r="K248" i="6" s="1"/>
  <c r="J249" i="6"/>
  <c r="K249" i="6" s="1"/>
  <c r="J250" i="6"/>
  <c r="K250" i="6" s="1"/>
  <c r="J251" i="6"/>
  <c r="K251" i="6" s="1"/>
  <c r="J252" i="6"/>
  <c r="K252" i="6" s="1"/>
  <c r="J253" i="6"/>
  <c r="K253" i="6" s="1"/>
  <c r="J254" i="6"/>
  <c r="K254" i="6" s="1"/>
  <c r="J255" i="6"/>
  <c r="K255" i="6" s="1"/>
  <c r="J256" i="6"/>
  <c r="K256" i="6" s="1"/>
  <c r="J257" i="6"/>
  <c r="K257" i="6" s="1"/>
  <c r="J258" i="6"/>
  <c r="K258" i="6" s="1"/>
  <c r="J259" i="6"/>
  <c r="K259" i="6" s="1"/>
  <c r="J260" i="6"/>
  <c r="K260" i="6" s="1"/>
  <c r="J261" i="6"/>
  <c r="K261" i="6" s="1"/>
  <c r="J262" i="6"/>
  <c r="K262" i="6" s="1"/>
  <c r="J263" i="6"/>
  <c r="K263" i="6" s="1"/>
  <c r="J264" i="6"/>
  <c r="K264" i="6" s="1"/>
  <c r="J265" i="6"/>
  <c r="K265" i="6" s="1"/>
  <c r="J266" i="6"/>
  <c r="K266" i="6" s="1"/>
  <c r="J267" i="6"/>
  <c r="K267" i="6" s="1"/>
  <c r="J268" i="6"/>
  <c r="K268" i="6" s="1"/>
  <c r="J269" i="6"/>
  <c r="K269" i="6" s="1"/>
  <c r="J270" i="6"/>
  <c r="K270" i="6" s="1"/>
  <c r="J271" i="6"/>
  <c r="K271" i="6" s="1"/>
  <c r="J272" i="6"/>
  <c r="K272" i="6" s="1"/>
  <c r="J273" i="6"/>
  <c r="K273" i="6" s="1"/>
  <c r="J274" i="6"/>
  <c r="K274" i="6" s="1"/>
  <c r="J275" i="6"/>
  <c r="K275" i="6" s="1"/>
  <c r="J276" i="6"/>
  <c r="K276" i="6" s="1"/>
  <c r="J277" i="6"/>
  <c r="K277" i="6" s="1"/>
  <c r="J278" i="6"/>
  <c r="K278" i="6" s="1"/>
  <c r="J279" i="6"/>
  <c r="K279" i="6" s="1"/>
  <c r="J280" i="6"/>
  <c r="K280" i="6" s="1"/>
  <c r="J281" i="6"/>
  <c r="K281" i="6" s="1"/>
  <c r="J282" i="6"/>
  <c r="K282" i="6" s="1"/>
  <c r="J283" i="6"/>
  <c r="K283" i="6" s="1"/>
  <c r="J284" i="6"/>
  <c r="K284" i="6" s="1"/>
  <c r="J285" i="6"/>
  <c r="K285" i="6" s="1"/>
  <c r="J286" i="6"/>
  <c r="K286" i="6" s="1"/>
  <c r="J287" i="6"/>
  <c r="K287" i="6" s="1"/>
  <c r="J288" i="6"/>
  <c r="K288" i="6" s="1"/>
  <c r="J289" i="6"/>
  <c r="K289" i="6" s="1"/>
  <c r="J290" i="6"/>
  <c r="K290" i="6" s="1"/>
  <c r="J291" i="6"/>
  <c r="K291" i="6" s="1"/>
  <c r="J292" i="6"/>
  <c r="K292" i="6" s="1"/>
  <c r="J293" i="6"/>
  <c r="K293" i="6" s="1"/>
  <c r="J294" i="6"/>
  <c r="K294" i="6" s="1"/>
  <c r="J295" i="6"/>
  <c r="K295" i="6" s="1"/>
  <c r="J296" i="6"/>
  <c r="K296" i="6" s="1"/>
  <c r="J297" i="6"/>
  <c r="K297" i="6" s="1"/>
  <c r="J298" i="6"/>
  <c r="K298" i="6" s="1"/>
  <c r="J299" i="6"/>
  <c r="K299" i="6" s="1"/>
  <c r="J300" i="6"/>
  <c r="K300" i="6" s="1"/>
  <c r="J301" i="6"/>
  <c r="K301" i="6" s="1"/>
  <c r="J302" i="6"/>
  <c r="K302" i="6" s="1"/>
  <c r="J303" i="6"/>
  <c r="K303" i="6" s="1"/>
  <c r="J304" i="6"/>
  <c r="K304" i="6" s="1"/>
  <c r="J305" i="6"/>
  <c r="K305" i="6" s="1"/>
  <c r="J306" i="6"/>
  <c r="K306" i="6" s="1"/>
  <c r="J307" i="6"/>
  <c r="K307" i="6" s="1"/>
  <c r="J308" i="6"/>
  <c r="K308" i="6" s="1"/>
  <c r="J309" i="6"/>
  <c r="K309" i="6" s="1"/>
  <c r="J310" i="6"/>
  <c r="K310" i="6" s="1"/>
  <c r="J311" i="6"/>
  <c r="K311" i="6" s="1"/>
  <c r="J312" i="6"/>
  <c r="K312" i="6" s="1"/>
  <c r="J313" i="6"/>
  <c r="K313" i="6" s="1"/>
  <c r="J314" i="6"/>
  <c r="K314" i="6" s="1"/>
  <c r="J315" i="6"/>
  <c r="K315" i="6" s="1"/>
  <c r="J316" i="6"/>
  <c r="K316" i="6" s="1"/>
  <c r="J317" i="6"/>
  <c r="K317" i="6" s="1"/>
  <c r="J318" i="6"/>
  <c r="K318" i="6" s="1"/>
  <c r="J319" i="6"/>
  <c r="K319" i="6" s="1"/>
  <c r="J320" i="6"/>
  <c r="K320" i="6" s="1"/>
  <c r="J321" i="6"/>
  <c r="K321" i="6" s="1"/>
  <c r="J322" i="6"/>
  <c r="K322" i="6" s="1"/>
  <c r="J323" i="6"/>
  <c r="K323" i="6" s="1"/>
  <c r="J324" i="6"/>
  <c r="K324" i="6" s="1"/>
  <c r="J325" i="6"/>
  <c r="K325" i="6" s="1"/>
  <c r="J326" i="6"/>
  <c r="K326" i="6" s="1"/>
  <c r="J327" i="6"/>
  <c r="K327" i="6" s="1"/>
  <c r="J328" i="6"/>
  <c r="K328" i="6" s="1"/>
  <c r="J329" i="6"/>
  <c r="K329" i="6" s="1"/>
  <c r="J330" i="6"/>
  <c r="K330" i="6" s="1"/>
  <c r="J331" i="6"/>
  <c r="K331" i="6" s="1"/>
  <c r="J332" i="6"/>
  <c r="K332" i="6" s="1"/>
  <c r="J333" i="6"/>
  <c r="K333" i="6" s="1"/>
  <c r="J334" i="6"/>
  <c r="K334" i="6" s="1"/>
  <c r="J335" i="6"/>
  <c r="K335" i="6" s="1"/>
  <c r="J336" i="6"/>
  <c r="K336" i="6" s="1"/>
  <c r="J337" i="6"/>
  <c r="K337" i="6" s="1"/>
  <c r="J338" i="6"/>
  <c r="K338" i="6" s="1"/>
  <c r="J339" i="6"/>
  <c r="K339" i="6" s="1"/>
  <c r="J340" i="6"/>
  <c r="K340" i="6" s="1"/>
  <c r="J341" i="6"/>
  <c r="K341" i="6" s="1"/>
  <c r="J342" i="6"/>
  <c r="K342" i="6" s="1"/>
  <c r="J343" i="6"/>
  <c r="K343" i="6" s="1"/>
  <c r="J344" i="6"/>
  <c r="K344" i="6" s="1"/>
  <c r="J345" i="6"/>
  <c r="K345" i="6" s="1"/>
  <c r="J346" i="6"/>
  <c r="K346" i="6" s="1"/>
  <c r="J347" i="6"/>
  <c r="K347" i="6" s="1"/>
  <c r="J348" i="6"/>
  <c r="K348" i="6" s="1"/>
  <c r="J349" i="6"/>
  <c r="K349" i="6" s="1"/>
  <c r="J350" i="6"/>
  <c r="K350" i="6" s="1"/>
  <c r="J351" i="6"/>
  <c r="K351" i="6" s="1"/>
  <c r="J352" i="6"/>
  <c r="K352" i="6" s="1"/>
  <c r="J353" i="6"/>
  <c r="K353" i="6" s="1"/>
  <c r="J354" i="6"/>
  <c r="K354" i="6" s="1"/>
  <c r="J355" i="6"/>
  <c r="K355" i="6" s="1"/>
  <c r="J356" i="6"/>
  <c r="K356" i="6" s="1"/>
  <c r="J357" i="6"/>
  <c r="K357" i="6" s="1"/>
  <c r="J358" i="6"/>
  <c r="K358" i="6" s="1"/>
  <c r="J359" i="6"/>
  <c r="K359" i="6" s="1"/>
  <c r="J360" i="6"/>
  <c r="K360" i="6" s="1"/>
  <c r="J361" i="6"/>
  <c r="K361" i="6" s="1"/>
  <c r="J362" i="6"/>
  <c r="K362" i="6" s="1"/>
  <c r="J363" i="6"/>
  <c r="K363" i="6" s="1"/>
  <c r="J364" i="6"/>
  <c r="K364" i="6" s="1"/>
  <c r="J365" i="6"/>
  <c r="K365" i="6" s="1"/>
  <c r="J366" i="6"/>
  <c r="K366" i="6" s="1"/>
  <c r="J367" i="6"/>
  <c r="K367" i="6" s="1"/>
  <c r="J368" i="6"/>
  <c r="K368" i="6" s="1"/>
  <c r="J369" i="6"/>
  <c r="K369" i="6" s="1"/>
  <c r="J370" i="6"/>
  <c r="K370" i="6" s="1"/>
  <c r="J371" i="6"/>
  <c r="K371" i="6" s="1"/>
  <c r="J372" i="6"/>
  <c r="K372" i="6" s="1"/>
  <c r="J373" i="6"/>
  <c r="K373" i="6" s="1"/>
  <c r="J374" i="6"/>
  <c r="K374" i="6" s="1"/>
  <c r="J375" i="6"/>
  <c r="K375" i="6" s="1"/>
  <c r="J376" i="6"/>
  <c r="K376" i="6" s="1"/>
  <c r="J377" i="6"/>
  <c r="K377" i="6" s="1"/>
  <c r="J378" i="6"/>
  <c r="K378" i="6" s="1"/>
  <c r="J379" i="6"/>
  <c r="K379" i="6" s="1"/>
  <c r="J380" i="6"/>
  <c r="K380" i="6" s="1"/>
  <c r="J381" i="6"/>
  <c r="K381" i="6" s="1"/>
  <c r="J382" i="6"/>
  <c r="K382" i="6" s="1"/>
  <c r="J383" i="6"/>
  <c r="K383" i="6" s="1"/>
  <c r="J384" i="6"/>
  <c r="K384" i="6" s="1"/>
  <c r="J385" i="6"/>
  <c r="K385" i="6" s="1"/>
  <c r="J386" i="6"/>
  <c r="K386" i="6" s="1"/>
  <c r="J387" i="6"/>
  <c r="K387" i="6" s="1"/>
  <c r="J388" i="6"/>
  <c r="K388" i="6" s="1"/>
  <c r="J389" i="6"/>
  <c r="K389" i="6" s="1"/>
  <c r="J390" i="6"/>
  <c r="K390" i="6" s="1"/>
  <c r="J391" i="6"/>
  <c r="K391" i="6" s="1"/>
  <c r="J392" i="6"/>
  <c r="K392" i="6" s="1"/>
  <c r="J393" i="6"/>
  <c r="K393" i="6" s="1"/>
  <c r="J394" i="6"/>
  <c r="K394" i="6" s="1"/>
  <c r="J395" i="6"/>
  <c r="K395" i="6" s="1"/>
  <c r="J396" i="6"/>
  <c r="K396" i="6" s="1"/>
  <c r="J397" i="6"/>
  <c r="K397" i="6" s="1"/>
  <c r="J398" i="6"/>
  <c r="K398" i="6" s="1"/>
  <c r="J399" i="6"/>
  <c r="K399" i="6" s="1"/>
  <c r="J400" i="6"/>
  <c r="K400" i="6" s="1"/>
  <c r="J401" i="6"/>
  <c r="K401" i="6" s="1"/>
  <c r="J402" i="6"/>
  <c r="K402" i="6" s="1"/>
  <c r="J403" i="6"/>
  <c r="K403" i="6" s="1"/>
  <c r="J404" i="6"/>
  <c r="K404" i="6" s="1"/>
  <c r="J405" i="6"/>
  <c r="K405" i="6" s="1"/>
  <c r="J406" i="6"/>
  <c r="K406" i="6" s="1"/>
  <c r="J407" i="6"/>
  <c r="K407" i="6" s="1"/>
  <c r="J408" i="6"/>
  <c r="K408" i="6" s="1"/>
  <c r="J409" i="6"/>
  <c r="K409" i="6" s="1"/>
  <c r="J410" i="6"/>
  <c r="K410" i="6" s="1"/>
  <c r="J411" i="6"/>
  <c r="K411" i="6" s="1"/>
  <c r="J412" i="6"/>
  <c r="K412" i="6" s="1"/>
  <c r="J413" i="6"/>
  <c r="K413" i="6" s="1"/>
  <c r="J414" i="6"/>
  <c r="K414" i="6" s="1"/>
  <c r="J415" i="6"/>
  <c r="K415" i="6" s="1"/>
  <c r="J416" i="6"/>
  <c r="K416" i="6" s="1"/>
  <c r="J417" i="6"/>
  <c r="K417" i="6" s="1"/>
  <c r="J418" i="6"/>
  <c r="K418" i="6" s="1"/>
  <c r="J419" i="6"/>
  <c r="K419" i="6" s="1"/>
  <c r="J420" i="6"/>
  <c r="K420" i="6" s="1"/>
  <c r="J421" i="6"/>
  <c r="K421" i="6" s="1"/>
  <c r="J422" i="6"/>
  <c r="K422" i="6" s="1"/>
  <c r="J423" i="6"/>
  <c r="K423" i="6" s="1"/>
  <c r="J424" i="6"/>
  <c r="K424" i="6" s="1"/>
  <c r="J425" i="6"/>
  <c r="K425" i="6" s="1"/>
  <c r="J426" i="6"/>
  <c r="K426" i="6" s="1"/>
  <c r="J427" i="6"/>
  <c r="K427" i="6" s="1"/>
  <c r="J428" i="6"/>
  <c r="K428" i="6" s="1"/>
  <c r="J429" i="6"/>
  <c r="K429" i="6" s="1"/>
  <c r="J430" i="6"/>
  <c r="K430" i="6" s="1"/>
  <c r="J431" i="6"/>
  <c r="K431" i="6" s="1"/>
  <c r="J432" i="6"/>
  <c r="K432" i="6" s="1"/>
  <c r="J433" i="6"/>
  <c r="K433" i="6" s="1"/>
  <c r="J434" i="6"/>
  <c r="K434" i="6" s="1"/>
  <c r="J435" i="6"/>
  <c r="K435" i="6" s="1"/>
  <c r="J436" i="6"/>
  <c r="K436" i="6" s="1"/>
  <c r="J437" i="6"/>
  <c r="K437" i="6" s="1"/>
  <c r="J438" i="6"/>
  <c r="K438" i="6" s="1"/>
  <c r="J439" i="6"/>
  <c r="K439" i="6" s="1"/>
  <c r="J440" i="6"/>
  <c r="K440" i="6" s="1"/>
  <c r="J441" i="6"/>
  <c r="K441" i="6" s="1"/>
  <c r="J442" i="6"/>
  <c r="K442" i="6" s="1"/>
  <c r="J443" i="6"/>
  <c r="K443" i="6" s="1"/>
  <c r="J444" i="6"/>
  <c r="K444" i="6" s="1"/>
  <c r="J445" i="6"/>
  <c r="K445" i="6" s="1"/>
  <c r="J446" i="6"/>
  <c r="K446" i="6" s="1"/>
  <c r="J447" i="6"/>
  <c r="K447" i="6" s="1"/>
  <c r="J448" i="6"/>
  <c r="K448" i="6" s="1"/>
  <c r="J449" i="6"/>
  <c r="K449" i="6" s="1"/>
  <c r="J450" i="6"/>
  <c r="K450" i="6" s="1"/>
  <c r="J451" i="6"/>
  <c r="K451" i="6" s="1"/>
  <c r="J452" i="6"/>
  <c r="K452" i="6" s="1"/>
  <c r="J453" i="6"/>
  <c r="K453" i="6" s="1"/>
  <c r="J454" i="6"/>
  <c r="K454" i="6" s="1"/>
  <c r="J455" i="6"/>
  <c r="K455" i="6" s="1"/>
  <c r="J456" i="6"/>
  <c r="K456" i="6" s="1"/>
  <c r="J457" i="6"/>
  <c r="K457" i="6" s="1"/>
  <c r="J458" i="6"/>
  <c r="K458" i="6" s="1"/>
  <c r="J459" i="6"/>
  <c r="K459" i="6" s="1"/>
  <c r="J460" i="6"/>
  <c r="K460" i="6" s="1"/>
  <c r="J461" i="6"/>
  <c r="K461" i="6" s="1"/>
  <c r="J462" i="6"/>
  <c r="K462" i="6" s="1"/>
  <c r="J463" i="6"/>
  <c r="K463" i="6" s="1"/>
  <c r="J464" i="6"/>
  <c r="K464" i="6" s="1"/>
  <c r="J465" i="6"/>
  <c r="K465" i="6" s="1"/>
  <c r="J466" i="6"/>
  <c r="K466" i="6" s="1"/>
  <c r="J467" i="6"/>
  <c r="K467" i="6" s="1"/>
  <c r="J468" i="6"/>
  <c r="K468" i="6" s="1"/>
  <c r="J469" i="6"/>
  <c r="K469" i="6" s="1"/>
  <c r="J470" i="6"/>
  <c r="K470" i="6" s="1"/>
  <c r="J471" i="6"/>
  <c r="K471" i="6" s="1"/>
  <c r="J472" i="6"/>
  <c r="K472" i="6" s="1"/>
  <c r="J473" i="6"/>
  <c r="K473" i="6" s="1"/>
  <c r="J474" i="6"/>
  <c r="K474" i="6" s="1"/>
  <c r="J475" i="6"/>
  <c r="K475" i="6" s="1"/>
  <c r="J476" i="6"/>
  <c r="K476" i="6" s="1"/>
  <c r="J477" i="6"/>
  <c r="K477" i="6" s="1"/>
  <c r="J478" i="6"/>
  <c r="K478" i="6" s="1"/>
  <c r="J479" i="6"/>
  <c r="K479" i="6" s="1"/>
  <c r="J480" i="6"/>
  <c r="K480" i="6" s="1"/>
  <c r="J481" i="6"/>
  <c r="K481" i="6" s="1"/>
  <c r="J482" i="6"/>
  <c r="K482" i="6" s="1"/>
  <c r="J483" i="6"/>
  <c r="K483" i="6" s="1"/>
  <c r="J484" i="6"/>
  <c r="K484" i="6" s="1"/>
  <c r="J485" i="6"/>
  <c r="K485" i="6" s="1"/>
  <c r="J486" i="6"/>
  <c r="K486" i="6" s="1"/>
  <c r="J487" i="6"/>
  <c r="K487" i="6" s="1"/>
  <c r="J488" i="6"/>
  <c r="K488" i="6" s="1"/>
  <c r="J489" i="6"/>
  <c r="K489" i="6" s="1"/>
  <c r="J490" i="6"/>
  <c r="K490" i="6" s="1"/>
  <c r="J491" i="6"/>
  <c r="K491" i="6" s="1"/>
  <c r="J492" i="6"/>
  <c r="K492" i="6" s="1"/>
  <c r="J493" i="6"/>
  <c r="K493" i="6" s="1"/>
  <c r="J494" i="6"/>
  <c r="K494" i="6" s="1"/>
  <c r="J495" i="6"/>
  <c r="K495" i="6" s="1"/>
  <c r="J496" i="6"/>
  <c r="K496" i="6" s="1"/>
  <c r="J497" i="6"/>
  <c r="K497" i="6" s="1"/>
  <c r="J498" i="6"/>
  <c r="K498" i="6" s="1"/>
  <c r="J499" i="6"/>
  <c r="K499" i="6" s="1"/>
  <c r="J500" i="6"/>
  <c r="K500" i="6" s="1"/>
  <c r="J501" i="6"/>
  <c r="K501" i="6" s="1"/>
  <c r="J502" i="6"/>
  <c r="K502" i="6" s="1"/>
  <c r="J503" i="6"/>
  <c r="K503" i="6" s="1"/>
  <c r="J504" i="6"/>
  <c r="K504" i="6" s="1"/>
  <c r="J505" i="6"/>
  <c r="K505" i="6" s="1"/>
  <c r="J506" i="6"/>
  <c r="K506" i="6" s="1"/>
  <c r="J507" i="6"/>
  <c r="K507" i="6" s="1"/>
  <c r="J508" i="6"/>
  <c r="K508" i="6" s="1"/>
  <c r="J509" i="6"/>
  <c r="K509" i="6" s="1"/>
  <c r="J510" i="6"/>
  <c r="K510" i="6" s="1"/>
  <c r="J511" i="6"/>
  <c r="K511" i="6" s="1"/>
  <c r="J512" i="6"/>
  <c r="K512" i="6" s="1"/>
  <c r="J513" i="6"/>
  <c r="K513" i="6" s="1"/>
  <c r="J514" i="6"/>
  <c r="K514" i="6" s="1"/>
  <c r="J515" i="6"/>
  <c r="K515" i="6" s="1"/>
  <c r="J516" i="6"/>
  <c r="K516" i="6" s="1"/>
  <c r="J517" i="6"/>
  <c r="K517" i="6" s="1"/>
  <c r="J518" i="6"/>
  <c r="K518" i="6" s="1"/>
  <c r="J519" i="6"/>
  <c r="K519" i="6" s="1"/>
  <c r="J520" i="6"/>
  <c r="K520" i="6" s="1"/>
  <c r="J521" i="6"/>
  <c r="K521" i="6" s="1"/>
  <c r="J522" i="6"/>
  <c r="K522" i="6" s="1"/>
  <c r="J523" i="6"/>
  <c r="K523" i="6" s="1"/>
  <c r="J524" i="6"/>
  <c r="K524" i="6" s="1"/>
  <c r="J525" i="6"/>
  <c r="K525" i="6" s="1"/>
  <c r="J526" i="6"/>
  <c r="K526" i="6" s="1"/>
  <c r="J527" i="6"/>
  <c r="K527" i="6" s="1"/>
  <c r="J528" i="6"/>
  <c r="K528" i="6" s="1"/>
  <c r="J529" i="6"/>
  <c r="K529" i="6" s="1"/>
  <c r="J530" i="6"/>
  <c r="K530" i="6" s="1"/>
  <c r="J531" i="6"/>
  <c r="K531" i="6" s="1"/>
  <c r="J532" i="6"/>
  <c r="K532" i="6" s="1"/>
  <c r="J533" i="6"/>
  <c r="K533" i="6" s="1"/>
  <c r="J534" i="6"/>
  <c r="K534" i="6" s="1"/>
  <c r="J535" i="6"/>
  <c r="K535" i="6" s="1"/>
  <c r="J536" i="6"/>
  <c r="K536" i="6" s="1"/>
  <c r="J537" i="6"/>
  <c r="K537" i="6" s="1"/>
  <c r="J538" i="6"/>
  <c r="K538" i="6" s="1"/>
  <c r="J539" i="6"/>
  <c r="K539" i="6" s="1"/>
  <c r="J540" i="6"/>
  <c r="K540" i="6" s="1"/>
  <c r="J541" i="6"/>
  <c r="K541" i="6" s="1"/>
  <c r="J542" i="6"/>
  <c r="K542" i="6" s="1"/>
  <c r="J543" i="6"/>
  <c r="K543" i="6" s="1"/>
  <c r="J544" i="6"/>
  <c r="K544" i="6" s="1"/>
  <c r="J545" i="6"/>
  <c r="K545" i="6" s="1"/>
  <c r="J546" i="6"/>
  <c r="K546" i="6" s="1"/>
  <c r="J547" i="6"/>
  <c r="K547" i="6" s="1"/>
  <c r="J548" i="6"/>
  <c r="K548" i="6" s="1"/>
  <c r="J549" i="6"/>
  <c r="K549" i="6" s="1"/>
  <c r="J550" i="6"/>
  <c r="K550" i="6" s="1"/>
  <c r="J551" i="6"/>
  <c r="K551" i="6" s="1"/>
  <c r="J552" i="6"/>
  <c r="K552" i="6" s="1"/>
  <c r="J553" i="6"/>
  <c r="K553" i="6" s="1"/>
  <c r="J554" i="6"/>
  <c r="K554" i="6" s="1"/>
  <c r="J555" i="6"/>
  <c r="K555" i="6" s="1"/>
  <c r="J556" i="6"/>
  <c r="K556" i="6" s="1"/>
  <c r="J557" i="6"/>
  <c r="K557" i="6" s="1"/>
  <c r="J558" i="6"/>
  <c r="K558" i="6" s="1"/>
  <c r="J559" i="6"/>
  <c r="K559" i="6" s="1"/>
  <c r="J560" i="6"/>
  <c r="K560" i="6" s="1"/>
  <c r="J561" i="6"/>
  <c r="K561" i="6" s="1"/>
  <c r="J562" i="6"/>
  <c r="K562" i="6" s="1"/>
  <c r="J563" i="6"/>
  <c r="K563" i="6" s="1"/>
  <c r="J564" i="6"/>
  <c r="K564" i="6" s="1"/>
  <c r="J565" i="6"/>
  <c r="K565" i="6" s="1"/>
  <c r="J566" i="6"/>
  <c r="K566" i="6" s="1"/>
  <c r="J567" i="6"/>
  <c r="K567" i="6" s="1"/>
  <c r="J568" i="6"/>
  <c r="K568" i="6" s="1"/>
  <c r="J569" i="6"/>
  <c r="K569" i="6" s="1"/>
  <c r="J570" i="6"/>
  <c r="K570" i="6" s="1"/>
  <c r="J571" i="6"/>
  <c r="K571" i="6" s="1"/>
  <c r="J572" i="6"/>
  <c r="K572" i="6" s="1"/>
  <c r="J573" i="6"/>
  <c r="K573" i="6" s="1"/>
  <c r="J574" i="6"/>
  <c r="K574" i="6" s="1"/>
  <c r="J575" i="6"/>
  <c r="K575" i="6" s="1"/>
  <c r="J576" i="6"/>
  <c r="K576" i="6" s="1"/>
  <c r="J577" i="6"/>
  <c r="K577" i="6" s="1"/>
  <c r="J578" i="6"/>
  <c r="K578" i="6" s="1"/>
  <c r="J579" i="6"/>
  <c r="K579" i="6" s="1"/>
  <c r="J580" i="6"/>
  <c r="K580" i="6" s="1"/>
  <c r="J581" i="6"/>
  <c r="K581" i="6" s="1"/>
  <c r="J582" i="6"/>
  <c r="K582" i="6" s="1"/>
  <c r="J583" i="6"/>
  <c r="K583" i="6" s="1"/>
  <c r="J584" i="6"/>
  <c r="K584" i="6" s="1"/>
  <c r="J585" i="6"/>
  <c r="K585" i="6" s="1"/>
  <c r="J586" i="6"/>
  <c r="K586" i="6" s="1"/>
  <c r="J587" i="6"/>
  <c r="K587" i="6" s="1"/>
  <c r="J588" i="6"/>
  <c r="K588" i="6" s="1"/>
  <c r="J589" i="6"/>
  <c r="K589" i="6" s="1"/>
  <c r="J590" i="6"/>
  <c r="K590" i="6" s="1"/>
  <c r="J591" i="6"/>
  <c r="K591" i="6" s="1"/>
  <c r="J592" i="6"/>
  <c r="K592" i="6" s="1"/>
  <c r="J593" i="6"/>
  <c r="K593" i="6" s="1"/>
  <c r="J594" i="6"/>
  <c r="K594" i="6" s="1"/>
  <c r="J595" i="6"/>
  <c r="K595" i="6" s="1"/>
  <c r="J596" i="6"/>
  <c r="K596" i="6" s="1"/>
  <c r="J597" i="6"/>
  <c r="K597" i="6" s="1"/>
  <c r="J598" i="6"/>
  <c r="K598" i="6" s="1"/>
  <c r="J599" i="6"/>
  <c r="K599" i="6" s="1"/>
  <c r="J600" i="6"/>
  <c r="K600" i="6" s="1"/>
  <c r="J601" i="6"/>
  <c r="K601" i="6" s="1"/>
  <c r="J602" i="6"/>
  <c r="K602" i="6" s="1"/>
  <c r="J603" i="6"/>
  <c r="K603" i="6" s="1"/>
  <c r="J604" i="6"/>
  <c r="K604" i="6" s="1"/>
  <c r="J605" i="6"/>
  <c r="K605" i="6" s="1"/>
  <c r="J606" i="6"/>
  <c r="K606" i="6" s="1"/>
  <c r="J607" i="6"/>
  <c r="K607" i="6" s="1"/>
  <c r="J608" i="6"/>
  <c r="K608" i="6" s="1"/>
  <c r="J609" i="6"/>
  <c r="K609" i="6" s="1"/>
  <c r="J610" i="6"/>
  <c r="K610" i="6" s="1"/>
  <c r="J611" i="6"/>
  <c r="K611" i="6" s="1"/>
  <c r="J612" i="6"/>
  <c r="K612" i="6" s="1"/>
  <c r="J613" i="6"/>
  <c r="K613" i="6" s="1"/>
  <c r="J614" i="6"/>
  <c r="K614" i="6" s="1"/>
  <c r="J615" i="6"/>
  <c r="K615" i="6" s="1"/>
  <c r="J616" i="6"/>
  <c r="K616" i="6" s="1"/>
  <c r="J617" i="6"/>
  <c r="K617" i="6" s="1"/>
  <c r="J618" i="6"/>
  <c r="K618" i="6" s="1"/>
  <c r="J619" i="6"/>
  <c r="K619" i="6" s="1"/>
  <c r="J620" i="6"/>
  <c r="K620" i="6" s="1"/>
  <c r="J621" i="6"/>
  <c r="K621" i="6" s="1"/>
  <c r="J622" i="6"/>
  <c r="K622" i="6" s="1"/>
  <c r="J623" i="6"/>
  <c r="K623" i="6" s="1"/>
  <c r="J624" i="6"/>
  <c r="K624" i="6" s="1"/>
  <c r="J625" i="6"/>
  <c r="K625" i="6" s="1"/>
  <c r="J626" i="6"/>
  <c r="K626" i="6" s="1"/>
  <c r="J627" i="6"/>
  <c r="K627" i="6" s="1"/>
  <c r="J628" i="6"/>
  <c r="K628" i="6" s="1"/>
  <c r="J629" i="6"/>
  <c r="K629" i="6" s="1"/>
  <c r="J630" i="6"/>
  <c r="K630" i="6" s="1"/>
  <c r="J631" i="6"/>
  <c r="K631" i="6" s="1"/>
  <c r="J632" i="6"/>
  <c r="K632" i="6" s="1"/>
  <c r="J633" i="6"/>
  <c r="K633" i="6" s="1"/>
  <c r="J634" i="6"/>
  <c r="K634" i="6" s="1"/>
  <c r="J635" i="6"/>
  <c r="K635" i="6" s="1"/>
  <c r="J636" i="6"/>
  <c r="K636" i="6" s="1"/>
  <c r="J637" i="6"/>
  <c r="K637" i="6" s="1"/>
  <c r="J638" i="6"/>
  <c r="K638" i="6" s="1"/>
  <c r="J639" i="6"/>
  <c r="K639" i="6" s="1"/>
  <c r="J640" i="6"/>
  <c r="K640" i="6" s="1"/>
  <c r="J641" i="6"/>
  <c r="K641" i="6" s="1"/>
  <c r="J642" i="6"/>
  <c r="K642" i="6" s="1"/>
  <c r="J643" i="6"/>
  <c r="K643" i="6" s="1"/>
  <c r="J644" i="6"/>
  <c r="K644" i="6" s="1"/>
  <c r="J645" i="6"/>
  <c r="K645" i="6" s="1"/>
  <c r="J646" i="6"/>
  <c r="K646" i="6" s="1"/>
  <c r="J647" i="6"/>
  <c r="K647" i="6" s="1"/>
  <c r="J648" i="6"/>
  <c r="K648" i="6" s="1"/>
  <c r="J649" i="6"/>
  <c r="K649" i="6" s="1"/>
  <c r="J650" i="6"/>
  <c r="K650" i="6" s="1"/>
  <c r="J651" i="6"/>
  <c r="K651" i="6" s="1"/>
  <c r="J652" i="6"/>
  <c r="K652" i="6" s="1"/>
  <c r="J653" i="6"/>
  <c r="K653" i="6" s="1"/>
  <c r="J654" i="6"/>
  <c r="K654" i="6" s="1"/>
  <c r="J655" i="6"/>
  <c r="K655" i="6" s="1"/>
  <c r="J656" i="6"/>
  <c r="K656" i="6" s="1"/>
  <c r="J657" i="6"/>
  <c r="K657" i="6" s="1"/>
  <c r="J658" i="6"/>
  <c r="K658" i="6" s="1"/>
  <c r="J659" i="6"/>
  <c r="K659" i="6" s="1"/>
  <c r="J660" i="6"/>
  <c r="K660" i="6" s="1"/>
  <c r="J661" i="6"/>
  <c r="K661" i="6" s="1"/>
  <c r="J662" i="6"/>
  <c r="K662" i="6" s="1"/>
  <c r="J663" i="6"/>
  <c r="K663" i="6" s="1"/>
  <c r="J664" i="6"/>
  <c r="K664" i="6" s="1"/>
  <c r="J665" i="6"/>
  <c r="K665" i="6" s="1"/>
  <c r="J666" i="6"/>
  <c r="K666" i="6" s="1"/>
  <c r="J667" i="6"/>
  <c r="K667" i="6" s="1"/>
  <c r="J668" i="6"/>
  <c r="K668" i="6" s="1"/>
  <c r="J669" i="6"/>
  <c r="K669" i="6" s="1"/>
  <c r="J670" i="6"/>
  <c r="K670" i="6" s="1"/>
  <c r="J671" i="6"/>
  <c r="K671" i="6" s="1"/>
  <c r="J672" i="6"/>
  <c r="K672" i="6" s="1"/>
  <c r="J673" i="6"/>
  <c r="K673" i="6" s="1"/>
  <c r="J674" i="6"/>
  <c r="K674" i="6" s="1"/>
  <c r="J675" i="6"/>
  <c r="K675" i="6" s="1"/>
  <c r="J676" i="6"/>
  <c r="K676" i="6" s="1"/>
  <c r="J677" i="6"/>
  <c r="K677" i="6" s="1"/>
  <c r="J678" i="6"/>
  <c r="K678" i="6" s="1"/>
  <c r="J679" i="6"/>
  <c r="K679" i="6" s="1"/>
  <c r="J680" i="6"/>
  <c r="K680" i="6" s="1"/>
  <c r="J681" i="6"/>
  <c r="K681" i="6" s="1"/>
  <c r="J682" i="6"/>
  <c r="K682" i="6" s="1"/>
  <c r="J683" i="6"/>
  <c r="K683" i="6" s="1"/>
  <c r="J684" i="6"/>
  <c r="K684" i="6" s="1"/>
  <c r="J685" i="6"/>
  <c r="K685" i="6" s="1"/>
  <c r="J686" i="6"/>
  <c r="K686" i="6" s="1"/>
  <c r="J687" i="6"/>
  <c r="K687" i="6" s="1"/>
  <c r="J688" i="6"/>
  <c r="K688" i="6" s="1"/>
  <c r="J689" i="6"/>
  <c r="K689" i="6" s="1"/>
  <c r="J690" i="6"/>
  <c r="K690" i="6" s="1"/>
  <c r="J691" i="6"/>
  <c r="K691" i="6" s="1"/>
  <c r="J692" i="6"/>
  <c r="K692" i="6" s="1"/>
  <c r="J693" i="6"/>
  <c r="K693" i="6" s="1"/>
  <c r="J694" i="6"/>
  <c r="K694" i="6" s="1"/>
  <c r="J695" i="6"/>
  <c r="K695" i="6" s="1"/>
  <c r="J696" i="6"/>
  <c r="K696" i="6" s="1"/>
  <c r="J697" i="6"/>
  <c r="K697" i="6" s="1"/>
  <c r="J698" i="6"/>
  <c r="K698" i="6" s="1"/>
  <c r="J699" i="6"/>
  <c r="K699" i="6" s="1"/>
  <c r="J700" i="6"/>
  <c r="K700" i="6" s="1"/>
  <c r="J701" i="6"/>
  <c r="K701" i="6" s="1"/>
  <c r="J702" i="6"/>
  <c r="K702" i="6" s="1"/>
  <c r="J703" i="6"/>
  <c r="K703" i="6" s="1"/>
  <c r="J704" i="6"/>
  <c r="K704" i="6" s="1"/>
  <c r="J705" i="6"/>
  <c r="K705" i="6" s="1"/>
  <c r="J706" i="6"/>
  <c r="K706" i="6" s="1"/>
  <c r="J707" i="6"/>
  <c r="K707" i="6" s="1"/>
  <c r="J708" i="6"/>
  <c r="K708" i="6" s="1"/>
  <c r="J709" i="6"/>
  <c r="K709" i="6" s="1"/>
  <c r="J710" i="6"/>
  <c r="K710" i="6" s="1"/>
  <c r="J711" i="6"/>
  <c r="K711" i="6" s="1"/>
  <c r="J712" i="6"/>
  <c r="K712" i="6" s="1"/>
  <c r="J713" i="6"/>
  <c r="K713" i="6" s="1"/>
  <c r="J714" i="6"/>
  <c r="K714" i="6" s="1"/>
  <c r="J715" i="6"/>
  <c r="K715" i="6" s="1"/>
  <c r="J716" i="6"/>
  <c r="K716" i="6" s="1"/>
  <c r="J717" i="6"/>
  <c r="K717" i="6" s="1"/>
  <c r="J718" i="6"/>
  <c r="K718" i="6" s="1"/>
  <c r="J719" i="6"/>
  <c r="K719" i="6" s="1"/>
  <c r="J720" i="6"/>
  <c r="K720" i="6" s="1"/>
  <c r="J721" i="6"/>
  <c r="K721" i="6" s="1"/>
  <c r="J722" i="6"/>
  <c r="K722" i="6" s="1"/>
  <c r="J723" i="6"/>
  <c r="K723" i="6" s="1"/>
  <c r="J724" i="6"/>
  <c r="K724" i="6" s="1"/>
  <c r="J725" i="6"/>
  <c r="K725" i="6" s="1"/>
  <c r="J726" i="6"/>
  <c r="K726" i="6" s="1"/>
  <c r="J727" i="6"/>
  <c r="K727" i="6" s="1"/>
  <c r="J728" i="6"/>
  <c r="K728" i="6" s="1"/>
  <c r="J729" i="6"/>
  <c r="K729" i="6" s="1"/>
  <c r="J730" i="6"/>
  <c r="K730" i="6" s="1"/>
  <c r="J731" i="6"/>
  <c r="K731" i="6" s="1"/>
  <c r="J732" i="6"/>
  <c r="K732" i="6" s="1"/>
  <c r="J733" i="6"/>
  <c r="K733" i="6" s="1"/>
  <c r="J734" i="6"/>
  <c r="K734" i="6" s="1"/>
  <c r="J735" i="6"/>
  <c r="K735" i="6" s="1"/>
  <c r="J736" i="6"/>
  <c r="K736" i="6" s="1"/>
  <c r="J737" i="6"/>
  <c r="K737" i="6" s="1"/>
  <c r="J738" i="6"/>
  <c r="K738" i="6" s="1"/>
  <c r="J739" i="6"/>
  <c r="K739" i="6" s="1"/>
  <c r="J740" i="6"/>
  <c r="K740" i="6" s="1"/>
  <c r="J741" i="6"/>
  <c r="K741" i="6" s="1"/>
  <c r="J742" i="6"/>
  <c r="K742" i="6" s="1"/>
  <c r="J743" i="6"/>
  <c r="K743" i="6" s="1"/>
  <c r="J744" i="6"/>
  <c r="K744" i="6" s="1"/>
  <c r="J745" i="6"/>
  <c r="K745" i="6" s="1"/>
  <c r="J746" i="6"/>
  <c r="K746" i="6" s="1"/>
  <c r="J747" i="6"/>
  <c r="K747" i="6" s="1"/>
  <c r="J748" i="6"/>
  <c r="K748" i="6" s="1"/>
  <c r="J749" i="6"/>
  <c r="K749" i="6" s="1"/>
  <c r="J750" i="6"/>
  <c r="K750" i="6" s="1"/>
  <c r="J751" i="6"/>
  <c r="K751" i="6" s="1"/>
  <c r="J752" i="6"/>
  <c r="K752" i="6" s="1"/>
  <c r="J753" i="6"/>
  <c r="K753" i="6" s="1"/>
  <c r="J754" i="6"/>
  <c r="K754" i="6" s="1"/>
  <c r="J755" i="6"/>
  <c r="K755" i="6" s="1"/>
  <c r="J756" i="6"/>
  <c r="K756" i="6" s="1"/>
  <c r="J757" i="6"/>
  <c r="K757" i="6" s="1"/>
  <c r="J758" i="6"/>
  <c r="K758" i="6" s="1"/>
  <c r="J759" i="6"/>
  <c r="K759" i="6" s="1"/>
  <c r="J760" i="6"/>
  <c r="K760" i="6" s="1"/>
  <c r="J761" i="6"/>
  <c r="K761" i="6" s="1"/>
  <c r="J762" i="6"/>
  <c r="K762" i="6" s="1"/>
  <c r="J763" i="6"/>
  <c r="K763" i="6" s="1"/>
  <c r="J764" i="6"/>
  <c r="K764" i="6" s="1"/>
  <c r="J765" i="6"/>
  <c r="K765" i="6" s="1"/>
  <c r="J766" i="6"/>
  <c r="K766" i="6" s="1"/>
  <c r="J767" i="6"/>
  <c r="K767" i="6" s="1"/>
  <c r="J768" i="6"/>
  <c r="K768" i="6" s="1"/>
  <c r="J769" i="6"/>
  <c r="K769" i="6" s="1"/>
  <c r="J770" i="6"/>
  <c r="K770" i="6" s="1"/>
  <c r="J771" i="6"/>
  <c r="K771" i="6" s="1"/>
  <c r="J772" i="6"/>
  <c r="K772" i="6" s="1"/>
  <c r="J773" i="6"/>
  <c r="K773" i="6" s="1"/>
  <c r="J774" i="6"/>
  <c r="K774" i="6" s="1"/>
  <c r="J775" i="6"/>
  <c r="K775" i="6" s="1"/>
  <c r="J776" i="6"/>
  <c r="K776" i="6" s="1"/>
  <c r="J777" i="6"/>
  <c r="K777" i="6" s="1"/>
  <c r="J778" i="6"/>
  <c r="K778" i="6" s="1"/>
  <c r="J779" i="6"/>
  <c r="K779" i="6" s="1"/>
  <c r="J780" i="6"/>
  <c r="K780" i="6" s="1"/>
  <c r="J781" i="6"/>
  <c r="K781" i="6" s="1"/>
  <c r="J782" i="6"/>
  <c r="K782" i="6" s="1"/>
  <c r="J783" i="6"/>
  <c r="K783" i="6" s="1"/>
  <c r="J784" i="6"/>
  <c r="K784" i="6" s="1"/>
  <c r="J785" i="6"/>
  <c r="K785" i="6" s="1"/>
  <c r="J786" i="6"/>
  <c r="K786" i="6" s="1"/>
  <c r="J787" i="6"/>
  <c r="K787" i="6" s="1"/>
  <c r="J788" i="6"/>
  <c r="K788" i="6" s="1"/>
  <c r="J789" i="6"/>
  <c r="K789" i="6" s="1"/>
  <c r="J790" i="6"/>
  <c r="K790" i="6" s="1"/>
  <c r="J791" i="6"/>
  <c r="K791" i="6" s="1"/>
  <c r="J792" i="6"/>
  <c r="K792" i="6" s="1"/>
  <c r="J793" i="6"/>
  <c r="K793" i="6" s="1"/>
  <c r="J794" i="6"/>
  <c r="K794" i="6" s="1"/>
  <c r="J795" i="6"/>
  <c r="K795" i="6" s="1"/>
  <c r="J796" i="6"/>
  <c r="K796" i="6" s="1"/>
  <c r="J797" i="6"/>
  <c r="K797" i="6" s="1"/>
  <c r="J798" i="6"/>
  <c r="K798" i="6" s="1"/>
  <c r="J799" i="6"/>
  <c r="K799" i="6" s="1"/>
  <c r="J800" i="6"/>
  <c r="K800" i="6" s="1"/>
  <c r="J801" i="6"/>
  <c r="K801" i="6" s="1"/>
  <c r="J802" i="6"/>
  <c r="K802" i="6" s="1"/>
  <c r="J803" i="6"/>
  <c r="K803" i="6" s="1"/>
  <c r="J804" i="6"/>
  <c r="K804" i="6" s="1"/>
  <c r="J805" i="6"/>
  <c r="K805" i="6" s="1"/>
  <c r="J806" i="6"/>
  <c r="K806" i="6" s="1"/>
  <c r="J807" i="6"/>
  <c r="K807" i="6" s="1"/>
  <c r="J808" i="6"/>
  <c r="K808" i="6" s="1"/>
  <c r="J809" i="6"/>
  <c r="K809" i="6" s="1"/>
  <c r="J810" i="6"/>
  <c r="K810" i="6" s="1"/>
  <c r="J811" i="6"/>
  <c r="K811" i="6" s="1"/>
  <c r="J812" i="6"/>
  <c r="K812" i="6" s="1"/>
  <c r="J813" i="6"/>
  <c r="K813" i="6" s="1"/>
  <c r="J814" i="6"/>
  <c r="K814" i="6" s="1"/>
  <c r="J815" i="6"/>
  <c r="K815" i="6" s="1"/>
  <c r="J816" i="6"/>
  <c r="K816" i="6" s="1"/>
  <c r="J817" i="6"/>
  <c r="K817" i="6" s="1"/>
  <c r="J818" i="6"/>
  <c r="K818" i="6" s="1"/>
  <c r="J819" i="6"/>
  <c r="K819" i="6" s="1"/>
  <c r="J820" i="6"/>
  <c r="K820" i="6" s="1"/>
  <c r="J821" i="6"/>
  <c r="K821" i="6" s="1"/>
  <c r="J822" i="6"/>
  <c r="K822" i="6" s="1"/>
  <c r="J823" i="6"/>
  <c r="K823" i="6" s="1"/>
  <c r="J824" i="6"/>
  <c r="K824" i="6" s="1"/>
  <c r="J825" i="6"/>
  <c r="K825" i="6" s="1"/>
  <c r="J826" i="6"/>
  <c r="K826" i="6" s="1"/>
  <c r="J827" i="6"/>
  <c r="K827" i="6" s="1"/>
  <c r="J828" i="6"/>
  <c r="K828" i="6" s="1"/>
  <c r="J829" i="6"/>
  <c r="K829" i="6" s="1"/>
  <c r="J830" i="6"/>
  <c r="K830" i="6" s="1"/>
  <c r="J831" i="6"/>
  <c r="K831" i="6" s="1"/>
  <c r="J832" i="6"/>
  <c r="K832" i="6" s="1"/>
  <c r="J833" i="6"/>
  <c r="K833" i="6" s="1"/>
  <c r="J834" i="6"/>
  <c r="K834" i="6" s="1"/>
  <c r="J835" i="6"/>
  <c r="K835" i="6" s="1"/>
  <c r="J836" i="6"/>
  <c r="K836" i="6" s="1"/>
  <c r="J837" i="6"/>
  <c r="K837" i="6" s="1"/>
  <c r="J838" i="6"/>
  <c r="K838" i="6" s="1"/>
  <c r="J839" i="6"/>
  <c r="K839" i="6" s="1"/>
  <c r="J840" i="6"/>
  <c r="K840" i="6" s="1"/>
  <c r="J841" i="6"/>
  <c r="K841" i="6" s="1"/>
  <c r="J842" i="6"/>
  <c r="K842" i="6" s="1"/>
  <c r="J843" i="6"/>
  <c r="K843" i="6" s="1"/>
  <c r="J844" i="6"/>
  <c r="K844" i="6" s="1"/>
  <c r="J845" i="6"/>
  <c r="K845" i="6" s="1"/>
  <c r="J846" i="6"/>
  <c r="K846" i="6" s="1"/>
  <c r="J847" i="6"/>
  <c r="K847" i="6" s="1"/>
  <c r="J848" i="6"/>
  <c r="K848" i="6" s="1"/>
  <c r="J849" i="6"/>
  <c r="K849" i="6" s="1"/>
  <c r="J850" i="6"/>
  <c r="K850" i="6" s="1"/>
  <c r="J851" i="6"/>
  <c r="K851" i="6" s="1"/>
  <c r="J852" i="6"/>
  <c r="K852" i="6" s="1"/>
  <c r="J853" i="6"/>
  <c r="K853" i="6" s="1"/>
  <c r="J854" i="6"/>
  <c r="K854" i="6" s="1"/>
  <c r="J855" i="6"/>
  <c r="K855" i="6" s="1"/>
  <c r="J856" i="6"/>
  <c r="K856" i="6" s="1"/>
  <c r="J857" i="6"/>
  <c r="K857" i="6" s="1"/>
  <c r="J858" i="6"/>
  <c r="K858" i="6" s="1"/>
  <c r="J859" i="6"/>
  <c r="K859" i="6" s="1"/>
  <c r="J860" i="6"/>
  <c r="K860" i="6" s="1"/>
  <c r="J861" i="6"/>
  <c r="K861" i="6" s="1"/>
  <c r="J862" i="6"/>
  <c r="K862" i="6" s="1"/>
  <c r="J863" i="6"/>
  <c r="K863" i="6" s="1"/>
  <c r="J864" i="6"/>
  <c r="K864" i="6" s="1"/>
  <c r="J865" i="6"/>
  <c r="K865" i="6" s="1"/>
  <c r="J866" i="6"/>
  <c r="K866" i="6" s="1"/>
  <c r="J867" i="6"/>
  <c r="K867" i="6" s="1"/>
  <c r="J868" i="6"/>
  <c r="K868" i="6" s="1"/>
  <c r="J869" i="6"/>
  <c r="K869" i="6" s="1"/>
  <c r="J870" i="6"/>
  <c r="K870" i="6" s="1"/>
  <c r="J871" i="6"/>
  <c r="K871" i="6" s="1"/>
  <c r="J872" i="6"/>
  <c r="K872" i="6" s="1"/>
  <c r="J873" i="6"/>
  <c r="K873" i="6" s="1"/>
  <c r="J874" i="6"/>
  <c r="K874" i="6" s="1"/>
  <c r="J875" i="6"/>
  <c r="K875" i="6" s="1"/>
  <c r="J876" i="6"/>
  <c r="K876" i="6" s="1"/>
  <c r="J877" i="6"/>
  <c r="K877" i="6" s="1"/>
  <c r="J878" i="6"/>
  <c r="K878" i="6" s="1"/>
  <c r="J879" i="6"/>
  <c r="K879" i="6" s="1"/>
  <c r="J880" i="6"/>
  <c r="K880" i="6" s="1"/>
  <c r="J881" i="6"/>
  <c r="K881" i="6" s="1"/>
  <c r="J882" i="6"/>
  <c r="K882" i="6" s="1"/>
  <c r="J883" i="6"/>
  <c r="K883" i="6" s="1"/>
  <c r="J884" i="6"/>
  <c r="K884" i="6" s="1"/>
  <c r="J885" i="6"/>
  <c r="K885" i="6" s="1"/>
  <c r="J886" i="6"/>
  <c r="K886" i="6" s="1"/>
  <c r="J887" i="6"/>
  <c r="K887" i="6" s="1"/>
  <c r="J888" i="6"/>
  <c r="K888" i="6" s="1"/>
  <c r="J889" i="6"/>
  <c r="K889" i="6" s="1"/>
  <c r="J890" i="6"/>
  <c r="K890" i="6" s="1"/>
  <c r="J891" i="6"/>
  <c r="K891" i="6" s="1"/>
  <c r="J892" i="6"/>
  <c r="K892" i="6" s="1"/>
  <c r="J893" i="6"/>
  <c r="K893" i="6" s="1"/>
  <c r="J894" i="6"/>
  <c r="K894" i="6" s="1"/>
  <c r="J895" i="6"/>
  <c r="K895" i="6" s="1"/>
  <c r="J896" i="6"/>
  <c r="K896" i="6" s="1"/>
  <c r="J897" i="6"/>
  <c r="K897" i="6" s="1"/>
  <c r="J898" i="6"/>
  <c r="K898" i="6" s="1"/>
  <c r="J899" i="6"/>
  <c r="K899" i="6" s="1"/>
  <c r="J900" i="6"/>
  <c r="K900" i="6" s="1"/>
  <c r="J901" i="6"/>
  <c r="K901" i="6" s="1"/>
  <c r="J902" i="6"/>
  <c r="K902" i="6" s="1"/>
  <c r="J903" i="6"/>
  <c r="K903" i="6" s="1"/>
  <c r="J904" i="6"/>
  <c r="K904" i="6" s="1"/>
  <c r="J905" i="6"/>
  <c r="K905" i="6" s="1"/>
  <c r="J906" i="6"/>
  <c r="K906" i="6" s="1"/>
  <c r="J907" i="6"/>
  <c r="K907" i="6" s="1"/>
  <c r="J908" i="6"/>
  <c r="K908" i="6" s="1"/>
  <c r="J909" i="6"/>
  <c r="K909" i="6" s="1"/>
  <c r="J910" i="6"/>
  <c r="K910" i="6" s="1"/>
  <c r="J911" i="6"/>
  <c r="K911" i="6" s="1"/>
  <c r="J912" i="6"/>
  <c r="K912" i="6" s="1"/>
  <c r="J913" i="6"/>
  <c r="K913" i="6" s="1"/>
  <c r="J914" i="6"/>
  <c r="K914" i="6" s="1"/>
  <c r="J915" i="6"/>
  <c r="K915" i="6" s="1"/>
  <c r="J916" i="6"/>
  <c r="K916" i="6" s="1"/>
  <c r="J917" i="6"/>
  <c r="K917" i="6" s="1"/>
  <c r="J918" i="6"/>
  <c r="K918" i="6" s="1"/>
  <c r="J919" i="6"/>
  <c r="K919" i="6" s="1"/>
  <c r="J920" i="6"/>
  <c r="K920" i="6" s="1"/>
  <c r="J921" i="6"/>
  <c r="K921" i="6" s="1"/>
  <c r="J922" i="6"/>
  <c r="K922" i="6" s="1"/>
  <c r="J923" i="6"/>
  <c r="K923" i="6" s="1"/>
  <c r="J924" i="6"/>
  <c r="K924" i="6" s="1"/>
  <c r="J925" i="6"/>
  <c r="K925" i="6" s="1"/>
  <c r="J926" i="6"/>
  <c r="K926" i="6" s="1"/>
  <c r="J927" i="6"/>
  <c r="K927" i="6" s="1"/>
  <c r="J928" i="6"/>
  <c r="K928" i="6" s="1"/>
  <c r="J929" i="6"/>
  <c r="K929" i="6" s="1"/>
  <c r="J930" i="6"/>
  <c r="K930" i="6" s="1"/>
  <c r="J931" i="6"/>
  <c r="K931" i="6" s="1"/>
  <c r="J932" i="6"/>
  <c r="K932" i="6" s="1"/>
  <c r="J933" i="6"/>
  <c r="K933" i="6" s="1"/>
  <c r="J934" i="6"/>
  <c r="K934" i="6" s="1"/>
  <c r="J935" i="6"/>
  <c r="K935" i="6" s="1"/>
  <c r="J936" i="6"/>
  <c r="K936" i="6" s="1"/>
  <c r="J937" i="6"/>
  <c r="K937" i="6" s="1"/>
  <c r="J938" i="6"/>
  <c r="K938" i="6" s="1"/>
  <c r="J939" i="6"/>
  <c r="K939" i="6" s="1"/>
  <c r="J940" i="6"/>
  <c r="K940" i="6" s="1"/>
  <c r="J941" i="6"/>
  <c r="K941" i="6" s="1"/>
  <c r="J942" i="6"/>
  <c r="K942" i="6" s="1"/>
  <c r="J943" i="6"/>
  <c r="K943" i="6" s="1"/>
  <c r="J944" i="6"/>
  <c r="K944" i="6" s="1"/>
  <c r="J945" i="6"/>
  <c r="K945" i="6" s="1"/>
  <c r="J946" i="6"/>
  <c r="K946" i="6" s="1"/>
  <c r="J947" i="6"/>
  <c r="K947" i="6" s="1"/>
  <c r="J948" i="6"/>
  <c r="K948" i="6" s="1"/>
  <c r="J949" i="6"/>
  <c r="K949" i="6" s="1"/>
  <c r="J950" i="6"/>
  <c r="K950" i="6" s="1"/>
  <c r="J951" i="6"/>
  <c r="K951" i="6" s="1"/>
  <c r="J952" i="6"/>
  <c r="K952" i="6" s="1"/>
  <c r="J953" i="6"/>
  <c r="K953" i="6" s="1"/>
  <c r="J954" i="6"/>
  <c r="K954" i="6" s="1"/>
  <c r="J955" i="6"/>
  <c r="K955" i="6" s="1"/>
  <c r="J956" i="6"/>
  <c r="K956" i="6" s="1"/>
  <c r="J957" i="6"/>
  <c r="K957" i="6" s="1"/>
  <c r="J958" i="6"/>
  <c r="K958" i="6" s="1"/>
  <c r="J959" i="6"/>
  <c r="K959" i="6" s="1"/>
  <c r="J960" i="6"/>
  <c r="K960" i="6" s="1"/>
  <c r="J961" i="6"/>
  <c r="K961" i="6" s="1"/>
  <c r="J962" i="6"/>
  <c r="K962" i="6" s="1"/>
  <c r="J963" i="6"/>
  <c r="K963" i="6" s="1"/>
  <c r="J964" i="6"/>
  <c r="K964" i="6" s="1"/>
  <c r="J965" i="6"/>
  <c r="K965" i="6" s="1"/>
  <c r="J966" i="6"/>
  <c r="K966" i="6" s="1"/>
  <c r="J967" i="6"/>
  <c r="K967" i="6" s="1"/>
  <c r="J968" i="6"/>
  <c r="K968" i="6" s="1"/>
  <c r="J969" i="6"/>
  <c r="K969" i="6" s="1"/>
  <c r="J970" i="6"/>
  <c r="K970" i="6" s="1"/>
  <c r="J971" i="6"/>
  <c r="K971" i="6" s="1"/>
  <c r="J972" i="6"/>
  <c r="K972" i="6" s="1"/>
  <c r="J973" i="6"/>
  <c r="K973" i="6" s="1"/>
  <c r="J974" i="6"/>
  <c r="K974" i="6" s="1"/>
  <c r="J975" i="6"/>
  <c r="K975" i="6" s="1"/>
  <c r="J976" i="6"/>
  <c r="K976" i="6" s="1"/>
  <c r="J977" i="6"/>
  <c r="K977" i="6" s="1"/>
  <c r="J978" i="6"/>
  <c r="K978" i="6" s="1"/>
  <c r="J979" i="6"/>
  <c r="K979" i="6" s="1"/>
  <c r="J980" i="6"/>
  <c r="K980" i="6" s="1"/>
  <c r="J981" i="6"/>
  <c r="K981" i="6" s="1"/>
  <c r="J982" i="6"/>
  <c r="K982" i="6" s="1"/>
  <c r="J983" i="6"/>
  <c r="K983" i="6" s="1"/>
  <c r="J984" i="6"/>
  <c r="K984" i="6" s="1"/>
  <c r="J985" i="6"/>
  <c r="K985" i="6" s="1"/>
  <c r="J986" i="6"/>
  <c r="K986" i="6" s="1"/>
  <c r="J987" i="6"/>
  <c r="K987" i="6" s="1"/>
  <c r="J988" i="6"/>
  <c r="K988" i="6" s="1"/>
  <c r="J989" i="6"/>
  <c r="K989" i="6" s="1"/>
  <c r="J990" i="6"/>
  <c r="K990" i="6" s="1"/>
  <c r="J991" i="6"/>
  <c r="K991" i="6" s="1"/>
  <c r="J992" i="6"/>
  <c r="K992" i="6" s="1"/>
  <c r="J993" i="6"/>
  <c r="K993" i="6" s="1"/>
  <c r="J994" i="6"/>
  <c r="K994" i="6" s="1"/>
  <c r="J995" i="6"/>
  <c r="K995" i="6" s="1"/>
  <c r="J996" i="6"/>
  <c r="K996" i="6" s="1"/>
  <c r="J997" i="6"/>
  <c r="K997" i="6" s="1"/>
  <c r="J998" i="6"/>
  <c r="K998" i="6" s="1"/>
  <c r="J999" i="6"/>
  <c r="K999" i="6" s="1"/>
  <c r="J1000" i="6"/>
  <c r="K1000" i="6" s="1"/>
  <c r="J1001" i="6"/>
  <c r="K1001" i="6" s="1"/>
  <c r="J1002" i="6"/>
  <c r="K1002" i="6" s="1"/>
  <c r="J1003" i="6"/>
  <c r="K1003" i="6" s="1"/>
  <c r="J1004" i="6"/>
  <c r="K1004" i="6" s="1"/>
  <c r="J1005" i="6"/>
  <c r="K1005" i="6" s="1"/>
  <c r="J1006" i="6"/>
  <c r="K1006" i="6" s="1"/>
  <c r="J1007" i="6"/>
  <c r="K1007" i="6" s="1"/>
  <c r="J1008" i="6"/>
  <c r="K1008" i="6" s="1"/>
  <c r="J1009" i="6"/>
  <c r="K1009" i="6" s="1"/>
  <c r="J1010" i="6"/>
  <c r="K1010" i="6" s="1"/>
  <c r="J1011" i="6"/>
  <c r="K1011" i="6" s="1"/>
  <c r="J1012" i="6"/>
  <c r="K1012" i="6" s="1"/>
  <c r="J1013" i="6"/>
  <c r="K1013" i="6" s="1"/>
  <c r="J1014" i="6"/>
  <c r="K1014" i="6" s="1"/>
  <c r="J1015" i="6"/>
  <c r="K1015" i="6" s="1"/>
  <c r="J1016" i="6"/>
  <c r="K1016" i="6" s="1"/>
  <c r="J1017" i="6"/>
  <c r="K1017" i="6" s="1"/>
  <c r="J1018" i="6"/>
  <c r="K1018" i="6" s="1"/>
  <c r="J1019" i="6"/>
  <c r="K1019" i="6" s="1"/>
  <c r="J1020" i="6"/>
  <c r="K1020" i="6" s="1"/>
  <c r="J1021" i="6"/>
  <c r="K1021" i="6" s="1"/>
  <c r="J1022" i="6"/>
  <c r="K1022" i="6" s="1"/>
  <c r="J1023" i="6"/>
  <c r="K1023" i="6" s="1"/>
  <c r="J1024" i="6"/>
  <c r="K1024" i="6" s="1"/>
  <c r="J1025" i="6"/>
  <c r="K1025" i="6" s="1"/>
  <c r="J1026" i="6"/>
  <c r="K1026" i="6" s="1"/>
  <c r="J1027" i="6"/>
  <c r="K1027" i="6" s="1"/>
  <c r="J1028" i="6"/>
  <c r="K1028" i="6" s="1"/>
  <c r="J1029" i="6"/>
  <c r="K1029" i="6" s="1"/>
  <c r="J1030" i="6"/>
  <c r="K1030" i="6" s="1"/>
  <c r="J1031" i="6"/>
  <c r="K1031" i="6" s="1"/>
  <c r="J1032" i="6"/>
  <c r="K1032" i="6" s="1"/>
  <c r="J1033" i="6"/>
  <c r="K1033" i="6" s="1"/>
  <c r="J1034" i="6"/>
  <c r="K1034" i="6" s="1"/>
  <c r="J1035" i="6"/>
  <c r="K1035" i="6" s="1"/>
  <c r="J1036" i="6"/>
  <c r="K1036" i="6" s="1"/>
  <c r="J1037" i="6"/>
  <c r="K1037" i="6" s="1"/>
  <c r="J1038" i="6"/>
  <c r="K1038" i="6" s="1"/>
  <c r="J1039" i="6"/>
  <c r="K1039" i="6" s="1"/>
  <c r="J1040" i="6"/>
  <c r="K1040" i="6" s="1"/>
  <c r="J1041" i="6"/>
  <c r="K1041" i="6" s="1"/>
  <c r="J1042" i="6"/>
  <c r="K1042" i="6" s="1"/>
  <c r="J1043" i="6"/>
  <c r="K1043" i="6" s="1"/>
  <c r="J1044" i="6"/>
  <c r="K1044" i="6" s="1"/>
  <c r="J1045" i="6"/>
  <c r="K1045" i="6" s="1"/>
  <c r="J1046" i="6"/>
  <c r="K1046" i="6" s="1"/>
  <c r="J1047" i="6"/>
  <c r="K1047" i="6" s="1"/>
  <c r="J1048" i="6"/>
  <c r="K1048" i="6" s="1"/>
  <c r="J1049" i="6"/>
  <c r="K1049" i="6" s="1"/>
  <c r="J1050" i="6"/>
  <c r="K1050" i="6" s="1"/>
  <c r="J1051" i="6"/>
  <c r="K1051" i="6" s="1"/>
  <c r="J1052" i="6"/>
  <c r="K1052" i="6" s="1"/>
  <c r="J1053" i="6"/>
  <c r="K1053" i="6" s="1"/>
  <c r="J1054" i="6"/>
  <c r="K1054" i="6" s="1"/>
  <c r="J1055" i="6"/>
  <c r="K1055" i="6" s="1"/>
  <c r="J1056" i="6"/>
  <c r="K1056" i="6" s="1"/>
  <c r="J1057" i="6"/>
  <c r="K1057" i="6" s="1"/>
  <c r="J1058" i="6"/>
  <c r="K1058" i="6" s="1"/>
  <c r="J1059" i="6"/>
  <c r="K1059" i="6" s="1"/>
  <c r="J1060" i="6"/>
  <c r="K1060" i="6" s="1"/>
  <c r="J1061" i="6"/>
  <c r="K1061" i="6" s="1"/>
  <c r="J1062" i="6"/>
  <c r="K1062" i="6" s="1"/>
  <c r="J1063" i="6"/>
  <c r="K1063" i="6" s="1"/>
  <c r="J1064" i="6"/>
  <c r="K1064" i="6" s="1"/>
  <c r="J1065" i="6"/>
  <c r="K1065" i="6" s="1"/>
  <c r="J1066" i="6"/>
  <c r="K1066" i="6" s="1"/>
  <c r="J1067" i="6"/>
  <c r="K1067" i="6" s="1"/>
  <c r="J1068" i="6"/>
  <c r="K1068" i="6" s="1"/>
  <c r="J1069" i="6"/>
  <c r="K1069" i="6" s="1"/>
  <c r="J1070" i="6"/>
  <c r="K1070" i="6" s="1"/>
  <c r="J1071" i="6"/>
  <c r="K1071" i="6" s="1"/>
  <c r="J1072" i="6"/>
  <c r="K1072" i="6" s="1"/>
  <c r="J1073" i="6"/>
  <c r="K1073" i="6" s="1"/>
  <c r="J1074" i="6"/>
  <c r="K1074" i="6" s="1"/>
  <c r="J1075" i="6"/>
  <c r="K1075" i="6" s="1"/>
  <c r="J1076" i="6"/>
  <c r="K1076" i="6" s="1"/>
  <c r="J1077" i="6"/>
  <c r="K1077" i="6" s="1"/>
  <c r="J1078" i="6"/>
  <c r="K1078" i="6" s="1"/>
  <c r="J1079" i="6"/>
  <c r="K1079" i="6" s="1"/>
  <c r="J1080" i="6"/>
  <c r="K1080" i="6" s="1"/>
  <c r="J1081" i="6"/>
  <c r="K1081" i="6" s="1"/>
  <c r="J1082" i="6"/>
  <c r="K1082" i="6" s="1"/>
  <c r="J1083" i="6"/>
  <c r="K1083" i="6" s="1"/>
  <c r="J1084" i="6"/>
  <c r="K1084" i="6" s="1"/>
  <c r="J1085" i="6"/>
  <c r="K1085" i="6" s="1"/>
  <c r="J1086" i="6"/>
  <c r="K1086" i="6" s="1"/>
  <c r="J1087" i="6"/>
  <c r="K1087" i="6" s="1"/>
  <c r="J1088" i="6"/>
  <c r="K1088" i="6" s="1"/>
  <c r="J1089" i="6"/>
  <c r="K1089" i="6" s="1"/>
  <c r="J1090" i="6"/>
  <c r="K1090" i="6" s="1"/>
  <c r="J1091" i="6"/>
  <c r="K1091" i="6" s="1"/>
  <c r="J1092" i="6"/>
  <c r="K1092" i="6" s="1"/>
  <c r="J1093" i="6"/>
  <c r="K1093" i="6" s="1"/>
  <c r="J1094" i="6"/>
  <c r="K1094" i="6" s="1"/>
  <c r="J1095" i="6"/>
  <c r="K1095" i="6" s="1"/>
  <c r="J1096" i="6"/>
  <c r="K1096" i="6" s="1"/>
  <c r="J1097" i="6"/>
  <c r="K1097" i="6" s="1"/>
  <c r="J1098" i="6"/>
  <c r="K1098" i="6" s="1"/>
  <c r="J1099" i="6"/>
  <c r="K1099" i="6" s="1"/>
  <c r="J1100" i="6"/>
  <c r="K1100" i="6" s="1"/>
  <c r="J1101" i="6"/>
  <c r="K1101" i="6" s="1"/>
  <c r="J1102" i="6"/>
  <c r="K1102" i="6" s="1"/>
  <c r="J1103" i="6"/>
  <c r="K1103" i="6" s="1"/>
  <c r="J1104" i="6"/>
  <c r="K1104" i="6" s="1"/>
  <c r="J1105" i="6"/>
  <c r="K1105" i="6" s="1"/>
  <c r="J1106" i="6"/>
  <c r="K1106" i="6" s="1"/>
  <c r="J1107" i="6"/>
  <c r="K1107" i="6" s="1"/>
  <c r="J1108" i="6"/>
  <c r="K1108" i="6" s="1"/>
  <c r="J1109" i="6"/>
  <c r="K1109" i="6" s="1"/>
  <c r="J1110" i="6"/>
  <c r="K1110" i="6" s="1"/>
  <c r="J1111" i="6"/>
  <c r="K1111" i="6" s="1"/>
  <c r="J1112" i="6"/>
  <c r="K1112" i="6" s="1"/>
  <c r="J1113" i="6"/>
  <c r="K1113" i="6" s="1"/>
  <c r="J1114" i="6"/>
  <c r="K1114" i="6" s="1"/>
  <c r="J1115" i="6"/>
  <c r="K1115" i="6" s="1"/>
  <c r="J1116" i="6"/>
  <c r="K1116" i="6" s="1"/>
  <c r="J1117" i="6"/>
  <c r="K1117" i="6" s="1"/>
  <c r="J1118" i="6"/>
  <c r="K1118" i="6" s="1"/>
  <c r="J1119" i="6"/>
  <c r="K1119" i="6" s="1"/>
  <c r="J1120" i="6"/>
  <c r="K1120" i="6" s="1"/>
  <c r="J1121" i="6"/>
  <c r="K1121" i="6" s="1"/>
  <c r="J1122" i="6"/>
  <c r="K1122" i="6" s="1"/>
  <c r="J1123" i="6"/>
  <c r="K1123" i="6" s="1"/>
  <c r="J1124" i="6"/>
  <c r="K1124" i="6" s="1"/>
  <c r="J1125" i="6"/>
  <c r="K1125" i="6" s="1"/>
  <c r="J1126" i="6"/>
  <c r="K1126" i="6" s="1"/>
  <c r="J1127" i="6"/>
  <c r="K1127" i="6" s="1"/>
  <c r="J1128" i="6"/>
  <c r="K1128" i="6" s="1"/>
  <c r="J1129" i="6"/>
  <c r="K1129" i="6" s="1"/>
  <c r="J1130" i="6"/>
  <c r="K1130" i="6" s="1"/>
  <c r="J1131" i="6"/>
  <c r="K1131" i="6" s="1"/>
  <c r="J1132" i="6"/>
  <c r="K1132" i="6" s="1"/>
  <c r="J1133" i="6"/>
  <c r="K1133" i="6" s="1"/>
  <c r="J1134" i="6"/>
  <c r="K1134" i="6" s="1"/>
  <c r="J1135" i="6"/>
  <c r="K1135" i="6" s="1"/>
  <c r="J1136" i="6"/>
  <c r="K1136" i="6" s="1"/>
  <c r="J1137" i="6"/>
  <c r="K1137" i="6" s="1"/>
  <c r="J1138" i="6"/>
  <c r="K1138" i="6" s="1"/>
  <c r="J1139" i="6"/>
  <c r="K1139" i="6" s="1"/>
  <c r="J1140" i="6"/>
  <c r="K1140" i="6" s="1"/>
  <c r="J1141" i="6"/>
  <c r="K1141" i="6" s="1"/>
  <c r="J1142" i="6"/>
  <c r="K1142" i="6" s="1"/>
  <c r="J1143" i="6"/>
  <c r="K1143" i="6" s="1"/>
  <c r="J1144" i="6"/>
  <c r="K1144" i="6" s="1"/>
  <c r="J1145" i="6"/>
  <c r="K1145" i="6" s="1"/>
  <c r="J1146" i="6"/>
  <c r="K1146" i="6" s="1"/>
  <c r="J1147" i="6"/>
  <c r="K1147" i="6" s="1"/>
  <c r="J1148" i="6"/>
  <c r="K1148" i="6" s="1"/>
  <c r="J1149" i="6"/>
  <c r="K1149" i="6" s="1"/>
  <c r="J1150" i="6"/>
  <c r="K1150" i="6" s="1"/>
  <c r="J1151" i="6"/>
  <c r="K1151" i="6" s="1"/>
  <c r="J1152" i="6"/>
  <c r="K1152" i="6" s="1"/>
  <c r="J1153" i="6"/>
  <c r="K1153" i="6" s="1"/>
  <c r="J1154" i="6"/>
  <c r="K1154" i="6" s="1"/>
  <c r="J1155" i="6"/>
  <c r="K1155" i="6" s="1"/>
  <c r="J1156" i="6"/>
  <c r="K1156" i="6" s="1"/>
  <c r="J1157" i="6"/>
  <c r="K1157" i="6" s="1"/>
  <c r="J1158" i="6"/>
  <c r="K1158" i="6" s="1"/>
  <c r="J1159" i="6"/>
  <c r="K1159" i="6" s="1"/>
  <c r="J1160" i="6"/>
  <c r="K1160" i="6" s="1"/>
  <c r="J1161" i="6"/>
  <c r="K1161" i="6" s="1"/>
  <c r="J1162" i="6"/>
  <c r="K1162" i="6" s="1"/>
  <c r="J1163" i="6"/>
  <c r="K1163" i="6" s="1"/>
  <c r="J1164" i="6"/>
  <c r="K1164" i="6" s="1"/>
  <c r="J1165" i="6"/>
  <c r="K1165" i="6" s="1"/>
  <c r="J1166" i="6"/>
  <c r="K1166" i="6" s="1"/>
  <c r="J1167" i="6"/>
  <c r="K1167" i="6" s="1"/>
  <c r="J1168" i="6"/>
  <c r="K1168" i="6" s="1"/>
  <c r="J1169" i="6"/>
  <c r="K1169" i="6" s="1"/>
  <c r="J1170" i="6"/>
  <c r="K1170" i="6" s="1"/>
  <c r="J1171" i="6"/>
  <c r="K1171" i="6" s="1"/>
  <c r="J1172" i="6"/>
  <c r="K1172" i="6" s="1"/>
  <c r="J1173" i="6"/>
  <c r="K1173" i="6" s="1"/>
  <c r="J1174" i="6"/>
  <c r="K1174" i="6" s="1"/>
  <c r="J1175" i="6"/>
  <c r="K1175" i="6" s="1"/>
  <c r="J1176" i="6"/>
  <c r="K1176" i="6" s="1"/>
  <c r="J1177" i="6"/>
  <c r="K1177" i="6" s="1"/>
  <c r="J1178" i="6"/>
  <c r="K1178" i="6" s="1"/>
  <c r="J1179" i="6"/>
  <c r="K1179" i="6" s="1"/>
  <c r="J1180" i="6"/>
  <c r="K1180" i="6" s="1"/>
  <c r="J1181" i="6"/>
  <c r="K1181" i="6" s="1"/>
  <c r="J1182" i="6"/>
  <c r="K1182" i="6" s="1"/>
  <c r="J1183" i="6"/>
  <c r="K1183" i="6" s="1"/>
  <c r="J1184" i="6"/>
  <c r="K1184" i="6" s="1"/>
  <c r="J1185" i="6"/>
  <c r="K1185" i="6" s="1"/>
  <c r="J1186" i="6"/>
  <c r="K1186" i="6" s="1"/>
  <c r="J1187" i="6"/>
  <c r="K1187" i="6" s="1"/>
  <c r="J1188" i="6"/>
  <c r="K1188" i="6" s="1"/>
  <c r="J1189" i="6"/>
  <c r="K1189" i="6" s="1"/>
  <c r="J1190" i="6"/>
  <c r="K1190" i="6" s="1"/>
  <c r="J1191" i="6"/>
  <c r="K1191" i="6" s="1"/>
  <c r="J1192" i="6"/>
  <c r="K1192" i="6" s="1"/>
  <c r="J1193" i="6"/>
  <c r="K1193" i="6" s="1"/>
  <c r="J1194" i="6"/>
  <c r="K1194" i="6" s="1"/>
  <c r="J1195" i="6"/>
  <c r="K1195" i="6" s="1"/>
  <c r="J1196" i="6"/>
  <c r="K1196" i="6" s="1"/>
  <c r="J1197" i="6"/>
  <c r="K1197" i="6" s="1"/>
  <c r="J1198" i="6"/>
  <c r="K1198" i="6" s="1"/>
  <c r="J1199" i="6"/>
  <c r="K1199" i="6" s="1"/>
  <c r="J1200" i="6"/>
  <c r="K1200" i="6" s="1"/>
  <c r="J1201" i="6"/>
  <c r="K1201" i="6" s="1"/>
  <c r="J1202" i="6"/>
  <c r="K1202" i="6" s="1"/>
  <c r="J1203" i="6"/>
  <c r="K1203" i="6" s="1"/>
  <c r="J1204" i="6"/>
  <c r="K1204" i="6" s="1"/>
  <c r="J1205" i="6"/>
  <c r="K1205" i="6" s="1"/>
  <c r="J1206" i="6"/>
  <c r="K1206" i="6" s="1"/>
  <c r="J1207" i="6"/>
  <c r="K1207" i="6" s="1"/>
  <c r="J1208" i="6"/>
  <c r="K1208" i="6" s="1"/>
  <c r="J1209" i="6"/>
  <c r="K1209" i="6" s="1"/>
  <c r="J1210" i="6"/>
  <c r="K1210" i="6" s="1"/>
  <c r="J1211" i="6"/>
  <c r="K1211" i="6" s="1"/>
  <c r="J1212" i="6"/>
  <c r="K1212" i="6" s="1"/>
  <c r="J1213" i="6"/>
  <c r="K1213" i="6" s="1"/>
  <c r="J1214" i="6"/>
  <c r="K1214" i="6" s="1"/>
  <c r="J1215" i="6"/>
  <c r="K1215" i="6" s="1"/>
  <c r="J1216" i="6"/>
  <c r="K1216" i="6" s="1"/>
  <c r="J1217" i="6"/>
  <c r="K1217" i="6" s="1"/>
  <c r="J1218" i="6"/>
  <c r="K1218" i="6" s="1"/>
  <c r="J1219" i="6"/>
  <c r="K1219" i="6" s="1"/>
  <c r="J1220" i="6"/>
  <c r="K1220" i="6" s="1"/>
  <c r="J1221" i="6"/>
  <c r="K1221" i="6" s="1"/>
  <c r="J1222" i="6"/>
  <c r="K1222" i="6" s="1"/>
  <c r="J1223" i="6"/>
  <c r="K1223" i="6" s="1"/>
  <c r="J1224" i="6"/>
  <c r="K1224" i="6" s="1"/>
  <c r="J1225" i="6"/>
  <c r="K1225" i="6" s="1"/>
  <c r="J1226" i="6"/>
  <c r="K1226" i="6" s="1"/>
  <c r="J1227" i="6"/>
  <c r="K1227" i="6" s="1"/>
  <c r="J1228" i="6"/>
  <c r="K1228" i="6" s="1"/>
  <c r="J1229" i="6"/>
  <c r="K1229" i="6" s="1"/>
  <c r="J1230" i="6"/>
  <c r="K1230" i="6" s="1"/>
  <c r="J1231" i="6"/>
  <c r="K1231" i="6" s="1"/>
  <c r="J1232" i="6"/>
  <c r="K1232" i="6" s="1"/>
  <c r="J1233" i="6"/>
  <c r="K1233" i="6" s="1"/>
  <c r="J1234" i="6"/>
  <c r="K1234" i="6" s="1"/>
  <c r="J1235" i="6"/>
  <c r="K1235" i="6" s="1"/>
  <c r="J1236" i="6"/>
  <c r="K1236" i="6" s="1"/>
  <c r="J1237" i="6"/>
  <c r="K1237" i="6" s="1"/>
  <c r="J1238" i="6"/>
  <c r="K1238" i="6" s="1"/>
  <c r="J1239" i="6"/>
  <c r="K1239" i="6" s="1"/>
  <c r="J1240" i="6"/>
  <c r="K1240" i="6" s="1"/>
  <c r="J1241" i="6"/>
  <c r="K1241" i="6" s="1"/>
  <c r="J1242" i="6"/>
  <c r="K1242" i="6" s="1"/>
  <c r="J1243" i="6"/>
  <c r="K1243" i="6" s="1"/>
  <c r="J1244" i="6"/>
  <c r="K1244" i="6" s="1"/>
  <c r="J1245" i="6"/>
  <c r="K1245" i="6" s="1"/>
  <c r="J1246" i="6"/>
  <c r="K1246" i="6" s="1"/>
  <c r="J1247" i="6"/>
  <c r="K1247" i="6" s="1"/>
  <c r="J1248" i="6"/>
  <c r="K1248" i="6" s="1"/>
  <c r="J1249" i="6"/>
  <c r="K1249" i="6" s="1"/>
  <c r="J1250" i="6"/>
  <c r="K1250" i="6" s="1"/>
  <c r="J1251" i="6"/>
  <c r="K1251" i="6" s="1"/>
  <c r="J1252" i="6"/>
  <c r="K1252" i="6" s="1"/>
  <c r="J1253" i="6"/>
  <c r="K1253" i="6" s="1"/>
  <c r="J1254" i="6"/>
  <c r="K1254" i="6" s="1"/>
  <c r="J1255" i="6"/>
  <c r="K1255" i="6" s="1"/>
  <c r="J1256" i="6"/>
  <c r="K1256" i="6" s="1"/>
  <c r="J1257" i="6"/>
  <c r="K1257" i="6" s="1"/>
  <c r="J1258" i="6"/>
  <c r="K1258" i="6" s="1"/>
  <c r="J1259" i="6"/>
  <c r="K1259" i="6" s="1"/>
  <c r="J1260" i="6"/>
  <c r="K1260" i="6" s="1"/>
  <c r="J1261" i="6"/>
  <c r="K1261" i="6" s="1"/>
  <c r="J1262" i="6"/>
  <c r="K1262" i="6" s="1"/>
  <c r="J1263" i="6"/>
  <c r="K1263" i="6" s="1"/>
  <c r="J1264" i="6"/>
  <c r="K1264" i="6" s="1"/>
  <c r="J1265" i="6"/>
  <c r="K1265" i="6" s="1"/>
  <c r="J1266" i="6"/>
  <c r="K1266" i="6" s="1"/>
  <c r="J1267" i="6"/>
  <c r="K1267" i="6" s="1"/>
  <c r="J1268" i="6"/>
  <c r="K1268" i="6" s="1"/>
  <c r="J1269" i="6"/>
  <c r="K1269" i="6" s="1"/>
  <c r="J1270" i="6"/>
  <c r="K1270" i="6" s="1"/>
  <c r="J1271" i="6"/>
  <c r="K1271" i="6" s="1"/>
  <c r="J1272" i="6"/>
  <c r="K1272" i="6" s="1"/>
  <c r="J1273" i="6"/>
  <c r="K1273" i="6" s="1"/>
  <c r="J1274" i="6"/>
  <c r="K1274" i="6" s="1"/>
  <c r="J1275" i="6"/>
  <c r="K1275" i="6" s="1"/>
  <c r="J1276" i="6"/>
  <c r="K1276" i="6" s="1"/>
  <c r="J1277" i="6"/>
  <c r="K1277" i="6" s="1"/>
  <c r="J1278" i="6"/>
  <c r="K1278" i="6" s="1"/>
  <c r="J1279" i="6"/>
  <c r="K1279" i="6" s="1"/>
  <c r="J1280" i="6"/>
  <c r="K1280" i="6" s="1"/>
  <c r="J1281" i="6"/>
  <c r="K1281" i="6" s="1"/>
  <c r="J1282" i="6"/>
  <c r="K1282" i="6" s="1"/>
  <c r="J1283" i="6"/>
  <c r="K1283" i="6" s="1"/>
  <c r="J1284" i="6"/>
  <c r="K1284" i="6" s="1"/>
  <c r="J1285" i="6"/>
  <c r="K1285" i="6" s="1"/>
  <c r="J1286" i="6"/>
  <c r="K1286" i="6" s="1"/>
  <c r="J1287" i="6"/>
  <c r="K1287" i="6" s="1"/>
  <c r="J1288" i="6"/>
  <c r="K1288" i="6" s="1"/>
  <c r="J1289" i="6"/>
  <c r="K1289" i="6" s="1"/>
  <c r="J1290" i="6"/>
  <c r="K1290" i="6" s="1"/>
  <c r="J1291" i="6"/>
  <c r="K1291" i="6" s="1"/>
  <c r="J1292" i="6"/>
  <c r="K1292" i="6" s="1"/>
  <c r="J1293" i="6"/>
  <c r="K1293" i="6" s="1"/>
  <c r="J1294" i="6"/>
  <c r="K1294" i="6" s="1"/>
  <c r="J1295" i="6"/>
  <c r="K1295" i="6" s="1"/>
  <c r="J1296" i="6"/>
  <c r="K1296" i="6" s="1"/>
  <c r="J1297" i="6"/>
  <c r="K1297" i="6" s="1"/>
  <c r="J1298" i="6"/>
  <c r="K1298" i="6" s="1"/>
  <c r="J1299" i="6"/>
  <c r="K1299" i="6" s="1"/>
  <c r="J1300" i="6"/>
  <c r="K1300" i="6" s="1"/>
  <c r="J1301" i="6"/>
  <c r="K1301" i="6" s="1"/>
  <c r="J1302" i="6"/>
  <c r="K1302" i="6" s="1"/>
  <c r="J1303" i="6"/>
  <c r="K1303" i="6" s="1"/>
  <c r="J1304" i="6"/>
  <c r="K1304" i="6" s="1"/>
  <c r="J1305" i="6"/>
  <c r="K1305" i="6" s="1"/>
  <c r="J1306" i="6"/>
  <c r="K1306" i="6" s="1"/>
  <c r="J1307" i="6"/>
  <c r="K1307" i="6" s="1"/>
  <c r="J1308" i="6"/>
  <c r="K1308" i="6" s="1"/>
  <c r="J1309" i="6"/>
  <c r="K1309" i="6" s="1"/>
  <c r="J1310" i="6"/>
  <c r="K1310" i="6" s="1"/>
  <c r="J1311" i="6"/>
  <c r="K1311" i="6" s="1"/>
  <c r="J1312" i="6"/>
  <c r="K1312" i="6" s="1"/>
  <c r="J1313" i="6"/>
  <c r="K1313" i="6" s="1"/>
  <c r="J1314" i="6"/>
  <c r="K1314" i="6" s="1"/>
  <c r="J1315" i="6"/>
  <c r="K1315" i="6" s="1"/>
  <c r="J1316" i="6"/>
  <c r="K1316" i="6" s="1"/>
  <c r="J1317" i="6"/>
  <c r="K1317" i="6" s="1"/>
  <c r="J1318" i="6"/>
  <c r="K1318" i="6" s="1"/>
  <c r="J1319" i="6"/>
  <c r="K1319" i="6" s="1"/>
  <c r="J1320" i="6"/>
  <c r="K1320" i="6" s="1"/>
  <c r="J1321" i="6"/>
  <c r="K1321" i="6" s="1"/>
  <c r="J1322" i="6"/>
  <c r="K1322" i="6" s="1"/>
  <c r="J1323" i="6"/>
  <c r="K1323" i="6" s="1"/>
  <c r="J1324" i="6"/>
  <c r="K1324" i="6" s="1"/>
  <c r="J1325" i="6"/>
  <c r="K1325" i="6" s="1"/>
  <c r="J1326" i="6"/>
  <c r="K1326" i="6" s="1"/>
  <c r="J1327" i="6"/>
  <c r="K1327" i="6" s="1"/>
  <c r="J1328" i="6"/>
  <c r="K1328" i="6" s="1"/>
  <c r="J1329" i="6"/>
  <c r="K1329" i="6" s="1"/>
  <c r="J1330" i="6"/>
  <c r="K1330" i="6" s="1"/>
  <c r="J1331" i="6"/>
  <c r="K1331" i="6" s="1"/>
  <c r="J1332" i="6"/>
  <c r="K1332" i="6" s="1"/>
  <c r="J1333" i="6"/>
  <c r="K1333" i="6" s="1"/>
  <c r="J1334" i="6"/>
  <c r="K1334" i="6" s="1"/>
  <c r="J1335" i="6"/>
  <c r="K1335" i="6" s="1"/>
  <c r="J1336" i="6"/>
  <c r="K1336" i="6" s="1"/>
  <c r="J1337" i="6"/>
  <c r="K1337" i="6" s="1"/>
  <c r="J1338" i="6"/>
  <c r="K1338" i="6" s="1"/>
  <c r="J1339" i="6"/>
  <c r="K1339" i="6" s="1"/>
  <c r="J1340" i="6"/>
  <c r="K1340" i="6" s="1"/>
  <c r="J1341" i="6"/>
  <c r="K1341" i="6" s="1"/>
  <c r="J1342" i="6"/>
  <c r="K1342" i="6" s="1"/>
  <c r="J1343" i="6"/>
  <c r="K1343" i="6" s="1"/>
  <c r="J1344" i="6"/>
  <c r="K1344" i="6" s="1"/>
  <c r="J1345" i="6"/>
  <c r="K1345" i="6" s="1"/>
  <c r="J1346" i="6"/>
  <c r="K1346" i="6" s="1"/>
  <c r="J1347" i="6"/>
  <c r="K1347" i="6" s="1"/>
  <c r="J1348" i="6"/>
  <c r="K1348" i="6" s="1"/>
  <c r="J1349" i="6"/>
  <c r="K1349" i="6" s="1"/>
  <c r="J1350" i="6"/>
  <c r="K1350" i="6" s="1"/>
  <c r="J1351" i="6"/>
  <c r="K1351" i="6" s="1"/>
  <c r="J1352" i="6"/>
  <c r="K1352" i="6" s="1"/>
  <c r="J1353" i="6"/>
  <c r="K1353" i="6" s="1"/>
  <c r="J1354" i="6"/>
  <c r="K1354" i="6" s="1"/>
  <c r="J1355" i="6"/>
  <c r="K1355" i="6" s="1"/>
  <c r="J1356" i="6"/>
  <c r="K1356" i="6" s="1"/>
  <c r="J1357" i="6"/>
  <c r="K1357" i="6" s="1"/>
  <c r="J1358" i="6"/>
  <c r="K1358" i="6" s="1"/>
  <c r="J1359" i="6"/>
  <c r="K1359" i="6" s="1"/>
  <c r="J1360" i="6"/>
  <c r="K1360" i="6" s="1"/>
  <c r="J1361" i="6"/>
  <c r="K1361" i="6" s="1"/>
  <c r="J1362" i="6"/>
  <c r="K1362" i="6" s="1"/>
  <c r="J1363" i="6"/>
  <c r="K1363" i="6" s="1"/>
  <c r="J1364" i="6"/>
  <c r="K1364" i="6" s="1"/>
  <c r="J1365" i="6"/>
  <c r="K1365" i="6" s="1"/>
  <c r="J1366" i="6"/>
  <c r="K1366" i="6" s="1"/>
  <c r="J1367" i="6"/>
  <c r="K1367" i="6" s="1"/>
  <c r="J1368" i="6"/>
  <c r="K1368" i="6" s="1"/>
  <c r="J1369" i="6"/>
  <c r="K1369" i="6" s="1"/>
  <c r="J1370" i="6"/>
  <c r="K1370" i="6" s="1"/>
  <c r="J1371" i="6"/>
  <c r="K1371" i="6" s="1"/>
  <c r="J1372" i="6"/>
  <c r="K1372" i="6" s="1"/>
  <c r="J1373" i="6"/>
  <c r="K1373" i="6" s="1"/>
  <c r="J1374" i="6"/>
  <c r="K1374" i="6" s="1"/>
  <c r="J1375" i="6"/>
  <c r="K1375" i="6" s="1"/>
  <c r="J1376" i="6"/>
  <c r="K1376" i="6" s="1"/>
  <c r="J1377" i="6"/>
  <c r="K1377" i="6" s="1"/>
  <c r="J1378" i="6"/>
  <c r="K1378" i="6" s="1"/>
  <c r="J1379" i="6"/>
  <c r="K1379" i="6" s="1"/>
  <c r="J1380" i="6"/>
  <c r="K1380" i="6" s="1"/>
  <c r="J1381" i="6"/>
  <c r="K1381" i="6" s="1"/>
  <c r="J1382" i="6"/>
  <c r="K1382" i="6" s="1"/>
  <c r="J1383" i="6"/>
  <c r="K1383" i="6" s="1"/>
  <c r="J1384" i="6"/>
  <c r="K1384" i="6" s="1"/>
  <c r="J1385" i="6"/>
  <c r="K1385" i="6" s="1"/>
  <c r="J1386" i="6"/>
  <c r="K1386" i="6" s="1"/>
  <c r="J1387" i="6"/>
  <c r="K1387" i="6" s="1"/>
  <c r="J1388" i="6"/>
  <c r="K1388" i="6" s="1"/>
  <c r="J1389" i="6"/>
  <c r="K1389" i="6" s="1"/>
  <c r="J1390" i="6"/>
  <c r="K1390" i="6" s="1"/>
  <c r="J1391" i="6"/>
  <c r="K1391" i="6" s="1"/>
  <c r="J1392" i="6"/>
  <c r="K1392" i="6" s="1"/>
  <c r="J1393" i="6"/>
  <c r="K1393" i="6" s="1"/>
  <c r="J1394" i="6"/>
  <c r="K1394" i="6" s="1"/>
  <c r="J1395" i="6"/>
  <c r="K1395" i="6" s="1"/>
  <c r="J1396" i="6"/>
  <c r="K1396" i="6" s="1"/>
  <c r="J1397" i="6"/>
  <c r="K1397" i="6" s="1"/>
  <c r="J1398" i="6"/>
  <c r="K1398" i="6" s="1"/>
  <c r="J1399" i="6"/>
  <c r="K1399" i="6" s="1"/>
  <c r="J1400" i="6"/>
  <c r="K1400" i="6" s="1"/>
  <c r="J1401" i="6"/>
  <c r="K1401" i="6" s="1"/>
  <c r="J1402" i="6"/>
  <c r="K1402" i="6" s="1"/>
  <c r="J1403" i="6"/>
  <c r="K1403" i="6" s="1"/>
  <c r="J1404" i="6"/>
  <c r="K1404" i="6" s="1"/>
  <c r="J1405" i="6"/>
  <c r="K1405" i="6" s="1"/>
  <c r="J1406" i="6"/>
  <c r="K1406" i="6" s="1"/>
  <c r="J1407" i="6"/>
  <c r="K1407" i="6" s="1"/>
  <c r="J1408" i="6"/>
  <c r="K1408" i="6" s="1"/>
  <c r="J1409" i="6"/>
  <c r="K1409" i="6" s="1"/>
  <c r="J1410" i="6"/>
  <c r="K1410" i="6" s="1"/>
  <c r="J1411" i="6"/>
  <c r="K1411" i="6" s="1"/>
  <c r="J1412" i="6"/>
  <c r="K1412" i="6" s="1"/>
  <c r="J1413" i="6"/>
  <c r="K1413" i="6" s="1"/>
  <c r="J1414" i="6"/>
  <c r="K1414" i="6" s="1"/>
  <c r="J1415" i="6"/>
  <c r="K1415" i="6" s="1"/>
  <c r="J1416" i="6"/>
  <c r="K1416" i="6" s="1"/>
  <c r="J1417" i="6"/>
  <c r="K1417" i="6" s="1"/>
  <c r="J1418" i="6"/>
  <c r="K1418" i="6" s="1"/>
  <c r="J1419" i="6"/>
  <c r="K1419" i="6" s="1"/>
  <c r="J1420" i="6"/>
  <c r="K1420" i="6" s="1"/>
  <c r="J1421" i="6"/>
  <c r="K1421" i="6" s="1"/>
  <c r="J1422" i="6"/>
  <c r="K1422" i="6" s="1"/>
  <c r="J1423" i="6"/>
  <c r="K1423" i="6" s="1"/>
  <c r="J1424" i="6"/>
  <c r="K1424" i="6" s="1"/>
  <c r="J1425" i="6"/>
  <c r="K1425" i="6" s="1"/>
  <c r="J1426" i="6"/>
  <c r="K1426" i="6" s="1"/>
  <c r="J1427" i="6"/>
  <c r="K1427" i="6" s="1"/>
  <c r="J1428" i="6"/>
  <c r="K1428" i="6" s="1"/>
  <c r="J1429" i="6"/>
  <c r="K1429" i="6" s="1"/>
  <c r="J1430" i="6"/>
  <c r="K1430" i="6" s="1"/>
  <c r="J1431" i="6"/>
  <c r="K1431" i="6" s="1"/>
  <c r="J1432" i="6"/>
  <c r="K1432" i="6" s="1"/>
  <c r="J1433" i="6"/>
  <c r="K1433" i="6" s="1"/>
  <c r="J1434" i="6"/>
  <c r="K1434" i="6" s="1"/>
  <c r="J1435" i="6"/>
  <c r="K1435" i="6" s="1"/>
  <c r="J1436" i="6"/>
  <c r="K1436" i="6" s="1"/>
  <c r="J1437" i="6"/>
  <c r="K1437" i="6" s="1"/>
  <c r="J1438" i="6"/>
  <c r="K1438" i="6" s="1"/>
  <c r="J1439" i="6"/>
  <c r="K1439" i="6" s="1"/>
  <c r="J1440" i="6"/>
  <c r="K1440" i="6" s="1"/>
  <c r="J1441" i="6"/>
  <c r="K1441" i="6" s="1"/>
  <c r="J1442" i="6"/>
  <c r="K1442" i="6" s="1"/>
  <c r="J1443" i="6"/>
  <c r="K1443" i="6" s="1"/>
  <c r="J1444" i="6"/>
  <c r="K1444" i="6" s="1"/>
  <c r="J1445" i="6"/>
  <c r="K1445" i="6" s="1"/>
  <c r="J1446" i="6"/>
  <c r="K1446" i="6" s="1"/>
  <c r="J1447" i="6"/>
  <c r="K1447" i="6" s="1"/>
  <c r="J1448" i="6"/>
  <c r="K1448" i="6" s="1"/>
  <c r="J1449" i="6"/>
  <c r="K1449" i="6" s="1"/>
  <c r="J1450" i="6"/>
  <c r="K1450" i="6" s="1"/>
  <c r="J1451" i="6"/>
  <c r="K1451" i="6" s="1"/>
  <c r="J1452" i="6"/>
  <c r="K1452" i="6" s="1"/>
  <c r="J1453" i="6"/>
  <c r="K1453" i="6" s="1"/>
  <c r="J1454" i="6"/>
  <c r="K1454" i="6" s="1"/>
  <c r="J1455" i="6"/>
  <c r="K1455" i="6" s="1"/>
  <c r="J1456" i="6"/>
  <c r="K1456" i="6" s="1"/>
  <c r="J1457" i="6"/>
  <c r="K1457" i="6" s="1"/>
  <c r="J1458" i="6"/>
  <c r="K1458" i="6" s="1"/>
  <c r="J1459" i="6"/>
  <c r="K1459" i="6" s="1"/>
  <c r="J1460" i="6"/>
  <c r="K1460" i="6" s="1"/>
  <c r="J1461" i="6"/>
  <c r="K1461" i="6" s="1"/>
  <c r="J1462" i="6"/>
  <c r="K1462" i="6" s="1"/>
  <c r="J1463" i="6"/>
  <c r="K1463" i="6" s="1"/>
  <c r="J1464" i="6"/>
  <c r="K1464" i="6" s="1"/>
  <c r="J1465" i="6"/>
  <c r="K1465" i="6" s="1"/>
  <c r="J1466" i="6"/>
  <c r="K1466" i="6" s="1"/>
  <c r="J1467" i="6"/>
  <c r="K1467" i="6" s="1"/>
  <c r="J1468" i="6"/>
  <c r="K1468" i="6" s="1"/>
  <c r="J1469" i="6"/>
  <c r="K1469" i="6" s="1"/>
  <c r="J1470" i="6"/>
  <c r="K1470" i="6" s="1"/>
  <c r="J1471" i="6"/>
  <c r="K1471" i="6" s="1"/>
  <c r="J1472" i="6"/>
  <c r="K1472" i="6" s="1"/>
  <c r="J1473" i="6"/>
  <c r="K1473" i="6" s="1"/>
  <c r="J1474" i="6"/>
  <c r="K1474" i="6" s="1"/>
  <c r="J1475" i="6"/>
  <c r="K1475" i="6" s="1"/>
  <c r="J1476" i="6"/>
  <c r="K1476" i="6" s="1"/>
  <c r="J1477" i="6"/>
  <c r="K1477" i="6" s="1"/>
  <c r="J1478" i="6"/>
  <c r="K1478" i="6" s="1"/>
  <c r="J1479" i="6"/>
  <c r="K1479" i="6" s="1"/>
  <c r="J1480" i="6"/>
  <c r="K1480" i="6" s="1"/>
  <c r="J1481" i="6"/>
  <c r="K1481" i="6" s="1"/>
  <c r="J1482" i="6"/>
  <c r="K1482" i="6" s="1"/>
  <c r="J1483" i="6"/>
  <c r="K1483" i="6" s="1"/>
  <c r="J1484" i="6"/>
  <c r="K1484" i="6" s="1"/>
  <c r="J1485" i="6"/>
  <c r="K1485" i="6" s="1"/>
  <c r="J1486" i="6"/>
  <c r="K1486" i="6" s="1"/>
  <c r="J1487" i="6"/>
  <c r="K1487" i="6" s="1"/>
  <c r="J1488" i="6"/>
  <c r="K1488" i="6" s="1"/>
  <c r="J1489" i="6"/>
  <c r="K1489" i="6" s="1"/>
  <c r="J1490" i="6"/>
  <c r="K1490" i="6" s="1"/>
  <c r="J1491" i="6"/>
  <c r="K1491" i="6" s="1"/>
  <c r="J1492" i="6"/>
  <c r="K1492" i="6" s="1"/>
  <c r="J1493" i="6"/>
  <c r="K1493" i="6" s="1"/>
  <c r="J1494" i="6"/>
  <c r="K1494" i="6" s="1"/>
  <c r="J1495" i="6"/>
  <c r="K1495" i="6" s="1"/>
  <c r="J1496" i="6"/>
  <c r="K1496" i="6" s="1"/>
  <c r="J1497" i="6"/>
  <c r="K1497" i="6" s="1"/>
  <c r="J1498" i="6"/>
  <c r="K1498" i="6" s="1"/>
  <c r="J1499" i="6"/>
  <c r="K1499" i="6" s="1"/>
  <c r="J1500" i="6"/>
  <c r="K1500" i="6" s="1"/>
  <c r="J1501" i="6"/>
  <c r="K1501" i="6" s="1"/>
  <c r="J1502" i="6"/>
  <c r="K1502" i="6" s="1"/>
  <c r="J1503" i="6"/>
  <c r="K1503" i="6" s="1"/>
  <c r="J1504" i="6"/>
  <c r="K1504" i="6" s="1"/>
  <c r="J1505" i="6"/>
  <c r="K1505" i="6" s="1"/>
  <c r="J1506" i="6"/>
  <c r="K1506" i="6" s="1"/>
  <c r="J1507" i="6"/>
  <c r="K1507" i="6" s="1"/>
  <c r="J1508" i="6"/>
  <c r="K1508" i="6" s="1"/>
  <c r="J1509" i="6"/>
  <c r="K1509" i="6" s="1"/>
  <c r="J1510" i="6"/>
  <c r="K1510" i="6" s="1"/>
  <c r="J1511" i="6"/>
  <c r="K1511" i="6" s="1"/>
  <c r="J1512" i="6"/>
  <c r="K1512" i="6" s="1"/>
  <c r="J1513" i="6"/>
  <c r="K1513" i="6" s="1"/>
  <c r="J1514" i="6"/>
  <c r="K1514" i="6" s="1"/>
  <c r="J1515" i="6"/>
  <c r="K1515" i="6" s="1"/>
  <c r="J1516" i="6"/>
  <c r="K1516" i="6" s="1"/>
  <c r="J1517" i="6"/>
  <c r="K1517" i="6" s="1"/>
  <c r="J1518" i="6"/>
  <c r="K1518" i="6" s="1"/>
  <c r="J1519" i="6"/>
  <c r="K1519" i="6" s="1"/>
  <c r="J1520" i="6"/>
  <c r="K1520" i="6" s="1"/>
  <c r="J1521" i="6"/>
  <c r="K1521" i="6" s="1"/>
  <c r="J1522" i="6"/>
  <c r="K1522" i="6" s="1"/>
  <c r="J1523" i="6"/>
  <c r="K1523" i="6" s="1"/>
  <c r="J1524" i="6"/>
  <c r="K1524" i="6" s="1"/>
  <c r="J1525" i="6"/>
  <c r="K1525" i="6" s="1"/>
  <c r="J1526" i="6"/>
  <c r="K1526" i="6" s="1"/>
  <c r="J1527" i="6"/>
  <c r="K1527" i="6" s="1"/>
  <c r="J1528" i="6"/>
  <c r="K1528" i="6" s="1"/>
  <c r="J1529" i="6"/>
  <c r="K1529" i="6" s="1"/>
  <c r="J1530" i="6"/>
  <c r="K1530" i="6" s="1"/>
  <c r="J1531" i="6"/>
  <c r="K1531" i="6" s="1"/>
  <c r="J1532" i="6"/>
  <c r="K1532" i="6" s="1"/>
  <c r="J1533" i="6"/>
  <c r="K1533" i="6" s="1"/>
  <c r="J1534" i="6"/>
  <c r="K1534" i="6" s="1"/>
  <c r="J1535" i="6"/>
  <c r="K1535" i="6" s="1"/>
  <c r="J1536" i="6"/>
  <c r="K1536" i="6" s="1"/>
  <c r="J1537" i="6"/>
  <c r="K1537" i="6" s="1"/>
  <c r="J1538" i="6"/>
  <c r="K1538" i="6" s="1"/>
  <c r="J1539" i="6"/>
  <c r="K1539" i="6" s="1"/>
  <c r="J1540" i="6"/>
  <c r="K1540" i="6" s="1"/>
  <c r="J1541" i="6"/>
  <c r="K1541" i="6" s="1"/>
  <c r="J1542" i="6"/>
  <c r="K1542" i="6" s="1"/>
  <c r="J1543" i="6"/>
  <c r="K1543" i="6" s="1"/>
  <c r="J1544" i="6"/>
  <c r="K1544" i="6" s="1"/>
  <c r="J1545" i="6"/>
  <c r="K1545" i="6" s="1"/>
  <c r="J1546" i="6"/>
  <c r="K1546" i="6" s="1"/>
  <c r="J1547" i="6"/>
  <c r="K1547" i="6" s="1"/>
  <c r="J1548" i="6"/>
  <c r="K1548" i="6" s="1"/>
  <c r="J1549" i="6"/>
  <c r="K1549" i="6" s="1"/>
  <c r="J1550" i="6"/>
  <c r="K1550" i="6" s="1"/>
  <c r="J1551" i="6"/>
  <c r="K1551" i="6" s="1"/>
  <c r="J1552" i="6"/>
  <c r="K1552" i="6" s="1"/>
  <c r="J1553" i="6"/>
  <c r="K1553" i="6" s="1"/>
  <c r="J1554" i="6"/>
  <c r="K1554" i="6" s="1"/>
  <c r="J1555" i="6"/>
  <c r="K1555" i="6" s="1"/>
  <c r="J1556" i="6"/>
  <c r="K1556" i="6" s="1"/>
  <c r="J1557" i="6"/>
  <c r="K1557" i="6" s="1"/>
  <c r="J1558" i="6"/>
  <c r="K1558" i="6" s="1"/>
  <c r="J1559" i="6"/>
  <c r="K1559" i="6" s="1"/>
  <c r="J1560" i="6"/>
  <c r="K1560" i="6" s="1"/>
  <c r="J1561" i="6"/>
  <c r="K1561" i="6" s="1"/>
  <c r="J1562" i="6"/>
  <c r="K1562" i="6" s="1"/>
  <c r="J1563" i="6"/>
  <c r="K1563" i="6" s="1"/>
  <c r="J1564" i="6"/>
  <c r="K1564" i="6" s="1"/>
  <c r="J1565" i="6"/>
  <c r="K1565" i="6" s="1"/>
  <c r="J1566" i="6"/>
  <c r="K1566" i="6" s="1"/>
  <c r="J1567" i="6"/>
  <c r="K1567" i="6" s="1"/>
  <c r="J1568" i="6"/>
  <c r="K1568" i="6" s="1"/>
  <c r="J1569" i="6"/>
  <c r="K1569" i="6" s="1"/>
  <c r="J1570" i="6"/>
  <c r="K1570" i="6" s="1"/>
  <c r="J1571" i="6"/>
  <c r="K1571" i="6" s="1"/>
  <c r="J1572" i="6"/>
  <c r="K1572" i="6" s="1"/>
  <c r="J1573" i="6"/>
  <c r="K1573" i="6" s="1"/>
  <c r="J1574" i="6"/>
  <c r="K1574" i="6" s="1"/>
  <c r="J1575" i="6"/>
  <c r="K1575" i="6" s="1"/>
  <c r="J1576" i="6"/>
  <c r="K1576" i="6" s="1"/>
  <c r="J1577" i="6"/>
  <c r="K1577" i="6" s="1"/>
  <c r="J1578" i="6"/>
  <c r="K1578" i="6" s="1"/>
  <c r="J1579" i="6"/>
  <c r="K1579" i="6" s="1"/>
  <c r="J1580" i="6"/>
  <c r="K1580" i="6" s="1"/>
  <c r="J1581" i="6"/>
  <c r="K1581" i="6" s="1"/>
  <c r="J1582" i="6"/>
  <c r="K1582" i="6" s="1"/>
  <c r="J1583" i="6"/>
  <c r="K1583" i="6" s="1"/>
  <c r="J1584" i="6"/>
  <c r="K1584" i="6" s="1"/>
  <c r="J1585" i="6"/>
  <c r="K1585" i="6" s="1"/>
  <c r="J1586" i="6"/>
  <c r="K1586" i="6" s="1"/>
  <c r="J1587" i="6"/>
  <c r="K1587" i="6" s="1"/>
  <c r="J1588" i="6"/>
  <c r="K1588" i="6" s="1"/>
  <c r="J1589" i="6"/>
  <c r="K1589" i="6" s="1"/>
  <c r="J1590" i="6"/>
  <c r="K1590" i="6" s="1"/>
  <c r="J1591" i="6"/>
  <c r="K1591" i="6" s="1"/>
  <c r="J1592" i="6"/>
  <c r="K1592" i="6" s="1"/>
  <c r="J1593" i="6"/>
  <c r="K1593" i="6" s="1"/>
  <c r="J1594" i="6"/>
  <c r="K1594" i="6" s="1"/>
  <c r="J1595" i="6"/>
  <c r="K1595" i="6" s="1"/>
  <c r="J1596" i="6"/>
  <c r="K1596" i="6" s="1"/>
  <c r="J1597" i="6"/>
  <c r="K1597" i="6" s="1"/>
  <c r="J1598" i="6"/>
  <c r="K1598" i="6" s="1"/>
  <c r="J1599" i="6"/>
  <c r="K1599" i="6" s="1"/>
  <c r="J1600" i="6"/>
  <c r="K1600" i="6" s="1"/>
  <c r="J1601" i="6"/>
  <c r="K1601" i="6" s="1"/>
  <c r="J1602" i="6"/>
  <c r="K1602" i="6" s="1"/>
  <c r="J1603" i="6"/>
  <c r="K1603" i="6" s="1"/>
  <c r="J1604" i="6"/>
  <c r="K1604" i="6" s="1"/>
  <c r="J1605" i="6"/>
  <c r="K1605" i="6" s="1"/>
  <c r="J1606" i="6"/>
  <c r="K1606" i="6" s="1"/>
  <c r="J1607" i="6"/>
  <c r="K1607" i="6" s="1"/>
  <c r="J1608" i="6"/>
  <c r="K1608" i="6" s="1"/>
  <c r="J1609" i="6"/>
  <c r="K1609" i="6" s="1"/>
  <c r="J1610" i="6"/>
  <c r="K1610" i="6" s="1"/>
  <c r="J1611" i="6"/>
  <c r="K1611" i="6" s="1"/>
  <c r="J1612" i="6"/>
  <c r="K1612" i="6" s="1"/>
  <c r="J1613" i="6"/>
  <c r="K1613" i="6" s="1"/>
  <c r="J1614" i="6"/>
  <c r="K1614" i="6" s="1"/>
  <c r="J1615" i="6"/>
  <c r="K1615" i="6" s="1"/>
  <c r="J1616" i="6"/>
  <c r="K1616" i="6" s="1"/>
  <c r="J1617" i="6"/>
  <c r="K1617" i="6" s="1"/>
  <c r="J1618" i="6"/>
  <c r="K1618" i="6" s="1"/>
  <c r="J1619" i="6"/>
  <c r="K1619" i="6" s="1"/>
  <c r="J1620" i="6"/>
  <c r="K1620" i="6" s="1"/>
  <c r="J1621" i="6"/>
  <c r="K1621" i="6" s="1"/>
  <c r="J1622" i="6"/>
  <c r="K1622" i="6" s="1"/>
  <c r="J1623" i="6"/>
  <c r="K1623" i="6" s="1"/>
  <c r="J1624" i="6"/>
  <c r="K1624" i="6" s="1"/>
  <c r="J1625" i="6"/>
  <c r="K1625" i="6" s="1"/>
  <c r="J1626" i="6"/>
  <c r="K1626" i="6" s="1"/>
  <c r="J1627" i="6"/>
  <c r="K1627" i="6" s="1"/>
  <c r="J1628" i="6"/>
  <c r="K1628" i="6" s="1"/>
  <c r="J1629" i="6"/>
  <c r="K1629" i="6" s="1"/>
  <c r="J1630" i="6"/>
  <c r="K1630" i="6" s="1"/>
  <c r="J1631" i="6"/>
  <c r="K1631" i="6" s="1"/>
  <c r="J1632" i="6"/>
  <c r="K1632" i="6" s="1"/>
  <c r="J1633" i="6"/>
  <c r="K1633" i="6" s="1"/>
  <c r="J1634" i="6"/>
  <c r="K1634" i="6" s="1"/>
  <c r="J1635" i="6"/>
  <c r="K1635" i="6" s="1"/>
  <c r="J1636" i="6"/>
  <c r="K1636" i="6" s="1"/>
  <c r="J1637" i="6"/>
  <c r="K1637" i="6" s="1"/>
  <c r="J1638" i="6"/>
  <c r="K1638" i="6" s="1"/>
  <c r="J1639" i="6"/>
  <c r="K1639" i="6" s="1"/>
  <c r="J1640" i="6"/>
  <c r="K1640" i="6" s="1"/>
  <c r="J1641" i="6"/>
  <c r="K1641" i="6" s="1"/>
  <c r="J1642" i="6"/>
  <c r="K1642" i="6" s="1"/>
  <c r="J1643" i="6"/>
  <c r="K1643" i="6" s="1"/>
  <c r="J1644" i="6"/>
  <c r="K1644" i="6" s="1"/>
  <c r="J1645" i="6"/>
  <c r="K1645" i="6" s="1"/>
  <c r="J1646" i="6"/>
  <c r="K1646" i="6" s="1"/>
  <c r="J1647" i="6"/>
  <c r="K1647" i="6" s="1"/>
  <c r="J1648" i="6"/>
  <c r="K1648" i="6" s="1"/>
  <c r="J1649" i="6"/>
  <c r="K1649" i="6" s="1"/>
  <c r="J1650" i="6"/>
  <c r="K1650" i="6" s="1"/>
  <c r="J1651" i="6"/>
  <c r="K1651" i="6" s="1"/>
  <c r="J1652" i="6"/>
  <c r="K1652" i="6" s="1"/>
  <c r="J1653" i="6"/>
  <c r="K1653" i="6" s="1"/>
  <c r="J1654" i="6"/>
  <c r="K1654" i="6" s="1"/>
  <c r="J1655" i="6"/>
  <c r="K1655" i="6" s="1"/>
  <c r="J1656" i="6"/>
  <c r="K1656" i="6" s="1"/>
  <c r="J1657" i="6"/>
  <c r="K1657" i="6" s="1"/>
  <c r="J1658" i="6"/>
  <c r="K1658" i="6" s="1"/>
  <c r="J1659" i="6"/>
  <c r="K1659" i="6" s="1"/>
  <c r="J1660" i="6"/>
  <c r="K1660" i="6" s="1"/>
  <c r="J1661" i="6"/>
  <c r="K1661" i="6" s="1"/>
  <c r="J1662" i="6"/>
  <c r="K1662" i="6" s="1"/>
  <c r="J1663" i="6"/>
  <c r="K1663" i="6" s="1"/>
  <c r="J1664" i="6"/>
  <c r="K1664" i="6" s="1"/>
  <c r="J1665" i="6"/>
  <c r="K1665" i="6" s="1"/>
  <c r="J1666" i="6"/>
  <c r="K1666" i="6" s="1"/>
  <c r="J1667" i="6"/>
  <c r="K1667" i="6" s="1"/>
  <c r="J1668" i="6"/>
  <c r="K1668" i="6" s="1"/>
  <c r="J1669" i="6"/>
  <c r="K1669" i="6" s="1"/>
  <c r="J1670" i="6"/>
  <c r="K1670" i="6" s="1"/>
  <c r="J1671" i="6"/>
  <c r="K1671" i="6" s="1"/>
  <c r="J1672" i="6"/>
  <c r="K1672" i="6" s="1"/>
  <c r="J1673" i="6"/>
  <c r="K1673" i="6" s="1"/>
  <c r="J1674" i="6"/>
  <c r="K1674" i="6" s="1"/>
  <c r="J1675" i="6"/>
  <c r="K1675" i="6" s="1"/>
  <c r="J1676" i="6"/>
  <c r="K1676" i="6" s="1"/>
  <c r="J1677" i="6"/>
  <c r="K1677" i="6" s="1"/>
  <c r="J1678" i="6"/>
  <c r="K1678" i="6" s="1"/>
  <c r="J1679" i="6"/>
  <c r="K1679" i="6" s="1"/>
  <c r="J1680" i="6"/>
  <c r="K1680" i="6" s="1"/>
  <c r="J1681" i="6"/>
  <c r="K1681" i="6" s="1"/>
  <c r="J1682" i="6"/>
  <c r="K1682" i="6" s="1"/>
  <c r="J1683" i="6"/>
  <c r="K1683" i="6" s="1"/>
  <c r="J1684" i="6"/>
  <c r="K1684" i="6" s="1"/>
  <c r="J1685" i="6"/>
  <c r="K1685" i="6" s="1"/>
  <c r="J1686" i="6"/>
  <c r="K1686" i="6" s="1"/>
  <c r="J1687" i="6"/>
  <c r="K1687" i="6" s="1"/>
  <c r="J1688" i="6"/>
  <c r="K1688" i="6" s="1"/>
  <c r="J1689" i="6"/>
  <c r="K1689" i="6" s="1"/>
  <c r="J1690" i="6"/>
  <c r="K1690" i="6" s="1"/>
  <c r="J1691" i="6"/>
  <c r="K1691" i="6" s="1"/>
  <c r="J1692" i="6"/>
  <c r="K1692" i="6" s="1"/>
  <c r="J1693" i="6"/>
  <c r="K1693" i="6" s="1"/>
  <c r="J1694" i="6"/>
  <c r="K1694" i="6" s="1"/>
  <c r="J1695" i="6"/>
  <c r="K1695" i="6" s="1"/>
  <c r="J1696" i="6"/>
  <c r="K1696" i="6" s="1"/>
  <c r="J1697" i="6"/>
  <c r="K1697" i="6" s="1"/>
  <c r="J1698" i="6"/>
  <c r="K1698" i="6" s="1"/>
  <c r="J1699" i="6"/>
  <c r="K1699" i="6" s="1"/>
  <c r="J1700" i="6"/>
  <c r="K1700" i="6" s="1"/>
  <c r="J1701" i="6"/>
  <c r="K1701" i="6" s="1"/>
  <c r="J1702" i="6"/>
  <c r="K1702" i="6" s="1"/>
  <c r="J1703" i="6"/>
  <c r="K1703" i="6" s="1"/>
  <c r="J1704" i="6"/>
  <c r="K1704" i="6" s="1"/>
  <c r="J1705" i="6"/>
  <c r="K1705" i="6" s="1"/>
  <c r="J1706" i="6"/>
  <c r="K1706" i="6" s="1"/>
  <c r="J1707" i="6"/>
  <c r="K1707" i="6" s="1"/>
  <c r="J1708" i="6"/>
  <c r="K1708" i="6" s="1"/>
  <c r="J1709" i="6"/>
  <c r="K1709" i="6" s="1"/>
  <c r="J1710" i="6"/>
  <c r="K1710" i="6" s="1"/>
  <c r="J1711" i="6"/>
  <c r="K1711" i="6" s="1"/>
  <c r="J1712" i="6"/>
  <c r="K1712" i="6" s="1"/>
  <c r="J1713" i="6"/>
  <c r="K1713" i="6" s="1"/>
  <c r="J1714" i="6"/>
  <c r="K1714" i="6" s="1"/>
  <c r="J1715" i="6"/>
  <c r="K1715" i="6" s="1"/>
  <c r="J1716" i="6"/>
  <c r="K1716" i="6" s="1"/>
  <c r="J1717" i="6"/>
  <c r="K1717" i="6" s="1"/>
  <c r="J1718" i="6"/>
  <c r="K1718" i="6" s="1"/>
  <c r="J1719" i="6"/>
  <c r="K1719" i="6" s="1"/>
  <c r="J1720" i="6"/>
  <c r="K1720" i="6" s="1"/>
  <c r="J1721" i="6"/>
  <c r="K1721" i="6" s="1"/>
  <c r="J1722" i="6"/>
  <c r="K1722" i="6" s="1"/>
  <c r="J1723" i="6"/>
  <c r="K1723" i="6" s="1"/>
  <c r="J1724" i="6"/>
  <c r="K1724" i="6" s="1"/>
  <c r="J1725" i="6"/>
  <c r="K1725" i="6" s="1"/>
  <c r="J1726" i="6"/>
  <c r="K1726" i="6" s="1"/>
  <c r="J1727" i="6"/>
  <c r="K1727" i="6" s="1"/>
  <c r="J1728" i="6"/>
  <c r="K1728" i="6" s="1"/>
  <c r="J1729" i="6"/>
  <c r="K1729" i="6" s="1"/>
  <c r="J1730" i="6"/>
  <c r="K1730" i="6" s="1"/>
  <c r="J1731" i="6"/>
  <c r="K1731" i="6" s="1"/>
  <c r="J1732" i="6"/>
  <c r="K1732" i="6" s="1"/>
  <c r="J1733" i="6"/>
  <c r="K1733" i="6" s="1"/>
  <c r="J1734" i="6"/>
  <c r="K1734" i="6" s="1"/>
  <c r="J1735" i="6"/>
  <c r="K1735" i="6" s="1"/>
  <c r="J1736" i="6"/>
  <c r="K1736" i="6" s="1"/>
  <c r="J1737" i="6"/>
  <c r="K1737" i="6" s="1"/>
  <c r="J1738" i="6"/>
  <c r="K1738" i="6" s="1"/>
  <c r="J1739" i="6"/>
  <c r="K1739" i="6" s="1"/>
  <c r="J1740" i="6"/>
  <c r="K1740" i="6" s="1"/>
  <c r="J1741" i="6"/>
  <c r="K1741" i="6" s="1"/>
  <c r="J1742" i="6"/>
  <c r="K1742" i="6" s="1"/>
  <c r="J1743" i="6"/>
  <c r="K1743" i="6" s="1"/>
  <c r="J1744" i="6"/>
  <c r="K1744" i="6" s="1"/>
  <c r="J1745" i="6"/>
  <c r="K1745" i="6" s="1"/>
  <c r="J1746" i="6"/>
  <c r="K1746" i="6" s="1"/>
  <c r="J1747" i="6"/>
  <c r="K1747" i="6" s="1"/>
  <c r="J1748" i="6"/>
  <c r="K1748" i="6" s="1"/>
  <c r="J1749" i="6"/>
  <c r="K1749" i="6" s="1"/>
  <c r="J1750" i="6"/>
  <c r="K1750" i="6" s="1"/>
  <c r="J1751" i="6"/>
  <c r="K1751" i="6" s="1"/>
  <c r="J1752" i="6"/>
  <c r="K1752" i="6" s="1"/>
  <c r="J1753" i="6"/>
  <c r="K1753" i="6" s="1"/>
  <c r="J1754" i="6"/>
  <c r="K1754" i="6" s="1"/>
  <c r="J1755" i="6"/>
  <c r="K1755" i="6" s="1"/>
  <c r="J1756" i="6"/>
  <c r="K1756" i="6" s="1"/>
  <c r="J1757" i="6"/>
  <c r="K1757" i="6" s="1"/>
  <c r="J1758" i="6"/>
  <c r="K1758" i="6" s="1"/>
  <c r="J1759" i="6"/>
  <c r="K1759" i="6" s="1"/>
  <c r="J1760" i="6"/>
  <c r="K1760" i="6" s="1"/>
  <c r="J1761" i="6"/>
  <c r="K1761" i="6" s="1"/>
  <c r="J1762" i="6"/>
  <c r="K1762" i="6" s="1"/>
  <c r="J1763" i="6"/>
  <c r="K1763" i="6" s="1"/>
  <c r="J1764" i="6"/>
  <c r="K1764" i="6" s="1"/>
  <c r="J1765" i="6"/>
  <c r="K1765" i="6" s="1"/>
  <c r="J1766" i="6"/>
  <c r="K1766" i="6" s="1"/>
  <c r="J1767" i="6"/>
  <c r="K1767" i="6" s="1"/>
  <c r="J1768" i="6"/>
  <c r="K1768" i="6" s="1"/>
  <c r="J1769" i="6"/>
  <c r="K1769" i="6" s="1"/>
  <c r="J1770" i="6"/>
  <c r="K1770" i="6" s="1"/>
  <c r="J1771" i="6"/>
  <c r="K1771" i="6" s="1"/>
  <c r="J1772" i="6"/>
  <c r="K1772" i="6" s="1"/>
  <c r="J1773" i="6"/>
  <c r="K1773" i="6" s="1"/>
  <c r="J1774" i="6"/>
  <c r="K1774" i="6" s="1"/>
  <c r="J1775" i="6"/>
  <c r="K1775" i="6" s="1"/>
  <c r="J1776" i="6"/>
  <c r="K1776" i="6" s="1"/>
  <c r="J1777" i="6"/>
  <c r="K1777" i="6" s="1"/>
  <c r="J1778" i="6"/>
  <c r="K1778" i="6" s="1"/>
  <c r="J1779" i="6"/>
  <c r="K1779" i="6" s="1"/>
  <c r="J1780" i="6"/>
  <c r="K1780" i="6" s="1"/>
  <c r="J1781" i="6"/>
  <c r="K1781" i="6" s="1"/>
  <c r="J1782" i="6"/>
  <c r="K1782" i="6" s="1"/>
  <c r="J1783" i="6"/>
  <c r="K1783" i="6" s="1"/>
  <c r="J1784" i="6"/>
  <c r="K1784" i="6" s="1"/>
  <c r="J1785" i="6"/>
  <c r="K1785" i="6" s="1"/>
  <c r="J1786" i="6"/>
  <c r="K1786" i="6" s="1"/>
  <c r="J1787" i="6"/>
  <c r="K1787" i="6" s="1"/>
  <c r="J1788" i="6"/>
  <c r="K1788" i="6" s="1"/>
  <c r="J1789" i="6"/>
  <c r="K1789" i="6" s="1"/>
  <c r="J1790" i="6"/>
  <c r="K1790" i="6" s="1"/>
  <c r="J1791" i="6"/>
  <c r="K1791" i="6" s="1"/>
  <c r="J1792" i="6"/>
  <c r="K1792" i="6" s="1"/>
  <c r="J1793" i="6"/>
  <c r="K1793" i="6" s="1"/>
  <c r="J1794" i="6"/>
  <c r="K1794" i="6" s="1"/>
  <c r="J1795" i="6"/>
  <c r="K1795" i="6" s="1"/>
  <c r="J1796" i="6"/>
  <c r="K1796" i="6" s="1"/>
  <c r="J1797" i="6"/>
  <c r="K1797" i="6" s="1"/>
  <c r="J1798" i="6"/>
  <c r="K1798" i="6" s="1"/>
  <c r="J1799" i="6"/>
  <c r="K1799" i="6" s="1"/>
  <c r="J1800" i="6"/>
  <c r="K1800" i="6" s="1"/>
  <c r="J1801" i="6"/>
  <c r="K1801" i="6" s="1"/>
  <c r="J1802" i="6"/>
  <c r="K1802" i="6" s="1"/>
  <c r="J1803" i="6"/>
  <c r="K1803" i="6" s="1"/>
  <c r="J1804" i="6"/>
  <c r="K1804" i="6" s="1"/>
  <c r="J1805" i="6"/>
  <c r="K1805" i="6" s="1"/>
  <c r="J1806" i="6"/>
  <c r="K1806" i="6" s="1"/>
  <c r="J1807" i="6"/>
  <c r="K1807" i="6" s="1"/>
  <c r="J1808" i="6"/>
  <c r="K1808" i="6" s="1"/>
  <c r="J1809" i="6"/>
  <c r="K1809" i="6" s="1"/>
  <c r="J1810" i="6"/>
  <c r="K1810" i="6" s="1"/>
  <c r="J1811" i="6"/>
  <c r="K1811" i="6" s="1"/>
  <c r="J1812" i="6"/>
  <c r="K1812" i="6" s="1"/>
  <c r="J1813" i="6"/>
  <c r="K1813" i="6" s="1"/>
  <c r="J1814" i="6"/>
  <c r="K1814" i="6" s="1"/>
  <c r="J1815" i="6"/>
  <c r="K1815" i="6" s="1"/>
  <c r="J1816" i="6"/>
  <c r="K1816" i="6" s="1"/>
  <c r="J1817" i="6"/>
  <c r="K1817" i="6" s="1"/>
  <c r="J1818" i="6"/>
  <c r="K1818" i="6" s="1"/>
  <c r="J1819" i="6"/>
  <c r="K1819" i="6" s="1"/>
  <c r="J1820" i="6"/>
  <c r="K1820" i="6" s="1"/>
  <c r="J1821" i="6"/>
  <c r="K1821" i="6" s="1"/>
  <c r="J1822" i="6"/>
  <c r="K1822" i="6" s="1"/>
  <c r="J1823" i="6"/>
  <c r="K1823" i="6" s="1"/>
  <c r="J1824" i="6"/>
  <c r="K1824" i="6" s="1"/>
  <c r="J1825" i="6"/>
  <c r="K1825" i="6" s="1"/>
  <c r="J1826" i="6"/>
  <c r="K1826" i="6" s="1"/>
  <c r="J1827" i="6"/>
  <c r="K1827" i="6" s="1"/>
  <c r="J1828" i="6"/>
  <c r="K1828" i="6" s="1"/>
  <c r="J1829" i="6"/>
  <c r="K1829" i="6" s="1"/>
  <c r="J1830" i="6"/>
  <c r="K1830" i="6" s="1"/>
  <c r="J1831" i="6"/>
  <c r="K1831" i="6" s="1"/>
  <c r="J1832" i="6"/>
  <c r="K1832" i="6" s="1"/>
  <c r="J1833" i="6"/>
  <c r="K1833" i="6" s="1"/>
  <c r="J1834" i="6"/>
  <c r="K1834" i="6" s="1"/>
  <c r="J1835" i="6"/>
  <c r="K1835" i="6" s="1"/>
  <c r="J1836" i="6"/>
  <c r="K1836" i="6" s="1"/>
  <c r="J1837" i="6"/>
  <c r="K1837" i="6" s="1"/>
  <c r="J1838" i="6"/>
  <c r="K1838" i="6" s="1"/>
  <c r="J1839" i="6"/>
  <c r="K1839" i="6" s="1"/>
  <c r="J1840" i="6"/>
  <c r="K1840" i="6" s="1"/>
  <c r="J1841" i="6"/>
  <c r="K1841" i="6" s="1"/>
  <c r="J1842" i="6"/>
  <c r="K1842" i="6" s="1"/>
  <c r="J1843" i="6"/>
  <c r="K1843" i="6" s="1"/>
  <c r="J1844" i="6"/>
  <c r="K1844" i="6" s="1"/>
  <c r="J1845" i="6"/>
  <c r="K1845" i="6" s="1"/>
  <c r="J1846" i="6"/>
  <c r="K1846" i="6" s="1"/>
  <c r="J1847" i="6"/>
  <c r="K1847" i="6" s="1"/>
  <c r="J1848" i="6"/>
  <c r="K1848" i="6" s="1"/>
  <c r="J1849" i="6"/>
  <c r="K1849" i="6" s="1"/>
  <c r="J1850" i="6"/>
  <c r="K1850" i="6" s="1"/>
  <c r="J1851" i="6"/>
  <c r="K1851" i="6" s="1"/>
  <c r="J1852" i="6"/>
  <c r="K1852" i="6" s="1"/>
  <c r="J1853" i="6"/>
  <c r="K1853" i="6" s="1"/>
  <c r="J1854" i="6"/>
  <c r="K1854" i="6" s="1"/>
  <c r="J1855" i="6"/>
  <c r="K1855" i="6" s="1"/>
  <c r="J1856" i="6"/>
  <c r="K1856" i="6" s="1"/>
  <c r="J1857" i="6"/>
  <c r="K1857" i="6" s="1"/>
  <c r="J1858" i="6"/>
  <c r="K1858" i="6" s="1"/>
  <c r="J1859" i="6"/>
  <c r="K1859" i="6" s="1"/>
  <c r="J1860" i="6"/>
  <c r="K1860" i="6" s="1"/>
  <c r="J1861" i="6"/>
  <c r="K1861" i="6" s="1"/>
  <c r="J1862" i="6"/>
  <c r="K1862" i="6" s="1"/>
  <c r="J1863" i="6"/>
  <c r="K1863" i="6" s="1"/>
  <c r="J1864" i="6"/>
  <c r="K1864" i="6" s="1"/>
  <c r="J1865" i="6"/>
  <c r="K1865" i="6" s="1"/>
  <c r="J1866" i="6"/>
  <c r="K1866" i="6" s="1"/>
  <c r="J1867" i="6"/>
  <c r="K1867" i="6" s="1"/>
  <c r="J1868" i="6"/>
  <c r="K1868" i="6" s="1"/>
  <c r="J1869" i="6"/>
  <c r="K1869" i="6" s="1"/>
  <c r="J1870" i="6"/>
  <c r="K1870" i="6" s="1"/>
  <c r="J1871" i="6"/>
  <c r="K1871" i="6" s="1"/>
  <c r="J1872" i="6"/>
  <c r="K1872" i="6" s="1"/>
  <c r="J1873" i="6"/>
  <c r="K1873" i="6" s="1"/>
  <c r="J1874" i="6"/>
  <c r="K1874" i="6" s="1"/>
  <c r="J1875" i="6"/>
  <c r="K1875" i="6" s="1"/>
  <c r="J1876" i="6"/>
  <c r="K1876" i="6" s="1"/>
  <c r="J1877" i="6"/>
  <c r="K1877" i="6" s="1"/>
  <c r="J1878" i="6"/>
  <c r="K1878" i="6" s="1"/>
  <c r="J1879" i="6"/>
  <c r="K1879" i="6" s="1"/>
  <c r="J1880" i="6"/>
  <c r="K1880" i="6" s="1"/>
  <c r="J1881" i="6"/>
  <c r="K1881" i="6" s="1"/>
  <c r="J1882" i="6"/>
  <c r="K1882" i="6" s="1"/>
  <c r="J1883" i="6"/>
  <c r="K1883" i="6" s="1"/>
  <c r="J1884" i="6"/>
  <c r="K1884" i="6" s="1"/>
  <c r="J1885" i="6"/>
  <c r="K1885" i="6" s="1"/>
  <c r="J1886" i="6"/>
  <c r="K1886" i="6" s="1"/>
  <c r="J1887" i="6"/>
  <c r="K1887" i="6" s="1"/>
  <c r="J1888" i="6"/>
  <c r="K1888" i="6" s="1"/>
  <c r="J1889" i="6"/>
  <c r="K1889" i="6" s="1"/>
  <c r="J1890" i="6"/>
  <c r="K1890" i="6" s="1"/>
  <c r="J1891" i="6"/>
  <c r="K1891" i="6" s="1"/>
  <c r="J1892" i="6"/>
  <c r="K1892" i="6" s="1"/>
  <c r="J1893" i="6"/>
  <c r="K1893" i="6" s="1"/>
  <c r="J1894" i="6"/>
  <c r="K1894" i="6" s="1"/>
  <c r="J1895" i="6"/>
  <c r="K1895" i="6" s="1"/>
  <c r="J1896" i="6"/>
  <c r="K1896" i="6" s="1"/>
  <c r="J1897" i="6"/>
  <c r="K1897" i="6" s="1"/>
  <c r="J1898" i="6"/>
  <c r="K1898" i="6" s="1"/>
  <c r="J1899" i="6"/>
  <c r="K1899" i="6" s="1"/>
  <c r="J1900" i="6"/>
  <c r="K1900" i="6" s="1"/>
  <c r="J1901" i="6"/>
  <c r="K1901" i="6" s="1"/>
  <c r="J1902" i="6"/>
  <c r="K1902" i="6" s="1"/>
  <c r="J1903" i="6"/>
  <c r="K1903" i="6" s="1"/>
  <c r="J1904" i="6"/>
  <c r="K1904" i="6" s="1"/>
  <c r="J1905" i="6"/>
  <c r="K1905" i="6" s="1"/>
  <c r="J1906" i="6"/>
  <c r="K1906" i="6" s="1"/>
  <c r="J1907" i="6"/>
  <c r="K1907" i="6" s="1"/>
  <c r="J1908" i="6"/>
  <c r="K1908" i="6" s="1"/>
  <c r="J1909" i="6"/>
  <c r="K1909" i="6" s="1"/>
  <c r="J1910" i="6"/>
  <c r="K1910" i="6" s="1"/>
  <c r="J1911" i="6"/>
  <c r="K1911" i="6" s="1"/>
  <c r="J1912" i="6"/>
  <c r="K1912" i="6" s="1"/>
  <c r="J1913" i="6"/>
  <c r="K1913" i="6" s="1"/>
  <c r="J1914" i="6"/>
  <c r="K1914" i="6" s="1"/>
  <c r="J1915" i="6"/>
  <c r="K1915" i="6" s="1"/>
  <c r="J1916" i="6"/>
  <c r="K1916" i="6" s="1"/>
  <c r="J1917" i="6"/>
  <c r="K1917" i="6" s="1"/>
  <c r="J1918" i="6"/>
  <c r="K1918" i="6" s="1"/>
  <c r="J1919" i="6"/>
  <c r="K1919" i="6" s="1"/>
  <c r="J1920" i="6"/>
  <c r="K1920" i="6" s="1"/>
  <c r="J1921" i="6"/>
  <c r="K1921" i="6" s="1"/>
  <c r="J1922" i="6"/>
  <c r="K1922" i="6" s="1"/>
  <c r="J1923" i="6"/>
  <c r="K1923" i="6" s="1"/>
  <c r="J1924" i="6"/>
  <c r="K1924" i="6" s="1"/>
  <c r="J1925" i="6"/>
  <c r="K1925" i="6" s="1"/>
  <c r="J1926" i="6"/>
  <c r="K1926" i="6" s="1"/>
  <c r="J1927" i="6"/>
  <c r="K1927" i="6" s="1"/>
  <c r="J1928" i="6"/>
  <c r="K1928" i="6" s="1"/>
  <c r="J1929" i="6"/>
  <c r="K1929" i="6" s="1"/>
  <c r="J1930" i="6"/>
  <c r="K1930" i="6" s="1"/>
  <c r="J1931" i="6"/>
  <c r="K1931" i="6" s="1"/>
  <c r="J1932" i="6"/>
  <c r="K1932" i="6" s="1"/>
  <c r="J1933" i="6"/>
  <c r="K1933" i="6" s="1"/>
  <c r="J1934" i="6"/>
  <c r="K1934" i="6" s="1"/>
  <c r="J1935" i="6"/>
  <c r="K1935" i="6" s="1"/>
  <c r="J1936" i="6"/>
  <c r="K1936" i="6" s="1"/>
  <c r="J1937" i="6"/>
  <c r="K1937" i="6" s="1"/>
  <c r="J1938" i="6"/>
  <c r="K1938" i="6" s="1"/>
  <c r="J1939" i="6"/>
  <c r="K1939" i="6" s="1"/>
  <c r="J1940" i="6"/>
  <c r="K1940" i="6" s="1"/>
  <c r="J1941" i="6"/>
  <c r="K1941" i="6" s="1"/>
  <c r="J1942" i="6"/>
  <c r="K1942" i="6" s="1"/>
  <c r="J1943" i="6"/>
  <c r="K1943" i="6" s="1"/>
  <c r="J1944" i="6"/>
  <c r="K1944" i="6" s="1"/>
  <c r="J1945" i="6"/>
  <c r="K1945" i="6" s="1"/>
  <c r="J1946" i="6"/>
  <c r="K1946" i="6" s="1"/>
  <c r="J1947" i="6"/>
  <c r="K1947" i="6" s="1"/>
  <c r="J1948" i="6"/>
  <c r="K1948" i="6" s="1"/>
  <c r="J1949" i="6"/>
  <c r="K1949" i="6" s="1"/>
  <c r="J1950" i="6"/>
  <c r="K1950" i="6" s="1"/>
  <c r="J1951" i="6"/>
  <c r="K1951" i="6" s="1"/>
  <c r="J1952" i="6"/>
  <c r="K1952" i="6" s="1"/>
  <c r="J1953" i="6"/>
  <c r="K1953" i="6" s="1"/>
  <c r="J1954" i="6"/>
  <c r="K1954" i="6" s="1"/>
  <c r="J1955" i="6"/>
  <c r="K1955" i="6" s="1"/>
  <c r="J1956" i="6"/>
  <c r="K1956" i="6" s="1"/>
  <c r="J1957" i="6"/>
  <c r="K1957" i="6" s="1"/>
  <c r="J1958" i="6"/>
  <c r="K1958" i="6" s="1"/>
  <c r="J1959" i="6"/>
  <c r="K1959" i="6" s="1"/>
  <c r="J1960" i="6"/>
  <c r="K1960" i="6" s="1"/>
  <c r="J1961" i="6"/>
  <c r="K1961" i="6" s="1"/>
  <c r="J1962" i="6"/>
  <c r="K1962" i="6" s="1"/>
  <c r="J1963" i="6"/>
  <c r="K1963" i="6" s="1"/>
  <c r="J1964" i="6"/>
  <c r="K1964" i="6" s="1"/>
  <c r="J1965" i="6"/>
  <c r="K1965" i="6" s="1"/>
  <c r="J1966" i="6"/>
  <c r="K1966" i="6" s="1"/>
  <c r="J1967" i="6"/>
  <c r="K1967" i="6" s="1"/>
  <c r="J1968" i="6"/>
  <c r="K1968" i="6" s="1"/>
  <c r="J1969" i="6"/>
  <c r="K1969" i="6" s="1"/>
  <c r="J1970" i="6"/>
  <c r="K1970" i="6" s="1"/>
  <c r="J1971" i="6"/>
  <c r="K1971" i="6" s="1"/>
  <c r="J1972" i="6"/>
  <c r="K1972" i="6" s="1"/>
  <c r="J1973" i="6"/>
  <c r="K1973" i="6" s="1"/>
  <c r="J1974" i="6"/>
  <c r="K1974" i="6" s="1"/>
  <c r="J1975" i="6"/>
  <c r="K1975" i="6" s="1"/>
  <c r="J1976" i="6"/>
  <c r="K1976" i="6" s="1"/>
  <c r="J1977" i="6"/>
  <c r="K1977" i="6" s="1"/>
  <c r="J1978" i="6"/>
  <c r="K1978" i="6" s="1"/>
  <c r="J1979" i="6"/>
  <c r="K1979" i="6" s="1"/>
  <c r="J1980" i="6"/>
  <c r="K1980" i="6" s="1"/>
  <c r="J1981" i="6"/>
  <c r="K1981" i="6" s="1"/>
  <c r="J1982" i="6"/>
  <c r="K1982" i="6" s="1"/>
  <c r="J1983" i="6"/>
  <c r="K1983" i="6" s="1"/>
  <c r="J1984" i="6"/>
  <c r="K1984" i="6" s="1"/>
  <c r="J1985" i="6"/>
  <c r="K1985" i="6" s="1"/>
  <c r="J1986" i="6"/>
  <c r="K1986" i="6" s="1"/>
  <c r="J1987" i="6"/>
  <c r="K1987" i="6" s="1"/>
  <c r="J1988" i="6"/>
  <c r="K1988" i="6" s="1"/>
  <c r="J1989" i="6"/>
  <c r="K1989" i="6" s="1"/>
  <c r="J1990" i="6"/>
  <c r="K1990" i="6" s="1"/>
  <c r="J1991" i="6"/>
  <c r="K1991" i="6" s="1"/>
  <c r="J1992" i="6"/>
  <c r="K1992" i="6" s="1"/>
  <c r="J1993" i="6"/>
  <c r="K1993" i="6" s="1"/>
  <c r="J1994" i="6"/>
  <c r="K1994" i="6" s="1"/>
  <c r="J1995" i="6"/>
  <c r="K1995" i="6" s="1"/>
  <c r="J1996" i="6"/>
  <c r="K1996" i="6" s="1"/>
  <c r="J1997" i="6"/>
  <c r="K1997" i="6" s="1"/>
  <c r="J1998" i="6"/>
  <c r="K1998" i="6" s="1"/>
  <c r="J1999" i="6"/>
  <c r="K1999" i="6" s="1"/>
  <c r="J2000" i="6"/>
  <c r="K2000" i="6" s="1"/>
  <c r="J2001" i="6"/>
  <c r="K2001" i="6" s="1"/>
  <c r="J2002" i="6"/>
  <c r="K2002" i="6" s="1"/>
  <c r="J2003" i="6"/>
  <c r="K2003" i="6" s="1"/>
  <c r="J2004" i="6"/>
  <c r="K2004" i="6" s="1"/>
  <c r="J2005" i="6"/>
  <c r="K2005" i="6" s="1"/>
  <c r="J2006" i="6"/>
  <c r="K2006" i="6" s="1"/>
  <c r="J2007" i="6"/>
  <c r="K2007" i="6" s="1"/>
  <c r="J2008" i="6"/>
  <c r="K2008" i="6" s="1"/>
  <c r="L1900" i="6" l="1"/>
  <c r="L2000" i="6"/>
  <c r="L1988" i="6"/>
  <c r="L1980" i="6"/>
  <c r="L1968" i="6"/>
  <c r="L1956" i="6"/>
  <c r="L1944" i="6"/>
  <c r="L1932" i="6"/>
  <c r="L1920" i="6"/>
  <c r="L1912" i="6"/>
  <c r="L1896" i="6"/>
  <c r="L1880" i="6"/>
  <c r="L1864" i="6"/>
  <c r="L1844" i="6"/>
  <c r="L1828" i="6"/>
  <c r="L1812" i="6"/>
  <c r="L1796" i="6"/>
  <c r="L1776" i="6"/>
  <c r="L1760" i="6"/>
  <c r="L1740" i="6"/>
  <c r="L1728" i="6"/>
  <c r="L1712" i="6"/>
  <c r="L1696" i="6"/>
  <c r="L1676" i="6"/>
  <c r="L1660" i="6"/>
  <c r="L1644" i="6"/>
  <c r="L1628" i="6"/>
  <c r="L1612" i="6"/>
  <c r="L1596" i="6"/>
  <c r="L1580" i="6"/>
  <c r="L1560" i="6"/>
  <c r="L1548" i="6"/>
  <c r="L1528" i="6"/>
  <c r="L1516" i="6"/>
  <c r="L1496" i="6"/>
  <c r="L1476" i="6"/>
  <c r="L1460" i="6"/>
  <c r="L1444" i="6"/>
  <c r="L1424" i="6"/>
  <c r="L1408" i="6"/>
  <c r="L1388" i="6"/>
  <c r="L1376" i="6"/>
  <c r="L1356" i="6"/>
  <c r="L1336" i="6"/>
  <c r="L1320" i="6"/>
  <c r="L1304" i="6"/>
  <c r="L1284" i="6"/>
  <c r="L1268" i="6"/>
  <c r="L1252" i="6"/>
  <c r="L1232" i="6"/>
  <c r="L1212" i="6"/>
  <c r="L1196" i="6"/>
  <c r="L1180" i="6"/>
  <c r="L1168" i="6"/>
  <c r="L1152" i="6"/>
  <c r="L1136" i="6"/>
  <c r="L1120" i="6"/>
  <c r="L1100" i="6"/>
  <c r="L1068" i="6"/>
  <c r="L852" i="6"/>
  <c r="L1759" i="6"/>
  <c r="L2004" i="6"/>
  <c r="L1996" i="6"/>
  <c r="L1984" i="6"/>
  <c r="L1976" i="6"/>
  <c r="L1964" i="6"/>
  <c r="L1952" i="6"/>
  <c r="L1948" i="6"/>
  <c r="L1936" i="6"/>
  <c r="L1924" i="6"/>
  <c r="L1916" i="6"/>
  <c r="L1904" i="6"/>
  <c r="L1888" i="6"/>
  <c r="L1876" i="6"/>
  <c r="L1868" i="6"/>
  <c r="L1856" i="6"/>
  <c r="L1848" i="6"/>
  <c r="L1836" i="6"/>
  <c r="L1824" i="6"/>
  <c r="L1816" i="6"/>
  <c r="L1804" i="6"/>
  <c r="L1792" i="6"/>
  <c r="L1784" i="6"/>
  <c r="L1772" i="6"/>
  <c r="L1764" i="6"/>
  <c r="L1752" i="6"/>
  <c r="L1744" i="6"/>
  <c r="L1732" i="6"/>
  <c r="L1720" i="6"/>
  <c r="L1708" i="6"/>
  <c r="L1700" i="6"/>
  <c r="L1688" i="6"/>
  <c r="L1680" i="6"/>
  <c r="L1672" i="6"/>
  <c r="L1656" i="6"/>
  <c r="L1648" i="6"/>
  <c r="L1636" i="6"/>
  <c r="L1624" i="6"/>
  <c r="L1616" i="6"/>
  <c r="L1604" i="6"/>
  <c r="L1592" i="6"/>
  <c r="L1584" i="6"/>
  <c r="L1572" i="6"/>
  <c r="L1564" i="6"/>
  <c r="L1552" i="6"/>
  <c r="L1540" i="6"/>
  <c r="L1532" i="6"/>
  <c r="L1520" i="6"/>
  <c r="L1508" i="6"/>
  <c r="L1504" i="6"/>
  <c r="L1492" i="6"/>
  <c r="L1484" i="6"/>
  <c r="L1472" i="6"/>
  <c r="L1464" i="6"/>
  <c r="L1452" i="6"/>
  <c r="L1440" i="6"/>
  <c r="L1432" i="6"/>
  <c r="L1420" i="6"/>
  <c r="L1412" i="6"/>
  <c r="L1404" i="6"/>
  <c r="L1396" i="6"/>
  <c r="L1384" i="6"/>
  <c r="L1372" i="6"/>
  <c r="L1364" i="6"/>
  <c r="L1352" i="6"/>
  <c r="L1344" i="6"/>
  <c r="L1332" i="6"/>
  <c r="L1324" i="6"/>
  <c r="L1312" i="6"/>
  <c r="L1300" i="6"/>
  <c r="L1292" i="6"/>
  <c r="L1280" i="6"/>
  <c r="L1272" i="6"/>
  <c r="L1256" i="6"/>
  <c r="L1244" i="6"/>
  <c r="L1240" i="6"/>
  <c r="L1228" i="6"/>
  <c r="L1220" i="6"/>
  <c r="L1208" i="6"/>
  <c r="L1200" i="6"/>
  <c r="L1188" i="6"/>
  <c r="L1176" i="6"/>
  <c r="L1164" i="6"/>
  <c r="L1156" i="6"/>
  <c r="L1144" i="6"/>
  <c r="L1132" i="6"/>
  <c r="L1124" i="6"/>
  <c r="L1112" i="6"/>
  <c r="L1104" i="6"/>
  <c r="L1092" i="6"/>
  <c r="L1084" i="6"/>
  <c r="L1076" i="6"/>
  <c r="L1064" i="6"/>
  <c r="L1056" i="6"/>
  <c r="L1048" i="6"/>
  <c r="L1040" i="6"/>
  <c r="L1032" i="6"/>
  <c r="L1024" i="6"/>
  <c r="L1016" i="6"/>
  <c r="L1008" i="6"/>
  <c r="L1000" i="6"/>
  <c r="L992" i="6"/>
  <c r="L984" i="6"/>
  <c r="L976" i="6"/>
  <c r="L968" i="6"/>
  <c r="L960" i="6"/>
  <c r="L952" i="6"/>
  <c r="L944" i="6"/>
  <c r="L936" i="6"/>
  <c r="L928" i="6"/>
  <c r="L920" i="6"/>
  <c r="L912" i="6"/>
  <c r="L904" i="6"/>
  <c r="L896" i="6"/>
  <c r="L888" i="6"/>
  <c r="L880" i="6"/>
  <c r="L872" i="6"/>
  <c r="L864" i="6"/>
  <c r="L856" i="6"/>
  <c r="L844" i="6"/>
  <c r="L836" i="6"/>
  <c r="L828" i="6"/>
  <c r="L820" i="6"/>
  <c r="L812" i="6"/>
  <c r="L804" i="6"/>
  <c r="L796" i="6"/>
  <c r="L788" i="6"/>
  <c r="L780" i="6"/>
  <c r="L772" i="6"/>
  <c r="L764" i="6"/>
  <c r="L756" i="6"/>
  <c r="L748" i="6"/>
  <c r="L740" i="6"/>
  <c r="L732" i="6"/>
  <c r="L724" i="6"/>
  <c r="L716" i="6"/>
  <c r="L708" i="6"/>
  <c r="L704" i="6"/>
  <c r="L696" i="6"/>
  <c r="L688" i="6"/>
  <c r="L680" i="6"/>
  <c r="L672" i="6"/>
  <c r="L664" i="6"/>
  <c r="L656" i="6"/>
  <c r="L648" i="6"/>
  <c r="L640" i="6"/>
  <c r="L632" i="6"/>
  <c r="L624" i="6"/>
  <c r="L616" i="6"/>
  <c r="L608" i="6"/>
  <c r="L600" i="6"/>
  <c r="L592" i="6"/>
  <c r="L584" i="6"/>
  <c r="L576" i="6"/>
  <c r="L568" i="6"/>
  <c r="L560" i="6"/>
  <c r="L552" i="6"/>
  <c r="L544" i="6"/>
  <c r="L536" i="6"/>
  <c r="L528" i="6"/>
  <c r="L520" i="6"/>
  <c r="L512" i="6"/>
  <c r="L504" i="6"/>
  <c r="L496" i="6"/>
  <c r="L488" i="6"/>
  <c r="L480" i="6"/>
  <c r="L472" i="6"/>
  <c r="L464" i="6"/>
  <c r="L456" i="6"/>
  <c r="L448" i="6"/>
  <c r="L440" i="6"/>
  <c r="L432" i="6"/>
  <c r="L424" i="6"/>
  <c r="L416" i="6"/>
  <c r="L408" i="6"/>
  <c r="L400" i="6"/>
  <c r="L392" i="6"/>
  <c r="L384" i="6"/>
  <c r="L376" i="6"/>
  <c r="L368" i="6"/>
  <c r="L360" i="6"/>
  <c r="L352" i="6"/>
  <c r="L344" i="6"/>
  <c r="L336" i="6"/>
  <c r="L328" i="6"/>
  <c r="L320" i="6"/>
  <c r="L308" i="6"/>
  <c r="L300" i="6"/>
  <c r="L292" i="6"/>
  <c r="L284" i="6"/>
  <c r="L276" i="6"/>
  <c r="L268" i="6"/>
  <c r="L260" i="6"/>
  <c r="L252" i="6"/>
  <c r="L244" i="6"/>
  <c r="L236" i="6"/>
  <c r="L232" i="6"/>
  <c r="L224" i="6"/>
  <c r="L216" i="6"/>
  <c r="L208" i="6"/>
  <c r="L200" i="6"/>
  <c r="L192" i="6"/>
  <c r="L184" i="6"/>
  <c r="L176" i="6"/>
  <c r="L168" i="6"/>
  <c r="L160" i="6"/>
  <c r="L152" i="6"/>
  <c r="L144" i="6"/>
  <c r="L136" i="6"/>
  <c r="L124" i="6"/>
  <c r="L120" i="6"/>
  <c r="L112" i="6"/>
  <c r="L104" i="6"/>
  <c r="L100" i="6"/>
  <c r="L96" i="6"/>
  <c r="L92" i="6"/>
  <c r="L88" i="6"/>
  <c r="L84" i="6"/>
  <c r="L80" i="6"/>
  <c r="L76" i="6"/>
  <c r="L72" i="6"/>
  <c r="L68" i="6"/>
  <c r="L64" i="6"/>
  <c r="L60" i="6"/>
  <c r="L56" i="6"/>
  <c r="L52" i="6"/>
  <c r="L48" i="6"/>
  <c r="L44" i="6"/>
  <c r="L40" i="6"/>
  <c r="L36" i="6"/>
  <c r="L32" i="6"/>
  <c r="L28" i="6"/>
  <c r="L24" i="6"/>
  <c r="L20" i="6"/>
  <c r="L16" i="6"/>
  <c r="L12" i="6"/>
  <c r="L2003" i="6"/>
  <c r="L1995" i="6"/>
  <c r="L1987" i="6"/>
  <c r="L1979" i="6"/>
  <c r="L1971" i="6"/>
  <c r="L1963" i="6"/>
  <c r="L1959" i="6"/>
  <c r="L1955" i="6"/>
  <c r="L1947" i="6"/>
  <c r="L1939" i="6"/>
  <c r="L1931" i="6"/>
  <c r="L1923" i="6"/>
  <c r="L1915" i="6"/>
  <c r="L1907" i="6"/>
  <c r="L1899" i="6"/>
  <c r="L1895" i="6"/>
  <c r="L1883" i="6"/>
  <c r="L1875" i="6"/>
  <c r="L1867" i="6"/>
  <c r="L1859" i="6"/>
  <c r="L1851" i="6"/>
  <c r="L1843" i="6"/>
  <c r="L1835" i="6"/>
  <c r="L1827" i="6"/>
  <c r="L1823" i="6"/>
  <c r="L1815" i="6"/>
  <c r="L1807" i="6"/>
  <c r="L1799" i="6"/>
  <c r="L1791" i="6"/>
  <c r="L1783" i="6"/>
  <c r="L1775" i="6"/>
  <c r="L1767" i="6"/>
  <c r="L1755" i="6"/>
  <c r="L1747" i="6"/>
  <c r="L1739" i="6"/>
  <c r="L1731" i="6"/>
  <c r="L1723" i="6"/>
  <c r="L1715" i="6"/>
  <c r="L1707" i="6"/>
  <c r="L1699" i="6"/>
  <c r="L1691" i="6"/>
  <c r="L1683" i="6"/>
  <c r="L1675" i="6"/>
  <c r="L1667" i="6"/>
  <c r="L1659" i="6"/>
  <c r="L1651" i="6"/>
  <c r="L1643" i="6"/>
  <c r="L1635" i="6"/>
  <c r="L1627" i="6"/>
  <c r="L1619" i="6"/>
  <c r="L1611" i="6"/>
  <c r="L1603" i="6"/>
  <c r="L1595" i="6"/>
  <c r="L1587" i="6"/>
  <c r="L1579" i="6"/>
  <c r="L1571" i="6"/>
  <c r="L1563" i="6"/>
  <c r="L1559" i="6"/>
  <c r="L1551" i="6"/>
  <c r="L1543" i="6"/>
  <c r="L1535" i="6"/>
  <c r="L1523" i="6"/>
  <c r="L1519" i="6"/>
  <c r="L1511" i="6"/>
  <c r="L1503" i="6"/>
  <c r="L1495" i="6"/>
  <c r="L1487" i="6"/>
  <c r="L1479" i="6"/>
  <c r="L1467" i="6"/>
  <c r="L1459" i="6"/>
  <c r="L1451" i="6"/>
  <c r="L1443" i="6"/>
  <c r="L1435" i="6"/>
  <c r="L1427" i="6"/>
  <c r="L1419" i="6"/>
  <c r="L1411" i="6"/>
  <c r="L1403" i="6"/>
  <c r="L1395" i="6"/>
  <c r="L1387" i="6"/>
  <c r="L1379" i="6"/>
  <c r="L1375" i="6"/>
  <c r="L1367" i="6"/>
  <c r="L1359" i="6"/>
  <c r="L1351" i="6"/>
  <c r="L1343" i="6"/>
  <c r="L1335" i="6"/>
  <c r="L1327" i="6"/>
  <c r="L1319" i="6"/>
  <c r="L1311" i="6"/>
  <c r="L1303" i="6"/>
  <c r="L1295" i="6"/>
  <c r="L1283" i="6"/>
  <c r="L1275" i="6"/>
  <c r="L1267" i="6"/>
  <c r="L1259" i="6"/>
  <c r="L1251" i="6"/>
  <c r="L1243" i="6"/>
  <c r="L1235" i="6"/>
  <c r="L1227" i="6"/>
  <c r="L1219" i="6"/>
  <c r="L1211" i="6"/>
  <c r="L1203" i="6"/>
  <c r="L1195" i="6"/>
  <c r="L1187" i="6"/>
  <c r="L1179" i="6"/>
  <c r="L1171" i="6"/>
  <c r="L1163" i="6"/>
  <c r="L1155" i="6"/>
  <c r="L1147" i="6"/>
  <c r="L1139" i="6"/>
  <c r="L1131" i="6"/>
  <c r="L1123" i="6"/>
  <c r="L1115" i="6"/>
  <c r="L1107" i="6"/>
  <c r="L1099" i="6"/>
  <c r="L1091" i="6"/>
  <c r="L1083" i="6"/>
  <c r="L1075" i="6"/>
  <c r="L1067" i="6"/>
  <c r="L1059" i="6"/>
  <c r="L1051" i="6"/>
  <c r="L1043" i="6"/>
  <c r="L1035" i="6"/>
  <c r="L1027" i="6"/>
  <c r="L1019" i="6"/>
  <c r="L1011" i="6"/>
  <c r="L1003" i="6"/>
  <c r="L995" i="6"/>
  <c r="L987" i="6"/>
  <c r="L983" i="6"/>
  <c r="L975" i="6"/>
  <c r="L967" i="6"/>
  <c r="L959" i="6"/>
  <c r="L951" i="6"/>
  <c r="L943" i="6"/>
  <c r="L935" i="6"/>
  <c r="L927" i="6"/>
  <c r="L919" i="6"/>
  <c r="L911" i="6"/>
  <c r="L903" i="6"/>
  <c r="L895" i="6"/>
  <c r="L891" i="6"/>
  <c r="L879" i="6"/>
  <c r="L871" i="6"/>
  <c r="L863" i="6"/>
  <c r="L855" i="6"/>
  <c r="L847" i="6"/>
  <c r="L839" i="6"/>
  <c r="L831" i="6"/>
  <c r="L823" i="6"/>
  <c r="L815" i="6"/>
  <c r="L803" i="6"/>
  <c r="L795" i="6"/>
  <c r="L787" i="6"/>
  <c r="L779" i="6"/>
  <c r="L771" i="6"/>
  <c r="L767" i="6"/>
  <c r="L759" i="6"/>
  <c r="L747" i="6"/>
  <c r="L743" i="6"/>
  <c r="L735" i="6"/>
  <c r="L723" i="6"/>
  <c r="L715" i="6"/>
  <c r="L707" i="6"/>
  <c r="L699" i="6"/>
  <c r="L691" i="6"/>
  <c r="L683" i="6"/>
  <c r="L675" i="6"/>
  <c r="L667" i="6"/>
  <c r="L659" i="6"/>
  <c r="L651" i="6"/>
  <c r="L643" i="6"/>
  <c r="L635" i="6"/>
  <c r="L627" i="6"/>
  <c r="L619" i="6"/>
  <c r="L611" i="6"/>
  <c r="L603" i="6"/>
  <c r="L595" i="6"/>
  <c r="L587" i="6"/>
  <c r="L575" i="6"/>
  <c r="L567" i="6"/>
  <c r="L563" i="6"/>
  <c r="L551" i="6"/>
  <c r="L539" i="6"/>
  <c r="L531" i="6"/>
  <c r="L523" i="6"/>
  <c r="L515" i="6"/>
  <c r="L507" i="6"/>
  <c r="L503" i="6"/>
  <c r="L495" i="6"/>
  <c r="L491" i="6"/>
  <c r="L483" i="6"/>
  <c r="L479" i="6"/>
  <c r="L467" i="6"/>
  <c r="L459" i="6"/>
  <c r="L451" i="6"/>
  <c r="L447" i="6"/>
  <c r="L439" i="6"/>
  <c r="L431" i="6"/>
  <c r="L423" i="6"/>
  <c r="L411" i="6"/>
  <c r="L403" i="6"/>
  <c r="L395" i="6"/>
  <c r="L387" i="6"/>
  <c r="L379" i="6"/>
  <c r="L371" i="6"/>
  <c r="L363" i="6"/>
  <c r="L355" i="6"/>
  <c r="L347" i="6"/>
  <c r="L339" i="6"/>
  <c r="L331" i="6"/>
  <c r="L323" i="6"/>
  <c r="L311" i="6"/>
  <c r="L303" i="6"/>
  <c r="L295" i="6"/>
  <c r="L287" i="6"/>
  <c r="L279" i="6"/>
  <c r="L271" i="6"/>
  <c r="L263" i="6"/>
  <c r="L255" i="6"/>
  <c r="L251" i="6"/>
  <c r="L243" i="6"/>
  <c r="L235" i="6"/>
  <c r="L227" i="6"/>
  <c r="L219" i="6"/>
  <c r="L211" i="6"/>
  <c r="L203" i="6"/>
  <c r="L195" i="6"/>
  <c r="L187" i="6"/>
  <c r="L179" i="6"/>
  <c r="L171" i="6"/>
  <c r="L163" i="6"/>
  <c r="L155" i="6"/>
  <c r="L147" i="6"/>
  <c r="L143" i="6"/>
  <c r="L135" i="6"/>
  <c r="L127" i="6"/>
  <c r="L115" i="6"/>
  <c r="L107" i="6"/>
  <c r="L103" i="6"/>
  <c r="L95" i="6"/>
  <c r="L87" i="6"/>
  <c r="L79" i="6"/>
  <c r="L67" i="6"/>
  <c r="L59" i="6"/>
  <c r="L51" i="6"/>
  <c r="L23" i="6"/>
  <c r="L19" i="6"/>
  <c r="L15" i="6"/>
  <c r="L11" i="6"/>
  <c r="L2006" i="6"/>
  <c r="L1994" i="6"/>
  <c r="L1986" i="6"/>
  <c r="L1974" i="6"/>
  <c r="L1966" i="6"/>
  <c r="L1954" i="6"/>
  <c r="L1946" i="6"/>
  <c r="L1934" i="6"/>
  <c r="L1926" i="6"/>
  <c r="L1914" i="6"/>
  <c r="L1902" i="6"/>
  <c r="L1890" i="6"/>
  <c r="L1878" i="6"/>
  <c r="L1870" i="6"/>
  <c r="L1858" i="6"/>
  <c r="L1846" i="6"/>
  <c r="L1834" i="6"/>
  <c r="L1822" i="6"/>
  <c r="L1814" i="6"/>
  <c r="L1802" i="6"/>
  <c r="L1794" i="6"/>
  <c r="L1782" i="6"/>
  <c r="L1770" i="6"/>
  <c r="L1758" i="6"/>
  <c r="L1746" i="6"/>
  <c r="L1734" i="6"/>
  <c r="L1726" i="6"/>
  <c r="L1714" i="6"/>
  <c r="L1702" i="6"/>
  <c r="L1698" i="6"/>
  <c r="L1694" i="6"/>
  <c r="L1690" i="6"/>
  <c r="L1686" i="6"/>
  <c r="L1678" i="6"/>
  <c r="L1674" i="6"/>
  <c r="L1670" i="6"/>
  <c r="L1666" i="6"/>
  <c r="L1662" i="6"/>
  <c r="L1658" i="6"/>
  <c r="L1654" i="6"/>
  <c r="L1650" i="6"/>
  <c r="L1646" i="6"/>
  <c r="L1642" i="6"/>
  <c r="L1638" i="6"/>
  <c r="L1634" i="6"/>
  <c r="L1630" i="6"/>
  <c r="L1626" i="6"/>
  <c r="L1622" i="6"/>
  <c r="L1618" i="6"/>
  <c r="L1614" i="6"/>
  <c r="L1610" i="6"/>
  <c r="L1606" i="6"/>
  <c r="L1602" i="6"/>
  <c r="L1598" i="6"/>
  <c r="L1594" i="6"/>
  <c r="L1590" i="6"/>
  <c r="L1586" i="6"/>
  <c r="L1582" i="6"/>
  <c r="L1578" i="6"/>
  <c r="L1574" i="6"/>
  <c r="L1570" i="6"/>
  <c r="L1566" i="6"/>
  <c r="L1562" i="6"/>
  <c r="L1558" i="6"/>
  <c r="L1554" i="6"/>
  <c r="L1550" i="6"/>
  <c r="L1546" i="6"/>
  <c r="L1542" i="6"/>
  <c r="L1538" i="6"/>
  <c r="L1534" i="6"/>
  <c r="L1530" i="6"/>
  <c r="L1526" i="6"/>
  <c r="L1522" i="6"/>
  <c r="L1518" i="6"/>
  <c r="L1514" i="6"/>
  <c r="L1510" i="6"/>
  <c r="L1506" i="6"/>
  <c r="L1502" i="6"/>
  <c r="L1498" i="6"/>
  <c r="L1494" i="6"/>
  <c r="L1490" i="6"/>
  <c r="L1486" i="6"/>
  <c r="L1482" i="6"/>
  <c r="L1478" i="6"/>
  <c r="L1474" i="6"/>
  <c r="L1470" i="6"/>
  <c r="L1466" i="6"/>
  <c r="L1462" i="6"/>
  <c r="L1458" i="6"/>
  <c r="L1454" i="6"/>
  <c r="L1450" i="6"/>
  <c r="L1446" i="6"/>
  <c r="L1442" i="6"/>
  <c r="L1438" i="6"/>
  <c r="L1434" i="6"/>
  <c r="L1430" i="6"/>
  <c r="L1426" i="6"/>
  <c r="L1422" i="6"/>
  <c r="L1418" i="6"/>
  <c r="L1414" i="6"/>
  <c r="L1410" i="6"/>
  <c r="L1406" i="6"/>
  <c r="L1402" i="6"/>
  <c r="L1398" i="6"/>
  <c r="L1394" i="6"/>
  <c r="L1390" i="6"/>
  <c r="L1386" i="6"/>
  <c r="L1382" i="6"/>
  <c r="L1378" i="6"/>
  <c r="L1374" i="6"/>
  <c r="L1370" i="6"/>
  <c r="L1366" i="6"/>
  <c r="L1362" i="6"/>
  <c r="L1358" i="6"/>
  <c r="L1354" i="6"/>
  <c r="L1350" i="6"/>
  <c r="L1346" i="6"/>
  <c r="L1342" i="6"/>
  <c r="L1338" i="6"/>
  <c r="L1334" i="6"/>
  <c r="L1330" i="6"/>
  <c r="L1326" i="6"/>
  <c r="L1322" i="6"/>
  <c r="L1318" i="6"/>
  <c r="L1314" i="6"/>
  <c r="L1310" i="6"/>
  <c r="L1306" i="6"/>
  <c r="L1302" i="6"/>
  <c r="L1298" i="6"/>
  <c r="L1294" i="6"/>
  <c r="L1290" i="6"/>
  <c r="L1286" i="6"/>
  <c r="L1282" i="6"/>
  <c r="L1278" i="6"/>
  <c r="L1274" i="6"/>
  <c r="L1270" i="6"/>
  <c r="L1266" i="6"/>
  <c r="L1262" i="6"/>
  <c r="L1258" i="6"/>
  <c r="L1254" i="6"/>
  <c r="L1250" i="6"/>
  <c r="L1246" i="6"/>
  <c r="L1242" i="6"/>
  <c r="L1238" i="6"/>
  <c r="L1234" i="6"/>
  <c r="L1230" i="6"/>
  <c r="L1226" i="6"/>
  <c r="L1222" i="6"/>
  <c r="L1218" i="6"/>
  <c r="L1214" i="6"/>
  <c r="L1210" i="6"/>
  <c r="L1206" i="6"/>
  <c r="L1202" i="6"/>
  <c r="L1198" i="6"/>
  <c r="L1194" i="6"/>
  <c r="L1190" i="6"/>
  <c r="L1186" i="6"/>
  <c r="L1182" i="6"/>
  <c r="L1178" i="6"/>
  <c r="L1174" i="6"/>
  <c r="L1170" i="6"/>
  <c r="L1166" i="6"/>
  <c r="L1162" i="6"/>
  <c r="L1158" i="6"/>
  <c r="L1154" i="6"/>
  <c r="L1150" i="6"/>
  <c r="L1146" i="6"/>
  <c r="L1142" i="6"/>
  <c r="L1138" i="6"/>
  <c r="L1134" i="6"/>
  <c r="L1130" i="6"/>
  <c r="L1126" i="6"/>
  <c r="L1122" i="6"/>
  <c r="L1118" i="6"/>
  <c r="L1114" i="6"/>
  <c r="L1110" i="6"/>
  <c r="L1106" i="6"/>
  <c r="L1102" i="6"/>
  <c r="L1098" i="6"/>
  <c r="L1094" i="6"/>
  <c r="L1090" i="6"/>
  <c r="L1086" i="6"/>
  <c r="L1082" i="6"/>
  <c r="L1078" i="6"/>
  <c r="L1074" i="6"/>
  <c r="L1070" i="6"/>
  <c r="L1066" i="6"/>
  <c r="L1062" i="6"/>
  <c r="L1058" i="6"/>
  <c r="L1054" i="6"/>
  <c r="L1050" i="6"/>
  <c r="L1046" i="6"/>
  <c r="L1042" i="6"/>
  <c r="L1038" i="6"/>
  <c r="L1034" i="6"/>
  <c r="L1030" i="6"/>
  <c r="L1026" i="6"/>
  <c r="L1022" i="6"/>
  <c r="L1018" i="6"/>
  <c r="L1014" i="6"/>
  <c r="L1010" i="6"/>
  <c r="L1006" i="6"/>
  <c r="L1002" i="6"/>
  <c r="L998" i="6"/>
  <c r="L994" i="6"/>
  <c r="L990" i="6"/>
  <c r="L986" i="6"/>
  <c r="L982" i="6"/>
  <c r="L978" i="6"/>
  <c r="L974" i="6"/>
  <c r="L970" i="6"/>
  <c r="L966" i="6"/>
  <c r="L962" i="6"/>
  <c r="L958" i="6"/>
  <c r="L954" i="6"/>
  <c r="L950" i="6"/>
  <c r="L946" i="6"/>
  <c r="L942" i="6"/>
  <c r="L938" i="6"/>
  <c r="L934" i="6"/>
  <c r="L930" i="6"/>
  <c r="L926" i="6"/>
  <c r="L922" i="6"/>
  <c r="L918" i="6"/>
  <c r="L914" i="6"/>
  <c r="L910" i="6"/>
  <c r="L906" i="6"/>
  <c r="L902" i="6"/>
  <c r="L898" i="6"/>
  <c r="L894" i="6"/>
  <c r="L890" i="6"/>
  <c r="L886" i="6"/>
  <c r="L882" i="6"/>
  <c r="L878" i="6"/>
  <c r="L874" i="6"/>
  <c r="L870" i="6"/>
  <c r="L866" i="6"/>
  <c r="L862" i="6"/>
  <c r="L858" i="6"/>
  <c r="L854" i="6"/>
  <c r="L850" i="6"/>
  <c r="L846" i="6"/>
  <c r="L842" i="6"/>
  <c r="L838" i="6"/>
  <c r="L834" i="6"/>
  <c r="L830" i="6"/>
  <c r="L826" i="6"/>
  <c r="L822" i="6"/>
  <c r="L818" i="6"/>
  <c r="L814" i="6"/>
  <c r="L810" i="6"/>
  <c r="L806" i="6"/>
  <c r="L802" i="6"/>
  <c r="L798" i="6"/>
  <c r="L794" i="6"/>
  <c r="L790" i="6"/>
  <c r="L786" i="6"/>
  <c r="L782" i="6"/>
  <c r="L778" i="6"/>
  <c r="L774" i="6"/>
  <c r="L770" i="6"/>
  <c r="L766" i="6"/>
  <c r="L762" i="6"/>
  <c r="L758" i="6"/>
  <c r="L754" i="6"/>
  <c r="L750" i="6"/>
  <c r="L746" i="6"/>
  <c r="L742" i="6"/>
  <c r="L738" i="6"/>
  <c r="L734" i="6"/>
  <c r="L730" i="6"/>
  <c r="L726" i="6"/>
  <c r="L722" i="6"/>
  <c r="L718" i="6"/>
  <c r="L714" i="6"/>
  <c r="L710" i="6"/>
  <c r="L706" i="6"/>
  <c r="L702" i="6"/>
  <c r="L698" i="6"/>
  <c r="L694" i="6"/>
  <c r="L690" i="6"/>
  <c r="L686" i="6"/>
  <c r="L682" i="6"/>
  <c r="L678" i="6"/>
  <c r="L674" i="6"/>
  <c r="L670" i="6"/>
  <c r="L666" i="6"/>
  <c r="L662" i="6"/>
  <c r="L658" i="6"/>
  <c r="L654" i="6"/>
  <c r="L650" i="6"/>
  <c r="L646" i="6"/>
  <c r="L642" i="6"/>
  <c r="L638" i="6"/>
  <c r="L634" i="6"/>
  <c r="L630" i="6"/>
  <c r="L626" i="6"/>
  <c r="L622" i="6"/>
  <c r="L618" i="6"/>
  <c r="L614" i="6"/>
  <c r="L610" i="6"/>
  <c r="L606" i="6"/>
  <c r="L602" i="6"/>
  <c r="L598" i="6"/>
  <c r="L594" i="6"/>
  <c r="L590" i="6"/>
  <c r="L586" i="6"/>
  <c r="L582" i="6"/>
  <c r="L578" i="6"/>
  <c r="L574" i="6"/>
  <c r="L570" i="6"/>
  <c r="L566" i="6"/>
  <c r="L562" i="6"/>
  <c r="L558" i="6"/>
  <c r="L554" i="6"/>
  <c r="L550" i="6"/>
  <c r="L546" i="6"/>
  <c r="L542" i="6"/>
  <c r="L538" i="6"/>
  <c r="L534" i="6"/>
  <c r="L530" i="6"/>
  <c r="L526" i="6"/>
  <c r="L522" i="6"/>
  <c r="L518" i="6"/>
  <c r="L514" i="6"/>
  <c r="L510" i="6"/>
  <c r="L506" i="6"/>
  <c r="L502" i="6"/>
  <c r="L498" i="6"/>
  <c r="L494" i="6"/>
  <c r="L490" i="6"/>
  <c r="L486" i="6"/>
  <c r="L482" i="6"/>
  <c r="L478" i="6"/>
  <c r="L474" i="6"/>
  <c r="L470" i="6"/>
  <c r="L466" i="6"/>
  <c r="L462" i="6"/>
  <c r="L458" i="6"/>
  <c r="L454" i="6"/>
  <c r="L450" i="6"/>
  <c r="L446" i="6"/>
  <c r="L442" i="6"/>
  <c r="L438" i="6"/>
  <c r="L434" i="6"/>
  <c r="L430" i="6"/>
  <c r="L426" i="6"/>
  <c r="L422" i="6"/>
  <c r="L418" i="6"/>
  <c r="L414" i="6"/>
  <c r="L410" i="6"/>
  <c r="L406" i="6"/>
  <c r="L402" i="6"/>
  <c r="L398" i="6"/>
  <c r="L394" i="6"/>
  <c r="L390" i="6"/>
  <c r="L386" i="6"/>
  <c r="L382" i="6"/>
  <c r="L378" i="6"/>
  <c r="L374" i="6"/>
  <c r="L370" i="6"/>
  <c r="L366" i="6"/>
  <c r="L362" i="6"/>
  <c r="L358" i="6"/>
  <c r="L354" i="6"/>
  <c r="L350" i="6"/>
  <c r="L346" i="6"/>
  <c r="L342" i="6"/>
  <c r="L338" i="6"/>
  <c r="L334" i="6"/>
  <c r="L330" i="6"/>
  <c r="L326" i="6"/>
  <c r="L322" i="6"/>
  <c r="L318" i="6"/>
  <c r="L314" i="6"/>
  <c r="L310" i="6"/>
  <c r="L306" i="6"/>
  <c r="L302" i="6"/>
  <c r="L298" i="6"/>
  <c r="L294" i="6"/>
  <c r="L290" i="6"/>
  <c r="L286" i="6"/>
  <c r="L282" i="6"/>
  <c r="L278" i="6"/>
  <c r="L274" i="6"/>
  <c r="L270" i="6"/>
  <c r="L266" i="6"/>
  <c r="L262" i="6"/>
  <c r="L258" i="6"/>
  <c r="L254" i="6"/>
  <c r="L250" i="6"/>
  <c r="L246" i="6"/>
  <c r="L242" i="6"/>
  <c r="L238" i="6"/>
  <c r="L234" i="6"/>
  <c r="L230" i="6"/>
  <c r="L226" i="6"/>
  <c r="L222" i="6"/>
  <c r="L218" i="6"/>
  <c r="L214" i="6"/>
  <c r="L210" i="6"/>
  <c r="L206" i="6"/>
  <c r="L202" i="6"/>
  <c r="L198" i="6"/>
  <c r="L194" i="6"/>
  <c r="L190" i="6"/>
  <c r="L186" i="6"/>
  <c r="L182" i="6"/>
  <c r="L178" i="6"/>
  <c r="L174" i="6"/>
  <c r="L170" i="6"/>
  <c r="L166" i="6"/>
  <c r="L162" i="6"/>
  <c r="L158" i="6"/>
  <c r="L154" i="6"/>
  <c r="L150" i="6"/>
  <c r="L146" i="6"/>
  <c r="L142" i="6"/>
  <c r="L138" i="6"/>
  <c r="L134" i="6"/>
  <c r="L130" i="6"/>
  <c r="L126" i="6"/>
  <c r="L122" i="6"/>
  <c r="L118" i="6"/>
  <c r="L114" i="6"/>
  <c r="L110" i="6"/>
  <c r="L106" i="6"/>
  <c r="L102" i="6"/>
  <c r="L98" i="6"/>
  <c r="L94" i="6"/>
  <c r="L90" i="6"/>
  <c r="L86" i="6"/>
  <c r="L82" i="6"/>
  <c r="L78" i="6"/>
  <c r="L74" i="6"/>
  <c r="L70" i="6"/>
  <c r="L66" i="6"/>
  <c r="L62" i="6"/>
  <c r="L58" i="6"/>
  <c r="L54" i="6"/>
  <c r="L50" i="6"/>
  <c r="L46" i="6"/>
  <c r="L42" i="6"/>
  <c r="L38" i="6"/>
  <c r="L34" i="6"/>
  <c r="L30" i="6"/>
  <c r="L26" i="6"/>
  <c r="L22" i="6"/>
  <c r="L18" i="6"/>
  <c r="L14" i="6"/>
  <c r="L2008" i="6"/>
  <c r="L1992" i="6"/>
  <c r="L1972" i="6"/>
  <c r="L1960" i="6"/>
  <c r="L1940" i="6"/>
  <c r="L1928" i="6"/>
  <c r="L1908" i="6"/>
  <c r="L1892" i="6"/>
  <c r="L1884" i="6"/>
  <c r="L1872" i="6"/>
  <c r="L1860" i="6"/>
  <c r="L1852" i="6"/>
  <c r="L1840" i="6"/>
  <c r="L1832" i="6"/>
  <c r="L1820" i="6"/>
  <c r="L1808" i="6"/>
  <c r="L1800" i="6"/>
  <c r="L1788" i="6"/>
  <c r="L1780" i="6"/>
  <c r="L1768" i="6"/>
  <c r="L1756" i="6"/>
  <c r="L1748" i="6"/>
  <c r="L1736" i="6"/>
  <c r="L1724" i="6"/>
  <c r="L1716" i="6"/>
  <c r="L1704" i="6"/>
  <c r="L1692" i="6"/>
  <c r="L1684" i="6"/>
  <c r="L1668" i="6"/>
  <c r="L1664" i="6"/>
  <c r="L1652" i="6"/>
  <c r="L1640" i="6"/>
  <c r="L1632" i="6"/>
  <c r="L1620" i="6"/>
  <c r="L1608" i="6"/>
  <c r="L1600" i="6"/>
  <c r="L1588" i="6"/>
  <c r="L1576" i="6"/>
  <c r="L1568" i="6"/>
  <c r="L1556" i="6"/>
  <c r="L1544" i="6"/>
  <c r="L1536" i="6"/>
  <c r="L1524" i="6"/>
  <c r="L1512" i="6"/>
  <c r="L1500" i="6"/>
  <c r="L1488" i="6"/>
  <c r="L1480" i="6"/>
  <c r="L1468" i="6"/>
  <c r="L1456" i="6"/>
  <c r="L1448" i="6"/>
  <c r="L1436" i="6"/>
  <c r="L1428" i="6"/>
  <c r="L1416" i="6"/>
  <c r="L1400" i="6"/>
  <c r="L1392" i="6"/>
  <c r="L1380" i="6"/>
  <c r="L1368" i="6"/>
  <c r="L1360" i="6"/>
  <c r="L1348" i="6"/>
  <c r="L1340" i="6"/>
  <c r="L1328" i="6"/>
  <c r="L1316" i="6"/>
  <c r="L1308" i="6"/>
  <c r="L1296" i="6"/>
  <c r="L1288" i="6"/>
  <c r="L1276" i="6"/>
  <c r="L1264" i="6"/>
  <c r="L1260" i="6"/>
  <c r="L1248" i="6"/>
  <c r="L1236" i="6"/>
  <c r="L1224" i="6"/>
  <c r="L1216" i="6"/>
  <c r="L1204" i="6"/>
  <c r="L1192" i="6"/>
  <c r="L1184" i="6"/>
  <c r="L1172" i="6"/>
  <c r="L1160" i="6"/>
  <c r="L1148" i="6"/>
  <c r="L1140" i="6"/>
  <c r="L1128" i="6"/>
  <c r="L1116" i="6"/>
  <c r="L1108" i="6"/>
  <c r="L1096" i="6"/>
  <c r="L1088" i="6"/>
  <c r="L1080" i="6"/>
  <c r="L1072" i="6"/>
  <c r="L1060" i="6"/>
  <c r="L1052" i="6"/>
  <c r="L1044" i="6"/>
  <c r="L1036" i="6"/>
  <c r="L1028" i="6"/>
  <c r="L1020" i="6"/>
  <c r="L1012" i="6"/>
  <c r="L1004" i="6"/>
  <c r="L996" i="6"/>
  <c r="L988" i="6"/>
  <c r="L980" i="6"/>
  <c r="L972" i="6"/>
  <c r="L964" i="6"/>
  <c r="L956" i="6"/>
  <c r="L948" i="6"/>
  <c r="L940" i="6"/>
  <c r="L932" i="6"/>
  <c r="L924" i="6"/>
  <c r="L916" i="6"/>
  <c r="L908" i="6"/>
  <c r="L900" i="6"/>
  <c r="L892" i="6"/>
  <c r="L884" i="6"/>
  <c r="L876" i="6"/>
  <c r="L868" i="6"/>
  <c r="L860" i="6"/>
  <c r="L848" i="6"/>
  <c r="L840" i="6"/>
  <c r="L832" i="6"/>
  <c r="L824" i="6"/>
  <c r="L816" i="6"/>
  <c r="L808" i="6"/>
  <c r="L800" i="6"/>
  <c r="L792" i="6"/>
  <c r="L784" i="6"/>
  <c r="L776" i="6"/>
  <c r="L768" i="6"/>
  <c r="L760" i="6"/>
  <c r="L752" i="6"/>
  <c r="L744" i="6"/>
  <c r="L736" i="6"/>
  <c r="L728" i="6"/>
  <c r="L720" i="6"/>
  <c r="L712" i="6"/>
  <c r="L700" i="6"/>
  <c r="L692" i="6"/>
  <c r="L684" i="6"/>
  <c r="L676" i="6"/>
  <c r="L668" i="6"/>
  <c r="L660" i="6"/>
  <c r="L652" i="6"/>
  <c r="L644" i="6"/>
  <c r="L636" i="6"/>
  <c r="L628" i="6"/>
  <c r="L620" i="6"/>
  <c r="L612" i="6"/>
  <c r="L604" i="6"/>
  <c r="L596" i="6"/>
  <c r="L588" i="6"/>
  <c r="L580" i="6"/>
  <c r="L572" i="6"/>
  <c r="L564" i="6"/>
  <c r="L556" i="6"/>
  <c r="L548" i="6"/>
  <c r="L540" i="6"/>
  <c r="L532" i="6"/>
  <c r="L524" i="6"/>
  <c r="L516" i="6"/>
  <c r="L508" i="6"/>
  <c r="L500" i="6"/>
  <c r="L492" i="6"/>
  <c r="L484" i="6"/>
  <c r="L476" i="6"/>
  <c r="L468" i="6"/>
  <c r="L460" i="6"/>
  <c r="L452" i="6"/>
  <c r="L444" i="6"/>
  <c r="L436" i="6"/>
  <c r="L428" i="6"/>
  <c r="L420" i="6"/>
  <c r="L412" i="6"/>
  <c r="L404" i="6"/>
  <c r="L396" i="6"/>
  <c r="L388" i="6"/>
  <c r="L380" i="6"/>
  <c r="L372" i="6"/>
  <c r="L364" i="6"/>
  <c r="L356" i="6"/>
  <c r="L348" i="6"/>
  <c r="L340" i="6"/>
  <c r="L332" i="6"/>
  <c r="L324" i="6"/>
  <c r="L316" i="6"/>
  <c r="L312" i="6"/>
  <c r="L304" i="6"/>
  <c r="L296" i="6"/>
  <c r="L288" i="6"/>
  <c r="L280" i="6"/>
  <c r="L272" i="6"/>
  <c r="L264" i="6"/>
  <c r="L256" i="6"/>
  <c r="L248" i="6"/>
  <c r="L240" i="6"/>
  <c r="L228" i="6"/>
  <c r="L220" i="6"/>
  <c r="L212" i="6"/>
  <c r="L204" i="6"/>
  <c r="L196" i="6"/>
  <c r="L188" i="6"/>
  <c r="L180" i="6"/>
  <c r="L172" i="6"/>
  <c r="L164" i="6"/>
  <c r="L156" i="6"/>
  <c r="L148" i="6"/>
  <c r="L140" i="6"/>
  <c r="L132" i="6"/>
  <c r="L128" i="6"/>
  <c r="L116" i="6"/>
  <c r="L108" i="6"/>
  <c r="L2007" i="6"/>
  <c r="L1999" i="6"/>
  <c r="L1991" i="6"/>
  <c r="L1983" i="6"/>
  <c r="L1975" i="6"/>
  <c r="L1967" i="6"/>
  <c r="L1951" i="6"/>
  <c r="L1943" i="6"/>
  <c r="L1935" i="6"/>
  <c r="L1927" i="6"/>
  <c r="L1919" i="6"/>
  <c r="L1911" i="6"/>
  <c r="L1903" i="6"/>
  <c r="L1891" i="6"/>
  <c r="L1887" i="6"/>
  <c r="L1879" i="6"/>
  <c r="L1871" i="6"/>
  <c r="L1863" i="6"/>
  <c r="L1855" i="6"/>
  <c r="L1847" i="6"/>
  <c r="L1839" i="6"/>
  <c r="L1831" i="6"/>
  <c r="L1819" i="6"/>
  <c r="L1811" i="6"/>
  <c r="L1803" i="6"/>
  <c r="L1795" i="6"/>
  <c r="L1787" i="6"/>
  <c r="L1779" i="6"/>
  <c r="L1771" i="6"/>
  <c r="L1763" i="6"/>
  <c r="L1751" i="6"/>
  <c r="L1743" i="6"/>
  <c r="L1735" i="6"/>
  <c r="L1727" i="6"/>
  <c r="L1719" i="6"/>
  <c r="L1711" i="6"/>
  <c r="L1703" i="6"/>
  <c r="L1695" i="6"/>
  <c r="L1687" i="6"/>
  <c r="L1679" i="6"/>
  <c r="L1671" i="6"/>
  <c r="L1663" i="6"/>
  <c r="L1655" i="6"/>
  <c r="L1647" i="6"/>
  <c r="L1639" i="6"/>
  <c r="L1631" i="6"/>
  <c r="L1623" i="6"/>
  <c r="L1615" i="6"/>
  <c r="L1607" i="6"/>
  <c r="L1599" i="6"/>
  <c r="L1591" i="6"/>
  <c r="L1583" i="6"/>
  <c r="L1575" i="6"/>
  <c r="L1567" i="6"/>
  <c r="L1555" i="6"/>
  <c r="L1547" i="6"/>
  <c r="L1539" i="6"/>
  <c r="L1531" i="6"/>
  <c r="L1527" i="6"/>
  <c r="L1515" i="6"/>
  <c r="L1507" i="6"/>
  <c r="L1499" i="6"/>
  <c r="L1491" i="6"/>
  <c r="L1483" i="6"/>
  <c r="L1475" i="6"/>
  <c r="L1471" i="6"/>
  <c r="L1463" i="6"/>
  <c r="L1455" i="6"/>
  <c r="L1447" i="6"/>
  <c r="L1439" i="6"/>
  <c r="L1431" i="6"/>
  <c r="L1423" i="6"/>
  <c r="L1415" i="6"/>
  <c r="L1407" i="6"/>
  <c r="L1399" i="6"/>
  <c r="L1391" i="6"/>
  <c r="L1383" i="6"/>
  <c r="L1371" i="6"/>
  <c r="L1363" i="6"/>
  <c r="L1355" i="6"/>
  <c r="L1347" i="6"/>
  <c r="L1339" i="6"/>
  <c r="L1331" i="6"/>
  <c r="L1323" i="6"/>
  <c r="L1315" i="6"/>
  <c r="L1307" i="6"/>
  <c r="L1299" i="6"/>
  <c r="L1291" i="6"/>
  <c r="L1287" i="6"/>
  <c r="L1279" i="6"/>
  <c r="L1271" i="6"/>
  <c r="L1263" i="6"/>
  <c r="L1255" i="6"/>
  <c r="L1247" i="6"/>
  <c r="L1239" i="6"/>
  <c r="L1231" i="6"/>
  <c r="L1223" i="6"/>
  <c r="L1215" i="6"/>
  <c r="L1207" i="6"/>
  <c r="L1199" i="6"/>
  <c r="L1191" i="6"/>
  <c r="L1183" i="6"/>
  <c r="L1175" i="6"/>
  <c r="L1167" i="6"/>
  <c r="L1159" i="6"/>
  <c r="L1151" i="6"/>
  <c r="L1143" i="6"/>
  <c r="L1135" i="6"/>
  <c r="L1127" i="6"/>
  <c r="L1119" i="6"/>
  <c r="L1111" i="6"/>
  <c r="L1103" i="6"/>
  <c r="L1095" i="6"/>
  <c r="L1087" i="6"/>
  <c r="L1079" i="6"/>
  <c r="L1071" i="6"/>
  <c r="L1063" i="6"/>
  <c r="L1055" i="6"/>
  <c r="L1047" i="6"/>
  <c r="L1039" i="6"/>
  <c r="L1031" i="6"/>
  <c r="L1023" i="6"/>
  <c r="L1015" i="6"/>
  <c r="L1007" i="6"/>
  <c r="L999" i="6"/>
  <c r="L991" i="6"/>
  <c r="L979" i="6"/>
  <c r="L971" i="6"/>
  <c r="L963" i="6"/>
  <c r="L955" i="6"/>
  <c r="L947" i="6"/>
  <c r="L939" i="6"/>
  <c r="L931" i="6"/>
  <c r="L923" i="6"/>
  <c r="L915" i="6"/>
  <c r="L907" i="6"/>
  <c r="L899" i="6"/>
  <c r="L887" i="6"/>
  <c r="L883" i="6"/>
  <c r="L875" i="6"/>
  <c r="L867" i="6"/>
  <c r="L859" i="6"/>
  <c r="L851" i="6"/>
  <c r="L843" i="6"/>
  <c r="L835" i="6"/>
  <c r="L827" i="6"/>
  <c r="L819" i="6"/>
  <c r="L811" i="6"/>
  <c r="L807" i="6"/>
  <c r="L799" i="6"/>
  <c r="L791" i="6"/>
  <c r="L783" i="6"/>
  <c r="L775" i="6"/>
  <c r="L763" i="6"/>
  <c r="L755" i="6"/>
  <c r="L751" i="6"/>
  <c r="L739" i="6"/>
  <c r="L731" i="6"/>
  <c r="L727" i="6"/>
  <c r="L719" i="6"/>
  <c r="L711" i="6"/>
  <c r="L703" i="6"/>
  <c r="L695" i="6"/>
  <c r="L687" i="6"/>
  <c r="L679" i="6"/>
  <c r="L671" i="6"/>
  <c r="L663" i="6"/>
  <c r="L655" i="6"/>
  <c r="L647" i="6"/>
  <c r="L639" i="6"/>
  <c r="L631" i="6"/>
  <c r="L623" i="6"/>
  <c r="L615" i="6"/>
  <c r="L607" i="6"/>
  <c r="L599" i="6"/>
  <c r="L591" i="6"/>
  <c r="L583" i="6"/>
  <c r="L579" i="6"/>
  <c r="L571" i="6"/>
  <c r="L559" i="6"/>
  <c r="L555" i="6"/>
  <c r="L547" i="6"/>
  <c r="L543" i="6"/>
  <c r="L535" i="6"/>
  <c r="L527" i="6"/>
  <c r="L519" i="6"/>
  <c r="L511" i="6"/>
  <c r="L499" i="6"/>
  <c r="L487" i="6"/>
  <c r="L475" i="6"/>
  <c r="L471" i="6"/>
  <c r="L463" i="6"/>
  <c r="L455" i="6"/>
  <c r="L443" i="6"/>
  <c r="L435" i="6"/>
  <c r="L427" i="6"/>
  <c r="L419" i="6"/>
  <c r="L415" i="6"/>
  <c r="L407" i="6"/>
  <c r="L399" i="6"/>
  <c r="L391" i="6"/>
  <c r="L383" i="6"/>
  <c r="L375" i="6"/>
  <c r="L367" i="6"/>
  <c r="L359" i="6"/>
  <c r="L351" i="6"/>
  <c r="L343" i="6"/>
  <c r="L335" i="6"/>
  <c r="L327" i="6"/>
  <c r="L319" i="6"/>
  <c r="L315" i="6"/>
  <c r="L307" i="6"/>
  <c r="L299" i="6"/>
  <c r="L291" i="6"/>
  <c r="L283" i="6"/>
  <c r="L275" i="6"/>
  <c r="L267" i="6"/>
  <c r="L259" i="6"/>
  <c r="L247" i="6"/>
  <c r="L239" i="6"/>
  <c r="L231" i="6"/>
  <c r="L223" i="6"/>
  <c r="L215" i="6"/>
  <c r="L207" i="6"/>
  <c r="L199" i="6"/>
  <c r="L191" i="6"/>
  <c r="L183" i="6"/>
  <c r="L175" i="6"/>
  <c r="L167" i="6"/>
  <c r="L159" i="6"/>
  <c r="L151" i="6"/>
  <c r="L139" i="6"/>
  <c r="L131" i="6"/>
  <c r="L123" i="6"/>
  <c r="L119" i="6"/>
  <c r="L111" i="6"/>
  <c r="L99" i="6"/>
  <c r="L91" i="6"/>
  <c r="L83" i="6"/>
  <c r="L75" i="6"/>
  <c r="L71" i="6"/>
  <c r="L63" i="6"/>
  <c r="L55" i="6"/>
  <c r="L47" i="6"/>
  <c r="L43" i="6"/>
  <c r="L39" i="6"/>
  <c r="L35" i="6"/>
  <c r="L31" i="6"/>
  <c r="L27" i="6"/>
  <c r="L2002" i="6"/>
  <c r="L1998" i="6"/>
  <c r="L1990" i="6"/>
  <c r="L1982" i="6"/>
  <c r="L1978" i="6"/>
  <c r="L1970" i="6"/>
  <c r="L1962" i="6"/>
  <c r="L1958" i="6"/>
  <c r="L1950" i="6"/>
  <c r="L1942" i="6"/>
  <c r="L1938" i="6"/>
  <c r="L1930" i="6"/>
  <c r="L1922" i="6"/>
  <c r="L1918" i="6"/>
  <c r="L1910" i="6"/>
  <c r="L1906" i="6"/>
  <c r="L1898" i="6"/>
  <c r="L1894" i="6"/>
  <c r="L1886" i="6"/>
  <c r="L1882" i="6"/>
  <c r="L1874" i="6"/>
  <c r="L1866" i="6"/>
  <c r="L1862" i="6"/>
  <c r="L1854" i="6"/>
  <c r="L1850" i="6"/>
  <c r="L1842" i="6"/>
  <c r="L1838" i="6"/>
  <c r="L1830" i="6"/>
  <c r="L1826" i="6"/>
  <c r="L1818" i="6"/>
  <c r="L1810" i="6"/>
  <c r="L1806" i="6"/>
  <c r="L1798" i="6"/>
  <c r="L1790" i="6"/>
  <c r="L1786" i="6"/>
  <c r="L1778" i="6"/>
  <c r="L1774" i="6"/>
  <c r="L1766" i="6"/>
  <c r="L1762" i="6"/>
  <c r="L1754" i="6"/>
  <c r="L1750" i="6"/>
  <c r="L1742" i="6"/>
  <c r="L1738" i="6"/>
  <c r="L1730" i="6"/>
  <c r="L1722" i="6"/>
  <c r="L1718" i="6"/>
  <c r="L1710" i="6"/>
  <c r="L1706" i="6"/>
  <c r="L1682" i="6"/>
  <c r="L2005" i="6"/>
  <c r="L2001" i="6"/>
  <c r="L1997" i="6"/>
  <c r="L1993" i="6"/>
  <c r="L1989" i="6"/>
  <c r="L1985" i="6"/>
  <c r="L1981" i="6"/>
  <c r="L1977" i="6"/>
  <c r="L1973" i="6"/>
  <c r="L1969" i="6"/>
  <c r="L1965" i="6"/>
  <c r="L1961" i="6"/>
  <c r="L1957" i="6"/>
  <c r="L1953" i="6"/>
  <c r="L1949" i="6"/>
  <c r="L1945" i="6"/>
  <c r="L1941" i="6"/>
  <c r="L1937" i="6"/>
  <c r="L1933" i="6"/>
  <c r="L1929" i="6"/>
  <c r="L1925" i="6"/>
  <c r="L1921" i="6"/>
  <c r="L1917" i="6"/>
  <c r="L1913" i="6"/>
  <c r="L1909" i="6"/>
  <c r="L1905" i="6"/>
  <c r="L1901" i="6"/>
  <c r="L1897" i="6"/>
  <c r="L1893" i="6"/>
  <c r="L1889" i="6"/>
  <c r="L1885" i="6"/>
  <c r="L1881" i="6"/>
  <c r="L1877" i="6"/>
  <c r="L1873" i="6"/>
  <c r="L1869" i="6"/>
  <c r="L1865" i="6"/>
  <c r="L1861" i="6"/>
  <c r="L1857" i="6"/>
  <c r="L1853" i="6"/>
  <c r="L1849" i="6"/>
  <c r="L1845" i="6"/>
  <c r="L1841" i="6"/>
  <c r="L1837" i="6"/>
  <c r="L1833" i="6"/>
  <c r="L1829" i="6"/>
  <c r="L1825" i="6"/>
  <c r="L1821" i="6"/>
  <c r="L1817" i="6"/>
  <c r="L1813" i="6"/>
  <c r="L1809" i="6"/>
  <c r="L1805" i="6"/>
  <c r="L1801" i="6"/>
  <c r="L1797" i="6"/>
  <c r="L1793" i="6"/>
  <c r="L1789" i="6"/>
  <c r="L1785" i="6"/>
  <c r="L1781" i="6"/>
  <c r="L1777" i="6"/>
  <c r="L1773" i="6"/>
  <c r="L1769" i="6"/>
  <c r="L1765" i="6"/>
  <c r="L1761" i="6"/>
  <c r="L1757" i="6"/>
  <c r="L1753" i="6"/>
  <c r="L1749" i="6"/>
  <c r="L1745" i="6"/>
  <c r="L1741" i="6"/>
  <c r="L1737" i="6"/>
  <c r="L1733" i="6"/>
  <c r="L1729" i="6"/>
  <c r="L1725" i="6"/>
  <c r="L1721" i="6"/>
  <c r="L1717" i="6"/>
  <c r="L1713" i="6"/>
  <c r="L1709" i="6"/>
  <c r="L1705" i="6"/>
  <c r="L1701" i="6"/>
  <c r="L1697" i="6"/>
  <c r="L1693" i="6"/>
  <c r="L1689" i="6"/>
  <c r="L1685" i="6"/>
  <c r="L1681" i="6"/>
  <c r="L1677" i="6"/>
  <c r="L1673" i="6"/>
  <c r="L1669" i="6"/>
  <c r="L1665" i="6"/>
  <c r="L1661" i="6"/>
  <c r="L1657" i="6"/>
  <c r="L1653" i="6"/>
  <c r="L1649" i="6"/>
  <c r="L1645" i="6"/>
  <c r="L1641" i="6"/>
  <c r="L1637" i="6"/>
  <c r="L1633" i="6"/>
  <c r="L1629" i="6"/>
  <c r="L1625" i="6"/>
  <c r="L1621" i="6"/>
  <c r="L1617" i="6"/>
  <c r="L1613" i="6"/>
  <c r="L1609" i="6"/>
  <c r="L1605" i="6"/>
  <c r="L1601" i="6"/>
  <c r="L1597" i="6"/>
  <c r="L1593" i="6"/>
  <c r="L1589" i="6"/>
  <c r="L1585" i="6"/>
  <c r="L1581" i="6"/>
  <c r="L1577" i="6"/>
  <c r="L1573" i="6"/>
  <c r="L1569" i="6"/>
  <c r="L1565" i="6"/>
  <c r="L1561" i="6"/>
  <c r="L1557" i="6"/>
  <c r="L1553" i="6"/>
  <c r="L1549" i="6"/>
  <c r="L1545" i="6"/>
  <c r="L1541" i="6"/>
  <c r="L1537" i="6"/>
  <c r="L1533" i="6"/>
  <c r="L1529" i="6"/>
  <c r="L1525" i="6"/>
  <c r="L1521" i="6"/>
  <c r="L1517" i="6"/>
  <c r="L1513" i="6"/>
  <c r="L1509" i="6"/>
  <c r="L1505" i="6"/>
  <c r="L1501" i="6"/>
  <c r="L1497" i="6"/>
  <c r="L1493" i="6"/>
  <c r="L1489" i="6"/>
  <c r="L1485" i="6"/>
  <c r="L1481" i="6"/>
  <c r="L1477" i="6"/>
  <c r="L1473" i="6"/>
  <c r="L1469" i="6"/>
  <c r="L1465" i="6"/>
  <c r="L1461" i="6"/>
  <c r="L1457" i="6"/>
  <c r="L1453" i="6"/>
  <c r="L1449" i="6"/>
  <c r="L1445" i="6"/>
  <c r="L1441" i="6"/>
  <c r="L1437" i="6"/>
  <c r="L1433" i="6"/>
  <c r="L1429" i="6"/>
  <c r="L1425" i="6"/>
  <c r="L1421" i="6"/>
  <c r="L1417" i="6"/>
  <c r="L1413" i="6"/>
  <c r="L1409" i="6"/>
  <c r="L1405" i="6"/>
  <c r="L1401" i="6"/>
  <c r="L1397" i="6"/>
  <c r="L1393" i="6"/>
  <c r="L1389" i="6"/>
  <c r="L1385" i="6"/>
  <c r="L1381" i="6"/>
  <c r="L1377" i="6"/>
  <c r="L1373" i="6"/>
  <c r="L1369" i="6"/>
  <c r="L1365" i="6"/>
  <c r="L1361" i="6"/>
  <c r="L1357" i="6"/>
  <c r="L1353" i="6"/>
  <c r="L1349" i="6"/>
  <c r="L1345" i="6"/>
  <c r="L1341" i="6"/>
  <c r="L1337" i="6"/>
  <c r="L1333" i="6"/>
  <c r="L1329" i="6"/>
  <c r="L1325" i="6"/>
  <c r="L1321" i="6"/>
  <c r="L1317" i="6"/>
  <c r="L1313" i="6"/>
  <c r="L1309" i="6"/>
  <c r="L1305" i="6"/>
  <c r="L1301" i="6"/>
  <c r="L1297" i="6"/>
  <c r="L1293" i="6"/>
  <c r="L1289" i="6"/>
  <c r="L1285" i="6"/>
  <c r="L1281" i="6"/>
  <c r="L1277" i="6"/>
  <c r="L1273" i="6"/>
  <c r="L1269" i="6"/>
  <c r="L1265" i="6"/>
  <c r="L1261" i="6"/>
  <c r="L1257" i="6"/>
  <c r="L1253" i="6"/>
  <c r="L1249" i="6"/>
  <c r="L1245" i="6"/>
  <c r="L1241" i="6"/>
  <c r="L1237" i="6"/>
  <c r="L1233" i="6"/>
  <c r="L1229" i="6"/>
  <c r="L1225" i="6"/>
  <c r="L1221" i="6"/>
  <c r="L1217" i="6"/>
  <c r="L1213" i="6"/>
  <c r="L1209" i="6"/>
  <c r="L1205" i="6"/>
  <c r="L1201" i="6"/>
  <c r="L1197" i="6"/>
  <c r="L1193" i="6"/>
  <c r="L1189" i="6"/>
  <c r="L1185" i="6"/>
  <c r="L1181" i="6"/>
  <c r="L1177" i="6"/>
  <c r="L1173" i="6"/>
  <c r="L1169" i="6"/>
  <c r="L1165" i="6"/>
  <c r="L1161" i="6"/>
  <c r="L1157" i="6"/>
  <c r="L1153" i="6"/>
  <c r="L1149" i="6"/>
  <c r="L1145" i="6"/>
  <c r="L1141" i="6"/>
  <c r="L1137" i="6"/>
  <c r="L1133" i="6"/>
  <c r="L1129" i="6"/>
  <c r="L1125" i="6"/>
  <c r="L1121" i="6"/>
  <c r="L1117" i="6"/>
  <c r="L1113" i="6"/>
  <c r="L1109" i="6"/>
  <c r="L1105" i="6"/>
  <c r="L1101" i="6"/>
  <c r="L1097" i="6"/>
  <c r="L1093" i="6"/>
  <c r="L1089" i="6"/>
  <c r="L1085" i="6"/>
  <c r="L1081" i="6"/>
  <c r="L1077" i="6"/>
  <c r="L1073" i="6"/>
  <c r="L1069" i="6"/>
  <c r="L1065" i="6"/>
  <c r="L1061" i="6"/>
  <c r="L1057" i="6"/>
  <c r="L1053" i="6"/>
  <c r="L1049" i="6"/>
  <c r="L1045" i="6"/>
  <c r="L1041" i="6"/>
  <c r="L1037" i="6"/>
  <c r="L1033" i="6"/>
  <c r="L1029" i="6"/>
  <c r="L1025" i="6"/>
  <c r="L1021" i="6"/>
  <c r="L1017" i="6"/>
  <c r="L1013" i="6"/>
  <c r="L1009" i="6"/>
  <c r="L1005" i="6"/>
  <c r="L1001" i="6"/>
  <c r="L997" i="6"/>
  <c r="L993" i="6"/>
  <c r="L989" i="6"/>
  <c r="L985" i="6"/>
  <c r="L981" i="6"/>
  <c r="L977" i="6"/>
  <c r="L973" i="6"/>
  <c r="L969" i="6"/>
  <c r="L965" i="6"/>
  <c r="L961" i="6"/>
  <c r="L957" i="6"/>
  <c r="L953" i="6"/>
  <c r="L949" i="6"/>
  <c r="L945" i="6"/>
  <c r="L941" i="6"/>
  <c r="L937" i="6"/>
  <c r="L933" i="6"/>
  <c r="L929" i="6"/>
  <c r="L925" i="6"/>
  <c r="L921" i="6"/>
  <c r="L917" i="6"/>
  <c r="L913" i="6"/>
  <c r="L909" i="6"/>
  <c r="L905" i="6"/>
  <c r="L901" i="6"/>
  <c r="L897" i="6"/>
  <c r="L893" i="6"/>
  <c r="L889" i="6"/>
  <c r="L885" i="6"/>
  <c r="L881" i="6"/>
  <c r="L877" i="6"/>
  <c r="L873" i="6"/>
  <c r="L869" i="6"/>
  <c r="L865" i="6"/>
  <c r="L861" i="6"/>
  <c r="L857" i="6"/>
  <c r="L853" i="6"/>
  <c r="L849" i="6"/>
  <c r="L845" i="6"/>
  <c r="L841" i="6"/>
  <c r="L837" i="6"/>
  <c r="L833" i="6"/>
  <c r="L829" i="6"/>
  <c r="L825" i="6"/>
  <c r="L821" i="6"/>
  <c r="L817" i="6"/>
  <c r="L813" i="6"/>
  <c r="L809" i="6"/>
  <c r="L805" i="6"/>
  <c r="L801" i="6"/>
  <c r="L797" i="6"/>
  <c r="L793" i="6"/>
  <c r="L789" i="6"/>
  <c r="L785" i="6"/>
  <c r="L781" i="6"/>
  <c r="L777" i="6"/>
  <c r="L773" i="6"/>
  <c r="L769" i="6"/>
  <c r="L765" i="6"/>
  <c r="L761" i="6"/>
  <c r="L757" i="6"/>
  <c r="L753" i="6"/>
  <c r="L749" i="6"/>
  <c r="L745" i="6"/>
  <c r="L741" i="6"/>
  <c r="L737" i="6"/>
  <c r="L733" i="6"/>
  <c r="L729" i="6"/>
  <c r="L725" i="6"/>
  <c r="L721" i="6"/>
  <c r="L717" i="6"/>
  <c r="L713" i="6"/>
  <c r="L709" i="6"/>
  <c r="L705" i="6"/>
  <c r="L701" i="6"/>
  <c r="L697" i="6"/>
  <c r="L693" i="6"/>
  <c r="L689" i="6"/>
  <c r="L685" i="6"/>
  <c r="L681" i="6"/>
  <c r="L677" i="6"/>
  <c r="L673" i="6"/>
  <c r="L669" i="6"/>
  <c r="L665" i="6"/>
  <c r="L661" i="6"/>
  <c r="L657" i="6"/>
  <c r="L653" i="6"/>
  <c r="L649" i="6"/>
  <c r="L645" i="6"/>
  <c r="L641" i="6"/>
  <c r="L637" i="6"/>
  <c r="L633" i="6"/>
  <c r="L629" i="6"/>
  <c r="L625" i="6"/>
  <c r="L621" i="6"/>
  <c r="L617" i="6"/>
  <c r="L613" i="6"/>
  <c r="L609" i="6"/>
  <c r="L605" i="6"/>
  <c r="L601" i="6"/>
  <c r="L597" i="6"/>
  <c r="L593" i="6"/>
  <c r="L589" i="6"/>
  <c r="L585" i="6"/>
  <c r="L581" i="6"/>
  <c r="L577" i="6"/>
  <c r="L573" i="6"/>
  <c r="L569" i="6"/>
  <c r="L565" i="6"/>
  <c r="L561" i="6"/>
  <c r="L557" i="6"/>
  <c r="L553" i="6"/>
  <c r="L549" i="6"/>
  <c r="L545" i="6"/>
  <c r="L541" i="6"/>
  <c r="L537" i="6"/>
  <c r="L533" i="6"/>
  <c r="L529" i="6"/>
  <c r="L525" i="6"/>
  <c r="L521" i="6"/>
  <c r="L517" i="6"/>
  <c r="L513" i="6"/>
  <c r="L509" i="6"/>
  <c r="L505" i="6"/>
  <c r="L501" i="6"/>
  <c r="L497" i="6"/>
  <c r="L493" i="6"/>
  <c r="L489" i="6"/>
  <c r="L485" i="6"/>
  <c r="L481" i="6"/>
  <c r="L477" i="6"/>
  <c r="L473" i="6"/>
  <c r="L469" i="6"/>
  <c r="L465" i="6"/>
  <c r="L461" i="6"/>
  <c r="L457" i="6"/>
  <c r="L453" i="6"/>
  <c r="L449" i="6"/>
  <c r="L445" i="6"/>
  <c r="L441" i="6"/>
  <c r="L437" i="6"/>
  <c r="L433" i="6"/>
  <c r="L429" i="6"/>
  <c r="L425" i="6"/>
  <c r="L421" i="6"/>
  <c r="L417" i="6"/>
  <c r="L413" i="6"/>
  <c r="L409" i="6"/>
  <c r="L405" i="6"/>
  <c r="L401" i="6"/>
  <c r="L397" i="6"/>
  <c r="L393" i="6"/>
  <c r="L389" i="6"/>
  <c r="L385" i="6"/>
  <c r="L381" i="6"/>
  <c r="L377" i="6"/>
  <c r="L373" i="6"/>
  <c r="L369" i="6"/>
  <c r="L365" i="6"/>
  <c r="L361" i="6"/>
  <c r="L357" i="6"/>
  <c r="L353" i="6"/>
  <c r="L349" i="6"/>
  <c r="L345" i="6"/>
  <c r="L341" i="6"/>
  <c r="L337" i="6"/>
  <c r="L333" i="6"/>
  <c r="L329" i="6"/>
  <c r="L325" i="6"/>
  <c r="L321" i="6"/>
  <c r="L317" i="6"/>
  <c r="L313" i="6"/>
  <c r="L309" i="6"/>
  <c r="L305" i="6"/>
  <c r="L301" i="6"/>
  <c r="L297" i="6"/>
  <c r="L293" i="6"/>
  <c r="L289" i="6"/>
  <c r="L285" i="6"/>
  <c r="L281" i="6"/>
  <c r="L277" i="6"/>
  <c r="L273" i="6"/>
  <c r="L269" i="6"/>
  <c r="L265" i="6"/>
  <c r="L261" i="6"/>
  <c r="L257" i="6"/>
  <c r="L253" i="6"/>
  <c r="L249" i="6"/>
  <c r="L245" i="6"/>
  <c r="L241" i="6"/>
  <c r="L237" i="6"/>
  <c r="L233" i="6"/>
  <c r="L229" i="6"/>
  <c r="L225" i="6"/>
  <c r="L221" i="6"/>
  <c r="L217" i="6"/>
  <c r="L213" i="6"/>
  <c r="L209" i="6"/>
  <c r="L205" i="6"/>
  <c r="L201" i="6"/>
  <c r="L197" i="6"/>
  <c r="L193" i="6"/>
  <c r="L189" i="6"/>
  <c r="L185" i="6"/>
  <c r="L181" i="6"/>
  <c r="L177" i="6"/>
  <c r="L173" i="6"/>
  <c r="L169" i="6"/>
  <c r="L165" i="6"/>
  <c r="L161" i="6"/>
  <c r="L157" i="6"/>
  <c r="L153" i="6"/>
  <c r="L149" i="6"/>
  <c r="L145" i="6"/>
  <c r="L141" i="6"/>
  <c r="L137" i="6"/>
  <c r="L133" i="6"/>
  <c r="L129" i="6"/>
  <c r="L125" i="6"/>
  <c r="L121" i="6"/>
  <c r="L117" i="6"/>
  <c r="L113" i="6"/>
  <c r="L109" i="6"/>
  <c r="L105" i="6"/>
  <c r="L101" i="6"/>
  <c r="L97" i="6"/>
  <c r="L93" i="6"/>
  <c r="L89" i="6"/>
  <c r="L85" i="6"/>
  <c r="L81" i="6"/>
  <c r="L77" i="6"/>
  <c r="L73" i="6"/>
  <c r="L69" i="6"/>
  <c r="L65" i="6"/>
  <c r="L61" i="6"/>
  <c r="L57" i="6"/>
  <c r="L53" i="6"/>
  <c r="L49" i="6"/>
  <c r="L45" i="6"/>
  <c r="L41" i="6"/>
  <c r="L37" i="6"/>
  <c r="L33" i="6"/>
  <c r="L29" i="6"/>
  <c r="L25" i="6"/>
  <c r="L21" i="6"/>
  <c r="L17" i="6"/>
  <c r="L13" i="6"/>
  <c r="AS9" i="6"/>
  <c r="AT9" i="6" s="1"/>
  <c r="AU9" i="6" s="1"/>
  <c r="AS8" i="6"/>
  <c r="AT8" i="6" s="1"/>
  <c r="AU8" i="6" s="1"/>
  <c r="AS10" i="6"/>
  <c r="AS11" i="6"/>
  <c r="AT11" i="6" s="1"/>
  <c r="AU11" i="6" s="1"/>
  <c r="AS12" i="6"/>
  <c r="AS13" i="6"/>
  <c r="AT13" i="6" s="1"/>
  <c r="AU13" i="6" s="1"/>
  <c r="AS14" i="6"/>
  <c r="AS15" i="6"/>
  <c r="AT15" i="6" s="1"/>
  <c r="AU15" i="6" s="1"/>
  <c r="AS16" i="6"/>
  <c r="AT16" i="6" s="1"/>
  <c r="AU16" i="6" s="1"/>
  <c r="AS17" i="6"/>
  <c r="AT17" i="6" s="1"/>
  <c r="AU17" i="6" s="1"/>
  <c r="AS18" i="6"/>
  <c r="AS19" i="6"/>
  <c r="AT19" i="6" s="1"/>
  <c r="AU19" i="6" s="1"/>
  <c r="AS20" i="6"/>
  <c r="AT20" i="6" s="1"/>
  <c r="AU20" i="6" s="1"/>
  <c r="AS21" i="6"/>
  <c r="AT21" i="6" s="1"/>
  <c r="AU21" i="6" s="1"/>
  <c r="AS22" i="6"/>
  <c r="AS23" i="6"/>
  <c r="AT23" i="6" s="1"/>
  <c r="AU23" i="6" s="1"/>
  <c r="AS24" i="6"/>
  <c r="AT24" i="6" s="1"/>
  <c r="AU24" i="6" s="1"/>
  <c r="AS25" i="6"/>
  <c r="AT25" i="6" s="1"/>
  <c r="AU25" i="6" s="1"/>
  <c r="AS26" i="6"/>
  <c r="AS27" i="6"/>
  <c r="AT27" i="6" s="1"/>
  <c r="AU27" i="6" s="1"/>
  <c r="AS28" i="6"/>
  <c r="AT28" i="6" s="1"/>
  <c r="AU28" i="6" s="1"/>
  <c r="AS29" i="6"/>
  <c r="AT29" i="6" s="1"/>
  <c r="AU29" i="6" s="1"/>
  <c r="AS30" i="6"/>
  <c r="AS31" i="6"/>
  <c r="AT31" i="6" s="1"/>
  <c r="AU31" i="6" s="1"/>
  <c r="AS32" i="6"/>
  <c r="AT32" i="6" s="1"/>
  <c r="AU32" i="6" s="1"/>
  <c r="AS33" i="6"/>
  <c r="AS34" i="6"/>
  <c r="AS35" i="6"/>
  <c r="AT35" i="6" s="1"/>
  <c r="AU35" i="6" s="1"/>
  <c r="AS36" i="6"/>
  <c r="AT36" i="6" s="1"/>
  <c r="AU36" i="6" s="1"/>
  <c r="AS37" i="6"/>
  <c r="AT37" i="6" s="1"/>
  <c r="AU37" i="6" s="1"/>
  <c r="AS38" i="6"/>
  <c r="AS39" i="6"/>
  <c r="AT39" i="6" s="1"/>
  <c r="AU39" i="6" s="1"/>
  <c r="AS40" i="6"/>
  <c r="AT40" i="6" s="1"/>
  <c r="AU40" i="6" s="1"/>
  <c r="AS41" i="6"/>
  <c r="AT41" i="6" s="1"/>
  <c r="AU41" i="6" s="1"/>
  <c r="AS42" i="6"/>
  <c r="AS43" i="6"/>
  <c r="AT43" i="6" s="1"/>
  <c r="AU43" i="6" s="1"/>
  <c r="AS44" i="6"/>
  <c r="AT44" i="6" s="1"/>
  <c r="AU44" i="6" s="1"/>
  <c r="AS45" i="6"/>
  <c r="AT45" i="6" s="1"/>
  <c r="AU45" i="6" s="1"/>
  <c r="AS46" i="6"/>
  <c r="AS47" i="6"/>
  <c r="AT47" i="6" s="1"/>
  <c r="AU47" i="6" s="1"/>
  <c r="AS48" i="6"/>
  <c r="AT48" i="6" s="1"/>
  <c r="AU48" i="6" s="1"/>
  <c r="AS49" i="6"/>
  <c r="AT49" i="6" s="1"/>
  <c r="AU49" i="6" s="1"/>
  <c r="AS50" i="6"/>
  <c r="AS51" i="6"/>
  <c r="AT51" i="6" s="1"/>
  <c r="AU51" i="6" s="1"/>
  <c r="AS52" i="6"/>
  <c r="AT52" i="6" s="1"/>
  <c r="AU52" i="6" s="1"/>
  <c r="AS53" i="6"/>
  <c r="AT53" i="6" s="1"/>
  <c r="AU53" i="6" s="1"/>
  <c r="AS54" i="6"/>
  <c r="AS55" i="6"/>
  <c r="AT55" i="6" s="1"/>
  <c r="AU55" i="6" s="1"/>
  <c r="AS56" i="6"/>
  <c r="AT56" i="6" s="1"/>
  <c r="AU56" i="6" s="1"/>
  <c r="AS57" i="6"/>
  <c r="AT57" i="6" s="1"/>
  <c r="AU57" i="6" s="1"/>
  <c r="AS58" i="6"/>
  <c r="AS59" i="6"/>
  <c r="AT59" i="6" s="1"/>
  <c r="AU59" i="6" s="1"/>
  <c r="AS60" i="6"/>
  <c r="AT60" i="6" s="1"/>
  <c r="AU60" i="6" s="1"/>
  <c r="AS61" i="6"/>
  <c r="AT61" i="6" s="1"/>
  <c r="AU61" i="6" s="1"/>
  <c r="AS62" i="6"/>
  <c r="AS63" i="6"/>
  <c r="AT63" i="6" s="1"/>
  <c r="AU63" i="6" s="1"/>
  <c r="AS64" i="6"/>
  <c r="AT64" i="6" s="1"/>
  <c r="AU64" i="6" s="1"/>
  <c r="AS65" i="6"/>
  <c r="AT65" i="6" s="1"/>
  <c r="AU65" i="6" s="1"/>
  <c r="AS66" i="6"/>
  <c r="AS67" i="6"/>
  <c r="AT67" i="6" s="1"/>
  <c r="AU67" i="6" s="1"/>
  <c r="AS68" i="6"/>
  <c r="AT68" i="6" s="1"/>
  <c r="AU68" i="6" s="1"/>
  <c r="AS69" i="6"/>
  <c r="AT69" i="6" s="1"/>
  <c r="AU69" i="6" s="1"/>
  <c r="AS70" i="6"/>
  <c r="AS71" i="6"/>
  <c r="AT71" i="6" s="1"/>
  <c r="AU71" i="6" s="1"/>
  <c r="AS72" i="6"/>
  <c r="AT72" i="6" s="1"/>
  <c r="AU72" i="6" s="1"/>
  <c r="AS73" i="6"/>
  <c r="AT73" i="6" s="1"/>
  <c r="AU73" i="6" s="1"/>
  <c r="AS74" i="6"/>
  <c r="AS75" i="6"/>
  <c r="AT75" i="6" s="1"/>
  <c r="AU75" i="6" s="1"/>
  <c r="AS76" i="6"/>
  <c r="AT76" i="6" s="1"/>
  <c r="AU76" i="6" s="1"/>
  <c r="AS77" i="6"/>
  <c r="AT77" i="6" s="1"/>
  <c r="AU77" i="6" s="1"/>
  <c r="AS78" i="6"/>
  <c r="AS79" i="6"/>
  <c r="AT79" i="6" s="1"/>
  <c r="AU79" i="6" s="1"/>
  <c r="AS80" i="6"/>
  <c r="AT80" i="6" s="1"/>
  <c r="AU80" i="6" s="1"/>
  <c r="AS81" i="6"/>
  <c r="AT81" i="6" s="1"/>
  <c r="AU81" i="6" s="1"/>
  <c r="AS82" i="6"/>
  <c r="AS83" i="6"/>
  <c r="AT83" i="6" s="1"/>
  <c r="AU83" i="6" s="1"/>
  <c r="AS84" i="6"/>
  <c r="AT84" i="6" s="1"/>
  <c r="AU84" i="6" s="1"/>
  <c r="AS85" i="6"/>
  <c r="AT85" i="6" s="1"/>
  <c r="AU85" i="6" s="1"/>
  <c r="AS86" i="6"/>
  <c r="AS87" i="6"/>
  <c r="AT87" i="6" s="1"/>
  <c r="AU87" i="6" s="1"/>
  <c r="AS88" i="6"/>
  <c r="AT88" i="6" s="1"/>
  <c r="AU88" i="6" s="1"/>
  <c r="AS89" i="6"/>
  <c r="AT89" i="6" s="1"/>
  <c r="AU89" i="6" s="1"/>
  <c r="AS90" i="6"/>
  <c r="AS91" i="6"/>
  <c r="AT91" i="6" s="1"/>
  <c r="AU91" i="6" s="1"/>
  <c r="AS92" i="6"/>
  <c r="AT92" i="6" s="1"/>
  <c r="AU92" i="6" s="1"/>
  <c r="AS93" i="6"/>
  <c r="AT93" i="6" s="1"/>
  <c r="AU93" i="6" s="1"/>
  <c r="AS94" i="6"/>
  <c r="AS95" i="6"/>
  <c r="AT95" i="6" s="1"/>
  <c r="AU95" i="6" s="1"/>
  <c r="AS96" i="6"/>
  <c r="AT96" i="6" s="1"/>
  <c r="AU96" i="6" s="1"/>
  <c r="AS97" i="6"/>
  <c r="AT97" i="6" s="1"/>
  <c r="AU97" i="6" s="1"/>
  <c r="AS98" i="6"/>
  <c r="AS99" i="6"/>
  <c r="AT99" i="6" s="1"/>
  <c r="AU99" i="6" s="1"/>
  <c r="AS100" i="6"/>
  <c r="AT100" i="6" s="1"/>
  <c r="AU100" i="6" s="1"/>
  <c r="AS101" i="6"/>
  <c r="AT101" i="6" s="1"/>
  <c r="AU101" i="6" s="1"/>
  <c r="AS102" i="6"/>
  <c r="AS103" i="6"/>
  <c r="AT103" i="6" s="1"/>
  <c r="AU103" i="6" s="1"/>
  <c r="AS104" i="6"/>
  <c r="AT104" i="6" s="1"/>
  <c r="AU104" i="6" s="1"/>
  <c r="AS105" i="6"/>
  <c r="AT105" i="6" s="1"/>
  <c r="AU105" i="6" s="1"/>
  <c r="AS106" i="6"/>
  <c r="AS107" i="6"/>
  <c r="AT107" i="6" s="1"/>
  <c r="AU107" i="6" s="1"/>
  <c r="AS108" i="6"/>
  <c r="AT108" i="6" s="1"/>
  <c r="AU108" i="6" s="1"/>
  <c r="AS109" i="6"/>
  <c r="AT109" i="6" s="1"/>
  <c r="AU109" i="6" s="1"/>
  <c r="AS110" i="6"/>
  <c r="AS111" i="6"/>
  <c r="AT111" i="6" s="1"/>
  <c r="AU111" i="6" s="1"/>
  <c r="AS112" i="6"/>
  <c r="AT112" i="6" s="1"/>
  <c r="AU112" i="6" s="1"/>
  <c r="AS113" i="6"/>
  <c r="AT113" i="6" s="1"/>
  <c r="AU113" i="6" s="1"/>
  <c r="AS114" i="6"/>
  <c r="AS115" i="6"/>
  <c r="AT115" i="6" s="1"/>
  <c r="AU115" i="6" s="1"/>
  <c r="AS116" i="6"/>
  <c r="AT116" i="6" s="1"/>
  <c r="AU116" i="6" s="1"/>
  <c r="AS117" i="6"/>
  <c r="AT117" i="6" s="1"/>
  <c r="AU117" i="6" s="1"/>
  <c r="AS118" i="6"/>
  <c r="AS119" i="6"/>
  <c r="AT119" i="6" s="1"/>
  <c r="AU119" i="6" s="1"/>
  <c r="AS120" i="6"/>
  <c r="AT120" i="6" s="1"/>
  <c r="AU120" i="6" s="1"/>
  <c r="AS121" i="6"/>
  <c r="AT121" i="6" s="1"/>
  <c r="AU121" i="6" s="1"/>
  <c r="AS122" i="6"/>
  <c r="AS123" i="6"/>
  <c r="AT123" i="6" s="1"/>
  <c r="AU123" i="6" s="1"/>
  <c r="AS124" i="6"/>
  <c r="AT124" i="6" s="1"/>
  <c r="AU124" i="6" s="1"/>
  <c r="AS125" i="6"/>
  <c r="AT125" i="6" s="1"/>
  <c r="AU125" i="6" s="1"/>
  <c r="AS126" i="6"/>
  <c r="AS127" i="6"/>
  <c r="AT127" i="6" s="1"/>
  <c r="AU127" i="6" s="1"/>
  <c r="AS128" i="6"/>
  <c r="AT128" i="6" s="1"/>
  <c r="AU128" i="6" s="1"/>
  <c r="AS129" i="6"/>
  <c r="AT129" i="6" s="1"/>
  <c r="AU129" i="6" s="1"/>
  <c r="AS130" i="6"/>
  <c r="AS131" i="6"/>
  <c r="AT131" i="6" s="1"/>
  <c r="AU131" i="6" s="1"/>
  <c r="AS132" i="6"/>
  <c r="AT132" i="6" s="1"/>
  <c r="AU132" i="6" s="1"/>
  <c r="AS133" i="6"/>
  <c r="AT133" i="6" s="1"/>
  <c r="AU133" i="6" s="1"/>
  <c r="AS134" i="6"/>
  <c r="AS135" i="6"/>
  <c r="AT135" i="6" s="1"/>
  <c r="AU135" i="6" s="1"/>
  <c r="AS136" i="6"/>
  <c r="AT136" i="6" s="1"/>
  <c r="AU136" i="6" s="1"/>
  <c r="AS137" i="6"/>
  <c r="AT137" i="6" s="1"/>
  <c r="AU137" i="6" s="1"/>
  <c r="AS138" i="6"/>
  <c r="AS139" i="6"/>
  <c r="AT139" i="6" s="1"/>
  <c r="AU139" i="6" s="1"/>
  <c r="AS140" i="6"/>
  <c r="AT140" i="6" s="1"/>
  <c r="AU140" i="6" s="1"/>
  <c r="AS141" i="6"/>
  <c r="AT141" i="6" s="1"/>
  <c r="AU141" i="6" s="1"/>
  <c r="AS142" i="6"/>
  <c r="AS143" i="6"/>
  <c r="AT143" i="6" s="1"/>
  <c r="AU143" i="6" s="1"/>
  <c r="AS144" i="6"/>
  <c r="AT144" i="6" s="1"/>
  <c r="AU144" i="6" s="1"/>
  <c r="AS145" i="6"/>
  <c r="AT145" i="6" s="1"/>
  <c r="AU145" i="6" s="1"/>
  <c r="AS146" i="6"/>
  <c r="AS147" i="6"/>
  <c r="AT147" i="6" s="1"/>
  <c r="AU147" i="6" s="1"/>
  <c r="AS148" i="6"/>
  <c r="AT148" i="6" s="1"/>
  <c r="AU148" i="6" s="1"/>
  <c r="AS149" i="6"/>
  <c r="AT149" i="6" s="1"/>
  <c r="AU149" i="6" s="1"/>
  <c r="AS150" i="6"/>
  <c r="AS151" i="6"/>
  <c r="AT151" i="6" s="1"/>
  <c r="AU151" i="6" s="1"/>
  <c r="AS152" i="6"/>
  <c r="AT152" i="6" s="1"/>
  <c r="AU152" i="6" s="1"/>
  <c r="AS153" i="6"/>
  <c r="AT153" i="6" s="1"/>
  <c r="AU153" i="6" s="1"/>
  <c r="AS154" i="6"/>
  <c r="AS155" i="6"/>
  <c r="AT155" i="6" s="1"/>
  <c r="AU155" i="6" s="1"/>
  <c r="AS156" i="6"/>
  <c r="AT156" i="6" s="1"/>
  <c r="AU156" i="6" s="1"/>
  <c r="AS157" i="6"/>
  <c r="AT157" i="6" s="1"/>
  <c r="AU157" i="6" s="1"/>
  <c r="AS158" i="6"/>
  <c r="AS159" i="6"/>
  <c r="AT159" i="6" s="1"/>
  <c r="AU159" i="6" s="1"/>
  <c r="AS160" i="6"/>
  <c r="AT160" i="6" s="1"/>
  <c r="AU160" i="6" s="1"/>
  <c r="AS161" i="6"/>
  <c r="AT161" i="6" s="1"/>
  <c r="AU161" i="6" s="1"/>
  <c r="AS162" i="6"/>
  <c r="AS163" i="6"/>
  <c r="AT163" i="6" s="1"/>
  <c r="AU163" i="6" s="1"/>
  <c r="AS164" i="6"/>
  <c r="AT164" i="6" s="1"/>
  <c r="AU164" i="6" s="1"/>
  <c r="AS165" i="6"/>
  <c r="AT165" i="6" s="1"/>
  <c r="AU165" i="6" s="1"/>
  <c r="AS166" i="6"/>
  <c r="AS167" i="6"/>
  <c r="AT167" i="6" s="1"/>
  <c r="AU167" i="6" s="1"/>
  <c r="AS168" i="6"/>
  <c r="AT168" i="6" s="1"/>
  <c r="AU168" i="6" s="1"/>
  <c r="AS169" i="6"/>
  <c r="AT169" i="6" s="1"/>
  <c r="AU169" i="6" s="1"/>
  <c r="AS170" i="6"/>
  <c r="AS171" i="6"/>
  <c r="AT171" i="6" s="1"/>
  <c r="AU171" i="6" s="1"/>
  <c r="AS172" i="6"/>
  <c r="AT172" i="6" s="1"/>
  <c r="AU172" i="6" s="1"/>
  <c r="AS173" i="6"/>
  <c r="AT173" i="6" s="1"/>
  <c r="AU173" i="6" s="1"/>
  <c r="AS174" i="6"/>
  <c r="AS175" i="6"/>
  <c r="AT175" i="6" s="1"/>
  <c r="AU175" i="6" s="1"/>
  <c r="AS176" i="6"/>
  <c r="AT176" i="6" s="1"/>
  <c r="AU176" i="6" s="1"/>
  <c r="AS177" i="6"/>
  <c r="AT177" i="6" s="1"/>
  <c r="AU177" i="6" s="1"/>
  <c r="AS178" i="6"/>
  <c r="AS179" i="6"/>
  <c r="AT179" i="6" s="1"/>
  <c r="AU179" i="6" s="1"/>
  <c r="AS180" i="6"/>
  <c r="AT180" i="6" s="1"/>
  <c r="AU180" i="6" s="1"/>
  <c r="AS181" i="6"/>
  <c r="AT181" i="6" s="1"/>
  <c r="AU181" i="6" s="1"/>
  <c r="AS182" i="6"/>
  <c r="AS183" i="6"/>
  <c r="AT183" i="6" s="1"/>
  <c r="AU183" i="6" s="1"/>
  <c r="AS184" i="6"/>
  <c r="AT184" i="6" s="1"/>
  <c r="AU184" i="6" s="1"/>
  <c r="AS185" i="6"/>
  <c r="AT185" i="6" s="1"/>
  <c r="AU185" i="6" s="1"/>
  <c r="AS186" i="6"/>
  <c r="AS187" i="6"/>
  <c r="AT187" i="6" s="1"/>
  <c r="AU187" i="6" s="1"/>
  <c r="AS188" i="6"/>
  <c r="AT188" i="6" s="1"/>
  <c r="AU188" i="6" s="1"/>
  <c r="AS189" i="6"/>
  <c r="AT189" i="6" s="1"/>
  <c r="AU189" i="6" s="1"/>
  <c r="AS190" i="6"/>
  <c r="AS191" i="6"/>
  <c r="AT191" i="6" s="1"/>
  <c r="AU191" i="6" s="1"/>
  <c r="AS192" i="6"/>
  <c r="AT192" i="6" s="1"/>
  <c r="AU192" i="6" s="1"/>
  <c r="AS193" i="6"/>
  <c r="AT193" i="6" s="1"/>
  <c r="AU193" i="6" s="1"/>
  <c r="AS194" i="6"/>
  <c r="AS195" i="6"/>
  <c r="AT195" i="6" s="1"/>
  <c r="AU195" i="6" s="1"/>
  <c r="AS196" i="6"/>
  <c r="AT196" i="6" s="1"/>
  <c r="AU196" i="6" s="1"/>
  <c r="AS197" i="6"/>
  <c r="AT197" i="6" s="1"/>
  <c r="AU197" i="6" s="1"/>
  <c r="AS198" i="6"/>
  <c r="AS199" i="6"/>
  <c r="AT199" i="6" s="1"/>
  <c r="AU199" i="6" s="1"/>
  <c r="AS200" i="6"/>
  <c r="AT200" i="6" s="1"/>
  <c r="AU200" i="6" s="1"/>
  <c r="AS201" i="6"/>
  <c r="AT201" i="6" s="1"/>
  <c r="AU201" i="6" s="1"/>
  <c r="AS202" i="6"/>
  <c r="AS203" i="6"/>
  <c r="AT203" i="6" s="1"/>
  <c r="AU203" i="6" s="1"/>
  <c r="AS204" i="6"/>
  <c r="AT204" i="6" s="1"/>
  <c r="AU204" i="6" s="1"/>
  <c r="AS205" i="6"/>
  <c r="AT205" i="6" s="1"/>
  <c r="AU205" i="6" s="1"/>
  <c r="AS206" i="6"/>
  <c r="AS207" i="6"/>
  <c r="AT207" i="6" s="1"/>
  <c r="AU207" i="6" s="1"/>
  <c r="AS208" i="6"/>
  <c r="AT208" i="6" s="1"/>
  <c r="AU208" i="6" s="1"/>
  <c r="AS209" i="6"/>
  <c r="AT209" i="6" s="1"/>
  <c r="AU209" i="6" s="1"/>
  <c r="AS210" i="6"/>
  <c r="AS211" i="6"/>
  <c r="AT211" i="6" s="1"/>
  <c r="AU211" i="6" s="1"/>
  <c r="AS212" i="6"/>
  <c r="AT212" i="6" s="1"/>
  <c r="AU212" i="6" s="1"/>
  <c r="AS213" i="6"/>
  <c r="AT213" i="6" s="1"/>
  <c r="AU213" i="6" s="1"/>
  <c r="AS214" i="6"/>
  <c r="AS215" i="6"/>
  <c r="AT215" i="6" s="1"/>
  <c r="AU215" i="6" s="1"/>
  <c r="AS216" i="6"/>
  <c r="AT216" i="6" s="1"/>
  <c r="AU216" i="6" s="1"/>
  <c r="AS217" i="6"/>
  <c r="AT217" i="6" s="1"/>
  <c r="AU217" i="6" s="1"/>
  <c r="AS218" i="6"/>
  <c r="AS219" i="6"/>
  <c r="AT219" i="6" s="1"/>
  <c r="AU219" i="6" s="1"/>
  <c r="AS220" i="6"/>
  <c r="AT220" i="6" s="1"/>
  <c r="AU220" i="6" s="1"/>
  <c r="AS221" i="6"/>
  <c r="AT221" i="6" s="1"/>
  <c r="AU221" i="6" s="1"/>
  <c r="AS222" i="6"/>
  <c r="AS223" i="6"/>
  <c r="AT223" i="6" s="1"/>
  <c r="AU223" i="6" s="1"/>
  <c r="AS224" i="6"/>
  <c r="AT224" i="6" s="1"/>
  <c r="AU224" i="6" s="1"/>
  <c r="AS225" i="6"/>
  <c r="AT225" i="6" s="1"/>
  <c r="AU225" i="6" s="1"/>
  <c r="AS226" i="6"/>
  <c r="AS227" i="6"/>
  <c r="AT227" i="6" s="1"/>
  <c r="AU227" i="6" s="1"/>
  <c r="AS228" i="6"/>
  <c r="AT228" i="6" s="1"/>
  <c r="AU228" i="6" s="1"/>
  <c r="AS229" i="6"/>
  <c r="AT229" i="6" s="1"/>
  <c r="AU229" i="6" s="1"/>
  <c r="AS230" i="6"/>
  <c r="AS231" i="6"/>
  <c r="AT231" i="6" s="1"/>
  <c r="AU231" i="6" s="1"/>
  <c r="AS232" i="6"/>
  <c r="AT232" i="6" s="1"/>
  <c r="AU232" i="6" s="1"/>
  <c r="AS233" i="6"/>
  <c r="AT233" i="6" s="1"/>
  <c r="AU233" i="6" s="1"/>
  <c r="AS234" i="6"/>
  <c r="AS235" i="6"/>
  <c r="AT235" i="6" s="1"/>
  <c r="AU235" i="6" s="1"/>
  <c r="AS236" i="6"/>
  <c r="AT236" i="6" s="1"/>
  <c r="AU236" i="6" s="1"/>
  <c r="AS237" i="6"/>
  <c r="AT237" i="6" s="1"/>
  <c r="AU237" i="6" s="1"/>
  <c r="AS238" i="6"/>
  <c r="AS239" i="6"/>
  <c r="AT239" i="6" s="1"/>
  <c r="AU239" i="6" s="1"/>
  <c r="AS240" i="6"/>
  <c r="AT240" i="6" s="1"/>
  <c r="AU240" i="6" s="1"/>
  <c r="AS241" i="6"/>
  <c r="AT241" i="6" s="1"/>
  <c r="AU241" i="6" s="1"/>
  <c r="AS242" i="6"/>
  <c r="AS243" i="6"/>
  <c r="AT243" i="6" s="1"/>
  <c r="AU243" i="6" s="1"/>
  <c r="AS244" i="6"/>
  <c r="AT244" i="6" s="1"/>
  <c r="AU244" i="6" s="1"/>
  <c r="AS245" i="6"/>
  <c r="AT245" i="6" s="1"/>
  <c r="AU245" i="6" s="1"/>
  <c r="AS246" i="6"/>
  <c r="AS247" i="6"/>
  <c r="AT247" i="6" s="1"/>
  <c r="AU247" i="6" s="1"/>
  <c r="AS248" i="6"/>
  <c r="AT248" i="6" s="1"/>
  <c r="AU248" i="6" s="1"/>
  <c r="AS249" i="6"/>
  <c r="AT249" i="6" s="1"/>
  <c r="AU249" i="6" s="1"/>
  <c r="AS250" i="6"/>
  <c r="AS251" i="6"/>
  <c r="AT251" i="6" s="1"/>
  <c r="AU251" i="6" s="1"/>
  <c r="AS252" i="6"/>
  <c r="AT252" i="6" s="1"/>
  <c r="AU252" i="6" s="1"/>
  <c r="AS253" i="6"/>
  <c r="AT253" i="6" s="1"/>
  <c r="AU253" i="6" s="1"/>
  <c r="AS254" i="6"/>
  <c r="AS255" i="6"/>
  <c r="AT255" i="6" s="1"/>
  <c r="AU255" i="6" s="1"/>
  <c r="AS256" i="6"/>
  <c r="AT256" i="6" s="1"/>
  <c r="AU256" i="6" s="1"/>
  <c r="AS257" i="6"/>
  <c r="AT257" i="6" s="1"/>
  <c r="AU257" i="6" s="1"/>
  <c r="AS258" i="6"/>
  <c r="AS259" i="6"/>
  <c r="AT259" i="6" s="1"/>
  <c r="AU259" i="6" s="1"/>
  <c r="AS260" i="6"/>
  <c r="AT260" i="6" s="1"/>
  <c r="AU260" i="6" s="1"/>
  <c r="AS261" i="6"/>
  <c r="AT261" i="6" s="1"/>
  <c r="AU261" i="6" s="1"/>
  <c r="AS262" i="6"/>
  <c r="AS263" i="6"/>
  <c r="AT263" i="6" s="1"/>
  <c r="AU263" i="6" s="1"/>
  <c r="AS264" i="6"/>
  <c r="AT264" i="6" s="1"/>
  <c r="AU264" i="6" s="1"/>
  <c r="AS265" i="6"/>
  <c r="AT265" i="6" s="1"/>
  <c r="AU265" i="6" s="1"/>
  <c r="AS266" i="6"/>
  <c r="AS267" i="6"/>
  <c r="AT267" i="6" s="1"/>
  <c r="AU267" i="6" s="1"/>
  <c r="AS268" i="6"/>
  <c r="AT268" i="6" s="1"/>
  <c r="AU268" i="6" s="1"/>
  <c r="AS269" i="6"/>
  <c r="AT269" i="6" s="1"/>
  <c r="AU269" i="6" s="1"/>
  <c r="AS270" i="6"/>
  <c r="AS271" i="6"/>
  <c r="AT271" i="6" s="1"/>
  <c r="AU271" i="6" s="1"/>
  <c r="AS272" i="6"/>
  <c r="AT272" i="6" s="1"/>
  <c r="AU272" i="6" s="1"/>
  <c r="AS273" i="6"/>
  <c r="AT273" i="6" s="1"/>
  <c r="AU273" i="6" s="1"/>
  <c r="AS274" i="6"/>
  <c r="AS275" i="6"/>
  <c r="AT275" i="6" s="1"/>
  <c r="AU275" i="6" s="1"/>
  <c r="AS276" i="6"/>
  <c r="AT276" i="6" s="1"/>
  <c r="AU276" i="6" s="1"/>
  <c r="AS277" i="6"/>
  <c r="AT277" i="6" s="1"/>
  <c r="AU277" i="6" s="1"/>
  <c r="AS278" i="6"/>
  <c r="AS279" i="6"/>
  <c r="AT279" i="6" s="1"/>
  <c r="AU279" i="6" s="1"/>
  <c r="AS280" i="6"/>
  <c r="AT280" i="6" s="1"/>
  <c r="AU280" i="6" s="1"/>
  <c r="AS281" i="6"/>
  <c r="AT281" i="6" s="1"/>
  <c r="AU281" i="6" s="1"/>
  <c r="AS282" i="6"/>
  <c r="AS283" i="6"/>
  <c r="AT283" i="6" s="1"/>
  <c r="AU283" i="6" s="1"/>
  <c r="AS284" i="6"/>
  <c r="AT284" i="6" s="1"/>
  <c r="AU284" i="6" s="1"/>
  <c r="AS285" i="6"/>
  <c r="AT285" i="6" s="1"/>
  <c r="AU285" i="6" s="1"/>
  <c r="AS286" i="6"/>
  <c r="AS287" i="6"/>
  <c r="AT287" i="6" s="1"/>
  <c r="AU287" i="6" s="1"/>
  <c r="AS288" i="6"/>
  <c r="AT288" i="6" s="1"/>
  <c r="AU288" i="6" s="1"/>
  <c r="AS289" i="6"/>
  <c r="AT289" i="6" s="1"/>
  <c r="AU289" i="6" s="1"/>
  <c r="AS290" i="6"/>
  <c r="AS291" i="6"/>
  <c r="AT291" i="6" s="1"/>
  <c r="AU291" i="6" s="1"/>
  <c r="AS292" i="6"/>
  <c r="AT292" i="6" s="1"/>
  <c r="AU292" i="6" s="1"/>
  <c r="AS293" i="6"/>
  <c r="AT293" i="6" s="1"/>
  <c r="AU293" i="6" s="1"/>
  <c r="AS294" i="6"/>
  <c r="AS295" i="6"/>
  <c r="AT295" i="6" s="1"/>
  <c r="AU295" i="6" s="1"/>
  <c r="AS296" i="6"/>
  <c r="AT296" i="6" s="1"/>
  <c r="AU296" i="6" s="1"/>
  <c r="AS297" i="6"/>
  <c r="AT297" i="6" s="1"/>
  <c r="AU297" i="6" s="1"/>
  <c r="AS298" i="6"/>
  <c r="AS299" i="6"/>
  <c r="AT299" i="6" s="1"/>
  <c r="AU299" i="6" s="1"/>
  <c r="AS300" i="6"/>
  <c r="AT300" i="6" s="1"/>
  <c r="AU300" i="6" s="1"/>
  <c r="AS301" i="6"/>
  <c r="AT301" i="6" s="1"/>
  <c r="AU301" i="6" s="1"/>
  <c r="AS302" i="6"/>
  <c r="AS303" i="6"/>
  <c r="AT303" i="6" s="1"/>
  <c r="AU303" i="6" s="1"/>
  <c r="AS304" i="6"/>
  <c r="AT304" i="6" s="1"/>
  <c r="AU304" i="6" s="1"/>
  <c r="AS305" i="6"/>
  <c r="AT305" i="6" s="1"/>
  <c r="AU305" i="6" s="1"/>
  <c r="AS306" i="6"/>
  <c r="AS307" i="6"/>
  <c r="AT307" i="6" s="1"/>
  <c r="AU307" i="6" s="1"/>
  <c r="AS308" i="6"/>
  <c r="AT308" i="6" s="1"/>
  <c r="AU308" i="6" s="1"/>
  <c r="AS309" i="6"/>
  <c r="AT309" i="6" s="1"/>
  <c r="AU309" i="6" s="1"/>
  <c r="AS310" i="6"/>
  <c r="AS311" i="6"/>
  <c r="AT311" i="6" s="1"/>
  <c r="AU311" i="6" s="1"/>
  <c r="AS312" i="6"/>
  <c r="AT312" i="6" s="1"/>
  <c r="AU312" i="6" s="1"/>
  <c r="AS313" i="6"/>
  <c r="AT313" i="6" s="1"/>
  <c r="AU313" i="6" s="1"/>
  <c r="AS314" i="6"/>
  <c r="AS315" i="6"/>
  <c r="AT315" i="6" s="1"/>
  <c r="AU315" i="6" s="1"/>
  <c r="AS316" i="6"/>
  <c r="AT316" i="6" s="1"/>
  <c r="AU316" i="6" s="1"/>
  <c r="AS317" i="6"/>
  <c r="AT317" i="6" s="1"/>
  <c r="AU317" i="6" s="1"/>
  <c r="AS318" i="6"/>
  <c r="AS319" i="6"/>
  <c r="AT319" i="6" s="1"/>
  <c r="AU319" i="6" s="1"/>
  <c r="AS320" i="6"/>
  <c r="AT320" i="6" s="1"/>
  <c r="AU320" i="6" s="1"/>
  <c r="AS321" i="6"/>
  <c r="AT321" i="6" s="1"/>
  <c r="AU321" i="6" s="1"/>
  <c r="AS322" i="6"/>
  <c r="AS323" i="6"/>
  <c r="AT323" i="6" s="1"/>
  <c r="AU323" i="6" s="1"/>
  <c r="AS324" i="6"/>
  <c r="AT324" i="6" s="1"/>
  <c r="AU324" i="6" s="1"/>
  <c r="AS325" i="6"/>
  <c r="AT325" i="6" s="1"/>
  <c r="AU325" i="6" s="1"/>
  <c r="AS326" i="6"/>
  <c r="AS327" i="6"/>
  <c r="AT327" i="6" s="1"/>
  <c r="AU327" i="6" s="1"/>
  <c r="AS328" i="6"/>
  <c r="AT328" i="6" s="1"/>
  <c r="AU328" i="6" s="1"/>
  <c r="AS329" i="6"/>
  <c r="AT329" i="6" s="1"/>
  <c r="AU329" i="6" s="1"/>
  <c r="AS330" i="6"/>
  <c r="AS331" i="6"/>
  <c r="AT331" i="6" s="1"/>
  <c r="AU331" i="6" s="1"/>
  <c r="AS332" i="6"/>
  <c r="AT332" i="6" s="1"/>
  <c r="AU332" i="6" s="1"/>
  <c r="AS333" i="6"/>
  <c r="AT333" i="6" s="1"/>
  <c r="AU333" i="6" s="1"/>
  <c r="AS334" i="6"/>
  <c r="AS335" i="6"/>
  <c r="AT335" i="6" s="1"/>
  <c r="AU335" i="6" s="1"/>
  <c r="AS336" i="6"/>
  <c r="AT336" i="6" s="1"/>
  <c r="AU336" i="6" s="1"/>
  <c r="AS337" i="6"/>
  <c r="AT337" i="6" s="1"/>
  <c r="AU337" i="6" s="1"/>
  <c r="AS338" i="6"/>
  <c r="AS339" i="6"/>
  <c r="AT339" i="6" s="1"/>
  <c r="AU339" i="6" s="1"/>
  <c r="AS340" i="6"/>
  <c r="AT340" i="6" s="1"/>
  <c r="AU340" i="6" s="1"/>
  <c r="AS341" i="6"/>
  <c r="AT341" i="6" s="1"/>
  <c r="AU341" i="6" s="1"/>
  <c r="AS342" i="6"/>
  <c r="AS343" i="6"/>
  <c r="AT343" i="6" s="1"/>
  <c r="AU343" i="6" s="1"/>
  <c r="AS344" i="6"/>
  <c r="AT344" i="6" s="1"/>
  <c r="AU344" i="6" s="1"/>
  <c r="AS345" i="6"/>
  <c r="AT345" i="6" s="1"/>
  <c r="AU345" i="6" s="1"/>
  <c r="AS346" i="6"/>
  <c r="AS347" i="6"/>
  <c r="AT347" i="6" s="1"/>
  <c r="AU347" i="6" s="1"/>
  <c r="AS348" i="6"/>
  <c r="AT348" i="6" s="1"/>
  <c r="AU348" i="6" s="1"/>
  <c r="AS349" i="6"/>
  <c r="AT349" i="6" s="1"/>
  <c r="AU349" i="6" s="1"/>
  <c r="AS350" i="6"/>
  <c r="AS351" i="6"/>
  <c r="AT351" i="6" s="1"/>
  <c r="AU351" i="6" s="1"/>
  <c r="AS352" i="6"/>
  <c r="AT352" i="6" s="1"/>
  <c r="AU352" i="6" s="1"/>
  <c r="AS353" i="6"/>
  <c r="AT353" i="6" s="1"/>
  <c r="AU353" i="6" s="1"/>
  <c r="AS354" i="6"/>
  <c r="AS355" i="6"/>
  <c r="AT355" i="6" s="1"/>
  <c r="AU355" i="6" s="1"/>
  <c r="AS356" i="6"/>
  <c r="AT356" i="6" s="1"/>
  <c r="AU356" i="6" s="1"/>
  <c r="AS357" i="6"/>
  <c r="AT357" i="6" s="1"/>
  <c r="AU357" i="6" s="1"/>
  <c r="AS358" i="6"/>
  <c r="AS359" i="6"/>
  <c r="AT359" i="6" s="1"/>
  <c r="AU359" i="6" s="1"/>
  <c r="AS360" i="6"/>
  <c r="AT360" i="6" s="1"/>
  <c r="AU360" i="6" s="1"/>
  <c r="AS361" i="6"/>
  <c r="AT361" i="6" s="1"/>
  <c r="AU361" i="6" s="1"/>
  <c r="AS362" i="6"/>
  <c r="AS363" i="6"/>
  <c r="AT363" i="6" s="1"/>
  <c r="AU363" i="6" s="1"/>
  <c r="AS364" i="6"/>
  <c r="AT364" i="6" s="1"/>
  <c r="AU364" i="6" s="1"/>
  <c r="AS365" i="6"/>
  <c r="AT365" i="6" s="1"/>
  <c r="AU365" i="6" s="1"/>
  <c r="AS366" i="6"/>
  <c r="AS367" i="6"/>
  <c r="AT367" i="6" s="1"/>
  <c r="AU367" i="6" s="1"/>
  <c r="AS368" i="6"/>
  <c r="AT368" i="6" s="1"/>
  <c r="AU368" i="6" s="1"/>
  <c r="AS369" i="6"/>
  <c r="AT369" i="6" s="1"/>
  <c r="AU369" i="6" s="1"/>
  <c r="AS370" i="6"/>
  <c r="AS371" i="6"/>
  <c r="AT371" i="6" s="1"/>
  <c r="AU371" i="6" s="1"/>
  <c r="AS372" i="6"/>
  <c r="AT372" i="6" s="1"/>
  <c r="AU372" i="6" s="1"/>
  <c r="AS373" i="6"/>
  <c r="AT373" i="6" s="1"/>
  <c r="AU373" i="6" s="1"/>
  <c r="AS374" i="6"/>
  <c r="AS375" i="6"/>
  <c r="AT375" i="6" s="1"/>
  <c r="AU375" i="6" s="1"/>
  <c r="AS376" i="6"/>
  <c r="AT376" i="6" s="1"/>
  <c r="AU376" i="6" s="1"/>
  <c r="AS377" i="6"/>
  <c r="AT377" i="6" s="1"/>
  <c r="AU377" i="6" s="1"/>
  <c r="AS378" i="6"/>
  <c r="AS379" i="6"/>
  <c r="AT379" i="6" s="1"/>
  <c r="AU379" i="6" s="1"/>
  <c r="AS380" i="6"/>
  <c r="AT380" i="6" s="1"/>
  <c r="AU380" i="6" s="1"/>
  <c r="AS381" i="6"/>
  <c r="AT381" i="6" s="1"/>
  <c r="AU381" i="6" s="1"/>
  <c r="AS382" i="6"/>
  <c r="AS383" i="6"/>
  <c r="AT383" i="6" s="1"/>
  <c r="AU383" i="6" s="1"/>
  <c r="AS384" i="6"/>
  <c r="AT384" i="6" s="1"/>
  <c r="AU384" i="6" s="1"/>
  <c r="AS385" i="6"/>
  <c r="AT385" i="6" s="1"/>
  <c r="AU385" i="6" s="1"/>
  <c r="AS386" i="6"/>
  <c r="AS387" i="6"/>
  <c r="AT387" i="6" s="1"/>
  <c r="AU387" i="6" s="1"/>
  <c r="AS388" i="6"/>
  <c r="AT388" i="6" s="1"/>
  <c r="AU388" i="6" s="1"/>
  <c r="AS389" i="6"/>
  <c r="AT389" i="6" s="1"/>
  <c r="AU389" i="6" s="1"/>
  <c r="AS390" i="6"/>
  <c r="AS391" i="6"/>
  <c r="AT391" i="6" s="1"/>
  <c r="AU391" i="6" s="1"/>
  <c r="AS392" i="6"/>
  <c r="AT392" i="6" s="1"/>
  <c r="AU392" i="6" s="1"/>
  <c r="AS393" i="6"/>
  <c r="AT393" i="6" s="1"/>
  <c r="AU393" i="6" s="1"/>
  <c r="AS394" i="6"/>
  <c r="AS395" i="6"/>
  <c r="AT395" i="6" s="1"/>
  <c r="AU395" i="6" s="1"/>
  <c r="AS396" i="6"/>
  <c r="AT396" i="6" s="1"/>
  <c r="AU396" i="6" s="1"/>
  <c r="AS397" i="6"/>
  <c r="AT397" i="6" s="1"/>
  <c r="AU397" i="6" s="1"/>
  <c r="AS398" i="6"/>
  <c r="AS399" i="6"/>
  <c r="AT399" i="6" s="1"/>
  <c r="AU399" i="6" s="1"/>
  <c r="AS400" i="6"/>
  <c r="AT400" i="6" s="1"/>
  <c r="AU400" i="6" s="1"/>
  <c r="AS401" i="6"/>
  <c r="AT401" i="6" s="1"/>
  <c r="AU401" i="6" s="1"/>
  <c r="AS402" i="6"/>
  <c r="AS403" i="6"/>
  <c r="AT403" i="6" s="1"/>
  <c r="AU403" i="6" s="1"/>
  <c r="AS404" i="6"/>
  <c r="AT404" i="6" s="1"/>
  <c r="AU404" i="6" s="1"/>
  <c r="AS405" i="6"/>
  <c r="AT405" i="6" s="1"/>
  <c r="AU405" i="6" s="1"/>
  <c r="AS406" i="6"/>
  <c r="AS407" i="6"/>
  <c r="AT407" i="6" s="1"/>
  <c r="AU407" i="6" s="1"/>
  <c r="AS408" i="6"/>
  <c r="AT408" i="6" s="1"/>
  <c r="AU408" i="6" s="1"/>
  <c r="AS409" i="6"/>
  <c r="AT409" i="6" s="1"/>
  <c r="AU409" i="6" s="1"/>
  <c r="AS410" i="6"/>
  <c r="AS411" i="6"/>
  <c r="AT411" i="6" s="1"/>
  <c r="AU411" i="6" s="1"/>
  <c r="AS412" i="6"/>
  <c r="AT412" i="6" s="1"/>
  <c r="AU412" i="6" s="1"/>
  <c r="AS413" i="6"/>
  <c r="AT413" i="6" s="1"/>
  <c r="AU413" i="6" s="1"/>
  <c r="AS414" i="6"/>
  <c r="AS415" i="6"/>
  <c r="AT415" i="6" s="1"/>
  <c r="AU415" i="6" s="1"/>
  <c r="AS416" i="6"/>
  <c r="AT416" i="6" s="1"/>
  <c r="AU416" i="6" s="1"/>
  <c r="AS417" i="6"/>
  <c r="AT417" i="6" s="1"/>
  <c r="AU417" i="6" s="1"/>
  <c r="AS418" i="6"/>
  <c r="AS419" i="6"/>
  <c r="AT419" i="6" s="1"/>
  <c r="AU419" i="6" s="1"/>
  <c r="AS420" i="6"/>
  <c r="AT420" i="6" s="1"/>
  <c r="AU420" i="6" s="1"/>
  <c r="AS421" i="6"/>
  <c r="AT421" i="6" s="1"/>
  <c r="AU421" i="6" s="1"/>
  <c r="AS422" i="6"/>
  <c r="AS423" i="6"/>
  <c r="AT423" i="6" s="1"/>
  <c r="AU423" i="6" s="1"/>
  <c r="AS424" i="6"/>
  <c r="AT424" i="6" s="1"/>
  <c r="AU424" i="6" s="1"/>
  <c r="AS425" i="6"/>
  <c r="AT425" i="6" s="1"/>
  <c r="AU425" i="6" s="1"/>
  <c r="AS426" i="6"/>
  <c r="AS427" i="6"/>
  <c r="AT427" i="6" s="1"/>
  <c r="AU427" i="6" s="1"/>
  <c r="AS428" i="6"/>
  <c r="AT428" i="6" s="1"/>
  <c r="AU428" i="6" s="1"/>
  <c r="AS429" i="6"/>
  <c r="AT429" i="6" s="1"/>
  <c r="AU429" i="6" s="1"/>
  <c r="AS430" i="6"/>
  <c r="AS431" i="6"/>
  <c r="AT431" i="6" s="1"/>
  <c r="AU431" i="6" s="1"/>
  <c r="AS432" i="6"/>
  <c r="AT432" i="6" s="1"/>
  <c r="AU432" i="6" s="1"/>
  <c r="AS433" i="6"/>
  <c r="AT433" i="6" s="1"/>
  <c r="AU433" i="6" s="1"/>
  <c r="AS434" i="6"/>
  <c r="AS435" i="6"/>
  <c r="AT435" i="6" s="1"/>
  <c r="AU435" i="6" s="1"/>
  <c r="AS436" i="6"/>
  <c r="AT436" i="6" s="1"/>
  <c r="AU436" i="6" s="1"/>
  <c r="AS437" i="6"/>
  <c r="AT437" i="6" s="1"/>
  <c r="AU437" i="6" s="1"/>
  <c r="AS438" i="6"/>
  <c r="AS439" i="6"/>
  <c r="AT439" i="6" s="1"/>
  <c r="AU439" i="6" s="1"/>
  <c r="AS440" i="6"/>
  <c r="AT440" i="6" s="1"/>
  <c r="AU440" i="6" s="1"/>
  <c r="AS441" i="6"/>
  <c r="AT441" i="6" s="1"/>
  <c r="AU441" i="6" s="1"/>
  <c r="AS442" i="6"/>
  <c r="AS443" i="6"/>
  <c r="AT443" i="6" s="1"/>
  <c r="AU443" i="6" s="1"/>
  <c r="AS444" i="6"/>
  <c r="AT444" i="6" s="1"/>
  <c r="AU444" i="6" s="1"/>
  <c r="AS445" i="6"/>
  <c r="AT445" i="6" s="1"/>
  <c r="AU445" i="6" s="1"/>
  <c r="AS446" i="6"/>
  <c r="AS447" i="6"/>
  <c r="AT447" i="6" s="1"/>
  <c r="AU447" i="6" s="1"/>
  <c r="AS448" i="6"/>
  <c r="AT448" i="6" s="1"/>
  <c r="AU448" i="6" s="1"/>
  <c r="AS449" i="6"/>
  <c r="AT449" i="6" s="1"/>
  <c r="AU449" i="6" s="1"/>
  <c r="AS450" i="6"/>
  <c r="AS451" i="6"/>
  <c r="AT451" i="6" s="1"/>
  <c r="AU451" i="6" s="1"/>
  <c r="AS452" i="6"/>
  <c r="AT452" i="6" s="1"/>
  <c r="AU452" i="6" s="1"/>
  <c r="AS453" i="6"/>
  <c r="AT453" i="6" s="1"/>
  <c r="AU453" i="6" s="1"/>
  <c r="AS454" i="6"/>
  <c r="AS455" i="6"/>
  <c r="AT455" i="6" s="1"/>
  <c r="AU455" i="6" s="1"/>
  <c r="AS456" i="6"/>
  <c r="AT456" i="6" s="1"/>
  <c r="AU456" i="6" s="1"/>
  <c r="AS457" i="6"/>
  <c r="AT457" i="6" s="1"/>
  <c r="AU457" i="6" s="1"/>
  <c r="AS458" i="6"/>
  <c r="AS459" i="6"/>
  <c r="AT459" i="6" s="1"/>
  <c r="AU459" i="6" s="1"/>
  <c r="AS460" i="6"/>
  <c r="AT460" i="6" s="1"/>
  <c r="AU460" i="6" s="1"/>
  <c r="AS461" i="6"/>
  <c r="AT461" i="6" s="1"/>
  <c r="AU461" i="6" s="1"/>
  <c r="AS462" i="6"/>
  <c r="AS463" i="6"/>
  <c r="AT463" i="6" s="1"/>
  <c r="AU463" i="6" s="1"/>
  <c r="AS464" i="6"/>
  <c r="AT464" i="6" s="1"/>
  <c r="AU464" i="6" s="1"/>
  <c r="AS465" i="6"/>
  <c r="AT465" i="6" s="1"/>
  <c r="AU465" i="6" s="1"/>
  <c r="AS466" i="6"/>
  <c r="AS467" i="6"/>
  <c r="AT467" i="6" s="1"/>
  <c r="AU467" i="6" s="1"/>
  <c r="AS468" i="6"/>
  <c r="AT468" i="6" s="1"/>
  <c r="AU468" i="6" s="1"/>
  <c r="AS469" i="6"/>
  <c r="AT469" i="6" s="1"/>
  <c r="AU469" i="6" s="1"/>
  <c r="AS470" i="6"/>
  <c r="AS471" i="6"/>
  <c r="AT471" i="6" s="1"/>
  <c r="AU471" i="6" s="1"/>
  <c r="AS472" i="6"/>
  <c r="AT472" i="6" s="1"/>
  <c r="AU472" i="6" s="1"/>
  <c r="AS473" i="6"/>
  <c r="AT473" i="6" s="1"/>
  <c r="AU473" i="6" s="1"/>
  <c r="AS474" i="6"/>
  <c r="AS475" i="6"/>
  <c r="AT475" i="6" s="1"/>
  <c r="AU475" i="6" s="1"/>
  <c r="AS476" i="6"/>
  <c r="AT476" i="6" s="1"/>
  <c r="AU476" i="6" s="1"/>
  <c r="AS477" i="6"/>
  <c r="AT477" i="6" s="1"/>
  <c r="AU477" i="6" s="1"/>
  <c r="AS478" i="6"/>
  <c r="AS479" i="6"/>
  <c r="AT479" i="6" s="1"/>
  <c r="AU479" i="6" s="1"/>
  <c r="AS480" i="6"/>
  <c r="AT480" i="6" s="1"/>
  <c r="AU480" i="6" s="1"/>
  <c r="AS481" i="6"/>
  <c r="AT481" i="6" s="1"/>
  <c r="AU481" i="6" s="1"/>
  <c r="AS482" i="6"/>
  <c r="AS483" i="6"/>
  <c r="AT483" i="6" s="1"/>
  <c r="AU483" i="6" s="1"/>
  <c r="AS484" i="6"/>
  <c r="AT484" i="6" s="1"/>
  <c r="AU484" i="6" s="1"/>
  <c r="AS485" i="6"/>
  <c r="AT485" i="6" s="1"/>
  <c r="AU485" i="6" s="1"/>
  <c r="AS486" i="6"/>
  <c r="AS487" i="6"/>
  <c r="AT487" i="6" s="1"/>
  <c r="AU487" i="6" s="1"/>
  <c r="AS488" i="6"/>
  <c r="AT488" i="6" s="1"/>
  <c r="AU488" i="6" s="1"/>
  <c r="AS489" i="6"/>
  <c r="AT489" i="6" s="1"/>
  <c r="AU489" i="6" s="1"/>
  <c r="AS490" i="6"/>
  <c r="AS491" i="6"/>
  <c r="AT491" i="6" s="1"/>
  <c r="AU491" i="6" s="1"/>
  <c r="AS492" i="6"/>
  <c r="AT492" i="6" s="1"/>
  <c r="AU492" i="6" s="1"/>
  <c r="AS493" i="6"/>
  <c r="AT493" i="6" s="1"/>
  <c r="AU493" i="6" s="1"/>
  <c r="AS494" i="6"/>
  <c r="AS495" i="6"/>
  <c r="AT495" i="6" s="1"/>
  <c r="AU495" i="6" s="1"/>
  <c r="AS496" i="6"/>
  <c r="AT496" i="6" s="1"/>
  <c r="AU496" i="6" s="1"/>
  <c r="AS497" i="6"/>
  <c r="AT497" i="6" s="1"/>
  <c r="AU497" i="6" s="1"/>
  <c r="AS498" i="6"/>
  <c r="AS499" i="6"/>
  <c r="AT499" i="6" s="1"/>
  <c r="AU499" i="6" s="1"/>
  <c r="AS500" i="6"/>
  <c r="AT500" i="6" s="1"/>
  <c r="AU500" i="6" s="1"/>
  <c r="AS501" i="6"/>
  <c r="AT501" i="6" s="1"/>
  <c r="AU501" i="6" s="1"/>
  <c r="AS502" i="6"/>
  <c r="AS503" i="6"/>
  <c r="AT503" i="6" s="1"/>
  <c r="AU503" i="6" s="1"/>
  <c r="AS504" i="6"/>
  <c r="AT504" i="6" s="1"/>
  <c r="AU504" i="6" s="1"/>
  <c r="AS505" i="6"/>
  <c r="AT505" i="6" s="1"/>
  <c r="AU505" i="6" s="1"/>
  <c r="AS506" i="6"/>
  <c r="AS507" i="6"/>
  <c r="AT507" i="6" s="1"/>
  <c r="AU507" i="6" s="1"/>
  <c r="AS508" i="6"/>
  <c r="AT508" i="6" s="1"/>
  <c r="AU508" i="6" s="1"/>
  <c r="AS509" i="6"/>
  <c r="AT509" i="6" s="1"/>
  <c r="AU509" i="6" s="1"/>
  <c r="AS510" i="6"/>
  <c r="AS511" i="6"/>
  <c r="AT511" i="6" s="1"/>
  <c r="AU511" i="6" s="1"/>
  <c r="AS512" i="6"/>
  <c r="AT512" i="6" s="1"/>
  <c r="AU512" i="6" s="1"/>
  <c r="AS513" i="6"/>
  <c r="AT513" i="6" s="1"/>
  <c r="AU513" i="6" s="1"/>
  <c r="AS514" i="6"/>
  <c r="AS515" i="6"/>
  <c r="AT515" i="6" s="1"/>
  <c r="AU515" i="6" s="1"/>
  <c r="AS516" i="6"/>
  <c r="AT516" i="6" s="1"/>
  <c r="AU516" i="6" s="1"/>
  <c r="AS517" i="6"/>
  <c r="AT517" i="6" s="1"/>
  <c r="AU517" i="6" s="1"/>
  <c r="AS518" i="6"/>
  <c r="AS519" i="6"/>
  <c r="AT519" i="6" s="1"/>
  <c r="AU519" i="6" s="1"/>
  <c r="AS520" i="6"/>
  <c r="AT520" i="6" s="1"/>
  <c r="AU520" i="6" s="1"/>
  <c r="AS521" i="6"/>
  <c r="AT521" i="6" s="1"/>
  <c r="AU521" i="6" s="1"/>
  <c r="AS522" i="6"/>
  <c r="AS523" i="6"/>
  <c r="AT523" i="6" s="1"/>
  <c r="AU523" i="6" s="1"/>
  <c r="AS524" i="6"/>
  <c r="AT524" i="6" s="1"/>
  <c r="AU524" i="6" s="1"/>
  <c r="AS525" i="6"/>
  <c r="AT525" i="6" s="1"/>
  <c r="AU525" i="6" s="1"/>
  <c r="AS526" i="6"/>
  <c r="AS527" i="6"/>
  <c r="AT527" i="6" s="1"/>
  <c r="AU527" i="6" s="1"/>
  <c r="AS528" i="6"/>
  <c r="AT528" i="6" s="1"/>
  <c r="AU528" i="6" s="1"/>
  <c r="AS529" i="6"/>
  <c r="AT529" i="6" s="1"/>
  <c r="AU529" i="6" s="1"/>
  <c r="AS530" i="6"/>
  <c r="AS531" i="6"/>
  <c r="AT531" i="6" s="1"/>
  <c r="AU531" i="6" s="1"/>
  <c r="AS532" i="6"/>
  <c r="AT532" i="6" s="1"/>
  <c r="AU532" i="6" s="1"/>
  <c r="AS533" i="6"/>
  <c r="AT533" i="6" s="1"/>
  <c r="AU533" i="6" s="1"/>
  <c r="AS534" i="6"/>
  <c r="AS535" i="6"/>
  <c r="AT535" i="6" s="1"/>
  <c r="AU535" i="6" s="1"/>
  <c r="AS536" i="6"/>
  <c r="AT536" i="6" s="1"/>
  <c r="AU536" i="6" s="1"/>
  <c r="AS537" i="6"/>
  <c r="AT537" i="6" s="1"/>
  <c r="AU537" i="6" s="1"/>
  <c r="AS538" i="6"/>
  <c r="AS539" i="6"/>
  <c r="AT539" i="6" s="1"/>
  <c r="AU539" i="6" s="1"/>
  <c r="AS540" i="6"/>
  <c r="AT540" i="6" s="1"/>
  <c r="AU540" i="6" s="1"/>
  <c r="AS541" i="6"/>
  <c r="AT541" i="6" s="1"/>
  <c r="AU541" i="6" s="1"/>
  <c r="AS542" i="6"/>
  <c r="AS543" i="6"/>
  <c r="AT543" i="6" s="1"/>
  <c r="AU543" i="6" s="1"/>
  <c r="AS544" i="6"/>
  <c r="AT544" i="6" s="1"/>
  <c r="AU544" i="6" s="1"/>
  <c r="AS545" i="6"/>
  <c r="AT545" i="6" s="1"/>
  <c r="AU545" i="6" s="1"/>
  <c r="AS546" i="6"/>
  <c r="AS547" i="6"/>
  <c r="AT547" i="6" s="1"/>
  <c r="AU547" i="6" s="1"/>
  <c r="AS548" i="6"/>
  <c r="AT548" i="6" s="1"/>
  <c r="AU548" i="6" s="1"/>
  <c r="AS549" i="6"/>
  <c r="AT549" i="6" s="1"/>
  <c r="AU549" i="6" s="1"/>
  <c r="AS550" i="6"/>
  <c r="AS551" i="6"/>
  <c r="AT551" i="6" s="1"/>
  <c r="AU551" i="6" s="1"/>
  <c r="AS552" i="6"/>
  <c r="AT552" i="6" s="1"/>
  <c r="AU552" i="6" s="1"/>
  <c r="AS553" i="6"/>
  <c r="AT553" i="6" s="1"/>
  <c r="AU553" i="6" s="1"/>
  <c r="AS554" i="6"/>
  <c r="AS555" i="6"/>
  <c r="AT555" i="6" s="1"/>
  <c r="AU555" i="6" s="1"/>
  <c r="AS556" i="6"/>
  <c r="AT556" i="6" s="1"/>
  <c r="AU556" i="6" s="1"/>
  <c r="AS557" i="6"/>
  <c r="AT557" i="6" s="1"/>
  <c r="AU557" i="6" s="1"/>
  <c r="AS558" i="6"/>
  <c r="AS559" i="6"/>
  <c r="AT559" i="6" s="1"/>
  <c r="AU559" i="6" s="1"/>
  <c r="AS560" i="6"/>
  <c r="AT560" i="6" s="1"/>
  <c r="AU560" i="6" s="1"/>
  <c r="AS561" i="6"/>
  <c r="AT561" i="6" s="1"/>
  <c r="AU561" i="6" s="1"/>
  <c r="AS562" i="6"/>
  <c r="AS563" i="6"/>
  <c r="AT563" i="6" s="1"/>
  <c r="AU563" i="6" s="1"/>
  <c r="AS564" i="6"/>
  <c r="AT564" i="6" s="1"/>
  <c r="AU564" i="6" s="1"/>
  <c r="AS565" i="6"/>
  <c r="AT565" i="6" s="1"/>
  <c r="AU565" i="6" s="1"/>
  <c r="AS566" i="6"/>
  <c r="AS567" i="6"/>
  <c r="AT567" i="6" s="1"/>
  <c r="AU567" i="6" s="1"/>
  <c r="AS568" i="6"/>
  <c r="AT568" i="6" s="1"/>
  <c r="AU568" i="6" s="1"/>
  <c r="AS569" i="6"/>
  <c r="AT569" i="6" s="1"/>
  <c r="AU569" i="6" s="1"/>
  <c r="AS570" i="6"/>
  <c r="AS571" i="6"/>
  <c r="AT571" i="6" s="1"/>
  <c r="AU571" i="6" s="1"/>
  <c r="AS572" i="6"/>
  <c r="AT572" i="6" s="1"/>
  <c r="AU572" i="6" s="1"/>
  <c r="AS573" i="6"/>
  <c r="AT573" i="6" s="1"/>
  <c r="AU573" i="6" s="1"/>
  <c r="AS574" i="6"/>
  <c r="AS575" i="6"/>
  <c r="AT575" i="6" s="1"/>
  <c r="AU575" i="6" s="1"/>
  <c r="AS576" i="6"/>
  <c r="AT576" i="6" s="1"/>
  <c r="AU576" i="6" s="1"/>
  <c r="AS577" i="6"/>
  <c r="AT577" i="6" s="1"/>
  <c r="AU577" i="6" s="1"/>
  <c r="AS578" i="6"/>
  <c r="AS579" i="6"/>
  <c r="AT579" i="6" s="1"/>
  <c r="AU579" i="6" s="1"/>
  <c r="AS580" i="6"/>
  <c r="AT580" i="6" s="1"/>
  <c r="AU580" i="6" s="1"/>
  <c r="AS581" i="6"/>
  <c r="AT581" i="6" s="1"/>
  <c r="AU581" i="6" s="1"/>
  <c r="AS582" i="6"/>
  <c r="AS583" i="6"/>
  <c r="AT583" i="6" s="1"/>
  <c r="AU583" i="6" s="1"/>
  <c r="AS584" i="6"/>
  <c r="AT584" i="6" s="1"/>
  <c r="AU584" i="6" s="1"/>
  <c r="AS585" i="6"/>
  <c r="AT585" i="6" s="1"/>
  <c r="AU585" i="6" s="1"/>
  <c r="AS586" i="6"/>
  <c r="AS587" i="6"/>
  <c r="AT587" i="6" s="1"/>
  <c r="AU587" i="6" s="1"/>
  <c r="AS588" i="6"/>
  <c r="AT588" i="6" s="1"/>
  <c r="AU588" i="6" s="1"/>
  <c r="AS589" i="6"/>
  <c r="AT589" i="6" s="1"/>
  <c r="AU589" i="6" s="1"/>
  <c r="AS590" i="6"/>
  <c r="AS591" i="6"/>
  <c r="AT591" i="6" s="1"/>
  <c r="AU591" i="6" s="1"/>
  <c r="AS592" i="6"/>
  <c r="AT592" i="6" s="1"/>
  <c r="AU592" i="6" s="1"/>
  <c r="AS593" i="6"/>
  <c r="AT593" i="6" s="1"/>
  <c r="AU593" i="6" s="1"/>
  <c r="AS594" i="6"/>
  <c r="AS595" i="6"/>
  <c r="AT595" i="6" s="1"/>
  <c r="AU595" i="6" s="1"/>
  <c r="AS596" i="6"/>
  <c r="AT596" i="6" s="1"/>
  <c r="AU596" i="6" s="1"/>
  <c r="AS597" i="6"/>
  <c r="AT597" i="6" s="1"/>
  <c r="AU597" i="6" s="1"/>
  <c r="AS598" i="6"/>
  <c r="AS599" i="6"/>
  <c r="AT599" i="6" s="1"/>
  <c r="AU599" i="6" s="1"/>
  <c r="AS600" i="6"/>
  <c r="AT600" i="6" s="1"/>
  <c r="AU600" i="6" s="1"/>
  <c r="AS601" i="6"/>
  <c r="AT601" i="6" s="1"/>
  <c r="AU601" i="6" s="1"/>
  <c r="AS602" i="6"/>
  <c r="AS603" i="6"/>
  <c r="AT603" i="6" s="1"/>
  <c r="AU603" i="6" s="1"/>
  <c r="AS604" i="6"/>
  <c r="AT604" i="6" s="1"/>
  <c r="AU604" i="6" s="1"/>
  <c r="AS605" i="6"/>
  <c r="AT605" i="6" s="1"/>
  <c r="AU605" i="6" s="1"/>
  <c r="AS606" i="6"/>
  <c r="AS607" i="6"/>
  <c r="AT607" i="6" s="1"/>
  <c r="AU607" i="6" s="1"/>
  <c r="AS608" i="6"/>
  <c r="AT608" i="6" s="1"/>
  <c r="AU608" i="6" s="1"/>
  <c r="AS609" i="6"/>
  <c r="AT609" i="6" s="1"/>
  <c r="AU609" i="6" s="1"/>
  <c r="AS610" i="6"/>
  <c r="AS611" i="6"/>
  <c r="AT611" i="6" s="1"/>
  <c r="AU611" i="6" s="1"/>
  <c r="AS612" i="6"/>
  <c r="AT612" i="6" s="1"/>
  <c r="AU612" i="6" s="1"/>
  <c r="AS613" i="6"/>
  <c r="AT613" i="6" s="1"/>
  <c r="AU613" i="6" s="1"/>
  <c r="AS614" i="6"/>
  <c r="AS615" i="6"/>
  <c r="AT615" i="6" s="1"/>
  <c r="AU615" i="6" s="1"/>
  <c r="AS616" i="6"/>
  <c r="AT616" i="6" s="1"/>
  <c r="AU616" i="6" s="1"/>
  <c r="AS617" i="6"/>
  <c r="AT617" i="6" s="1"/>
  <c r="AU617" i="6" s="1"/>
  <c r="AS618" i="6"/>
  <c r="AS619" i="6"/>
  <c r="AT619" i="6" s="1"/>
  <c r="AU619" i="6" s="1"/>
  <c r="AS620" i="6"/>
  <c r="AT620" i="6" s="1"/>
  <c r="AU620" i="6" s="1"/>
  <c r="AS621" i="6"/>
  <c r="AT621" i="6" s="1"/>
  <c r="AU621" i="6" s="1"/>
  <c r="AS622" i="6"/>
  <c r="AS623" i="6"/>
  <c r="AT623" i="6" s="1"/>
  <c r="AU623" i="6" s="1"/>
  <c r="AS624" i="6"/>
  <c r="AT624" i="6" s="1"/>
  <c r="AU624" i="6" s="1"/>
  <c r="AS625" i="6"/>
  <c r="AT625" i="6" s="1"/>
  <c r="AU625" i="6" s="1"/>
  <c r="AS626" i="6"/>
  <c r="AS627" i="6"/>
  <c r="AT627" i="6" s="1"/>
  <c r="AU627" i="6" s="1"/>
  <c r="AS628" i="6"/>
  <c r="AT628" i="6" s="1"/>
  <c r="AU628" i="6" s="1"/>
  <c r="AS629" i="6"/>
  <c r="AT629" i="6" s="1"/>
  <c r="AU629" i="6" s="1"/>
  <c r="AS630" i="6"/>
  <c r="AS631" i="6"/>
  <c r="AT631" i="6" s="1"/>
  <c r="AU631" i="6" s="1"/>
  <c r="AS632" i="6"/>
  <c r="AT632" i="6" s="1"/>
  <c r="AU632" i="6" s="1"/>
  <c r="AS633" i="6"/>
  <c r="AT633" i="6" s="1"/>
  <c r="AU633" i="6" s="1"/>
  <c r="AS634" i="6"/>
  <c r="AS635" i="6"/>
  <c r="AT635" i="6" s="1"/>
  <c r="AU635" i="6" s="1"/>
  <c r="AS636" i="6"/>
  <c r="AT636" i="6" s="1"/>
  <c r="AU636" i="6" s="1"/>
  <c r="AS637" i="6"/>
  <c r="AT637" i="6" s="1"/>
  <c r="AU637" i="6" s="1"/>
  <c r="AS638" i="6"/>
  <c r="AS639" i="6"/>
  <c r="AT639" i="6" s="1"/>
  <c r="AU639" i="6" s="1"/>
  <c r="AS640" i="6"/>
  <c r="AT640" i="6" s="1"/>
  <c r="AU640" i="6" s="1"/>
  <c r="AS641" i="6"/>
  <c r="AT641" i="6" s="1"/>
  <c r="AU641" i="6" s="1"/>
  <c r="AS642" i="6"/>
  <c r="AS643" i="6"/>
  <c r="AT643" i="6" s="1"/>
  <c r="AU643" i="6" s="1"/>
  <c r="AS644" i="6"/>
  <c r="AT644" i="6" s="1"/>
  <c r="AU644" i="6" s="1"/>
  <c r="AS645" i="6"/>
  <c r="AT645" i="6" s="1"/>
  <c r="AU645" i="6" s="1"/>
  <c r="AS646" i="6"/>
  <c r="AS647" i="6"/>
  <c r="AT647" i="6" s="1"/>
  <c r="AU647" i="6" s="1"/>
  <c r="AS648" i="6"/>
  <c r="AT648" i="6" s="1"/>
  <c r="AU648" i="6" s="1"/>
  <c r="AS649" i="6"/>
  <c r="AT649" i="6" s="1"/>
  <c r="AU649" i="6" s="1"/>
  <c r="AS650" i="6"/>
  <c r="AS651" i="6"/>
  <c r="AT651" i="6" s="1"/>
  <c r="AU651" i="6" s="1"/>
  <c r="AS652" i="6"/>
  <c r="AT652" i="6" s="1"/>
  <c r="AU652" i="6" s="1"/>
  <c r="AS653" i="6"/>
  <c r="AT653" i="6" s="1"/>
  <c r="AU653" i="6" s="1"/>
  <c r="AS654" i="6"/>
  <c r="AS655" i="6"/>
  <c r="AT655" i="6" s="1"/>
  <c r="AU655" i="6" s="1"/>
  <c r="AS656" i="6"/>
  <c r="AT656" i="6" s="1"/>
  <c r="AU656" i="6" s="1"/>
  <c r="AS657" i="6"/>
  <c r="AT657" i="6" s="1"/>
  <c r="AU657" i="6" s="1"/>
  <c r="AS658" i="6"/>
  <c r="AS659" i="6"/>
  <c r="AT659" i="6" s="1"/>
  <c r="AU659" i="6" s="1"/>
  <c r="AS660" i="6"/>
  <c r="AS661" i="6"/>
  <c r="AT661" i="6" s="1"/>
  <c r="AU661" i="6" s="1"/>
  <c r="AS662" i="6"/>
  <c r="AS663" i="6"/>
  <c r="AT663" i="6" s="1"/>
  <c r="AU663" i="6" s="1"/>
  <c r="AS664" i="6"/>
  <c r="AT664" i="6" s="1"/>
  <c r="AU664" i="6" s="1"/>
  <c r="AS665" i="6"/>
  <c r="AT665" i="6" s="1"/>
  <c r="AU665" i="6" s="1"/>
  <c r="AS666" i="6"/>
  <c r="AS667" i="6"/>
  <c r="AT667" i="6" s="1"/>
  <c r="AU667" i="6" s="1"/>
  <c r="AS668" i="6"/>
  <c r="AT668" i="6" s="1"/>
  <c r="AU668" i="6" s="1"/>
  <c r="AS669" i="6"/>
  <c r="AT669" i="6" s="1"/>
  <c r="AU669" i="6" s="1"/>
  <c r="AS670" i="6"/>
  <c r="AS671" i="6"/>
  <c r="AT671" i="6" s="1"/>
  <c r="AU671" i="6" s="1"/>
  <c r="AS672" i="6"/>
  <c r="AT672" i="6" s="1"/>
  <c r="AU672" i="6" s="1"/>
  <c r="AS673" i="6"/>
  <c r="AT673" i="6" s="1"/>
  <c r="AU673" i="6" s="1"/>
  <c r="AS674" i="6"/>
  <c r="AS675" i="6"/>
  <c r="AT675" i="6" s="1"/>
  <c r="AU675" i="6" s="1"/>
  <c r="AS676" i="6"/>
  <c r="AT676" i="6" s="1"/>
  <c r="AU676" i="6" s="1"/>
  <c r="AS677" i="6"/>
  <c r="AT677" i="6" s="1"/>
  <c r="AU677" i="6" s="1"/>
  <c r="AS678" i="6"/>
  <c r="AS679" i="6"/>
  <c r="AT679" i="6" s="1"/>
  <c r="AU679" i="6" s="1"/>
  <c r="AS680" i="6"/>
  <c r="AT680" i="6" s="1"/>
  <c r="AU680" i="6" s="1"/>
  <c r="AS681" i="6"/>
  <c r="AT681" i="6" s="1"/>
  <c r="AU681" i="6" s="1"/>
  <c r="AS682" i="6"/>
  <c r="AS683" i="6"/>
  <c r="AT683" i="6" s="1"/>
  <c r="AU683" i="6" s="1"/>
  <c r="AS684" i="6"/>
  <c r="AT684" i="6" s="1"/>
  <c r="AU684" i="6" s="1"/>
  <c r="AS685" i="6"/>
  <c r="AT685" i="6" s="1"/>
  <c r="AU685" i="6" s="1"/>
  <c r="AS686" i="6"/>
  <c r="AS687" i="6"/>
  <c r="AT687" i="6" s="1"/>
  <c r="AU687" i="6" s="1"/>
  <c r="AS688" i="6"/>
  <c r="AT688" i="6" s="1"/>
  <c r="AU688" i="6" s="1"/>
  <c r="AS689" i="6"/>
  <c r="AT689" i="6" s="1"/>
  <c r="AU689" i="6" s="1"/>
  <c r="AS690" i="6"/>
  <c r="AS691" i="6"/>
  <c r="AT691" i="6" s="1"/>
  <c r="AU691" i="6" s="1"/>
  <c r="AS692" i="6"/>
  <c r="AT692" i="6" s="1"/>
  <c r="AU692" i="6" s="1"/>
  <c r="AS693" i="6"/>
  <c r="AT693" i="6" s="1"/>
  <c r="AU693" i="6" s="1"/>
  <c r="AS694" i="6"/>
  <c r="AS695" i="6"/>
  <c r="AT695" i="6" s="1"/>
  <c r="AU695" i="6" s="1"/>
  <c r="AS696" i="6"/>
  <c r="AT696" i="6" s="1"/>
  <c r="AU696" i="6" s="1"/>
  <c r="AS697" i="6"/>
  <c r="AT697" i="6" s="1"/>
  <c r="AU697" i="6" s="1"/>
  <c r="AS698" i="6"/>
  <c r="AS699" i="6"/>
  <c r="AT699" i="6" s="1"/>
  <c r="AU699" i="6" s="1"/>
  <c r="AS700" i="6"/>
  <c r="AT700" i="6" s="1"/>
  <c r="AU700" i="6" s="1"/>
  <c r="AS701" i="6"/>
  <c r="AT701" i="6" s="1"/>
  <c r="AU701" i="6" s="1"/>
  <c r="AS702" i="6"/>
  <c r="AS703" i="6"/>
  <c r="AT703" i="6" s="1"/>
  <c r="AU703" i="6" s="1"/>
  <c r="AS704" i="6"/>
  <c r="AT704" i="6" s="1"/>
  <c r="AU704" i="6" s="1"/>
  <c r="AS705" i="6"/>
  <c r="AT705" i="6" s="1"/>
  <c r="AU705" i="6" s="1"/>
  <c r="AS706" i="6"/>
  <c r="AS707" i="6"/>
  <c r="AT707" i="6" s="1"/>
  <c r="AU707" i="6" s="1"/>
  <c r="AS708" i="6"/>
  <c r="AT708" i="6" s="1"/>
  <c r="AU708" i="6" s="1"/>
  <c r="AS709" i="6"/>
  <c r="AT709" i="6" s="1"/>
  <c r="AU709" i="6" s="1"/>
  <c r="AS710" i="6"/>
  <c r="AS711" i="6"/>
  <c r="AT711" i="6" s="1"/>
  <c r="AU711" i="6" s="1"/>
  <c r="AS712" i="6"/>
  <c r="AT712" i="6" s="1"/>
  <c r="AU712" i="6" s="1"/>
  <c r="AS713" i="6"/>
  <c r="AT713" i="6" s="1"/>
  <c r="AU713" i="6" s="1"/>
  <c r="AS714" i="6"/>
  <c r="AS715" i="6"/>
  <c r="AT715" i="6" s="1"/>
  <c r="AU715" i="6" s="1"/>
  <c r="AS716" i="6"/>
  <c r="AT716" i="6" s="1"/>
  <c r="AU716" i="6" s="1"/>
  <c r="AS717" i="6"/>
  <c r="AT717" i="6" s="1"/>
  <c r="AU717" i="6" s="1"/>
  <c r="AS718" i="6"/>
  <c r="AS719" i="6"/>
  <c r="AT719" i="6" s="1"/>
  <c r="AU719" i="6" s="1"/>
  <c r="AS720" i="6"/>
  <c r="AT720" i="6" s="1"/>
  <c r="AU720" i="6" s="1"/>
  <c r="AS721" i="6"/>
  <c r="AT721" i="6" s="1"/>
  <c r="AU721" i="6" s="1"/>
  <c r="AS722" i="6"/>
  <c r="AS723" i="6"/>
  <c r="AT723" i="6" s="1"/>
  <c r="AU723" i="6" s="1"/>
  <c r="AS724" i="6"/>
  <c r="AT724" i="6" s="1"/>
  <c r="AU724" i="6" s="1"/>
  <c r="AS725" i="6"/>
  <c r="AT725" i="6" s="1"/>
  <c r="AU725" i="6" s="1"/>
  <c r="AS726" i="6"/>
  <c r="AS727" i="6"/>
  <c r="AT727" i="6" s="1"/>
  <c r="AU727" i="6" s="1"/>
  <c r="AS728" i="6"/>
  <c r="AT728" i="6" s="1"/>
  <c r="AU728" i="6" s="1"/>
  <c r="AS729" i="6"/>
  <c r="AT729" i="6" s="1"/>
  <c r="AU729" i="6" s="1"/>
  <c r="AS730" i="6"/>
  <c r="AS731" i="6"/>
  <c r="AT731" i="6" s="1"/>
  <c r="AU731" i="6" s="1"/>
  <c r="AS732" i="6"/>
  <c r="AT732" i="6" s="1"/>
  <c r="AU732" i="6" s="1"/>
  <c r="AS733" i="6"/>
  <c r="AT733" i="6" s="1"/>
  <c r="AU733" i="6" s="1"/>
  <c r="AS734" i="6"/>
  <c r="AS735" i="6"/>
  <c r="AT735" i="6" s="1"/>
  <c r="AU735" i="6" s="1"/>
  <c r="AS736" i="6"/>
  <c r="AT736" i="6" s="1"/>
  <c r="AU736" i="6" s="1"/>
  <c r="AS737" i="6"/>
  <c r="AT737" i="6" s="1"/>
  <c r="AU737" i="6" s="1"/>
  <c r="AS738" i="6"/>
  <c r="AS739" i="6"/>
  <c r="AT739" i="6" s="1"/>
  <c r="AU739" i="6" s="1"/>
  <c r="AS740" i="6"/>
  <c r="AT740" i="6" s="1"/>
  <c r="AU740" i="6" s="1"/>
  <c r="AS741" i="6"/>
  <c r="AT741" i="6" s="1"/>
  <c r="AU741" i="6" s="1"/>
  <c r="AS742" i="6"/>
  <c r="AS743" i="6"/>
  <c r="AT743" i="6" s="1"/>
  <c r="AU743" i="6" s="1"/>
  <c r="AS744" i="6"/>
  <c r="AT744" i="6" s="1"/>
  <c r="AU744" i="6" s="1"/>
  <c r="AS745" i="6"/>
  <c r="AT745" i="6" s="1"/>
  <c r="AU745" i="6" s="1"/>
  <c r="AS746" i="6"/>
  <c r="AS747" i="6"/>
  <c r="AT747" i="6" s="1"/>
  <c r="AU747" i="6" s="1"/>
  <c r="AS748" i="6"/>
  <c r="AT748" i="6" s="1"/>
  <c r="AU748" i="6" s="1"/>
  <c r="AS749" i="6"/>
  <c r="AT749" i="6" s="1"/>
  <c r="AU749" i="6" s="1"/>
  <c r="AS750" i="6"/>
  <c r="AS751" i="6"/>
  <c r="AT751" i="6" s="1"/>
  <c r="AU751" i="6" s="1"/>
  <c r="AS752" i="6"/>
  <c r="AT752" i="6" s="1"/>
  <c r="AU752" i="6" s="1"/>
  <c r="AS753" i="6"/>
  <c r="AT753" i="6" s="1"/>
  <c r="AU753" i="6" s="1"/>
  <c r="AS754" i="6"/>
  <c r="AS755" i="6"/>
  <c r="AT755" i="6" s="1"/>
  <c r="AU755" i="6" s="1"/>
  <c r="AS756" i="6"/>
  <c r="AT756" i="6" s="1"/>
  <c r="AU756" i="6" s="1"/>
  <c r="AS757" i="6"/>
  <c r="AT757" i="6" s="1"/>
  <c r="AU757" i="6" s="1"/>
  <c r="AS758" i="6"/>
  <c r="AS759" i="6"/>
  <c r="AT759" i="6" s="1"/>
  <c r="AU759" i="6" s="1"/>
  <c r="AS760" i="6"/>
  <c r="AT760" i="6" s="1"/>
  <c r="AU760" i="6" s="1"/>
  <c r="AS761" i="6"/>
  <c r="AT761" i="6" s="1"/>
  <c r="AU761" i="6" s="1"/>
  <c r="AS762" i="6"/>
  <c r="AS763" i="6"/>
  <c r="AT763" i="6" s="1"/>
  <c r="AU763" i="6" s="1"/>
  <c r="AS764" i="6"/>
  <c r="AT764" i="6" s="1"/>
  <c r="AU764" i="6" s="1"/>
  <c r="AS765" i="6"/>
  <c r="AT765" i="6" s="1"/>
  <c r="AU765" i="6" s="1"/>
  <c r="AS766" i="6"/>
  <c r="AS767" i="6"/>
  <c r="AT767" i="6" s="1"/>
  <c r="AU767" i="6" s="1"/>
  <c r="AS768" i="6"/>
  <c r="AT768" i="6" s="1"/>
  <c r="AU768" i="6" s="1"/>
  <c r="AS769" i="6"/>
  <c r="AT769" i="6" s="1"/>
  <c r="AU769" i="6" s="1"/>
  <c r="AS770" i="6"/>
  <c r="AS771" i="6"/>
  <c r="AT771" i="6" s="1"/>
  <c r="AU771" i="6" s="1"/>
  <c r="AS772" i="6"/>
  <c r="AT772" i="6" s="1"/>
  <c r="AU772" i="6" s="1"/>
  <c r="AS773" i="6"/>
  <c r="AT773" i="6" s="1"/>
  <c r="AU773" i="6" s="1"/>
  <c r="AS774" i="6"/>
  <c r="AS775" i="6"/>
  <c r="AT775" i="6" s="1"/>
  <c r="AU775" i="6" s="1"/>
  <c r="AS776" i="6"/>
  <c r="AT776" i="6" s="1"/>
  <c r="AU776" i="6" s="1"/>
  <c r="AS777" i="6"/>
  <c r="AT777" i="6" s="1"/>
  <c r="AU777" i="6" s="1"/>
  <c r="AS778" i="6"/>
  <c r="AS779" i="6"/>
  <c r="AT779" i="6" s="1"/>
  <c r="AU779" i="6" s="1"/>
  <c r="AS780" i="6"/>
  <c r="AT780" i="6" s="1"/>
  <c r="AU780" i="6" s="1"/>
  <c r="AS781" i="6"/>
  <c r="AT781" i="6" s="1"/>
  <c r="AU781" i="6" s="1"/>
  <c r="AS782" i="6"/>
  <c r="AS783" i="6"/>
  <c r="AT783" i="6" s="1"/>
  <c r="AU783" i="6" s="1"/>
  <c r="AS784" i="6"/>
  <c r="AT784" i="6" s="1"/>
  <c r="AU784" i="6" s="1"/>
  <c r="AS785" i="6"/>
  <c r="AT785" i="6" s="1"/>
  <c r="AU785" i="6" s="1"/>
  <c r="AS786" i="6"/>
  <c r="AS787" i="6"/>
  <c r="AT787" i="6" s="1"/>
  <c r="AU787" i="6" s="1"/>
  <c r="AS788" i="6"/>
  <c r="AT788" i="6" s="1"/>
  <c r="AU788" i="6" s="1"/>
  <c r="AS789" i="6"/>
  <c r="AT789" i="6" s="1"/>
  <c r="AU789" i="6" s="1"/>
  <c r="AS790" i="6"/>
  <c r="AS791" i="6"/>
  <c r="AT791" i="6" s="1"/>
  <c r="AU791" i="6" s="1"/>
  <c r="AS792" i="6"/>
  <c r="AT792" i="6" s="1"/>
  <c r="AU792" i="6" s="1"/>
  <c r="AS793" i="6"/>
  <c r="AT793" i="6" s="1"/>
  <c r="AU793" i="6" s="1"/>
  <c r="AS794" i="6"/>
  <c r="AS795" i="6"/>
  <c r="AT795" i="6" s="1"/>
  <c r="AU795" i="6" s="1"/>
  <c r="AS796" i="6"/>
  <c r="AT796" i="6" s="1"/>
  <c r="AU796" i="6" s="1"/>
  <c r="AS797" i="6"/>
  <c r="AT797" i="6" s="1"/>
  <c r="AU797" i="6" s="1"/>
  <c r="AS798" i="6"/>
  <c r="AS799" i="6"/>
  <c r="AT799" i="6" s="1"/>
  <c r="AU799" i="6" s="1"/>
  <c r="AS800" i="6"/>
  <c r="AT800" i="6" s="1"/>
  <c r="AU800" i="6" s="1"/>
  <c r="AS801" i="6"/>
  <c r="AT801" i="6" s="1"/>
  <c r="AU801" i="6" s="1"/>
  <c r="AS802" i="6"/>
  <c r="AS803" i="6"/>
  <c r="AT803" i="6" s="1"/>
  <c r="AU803" i="6" s="1"/>
  <c r="AS804" i="6"/>
  <c r="AT804" i="6" s="1"/>
  <c r="AU804" i="6" s="1"/>
  <c r="AS805" i="6"/>
  <c r="AT805" i="6" s="1"/>
  <c r="AU805" i="6" s="1"/>
  <c r="AS806" i="6"/>
  <c r="AS807" i="6"/>
  <c r="AT807" i="6" s="1"/>
  <c r="AU807" i="6" s="1"/>
  <c r="AS808" i="6"/>
  <c r="AT808" i="6" s="1"/>
  <c r="AU808" i="6" s="1"/>
  <c r="AS809" i="6"/>
  <c r="AT809" i="6" s="1"/>
  <c r="AU809" i="6" s="1"/>
  <c r="AS810" i="6"/>
  <c r="AS811" i="6"/>
  <c r="AT811" i="6" s="1"/>
  <c r="AU811" i="6" s="1"/>
  <c r="AS812" i="6"/>
  <c r="AT812" i="6" s="1"/>
  <c r="AU812" i="6" s="1"/>
  <c r="AS813" i="6"/>
  <c r="AT813" i="6" s="1"/>
  <c r="AU813" i="6" s="1"/>
  <c r="AS814" i="6"/>
  <c r="AS815" i="6"/>
  <c r="AT815" i="6" s="1"/>
  <c r="AU815" i="6" s="1"/>
  <c r="AS816" i="6"/>
  <c r="AT816" i="6" s="1"/>
  <c r="AU816" i="6" s="1"/>
  <c r="AS817" i="6"/>
  <c r="AT817" i="6" s="1"/>
  <c r="AU817" i="6" s="1"/>
  <c r="AS818" i="6"/>
  <c r="AS819" i="6"/>
  <c r="AT819" i="6" s="1"/>
  <c r="AU819" i="6" s="1"/>
  <c r="AS820" i="6"/>
  <c r="AT820" i="6" s="1"/>
  <c r="AU820" i="6" s="1"/>
  <c r="AS821" i="6"/>
  <c r="AT821" i="6" s="1"/>
  <c r="AU821" i="6" s="1"/>
  <c r="AS822" i="6"/>
  <c r="AS823" i="6"/>
  <c r="AT823" i="6" s="1"/>
  <c r="AU823" i="6" s="1"/>
  <c r="AS824" i="6"/>
  <c r="AT824" i="6" s="1"/>
  <c r="AU824" i="6" s="1"/>
  <c r="AS825" i="6"/>
  <c r="AT825" i="6" s="1"/>
  <c r="AU825" i="6" s="1"/>
  <c r="AS826" i="6"/>
  <c r="AS827" i="6"/>
  <c r="AT827" i="6" s="1"/>
  <c r="AU827" i="6" s="1"/>
  <c r="AS828" i="6"/>
  <c r="AT828" i="6" s="1"/>
  <c r="AU828" i="6" s="1"/>
  <c r="AS829" i="6"/>
  <c r="AT829" i="6" s="1"/>
  <c r="AU829" i="6" s="1"/>
  <c r="AS830" i="6"/>
  <c r="AS831" i="6"/>
  <c r="AT831" i="6" s="1"/>
  <c r="AU831" i="6" s="1"/>
  <c r="AS832" i="6"/>
  <c r="AT832" i="6" s="1"/>
  <c r="AU832" i="6" s="1"/>
  <c r="AS833" i="6"/>
  <c r="AT833" i="6" s="1"/>
  <c r="AU833" i="6" s="1"/>
  <c r="AS834" i="6"/>
  <c r="AS835" i="6"/>
  <c r="AT835" i="6" s="1"/>
  <c r="AU835" i="6" s="1"/>
  <c r="AS836" i="6"/>
  <c r="AT836" i="6" s="1"/>
  <c r="AU836" i="6" s="1"/>
  <c r="AS837" i="6"/>
  <c r="AT837" i="6" s="1"/>
  <c r="AU837" i="6" s="1"/>
  <c r="AS838" i="6"/>
  <c r="AS839" i="6"/>
  <c r="AT839" i="6" s="1"/>
  <c r="AU839" i="6" s="1"/>
  <c r="AS840" i="6"/>
  <c r="AT840" i="6" s="1"/>
  <c r="AU840" i="6" s="1"/>
  <c r="AS841" i="6"/>
  <c r="AT841" i="6" s="1"/>
  <c r="AU841" i="6" s="1"/>
  <c r="AS842" i="6"/>
  <c r="AS843" i="6"/>
  <c r="AT843" i="6" s="1"/>
  <c r="AU843" i="6" s="1"/>
  <c r="AS844" i="6"/>
  <c r="AT844" i="6" s="1"/>
  <c r="AU844" i="6" s="1"/>
  <c r="AS845" i="6"/>
  <c r="AT845" i="6" s="1"/>
  <c r="AU845" i="6" s="1"/>
  <c r="AS846" i="6"/>
  <c r="AS847" i="6"/>
  <c r="AT847" i="6" s="1"/>
  <c r="AU847" i="6" s="1"/>
  <c r="AS848" i="6"/>
  <c r="AT848" i="6" s="1"/>
  <c r="AU848" i="6" s="1"/>
  <c r="AS849" i="6"/>
  <c r="AT849" i="6" s="1"/>
  <c r="AU849" i="6" s="1"/>
  <c r="AS850" i="6"/>
  <c r="AS851" i="6"/>
  <c r="AT851" i="6" s="1"/>
  <c r="AU851" i="6" s="1"/>
  <c r="AS852" i="6"/>
  <c r="AT852" i="6" s="1"/>
  <c r="AU852" i="6" s="1"/>
  <c r="AS853" i="6"/>
  <c r="AT853" i="6" s="1"/>
  <c r="AU853" i="6" s="1"/>
  <c r="AS854" i="6"/>
  <c r="AS855" i="6"/>
  <c r="AT855" i="6" s="1"/>
  <c r="AU855" i="6" s="1"/>
  <c r="AS856" i="6"/>
  <c r="AT856" i="6" s="1"/>
  <c r="AU856" i="6" s="1"/>
  <c r="AS857" i="6"/>
  <c r="AT857" i="6" s="1"/>
  <c r="AU857" i="6" s="1"/>
  <c r="AS858" i="6"/>
  <c r="AS859" i="6"/>
  <c r="AT859" i="6" s="1"/>
  <c r="AU859" i="6" s="1"/>
  <c r="AS860" i="6"/>
  <c r="AT860" i="6" s="1"/>
  <c r="AU860" i="6" s="1"/>
  <c r="AS861" i="6"/>
  <c r="AT861" i="6" s="1"/>
  <c r="AU861" i="6" s="1"/>
  <c r="AS862" i="6"/>
  <c r="AS863" i="6"/>
  <c r="AT863" i="6" s="1"/>
  <c r="AU863" i="6" s="1"/>
  <c r="AS864" i="6"/>
  <c r="AT864" i="6" s="1"/>
  <c r="AU864" i="6" s="1"/>
  <c r="AS865" i="6"/>
  <c r="AT865" i="6" s="1"/>
  <c r="AU865" i="6" s="1"/>
  <c r="AS866" i="6"/>
  <c r="AS867" i="6"/>
  <c r="AT867" i="6" s="1"/>
  <c r="AU867" i="6" s="1"/>
  <c r="AS868" i="6"/>
  <c r="AT868" i="6" s="1"/>
  <c r="AU868" i="6" s="1"/>
  <c r="AS869" i="6"/>
  <c r="AT869" i="6" s="1"/>
  <c r="AU869" i="6" s="1"/>
  <c r="AS870" i="6"/>
  <c r="AS871" i="6"/>
  <c r="AT871" i="6" s="1"/>
  <c r="AU871" i="6" s="1"/>
  <c r="AS872" i="6"/>
  <c r="AT872" i="6" s="1"/>
  <c r="AU872" i="6" s="1"/>
  <c r="AS873" i="6"/>
  <c r="AT873" i="6" s="1"/>
  <c r="AU873" i="6" s="1"/>
  <c r="AS874" i="6"/>
  <c r="AS875" i="6"/>
  <c r="AT875" i="6" s="1"/>
  <c r="AU875" i="6" s="1"/>
  <c r="AS876" i="6"/>
  <c r="AT876" i="6" s="1"/>
  <c r="AU876" i="6" s="1"/>
  <c r="AS877" i="6"/>
  <c r="AT877" i="6" s="1"/>
  <c r="AU877" i="6" s="1"/>
  <c r="AS878" i="6"/>
  <c r="AS879" i="6"/>
  <c r="AT879" i="6" s="1"/>
  <c r="AU879" i="6" s="1"/>
  <c r="AS880" i="6"/>
  <c r="AT880" i="6" s="1"/>
  <c r="AU880" i="6" s="1"/>
  <c r="AS881" i="6"/>
  <c r="AT881" i="6" s="1"/>
  <c r="AU881" i="6" s="1"/>
  <c r="AS882" i="6"/>
  <c r="AS883" i="6"/>
  <c r="AT883" i="6" s="1"/>
  <c r="AU883" i="6" s="1"/>
  <c r="AS884" i="6"/>
  <c r="AT884" i="6" s="1"/>
  <c r="AU884" i="6" s="1"/>
  <c r="AS885" i="6"/>
  <c r="AT885" i="6" s="1"/>
  <c r="AU885" i="6" s="1"/>
  <c r="AS886" i="6"/>
  <c r="AS887" i="6"/>
  <c r="AT887" i="6" s="1"/>
  <c r="AU887" i="6" s="1"/>
  <c r="AS888" i="6"/>
  <c r="AT888" i="6" s="1"/>
  <c r="AU888" i="6" s="1"/>
  <c r="AS889" i="6"/>
  <c r="AT889" i="6" s="1"/>
  <c r="AU889" i="6" s="1"/>
  <c r="AS890" i="6"/>
  <c r="AS891" i="6"/>
  <c r="AT891" i="6" s="1"/>
  <c r="AU891" i="6" s="1"/>
  <c r="AS892" i="6"/>
  <c r="AT892" i="6" s="1"/>
  <c r="AU892" i="6" s="1"/>
  <c r="AS893" i="6"/>
  <c r="AT893" i="6" s="1"/>
  <c r="AU893" i="6" s="1"/>
  <c r="AS894" i="6"/>
  <c r="AS895" i="6"/>
  <c r="AT895" i="6" s="1"/>
  <c r="AU895" i="6" s="1"/>
  <c r="AS896" i="6"/>
  <c r="AT896" i="6" s="1"/>
  <c r="AU896" i="6" s="1"/>
  <c r="AS897" i="6"/>
  <c r="AT897" i="6" s="1"/>
  <c r="AU897" i="6" s="1"/>
  <c r="AS898" i="6"/>
  <c r="AS899" i="6"/>
  <c r="AT899" i="6" s="1"/>
  <c r="AU899" i="6" s="1"/>
  <c r="AS900" i="6"/>
  <c r="AT900" i="6" s="1"/>
  <c r="AU900" i="6" s="1"/>
  <c r="AS901" i="6"/>
  <c r="AT901" i="6" s="1"/>
  <c r="AU901" i="6" s="1"/>
  <c r="AS902" i="6"/>
  <c r="AS903" i="6"/>
  <c r="AT903" i="6" s="1"/>
  <c r="AU903" i="6" s="1"/>
  <c r="AS904" i="6"/>
  <c r="AT904" i="6" s="1"/>
  <c r="AU904" i="6" s="1"/>
  <c r="AS905" i="6"/>
  <c r="AT905" i="6" s="1"/>
  <c r="AU905" i="6" s="1"/>
  <c r="AS906" i="6"/>
  <c r="AS907" i="6"/>
  <c r="AT907" i="6" s="1"/>
  <c r="AU907" i="6" s="1"/>
  <c r="AS908" i="6"/>
  <c r="AT908" i="6" s="1"/>
  <c r="AU908" i="6" s="1"/>
  <c r="AS909" i="6"/>
  <c r="AT909" i="6" s="1"/>
  <c r="AU909" i="6" s="1"/>
  <c r="AS910" i="6"/>
  <c r="AS911" i="6"/>
  <c r="AT911" i="6" s="1"/>
  <c r="AU911" i="6" s="1"/>
  <c r="AS912" i="6"/>
  <c r="AT912" i="6" s="1"/>
  <c r="AU912" i="6" s="1"/>
  <c r="AS913" i="6"/>
  <c r="AT913" i="6" s="1"/>
  <c r="AU913" i="6" s="1"/>
  <c r="AS914" i="6"/>
  <c r="AS915" i="6"/>
  <c r="AT915" i="6" s="1"/>
  <c r="AU915" i="6" s="1"/>
  <c r="AS916" i="6"/>
  <c r="AT916" i="6" s="1"/>
  <c r="AU916" i="6" s="1"/>
  <c r="AS917" i="6"/>
  <c r="AT917" i="6" s="1"/>
  <c r="AU917" i="6" s="1"/>
  <c r="AS918" i="6"/>
  <c r="AS919" i="6"/>
  <c r="AT919" i="6" s="1"/>
  <c r="AU919" i="6" s="1"/>
  <c r="AS920" i="6"/>
  <c r="AT920" i="6" s="1"/>
  <c r="AU920" i="6" s="1"/>
  <c r="AS921" i="6"/>
  <c r="AT921" i="6" s="1"/>
  <c r="AU921" i="6" s="1"/>
  <c r="AS922" i="6"/>
  <c r="AS923" i="6"/>
  <c r="AT923" i="6" s="1"/>
  <c r="AU923" i="6" s="1"/>
  <c r="AS924" i="6"/>
  <c r="AT924" i="6" s="1"/>
  <c r="AU924" i="6" s="1"/>
  <c r="AS925" i="6"/>
  <c r="AT925" i="6" s="1"/>
  <c r="AU925" i="6" s="1"/>
  <c r="AS926" i="6"/>
  <c r="AS927" i="6"/>
  <c r="AT927" i="6" s="1"/>
  <c r="AU927" i="6" s="1"/>
  <c r="AS928" i="6"/>
  <c r="AT928" i="6" s="1"/>
  <c r="AU928" i="6" s="1"/>
  <c r="AS929" i="6"/>
  <c r="AT929" i="6" s="1"/>
  <c r="AU929" i="6" s="1"/>
  <c r="AS930" i="6"/>
  <c r="AS931" i="6"/>
  <c r="AT931" i="6" s="1"/>
  <c r="AU931" i="6" s="1"/>
  <c r="AS932" i="6"/>
  <c r="AT932" i="6" s="1"/>
  <c r="AU932" i="6" s="1"/>
  <c r="AS933" i="6"/>
  <c r="AT933" i="6" s="1"/>
  <c r="AU933" i="6" s="1"/>
  <c r="AS934" i="6"/>
  <c r="AS935" i="6"/>
  <c r="AT935" i="6" s="1"/>
  <c r="AU935" i="6" s="1"/>
  <c r="AS936" i="6"/>
  <c r="AT936" i="6" s="1"/>
  <c r="AU936" i="6" s="1"/>
  <c r="AS937" i="6"/>
  <c r="AT937" i="6" s="1"/>
  <c r="AU937" i="6" s="1"/>
  <c r="AS938" i="6"/>
  <c r="AS939" i="6"/>
  <c r="AT939" i="6" s="1"/>
  <c r="AU939" i="6" s="1"/>
  <c r="AS940" i="6"/>
  <c r="AT940" i="6" s="1"/>
  <c r="AU940" i="6" s="1"/>
  <c r="AS941" i="6"/>
  <c r="AT941" i="6" s="1"/>
  <c r="AU941" i="6" s="1"/>
  <c r="AS942" i="6"/>
  <c r="AS943" i="6"/>
  <c r="AT943" i="6" s="1"/>
  <c r="AU943" i="6" s="1"/>
  <c r="AS944" i="6"/>
  <c r="AT944" i="6" s="1"/>
  <c r="AU944" i="6" s="1"/>
  <c r="AS945" i="6"/>
  <c r="AT945" i="6" s="1"/>
  <c r="AU945" i="6" s="1"/>
  <c r="AS946" i="6"/>
  <c r="AS947" i="6"/>
  <c r="AT947" i="6" s="1"/>
  <c r="AU947" i="6" s="1"/>
  <c r="AS948" i="6"/>
  <c r="AT948" i="6" s="1"/>
  <c r="AU948" i="6" s="1"/>
  <c r="AS949" i="6"/>
  <c r="AT949" i="6" s="1"/>
  <c r="AU949" i="6" s="1"/>
  <c r="AS950" i="6"/>
  <c r="AS951" i="6"/>
  <c r="AT951" i="6" s="1"/>
  <c r="AU951" i="6" s="1"/>
  <c r="AS952" i="6"/>
  <c r="AT952" i="6" s="1"/>
  <c r="AU952" i="6" s="1"/>
  <c r="AS953" i="6"/>
  <c r="AT953" i="6" s="1"/>
  <c r="AU953" i="6" s="1"/>
  <c r="AS954" i="6"/>
  <c r="AS955" i="6"/>
  <c r="AT955" i="6" s="1"/>
  <c r="AU955" i="6" s="1"/>
  <c r="AS956" i="6"/>
  <c r="AT956" i="6" s="1"/>
  <c r="AU956" i="6" s="1"/>
  <c r="AS957" i="6"/>
  <c r="AT957" i="6" s="1"/>
  <c r="AU957" i="6" s="1"/>
  <c r="AS958" i="6"/>
  <c r="AS959" i="6"/>
  <c r="AT959" i="6" s="1"/>
  <c r="AU959" i="6" s="1"/>
  <c r="AS960" i="6"/>
  <c r="AT960" i="6" s="1"/>
  <c r="AU960" i="6" s="1"/>
  <c r="AS961" i="6"/>
  <c r="AT961" i="6" s="1"/>
  <c r="AU961" i="6" s="1"/>
  <c r="AS962" i="6"/>
  <c r="AS963" i="6"/>
  <c r="AT963" i="6" s="1"/>
  <c r="AU963" i="6" s="1"/>
  <c r="AS964" i="6"/>
  <c r="AT964" i="6" s="1"/>
  <c r="AU964" i="6" s="1"/>
  <c r="AS965" i="6"/>
  <c r="AT965" i="6" s="1"/>
  <c r="AU965" i="6" s="1"/>
  <c r="AS966" i="6"/>
  <c r="AS967" i="6"/>
  <c r="AT967" i="6" s="1"/>
  <c r="AU967" i="6" s="1"/>
  <c r="AS968" i="6"/>
  <c r="AT968" i="6" s="1"/>
  <c r="AU968" i="6" s="1"/>
  <c r="AS969" i="6"/>
  <c r="AT969" i="6" s="1"/>
  <c r="AU969" i="6" s="1"/>
  <c r="AS970" i="6"/>
  <c r="AS971" i="6"/>
  <c r="AT971" i="6" s="1"/>
  <c r="AU971" i="6" s="1"/>
  <c r="AS972" i="6"/>
  <c r="AT972" i="6" s="1"/>
  <c r="AU972" i="6" s="1"/>
  <c r="AS973" i="6"/>
  <c r="AT973" i="6" s="1"/>
  <c r="AU973" i="6" s="1"/>
  <c r="AS974" i="6"/>
  <c r="AS975" i="6"/>
  <c r="AT975" i="6" s="1"/>
  <c r="AU975" i="6" s="1"/>
  <c r="AS976" i="6"/>
  <c r="AT976" i="6" s="1"/>
  <c r="AU976" i="6" s="1"/>
  <c r="AS977" i="6"/>
  <c r="AT977" i="6" s="1"/>
  <c r="AU977" i="6" s="1"/>
  <c r="AS978" i="6"/>
  <c r="AS979" i="6"/>
  <c r="AT979" i="6" s="1"/>
  <c r="AU979" i="6" s="1"/>
  <c r="AS980" i="6"/>
  <c r="AT980" i="6" s="1"/>
  <c r="AU980" i="6" s="1"/>
  <c r="AS981" i="6"/>
  <c r="AT981" i="6" s="1"/>
  <c r="AU981" i="6" s="1"/>
  <c r="AS982" i="6"/>
  <c r="AS983" i="6"/>
  <c r="AT983" i="6" s="1"/>
  <c r="AU983" i="6" s="1"/>
  <c r="AS984" i="6"/>
  <c r="AT984" i="6" s="1"/>
  <c r="AU984" i="6" s="1"/>
  <c r="AS985" i="6"/>
  <c r="AS986" i="6"/>
  <c r="AS987" i="6"/>
  <c r="AT987" i="6" s="1"/>
  <c r="AU987" i="6" s="1"/>
  <c r="AS988" i="6"/>
  <c r="AT988" i="6" s="1"/>
  <c r="AU988" i="6" s="1"/>
  <c r="AS989" i="6"/>
  <c r="AT989" i="6" s="1"/>
  <c r="AU989" i="6" s="1"/>
  <c r="AS990" i="6"/>
  <c r="AS991" i="6"/>
  <c r="AT991" i="6" s="1"/>
  <c r="AU991" i="6" s="1"/>
  <c r="AS992" i="6"/>
  <c r="AT992" i="6" s="1"/>
  <c r="AU992" i="6" s="1"/>
  <c r="AS993" i="6"/>
  <c r="AT993" i="6" s="1"/>
  <c r="AU993" i="6" s="1"/>
  <c r="AS994" i="6"/>
  <c r="AS995" i="6"/>
  <c r="AT995" i="6" s="1"/>
  <c r="AU995" i="6" s="1"/>
  <c r="AS996" i="6"/>
  <c r="AT996" i="6" s="1"/>
  <c r="AU996" i="6" s="1"/>
  <c r="AS997" i="6"/>
  <c r="AT997" i="6" s="1"/>
  <c r="AU997" i="6" s="1"/>
  <c r="AS998" i="6"/>
  <c r="AS999" i="6"/>
  <c r="AT999" i="6" s="1"/>
  <c r="AU999" i="6" s="1"/>
  <c r="AS1000" i="6"/>
  <c r="AT1000" i="6" s="1"/>
  <c r="AU1000" i="6" s="1"/>
  <c r="AS1001" i="6"/>
  <c r="AT1001" i="6" s="1"/>
  <c r="AU1001" i="6" s="1"/>
  <c r="AS1002" i="6"/>
  <c r="AS1003" i="6"/>
  <c r="AT1003" i="6" s="1"/>
  <c r="AU1003" i="6" s="1"/>
  <c r="AS1004" i="6"/>
  <c r="AT1004" i="6" s="1"/>
  <c r="AU1004" i="6" s="1"/>
  <c r="AS1005" i="6"/>
  <c r="AT1005" i="6" s="1"/>
  <c r="AU1005" i="6" s="1"/>
  <c r="AS1006" i="6"/>
  <c r="AS1007" i="6"/>
  <c r="AT1007" i="6" s="1"/>
  <c r="AU1007" i="6" s="1"/>
  <c r="AS1008" i="6"/>
  <c r="AT1008" i="6" s="1"/>
  <c r="AU1008" i="6" s="1"/>
  <c r="AS1009" i="6"/>
  <c r="AT1009" i="6" s="1"/>
  <c r="AU1009" i="6" s="1"/>
  <c r="AS1010" i="6"/>
  <c r="AS1011" i="6"/>
  <c r="AT1011" i="6" s="1"/>
  <c r="AU1011" i="6" s="1"/>
  <c r="AS1012" i="6"/>
  <c r="AT1012" i="6" s="1"/>
  <c r="AU1012" i="6" s="1"/>
  <c r="AS1013" i="6"/>
  <c r="AT1013" i="6" s="1"/>
  <c r="AU1013" i="6" s="1"/>
  <c r="AS1014" i="6"/>
  <c r="AS1015" i="6"/>
  <c r="AT1015" i="6" s="1"/>
  <c r="AU1015" i="6" s="1"/>
  <c r="AS1016" i="6"/>
  <c r="AT1016" i="6" s="1"/>
  <c r="AU1016" i="6" s="1"/>
  <c r="AS1017" i="6"/>
  <c r="AT1017" i="6" s="1"/>
  <c r="AU1017" i="6" s="1"/>
  <c r="AS1018" i="6"/>
  <c r="AS1019" i="6"/>
  <c r="AT1019" i="6" s="1"/>
  <c r="AU1019" i="6" s="1"/>
  <c r="AS1020" i="6"/>
  <c r="AT1020" i="6" s="1"/>
  <c r="AU1020" i="6" s="1"/>
  <c r="AS1021" i="6"/>
  <c r="AT1021" i="6" s="1"/>
  <c r="AU1021" i="6" s="1"/>
  <c r="AS1022" i="6"/>
  <c r="AS1023" i="6"/>
  <c r="AT1023" i="6" s="1"/>
  <c r="AU1023" i="6" s="1"/>
  <c r="AS1024" i="6"/>
  <c r="AT1024" i="6" s="1"/>
  <c r="AU1024" i="6" s="1"/>
  <c r="AS1025" i="6"/>
  <c r="AT1025" i="6" s="1"/>
  <c r="AU1025" i="6" s="1"/>
  <c r="AS1026" i="6"/>
  <c r="AS1027" i="6"/>
  <c r="AT1027" i="6" s="1"/>
  <c r="AU1027" i="6" s="1"/>
  <c r="AS1028" i="6"/>
  <c r="AT1028" i="6" s="1"/>
  <c r="AU1028" i="6" s="1"/>
  <c r="AS1029" i="6"/>
  <c r="AT1029" i="6" s="1"/>
  <c r="AU1029" i="6" s="1"/>
  <c r="AS1030" i="6"/>
  <c r="AS1031" i="6"/>
  <c r="AT1031" i="6" s="1"/>
  <c r="AU1031" i="6" s="1"/>
  <c r="AS1032" i="6"/>
  <c r="AT1032" i="6" s="1"/>
  <c r="AU1032" i="6" s="1"/>
  <c r="AS1033" i="6"/>
  <c r="AT1033" i="6" s="1"/>
  <c r="AU1033" i="6" s="1"/>
  <c r="AS1034" i="6"/>
  <c r="AS1035" i="6"/>
  <c r="AT1035" i="6" s="1"/>
  <c r="AU1035" i="6" s="1"/>
  <c r="AS1036" i="6"/>
  <c r="AT1036" i="6" s="1"/>
  <c r="AU1036" i="6" s="1"/>
  <c r="AS1037" i="6"/>
  <c r="AT1037" i="6" s="1"/>
  <c r="AU1037" i="6" s="1"/>
  <c r="AS1038" i="6"/>
  <c r="AS1039" i="6"/>
  <c r="AT1039" i="6" s="1"/>
  <c r="AU1039" i="6" s="1"/>
  <c r="AS1040" i="6"/>
  <c r="AT1040" i="6" s="1"/>
  <c r="AU1040" i="6" s="1"/>
  <c r="AS1041" i="6"/>
  <c r="AT1041" i="6" s="1"/>
  <c r="AU1041" i="6" s="1"/>
  <c r="AS1042" i="6"/>
  <c r="AS1043" i="6"/>
  <c r="AT1043" i="6" s="1"/>
  <c r="AU1043" i="6" s="1"/>
  <c r="AS1044" i="6"/>
  <c r="AT1044" i="6" s="1"/>
  <c r="AU1044" i="6" s="1"/>
  <c r="AS1045" i="6"/>
  <c r="AT1045" i="6" s="1"/>
  <c r="AU1045" i="6" s="1"/>
  <c r="AS1046" i="6"/>
  <c r="AS1047" i="6"/>
  <c r="AT1047" i="6" s="1"/>
  <c r="AU1047" i="6" s="1"/>
  <c r="AS1048" i="6"/>
  <c r="AT1048" i="6" s="1"/>
  <c r="AU1048" i="6" s="1"/>
  <c r="AS1049" i="6"/>
  <c r="AT1049" i="6" s="1"/>
  <c r="AU1049" i="6" s="1"/>
  <c r="AS1050" i="6"/>
  <c r="AS1051" i="6"/>
  <c r="AT1051" i="6" s="1"/>
  <c r="AU1051" i="6" s="1"/>
  <c r="AS1052" i="6"/>
  <c r="AT1052" i="6" s="1"/>
  <c r="AU1052" i="6" s="1"/>
  <c r="AS1053" i="6"/>
  <c r="AT1053" i="6" s="1"/>
  <c r="AU1053" i="6" s="1"/>
  <c r="AS1054" i="6"/>
  <c r="AS1055" i="6"/>
  <c r="AT1055" i="6" s="1"/>
  <c r="AU1055" i="6" s="1"/>
  <c r="AS1056" i="6"/>
  <c r="AT1056" i="6" s="1"/>
  <c r="AU1056" i="6" s="1"/>
  <c r="AS1057" i="6"/>
  <c r="AT1057" i="6" s="1"/>
  <c r="AU1057" i="6" s="1"/>
  <c r="AS1058" i="6"/>
  <c r="AS1059" i="6"/>
  <c r="AT1059" i="6" s="1"/>
  <c r="AU1059" i="6" s="1"/>
  <c r="AS1060" i="6"/>
  <c r="AT1060" i="6" s="1"/>
  <c r="AU1060" i="6" s="1"/>
  <c r="AS1061" i="6"/>
  <c r="AT1061" i="6" s="1"/>
  <c r="AU1061" i="6" s="1"/>
  <c r="AS1062" i="6"/>
  <c r="AS1063" i="6"/>
  <c r="AT1063" i="6" s="1"/>
  <c r="AU1063" i="6" s="1"/>
  <c r="AS1064" i="6"/>
  <c r="AT1064" i="6" s="1"/>
  <c r="AU1064" i="6" s="1"/>
  <c r="AS1065" i="6"/>
  <c r="AT1065" i="6" s="1"/>
  <c r="AU1065" i="6" s="1"/>
  <c r="AS1066" i="6"/>
  <c r="AS1067" i="6"/>
  <c r="AT1067" i="6" s="1"/>
  <c r="AU1067" i="6" s="1"/>
  <c r="AS1068" i="6"/>
  <c r="AT1068" i="6" s="1"/>
  <c r="AU1068" i="6" s="1"/>
  <c r="AS1069" i="6"/>
  <c r="AT1069" i="6" s="1"/>
  <c r="AU1069" i="6" s="1"/>
  <c r="AS1070" i="6"/>
  <c r="AS1071" i="6"/>
  <c r="AT1071" i="6" s="1"/>
  <c r="AU1071" i="6" s="1"/>
  <c r="AS1072" i="6"/>
  <c r="AT1072" i="6" s="1"/>
  <c r="AU1072" i="6" s="1"/>
  <c r="AS1073" i="6"/>
  <c r="AT1073" i="6" s="1"/>
  <c r="AU1073" i="6" s="1"/>
  <c r="AS1074" i="6"/>
  <c r="AS1075" i="6"/>
  <c r="AT1075" i="6" s="1"/>
  <c r="AU1075" i="6" s="1"/>
  <c r="AS1076" i="6"/>
  <c r="AT1076" i="6" s="1"/>
  <c r="AU1076" i="6" s="1"/>
  <c r="AS1077" i="6"/>
  <c r="AT1077" i="6" s="1"/>
  <c r="AU1077" i="6" s="1"/>
  <c r="AS1078" i="6"/>
  <c r="AS1079" i="6"/>
  <c r="AT1079" i="6" s="1"/>
  <c r="AU1079" i="6" s="1"/>
  <c r="AS1080" i="6"/>
  <c r="AT1080" i="6" s="1"/>
  <c r="AU1080" i="6" s="1"/>
  <c r="AS1081" i="6"/>
  <c r="AT1081" i="6" s="1"/>
  <c r="AU1081" i="6" s="1"/>
  <c r="AS1082" i="6"/>
  <c r="AS1083" i="6"/>
  <c r="AT1083" i="6" s="1"/>
  <c r="AU1083" i="6" s="1"/>
  <c r="AS1084" i="6"/>
  <c r="AT1084" i="6" s="1"/>
  <c r="AU1084" i="6" s="1"/>
  <c r="AS1085" i="6"/>
  <c r="AT1085" i="6" s="1"/>
  <c r="AU1085" i="6" s="1"/>
  <c r="AS1086" i="6"/>
  <c r="AS1087" i="6"/>
  <c r="AT1087" i="6" s="1"/>
  <c r="AU1087" i="6" s="1"/>
  <c r="AS1088" i="6"/>
  <c r="AT1088" i="6" s="1"/>
  <c r="AU1088" i="6" s="1"/>
  <c r="AS1089" i="6"/>
  <c r="AT1089" i="6" s="1"/>
  <c r="AU1089" i="6" s="1"/>
  <c r="AS1090" i="6"/>
  <c r="AS1091" i="6"/>
  <c r="AT1091" i="6" s="1"/>
  <c r="AU1091" i="6" s="1"/>
  <c r="AS1092" i="6"/>
  <c r="AT1092" i="6" s="1"/>
  <c r="AU1092" i="6" s="1"/>
  <c r="AS1093" i="6"/>
  <c r="AT1093" i="6" s="1"/>
  <c r="AU1093" i="6" s="1"/>
  <c r="AS1094" i="6"/>
  <c r="AS1095" i="6"/>
  <c r="AT1095" i="6" s="1"/>
  <c r="AU1095" i="6" s="1"/>
  <c r="AS1096" i="6"/>
  <c r="AT1096" i="6" s="1"/>
  <c r="AU1096" i="6" s="1"/>
  <c r="AS1097" i="6"/>
  <c r="AT1097" i="6" s="1"/>
  <c r="AU1097" i="6" s="1"/>
  <c r="AS1098" i="6"/>
  <c r="AS1099" i="6"/>
  <c r="AT1099" i="6" s="1"/>
  <c r="AU1099" i="6" s="1"/>
  <c r="AS1100" i="6"/>
  <c r="AT1100" i="6" s="1"/>
  <c r="AU1100" i="6" s="1"/>
  <c r="AS1101" i="6"/>
  <c r="AT1101" i="6" s="1"/>
  <c r="AU1101" i="6" s="1"/>
  <c r="AS1102" i="6"/>
  <c r="AS1103" i="6"/>
  <c r="AT1103" i="6" s="1"/>
  <c r="AU1103" i="6" s="1"/>
  <c r="AS1104" i="6"/>
  <c r="AT1104" i="6" s="1"/>
  <c r="AU1104" i="6" s="1"/>
  <c r="AS1105" i="6"/>
  <c r="AT1105" i="6" s="1"/>
  <c r="AU1105" i="6" s="1"/>
  <c r="AS1106" i="6"/>
  <c r="AS1107" i="6"/>
  <c r="AT1107" i="6" s="1"/>
  <c r="AU1107" i="6" s="1"/>
  <c r="AS1108" i="6"/>
  <c r="AT1108" i="6" s="1"/>
  <c r="AU1108" i="6" s="1"/>
  <c r="AS1109" i="6"/>
  <c r="AT1109" i="6" s="1"/>
  <c r="AU1109" i="6" s="1"/>
  <c r="AS1110" i="6"/>
  <c r="AS1111" i="6"/>
  <c r="AT1111" i="6" s="1"/>
  <c r="AU1111" i="6" s="1"/>
  <c r="AS1112" i="6"/>
  <c r="AT1112" i="6" s="1"/>
  <c r="AU1112" i="6" s="1"/>
  <c r="AS1113" i="6"/>
  <c r="AT1113" i="6" s="1"/>
  <c r="AU1113" i="6" s="1"/>
  <c r="AS1114" i="6"/>
  <c r="AS1115" i="6"/>
  <c r="AT1115" i="6" s="1"/>
  <c r="AU1115" i="6" s="1"/>
  <c r="AS1116" i="6"/>
  <c r="AT1116" i="6" s="1"/>
  <c r="AU1116" i="6" s="1"/>
  <c r="AS1117" i="6"/>
  <c r="AT1117" i="6" s="1"/>
  <c r="AU1117" i="6" s="1"/>
  <c r="AS1118" i="6"/>
  <c r="AS1119" i="6"/>
  <c r="AT1119" i="6" s="1"/>
  <c r="AU1119" i="6" s="1"/>
  <c r="AS1120" i="6"/>
  <c r="AT1120" i="6" s="1"/>
  <c r="AU1120" i="6" s="1"/>
  <c r="AS1121" i="6"/>
  <c r="AT1121" i="6" s="1"/>
  <c r="AU1121" i="6" s="1"/>
  <c r="AS1122" i="6"/>
  <c r="AS1123" i="6"/>
  <c r="AT1123" i="6" s="1"/>
  <c r="AU1123" i="6" s="1"/>
  <c r="AS1124" i="6"/>
  <c r="AT1124" i="6" s="1"/>
  <c r="AU1124" i="6" s="1"/>
  <c r="AS1125" i="6"/>
  <c r="AT1125" i="6" s="1"/>
  <c r="AU1125" i="6" s="1"/>
  <c r="AS1126" i="6"/>
  <c r="AS1127" i="6"/>
  <c r="AT1127" i="6" s="1"/>
  <c r="AU1127" i="6" s="1"/>
  <c r="AS1128" i="6"/>
  <c r="AT1128" i="6" s="1"/>
  <c r="AU1128" i="6" s="1"/>
  <c r="AS1129" i="6"/>
  <c r="AT1129" i="6" s="1"/>
  <c r="AU1129" i="6" s="1"/>
  <c r="AS1130" i="6"/>
  <c r="AS1131" i="6"/>
  <c r="AT1131" i="6" s="1"/>
  <c r="AU1131" i="6" s="1"/>
  <c r="AS1132" i="6"/>
  <c r="AT1132" i="6" s="1"/>
  <c r="AU1132" i="6" s="1"/>
  <c r="AS1133" i="6"/>
  <c r="AT1133" i="6" s="1"/>
  <c r="AU1133" i="6" s="1"/>
  <c r="AS1134" i="6"/>
  <c r="AS1135" i="6"/>
  <c r="AT1135" i="6" s="1"/>
  <c r="AU1135" i="6" s="1"/>
  <c r="AS1136" i="6"/>
  <c r="AT1136" i="6" s="1"/>
  <c r="AU1136" i="6" s="1"/>
  <c r="AS1137" i="6"/>
  <c r="AT1137" i="6" s="1"/>
  <c r="AU1137" i="6" s="1"/>
  <c r="AS1138" i="6"/>
  <c r="AS1139" i="6"/>
  <c r="AT1139" i="6" s="1"/>
  <c r="AU1139" i="6" s="1"/>
  <c r="AS1140" i="6"/>
  <c r="AT1140" i="6" s="1"/>
  <c r="AU1140" i="6" s="1"/>
  <c r="AS1141" i="6"/>
  <c r="AT1141" i="6" s="1"/>
  <c r="AU1141" i="6" s="1"/>
  <c r="AS1142" i="6"/>
  <c r="AS1143" i="6"/>
  <c r="AT1143" i="6" s="1"/>
  <c r="AU1143" i="6" s="1"/>
  <c r="AS1144" i="6"/>
  <c r="AT1144" i="6" s="1"/>
  <c r="AU1144" i="6" s="1"/>
  <c r="AS1145" i="6"/>
  <c r="AT1145" i="6" s="1"/>
  <c r="AU1145" i="6" s="1"/>
  <c r="AS1146" i="6"/>
  <c r="AS1147" i="6"/>
  <c r="AT1147" i="6" s="1"/>
  <c r="AU1147" i="6" s="1"/>
  <c r="AS1148" i="6"/>
  <c r="AT1148" i="6" s="1"/>
  <c r="AU1148" i="6" s="1"/>
  <c r="AS1149" i="6"/>
  <c r="AT1149" i="6" s="1"/>
  <c r="AU1149" i="6" s="1"/>
  <c r="AS1150" i="6"/>
  <c r="AS1151" i="6"/>
  <c r="AT1151" i="6" s="1"/>
  <c r="AU1151" i="6" s="1"/>
  <c r="AS1152" i="6"/>
  <c r="AT1152" i="6" s="1"/>
  <c r="AU1152" i="6" s="1"/>
  <c r="AS1153" i="6"/>
  <c r="AT1153" i="6" s="1"/>
  <c r="AU1153" i="6" s="1"/>
  <c r="AS1154" i="6"/>
  <c r="AS1155" i="6"/>
  <c r="AT1155" i="6" s="1"/>
  <c r="AU1155" i="6" s="1"/>
  <c r="AS1156" i="6"/>
  <c r="AT1156" i="6" s="1"/>
  <c r="AU1156" i="6" s="1"/>
  <c r="AS1157" i="6"/>
  <c r="AT1157" i="6" s="1"/>
  <c r="AU1157" i="6" s="1"/>
  <c r="AS1158" i="6"/>
  <c r="AS1159" i="6"/>
  <c r="AT1159" i="6" s="1"/>
  <c r="AU1159" i="6" s="1"/>
  <c r="AS1160" i="6"/>
  <c r="AT1160" i="6" s="1"/>
  <c r="AU1160" i="6" s="1"/>
  <c r="AS1161" i="6"/>
  <c r="AT1161" i="6" s="1"/>
  <c r="AU1161" i="6" s="1"/>
  <c r="AS1162" i="6"/>
  <c r="AS1163" i="6"/>
  <c r="AT1163" i="6" s="1"/>
  <c r="AU1163" i="6" s="1"/>
  <c r="AS1164" i="6"/>
  <c r="AT1164" i="6" s="1"/>
  <c r="AU1164" i="6" s="1"/>
  <c r="AS1165" i="6"/>
  <c r="AT1165" i="6" s="1"/>
  <c r="AU1165" i="6" s="1"/>
  <c r="AS1166" i="6"/>
  <c r="AS1167" i="6"/>
  <c r="AT1167" i="6" s="1"/>
  <c r="AU1167" i="6" s="1"/>
  <c r="AS1168" i="6"/>
  <c r="AT1168" i="6" s="1"/>
  <c r="AU1168" i="6" s="1"/>
  <c r="AS1169" i="6"/>
  <c r="AT1169" i="6" s="1"/>
  <c r="AU1169" i="6" s="1"/>
  <c r="AS1170" i="6"/>
  <c r="AS1171" i="6"/>
  <c r="AT1171" i="6" s="1"/>
  <c r="AU1171" i="6" s="1"/>
  <c r="AS1172" i="6"/>
  <c r="AT1172" i="6" s="1"/>
  <c r="AU1172" i="6" s="1"/>
  <c r="AS1173" i="6"/>
  <c r="AT1173" i="6" s="1"/>
  <c r="AU1173" i="6" s="1"/>
  <c r="AS1174" i="6"/>
  <c r="AS1175" i="6"/>
  <c r="AT1175" i="6" s="1"/>
  <c r="AU1175" i="6" s="1"/>
  <c r="AS1176" i="6"/>
  <c r="AT1176" i="6" s="1"/>
  <c r="AU1176" i="6" s="1"/>
  <c r="AS1177" i="6"/>
  <c r="AT1177" i="6" s="1"/>
  <c r="AU1177" i="6" s="1"/>
  <c r="AS1178" i="6"/>
  <c r="AS1179" i="6"/>
  <c r="AT1179" i="6" s="1"/>
  <c r="AU1179" i="6" s="1"/>
  <c r="AS1180" i="6"/>
  <c r="AT1180" i="6" s="1"/>
  <c r="AU1180" i="6" s="1"/>
  <c r="AS1181" i="6"/>
  <c r="AT1181" i="6" s="1"/>
  <c r="AU1181" i="6" s="1"/>
  <c r="AS1182" i="6"/>
  <c r="AS1183" i="6"/>
  <c r="AT1183" i="6" s="1"/>
  <c r="AU1183" i="6" s="1"/>
  <c r="AS1184" i="6"/>
  <c r="AT1184" i="6" s="1"/>
  <c r="AU1184" i="6" s="1"/>
  <c r="AS1185" i="6"/>
  <c r="AT1185" i="6" s="1"/>
  <c r="AU1185" i="6" s="1"/>
  <c r="AS1186" i="6"/>
  <c r="AS1187" i="6"/>
  <c r="AT1187" i="6" s="1"/>
  <c r="AU1187" i="6" s="1"/>
  <c r="AS1188" i="6"/>
  <c r="AT1188" i="6" s="1"/>
  <c r="AU1188" i="6" s="1"/>
  <c r="AS1189" i="6"/>
  <c r="AT1189" i="6" s="1"/>
  <c r="AU1189" i="6" s="1"/>
  <c r="AS1190" i="6"/>
  <c r="AS1191" i="6"/>
  <c r="AT1191" i="6" s="1"/>
  <c r="AU1191" i="6" s="1"/>
  <c r="AS1192" i="6"/>
  <c r="AT1192" i="6" s="1"/>
  <c r="AU1192" i="6" s="1"/>
  <c r="AS1193" i="6"/>
  <c r="AT1193" i="6" s="1"/>
  <c r="AU1193" i="6" s="1"/>
  <c r="AS1194" i="6"/>
  <c r="AS1195" i="6"/>
  <c r="AT1195" i="6" s="1"/>
  <c r="AU1195" i="6" s="1"/>
  <c r="AS1196" i="6"/>
  <c r="AT1196" i="6" s="1"/>
  <c r="AU1196" i="6" s="1"/>
  <c r="AS1197" i="6"/>
  <c r="AT1197" i="6" s="1"/>
  <c r="AU1197" i="6" s="1"/>
  <c r="AS1198" i="6"/>
  <c r="AS1199" i="6"/>
  <c r="AT1199" i="6" s="1"/>
  <c r="AU1199" i="6" s="1"/>
  <c r="AS1200" i="6"/>
  <c r="AT1200" i="6" s="1"/>
  <c r="AU1200" i="6" s="1"/>
  <c r="AS1201" i="6"/>
  <c r="AT1201" i="6" s="1"/>
  <c r="AU1201" i="6" s="1"/>
  <c r="AS1202" i="6"/>
  <c r="AS1203" i="6"/>
  <c r="AT1203" i="6" s="1"/>
  <c r="AU1203" i="6" s="1"/>
  <c r="AS1204" i="6"/>
  <c r="AT1204" i="6" s="1"/>
  <c r="AU1204" i="6" s="1"/>
  <c r="AS1205" i="6"/>
  <c r="AT1205" i="6" s="1"/>
  <c r="AU1205" i="6" s="1"/>
  <c r="AS1206" i="6"/>
  <c r="AS1207" i="6"/>
  <c r="AT1207" i="6" s="1"/>
  <c r="AU1207" i="6" s="1"/>
  <c r="AS1208" i="6"/>
  <c r="AT1208" i="6" s="1"/>
  <c r="AU1208" i="6" s="1"/>
  <c r="AS1209" i="6"/>
  <c r="AT1209" i="6" s="1"/>
  <c r="AU1209" i="6" s="1"/>
  <c r="AS1210" i="6"/>
  <c r="AS1211" i="6"/>
  <c r="AT1211" i="6" s="1"/>
  <c r="AU1211" i="6" s="1"/>
  <c r="AS1212" i="6"/>
  <c r="AT1212" i="6" s="1"/>
  <c r="AU1212" i="6" s="1"/>
  <c r="AS1213" i="6"/>
  <c r="AT1213" i="6" s="1"/>
  <c r="AU1213" i="6" s="1"/>
  <c r="AS1214" i="6"/>
  <c r="AS1215" i="6"/>
  <c r="AT1215" i="6" s="1"/>
  <c r="AU1215" i="6" s="1"/>
  <c r="AS1216" i="6"/>
  <c r="AT1216" i="6" s="1"/>
  <c r="AU1216" i="6" s="1"/>
  <c r="AS1217" i="6"/>
  <c r="AT1217" i="6" s="1"/>
  <c r="AU1217" i="6" s="1"/>
  <c r="AS1218" i="6"/>
  <c r="AS1219" i="6"/>
  <c r="AT1219" i="6" s="1"/>
  <c r="AU1219" i="6" s="1"/>
  <c r="AS1220" i="6"/>
  <c r="AT1220" i="6" s="1"/>
  <c r="AU1220" i="6" s="1"/>
  <c r="AS1221" i="6"/>
  <c r="AT1221" i="6" s="1"/>
  <c r="AU1221" i="6" s="1"/>
  <c r="AS1222" i="6"/>
  <c r="AS1223" i="6"/>
  <c r="AT1223" i="6" s="1"/>
  <c r="AU1223" i="6" s="1"/>
  <c r="AS1224" i="6"/>
  <c r="AT1224" i="6" s="1"/>
  <c r="AU1224" i="6" s="1"/>
  <c r="AS1225" i="6"/>
  <c r="AT1225" i="6" s="1"/>
  <c r="AU1225" i="6" s="1"/>
  <c r="AS1226" i="6"/>
  <c r="AS1227" i="6"/>
  <c r="AT1227" i="6" s="1"/>
  <c r="AU1227" i="6" s="1"/>
  <c r="AS1228" i="6"/>
  <c r="AT1228" i="6" s="1"/>
  <c r="AU1228" i="6" s="1"/>
  <c r="AS1229" i="6"/>
  <c r="AT1229" i="6" s="1"/>
  <c r="AU1229" i="6" s="1"/>
  <c r="AS1230" i="6"/>
  <c r="AS1231" i="6"/>
  <c r="AT1231" i="6" s="1"/>
  <c r="AU1231" i="6" s="1"/>
  <c r="AS1232" i="6"/>
  <c r="AT1232" i="6" s="1"/>
  <c r="AU1232" i="6" s="1"/>
  <c r="AS1233" i="6"/>
  <c r="AT1233" i="6" s="1"/>
  <c r="AU1233" i="6" s="1"/>
  <c r="AS1234" i="6"/>
  <c r="AS1235" i="6"/>
  <c r="AT1235" i="6" s="1"/>
  <c r="AU1235" i="6" s="1"/>
  <c r="AS1236" i="6"/>
  <c r="AT1236" i="6" s="1"/>
  <c r="AU1236" i="6" s="1"/>
  <c r="AS1237" i="6"/>
  <c r="AT1237" i="6" s="1"/>
  <c r="AU1237" i="6" s="1"/>
  <c r="AS1238" i="6"/>
  <c r="AS1239" i="6"/>
  <c r="AT1239" i="6" s="1"/>
  <c r="AU1239" i="6" s="1"/>
  <c r="AS1240" i="6"/>
  <c r="AT1240" i="6" s="1"/>
  <c r="AU1240" i="6" s="1"/>
  <c r="AS1241" i="6"/>
  <c r="AT1241" i="6" s="1"/>
  <c r="AU1241" i="6" s="1"/>
  <c r="AS1242" i="6"/>
  <c r="AS1243" i="6"/>
  <c r="AT1243" i="6" s="1"/>
  <c r="AU1243" i="6" s="1"/>
  <c r="AS1244" i="6"/>
  <c r="AT1244" i="6" s="1"/>
  <c r="AU1244" i="6" s="1"/>
  <c r="AS1245" i="6"/>
  <c r="AT1245" i="6" s="1"/>
  <c r="AU1245" i="6" s="1"/>
  <c r="AS1246" i="6"/>
  <c r="AS1247" i="6"/>
  <c r="AT1247" i="6" s="1"/>
  <c r="AU1247" i="6" s="1"/>
  <c r="AS1248" i="6"/>
  <c r="AT1248" i="6" s="1"/>
  <c r="AU1248" i="6" s="1"/>
  <c r="AS1249" i="6"/>
  <c r="AT1249" i="6" s="1"/>
  <c r="AU1249" i="6" s="1"/>
  <c r="AS1250" i="6"/>
  <c r="AS1251" i="6"/>
  <c r="AT1251" i="6" s="1"/>
  <c r="AU1251" i="6" s="1"/>
  <c r="AS1252" i="6"/>
  <c r="AT1252" i="6" s="1"/>
  <c r="AU1252" i="6" s="1"/>
  <c r="AS1253" i="6"/>
  <c r="AT1253" i="6" s="1"/>
  <c r="AU1253" i="6" s="1"/>
  <c r="AS1254" i="6"/>
  <c r="AS1255" i="6"/>
  <c r="AT1255" i="6" s="1"/>
  <c r="AU1255" i="6" s="1"/>
  <c r="AS1256" i="6"/>
  <c r="AT1256" i="6" s="1"/>
  <c r="AU1256" i="6" s="1"/>
  <c r="AS1257" i="6"/>
  <c r="AT1257" i="6" s="1"/>
  <c r="AU1257" i="6" s="1"/>
  <c r="AS1258" i="6"/>
  <c r="AS1259" i="6"/>
  <c r="AT1259" i="6" s="1"/>
  <c r="AU1259" i="6" s="1"/>
  <c r="AS1260" i="6"/>
  <c r="AT1260" i="6" s="1"/>
  <c r="AU1260" i="6" s="1"/>
  <c r="AS1261" i="6"/>
  <c r="AT1261" i="6" s="1"/>
  <c r="AU1261" i="6" s="1"/>
  <c r="AS1262" i="6"/>
  <c r="AS1263" i="6"/>
  <c r="AT1263" i="6" s="1"/>
  <c r="AU1263" i="6" s="1"/>
  <c r="AS1264" i="6"/>
  <c r="AT1264" i="6" s="1"/>
  <c r="AU1264" i="6" s="1"/>
  <c r="AS1265" i="6"/>
  <c r="AT1265" i="6" s="1"/>
  <c r="AU1265" i="6" s="1"/>
  <c r="AS1266" i="6"/>
  <c r="AS1267" i="6"/>
  <c r="AT1267" i="6" s="1"/>
  <c r="AU1267" i="6" s="1"/>
  <c r="AS1268" i="6"/>
  <c r="AT1268" i="6" s="1"/>
  <c r="AU1268" i="6" s="1"/>
  <c r="AS1269" i="6"/>
  <c r="AT1269" i="6" s="1"/>
  <c r="AU1269" i="6" s="1"/>
  <c r="AS1270" i="6"/>
  <c r="AS1271" i="6"/>
  <c r="AT1271" i="6" s="1"/>
  <c r="AU1271" i="6" s="1"/>
  <c r="AS1272" i="6"/>
  <c r="AT1272" i="6" s="1"/>
  <c r="AU1272" i="6" s="1"/>
  <c r="AS1273" i="6"/>
  <c r="AT1273" i="6" s="1"/>
  <c r="AU1273" i="6" s="1"/>
  <c r="AS1274" i="6"/>
  <c r="AS1275" i="6"/>
  <c r="AT1275" i="6" s="1"/>
  <c r="AU1275" i="6" s="1"/>
  <c r="AS1276" i="6"/>
  <c r="AT1276" i="6" s="1"/>
  <c r="AU1276" i="6" s="1"/>
  <c r="AS1277" i="6"/>
  <c r="AT1277" i="6" s="1"/>
  <c r="AU1277" i="6" s="1"/>
  <c r="AS1278" i="6"/>
  <c r="AS1279" i="6"/>
  <c r="AT1279" i="6" s="1"/>
  <c r="AU1279" i="6" s="1"/>
  <c r="AS1280" i="6"/>
  <c r="AT1280" i="6" s="1"/>
  <c r="AU1280" i="6" s="1"/>
  <c r="AS1281" i="6"/>
  <c r="AT1281" i="6" s="1"/>
  <c r="AU1281" i="6" s="1"/>
  <c r="AS1282" i="6"/>
  <c r="AS1283" i="6"/>
  <c r="AT1283" i="6" s="1"/>
  <c r="AU1283" i="6" s="1"/>
  <c r="AS1284" i="6"/>
  <c r="AT1284" i="6" s="1"/>
  <c r="AU1284" i="6" s="1"/>
  <c r="AS1285" i="6"/>
  <c r="AT1285" i="6" s="1"/>
  <c r="AU1285" i="6" s="1"/>
  <c r="AS1286" i="6"/>
  <c r="AS1287" i="6"/>
  <c r="AT1287" i="6" s="1"/>
  <c r="AU1287" i="6" s="1"/>
  <c r="AS1288" i="6"/>
  <c r="AT1288" i="6" s="1"/>
  <c r="AU1288" i="6" s="1"/>
  <c r="AS1289" i="6"/>
  <c r="AT1289" i="6" s="1"/>
  <c r="AU1289" i="6" s="1"/>
  <c r="AS1290" i="6"/>
  <c r="AS1291" i="6"/>
  <c r="AT1291" i="6" s="1"/>
  <c r="AU1291" i="6" s="1"/>
  <c r="AS1292" i="6"/>
  <c r="AT1292" i="6" s="1"/>
  <c r="AU1292" i="6" s="1"/>
  <c r="AS1293" i="6"/>
  <c r="AT1293" i="6" s="1"/>
  <c r="AU1293" i="6" s="1"/>
  <c r="AS1294" i="6"/>
  <c r="AS1295" i="6"/>
  <c r="AT1295" i="6" s="1"/>
  <c r="AU1295" i="6" s="1"/>
  <c r="AS1296" i="6"/>
  <c r="AT1296" i="6" s="1"/>
  <c r="AU1296" i="6" s="1"/>
  <c r="AS1297" i="6"/>
  <c r="AT1297" i="6" s="1"/>
  <c r="AU1297" i="6" s="1"/>
  <c r="AS1298" i="6"/>
  <c r="AS1299" i="6"/>
  <c r="AT1299" i="6" s="1"/>
  <c r="AU1299" i="6" s="1"/>
  <c r="AS1300" i="6"/>
  <c r="AT1300" i="6" s="1"/>
  <c r="AU1300" i="6" s="1"/>
  <c r="AS1301" i="6"/>
  <c r="AT1301" i="6" s="1"/>
  <c r="AU1301" i="6" s="1"/>
  <c r="AS1302" i="6"/>
  <c r="AS1303" i="6"/>
  <c r="AT1303" i="6" s="1"/>
  <c r="AU1303" i="6" s="1"/>
  <c r="AS1304" i="6"/>
  <c r="AT1304" i="6" s="1"/>
  <c r="AU1304" i="6" s="1"/>
  <c r="AS1305" i="6"/>
  <c r="AT1305" i="6" s="1"/>
  <c r="AU1305" i="6" s="1"/>
  <c r="AS1306" i="6"/>
  <c r="AS1307" i="6"/>
  <c r="AT1307" i="6" s="1"/>
  <c r="AU1307" i="6" s="1"/>
  <c r="AS1308" i="6"/>
  <c r="AT1308" i="6" s="1"/>
  <c r="AU1308" i="6" s="1"/>
  <c r="AS1309" i="6"/>
  <c r="AT1309" i="6" s="1"/>
  <c r="AU1309" i="6" s="1"/>
  <c r="AS1310" i="6"/>
  <c r="AS1311" i="6"/>
  <c r="AT1311" i="6" s="1"/>
  <c r="AU1311" i="6" s="1"/>
  <c r="AS1312" i="6"/>
  <c r="AT1312" i="6" s="1"/>
  <c r="AU1312" i="6" s="1"/>
  <c r="AS1313" i="6"/>
  <c r="AT1313" i="6" s="1"/>
  <c r="AU1313" i="6" s="1"/>
  <c r="AS1314" i="6"/>
  <c r="AS1315" i="6"/>
  <c r="AT1315" i="6" s="1"/>
  <c r="AU1315" i="6" s="1"/>
  <c r="AS1316" i="6"/>
  <c r="AT1316" i="6" s="1"/>
  <c r="AU1316" i="6" s="1"/>
  <c r="AS1317" i="6"/>
  <c r="AT1317" i="6" s="1"/>
  <c r="AU1317" i="6" s="1"/>
  <c r="AS1318" i="6"/>
  <c r="AS1319" i="6"/>
  <c r="AT1319" i="6" s="1"/>
  <c r="AU1319" i="6" s="1"/>
  <c r="AS1320" i="6"/>
  <c r="AT1320" i="6" s="1"/>
  <c r="AU1320" i="6" s="1"/>
  <c r="AS1321" i="6"/>
  <c r="AT1321" i="6" s="1"/>
  <c r="AU1321" i="6" s="1"/>
  <c r="AS1322" i="6"/>
  <c r="AS1323" i="6"/>
  <c r="AT1323" i="6" s="1"/>
  <c r="AU1323" i="6" s="1"/>
  <c r="AS1324" i="6"/>
  <c r="AT1324" i="6" s="1"/>
  <c r="AU1324" i="6" s="1"/>
  <c r="AS1325" i="6"/>
  <c r="AT1325" i="6" s="1"/>
  <c r="AU1325" i="6" s="1"/>
  <c r="AS1326" i="6"/>
  <c r="AS1327" i="6"/>
  <c r="AT1327" i="6" s="1"/>
  <c r="AU1327" i="6" s="1"/>
  <c r="AS1328" i="6"/>
  <c r="AT1328" i="6" s="1"/>
  <c r="AU1328" i="6" s="1"/>
  <c r="AS1329" i="6"/>
  <c r="AT1329" i="6" s="1"/>
  <c r="AU1329" i="6" s="1"/>
  <c r="AS1330" i="6"/>
  <c r="AS1331" i="6"/>
  <c r="AT1331" i="6" s="1"/>
  <c r="AU1331" i="6" s="1"/>
  <c r="AS1332" i="6"/>
  <c r="AT1332" i="6" s="1"/>
  <c r="AU1332" i="6" s="1"/>
  <c r="AS1333" i="6"/>
  <c r="AT1333" i="6" s="1"/>
  <c r="AU1333" i="6" s="1"/>
  <c r="AS1334" i="6"/>
  <c r="AS1335" i="6"/>
  <c r="AT1335" i="6" s="1"/>
  <c r="AU1335" i="6" s="1"/>
  <c r="AS1336" i="6"/>
  <c r="AT1336" i="6" s="1"/>
  <c r="AU1336" i="6" s="1"/>
  <c r="AS1337" i="6"/>
  <c r="AT1337" i="6" s="1"/>
  <c r="AU1337" i="6" s="1"/>
  <c r="AS1338" i="6"/>
  <c r="AS1339" i="6"/>
  <c r="AT1339" i="6" s="1"/>
  <c r="AU1339" i="6" s="1"/>
  <c r="AS1340" i="6"/>
  <c r="AT1340" i="6" s="1"/>
  <c r="AU1340" i="6" s="1"/>
  <c r="AS1341" i="6"/>
  <c r="AT1341" i="6" s="1"/>
  <c r="AU1341" i="6" s="1"/>
  <c r="AS1342" i="6"/>
  <c r="AS1343" i="6"/>
  <c r="AT1343" i="6" s="1"/>
  <c r="AU1343" i="6" s="1"/>
  <c r="AS1344" i="6"/>
  <c r="AT1344" i="6" s="1"/>
  <c r="AU1344" i="6" s="1"/>
  <c r="AS1345" i="6"/>
  <c r="AT1345" i="6" s="1"/>
  <c r="AU1345" i="6" s="1"/>
  <c r="AS1346" i="6"/>
  <c r="AS1347" i="6"/>
  <c r="AT1347" i="6" s="1"/>
  <c r="AU1347" i="6" s="1"/>
  <c r="AS1348" i="6"/>
  <c r="AT1348" i="6" s="1"/>
  <c r="AU1348" i="6" s="1"/>
  <c r="AS1349" i="6"/>
  <c r="AT1349" i="6" s="1"/>
  <c r="AU1349" i="6" s="1"/>
  <c r="AS1350" i="6"/>
  <c r="AS1351" i="6"/>
  <c r="AT1351" i="6" s="1"/>
  <c r="AU1351" i="6" s="1"/>
  <c r="AS1352" i="6"/>
  <c r="AT1352" i="6" s="1"/>
  <c r="AU1352" i="6" s="1"/>
  <c r="AS1353" i="6"/>
  <c r="AT1353" i="6" s="1"/>
  <c r="AU1353" i="6" s="1"/>
  <c r="AS1354" i="6"/>
  <c r="AS1355" i="6"/>
  <c r="AT1355" i="6" s="1"/>
  <c r="AU1355" i="6" s="1"/>
  <c r="AS1356" i="6"/>
  <c r="AT1356" i="6" s="1"/>
  <c r="AU1356" i="6" s="1"/>
  <c r="AS1357" i="6"/>
  <c r="AT1357" i="6" s="1"/>
  <c r="AU1357" i="6" s="1"/>
  <c r="AS1358" i="6"/>
  <c r="AS1359" i="6"/>
  <c r="AT1359" i="6" s="1"/>
  <c r="AU1359" i="6" s="1"/>
  <c r="AS1360" i="6"/>
  <c r="AT1360" i="6" s="1"/>
  <c r="AU1360" i="6" s="1"/>
  <c r="AS1361" i="6"/>
  <c r="AT1361" i="6" s="1"/>
  <c r="AU1361" i="6" s="1"/>
  <c r="AS1362" i="6"/>
  <c r="AS1363" i="6"/>
  <c r="AT1363" i="6" s="1"/>
  <c r="AU1363" i="6" s="1"/>
  <c r="AS1364" i="6"/>
  <c r="AT1364" i="6" s="1"/>
  <c r="AU1364" i="6" s="1"/>
  <c r="AS1365" i="6"/>
  <c r="AT1365" i="6" s="1"/>
  <c r="AU1365" i="6" s="1"/>
  <c r="AS1366" i="6"/>
  <c r="AS1367" i="6"/>
  <c r="AT1367" i="6" s="1"/>
  <c r="AU1367" i="6" s="1"/>
  <c r="AS1368" i="6"/>
  <c r="AT1368" i="6" s="1"/>
  <c r="AU1368" i="6" s="1"/>
  <c r="AS1369" i="6"/>
  <c r="AT1369" i="6" s="1"/>
  <c r="AU1369" i="6" s="1"/>
  <c r="AS1370" i="6"/>
  <c r="AS1371" i="6"/>
  <c r="AT1371" i="6" s="1"/>
  <c r="AU1371" i="6" s="1"/>
  <c r="AS1372" i="6"/>
  <c r="AT1372" i="6" s="1"/>
  <c r="AU1372" i="6" s="1"/>
  <c r="AS1373" i="6"/>
  <c r="AT1373" i="6" s="1"/>
  <c r="AU1373" i="6" s="1"/>
  <c r="AS1374" i="6"/>
  <c r="AS1375" i="6"/>
  <c r="AT1375" i="6" s="1"/>
  <c r="AU1375" i="6" s="1"/>
  <c r="AS1376" i="6"/>
  <c r="AT1376" i="6" s="1"/>
  <c r="AU1376" i="6" s="1"/>
  <c r="AS1377" i="6"/>
  <c r="AT1377" i="6" s="1"/>
  <c r="AU1377" i="6" s="1"/>
  <c r="AS1378" i="6"/>
  <c r="AS1379" i="6"/>
  <c r="AT1379" i="6" s="1"/>
  <c r="AU1379" i="6" s="1"/>
  <c r="AS1380" i="6"/>
  <c r="AT1380" i="6" s="1"/>
  <c r="AU1380" i="6" s="1"/>
  <c r="AS1381" i="6"/>
  <c r="AT1381" i="6" s="1"/>
  <c r="AU1381" i="6" s="1"/>
  <c r="AS1382" i="6"/>
  <c r="AS1383" i="6"/>
  <c r="AT1383" i="6" s="1"/>
  <c r="AU1383" i="6" s="1"/>
  <c r="AS1384" i="6"/>
  <c r="AT1384" i="6" s="1"/>
  <c r="AU1384" i="6" s="1"/>
  <c r="AS1385" i="6"/>
  <c r="AT1385" i="6" s="1"/>
  <c r="AU1385" i="6" s="1"/>
  <c r="AS1386" i="6"/>
  <c r="AS1387" i="6"/>
  <c r="AT1387" i="6" s="1"/>
  <c r="AU1387" i="6" s="1"/>
  <c r="AS1388" i="6"/>
  <c r="AT1388" i="6" s="1"/>
  <c r="AU1388" i="6" s="1"/>
  <c r="AS1389" i="6"/>
  <c r="AT1389" i="6" s="1"/>
  <c r="AU1389" i="6" s="1"/>
  <c r="AS1390" i="6"/>
  <c r="AS1391" i="6"/>
  <c r="AT1391" i="6" s="1"/>
  <c r="AU1391" i="6" s="1"/>
  <c r="AS1392" i="6"/>
  <c r="AT1392" i="6" s="1"/>
  <c r="AU1392" i="6" s="1"/>
  <c r="AS1393" i="6"/>
  <c r="AT1393" i="6" s="1"/>
  <c r="AU1393" i="6" s="1"/>
  <c r="AS1394" i="6"/>
  <c r="AS1395" i="6"/>
  <c r="AT1395" i="6" s="1"/>
  <c r="AU1395" i="6" s="1"/>
  <c r="AS1396" i="6"/>
  <c r="AT1396" i="6" s="1"/>
  <c r="AU1396" i="6" s="1"/>
  <c r="AS1397" i="6"/>
  <c r="AT1397" i="6" s="1"/>
  <c r="AU1397" i="6" s="1"/>
  <c r="AS1398" i="6"/>
  <c r="AS1399" i="6"/>
  <c r="AT1399" i="6" s="1"/>
  <c r="AU1399" i="6" s="1"/>
  <c r="AS1400" i="6"/>
  <c r="AT1400" i="6" s="1"/>
  <c r="AU1400" i="6" s="1"/>
  <c r="AS1401" i="6"/>
  <c r="AT1401" i="6" s="1"/>
  <c r="AU1401" i="6" s="1"/>
  <c r="AS1402" i="6"/>
  <c r="AS1403" i="6"/>
  <c r="AT1403" i="6" s="1"/>
  <c r="AU1403" i="6" s="1"/>
  <c r="AS1404" i="6"/>
  <c r="AT1404" i="6" s="1"/>
  <c r="AU1404" i="6" s="1"/>
  <c r="AS1405" i="6"/>
  <c r="AT1405" i="6" s="1"/>
  <c r="AU1405" i="6" s="1"/>
  <c r="AS1406" i="6"/>
  <c r="AS1407" i="6"/>
  <c r="AT1407" i="6" s="1"/>
  <c r="AU1407" i="6" s="1"/>
  <c r="AS1408" i="6"/>
  <c r="AT1408" i="6" s="1"/>
  <c r="AU1408" i="6" s="1"/>
  <c r="AS1409" i="6"/>
  <c r="AT1409" i="6" s="1"/>
  <c r="AU1409" i="6" s="1"/>
  <c r="AS1410" i="6"/>
  <c r="AS1411" i="6"/>
  <c r="AT1411" i="6" s="1"/>
  <c r="AU1411" i="6" s="1"/>
  <c r="AS1412" i="6"/>
  <c r="AT1412" i="6" s="1"/>
  <c r="AU1412" i="6" s="1"/>
  <c r="AS1413" i="6"/>
  <c r="AT1413" i="6" s="1"/>
  <c r="AU1413" i="6" s="1"/>
  <c r="AS1414" i="6"/>
  <c r="AS1415" i="6"/>
  <c r="AT1415" i="6" s="1"/>
  <c r="AU1415" i="6" s="1"/>
  <c r="AS1416" i="6"/>
  <c r="AT1416" i="6" s="1"/>
  <c r="AU1416" i="6" s="1"/>
  <c r="AS1417" i="6"/>
  <c r="AT1417" i="6" s="1"/>
  <c r="AU1417" i="6" s="1"/>
  <c r="AS1418" i="6"/>
  <c r="AS1419" i="6"/>
  <c r="AT1419" i="6" s="1"/>
  <c r="AU1419" i="6" s="1"/>
  <c r="AS1420" i="6"/>
  <c r="AT1420" i="6" s="1"/>
  <c r="AU1420" i="6" s="1"/>
  <c r="AS1421" i="6"/>
  <c r="AT1421" i="6" s="1"/>
  <c r="AU1421" i="6" s="1"/>
  <c r="AS1422" i="6"/>
  <c r="AS1423" i="6"/>
  <c r="AT1423" i="6" s="1"/>
  <c r="AU1423" i="6" s="1"/>
  <c r="AS1424" i="6"/>
  <c r="AT1424" i="6" s="1"/>
  <c r="AU1424" i="6" s="1"/>
  <c r="AS1425" i="6"/>
  <c r="AT1425" i="6" s="1"/>
  <c r="AU1425" i="6" s="1"/>
  <c r="AS1426" i="6"/>
  <c r="AS1427" i="6"/>
  <c r="AT1427" i="6" s="1"/>
  <c r="AU1427" i="6" s="1"/>
  <c r="AS1428" i="6"/>
  <c r="AT1428" i="6" s="1"/>
  <c r="AU1428" i="6" s="1"/>
  <c r="AS1429" i="6"/>
  <c r="AT1429" i="6" s="1"/>
  <c r="AU1429" i="6" s="1"/>
  <c r="AS1430" i="6"/>
  <c r="AS1431" i="6"/>
  <c r="AT1431" i="6" s="1"/>
  <c r="AU1431" i="6" s="1"/>
  <c r="AS1432" i="6"/>
  <c r="AT1432" i="6" s="1"/>
  <c r="AU1432" i="6" s="1"/>
  <c r="AS1433" i="6"/>
  <c r="AT1433" i="6" s="1"/>
  <c r="AU1433" i="6" s="1"/>
  <c r="AS1434" i="6"/>
  <c r="AS1435" i="6"/>
  <c r="AT1435" i="6" s="1"/>
  <c r="AU1435" i="6" s="1"/>
  <c r="AS1436" i="6"/>
  <c r="AT1436" i="6" s="1"/>
  <c r="AU1436" i="6" s="1"/>
  <c r="AS1437" i="6"/>
  <c r="AT1437" i="6" s="1"/>
  <c r="AU1437" i="6" s="1"/>
  <c r="AS1438" i="6"/>
  <c r="AS1439" i="6"/>
  <c r="AT1439" i="6" s="1"/>
  <c r="AU1439" i="6" s="1"/>
  <c r="AS1440" i="6"/>
  <c r="AT1440" i="6" s="1"/>
  <c r="AU1440" i="6" s="1"/>
  <c r="AS1441" i="6"/>
  <c r="AT1441" i="6" s="1"/>
  <c r="AU1441" i="6" s="1"/>
  <c r="AS1442" i="6"/>
  <c r="AS1443" i="6"/>
  <c r="AT1443" i="6" s="1"/>
  <c r="AU1443" i="6" s="1"/>
  <c r="AS1444" i="6"/>
  <c r="AT1444" i="6" s="1"/>
  <c r="AU1444" i="6" s="1"/>
  <c r="AS1445" i="6"/>
  <c r="AT1445" i="6" s="1"/>
  <c r="AU1445" i="6" s="1"/>
  <c r="AS1446" i="6"/>
  <c r="AS1447" i="6"/>
  <c r="AT1447" i="6" s="1"/>
  <c r="AU1447" i="6" s="1"/>
  <c r="AS1448" i="6"/>
  <c r="AT1448" i="6" s="1"/>
  <c r="AU1448" i="6" s="1"/>
  <c r="AS1449" i="6"/>
  <c r="AT1449" i="6" s="1"/>
  <c r="AU1449" i="6" s="1"/>
  <c r="AS1450" i="6"/>
  <c r="AS1451" i="6"/>
  <c r="AT1451" i="6" s="1"/>
  <c r="AU1451" i="6" s="1"/>
  <c r="AS1452" i="6"/>
  <c r="AT1452" i="6" s="1"/>
  <c r="AU1452" i="6" s="1"/>
  <c r="AS1453" i="6"/>
  <c r="AT1453" i="6" s="1"/>
  <c r="AU1453" i="6" s="1"/>
  <c r="AS1454" i="6"/>
  <c r="AS1455" i="6"/>
  <c r="AT1455" i="6" s="1"/>
  <c r="AU1455" i="6" s="1"/>
  <c r="AS1456" i="6"/>
  <c r="AT1456" i="6" s="1"/>
  <c r="AU1456" i="6" s="1"/>
  <c r="AS1457" i="6"/>
  <c r="AT1457" i="6" s="1"/>
  <c r="AU1457" i="6" s="1"/>
  <c r="AS1458" i="6"/>
  <c r="AS1459" i="6"/>
  <c r="AT1459" i="6" s="1"/>
  <c r="AU1459" i="6" s="1"/>
  <c r="AS1460" i="6"/>
  <c r="AT1460" i="6" s="1"/>
  <c r="AU1460" i="6" s="1"/>
  <c r="AS1461" i="6"/>
  <c r="AT1461" i="6" s="1"/>
  <c r="AU1461" i="6" s="1"/>
  <c r="AS1462" i="6"/>
  <c r="AS1463" i="6"/>
  <c r="AT1463" i="6" s="1"/>
  <c r="AU1463" i="6" s="1"/>
  <c r="AS1464" i="6"/>
  <c r="AT1464" i="6" s="1"/>
  <c r="AU1464" i="6" s="1"/>
  <c r="AS1465" i="6"/>
  <c r="AT1465" i="6" s="1"/>
  <c r="AU1465" i="6" s="1"/>
  <c r="AS1466" i="6"/>
  <c r="AS1467" i="6"/>
  <c r="AT1467" i="6" s="1"/>
  <c r="AU1467" i="6" s="1"/>
  <c r="AS1468" i="6"/>
  <c r="AT1468" i="6" s="1"/>
  <c r="AU1468" i="6" s="1"/>
  <c r="AS1469" i="6"/>
  <c r="AT1469" i="6" s="1"/>
  <c r="AU1469" i="6" s="1"/>
  <c r="AS1470" i="6"/>
  <c r="AS1471" i="6"/>
  <c r="AT1471" i="6" s="1"/>
  <c r="AU1471" i="6" s="1"/>
  <c r="AS1472" i="6"/>
  <c r="AT1472" i="6" s="1"/>
  <c r="AU1472" i="6" s="1"/>
  <c r="AS1473" i="6"/>
  <c r="AT1473" i="6" s="1"/>
  <c r="AU1473" i="6" s="1"/>
  <c r="AS1474" i="6"/>
  <c r="AS1475" i="6"/>
  <c r="AT1475" i="6" s="1"/>
  <c r="AU1475" i="6" s="1"/>
  <c r="AS1476" i="6"/>
  <c r="AT1476" i="6" s="1"/>
  <c r="AU1476" i="6" s="1"/>
  <c r="AS1477" i="6"/>
  <c r="AT1477" i="6" s="1"/>
  <c r="AU1477" i="6" s="1"/>
  <c r="AS1478" i="6"/>
  <c r="AS1479" i="6"/>
  <c r="AT1479" i="6" s="1"/>
  <c r="AU1479" i="6" s="1"/>
  <c r="AS1480" i="6"/>
  <c r="AT1480" i="6" s="1"/>
  <c r="AU1480" i="6" s="1"/>
  <c r="AS1481" i="6"/>
  <c r="AT1481" i="6" s="1"/>
  <c r="AU1481" i="6" s="1"/>
  <c r="AS1482" i="6"/>
  <c r="AS1483" i="6"/>
  <c r="AT1483" i="6" s="1"/>
  <c r="AU1483" i="6" s="1"/>
  <c r="AS1484" i="6"/>
  <c r="AT1484" i="6" s="1"/>
  <c r="AU1484" i="6" s="1"/>
  <c r="AS1485" i="6"/>
  <c r="AT1485" i="6" s="1"/>
  <c r="AU1485" i="6" s="1"/>
  <c r="AS1486" i="6"/>
  <c r="AS1487" i="6"/>
  <c r="AT1487" i="6" s="1"/>
  <c r="AU1487" i="6" s="1"/>
  <c r="AS1488" i="6"/>
  <c r="AT1488" i="6" s="1"/>
  <c r="AU1488" i="6" s="1"/>
  <c r="AS1489" i="6"/>
  <c r="AT1489" i="6" s="1"/>
  <c r="AU1489" i="6" s="1"/>
  <c r="AS1490" i="6"/>
  <c r="AS1491" i="6"/>
  <c r="AT1491" i="6" s="1"/>
  <c r="AU1491" i="6" s="1"/>
  <c r="AS1492" i="6"/>
  <c r="AT1492" i="6" s="1"/>
  <c r="AU1492" i="6" s="1"/>
  <c r="AS1493" i="6"/>
  <c r="AT1493" i="6" s="1"/>
  <c r="AU1493" i="6" s="1"/>
  <c r="AS1494" i="6"/>
  <c r="AS1495" i="6"/>
  <c r="AT1495" i="6" s="1"/>
  <c r="AU1495" i="6" s="1"/>
  <c r="AS1496" i="6"/>
  <c r="AT1496" i="6" s="1"/>
  <c r="AU1496" i="6" s="1"/>
  <c r="AS1497" i="6"/>
  <c r="AT1497" i="6" s="1"/>
  <c r="AU1497" i="6" s="1"/>
  <c r="AS1498" i="6"/>
  <c r="AS1499" i="6"/>
  <c r="AT1499" i="6" s="1"/>
  <c r="AU1499" i="6" s="1"/>
  <c r="AS1500" i="6"/>
  <c r="AT1500" i="6" s="1"/>
  <c r="AU1500" i="6" s="1"/>
  <c r="AS1501" i="6"/>
  <c r="AT1501" i="6" s="1"/>
  <c r="AU1501" i="6" s="1"/>
  <c r="AS1502" i="6"/>
  <c r="AS1503" i="6"/>
  <c r="AT1503" i="6" s="1"/>
  <c r="AU1503" i="6" s="1"/>
  <c r="AS1504" i="6"/>
  <c r="AT1504" i="6" s="1"/>
  <c r="AU1504" i="6" s="1"/>
  <c r="AS1505" i="6"/>
  <c r="AT1505" i="6" s="1"/>
  <c r="AU1505" i="6" s="1"/>
  <c r="AS1506" i="6"/>
  <c r="AS1507" i="6"/>
  <c r="AT1507" i="6" s="1"/>
  <c r="AU1507" i="6" s="1"/>
  <c r="AS1508" i="6"/>
  <c r="AT1508" i="6" s="1"/>
  <c r="AU1508" i="6" s="1"/>
  <c r="AS1509" i="6"/>
  <c r="AT1509" i="6" s="1"/>
  <c r="AU1509" i="6" s="1"/>
  <c r="AS1510" i="6"/>
  <c r="AS1511" i="6"/>
  <c r="AT1511" i="6" s="1"/>
  <c r="AU1511" i="6" s="1"/>
  <c r="AS1512" i="6"/>
  <c r="AT1512" i="6" s="1"/>
  <c r="AU1512" i="6" s="1"/>
  <c r="AS1513" i="6"/>
  <c r="AT1513" i="6" s="1"/>
  <c r="AU1513" i="6" s="1"/>
  <c r="AS1514" i="6"/>
  <c r="AS1515" i="6"/>
  <c r="AT1515" i="6" s="1"/>
  <c r="AU1515" i="6" s="1"/>
  <c r="AS1516" i="6"/>
  <c r="AT1516" i="6" s="1"/>
  <c r="AU1516" i="6" s="1"/>
  <c r="AS1517" i="6"/>
  <c r="AT1517" i="6" s="1"/>
  <c r="AU1517" i="6" s="1"/>
  <c r="AS1518" i="6"/>
  <c r="AS1519" i="6"/>
  <c r="AT1519" i="6" s="1"/>
  <c r="AU1519" i="6" s="1"/>
  <c r="AS1520" i="6"/>
  <c r="AT1520" i="6" s="1"/>
  <c r="AU1520" i="6" s="1"/>
  <c r="AS1521" i="6"/>
  <c r="AT1521" i="6" s="1"/>
  <c r="AU1521" i="6" s="1"/>
  <c r="AS1522" i="6"/>
  <c r="AS1523" i="6"/>
  <c r="AT1523" i="6" s="1"/>
  <c r="AU1523" i="6" s="1"/>
  <c r="AS1524" i="6"/>
  <c r="AT1524" i="6" s="1"/>
  <c r="AU1524" i="6" s="1"/>
  <c r="AS1525" i="6"/>
  <c r="AT1525" i="6" s="1"/>
  <c r="AU1525" i="6" s="1"/>
  <c r="AS1526" i="6"/>
  <c r="AS1527" i="6"/>
  <c r="AT1527" i="6" s="1"/>
  <c r="AU1527" i="6" s="1"/>
  <c r="AS1528" i="6"/>
  <c r="AT1528" i="6" s="1"/>
  <c r="AU1528" i="6" s="1"/>
  <c r="AS1529" i="6"/>
  <c r="AT1529" i="6" s="1"/>
  <c r="AU1529" i="6" s="1"/>
  <c r="AS1530" i="6"/>
  <c r="AS1531" i="6"/>
  <c r="AT1531" i="6" s="1"/>
  <c r="AU1531" i="6" s="1"/>
  <c r="AS1532" i="6"/>
  <c r="AT1532" i="6" s="1"/>
  <c r="AU1532" i="6" s="1"/>
  <c r="AS1533" i="6"/>
  <c r="AT1533" i="6" s="1"/>
  <c r="AU1533" i="6" s="1"/>
  <c r="AS1534" i="6"/>
  <c r="AS1535" i="6"/>
  <c r="AT1535" i="6" s="1"/>
  <c r="AU1535" i="6" s="1"/>
  <c r="AS1536" i="6"/>
  <c r="AT1536" i="6" s="1"/>
  <c r="AU1536" i="6" s="1"/>
  <c r="AS1537" i="6"/>
  <c r="AT1537" i="6" s="1"/>
  <c r="AU1537" i="6" s="1"/>
  <c r="AS1538" i="6"/>
  <c r="AS1539" i="6"/>
  <c r="AT1539" i="6" s="1"/>
  <c r="AU1539" i="6" s="1"/>
  <c r="AS1540" i="6"/>
  <c r="AT1540" i="6" s="1"/>
  <c r="AU1540" i="6" s="1"/>
  <c r="AS1541" i="6"/>
  <c r="AT1541" i="6" s="1"/>
  <c r="AU1541" i="6" s="1"/>
  <c r="AS1542" i="6"/>
  <c r="AS1543" i="6"/>
  <c r="AT1543" i="6" s="1"/>
  <c r="AU1543" i="6" s="1"/>
  <c r="AS1544" i="6"/>
  <c r="AT1544" i="6" s="1"/>
  <c r="AU1544" i="6" s="1"/>
  <c r="AS1545" i="6"/>
  <c r="AT1545" i="6" s="1"/>
  <c r="AU1545" i="6" s="1"/>
  <c r="AS1546" i="6"/>
  <c r="AS1547" i="6"/>
  <c r="AT1547" i="6" s="1"/>
  <c r="AU1547" i="6" s="1"/>
  <c r="AS1548" i="6"/>
  <c r="AT1548" i="6" s="1"/>
  <c r="AU1548" i="6" s="1"/>
  <c r="AS1549" i="6"/>
  <c r="AT1549" i="6" s="1"/>
  <c r="AU1549" i="6" s="1"/>
  <c r="AS1550" i="6"/>
  <c r="AS1551" i="6"/>
  <c r="AT1551" i="6" s="1"/>
  <c r="AU1551" i="6" s="1"/>
  <c r="AS1552" i="6"/>
  <c r="AT1552" i="6" s="1"/>
  <c r="AU1552" i="6" s="1"/>
  <c r="AS1553" i="6"/>
  <c r="AT1553" i="6" s="1"/>
  <c r="AU1553" i="6" s="1"/>
  <c r="AS1554" i="6"/>
  <c r="AS1555" i="6"/>
  <c r="AT1555" i="6" s="1"/>
  <c r="AU1555" i="6" s="1"/>
  <c r="AS1556" i="6"/>
  <c r="AT1556" i="6" s="1"/>
  <c r="AU1556" i="6" s="1"/>
  <c r="AS1557" i="6"/>
  <c r="AT1557" i="6" s="1"/>
  <c r="AU1557" i="6" s="1"/>
  <c r="AS1558" i="6"/>
  <c r="AS1559" i="6"/>
  <c r="AT1559" i="6" s="1"/>
  <c r="AU1559" i="6" s="1"/>
  <c r="AS1560" i="6"/>
  <c r="AT1560" i="6" s="1"/>
  <c r="AU1560" i="6" s="1"/>
  <c r="AS1561" i="6"/>
  <c r="AT1561" i="6" s="1"/>
  <c r="AU1561" i="6" s="1"/>
  <c r="AS1562" i="6"/>
  <c r="AS1563" i="6"/>
  <c r="AT1563" i="6" s="1"/>
  <c r="AU1563" i="6" s="1"/>
  <c r="AS1564" i="6"/>
  <c r="AT1564" i="6" s="1"/>
  <c r="AU1564" i="6" s="1"/>
  <c r="AS1565" i="6"/>
  <c r="AT1565" i="6" s="1"/>
  <c r="AU1565" i="6" s="1"/>
  <c r="AS1566" i="6"/>
  <c r="AS1567" i="6"/>
  <c r="AT1567" i="6" s="1"/>
  <c r="AU1567" i="6" s="1"/>
  <c r="AS1568" i="6"/>
  <c r="AT1568" i="6" s="1"/>
  <c r="AU1568" i="6" s="1"/>
  <c r="AS1569" i="6"/>
  <c r="AT1569" i="6" s="1"/>
  <c r="AU1569" i="6" s="1"/>
  <c r="AS1570" i="6"/>
  <c r="AS1571" i="6"/>
  <c r="AT1571" i="6" s="1"/>
  <c r="AU1571" i="6" s="1"/>
  <c r="AS1572" i="6"/>
  <c r="AT1572" i="6" s="1"/>
  <c r="AU1572" i="6" s="1"/>
  <c r="AS1573" i="6"/>
  <c r="AT1573" i="6" s="1"/>
  <c r="AU1573" i="6" s="1"/>
  <c r="AS1574" i="6"/>
  <c r="AS1575" i="6"/>
  <c r="AT1575" i="6" s="1"/>
  <c r="AU1575" i="6" s="1"/>
  <c r="AS1576" i="6"/>
  <c r="AT1576" i="6" s="1"/>
  <c r="AU1576" i="6" s="1"/>
  <c r="AS1577" i="6"/>
  <c r="AT1577" i="6" s="1"/>
  <c r="AU1577" i="6" s="1"/>
  <c r="AS1578" i="6"/>
  <c r="AS1579" i="6"/>
  <c r="AT1579" i="6" s="1"/>
  <c r="AU1579" i="6" s="1"/>
  <c r="AS1580" i="6"/>
  <c r="AT1580" i="6" s="1"/>
  <c r="AU1580" i="6" s="1"/>
  <c r="AS1581" i="6"/>
  <c r="AT1581" i="6" s="1"/>
  <c r="AU1581" i="6" s="1"/>
  <c r="AS1582" i="6"/>
  <c r="AS1583" i="6"/>
  <c r="AT1583" i="6" s="1"/>
  <c r="AU1583" i="6" s="1"/>
  <c r="AS1584" i="6"/>
  <c r="AT1584" i="6" s="1"/>
  <c r="AU1584" i="6" s="1"/>
  <c r="AS1585" i="6"/>
  <c r="AT1585" i="6" s="1"/>
  <c r="AU1585" i="6" s="1"/>
  <c r="AS1586" i="6"/>
  <c r="AS1587" i="6"/>
  <c r="AT1587" i="6" s="1"/>
  <c r="AU1587" i="6" s="1"/>
  <c r="AS1588" i="6"/>
  <c r="AT1588" i="6" s="1"/>
  <c r="AU1588" i="6" s="1"/>
  <c r="AS1589" i="6"/>
  <c r="AT1589" i="6" s="1"/>
  <c r="AU1589" i="6" s="1"/>
  <c r="AS1590" i="6"/>
  <c r="AS1591" i="6"/>
  <c r="AT1591" i="6" s="1"/>
  <c r="AU1591" i="6" s="1"/>
  <c r="AS1592" i="6"/>
  <c r="AT1592" i="6" s="1"/>
  <c r="AU1592" i="6" s="1"/>
  <c r="AS1593" i="6"/>
  <c r="AT1593" i="6" s="1"/>
  <c r="AU1593" i="6" s="1"/>
  <c r="AS1594" i="6"/>
  <c r="AS1595" i="6"/>
  <c r="AT1595" i="6" s="1"/>
  <c r="AU1595" i="6" s="1"/>
  <c r="AS1596" i="6"/>
  <c r="AT1596" i="6" s="1"/>
  <c r="AU1596" i="6" s="1"/>
  <c r="AS1597" i="6"/>
  <c r="AT1597" i="6" s="1"/>
  <c r="AU1597" i="6" s="1"/>
  <c r="AS1598" i="6"/>
  <c r="AS1599" i="6"/>
  <c r="AT1599" i="6" s="1"/>
  <c r="AU1599" i="6" s="1"/>
  <c r="AS1600" i="6"/>
  <c r="AT1600" i="6" s="1"/>
  <c r="AU1600" i="6" s="1"/>
  <c r="AS1601" i="6"/>
  <c r="AT1601" i="6" s="1"/>
  <c r="AU1601" i="6" s="1"/>
  <c r="AS1602" i="6"/>
  <c r="AS1603" i="6"/>
  <c r="AT1603" i="6" s="1"/>
  <c r="AU1603" i="6" s="1"/>
  <c r="AS1604" i="6"/>
  <c r="AT1604" i="6" s="1"/>
  <c r="AU1604" i="6" s="1"/>
  <c r="AS1605" i="6"/>
  <c r="AT1605" i="6" s="1"/>
  <c r="AU1605" i="6" s="1"/>
  <c r="AS1606" i="6"/>
  <c r="AS1607" i="6"/>
  <c r="AT1607" i="6" s="1"/>
  <c r="AU1607" i="6" s="1"/>
  <c r="AS1608" i="6"/>
  <c r="AT1608" i="6" s="1"/>
  <c r="AU1608" i="6" s="1"/>
  <c r="AS1609" i="6"/>
  <c r="AT1609" i="6" s="1"/>
  <c r="AU1609" i="6" s="1"/>
  <c r="AS1610" i="6"/>
  <c r="AS1611" i="6"/>
  <c r="AT1611" i="6" s="1"/>
  <c r="AU1611" i="6" s="1"/>
  <c r="AS1612" i="6"/>
  <c r="AT1612" i="6" s="1"/>
  <c r="AU1612" i="6" s="1"/>
  <c r="AS1613" i="6"/>
  <c r="AT1613" i="6" s="1"/>
  <c r="AU1613" i="6" s="1"/>
  <c r="AS1614" i="6"/>
  <c r="AS1615" i="6"/>
  <c r="AT1615" i="6" s="1"/>
  <c r="AU1615" i="6" s="1"/>
  <c r="AS1616" i="6"/>
  <c r="AT1616" i="6" s="1"/>
  <c r="AU1616" i="6" s="1"/>
  <c r="AS1617" i="6"/>
  <c r="AT1617" i="6" s="1"/>
  <c r="AU1617" i="6" s="1"/>
  <c r="AS1618" i="6"/>
  <c r="AS1619" i="6"/>
  <c r="AT1619" i="6" s="1"/>
  <c r="AU1619" i="6" s="1"/>
  <c r="AS1620" i="6"/>
  <c r="AT1620" i="6" s="1"/>
  <c r="AU1620" i="6" s="1"/>
  <c r="AS1621" i="6"/>
  <c r="AT1621" i="6" s="1"/>
  <c r="AU1621" i="6" s="1"/>
  <c r="AS1622" i="6"/>
  <c r="AS1623" i="6"/>
  <c r="AT1623" i="6" s="1"/>
  <c r="AU1623" i="6" s="1"/>
  <c r="AS1624" i="6"/>
  <c r="AT1624" i="6" s="1"/>
  <c r="AU1624" i="6" s="1"/>
  <c r="AS1625" i="6"/>
  <c r="AT1625" i="6" s="1"/>
  <c r="AU1625" i="6" s="1"/>
  <c r="AS1626" i="6"/>
  <c r="AS1627" i="6"/>
  <c r="AT1627" i="6" s="1"/>
  <c r="AU1627" i="6" s="1"/>
  <c r="AS1628" i="6"/>
  <c r="AT1628" i="6" s="1"/>
  <c r="AU1628" i="6" s="1"/>
  <c r="AS1629" i="6"/>
  <c r="AT1629" i="6" s="1"/>
  <c r="AU1629" i="6" s="1"/>
  <c r="AS1630" i="6"/>
  <c r="AS1631" i="6"/>
  <c r="AT1631" i="6" s="1"/>
  <c r="AU1631" i="6" s="1"/>
  <c r="AS1632" i="6"/>
  <c r="AT1632" i="6" s="1"/>
  <c r="AU1632" i="6" s="1"/>
  <c r="AS1633" i="6"/>
  <c r="AT1633" i="6" s="1"/>
  <c r="AU1633" i="6" s="1"/>
  <c r="AS1634" i="6"/>
  <c r="AS1635" i="6"/>
  <c r="AT1635" i="6" s="1"/>
  <c r="AU1635" i="6" s="1"/>
  <c r="AS1636" i="6"/>
  <c r="AT1636" i="6" s="1"/>
  <c r="AU1636" i="6" s="1"/>
  <c r="AS1637" i="6"/>
  <c r="AT1637" i="6" s="1"/>
  <c r="AU1637" i="6" s="1"/>
  <c r="AS1638" i="6"/>
  <c r="AS1639" i="6"/>
  <c r="AT1639" i="6" s="1"/>
  <c r="AU1639" i="6" s="1"/>
  <c r="AS1640" i="6"/>
  <c r="AT1640" i="6" s="1"/>
  <c r="AU1640" i="6" s="1"/>
  <c r="AS1641" i="6"/>
  <c r="AT1641" i="6" s="1"/>
  <c r="AU1641" i="6" s="1"/>
  <c r="AS1642" i="6"/>
  <c r="AS1643" i="6"/>
  <c r="AT1643" i="6" s="1"/>
  <c r="AU1643" i="6" s="1"/>
  <c r="AS1644" i="6"/>
  <c r="AT1644" i="6" s="1"/>
  <c r="AU1644" i="6" s="1"/>
  <c r="AS1645" i="6"/>
  <c r="AT1645" i="6" s="1"/>
  <c r="AU1645" i="6" s="1"/>
  <c r="AS1646" i="6"/>
  <c r="AS1647" i="6"/>
  <c r="AT1647" i="6" s="1"/>
  <c r="AU1647" i="6" s="1"/>
  <c r="AS1648" i="6"/>
  <c r="AT1648" i="6" s="1"/>
  <c r="AU1648" i="6" s="1"/>
  <c r="AS1649" i="6"/>
  <c r="AT1649" i="6" s="1"/>
  <c r="AU1649" i="6" s="1"/>
  <c r="AS1650" i="6"/>
  <c r="AS1651" i="6"/>
  <c r="AT1651" i="6" s="1"/>
  <c r="AU1651" i="6" s="1"/>
  <c r="AS1652" i="6"/>
  <c r="AT1652" i="6" s="1"/>
  <c r="AU1652" i="6" s="1"/>
  <c r="AS1653" i="6"/>
  <c r="AT1653" i="6" s="1"/>
  <c r="AU1653" i="6" s="1"/>
  <c r="AS1654" i="6"/>
  <c r="AS1655" i="6"/>
  <c r="AT1655" i="6" s="1"/>
  <c r="AU1655" i="6" s="1"/>
  <c r="AS1656" i="6"/>
  <c r="AT1656" i="6" s="1"/>
  <c r="AU1656" i="6" s="1"/>
  <c r="AS1657" i="6"/>
  <c r="AT1657" i="6" s="1"/>
  <c r="AU1657" i="6" s="1"/>
  <c r="AS1658" i="6"/>
  <c r="AS1659" i="6"/>
  <c r="AT1659" i="6" s="1"/>
  <c r="AU1659" i="6" s="1"/>
  <c r="AS1660" i="6"/>
  <c r="AT1660" i="6" s="1"/>
  <c r="AU1660" i="6" s="1"/>
  <c r="AS1661" i="6"/>
  <c r="AT1661" i="6" s="1"/>
  <c r="AU1661" i="6" s="1"/>
  <c r="AS1662" i="6"/>
  <c r="AS1663" i="6"/>
  <c r="AT1663" i="6" s="1"/>
  <c r="AU1663" i="6" s="1"/>
  <c r="AS1664" i="6"/>
  <c r="AT1664" i="6" s="1"/>
  <c r="AU1664" i="6" s="1"/>
  <c r="AS1665" i="6"/>
  <c r="AT1665" i="6" s="1"/>
  <c r="AU1665" i="6" s="1"/>
  <c r="AS1666" i="6"/>
  <c r="AS1667" i="6"/>
  <c r="AT1667" i="6" s="1"/>
  <c r="AU1667" i="6" s="1"/>
  <c r="AS1668" i="6"/>
  <c r="AT1668" i="6" s="1"/>
  <c r="AU1668" i="6" s="1"/>
  <c r="AS1669" i="6"/>
  <c r="AT1669" i="6" s="1"/>
  <c r="AU1669" i="6" s="1"/>
  <c r="AS1670" i="6"/>
  <c r="AS1671" i="6"/>
  <c r="AT1671" i="6" s="1"/>
  <c r="AU1671" i="6" s="1"/>
  <c r="AS1672" i="6"/>
  <c r="AT1672" i="6" s="1"/>
  <c r="AU1672" i="6" s="1"/>
  <c r="AS1673" i="6"/>
  <c r="AT1673" i="6" s="1"/>
  <c r="AU1673" i="6" s="1"/>
  <c r="AS1674" i="6"/>
  <c r="AS1675" i="6"/>
  <c r="AT1675" i="6" s="1"/>
  <c r="AU1675" i="6" s="1"/>
  <c r="AS1676" i="6"/>
  <c r="AT1676" i="6" s="1"/>
  <c r="AU1676" i="6" s="1"/>
  <c r="AS1677" i="6"/>
  <c r="AT1677" i="6" s="1"/>
  <c r="AU1677" i="6" s="1"/>
  <c r="AS1678" i="6"/>
  <c r="AS1679" i="6"/>
  <c r="AT1679" i="6" s="1"/>
  <c r="AU1679" i="6" s="1"/>
  <c r="AS1680" i="6"/>
  <c r="AT1680" i="6" s="1"/>
  <c r="AU1680" i="6" s="1"/>
  <c r="AS1681" i="6"/>
  <c r="AT1681" i="6" s="1"/>
  <c r="AU1681" i="6" s="1"/>
  <c r="AS1682" i="6"/>
  <c r="AS1683" i="6"/>
  <c r="AT1683" i="6" s="1"/>
  <c r="AU1683" i="6" s="1"/>
  <c r="AS1684" i="6"/>
  <c r="AT1684" i="6" s="1"/>
  <c r="AU1684" i="6" s="1"/>
  <c r="AS1685" i="6"/>
  <c r="AT1685" i="6" s="1"/>
  <c r="AU1685" i="6" s="1"/>
  <c r="AS1686" i="6"/>
  <c r="AS1687" i="6"/>
  <c r="AT1687" i="6" s="1"/>
  <c r="AU1687" i="6" s="1"/>
  <c r="AS1688" i="6"/>
  <c r="AT1688" i="6" s="1"/>
  <c r="AU1688" i="6" s="1"/>
  <c r="AS1689" i="6"/>
  <c r="AT1689" i="6" s="1"/>
  <c r="AU1689" i="6" s="1"/>
  <c r="AS1690" i="6"/>
  <c r="AS1691" i="6"/>
  <c r="AT1691" i="6" s="1"/>
  <c r="AU1691" i="6" s="1"/>
  <c r="AS1692" i="6"/>
  <c r="AT1692" i="6" s="1"/>
  <c r="AU1692" i="6" s="1"/>
  <c r="AS1693" i="6"/>
  <c r="AT1693" i="6" s="1"/>
  <c r="AU1693" i="6" s="1"/>
  <c r="AS1694" i="6"/>
  <c r="AS1695" i="6"/>
  <c r="AT1695" i="6" s="1"/>
  <c r="AU1695" i="6" s="1"/>
  <c r="AS1696" i="6"/>
  <c r="AT1696" i="6" s="1"/>
  <c r="AU1696" i="6" s="1"/>
  <c r="AS1697" i="6"/>
  <c r="AT1697" i="6" s="1"/>
  <c r="AU1697" i="6" s="1"/>
  <c r="AS1698" i="6"/>
  <c r="AS1699" i="6"/>
  <c r="AT1699" i="6" s="1"/>
  <c r="AU1699" i="6" s="1"/>
  <c r="AS1700" i="6"/>
  <c r="AT1700" i="6" s="1"/>
  <c r="AU1700" i="6" s="1"/>
  <c r="AS1701" i="6"/>
  <c r="AT1701" i="6" s="1"/>
  <c r="AU1701" i="6" s="1"/>
  <c r="AS1702" i="6"/>
  <c r="AS1703" i="6"/>
  <c r="AT1703" i="6" s="1"/>
  <c r="AU1703" i="6" s="1"/>
  <c r="AS1704" i="6"/>
  <c r="AT1704" i="6" s="1"/>
  <c r="AU1704" i="6" s="1"/>
  <c r="AS1705" i="6"/>
  <c r="AT1705" i="6" s="1"/>
  <c r="AU1705" i="6" s="1"/>
  <c r="AS1706" i="6"/>
  <c r="AS1707" i="6"/>
  <c r="AT1707" i="6" s="1"/>
  <c r="AU1707" i="6" s="1"/>
  <c r="AS1708" i="6"/>
  <c r="AT1708" i="6" s="1"/>
  <c r="AU1708" i="6" s="1"/>
  <c r="AS1709" i="6"/>
  <c r="AT1709" i="6" s="1"/>
  <c r="AU1709" i="6" s="1"/>
  <c r="AS1710" i="6"/>
  <c r="AS1711" i="6"/>
  <c r="AT1711" i="6" s="1"/>
  <c r="AU1711" i="6" s="1"/>
  <c r="AS1712" i="6"/>
  <c r="AT1712" i="6" s="1"/>
  <c r="AU1712" i="6" s="1"/>
  <c r="AS1713" i="6"/>
  <c r="AT1713" i="6" s="1"/>
  <c r="AU1713" i="6" s="1"/>
  <c r="AS1714" i="6"/>
  <c r="AS1715" i="6"/>
  <c r="AT1715" i="6" s="1"/>
  <c r="AU1715" i="6" s="1"/>
  <c r="AS1716" i="6"/>
  <c r="AT1716" i="6" s="1"/>
  <c r="AU1716" i="6" s="1"/>
  <c r="AS1717" i="6"/>
  <c r="AT1717" i="6" s="1"/>
  <c r="AU1717" i="6" s="1"/>
  <c r="AS1718" i="6"/>
  <c r="AS1719" i="6"/>
  <c r="AT1719" i="6" s="1"/>
  <c r="AU1719" i="6" s="1"/>
  <c r="AS1720" i="6"/>
  <c r="AT1720" i="6" s="1"/>
  <c r="AU1720" i="6" s="1"/>
  <c r="AS1721" i="6"/>
  <c r="AT1721" i="6" s="1"/>
  <c r="AU1721" i="6" s="1"/>
  <c r="AS1722" i="6"/>
  <c r="AS1723" i="6"/>
  <c r="AT1723" i="6" s="1"/>
  <c r="AU1723" i="6" s="1"/>
  <c r="AS1724" i="6"/>
  <c r="AT1724" i="6" s="1"/>
  <c r="AU1724" i="6" s="1"/>
  <c r="AS1725" i="6"/>
  <c r="AT1725" i="6" s="1"/>
  <c r="AU1725" i="6" s="1"/>
  <c r="AS1726" i="6"/>
  <c r="AS1727" i="6"/>
  <c r="AT1727" i="6" s="1"/>
  <c r="AU1727" i="6" s="1"/>
  <c r="AS1728" i="6"/>
  <c r="AT1728" i="6" s="1"/>
  <c r="AU1728" i="6" s="1"/>
  <c r="AS1729" i="6"/>
  <c r="AT1729" i="6" s="1"/>
  <c r="AU1729" i="6" s="1"/>
  <c r="AS1730" i="6"/>
  <c r="AS1731" i="6"/>
  <c r="AT1731" i="6" s="1"/>
  <c r="AU1731" i="6" s="1"/>
  <c r="AS1732" i="6"/>
  <c r="AT1732" i="6" s="1"/>
  <c r="AU1732" i="6" s="1"/>
  <c r="AS1733" i="6"/>
  <c r="AT1733" i="6" s="1"/>
  <c r="AU1733" i="6" s="1"/>
  <c r="AS1734" i="6"/>
  <c r="AS1735" i="6"/>
  <c r="AT1735" i="6" s="1"/>
  <c r="AU1735" i="6" s="1"/>
  <c r="AS1736" i="6"/>
  <c r="AT1736" i="6" s="1"/>
  <c r="AU1736" i="6" s="1"/>
  <c r="AS1737" i="6"/>
  <c r="AT1737" i="6" s="1"/>
  <c r="AU1737" i="6" s="1"/>
  <c r="AS1738" i="6"/>
  <c r="AS1739" i="6"/>
  <c r="AT1739" i="6" s="1"/>
  <c r="AU1739" i="6" s="1"/>
  <c r="AS1740" i="6"/>
  <c r="AT1740" i="6" s="1"/>
  <c r="AU1740" i="6" s="1"/>
  <c r="AS1741" i="6"/>
  <c r="AT1741" i="6" s="1"/>
  <c r="AU1741" i="6" s="1"/>
  <c r="AS1742" i="6"/>
  <c r="AS1743" i="6"/>
  <c r="AT1743" i="6" s="1"/>
  <c r="AU1743" i="6" s="1"/>
  <c r="AS1744" i="6"/>
  <c r="AT1744" i="6" s="1"/>
  <c r="AU1744" i="6" s="1"/>
  <c r="AS1745" i="6"/>
  <c r="AT1745" i="6" s="1"/>
  <c r="AU1745" i="6" s="1"/>
  <c r="AS1746" i="6"/>
  <c r="AS1747" i="6"/>
  <c r="AT1747" i="6" s="1"/>
  <c r="AU1747" i="6" s="1"/>
  <c r="AS1748" i="6"/>
  <c r="AT1748" i="6" s="1"/>
  <c r="AU1748" i="6" s="1"/>
  <c r="AS1749" i="6"/>
  <c r="AT1749" i="6" s="1"/>
  <c r="AU1749" i="6" s="1"/>
  <c r="AS1750" i="6"/>
  <c r="AS1751" i="6"/>
  <c r="AT1751" i="6" s="1"/>
  <c r="AU1751" i="6" s="1"/>
  <c r="AS1752" i="6"/>
  <c r="AT1752" i="6" s="1"/>
  <c r="AU1752" i="6" s="1"/>
  <c r="AS1753" i="6"/>
  <c r="AT1753" i="6" s="1"/>
  <c r="AU1753" i="6" s="1"/>
  <c r="AS1754" i="6"/>
  <c r="AS1755" i="6"/>
  <c r="AT1755" i="6" s="1"/>
  <c r="AU1755" i="6" s="1"/>
  <c r="AS1756" i="6"/>
  <c r="AT1756" i="6" s="1"/>
  <c r="AU1756" i="6" s="1"/>
  <c r="AS1757" i="6"/>
  <c r="AT1757" i="6" s="1"/>
  <c r="AU1757" i="6" s="1"/>
  <c r="AS1758" i="6"/>
  <c r="AS1759" i="6"/>
  <c r="AT1759" i="6" s="1"/>
  <c r="AU1759" i="6" s="1"/>
  <c r="AS1760" i="6"/>
  <c r="AT1760" i="6" s="1"/>
  <c r="AU1760" i="6" s="1"/>
  <c r="AS1761" i="6"/>
  <c r="AT1761" i="6" s="1"/>
  <c r="AU1761" i="6" s="1"/>
  <c r="AS1762" i="6"/>
  <c r="AS1763" i="6"/>
  <c r="AT1763" i="6" s="1"/>
  <c r="AU1763" i="6" s="1"/>
  <c r="AS1764" i="6"/>
  <c r="AT1764" i="6" s="1"/>
  <c r="AU1764" i="6" s="1"/>
  <c r="AS1765" i="6"/>
  <c r="AT1765" i="6" s="1"/>
  <c r="AU1765" i="6" s="1"/>
  <c r="AS1766" i="6"/>
  <c r="AS1767" i="6"/>
  <c r="AT1767" i="6" s="1"/>
  <c r="AU1767" i="6" s="1"/>
  <c r="AS1768" i="6"/>
  <c r="AT1768" i="6" s="1"/>
  <c r="AU1768" i="6" s="1"/>
  <c r="AS1769" i="6"/>
  <c r="AT1769" i="6" s="1"/>
  <c r="AU1769" i="6" s="1"/>
  <c r="AS1770" i="6"/>
  <c r="AS1771" i="6"/>
  <c r="AT1771" i="6" s="1"/>
  <c r="AU1771" i="6" s="1"/>
  <c r="AS1772" i="6"/>
  <c r="AT1772" i="6" s="1"/>
  <c r="AU1772" i="6" s="1"/>
  <c r="AS1773" i="6"/>
  <c r="AT1773" i="6" s="1"/>
  <c r="AU1773" i="6" s="1"/>
  <c r="AS1774" i="6"/>
  <c r="AS1775" i="6"/>
  <c r="AT1775" i="6" s="1"/>
  <c r="AU1775" i="6" s="1"/>
  <c r="AS1776" i="6"/>
  <c r="AT1776" i="6" s="1"/>
  <c r="AU1776" i="6" s="1"/>
  <c r="AS1777" i="6"/>
  <c r="AT1777" i="6" s="1"/>
  <c r="AU1777" i="6" s="1"/>
  <c r="AS1778" i="6"/>
  <c r="AS1779" i="6"/>
  <c r="AT1779" i="6" s="1"/>
  <c r="AU1779" i="6" s="1"/>
  <c r="AS1780" i="6"/>
  <c r="AT1780" i="6" s="1"/>
  <c r="AU1780" i="6" s="1"/>
  <c r="AS1781" i="6"/>
  <c r="AT1781" i="6" s="1"/>
  <c r="AU1781" i="6" s="1"/>
  <c r="AS1782" i="6"/>
  <c r="AS1783" i="6"/>
  <c r="AT1783" i="6" s="1"/>
  <c r="AU1783" i="6" s="1"/>
  <c r="AS1784" i="6"/>
  <c r="AT1784" i="6" s="1"/>
  <c r="AU1784" i="6" s="1"/>
  <c r="AS1785" i="6"/>
  <c r="AT1785" i="6" s="1"/>
  <c r="AU1785" i="6" s="1"/>
  <c r="AS1786" i="6"/>
  <c r="AS1787" i="6"/>
  <c r="AT1787" i="6" s="1"/>
  <c r="AU1787" i="6" s="1"/>
  <c r="AS1788" i="6"/>
  <c r="AT1788" i="6" s="1"/>
  <c r="AU1788" i="6" s="1"/>
  <c r="AS1789" i="6"/>
  <c r="AT1789" i="6" s="1"/>
  <c r="AU1789" i="6" s="1"/>
  <c r="AS1790" i="6"/>
  <c r="AS1791" i="6"/>
  <c r="AT1791" i="6" s="1"/>
  <c r="AU1791" i="6" s="1"/>
  <c r="AS1792" i="6"/>
  <c r="AT1792" i="6" s="1"/>
  <c r="AU1792" i="6" s="1"/>
  <c r="AS1793" i="6"/>
  <c r="AT1793" i="6" s="1"/>
  <c r="AU1793" i="6" s="1"/>
  <c r="AS1794" i="6"/>
  <c r="AS1795" i="6"/>
  <c r="AT1795" i="6" s="1"/>
  <c r="AU1795" i="6" s="1"/>
  <c r="AS1796" i="6"/>
  <c r="AT1796" i="6" s="1"/>
  <c r="AU1796" i="6" s="1"/>
  <c r="AS1797" i="6"/>
  <c r="AT1797" i="6" s="1"/>
  <c r="AU1797" i="6" s="1"/>
  <c r="AS1798" i="6"/>
  <c r="AS1799" i="6"/>
  <c r="AT1799" i="6" s="1"/>
  <c r="AU1799" i="6" s="1"/>
  <c r="AS1800" i="6"/>
  <c r="AT1800" i="6" s="1"/>
  <c r="AU1800" i="6" s="1"/>
  <c r="AS1801" i="6"/>
  <c r="AT1801" i="6" s="1"/>
  <c r="AU1801" i="6" s="1"/>
  <c r="AS1802" i="6"/>
  <c r="AS1803" i="6"/>
  <c r="AT1803" i="6" s="1"/>
  <c r="AU1803" i="6" s="1"/>
  <c r="AS1804" i="6"/>
  <c r="AT1804" i="6" s="1"/>
  <c r="AU1804" i="6" s="1"/>
  <c r="AS1805" i="6"/>
  <c r="AT1805" i="6" s="1"/>
  <c r="AU1805" i="6" s="1"/>
  <c r="AS1806" i="6"/>
  <c r="AS1807" i="6"/>
  <c r="AT1807" i="6" s="1"/>
  <c r="AU1807" i="6" s="1"/>
  <c r="AS1808" i="6"/>
  <c r="AT1808" i="6" s="1"/>
  <c r="AU1808" i="6" s="1"/>
  <c r="AS1809" i="6"/>
  <c r="AT1809" i="6" s="1"/>
  <c r="AU1809" i="6" s="1"/>
  <c r="AS1810" i="6"/>
  <c r="AS1811" i="6"/>
  <c r="AT1811" i="6" s="1"/>
  <c r="AU1811" i="6" s="1"/>
  <c r="AS1812" i="6"/>
  <c r="AT1812" i="6" s="1"/>
  <c r="AU1812" i="6" s="1"/>
  <c r="AS1813" i="6"/>
  <c r="AT1813" i="6" s="1"/>
  <c r="AU1813" i="6" s="1"/>
  <c r="AS1814" i="6"/>
  <c r="AS1815" i="6"/>
  <c r="AT1815" i="6" s="1"/>
  <c r="AU1815" i="6" s="1"/>
  <c r="AS1816" i="6"/>
  <c r="AT1816" i="6" s="1"/>
  <c r="AU1816" i="6" s="1"/>
  <c r="AS1817" i="6"/>
  <c r="AT1817" i="6" s="1"/>
  <c r="AU1817" i="6" s="1"/>
  <c r="AS1818" i="6"/>
  <c r="AS1819" i="6"/>
  <c r="AT1819" i="6" s="1"/>
  <c r="AU1819" i="6" s="1"/>
  <c r="AS1820" i="6"/>
  <c r="AT1820" i="6" s="1"/>
  <c r="AU1820" i="6" s="1"/>
  <c r="AS1821" i="6"/>
  <c r="AT1821" i="6" s="1"/>
  <c r="AU1821" i="6" s="1"/>
  <c r="AS1822" i="6"/>
  <c r="AS1823" i="6"/>
  <c r="AT1823" i="6" s="1"/>
  <c r="AU1823" i="6" s="1"/>
  <c r="AS1824" i="6"/>
  <c r="AT1824" i="6" s="1"/>
  <c r="AU1824" i="6" s="1"/>
  <c r="AS1825" i="6"/>
  <c r="AT1825" i="6" s="1"/>
  <c r="AU1825" i="6" s="1"/>
  <c r="AS1826" i="6"/>
  <c r="AS1827" i="6"/>
  <c r="AT1827" i="6" s="1"/>
  <c r="AU1827" i="6" s="1"/>
  <c r="AS1828" i="6"/>
  <c r="AT1828" i="6" s="1"/>
  <c r="AU1828" i="6" s="1"/>
  <c r="AS1829" i="6"/>
  <c r="AT1829" i="6" s="1"/>
  <c r="AU1829" i="6" s="1"/>
  <c r="AS1830" i="6"/>
  <c r="AS1831" i="6"/>
  <c r="AT1831" i="6" s="1"/>
  <c r="AU1831" i="6" s="1"/>
  <c r="AS1832" i="6"/>
  <c r="AT1832" i="6" s="1"/>
  <c r="AU1832" i="6" s="1"/>
  <c r="AS1833" i="6"/>
  <c r="AT1833" i="6" s="1"/>
  <c r="AU1833" i="6" s="1"/>
  <c r="AS1834" i="6"/>
  <c r="AS1835" i="6"/>
  <c r="AT1835" i="6" s="1"/>
  <c r="AU1835" i="6" s="1"/>
  <c r="AS1836" i="6"/>
  <c r="AT1836" i="6" s="1"/>
  <c r="AU1836" i="6" s="1"/>
  <c r="AS1837" i="6"/>
  <c r="AT1837" i="6" s="1"/>
  <c r="AU1837" i="6" s="1"/>
  <c r="AS1838" i="6"/>
  <c r="AS1839" i="6"/>
  <c r="AT1839" i="6" s="1"/>
  <c r="AU1839" i="6" s="1"/>
  <c r="AS1840" i="6"/>
  <c r="AT1840" i="6" s="1"/>
  <c r="AU1840" i="6" s="1"/>
  <c r="AS1841" i="6"/>
  <c r="AT1841" i="6" s="1"/>
  <c r="AU1841" i="6" s="1"/>
  <c r="AS1842" i="6"/>
  <c r="AS1843" i="6"/>
  <c r="AT1843" i="6" s="1"/>
  <c r="AU1843" i="6" s="1"/>
  <c r="AS1844" i="6"/>
  <c r="AT1844" i="6" s="1"/>
  <c r="AU1844" i="6" s="1"/>
  <c r="AS1845" i="6"/>
  <c r="AT1845" i="6" s="1"/>
  <c r="AU1845" i="6" s="1"/>
  <c r="AS1846" i="6"/>
  <c r="AS1847" i="6"/>
  <c r="AT1847" i="6" s="1"/>
  <c r="AU1847" i="6" s="1"/>
  <c r="AS1848" i="6"/>
  <c r="AT1848" i="6" s="1"/>
  <c r="AU1848" i="6" s="1"/>
  <c r="AS1849" i="6"/>
  <c r="AT1849" i="6" s="1"/>
  <c r="AU1849" i="6" s="1"/>
  <c r="AS1850" i="6"/>
  <c r="AS1851" i="6"/>
  <c r="AT1851" i="6" s="1"/>
  <c r="AU1851" i="6" s="1"/>
  <c r="AS1852" i="6"/>
  <c r="AT1852" i="6" s="1"/>
  <c r="AU1852" i="6" s="1"/>
  <c r="AS1853" i="6"/>
  <c r="AT1853" i="6" s="1"/>
  <c r="AU1853" i="6" s="1"/>
  <c r="AS1854" i="6"/>
  <c r="AS1855" i="6"/>
  <c r="AT1855" i="6" s="1"/>
  <c r="AU1855" i="6" s="1"/>
  <c r="AS1856" i="6"/>
  <c r="AT1856" i="6" s="1"/>
  <c r="AU1856" i="6" s="1"/>
  <c r="AS1857" i="6"/>
  <c r="AT1857" i="6" s="1"/>
  <c r="AU1857" i="6" s="1"/>
  <c r="AS1858" i="6"/>
  <c r="AS1859" i="6"/>
  <c r="AT1859" i="6" s="1"/>
  <c r="AU1859" i="6" s="1"/>
  <c r="AS1860" i="6"/>
  <c r="AT1860" i="6" s="1"/>
  <c r="AU1860" i="6" s="1"/>
  <c r="AS1861" i="6"/>
  <c r="AT1861" i="6" s="1"/>
  <c r="AU1861" i="6" s="1"/>
  <c r="AS1862" i="6"/>
  <c r="AS1863" i="6"/>
  <c r="AT1863" i="6" s="1"/>
  <c r="AU1863" i="6" s="1"/>
  <c r="AS1864" i="6"/>
  <c r="AT1864" i="6" s="1"/>
  <c r="AU1864" i="6" s="1"/>
  <c r="AS1865" i="6"/>
  <c r="AT1865" i="6" s="1"/>
  <c r="AU1865" i="6" s="1"/>
  <c r="AS1866" i="6"/>
  <c r="AS1867" i="6"/>
  <c r="AT1867" i="6" s="1"/>
  <c r="AU1867" i="6" s="1"/>
  <c r="AS1868" i="6"/>
  <c r="AT1868" i="6" s="1"/>
  <c r="AU1868" i="6" s="1"/>
  <c r="AS1869" i="6"/>
  <c r="AT1869" i="6" s="1"/>
  <c r="AU1869" i="6" s="1"/>
  <c r="AS1870" i="6"/>
  <c r="AS1871" i="6"/>
  <c r="AT1871" i="6" s="1"/>
  <c r="AU1871" i="6" s="1"/>
  <c r="AS1872" i="6"/>
  <c r="AT1872" i="6" s="1"/>
  <c r="AU1872" i="6" s="1"/>
  <c r="AS1873" i="6"/>
  <c r="AT1873" i="6" s="1"/>
  <c r="AU1873" i="6" s="1"/>
  <c r="AS1874" i="6"/>
  <c r="AS1875" i="6"/>
  <c r="AT1875" i="6" s="1"/>
  <c r="AU1875" i="6" s="1"/>
  <c r="AS1876" i="6"/>
  <c r="AT1876" i="6" s="1"/>
  <c r="AU1876" i="6" s="1"/>
  <c r="AS1877" i="6"/>
  <c r="AT1877" i="6" s="1"/>
  <c r="AU1877" i="6" s="1"/>
  <c r="AS1878" i="6"/>
  <c r="AS1879" i="6"/>
  <c r="AT1879" i="6" s="1"/>
  <c r="AU1879" i="6" s="1"/>
  <c r="AS1880" i="6"/>
  <c r="AT1880" i="6" s="1"/>
  <c r="AU1880" i="6" s="1"/>
  <c r="AS1881" i="6"/>
  <c r="AT1881" i="6" s="1"/>
  <c r="AU1881" i="6" s="1"/>
  <c r="AS1882" i="6"/>
  <c r="AS1883" i="6"/>
  <c r="AT1883" i="6" s="1"/>
  <c r="AU1883" i="6" s="1"/>
  <c r="AS1884" i="6"/>
  <c r="AT1884" i="6" s="1"/>
  <c r="AU1884" i="6" s="1"/>
  <c r="AS1885" i="6"/>
  <c r="AT1885" i="6" s="1"/>
  <c r="AU1885" i="6" s="1"/>
  <c r="AS1886" i="6"/>
  <c r="AS1887" i="6"/>
  <c r="AT1887" i="6" s="1"/>
  <c r="AU1887" i="6" s="1"/>
  <c r="AS1888" i="6"/>
  <c r="AT1888" i="6" s="1"/>
  <c r="AU1888" i="6" s="1"/>
  <c r="AS1889" i="6"/>
  <c r="AT1889" i="6" s="1"/>
  <c r="AU1889" i="6" s="1"/>
  <c r="AS1890" i="6"/>
  <c r="AS1891" i="6"/>
  <c r="AT1891" i="6" s="1"/>
  <c r="AU1891" i="6" s="1"/>
  <c r="AS1892" i="6"/>
  <c r="AT1892" i="6" s="1"/>
  <c r="AU1892" i="6" s="1"/>
  <c r="AS1893" i="6"/>
  <c r="AT1893" i="6" s="1"/>
  <c r="AU1893" i="6" s="1"/>
  <c r="AS1894" i="6"/>
  <c r="AS1895" i="6"/>
  <c r="AT1895" i="6" s="1"/>
  <c r="AU1895" i="6" s="1"/>
  <c r="AS1896" i="6"/>
  <c r="AT1896" i="6" s="1"/>
  <c r="AU1896" i="6" s="1"/>
  <c r="AS1897" i="6"/>
  <c r="AT1897" i="6" s="1"/>
  <c r="AU1897" i="6" s="1"/>
  <c r="AS1898" i="6"/>
  <c r="AS1899" i="6"/>
  <c r="AT1899" i="6" s="1"/>
  <c r="AU1899" i="6" s="1"/>
  <c r="AS1900" i="6"/>
  <c r="AS1901" i="6"/>
  <c r="AT1901" i="6" s="1"/>
  <c r="AU1901" i="6" s="1"/>
  <c r="AS1902" i="6"/>
  <c r="AS1903" i="6"/>
  <c r="AT1903" i="6" s="1"/>
  <c r="AU1903" i="6" s="1"/>
  <c r="AS1904" i="6"/>
  <c r="AT1904" i="6" s="1"/>
  <c r="AU1904" i="6" s="1"/>
  <c r="AS1905" i="6"/>
  <c r="AT1905" i="6" s="1"/>
  <c r="AU1905" i="6" s="1"/>
  <c r="AS1906" i="6"/>
  <c r="AS1907" i="6"/>
  <c r="AT1907" i="6" s="1"/>
  <c r="AU1907" i="6" s="1"/>
  <c r="AS1908" i="6"/>
  <c r="AT1908" i="6" s="1"/>
  <c r="AU1908" i="6" s="1"/>
  <c r="AS1909" i="6"/>
  <c r="AT1909" i="6" s="1"/>
  <c r="AU1909" i="6" s="1"/>
  <c r="AS1910" i="6"/>
  <c r="AS1911" i="6"/>
  <c r="AT1911" i="6" s="1"/>
  <c r="AU1911" i="6" s="1"/>
  <c r="AS1912" i="6"/>
  <c r="AT1912" i="6" s="1"/>
  <c r="AU1912" i="6" s="1"/>
  <c r="AS1913" i="6"/>
  <c r="AT1913" i="6" s="1"/>
  <c r="AU1913" i="6" s="1"/>
  <c r="AS1914" i="6"/>
  <c r="AS1915" i="6"/>
  <c r="AT1915" i="6" s="1"/>
  <c r="AU1915" i="6" s="1"/>
  <c r="AS1916" i="6"/>
  <c r="AT1916" i="6" s="1"/>
  <c r="AU1916" i="6" s="1"/>
  <c r="AS1917" i="6"/>
  <c r="AT1917" i="6" s="1"/>
  <c r="AU1917" i="6" s="1"/>
  <c r="AS1918" i="6"/>
  <c r="AS1919" i="6"/>
  <c r="AT1919" i="6" s="1"/>
  <c r="AU1919" i="6" s="1"/>
  <c r="AS1920" i="6"/>
  <c r="AT1920" i="6" s="1"/>
  <c r="AU1920" i="6" s="1"/>
  <c r="AS1921" i="6"/>
  <c r="AT1921" i="6" s="1"/>
  <c r="AU1921" i="6" s="1"/>
  <c r="AS1922" i="6"/>
  <c r="AS1923" i="6"/>
  <c r="AT1923" i="6" s="1"/>
  <c r="AU1923" i="6" s="1"/>
  <c r="AS1924" i="6"/>
  <c r="AT1924" i="6" s="1"/>
  <c r="AU1924" i="6" s="1"/>
  <c r="AS1925" i="6"/>
  <c r="AT1925" i="6" s="1"/>
  <c r="AU1925" i="6" s="1"/>
  <c r="AS1926" i="6"/>
  <c r="AS1927" i="6"/>
  <c r="AT1927" i="6" s="1"/>
  <c r="AU1927" i="6" s="1"/>
  <c r="AS1928" i="6"/>
  <c r="AT1928" i="6" s="1"/>
  <c r="AU1928" i="6" s="1"/>
  <c r="AS1929" i="6"/>
  <c r="AT1929" i="6" s="1"/>
  <c r="AU1929" i="6" s="1"/>
  <c r="AS1930" i="6"/>
  <c r="AS1931" i="6"/>
  <c r="AT1931" i="6" s="1"/>
  <c r="AU1931" i="6" s="1"/>
  <c r="AS1932" i="6"/>
  <c r="AT1932" i="6" s="1"/>
  <c r="AU1932" i="6" s="1"/>
  <c r="AS1933" i="6"/>
  <c r="AT1933" i="6" s="1"/>
  <c r="AU1933" i="6" s="1"/>
  <c r="AS1934" i="6"/>
  <c r="AS1935" i="6"/>
  <c r="AT1935" i="6" s="1"/>
  <c r="AU1935" i="6" s="1"/>
  <c r="AS1936" i="6"/>
  <c r="AT1936" i="6" s="1"/>
  <c r="AU1936" i="6" s="1"/>
  <c r="AS1937" i="6"/>
  <c r="AT1937" i="6" s="1"/>
  <c r="AU1937" i="6" s="1"/>
  <c r="AS1938" i="6"/>
  <c r="AS1939" i="6"/>
  <c r="AT1939" i="6" s="1"/>
  <c r="AU1939" i="6" s="1"/>
  <c r="AS1940" i="6"/>
  <c r="AT1940" i="6" s="1"/>
  <c r="AU1940" i="6" s="1"/>
  <c r="AS1941" i="6"/>
  <c r="AT1941" i="6" s="1"/>
  <c r="AU1941" i="6" s="1"/>
  <c r="AS1942" i="6"/>
  <c r="AS1943" i="6"/>
  <c r="AT1943" i="6" s="1"/>
  <c r="AU1943" i="6" s="1"/>
  <c r="AS1944" i="6"/>
  <c r="AT1944" i="6" s="1"/>
  <c r="AU1944" i="6" s="1"/>
  <c r="AS1945" i="6"/>
  <c r="AT1945" i="6" s="1"/>
  <c r="AU1945" i="6" s="1"/>
  <c r="AS1946" i="6"/>
  <c r="AS1947" i="6"/>
  <c r="AT1947" i="6" s="1"/>
  <c r="AU1947" i="6" s="1"/>
  <c r="AS1948" i="6"/>
  <c r="AT1948" i="6" s="1"/>
  <c r="AU1948" i="6" s="1"/>
  <c r="AS1949" i="6"/>
  <c r="AT1949" i="6" s="1"/>
  <c r="AU1949" i="6" s="1"/>
  <c r="AS1950" i="6"/>
  <c r="AS1951" i="6"/>
  <c r="AT1951" i="6" s="1"/>
  <c r="AU1951" i="6" s="1"/>
  <c r="AS1952" i="6"/>
  <c r="AT1952" i="6" s="1"/>
  <c r="AU1952" i="6" s="1"/>
  <c r="AS1953" i="6"/>
  <c r="AT1953" i="6" s="1"/>
  <c r="AU1953" i="6" s="1"/>
  <c r="AS1954" i="6"/>
  <c r="AS1955" i="6"/>
  <c r="AT1955" i="6" s="1"/>
  <c r="AU1955" i="6" s="1"/>
  <c r="AS1956" i="6"/>
  <c r="AT1956" i="6" s="1"/>
  <c r="AU1956" i="6" s="1"/>
  <c r="AS1957" i="6"/>
  <c r="AT1957" i="6" s="1"/>
  <c r="AU1957" i="6" s="1"/>
  <c r="AS1958" i="6"/>
  <c r="AS1959" i="6"/>
  <c r="AT1959" i="6" s="1"/>
  <c r="AU1959" i="6" s="1"/>
  <c r="AS1960" i="6"/>
  <c r="AT1960" i="6" s="1"/>
  <c r="AU1960" i="6" s="1"/>
  <c r="AS1961" i="6"/>
  <c r="AT1961" i="6" s="1"/>
  <c r="AU1961" i="6" s="1"/>
  <c r="AS1962" i="6"/>
  <c r="AS1963" i="6"/>
  <c r="AT1963" i="6" s="1"/>
  <c r="AU1963" i="6" s="1"/>
  <c r="AS1964" i="6"/>
  <c r="AT1964" i="6" s="1"/>
  <c r="AU1964" i="6" s="1"/>
  <c r="AS1965" i="6"/>
  <c r="AT1965" i="6" s="1"/>
  <c r="AU1965" i="6" s="1"/>
  <c r="AS1966" i="6"/>
  <c r="AS1967" i="6"/>
  <c r="AT1967" i="6" s="1"/>
  <c r="AU1967" i="6" s="1"/>
  <c r="AS1968" i="6"/>
  <c r="AT1968" i="6" s="1"/>
  <c r="AU1968" i="6" s="1"/>
  <c r="AS1969" i="6"/>
  <c r="AT1969" i="6" s="1"/>
  <c r="AU1969" i="6" s="1"/>
  <c r="AS1970" i="6"/>
  <c r="AS1971" i="6"/>
  <c r="AT1971" i="6" s="1"/>
  <c r="AU1971" i="6" s="1"/>
  <c r="AS1972" i="6"/>
  <c r="AT1972" i="6" s="1"/>
  <c r="AU1972" i="6" s="1"/>
  <c r="AS1973" i="6"/>
  <c r="AT1973" i="6" s="1"/>
  <c r="AU1973" i="6" s="1"/>
  <c r="AS1974" i="6"/>
  <c r="AS1975" i="6"/>
  <c r="AT1975" i="6" s="1"/>
  <c r="AU1975" i="6" s="1"/>
  <c r="AS1976" i="6"/>
  <c r="AT1976" i="6" s="1"/>
  <c r="AU1976" i="6" s="1"/>
  <c r="AS1977" i="6"/>
  <c r="AT1977" i="6" s="1"/>
  <c r="AU1977" i="6" s="1"/>
  <c r="AS1978" i="6"/>
  <c r="AS1979" i="6"/>
  <c r="AT1979" i="6" s="1"/>
  <c r="AU1979" i="6" s="1"/>
  <c r="AS1980" i="6"/>
  <c r="AT1980" i="6" s="1"/>
  <c r="AU1980" i="6" s="1"/>
  <c r="AS1981" i="6"/>
  <c r="AT1981" i="6" s="1"/>
  <c r="AU1981" i="6" s="1"/>
  <c r="AS1982" i="6"/>
  <c r="AS1983" i="6"/>
  <c r="AT1983" i="6" s="1"/>
  <c r="AU1983" i="6" s="1"/>
  <c r="AS1984" i="6"/>
  <c r="AT1984" i="6" s="1"/>
  <c r="AU1984" i="6" s="1"/>
  <c r="AS1985" i="6"/>
  <c r="AT1985" i="6" s="1"/>
  <c r="AU1985" i="6" s="1"/>
  <c r="AS1986" i="6"/>
  <c r="AS1987" i="6"/>
  <c r="AT1987" i="6" s="1"/>
  <c r="AU1987" i="6" s="1"/>
  <c r="AS1988" i="6"/>
  <c r="AT1988" i="6" s="1"/>
  <c r="AU1988" i="6" s="1"/>
  <c r="AS1989" i="6"/>
  <c r="AT1989" i="6" s="1"/>
  <c r="AU1989" i="6" s="1"/>
  <c r="AS1990" i="6"/>
  <c r="AS1991" i="6"/>
  <c r="AT1991" i="6" s="1"/>
  <c r="AU1991" i="6" s="1"/>
  <c r="AS1992" i="6"/>
  <c r="AT1992" i="6" s="1"/>
  <c r="AU1992" i="6" s="1"/>
  <c r="AS1993" i="6"/>
  <c r="AT1993" i="6" s="1"/>
  <c r="AU1993" i="6" s="1"/>
  <c r="AS1994" i="6"/>
  <c r="AS1995" i="6"/>
  <c r="AT1995" i="6" s="1"/>
  <c r="AU1995" i="6" s="1"/>
  <c r="AS1996" i="6"/>
  <c r="AT1996" i="6" s="1"/>
  <c r="AU1996" i="6" s="1"/>
  <c r="AS1997" i="6"/>
  <c r="AT1997" i="6" s="1"/>
  <c r="AU1997" i="6" s="1"/>
  <c r="AS1998" i="6"/>
  <c r="AS1999" i="6"/>
  <c r="AT1999" i="6" s="1"/>
  <c r="AU1999" i="6" s="1"/>
  <c r="AS2000" i="6"/>
  <c r="AT2000" i="6" s="1"/>
  <c r="AU2000" i="6" s="1"/>
  <c r="AS2001" i="6"/>
  <c r="AT2001" i="6" s="1"/>
  <c r="AU2001" i="6" s="1"/>
  <c r="AS2002" i="6"/>
  <c r="AS2003" i="6"/>
  <c r="AT2003" i="6" s="1"/>
  <c r="AU2003" i="6" s="1"/>
  <c r="AS2004" i="6"/>
  <c r="AT2004" i="6" s="1"/>
  <c r="AU2004" i="6" s="1"/>
  <c r="AS2005" i="6"/>
  <c r="AT2005" i="6" s="1"/>
  <c r="AU2005" i="6" s="1"/>
  <c r="AS2006" i="6"/>
  <c r="AS2007" i="6"/>
  <c r="AT2007" i="6" s="1"/>
  <c r="AU2007" i="6" s="1"/>
  <c r="AS2008" i="6"/>
  <c r="AT2008" i="6" s="1"/>
  <c r="AU2008" i="6" s="1"/>
  <c r="AN9" i="6"/>
  <c r="AO9" i="6" s="1"/>
  <c r="AP9" i="6" s="1"/>
  <c r="AN8" i="6"/>
  <c r="AN10" i="6"/>
  <c r="AO10" i="6" s="1"/>
  <c r="AP10" i="6" s="1"/>
  <c r="AN11" i="6"/>
  <c r="AO11" i="6" s="1"/>
  <c r="AP11" i="6" s="1"/>
  <c r="AN12" i="6"/>
  <c r="AN13" i="6"/>
  <c r="AN14" i="6"/>
  <c r="AO14" i="6" s="1"/>
  <c r="AP14" i="6" s="1"/>
  <c r="AN15" i="6"/>
  <c r="AO15" i="6" s="1"/>
  <c r="AP15" i="6" s="1"/>
  <c r="AN16" i="6"/>
  <c r="AO16" i="6" s="1"/>
  <c r="AP16" i="6" s="1"/>
  <c r="AN17" i="6"/>
  <c r="AN18" i="6"/>
  <c r="AO18" i="6" s="1"/>
  <c r="AP18" i="6" s="1"/>
  <c r="AN19" i="6"/>
  <c r="AO19" i="6" s="1"/>
  <c r="AP19" i="6" s="1"/>
  <c r="AN20" i="6"/>
  <c r="AO20" i="6" s="1"/>
  <c r="AP20" i="6" s="1"/>
  <c r="AN21" i="6"/>
  <c r="AN22" i="6"/>
  <c r="AO22" i="6" s="1"/>
  <c r="AP22" i="6" s="1"/>
  <c r="AN23" i="6"/>
  <c r="AO23" i="6" s="1"/>
  <c r="AP23" i="6" s="1"/>
  <c r="AN24" i="6"/>
  <c r="AO24" i="6" s="1"/>
  <c r="AP24" i="6" s="1"/>
  <c r="AN25" i="6"/>
  <c r="AN26" i="6"/>
  <c r="AO26" i="6" s="1"/>
  <c r="AP26" i="6" s="1"/>
  <c r="AN27" i="6"/>
  <c r="AO27" i="6" s="1"/>
  <c r="AP27" i="6" s="1"/>
  <c r="AN28" i="6"/>
  <c r="AO28" i="6" s="1"/>
  <c r="AP28" i="6" s="1"/>
  <c r="AN29" i="6"/>
  <c r="AN30" i="6"/>
  <c r="AO30" i="6" s="1"/>
  <c r="AP30" i="6" s="1"/>
  <c r="AN31" i="6"/>
  <c r="AO31" i="6" s="1"/>
  <c r="AP31" i="6" s="1"/>
  <c r="AN32" i="6"/>
  <c r="AO32" i="6" s="1"/>
  <c r="AP32" i="6" s="1"/>
  <c r="AN33" i="6"/>
  <c r="AN34" i="6"/>
  <c r="AO34" i="6" s="1"/>
  <c r="AP34" i="6" s="1"/>
  <c r="AN35" i="6"/>
  <c r="AO35" i="6" s="1"/>
  <c r="AP35" i="6" s="1"/>
  <c r="AN36" i="6"/>
  <c r="AO36" i="6" s="1"/>
  <c r="AP36" i="6" s="1"/>
  <c r="AN37" i="6"/>
  <c r="AN38" i="6"/>
  <c r="AO38" i="6" s="1"/>
  <c r="AP38" i="6" s="1"/>
  <c r="AN39" i="6"/>
  <c r="AO39" i="6" s="1"/>
  <c r="AP39" i="6" s="1"/>
  <c r="AN40" i="6"/>
  <c r="AO40" i="6" s="1"/>
  <c r="AP40" i="6" s="1"/>
  <c r="AN41" i="6"/>
  <c r="AN42" i="6"/>
  <c r="AO42" i="6" s="1"/>
  <c r="AP42" i="6" s="1"/>
  <c r="AN43" i="6"/>
  <c r="AO43" i="6" s="1"/>
  <c r="AP43" i="6" s="1"/>
  <c r="AN44" i="6"/>
  <c r="AO44" i="6" s="1"/>
  <c r="AP44" i="6" s="1"/>
  <c r="AN45" i="6"/>
  <c r="AN46" i="6"/>
  <c r="AO46" i="6" s="1"/>
  <c r="AP46" i="6" s="1"/>
  <c r="AN47" i="6"/>
  <c r="AO47" i="6" s="1"/>
  <c r="AP47" i="6" s="1"/>
  <c r="AN48" i="6"/>
  <c r="AO48" i="6" s="1"/>
  <c r="AP48" i="6" s="1"/>
  <c r="AN49" i="6"/>
  <c r="AN50" i="6"/>
  <c r="AO50" i="6" s="1"/>
  <c r="AP50" i="6" s="1"/>
  <c r="AN51" i="6"/>
  <c r="AO51" i="6" s="1"/>
  <c r="AP51" i="6" s="1"/>
  <c r="AN52" i="6"/>
  <c r="AO52" i="6" s="1"/>
  <c r="AP52" i="6" s="1"/>
  <c r="AN53" i="6"/>
  <c r="AN54" i="6"/>
  <c r="AO54" i="6" s="1"/>
  <c r="AP54" i="6" s="1"/>
  <c r="AN55" i="6"/>
  <c r="AO55" i="6" s="1"/>
  <c r="AP55" i="6" s="1"/>
  <c r="AN56" i="6"/>
  <c r="AO56" i="6" s="1"/>
  <c r="AP56" i="6" s="1"/>
  <c r="AN57" i="6"/>
  <c r="AN58" i="6"/>
  <c r="AO58" i="6" s="1"/>
  <c r="AP58" i="6" s="1"/>
  <c r="AN59" i="6"/>
  <c r="AO59" i="6" s="1"/>
  <c r="AP59" i="6" s="1"/>
  <c r="AN60" i="6"/>
  <c r="AO60" i="6" s="1"/>
  <c r="AP60" i="6" s="1"/>
  <c r="AN61" i="6"/>
  <c r="AN62" i="6"/>
  <c r="AO62" i="6" s="1"/>
  <c r="AP62" i="6" s="1"/>
  <c r="AN63" i="6"/>
  <c r="AO63" i="6" s="1"/>
  <c r="AP63" i="6" s="1"/>
  <c r="AN64" i="6"/>
  <c r="AO64" i="6" s="1"/>
  <c r="AP64" i="6" s="1"/>
  <c r="AN65" i="6"/>
  <c r="AN66" i="6"/>
  <c r="AO66" i="6" s="1"/>
  <c r="AP66" i="6" s="1"/>
  <c r="AN67" i="6"/>
  <c r="AO67" i="6" s="1"/>
  <c r="AP67" i="6" s="1"/>
  <c r="AN68" i="6"/>
  <c r="AO68" i="6" s="1"/>
  <c r="AP68" i="6" s="1"/>
  <c r="AN69" i="6"/>
  <c r="AN70" i="6"/>
  <c r="AO70" i="6" s="1"/>
  <c r="AP70" i="6" s="1"/>
  <c r="AN71" i="6"/>
  <c r="AO71" i="6" s="1"/>
  <c r="AP71" i="6" s="1"/>
  <c r="AN72" i="6"/>
  <c r="AO72" i="6" s="1"/>
  <c r="AP72" i="6" s="1"/>
  <c r="AN73" i="6"/>
  <c r="AN74" i="6"/>
  <c r="AO74" i="6" s="1"/>
  <c r="AP74" i="6" s="1"/>
  <c r="AN75" i="6"/>
  <c r="AO75" i="6" s="1"/>
  <c r="AP75" i="6" s="1"/>
  <c r="AN76" i="6"/>
  <c r="AO76" i="6" s="1"/>
  <c r="AP76" i="6" s="1"/>
  <c r="AN77" i="6"/>
  <c r="AN78" i="6"/>
  <c r="AO78" i="6" s="1"/>
  <c r="AP78" i="6" s="1"/>
  <c r="AN79" i="6"/>
  <c r="AO79" i="6" s="1"/>
  <c r="AP79" i="6" s="1"/>
  <c r="AN80" i="6"/>
  <c r="AO80" i="6" s="1"/>
  <c r="AP80" i="6" s="1"/>
  <c r="AN81" i="6"/>
  <c r="AN82" i="6"/>
  <c r="AO82" i="6" s="1"/>
  <c r="AP82" i="6" s="1"/>
  <c r="AN83" i="6"/>
  <c r="AO83" i="6" s="1"/>
  <c r="AP83" i="6" s="1"/>
  <c r="AN84" i="6"/>
  <c r="AO84" i="6" s="1"/>
  <c r="AP84" i="6" s="1"/>
  <c r="AN85" i="6"/>
  <c r="AN86" i="6"/>
  <c r="AO86" i="6" s="1"/>
  <c r="AP86" i="6" s="1"/>
  <c r="AN87" i="6"/>
  <c r="AO87" i="6" s="1"/>
  <c r="AP87" i="6" s="1"/>
  <c r="AN88" i="6"/>
  <c r="AO88" i="6" s="1"/>
  <c r="AP88" i="6" s="1"/>
  <c r="AN89" i="6"/>
  <c r="AN90" i="6"/>
  <c r="AO90" i="6" s="1"/>
  <c r="AP90" i="6" s="1"/>
  <c r="AN91" i="6"/>
  <c r="AO91" i="6" s="1"/>
  <c r="AP91" i="6" s="1"/>
  <c r="AN92" i="6"/>
  <c r="AO92" i="6" s="1"/>
  <c r="AP92" i="6" s="1"/>
  <c r="AN93" i="6"/>
  <c r="AN94" i="6"/>
  <c r="AO94" i="6" s="1"/>
  <c r="AP94" i="6" s="1"/>
  <c r="AN95" i="6"/>
  <c r="AO95" i="6" s="1"/>
  <c r="AP95" i="6" s="1"/>
  <c r="AN96" i="6"/>
  <c r="AO96" i="6" s="1"/>
  <c r="AP96" i="6" s="1"/>
  <c r="AN97" i="6"/>
  <c r="AN98" i="6"/>
  <c r="AO98" i="6" s="1"/>
  <c r="AP98" i="6" s="1"/>
  <c r="AN99" i="6"/>
  <c r="AO99" i="6" s="1"/>
  <c r="AP99" i="6" s="1"/>
  <c r="AN100" i="6"/>
  <c r="AO100" i="6" s="1"/>
  <c r="AP100" i="6" s="1"/>
  <c r="AN101" i="6"/>
  <c r="AN102" i="6"/>
  <c r="AO102" i="6" s="1"/>
  <c r="AP102" i="6" s="1"/>
  <c r="AN103" i="6"/>
  <c r="AO103" i="6" s="1"/>
  <c r="AP103" i="6" s="1"/>
  <c r="AN104" i="6"/>
  <c r="AO104" i="6" s="1"/>
  <c r="AP104" i="6" s="1"/>
  <c r="AN105" i="6"/>
  <c r="AN106" i="6"/>
  <c r="AO106" i="6" s="1"/>
  <c r="AP106" i="6" s="1"/>
  <c r="AN107" i="6"/>
  <c r="AO107" i="6" s="1"/>
  <c r="AP107" i="6" s="1"/>
  <c r="AN108" i="6"/>
  <c r="AO108" i="6" s="1"/>
  <c r="AP108" i="6" s="1"/>
  <c r="AN109" i="6"/>
  <c r="AN110" i="6"/>
  <c r="AO110" i="6" s="1"/>
  <c r="AP110" i="6" s="1"/>
  <c r="AN111" i="6"/>
  <c r="AO111" i="6" s="1"/>
  <c r="AP111" i="6" s="1"/>
  <c r="AN112" i="6"/>
  <c r="AO112" i="6" s="1"/>
  <c r="AP112" i="6" s="1"/>
  <c r="AN113" i="6"/>
  <c r="AN114" i="6"/>
  <c r="AO114" i="6" s="1"/>
  <c r="AP114" i="6" s="1"/>
  <c r="AN115" i="6"/>
  <c r="AO115" i="6" s="1"/>
  <c r="AP115" i="6" s="1"/>
  <c r="AN116" i="6"/>
  <c r="AO116" i="6" s="1"/>
  <c r="AP116" i="6" s="1"/>
  <c r="AN117" i="6"/>
  <c r="AN118" i="6"/>
  <c r="AO118" i="6" s="1"/>
  <c r="AP118" i="6" s="1"/>
  <c r="AN119" i="6"/>
  <c r="AO119" i="6" s="1"/>
  <c r="AP119" i="6" s="1"/>
  <c r="AN120" i="6"/>
  <c r="AO120" i="6" s="1"/>
  <c r="AP120" i="6" s="1"/>
  <c r="AN121" i="6"/>
  <c r="AN122" i="6"/>
  <c r="AO122" i="6" s="1"/>
  <c r="AP122" i="6" s="1"/>
  <c r="AN123" i="6"/>
  <c r="AO123" i="6" s="1"/>
  <c r="AP123" i="6" s="1"/>
  <c r="AN124" i="6"/>
  <c r="AO124" i="6" s="1"/>
  <c r="AP124" i="6" s="1"/>
  <c r="AN125" i="6"/>
  <c r="AN126" i="6"/>
  <c r="AO126" i="6" s="1"/>
  <c r="AP126" i="6" s="1"/>
  <c r="AN127" i="6"/>
  <c r="AO127" i="6" s="1"/>
  <c r="AP127" i="6" s="1"/>
  <c r="AN128" i="6"/>
  <c r="AO128" i="6" s="1"/>
  <c r="AP128" i="6" s="1"/>
  <c r="AN129" i="6"/>
  <c r="AN130" i="6"/>
  <c r="AO130" i="6" s="1"/>
  <c r="AP130" i="6" s="1"/>
  <c r="AN131" i="6"/>
  <c r="AO131" i="6" s="1"/>
  <c r="AP131" i="6" s="1"/>
  <c r="AN132" i="6"/>
  <c r="AO132" i="6" s="1"/>
  <c r="AP132" i="6" s="1"/>
  <c r="AN133" i="6"/>
  <c r="AN134" i="6"/>
  <c r="AO134" i="6" s="1"/>
  <c r="AP134" i="6" s="1"/>
  <c r="AN135" i="6"/>
  <c r="AO135" i="6" s="1"/>
  <c r="AP135" i="6" s="1"/>
  <c r="AN136" i="6"/>
  <c r="AO136" i="6" s="1"/>
  <c r="AP136" i="6" s="1"/>
  <c r="AN137" i="6"/>
  <c r="AN138" i="6"/>
  <c r="AO138" i="6" s="1"/>
  <c r="AP138" i="6" s="1"/>
  <c r="AN139" i="6"/>
  <c r="AO139" i="6" s="1"/>
  <c r="AP139" i="6" s="1"/>
  <c r="AN140" i="6"/>
  <c r="AO140" i="6" s="1"/>
  <c r="AP140" i="6" s="1"/>
  <c r="AN141" i="6"/>
  <c r="AN142" i="6"/>
  <c r="AO142" i="6" s="1"/>
  <c r="AP142" i="6" s="1"/>
  <c r="AN143" i="6"/>
  <c r="AO143" i="6" s="1"/>
  <c r="AP143" i="6" s="1"/>
  <c r="AN144" i="6"/>
  <c r="AO144" i="6" s="1"/>
  <c r="AP144" i="6" s="1"/>
  <c r="AN145" i="6"/>
  <c r="AN146" i="6"/>
  <c r="AO146" i="6" s="1"/>
  <c r="AP146" i="6" s="1"/>
  <c r="AN147" i="6"/>
  <c r="AO147" i="6" s="1"/>
  <c r="AP147" i="6" s="1"/>
  <c r="AN148" i="6"/>
  <c r="AO148" i="6" s="1"/>
  <c r="AP148" i="6" s="1"/>
  <c r="AN149" i="6"/>
  <c r="AN150" i="6"/>
  <c r="AO150" i="6" s="1"/>
  <c r="AP150" i="6" s="1"/>
  <c r="AN151" i="6"/>
  <c r="AO151" i="6" s="1"/>
  <c r="AP151" i="6" s="1"/>
  <c r="AN152" i="6"/>
  <c r="AO152" i="6" s="1"/>
  <c r="AP152" i="6" s="1"/>
  <c r="AN153" i="6"/>
  <c r="AN154" i="6"/>
  <c r="AO154" i="6" s="1"/>
  <c r="AP154" i="6" s="1"/>
  <c r="AN155" i="6"/>
  <c r="AO155" i="6" s="1"/>
  <c r="AP155" i="6" s="1"/>
  <c r="AN156" i="6"/>
  <c r="AO156" i="6" s="1"/>
  <c r="AP156" i="6" s="1"/>
  <c r="AN157" i="6"/>
  <c r="AN158" i="6"/>
  <c r="AO158" i="6" s="1"/>
  <c r="AP158" i="6" s="1"/>
  <c r="AN159" i="6"/>
  <c r="AO159" i="6" s="1"/>
  <c r="AP159" i="6" s="1"/>
  <c r="AN160" i="6"/>
  <c r="AO160" i="6" s="1"/>
  <c r="AP160" i="6" s="1"/>
  <c r="AN161" i="6"/>
  <c r="AN162" i="6"/>
  <c r="AO162" i="6" s="1"/>
  <c r="AP162" i="6" s="1"/>
  <c r="AN163" i="6"/>
  <c r="AO163" i="6" s="1"/>
  <c r="AP163" i="6" s="1"/>
  <c r="AN164" i="6"/>
  <c r="AO164" i="6" s="1"/>
  <c r="AP164" i="6" s="1"/>
  <c r="AN165" i="6"/>
  <c r="AN166" i="6"/>
  <c r="AO166" i="6" s="1"/>
  <c r="AP166" i="6" s="1"/>
  <c r="AN167" i="6"/>
  <c r="AO167" i="6" s="1"/>
  <c r="AP167" i="6" s="1"/>
  <c r="AN168" i="6"/>
  <c r="AO168" i="6" s="1"/>
  <c r="AP168" i="6" s="1"/>
  <c r="AN169" i="6"/>
  <c r="AN170" i="6"/>
  <c r="AO170" i="6" s="1"/>
  <c r="AP170" i="6" s="1"/>
  <c r="AN171" i="6"/>
  <c r="AO171" i="6" s="1"/>
  <c r="AP171" i="6" s="1"/>
  <c r="AN172" i="6"/>
  <c r="AO172" i="6" s="1"/>
  <c r="AP172" i="6" s="1"/>
  <c r="AN173" i="6"/>
  <c r="AN174" i="6"/>
  <c r="AO174" i="6" s="1"/>
  <c r="AP174" i="6" s="1"/>
  <c r="AN175" i="6"/>
  <c r="AO175" i="6" s="1"/>
  <c r="AP175" i="6" s="1"/>
  <c r="AN176" i="6"/>
  <c r="AO176" i="6" s="1"/>
  <c r="AP176" i="6" s="1"/>
  <c r="AN177" i="6"/>
  <c r="AN178" i="6"/>
  <c r="AO178" i="6" s="1"/>
  <c r="AP178" i="6" s="1"/>
  <c r="AN179" i="6"/>
  <c r="AO179" i="6" s="1"/>
  <c r="AP179" i="6" s="1"/>
  <c r="AN180" i="6"/>
  <c r="AO180" i="6" s="1"/>
  <c r="AP180" i="6" s="1"/>
  <c r="AN181" i="6"/>
  <c r="AN182" i="6"/>
  <c r="AO182" i="6" s="1"/>
  <c r="AP182" i="6" s="1"/>
  <c r="AN183" i="6"/>
  <c r="AO183" i="6" s="1"/>
  <c r="AP183" i="6" s="1"/>
  <c r="AN184" i="6"/>
  <c r="AO184" i="6" s="1"/>
  <c r="AP184" i="6" s="1"/>
  <c r="AN185" i="6"/>
  <c r="AN186" i="6"/>
  <c r="AN187" i="6"/>
  <c r="AO187" i="6" s="1"/>
  <c r="AP187" i="6" s="1"/>
  <c r="AN188" i="6"/>
  <c r="AO188" i="6" s="1"/>
  <c r="AP188" i="6" s="1"/>
  <c r="AN189" i="6"/>
  <c r="AN190" i="6"/>
  <c r="AO190" i="6" s="1"/>
  <c r="AP190" i="6" s="1"/>
  <c r="AN191" i="6"/>
  <c r="AO191" i="6" s="1"/>
  <c r="AP191" i="6" s="1"/>
  <c r="AN192" i="6"/>
  <c r="AO192" i="6" s="1"/>
  <c r="AP192" i="6" s="1"/>
  <c r="AN193" i="6"/>
  <c r="AN194" i="6"/>
  <c r="AO194" i="6" s="1"/>
  <c r="AP194" i="6" s="1"/>
  <c r="AN195" i="6"/>
  <c r="AO195" i="6" s="1"/>
  <c r="AP195" i="6" s="1"/>
  <c r="AN196" i="6"/>
  <c r="AO196" i="6" s="1"/>
  <c r="AP196" i="6" s="1"/>
  <c r="AN197" i="6"/>
  <c r="AN198" i="6"/>
  <c r="AO198" i="6" s="1"/>
  <c r="AP198" i="6" s="1"/>
  <c r="AN199" i="6"/>
  <c r="AO199" i="6" s="1"/>
  <c r="AP199" i="6" s="1"/>
  <c r="AN200" i="6"/>
  <c r="AO200" i="6" s="1"/>
  <c r="AP200" i="6" s="1"/>
  <c r="AN201" i="6"/>
  <c r="AN202" i="6"/>
  <c r="AO202" i="6" s="1"/>
  <c r="AP202" i="6" s="1"/>
  <c r="AN203" i="6"/>
  <c r="AO203" i="6" s="1"/>
  <c r="AP203" i="6" s="1"/>
  <c r="AN204" i="6"/>
  <c r="AO204" i="6" s="1"/>
  <c r="AP204" i="6" s="1"/>
  <c r="AN205" i="6"/>
  <c r="AN206" i="6"/>
  <c r="AO206" i="6" s="1"/>
  <c r="AP206" i="6" s="1"/>
  <c r="AN207" i="6"/>
  <c r="AO207" i="6" s="1"/>
  <c r="AP207" i="6" s="1"/>
  <c r="AN208" i="6"/>
  <c r="AO208" i="6" s="1"/>
  <c r="AP208" i="6" s="1"/>
  <c r="AN209" i="6"/>
  <c r="AN210" i="6"/>
  <c r="AO210" i="6" s="1"/>
  <c r="AP210" i="6" s="1"/>
  <c r="AN211" i="6"/>
  <c r="AO211" i="6" s="1"/>
  <c r="AP211" i="6" s="1"/>
  <c r="AN212" i="6"/>
  <c r="AO212" i="6" s="1"/>
  <c r="AP212" i="6" s="1"/>
  <c r="AN213" i="6"/>
  <c r="AN214" i="6"/>
  <c r="AO214" i="6" s="1"/>
  <c r="AP214" i="6" s="1"/>
  <c r="AN215" i="6"/>
  <c r="AO215" i="6" s="1"/>
  <c r="AP215" i="6" s="1"/>
  <c r="AN216" i="6"/>
  <c r="AO216" i="6" s="1"/>
  <c r="AP216" i="6" s="1"/>
  <c r="AN217" i="6"/>
  <c r="AN218" i="6"/>
  <c r="AO218" i="6" s="1"/>
  <c r="AP218" i="6" s="1"/>
  <c r="AN219" i="6"/>
  <c r="AO219" i="6" s="1"/>
  <c r="AP219" i="6" s="1"/>
  <c r="AN220" i="6"/>
  <c r="AO220" i="6" s="1"/>
  <c r="AP220" i="6" s="1"/>
  <c r="AN221" i="6"/>
  <c r="AN222" i="6"/>
  <c r="AO222" i="6" s="1"/>
  <c r="AP222" i="6" s="1"/>
  <c r="AN223" i="6"/>
  <c r="AO223" i="6" s="1"/>
  <c r="AP223" i="6" s="1"/>
  <c r="AN224" i="6"/>
  <c r="AO224" i="6" s="1"/>
  <c r="AP224" i="6" s="1"/>
  <c r="AN225" i="6"/>
  <c r="AN226" i="6"/>
  <c r="AO226" i="6" s="1"/>
  <c r="AP226" i="6" s="1"/>
  <c r="AN227" i="6"/>
  <c r="AO227" i="6" s="1"/>
  <c r="AP227" i="6" s="1"/>
  <c r="AN228" i="6"/>
  <c r="AO228" i="6" s="1"/>
  <c r="AP228" i="6" s="1"/>
  <c r="AN229" i="6"/>
  <c r="AN230" i="6"/>
  <c r="AO230" i="6" s="1"/>
  <c r="AP230" i="6" s="1"/>
  <c r="AN231" i="6"/>
  <c r="AO231" i="6" s="1"/>
  <c r="AP231" i="6" s="1"/>
  <c r="AN232" i="6"/>
  <c r="AO232" i="6" s="1"/>
  <c r="AP232" i="6" s="1"/>
  <c r="AN233" i="6"/>
  <c r="AN234" i="6"/>
  <c r="AO234" i="6" s="1"/>
  <c r="AP234" i="6" s="1"/>
  <c r="AN235" i="6"/>
  <c r="AO235" i="6" s="1"/>
  <c r="AP235" i="6" s="1"/>
  <c r="AN236" i="6"/>
  <c r="AO236" i="6" s="1"/>
  <c r="AP236" i="6" s="1"/>
  <c r="AN237" i="6"/>
  <c r="AN238" i="6"/>
  <c r="AO238" i="6" s="1"/>
  <c r="AP238" i="6" s="1"/>
  <c r="AN239" i="6"/>
  <c r="AO239" i="6" s="1"/>
  <c r="AP239" i="6" s="1"/>
  <c r="AN240" i="6"/>
  <c r="AO240" i="6" s="1"/>
  <c r="AP240" i="6" s="1"/>
  <c r="AN241" i="6"/>
  <c r="AN242" i="6"/>
  <c r="AO242" i="6" s="1"/>
  <c r="AP242" i="6" s="1"/>
  <c r="AN243" i="6"/>
  <c r="AO243" i="6" s="1"/>
  <c r="AP243" i="6" s="1"/>
  <c r="AN244" i="6"/>
  <c r="AO244" i="6" s="1"/>
  <c r="AP244" i="6" s="1"/>
  <c r="AN245" i="6"/>
  <c r="AN246" i="6"/>
  <c r="AO246" i="6" s="1"/>
  <c r="AP246" i="6" s="1"/>
  <c r="AN247" i="6"/>
  <c r="AO247" i="6" s="1"/>
  <c r="AP247" i="6" s="1"/>
  <c r="AN248" i="6"/>
  <c r="AO248" i="6" s="1"/>
  <c r="AP248" i="6" s="1"/>
  <c r="AN249" i="6"/>
  <c r="AN250" i="6"/>
  <c r="AO250" i="6" s="1"/>
  <c r="AP250" i="6" s="1"/>
  <c r="AN251" i="6"/>
  <c r="AO251" i="6" s="1"/>
  <c r="AP251" i="6" s="1"/>
  <c r="AN252" i="6"/>
  <c r="AO252" i="6" s="1"/>
  <c r="AP252" i="6" s="1"/>
  <c r="AN253" i="6"/>
  <c r="AN254" i="6"/>
  <c r="AO254" i="6" s="1"/>
  <c r="AP254" i="6" s="1"/>
  <c r="AN255" i="6"/>
  <c r="AO255" i="6" s="1"/>
  <c r="AP255" i="6" s="1"/>
  <c r="AN256" i="6"/>
  <c r="AO256" i="6" s="1"/>
  <c r="AP256" i="6" s="1"/>
  <c r="AN257" i="6"/>
  <c r="AN258" i="6"/>
  <c r="AO258" i="6" s="1"/>
  <c r="AP258" i="6" s="1"/>
  <c r="AN259" i="6"/>
  <c r="AO259" i="6" s="1"/>
  <c r="AP259" i="6" s="1"/>
  <c r="AN260" i="6"/>
  <c r="AO260" i="6" s="1"/>
  <c r="AP260" i="6" s="1"/>
  <c r="AN261" i="6"/>
  <c r="AN262" i="6"/>
  <c r="AO262" i="6" s="1"/>
  <c r="AP262" i="6" s="1"/>
  <c r="AN263" i="6"/>
  <c r="AO263" i="6" s="1"/>
  <c r="AP263" i="6" s="1"/>
  <c r="AN264" i="6"/>
  <c r="AO264" i="6" s="1"/>
  <c r="AP264" i="6" s="1"/>
  <c r="AN265" i="6"/>
  <c r="AN266" i="6"/>
  <c r="AO266" i="6" s="1"/>
  <c r="AP266" i="6" s="1"/>
  <c r="AN267" i="6"/>
  <c r="AO267" i="6" s="1"/>
  <c r="AP267" i="6" s="1"/>
  <c r="AN268" i="6"/>
  <c r="AO268" i="6" s="1"/>
  <c r="AP268" i="6" s="1"/>
  <c r="AN269" i="6"/>
  <c r="AN270" i="6"/>
  <c r="AO270" i="6" s="1"/>
  <c r="AP270" i="6" s="1"/>
  <c r="AN271" i="6"/>
  <c r="AO271" i="6" s="1"/>
  <c r="AP271" i="6" s="1"/>
  <c r="AN272" i="6"/>
  <c r="AO272" i="6" s="1"/>
  <c r="AP272" i="6" s="1"/>
  <c r="AN273" i="6"/>
  <c r="AN274" i="6"/>
  <c r="AO274" i="6" s="1"/>
  <c r="AP274" i="6" s="1"/>
  <c r="AN275" i="6"/>
  <c r="AO275" i="6" s="1"/>
  <c r="AP275" i="6" s="1"/>
  <c r="AN276" i="6"/>
  <c r="AO276" i="6" s="1"/>
  <c r="AP276" i="6" s="1"/>
  <c r="AN277" i="6"/>
  <c r="AN278" i="6"/>
  <c r="AO278" i="6" s="1"/>
  <c r="AP278" i="6" s="1"/>
  <c r="AN279" i="6"/>
  <c r="AO279" i="6" s="1"/>
  <c r="AP279" i="6" s="1"/>
  <c r="AN280" i="6"/>
  <c r="AO280" i="6" s="1"/>
  <c r="AP280" i="6" s="1"/>
  <c r="AN281" i="6"/>
  <c r="AN282" i="6"/>
  <c r="AO282" i="6" s="1"/>
  <c r="AP282" i="6" s="1"/>
  <c r="AN283" i="6"/>
  <c r="AO283" i="6" s="1"/>
  <c r="AP283" i="6" s="1"/>
  <c r="AN284" i="6"/>
  <c r="AO284" i="6" s="1"/>
  <c r="AP284" i="6" s="1"/>
  <c r="AN285" i="6"/>
  <c r="AN286" i="6"/>
  <c r="AO286" i="6" s="1"/>
  <c r="AP286" i="6" s="1"/>
  <c r="AN287" i="6"/>
  <c r="AO287" i="6" s="1"/>
  <c r="AP287" i="6" s="1"/>
  <c r="AN288" i="6"/>
  <c r="AO288" i="6" s="1"/>
  <c r="AP288" i="6" s="1"/>
  <c r="AN289" i="6"/>
  <c r="AN290" i="6"/>
  <c r="AO290" i="6" s="1"/>
  <c r="AP290" i="6" s="1"/>
  <c r="AN291" i="6"/>
  <c r="AO291" i="6" s="1"/>
  <c r="AP291" i="6" s="1"/>
  <c r="AN292" i="6"/>
  <c r="AO292" i="6" s="1"/>
  <c r="AP292" i="6" s="1"/>
  <c r="AN293" i="6"/>
  <c r="AN294" i="6"/>
  <c r="AO294" i="6" s="1"/>
  <c r="AP294" i="6" s="1"/>
  <c r="AN295" i="6"/>
  <c r="AO295" i="6" s="1"/>
  <c r="AP295" i="6" s="1"/>
  <c r="AN296" i="6"/>
  <c r="AO296" i="6" s="1"/>
  <c r="AP296" i="6" s="1"/>
  <c r="AN297" i="6"/>
  <c r="AN298" i="6"/>
  <c r="AO298" i="6" s="1"/>
  <c r="AP298" i="6" s="1"/>
  <c r="AN299" i="6"/>
  <c r="AO299" i="6" s="1"/>
  <c r="AP299" i="6" s="1"/>
  <c r="AN300" i="6"/>
  <c r="AO300" i="6" s="1"/>
  <c r="AP300" i="6" s="1"/>
  <c r="AN301" i="6"/>
  <c r="AN302" i="6"/>
  <c r="AO302" i="6" s="1"/>
  <c r="AP302" i="6" s="1"/>
  <c r="AN303" i="6"/>
  <c r="AO303" i="6" s="1"/>
  <c r="AP303" i="6" s="1"/>
  <c r="AN304" i="6"/>
  <c r="AO304" i="6" s="1"/>
  <c r="AP304" i="6" s="1"/>
  <c r="AN305" i="6"/>
  <c r="AN306" i="6"/>
  <c r="AO306" i="6" s="1"/>
  <c r="AP306" i="6" s="1"/>
  <c r="AN307" i="6"/>
  <c r="AO307" i="6" s="1"/>
  <c r="AP307" i="6" s="1"/>
  <c r="AN308" i="6"/>
  <c r="AO308" i="6" s="1"/>
  <c r="AP308" i="6" s="1"/>
  <c r="AN309" i="6"/>
  <c r="AN310" i="6"/>
  <c r="AO310" i="6" s="1"/>
  <c r="AP310" i="6" s="1"/>
  <c r="AN311" i="6"/>
  <c r="AO311" i="6" s="1"/>
  <c r="AP311" i="6" s="1"/>
  <c r="AN312" i="6"/>
  <c r="AO312" i="6" s="1"/>
  <c r="AP312" i="6" s="1"/>
  <c r="AN313" i="6"/>
  <c r="AN314" i="6"/>
  <c r="AO314" i="6" s="1"/>
  <c r="AP314" i="6" s="1"/>
  <c r="AN315" i="6"/>
  <c r="AO315" i="6" s="1"/>
  <c r="AP315" i="6" s="1"/>
  <c r="AN316" i="6"/>
  <c r="AO316" i="6" s="1"/>
  <c r="AP316" i="6" s="1"/>
  <c r="AN317" i="6"/>
  <c r="AN318" i="6"/>
  <c r="AO318" i="6" s="1"/>
  <c r="AP318" i="6" s="1"/>
  <c r="AN319" i="6"/>
  <c r="AO319" i="6" s="1"/>
  <c r="AP319" i="6" s="1"/>
  <c r="AN320" i="6"/>
  <c r="AO320" i="6" s="1"/>
  <c r="AP320" i="6" s="1"/>
  <c r="AN321" i="6"/>
  <c r="AN322" i="6"/>
  <c r="AO322" i="6" s="1"/>
  <c r="AP322" i="6" s="1"/>
  <c r="AN323" i="6"/>
  <c r="AO323" i="6" s="1"/>
  <c r="AP323" i="6" s="1"/>
  <c r="AN324" i="6"/>
  <c r="AO324" i="6" s="1"/>
  <c r="AP324" i="6" s="1"/>
  <c r="AN325" i="6"/>
  <c r="AN326" i="6"/>
  <c r="AO326" i="6" s="1"/>
  <c r="AP326" i="6" s="1"/>
  <c r="AN327" i="6"/>
  <c r="AO327" i="6" s="1"/>
  <c r="AP327" i="6" s="1"/>
  <c r="AN328" i="6"/>
  <c r="AO328" i="6" s="1"/>
  <c r="AP328" i="6" s="1"/>
  <c r="AN329" i="6"/>
  <c r="AN330" i="6"/>
  <c r="AO330" i="6" s="1"/>
  <c r="AP330" i="6" s="1"/>
  <c r="AN331" i="6"/>
  <c r="AO331" i="6" s="1"/>
  <c r="AP331" i="6" s="1"/>
  <c r="AN332" i="6"/>
  <c r="AO332" i="6" s="1"/>
  <c r="AP332" i="6" s="1"/>
  <c r="AN333" i="6"/>
  <c r="AN334" i="6"/>
  <c r="AO334" i="6" s="1"/>
  <c r="AP334" i="6" s="1"/>
  <c r="AN335" i="6"/>
  <c r="AO335" i="6" s="1"/>
  <c r="AP335" i="6" s="1"/>
  <c r="AN336" i="6"/>
  <c r="AO336" i="6" s="1"/>
  <c r="AP336" i="6" s="1"/>
  <c r="AN337" i="6"/>
  <c r="AN338" i="6"/>
  <c r="AO338" i="6" s="1"/>
  <c r="AP338" i="6" s="1"/>
  <c r="AN339" i="6"/>
  <c r="AO339" i="6" s="1"/>
  <c r="AP339" i="6" s="1"/>
  <c r="AN340" i="6"/>
  <c r="AO340" i="6" s="1"/>
  <c r="AP340" i="6" s="1"/>
  <c r="AN341" i="6"/>
  <c r="AN342" i="6"/>
  <c r="AO342" i="6" s="1"/>
  <c r="AP342" i="6" s="1"/>
  <c r="AN343" i="6"/>
  <c r="AO343" i="6" s="1"/>
  <c r="AP343" i="6" s="1"/>
  <c r="AN344" i="6"/>
  <c r="AO344" i="6" s="1"/>
  <c r="AP344" i="6" s="1"/>
  <c r="AN345" i="6"/>
  <c r="AN346" i="6"/>
  <c r="AO346" i="6" s="1"/>
  <c r="AP346" i="6" s="1"/>
  <c r="AN347" i="6"/>
  <c r="AO347" i="6" s="1"/>
  <c r="AP347" i="6" s="1"/>
  <c r="AN348" i="6"/>
  <c r="AO348" i="6" s="1"/>
  <c r="AP348" i="6" s="1"/>
  <c r="AN349" i="6"/>
  <c r="AN350" i="6"/>
  <c r="AO350" i="6" s="1"/>
  <c r="AP350" i="6" s="1"/>
  <c r="AN351" i="6"/>
  <c r="AO351" i="6" s="1"/>
  <c r="AP351" i="6" s="1"/>
  <c r="AN352" i="6"/>
  <c r="AO352" i="6" s="1"/>
  <c r="AP352" i="6" s="1"/>
  <c r="AN353" i="6"/>
  <c r="AN354" i="6"/>
  <c r="AO354" i="6" s="1"/>
  <c r="AP354" i="6" s="1"/>
  <c r="AN355" i="6"/>
  <c r="AO355" i="6" s="1"/>
  <c r="AP355" i="6" s="1"/>
  <c r="AN356" i="6"/>
  <c r="AO356" i="6" s="1"/>
  <c r="AP356" i="6" s="1"/>
  <c r="AN357" i="6"/>
  <c r="AN358" i="6"/>
  <c r="AO358" i="6" s="1"/>
  <c r="AP358" i="6" s="1"/>
  <c r="AN359" i="6"/>
  <c r="AO359" i="6" s="1"/>
  <c r="AP359" i="6" s="1"/>
  <c r="AN360" i="6"/>
  <c r="AO360" i="6" s="1"/>
  <c r="AP360" i="6" s="1"/>
  <c r="AN361" i="6"/>
  <c r="AN362" i="6"/>
  <c r="AO362" i="6" s="1"/>
  <c r="AP362" i="6" s="1"/>
  <c r="AN363" i="6"/>
  <c r="AO363" i="6" s="1"/>
  <c r="AP363" i="6" s="1"/>
  <c r="AN364" i="6"/>
  <c r="AO364" i="6" s="1"/>
  <c r="AP364" i="6" s="1"/>
  <c r="AN365" i="6"/>
  <c r="AN366" i="6"/>
  <c r="AO366" i="6" s="1"/>
  <c r="AP366" i="6" s="1"/>
  <c r="AN367" i="6"/>
  <c r="AO367" i="6" s="1"/>
  <c r="AP367" i="6" s="1"/>
  <c r="AN368" i="6"/>
  <c r="AO368" i="6" s="1"/>
  <c r="AP368" i="6" s="1"/>
  <c r="AN369" i="6"/>
  <c r="AN370" i="6"/>
  <c r="AO370" i="6" s="1"/>
  <c r="AP370" i="6" s="1"/>
  <c r="AN371" i="6"/>
  <c r="AO371" i="6" s="1"/>
  <c r="AP371" i="6" s="1"/>
  <c r="AN372" i="6"/>
  <c r="AO372" i="6" s="1"/>
  <c r="AP372" i="6" s="1"/>
  <c r="AN373" i="6"/>
  <c r="AN374" i="6"/>
  <c r="AO374" i="6" s="1"/>
  <c r="AP374" i="6" s="1"/>
  <c r="AN375" i="6"/>
  <c r="AO375" i="6" s="1"/>
  <c r="AP375" i="6" s="1"/>
  <c r="AN376" i="6"/>
  <c r="AO376" i="6" s="1"/>
  <c r="AP376" i="6" s="1"/>
  <c r="AN377" i="6"/>
  <c r="AN378" i="6"/>
  <c r="AO378" i="6" s="1"/>
  <c r="AP378" i="6" s="1"/>
  <c r="AN379" i="6"/>
  <c r="AO379" i="6" s="1"/>
  <c r="AP379" i="6" s="1"/>
  <c r="AN380" i="6"/>
  <c r="AO380" i="6" s="1"/>
  <c r="AP380" i="6" s="1"/>
  <c r="AN381" i="6"/>
  <c r="AN382" i="6"/>
  <c r="AO382" i="6" s="1"/>
  <c r="AP382" i="6" s="1"/>
  <c r="AN383" i="6"/>
  <c r="AO383" i="6" s="1"/>
  <c r="AP383" i="6" s="1"/>
  <c r="AN384" i="6"/>
  <c r="AO384" i="6" s="1"/>
  <c r="AP384" i="6" s="1"/>
  <c r="AN385" i="6"/>
  <c r="AN386" i="6"/>
  <c r="AO386" i="6" s="1"/>
  <c r="AP386" i="6" s="1"/>
  <c r="AN387" i="6"/>
  <c r="AO387" i="6" s="1"/>
  <c r="AP387" i="6" s="1"/>
  <c r="AN388" i="6"/>
  <c r="AO388" i="6" s="1"/>
  <c r="AP388" i="6" s="1"/>
  <c r="AN389" i="6"/>
  <c r="AN390" i="6"/>
  <c r="AO390" i="6" s="1"/>
  <c r="AP390" i="6" s="1"/>
  <c r="AN391" i="6"/>
  <c r="AO391" i="6" s="1"/>
  <c r="AP391" i="6" s="1"/>
  <c r="AN392" i="6"/>
  <c r="AO392" i="6" s="1"/>
  <c r="AP392" i="6" s="1"/>
  <c r="AN393" i="6"/>
  <c r="AN394" i="6"/>
  <c r="AO394" i="6" s="1"/>
  <c r="AP394" i="6" s="1"/>
  <c r="AN395" i="6"/>
  <c r="AO395" i="6" s="1"/>
  <c r="AP395" i="6" s="1"/>
  <c r="AN396" i="6"/>
  <c r="AO396" i="6" s="1"/>
  <c r="AP396" i="6" s="1"/>
  <c r="AN397" i="6"/>
  <c r="AN398" i="6"/>
  <c r="AO398" i="6" s="1"/>
  <c r="AP398" i="6" s="1"/>
  <c r="AN399" i="6"/>
  <c r="AO399" i="6" s="1"/>
  <c r="AP399" i="6" s="1"/>
  <c r="AN400" i="6"/>
  <c r="AO400" i="6" s="1"/>
  <c r="AP400" i="6" s="1"/>
  <c r="AN401" i="6"/>
  <c r="AN402" i="6"/>
  <c r="AO402" i="6" s="1"/>
  <c r="AP402" i="6" s="1"/>
  <c r="AN403" i="6"/>
  <c r="AO403" i="6" s="1"/>
  <c r="AP403" i="6" s="1"/>
  <c r="AN404" i="6"/>
  <c r="AO404" i="6" s="1"/>
  <c r="AP404" i="6" s="1"/>
  <c r="AN405" i="6"/>
  <c r="AN406" i="6"/>
  <c r="AO406" i="6" s="1"/>
  <c r="AP406" i="6" s="1"/>
  <c r="AN407" i="6"/>
  <c r="AO407" i="6" s="1"/>
  <c r="AP407" i="6" s="1"/>
  <c r="AN408" i="6"/>
  <c r="AO408" i="6" s="1"/>
  <c r="AP408" i="6" s="1"/>
  <c r="AN409" i="6"/>
  <c r="AN410" i="6"/>
  <c r="AO410" i="6" s="1"/>
  <c r="AP410" i="6" s="1"/>
  <c r="AN411" i="6"/>
  <c r="AO411" i="6" s="1"/>
  <c r="AP411" i="6" s="1"/>
  <c r="AN412" i="6"/>
  <c r="AO412" i="6" s="1"/>
  <c r="AP412" i="6" s="1"/>
  <c r="AN413" i="6"/>
  <c r="AN414" i="6"/>
  <c r="AO414" i="6" s="1"/>
  <c r="AP414" i="6" s="1"/>
  <c r="AN415" i="6"/>
  <c r="AO415" i="6" s="1"/>
  <c r="AP415" i="6" s="1"/>
  <c r="AN416" i="6"/>
  <c r="AO416" i="6" s="1"/>
  <c r="AP416" i="6" s="1"/>
  <c r="AN417" i="6"/>
  <c r="AN418" i="6"/>
  <c r="AO418" i="6" s="1"/>
  <c r="AP418" i="6" s="1"/>
  <c r="AN419" i="6"/>
  <c r="AO419" i="6" s="1"/>
  <c r="AP419" i="6" s="1"/>
  <c r="AN420" i="6"/>
  <c r="AO420" i="6" s="1"/>
  <c r="AP420" i="6" s="1"/>
  <c r="AN421" i="6"/>
  <c r="AN422" i="6"/>
  <c r="AO422" i="6" s="1"/>
  <c r="AP422" i="6" s="1"/>
  <c r="AN423" i="6"/>
  <c r="AO423" i="6" s="1"/>
  <c r="AP423" i="6" s="1"/>
  <c r="AN424" i="6"/>
  <c r="AO424" i="6" s="1"/>
  <c r="AP424" i="6" s="1"/>
  <c r="AN425" i="6"/>
  <c r="AN426" i="6"/>
  <c r="AO426" i="6" s="1"/>
  <c r="AP426" i="6" s="1"/>
  <c r="AN427" i="6"/>
  <c r="AO427" i="6" s="1"/>
  <c r="AP427" i="6" s="1"/>
  <c r="AN428" i="6"/>
  <c r="AO428" i="6" s="1"/>
  <c r="AP428" i="6" s="1"/>
  <c r="AN429" i="6"/>
  <c r="AN430" i="6"/>
  <c r="AO430" i="6" s="1"/>
  <c r="AP430" i="6" s="1"/>
  <c r="AN431" i="6"/>
  <c r="AO431" i="6" s="1"/>
  <c r="AP431" i="6" s="1"/>
  <c r="AN432" i="6"/>
  <c r="AO432" i="6" s="1"/>
  <c r="AP432" i="6" s="1"/>
  <c r="AN433" i="6"/>
  <c r="AN434" i="6"/>
  <c r="AO434" i="6" s="1"/>
  <c r="AP434" i="6" s="1"/>
  <c r="AN435" i="6"/>
  <c r="AO435" i="6" s="1"/>
  <c r="AP435" i="6" s="1"/>
  <c r="AN436" i="6"/>
  <c r="AO436" i="6" s="1"/>
  <c r="AP436" i="6" s="1"/>
  <c r="AN437" i="6"/>
  <c r="AN438" i="6"/>
  <c r="AO438" i="6" s="1"/>
  <c r="AP438" i="6" s="1"/>
  <c r="AN439" i="6"/>
  <c r="AO439" i="6" s="1"/>
  <c r="AP439" i="6" s="1"/>
  <c r="AN440" i="6"/>
  <c r="AO440" i="6" s="1"/>
  <c r="AP440" i="6" s="1"/>
  <c r="AN441" i="6"/>
  <c r="AN442" i="6"/>
  <c r="AO442" i="6" s="1"/>
  <c r="AP442" i="6" s="1"/>
  <c r="AN443" i="6"/>
  <c r="AO443" i="6" s="1"/>
  <c r="AP443" i="6" s="1"/>
  <c r="AN444" i="6"/>
  <c r="AO444" i="6" s="1"/>
  <c r="AP444" i="6" s="1"/>
  <c r="AN445" i="6"/>
  <c r="AN446" i="6"/>
  <c r="AO446" i="6" s="1"/>
  <c r="AP446" i="6" s="1"/>
  <c r="AN447" i="6"/>
  <c r="AO447" i="6" s="1"/>
  <c r="AP447" i="6" s="1"/>
  <c r="AN448" i="6"/>
  <c r="AO448" i="6" s="1"/>
  <c r="AP448" i="6" s="1"/>
  <c r="AN449" i="6"/>
  <c r="AN450" i="6"/>
  <c r="AO450" i="6" s="1"/>
  <c r="AP450" i="6" s="1"/>
  <c r="AN451" i="6"/>
  <c r="AO451" i="6" s="1"/>
  <c r="AP451" i="6" s="1"/>
  <c r="AN452" i="6"/>
  <c r="AO452" i="6" s="1"/>
  <c r="AP452" i="6" s="1"/>
  <c r="AN453" i="6"/>
  <c r="AN454" i="6"/>
  <c r="AO454" i="6" s="1"/>
  <c r="AP454" i="6" s="1"/>
  <c r="AN455" i="6"/>
  <c r="AO455" i="6" s="1"/>
  <c r="AP455" i="6" s="1"/>
  <c r="AN456" i="6"/>
  <c r="AO456" i="6" s="1"/>
  <c r="AP456" i="6" s="1"/>
  <c r="AN457" i="6"/>
  <c r="AN458" i="6"/>
  <c r="AO458" i="6" s="1"/>
  <c r="AP458" i="6" s="1"/>
  <c r="AN459" i="6"/>
  <c r="AO459" i="6" s="1"/>
  <c r="AP459" i="6" s="1"/>
  <c r="AN460" i="6"/>
  <c r="AO460" i="6" s="1"/>
  <c r="AP460" i="6" s="1"/>
  <c r="AN461" i="6"/>
  <c r="AN462" i="6"/>
  <c r="AO462" i="6" s="1"/>
  <c r="AP462" i="6" s="1"/>
  <c r="AN463" i="6"/>
  <c r="AO463" i="6" s="1"/>
  <c r="AP463" i="6" s="1"/>
  <c r="AN464" i="6"/>
  <c r="AO464" i="6" s="1"/>
  <c r="AP464" i="6" s="1"/>
  <c r="AN465" i="6"/>
  <c r="AN466" i="6"/>
  <c r="AO466" i="6" s="1"/>
  <c r="AP466" i="6" s="1"/>
  <c r="AN467" i="6"/>
  <c r="AO467" i="6" s="1"/>
  <c r="AP467" i="6" s="1"/>
  <c r="AN468" i="6"/>
  <c r="AO468" i="6" s="1"/>
  <c r="AP468" i="6" s="1"/>
  <c r="AN469" i="6"/>
  <c r="AN470" i="6"/>
  <c r="AO470" i="6" s="1"/>
  <c r="AP470" i="6" s="1"/>
  <c r="AN471" i="6"/>
  <c r="AO471" i="6" s="1"/>
  <c r="AP471" i="6" s="1"/>
  <c r="AN472" i="6"/>
  <c r="AO472" i="6" s="1"/>
  <c r="AP472" i="6" s="1"/>
  <c r="AN473" i="6"/>
  <c r="AN474" i="6"/>
  <c r="AO474" i="6" s="1"/>
  <c r="AP474" i="6" s="1"/>
  <c r="AN475" i="6"/>
  <c r="AO475" i="6" s="1"/>
  <c r="AP475" i="6" s="1"/>
  <c r="AN476" i="6"/>
  <c r="AO476" i="6" s="1"/>
  <c r="AP476" i="6" s="1"/>
  <c r="AN477" i="6"/>
  <c r="AN478" i="6"/>
  <c r="AO478" i="6" s="1"/>
  <c r="AP478" i="6" s="1"/>
  <c r="AN479" i="6"/>
  <c r="AO479" i="6" s="1"/>
  <c r="AP479" i="6" s="1"/>
  <c r="AN480" i="6"/>
  <c r="AO480" i="6" s="1"/>
  <c r="AP480" i="6" s="1"/>
  <c r="AN481" i="6"/>
  <c r="AN482" i="6"/>
  <c r="AO482" i="6" s="1"/>
  <c r="AP482" i="6" s="1"/>
  <c r="AN483" i="6"/>
  <c r="AO483" i="6" s="1"/>
  <c r="AP483" i="6" s="1"/>
  <c r="AN484" i="6"/>
  <c r="AO484" i="6" s="1"/>
  <c r="AP484" i="6" s="1"/>
  <c r="AN485" i="6"/>
  <c r="AN486" i="6"/>
  <c r="AO486" i="6" s="1"/>
  <c r="AP486" i="6" s="1"/>
  <c r="AN487" i="6"/>
  <c r="AO487" i="6" s="1"/>
  <c r="AP487" i="6" s="1"/>
  <c r="AN488" i="6"/>
  <c r="AO488" i="6" s="1"/>
  <c r="AP488" i="6" s="1"/>
  <c r="AN489" i="6"/>
  <c r="AN490" i="6"/>
  <c r="AO490" i="6" s="1"/>
  <c r="AP490" i="6" s="1"/>
  <c r="AN491" i="6"/>
  <c r="AO491" i="6" s="1"/>
  <c r="AP491" i="6" s="1"/>
  <c r="AN492" i="6"/>
  <c r="AO492" i="6" s="1"/>
  <c r="AP492" i="6" s="1"/>
  <c r="AN493" i="6"/>
  <c r="AN494" i="6"/>
  <c r="AO494" i="6" s="1"/>
  <c r="AP494" i="6" s="1"/>
  <c r="AN495" i="6"/>
  <c r="AO495" i="6" s="1"/>
  <c r="AP495" i="6" s="1"/>
  <c r="AN496" i="6"/>
  <c r="AO496" i="6" s="1"/>
  <c r="AP496" i="6" s="1"/>
  <c r="AN497" i="6"/>
  <c r="AN498" i="6"/>
  <c r="AO498" i="6" s="1"/>
  <c r="AP498" i="6" s="1"/>
  <c r="AN499" i="6"/>
  <c r="AO499" i="6" s="1"/>
  <c r="AP499" i="6" s="1"/>
  <c r="AN500" i="6"/>
  <c r="AO500" i="6" s="1"/>
  <c r="AP500" i="6" s="1"/>
  <c r="AN501" i="6"/>
  <c r="AN502" i="6"/>
  <c r="AO502" i="6" s="1"/>
  <c r="AP502" i="6" s="1"/>
  <c r="AN503" i="6"/>
  <c r="AO503" i="6" s="1"/>
  <c r="AP503" i="6" s="1"/>
  <c r="AN504" i="6"/>
  <c r="AO504" i="6" s="1"/>
  <c r="AP504" i="6" s="1"/>
  <c r="AN505" i="6"/>
  <c r="AN506" i="6"/>
  <c r="AO506" i="6" s="1"/>
  <c r="AP506" i="6" s="1"/>
  <c r="AN507" i="6"/>
  <c r="AO507" i="6" s="1"/>
  <c r="AP507" i="6" s="1"/>
  <c r="AN508" i="6"/>
  <c r="AO508" i="6" s="1"/>
  <c r="AP508" i="6" s="1"/>
  <c r="AN509" i="6"/>
  <c r="AN510" i="6"/>
  <c r="AO510" i="6" s="1"/>
  <c r="AP510" i="6" s="1"/>
  <c r="AN511" i="6"/>
  <c r="AO511" i="6" s="1"/>
  <c r="AP511" i="6" s="1"/>
  <c r="AN512" i="6"/>
  <c r="AO512" i="6" s="1"/>
  <c r="AP512" i="6" s="1"/>
  <c r="AN513" i="6"/>
  <c r="AN514" i="6"/>
  <c r="AO514" i="6" s="1"/>
  <c r="AP514" i="6" s="1"/>
  <c r="AN515" i="6"/>
  <c r="AO515" i="6" s="1"/>
  <c r="AP515" i="6" s="1"/>
  <c r="AN516" i="6"/>
  <c r="AO516" i="6" s="1"/>
  <c r="AP516" i="6" s="1"/>
  <c r="AN517" i="6"/>
  <c r="AN518" i="6"/>
  <c r="AO518" i="6" s="1"/>
  <c r="AP518" i="6" s="1"/>
  <c r="AN519" i="6"/>
  <c r="AO519" i="6" s="1"/>
  <c r="AP519" i="6" s="1"/>
  <c r="AN520" i="6"/>
  <c r="AO520" i="6" s="1"/>
  <c r="AP520" i="6" s="1"/>
  <c r="AN521" i="6"/>
  <c r="AN522" i="6"/>
  <c r="AO522" i="6" s="1"/>
  <c r="AP522" i="6" s="1"/>
  <c r="AN523" i="6"/>
  <c r="AO523" i="6" s="1"/>
  <c r="AP523" i="6" s="1"/>
  <c r="AN524" i="6"/>
  <c r="AO524" i="6" s="1"/>
  <c r="AP524" i="6" s="1"/>
  <c r="AN525" i="6"/>
  <c r="AN526" i="6"/>
  <c r="AO526" i="6" s="1"/>
  <c r="AP526" i="6" s="1"/>
  <c r="AN527" i="6"/>
  <c r="AO527" i="6" s="1"/>
  <c r="AP527" i="6" s="1"/>
  <c r="AN528" i="6"/>
  <c r="AO528" i="6" s="1"/>
  <c r="AP528" i="6" s="1"/>
  <c r="AN529" i="6"/>
  <c r="AN530" i="6"/>
  <c r="AO530" i="6" s="1"/>
  <c r="AP530" i="6" s="1"/>
  <c r="AN531" i="6"/>
  <c r="AO531" i="6" s="1"/>
  <c r="AP531" i="6" s="1"/>
  <c r="AN532" i="6"/>
  <c r="AO532" i="6" s="1"/>
  <c r="AP532" i="6" s="1"/>
  <c r="AN533" i="6"/>
  <c r="AN534" i="6"/>
  <c r="AO534" i="6" s="1"/>
  <c r="AP534" i="6" s="1"/>
  <c r="AN535" i="6"/>
  <c r="AO535" i="6" s="1"/>
  <c r="AP535" i="6" s="1"/>
  <c r="AN536" i="6"/>
  <c r="AO536" i="6" s="1"/>
  <c r="AP536" i="6" s="1"/>
  <c r="AN537" i="6"/>
  <c r="AN538" i="6"/>
  <c r="AO538" i="6" s="1"/>
  <c r="AP538" i="6" s="1"/>
  <c r="AN539" i="6"/>
  <c r="AO539" i="6" s="1"/>
  <c r="AP539" i="6" s="1"/>
  <c r="AN540" i="6"/>
  <c r="AO540" i="6" s="1"/>
  <c r="AP540" i="6" s="1"/>
  <c r="AN541" i="6"/>
  <c r="AN542" i="6"/>
  <c r="AO542" i="6" s="1"/>
  <c r="AP542" i="6" s="1"/>
  <c r="AN543" i="6"/>
  <c r="AO543" i="6" s="1"/>
  <c r="AP543" i="6" s="1"/>
  <c r="AN544" i="6"/>
  <c r="AO544" i="6" s="1"/>
  <c r="AP544" i="6" s="1"/>
  <c r="AN545" i="6"/>
  <c r="AN546" i="6"/>
  <c r="AO546" i="6" s="1"/>
  <c r="AP546" i="6" s="1"/>
  <c r="AN547" i="6"/>
  <c r="AO547" i="6" s="1"/>
  <c r="AP547" i="6" s="1"/>
  <c r="AN548" i="6"/>
  <c r="AO548" i="6" s="1"/>
  <c r="AP548" i="6" s="1"/>
  <c r="AN549" i="6"/>
  <c r="AN550" i="6"/>
  <c r="AO550" i="6" s="1"/>
  <c r="AP550" i="6" s="1"/>
  <c r="AN551" i="6"/>
  <c r="AO551" i="6" s="1"/>
  <c r="AP551" i="6" s="1"/>
  <c r="AN552" i="6"/>
  <c r="AO552" i="6" s="1"/>
  <c r="AP552" i="6" s="1"/>
  <c r="AN553" i="6"/>
  <c r="AN554" i="6"/>
  <c r="AO554" i="6" s="1"/>
  <c r="AP554" i="6" s="1"/>
  <c r="AN555" i="6"/>
  <c r="AO555" i="6" s="1"/>
  <c r="AP555" i="6" s="1"/>
  <c r="AN556" i="6"/>
  <c r="AO556" i="6" s="1"/>
  <c r="AP556" i="6" s="1"/>
  <c r="AN557" i="6"/>
  <c r="AN558" i="6"/>
  <c r="AO558" i="6" s="1"/>
  <c r="AP558" i="6" s="1"/>
  <c r="AN559" i="6"/>
  <c r="AO559" i="6" s="1"/>
  <c r="AP559" i="6" s="1"/>
  <c r="AN560" i="6"/>
  <c r="AO560" i="6" s="1"/>
  <c r="AP560" i="6" s="1"/>
  <c r="AN561" i="6"/>
  <c r="AN562" i="6"/>
  <c r="AO562" i="6" s="1"/>
  <c r="AP562" i="6" s="1"/>
  <c r="AN563" i="6"/>
  <c r="AO563" i="6" s="1"/>
  <c r="AP563" i="6" s="1"/>
  <c r="AN564" i="6"/>
  <c r="AO564" i="6" s="1"/>
  <c r="AP564" i="6" s="1"/>
  <c r="AN565" i="6"/>
  <c r="AN566" i="6"/>
  <c r="AO566" i="6" s="1"/>
  <c r="AP566" i="6" s="1"/>
  <c r="AN567" i="6"/>
  <c r="AO567" i="6" s="1"/>
  <c r="AP567" i="6" s="1"/>
  <c r="AN568" i="6"/>
  <c r="AO568" i="6" s="1"/>
  <c r="AP568" i="6" s="1"/>
  <c r="AN569" i="6"/>
  <c r="AN570" i="6"/>
  <c r="AO570" i="6" s="1"/>
  <c r="AP570" i="6" s="1"/>
  <c r="AN571" i="6"/>
  <c r="AO571" i="6" s="1"/>
  <c r="AP571" i="6" s="1"/>
  <c r="AN572" i="6"/>
  <c r="AO572" i="6" s="1"/>
  <c r="AP572" i="6" s="1"/>
  <c r="AN573" i="6"/>
  <c r="AN574" i="6"/>
  <c r="AO574" i="6" s="1"/>
  <c r="AP574" i="6" s="1"/>
  <c r="AN575" i="6"/>
  <c r="AO575" i="6" s="1"/>
  <c r="AP575" i="6" s="1"/>
  <c r="AN576" i="6"/>
  <c r="AO576" i="6" s="1"/>
  <c r="AP576" i="6" s="1"/>
  <c r="AN577" i="6"/>
  <c r="AN578" i="6"/>
  <c r="AO578" i="6" s="1"/>
  <c r="AP578" i="6" s="1"/>
  <c r="AN579" i="6"/>
  <c r="AO579" i="6" s="1"/>
  <c r="AP579" i="6" s="1"/>
  <c r="AN580" i="6"/>
  <c r="AO580" i="6" s="1"/>
  <c r="AP580" i="6" s="1"/>
  <c r="AN581" i="6"/>
  <c r="AN582" i="6"/>
  <c r="AO582" i="6" s="1"/>
  <c r="AP582" i="6" s="1"/>
  <c r="AN583" i="6"/>
  <c r="AO583" i="6" s="1"/>
  <c r="AP583" i="6" s="1"/>
  <c r="AN584" i="6"/>
  <c r="AO584" i="6" s="1"/>
  <c r="AP584" i="6" s="1"/>
  <c r="AN585" i="6"/>
  <c r="AN586" i="6"/>
  <c r="AO586" i="6" s="1"/>
  <c r="AP586" i="6" s="1"/>
  <c r="AN587" i="6"/>
  <c r="AO587" i="6" s="1"/>
  <c r="AP587" i="6" s="1"/>
  <c r="AN588" i="6"/>
  <c r="AO588" i="6" s="1"/>
  <c r="AP588" i="6" s="1"/>
  <c r="AN589" i="6"/>
  <c r="AN590" i="6"/>
  <c r="AO590" i="6" s="1"/>
  <c r="AP590" i="6" s="1"/>
  <c r="AN591" i="6"/>
  <c r="AO591" i="6" s="1"/>
  <c r="AP591" i="6" s="1"/>
  <c r="AN592" i="6"/>
  <c r="AO592" i="6" s="1"/>
  <c r="AP592" i="6" s="1"/>
  <c r="AN593" i="6"/>
  <c r="AN594" i="6"/>
  <c r="AO594" i="6" s="1"/>
  <c r="AP594" i="6" s="1"/>
  <c r="AN595" i="6"/>
  <c r="AO595" i="6" s="1"/>
  <c r="AP595" i="6" s="1"/>
  <c r="AN596" i="6"/>
  <c r="AO596" i="6" s="1"/>
  <c r="AP596" i="6" s="1"/>
  <c r="AN597" i="6"/>
  <c r="AN598" i="6"/>
  <c r="AO598" i="6" s="1"/>
  <c r="AP598" i="6" s="1"/>
  <c r="AN599" i="6"/>
  <c r="AO599" i="6" s="1"/>
  <c r="AP599" i="6" s="1"/>
  <c r="AN600" i="6"/>
  <c r="AO600" i="6" s="1"/>
  <c r="AP600" i="6" s="1"/>
  <c r="AN601" i="6"/>
  <c r="AN602" i="6"/>
  <c r="AO602" i="6" s="1"/>
  <c r="AP602" i="6" s="1"/>
  <c r="AN603" i="6"/>
  <c r="AO603" i="6" s="1"/>
  <c r="AP603" i="6" s="1"/>
  <c r="AN604" i="6"/>
  <c r="AO604" i="6" s="1"/>
  <c r="AP604" i="6" s="1"/>
  <c r="AN605" i="6"/>
  <c r="AN606" i="6"/>
  <c r="AO606" i="6" s="1"/>
  <c r="AP606" i="6" s="1"/>
  <c r="AN607" i="6"/>
  <c r="AO607" i="6" s="1"/>
  <c r="AP607" i="6" s="1"/>
  <c r="AN608" i="6"/>
  <c r="AO608" i="6" s="1"/>
  <c r="AP608" i="6" s="1"/>
  <c r="AN609" i="6"/>
  <c r="AN610" i="6"/>
  <c r="AO610" i="6" s="1"/>
  <c r="AP610" i="6" s="1"/>
  <c r="AN611" i="6"/>
  <c r="AO611" i="6" s="1"/>
  <c r="AP611" i="6" s="1"/>
  <c r="AN612" i="6"/>
  <c r="AO612" i="6" s="1"/>
  <c r="AP612" i="6" s="1"/>
  <c r="AN613" i="6"/>
  <c r="AN614" i="6"/>
  <c r="AO614" i="6" s="1"/>
  <c r="AP614" i="6" s="1"/>
  <c r="AN615" i="6"/>
  <c r="AO615" i="6" s="1"/>
  <c r="AP615" i="6" s="1"/>
  <c r="AN616" i="6"/>
  <c r="AO616" i="6" s="1"/>
  <c r="AP616" i="6" s="1"/>
  <c r="AN617" i="6"/>
  <c r="AN618" i="6"/>
  <c r="AO618" i="6" s="1"/>
  <c r="AP618" i="6" s="1"/>
  <c r="AN619" i="6"/>
  <c r="AO619" i="6" s="1"/>
  <c r="AP619" i="6" s="1"/>
  <c r="AN620" i="6"/>
  <c r="AO620" i="6" s="1"/>
  <c r="AP620" i="6" s="1"/>
  <c r="AN621" i="6"/>
  <c r="AN622" i="6"/>
  <c r="AO622" i="6" s="1"/>
  <c r="AP622" i="6" s="1"/>
  <c r="AN623" i="6"/>
  <c r="AO623" i="6" s="1"/>
  <c r="AP623" i="6" s="1"/>
  <c r="AN624" i="6"/>
  <c r="AO624" i="6" s="1"/>
  <c r="AP624" i="6" s="1"/>
  <c r="AN625" i="6"/>
  <c r="AN626" i="6"/>
  <c r="AO626" i="6" s="1"/>
  <c r="AP626" i="6" s="1"/>
  <c r="AN627" i="6"/>
  <c r="AO627" i="6" s="1"/>
  <c r="AP627" i="6" s="1"/>
  <c r="AN628" i="6"/>
  <c r="AO628" i="6" s="1"/>
  <c r="AP628" i="6" s="1"/>
  <c r="AN629" i="6"/>
  <c r="AN630" i="6"/>
  <c r="AO630" i="6" s="1"/>
  <c r="AP630" i="6" s="1"/>
  <c r="AN631" i="6"/>
  <c r="AO631" i="6" s="1"/>
  <c r="AP631" i="6" s="1"/>
  <c r="AN632" i="6"/>
  <c r="AO632" i="6" s="1"/>
  <c r="AP632" i="6" s="1"/>
  <c r="AN633" i="6"/>
  <c r="AN634" i="6"/>
  <c r="AO634" i="6" s="1"/>
  <c r="AP634" i="6" s="1"/>
  <c r="AN635" i="6"/>
  <c r="AO635" i="6" s="1"/>
  <c r="AP635" i="6" s="1"/>
  <c r="AN636" i="6"/>
  <c r="AO636" i="6" s="1"/>
  <c r="AP636" i="6" s="1"/>
  <c r="AN637" i="6"/>
  <c r="AN638" i="6"/>
  <c r="AO638" i="6" s="1"/>
  <c r="AP638" i="6" s="1"/>
  <c r="AN639" i="6"/>
  <c r="AO639" i="6" s="1"/>
  <c r="AP639" i="6" s="1"/>
  <c r="AN640" i="6"/>
  <c r="AO640" i="6" s="1"/>
  <c r="AP640" i="6" s="1"/>
  <c r="AN641" i="6"/>
  <c r="AN642" i="6"/>
  <c r="AO642" i="6" s="1"/>
  <c r="AP642" i="6" s="1"/>
  <c r="AN643" i="6"/>
  <c r="AO643" i="6" s="1"/>
  <c r="AP643" i="6" s="1"/>
  <c r="AN644" i="6"/>
  <c r="AO644" i="6" s="1"/>
  <c r="AP644" i="6" s="1"/>
  <c r="AN645" i="6"/>
  <c r="AN646" i="6"/>
  <c r="AO646" i="6" s="1"/>
  <c r="AP646" i="6" s="1"/>
  <c r="AN647" i="6"/>
  <c r="AO647" i="6" s="1"/>
  <c r="AP647" i="6" s="1"/>
  <c r="AN648" i="6"/>
  <c r="AO648" i="6" s="1"/>
  <c r="AP648" i="6" s="1"/>
  <c r="AN649" i="6"/>
  <c r="AN650" i="6"/>
  <c r="AO650" i="6" s="1"/>
  <c r="AP650" i="6" s="1"/>
  <c r="AN651" i="6"/>
  <c r="AO651" i="6" s="1"/>
  <c r="AP651" i="6" s="1"/>
  <c r="AN652" i="6"/>
  <c r="AO652" i="6" s="1"/>
  <c r="AP652" i="6" s="1"/>
  <c r="AN653" i="6"/>
  <c r="AN654" i="6"/>
  <c r="AO654" i="6" s="1"/>
  <c r="AP654" i="6" s="1"/>
  <c r="AN655" i="6"/>
  <c r="AO655" i="6" s="1"/>
  <c r="AP655" i="6" s="1"/>
  <c r="AN656" i="6"/>
  <c r="AO656" i="6" s="1"/>
  <c r="AP656" i="6" s="1"/>
  <c r="AN657" i="6"/>
  <c r="AN658" i="6"/>
  <c r="AO658" i="6" s="1"/>
  <c r="AP658" i="6" s="1"/>
  <c r="AN659" i="6"/>
  <c r="AO659" i="6" s="1"/>
  <c r="AP659" i="6" s="1"/>
  <c r="AN660" i="6"/>
  <c r="AO660" i="6" s="1"/>
  <c r="AP660" i="6" s="1"/>
  <c r="AN661" i="6"/>
  <c r="AN662" i="6"/>
  <c r="AO662" i="6" s="1"/>
  <c r="AP662" i="6" s="1"/>
  <c r="AN663" i="6"/>
  <c r="AO663" i="6" s="1"/>
  <c r="AP663" i="6" s="1"/>
  <c r="AN664" i="6"/>
  <c r="AO664" i="6" s="1"/>
  <c r="AP664" i="6" s="1"/>
  <c r="AN665" i="6"/>
  <c r="AN666" i="6"/>
  <c r="AO666" i="6" s="1"/>
  <c r="AP666" i="6" s="1"/>
  <c r="AN667" i="6"/>
  <c r="AO667" i="6" s="1"/>
  <c r="AP667" i="6" s="1"/>
  <c r="AN668" i="6"/>
  <c r="AO668" i="6" s="1"/>
  <c r="AP668" i="6" s="1"/>
  <c r="AN669" i="6"/>
  <c r="AN670" i="6"/>
  <c r="AO670" i="6" s="1"/>
  <c r="AP670" i="6" s="1"/>
  <c r="AN671" i="6"/>
  <c r="AO671" i="6" s="1"/>
  <c r="AP671" i="6" s="1"/>
  <c r="AN672" i="6"/>
  <c r="AO672" i="6" s="1"/>
  <c r="AP672" i="6" s="1"/>
  <c r="AN673" i="6"/>
  <c r="AN674" i="6"/>
  <c r="AO674" i="6" s="1"/>
  <c r="AP674" i="6" s="1"/>
  <c r="AN675" i="6"/>
  <c r="AO675" i="6" s="1"/>
  <c r="AP675" i="6" s="1"/>
  <c r="AN676" i="6"/>
  <c r="AO676" i="6" s="1"/>
  <c r="AP676" i="6" s="1"/>
  <c r="AN677" i="6"/>
  <c r="AN678" i="6"/>
  <c r="AO678" i="6" s="1"/>
  <c r="AP678" i="6" s="1"/>
  <c r="AN679" i="6"/>
  <c r="AO679" i="6" s="1"/>
  <c r="AP679" i="6" s="1"/>
  <c r="AN680" i="6"/>
  <c r="AO680" i="6" s="1"/>
  <c r="AP680" i="6" s="1"/>
  <c r="AN681" i="6"/>
  <c r="AN682" i="6"/>
  <c r="AO682" i="6" s="1"/>
  <c r="AP682" i="6" s="1"/>
  <c r="AN683" i="6"/>
  <c r="AO683" i="6" s="1"/>
  <c r="AP683" i="6" s="1"/>
  <c r="AN684" i="6"/>
  <c r="AO684" i="6" s="1"/>
  <c r="AP684" i="6" s="1"/>
  <c r="AN685" i="6"/>
  <c r="AN686" i="6"/>
  <c r="AO686" i="6" s="1"/>
  <c r="AP686" i="6" s="1"/>
  <c r="AN687" i="6"/>
  <c r="AO687" i="6" s="1"/>
  <c r="AP687" i="6" s="1"/>
  <c r="AN688" i="6"/>
  <c r="AO688" i="6" s="1"/>
  <c r="AP688" i="6" s="1"/>
  <c r="AN689" i="6"/>
  <c r="AN690" i="6"/>
  <c r="AO690" i="6" s="1"/>
  <c r="AP690" i="6" s="1"/>
  <c r="AN691" i="6"/>
  <c r="AO691" i="6" s="1"/>
  <c r="AP691" i="6" s="1"/>
  <c r="AN692" i="6"/>
  <c r="AO692" i="6" s="1"/>
  <c r="AP692" i="6" s="1"/>
  <c r="AN693" i="6"/>
  <c r="AN694" i="6"/>
  <c r="AO694" i="6" s="1"/>
  <c r="AP694" i="6" s="1"/>
  <c r="AN695" i="6"/>
  <c r="AO695" i="6" s="1"/>
  <c r="AP695" i="6" s="1"/>
  <c r="AN696" i="6"/>
  <c r="AO696" i="6" s="1"/>
  <c r="AP696" i="6" s="1"/>
  <c r="AN697" i="6"/>
  <c r="AN698" i="6"/>
  <c r="AO698" i="6" s="1"/>
  <c r="AP698" i="6" s="1"/>
  <c r="AN699" i="6"/>
  <c r="AO699" i="6" s="1"/>
  <c r="AP699" i="6" s="1"/>
  <c r="AN700" i="6"/>
  <c r="AO700" i="6" s="1"/>
  <c r="AP700" i="6" s="1"/>
  <c r="AN701" i="6"/>
  <c r="AN702" i="6"/>
  <c r="AO702" i="6" s="1"/>
  <c r="AP702" i="6" s="1"/>
  <c r="AN703" i="6"/>
  <c r="AO703" i="6" s="1"/>
  <c r="AP703" i="6" s="1"/>
  <c r="AN704" i="6"/>
  <c r="AO704" i="6" s="1"/>
  <c r="AP704" i="6" s="1"/>
  <c r="AN705" i="6"/>
  <c r="AN706" i="6"/>
  <c r="AO706" i="6" s="1"/>
  <c r="AP706" i="6" s="1"/>
  <c r="AN707" i="6"/>
  <c r="AO707" i="6" s="1"/>
  <c r="AP707" i="6" s="1"/>
  <c r="AN708" i="6"/>
  <c r="AO708" i="6" s="1"/>
  <c r="AP708" i="6" s="1"/>
  <c r="AN709" i="6"/>
  <c r="AN710" i="6"/>
  <c r="AO710" i="6" s="1"/>
  <c r="AP710" i="6" s="1"/>
  <c r="AN711" i="6"/>
  <c r="AO711" i="6" s="1"/>
  <c r="AP711" i="6" s="1"/>
  <c r="AN712" i="6"/>
  <c r="AO712" i="6" s="1"/>
  <c r="AP712" i="6" s="1"/>
  <c r="AN713" i="6"/>
  <c r="AN714" i="6"/>
  <c r="AO714" i="6" s="1"/>
  <c r="AP714" i="6" s="1"/>
  <c r="AN715" i="6"/>
  <c r="AO715" i="6" s="1"/>
  <c r="AP715" i="6" s="1"/>
  <c r="AN716" i="6"/>
  <c r="AO716" i="6" s="1"/>
  <c r="AP716" i="6" s="1"/>
  <c r="AN717" i="6"/>
  <c r="AN718" i="6"/>
  <c r="AO718" i="6" s="1"/>
  <c r="AP718" i="6" s="1"/>
  <c r="AN719" i="6"/>
  <c r="AO719" i="6" s="1"/>
  <c r="AP719" i="6" s="1"/>
  <c r="AN720" i="6"/>
  <c r="AO720" i="6" s="1"/>
  <c r="AP720" i="6" s="1"/>
  <c r="AN721" i="6"/>
  <c r="AN722" i="6"/>
  <c r="AO722" i="6" s="1"/>
  <c r="AP722" i="6" s="1"/>
  <c r="AN723" i="6"/>
  <c r="AO723" i="6" s="1"/>
  <c r="AP723" i="6" s="1"/>
  <c r="AN724" i="6"/>
  <c r="AO724" i="6" s="1"/>
  <c r="AP724" i="6" s="1"/>
  <c r="AN725" i="6"/>
  <c r="AN726" i="6"/>
  <c r="AO726" i="6" s="1"/>
  <c r="AP726" i="6" s="1"/>
  <c r="AN727" i="6"/>
  <c r="AO727" i="6" s="1"/>
  <c r="AP727" i="6" s="1"/>
  <c r="AN728" i="6"/>
  <c r="AO728" i="6" s="1"/>
  <c r="AP728" i="6" s="1"/>
  <c r="AN729" i="6"/>
  <c r="AN730" i="6"/>
  <c r="AO730" i="6" s="1"/>
  <c r="AP730" i="6" s="1"/>
  <c r="AN731" i="6"/>
  <c r="AO731" i="6" s="1"/>
  <c r="AP731" i="6" s="1"/>
  <c r="AN732" i="6"/>
  <c r="AO732" i="6" s="1"/>
  <c r="AP732" i="6" s="1"/>
  <c r="AN733" i="6"/>
  <c r="AN734" i="6"/>
  <c r="AO734" i="6" s="1"/>
  <c r="AP734" i="6" s="1"/>
  <c r="AN735" i="6"/>
  <c r="AO735" i="6" s="1"/>
  <c r="AP735" i="6" s="1"/>
  <c r="AN736" i="6"/>
  <c r="AO736" i="6" s="1"/>
  <c r="AP736" i="6" s="1"/>
  <c r="AN737" i="6"/>
  <c r="AN738" i="6"/>
  <c r="AO738" i="6" s="1"/>
  <c r="AP738" i="6" s="1"/>
  <c r="AN739" i="6"/>
  <c r="AO739" i="6" s="1"/>
  <c r="AP739" i="6" s="1"/>
  <c r="AN740" i="6"/>
  <c r="AO740" i="6" s="1"/>
  <c r="AP740" i="6" s="1"/>
  <c r="AN741" i="6"/>
  <c r="AN742" i="6"/>
  <c r="AO742" i="6" s="1"/>
  <c r="AP742" i="6" s="1"/>
  <c r="AN743" i="6"/>
  <c r="AO743" i="6" s="1"/>
  <c r="AP743" i="6" s="1"/>
  <c r="AN744" i="6"/>
  <c r="AO744" i="6" s="1"/>
  <c r="AP744" i="6" s="1"/>
  <c r="AN745" i="6"/>
  <c r="AN746" i="6"/>
  <c r="AO746" i="6" s="1"/>
  <c r="AP746" i="6" s="1"/>
  <c r="AN747" i="6"/>
  <c r="AO747" i="6" s="1"/>
  <c r="AP747" i="6" s="1"/>
  <c r="AN748" i="6"/>
  <c r="AO748" i="6" s="1"/>
  <c r="AP748" i="6" s="1"/>
  <c r="AN749" i="6"/>
  <c r="AN750" i="6"/>
  <c r="AO750" i="6" s="1"/>
  <c r="AP750" i="6" s="1"/>
  <c r="AN751" i="6"/>
  <c r="AO751" i="6" s="1"/>
  <c r="AP751" i="6" s="1"/>
  <c r="AN752" i="6"/>
  <c r="AO752" i="6" s="1"/>
  <c r="AP752" i="6" s="1"/>
  <c r="AN753" i="6"/>
  <c r="AN754" i="6"/>
  <c r="AO754" i="6" s="1"/>
  <c r="AP754" i="6" s="1"/>
  <c r="AN755" i="6"/>
  <c r="AO755" i="6" s="1"/>
  <c r="AP755" i="6" s="1"/>
  <c r="AN756" i="6"/>
  <c r="AO756" i="6" s="1"/>
  <c r="AP756" i="6" s="1"/>
  <c r="AN757" i="6"/>
  <c r="AN758" i="6"/>
  <c r="AO758" i="6" s="1"/>
  <c r="AP758" i="6" s="1"/>
  <c r="AN759" i="6"/>
  <c r="AO759" i="6" s="1"/>
  <c r="AP759" i="6" s="1"/>
  <c r="AN760" i="6"/>
  <c r="AO760" i="6" s="1"/>
  <c r="AP760" i="6" s="1"/>
  <c r="AN761" i="6"/>
  <c r="AN762" i="6"/>
  <c r="AO762" i="6" s="1"/>
  <c r="AP762" i="6" s="1"/>
  <c r="AN763" i="6"/>
  <c r="AO763" i="6" s="1"/>
  <c r="AP763" i="6" s="1"/>
  <c r="AN764" i="6"/>
  <c r="AO764" i="6" s="1"/>
  <c r="AP764" i="6" s="1"/>
  <c r="AN765" i="6"/>
  <c r="AN766" i="6"/>
  <c r="AO766" i="6" s="1"/>
  <c r="AP766" i="6" s="1"/>
  <c r="AN767" i="6"/>
  <c r="AO767" i="6" s="1"/>
  <c r="AP767" i="6" s="1"/>
  <c r="AN768" i="6"/>
  <c r="AO768" i="6" s="1"/>
  <c r="AP768" i="6" s="1"/>
  <c r="AN769" i="6"/>
  <c r="AN770" i="6"/>
  <c r="AO770" i="6" s="1"/>
  <c r="AP770" i="6" s="1"/>
  <c r="AN771" i="6"/>
  <c r="AO771" i="6" s="1"/>
  <c r="AP771" i="6" s="1"/>
  <c r="AN772" i="6"/>
  <c r="AO772" i="6" s="1"/>
  <c r="AP772" i="6" s="1"/>
  <c r="AN773" i="6"/>
  <c r="AN774" i="6"/>
  <c r="AO774" i="6" s="1"/>
  <c r="AP774" i="6" s="1"/>
  <c r="AN775" i="6"/>
  <c r="AO775" i="6" s="1"/>
  <c r="AP775" i="6" s="1"/>
  <c r="AN776" i="6"/>
  <c r="AO776" i="6" s="1"/>
  <c r="AP776" i="6" s="1"/>
  <c r="AN777" i="6"/>
  <c r="AN778" i="6"/>
  <c r="AO778" i="6" s="1"/>
  <c r="AP778" i="6" s="1"/>
  <c r="AN779" i="6"/>
  <c r="AO779" i="6" s="1"/>
  <c r="AP779" i="6" s="1"/>
  <c r="AN780" i="6"/>
  <c r="AO780" i="6" s="1"/>
  <c r="AP780" i="6" s="1"/>
  <c r="AN781" i="6"/>
  <c r="AN782" i="6"/>
  <c r="AO782" i="6" s="1"/>
  <c r="AP782" i="6" s="1"/>
  <c r="AN783" i="6"/>
  <c r="AO783" i="6" s="1"/>
  <c r="AP783" i="6" s="1"/>
  <c r="AN784" i="6"/>
  <c r="AO784" i="6" s="1"/>
  <c r="AP784" i="6" s="1"/>
  <c r="AN785" i="6"/>
  <c r="AN786" i="6"/>
  <c r="AO786" i="6" s="1"/>
  <c r="AP786" i="6" s="1"/>
  <c r="AN787" i="6"/>
  <c r="AO787" i="6" s="1"/>
  <c r="AP787" i="6" s="1"/>
  <c r="AN788" i="6"/>
  <c r="AO788" i="6" s="1"/>
  <c r="AP788" i="6" s="1"/>
  <c r="AN789" i="6"/>
  <c r="AN790" i="6"/>
  <c r="AO790" i="6" s="1"/>
  <c r="AP790" i="6" s="1"/>
  <c r="AN791" i="6"/>
  <c r="AO791" i="6" s="1"/>
  <c r="AP791" i="6" s="1"/>
  <c r="AN792" i="6"/>
  <c r="AO792" i="6" s="1"/>
  <c r="AP792" i="6" s="1"/>
  <c r="AN793" i="6"/>
  <c r="AN794" i="6"/>
  <c r="AO794" i="6" s="1"/>
  <c r="AP794" i="6" s="1"/>
  <c r="AN795" i="6"/>
  <c r="AO795" i="6" s="1"/>
  <c r="AP795" i="6" s="1"/>
  <c r="AN796" i="6"/>
  <c r="AO796" i="6" s="1"/>
  <c r="AP796" i="6" s="1"/>
  <c r="AN797" i="6"/>
  <c r="AN798" i="6"/>
  <c r="AO798" i="6" s="1"/>
  <c r="AP798" i="6" s="1"/>
  <c r="AN799" i="6"/>
  <c r="AO799" i="6" s="1"/>
  <c r="AP799" i="6" s="1"/>
  <c r="AN800" i="6"/>
  <c r="AO800" i="6" s="1"/>
  <c r="AP800" i="6" s="1"/>
  <c r="AN801" i="6"/>
  <c r="AN802" i="6"/>
  <c r="AO802" i="6" s="1"/>
  <c r="AP802" i="6" s="1"/>
  <c r="AN803" i="6"/>
  <c r="AO803" i="6" s="1"/>
  <c r="AP803" i="6" s="1"/>
  <c r="AN804" i="6"/>
  <c r="AO804" i="6" s="1"/>
  <c r="AP804" i="6" s="1"/>
  <c r="AN805" i="6"/>
  <c r="AN806" i="6"/>
  <c r="AO806" i="6" s="1"/>
  <c r="AP806" i="6" s="1"/>
  <c r="AN807" i="6"/>
  <c r="AO807" i="6" s="1"/>
  <c r="AP807" i="6" s="1"/>
  <c r="AN808" i="6"/>
  <c r="AO808" i="6" s="1"/>
  <c r="AP808" i="6" s="1"/>
  <c r="AN809" i="6"/>
  <c r="AN810" i="6"/>
  <c r="AO810" i="6" s="1"/>
  <c r="AP810" i="6" s="1"/>
  <c r="AN811" i="6"/>
  <c r="AO811" i="6" s="1"/>
  <c r="AP811" i="6" s="1"/>
  <c r="AN812" i="6"/>
  <c r="AO812" i="6" s="1"/>
  <c r="AP812" i="6" s="1"/>
  <c r="AN813" i="6"/>
  <c r="AN814" i="6"/>
  <c r="AO814" i="6" s="1"/>
  <c r="AP814" i="6" s="1"/>
  <c r="AN815" i="6"/>
  <c r="AO815" i="6" s="1"/>
  <c r="AP815" i="6" s="1"/>
  <c r="AN816" i="6"/>
  <c r="AO816" i="6" s="1"/>
  <c r="AP816" i="6" s="1"/>
  <c r="AN817" i="6"/>
  <c r="AN818" i="6"/>
  <c r="AO818" i="6" s="1"/>
  <c r="AP818" i="6" s="1"/>
  <c r="AN819" i="6"/>
  <c r="AO819" i="6" s="1"/>
  <c r="AP819" i="6" s="1"/>
  <c r="AN820" i="6"/>
  <c r="AO820" i="6" s="1"/>
  <c r="AP820" i="6" s="1"/>
  <c r="AN821" i="6"/>
  <c r="AN822" i="6"/>
  <c r="AO822" i="6" s="1"/>
  <c r="AP822" i="6" s="1"/>
  <c r="AN823" i="6"/>
  <c r="AO823" i="6" s="1"/>
  <c r="AP823" i="6" s="1"/>
  <c r="AN824" i="6"/>
  <c r="AO824" i="6" s="1"/>
  <c r="AP824" i="6" s="1"/>
  <c r="AN825" i="6"/>
  <c r="AN826" i="6"/>
  <c r="AO826" i="6" s="1"/>
  <c r="AP826" i="6" s="1"/>
  <c r="AN827" i="6"/>
  <c r="AO827" i="6" s="1"/>
  <c r="AP827" i="6" s="1"/>
  <c r="AN828" i="6"/>
  <c r="AO828" i="6" s="1"/>
  <c r="AP828" i="6" s="1"/>
  <c r="AN829" i="6"/>
  <c r="AN830" i="6"/>
  <c r="AO830" i="6" s="1"/>
  <c r="AP830" i="6" s="1"/>
  <c r="AN831" i="6"/>
  <c r="AO831" i="6" s="1"/>
  <c r="AP831" i="6" s="1"/>
  <c r="AN832" i="6"/>
  <c r="AO832" i="6" s="1"/>
  <c r="AP832" i="6" s="1"/>
  <c r="AN833" i="6"/>
  <c r="AN834" i="6"/>
  <c r="AO834" i="6" s="1"/>
  <c r="AP834" i="6" s="1"/>
  <c r="AN835" i="6"/>
  <c r="AO835" i="6" s="1"/>
  <c r="AP835" i="6" s="1"/>
  <c r="AN836" i="6"/>
  <c r="AO836" i="6" s="1"/>
  <c r="AP836" i="6" s="1"/>
  <c r="AN837" i="6"/>
  <c r="AN838" i="6"/>
  <c r="AO838" i="6" s="1"/>
  <c r="AP838" i="6" s="1"/>
  <c r="AN839" i="6"/>
  <c r="AO839" i="6" s="1"/>
  <c r="AP839" i="6" s="1"/>
  <c r="AN840" i="6"/>
  <c r="AO840" i="6" s="1"/>
  <c r="AP840" i="6" s="1"/>
  <c r="AN841" i="6"/>
  <c r="AN842" i="6"/>
  <c r="AO842" i="6" s="1"/>
  <c r="AP842" i="6" s="1"/>
  <c r="AN843" i="6"/>
  <c r="AO843" i="6" s="1"/>
  <c r="AP843" i="6" s="1"/>
  <c r="AN844" i="6"/>
  <c r="AO844" i="6" s="1"/>
  <c r="AP844" i="6" s="1"/>
  <c r="AN845" i="6"/>
  <c r="AN846" i="6"/>
  <c r="AO846" i="6" s="1"/>
  <c r="AP846" i="6" s="1"/>
  <c r="AN847" i="6"/>
  <c r="AO847" i="6" s="1"/>
  <c r="AP847" i="6" s="1"/>
  <c r="AN848" i="6"/>
  <c r="AO848" i="6" s="1"/>
  <c r="AP848" i="6" s="1"/>
  <c r="AN849" i="6"/>
  <c r="AN850" i="6"/>
  <c r="AO850" i="6" s="1"/>
  <c r="AP850" i="6" s="1"/>
  <c r="AN851" i="6"/>
  <c r="AO851" i="6" s="1"/>
  <c r="AP851" i="6" s="1"/>
  <c r="AN852" i="6"/>
  <c r="AO852" i="6" s="1"/>
  <c r="AP852" i="6" s="1"/>
  <c r="AN853" i="6"/>
  <c r="AN854" i="6"/>
  <c r="AO854" i="6" s="1"/>
  <c r="AP854" i="6" s="1"/>
  <c r="AN855" i="6"/>
  <c r="AO855" i="6" s="1"/>
  <c r="AP855" i="6" s="1"/>
  <c r="AN856" i="6"/>
  <c r="AO856" i="6" s="1"/>
  <c r="AP856" i="6" s="1"/>
  <c r="AN857" i="6"/>
  <c r="AN858" i="6"/>
  <c r="AO858" i="6" s="1"/>
  <c r="AP858" i="6" s="1"/>
  <c r="AN859" i="6"/>
  <c r="AO859" i="6" s="1"/>
  <c r="AP859" i="6" s="1"/>
  <c r="AN860" i="6"/>
  <c r="AO860" i="6" s="1"/>
  <c r="AP860" i="6" s="1"/>
  <c r="AN861" i="6"/>
  <c r="AN862" i="6"/>
  <c r="AO862" i="6" s="1"/>
  <c r="AP862" i="6" s="1"/>
  <c r="AN863" i="6"/>
  <c r="AO863" i="6" s="1"/>
  <c r="AP863" i="6" s="1"/>
  <c r="AN864" i="6"/>
  <c r="AO864" i="6" s="1"/>
  <c r="AP864" i="6" s="1"/>
  <c r="AN865" i="6"/>
  <c r="AN866" i="6"/>
  <c r="AO866" i="6" s="1"/>
  <c r="AP866" i="6" s="1"/>
  <c r="AN867" i="6"/>
  <c r="AO867" i="6" s="1"/>
  <c r="AP867" i="6" s="1"/>
  <c r="AN868" i="6"/>
  <c r="AO868" i="6" s="1"/>
  <c r="AP868" i="6" s="1"/>
  <c r="AN869" i="6"/>
  <c r="AN870" i="6"/>
  <c r="AO870" i="6" s="1"/>
  <c r="AP870" i="6" s="1"/>
  <c r="AN871" i="6"/>
  <c r="AO871" i="6" s="1"/>
  <c r="AP871" i="6" s="1"/>
  <c r="AN872" i="6"/>
  <c r="AO872" i="6" s="1"/>
  <c r="AP872" i="6" s="1"/>
  <c r="AN873" i="6"/>
  <c r="AN874" i="6"/>
  <c r="AO874" i="6" s="1"/>
  <c r="AP874" i="6" s="1"/>
  <c r="AN875" i="6"/>
  <c r="AO875" i="6" s="1"/>
  <c r="AP875" i="6" s="1"/>
  <c r="AN876" i="6"/>
  <c r="AO876" i="6" s="1"/>
  <c r="AP876" i="6" s="1"/>
  <c r="AN877" i="6"/>
  <c r="AN878" i="6"/>
  <c r="AO878" i="6" s="1"/>
  <c r="AP878" i="6" s="1"/>
  <c r="AN879" i="6"/>
  <c r="AO879" i="6" s="1"/>
  <c r="AP879" i="6" s="1"/>
  <c r="AN880" i="6"/>
  <c r="AO880" i="6" s="1"/>
  <c r="AP880" i="6" s="1"/>
  <c r="AN881" i="6"/>
  <c r="AN882" i="6"/>
  <c r="AO882" i="6" s="1"/>
  <c r="AP882" i="6" s="1"/>
  <c r="AN883" i="6"/>
  <c r="AO883" i="6" s="1"/>
  <c r="AP883" i="6" s="1"/>
  <c r="AN884" i="6"/>
  <c r="AO884" i="6" s="1"/>
  <c r="AP884" i="6" s="1"/>
  <c r="AN885" i="6"/>
  <c r="AN886" i="6"/>
  <c r="AO886" i="6" s="1"/>
  <c r="AP886" i="6" s="1"/>
  <c r="AN887" i="6"/>
  <c r="AO887" i="6" s="1"/>
  <c r="AP887" i="6" s="1"/>
  <c r="AN888" i="6"/>
  <c r="AO888" i="6" s="1"/>
  <c r="AP888" i="6" s="1"/>
  <c r="AN889" i="6"/>
  <c r="AN890" i="6"/>
  <c r="AO890" i="6" s="1"/>
  <c r="AP890" i="6" s="1"/>
  <c r="AN891" i="6"/>
  <c r="AO891" i="6" s="1"/>
  <c r="AP891" i="6" s="1"/>
  <c r="AN892" i="6"/>
  <c r="AO892" i="6" s="1"/>
  <c r="AP892" i="6" s="1"/>
  <c r="AN893" i="6"/>
  <c r="AN894" i="6"/>
  <c r="AO894" i="6" s="1"/>
  <c r="AP894" i="6" s="1"/>
  <c r="AN895" i="6"/>
  <c r="AO895" i="6" s="1"/>
  <c r="AP895" i="6" s="1"/>
  <c r="AN896" i="6"/>
  <c r="AO896" i="6" s="1"/>
  <c r="AP896" i="6" s="1"/>
  <c r="AN897" i="6"/>
  <c r="AN898" i="6"/>
  <c r="AO898" i="6" s="1"/>
  <c r="AP898" i="6" s="1"/>
  <c r="AN899" i="6"/>
  <c r="AO899" i="6" s="1"/>
  <c r="AP899" i="6" s="1"/>
  <c r="AN900" i="6"/>
  <c r="AO900" i="6" s="1"/>
  <c r="AP900" i="6" s="1"/>
  <c r="AN901" i="6"/>
  <c r="AN902" i="6"/>
  <c r="AO902" i="6" s="1"/>
  <c r="AP902" i="6" s="1"/>
  <c r="AN903" i="6"/>
  <c r="AO903" i="6" s="1"/>
  <c r="AP903" i="6" s="1"/>
  <c r="AN904" i="6"/>
  <c r="AO904" i="6" s="1"/>
  <c r="AP904" i="6" s="1"/>
  <c r="AN905" i="6"/>
  <c r="AN906" i="6"/>
  <c r="AO906" i="6" s="1"/>
  <c r="AP906" i="6" s="1"/>
  <c r="AN907" i="6"/>
  <c r="AO907" i="6" s="1"/>
  <c r="AP907" i="6" s="1"/>
  <c r="AN908" i="6"/>
  <c r="AO908" i="6" s="1"/>
  <c r="AP908" i="6" s="1"/>
  <c r="AN909" i="6"/>
  <c r="AN910" i="6"/>
  <c r="AO910" i="6" s="1"/>
  <c r="AP910" i="6" s="1"/>
  <c r="AN911" i="6"/>
  <c r="AO911" i="6" s="1"/>
  <c r="AP911" i="6" s="1"/>
  <c r="AN912" i="6"/>
  <c r="AO912" i="6" s="1"/>
  <c r="AP912" i="6" s="1"/>
  <c r="AN913" i="6"/>
  <c r="AN914" i="6"/>
  <c r="AO914" i="6" s="1"/>
  <c r="AP914" i="6" s="1"/>
  <c r="AN915" i="6"/>
  <c r="AO915" i="6" s="1"/>
  <c r="AP915" i="6" s="1"/>
  <c r="AN916" i="6"/>
  <c r="AO916" i="6" s="1"/>
  <c r="AP916" i="6" s="1"/>
  <c r="AN917" i="6"/>
  <c r="AN918" i="6"/>
  <c r="AO918" i="6" s="1"/>
  <c r="AP918" i="6" s="1"/>
  <c r="AN919" i="6"/>
  <c r="AO919" i="6" s="1"/>
  <c r="AP919" i="6" s="1"/>
  <c r="AN920" i="6"/>
  <c r="AO920" i="6" s="1"/>
  <c r="AP920" i="6" s="1"/>
  <c r="AN921" i="6"/>
  <c r="AN922" i="6"/>
  <c r="AO922" i="6" s="1"/>
  <c r="AP922" i="6" s="1"/>
  <c r="AN923" i="6"/>
  <c r="AO923" i="6" s="1"/>
  <c r="AP923" i="6" s="1"/>
  <c r="AN924" i="6"/>
  <c r="AO924" i="6" s="1"/>
  <c r="AP924" i="6" s="1"/>
  <c r="AN925" i="6"/>
  <c r="AN926" i="6"/>
  <c r="AO926" i="6" s="1"/>
  <c r="AP926" i="6" s="1"/>
  <c r="AN927" i="6"/>
  <c r="AO927" i="6" s="1"/>
  <c r="AP927" i="6" s="1"/>
  <c r="AN928" i="6"/>
  <c r="AO928" i="6" s="1"/>
  <c r="AP928" i="6" s="1"/>
  <c r="AN929" i="6"/>
  <c r="AN930" i="6"/>
  <c r="AO930" i="6" s="1"/>
  <c r="AP930" i="6" s="1"/>
  <c r="AN931" i="6"/>
  <c r="AO931" i="6" s="1"/>
  <c r="AP931" i="6" s="1"/>
  <c r="AN932" i="6"/>
  <c r="AO932" i="6" s="1"/>
  <c r="AP932" i="6" s="1"/>
  <c r="AN933" i="6"/>
  <c r="AN934" i="6"/>
  <c r="AO934" i="6" s="1"/>
  <c r="AP934" i="6" s="1"/>
  <c r="AN935" i="6"/>
  <c r="AO935" i="6" s="1"/>
  <c r="AP935" i="6" s="1"/>
  <c r="AN936" i="6"/>
  <c r="AO936" i="6" s="1"/>
  <c r="AP936" i="6" s="1"/>
  <c r="AN937" i="6"/>
  <c r="AN938" i="6"/>
  <c r="AO938" i="6" s="1"/>
  <c r="AP938" i="6" s="1"/>
  <c r="AN939" i="6"/>
  <c r="AO939" i="6" s="1"/>
  <c r="AP939" i="6" s="1"/>
  <c r="AN940" i="6"/>
  <c r="AO940" i="6" s="1"/>
  <c r="AP940" i="6" s="1"/>
  <c r="AN941" i="6"/>
  <c r="AN942" i="6"/>
  <c r="AO942" i="6" s="1"/>
  <c r="AP942" i="6" s="1"/>
  <c r="AN943" i="6"/>
  <c r="AO943" i="6" s="1"/>
  <c r="AP943" i="6" s="1"/>
  <c r="AN944" i="6"/>
  <c r="AO944" i="6" s="1"/>
  <c r="AP944" i="6" s="1"/>
  <c r="AN945" i="6"/>
  <c r="AN946" i="6"/>
  <c r="AO946" i="6" s="1"/>
  <c r="AP946" i="6" s="1"/>
  <c r="AN947" i="6"/>
  <c r="AO947" i="6" s="1"/>
  <c r="AP947" i="6" s="1"/>
  <c r="AN948" i="6"/>
  <c r="AO948" i="6" s="1"/>
  <c r="AP948" i="6" s="1"/>
  <c r="AN949" i="6"/>
  <c r="AN950" i="6"/>
  <c r="AO950" i="6" s="1"/>
  <c r="AP950" i="6" s="1"/>
  <c r="AN951" i="6"/>
  <c r="AO951" i="6" s="1"/>
  <c r="AP951" i="6" s="1"/>
  <c r="AN952" i="6"/>
  <c r="AO952" i="6" s="1"/>
  <c r="AP952" i="6" s="1"/>
  <c r="AN953" i="6"/>
  <c r="AN954" i="6"/>
  <c r="AO954" i="6" s="1"/>
  <c r="AP954" i="6" s="1"/>
  <c r="AN955" i="6"/>
  <c r="AO955" i="6" s="1"/>
  <c r="AP955" i="6" s="1"/>
  <c r="AN956" i="6"/>
  <c r="AO956" i="6" s="1"/>
  <c r="AP956" i="6" s="1"/>
  <c r="AN957" i="6"/>
  <c r="AN958" i="6"/>
  <c r="AO958" i="6" s="1"/>
  <c r="AP958" i="6" s="1"/>
  <c r="AN959" i="6"/>
  <c r="AO959" i="6" s="1"/>
  <c r="AP959" i="6" s="1"/>
  <c r="AN960" i="6"/>
  <c r="AO960" i="6" s="1"/>
  <c r="AP960" i="6" s="1"/>
  <c r="AN961" i="6"/>
  <c r="AN962" i="6"/>
  <c r="AO962" i="6" s="1"/>
  <c r="AP962" i="6" s="1"/>
  <c r="AN963" i="6"/>
  <c r="AO963" i="6" s="1"/>
  <c r="AP963" i="6" s="1"/>
  <c r="AN964" i="6"/>
  <c r="AO964" i="6" s="1"/>
  <c r="AP964" i="6" s="1"/>
  <c r="AN965" i="6"/>
  <c r="AN966" i="6"/>
  <c r="AO966" i="6" s="1"/>
  <c r="AP966" i="6" s="1"/>
  <c r="AN967" i="6"/>
  <c r="AO967" i="6" s="1"/>
  <c r="AP967" i="6" s="1"/>
  <c r="AN968" i="6"/>
  <c r="AO968" i="6" s="1"/>
  <c r="AP968" i="6" s="1"/>
  <c r="AN969" i="6"/>
  <c r="AN970" i="6"/>
  <c r="AO970" i="6" s="1"/>
  <c r="AP970" i="6" s="1"/>
  <c r="AN971" i="6"/>
  <c r="AO971" i="6" s="1"/>
  <c r="AP971" i="6" s="1"/>
  <c r="AN972" i="6"/>
  <c r="AO972" i="6" s="1"/>
  <c r="AP972" i="6" s="1"/>
  <c r="AN973" i="6"/>
  <c r="AN974" i="6"/>
  <c r="AO974" i="6" s="1"/>
  <c r="AP974" i="6" s="1"/>
  <c r="AN975" i="6"/>
  <c r="AO975" i="6" s="1"/>
  <c r="AP975" i="6" s="1"/>
  <c r="AN976" i="6"/>
  <c r="AO976" i="6" s="1"/>
  <c r="AP976" i="6" s="1"/>
  <c r="AN977" i="6"/>
  <c r="AN978" i="6"/>
  <c r="AO978" i="6" s="1"/>
  <c r="AP978" i="6" s="1"/>
  <c r="AN979" i="6"/>
  <c r="AO979" i="6" s="1"/>
  <c r="AP979" i="6" s="1"/>
  <c r="AN980" i="6"/>
  <c r="AO980" i="6" s="1"/>
  <c r="AP980" i="6" s="1"/>
  <c r="AN981" i="6"/>
  <c r="AN982" i="6"/>
  <c r="AO982" i="6" s="1"/>
  <c r="AP982" i="6" s="1"/>
  <c r="AN983" i="6"/>
  <c r="AO983" i="6" s="1"/>
  <c r="AP983" i="6" s="1"/>
  <c r="AN984" i="6"/>
  <c r="AO984" i="6" s="1"/>
  <c r="AP984" i="6" s="1"/>
  <c r="AN985" i="6"/>
  <c r="AN986" i="6"/>
  <c r="AO986" i="6" s="1"/>
  <c r="AP986" i="6" s="1"/>
  <c r="AN987" i="6"/>
  <c r="AO987" i="6" s="1"/>
  <c r="AP987" i="6" s="1"/>
  <c r="AN988" i="6"/>
  <c r="AO988" i="6" s="1"/>
  <c r="AP988" i="6" s="1"/>
  <c r="AN989" i="6"/>
  <c r="AN990" i="6"/>
  <c r="AO990" i="6" s="1"/>
  <c r="AP990" i="6" s="1"/>
  <c r="AN991" i="6"/>
  <c r="AO991" i="6" s="1"/>
  <c r="AP991" i="6" s="1"/>
  <c r="AN992" i="6"/>
  <c r="AO992" i="6" s="1"/>
  <c r="AP992" i="6" s="1"/>
  <c r="AN993" i="6"/>
  <c r="AN994" i="6"/>
  <c r="AO994" i="6" s="1"/>
  <c r="AP994" i="6" s="1"/>
  <c r="AN995" i="6"/>
  <c r="AO995" i="6" s="1"/>
  <c r="AP995" i="6" s="1"/>
  <c r="AN996" i="6"/>
  <c r="AO996" i="6" s="1"/>
  <c r="AP996" i="6" s="1"/>
  <c r="AN997" i="6"/>
  <c r="AN998" i="6"/>
  <c r="AO998" i="6" s="1"/>
  <c r="AP998" i="6" s="1"/>
  <c r="AN999" i="6"/>
  <c r="AO999" i="6" s="1"/>
  <c r="AP999" i="6" s="1"/>
  <c r="AN1000" i="6"/>
  <c r="AO1000" i="6" s="1"/>
  <c r="AP1000" i="6" s="1"/>
  <c r="AN1001" i="6"/>
  <c r="AN1002" i="6"/>
  <c r="AO1002" i="6" s="1"/>
  <c r="AP1002" i="6" s="1"/>
  <c r="AN1003" i="6"/>
  <c r="AO1003" i="6" s="1"/>
  <c r="AP1003" i="6" s="1"/>
  <c r="AN1004" i="6"/>
  <c r="AO1004" i="6" s="1"/>
  <c r="AP1004" i="6" s="1"/>
  <c r="AN1005" i="6"/>
  <c r="AN1006" i="6"/>
  <c r="AO1006" i="6" s="1"/>
  <c r="AP1006" i="6" s="1"/>
  <c r="AN1007" i="6"/>
  <c r="AO1007" i="6" s="1"/>
  <c r="AP1007" i="6" s="1"/>
  <c r="AN1008" i="6"/>
  <c r="AO1008" i="6" s="1"/>
  <c r="AP1008" i="6" s="1"/>
  <c r="AN1009" i="6"/>
  <c r="AN1010" i="6"/>
  <c r="AO1010" i="6" s="1"/>
  <c r="AP1010" i="6" s="1"/>
  <c r="AN1011" i="6"/>
  <c r="AO1011" i="6" s="1"/>
  <c r="AP1011" i="6" s="1"/>
  <c r="AN1012" i="6"/>
  <c r="AO1012" i="6" s="1"/>
  <c r="AP1012" i="6" s="1"/>
  <c r="AN1013" i="6"/>
  <c r="AN1014" i="6"/>
  <c r="AO1014" i="6" s="1"/>
  <c r="AP1014" i="6" s="1"/>
  <c r="AN1015" i="6"/>
  <c r="AO1015" i="6" s="1"/>
  <c r="AP1015" i="6" s="1"/>
  <c r="AN1016" i="6"/>
  <c r="AO1016" i="6" s="1"/>
  <c r="AP1016" i="6" s="1"/>
  <c r="AN1017" i="6"/>
  <c r="AN1018" i="6"/>
  <c r="AO1018" i="6" s="1"/>
  <c r="AP1018" i="6" s="1"/>
  <c r="AN1019" i="6"/>
  <c r="AO1019" i="6" s="1"/>
  <c r="AP1019" i="6" s="1"/>
  <c r="AN1020" i="6"/>
  <c r="AO1020" i="6" s="1"/>
  <c r="AP1020" i="6" s="1"/>
  <c r="AN1021" i="6"/>
  <c r="AN1022" i="6"/>
  <c r="AO1022" i="6" s="1"/>
  <c r="AP1022" i="6" s="1"/>
  <c r="AN1023" i="6"/>
  <c r="AO1023" i="6" s="1"/>
  <c r="AP1023" i="6" s="1"/>
  <c r="AN1024" i="6"/>
  <c r="AO1024" i="6" s="1"/>
  <c r="AP1024" i="6" s="1"/>
  <c r="AN1025" i="6"/>
  <c r="AN1026" i="6"/>
  <c r="AO1026" i="6" s="1"/>
  <c r="AP1026" i="6" s="1"/>
  <c r="AN1027" i="6"/>
  <c r="AO1027" i="6" s="1"/>
  <c r="AP1027" i="6" s="1"/>
  <c r="AN1028" i="6"/>
  <c r="AO1028" i="6" s="1"/>
  <c r="AP1028" i="6" s="1"/>
  <c r="AN1029" i="6"/>
  <c r="AN1030" i="6"/>
  <c r="AO1030" i="6" s="1"/>
  <c r="AP1030" i="6" s="1"/>
  <c r="AN1031" i="6"/>
  <c r="AO1031" i="6" s="1"/>
  <c r="AP1031" i="6" s="1"/>
  <c r="AN1032" i="6"/>
  <c r="AO1032" i="6" s="1"/>
  <c r="AP1032" i="6" s="1"/>
  <c r="AN1033" i="6"/>
  <c r="AN1034" i="6"/>
  <c r="AO1034" i="6" s="1"/>
  <c r="AP1034" i="6" s="1"/>
  <c r="AN1035" i="6"/>
  <c r="AO1035" i="6" s="1"/>
  <c r="AP1035" i="6" s="1"/>
  <c r="AN1036" i="6"/>
  <c r="AO1036" i="6" s="1"/>
  <c r="AP1036" i="6" s="1"/>
  <c r="AN1037" i="6"/>
  <c r="AN1038" i="6"/>
  <c r="AO1038" i="6" s="1"/>
  <c r="AP1038" i="6" s="1"/>
  <c r="AN1039" i="6"/>
  <c r="AO1039" i="6" s="1"/>
  <c r="AP1039" i="6" s="1"/>
  <c r="AN1040" i="6"/>
  <c r="AO1040" i="6" s="1"/>
  <c r="AP1040" i="6" s="1"/>
  <c r="AN1041" i="6"/>
  <c r="AN1042" i="6"/>
  <c r="AO1042" i="6" s="1"/>
  <c r="AP1042" i="6" s="1"/>
  <c r="AN1043" i="6"/>
  <c r="AO1043" i="6" s="1"/>
  <c r="AP1043" i="6" s="1"/>
  <c r="AN1044" i="6"/>
  <c r="AO1044" i="6" s="1"/>
  <c r="AP1044" i="6" s="1"/>
  <c r="AN1045" i="6"/>
  <c r="AN1046" i="6"/>
  <c r="AO1046" i="6" s="1"/>
  <c r="AP1046" i="6" s="1"/>
  <c r="AN1047" i="6"/>
  <c r="AO1047" i="6" s="1"/>
  <c r="AP1047" i="6" s="1"/>
  <c r="AN1048" i="6"/>
  <c r="AO1048" i="6" s="1"/>
  <c r="AP1048" i="6" s="1"/>
  <c r="AN1049" i="6"/>
  <c r="AN1050" i="6"/>
  <c r="AO1050" i="6" s="1"/>
  <c r="AP1050" i="6" s="1"/>
  <c r="AN1051" i="6"/>
  <c r="AO1051" i="6" s="1"/>
  <c r="AP1051" i="6" s="1"/>
  <c r="AN1052" i="6"/>
  <c r="AO1052" i="6" s="1"/>
  <c r="AP1052" i="6" s="1"/>
  <c r="AN1053" i="6"/>
  <c r="AN1054" i="6"/>
  <c r="AO1054" i="6" s="1"/>
  <c r="AP1054" i="6" s="1"/>
  <c r="AN1055" i="6"/>
  <c r="AO1055" i="6" s="1"/>
  <c r="AP1055" i="6" s="1"/>
  <c r="AN1056" i="6"/>
  <c r="AO1056" i="6" s="1"/>
  <c r="AP1056" i="6" s="1"/>
  <c r="AN1057" i="6"/>
  <c r="AN1058" i="6"/>
  <c r="AO1058" i="6" s="1"/>
  <c r="AP1058" i="6" s="1"/>
  <c r="AN1059" i="6"/>
  <c r="AO1059" i="6" s="1"/>
  <c r="AP1059" i="6" s="1"/>
  <c r="AN1060" i="6"/>
  <c r="AO1060" i="6" s="1"/>
  <c r="AP1060" i="6" s="1"/>
  <c r="AN1061" i="6"/>
  <c r="AN1062" i="6"/>
  <c r="AO1062" i="6" s="1"/>
  <c r="AP1062" i="6" s="1"/>
  <c r="AN1063" i="6"/>
  <c r="AO1063" i="6" s="1"/>
  <c r="AP1063" i="6" s="1"/>
  <c r="AN1064" i="6"/>
  <c r="AO1064" i="6" s="1"/>
  <c r="AP1064" i="6" s="1"/>
  <c r="AN1065" i="6"/>
  <c r="AN1066" i="6"/>
  <c r="AO1066" i="6" s="1"/>
  <c r="AP1066" i="6" s="1"/>
  <c r="AN1067" i="6"/>
  <c r="AO1067" i="6" s="1"/>
  <c r="AP1067" i="6" s="1"/>
  <c r="AN1068" i="6"/>
  <c r="AO1068" i="6" s="1"/>
  <c r="AP1068" i="6" s="1"/>
  <c r="AN1069" i="6"/>
  <c r="AN1070" i="6"/>
  <c r="AO1070" i="6" s="1"/>
  <c r="AP1070" i="6" s="1"/>
  <c r="AN1071" i="6"/>
  <c r="AO1071" i="6" s="1"/>
  <c r="AP1071" i="6" s="1"/>
  <c r="AN1072" i="6"/>
  <c r="AO1072" i="6" s="1"/>
  <c r="AP1072" i="6" s="1"/>
  <c r="AN1073" i="6"/>
  <c r="AN1074" i="6"/>
  <c r="AO1074" i="6" s="1"/>
  <c r="AP1074" i="6" s="1"/>
  <c r="AN1075" i="6"/>
  <c r="AO1075" i="6" s="1"/>
  <c r="AP1075" i="6" s="1"/>
  <c r="AN1076" i="6"/>
  <c r="AO1076" i="6" s="1"/>
  <c r="AP1076" i="6" s="1"/>
  <c r="AN1077" i="6"/>
  <c r="AN1078" i="6"/>
  <c r="AO1078" i="6" s="1"/>
  <c r="AP1078" i="6" s="1"/>
  <c r="AN1079" i="6"/>
  <c r="AO1079" i="6" s="1"/>
  <c r="AP1079" i="6" s="1"/>
  <c r="AN1080" i="6"/>
  <c r="AO1080" i="6" s="1"/>
  <c r="AP1080" i="6" s="1"/>
  <c r="AN1081" i="6"/>
  <c r="AN1082" i="6"/>
  <c r="AO1082" i="6" s="1"/>
  <c r="AP1082" i="6" s="1"/>
  <c r="AN1083" i="6"/>
  <c r="AO1083" i="6" s="1"/>
  <c r="AP1083" i="6" s="1"/>
  <c r="AN1084" i="6"/>
  <c r="AO1084" i="6" s="1"/>
  <c r="AP1084" i="6" s="1"/>
  <c r="AN1085" i="6"/>
  <c r="AN1086" i="6"/>
  <c r="AO1086" i="6" s="1"/>
  <c r="AP1086" i="6" s="1"/>
  <c r="AN1087" i="6"/>
  <c r="AO1087" i="6" s="1"/>
  <c r="AP1087" i="6" s="1"/>
  <c r="AN1088" i="6"/>
  <c r="AO1088" i="6" s="1"/>
  <c r="AP1088" i="6" s="1"/>
  <c r="AN1089" i="6"/>
  <c r="AN1090" i="6"/>
  <c r="AO1090" i="6" s="1"/>
  <c r="AP1090" i="6" s="1"/>
  <c r="AN1091" i="6"/>
  <c r="AO1091" i="6" s="1"/>
  <c r="AP1091" i="6" s="1"/>
  <c r="AN1092" i="6"/>
  <c r="AO1092" i="6" s="1"/>
  <c r="AP1092" i="6" s="1"/>
  <c r="AN1093" i="6"/>
  <c r="AN1094" i="6"/>
  <c r="AO1094" i="6" s="1"/>
  <c r="AP1094" i="6" s="1"/>
  <c r="AN1095" i="6"/>
  <c r="AO1095" i="6" s="1"/>
  <c r="AP1095" i="6" s="1"/>
  <c r="AN1096" i="6"/>
  <c r="AO1096" i="6" s="1"/>
  <c r="AP1096" i="6" s="1"/>
  <c r="AN1097" i="6"/>
  <c r="AN1098" i="6"/>
  <c r="AO1098" i="6" s="1"/>
  <c r="AP1098" i="6" s="1"/>
  <c r="AN1099" i="6"/>
  <c r="AO1099" i="6" s="1"/>
  <c r="AP1099" i="6" s="1"/>
  <c r="AN1100" i="6"/>
  <c r="AO1100" i="6" s="1"/>
  <c r="AP1100" i="6" s="1"/>
  <c r="AN1101" i="6"/>
  <c r="AN1102" i="6"/>
  <c r="AO1102" i="6" s="1"/>
  <c r="AP1102" i="6" s="1"/>
  <c r="AN1103" i="6"/>
  <c r="AO1103" i="6" s="1"/>
  <c r="AP1103" i="6" s="1"/>
  <c r="AN1104" i="6"/>
  <c r="AO1104" i="6" s="1"/>
  <c r="AP1104" i="6" s="1"/>
  <c r="AN1105" i="6"/>
  <c r="AN1106" i="6"/>
  <c r="AO1106" i="6" s="1"/>
  <c r="AP1106" i="6" s="1"/>
  <c r="AN1107" i="6"/>
  <c r="AO1107" i="6" s="1"/>
  <c r="AP1107" i="6" s="1"/>
  <c r="AN1108" i="6"/>
  <c r="AO1108" i="6" s="1"/>
  <c r="AP1108" i="6" s="1"/>
  <c r="AN1109" i="6"/>
  <c r="AN1110" i="6"/>
  <c r="AO1110" i="6" s="1"/>
  <c r="AP1110" i="6" s="1"/>
  <c r="AN1111" i="6"/>
  <c r="AO1111" i="6" s="1"/>
  <c r="AP1111" i="6" s="1"/>
  <c r="AN1112" i="6"/>
  <c r="AO1112" i="6" s="1"/>
  <c r="AP1112" i="6" s="1"/>
  <c r="AN1113" i="6"/>
  <c r="AN1114" i="6"/>
  <c r="AO1114" i="6" s="1"/>
  <c r="AP1114" i="6" s="1"/>
  <c r="AN1115" i="6"/>
  <c r="AO1115" i="6" s="1"/>
  <c r="AP1115" i="6" s="1"/>
  <c r="AN1116" i="6"/>
  <c r="AO1116" i="6" s="1"/>
  <c r="AP1116" i="6" s="1"/>
  <c r="AN1117" i="6"/>
  <c r="AN1118" i="6"/>
  <c r="AO1118" i="6" s="1"/>
  <c r="AP1118" i="6" s="1"/>
  <c r="AN1119" i="6"/>
  <c r="AO1119" i="6" s="1"/>
  <c r="AP1119" i="6" s="1"/>
  <c r="AN1120" i="6"/>
  <c r="AO1120" i="6" s="1"/>
  <c r="AP1120" i="6" s="1"/>
  <c r="AN1121" i="6"/>
  <c r="AN1122" i="6"/>
  <c r="AO1122" i="6" s="1"/>
  <c r="AP1122" i="6" s="1"/>
  <c r="AN1123" i="6"/>
  <c r="AO1123" i="6" s="1"/>
  <c r="AP1123" i="6" s="1"/>
  <c r="AN1124" i="6"/>
  <c r="AO1124" i="6" s="1"/>
  <c r="AP1124" i="6" s="1"/>
  <c r="AN1125" i="6"/>
  <c r="AN1126" i="6"/>
  <c r="AO1126" i="6" s="1"/>
  <c r="AP1126" i="6" s="1"/>
  <c r="AN1127" i="6"/>
  <c r="AO1127" i="6" s="1"/>
  <c r="AP1127" i="6" s="1"/>
  <c r="AN1128" i="6"/>
  <c r="AO1128" i="6" s="1"/>
  <c r="AP1128" i="6" s="1"/>
  <c r="AN1129" i="6"/>
  <c r="AN1130" i="6"/>
  <c r="AO1130" i="6" s="1"/>
  <c r="AP1130" i="6" s="1"/>
  <c r="AN1131" i="6"/>
  <c r="AO1131" i="6" s="1"/>
  <c r="AP1131" i="6" s="1"/>
  <c r="AN1132" i="6"/>
  <c r="AO1132" i="6" s="1"/>
  <c r="AP1132" i="6" s="1"/>
  <c r="AN1133" i="6"/>
  <c r="AN1134" i="6"/>
  <c r="AO1134" i="6" s="1"/>
  <c r="AP1134" i="6" s="1"/>
  <c r="AN1135" i="6"/>
  <c r="AO1135" i="6" s="1"/>
  <c r="AP1135" i="6" s="1"/>
  <c r="AN1136" i="6"/>
  <c r="AO1136" i="6" s="1"/>
  <c r="AP1136" i="6" s="1"/>
  <c r="AN1137" i="6"/>
  <c r="AN1138" i="6"/>
  <c r="AO1138" i="6" s="1"/>
  <c r="AP1138" i="6" s="1"/>
  <c r="AN1139" i="6"/>
  <c r="AO1139" i="6" s="1"/>
  <c r="AP1139" i="6" s="1"/>
  <c r="AN1140" i="6"/>
  <c r="AO1140" i="6" s="1"/>
  <c r="AP1140" i="6" s="1"/>
  <c r="AN1141" i="6"/>
  <c r="AN1142" i="6"/>
  <c r="AO1142" i="6" s="1"/>
  <c r="AP1142" i="6" s="1"/>
  <c r="AN1143" i="6"/>
  <c r="AO1143" i="6" s="1"/>
  <c r="AP1143" i="6" s="1"/>
  <c r="AN1144" i="6"/>
  <c r="AO1144" i="6" s="1"/>
  <c r="AP1144" i="6" s="1"/>
  <c r="AN1145" i="6"/>
  <c r="AN1146" i="6"/>
  <c r="AO1146" i="6" s="1"/>
  <c r="AP1146" i="6" s="1"/>
  <c r="AN1147" i="6"/>
  <c r="AO1147" i="6" s="1"/>
  <c r="AP1147" i="6" s="1"/>
  <c r="AN1148" i="6"/>
  <c r="AO1148" i="6" s="1"/>
  <c r="AP1148" i="6" s="1"/>
  <c r="AN1149" i="6"/>
  <c r="AN1150" i="6"/>
  <c r="AO1150" i="6" s="1"/>
  <c r="AP1150" i="6" s="1"/>
  <c r="AN1151" i="6"/>
  <c r="AO1151" i="6" s="1"/>
  <c r="AP1151" i="6" s="1"/>
  <c r="AN1152" i="6"/>
  <c r="AO1152" i="6" s="1"/>
  <c r="AP1152" i="6" s="1"/>
  <c r="AN1153" i="6"/>
  <c r="AN1154" i="6"/>
  <c r="AO1154" i="6" s="1"/>
  <c r="AP1154" i="6" s="1"/>
  <c r="AN1155" i="6"/>
  <c r="AO1155" i="6" s="1"/>
  <c r="AP1155" i="6" s="1"/>
  <c r="AN1156" i="6"/>
  <c r="AO1156" i="6" s="1"/>
  <c r="AP1156" i="6" s="1"/>
  <c r="AN1157" i="6"/>
  <c r="AN1158" i="6"/>
  <c r="AO1158" i="6" s="1"/>
  <c r="AP1158" i="6" s="1"/>
  <c r="AN1159" i="6"/>
  <c r="AO1159" i="6" s="1"/>
  <c r="AP1159" i="6" s="1"/>
  <c r="AN1160" i="6"/>
  <c r="AO1160" i="6" s="1"/>
  <c r="AP1160" i="6" s="1"/>
  <c r="AN1161" i="6"/>
  <c r="AN1162" i="6"/>
  <c r="AO1162" i="6" s="1"/>
  <c r="AP1162" i="6" s="1"/>
  <c r="AN1163" i="6"/>
  <c r="AO1163" i="6" s="1"/>
  <c r="AP1163" i="6" s="1"/>
  <c r="AN1164" i="6"/>
  <c r="AO1164" i="6" s="1"/>
  <c r="AP1164" i="6" s="1"/>
  <c r="AN1165" i="6"/>
  <c r="AN1166" i="6"/>
  <c r="AO1166" i="6" s="1"/>
  <c r="AP1166" i="6" s="1"/>
  <c r="AN1167" i="6"/>
  <c r="AO1167" i="6" s="1"/>
  <c r="AP1167" i="6" s="1"/>
  <c r="AN1168" i="6"/>
  <c r="AO1168" i="6" s="1"/>
  <c r="AP1168" i="6" s="1"/>
  <c r="AN1169" i="6"/>
  <c r="AN1170" i="6"/>
  <c r="AO1170" i="6" s="1"/>
  <c r="AP1170" i="6" s="1"/>
  <c r="AN1171" i="6"/>
  <c r="AO1171" i="6" s="1"/>
  <c r="AP1171" i="6" s="1"/>
  <c r="AN1172" i="6"/>
  <c r="AO1172" i="6" s="1"/>
  <c r="AP1172" i="6" s="1"/>
  <c r="AN1173" i="6"/>
  <c r="AN1174" i="6"/>
  <c r="AO1174" i="6" s="1"/>
  <c r="AP1174" i="6" s="1"/>
  <c r="AN1175" i="6"/>
  <c r="AO1175" i="6" s="1"/>
  <c r="AP1175" i="6" s="1"/>
  <c r="AN1176" i="6"/>
  <c r="AO1176" i="6" s="1"/>
  <c r="AP1176" i="6" s="1"/>
  <c r="AN1177" i="6"/>
  <c r="AN1178" i="6"/>
  <c r="AO1178" i="6" s="1"/>
  <c r="AP1178" i="6" s="1"/>
  <c r="AN1179" i="6"/>
  <c r="AO1179" i="6" s="1"/>
  <c r="AP1179" i="6" s="1"/>
  <c r="AN1180" i="6"/>
  <c r="AO1180" i="6" s="1"/>
  <c r="AP1180" i="6" s="1"/>
  <c r="AN1181" i="6"/>
  <c r="AN1182" i="6"/>
  <c r="AO1182" i="6" s="1"/>
  <c r="AP1182" i="6" s="1"/>
  <c r="AN1183" i="6"/>
  <c r="AO1183" i="6" s="1"/>
  <c r="AP1183" i="6" s="1"/>
  <c r="AN1184" i="6"/>
  <c r="AO1184" i="6" s="1"/>
  <c r="AP1184" i="6" s="1"/>
  <c r="AN1185" i="6"/>
  <c r="AN1186" i="6"/>
  <c r="AO1186" i="6" s="1"/>
  <c r="AP1186" i="6" s="1"/>
  <c r="AN1187" i="6"/>
  <c r="AO1187" i="6" s="1"/>
  <c r="AP1187" i="6" s="1"/>
  <c r="AN1188" i="6"/>
  <c r="AO1188" i="6" s="1"/>
  <c r="AP1188" i="6" s="1"/>
  <c r="AN1189" i="6"/>
  <c r="AN1190" i="6"/>
  <c r="AO1190" i="6" s="1"/>
  <c r="AP1190" i="6" s="1"/>
  <c r="AN1191" i="6"/>
  <c r="AO1191" i="6" s="1"/>
  <c r="AP1191" i="6" s="1"/>
  <c r="AN1192" i="6"/>
  <c r="AO1192" i="6" s="1"/>
  <c r="AP1192" i="6" s="1"/>
  <c r="AN1193" i="6"/>
  <c r="AN1194" i="6"/>
  <c r="AO1194" i="6" s="1"/>
  <c r="AP1194" i="6" s="1"/>
  <c r="AN1195" i="6"/>
  <c r="AO1195" i="6" s="1"/>
  <c r="AP1195" i="6" s="1"/>
  <c r="AN1196" i="6"/>
  <c r="AO1196" i="6" s="1"/>
  <c r="AP1196" i="6" s="1"/>
  <c r="AN1197" i="6"/>
  <c r="AN1198" i="6"/>
  <c r="AO1198" i="6" s="1"/>
  <c r="AP1198" i="6" s="1"/>
  <c r="AN1199" i="6"/>
  <c r="AO1199" i="6" s="1"/>
  <c r="AP1199" i="6" s="1"/>
  <c r="AN1200" i="6"/>
  <c r="AO1200" i="6" s="1"/>
  <c r="AP1200" i="6" s="1"/>
  <c r="AN1201" i="6"/>
  <c r="AN1202" i="6"/>
  <c r="AO1202" i="6" s="1"/>
  <c r="AP1202" i="6" s="1"/>
  <c r="AN1203" i="6"/>
  <c r="AO1203" i="6" s="1"/>
  <c r="AP1203" i="6" s="1"/>
  <c r="AN1204" i="6"/>
  <c r="AO1204" i="6" s="1"/>
  <c r="AP1204" i="6" s="1"/>
  <c r="AN1205" i="6"/>
  <c r="AN1206" i="6"/>
  <c r="AO1206" i="6" s="1"/>
  <c r="AP1206" i="6" s="1"/>
  <c r="AN1207" i="6"/>
  <c r="AO1207" i="6" s="1"/>
  <c r="AP1207" i="6" s="1"/>
  <c r="AN1208" i="6"/>
  <c r="AO1208" i="6" s="1"/>
  <c r="AP1208" i="6" s="1"/>
  <c r="AN1209" i="6"/>
  <c r="AN1210" i="6"/>
  <c r="AO1210" i="6" s="1"/>
  <c r="AP1210" i="6" s="1"/>
  <c r="AN1211" i="6"/>
  <c r="AO1211" i="6" s="1"/>
  <c r="AP1211" i="6" s="1"/>
  <c r="AN1212" i="6"/>
  <c r="AO1212" i="6" s="1"/>
  <c r="AP1212" i="6" s="1"/>
  <c r="AN1213" i="6"/>
  <c r="AN1214" i="6"/>
  <c r="AO1214" i="6" s="1"/>
  <c r="AP1214" i="6" s="1"/>
  <c r="AN1215" i="6"/>
  <c r="AO1215" i="6" s="1"/>
  <c r="AP1215" i="6" s="1"/>
  <c r="AN1216" i="6"/>
  <c r="AO1216" i="6" s="1"/>
  <c r="AP1216" i="6" s="1"/>
  <c r="AN1217" i="6"/>
  <c r="AN1218" i="6"/>
  <c r="AO1218" i="6" s="1"/>
  <c r="AP1218" i="6" s="1"/>
  <c r="AN1219" i="6"/>
  <c r="AO1219" i="6" s="1"/>
  <c r="AP1219" i="6" s="1"/>
  <c r="AN1220" i="6"/>
  <c r="AO1220" i="6" s="1"/>
  <c r="AP1220" i="6" s="1"/>
  <c r="AN1221" i="6"/>
  <c r="AN1222" i="6"/>
  <c r="AO1222" i="6" s="1"/>
  <c r="AP1222" i="6" s="1"/>
  <c r="AN1223" i="6"/>
  <c r="AO1223" i="6" s="1"/>
  <c r="AP1223" i="6" s="1"/>
  <c r="AN1224" i="6"/>
  <c r="AO1224" i="6" s="1"/>
  <c r="AP1224" i="6" s="1"/>
  <c r="AN1225" i="6"/>
  <c r="AN1226" i="6"/>
  <c r="AO1226" i="6" s="1"/>
  <c r="AP1226" i="6" s="1"/>
  <c r="AN1227" i="6"/>
  <c r="AO1227" i="6" s="1"/>
  <c r="AP1227" i="6" s="1"/>
  <c r="AN1228" i="6"/>
  <c r="AO1228" i="6" s="1"/>
  <c r="AP1228" i="6" s="1"/>
  <c r="AN1229" i="6"/>
  <c r="AN1230" i="6"/>
  <c r="AO1230" i="6" s="1"/>
  <c r="AP1230" i="6" s="1"/>
  <c r="AN1231" i="6"/>
  <c r="AO1231" i="6" s="1"/>
  <c r="AP1231" i="6" s="1"/>
  <c r="AN1232" i="6"/>
  <c r="AO1232" i="6" s="1"/>
  <c r="AP1232" i="6" s="1"/>
  <c r="AN1233" i="6"/>
  <c r="AN1234" i="6"/>
  <c r="AO1234" i="6" s="1"/>
  <c r="AP1234" i="6" s="1"/>
  <c r="AN1235" i="6"/>
  <c r="AO1235" i="6" s="1"/>
  <c r="AP1235" i="6" s="1"/>
  <c r="AN1236" i="6"/>
  <c r="AO1236" i="6" s="1"/>
  <c r="AP1236" i="6" s="1"/>
  <c r="AN1237" i="6"/>
  <c r="AN1238" i="6"/>
  <c r="AO1238" i="6" s="1"/>
  <c r="AP1238" i="6" s="1"/>
  <c r="AN1239" i="6"/>
  <c r="AO1239" i="6" s="1"/>
  <c r="AP1239" i="6" s="1"/>
  <c r="AN1240" i="6"/>
  <c r="AO1240" i="6" s="1"/>
  <c r="AP1240" i="6" s="1"/>
  <c r="AN1241" i="6"/>
  <c r="AN1242" i="6"/>
  <c r="AO1242" i="6" s="1"/>
  <c r="AP1242" i="6" s="1"/>
  <c r="AN1243" i="6"/>
  <c r="AO1243" i="6" s="1"/>
  <c r="AP1243" i="6" s="1"/>
  <c r="AN1244" i="6"/>
  <c r="AO1244" i="6" s="1"/>
  <c r="AP1244" i="6" s="1"/>
  <c r="AN1245" i="6"/>
  <c r="AN1246" i="6"/>
  <c r="AO1246" i="6" s="1"/>
  <c r="AP1246" i="6" s="1"/>
  <c r="AN1247" i="6"/>
  <c r="AO1247" i="6" s="1"/>
  <c r="AP1247" i="6" s="1"/>
  <c r="AN1248" i="6"/>
  <c r="AO1248" i="6" s="1"/>
  <c r="AP1248" i="6" s="1"/>
  <c r="AN1249" i="6"/>
  <c r="AN1250" i="6"/>
  <c r="AO1250" i="6" s="1"/>
  <c r="AP1250" i="6" s="1"/>
  <c r="AN1251" i="6"/>
  <c r="AO1251" i="6" s="1"/>
  <c r="AP1251" i="6" s="1"/>
  <c r="AN1252" i="6"/>
  <c r="AO1252" i="6" s="1"/>
  <c r="AP1252" i="6" s="1"/>
  <c r="AN1253" i="6"/>
  <c r="AN1254" i="6"/>
  <c r="AO1254" i="6" s="1"/>
  <c r="AP1254" i="6" s="1"/>
  <c r="AN1255" i="6"/>
  <c r="AO1255" i="6" s="1"/>
  <c r="AP1255" i="6" s="1"/>
  <c r="AN1256" i="6"/>
  <c r="AO1256" i="6" s="1"/>
  <c r="AP1256" i="6" s="1"/>
  <c r="AN1257" i="6"/>
  <c r="AN1258" i="6"/>
  <c r="AO1258" i="6" s="1"/>
  <c r="AP1258" i="6" s="1"/>
  <c r="AN1259" i="6"/>
  <c r="AO1259" i="6" s="1"/>
  <c r="AP1259" i="6" s="1"/>
  <c r="AN1260" i="6"/>
  <c r="AO1260" i="6" s="1"/>
  <c r="AP1260" i="6" s="1"/>
  <c r="AN1261" i="6"/>
  <c r="AN1262" i="6"/>
  <c r="AO1262" i="6" s="1"/>
  <c r="AP1262" i="6" s="1"/>
  <c r="AN1263" i="6"/>
  <c r="AO1263" i="6" s="1"/>
  <c r="AP1263" i="6" s="1"/>
  <c r="AN1264" i="6"/>
  <c r="AO1264" i="6" s="1"/>
  <c r="AP1264" i="6" s="1"/>
  <c r="AN1265" i="6"/>
  <c r="AN1266" i="6"/>
  <c r="AO1266" i="6" s="1"/>
  <c r="AP1266" i="6" s="1"/>
  <c r="AN1267" i="6"/>
  <c r="AO1267" i="6" s="1"/>
  <c r="AP1267" i="6" s="1"/>
  <c r="AN1268" i="6"/>
  <c r="AO1268" i="6" s="1"/>
  <c r="AP1268" i="6" s="1"/>
  <c r="AN1269" i="6"/>
  <c r="AN1270" i="6"/>
  <c r="AO1270" i="6" s="1"/>
  <c r="AP1270" i="6" s="1"/>
  <c r="AN1271" i="6"/>
  <c r="AO1271" i="6" s="1"/>
  <c r="AP1271" i="6" s="1"/>
  <c r="AN1272" i="6"/>
  <c r="AO1272" i="6" s="1"/>
  <c r="AP1272" i="6" s="1"/>
  <c r="AN1273" i="6"/>
  <c r="AN1274" i="6"/>
  <c r="AO1274" i="6" s="1"/>
  <c r="AP1274" i="6" s="1"/>
  <c r="AN1275" i="6"/>
  <c r="AO1275" i="6" s="1"/>
  <c r="AP1275" i="6" s="1"/>
  <c r="AN1276" i="6"/>
  <c r="AO1276" i="6" s="1"/>
  <c r="AP1276" i="6" s="1"/>
  <c r="AN1277" i="6"/>
  <c r="AN1278" i="6"/>
  <c r="AO1278" i="6" s="1"/>
  <c r="AP1278" i="6" s="1"/>
  <c r="AN1279" i="6"/>
  <c r="AO1279" i="6" s="1"/>
  <c r="AP1279" i="6" s="1"/>
  <c r="AN1280" i="6"/>
  <c r="AO1280" i="6" s="1"/>
  <c r="AP1280" i="6" s="1"/>
  <c r="AN1281" i="6"/>
  <c r="AN1282" i="6"/>
  <c r="AO1282" i="6" s="1"/>
  <c r="AP1282" i="6" s="1"/>
  <c r="AN1283" i="6"/>
  <c r="AO1283" i="6" s="1"/>
  <c r="AP1283" i="6" s="1"/>
  <c r="AN1284" i="6"/>
  <c r="AO1284" i="6" s="1"/>
  <c r="AP1284" i="6" s="1"/>
  <c r="AN1285" i="6"/>
  <c r="AN1286" i="6"/>
  <c r="AO1286" i="6" s="1"/>
  <c r="AP1286" i="6" s="1"/>
  <c r="AN1287" i="6"/>
  <c r="AO1287" i="6" s="1"/>
  <c r="AP1287" i="6" s="1"/>
  <c r="AN1288" i="6"/>
  <c r="AO1288" i="6" s="1"/>
  <c r="AP1288" i="6" s="1"/>
  <c r="AN1289" i="6"/>
  <c r="AN1290" i="6"/>
  <c r="AO1290" i="6" s="1"/>
  <c r="AP1290" i="6" s="1"/>
  <c r="AN1291" i="6"/>
  <c r="AO1291" i="6" s="1"/>
  <c r="AP1291" i="6" s="1"/>
  <c r="AN1292" i="6"/>
  <c r="AO1292" i="6" s="1"/>
  <c r="AP1292" i="6" s="1"/>
  <c r="AN1293" i="6"/>
  <c r="AN1294" i="6"/>
  <c r="AO1294" i="6" s="1"/>
  <c r="AP1294" i="6" s="1"/>
  <c r="AN1295" i="6"/>
  <c r="AO1295" i="6" s="1"/>
  <c r="AP1295" i="6" s="1"/>
  <c r="AN1296" i="6"/>
  <c r="AO1296" i="6" s="1"/>
  <c r="AP1296" i="6" s="1"/>
  <c r="AN1297" i="6"/>
  <c r="AN1298" i="6"/>
  <c r="AO1298" i="6" s="1"/>
  <c r="AP1298" i="6" s="1"/>
  <c r="AN1299" i="6"/>
  <c r="AO1299" i="6" s="1"/>
  <c r="AP1299" i="6" s="1"/>
  <c r="AN1300" i="6"/>
  <c r="AO1300" i="6" s="1"/>
  <c r="AP1300" i="6" s="1"/>
  <c r="AN1301" i="6"/>
  <c r="AN1302" i="6"/>
  <c r="AO1302" i="6" s="1"/>
  <c r="AP1302" i="6" s="1"/>
  <c r="AN1303" i="6"/>
  <c r="AO1303" i="6" s="1"/>
  <c r="AP1303" i="6" s="1"/>
  <c r="AN1304" i="6"/>
  <c r="AO1304" i="6" s="1"/>
  <c r="AP1304" i="6" s="1"/>
  <c r="AN1305" i="6"/>
  <c r="AN1306" i="6"/>
  <c r="AO1306" i="6" s="1"/>
  <c r="AP1306" i="6" s="1"/>
  <c r="AN1307" i="6"/>
  <c r="AO1307" i="6" s="1"/>
  <c r="AP1307" i="6" s="1"/>
  <c r="AN1308" i="6"/>
  <c r="AO1308" i="6" s="1"/>
  <c r="AP1308" i="6" s="1"/>
  <c r="AN1309" i="6"/>
  <c r="AN1310" i="6"/>
  <c r="AO1310" i="6" s="1"/>
  <c r="AP1310" i="6" s="1"/>
  <c r="AN1311" i="6"/>
  <c r="AO1311" i="6" s="1"/>
  <c r="AP1311" i="6" s="1"/>
  <c r="AN1312" i="6"/>
  <c r="AO1312" i="6" s="1"/>
  <c r="AP1312" i="6" s="1"/>
  <c r="AN1313" i="6"/>
  <c r="AN1314" i="6"/>
  <c r="AO1314" i="6" s="1"/>
  <c r="AP1314" i="6" s="1"/>
  <c r="AN1315" i="6"/>
  <c r="AO1315" i="6" s="1"/>
  <c r="AP1315" i="6" s="1"/>
  <c r="AN1316" i="6"/>
  <c r="AO1316" i="6" s="1"/>
  <c r="AP1316" i="6" s="1"/>
  <c r="AN1317" i="6"/>
  <c r="AN1318" i="6"/>
  <c r="AO1318" i="6" s="1"/>
  <c r="AP1318" i="6" s="1"/>
  <c r="AN1319" i="6"/>
  <c r="AO1319" i="6" s="1"/>
  <c r="AP1319" i="6" s="1"/>
  <c r="AN1320" i="6"/>
  <c r="AO1320" i="6" s="1"/>
  <c r="AP1320" i="6" s="1"/>
  <c r="AN1321" i="6"/>
  <c r="AN1322" i="6"/>
  <c r="AO1322" i="6" s="1"/>
  <c r="AP1322" i="6" s="1"/>
  <c r="AN1323" i="6"/>
  <c r="AO1323" i="6" s="1"/>
  <c r="AP1323" i="6" s="1"/>
  <c r="AN1324" i="6"/>
  <c r="AO1324" i="6" s="1"/>
  <c r="AP1324" i="6" s="1"/>
  <c r="AN1325" i="6"/>
  <c r="AN1326" i="6"/>
  <c r="AO1326" i="6" s="1"/>
  <c r="AP1326" i="6" s="1"/>
  <c r="AN1327" i="6"/>
  <c r="AO1327" i="6" s="1"/>
  <c r="AP1327" i="6" s="1"/>
  <c r="AN1328" i="6"/>
  <c r="AO1328" i="6" s="1"/>
  <c r="AP1328" i="6" s="1"/>
  <c r="AN1329" i="6"/>
  <c r="AN1330" i="6"/>
  <c r="AO1330" i="6" s="1"/>
  <c r="AP1330" i="6" s="1"/>
  <c r="AN1331" i="6"/>
  <c r="AO1331" i="6" s="1"/>
  <c r="AP1331" i="6" s="1"/>
  <c r="AN1332" i="6"/>
  <c r="AO1332" i="6" s="1"/>
  <c r="AP1332" i="6" s="1"/>
  <c r="AN1333" i="6"/>
  <c r="AN1334" i="6"/>
  <c r="AO1334" i="6" s="1"/>
  <c r="AP1334" i="6" s="1"/>
  <c r="AN1335" i="6"/>
  <c r="AO1335" i="6" s="1"/>
  <c r="AP1335" i="6" s="1"/>
  <c r="AN1336" i="6"/>
  <c r="AO1336" i="6" s="1"/>
  <c r="AP1336" i="6" s="1"/>
  <c r="AN1337" i="6"/>
  <c r="AN1338" i="6"/>
  <c r="AO1338" i="6" s="1"/>
  <c r="AP1338" i="6" s="1"/>
  <c r="AN1339" i="6"/>
  <c r="AO1339" i="6" s="1"/>
  <c r="AP1339" i="6" s="1"/>
  <c r="AN1340" i="6"/>
  <c r="AO1340" i="6" s="1"/>
  <c r="AP1340" i="6" s="1"/>
  <c r="AN1341" i="6"/>
  <c r="AN1342" i="6"/>
  <c r="AO1342" i="6" s="1"/>
  <c r="AP1342" i="6" s="1"/>
  <c r="AN1343" i="6"/>
  <c r="AO1343" i="6" s="1"/>
  <c r="AP1343" i="6" s="1"/>
  <c r="AN1344" i="6"/>
  <c r="AO1344" i="6" s="1"/>
  <c r="AP1344" i="6" s="1"/>
  <c r="AN1345" i="6"/>
  <c r="AN1346" i="6"/>
  <c r="AO1346" i="6" s="1"/>
  <c r="AP1346" i="6" s="1"/>
  <c r="AN1347" i="6"/>
  <c r="AO1347" i="6" s="1"/>
  <c r="AP1347" i="6" s="1"/>
  <c r="AN1348" i="6"/>
  <c r="AO1348" i="6" s="1"/>
  <c r="AP1348" i="6" s="1"/>
  <c r="AN1349" i="6"/>
  <c r="AN1350" i="6"/>
  <c r="AO1350" i="6" s="1"/>
  <c r="AP1350" i="6" s="1"/>
  <c r="AN1351" i="6"/>
  <c r="AO1351" i="6" s="1"/>
  <c r="AP1351" i="6" s="1"/>
  <c r="AN1352" i="6"/>
  <c r="AO1352" i="6" s="1"/>
  <c r="AP1352" i="6" s="1"/>
  <c r="AN1353" i="6"/>
  <c r="AN1354" i="6"/>
  <c r="AO1354" i="6" s="1"/>
  <c r="AP1354" i="6" s="1"/>
  <c r="AN1355" i="6"/>
  <c r="AN1356" i="6"/>
  <c r="AO1356" i="6" s="1"/>
  <c r="AP1356" i="6" s="1"/>
  <c r="AN1357" i="6"/>
  <c r="AN1358" i="6"/>
  <c r="AO1358" i="6" s="1"/>
  <c r="AP1358" i="6" s="1"/>
  <c r="AN1359" i="6"/>
  <c r="AO1359" i="6" s="1"/>
  <c r="AP1359" i="6" s="1"/>
  <c r="AN1360" i="6"/>
  <c r="AO1360" i="6" s="1"/>
  <c r="AP1360" i="6" s="1"/>
  <c r="AN1361" i="6"/>
  <c r="AN1362" i="6"/>
  <c r="AO1362" i="6" s="1"/>
  <c r="AP1362" i="6" s="1"/>
  <c r="AN1363" i="6"/>
  <c r="AO1363" i="6" s="1"/>
  <c r="AP1363" i="6" s="1"/>
  <c r="AN1364" i="6"/>
  <c r="AO1364" i="6" s="1"/>
  <c r="AP1364" i="6" s="1"/>
  <c r="AN1365" i="6"/>
  <c r="AN1366" i="6"/>
  <c r="AO1366" i="6" s="1"/>
  <c r="AP1366" i="6" s="1"/>
  <c r="AN1367" i="6"/>
  <c r="AO1367" i="6" s="1"/>
  <c r="AP1367" i="6" s="1"/>
  <c r="AN1368" i="6"/>
  <c r="AO1368" i="6" s="1"/>
  <c r="AP1368" i="6" s="1"/>
  <c r="AN1369" i="6"/>
  <c r="AN1370" i="6"/>
  <c r="AO1370" i="6" s="1"/>
  <c r="AP1370" i="6" s="1"/>
  <c r="AN1371" i="6"/>
  <c r="AO1371" i="6" s="1"/>
  <c r="AP1371" i="6" s="1"/>
  <c r="AN1372" i="6"/>
  <c r="AO1372" i="6" s="1"/>
  <c r="AP1372" i="6" s="1"/>
  <c r="AN1373" i="6"/>
  <c r="AN1374" i="6"/>
  <c r="AO1374" i="6" s="1"/>
  <c r="AP1374" i="6" s="1"/>
  <c r="AN1375" i="6"/>
  <c r="AO1375" i="6" s="1"/>
  <c r="AP1375" i="6" s="1"/>
  <c r="AN1376" i="6"/>
  <c r="AO1376" i="6" s="1"/>
  <c r="AP1376" i="6" s="1"/>
  <c r="AN1377" i="6"/>
  <c r="AN1378" i="6"/>
  <c r="AO1378" i="6" s="1"/>
  <c r="AP1378" i="6" s="1"/>
  <c r="AN1379" i="6"/>
  <c r="AO1379" i="6" s="1"/>
  <c r="AP1379" i="6" s="1"/>
  <c r="AN1380" i="6"/>
  <c r="AO1380" i="6" s="1"/>
  <c r="AP1380" i="6" s="1"/>
  <c r="AN1381" i="6"/>
  <c r="AN1382" i="6"/>
  <c r="AO1382" i="6" s="1"/>
  <c r="AP1382" i="6" s="1"/>
  <c r="AN1383" i="6"/>
  <c r="AO1383" i="6" s="1"/>
  <c r="AP1383" i="6" s="1"/>
  <c r="AN1384" i="6"/>
  <c r="AO1384" i="6" s="1"/>
  <c r="AP1384" i="6" s="1"/>
  <c r="AN1385" i="6"/>
  <c r="AN1386" i="6"/>
  <c r="AO1386" i="6" s="1"/>
  <c r="AP1386" i="6" s="1"/>
  <c r="AN1387" i="6"/>
  <c r="AO1387" i="6" s="1"/>
  <c r="AP1387" i="6" s="1"/>
  <c r="AN1388" i="6"/>
  <c r="AO1388" i="6" s="1"/>
  <c r="AP1388" i="6" s="1"/>
  <c r="AN1389" i="6"/>
  <c r="AN1390" i="6"/>
  <c r="AO1390" i="6" s="1"/>
  <c r="AP1390" i="6" s="1"/>
  <c r="AN1391" i="6"/>
  <c r="AO1391" i="6" s="1"/>
  <c r="AP1391" i="6" s="1"/>
  <c r="AN1392" i="6"/>
  <c r="AO1392" i="6" s="1"/>
  <c r="AP1392" i="6" s="1"/>
  <c r="AN1393" i="6"/>
  <c r="AN1394" i="6"/>
  <c r="AO1394" i="6" s="1"/>
  <c r="AP1394" i="6" s="1"/>
  <c r="AN1395" i="6"/>
  <c r="AO1395" i="6" s="1"/>
  <c r="AP1395" i="6" s="1"/>
  <c r="AN1396" i="6"/>
  <c r="AO1396" i="6" s="1"/>
  <c r="AP1396" i="6" s="1"/>
  <c r="AN1397" i="6"/>
  <c r="AN1398" i="6"/>
  <c r="AO1398" i="6" s="1"/>
  <c r="AP1398" i="6" s="1"/>
  <c r="AN1399" i="6"/>
  <c r="AO1399" i="6" s="1"/>
  <c r="AP1399" i="6" s="1"/>
  <c r="AN1400" i="6"/>
  <c r="AO1400" i="6" s="1"/>
  <c r="AP1400" i="6" s="1"/>
  <c r="AN1401" i="6"/>
  <c r="AN1402" i="6"/>
  <c r="AO1402" i="6" s="1"/>
  <c r="AP1402" i="6" s="1"/>
  <c r="AN1403" i="6"/>
  <c r="AO1403" i="6" s="1"/>
  <c r="AP1403" i="6" s="1"/>
  <c r="AN1404" i="6"/>
  <c r="AO1404" i="6" s="1"/>
  <c r="AP1404" i="6" s="1"/>
  <c r="AN1405" i="6"/>
  <c r="AN1406" i="6"/>
  <c r="AO1406" i="6" s="1"/>
  <c r="AP1406" i="6" s="1"/>
  <c r="AN1407" i="6"/>
  <c r="AO1407" i="6" s="1"/>
  <c r="AP1407" i="6" s="1"/>
  <c r="AN1408" i="6"/>
  <c r="AO1408" i="6" s="1"/>
  <c r="AP1408" i="6" s="1"/>
  <c r="AN1409" i="6"/>
  <c r="AN1410" i="6"/>
  <c r="AO1410" i="6" s="1"/>
  <c r="AP1410" i="6" s="1"/>
  <c r="AN1411" i="6"/>
  <c r="AO1411" i="6" s="1"/>
  <c r="AP1411" i="6" s="1"/>
  <c r="AN1412" i="6"/>
  <c r="AO1412" i="6" s="1"/>
  <c r="AP1412" i="6" s="1"/>
  <c r="AN1413" i="6"/>
  <c r="AN1414" i="6"/>
  <c r="AO1414" i="6" s="1"/>
  <c r="AP1414" i="6" s="1"/>
  <c r="AN1415" i="6"/>
  <c r="AO1415" i="6" s="1"/>
  <c r="AP1415" i="6" s="1"/>
  <c r="AN1416" i="6"/>
  <c r="AO1416" i="6" s="1"/>
  <c r="AP1416" i="6" s="1"/>
  <c r="AN1417" i="6"/>
  <c r="AN1418" i="6"/>
  <c r="AO1418" i="6" s="1"/>
  <c r="AP1418" i="6" s="1"/>
  <c r="AN1419" i="6"/>
  <c r="AO1419" i="6" s="1"/>
  <c r="AP1419" i="6" s="1"/>
  <c r="AN1420" i="6"/>
  <c r="AO1420" i="6" s="1"/>
  <c r="AP1420" i="6" s="1"/>
  <c r="AN1421" i="6"/>
  <c r="AN1422" i="6"/>
  <c r="AO1422" i="6" s="1"/>
  <c r="AP1422" i="6" s="1"/>
  <c r="AN1423" i="6"/>
  <c r="AO1423" i="6" s="1"/>
  <c r="AP1423" i="6" s="1"/>
  <c r="AN1424" i="6"/>
  <c r="AO1424" i="6" s="1"/>
  <c r="AP1424" i="6" s="1"/>
  <c r="AN1425" i="6"/>
  <c r="AN1426" i="6"/>
  <c r="AO1426" i="6" s="1"/>
  <c r="AP1426" i="6" s="1"/>
  <c r="AN1427" i="6"/>
  <c r="AO1427" i="6" s="1"/>
  <c r="AP1427" i="6" s="1"/>
  <c r="AN1428" i="6"/>
  <c r="AO1428" i="6" s="1"/>
  <c r="AP1428" i="6" s="1"/>
  <c r="AN1429" i="6"/>
  <c r="AN1430" i="6"/>
  <c r="AO1430" i="6" s="1"/>
  <c r="AP1430" i="6" s="1"/>
  <c r="AN1431" i="6"/>
  <c r="AO1431" i="6" s="1"/>
  <c r="AP1431" i="6" s="1"/>
  <c r="AN1432" i="6"/>
  <c r="AO1432" i="6" s="1"/>
  <c r="AP1432" i="6" s="1"/>
  <c r="AN1433" i="6"/>
  <c r="AN1434" i="6"/>
  <c r="AO1434" i="6" s="1"/>
  <c r="AP1434" i="6" s="1"/>
  <c r="AN1435" i="6"/>
  <c r="AO1435" i="6" s="1"/>
  <c r="AP1435" i="6" s="1"/>
  <c r="AN1436" i="6"/>
  <c r="AO1436" i="6" s="1"/>
  <c r="AP1436" i="6" s="1"/>
  <c r="AN1437" i="6"/>
  <c r="AN1438" i="6"/>
  <c r="AO1438" i="6" s="1"/>
  <c r="AP1438" i="6" s="1"/>
  <c r="AN1439" i="6"/>
  <c r="AO1439" i="6" s="1"/>
  <c r="AP1439" i="6" s="1"/>
  <c r="AN1440" i="6"/>
  <c r="AO1440" i="6" s="1"/>
  <c r="AP1440" i="6" s="1"/>
  <c r="AN1441" i="6"/>
  <c r="AN1442" i="6"/>
  <c r="AO1442" i="6" s="1"/>
  <c r="AP1442" i="6" s="1"/>
  <c r="AN1443" i="6"/>
  <c r="AO1443" i="6" s="1"/>
  <c r="AP1443" i="6" s="1"/>
  <c r="AN1444" i="6"/>
  <c r="AO1444" i="6" s="1"/>
  <c r="AP1444" i="6" s="1"/>
  <c r="AN1445" i="6"/>
  <c r="AN1446" i="6"/>
  <c r="AO1446" i="6" s="1"/>
  <c r="AP1446" i="6" s="1"/>
  <c r="AN1447" i="6"/>
  <c r="AO1447" i="6" s="1"/>
  <c r="AP1447" i="6" s="1"/>
  <c r="AN1448" i="6"/>
  <c r="AO1448" i="6" s="1"/>
  <c r="AP1448" i="6" s="1"/>
  <c r="AN1449" i="6"/>
  <c r="AN1450" i="6"/>
  <c r="AO1450" i="6" s="1"/>
  <c r="AP1450" i="6" s="1"/>
  <c r="AN1451" i="6"/>
  <c r="AO1451" i="6" s="1"/>
  <c r="AP1451" i="6" s="1"/>
  <c r="AN1452" i="6"/>
  <c r="AO1452" i="6" s="1"/>
  <c r="AP1452" i="6" s="1"/>
  <c r="AN1453" i="6"/>
  <c r="AN1454" i="6"/>
  <c r="AO1454" i="6" s="1"/>
  <c r="AP1454" i="6" s="1"/>
  <c r="AN1455" i="6"/>
  <c r="AO1455" i="6" s="1"/>
  <c r="AP1455" i="6" s="1"/>
  <c r="AN1456" i="6"/>
  <c r="AO1456" i="6" s="1"/>
  <c r="AP1456" i="6" s="1"/>
  <c r="AN1457" i="6"/>
  <c r="AN1458" i="6"/>
  <c r="AO1458" i="6" s="1"/>
  <c r="AP1458" i="6" s="1"/>
  <c r="AN1459" i="6"/>
  <c r="AO1459" i="6" s="1"/>
  <c r="AP1459" i="6" s="1"/>
  <c r="AN1460" i="6"/>
  <c r="AO1460" i="6" s="1"/>
  <c r="AP1460" i="6" s="1"/>
  <c r="AN1461" i="6"/>
  <c r="AN1462" i="6"/>
  <c r="AO1462" i="6" s="1"/>
  <c r="AP1462" i="6" s="1"/>
  <c r="AN1463" i="6"/>
  <c r="AO1463" i="6" s="1"/>
  <c r="AP1463" i="6" s="1"/>
  <c r="AN1464" i="6"/>
  <c r="AO1464" i="6" s="1"/>
  <c r="AP1464" i="6" s="1"/>
  <c r="AN1465" i="6"/>
  <c r="AN1466" i="6"/>
  <c r="AO1466" i="6" s="1"/>
  <c r="AP1466" i="6" s="1"/>
  <c r="AN1467" i="6"/>
  <c r="AO1467" i="6" s="1"/>
  <c r="AP1467" i="6" s="1"/>
  <c r="AN1468" i="6"/>
  <c r="AO1468" i="6" s="1"/>
  <c r="AP1468" i="6" s="1"/>
  <c r="AN1469" i="6"/>
  <c r="AN1470" i="6"/>
  <c r="AO1470" i="6" s="1"/>
  <c r="AP1470" i="6" s="1"/>
  <c r="AN1471" i="6"/>
  <c r="AO1471" i="6" s="1"/>
  <c r="AP1471" i="6" s="1"/>
  <c r="AN1472" i="6"/>
  <c r="AO1472" i="6" s="1"/>
  <c r="AP1472" i="6" s="1"/>
  <c r="AN1473" i="6"/>
  <c r="AN1474" i="6"/>
  <c r="AO1474" i="6" s="1"/>
  <c r="AP1474" i="6" s="1"/>
  <c r="AN1475" i="6"/>
  <c r="AO1475" i="6" s="1"/>
  <c r="AP1475" i="6" s="1"/>
  <c r="AN1476" i="6"/>
  <c r="AO1476" i="6" s="1"/>
  <c r="AP1476" i="6" s="1"/>
  <c r="AN1477" i="6"/>
  <c r="AN1478" i="6"/>
  <c r="AO1478" i="6" s="1"/>
  <c r="AP1478" i="6" s="1"/>
  <c r="AN1479" i="6"/>
  <c r="AO1479" i="6" s="1"/>
  <c r="AP1479" i="6" s="1"/>
  <c r="AN1480" i="6"/>
  <c r="AO1480" i="6" s="1"/>
  <c r="AP1480" i="6" s="1"/>
  <c r="AN1481" i="6"/>
  <c r="AN1482" i="6"/>
  <c r="AO1482" i="6" s="1"/>
  <c r="AP1482" i="6" s="1"/>
  <c r="AN1483" i="6"/>
  <c r="AO1483" i="6" s="1"/>
  <c r="AP1483" i="6" s="1"/>
  <c r="AN1484" i="6"/>
  <c r="AO1484" i="6" s="1"/>
  <c r="AP1484" i="6" s="1"/>
  <c r="AN1485" i="6"/>
  <c r="AN1486" i="6"/>
  <c r="AO1486" i="6" s="1"/>
  <c r="AP1486" i="6" s="1"/>
  <c r="AN1487" i="6"/>
  <c r="AO1487" i="6" s="1"/>
  <c r="AP1487" i="6" s="1"/>
  <c r="AN1488" i="6"/>
  <c r="AO1488" i="6" s="1"/>
  <c r="AP1488" i="6" s="1"/>
  <c r="AN1489" i="6"/>
  <c r="AN1490" i="6"/>
  <c r="AO1490" i="6" s="1"/>
  <c r="AP1490" i="6" s="1"/>
  <c r="AN1491" i="6"/>
  <c r="AO1491" i="6" s="1"/>
  <c r="AP1491" i="6" s="1"/>
  <c r="AN1492" i="6"/>
  <c r="AO1492" i="6" s="1"/>
  <c r="AP1492" i="6" s="1"/>
  <c r="AN1493" i="6"/>
  <c r="AN1494" i="6"/>
  <c r="AO1494" i="6" s="1"/>
  <c r="AP1494" i="6" s="1"/>
  <c r="AN1495" i="6"/>
  <c r="AO1495" i="6" s="1"/>
  <c r="AP1495" i="6" s="1"/>
  <c r="AN1496" i="6"/>
  <c r="AO1496" i="6" s="1"/>
  <c r="AP1496" i="6" s="1"/>
  <c r="AN1497" i="6"/>
  <c r="AN1498" i="6"/>
  <c r="AO1498" i="6" s="1"/>
  <c r="AP1498" i="6" s="1"/>
  <c r="AN1499" i="6"/>
  <c r="AO1499" i="6" s="1"/>
  <c r="AP1499" i="6" s="1"/>
  <c r="AN1500" i="6"/>
  <c r="AO1500" i="6" s="1"/>
  <c r="AP1500" i="6" s="1"/>
  <c r="AN1501" i="6"/>
  <c r="AN1502" i="6"/>
  <c r="AO1502" i="6" s="1"/>
  <c r="AP1502" i="6" s="1"/>
  <c r="AN1503" i="6"/>
  <c r="AO1503" i="6" s="1"/>
  <c r="AP1503" i="6" s="1"/>
  <c r="AN1504" i="6"/>
  <c r="AO1504" i="6" s="1"/>
  <c r="AP1504" i="6" s="1"/>
  <c r="AN1505" i="6"/>
  <c r="AN1506" i="6"/>
  <c r="AO1506" i="6" s="1"/>
  <c r="AP1506" i="6" s="1"/>
  <c r="AN1507" i="6"/>
  <c r="AO1507" i="6" s="1"/>
  <c r="AP1507" i="6" s="1"/>
  <c r="AN1508" i="6"/>
  <c r="AO1508" i="6" s="1"/>
  <c r="AP1508" i="6" s="1"/>
  <c r="AN1509" i="6"/>
  <c r="AN1510" i="6"/>
  <c r="AO1510" i="6" s="1"/>
  <c r="AP1510" i="6" s="1"/>
  <c r="AN1511" i="6"/>
  <c r="AO1511" i="6" s="1"/>
  <c r="AP1511" i="6" s="1"/>
  <c r="AN1512" i="6"/>
  <c r="AO1512" i="6" s="1"/>
  <c r="AP1512" i="6" s="1"/>
  <c r="AN1513" i="6"/>
  <c r="AN1514" i="6"/>
  <c r="AO1514" i="6" s="1"/>
  <c r="AP1514" i="6" s="1"/>
  <c r="AN1515" i="6"/>
  <c r="AO1515" i="6" s="1"/>
  <c r="AP1515" i="6" s="1"/>
  <c r="AN1516" i="6"/>
  <c r="AO1516" i="6" s="1"/>
  <c r="AP1516" i="6" s="1"/>
  <c r="AN1517" i="6"/>
  <c r="AN1518" i="6"/>
  <c r="AO1518" i="6" s="1"/>
  <c r="AP1518" i="6" s="1"/>
  <c r="AN1519" i="6"/>
  <c r="AO1519" i="6" s="1"/>
  <c r="AP1519" i="6" s="1"/>
  <c r="AN1520" i="6"/>
  <c r="AO1520" i="6" s="1"/>
  <c r="AP1520" i="6" s="1"/>
  <c r="AN1521" i="6"/>
  <c r="AN1522" i="6"/>
  <c r="AO1522" i="6" s="1"/>
  <c r="AP1522" i="6" s="1"/>
  <c r="AN1523" i="6"/>
  <c r="AO1523" i="6" s="1"/>
  <c r="AP1523" i="6" s="1"/>
  <c r="AN1524" i="6"/>
  <c r="AO1524" i="6" s="1"/>
  <c r="AP1524" i="6" s="1"/>
  <c r="AN1525" i="6"/>
  <c r="AN1526" i="6"/>
  <c r="AO1526" i="6" s="1"/>
  <c r="AP1526" i="6" s="1"/>
  <c r="AN1527" i="6"/>
  <c r="AO1527" i="6" s="1"/>
  <c r="AP1527" i="6" s="1"/>
  <c r="AN1528" i="6"/>
  <c r="AO1528" i="6" s="1"/>
  <c r="AP1528" i="6" s="1"/>
  <c r="AN1529" i="6"/>
  <c r="AN1530" i="6"/>
  <c r="AO1530" i="6" s="1"/>
  <c r="AP1530" i="6" s="1"/>
  <c r="AN1531" i="6"/>
  <c r="AO1531" i="6" s="1"/>
  <c r="AP1531" i="6" s="1"/>
  <c r="AN1532" i="6"/>
  <c r="AO1532" i="6" s="1"/>
  <c r="AP1532" i="6" s="1"/>
  <c r="AN1533" i="6"/>
  <c r="AN1534" i="6"/>
  <c r="AO1534" i="6" s="1"/>
  <c r="AP1534" i="6" s="1"/>
  <c r="AN1535" i="6"/>
  <c r="AO1535" i="6" s="1"/>
  <c r="AP1535" i="6" s="1"/>
  <c r="AN1536" i="6"/>
  <c r="AO1536" i="6" s="1"/>
  <c r="AP1536" i="6" s="1"/>
  <c r="AN1537" i="6"/>
  <c r="AN1538" i="6"/>
  <c r="AO1538" i="6" s="1"/>
  <c r="AP1538" i="6" s="1"/>
  <c r="AN1539" i="6"/>
  <c r="AO1539" i="6" s="1"/>
  <c r="AP1539" i="6" s="1"/>
  <c r="AN1540" i="6"/>
  <c r="AO1540" i="6" s="1"/>
  <c r="AP1540" i="6" s="1"/>
  <c r="AN1541" i="6"/>
  <c r="AN1542" i="6"/>
  <c r="AO1542" i="6" s="1"/>
  <c r="AP1542" i="6" s="1"/>
  <c r="AN1543" i="6"/>
  <c r="AO1543" i="6" s="1"/>
  <c r="AP1543" i="6" s="1"/>
  <c r="AN1544" i="6"/>
  <c r="AO1544" i="6" s="1"/>
  <c r="AP1544" i="6" s="1"/>
  <c r="AN1545" i="6"/>
  <c r="AN1546" i="6"/>
  <c r="AO1546" i="6" s="1"/>
  <c r="AP1546" i="6" s="1"/>
  <c r="AN1547" i="6"/>
  <c r="AO1547" i="6" s="1"/>
  <c r="AP1547" i="6" s="1"/>
  <c r="AN1548" i="6"/>
  <c r="AO1548" i="6" s="1"/>
  <c r="AP1548" i="6" s="1"/>
  <c r="AN1549" i="6"/>
  <c r="AN1550" i="6"/>
  <c r="AO1550" i="6" s="1"/>
  <c r="AP1550" i="6" s="1"/>
  <c r="AN1551" i="6"/>
  <c r="AO1551" i="6" s="1"/>
  <c r="AP1551" i="6" s="1"/>
  <c r="AN1552" i="6"/>
  <c r="AO1552" i="6" s="1"/>
  <c r="AP1552" i="6" s="1"/>
  <c r="AN1553" i="6"/>
  <c r="AN1554" i="6"/>
  <c r="AO1554" i="6" s="1"/>
  <c r="AP1554" i="6" s="1"/>
  <c r="AN1555" i="6"/>
  <c r="AO1555" i="6" s="1"/>
  <c r="AP1555" i="6" s="1"/>
  <c r="AN1556" i="6"/>
  <c r="AO1556" i="6" s="1"/>
  <c r="AP1556" i="6" s="1"/>
  <c r="AN1557" i="6"/>
  <c r="AN1558" i="6"/>
  <c r="AO1558" i="6" s="1"/>
  <c r="AP1558" i="6" s="1"/>
  <c r="AN1559" i="6"/>
  <c r="AO1559" i="6" s="1"/>
  <c r="AP1559" i="6" s="1"/>
  <c r="AN1560" i="6"/>
  <c r="AO1560" i="6" s="1"/>
  <c r="AP1560" i="6" s="1"/>
  <c r="AN1561" i="6"/>
  <c r="AN1562" i="6"/>
  <c r="AO1562" i="6" s="1"/>
  <c r="AP1562" i="6" s="1"/>
  <c r="AN1563" i="6"/>
  <c r="AO1563" i="6" s="1"/>
  <c r="AP1563" i="6" s="1"/>
  <c r="AN1564" i="6"/>
  <c r="AO1564" i="6" s="1"/>
  <c r="AP1564" i="6" s="1"/>
  <c r="AN1565" i="6"/>
  <c r="AN1566" i="6"/>
  <c r="AO1566" i="6" s="1"/>
  <c r="AP1566" i="6" s="1"/>
  <c r="AN1567" i="6"/>
  <c r="AO1567" i="6" s="1"/>
  <c r="AP1567" i="6" s="1"/>
  <c r="AN1568" i="6"/>
  <c r="AO1568" i="6" s="1"/>
  <c r="AP1568" i="6" s="1"/>
  <c r="AN1569" i="6"/>
  <c r="AN1570" i="6"/>
  <c r="AO1570" i="6" s="1"/>
  <c r="AP1570" i="6" s="1"/>
  <c r="AN1571" i="6"/>
  <c r="AO1571" i="6" s="1"/>
  <c r="AP1571" i="6" s="1"/>
  <c r="AN1572" i="6"/>
  <c r="AO1572" i="6" s="1"/>
  <c r="AP1572" i="6" s="1"/>
  <c r="AN1573" i="6"/>
  <c r="AN1574" i="6"/>
  <c r="AO1574" i="6" s="1"/>
  <c r="AP1574" i="6" s="1"/>
  <c r="AN1575" i="6"/>
  <c r="AO1575" i="6" s="1"/>
  <c r="AP1575" i="6" s="1"/>
  <c r="AN1576" i="6"/>
  <c r="AO1576" i="6" s="1"/>
  <c r="AP1576" i="6" s="1"/>
  <c r="AN1577" i="6"/>
  <c r="AN1578" i="6"/>
  <c r="AO1578" i="6" s="1"/>
  <c r="AP1578" i="6" s="1"/>
  <c r="AN1579" i="6"/>
  <c r="AO1579" i="6" s="1"/>
  <c r="AP1579" i="6" s="1"/>
  <c r="AN1580" i="6"/>
  <c r="AO1580" i="6" s="1"/>
  <c r="AP1580" i="6" s="1"/>
  <c r="AN1581" i="6"/>
  <c r="AN1582" i="6"/>
  <c r="AO1582" i="6" s="1"/>
  <c r="AP1582" i="6" s="1"/>
  <c r="AN1583" i="6"/>
  <c r="AO1583" i="6" s="1"/>
  <c r="AP1583" i="6" s="1"/>
  <c r="AN1584" i="6"/>
  <c r="AO1584" i="6" s="1"/>
  <c r="AP1584" i="6" s="1"/>
  <c r="AN1585" i="6"/>
  <c r="AN1586" i="6"/>
  <c r="AO1586" i="6" s="1"/>
  <c r="AP1586" i="6" s="1"/>
  <c r="AN1587" i="6"/>
  <c r="AO1587" i="6" s="1"/>
  <c r="AP1587" i="6" s="1"/>
  <c r="AN1588" i="6"/>
  <c r="AO1588" i="6" s="1"/>
  <c r="AP1588" i="6" s="1"/>
  <c r="AN1589" i="6"/>
  <c r="AN1590" i="6"/>
  <c r="AO1590" i="6" s="1"/>
  <c r="AP1590" i="6" s="1"/>
  <c r="AN1591" i="6"/>
  <c r="AO1591" i="6" s="1"/>
  <c r="AP1591" i="6" s="1"/>
  <c r="AN1592" i="6"/>
  <c r="AO1592" i="6" s="1"/>
  <c r="AP1592" i="6" s="1"/>
  <c r="AN1593" i="6"/>
  <c r="AN1594" i="6"/>
  <c r="AO1594" i="6" s="1"/>
  <c r="AP1594" i="6" s="1"/>
  <c r="AN1595" i="6"/>
  <c r="AO1595" i="6" s="1"/>
  <c r="AP1595" i="6" s="1"/>
  <c r="AN1596" i="6"/>
  <c r="AO1596" i="6" s="1"/>
  <c r="AP1596" i="6" s="1"/>
  <c r="AN1597" i="6"/>
  <c r="AN1598" i="6"/>
  <c r="AO1598" i="6" s="1"/>
  <c r="AP1598" i="6" s="1"/>
  <c r="AN1599" i="6"/>
  <c r="AO1599" i="6" s="1"/>
  <c r="AP1599" i="6" s="1"/>
  <c r="AN1600" i="6"/>
  <c r="AO1600" i="6" s="1"/>
  <c r="AP1600" i="6" s="1"/>
  <c r="AN1601" i="6"/>
  <c r="AN1602" i="6"/>
  <c r="AO1602" i="6" s="1"/>
  <c r="AP1602" i="6" s="1"/>
  <c r="AN1603" i="6"/>
  <c r="AO1603" i="6" s="1"/>
  <c r="AP1603" i="6" s="1"/>
  <c r="AN1604" i="6"/>
  <c r="AO1604" i="6" s="1"/>
  <c r="AP1604" i="6" s="1"/>
  <c r="AN1605" i="6"/>
  <c r="AN1606" i="6"/>
  <c r="AO1606" i="6" s="1"/>
  <c r="AP1606" i="6" s="1"/>
  <c r="AN1607" i="6"/>
  <c r="AO1607" i="6" s="1"/>
  <c r="AP1607" i="6" s="1"/>
  <c r="AN1608" i="6"/>
  <c r="AO1608" i="6" s="1"/>
  <c r="AP1608" i="6" s="1"/>
  <c r="AN1609" i="6"/>
  <c r="AN1610" i="6"/>
  <c r="AO1610" i="6" s="1"/>
  <c r="AP1610" i="6" s="1"/>
  <c r="AN1611" i="6"/>
  <c r="AO1611" i="6" s="1"/>
  <c r="AP1611" i="6" s="1"/>
  <c r="AN1612" i="6"/>
  <c r="AO1612" i="6" s="1"/>
  <c r="AP1612" i="6" s="1"/>
  <c r="AN1613" i="6"/>
  <c r="AN1614" i="6"/>
  <c r="AO1614" i="6" s="1"/>
  <c r="AP1614" i="6" s="1"/>
  <c r="AN1615" i="6"/>
  <c r="AO1615" i="6" s="1"/>
  <c r="AP1615" i="6" s="1"/>
  <c r="AN1616" i="6"/>
  <c r="AO1616" i="6" s="1"/>
  <c r="AP1616" i="6" s="1"/>
  <c r="AN1617" i="6"/>
  <c r="AN1618" i="6"/>
  <c r="AO1618" i="6" s="1"/>
  <c r="AP1618" i="6" s="1"/>
  <c r="AN1619" i="6"/>
  <c r="AO1619" i="6" s="1"/>
  <c r="AP1619" i="6" s="1"/>
  <c r="AN1620" i="6"/>
  <c r="AO1620" i="6" s="1"/>
  <c r="AP1620" i="6" s="1"/>
  <c r="AN1621" i="6"/>
  <c r="AN1622" i="6"/>
  <c r="AO1622" i="6" s="1"/>
  <c r="AP1622" i="6" s="1"/>
  <c r="AN1623" i="6"/>
  <c r="AO1623" i="6" s="1"/>
  <c r="AP1623" i="6" s="1"/>
  <c r="AN1624" i="6"/>
  <c r="AO1624" i="6" s="1"/>
  <c r="AP1624" i="6" s="1"/>
  <c r="AN1625" i="6"/>
  <c r="AN1626" i="6"/>
  <c r="AO1626" i="6" s="1"/>
  <c r="AP1626" i="6" s="1"/>
  <c r="AN1627" i="6"/>
  <c r="AO1627" i="6" s="1"/>
  <c r="AP1627" i="6" s="1"/>
  <c r="AN1628" i="6"/>
  <c r="AO1628" i="6" s="1"/>
  <c r="AP1628" i="6" s="1"/>
  <c r="AN1629" i="6"/>
  <c r="AN1630" i="6"/>
  <c r="AO1630" i="6" s="1"/>
  <c r="AP1630" i="6" s="1"/>
  <c r="AN1631" i="6"/>
  <c r="AO1631" i="6" s="1"/>
  <c r="AP1631" i="6" s="1"/>
  <c r="AN1632" i="6"/>
  <c r="AO1632" i="6" s="1"/>
  <c r="AP1632" i="6" s="1"/>
  <c r="AN1633" i="6"/>
  <c r="AN1634" i="6"/>
  <c r="AO1634" i="6" s="1"/>
  <c r="AP1634" i="6" s="1"/>
  <c r="AN1635" i="6"/>
  <c r="AO1635" i="6" s="1"/>
  <c r="AP1635" i="6" s="1"/>
  <c r="AN1636" i="6"/>
  <c r="AO1636" i="6" s="1"/>
  <c r="AP1636" i="6" s="1"/>
  <c r="AN1637" i="6"/>
  <c r="AN1638" i="6"/>
  <c r="AO1638" i="6" s="1"/>
  <c r="AP1638" i="6" s="1"/>
  <c r="AN1639" i="6"/>
  <c r="AO1639" i="6" s="1"/>
  <c r="AP1639" i="6" s="1"/>
  <c r="AN1640" i="6"/>
  <c r="AO1640" i="6" s="1"/>
  <c r="AP1640" i="6" s="1"/>
  <c r="AN1641" i="6"/>
  <c r="AN1642" i="6"/>
  <c r="AO1642" i="6" s="1"/>
  <c r="AP1642" i="6" s="1"/>
  <c r="AN1643" i="6"/>
  <c r="AO1643" i="6" s="1"/>
  <c r="AP1643" i="6" s="1"/>
  <c r="AN1644" i="6"/>
  <c r="AO1644" i="6" s="1"/>
  <c r="AP1644" i="6" s="1"/>
  <c r="AN1645" i="6"/>
  <c r="AN1646" i="6"/>
  <c r="AO1646" i="6" s="1"/>
  <c r="AP1646" i="6" s="1"/>
  <c r="AN1647" i="6"/>
  <c r="AO1647" i="6" s="1"/>
  <c r="AP1647" i="6" s="1"/>
  <c r="AN1648" i="6"/>
  <c r="AO1648" i="6" s="1"/>
  <c r="AP1648" i="6" s="1"/>
  <c r="AN1649" i="6"/>
  <c r="AN1650" i="6"/>
  <c r="AO1650" i="6" s="1"/>
  <c r="AP1650" i="6" s="1"/>
  <c r="AN1651" i="6"/>
  <c r="AO1651" i="6" s="1"/>
  <c r="AP1651" i="6" s="1"/>
  <c r="AN1652" i="6"/>
  <c r="AO1652" i="6" s="1"/>
  <c r="AP1652" i="6" s="1"/>
  <c r="AN1653" i="6"/>
  <c r="AN1654" i="6"/>
  <c r="AO1654" i="6" s="1"/>
  <c r="AP1654" i="6" s="1"/>
  <c r="AN1655" i="6"/>
  <c r="AO1655" i="6" s="1"/>
  <c r="AP1655" i="6" s="1"/>
  <c r="AN1656" i="6"/>
  <c r="AO1656" i="6" s="1"/>
  <c r="AP1656" i="6" s="1"/>
  <c r="AN1657" i="6"/>
  <c r="AN1658" i="6"/>
  <c r="AO1658" i="6" s="1"/>
  <c r="AP1658" i="6" s="1"/>
  <c r="AN1659" i="6"/>
  <c r="AO1659" i="6" s="1"/>
  <c r="AP1659" i="6" s="1"/>
  <c r="AN1660" i="6"/>
  <c r="AO1660" i="6" s="1"/>
  <c r="AP1660" i="6" s="1"/>
  <c r="AN1661" i="6"/>
  <c r="AN1662" i="6"/>
  <c r="AO1662" i="6" s="1"/>
  <c r="AP1662" i="6" s="1"/>
  <c r="AN1663" i="6"/>
  <c r="AO1663" i="6" s="1"/>
  <c r="AP1663" i="6" s="1"/>
  <c r="AN1664" i="6"/>
  <c r="AO1664" i="6" s="1"/>
  <c r="AP1664" i="6" s="1"/>
  <c r="AN1665" i="6"/>
  <c r="AN1666" i="6"/>
  <c r="AO1666" i="6" s="1"/>
  <c r="AP1666" i="6" s="1"/>
  <c r="AN1667" i="6"/>
  <c r="AO1667" i="6" s="1"/>
  <c r="AP1667" i="6" s="1"/>
  <c r="AN1668" i="6"/>
  <c r="AO1668" i="6" s="1"/>
  <c r="AP1668" i="6" s="1"/>
  <c r="AN1669" i="6"/>
  <c r="AN1670" i="6"/>
  <c r="AO1670" i="6" s="1"/>
  <c r="AP1670" i="6" s="1"/>
  <c r="AN1671" i="6"/>
  <c r="AO1671" i="6" s="1"/>
  <c r="AP1671" i="6" s="1"/>
  <c r="AN1672" i="6"/>
  <c r="AO1672" i="6" s="1"/>
  <c r="AP1672" i="6" s="1"/>
  <c r="AN1673" i="6"/>
  <c r="AN1674" i="6"/>
  <c r="AO1674" i="6" s="1"/>
  <c r="AP1674" i="6" s="1"/>
  <c r="AN1675" i="6"/>
  <c r="AO1675" i="6" s="1"/>
  <c r="AP1675" i="6" s="1"/>
  <c r="AN1676" i="6"/>
  <c r="AO1676" i="6" s="1"/>
  <c r="AP1676" i="6" s="1"/>
  <c r="AN1677" i="6"/>
  <c r="AN1678" i="6"/>
  <c r="AO1678" i="6" s="1"/>
  <c r="AP1678" i="6" s="1"/>
  <c r="AN1679" i="6"/>
  <c r="AO1679" i="6" s="1"/>
  <c r="AP1679" i="6" s="1"/>
  <c r="AN1680" i="6"/>
  <c r="AO1680" i="6" s="1"/>
  <c r="AP1680" i="6" s="1"/>
  <c r="AN1681" i="6"/>
  <c r="AN1682" i="6"/>
  <c r="AO1682" i="6" s="1"/>
  <c r="AP1682" i="6" s="1"/>
  <c r="AN1683" i="6"/>
  <c r="AO1683" i="6" s="1"/>
  <c r="AP1683" i="6" s="1"/>
  <c r="AN1684" i="6"/>
  <c r="AO1684" i="6" s="1"/>
  <c r="AP1684" i="6" s="1"/>
  <c r="AN1685" i="6"/>
  <c r="AN1686" i="6"/>
  <c r="AO1686" i="6" s="1"/>
  <c r="AP1686" i="6" s="1"/>
  <c r="AN1687" i="6"/>
  <c r="AO1687" i="6" s="1"/>
  <c r="AP1687" i="6" s="1"/>
  <c r="AN1688" i="6"/>
  <c r="AO1688" i="6" s="1"/>
  <c r="AP1688" i="6" s="1"/>
  <c r="AN1689" i="6"/>
  <c r="AN1690" i="6"/>
  <c r="AO1690" i="6" s="1"/>
  <c r="AP1690" i="6" s="1"/>
  <c r="AN1691" i="6"/>
  <c r="AO1691" i="6" s="1"/>
  <c r="AP1691" i="6" s="1"/>
  <c r="AN1692" i="6"/>
  <c r="AO1692" i="6" s="1"/>
  <c r="AP1692" i="6" s="1"/>
  <c r="AN1693" i="6"/>
  <c r="AN1694" i="6"/>
  <c r="AO1694" i="6" s="1"/>
  <c r="AP1694" i="6" s="1"/>
  <c r="AN1695" i="6"/>
  <c r="AO1695" i="6" s="1"/>
  <c r="AP1695" i="6" s="1"/>
  <c r="AN1696" i="6"/>
  <c r="AO1696" i="6" s="1"/>
  <c r="AP1696" i="6" s="1"/>
  <c r="AN1697" i="6"/>
  <c r="AN1698" i="6"/>
  <c r="AO1698" i="6" s="1"/>
  <c r="AP1698" i="6" s="1"/>
  <c r="AN1699" i="6"/>
  <c r="AO1699" i="6" s="1"/>
  <c r="AP1699" i="6" s="1"/>
  <c r="AN1700" i="6"/>
  <c r="AO1700" i="6" s="1"/>
  <c r="AP1700" i="6" s="1"/>
  <c r="AN1701" i="6"/>
  <c r="AN1702" i="6"/>
  <c r="AO1702" i="6" s="1"/>
  <c r="AP1702" i="6" s="1"/>
  <c r="AN1703" i="6"/>
  <c r="AO1703" i="6" s="1"/>
  <c r="AP1703" i="6" s="1"/>
  <c r="AN1704" i="6"/>
  <c r="AO1704" i="6" s="1"/>
  <c r="AP1704" i="6" s="1"/>
  <c r="AN1705" i="6"/>
  <c r="AN1706" i="6"/>
  <c r="AO1706" i="6" s="1"/>
  <c r="AP1706" i="6" s="1"/>
  <c r="AN1707" i="6"/>
  <c r="AO1707" i="6" s="1"/>
  <c r="AP1707" i="6" s="1"/>
  <c r="AN1708" i="6"/>
  <c r="AO1708" i="6" s="1"/>
  <c r="AP1708" i="6" s="1"/>
  <c r="AN1709" i="6"/>
  <c r="AN1710" i="6"/>
  <c r="AO1710" i="6" s="1"/>
  <c r="AP1710" i="6" s="1"/>
  <c r="AN1711" i="6"/>
  <c r="AO1711" i="6" s="1"/>
  <c r="AP1711" i="6" s="1"/>
  <c r="AN1712" i="6"/>
  <c r="AO1712" i="6" s="1"/>
  <c r="AP1712" i="6" s="1"/>
  <c r="AN1713" i="6"/>
  <c r="AN1714" i="6"/>
  <c r="AO1714" i="6" s="1"/>
  <c r="AP1714" i="6" s="1"/>
  <c r="AN1715" i="6"/>
  <c r="AO1715" i="6" s="1"/>
  <c r="AP1715" i="6" s="1"/>
  <c r="AN1716" i="6"/>
  <c r="AO1716" i="6" s="1"/>
  <c r="AP1716" i="6" s="1"/>
  <c r="AN1717" i="6"/>
  <c r="AN1718" i="6"/>
  <c r="AO1718" i="6" s="1"/>
  <c r="AP1718" i="6" s="1"/>
  <c r="AN1719" i="6"/>
  <c r="AO1719" i="6" s="1"/>
  <c r="AP1719" i="6" s="1"/>
  <c r="AN1720" i="6"/>
  <c r="AO1720" i="6" s="1"/>
  <c r="AP1720" i="6" s="1"/>
  <c r="AN1721" i="6"/>
  <c r="AN1722" i="6"/>
  <c r="AO1722" i="6" s="1"/>
  <c r="AP1722" i="6" s="1"/>
  <c r="AN1723" i="6"/>
  <c r="AO1723" i="6" s="1"/>
  <c r="AP1723" i="6" s="1"/>
  <c r="AN1724" i="6"/>
  <c r="AO1724" i="6" s="1"/>
  <c r="AP1724" i="6" s="1"/>
  <c r="AN1725" i="6"/>
  <c r="AN1726" i="6"/>
  <c r="AO1726" i="6" s="1"/>
  <c r="AP1726" i="6" s="1"/>
  <c r="AN1727" i="6"/>
  <c r="AO1727" i="6" s="1"/>
  <c r="AP1727" i="6" s="1"/>
  <c r="AN1728" i="6"/>
  <c r="AO1728" i="6" s="1"/>
  <c r="AP1728" i="6" s="1"/>
  <c r="AN1729" i="6"/>
  <c r="AN1730" i="6"/>
  <c r="AO1730" i="6" s="1"/>
  <c r="AP1730" i="6" s="1"/>
  <c r="AN1731" i="6"/>
  <c r="AO1731" i="6" s="1"/>
  <c r="AP1731" i="6" s="1"/>
  <c r="AN1732" i="6"/>
  <c r="AO1732" i="6" s="1"/>
  <c r="AP1732" i="6" s="1"/>
  <c r="AN1733" i="6"/>
  <c r="AN1734" i="6"/>
  <c r="AO1734" i="6" s="1"/>
  <c r="AP1734" i="6" s="1"/>
  <c r="AN1735" i="6"/>
  <c r="AO1735" i="6" s="1"/>
  <c r="AP1735" i="6" s="1"/>
  <c r="AN1736" i="6"/>
  <c r="AO1736" i="6" s="1"/>
  <c r="AP1736" i="6" s="1"/>
  <c r="AN1737" i="6"/>
  <c r="AN1738" i="6"/>
  <c r="AO1738" i="6" s="1"/>
  <c r="AP1738" i="6" s="1"/>
  <c r="AN1739" i="6"/>
  <c r="AO1739" i="6" s="1"/>
  <c r="AP1739" i="6" s="1"/>
  <c r="AN1740" i="6"/>
  <c r="AO1740" i="6" s="1"/>
  <c r="AP1740" i="6" s="1"/>
  <c r="AN1741" i="6"/>
  <c r="AN1742" i="6"/>
  <c r="AO1742" i="6" s="1"/>
  <c r="AP1742" i="6" s="1"/>
  <c r="AN1743" i="6"/>
  <c r="AO1743" i="6" s="1"/>
  <c r="AP1743" i="6" s="1"/>
  <c r="AN1744" i="6"/>
  <c r="AO1744" i="6" s="1"/>
  <c r="AP1744" i="6" s="1"/>
  <c r="AN1745" i="6"/>
  <c r="AN1746" i="6"/>
  <c r="AO1746" i="6" s="1"/>
  <c r="AP1746" i="6" s="1"/>
  <c r="AN1747" i="6"/>
  <c r="AO1747" i="6" s="1"/>
  <c r="AP1747" i="6" s="1"/>
  <c r="AN1748" i="6"/>
  <c r="AO1748" i="6" s="1"/>
  <c r="AP1748" i="6" s="1"/>
  <c r="AN1749" i="6"/>
  <c r="AN1750" i="6"/>
  <c r="AO1750" i="6" s="1"/>
  <c r="AP1750" i="6" s="1"/>
  <c r="AN1751" i="6"/>
  <c r="AO1751" i="6" s="1"/>
  <c r="AP1751" i="6" s="1"/>
  <c r="AN1752" i="6"/>
  <c r="AO1752" i="6" s="1"/>
  <c r="AP1752" i="6" s="1"/>
  <c r="AN1753" i="6"/>
  <c r="AN1754" i="6"/>
  <c r="AO1754" i="6" s="1"/>
  <c r="AP1754" i="6" s="1"/>
  <c r="AN1755" i="6"/>
  <c r="AO1755" i="6" s="1"/>
  <c r="AP1755" i="6" s="1"/>
  <c r="AN1756" i="6"/>
  <c r="AO1756" i="6" s="1"/>
  <c r="AP1756" i="6" s="1"/>
  <c r="AN1757" i="6"/>
  <c r="AN1758" i="6"/>
  <c r="AO1758" i="6" s="1"/>
  <c r="AP1758" i="6" s="1"/>
  <c r="AN1759" i="6"/>
  <c r="AO1759" i="6" s="1"/>
  <c r="AP1759" i="6" s="1"/>
  <c r="AN1760" i="6"/>
  <c r="AO1760" i="6" s="1"/>
  <c r="AP1760" i="6" s="1"/>
  <c r="AN1761" i="6"/>
  <c r="AN1762" i="6"/>
  <c r="AO1762" i="6" s="1"/>
  <c r="AP1762" i="6" s="1"/>
  <c r="AN1763" i="6"/>
  <c r="AO1763" i="6" s="1"/>
  <c r="AP1763" i="6" s="1"/>
  <c r="AN1764" i="6"/>
  <c r="AO1764" i="6" s="1"/>
  <c r="AP1764" i="6" s="1"/>
  <c r="AN1765" i="6"/>
  <c r="AN1766" i="6"/>
  <c r="AO1766" i="6" s="1"/>
  <c r="AP1766" i="6" s="1"/>
  <c r="AN1767" i="6"/>
  <c r="AO1767" i="6" s="1"/>
  <c r="AP1767" i="6" s="1"/>
  <c r="AN1768" i="6"/>
  <c r="AO1768" i="6" s="1"/>
  <c r="AP1768" i="6" s="1"/>
  <c r="AN1769" i="6"/>
  <c r="AN1770" i="6"/>
  <c r="AO1770" i="6" s="1"/>
  <c r="AP1770" i="6" s="1"/>
  <c r="AN1771" i="6"/>
  <c r="AO1771" i="6" s="1"/>
  <c r="AP1771" i="6" s="1"/>
  <c r="AN1772" i="6"/>
  <c r="AO1772" i="6" s="1"/>
  <c r="AP1772" i="6" s="1"/>
  <c r="AN1773" i="6"/>
  <c r="AN1774" i="6"/>
  <c r="AO1774" i="6" s="1"/>
  <c r="AP1774" i="6" s="1"/>
  <c r="AN1775" i="6"/>
  <c r="AO1775" i="6" s="1"/>
  <c r="AP1775" i="6" s="1"/>
  <c r="AN1776" i="6"/>
  <c r="AO1776" i="6" s="1"/>
  <c r="AP1776" i="6" s="1"/>
  <c r="AN1777" i="6"/>
  <c r="AN1778" i="6"/>
  <c r="AO1778" i="6" s="1"/>
  <c r="AP1778" i="6" s="1"/>
  <c r="AN1779" i="6"/>
  <c r="AO1779" i="6" s="1"/>
  <c r="AP1779" i="6" s="1"/>
  <c r="AN1780" i="6"/>
  <c r="AO1780" i="6" s="1"/>
  <c r="AP1780" i="6" s="1"/>
  <c r="AN1781" i="6"/>
  <c r="AN1782" i="6"/>
  <c r="AO1782" i="6" s="1"/>
  <c r="AP1782" i="6" s="1"/>
  <c r="AN1783" i="6"/>
  <c r="AO1783" i="6" s="1"/>
  <c r="AP1783" i="6" s="1"/>
  <c r="AN1784" i="6"/>
  <c r="AO1784" i="6" s="1"/>
  <c r="AP1784" i="6" s="1"/>
  <c r="AN1785" i="6"/>
  <c r="AN1786" i="6"/>
  <c r="AO1786" i="6" s="1"/>
  <c r="AP1786" i="6" s="1"/>
  <c r="AN1787" i="6"/>
  <c r="AO1787" i="6" s="1"/>
  <c r="AP1787" i="6" s="1"/>
  <c r="AN1788" i="6"/>
  <c r="AO1788" i="6" s="1"/>
  <c r="AP1788" i="6" s="1"/>
  <c r="AN1789" i="6"/>
  <c r="AN1790" i="6"/>
  <c r="AO1790" i="6" s="1"/>
  <c r="AP1790" i="6" s="1"/>
  <c r="AN1791" i="6"/>
  <c r="AO1791" i="6" s="1"/>
  <c r="AP1791" i="6" s="1"/>
  <c r="AN1792" i="6"/>
  <c r="AO1792" i="6" s="1"/>
  <c r="AP1792" i="6" s="1"/>
  <c r="AN1793" i="6"/>
  <c r="AN1794" i="6"/>
  <c r="AO1794" i="6" s="1"/>
  <c r="AP1794" i="6" s="1"/>
  <c r="AN1795" i="6"/>
  <c r="AO1795" i="6" s="1"/>
  <c r="AP1795" i="6" s="1"/>
  <c r="AN1796" i="6"/>
  <c r="AO1796" i="6" s="1"/>
  <c r="AP1796" i="6" s="1"/>
  <c r="AN1797" i="6"/>
  <c r="AN1798" i="6"/>
  <c r="AO1798" i="6" s="1"/>
  <c r="AP1798" i="6" s="1"/>
  <c r="AN1799" i="6"/>
  <c r="AO1799" i="6" s="1"/>
  <c r="AP1799" i="6" s="1"/>
  <c r="AN1800" i="6"/>
  <c r="AO1800" i="6" s="1"/>
  <c r="AP1800" i="6" s="1"/>
  <c r="AN1801" i="6"/>
  <c r="AN1802" i="6"/>
  <c r="AO1802" i="6" s="1"/>
  <c r="AP1802" i="6" s="1"/>
  <c r="AN1803" i="6"/>
  <c r="AO1803" i="6" s="1"/>
  <c r="AP1803" i="6" s="1"/>
  <c r="AN1804" i="6"/>
  <c r="AO1804" i="6" s="1"/>
  <c r="AP1804" i="6" s="1"/>
  <c r="AN1805" i="6"/>
  <c r="AN1806" i="6"/>
  <c r="AO1806" i="6" s="1"/>
  <c r="AP1806" i="6" s="1"/>
  <c r="AN1807" i="6"/>
  <c r="AO1807" i="6" s="1"/>
  <c r="AP1807" i="6" s="1"/>
  <c r="AN1808" i="6"/>
  <c r="AO1808" i="6" s="1"/>
  <c r="AP1808" i="6" s="1"/>
  <c r="AN1809" i="6"/>
  <c r="AN1810" i="6"/>
  <c r="AO1810" i="6" s="1"/>
  <c r="AP1810" i="6" s="1"/>
  <c r="AN1811" i="6"/>
  <c r="AO1811" i="6" s="1"/>
  <c r="AP1811" i="6" s="1"/>
  <c r="AN1812" i="6"/>
  <c r="AO1812" i="6" s="1"/>
  <c r="AP1812" i="6" s="1"/>
  <c r="AN1813" i="6"/>
  <c r="AN1814" i="6"/>
  <c r="AO1814" i="6" s="1"/>
  <c r="AP1814" i="6" s="1"/>
  <c r="AN1815" i="6"/>
  <c r="AO1815" i="6" s="1"/>
  <c r="AP1815" i="6" s="1"/>
  <c r="AN1816" i="6"/>
  <c r="AO1816" i="6" s="1"/>
  <c r="AP1816" i="6" s="1"/>
  <c r="AN1817" i="6"/>
  <c r="AN1818" i="6"/>
  <c r="AO1818" i="6" s="1"/>
  <c r="AP1818" i="6" s="1"/>
  <c r="AN1819" i="6"/>
  <c r="AO1819" i="6" s="1"/>
  <c r="AP1819" i="6" s="1"/>
  <c r="AN1820" i="6"/>
  <c r="AO1820" i="6" s="1"/>
  <c r="AP1820" i="6" s="1"/>
  <c r="AN1821" i="6"/>
  <c r="AN1822" i="6"/>
  <c r="AO1822" i="6" s="1"/>
  <c r="AP1822" i="6" s="1"/>
  <c r="AN1823" i="6"/>
  <c r="AO1823" i="6" s="1"/>
  <c r="AP1823" i="6" s="1"/>
  <c r="AN1824" i="6"/>
  <c r="AO1824" i="6" s="1"/>
  <c r="AP1824" i="6" s="1"/>
  <c r="AN1825" i="6"/>
  <c r="AN1826" i="6"/>
  <c r="AO1826" i="6" s="1"/>
  <c r="AP1826" i="6" s="1"/>
  <c r="AN1827" i="6"/>
  <c r="AO1827" i="6" s="1"/>
  <c r="AP1827" i="6" s="1"/>
  <c r="AN1828" i="6"/>
  <c r="AO1828" i="6" s="1"/>
  <c r="AP1828" i="6" s="1"/>
  <c r="AN1829" i="6"/>
  <c r="AN1830" i="6"/>
  <c r="AO1830" i="6" s="1"/>
  <c r="AP1830" i="6" s="1"/>
  <c r="AN1831" i="6"/>
  <c r="AO1831" i="6" s="1"/>
  <c r="AP1831" i="6" s="1"/>
  <c r="AN1832" i="6"/>
  <c r="AO1832" i="6" s="1"/>
  <c r="AP1832" i="6" s="1"/>
  <c r="AN1833" i="6"/>
  <c r="AN1834" i="6"/>
  <c r="AO1834" i="6" s="1"/>
  <c r="AP1834" i="6" s="1"/>
  <c r="AN1835" i="6"/>
  <c r="AO1835" i="6" s="1"/>
  <c r="AP1835" i="6" s="1"/>
  <c r="AN1836" i="6"/>
  <c r="AO1836" i="6" s="1"/>
  <c r="AP1836" i="6" s="1"/>
  <c r="AN1837" i="6"/>
  <c r="AN1838" i="6"/>
  <c r="AO1838" i="6" s="1"/>
  <c r="AP1838" i="6" s="1"/>
  <c r="AN1839" i="6"/>
  <c r="AO1839" i="6" s="1"/>
  <c r="AP1839" i="6" s="1"/>
  <c r="AN1840" i="6"/>
  <c r="AO1840" i="6" s="1"/>
  <c r="AP1840" i="6" s="1"/>
  <c r="AN1841" i="6"/>
  <c r="AN1842" i="6"/>
  <c r="AO1842" i="6" s="1"/>
  <c r="AP1842" i="6" s="1"/>
  <c r="AN1843" i="6"/>
  <c r="AO1843" i="6" s="1"/>
  <c r="AP1843" i="6" s="1"/>
  <c r="AN1844" i="6"/>
  <c r="AO1844" i="6" s="1"/>
  <c r="AP1844" i="6" s="1"/>
  <c r="AN1845" i="6"/>
  <c r="AN1846" i="6"/>
  <c r="AO1846" i="6" s="1"/>
  <c r="AP1846" i="6" s="1"/>
  <c r="AN1847" i="6"/>
  <c r="AO1847" i="6" s="1"/>
  <c r="AP1847" i="6" s="1"/>
  <c r="AN1848" i="6"/>
  <c r="AO1848" i="6" s="1"/>
  <c r="AP1848" i="6" s="1"/>
  <c r="AN1849" i="6"/>
  <c r="AN1850" i="6"/>
  <c r="AO1850" i="6" s="1"/>
  <c r="AP1850" i="6" s="1"/>
  <c r="AN1851" i="6"/>
  <c r="AO1851" i="6" s="1"/>
  <c r="AP1851" i="6" s="1"/>
  <c r="AN1852" i="6"/>
  <c r="AO1852" i="6" s="1"/>
  <c r="AP1852" i="6" s="1"/>
  <c r="AN1853" i="6"/>
  <c r="AN1854" i="6"/>
  <c r="AO1854" i="6" s="1"/>
  <c r="AP1854" i="6" s="1"/>
  <c r="AN1855" i="6"/>
  <c r="AO1855" i="6" s="1"/>
  <c r="AP1855" i="6" s="1"/>
  <c r="AN1856" i="6"/>
  <c r="AO1856" i="6" s="1"/>
  <c r="AP1856" i="6" s="1"/>
  <c r="AN1857" i="6"/>
  <c r="AN1858" i="6"/>
  <c r="AO1858" i="6" s="1"/>
  <c r="AP1858" i="6" s="1"/>
  <c r="AN1859" i="6"/>
  <c r="AO1859" i="6" s="1"/>
  <c r="AP1859" i="6" s="1"/>
  <c r="AN1860" i="6"/>
  <c r="AO1860" i="6" s="1"/>
  <c r="AP1860" i="6" s="1"/>
  <c r="AN1861" i="6"/>
  <c r="AN1862" i="6"/>
  <c r="AO1862" i="6" s="1"/>
  <c r="AP1862" i="6" s="1"/>
  <c r="AN1863" i="6"/>
  <c r="AO1863" i="6" s="1"/>
  <c r="AP1863" i="6" s="1"/>
  <c r="AN1864" i="6"/>
  <c r="AO1864" i="6" s="1"/>
  <c r="AP1864" i="6" s="1"/>
  <c r="AN1865" i="6"/>
  <c r="AN1866" i="6"/>
  <c r="AO1866" i="6" s="1"/>
  <c r="AP1866" i="6" s="1"/>
  <c r="AN1867" i="6"/>
  <c r="AO1867" i="6" s="1"/>
  <c r="AP1867" i="6" s="1"/>
  <c r="AN1868" i="6"/>
  <c r="AO1868" i="6" s="1"/>
  <c r="AP1868" i="6" s="1"/>
  <c r="AN1869" i="6"/>
  <c r="AN1870" i="6"/>
  <c r="AO1870" i="6" s="1"/>
  <c r="AP1870" i="6" s="1"/>
  <c r="AN1871" i="6"/>
  <c r="AO1871" i="6" s="1"/>
  <c r="AP1871" i="6" s="1"/>
  <c r="AN1872" i="6"/>
  <c r="AO1872" i="6" s="1"/>
  <c r="AP1872" i="6" s="1"/>
  <c r="AN1873" i="6"/>
  <c r="AN1874" i="6"/>
  <c r="AO1874" i="6" s="1"/>
  <c r="AP1874" i="6" s="1"/>
  <c r="AN1875" i="6"/>
  <c r="AO1875" i="6" s="1"/>
  <c r="AP1875" i="6" s="1"/>
  <c r="AN1876" i="6"/>
  <c r="AO1876" i="6" s="1"/>
  <c r="AP1876" i="6" s="1"/>
  <c r="AN1877" i="6"/>
  <c r="AN1878" i="6"/>
  <c r="AO1878" i="6" s="1"/>
  <c r="AP1878" i="6" s="1"/>
  <c r="AN1879" i="6"/>
  <c r="AO1879" i="6" s="1"/>
  <c r="AP1879" i="6" s="1"/>
  <c r="AN1880" i="6"/>
  <c r="AO1880" i="6" s="1"/>
  <c r="AP1880" i="6" s="1"/>
  <c r="AN1881" i="6"/>
  <c r="AN1882" i="6"/>
  <c r="AO1882" i="6" s="1"/>
  <c r="AP1882" i="6" s="1"/>
  <c r="AN1883" i="6"/>
  <c r="AO1883" i="6" s="1"/>
  <c r="AP1883" i="6" s="1"/>
  <c r="AN1884" i="6"/>
  <c r="AO1884" i="6" s="1"/>
  <c r="AP1884" i="6" s="1"/>
  <c r="AN1885" i="6"/>
  <c r="AN1886" i="6"/>
  <c r="AO1886" i="6" s="1"/>
  <c r="AP1886" i="6" s="1"/>
  <c r="AN1887" i="6"/>
  <c r="AO1887" i="6" s="1"/>
  <c r="AP1887" i="6" s="1"/>
  <c r="AN1888" i="6"/>
  <c r="AO1888" i="6" s="1"/>
  <c r="AP1888" i="6" s="1"/>
  <c r="AN1889" i="6"/>
  <c r="AN1890" i="6"/>
  <c r="AO1890" i="6" s="1"/>
  <c r="AP1890" i="6" s="1"/>
  <c r="AN1891" i="6"/>
  <c r="AO1891" i="6" s="1"/>
  <c r="AP1891" i="6" s="1"/>
  <c r="AN1892" i="6"/>
  <c r="AO1892" i="6" s="1"/>
  <c r="AP1892" i="6" s="1"/>
  <c r="AN1893" i="6"/>
  <c r="AN1894" i="6"/>
  <c r="AO1894" i="6" s="1"/>
  <c r="AP1894" i="6" s="1"/>
  <c r="AN1895" i="6"/>
  <c r="AO1895" i="6" s="1"/>
  <c r="AP1895" i="6" s="1"/>
  <c r="AN1896" i="6"/>
  <c r="AO1896" i="6" s="1"/>
  <c r="AP1896" i="6" s="1"/>
  <c r="AN1897" i="6"/>
  <c r="AN1898" i="6"/>
  <c r="AO1898" i="6" s="1"/>
  <c r="AP1898" i="6" s="1"/>
  <c r="AN1899" i="6"/>
  <c r="AO1899" i="6" s="1"/>
  <c r="AP1899" i="6" s="1"/>
  <c r="AN1900" i="6"/>
  <c r="AO1900" i="6" s="1"/>
  <c r="AP1900" i="6" s="1"/>
  <c r="AN1901" i="6"/>
  <c r="AN1902" i="6"/>
  <c r="AO1902" i="6" s="1"/>
  <c r="AP1902" i="6" s="1"/>
  <c r="AN1903" i="6"/>
  <c r="AO1903" i="6" s="1"/>
  <c r="AP1903" i="6" s="1"/>
  <c r="AN1904" i="6"/>
  <c r="AO1904" i="6" s="1"/>
  <c r="AP1904" i="6" s="1"/>
  <c r="AN1905" i="6"/>
  <c r="AN1906" i="6"/>
  <c r="AO1906" i="6" s="1"/>
  <c r="AP1906" i="6" s="1"/>
  <c r="AN1907" i="6"/>
  <c r="AO1907" i="6" s="1"/>
  <c r="AP1907" i="6" s="1"/>
  <c r="AN1908" i="6"/>
  <c r="AO1908" i="6" s="1"/>
  <c r="AP1908" i="6" s="1"/>
  <c r="AN1909" i="6"/>
  <c r="AN1910" i="6"/>
  <c r="AO1910" i="6" s="1"/>
  <c r="AP1910" i="6" s="1"/>
  <c r="AN1911" i="6"/>
  <c r="AO1911" i="6" s="1"/>
  <c r="AP1911" i="6" s="1"/>
  <c r="AN1912" i="6"/>
  <c r="AO1912" i="6" s="1"/>
  <c r="AP1912" i="6" s="1"/>
  <c r="AN1913" i="6"/>
  <c r="AN1914" i="6"/>
  <c r="AO1914" i="6" s="1"/>
  <c r="AP1914" i="6" s="1"/>
  <c r="AN1915" i="6"/>
  <c r="AO1915" i="6" s="1"/>
  <c r="AP1915" i="6" s="1"/>
  <c r="AN1916" i="6"/>
  <c r="AO1916" i="6" s="1"/>
  <c r="AP1916" i="6" s="1"/>
  <c r="AN1917" i="6"/>
  <c r="AN1918" i="6"/>
  <c r="AO1918" i="6" s="1"/>
  <c r="AP1918" i="6" s="1"/>
  <c r="AN1919" i="6"/>
  <c r="AO1919" i="6" s="1"/>
  <c r="AP1919" i="6" s="1"/>
  <c r="AN1920" i="6"/>
  <c r="AO1920" i="6" s="1"/>
  <c r="AP1920" i="6" s="1"/>
  <c r="AN1921" i="6"/>
  <c r="AN1922" i="6"/>
  <c r="AO1922" i="6" s="1"/>
  <c r="AP1922" i="6" s="1"/>
  <c r="AN1923" i="6"/>
  <c r="AO1923" i="6" s="1"/>
  <c r="AP1923" i="6" s="1"/>
  <c r="AN1924" i="6"/>
  <c r="AO1924" i="6" s="1"/>
  <c r="AP1924" i="6" s="1"/>
  <c r="AN1925" i="6"/>
  <c r="AN1926" i="6"/>
  <c r="AO1926" i="6" s="1"/>
  <c r="AP1926" i="6" s="1"/>
  <c r="AN1927" i="6"/>
  <c r="AO1927" i="6" s="1"/>
  <c r="AP1927" i="6" s="1"/>
  <c r="AN1928" i="6"/>
  <c r="AO1928" i="6" s="1"/>
  <c r="AP1928" i="6" s="1"/>
  <c r="AN1929" i="6"/>
  <c r="AN1930" i="6"/>
  <c r="AO1930" i="6" s="1"/>
  <c r="AP1930" i="6" s="1"/>
  <c r="AN1931" i="6"/>
  <c r="AO1931" i="6" s="1"/>
  <c r="AP1931" i="6" s="1"/>
  <c r="AN1932" i="6"/>
  <c r="AO1932" i="6" s="1"/>
  <c r="AP1932" i="6" s="1"/>
  <c r="AN1933" i="6"/>
  <c r="AN1934" i="6"/>
  <c r="AO1934" i="6" s="1"/>
  <c r="AP1934" i="6" s="1"/>
  <c r="AN1935" i="6"/>
  <c r="AO1935" i="6" s="1"/>
  <c r="AP1935" i="6" s="1"/>
  <c r="AN1936" i="6"/>
  <c r="AO1936" i="6" s="1"/>
  <c r="AP1936" i="6" s="1"/>
  <c r="AN1937" i="6"/>
  <c r="AN1938" i="6"/>
  <c r="AO1938" i="6" s="1"/>
  <c r="AP1938" i="6" s="1"/>
  <c r="AN1939" i="6"/>
  <c r="AO1939" i="6" s="1"/>
  <c r="AP1939" i="6" s="1"/>
  <c r="AN1940" i="6"/>
  <c r="AO1940" i="6" s="1"/>
  <c r="AP1940" i="6" s="1"/>
  <c r="AN1941" i="6"/>
  <c r="AN1942" i="6"/>
  <c r="AO1942" i="6" s="1"/>
  <c r="AP1942" i="6" s="1"/>
  <c r="AN1943" i="6"/>
  <c r="AO1943" i="6" s="1"/>
  <c r="AP1943" i="6" s="1"/>
  <c r="AN1944" i="6"/>
  <c r="AO1944" i="6" s="1"/>
  <c r="AP1944" i="6" s="1"/>
  <c r="AN1945" i="6"/>
  <c r="AN1946" i="6"/>
  <c r="AO1946" i="6" s="1"/>
  <c r="AP1946" i="6" s="1"/>
  <c r="AN1947" i="6"/>
  <c r="AO1947" i="6" s="1"/>
  <c r="AP1947" i="6" s="1"/>
  <c r="AN1948" i="6"/>
  <c r="AO1948" i="6" s="1"/>
  <c r="AP1948" i="6" s="1"/>
  <c r="AN1949" i="6"/>
  <c r="AN1950" i="6"/>
  <c r="AO1950" i="6" s="1"/>
  <c r="AP1950" i="6" s="1"/>
  <c r="AN1951" i="6"/>
  <c r="AO1951" i="6" s="1"/>
  <c r="AP1951" i="6" s="1"/>
  <c r="AN1952" i="6"/>
  <c r="AO1952" i="6" s="1"/>
  <c r="AP1952" i="6" s="1"/>
  <c r="AN1953" i="6"/>
  <c r="AN1954" i="6"/>
  <c r="AO1954" i="6" s="1"/>
  <c r="AP1954" i="6" s="1"/>
  <c r="AN1955" i="6"/>
  <c r="AO1955" i="6" s="1"/>
  <c r="AP1955" i="6" s="1"/>
  <c r="AN1956" i="6"/>
  <c r="AO1956" i="6" s="1"/>
  <c r="AP1956" i="6" s="1"/>
  <c r="AN1957" i="6"/>
  <c r="AN1958" i="6"/>
  <c r="AO1958" i="6" s="1"/>
  <c r="AP1958" i="6" s="1"/>
  <c r="AN1959" i="6"/>
  <c r="AO1959" i="6" s="1"/>
  <c r="AP1959" i="6" s="1"/>
  <c r="AN1960" i="6"/>
  <c r="AO1960" i="6" s="1"/>
  <c r="AP1960" i="6" s="1"/>
  <c r="AN1961" i="6"/>
  <c r="AN1962" i="6"/>
  <c r="AO1962" i="6" s="1"/>
  <c r="AP1962" i="6" s="1"/>
  <c r="AN1963" i="6"/>
  <c r="AO1963" i="6" s="1"/>
  <c r="AP1963" i="6" s="1"/>
  <c r="AN1964" i="6"/>
  <c r="AO1964" i="6" s="1"/>
  <c r="AP1964" i="6" s="1"/>
  <c r="AN1965" i="6"/>
  <c r="AN1966" i="6"/>
  <c r="AO1966" i="6" s="1"/>
  <c r="AP1966" i="6" s="1"/>
  <c r="AN1967" i="6"/>
  <c r="AO1967" i="6" s="1"/>
  <c r="AP1967" i="6" s="1"/>
  <c r="AN1968" i="6"/>
  <c r="AO1968" i="6" s="1"/>
  <c r="AP1968" i="6" s="1"/>
  <c r="AN1969" i="6"/>
  <c r="AN1970" i="6"/>
  <c r="AO1970" i="6" s="1"/>
  <c r="AP1970" i="6" s="1"/>
  <c r="AN1971" i="6"/>
  <c r="AO1971" i="6" s="1"/>
  <c r="AP1971" i="6" s="1"/>
  <c r="AN1972" i="6"/>
  <c r="AO1972" i="6" s="1"/>
  <c r="AP1972" i="6" s="1"/>
  <c r="AN1973" i="6"/>
  <c r="AN1974" i="6"/>
  <c r="AO1974" i="6" s="1"/>
  <c r="AP1974" i="6" s="1"/>
  <c r="AN1975" i="6"/>
  <c r="AO1975" i="6" s="1"/>
  <c r="AP1975" i="6" s="1"/>
  <c r="AN1976" i="6"/>
  <c r="AO1976" i="6" s="1"/>
  <c r="AP1976" i="6" s="1"/>
  <c r="AN1977" i="6"/>
  <c r="AN1978" i="6"/>
  <c r="AO1978" i="6" s="1"/>
  <c r="AP1978" i="6" s="1"/>
  <c r="AN1979" i="6"/>
  <c r="AO1979" i="6" s="1"/>
  <c r="AP1979" i="6" s="1"/>
  <c r="AN1980" i="6"/>
  <c r="AO1980" i="6" s="1"/>
  <c r="AP1980" i="6" s="1"/>
  <c r="AN1981" i="6"/>
  <c r="AN1982" i="6"/>
  <c r="AO1982" i="6" s="1"/>
  <c r="AP1982" i="6" s="1"/>
  <c r="AN1983" i="6"/>
  <c r="AO1983" i="6" s="1"/>
  <c r="AP1983" i="6" s="1"/>
  <c r="AN1984" i="6"/>
  <c r="AO1984" i="6" s="1"/>
  <c r="AP1984" i="6" s="1"/>
  <c r="AN1985" i="6"/>
  <c r="AN1986" i="6"/>
  <c r="AO1986" i="6" s="1"/>
  <c r="AP1986" i="6" s="1"/>
  <c r="AN1987" i="6"/>
  <c r="AO1987" i="6" s="1"/>
  <c r="AP1987" i="6" s="1"/>
  <c r="AN1988" i="6"/>
  <c r="AO1988" i="6" s="1"/>
  <c r="AP1988" i="6" s="1"/>
  <c r="AN1989" i="6"/>
  <c r="AN1990" i="6"/>
  <c r="AO1990" i="6" s="1"/>
  <c r="AP1990" i="6" s="1"/>
  <c r="AN1991" i="6"/>
  <c r="AO1991" i="6" s="1"/>
  <c r="AP1991" i="6" s="1"/>
  <c r="AN1992" i="6"/>
  <c r="AO1992" i="6" s="1"/>
  <c r="AP1992" i="6" s="1"/>
  <c r="AN1993" i="6"/>
  <c r="AN1994" i="6"/>
  <c r="AO1994" i="6" s="1"/>
  <c r="AP1994" i="6" s="1"/>
  <c r="AN1995" i="6"/>
  <c r="AO1995" i="6" s="1"/>
  <c r="AP1995" i="6" s="1"/>
  <c r="AN1996" i="6"/>
  <c r="AO1996" i="6" s="1"/>
  <c r="AP1996" i="6" s="1"/>
  <c r="AN1997" i="6"/>
  <c r="AN1998" i="6"/>
  <c r="AO1998" i="6" s="1"/>
  <c r="AP1998" i="6" s="1"/>
  <c r="AN1999" i="6"/>
  <c r="AO1999" i="6" s="1"/>
  <c r="AP1999" i="6" s="1"/>
  <c r="AN2000" i="6"/>
  <c r="AO2000" i="6" s="1"/>
  <c r="AP2000" i="6" s="1"/>
  <c r="AN2001" i="6"/>
  <c r="AN2002" i="6"/>
  <c r="AO2002" i="6" s="1"/>
  <c r="AP2002" i="6" s="1"/>
  <c r="AN2003" i="6"/>
  <c r="AO2003" i="6" s="1"/>
  <c r="AP2003" i="6" s="1"/>
  <c r="AN2004" i="6"/>
  <c r="AO2004" i="6" s="1"/>
  <c r="AP2004" i="6" s="1"/>
  <c r="AN2005" i="6"/>
  <c r="AN2006" i="6"/>
  <c r="AO2006" i="6" s="1"/>
  <c r="AP2006" i="6" s="1"/>
  <c r="AN2007" i="6"/>
  <c r="AO2007" i="6" s="1"/>
  <c r="AP2007" i="6" s="1"/>
  <c r="AN2008" i="6"/>
  <c r="AO2008" i="6" s="1"/>
  <c r="AP2008" i="6" s="1"/>
  <c r="AI9" i="6"/>
  <c r="AI8" i="6"/>
  <c r="AJ8" i="6" s="1"/>
  <c r="AK8" i="6" s="1"/>
  <c r="AI10" i="6"/>
  <c r="AJ10" i="6" s="1"/>
  <c r="AK10" i="6" s="1"/>
  <c r="AI11" i="6"/>
  <c r="AJ11" i="6" s="1"/>
  <c r="AK11" i="6" s="1"/>
  <c r="AI12" i="6"/>
  <c r="AJ12" i="6" s="1"/>
  <c r="AK12" i="6" s="1"/>
  <c r="AI13" i="6"/>
  <c r="AJ13" i="6" s="1"/>
  <c r="AK13" i="6" s="1"/>
  <c r="AI14" i="6"/>
  <c r="AJ14" i="6" s="1"/>
  <c r="AK14" i="6" s="1"/>
  <c r="AI15" i="6"/>
  <c r="AJ15" i="6" s="1"/>
  <c r="AK15" i="6" s="1"/>
  <c r="AI16" i="6"/>
  <c r="AJ16" i="6" s="1"/>
  <c r="AK16" i="6" s="1"/>
  <c r="AI17" i="6"/>
  <c r="AJ17" i="6" s="1"/>
  <c r="AK17" i="6" s="1"/>
  <c r="AI18" i="6"/>
  <c r="AJ18" i="6" s="1"/>
  <c r="AK18" i="6" s="1"/>
  <c r="AI19" i="6"/>
  <c r="AJ19" i="6" s="1"/>
  <c r="AK19" i="6" s="1"/>
  <c r="AI20" i="6"/>
  <c r="AJ20" i="6" s="1"/>
  <c r="AK20" i="6" s="1"/>
  <c r="AI21" i="6"/>
  <c r="AJ21" i="6" s="1"/>
  <c r="AK21" i="6" s="1"/>
  <c r="AI22" i="6"/>
  <c r="AJ22" i="6" s="1"/>
  <c r="AK22" i="6" s="1"/>
  <c r="AI23" i="6"/>
  <c r="AJ23" i="6" s="1"/>
  <c r="AK23" i="6" s="1"/>
  <c r="AI24" i="6"/>
  <c r="AI25" i="6"/>
  <c r="AJ25" i="6" s="1"/>
  <c r="AK25" i="6" s="1"/>
  <c r="AI26" i="6"/>
  <c r="AJ26" i="6" s="1"/>
  <c r="AK26" i="6" s="1"/>
  <c r="AI27" i="6"/>
  <c r="AJ27" i="6" s="1"/>
  <c r="AK27" i="6" s="1"/>
  <c r="AI28" i="6"/>
  <c r="AJ28" i="6" s="1"/>
  <c r="AK28" i="6" s="1"/>
  <c r="AI29" i="6"/>
  <c r="AJ29" i="6" s="1"/>
  <c r="AK29" i="6" s="1"/>
  <c r="AI30" i="6"/>
  <c r="AJ30" i="6" s="1"/>
  <c r="AK30" i="6" s="1"/>
  <c r="AI31" i="6"/>
  <c r="AJ31" i="6" s="1"/>
  <c r="AK31" i="6" s="1"/>
  <c r="AI32" i="6"/>
  <c r="AI33" i="6"/>
  <c r="AJ33" i="6" s="1"/>
  <c r="AK33" i="6" s="1"/>
  <c r="AI34" i="6"/>
  <c r="AJ34" i="6" s="1"/>
  <c r="AK34" i="6" s="1"/>
  <c r="AI35" i="6"/>
  <c r="AJ35" i="6" s="1"/>
  <c r="AK35" i="6" s="1"/>
  <c r="AI36" i="6"/>
  <c r="AJ36" i="6" s="1"/>
  <c r="AK36" i="6" s="1"/>
  <c r="AI37" i="6"/>
  <c r="AJ37" i="6" s="1"/>
  <c r="AK37" i="6" s="1"/>
  <c r="AI38" i="6"/>
  <c r="AJ38" i="6" s="1"/>
  <c r="AK38" i="6" s="1"/>
  <c r="AI39" i="6"/>
  <c r="AJ39" i="6" s="1"/>
  <c r="AK39" i="6" s="1"/>
  <c r="AI40" i="6"/>
  <c r="AI41" i="6"/>
  <c r="AJ41" i="6" s="1"/>
  <c r="AK41" i="6" s="1"/>
  <c r="AI42" i="6"/>
  <c r="AJ42" i="6" s="1"/>
  <c r="AK42" i="6" s="1"/>
  <c r="AI43" i="6"/>
  <c r="AJ43" i="6" s="1"/>
  <c r="AK43" i="6" s="1"/>
  <c r="AI44" i="6"/>
  <c r="AJ44" i="6" s="1"/>
  <c r="AK44" i="6" s="1"/>
  <c r="AI45" i="6"/>
  <c r="AJ45" i="6" s="1"/>
  <c r="AK45" i="6" s="1"/>
  <c r="AI46" i="6"/>
  <c r="AJ46" i="6" s="1"/>
  <c r="AK46" i="6" s="1"/>
  <c r="AI47" i="6"/>
  <c r="AJ47" i="6" s="1"/>
  <c r="AK47" i="6" s="1"/>
  <c r="AI48" i="6"/>
  <c r="AJ48" i="6" s="1"/>
  <c r="AK48" i="6" s="1"/>
  <c r="AI49" i="6"/>
  <c r="AJ49" i="6" s="1"/>
  <c r="AK49" i="6" s="1"/>
  <c r="AI50" i="6"/>
  <c r="AJ50" i="6" s="1"/>
  <c r="AK50" i="6" s="1"/>
  <c r="AI51" i="6"/>
  <c r="AJ51" i="6" s="1"/>
  <c r="AK51" i="6" s="1"/>
  <c r="AI52" i="6"/>
  <c r="AJ52" i="6" s="1"/>
  <c r="AK52" i="6" s="1"/>
  <c r="AI53" i="6"/>
  <c r="AJ53" i="6" s="1"/>
  <c r="AK53" i="6" s="1"/>
  <c r="AI54" i="6"/>
  <c r="AJ54" i="6" s="1"/>
  <c r="AK54" i="6" s="1"/>
  <c r="AI55" i="6"/>
  <c r="AJ55" i="6" s="1"/>
  <c r="AK55" i="6" s="1"/>
  <c r="AI56" i="6"/>
  <c r="AJ56" i="6" s="1"/>
  <c r="AK56" i="6" s="1"/>
  <c r="AI57" i="6"/>
  <c r="AJ57" i="6" s="1"/>
  <c r="AK57" i="6" s="1"/>
  <c r="AI58" i="6"/>
  <c r="AJ58" i="6" s="1"/>
  <c r="AK58" i="6" s="1"/>
  <c r="AI59" i="6"/>
  <c r="AJ59" i="6" s="1"/>
  <c r="AK59" i="6" s="1"/>
  <c r="AI60" i="6"/>
  <c r="AI61" i="6"/>
  <c r="AJ61" i="6" s="1"/>
  <c r="AK61" i="6" s="1"/>
  <c r="AI62" i="6"/>
  <c r="AJ62" i="6" s="1"/>
  <c r="AK62" i="6" s="1"/>
  <c r="AI63" i="6"/>
  <c r="AJ63" i="6" s="1"/>
  <c r="AK63" i="6" s="1"/>
  <c r="AI64" i="6"/>
  <c r="AJ64" i="6" s="1"/>
  <c r="AK64" i="6" s="1"/>
  <c r="AI65" i="6"/>
  <c r="AJ65" i="6" s="1"/>
  <c r="AK65" i="6" s="1"/>
  <c r="AI66" i="6"/>
  <c r="AJ66" i="6" s="1"/>
  <c r="AK66" i="6" s="1"/>
  <c r="AI67" i="6"/>
  <c r="AJ67" i="6" s="1"/>
  <c r="AK67" i="6" s="1"/>
  <c r="AI68" i="6"/>
  <c r="AJ68" i="6" s="1"/>
  <c r="AK68" i="6" s="1"/>
  <c r="AI69" i="6"/>
  <c r="AJ69" i="6" s="1"/>
  <c r="AK69" i="6" s="1"/>
  <c r="AI70" i="6"/>
  <c r="AJ70" i="6" s="1"/>
  <c r="AK70" i="6" s="1"/>
  <c r="AI71" i="6"/>
  <c r="AJ71" i="6" s="1"/>
  <c r="AK71" i="6" s="1"/>
  <c r="AI72" i="6"/>
  <c r="AI73" i="6"/>
  <c r="AJ73" i="6" s="1"/>
  <c r="AK73" i="6" s="1"/>
  <c r="AI74" i="6"/>
  <c r="AJ74" i="6" s="1"/>
  <c r="AK74" i="6" s="1"/>
  <c r="AI75" i="6"/>
  <c r="AJ75" i="6" s="1"/>
  <c r="AK75" i="6" s="1"/>
  <c r="AI76" i="6"/>
  <c r="AJ76" i="6" s="1"/>
  <c r="AK76" i="6" s="1"/>
  <c r="AI77" i="6"/>
  <c r="AJ77" i="6" s="1"/>
  <c r="AK77" i="6" s="1"/>
  <c r="AI78" i="6"/>
  <c r="AJ78" i="6" s="1"/>
  <c r="AK78" i="6" s="1"/>
  <c r="AI79" i="6"/>
  <c r="AJ79" i="6" s="1"/>
  <c r="AK79" i="6" s="1"/>
  <c r="AI80" i="6"/>
  <c r="AJ80" i="6" s="1"/>
  <c r="AK80" i="6" s="1"/>
  <c r="AI81" i="6"/>
  <c r="AJ81" i="6" s="1"/>
  <c r="AK81" i="6" s="1"/>
  <c r="AI82" i="6"/>
  <c r="AJ82" i="6" s="1"/>
  <c r="AK82" i="6" s="1"/>
  <c r="AI83" i="6"/>
  <c r="AJ83" i="6" s="1"/>
  <c r="AK83" i="6" s="1"/>
  <c r="AI84" i="6"/>
  <c r="AJ84" i="6" s="1"/>
  <c r="AK84" i="6" s="1"/>
  <c r="AI85" i="6"/>
  <c r="AJ85" i="6" s="1"/>
  <c r="AK85" i="6" s="1"/>
  <c r="AI86" i="6"/>
  <c r="AJ86" i="6" s="1"/>
  <c r="AK86" i="6" s="1"/>
  <c r="AI87" i="6"/>
  <c r="AJ87" i="6" s="1"/>
  <c r="AK87" i="6" s="1"/>
  <c r="AI88" i="6"/>
  <c r="AJ88" i="6" s="1"/>
  <c r="AK88" i="6" s="1"/>
  <c r="AI89" i="6"/>
  <c r="AJ89" i="6" s="1"/>
  <c r="AK89" i="6" s="1"/>
  <c r="AI90" i="6"/>
  <c r="AJ90" i="6" s="1"/>
  <c r="AK90" i="6" s="1"/>
  <c r="AI91" i="6"/>
  <c r="AJ91" i="6" s="1"/>
  <c r="AK91" i="6" s="1"/>
  <c r="AI92" i="6"/>
  <c r="AI93" i="6"/>
  <c r="AJ93" i="6" s="1"/>
  <c r="AK93" i="6" s="1"/>
  <c r="AI94" i="6"/>
  <c r="AJ94" i="6" s="1"/>
  <c r="AK94" i="6" s="1"/>
  <c r="AI95" i="6"/>
  <c r="AJ95" i="6" s="1"/>
  <c r="AK95" i="6" s="1"/>
  <c r="AI96" i="6"/>
  <c r="AI97" i="6"/>
  <c r="AJ97" i="6" s="1"/>
  <c r="AK97" i="6" s="1"/>
  <c r="AI98" i="6"/>
  <c r="AJ98" i="6" s="1"/>
  <c r="AK98" i="6" s="1"/>
  <c r="AI99" i="6"/>
  <c r="AJ99" i="6" s="1"/>
  <c r="AK99" i="6" s="1"/>
  <c r="AI100" i="6"/>
  <c r="AJ100" i="6" s="1"/>
  <c r="AK100" i="6" s="1"/>
  <c r="AI101" i="6"/>
  <c r="AJ101" i="6" s="1"/>
  <c r="AK101" i="6" s="1"/>
  <c r="AI102" i="6"/>
  <c r="AJ102" i="6" s="1"/>
  <c r="AK102" i="6" s="1"/>
  <c r="AI103" i="6"/>
  <c r="AJ103" i="6" s="1"/>
  <c r="AK103" i="6" s="1"/>
  <c r="AI104" i="6"/>
  <c r="AJ104" i="6" s="1"/>
  <c r="AK104" i="6" s="1"/>
  <c r="AI105" i="6"/>
  <c r="AJ105" i="6" s="1"/>
  <c r="AK105" i="6" s="1"/>
  <c r="AI106" i="6"/>
  <c r="AJ106" i="6" s="1"/>
  <c r="AK106" i="6" s="1"/>
  <c r="AI107" i="6"/>
  <c r="AJ107" i="6" s="1"/>
  <c r="AK107" i="6" s="1"/>
  <c r="AI108" i="6"/>
  <c r="AI109" i="6"/>
  <c r="AJ109" i="6" s="1"/>
  <c r="AK109" i="6" s="1"/>
  <c r="AI110" i="6"/>
  <c r="AJ110" i="6" s="1"/>
  <c r="AK110" i="6" s="1"/>
  <c r="AI111" i="6"/>
  <c r="AJ111" i="6" s="1"/>
  <c r="AK111" i="6" s="1"/>
  <c r="AI112" i="6"/>
  <c r="AJ112" i="6" s="1"/>
  <c r="AK112" i="6" s="1"/>
  <c r="AI113" i="6"/>
  <c r="AJ113" i="6" s="1"/>
  <c r="AK113" i="6" s="1"/>
  <c r="AI114" i="6"/>
  <c r="AJ114" i="6" s="1"/>
  <c r="AK114" i="6" s="1"/>
  <c r="AI115" i="6"/>
  <c r="AJ115" i="6" s="1"/>
  <c r="AK115" i="6" s="1"/>
  <c r="AI116" i="6"/>
  <c r="AJ116" i="6" s="1"/>
  <c r="AK116" i="6" s="1"/>
  <c r="AI117" i="6"/>
  <c r="AJ117" i="6" s="1"/>
  <c r="AK117" i="6" s="1"/>
  <c r="AI118" i="6"/>
  <c r="AJ118" i="6" s="1"/>
  <c r="AK118" i="6" s="1"/>
  <c r="AI119" i="6"/>
  <c r="AJ119" i="6" s="1"/>
  <c r="AK119" i="6" s="1"/>
  <c r="AI120" i="6"/>
  <c r="AJ120" i="6" s="1"/>
  <c r="AK120" i="6" s="1"/>
  <c r="AI121" i="6"/>
  <c r="AJ121" i="6" s="1"/>
  <c r="AK121" i="6" s="1"/>
  <c r="AI122" i="6"/>
  <c r="AJ122" i="6" s="1"/>
  <c r="AK122" i="6" s="1"/>
  <c r="AI123" i="6"/>
  <c r="AJ123" i="6" s="1"/>
  <c r="AK123" i="6" s="1"/>
  <c r="AI124" i="6"/>
  <c r="AJ124" i="6" s="1"/>
  <c r="AK124" i="6" s="1"/>
  <c r="AI125" i="6"/>
  <c r="AJ125" i="6" s="1"/>
  <c r="AK125" i="6" s="1"/>
  <c r="AI126" i="6"/>
  <c r="AJ126" i="6" s="1"/>
  <c r="AK126" i="6" s="1"/>
  <c r="AI127" i="6"/>
  <c r="AJ127" i="6" s="1"/>
  <c r="AK127" i="6" s="1"/>
  <c r="AI128" i="6"/>
  <c r="AI129" i="6"/>
  <c r="AJ129" i="6" s="1"/>
  <c r="AK129" i="6" s="1"/>
  <c r="AI130" i="6"/>
  <c r="AJ130" i="6" s="1"/>
  <c r="AK130" i="6" s="1"/>
  <c r="AI131" i="6"/>
  <c r="AJ131" i="6" s="1"/>
  <c r="AK131" i="6" s="1"/>
  <c r="AI132" i="6"/>
  <c r="AJ132" i="6" s="1"/>
  <c r="AK132" i="6" s="1"/>
  <c r="AI133" i="6"/>
  <c r="AJ133" i="6" s="1"/>
  <c r="AK133" i="6" s="1"/>
  <c r="AI134" i="6"/>
  <c r="AJ134" i="6" s="1"/>
  <c r="AK134" i="6" s="1"/>
  <c r="AI135" i="6"/>
  <c r="AJ135" i="6" s="1"/>
  <c r="AK135" i="6" s="1"/>
  <c r="AI136" i="6"/>
  <c r="AJ136" i="6" s="1"/>
  <c r="AK136" i="6" s="1"/>
  <c r="AI137" i="6"/>
  <c r="AJ137" i="6" s="1"/>
  <c r="AK137" i="6" s="1"/>
  <c r="AI138" i="6"/>
  <c r="AJ138" i="6" s="1"/>
  <c r="AK138" i="6" s="1"/>
  <c r="AI139" i="6"/>
  <c r="AJ139" i="6" s="1"/>
  <c r="AK139" i="6" s="1"/>
  <c r="AI140" i="6"/>
  <c r="AI141" i="6"/>
  <c r="AJ141" i="6" s="1"/>
  <c r="AK141" i="6" s="1"/>
  <c r="AI142" i="6"/>
  <c r="AJ142" i="6" s="1"/>
  <c r="AK142" i="6" s="1"/>
  <c r="AI143" i="6"/>
  <c r="AJ143" i="6" s="1"/>
  <c r="AK143" i="6" s="1"/>
  <c r="AI144" i="6"/>
  <c r="AJ144" i="6" s="1"/>
  <c r="AK144" i="6" s="1"/>
  <c r="AI145" i="6"/>
  <c r="AJ145" i="6" s="1"/>
  <c r="AK145" i="6" s="1"/>
  <c r="AI146" i="6"/>
  <c r="AJ146" i="6" s="1"/>
  <c r="AK146" i="6" s="1"/>
  <c r="AI147" i="6"/>
  <c r="AJ147" i="6" s="1"/>
  <c r="AK147" i="6" s="1"/>
  <c r="AI148" i="6"/>
  <c r="AJ148" i="6" s="1"/>
  <c r="AK148" i="6" s="1"/>
  <c r="AI149" i="6"/>
  <c r="AJ149" i="6" s="1"/>
  <c r="AK149" i="6" s="1"/>
  <c r="AI150" i="6"/>
  <c r="AJ150" i="6" s="1"/>
  <c r="AK150" i="6" s="1"/>
  <c r="AI151" i="6"/>
  <c r="AJ151" i="6" s="1"/>
  <c r="AK151" i="6" s="1"/>
  <c r="AI152" i="6"/>
  <c r="AJ152" i="6" s="1"/>
  <c r="AK152" i="6" s="1"/>
  <c r="AI153" i="6"/>
  <c r="AJ153" i="6" s="1"/>
  <c r="AK153" i="6" s="1"/>
  <c r="AI154" i="6"/>
  <c r="AJ154" i="6" s="1"/>
  <c r="AK154" i="6" s="1"/>
  <c r="AI155" i="6"/>
  <c r="AJ155" i="6" s="1"/>
  <c r="AK155" i="6" s="1"/>
  <c r="AI156" i="6"/>
  <c r="AJ156" i="6" s="1"/>
  <c r="AK156" i="6" s="1"/>
  <c r="AI157" i="6"/>
  <c r="AJ157" i="6" s="1"/>
  <c r="AK157" i="6" s="1"/>
  <c r="AI158" i="6"/>
  <c r="AJ158" i="6" s="1"/>
  <c r="AK158" i="6" s="1"/>
  <c r="AI159" i="6"/>
  <c r="AJ159" i="6" s="1"/>
  <c r="AK159" i="6" s="1"/>
  <c r="AI160" i="6"/>
  <c r="AI161" i="6"/>
  <c r="AJ161" i="6" s="1"/>
  <c r="AK161" i="6" s="1"/>
  <c r="AI162" i="6"/>
  <c r="AJ162" i="6" s="1"/>
  <c r="AK162" i="6" s="1"/>
  <c r="AI163" i="6"/>
  <c r="AJ163" i="6" s="1"/>
  <c r="AK163" i="6" s="1"/>
  <c r="AI164" i="6"/>
  <c r="AI165" i="6"/>
  <c r="AJ165" i="6" s="1"/>
  <c r="AK165" i="6" s="1"/>
  <c r="AI166" i="6"/>
  <c r="AJ166" i="6" s="1"/>
  <c r="AK166" i="6" s="1"/>
  <c r="AI167" i="6"/>
  <c r="AJ167" i="6" s="1"/>
  <c r="AK167" i="6" s="1"/>
  <c r="AI168" i="6"/>
  <c r="AJ168" i="6" s="1"/>
  <c r="AK168" i="6" s="1"/>
  <c r="AI169" i="6"/>
  <c r="AJ169" i="6" s="1"/>
  <c r="AK169" i="6" s="1"/>
  <c r="AI170" i="6"/>
  <c r="AJ170" i="6" s="1"/>
  <c r="AK170" i="6" s="1"/>
  <c r="AI171" i="6"/>
  <c r="AJ171" i="6" s="1"/>
  <c r="AK171" i="6" s="1"/>
  <c r="AI172" i="6"/>
  <c r="AJ172" i="6" s="1"/>
  <c r="AK172" i="6" s="1"/>
  <c r="AI173" i="6"/>
  <c r="AJ173" i="6" s="1"/>
  <c r="AK173" i="6" s="1"/>
  <c r="AI174" i="6"/>
  <c r="AJ174" i="6" s="1"/>
  <c r="AK174" i="6" s="1"/>
  <c r="AI175" i="6"/>
  <c r="AJ175" i="6" s="1"/>
  <c r="AK175" i="6" s="1"/>
  <c r="AI176" i="6"/>
  <c r="AI177" i="6"/>
  <c r="AJ177" i="6" s="1"/>
  <c r="AK177" i="6" s="1"/>
  <c r="AI178" i="6"/>
  <c r="AJ178" i="6" s="1"/>
  <c r="AK178" i="6" s="1"/>
  <c r="AI179" i="6"/>
  <c r="AJ179" i="6" s="1"/>
  <c r="AK179" i="6" s="1"/>
  <c r="AI180" i="6"/>
  <c r="AJ180" i="6" s="1"/>
  <c r="AK180" i="6" s="1"/>
  <c r="AI181" i="6"/>
  <c r="AJ181" i="6" s="1"/>
  <c r="AK181" i="6" s="1"/>
  <c r="AI182" i="6"/>
  <c r="AJ182" i="6" s="1"/>
  <c r="AK182" i="6" s="1"/>
  <c r="AI183" i="6"/>
  <c r="AJ183" i="6" s="1"/>
  <c r="AK183" i="6" s="1"/>
  <c r="AI184" i="6"/>
  <c r="AJ184" i="6" s="1"/>
  <c r="AK184" i="6" s="1"/>
  <c r="AI185" i="6"/>
  <c r="AJ185" i="6" s="1"/>
  <c r="AK185" i="6" s="1"/>
  <c r="AI186" i="6"/>
  <c r="AJ186" i="6" s="1"/>
  <c r="AK186" i="6" s="1"/>
  <c r="AI187" i="6"/>
  <c r="AJ187" i="6" s="1"/>
  <c r="AK187" i="6" s="1"/>
  <c r="AI188" i="6"/>
  <c r="AJ188" i="6" s="1"/>
  <c r="AK188" i="6" s="1"/>
  <c r="AI189" i="6"/>
  <c r="AJ189" i="6" s="1"/>
  <c r="AK189" i="6" s="1"/>
  <c r="AI190" i="6"/>
  <c r="AJ190" i="6" s="1"/>
  <c r="AK190" i="6" s="1"/>
  <c r="AI191" i="6"/>
  <c r="AJ191" i="6" s="1"/>
  <c r="AK191" i="6" s="1"/>
  <c r="AI192" i="6"/>
  <c r="AJ192" i="6" s="1"/>
  <c r="AK192" i="6" s="1"/>
  <c r="AI193" i="6"/>
  <c r="AJ193" i="6" s="1"/>
  <c r="AK193" i="6" s="1"/>
  <c r="AI194" i="6"/>
  <c r="AJ194" i="6" s="1"/>
  <c r="AK194" i="6" s="1"/>
  <c r="AI195" i="6"/>
  <c r="AJ195" i="6" s="1"/>
  <c r="AK195" i="6" s="1"/>
  <c r="AI196" i="6"/>
  <c r="AI197" i="6"/>
  <c r="AJ197" i="6" s="1"/>
  <c r="AK197" i="6" s="1"/>
  <c r="AI198" i="6"/>
  <c r="AJ198" i="6" s="1"/>
  <c r="AK198" i="6" s="1"/>
  <c r="AI199" i="6"/>
  <c r="AJ199" i="6" s="1"/>
  <c r="AK199" i="6" s="1"/>
  <c r="AI200" i="6"/>
  <c r="AJ200" i="6" s="1"/>
  <c r="AK200" i="6" s="1"/>
  <c r="AI201" i="6"/>
  <c r="AJ201" i="6" s="1"/>
  <c r="AK201" i="6" s="1"/>
  <c r="AI202" i="6"/>
  <c r="AJ202" i="6" s="1"/>
  <c r="AK202" i="6" s="1"/>
  <c r="AI203" i="6"/>
  <c r="AJ203" i="6" s="1"/>
  <c r="AK203" i="6" s="1"/>
  <c r="AI204" i="6"/>
  <c r="AJ204" i="6" s="1"/>
  <c r="AK204" i="6" s="1"/>
  <c r="AI205" i="6"/>
  <c r="AJ205" i="6" s="1"/>
  <c r="AK205" i="6" s="1"/>
  <c r="AI206" i="6"/>
  <c r="AJ206" i="6" s="1"/>
  <c r="AK206" i="6" s="1"/>
  <c r="AI207" i="6"/>
  <c r="AJ207" i="6" s="1"/>
  <c r="AK207" i="6" s="1"/>
  <c r="AI208" i="6"/>
  <c r="AI209" i="6"/>
  <c r="AJ209" i="6" s="1"/>
  <c r="AK209" i="6" s="1"/>
  <c r="AI210" i="6"/>
  <c r="AJ210" i="6" s="1"/>
  <c r="AK210" i="6" s="1"/>
  <c r="AI211" i="6"/>
  <c r="AJ211" i="6" s="1"/>
  <c r="AK211" i="6" s="1"/>
  <c r="AI212" i="6"/>
  <c r="AJ212" i="6" s="1"/>
  <c r="AK212" i="6" s="1"/>
  <c r="AI213" i="6"/>
  <c r="AJ213" i="6" s="1"/>
  <c r="AK213" i="6" s="1"/>
  <c r="AI214" i="6"/>
  <c r="AJ214" i="6" s="1"/>
  <c r="AK214" i="6" s="1"/>
  <c r="AI215" i="6"/>
  <c r="AJ215" i="6" s="1"/>
  <c r="AK215" i="6" s="1"/>
  <c r="AI216" i="6"/>
  <c r="AJ216" i="6" s="1"/>
  <c r="AK216" i="6" s="1"/>
  <c r="AI217" i="6"/>
  <c r="AJ217" i="6" s="1"/>
  <c r="AK217" i="6" s="1"/>
  <c r="AI218" i="6"/>
  <c r="AJ218" i="6" s="1"/>
  <c r="AK218" i="6" s="1"/>
  <c r="AI219" i="6"/>
  <c r="AJ219" i="6" s="1"/>
  <c r="AK219" i="6" s="1"/>
  <c r="AI220" i="6"/>
  <c r="AJ220" i="6" s="1"/>
  <c r="AK220" i="6" s="1"/>
  <c r="AI221" i="6"/>
  <c r="AJ221" i="6" s="1"/>
  <c r="AK221" i="6" s="1"/>
  <c r="AI222" i="6"/>
  <c r="AJ222" i="6" s="1"/>
  <c r="AK222" i="6" s="1"/>
  <c r="AI223" i="6"/>
  <c r="AJ223" i="6" s="1"/>
  <c r="AK223" i="6" s="1"/>
  <c r="AI224" i="6"/>
  <c r="AI225" i="6"/>
  <c r="AJ225" i="6" s="1"/>
  <c r="AK225" i="6" s="1"/>
  <c r="AI226" i="6"/>
  <c r="AJ226" i="6" s="1"/>
  <c r="AK226" i="6" s="1"/>
  <c r="AI227" i="6"/>
  <c r="AJ227" i="6" s="1"/>
  <c r="AK227" i="6" s="1"/>
  <c r="AI228" i="6"/>
  <c r="AJ228" i="6" s="1"/>
  <c r="AK228" i="6" s="1"/>
  <c r="AI229" i="6"/>
  <c r="AJ229" i="6" s="1"/>
  <c r="AK229" i="6" s="1"/>
  <c r="AI230" i="6"/>
  <c r="AJ230" i="6" s="1"/>
  <c r="AK230" i="6" s="1"/>
  <c r="AI231" i="6"/>
  <c r="AJ231" i="6" s="1"/>
  <c r="AK231" i="6" s="1"/>
  <c r="AI232" i="6"/>
  <c r="AI233" i="6"/>
  <c r="AJ233" i="6" s="1"/>
  <c r="AK233" i="6" s="1"/>
  <c r="AI234" i="6"/>
  <c r="AJ234" i="6" s="1"/>
  <c r="AK234" i="6" s="1"/>
  <c r="AI235" i="6"/>
  <c r="AJ235" i="6" s="1"/>
  <c r="AK235" i="6" s="1"/>
  <c r="AI236" i="6"/>
  <c r="AJ236" i="6" s="1"/>
  <c r="AK236" i="6" s="1"/>
  <c r="AI237" i="6"/>
  <c r="AJ237" i="6" s="1"/>
  <c r="AK237" i="6" s="1"/>
  <c r="AI238" i="6"/>
  <c r="AJ238" i="6" s="1"/>
  <c r="AK238" i="6" s="1"/>
  <c r="AI239" i="6"/>
  <c r="AJ239" i="6" s="1"/>
  <c r="AK239" i="6" s="1"/>
  <c r="AI240" i="6"/>
  <c r="AJ240" i="6" s="1"/>
  <c r="AK240" i="6" s="1"/>
  <c r="AI241" i="6"/>
  <c r="AJ241" i="6" s="1"/>
  <c r="AK241" i="6" s="1"/>
  <c r="AI242" i="6"/>
  <c r="AJ242" i="6" s="1"/>
  <c r="AK242" i="6" s="1"/>
  <c r="AI243" i="6"/>
  <c r="AJ243" i="6" s="1"/>
  <c r="AK243" i="6" s="1"/>
  <c r="AI244" i="6"/>
  <c r="AI245" i="6"/>
  <c r="AJ245" i="6" s="1"/>
  <c r="AK245" i="6" s="1"/>
  <c r="AI246" i="6"/>
  <c r="AJ246" i="6" s="1"/>
  <c r="AK246" i="6" s="1"/>
  <c r="AI247" i="6"/>
  <c r="AJ247" i="6" s="1"/>
  <c r="AK247" i="6" s="1"/>
  <c r="AI248" i="6"/>
  <c r="AJ248" i="6" s="1"/>
  <c r="AK248" i="6" s="1"/>
  <c r="AI249" i="6"/>
  <c r="AJ249" i="6" s="1"/>
  <c r="AK249" i="6" s="1"/>
  <c r="AI250" i="6"/>
  <c r="AJ250" i="6" s="1"/>
  <c r="AK250" i="6" s="1"/>
  <c r="AI251" i="6"/>
  <c r="AJ251" i="6" s="1"/>
  <c r="AK251" i="6" s="1"/>
  <c r="AI252" i="6"/>
  <c r="AJ252" i="6" s="1"/>
  <c r="AK252" i="6" s="1"/>
  <c r="AI253" i="6"/>
  <c r="AJ253" i="6" s="1"/>
  <c r="AK253" i="6" s="1"/>
  <c r="AI254" i="6"/>
  <c r="AJ254" i="6" s="1"/>
  <c r="AK254" i="6" s="1"/>
  <c r="AI255" i="6"/>
  <c r="AJ255" i="6" s="1"/>
  <c r="AK255" i="6" s="1"/>
  <c r="AI256" i="6"/>
  <c r="AJ256" i="6" s="1"/>
  <c r="AK256" i="6" s="1"/>
  <c r="AI257" i="6"/>
  <c r="AJ257" i="6" s="1"/>
  <c r="AK257" i="6" s="1"/>
  <c r="AI258" i="6"/>
  <c r="AJ258" i="6" s="1"/>
  <c r="AK258" i="6" s="1"/>
  <c r="AI259" i="6"/>
  <c r="AJ259" i="6" s="1"/>
  <c r="AK259" i="6" s="1"/>
  <c r="AI260" i="6"/>
  <c r="AJ260" i="6" s="1"/>
  <c r="AK260" i="6" s="1"/>
  <c r="AI261" i="6"/>
  <c r="AJ261" i="6" s="1"/>
  <c r="AK261" i="6" s="1"/>
  <c r="AI262" i="6"/>
  <c r="AJ262" i="6" s="1"/>
  <c r="AK262" i="6" s="1"/>
  <c r="AI263" i="6"/>
  <c r="AJ263" i="6" s="1"/>
  <c r="AK263" i="6" s="1"/>
  <c r="AI264" i="6"/>
  <c r="AI265" i="6"/>
  <c r="AJ265" i="6" s="1"/>
  <c r="AK265" i="6" s="1"/>
  <c r="AI266" i="6"/>
  <c r="AJ266" i="6" s="1"/>
  <c r="AK266" i="6" s="1"/>
  <c r="AI267" i="6"/>
  <c r="AJ267" i="6" s="1"/>
  <c r="AK267" i="6" s="1"/>
  <c r="AI268" i="6"/>
  <c r="AJ268" i="6" s="1"/>
  <c r="AK268" i="6" s="1"/>
  <c r="AI269" i="6"/>
  <c r="AJ269" i="6" s="1"/>
  <c r="AK269" i="6" s="1"/>
  <c r="AI270" i="6"/>
  <c r="AJ270" i="6" s="1"/>
  <c r="AK270" i="6" s="1"/>
  <c r="AI271" i="6"/>
  <c r="AJ271" i="6" s="1"/>
  <c r="AK271" i="6" s="1"/>
  <c r="AI272" i="6"/>
  <c r="AJ272" i="6" s="1"/>
  <c r="AK272" i="6" s="1"/>
  <c r="AI273" i="6"/>
  <c r="AJ273" i="6" s="1"/>
  <c r="AK273" i="6" s="1"/>
  <c r="AI274" i="6"/>
  <c r="AJ274" i="6" s="1"/>
  <c r="AK274" i="6" s="1"/>
  <c r="AI275" i="6"/>
  <c r="AJ275" i="6" s="1"/>
  <c r="AK275" i="6" s="1"/>
  <c r="AI276" i="6"/>
  <c r="AI277" i="6"/>
  <c r="AJ277" i="6" s="1"/>
  <c r="AK277" i="6" s="1"/>
  <c r="AI278" i="6"/>
  <c r="AJ278" i="6" s="1"/>
  <c r="AK278" i="6" s="1"/>
  <c r="AI279" i="6"/>
  <c r="AJ279" i="6" s="1"/>
  <c r="AK279" i="6" s="1"/>
  <c r="AI280" i="6"/>
  <c r="AJ280" i="6" s="1"/>
  <c r="AK280" i="6" s="1"/>
  <c r="AI281" i="6"/>
  <c r="AJ281" i="6" s="1"/>
  <c r="AK281" i="6" s="1"/>
  <c r="AI282" i="6"/>
  <c r="AJ282" i="6" s="1"/>
  <c r="AK282" i="6" s="1"/>
  <c r="AI283" i="6"/>
  <c r="AJ283" i="6" s="1"/>
  <c r="AK283" i="6" s="1"/>
  <c r="AI284" i="6"/>
  <c r="AJ284" i="6" s="1"/>
  <c r="AK284" i="6" s="1"/>
  <c r="AI285" i="6"/>
  <c r="AJ285" i="6" s="1"/>
  <c r="AK285" i="6" s="1"/>
  <c r="AI286" i="6"/>
  <c r="AJ286" i="6" s="1"/>
  <c r="AK286" i="6" s="1"/>
  <c r="AI287" i="6"/>
  <c r="AJ287" i="6" s="1"/>
  <c r="AK287" i="6" s="1"/>
  <c r="AI288" i="6"/>
  <c r="AI289" i="6"/>
  <c r="AJ289" i="6" s="1"/>
  <c r="AK289" i="6" s="1"/>
  <c r="AI290" i="6"/>
  <c r="AJ290" i="6" s="1"/>
  <c r="AK290" i="6" s="1"/>
  <c r="AI291" i="6"/>
  <c r="AJ291" i="6" s="1"/>
  <c r="AK291" i="6" s="1"/>
  <c r="AI292" i="6"/>
  <c r="AJ292" i="6" s="1"/>
  <c r="AK292" i="6" s="1"/>
  <c r="AI293" i="6"/>
  <c r="AJ293" i="6" s="1"/>
  <c r="AK293" i="6" s="1"/>
  <c r="AI294" i="6"/>
  <c r="AJ294" i="6" s="1"/>
  <c r="AK294" i="6" s="1"/>
  <c r="AI295" i="6"/>
  <c r="AJ295" i="6" s="1"/>
  <c r="AK295" i="6" s="1"/>
  <c r="AI296" i="6"/>
  <c r="AJ296" i="6" s="1"/>
  <c r="AK296" i="6" s="1"/>
  <c r="AI297" i="6"/>
  <c r="AJ297" i="6" s="1"/>
  <c r="AK297" i="6" s="1"/>
  <c r="AI298" i="6"/>
  <c r="AJ298" i="6" s="1"/>
  <c r="AK298" i="6" s="1"/>
  <c r="AI299" i="6"/>
  <c r="AJ299" i="6" s="1"/>
  <c r="AK299" i="6" s="1"/>
  <c r="AI300" i="6"/>
  <c r="AJ300" i="6" s="1"/>
  <c r="AK300" i="6" s="1"/>
  <c r="AI301" i="6"/>
  <c r="AJ301" i="6" s="1"/>
  <c r="AK301" i="6" s="1"/>
  <c r="AI302" i="6"/>
  <c r="AJ302" i="6" s="1"/>
  <c r="AK302" i="6" s="1"/>
  <c r="AI303" i="6"/>
  <c r="AJ303" i="6" s="1"/>
  <c r="AK303" i="6" s="1"/>
  <c r="AI304" i="6"/>
  <c r="AJ304" i="6" s="1"/>
  <c r="AK304" i="6" s="1"/>
  <c r="AI305" i="6"/>
  <c r="AJ305" i="6" s="1"/>
  <c r="AK305" i="6" s="1"/>
  <c r="AI306" i="6"/>
  <c r="AJ306" i="6" s="1"/>
  <c r="AK306" i="6" s="1"/>
  <c r="AI307" i="6"/>
  <c r="AJ307" i="6" s="1"/>
  <c r="AK307" i="6" s="1"/>
  <c r="AI308" i="6"/>
  <c r="AJ308" i="6" s="1"/>
  <c r="AK308" i="6" s="1"/>
  <c r="AI309" i="6"/>
  <c r="AJ309" i="6" s="1"/>
  <c r="AK309" i="6" s="1"/>
  <c r="AI310" i="6"/>
  <c r="AJ310" i="6" s="1"/>
  <c r="AK310" i="6" s="1"/>
  <c r="AI311" i="6"/>
  <c r="AJ311" i="6" s="1"/>
  <c r="AK311" i="6" s="1"/>
  <c r="AI312" i="6"/>
  <c r="AI313" i="6"/>
  <c r="AJ313" i="6" s="1"/>
  <c r="AK313" i="6" s="1"/>
  <c r="AI314" i="6"/>
  <c r="AJ314" i="6" s="1"/>
  <c r="AK314" i="6" s="1"/>
  <c r="AI315" i="6"/>
  <c r="AJ315" i="6" s="1"/>
  <c r="AK315" i="6" s="1"/>
  <c r="AI316" i="6"/>
  <c r="AI317" i="6"/>
  <c r="AJ317" i="6" s="1"/>
  <c r="AK317" i="6" s="1"/>
  <c r="AI318" i="6"/>
  <c r="AJ318" i="6" s="1"/>
  <c r="AK318" i="6" s="1"/>
  <c r="AI319" i="6"/>
  <c r="AJ319" i="6" s="1"/>
  <c r="AK319" i="6" s="1"/>
  <c r="AI320" i="6"/>
  <c r="AJ320" i="6" s="1"/>
  <c r="AK320" i="6" s="1"/>
  <c r="AI321" i="6"/>
  <c r="AJ321" i="6" s="1"/>
  <c r="AK321" i="6" s="1"/>
  <c r="AI322" i="6"/>
  <c r="AJ322" i="6" s="1"/>
  <c r="AK322" i="6" s="1"/>
  <c r="AI323" i="6"/>
  <c r="AJ323" i="6" s="1"/>
  <c r="AK323" i="6" s="1"/>
  <c r="AI324" i="6"/>
  <c r="AJ324" i="6" s="1"/>
  <c r="AK324" i="6" s="1"/>
  <c r="AI325" i="6"/>
  <c r="AJ325" i="6" s="1"/>
  <c r="AK325" i="6" s="1"/>
  <c r="AI326" i="6"/>
  <c r="AJ326" i="6" s="1"/>
  <c r="AK326" i="6" s="1"/>
  <c r="AI327" i="6"/>
  <c r="AJ327" i="6" s="1"/>
  <c r="AK327" i="6" s="1"/>
  <c r="AI328" i="6"/>
  <c r="AJ328" i="6" s="1"/>
  <c r="AK328" i="6" s="1"/>
  <c r="AI329" i="6"/>
  <c r="AJ329" i="6" s="1"/>
  <c r="AK329" i="6" s="1"/>
  <c r="AI330" i="6"/>
  <c r="AJ330" i="6" s="1"/>
  <c r="AK330" i="6" s="1"/>
  <c r="AI331" i="6"/>
  <c r="AJ331" i="6" s="1"/>
  <c r="AK331" i="6" s="1"/>
  <c r="AI332" i="6"/>
  <c r="AJ332" i="6" s="1"/>
  <c r="AK332" i="6" s="1"/>
  <c r="AI333" i="6"/>
  <c r="AJ333" i="6" s="1"/>
  <c r="AK333" i="6" s="1"/>
  <c r="AI334" i="6"/>
  <c r="AJ334" i="6" s="1"/>
  <c r="AK334" i="6" s="1"/>
  <c r="AI335" i="6"/>
  <c r="AJ335" i="6" s="1"/>
  <c r="AK335" i="6" s="1"/>
  <c r="AI336" i="6"/>
  <c r="AJ336" i="6" s="1"/>
  <c r="AK336" i="6" s="1"/>
  <c r="AI337" i="6"/>
  <c r="AJ337" i="6" s="1"/>
  <c r="AK337" i="6" s="1"/>
  <c r="AI338" i="6"/>
  <c r="AJ338" i="6" s="1"/>
  <c r="AK338" i="6" s="1"/>
  <c r="AI339" i="6"/>
  <c r="AJ339" i="6" s="1"/>
  <c r="AK339" i="6" s="1"/>
  <c r="AI340" i="6"/>
  <c r="AJ340" i="6" s="1"/>
  <c r="AK340" i="6" s="1"/>
  <c r="AI341" i="6"/>
  <c r="AJ341" i="6" s="1"/>
  <c r="AK341" i="6" s="1"/>
  <c r="AI342" i="6"/>
  <c r="AJ342" i="6" s="1"/>
  <c r="AK342" i="6" s="1"/>
  <c r="AI343" i="6"/>
  <c r="AJ343" i="6" s="1"/>
  <c r="AK343" i="6" s="1"/>
  <c r="AI344" i="6"/>
  <c r="AJ344" i="6" s="1"/>
  <c r="AK344" i="6" s="1"/>
  <c r="AI345" i="6"/>
  <c r="AJ345" i="6" s="1"/>
  <c r="AK345" i="6" s="1"/>
  <c r="AI346" i="6"/>
  <c r="AJ346" i="6" s="1"/>
  <c r="AK346" i="6" s="1"/>
  <c r="AI347" i="6"/>
  <c r="AJ347" i="6" s="1"/>
  <c r="AK347" i="6" s="1"/>
  <c r="AI348" i="6"/>
  <c r="AI349" i="6"/>
  <c r="AJ349" i="6" s="1"/>
  <c r="AK349" i="6" s="1"/>
  <c r="AI350" i="6"/>
  <c r="AJ350" i="6" s="1"/>
  <c r="AK350" i="6" s="1"/>
  <c r="AI351" i="6"/>
  <c r="AJ351" i="6" s="1"/>
  <c r="AK351" i="6" s="1"/>
  <c r="AI352" i="6"/>
  <c r="AJ352" i="6" s="1"/>
  <c r="AK352" i="6" s="1"/>
  <c r="AI353" i="6"/>
  <c r="AJ353" i="6" s="1"/>
  <c r="AK353" i="6" s="1"/>
  <c r="AI354" i="6"/>
  <c r="AJ354" i="6" s="1"/>
  <c r="AK354" i="6" s="1"/>
  <c r="AI355" i="6"/>
  <c r="AJ355" i="6" s="1"/>
  <c r="AK355" i="6" s="1"/>
  <c r="AI356" i="6"/>
  <c r="AJ356" i="6" s="1"/>
  <c r="AK356" i="6" s="1"/>
  <c r="AI357" i="6"/>
  <c r="AJ357" i="6" s="1"/>
  <c r="AK357" i="6" s="1"/>
  <c r="AI358" i="6"/>
  <c r="AJ358" i="6" s="1"/>
  <c r="AK358" i="6" s="1"/>
  <c r="AI359" i="6"/>
  <c r="AJ359" i="6" s="1"/>
  <c r="AK359" i="6" s="1"/>
  <c r="AI360" i="6"/>
  <c r="AJ360" i="6" s="1"/>
  <c r="AK360" i="6" s="1"/>
  <c r="AI361" i="6"/>
  <c r="AJ361" i="6" s="1"/>
  <c r="AK361" i="6" s="1"/>
  <c r="AI362" i="6"/>
  <c r="AJ362" i="6" s="1"/>
  <c r="AK362" i="6" s="1"/>
  <c r="AI363" i="6"/>
  <c r="AJ363" i="6" s="1"/>
  <c r="AK363" i="6" s="1"/>
  <c r="AI364" i="6"/>
  <c r="AI365" i="6"/>
  <c r="AJ365" i="6" s="1"/>
  <c r="AK365" i="6" s="1"/>
  <c r="AI366" i="6"/>
  <c r="AJ366" i="6" s="1"/>
  <c r="AK366" i="6" s="1"/>
  <c r="AI367" i="6"/>
  <c r="AJ367" i="6" s="1"/>
  <c r="AK367" i="6" s="1"/>
  <c r="AI368" i="6"/>
  <c r="AJ368" i="6" s="1"/>
  <c r="AK368" i="6" s="1"/>
  <c r="AI369" i="6"/>
  <c r="AJ369" i="6" s="1"/>
  <c r="AK369" i="6" s="1"/>
  <c r="AI370" i="6"/>
  <c r="AJ370" i="6" s="1"/>
  <c r="AK370" i="6" s="1"/>
  <c r="AI371" i="6"/>
  <c r="AJ371" i="6" s="1"/>
  <c r="AK371" i="6" s="1"/>
  <c r="AI372" i="6"/>
  <c r="AJ372" i="6" s="1"/>
  <c r="AK372" i="6" s="1"/>
  <c r="AI373" i="6"/>
  <c r="AJ373" i="6" s="1"/>
  <c r="AK373" i="6" s="1"/>
  <c r="AI374" i="6"/>
  <c r="AJ374" i="6" s="1"/>
  <c r="AK374" i="6" s="1"/>
  <c r="AI375" i="6"/>
  <c r="AJ375" i="6" s="1"/>
  <c r="AK375" i="6" s="1"/>
  <c r="AI376" i="6"/>
  <c r="AJ376" i="6" s="1"/>
  <c r="AK376" i="6" s="1"/>
  <c r="AI377" i="6"/>
  <c r="AJ377" i="6" s="1"/>
  <c r="AK377" i="6" s="1"/>
  <c r="AI378" i="6"/>
  <c r="AJ378" i="6" s="1"/>
  <c r="AK378" i="6" s="1"/>
  <c r="AI379" i="6"/>
  <c r="AJ379" i="6" s="1"/>
  <c r="AK379" i="6" s="1"/>
  <c r="AI380" i="6"/>
  <c r="AJ380" i="6" s="1"/>
  <c r="AK380" i="6" s="1"/>
  <c r="AI381" i="6"/>
  <c r="AJ381" i="6" s="1"/>
  <c r="AK381" i="6" s="1"/>
  <c r="AI382" i="6"/>
  <c r="AJ382" i="6" s="1"/>
  <c r="AK382" i="6" s="1"/>
  <c r="AI383" i="6"/>
  <c r="AJ383" i="6" s="1"/>
  <c r="AK383" i="6" s="1"/>
  <c r="AI384" i="6"/>
  <c r="AJ384" i="6" s="1"/>
  <c r="AK384" i="6" s="1"/>
  <c r="AI385" i="6"/>
  <c r="AJ385" i="6" s="1"/>
  <c r="AK385" i="6" s="1"/>
  <c r="AI386" i="6"/>
  <c r="AJ386" i="6" s="1"/>
  <c r="AK386" i="6" s="1"/>
  <c r="AI387" i="6"/>
  <c r="AJ387" i="6" s="1"/>
  <c r="AK387" i="6" s="1"/>
  <c r="AI388" i="6"/>
  <c r="AJ388" i="6" s="1"/>
  <c r="AK388" i="6" s="1"/>
  <c r="AI389" i="6"/>
  <c r="AJ389" i="6" s="1"/>
  <c r="AK389" i="6" s="1"/>
  <c r="AI390" i="6"/>
  <c r="AJ390" i="6" s="1"/>
  <c r="AK390" i="6" s="1"/>
  <c r="AI391" i="6"/>
  <c r="AJ391" i="6" s="1"/>
  <c r="AK391" i="6" s="1"/>
  <c r="AI392" i="6"/>
  <c r="AJ392" i="6" s="1"/>
  <c r="AK392" i="6" s="1"/>
  <c r="AI393" i="6"/>
  <c r="AJ393" i="6" s="1"/>
  <c r="AK393" i="6" s="1"/>
  <c r="AI394" i="6"/>
  <c r="AJ394" i="6" s="1"/>
  <c r="AK394" i="6" s="1"/>
  <c r="AI395" i="6"/>
  <c r="AJ395" i="6" s="1"/>
  <c r="AK395" i="6" s="1"/>
  <c r="AI396" i="6"/>
  <c r="AI397" i="6"/>
  <c r="AJ397" i="6" s="1"/>
  <c r="AK397" i="6" s="1"/>
  <c r="AI398" i="6"/>
  <c r="AJ398" i="6" s="1"/>
  <c r="AK398" i="6" s="1"/>
  <c r="AI399" i="6"/>
  <c r="AJ399" i="6" s="1"/>
  <c r="AK399" i="6" s="1"/>
  <c r="AI400" i="6"/>
  <c r="AJ400" i="6" s="1"/>
  <c r="AK400" i="6" s="1"/>
  <c r="AI401" i="6"/>
  <c r="AJ401" i="6" s="1"/>
  <c r="AK401" i="6" s="1"/>
  <c r="AI402" i="6"/>
  <c r="AJ402" i="6" s="1"/>
  <c r="AK402" i="6" s="1"/>
  <c r="AI403" i="6"/>
  <c r="AJ403" i="6" s="1"/>
  <c r="AK403" i="6" s="1"/>
  <c r="AI404" i="6"/>
  <c r="AJ404" i="6" s="1"/>
  <c r="AK404" i="6" s="1"/>
  <c r="AI405" i="6"/>
  <c r="AJ405" i="6" s="1"/>
  <c r="AK405" i="6" s="1"/>
  <c r="AI406" i="6"/>
  <c r="AJ406" i="6" s="1"/>
  <c r="AK406" i="6" s="1"/>
  <c r="AI407" i="6"/>
  <c r="AJ407" i="6" s="1"/>
  <c r="AK407" i="6" s="1"/>
  <c r="AI408" i="6"/>
  <c r="AI409" i="6"/>
  <c r="AJ409" i="6" s="1"/>
  <c r="AK409" i="6" s="1"/>
  <c r="AI410" i="6"/>
  <c r="AJ410" i="6" s="1"/>
  <c r="AK410" i="6" s="1"/>
  <c r="AI411" i="6"/>
  <c r="AJ411" i="6" s="1"/>
  <c r="AK411" i="6" s="1"/>
  <c r="AI412" i="6"/>
  <c r="AJ412" i="6" s="1"/>
  <c r="AK412" i="6" s="1"/>
  <c r="AI413" i="6"/>
  <c r="AJ413" i="6" s="1"/>
  <c r="AK413" i="6" s="1"/>
  <c r="AI414" i="6"/>
  <c r="AJ414" i="6" s="1"/>
  <c r="AK414" i="6" s="1"/>
  <c r="AI415" i="6"/>
  <c r="AJ415" i="6" s="1"/>
  <c r="AK415" i="6" s="1"/>
  <c r="AI416" i="6"/>
  <c r="AJ416" i="6" s="1"/>
  <c r="AK416" i="6" s="1"/>
  <c r="AI417" i="6"/>
  <c r="AJ417" i="6" s="1"/>
  <c r="AK417" i="6" s="1"/>
  <c r="AI418" i="6"/>
  <c r="AJ418" i="6" s="1"/>
  <c r="AK418" i="6" s="1"/>
  <c r="AI419" i="6"/>
  <c r="AJ419" i="6" s="1"/>
  <c r="AK419" i="6" s="1"/>
  <c r="AI420" i="6"/>
  <c r="AJ420" i="6" s="1"/>
  <c r="AK420" i="6" s="1"/>
  <c r="AI421" i="6"/>
  <c r="AJ421" i="6" s="1"/>
  <c r="AK421" i="6" s="1"/>
  <c r="AI422" i="6"/>
  <c r="AJ422" i="6" s="1"/>
  <c r="AK422" i="6" s="1"/>
  <c r="AI423" i="6"/>
  <c r="AJ423" i="6" s="1"/>
  <c r="AK423" i="6" s="1"/>
  <c r="AI424" i="6"/>
  <c r="AJ424" i="6" s="1"/>
  <c r="AK424" i="6" s="1"/>
  <c r="AI425" i="6"/>
  <c r="AJ425" i="6" s="1"/>
  <c r="AK425" i="6" s="1"/>
  <c r="AI426" i="6"/>
  <c r="AJ426" i="6" s="1"/>
  <c r="AK426" i="6" s="1"/>
  <c r="AI427" i="6"/>
  <c r="AJ427" i="6" s="1"/>
  <c r="AK427" i="6" s="1"/>
  <c r="AI428" i="6"/>
  <c r="AJ428" i="6" s="1"/>
  <c r="AK428" i="6" s="1"/>
  <c r="AI429" i="6"/>
  <c r="AJ429" i="6" s="1"/>
  <c r="AK429" i="6" s="1"/>
  <c r="AI430" i="6"/>
  <c r="AJ430" i="6" s="1"/>
  <c r="AK430" i="6" s="1"/>
  <c r="AI431" i="6"/>
  <c r="AJ431" i="6" s="1"/>
  <c r="AK431" i="6" s="1"/>
  <c r="AI432" i="6"/>
  <c r="AJ432" i="6" s="1"/>
  <c r="AK432" i="6" s="1"/>
  <c r="AI433" i="6"/>
  <c r="AJ433" i="6" s="1"/>
  <c r="AK433" i="6" s="1"/>
  <c r="AI434" i="6"/>
  <c r="AJ434" i="6" s="1"/>
  <c r="AK434" i="6" s="1"/>
  <c r="AI435" i="6"/>
  <c r="AJ435" i="6" s="1"/>
  <c r="AK435" i="6" s="1"/>
  <c r="AI436" i="6"/>
  <c r="AJ436" i="6" s="1"/>
  <c r="AK436" i="6" s="1"/>
  <c r="AI437" i="6"/>
  <c r="AJ437" i="6" s="1"/>
  <c r="AK437" i="6" s="1"/>
  <c r="AI438" i="6"/>
  <c r="AJ438" i="6" s="1"/>
  <c r="AK438" i="6" s="1"/>
  <c r="AI439" i="6"/>
  <c r="AJ439" i="6" s="1"/>
  <c r="AK439" i="6" s="1"/>
  <c r="AI440" i="6"/>
  <c r="AJ440" i="6" s="1"/>
  <c r="AK440" i="6" s="1"/>
  <c r="AI441" i="6"/>
  <c r="AJ441" i="6" s="1"/>
  <c r="AK441" i="6" s="1"/>
  <c r="AI442" i="6"/>
  <c r="AJ442" i="6" s="1"/>
  <c r="AK442" i="6" s="1"/>
  <c r="AI443" i="6"/>
  <c r="AJ443" i="6" s="1"/>
  <c r="AK443" i="6" s="1"/>
  <c r="AI444" i="6"/>
  <c r="AI445" i="6"/>
  <c r="AJ445" i="6" s="1"/>
  <c r="AK445" i="6" s="1"/>
  <c r="AI446" i="6"/>
  <c r="AJ446" i="6" s="1"/>
  <c r="AK446" i="6" s="1"/>
  <c r="AI447" i="6"/>
  <c r="AJ447" i="6" s="1"/>
  <c r="AK447" i="6" s="1"/>
  <c r="AI448" i="6"/>
  <c r="AJ448" i="6" s="1"/>
  <c r="AK448" i="6" s="1"/>
  <c r="AI449" i="6"/>
  <c r="AJ449" i="6" s="1"/>
  <c r="AK449" i="6" s="1"/>
  <c r="AI450" i="6"/>
  <c r="AJ450" i="6" s="1"/>
  <c r="AK450" i="6" s="1"/>
  <c r="AI451" i="6"/>
  <c r="AJ451" i="6" s="1"/>
  <c r="AK451" i="6" s="1"/>
  <c r="AI452" i="6"/>
  <c r="AJ452" i="6" s="1"/>
  <c r="AK452" i="6" s="1"/>
  <c r="AI453" i="6"/>
  <c r="AJ453" i="6" s="1"/>
  <c r="AK453" i="6" s="1"/>
  <c r="AI454" i="6"/>
  <c r="AJ454" i="6" s="1"/>
  <c r="AK454" i="6" s="1"/>
  <c r="AI455" i="6"/>
  <c r="AJ455" i="6" s="1"/>
  <c r="AK455" i="6" s="1"/>
  <c r="AI456" i="6"/>
  <c r="AJ456" i="6" s="1"/>
  <c r="AK456" i="6" s="1"/>
  <c r="AI457" i="6"/>
  <c r="AJ457" i="6" s="1"/>
  <c r="AK457" i="6" s="1"/>
  <c r="AI458" i="6"/>
  <c r="AJ458" i="6" s="1"/>
  <c r="AK458" i="6" s="1"/>
  <c r="AI459" i="6"/>
  <c r="AJ459" i="6" s="1"/>
  <c r="AK459" i="6" s="1"/>
  <c r="AI460" i="6"/>
  <c r="AJ460" i="6" s="1"/>
  <c r="AK460" i="6" s="1"/>
  <c r="AI461" i="6"/>
  <c r="AJ461" i="6" s="1"/>
  <c r="AK461" i="6" s="1"/>
  <c r="AI462" i="6"/>
  <c r="AJ462" i="6" s="1"/>
  <c r="AK462" i="6" s="1"/>
  <c r="AI463" i="6"/>
  <c r="AJ463" i="6" s="1"/>
  <c r="AK463" i="6" s="1"/>
  <c r="AI464" i="6"/>
  <c r="AJ464" i="6" s="1"/>
  <c r="AK464" i="6" s="1"/>
  <c r="AI465" i="6"/>
  <c r="AJ465" i="6" s="1"/>
  <c r="AK465" i="6" s="1"/>
  <c r="AI466" i="6"/>
  <c r="AJ466" i="6" s="1"/>
  <c r="AK466" i="6" s="1"/>
  <c r="AI467" i="6"/>
  <c r="AJ467" i="6" s="1"/>
  <c r="AK467" i="6" s="1"/>
  <c r="AI468" i="6"/>
  <c r="AJ468" i="6" s="1"/>
  <c r="AK468" i="6" s="1"/>
  <c r="AI469" i="6"/>
  <c r="AJ469" i="6" s="1"/>
  <c r="AK469" i="6" s="1"/>
  <c r="AI470" i="6"/>
  <c r="AJ470" i="6" s="1"/>
  <c r="AK470" i="6" s="1"/>
  <c r="AI471" i="6"/>
  <c r="AJ471" i="6" s="1"/>
  <c r="AK471" i="6" s="1"/>
  <c r="AI472" i="6"/>
  <c r="AI473" i="6"/>
  <c r="AJ473" i="6" s="1"/>
  <c r="AK473" i="6" s="1"/>
  <c r="AI474" i="6"/>
  <c r="AJ474" i="6" s="1"/>
  <c r="AK474" i="6" s="1"/>
  <c r="AI475" i="6"/>
  <c r="AJ475" i="6" s="1"/>
  <c r="AK475" i="6" s="1"/>
  <c r="AI476" i="6"/>
  <c r="AJ476" i="6" s="1"/>
  <c r="AK476" i="6" s="1"/>
  <c r="AI477" i="6"/>
  <c r="AJ477" i="6" s="1"/>
  <c r="AK477" i="6" s="1"/>
  <c r="AI478" i="6"/>
  <c r="AJ478" i="6" s="1"/>
  <c r="AK478" i="6" s="1"/>
  <c r="AI479" i="6"/>
  <c r="AJ479" i="6" s="1"/>
  <c r="AK479" i="6" s="1"/>
  <c r="AI480" i="6"/>
  <c r="AJ480" i="6" s="1"/>
  <c r="AK480" i="6" s="1"/>
  <c r="AI481" i="6"/>
  <c r="AJ481" i="6" s="1"/>
  <c r="AK481" i="6" s="1"/>
  <c r="AI482" i="6"/>
  <c r="AJ482" i="6" s="1"/>
  <c r="AK482" i="6" s="1"/>
  <c r="AI483" i="6"/>
  <c r="AJ483" i="6" s="1"/>
  <c r="AK483" i="6" s="1"/>
  <c r="AI484" i="6"/>
  <c r="AJ484" i="6" s="1"/>
  <c r="AK484" i="6" s="1"/>
  <c r="AI485" i="6"/>
  <c r="AJ485" i="6" s="1"/>
  <c r="AK485" i="6" s="1"/>
  <c r="AI486" i="6"/>
  <c r="AJ486" i="6" s="1"/>
  <c r="AK486" i="6" s="1"/>
  <c r="AI487" i="6"/>
  <c r="AJ487" i="6" s="1"/>
  <c r="AK487" i="6" s="1"/>
  <c r="AI488" i="6"/>
  <c r="AJ488" i="6" s="1"/>
  <c r="AK488" i="6" s="1"/>
  <c r="AI489" i="6"/>
  <c r="AJ489" i="6" s="1"/>
  <c r="AK489" i="6" s="1"/>
  <c r="AI490" i="6"/>
  <c r="AJ490" i="6" s="1"/>
  <c r="AK490" i="6" s="1"/>
  <c r="AI491" i="6"/>
  <c r="AJ491" i="6" s="1"/>
  <c r="AK491" i="6" s="1"/>
  <c r="AI492" i="6"/>
  <c r="AJ492" i="6" s="1"/>
  <c r="AK492" i="6" s="1"/>
  <c r="AI493" i="6"/>
  <c r="AJ493" i="6" s="1"/>
  <c r="AK493" i="6" s="1"/>
  <c r="AI494" i="6"/>
  <c r="AJ494" i="6" s="1"/>
  <c r="AK494" i="6" s="1"/>
  <c r="AI495" i="6"/>
  <c r="AJ495" i="6" s="1"/>
  <c r="AK495" i="6" s="1"/>
  <c r="AI496" i="6"/>
  <c r="AJ496" i="6" s="1"/>
  <c r="AK496" i="6" s="1"/>
  <c r="AI497" i="6"/>
  <c r="AJ497" i="6" s="1"/>
  <c r="AK497" i="6" s="1"/>
  <c r="AI498" i="6"/>
  <c r="AJ498" i="6" s="1"/>
  <c r="AK498" i="6" s="1"/>
  <c r="AI499" i="6"/>
  <c r="AJ499" i="6" s="1"/>
  <c r="AK499" i="6" s="1"/>
  <c r="AI500" i="6"/>
  <c r="AJ500" i="6" s="1"/>
  <c r="AK500" i="6" s="1"/>
  <c r="AI501" i="6"/>
  <c r="AJ501" i="6" s="1"/>
  <c r="AK501" i="6" s="1"/>
  <c r="AI502" i="6"/>
  <c r="AJ502" i="6" s="1"/>
  <c r="AK502" i="6" s="1"/>
  <c r="AI503" i="6"/>
  <c r="AJ503" i="6" s="1"/>
  <c r="AK503" i="6" s="1"/>
  <c r="AI504" i="6"/>
  <c r="AJ504" i="6" s="1"/>
  <c r="AK504" i="6" s="1"/>
  <c r="AI505" i="6"/>
  <c r="AJ505" i="6" s="1"/>
  <c r="AK505" i="6" s="1"/>
  <c r="AI506" i="6"/>
  <c r="AJ506" i="6" s="1"/>
  <c r="AK506" i="6" s="1"/>
  <c r="AI507" i="6"/>
  <c r="AJ507" i="6" s="1"/>
  <c r="AK507" i="6" s="1"/>
  <c r="AI508" i="6"/>
  <c r="AI509" i="6"/>
  <c r="AJ509" i="6" s="1"/>
  <c r="AK509" i="6" s="1"/>
  <c r="AI510" i="6"/>
  <c r="AJ510" i="6" s="1"/>
  <c r="AK510" i="6" s="1"/>
  <c r="AI511" i="6"/>
  <c r="AJ511" i="6" s="1"/>
  <c r="AK511" i="6" s="1"/>
  <c r="AI512" i="6"/>
  <c r="AJ512" i="6" s="1"/>
  <c r="AK512" i="6" s="1"/>
  <c r="AI513" i="6"/>
  <c r="AJ513" i="6" s="1"/>
  <c r="AK513" i="6" s="1"/>
  <c r="AI514" i="6"/>
  <c r="AJ514" i="6" s="1"/>
  <c r="AK514" i="6" s="1"/>
  <c r="AI515" i="6"/>
  <c r="AJ515" i="6" s="1"/>
  <c r="AK515" i="6" s="1"/>
  <c r="AI516" i="6"/>
  <c r="AJ516" i="6" s="1"/>
  <c r="AK516" i="6" s="1"/>
  <c r="AI517" i="6"/>
  <c r="AJ517" i="6" s="1"/>
  <c r="AK517" i="6" s="1"/>
  <c r="AI518" i="6"/>
  <c r="AJ518" i="6" s="1"/>
  <c r="AK518" i="6" s="1"/>
  <c r="AI519" i="6"/>
  <c r="AJ519" i="6" s="1"/>
  <c r="AK519" i="6" s="1"/>
  <c r="AI520" i="6"/>
  <c r="AJ520" i="6" s="1"/>
  <c r="AK520" i="6" s="1"/>
  <c r="AI521" i="6"/>
  <c r="AJ521" i="6" s="1"/>
  <c r="AK521" i="6" s="1"/>
  <c r="AI522" i="6"/>
  <c r="AJ522" i="6" s="1"/>
  <c r="AK522" i="6" s="1"/>
  <c r="AI523" i="6"/>
  <c r="AJ523" i="6" s="1"/>
  <c r="AK523" i="6" s="1"/>
  <c r="AI524" i="6"/>
  <c r="AJ524" i="6" s="1"/>
  <c r="AK524" i="6" s="1"/>
  <c r="AI525" i="6"/>
  <c r="AJ525" i="6" s="1"/>
  <c r="AK525" i="6" s="1"/>
  <c r="AI526" i="6"/>
  <c r="AJ526" i="6" s="1"/>
  <c r="AK526" i="6" s="1"/>
  <c r="AI527" i="6"/>
  <c r="AJ527" i="6" s="1"/>
  <c r="AK527" i="6" s="1"/>
  <c r="AI528" i="6"/>
  <c r="AJ528" i="6" s="1"/>
  <c r="AK528" i="6" s="1"/>
  <c r="AI529" i="6"/>
  <c r="AJ529" i="6" s="1"/>
  <c r="AK529" i="6" s="1"/>
  <c r="AI530" i="6"/>
  <c r="AJ530" i="6" s="1"/>
  <c r="AK530" i="6" s="1"/>
  <c r="AI531" i="6"/>
  <c r="AJ531" i="6" s="1"/>
  <c r="AK531" i="6" s="1"/>
  <c r="AI532" i="6"/>
  <c r="AJ532" i="6" s="1"/>
  <c r="AK532" i="6" s="1"/>
  <c r="AI533" i="6"/>
  <c r="AJ533" i="6" s="1"/>
  <c r="AK533" i="6" s="1"/>
  <c r="AI534" i="6"/>
  <c r="AJ534" i="6" s="1"/>
  <c r="AK534" i="6" s="1"/>
  <c r="AI535" i="6"/>
  <c r="AJ535" i="6" s="1"/>
  <c r="AK535" i="6" s="1"/>
  <c r="AI536" i="6"/>
  <c r="AJ536" i="6" s="1"/>
  <c r="AK536" i="6" s="1"/>
  <c r="AI537" i="6"/>
  <c r="AJ537" i="6" s="1"/>
  <c r="AK537" i="6" s="1"/>
  <c r="AI538" i="6"/>
  <c r="AJ538" i="6" s="1"/>
  <c r="AK538" i="6" s="1"/>
  <c r="AI539" i="6"/>
  <c r="AJ539" i="6" s="1"/>
  <c r="AK539" i="6" s="1"/>
  <c r="AI540" i="6"/>
  <c r="AI541" i="6"/>
  <c r="AJ541" i="6" s="1"/>
  <c r="AK541" i="6" s="1"/>
  <c r="AI542" i="6"/>
  <c r="AJ542" i="6" s="1"/>
  <c r="AK542" i="6" s="1"/>
  <c r="AI543" i="6"/>
  <c r="AJ543" i="6" s="1"/>
  <c r="AK543" i="6" s="1"/>
  <c r="AI544" i="6"/>
  <c r="AJ544" i="6" s="1"/>
  <c r="AK544" i="6" s="1"/>
  <c r="AI545" i="6"/>
  <c r="AJ545" i="6" s="1"/>
  <c r="AK545" i="6" s="1"/>
  <c r="AI546" i="6"/>
  <c r="AJ546" i="6" s="1"/>
  <c r="AK546" i="6" s="1"/>
  <c r="AI547" i="6"/>
  <c r="AJ547" i="6" s="1"/>
  <c r="AK547" i="6" s="1"/>
  <c r="AI548" i="6"/>
  <c r="AJ548" i="6" s="1"/>
  <c r="AK548" i="6" s="1"/>
  <c r="AI549" i="6"/>
  <c r="AJ549" i="6" s="1"/>
  <c r="AK549" i="6" s="1"/>
  <c r="AI550" i="6"/>
  <c r="AJ550" i="6" s="1"/>
  <c r="AK550" i="6" s="1"/>
  <c r="AI551" i="6"/>
  <c r="AJ551" i="6" s="1"/>
  <c r="AK551" i="6" s="1"/>
  <c r="AI552" i="6"/>
  <c r="AJ552" i="6" s="1"/>
  <c r="AK552" i="6" s="1"/>
  <c r="AI553" i="6"/>
  <c r="AJ553" i="6" s="1"/>
  <c r="AK553" i="6" s="1"/>
  <c r="AI554" i="6"/>
  <c r="AJ554" i="6" s="1"/>
  <c r="AK554" i="6" s="1"/>
  <c r="AI555" i="6"/>
  <c r="AJ555" i="6" s="1"/>
  <c r="AK555" i="6" s="1"/>
  <c r="AI556" i="6"/>
  <c r="AJ556" i="6" s="1"/>
  <c r="AK556" i="6" s="1"/>
  <c r="AI557" i="6"/>
  <c r="AJ557" i="6" s="1"/>
  <c r="AK557" i="6" s="1"/>
  <c r="AI558" i="6"/>
  <c r="AJ558" i="6" s="1"/>
  <c r="AK558" i="6" s="1"/>
  <c r="AI559" i="6"/>
  <c r="AJ559" i="6" s="1"/>
  <c r="AK559" i="6" s="1"/>
  <c r="AI560" i="6"/>
  <c r="AJ560" i="6" s="1"/>
  <c r="AK560" i="6" s="1"/>
  <c r="AI561" i="6"/>
  <c r="AJ561" i="6" s="1"/>
  <c r="AK561" i="6" s="1"/>
  <c r="AI562" i="6"/>
  <c r="AJ562" i="6" s="1"/>
  <c r="AK562" i="6" s="1"/>
  <c r="AI563" i="6"/>
  <c r="AJ563" i="6" s="1"/>
  <c r="AK563" i="6" s="1"/>
  <c r="AI564" i="6"/>
  <c r="AJ564" i="6" s="1"/>
  <c r="AK564" i="6" s="1"/>
  <c r="AI565" i="6"/>
  <c r="AJ565" i="6" s="1"/>
  <c r="AK565" i="6" s="1"/>
  <c r="AI566" i="6"/>
  <c r="AJ566" i="6" s="1"/>
  <c r="AK566" i="6" s="1"/>
  <c r="AI567" i="6"/>
  <c r="AJ567" i="6" s="1"/>
  <c r="AK567" i="6" s="1"/>
  <c r="AI568" i="6"/>
  <c r="AJ568" i="6" s="1"/>
  <c r="AK568" i="6" s="1"/>
  <c r="AI569" i="6"/>
  <c r="AJ569" i="6" s="1"/>
  <c r="AK569" i="6" s="1"/>
  <c r="AI570" i="6"/>
  <c r="AJ570" i="6" s="1"/>
  <c r="AK570" i="6" s="1"/>
  <c r="AI571" i="6"/>
  <c r="AJ571" i="6" s="1"/>
  <c r="AK571" i="6" s="1"/>
  <c r="AI572" i="6"/>
  <c r="AJ572" i="6" s="1"/>
  <c r="AK572" i="6" s="1"/>
  <c r="AI573" i="6"/>
  <c r="AJ573" i="6" s="1"/>
  <c r="AK573" i="6" s="1"/>
  <c r="AI574" i="6"/>
  <c r="AJ574" i="6" s="1"/>
  <c r="AK574" i="6" s="1"/>
  <c r="AI575" i="6"/>
  <c r="AJ575" i="6" s="1"/>
  <c r="AK575" i="6" s="1"/>
  <c r="AI576" i="6"/>
  <c r="AJ576" i="6" s="1"/>
  <c r="AK576" i="6" s="1"/>
  <c r="AI577" i="6"/>
  <c r="AJ577" i="6" s="1"/>
  <c r="AK577" i="6" s="1"/>
  <c r="AI578" i="6"/>
  <c r="AJ578" i="6" s="1"/>
  <c r="AK578" i="6" s="1"/>
  <c r="AI579" i="6"/>
  <c r="AJ579" i="6" s="1"/>
  <c r="AK579" i="6" s="1"/>
  <c r="AI580" i="6"/>
  <c r="AJ580" i="6" s="1"/>
  <c r="AK580" i="6" s="1"/>
  <c r="AI581" i="6"/>
  <c r="AJ581" i="6" s="1"/>
  <c r="AK581" i="6" s="1"/>
  <c r="AI582" i="6"/>
  <c r="AJ582" i="6" s="1"/>
  <c r="AK582" i="6" s="1"/>
  <c r="AI583" i="6"/>
  <c r="AJ583" i="6" s="1"/>
  <c r="AK583" i="6" s="1"/>
  <c r="AI584" i="6"/>
  <c r="AJ584" i="6" s="1"/>
  <c r="AK584" i="6" s="1"/>
  <c r="AI585" i="6"/>
  <c r="AJ585" i="6" s="1"/>
  <c r="AK585" i="6" s="1"/>
  <c r="AI586" i="6"/>
  <c r="AJ586" i="6" s="1"/>
  <c r="AK586" i="6" s="1"/>
  <c r="AI587" i="6"/>
  <c r="AJ587" i="6" s="1"/>
  <c r="AK587" i="6" s="1"/>
  <c r="AI588" i="6"/>
  <c r="AJ588" i="6" s="1"/>
  <c r="AK588" i="6" s="1"/>
  <c r="AI589" i="6"/>
  <c r="AJ589" i="6" s="1"/>
  <c r="AK589" i="6" s="1"/>
  <c r="AI590" i="6"/>
  <c r="AJ590" i="6" s="1"/>
  <c r="AK590" i="6" s="1"/>
  <c r="AI591" i="6"/>
  <c r="AJ591" i="6" s="1"/>
  <c r="AK591" i="6" s="1"/>
  <c r="AI592" i="6"/>
  <c r="AJ592" i="6" s="1"/>
  <c r="AK592" i="6" s="1"/>
  <c r="AI593" i="6"/>
  <c r="AJ593" i="6" s="1"/>
  <c r="AK593" i="6" s="1"/>
  <c r="AI594" i="6"/>
  <c r="AJ594" i="6" s="1"/>
  <c r="AK594" i="6" s="1"/>
  <c r="AI595" i="6"/>
  <c r="AJ595" i="6" s="1"/>
  <c r="AK595" i="6" s="1"/>
  <c r="AI596" i="6"/>
  <c r="AJ596" i="6" s="1"/>
  <c r="AK596" i="6" s="1"/>
  <c r="AI597" i="6"/>
  <c r="AJ597" i="6" s="1"/>
  <c r="AK597" i="6" s="1"/>
  <c r="AI598" i="6"/>
  <c r="AJ598" i="6" s="1"/>
  <c r="AK598" i="6" s="1"/>
  <c r="AI599" i="6"/>
  <c r="AJ599" i="6" s="1"/>
  <c r="AK599" i="6" s="1"/>
  <c r="AI600" i="6"/>
  <c r="AJ600" i="6" s="1"/>
  <c r="AK600" i="6" s="1"/>
  <c r="AI601" i="6"/>
  <c r="AJ601" i="6" s="1"/>
  <c r="AK601" i="6" s="1"/>
  <c r="AI602" i="6"/>
  <c r="AJ602" i="6" s="1"/>
  <c r="AK602" i="6" s="1"/>
  <c r="AI603" i="6"/>
  <c r="AJ603" i="6" s="1"/>
  <c r="AK603" i="6" s="1"/>
  <c r="AI604" i="6"/>
  <c r="AJ604" i="6" s="1"/>
  <c r="AK604" i="6" s="1"/>
  <c r="AI605" i="6"/>
  <c r="AJ605" i="6" s="1"/>
  <c r="AK605" i="6" s="1"/>
  <c r="AI606" i="6"/>
  <c r="AJ606" i="6" s="1"/>
  <c r="AK606" i="6" s="1"/>
  <c r="AI607" i="6"/>
  <c r="AJ607" i="6" s="1"/>
  <c r="AK607" i="6" s="1"/>
  <c r="AI608" i="6"/>
  <c r="AJ608" i="6" s="1"/>
  <c r="AK608" i="6" s="1"/>
  <c r="AI609" i="6"/>
  <c r="AJ609" i="6" s="1"/>
  <c r="AK609" i="6" s="1"/>
  <c r="AI610" i="6"/>
  <c r="AJ610" i="6" s="1"/>
  <c r="AK610" i="6" s="1"/>
  <c r="AI611" i="6"/>
  <c r="AJ611" i="6" s="1"/>
  <c r="AK611" i="6" s="1"/>
  <c r="AI612" i="6"/>
  <c r="AJ612" i="6" s="1"/>
  <c r="AK612" i="6" s="1"/>
  <c r="AI613" i="6"/>
  <c r="AJ613" i="6" s="1"/>
  <c r="AK613" i="6" s="1"/>
  <c r="AI614" i="6"/>
  <c r="AJ614" i="6" s="1"/>
  <c r="AK614" i="6" s="1"/>
  <c r="AI615" i="6"/>
  <c r="AJ615" i="6" s="1"/>
  <c r="AK615" i="6" s="1"/>
  <c r="AI616" i="6"/>
  <c r="AJ616" i="6" s="1"/>
  <c r="AK616" i="6" s="1"/>
  <c r="AI617" i="6"/>
  <c r="AJ617" i="6" s="1"/>
  <c r="AK617" i="6" s="1"/>
  <c r="AI618" i="6"/>
  <c r="AJ618" i="6" s="1"/>
  <c r="AK618" i="6" s="1"/>
  <c r="AI619" i="6"/>
  <c r="AJ619" i="6" s="1"/>
  <c r="AK619" i="6" s="1"/>
  <c r="AI620" i="6"/>
  <c r="AJ620" i="6" s="1"/>
  <c r="AK620" i="6" s="1"/>
  <c r="AI621" i="6"/>
  <c r="AJ621" i="6" s="1"/>
  <c r="AK621" i="6" s="1"/>
  <c r="AI622" i="6"/>
  <c r="AJ622" i="6" s="1"/>
  <c r="AK622" i="6" s="1"/>
  <c r="AI623" i="6"/>
  <c r="AJ623" i="6" s="1"/>
  <c r="AK623" i="6" s="1"/>
  <c r="AI624" i="6"/>
  <c r="AJ624" i="6" s="1"/>
  <c r="AK624" i="6" s="1"/>
  <c r="AI625" i="6"/>
  <c r="AJ625" i="6" s="1"/>
  <c r="AK625" i="6" s="1"/>
  <c r="AI626" i="6"/>
  <c r="AJ626" i="6" s="1"/>
  <c r="AK626" i="6" s="1"/>
  <c r="AI627" i="6"/>
  <c r="AJ627" i="6" s="1"/>
  <c r="AK627" i="6" s="1"/>
  <c r="AI628" i="6"/>
  <c r="AJ628" i="6" s="1"/>
  <c r="AK628" i="6" s="1"/>
  <c r="AI629" i="6"/>
  <c r="AJ629" i="6" s="1"/>
  <c r="AK629" i="6" s="1"/>
  <c r="AI630" i="6"/>
  <c r="AJ630" i="6" s="1"/>
  <c r="AK630" i="6" s="1"/>
  <c r="AI631" i="6"/>
  <c r="AJ631" i="6" s="1"/>
  <c r="AK631" i="6" s="1"/>
  <c r="AI632" i="6"/>
  <c r="AJ632" i="6" s="1"/>
  <c r="AK632" i="6" s="1"/>
  <c r="AI633" i="6"/>
  <c r="AJ633" i="6" s="1"/>
  <c r="AK633" i="6" s="1"/>
  <c r="AI634" i="6"/>
  <c r="AJ634" i="6" s="1"/>
  <c r="AK634" i="6" s="1"/>
  <c r="AI635" i="6"/>
  <c r="AJ635" i="6" s="1"/>
  <c r="AK635" i="6" s="1"/>
  <c r="AI636" i="6"/>
  <c r="AI637" i="6"/>
  <c r="AJ637" i="6" s="1"/>
  <c r="AK637" i="6" s="1"/>
  <c r="AI638" i="6"/>
  <c r="AJ638" i="6" s="1"/>
  <c r="AK638" i="6" s="1"/>
  <c r="AI639" i="6"/>
  <c r="AJ639" i="6" s="1"/>
  <c r="AK639" i="6" s="1"/>
  <c r="AI640" i="6"/>
  <c r="AJ640" i="6" s="1"/>
  <c r="AK640" i="6" s="1"/>
  <c r="AI641" i="6"/>
  <c r="AJ641" i="6" s="1"/>
  <c r="AK641" i="6" s="1"/>
  <c r="AI642" i="6"/>
  <c r="AJ642" i="6" s="1"/>
  <c r="AK642" i="6" s="1"/>
  <c r="AI643" i="6"/>
  <c r="AJ643" i="6" s="1"/>
  <c r="AK643" i="6" s="1"/>
  <c r="AI644" i="6"/>
  <c r="AJ644" i="6" s="1"/>
  <c r="AK644" i="6" s="1"/>
  <c r="AI645" i="6"/>
  <c r="AJ645" i="6" s="1"/>
  <c r="AK645" i="6" s="1"/>
  <c r="AI646" i="6"/>
  <c r="AJ646" i="6" s="1"/>
  <c r="AK646" i="6" s="1"/>
  <c r="AI647" i="6"/>
  <c r="AJ647" i="6" s="1"/>
  <c r="AK647" i="6" s="1"/>
  <c r="AI648" i="6"/>
  <c r="AJ648" i="6" s="1"/>
  <c r="AK648" i="6" s="1"/>
  <c r="AI649" i="6"/>
  <c r="AJ649" i="6" s="1"/>
  <c r="AK649" i="6" s="1"/>
  <c r="AI650" i="6"/>
  <c r="AJ650" i="6" s="1"/>
  <c r="AK650" i="6" s="1"/>
  <c r="AI651" i="6"/>
  <c r="AJ651" i="6" s="1"/>
  <c r="AK651" i="6" s="1"/>
  <c r="AI652" i="6"/>
  <c r="AJ652" i="6" s="1"/>
  <c r="AK652" i="6" s="1"/>
  <c r="AI653" i="6"/>
  <c r="AJ653" i="6" s="1"/>
  <c r="AK653" i="6" s="1"/>
  <c r="AI654" i="6"/>
  <c r="AJ654" i="6" s="1"/>
  <c r="AK654" i="6" s="1"/>
  <c r="AI655" i="6"/>
  <c r="AJ655" i="6" s="1"/>
  <c r="AK655" i="6" s="1"/>
  <c r="AI656" i="6"/>
  <c r="AJ656" i="6" s="1"/>
  <c r="AK656" i="6" s="1"/>
  <c r="AI657" i="6"/>
  <c r="AJ657" i="6" s="1"/>
  <c r="AK657" i="6" s="1"/>
  <c r="AI658" i="6"/>
  <c r="AJ658" i="6" s="1"/>
  <c r="AK658" i="6" s="1"/>
  <c r="AI659" i="6"/>
  <c r="AJ659" i="6" s="1"/>
  <c r="AK659" i="6" s="1"/>
  <c r="AI660" i="6"/>
  <c r="AJ660" i="6" s="1"/>
  <c r="AK660" i="6" s="1"/>
  <c r="AI661" i="6"/>
  <c r="AJ661" i="6" s="1"/>
  <c r="AK661" i="6" s="1"/>
  <c r="AI662" i="6"/>
  <c r="AJ662" i="6" s="1"/>
  <c r="AK662" i="6" s="1"/>
  <c r="AI663" i="6"/>
  <c r="AJ663" i="6" s="1"/>
  <c r="AK663" i="6" s="1"/>
  <c r="AI664" i="6"/>
  <c r="AJ664" i="6" s="1"/>
  <c r="AK664" i="6" s="1"/>
  <c r="AI665" i="6"/>
  <c r="AJ665" i="6" s="1"/>
  <c r="AK665" i="6" s="1"/>
  <c r="AI666" i="6"/>
  <c r="AJ666" i="6" s="1"/>
  <c r="AK666" i="6" s="1"/>
  <c r="AI667" i="6"/>
  <c r="AJ667" i="6" s="1"/>
  <c r="AK667" i="6" s="1"/>
  <c r="AI668" i="6"/>
  <c r="AI669" i="6"/>
  <c r="AJ669" i="6" s="1"/>
  <c r="AK669" i="6" s="1"/>
  <c r="AI670" i="6"/>
  <c r="AJ670" i="6" s="1"/>
  <c r="AK670" i="6" s="1"/>
  <c r="AI671" i="6"/>
  <c r="AJ671" i="6" s="1"/>
  <c r="AK671" i="6" s="1"/>
  <c r="AI672" i="6"/>
  <c r="AJ672" i="6" s="1"/>
  <c r="AK672" i="6" s="1"/>
  <c r="AI673" i="6"/>
  <c r="AJ673" i="6" s="1"/>
  <c r="AK673" i="6" s="1"/>
  <c r="AI674" i="6"/>
  <c r="AJ674" i="6" s="1"/>
  <c r="AK674" i="6" s="1"/>
  <c r="AI675" i="6"/>
  <c r="AJ675" i="6" s="1"/>
  <c r="AK675" i="6" s="1"/>
  <c r="AI676" i="6"/>
  <c r="AJ676" i="6" s="1"/>
  <c r="AK676" i="6" s="1"/>
  <c r="AI677" i="6"/>
  <c r="AJ677" i="6" s="1"/>
  <c r="AK677" i="6" s="1"/>
  <c r="AI678" i="6"/>
  <c r="AJ678" i="6" s="1"/>
  <c r="AK678" i="6" s="1"/>
  <c r="AI679" i="6"/>
  <c r="AJ679" i="6" s="1"/>
  <c r="AK679" i="6" s="1"/>
  <c r="AI680" i="6"/>
  <c r="AJ680" i="6" s="1"/>
  <c r="AK680" i="6" s="1"/>
  <c r="AI681" i="6"/>
  <c r="AJ681" i="6" s="1"/>
  <c r="AK681" i="6" s="1"/>
  <c r="AI682" i="6"/>
  <c r="AJ682" i="6" s="1"/>
  <c r="AK682" i="6" s="1"/>
  <c r="AI683" i="6"/>
  <c r="AJ683" i="6" s="1"/>
  <c r="AK683" i="6" s="1"/>
  <c r="AI684" i="6"/>
  <c r="AJ684" i="6" s="1"/>
  <c r="AK684" i="6" s="1"/>
  <c r="AI685" i="6"/>
  <c r="AJ685" i="6" s="1"/>
  <c r="AK685" i="6" s="1"/>
  <c r="AI686" i="6"/>
  <c r="AJ686" i="6" s="1"/>
  <c r="AK686" i="6" s="1"/>
  <c r="AI687" i="6"/>
  <c r="AJ687" i="6" s="1"/>
  <c r="AK687" i="6" s="1"/>
  <c r="AI688" i="6"/>
  <c r="AJ688" i="6" s="1"/>
  <c r="AK688" i="6" s="1"/>
  <c r="AI689" i="6"/>
  <c r="AJ689" i="6" s="1"/>
  <c r="AK689" i="6" s="1"/>
  <c r="AI690" i="6"/>
  <c r="AJ690" i="6" s="1"/>
  <c r="AK690" i="6" s="1"/>
  <c r="AI691" i="6"/>
  <c r="AJ691" i="6" s="1"/>
  <c r="AK691" i="6" s="1"/>
  <c r="AI692" i="6"/>
  <c r="AJ692" i="6" s="1"/>
  <c r="AK692" i="6" s="1"/>
  <c r="AI693" i="6"/>
  <c r="AJ693" i="6" s="1"/>
  <c r="AK693" i="6" s="1"/>
  <c r="AI694" i="6"/>
  <c r="AJ694" i="6" s="1"/>
  <c r="AK694" i="6" s="1"/>
  <c r="AI695" i="6"/>
  <c r="AJ695" i="6" s="1"/>
  <c r="AK695" i="6" s="1"/>
  <c r="AI696" i="6"/>
  <c r="AJ696" i="6" s="1"/>
  <c r="AK696" i="6" s="1"/>
  <c r="AI697" i="6"/>
  <c r="AJ697" i="6" s="1"/>
  <c r="AK697" i="6" s="1"/>
  <c r="AI698" i="6"/>
  <c r="AJ698" i="6" s="1"/>
  <c r="AK698" i="6" s="1"/>
  <c r="AI699" i="6"/>
  <c r="AJ699" i="6" s="1"/>
  <c r="AK699" i="6" s="1"/>
  <c r="AI700" i="6"/>
  <c r="AJ700" i="6" s="1"/>
  <c r="AK700" i="6" s="1"/>
  <c r="AI701" i="6"/>
  <c r="AJ701" i="6" s="1"/>
  <c r="AK701" i="6" s="1"/>
  <c r="AI702" i="6"/>
  <c r="AJ702" i="6" s="1"/>
  <c r="AK702" i="6" s="1"/>
  <c r="AI703" i="6"/>
  <c r="AJ703" i="6" s="1"/>
  <c r="AK703" i="6" s="1"/>
  <c r="AI704" i="6"/>
  <c r="AJ704" i="6" s="1"/>
  <c r="AK704" i="6" s="1"/>
  <c r="AI705" i="6"/>
  <c r="AJ705" i="6" s="1"/>
  <c r="AK705" i="6" s="1"/>
  <c r="AI706" i="6"/>
  <c r="AJ706" i="6" s="1"/>
  <c r="AK706" i="6" s="1"/>
  <c r="AI707" i="6"/>
  <c r="AJ707" i="6" s="1"/>
  <c r="AK707" i="6" s="1"/>
  <c r="AI708" i="6"/>
  <c r="AJ708" i="6" s="1"/>
  <c r="AK708" i="6" s="1"/>
  <c r="AI709" i="6"/>
  <c r="AJ709" i="6" s="1"/>
  <c r="AK709" i="6" s="1"/>
  <c r="AI710" i="6"/>
  <c r="AJ710" i="6" s="1"/>
  <c r="AK710" i="6" s="1"/>
  <c r="AI711" i="6"/>
  <c r="AJ711" i="6" s="1"/>
  <c r="AK711" i="6" s="1"/>
  <c r="AI712" i="6"/>
  <c r="AJ712" i="6" s="1"/>
  <c r="AK712" i="6" s="1"/>
  <c r="AI713" i="6"/>
  <c r="AJ713" i="6" s="1"/>
  <c r="AK713" i="6" s="1"/>
  <c r="AI714" i="6"/>
  <c r="AJ714" i="6" s="1"/>
  <c r="AK714" i="6" s="1"/>
  <c r="AI715" i="6"/>
  <c r="AJ715" i="6" s="1"/>
  <c r="AK715" i="6" s="1"/>
  <c r="AI716" i="6"/>
  <c r="AJ716" i="6" s="1"/>
  <c r="AK716" i="6" s="1"/>
  <c r="AI717" i="6"/>
  <c r="AJ717" i="6" s="1"/>
  <c r="AK717" i="6" s="1"/>
  <c r="AI718" i="6"/>
  <c r="AJ718" i="6" s="1"/>
  <c r="AK718" i="6" s="1"/>
  <c r="AI719" i="6"/>
  <c r="AJ719" i="6" s="1"/>
  <c r="AK719" i="6" s="1"/>
  <c r="AI720" i="6"/>
  <c r="AJ720" i="6" s="1"/>
  <c r="AK720" i="6" s="1"/>
  <c r="AI721" i="6"/>
  <c r="AJ721" i="6" s="1"/>
  <c r="AK721" i="6" s="1"/>
  <c r="AI722" i="6"/>
  <c r="AJ722" i="6" s="1"/>
  <c r="AK722" i="6" s="1"/>
  <c r="AI723" i="6"/>
  <c r="AJ723" i="6" s="1"/>
  <c r="AK723" i="6" s="1"/>
  <c r="AI724" i="6"/>
  <c r="AJ724" i="6" s="1"/>
  <c r="AK724" i="6" s="1"/>
  <c r="AI725" i="6"/>
  <c r="AJ725" i="6" s="1"/>
  <c r="AK725" i="6" s="1"/>
  <c r="AI726" i="6"/>
  <c r="AJ726" i="6" s="1"/>
  <c r="AK726" i="6" s="1"/>
  <c r="AI727" i="6"/>
  <c r="AJ727" i="6" s="1"/>
  <c r="AK727" i="6" s="1"/>
  <c r="AI728" i="6"/>
  <c r="AJ728" i="6" s="1"/>
  <c r="AK728" i="6" s="1"/>
  <c r="AI729" i="6"/>
  <c r="AJ729" i="6" s="1"/>
  <c r="AK729" i="6" s="1"/>
  <c r="AI730" i="6"/>
  <c r="AJ730" i="6" s="1"/>
  <c r="AK730" i="6" s="1"/>
  <c r="AI731" i="6"/>
  <c r="AJ731" i="6" s="1"/>
  <c r="AK731" i="6" s="1"/>
  <c r="AI732" i="6"/>
  <c r="AJ732" i="6" s="1"/>
  <c r="AK732" i="6" s="1"/>
  <c r="AI733" i="6"/>
  <c r="AJ733" i="6" s="1"/>
  <c r="AK733" i="6" s="1"/>
  <c r="AI734" i="6"/>
  <c r="AJ734" i="6" s="1"/>
  <c r="AK734" i="6" s="1"/>
  <c r="AI735" i="6"/>
  <c r="AJ735" i="6" s="1"/>
  <c r="AK735" i="6" s="1"/>
  <c r="AI736" i="6"/>
  <c r="AJ736" i="6" s="1"/>
  <c r="AK736" i="6" s="1"/>
  <c r="AI737" i="6"/>
  <c r="AJ737" i="6" s="1"/>
  <c r="AK737" i="6" s="1"/>
  <c r="AI738" i="6"/>
  <c r="AJ738" i="6" s="1"/>
  <c r="AK738" i="6" s="1"/>
  <c r="AI739" i="6"/>
  <c r="AJ739" i="6" s="1"/>
  <c r="AK739" i="6" s="1"/>
  <c r="AI740" i="6"/>
  <c r="AJ740" i="6" s="1"/>
  <c r="AK740" i="6" s="1"/>
  <c r="AI741" i="6"/>
  <c r="AJ741" i="6" s="1"/>
  <c r="AK741" i="6" s="1"/>
  <c r="AI742" i="6"/>
  <c r="AJ742" i="6" s="1"/>
  <c r="AK742" i="6" s="1"/>
  <c r="AI743" i="6"/>
  <c r="AJ743" i="6" s="1"/>
  <c r="AK743" i="6" s="1"/>
  <c r="AI744" i="6"/>
  <c r="AJ744" i="6" s="1"/>
  <c r="AK744" i="6" s="1"/>
  <c r="AI745" i="6"/>
  <c r="AJ745" i="6" s="1"/>
  <c r="AK745" i="6" s="1"/>
  <c r="AI746" i="6"/>
  <c r="AJ746" i="6" s="1"/>
  <c r="AK746" i="6" s="1"/>
  <c r="AI747" i="6"/>
  <c r="AJ747" i="6" s="1"/>
  <c r="AK747" i="6" s="1"/>
  <c r="AI748" i="6"/>
  <c r="AJ748" i="6" s="1"/>
  <c r="AK748" i="6" s="1"/>
  <c r="AI749" i="6"/>
  <c r="AJ749" i="6" s="1"/>
  <c r="AK749" i="6" s="1"/>
  <c r="AI750" i="6"/>
  <c r="AJ750" i="6" s="1"/>
  <c r="AK750" i="6" s="1"/>
  <c r="AI751" i="6"/>
  <c r="AJ751" i="6" s="1"/>
  <c r="AK751" i="6" s="1"/>
  <c r="AI752" i="6"/>
  <c r="AJ752" i="6" s="1"/>
  <c r="AK752" i="6" s="1"/>
  <c r="AI753" i="6"/>
  <c r="AJ753" i="6" s="1"/>
  <c r="AK753" i="6" s="1"/>
  <c r="AI754" i="6"/>
  <c r="AJ754" i="6" s="1"/>
  <c r="AK754" i="6" s="1"/>
  <c r="AI755" i="6"/>
  <c r="AJ755" i="6" s="1"/>
  <c r="AK755" i="6" s="1"/>
  <c r="AI756" i="6"/>
  <c r="AJ756" i="6" s="1"/>
  <c r="AK756" i="6" s="1"/>
  <c r="AI757" i="6"/>
  <c r="AJ757" i="6" s="1"/>
  <c r="AK757" i="6" s="1"/>
  <c r="AI758" i="6"/>
  <c r="AJ758" i="6" s="1"/>
  <c r="AK758" i="6" s="1"/>
  <c r="AI759" i="6"/>
  <c r="AJ759" i="6" s="1"/>
  <c r="AK759" i="6" s="1"/>
  <c r="AI760" i="6"/>
  <c r="AJ760" i="6" s="1"/>
  <c r="AK760" i="6" s="1"/>
  <c r="AI761" i="6"/>
  <c r="AJ761" i="6" s="1"/>
  <c r="AK761" i="6" s="1"/>
  <c r="AI762" i="6"/>
  <c r="AJ762" i="6" s="1"/>
  <c r="AK762" i="6" s="1"/>
  <c r="AI763" i="6"/>
  <c r="AJ763" i="6" s="1"/>
  <c r="AK763" i="6" s="1"/>
  <c r="AI764" i="6"/>
  <c r="AI765" i="6"/>
  <c r="AJ765" i="6" s="1"/>
  <c r="AK765" i="6" s="1"/>
  <c r="AI766" i="6"/>
  <c r="AJ766" i="6" s="1"/>
  <c r="AK766" i="6" s="1"/>
  <c r="AI767" i="6"/>
  <c r="AJ767" i="6" s="1"/>
  <c r="AK767" i="6" s="1"/>
  <c r="AI768" i="6"/>
  <c r="AJ768" i="6" s="1"/>
  <c r="AK768" i="6" s="1"/>
  <c r="AI769" i="6"/>
  <c r="AJ769" i="6" s="1"/>
  <c r="AK769" i="6" s="1"/>
  <c r="AI770" i="6"/>
  <c r="AJ770" i="6" s="1"/>
  <c r="AK770" i="6" s="1"/>
  <c r="AI771" i="6"/>
  <c r="AJ771" i="6" s="1"/>
  <c r="AK771" i="6" s="1"/>
  <c r="AI772" i="6"/>
  <c r="AJ772" i="6" s="1"/>
  <c r="AK772" i="6" s="1"/>
  <c r="AI773" i="6"/>
  <c r="AJ773" i="6" s="1"/>
  <c r="AK773" i="6" s="1"/>
  <c r="AI774" i="6"/>
  <c r="AJ774" i="6" s="1"/>
  <c r="AK774" i="6" s="1"/>
  <c r="AI775" i="6"/>
  <c r="AJ775" i="6" s="1"/>
  <c r="AK775" i="6" s="1"/>
  <c r="AI776" i="6"/>
  <c r="AJ776" i="6" s="1"/>
  <c r="AK776" i="6" s="1"/>
  <c r="AI777" i="6"/>
  <c r="AJ777" i="6" s="1"/>
  <c r="AK777" i="6" s="1"/>
  <c r="AI778" i="6"/>
  <c r="AJ778" i="6" s="1"/>
  <c r="AK778" i="6" s="1"/>
  <c r="AI779" i="6"/>
  <c r="AJ779" i="6" s="1"/>
  <c r="AK779" i="6" s="1"/>
  <c r="AI780" i="6"/>
  <c r="AJ780" i="6" s="1"/>
  <c r="AK780" i="6" s="1"/>
  <c r="AI781" i="6"/>
  <c r="AJ781" i="6" s="1"/>
  <c r="AK781" i="6" s="1"/>
  <c r="AI782" i="6"/>
  <c r="AJ782" i="6" s="1"/>
  <c r="AK782" i="6" s="1"/>
  <c r="AI783" i="6"/>
  <c r="AJ783" i="6" s="1"/>
  <c r="AK783" i="6" s="1"/>
  <c r="AI784" i="6"/>
  <c r="AJ784" i="6" s="1"/>
  <c r="AK784" i="6" s="1"/>
  <c r="AI785" i="6"/>
  <c r="AJ785" i="6" s="1"/>
  <c r="AK785" i="6" s="1"/>
  <c r="AI786" i="6"/>
  <c r="AJ786" i="6" s="1"/>
  <c r="AK786" i="6" s="1"/>
  <c r="AI787" i="6"/>
  <c r="AJ787" i="6" s="1"/>
  <c r="AK787" i="6" s="1"/>
  <c r="AI788" i="6"/>
  <c r="AJ788" i="6" s="1"/>
  <c r="AK788" i="6" s="1"/>
  <c r="AI789" i="6"/>
  <c r="AJ789" i="6" s="1"/>
  <c r="AK789" i="6" s="1"/>
  <c r="AI790" i="6"/>
  <c r="AJ790" i="6" s="1"/>
  <c r="AK790" i="6" s="1"/>
  <c r="AI791" i="6"/>
  <c r="AJ791" i="6" s="1"/>
  <c r="AK791" i="6" s="1"/>
  <c r="AI792" i="6"/>
  <c r="AJ792" i="6" s="1"/>
  <c r="AK792" i="6" s="1"/>
  <c r="AI793" i="6"/>
  <c r="AJ793" i="6" s="1"/>
  <c r="AK793" i="6" s="1"/>
  <c r="AI794" i="6"/>
  <c r="AJ794" i="6" s="1"/>
  <c r="AK794" i="6" s="1"/>
  <c r="AI795" i="6"/>
  <c r="AJ795" i="6" s="1"/>
  <c r="AK795" i="6" s="1"/>
  <c r="AI796" i="6"/>
  <c r="AI797" i="6"/>
  <c r="AJ797" i="6" s="1"/>
  <c r="AK797" i="6" s="1"/>
  <c r="AI798" i="6"/>
  <c r="AJ798" i="6" s="1"/>
  <c r="AK798" i="6" s="1"/>
  <c r="AI799" i="6"/>
  <c r="AJ799" i="6" s="1"/>
  <c r="AK799" i="6" s="1"/>
  <c r="AI800" i="6"/>
  <c r="AJ800" i="6" s="1"/>
  <c r="AK800" i="6" s="1"/>
  <c r="AI801" i="6"/>
  <c r="AJ801" i="6" s="1"/>
  <c r="AK801" i="6" s="1"/>
  <c r="AI802" i="6"/>
  <c r="AJ802" i="6" s="1"/>
  <c r="AK802" i="6" s="1"/>
  <c r="AI803" i="6"/>
  <c r="AJ803" i="6" s="1"/>
  <c r="AK803" i="6" s="1"/>
  <c r="AI804" i="6"/>
  <c r="AJ804" i="6" s="1"/>
  <c r="AK804" i="6" s="1"/>
  <c r="AI805" i="6"/>
  <c r="AJ805" i="6" s="1"/>
  <c r="AK805" i="6" s="1"/>
  <c r="AI806" i="6"/>
  <c r="AJ806" i="6" s="1"/>
  <c r="AK806" i="6" s="1"/>
  <c r="AI807" i="6"/>
  <c r="AJ807" i="6" s="1"/>
  <c r="AK807" i="6" s="1"/>
  <c r="AI808" i="6"/>
  <c r="AJ808" i="6" s="1"/>
  <c r="AK808" i="6" s="1"/>
  <c r="AI809" i="6"/>
  <c r="AJ809" i="6" s="1"/>
  <c r="AK809" i="6" s="1"/>
  <c r="AI810" i="6"/>
  <c r="AJ810" i="6" s="1"/>
  <c r="AK810" i="6" s="1"/>
  <c r="AI811" i="6"/>
  <c r="AJ811" i="6" s="1"/>
  <c r="AK811" i="6" s="1"/>
  <c r="AI812" i="6"/>
  <c r="AJ812" i="6" s="1"/>
  <c r="AK812" i="6" s="1"/>
  <c r="AI813" i="6"/>
  <c r="AJ813" i="6" s="1"/>
  <c r="AK813" i="6" s="1"/>
  <c r="AI814" i="6"/>
  <c r="AJ814" i="6" s="1"/>
  <c r="AK814" i="6" s="1"/>
  <c r="AI815" i="6"/>
  <c r="AJ815" i="6" s="1"/>
  <c r="AK815" i="6" s="1"/>
  <c r="AI816" i="6"/>
  <c r="AJ816" i="6" s="1"/>
  <c r="AK816" i="6" s="1"/>
  <c r="AI817" i="6"/>
  <c r="AJ817" i="6" s="1"/>
  <c r="AK817" i="6" s="1"/>
  <c r="AI818" i="6"/>
  <c r="AJ818" i="6" s="1"/>
  <c r="AK818" i="6" s="1"/>
  <c r="AI819" i="6"/>
  <c r="AJ819" i="6" s="1"/>
  <c r="AK819" i="6" s="1"/>
  <c r="AI820" i="6"/>
  <c r="AJ820" i="6" s="1"/>
  <c r="AK820" i="6" s="1"/>
  <c r="AI821" i="6"/>
  <c r="AJ821" i="6" s="1"/>
  <c r="AK821" i="6" s="1"/>
  <c r="AI822" i="6"/>
  <c r="AJ822" i="6" s="1"/>
  <c r="AK822" i="6" s="1"/>
  <c r="AI823" i="6"/>
  <c r="AJ823" i="6" s="1"/>
  <c r="AK823" i="6" s="1"/>
  <c r="AI824" i="6"/>
  <c r="AJ824" i="6" s="1"/>
  <c r="AK824" i="6" s="1"/>
  <c r="AI825" i="6"/>
  <c r="AJ825" i="6" s="1"/>
  <c r="AK825" i="6" s="1"/>
  <c r="AI826" i="6"/>
  <c r="AJ826" i="6" s="1"/>
  <c r="AK826" i="6" s="1"/>
  <c r="AI827" i="6"/>
  <c r="AJ827" i="6" s="1"/>
  <c r="AK827" i="6" s="1"/>
  <c r="AI828" i="6"/>
  <c r="AJ828" i="6" s="1"/>
  <c r="AK828" i="6" s="1"/>
  <c r="AI829" i="6"/>
  <c r="AJ829" i="6" s="1"/>
  <c r="AK829" i="6" s="1"/>
  <c r="AI830" i="6"/>
  <c r="AJ830" i="6" s="1"/>
  <c r="AK830" i="6" s="1"/>
  <c r="AI831" i="6"/>
  <c r="AJ831" i="6" s="1"/>
  <c r="AK831" i="6" s="1"/>
  <c r="AI832" i="6"/>
  <c r="AJ832" i="6" s="1"/>
  <c r="AK832" i="6" s="1"/>
  <c r="AI833" i="6"/>
  <c r="AJ833" i="6" s="1"/>
  <c r="AK833" i="6" s="1"/>
  <c r="AI834" i="6"/>
  <c r="AJ834" i="6" s="1"/>
  <c r="AK834" i="6" s="1"/>
  <c r="AI835" i="6"/>
  <c r="AJ835" i="6" s="1"/>
  <c r="AK835" i="6" s="1"/>
  <c r="AI836" i="6"/>
  <c r="AJ836" i="6" s="1"/>
  <c r="AK836" i="6" s="1"/>
  <c r="AI837" i="6"/>
  <c r="AJ837" i="6" s="1"/>
  <c r="AK837" i="6" s="1"/>
  <c r="AI838" i="6"/>
  <c r="AJ838" i="6" s="1"/>
  <c r="AK838" i="6" s="1"/>
  <c r="AI839" i="6"/>
  <c r="AJ839" i="6" s="1"/>
  <c r="AK839" i="6" s="1"/>
  <c r="AI840" i="6"/>
  <c r="AJ840" i="6" s="1"/>
  <c r="AK840" i="6" s="1"/>
  <c r="AI841" i="6"/>
  <c r="AJ841" i="6" s="1"/>
  <c r="AK841" i="6" s="1"/>
  <c r="AI842" i="6"/>
  <c r="AJ842" i="6" s="1"/>
  <c r="AK842" i="6" s="1"/>
  <c r="AI843" i="6"/>
  <c r="AJ843" i="6" s="1"/>
  <c r="AK843" i="6" s="1"/>
  <c r="AI844" i="6"/>
  <c r="AJ844" i="6" s="1"/>
  <c r="AK844" i="6" s="1"/>
  <c r="AI845" i="6"/>
  <c r="AJ845" i="6" s="1"/>
  <c r="AK845" i="6" s="1"/>
  <c r="AI846" i="6"/>
  <c r="AJ846" i="6" s="1"/>
  <c r="AK846" i="6" s="1"/>
  <c r="AI847" i="6"/>
  <c r="AJ847" i="6" s="1"/>
  <c r="AK847" i="6" s="1"/>
  <c r="AI848" i="6"/>
  <c r="AJ848" i="6" s="1"/>
  <c r="AK848" i="6" s="1"/>
  <c r="AI849" i="6"/>
  <c r="AJ849" i="6" s="1"/>
  <c r="AK849" i="6" s="1"/>
  <c r="AI850" i="6"/>
  <c r="AJ850" i="6" s="1"/>
  <c r="AK850" i="6" s="1"/>
  <c r="AI851" i="6"/>
  <c r="AJ851" i="6" s="1"/>
  <c r="AK851" i="6" s="1"/>
  <c r="AI852" i="6"/>
  <c r="AJ852" i="6" s="1"/>
  <c r="AK852" i="6" s="1"/>
  <c r="AI853" i="6"/>
  <c r="AJ853" i="6" s="1"/>
  <c r="AK853" i="6" s="1"/>
  <c r="AI854" i="6"/>
  <c r="AJ854" i="6" s="1"/>
  <c r="AK854" i="6" s="1"/>
  <c r="AI855" i="6"/>
  <c r="AJ855" i="6" s="1"/>
  <c r="AK855" i="6" s="1"/>
  <c r="AI856" i="6"/>
  <c r="AJ856" i="6" s="1"/>
  <c r="AK856" i="6" s="1"/>
  <c r="AI857" i="6"/>
  <c r="AJ857" i="6" s="1"/>
  <c r="AK857" i="6" s="1"/>
  <c r="AI858" i="6"/>
  <c r="AJ858" i="6" s="1"/>
  <c r="AK858" i="6" s="1"/>
  <c r="AI859" i="6"/>
  <c r="AJ859" i="6" s="1"/>
  <c r="AK859" i="6" s="1"/>
  <c r="AI860" i="6"/>
  <c r="AJ860" i="6" s="1"/>
  <c r="AK860" i="6" s="1"/>
  <c r="AI861" i="6"/>
  <c r="AJ861" i="6" s="1"/>
  <c r="AK861" i="6" s="1"/>
  <c r="AI862" i="6"/>
  <c r="AJ862" i="6" s="1"/>
  <c r="AK862" i="6" s="1"/>
  <c r="AI863" i="6"/>
  <c r="AJ863" i="6" s="1"/>
  <c r="AK863" i="6" s="1"/>
  <c r="AI864" i="6"/>
  <c r="AJ864" i="6" s="1"/>
  <c r="AK864" i="6" s="1"/>
  <c r="AI865" i="6"/>
  <c r="AJ865" i="6" s="1"/>
  <c r="AK865" i="6" s="1"/>
  <c r="AI866" i="6"/>
  <c r="AJ866" i="6" s="1"/>
  <c r="AK866" i="6" s="1"/>
  <c r="AI867" i="6"/>
  <c r="AJ867" i="6" s="1"/>
  <c r="AK867" i="6" s="1"/>
  <c r="AI868" i="6"/>
  <c r="AJ868" i="6" s="1"/>
  <c r="AK868" i="6" s="1"/>
  <c r="AI869" i="6"/>
  <c r="AJ869" i="6" s="1"/>
  <c r="AK869" i="6" s="1"/>
  <c r="AI870" i="6"/>
  <c r="AJ870" i="6" s="1"/>
  <c r="AK870" i="6" s="1"/>
  <c r="AI871" i="6"/>
  <c r="AJ871" i="6" s="1"/>
  <c r="AK871" i="6" s="1"/>
  <c r="AI872" i="6"/>
  <c r="AJ872" i="6" s="1"/>
  <c r="AK872" i="6" s="1"/>
  <c r="AI873" i="6"/>
  <c r="AJ873" i="6" s="1"/>
  <c r="AK873" i="6" s="1"/>
  <c r="AI874" i="6"/>
  <c r="AJ874" i="6" s="1"/>
  <c r="AK874" i="6" s="1"/>
  <c r="AI875" i="6"/>
  <c r="AJ875" i="6" s="1"/>
  <c r="AK875" i="6" s="1"/>
  <c r="AI876" i="6"/>
  <c r="AJ876" i="6" s="1"/>
  <c r="AK876" i="6" s="1"/>
  <c r="AI877" i="6"/>
  <c r="AJ877" i="6" s="1"/>
  <c r="AK877" i="6" s="1"/>
  <c r="AI878" i="6"/>
  <c r="AJ878" i="6" s="1"/>
  <c r="AK878" i="6" s="1"/>
  <c r="AI879" i="6"/>
  <c r="AJ879" i="6" s="1"/>
  <c r="AK879" i="6" s="1"/>
  <c r="AI880" i="6"/>
  <c r="AJ880" i="6" s="1"/>
  <c r="AK880" i="6" s="1"/>
  <c r="AI881" i="6"/>
  <c r="AJ881" i="6" s="1"/>
  <c r="AK881" i="6" s="1"/>
  <c r="AI882" i="6"/>
  <c r="AJ882" i="6" s="1"/>
  <c r="AK882" i="6" s="1"/>
  <c r="AI883" i="6"/>
  <c r="AJ883" i="6" s="1"/>
  <c r="AK883" i="6" s="1"/>
  <c r="AI884" i="6"/>
  <c r="AJ884" i="6" s="1"/>
  <c r="AK884" i="6" s="1"/>
  <c r="AI885" i="6"/>
  <c r="AJ885" i="6" s="1"/>
  <c r="AK885" i="6" s="1"/>
  <c r="AI886" i="6"/>
  <c r="AJ886" i="6" s="1"/>
  <c r="AK886" i="6" s="1"/>
  <c r="AI887" i="6"/>
  <c r="AJ887" i="6" s="1"/>
  <c r="AK887" i="6" s="1"/>
  <c r="AI888" i="6"/>
  <c r="AJ888" i="6" s="1"/>
  <c r="AK888" i="6" s="1"/>
  <c r="AI889" i="6"/>
  <c r="AJ889" i="6" s="1"/>
  <c r="AK889" i="6" s="1"/>
  <c r="AI890" i="6"/>
  <c r="AJ890" i="6" s="1"/>
  <c r="AK890" i="6" s="1"/>
  <c r="AI891" i="6"/>
  <c r="AJ891" i="6" s="1"/>
  <c r="AK891" i="6" s="1"/>
  <c r="AI892" i="6"/>
  <c r="AI893" i="6"/>
  <c r="AJ893" i="6" s="1"/>
  <c r="AK893" i="6" s="1"/>
  <c r="AI894" i="6"/>
  <c r="AJ894" i="6" s="1"/>
  <c r="AK894" i="6" s="1"/>
  <c r="AI895" i="6"/>
  <c r="AJ895" i="6" s="1"/>
  <c r="AK895" i="6" s="1"/>
  <c r="AI896" i="6"/>
  <c r="AJ896" i="6" s="1"/>
  <c r="AK896" i="6" s="1"/>
  <c r="AI897" i="6"/>
  <c r="AJ897" i="6" s="1"/>
  <c r="AK897" i="6" s="1"/>
  <c r="AI898" i="6"/>
  <c r="AJ898" i="6" s="1"/>
  <c r="AK898" i="6" s="1"/>
  <c r="AI899" i="6"/>
  <c r="AJ899" i="6" s="1"/>
  <c r="AK899" i="6" s="1"/>
  <c r="AI900" i="6"/>
  <c r="AJ900" i="6" s="1"/>
  <c r="AK900" i="6" s="1"/>
  <c r="AI901" i="6"/>
  <c r="AJ901" i="6" s="1"/>
  <c r="AK901" i="6" s="1"/>
  <c r="AI902" i="6"/>
  <c r="AJ902" i="6" s="1"/>
  <c r="AK902" i="6" s="1"/>
  <c r="AI903" i="6"/>
  <c r="AJ903" i="6" s="1"/>
  <c r="AK903" i="6" s="1"/>
  <c r="AI904" i="6"/>
  <c r="AJ904" i="6" s="1"/>
  <c r="AK904" i="6" s="1"/>
  <c r="AI905" i="6"/>
  <c r="AJ905" i="6" s="1"/>
  <c r="AK905" i="6" s="1"/>
  <c r="AI906" i="6"/>
  <c r="AJ906" i="6" s="1"/>
  <c r="AK906" i="6" s="1"/>
  <c r="AI907" i="6"/>
  <c r="AJ907" i="6" s="1"/>
  <c r="AK907" i="6" s="1"/>
  <c r="AI908" i="6"/>
  <c r="AJ908" i="6" s="1"/>
  <c r="AK908" i="6" s="1"/>
  <c r="AI909" i="6"/>
  <c r="AJ909" i="6" s="1"/>
  <c r="AK909" i="6" s="1"/>
  <c r="AI910" i="6"/>
  <c r="AJ910" i="6" s="1"/>
  <c r="AK910" i="6" s="1"/>
  <c r="AI911" i="6"/>
  <c r="AJ911" i="6" s="1"/>
  <c r="AK911" i="6" s="1"/>
  <c r="AI912" i="6"/>
  <c r="AJ912" i="6" s="1"/>
  <c r="AK912" i="6" s="1"/>
  <c r="AI913" i="6"/>
  <c r="AJ913" i="6" s="1"/>
  <c r="AK913" i="6" s="1"/>
  <c r="AI914" i="6"/>
  <c r="AJ914" i="6" s="1"/>
  <c r="AK914" i="6" s="1"/>
  <c r="AI915" i="6"/>
  <c r="AJ915" i="6" s="1"/>
  <c r="AK915" i="6" s="1"/>
  <c r="AI916" i="6"/>
  <c r="AJ916" i="6" s="1"/>
  <c r="AK916" i="6" s="1"/>
  <c r="AI917" i="6"/>
  <c r="AJ917" i="6" s="1"/>
  <c r="AK917" i="6" s="1"/>
  <c r="AI918" i="6"/>
  <c r="AJ918" i="6" s="1"/>
  <c r="AK918" i="6" s="1"/>
  <c r="AI919" i="6"/>
  <c r="AJ919" i="6" s="1"/>
  <c r="AK919" i="6" s="1"/>
  <c r="AI920" i="6"/>
  <c r="AJ920" i="6" s="1"/>
  <c r="AK920" i="6" s="1"/>
  <c r="AI921" i="6"/>
  <c r="AJ921" i="6" s="1"/>
  <c r="AK921" i="6" s="1"/>
  <c r="AI922" i="6"/>
  <c r="AJ922" i="6" s="1"/>
  <c r="AK922" i="6" s="1"/>
  <c r="AI923" i="6"/>
  <c r="AJ923" i="6" s="1"/>
  <c r="AK923" i="6" s="1"/>
  <c r="AI924" i="6"/>
  <c r="AI925" i="6"/>
  <c r="AJ925" i="6" s="1"/>
  <c r="AK925" i="6" s="1"/>
  <c r="AI926" i="6"/>
  <c r="AJ926" i="6" s="1"/>
  <c r="AK926" i="6" s="1"/>
  <c r="AI927" i="6"/>
  <c r="AJ927" i="6" s="1"/>
  <c r="AK927" i="6" s="1"/>
  <c r="AI928" i="6"/>
  <c r="AJ928" i="6" s="1"/>
  <c r="AK928" i="6" s="1"/>
  <c r="AI929" i="6"/>
  <c r="AJ929" i="6" s="1"/>
  <c r="AK929" i="6" s="1"/>
  <c r="AI930" i="6"/>
  <c r="AJ930" i="6" s="1"/>
  <c r="AK930" i="6" s="1"/>
  <c r="AI931" i="6"/>
  <c r="AJ931" i="6" s="1"/>
  <c r="AK931" i="6" s="1"/>
  <c r="AI932" i="6"/>
  <c r="AJ932" i="6" s="1"/>
  <c r="AK932" i="6" s="1"/>
  <c r="AI933" i="6"/>
  <c r="AJ933" i="6" s="1"/>
  <c r="AK933" i="6" s="1"/>
  <c r="AI934" i="6"/>
  <c r="AJ934" i="6" s="1"/>
  <c r="AK934" i="6" s="1"/>
  <c r="AI935" i="6"/>
  <c r="AJ935" i="6" s="1"/>
  <c r="AK935" i="6" s="1"/>
  <c r="AI936" i="6"/>
  <c r="AJ936" i="6" s="1"/>
  <c r="AK936" i="6" s="1"/>
  <c r="AI937" i="6"/>
  <c r="AJ937" i="6" s="1"/>
  <c r="AK937" i="6" s="1"/>
  <c r="AI938" i="6"/>
  <c r="AJ938" i="6" s="1"/>
  <c r="AK938" i="6" s="1"/>
  <c r="AI939" i="6"/>
  <c r="AJ939" i="6" s="1"/>
  <c r="AK939" i="6" s="1"/>
  <c r="AI940" i="6"/>
  <c r="AJ940" i="6" s="1"/>
  <c r="AK940" i="6" s="1"/>
  <c r="AI941" i="6"/>
  <c r="AJ941" i="6" s="1"/>
  <c r="AK941" i="6" s="1"/>
  <c r="AI942" i="6"/>
  <c r="AJ942" i="6" s="1"/>
  <c r="AK942" i="6" s="1"/>
  <c r="AI943" i="6"/>
  <c r="AJ943" i="6" s="1"/>
  <c r="AK943" i="6" s="1"/>
  <c r="AI944" i="6"/>
  <c r="AJ944" i="6" s="1"/>
  <c r="AK944" i="6" s="1"/>
  <c r="AI945" i="6"/>
  <c r="AJ945" i="6" s="1"/>
  <c r="AK945" i="6" s="1"/>
  <c r="AI946" i="6"/>
  <c r="AJ946" i="6" s="1"/>
  <c r="AK946" i="6" s="1"/>
  <c r="AI947" i="6"/>
  <c r="AJ947" i="6" s="1"/>
  <c r="AK947" i="6" s="1"/>
  <c r="AI948" i="6"/>
  <c r="AJ948" i="6" s="1"/>
  <c r="AK948" i="6" s="1"/>
  <c r="AI949" i="6"/>
  <c r="AJ949" i="6" s="1"/>
  <c r="AK949" i="6" s="1"/>
  <c r="AI950" i="6"/>
  <c r="AJ950" i="6" s="1"/>
  <c r="AK950" i="6" s="1"/>
  <c r="AI951" i="6"/>
  <c r="AJ951" i="6" s="1"/>
  <c r="AK951" i="6" s="1"/>
  <c r="AI952" i="6"/>
  <c r="AJ952" i="6" s="1"/>
  <c r="AK952" i="6" s="1"/>
  <c r="AI953" i="6"/>
  <c r="AJ953" i="6" s="1"/>
  <c r="AK953" i="6" s="1"/>
  <c r="AI954" i="6"/>
  <c r="AJ954" i="6" s="1"/>
  <c r="AK954" i="6" s="1"/>
  <c r="AI955" i="6"/>
  <c r="AJ955" i="6" s="1"/>
  <c r="AK955" i="6" s="1"/>
  <c r="AI956" i="6"/>
  <c r="AJ956" i="6" s="1"/>
  <c r="AK956" i="6" s="1"/>
  <c r="AI957" i="6"/>
  <c r="AJ957" i="6" s="1"/>
  <c r="AK957" i="6" s="1"/>
  <c r="AI958" i="6"/>
  <c r="AJ958" i="6" s="1"/>
  <c r="AK958" i="6" s="1"/>
  <c r="AI959" i="6"/>
  <c r="AJ959" i="6" s="1"/>
  <c r="AK959" i="6" s="1"/>
  <c r="AI960" i="6"/>
  <c r="AJ960" i="6" s="1"/>
  <c r="AK960" i="6" s="1"/>
  <c r="AI961" i="6"/>
  <c r="AJ961" i="6" s="1"/>
  <c r="AK961" i="6" s="1"/>
  <c r="AI962" i="6"/>
  <c r="AJ962" i="6" s="1"/>
  <c r="AK962" i="6" s="1"/>
  <c r="AI963" i="6"/>
  <c r="AJ963" i="6" s="1"/>
  <c r="AK963" i="6" s="1"/>
  <c r="AI964" i="6"/>
  <c r="AJ964" i="6" s="1"/>
  <c r="AK964" i="6" s="1"/>
  <c r="AI965" i="6"/>
  <c r="AJ965" i="6" s="1"/>
  <c r="AK965" i="6" s="1"/>
  <c r="AI966" i="6"/>
  <c r="AJ966" i="6" s="1"/>
  <c r="AK966" i="6" s="1"/>
  <c r="AI967" i="6"/>
  <c r="AJ967" i="6" s="1"/>
  <c r="AK967" i="6" s="1"/>
  <c r="AI968" i="6"/>
  <c r="AJ968" i="6" s="1"/>
  <c r="AK968" i="6" s="1"/>
  <c r="AI969" i="6"/>
  <c r="AJ969" i="6" s="1"/>
  <c r="AK969" i="6" s="1"/>
  <c r="AI970" i="6"/>
  <c r="AJ970" i="6" s="1"/>
  <c r="AK970" i="6" s="1"/>
  <c r="AI971" i="6"/>
  <c r="AJ971" i="6" s="1"/>
  <c r="AK971" i="6" s="1"/>
  <c r="AI972" i="6"/>
  <c r="AJ972" i="6" s="1"/>
  <c r="AK972" i="6" s="1"/>
  <c r="AI973" i="6"/>
  <c r="AJ973" i="6" s="1"/>
  <c r="AK973" i="6" s="1"/>
  <c r="AI974" i="6"/>
  <c r="AJ974" i="6" s="1"/>
  <c r="AK974" i="6" s="1"/>
  <c r="AI975" i="6"/>
  <c r="AJ975" i="6" s="1"/>
  <c r="AK975" i="6" s="1"/>
  <c r="AI976" i="6"/>
  <c r="AJ976" i="6" s="1"/>
  <c r="AK976" i="6" s="1"/>
  <c r="AI977" i="6"/>
  <c r="AJ977" i="6" s="1"/>
  <c r="AK977" i="6" s="1"/>
  <c r="AI978" i="6"/>
  <c r="AJ978" i="6" s="1"/>
  <c r="AK978" i="6" s="1"/>
  <c r="AI979" i="6"/>
  <c r="AJ979" i="6" s="1"/>
  <c r="AK979" i="6" s="1"/>
  <c r="AI980" i="6"/>
  <c r="AJ980" i="6" s="1"/>
  <c r="AK980" i="6" s="1"/>
  <c r="AI981" i="6"/>
  <c r="AJ981" i="6" s="1"/>
  <c r="AK981" i="6" s="1"/>
  <c r="AI982" i="6"/>
  <c r="AJ982" i="6" s="1"/>
  <c r="AK982" i="6" s="1"/>
  <c r="AI983" i="6"/>
  <c r="AJ983" i="6" s="1"/>
  <c r="AK983" i="6" s="1"/>
  <c r="AI984" i="6"/>
  <c r="AJ984" i="6" s="1"/>
  <c r="AK984" i="6" s="1"/>
  <c r="AI985" i="6"/>
  <c r="AJ985" i="6" s="1"/>
  <c r="AK985" i="6" s="1"/>
  <c r="AI986" i="6"/>
  <c r="AJ986" i="6" s="1"/>
  <c r="AK986" i="6" s="1"/>
  <c r="AI987" i="6"/>
  <c r="AJ987" i="6" s="1"/>
  <c r="AK987" i="6" s="1"/>
  <c r="AI988" i="6"/>
  <c r="AJ988" i="6" s="1"/>
  <c r="AK988" i="6" s="1"/>
  <c r="AI989" i="6"/>
  <c r="AJ989" i="6" s="1"/>
  <c r="AK989" i="6" s="1"/>
  <c r="AI990" i="6"/>
  <c r="AJ990" i="6" s="1"/>
  <c r="AK990" i="6" s="1"/>
  <c r="AI991" i="6"/>
  <c r="AJ991" i="6" s="1"/>
  <c r="AK991" i="6" s="1"/>
  <c r="AI992" i="6"/>
  <c r="AJ992" i="6" s="1"/>
  <c r="AK992" i="6" s="1"/>
  <c r="AI993" i="6"/>
  <c r="AJ993" i="6" s="1"/>
  <c r="AK993" i="6" s="1"/>
  <c r="AI994" i="6"/>
  <c r="AJ994" i="6" s="1"/>
  <c r="AK994" i="6" s="1"/>
  <c r="AI995" i="6"/>
  <c r="AJ995" i="6" s="1"/>
  <c r="AK995" i="6" s="1"/>
  <c r="AI996" i="6"/>
  <c r="AJ996" i="6" s="1"/>
  <c r="AK996" i="6" s="1"/>
  <c r="AI997" i="6"/>
  <c r="AJ997" i="6" s="1"/>
  <c r="AK997" i="6" s="1"/>
  <c r="AI998" i="6"/>
  <c r="AJ998" i="6" s="1"/>
  <c r="AK998" i="6" s="1"/>
  <c r="AI999" i="6"/>
  <c r="AJ999" i="6" s="1"/>
  <c r="AK999" i="6" s="1"/>
  <c r="AI1000" i="6"/>
  <c r="AJ1000" i="6" s="1"/>
  <c r="AK1000" i="6" s="1"/>
  <c r="AI1001" i="6"/>
  <c r="AJ1001" i="6" s="1"/>
  <c r="AK1001" i="6" s="1"/>
  <c r="AI1002" i="6"/>
  <c r="AJ1002" i="6" s="1"/>
  <c r="AK1002" i="6" s="1"/>
  <c r="AI1003" i="6"/>
  <c r="AJ1003" i="6" s="1"/>
  <c r="AK1003" i="6" s="1"/>
  <c r="AI1004" i="6"/>
  <c r="AJ1004" i="6" s="1"/>
  <c r="AK1004" i="6" s="1"/>
  <c r="AI1005" i="6"/>
  <c r="AJ1005" i="6" s="1"/>
  <c r="AK1005" i="6" s="1"/>
  <c r="AI1006" i="6"/>
  <c r="AJ1006" i="6" s="1"/>
  <c r="AK1006" i="6" s="1"/>
  <c r="AI1007" i="6"/>
  <c r="AJ1007" i="6" s="1"/>
  <c r="AK1007" i="6" s="1"/>
  <c r="AI1008" i="6"/>
  <c r="AJ1008" i="6" s="1"/>
  <c r="AK1008" i="6" s="1"/>
  <c r="AI1009" i="6"/>
  <c r="AJ1009" i="6" s="1"/>
  <c r="AK1009" i="6" s="1"/>
  <c r="AI1010" i="6"/>
  <c r="AJ1010" i="6" s="1"/>
  <c r="AK1010" i="6" s="1"/>
  <c r="AI1011" i="6"/>
  <c r="AJ1011" i="6" s="1"/>
  <c r="AK1011" i="6" s="1"/>
  <c r="AI1012" i="6"/>
  <c r="AJ1012" i="6" s="1"/>
  <c r="AK1012" i="6" s="1"/>
  <c r="AI1013" i="6"/>
  <c r="AJ1013" i="6" s="1"/>
  <c r="AK1013" i="6" s="1"/>
  <c r="AI1014" i="6"/>
  <c r="AJ1014" i="6" s="1"/>
  <c r="AK1014" i="6" s="1"/>
  <c r="AI1015" i="6"/>
  <c r="AJ1015" i="6" s="1"/>
  <c r="AK1015" i="6" s="1"/>
  <c r="AI1016" i="6"/>
  <c r="AJ1016" i="6" s="1"/>
  <c r="AK1016" i="6" s="1"/>
  <c r="AI1017" i="6"/>
  <c r="AJ1017" i="6" s="1"/>
  <c r="AK1017" i="6" s="1"/>
  <c r="AI1018" i="6"/>
  <c r="AJ1018" i="6" s="1"/>
  <c r="AK1018" i="6" s="1"/>
  <c r="AI1019" i="6"/>
  <c r="AJ1019" i="6" s="1"/>
  <c r="AK1019" i="6" s="1"/>
  <c r="AI1020" i="6"/>
  <c r="AJ1020" i="6" s="1"/>
  <c r="AK1020" i="6" s="1"/>
  <c r="AI1021" i="6"/>
  <c r="AJ1021" i="6" s="1"/>
  <c r="AK1021" i="6" s="1"/>
  <c r="AI1022" i="6"/>
  <c r="AJ1022" i="6" s="1"/>
  <c r="AK1022" i="6" s="1"/>
  <c r="AI1023" i="6"/>
  <c r="AJ1023" i="6" s="1"/>
  <c r="AK1023" i="6" s="1"/>
  <c r="AI1024" i="6"/>
  <c r="AJ1024" i="6" s="1"/>
  <c r="AK1024" i="6" s="1"/>
  <c r="AI1025" i="6"/>
  <c r="AJ1025" i="6" s="1"/>
  <c r="AK1025" i="6" s="1"/>
  <c r="AI1026" i="6"/>
  <c r="AJ1026" i="6" s="1"/>
  <c r="AK1026" i="6" s="1"/>
  <c r="AI1027" i="6"/>
  <c r="AJ1027" i="6" s="1"/>
  <c r="AK1027" i="6" s="1"/>
  <c r="AI1028" i="6"/>
  <c r="AJ1028" i="6" s="1"/>
  <c r="AK1028" i="6" s="1"/>
  <c r="AI1029" i="6"/>
  <c r="AJ1029" i="6" s="1"/>
  <c r="AK1029" i="6" s="1"/>
  <c r="AI1030" i="6"/>
  <c r="AJ1030" i="6" s="1"/>
  <c r="AK1030" i="6" s="1"/>
  <c r="AI1031" i="6"/>
  <c r="AJ1031" i="6" s="1"/>
  <c r="AK1031" i="6" s="1"/>
  <c r="AI1032" i="6"/>
  <c r="AJ1032" i="6" s="1"/>
  <c r="AK1032" i="6" s="1"/>
  <c r="AI1033" i="6"/>
  <c r="AJ1033" i="6" s="1"/>
  <c r="AK1033" i="6" s="1"/>
  <c r="AI1034" i="6"/>
  <c r="AJ1034" i="6" s="1"/>
  <c r="AK1034" i="6" s="1"/>
  <c r="AI1035" i="6"/>
  <c r="AJ1035" i="6" s="1"/>
  <c r="AK1035" i="6" s="1"/>
  <c r="AI1036" i="6"/>
  <c r="AJ1036" i="6" s="1"/>
  <c r="AK1036" i="6" s="1"/>
  <c r="AI1037" i="6"/>
  <c r="AJ1037" i="6" s="1"/>
  <c r="AK1037" i="6" s="1"/>
  <c r="AI1038" i="6"/>
  <c r="AJ1038" i="6" s="1"/>
  <c r="AK1038" i="6" s="1"/>
  <c r="AI1039" i="6"/>
  <c r="AJ1039" i="6" s="1"/>
  <c r="AK1039" i="6" s="1"/>
  <c r="AI1040" i="6"/>
  <c r="AJ1040" i="6" s="1"/>
  <c r="AK1040" i="6" s="1"/>
  <c r="AI1041" i="6"/>
  <c r="AJ1041" i="6" s="1"/>
  <c r="AK1041" i="6" s="1"/>
  <c r="AI1042" i="6"/>
  <c r="AJ1042" i="6" s="1"/>
  <c r="AK1042" i="6" s="1"/>
  <c r="AI1043" i="6"/>
  <c r="AJ1043" i="6" s="1"/>
  <c r="AK1043" i="6" s="1"/>
  <c r="AI1044" i="6"/>
  <c r="AJ1044" i="6" s="1"/>
  <c r="AK1044" i="6" s="1"/>
  <c r="AI1045" i="6"/>
  <c r="AJ1045" i="6" s="1"/>
  <c r="AK1045" i="6" s="1"/>
  <c r="AI1046" i="6"/>
  <c r="AJ1046" i="6" s="1"/>
  <c r="AK1046" i="6" s="1"/>
  <c r="AI1047" i="6"/>
  <c r="AJ1047" i="6" s="1"/>
  <c r="AK1047" i="6" s="1"/>
  <c r="AI1048" i="6"/>
  <c r="AJ1048" i="6" s="1"/>
  <c r="AK1048" i="6" s="1"/>
  <c r="AI1049" i="6"/>
  <c r="AJ1049" i="6" s="1"/>
  <c r="AK1049" i="6" s="1"/>
  <c r="AI1050" i="6"/>
  <c r="AJ1050" i="6" s="1"/>
  <c r="AK1050" i="6" s="1"/>
  <c r="AI1051" i="6"/>
  <c r="AJ1051" i="6" s="1"/>
  <c r="AK1051" i="6" s="1"/>
  <c r="AI1052" i="6"/>
  <c r="AJ1052" i="6" s="1"/>
  <c r="AK1052" i="6" s="1"/>
  <c r="AI1053" i="6"/>
  <c r="AJ1053" i="6" s="1"/>
  <c r="AK1053" i="6" s="1"/>
  <c r="AI1054" i="6"/>
  <c r="AJ1054" i="6" s="1"/>
  <c r="AK1054" i="6" s="1"/>
  <c r="AI1055" i="6"/>
  <c r="AJ1055" i="6" s="1"/>
  <c r="AK1055" i="6" s="1"/>
  <c r="AI1056" i="6"/>
  <c r="AJ1056" i="6" s="1"/>
  <c r="AK1056" i="6" s="1"/>
  <c r="AI1057" i="6"/>
  <c r="AJ1057" i="6" s="1"/>
  <c r="AK1057" i="6" s="1"/>
  <c r="AI1058" i="6"/>
  <c r="AJ1058" i="6" s="1"/>
  <c r="AK1058" i="6" s="1"/>
  <c r="AI1059" i="6"/>
  <c r="AJ1059" i="6" s="1"/>
  <c r="AK1059" i="6" s="1"/>
  <c r="AI1060" i="6"/>
  <c r="AJ1060" i="6" s="1"/>
  <c r="AK1060" i="6" s="1"/>
  <c r="AI1061" i="6"/>
  <c r="AJ1061" i="6" s="1"/>
  <c r="AK1061" i="6" s="1"/>
  <c r="AI1062" i="6"/>
  <c r="AJ1062" i="6" s="1"/>
  <c r="AK1062" i="6" s="1"/>
  <c r="AI1063" i="6"/>
  <c r="AJ1063" i="6" s="1"/>
  <c r="AK1063" i="6" s="1"/>
  <c r="AI1064" i="6"/>
  <c r="AJ1064" i="6" s="1"/>
  <c r="AK1064" i="6" s="1"/>
  <c r="AI1065" i="6"/>
  <c r="AJ1065" i="6" s="1"/>
  <c r="AK1065" i="6" s="1"/>
  <c r="AI1066" i="6"/>
  <c r="AJ1066" i="6" s="1"/>
  <c r="AK1066" i="6" s="1"/>
  <c r="AI1067" i="6"/>
  <c r="AJ1067" i="6" s="1"/>
  <c r="AK1067" i="6" s="1"/>
  <c r="AI1068" i="6"/>
  <c r="AJ1068" i="6" s="1"/>
  <c r="AK1068" i="6" s="1"/>
  <c r="AI1069" i="6"/>
  <c r="AJ1069" i="6" s="1"/>
  <c r="AK1069" i="6" s="1"/>
  <c r="AI1070" i="6"/>
  <c r="AJ1070" i="6" s="1"/>
  <c r="AK1070" i="6" s="1"/>
  <c r="AI1071" i="6"/>
  <c r="AJ1071" i="6" s="1"/>
  <c r="AK1071" i="6" s="1"/>
  <c r="AI1072" i="6"/>
  <c r="AJ1072" i="6" s="1"/>
  <c r="AK1072" i="6" s="1"/>
  <c r="AI1073" i="6"/>
  <c r="AJ1073" i="6" s="1"/>
  <c r="AK1073" i="6" s="1"/>
  <c r="AI1074" i="6"/>
  <c r="AJ1074" i="6" s="1"/>
  <c r="AK1074" i="6" s="1"/>
  <c r="AI1075" i="6"/>
  <c r="AJ1075" i="6" s="1"/>
  <c r="AK1075" i="6" s="1"/>
  <c r="AI1076" i="6"/>
  <c r="AJ1076" i="6" s="1"/>
  <c r="AK1076" i="6" s="1"/>
  <c r="AI1077" i="6"/>
  <c r="AJ1077" i="6" s="1"/>
  <c r="AK1077" i="6" s="1"/>
  <c r="AI1078" i="6"/>
  <c r="AJ1078" i="6" s="1"/>
  <c r="AK1078" i="6" s="1"/>
  <c r="AI1079" i="6"/>
  <c r="AJ1079" i="6" s="1"/>
  <c r="AK1079" i="6" s="1"/>
  <c r="AI1080" i="6"/>
  <c r="AJ1080" i="6" s="1"/>
  <c r="AK1080" i="6" s="1"/>
  <c r="AI1081" i="6"/>
  <c r="AJ1081" i="6" s="1"/>
  <c r="AK1081" i="6" s="1"/>
  <c r="AI1082" i="6"/>
  <c r="AJ1082" i="6" s="1"/>
  <c r="AK1082" i="6" s="1"/>
  <c r="AI1083" i="6"/>
  <c r="AJ1083" i="6" s="1"/>
  <c r="AK1083" i="6" s="1"/>
  <c r="AI1084" i="6"/>
  <c r="AJ1084" i="6" s="1"/>
  <c r="AK1084" i="6" s="1"/>
  <c r="AI1085" i="6"/>
  <c r="AJ1085" i="6" s="1"/>
  <c r="AK1085" i="6" s="1"/>
  <c r="AI1086" i="6"/>
  <c r="AJ1086" i="6" s="1"/>
  <c r="AK1086" i="6" s="1"/>
  <c r="AI1087" i="6"/>
  <c r="AJ1087" i="6" s="1"/>
  <c r="AK1087" i="6" s="1"/>
  <c r="AI1088" i="6"/>
  <c r="AJ1088" i="6" s="1"/>
  <c r="AK1088" i="6" s="1"/>
  <c r="AI1089" i="6"/>
  <c r="AJ1089" i="6" s="1"/>
  <c r="AK1089" i="6" s="1"/>
  <c r="AI1090" i="6"/>
  <c r="AJ1090" i="6" s="1"/>
  <c r="AK1090" i="6" s="1"/>
  <c r="AI1091" i="6"/>
  <c r="AJ1091" i="6" s="1"/>
  <c r="AK1091" i="6" s="1"/>
  <c r="AI1092" i="6"/>
  <c r="AJ1092" i="6" s="1"/>
  <c r="AK1092" i="6" s="1"/>
  <c r="AI1093" i="6"/>
  <c r="AJ1093" i="6" s="1"/>
  <c r="AK1093" i="6" s="1"/>
  <c r="AI1094" i="6"/>
  <c r="AJ1094" i="6" s="1"/>
  <c r="AK1094" i="6" s="1"/>
  <c r="AI1095" i="6"/>
  <c r="AJ1095" i="6" s="1"/>
  <c r="AK1095" i="6" s="1"/>
  <c r="AI1096" i="6"/>
  <c r="AJ1096" i="6" s="1"/>
  <c r="AK1096" i="6" s="1"/>
  <c r="AI1097" i="6"/>
  <c r="AJ1097" i="6" s="1"/>
  <c r="AK1097" i="6" s="1"/>
  <c r="AI1098" i="6"/>
  <c r="AJ1098" i="6" s="1"/>
  <c r="AK1098" i="6" s="1"/>
  <c r="AI1099" i="6"/>
  <c r="AJ1099" i="6" s="1"/>
  <c r="AK1099" i="6" s="1"/>
  <c r="AI1100" i="6"/>
  <c r="AJ1100" i="6" s="1"/>
  <c r="AK1100" i="6" s="1"/>
  <c r="AI1101" i="6"/>
  <c r="AJ1101" i="6" s="1"/>
  <c r="AK1101" i="6" s="1"/>
  <c r="AI1102" i="6"/>
  <c r="AJ1102" i="6" s="1"/>
  <c r="AK1102" i="6" s="1"/>
  <c r="AI1103" i="6"/>
  <c r="AJ1103" i="6" s="1"/>
  <c r="AK1103" i="6" s="1"/>
  <c r="AI1104" i="6"/>
  <c r="AJ1104" i="6" s="1"/>
  <c r="AK1104" i="6" s="1"/>
  <c r="AI1105" i="6"/>
  <c r="AJ1105" i="6" s="1"/>
  <c r="AK1105" i="6" s="1"/>
  <c r="AI1106" i="6"/>
  <c r="AJ1106" i="6" s="1"/>
  <c r="AK1106" i="6" s="1"/>
  <c r="AI1107" i="6"/>
  <c r="AJ1107" i="6" s="1"/>
  <c r="AK1107" i="6" s="1"/>
  <c r="AI1108" i="6"/>
  <c r="AJ1108" i="6" s="1"/>
  <c r="AK1108" i="6" s="1"/>
  <c r="AI1109" i="6"/>
  <c r="AJ1109" i="6" s="1"/>
  <c r="AK1109" i="6" s="1"/>
  <c r="AI1110" i="6"/>
  <c r="AJ1110" i="6" s="1"/>
  <c r="AK1110" i="6" s="1"/>
  <c r="AI1111" i="6"/>
  <c r="AJ1111" i="6" s="1"/>
  <c r="AK1111" i="6" s="1"/>
  <c r="AI1112" i="6"/>
  <c r="AJ1112" i="6" s="1"/>
  <c r="AK1112" i="6" s="1"/>
  <c r="AI1113" i="6"/>
  <c r="AJ1113" i="6" s="1"/>
  <c r="AK1113" i="6" s="1"/>
  <c r="AI1114" i="6"/>
  <c r="AJ1114" i="6" s="1"/>
  <c r="AK1114" i="6" s="1"/>
  <c r="AI1115" i="6"/>
  <c r="AJ1115" i="6" s="1"/>
  <c r="AK1115" i="6" s="1"/>
  <c r="AI1116" i="6"/>
  <c r="AJ1116" i="6" s="1"/>
  <c r="AK1116" i="6" s="1"/>
  <c r="AI1117" i="6"/>
  <c r="AJ1117" i="6" s="1"/>
  <c r="AK1117" i="6" s="1"/>
  <c r="AI1118" i="6"/>
  <c r="AJ1118" i="6" s="1"/>
  <c r="AK1118" i="6" s="1"/>
  <c r="AI1119" i="6"/>
  <c r="AJ1119" i="6" s="1"/>
  <c r="AK1119" i="6" s="1"/>
  <c r="AI1120" i="6"/>
  <c r="AJ1120" i="6" s="1"/>
  <c r="AK1120" i="6" s="1"/>
  <c r="AI1121" i="6"/>
  <c r="AJ1121" i="6" s="1"/>
  <c r="AK1121" i="6" s="1"/>
  <c r="AI1122" i="6"/>
  <c r="AJ1122" i="6" s="1"/>
  <c r="AK1122" i="6" s="1"/>
  <c r="AI1123" i="6"/>
  <c r="AJ1123" i="6" s="1"/>
  <c r="AK1123" i="6" s="1"/>
  <c r="AI1124" i="6"/>
  <c r="AJ1124" i="6" s="1"/>
  <c r="AK1124" i="6" s="1"/>
  <c r="AI1125" i="6"/>
  <c r="AJ1125" i="6" s="1"/>
  <c r="AK1125" i="6" s="1"/>
  <c r="AI1126" i="6"/>
  <c r="AJ1126" i="6" s="1"/>
  <c r="AK1126" i="6" s="1"/>
  <c r="AI1127" i="6"/>
  <c r="AJ1127" i="6" s="1"/>
  <c r="AK1127" i="6" s="1"/>
  <c r="AI1128" i="6"/>
  <c r="AJ1128" i="6" s="1"/>
  <c r="AK1128" i="6" s="1"/>
  <c r="AI1129" i="6"/>
  <c r="AJ1129" i="6" s="1"/>
  <c r="AK1129" i="6" s="1"/>
  <c r="AI1130" i="6"/>
  <c r="AJ1130" i="6" s="1"/>
  <c r="AK1130" i="6" s="1"/>
  <c r="AI1131" i="6"/>
  <c r="AJ1131" i="6" s="1"/>
  <c r="AK1131" i="6" s="1"/>
  <c r="AI1132" i="6"/>
  <c r="AJ1132" i="6" s="1"/>
  <c r="AK1132" i="6" s="1"/>
  <c r="AI1133" i="6"/>
  <c r="AJ1133" i="6" s="1"/>
  <c r="AK1133" i="6" s="1"/>
  <c r="AI1134" i="6"/>
  <c r="AJ1134" i="6" s="1"/>
  <c r="AK1134" i="6" s="1"/>
  <c r="AI1135" i="6"/>
  <c r="AJ1135" i="6" s="1"/>
  <c r="AK1135" i="6" s="1"/>
  <c r="AI1136" i="6"/>
  <c r="AJ1136" i="6" s="1"/>
  <c r="AK1136" i="6" s="1"/>
  <c r="AI1137" i="6"/>
  <c r="AJ1137" i="6" s="1"/>
  <c r="AK1137" i="6" s="1"/>
  <c r="AI1138" i="6"/>
  <c r="AJ1138" i="6" s="1"/>
  <c r="AK1138" i="6" s="1"/>
  <c r="AI1139" i="6"/>
  <c r="AJ1139" i="6" s="1"/>
  <c r="AK1139" i="6" s="1"/>
  <c r="AI1140" i="6"/>
  <c r="AJ1140" i="6" s="1"/>
  <c r="AK1140" i="6" s="1"/>
  <c r="AI1141" i="6"/>
  <c r="AJ1141" i="6" s="1"/>
  <c r="AK1141" i="6" s="1"/>
  <c r="AI1142" i="6"/>
  <c r="AJ1142" i="6" s="1"/>
  <c r="AK1142" i="6" s="1"/>
  <c r="AI1143" i="6"/>
  <c r="AJ1143" i="6" s="1"/>
  <c r="AK1143" i="6" s="1"/>
  <c r="AI1144" i="6"/>
  <c r="AJ1144" i="6" s="1"/>
  <c r="AK1144" i="6" s="1"/>
  <c r="AI1145" i="6"/>
  <c r="AJ1145" i="6" s="1"/>
  <c r="AK1145" i="6" s="1"/>
  <c r="AI1146" i="6"/>
  <c r="AJ1146" i="6" s="1"/>
  <c r="AK1146" i="6" s="1"/>
  <c r="AI1147" i="6"/>
  <c r="AJ1147" i="6" s="1"/>
  <c r="AK1147" i="6" s="1"/>
  <c r="AI1148" i="6"/>
  <c r="AI1149" i="6"/>
  <c r="AJ1149" i="6" s="1"/>
  <c r="AK1149" i="6" s="1"/>
  <c r="AI1150" i="6"/>
  <c r="AJ1150" i="6" s="1"/>
  <c r="AK1150" i="6" s="1"/>
  <c r="AI1151" i="6"/>
  <c r="AJ1151" i="6" s="1"/>
  <c r="AK1151" i="6" s="1"/>
  <c r="AI1152" i="6"/>
  <c r="AJ1152" i="6" s="1"/>
  <c r="AK1152" i="6" s="1"/>
  <c r="AI1153" i="6"/>
  <c r="AJ1153" i="6" s="1"/>
  <c r="AK1153" i="6" s="1"/>
  <c r="AI1154" i="6"/>
  <c r="AJ1154" i="6" s="1"/>
  <c r="AK1154" i="6" s="1"/>
  <c r="AI1155" i="6"/>
  <c r="AJ1155" i="6" s="1"/>
  <c r="AK1155" i="6" s="1"/>
  <c r="AI1156" i="6"/>
  <c r="AJ1156" i="6" s="1"/>
  <c r="AK1156" i="6" s="1"/>
  <c r="AI1157" i="6"/>
  <c r="AJ1157" i="6" s="1"/>
  <c r="AK1157" i="6" s="1"/>
  <c r="AI1158" i="6"/>
  <c r="AJ1158" i="6" s="1"/>
  <c r="AK1158" i="6" s="1"/>
  <c r="AI1159" i="6"/>
  <c r="AJ1159" i="6" s="1"/>
  <c r="AK1159" i="6" s="1"/>
  <c r="AI1160" i="6"/>
  <c r="AJ1160" i="6" s="1"/>
  <c r="AK1160" i="6" s="1"/>
  <c r="AI1161" i="6"/>
  <c r="AJ1161" i="6" s="1"/>
  <c r="AK1161" i="6" s="1"/>
  <c r="AI1162" i="6"/>
  <c r="AJ1162" i="6" s="1"/>
  <c r="AK1162" i="6" s="1"/>
  <c r="AI1163" i="6"/>
  <c r="AJ1163" i="6" s="1"/>
  <c r="AK1163" i="6" s="1"/>
  <c r="AI1164" i="6"/>
  <c r="AJ1164" i="6" s="1"/>
  <c r="AK1164" i="6" s="1"/>
  <c r="AI1165" i="6"/>
  <c r="AJ1165" i="6" s="1"/>
  <c r="AK1165" i="6" s="1"/>
  <c r="AI1166" i="6"/>
  <c r="AJ1166" i="6" s="1"/>
  <c r="AK1166" i="6" s="1"/>
  <c r="AI1167" i="6"/>
  <c r="AJ1167" i="6" s="1"/>
  <c r="AK1167" i="6" s="1"/>
  <c r="AI1168" i="6"/>
  <c r="AJ1168" i="6" s="1"/>
  <c r="AK1168" i="6" s="1"/>
  <c r="AI1169" i="6"/>
  <c r="AJ1169" i="6" s="1"/>
  <c r="AK1169" i="6" s="1"/>
  <c r="AI1170" i="6"/>
  <c r="AJ1170" i="6" s="1"/>
  <c r="AK1170" i="6" s="1"/>
  <c r="AI1171" i="6"/>
  <c r="AJ1171" i="6" s="1"/>
  <c r="AK1171" i="6" s="1"/>
  <c r="AI1172" i="6"/>
  <c r="AJ1172" i="6" s="1"/>
  <c r="AK1172" i="6" s="1"/>
  <c r="AI1173" i="6"/>
  <c r="AJ1173" i="6" s="1"/>
  <c r="AK1173" i="6" s="1"/>
  <c r="AI1174" i="6"/>
  <c r="AJ1174" i="6" s="1"/>
  <c r="AK1174" i="6" s="1"/>
  <c r="AI1175" i="6"/>
  <c r="AJ1175" i="6" s="1"/>
  <c r="AK1175" i="6" s="1"/>
  <c r="AI1176" i="6"/>
  <c r="AJ1176" i="6" s="1"/>
  <c r="AK1176" i="6" s="1"/>
  <c r="AI1177" i="6"/>
  <c r="AJ1177" i="6" s="1"/>
  <c r="AK1177" i="6" s="1"/>
  <c r="AI1178" i="6"/>
  <c r="AJ1178" i="6" s="1"/>
  <c r="AK1178" i="6" s="1"/>
  <c r="AI1179" i="6"/>
  <c r="AJ1179" i="6" s="1"/>
  <c r="AK1179" i="6" s="1"/>
  <c r="AI1180" i="6"/>
  <c r="AJ1180" i="6" s="1"/>
  <c r="AK1180" i="6" s="1"/>
  <c r="AI1181" i="6"/>
  <c r="AJ1181" i="6" s="1"/>
  <c r="AK1181" i="6" s="1"/>
  <c r="AI1182" i="6"/>
  <c r="AJ1182" i="6" s="1"/>
  <c r="AK1182" i="6" s="1"/>
  <c r="AI1183" i="6"/>
  <c r="AJ1183" i="6" s="1"/>
  <c r="AK1183" i="6" s="1"/>
  <c r="AI1184" i="6"/>
  <c r="AJ1184" i="6" s="1"/>
  <c r="AK1184" i="6" s="1"/>
  <c r="AI1185" i="6"/>
  <c r="AJ1185" i="6" s="1"/>
  <c r="AK1185" i="6" s="1"/>
  <c r="AI1186" i="6"/>
  <c r="AJ1186" i="6" s="1"/>
  <c r="AK1186" i="6" s="1"/>
  <c r="AI1187" i="6"/>
  <c r="AJ1187" i="6" s="1"/>
  <c r="AK1187" i="6" s="1"/>
  <c r="AI1188" i="6"/>
  <c r="AJ1188" i="6" s="1"/>
  <c r="AK1188" i="6" s="1"/>
  <c r="AI1189" i="6"/>
  <c r="AJ1189" i="6" s="1"/>
  <c r="AK1189" i="6" s="1"/>
  <c r="AI1190" i="6"/>
  <c r="AJ1190" i="6" s="1"/>
  <c r="AK1190" i="6" s="1"/>
  <c r="AI1191" i="6"/>
  <c r="AJ1191" i="6" s="1"/>
  <c r="AK1191" i="6" s="1"/>
  <c r="AI1192" i="6"/>
  <c r="AJ1192" i="6" s="1"/>
  <c r="AK1192" i="6" s="1"/>
  <c r="AI1193" i="6"/>
  <c r="AJ1193" i="6" s="1"/>
  <c r="AK1193" i="6" s="1"/>
  <c r="AI1194" i="6"/>
  <c r="AJ1194" i="6" s="1"/>
  <c r="AK1194" i="6" s="1"/>
  <c r="AI1195" i="6"/>
  <c r="AJ1195" i="6" s="1"/>
  <c r="AK1195" i="6" s="1"/>
  <c r="AI1196" i="6"/>
  <c r="AJ1196" i="6" s="1"/>
  <c r="AK1196" i="6" s="1"/>
  <c r="AI1197" i="6"/>
  <c r="AJ1197" i="6" s="1"/>
  <c r="AK1197" i="6" s="1"/>
  <c r="AI1198" i="6"/>
  <c r="AJ1198" i="6" s="1"/>
  <c r="AK1198" i="6" s="1"/>
  <c r="AI1199" i="6"/>
  <c r="AJ1199" i="6" s="1"/>
  <c r="AK1199" i="6" s="1"/>
  <c r="AI1200" i="6"/>
  <c r="AJ1200" i="6" s="1"/>
  <c r="AK1200" i="6" s="1"/>
  <c r="AI1201" i="6"/>
  <c r="AJ1201" i="6" s="1"/>
  <c r="AK1201" i="6" s="1"/>
  <c r="AI1202" i="6"/>
  <c r="AJ1202" i="6" s="1"/>
  <c r="AK1202" i="6" s="1"/>
  <c r="AI1203" i="6"/>
  <c r="AJ1203" i="6" s="1"/>
  <c r="AK1203" i="6" s="1"/>
  <c r="AI1204" i="6"/>
  <c r="AJ1204" i="6" s="1"/>
  <c r="AK1204" i="6" s="1"/>
  <c r="AI1205" i="6"/>
  <c r="AJ1205" i="6" s="1"/>
  <c r="AK1205" i="6" s="1"/>
  <c r="AI1206" i="6"/>
  <c r="AJ1206" i="6" s="1"/>
  <c r="AK1206" i="6" s="1"/>
  <c r="AI1207" i="6"/>
  <c r="AJ1207" i="6" s="1"/>
  <c r="AK1207" i="6" s="1"/>
  <c r="AI1208" i="6"/>
  <c r="AJ1208" i="6" s="1"/>
  <c r="AK1208" i="6" s="1"/>
  <c r="AI1209" i="6"/>
  <c r="AJ1209" i="6" s="1"/>
  <c r="AK1209" i="6" s="1"/>
  <c r="AI1210" i="6"/>
  <c r="AJ1210" i="6" s="1"/>
  <c r="AK1210" i="6" s="1"/>
  <c r="AI1211" i="6"/>
  <c r="AJ1211" i="6" s="1"/>
  <c r="AK1211" i="6" s="1"/>
  <c r="AI1212" i="6"/>
  <c r="AJ1212" i="6" s="1"/>
  <c r="AK1212" i="6" s="1"/>
  <c r="AI1213" i="6"/>
  <c r="AJ1213" i="6" s="1"/>
  <c r="AK1213" i="6" s="1"/>
  <c r="AI1214" i="6"/>
  <c r="AJ1214" i="6" s="1"/>
  <c r="AK1214" i="6" s="1"/>
  <c r="AI1215" i="6"/>
  <c r="AJ1215" i="6" s="1"/>
  <c r="AK1215" i="6" s="1"/>
  <c r="AI1216" i="6"/>
  <c r="AJ1216" i="6" s="1"/>
  <c r="AK1216" i="6" s="1"/>
  <c r="AI1217" i="6"/>
  <c r="AJ1217" i="6" s="1"/>
  <c r="AK1217" i="6" s="1"/>
  <c r="AI1218" i="6"/>
  <c r="AJ1218" i="6" s="1"/>
  <c r="AK1218" i="6" s="1"/>
  <c r="AI1219" i="6"/>
  <c r="AJ1219" i="6" s="1"/>
  <c r="AK1219" i="6" s="1"/>
  <c r="AI1220" i="6"/>
  <c r="AJ1220" i="6" s="1"/>
  <c r="AK1220" i="6" s="1"/>
  <c r="AI1221" i="6"/>
  <c r="AJ1221" i="6" s="1"/>
  <c r="AK1221" i="6" s="1"/>
  <c r="AI1222" i="6"/>
  <c r="AJ1222" i="6" s="1"/>
  <c r="AK1222" i="6" s="1"/>
  <c r="AI1223" i="6"/>
  <c r="AJ1223" i="6" s="1"/>
  <c r="AK1223" i="6" s="1"/>
  <c r="AI1224" i="6"/>
  <c r="AJ1224" i="6" s="1"/>
  <c r="AK1224" i="6" s="1"/>
  <c r="AI1225" i="6"/>
  <c r="AJ1225" i="6" s="1"/>
  <c r="AK1225" i="6" s="1"/>
  <c r="AI1226" i="6"/>
  <c r="AJ1226" i="6" s="1"/>
  <c r="AK1226" i="6" s="1"/>
  <c r="AI1227" i="6"/>
  <c r="AJ1227" i="6" s="1"/>
  <c r="AK1227" i="6" s="1"/>
  <c r="AI1228" i="6"/>
  <c r="AJ1228" i="6" s="1"/>
  <c r="AK1228" i="6" s="1"/>
  <c r="AI1229" i="6"/>
  <c r="AJ1229" i="6" s="1"/>
  <c r="AK1229" i="6" s="1"/>
  <c r="AI1230" i="6"/>
  <c r="AJ1230" i="6" s="1"/>
  <c r="AK1230" i="6" s="1"/>
  <c r="AI1231" i="6"/>
  <c r="AJ1231" i="6" s="1"/>
  <c r="AK1231" i="6" s="1"/>
  <c r="AI1232" i="6"/>
  <c r="AJ1232" i="6" s="1"/>
  <c r="AK1232" i="6" s="1"/>
  <c r="AI1233" i="6"/>
  <c r="AJ1233" i="6" s="1"/>
  <c r="AK1233" i="6" s="1"/>
  <c r="AI1234" i="6"/>
  <c r="AJ1234" i="6" s="1"/>
  <c r="AK1234" i="6" s="1"/>
  <c r="AI1235" i="6"/>
  <c r="AJ1235" i="6" s="1"/>
  <c r="AK1235" i="6" s="1"/>
  <c r="AI1236" i="6"/>
  <c r="AJ1236" i="6" s="1"/>
  <c r="AK1236" i="6" s="1"/>
  <c r="AI1237" i="6"/>
  <c r="AJ1237" i="6" s="1"/>
  <c r="AK1237" i="6" s="1"/>
  <c r="AI1238" i="6"/>
  <c r="AJ1238" i="6" s="1"/>
  <c r="AK1238" i="6" s="1"/>
  <c r="AI1239" i="6"/>
  <c r="AJ1239" i="6" s="1"/>
  <c r="AK1239" i="6" s="1"/>
  <c r="AI1240" i="6"/>
  <c r="AJ1240" i="6" s="1"/>
  <c r="AK1240" i="6" s="1"/>
  <c r="AI1241" i="6"/>
  <c r="AJ1241" i="6" s="1"/>
  <c r="AK1241" i="6" s="1"/>
  <c r="AI1242" i="6"/>
  <c r="AJ1242" i="6" s="1"/>
  <c r="AK1242" i="6" s="1"/>
  <c r="AI1243" i="6"/>
  <c r="AJ1243" i="6" s="1"/>
  <c r="AK1243" i="6" s="1"/>
  <c r="AI1244" i="6"/>
  <c r="AJ1244" i="6" s="1"/>
  <c r="AK1244" i="6" s="1"/>
  <c r="AI1245" i="6"/>
  <c r="AJ1245" i="6" s="1"/>
  <c r="AK1245" i="6" s="1"/>
  <c r="AI1246" i="6"/>
  <c r="AJ1246" i="6" s="1"/>
  <c r="AK1246" i="6" s="1"/>
  <c r="AI1247" i="6"/>
  <c r="AJ1247" i="6" s="1"/>
  <c r="AK1247" i="6" s="1"/>
  <c r="AI1248" i="6"/>
  <c r="AJ1248" i="6" s="1"/>
  <c r="AK1248" i="6" s="1"/>
  <c r="AI1249" i="6"/>
  <c r="AJ1249" i="6" s="1"/>
  <c r="AK1249" i="6" s="1"/>
  <c r="AI1250" i="6"/>
  <c r="AJ1250" i="6" s="1"/>
  <c r="AK1250" i="6" s="1"/>
  <c r="AI1251" i="6"/>
  <c r="AJ1251" i="6" s="1"/>
  <c r="AK1251" i="6" s="1"/>
  <c r="AI1252" i="6"/>
  <c r="AJ1252" i="6" s="1"/>
  <c r="AK1252" i="6" s="1"/>
  <c r="AI1253" i="6"/>
  <c r="AJ1253" i="6" s="1"/>
  <c r="AK1253" i="6" s="1"/>
  <c r="AI1254" i="6"/>
  <c r="AJ1254" i="6" s="1"/>
  <c r="AK1254" i="6" s="1"/>
  <c r="AI1255" i="6"/>
  <c r="AJ1255" i="6" s="1"/>
  <c r="AK1255" i="6" s="1"/>
  <c r="AI1256" i="6"/>
  <c r="AJ1256" i="6" s="1"/>
  <c r="AK1256" i="6" s="1"/>
  <c r="AI1257" i="6"/>
  <c r="AJ1257" i="6" s="1"/>
  <c r="AK1257" i="6" s="1"/>
  <c r="AI1258" i="6"/>
  <c r="AJ1258" i="6" s="1"/>
  <c r="AK1258" i="6" s="1"/>
  <c r="AI1259" i="6"/>
  <c r="AJ1259" i="6" s="1"/>
  <c r="AK1259" i="6" s="1"/>
  <c r="AI1260" i="6"/>
  <c r="AJ1260" i="6" s="1"/>
  <c r="AK1260" i="6" s="1"/>
  <c r="AI1261" i="6"/>
  <c r="AJ1261" i="6" s="1"/>
  <c r="AK1261" i="6" s="1"/>
  <c r="AI1262" i="6"/>
  <c r="AJ1262" i="6" s="1"/>
  <c r="AK1262" i="6" s="1"/>
  <c r="AI1263" i="6"/>
  <c r="AJ1263" i="6" s="1"/>
  <c r="AK1263" i="6" s="1"/>
  <c r="AI1264" i="6"/>
  <c r="AJ1264" i="6" s="1"/>
  <c r="AK1264" i="6" s="1"/>
  <c r="AI1265" i="6"/>
  <c r="AJ1265" i="6" s="1"/>
  <c r="AK1265" i="6" s="1"/>
  <c r="AI1266" i="6"/>
  <c r="AJ1266" i="6" s="1"/>
  <c r="AK1266" i="6" s="1"/>
  <c r="AI1267" i="6"/>
  <c r="AJ1267" i="6" s="1"/>
  <c r="AK1267" i="6" s="1"/>
  <c r="AI1268" i="6"/>
  <c r="AJ1268" i="6" s="1"/>
  <c r="AK1268" i="6" s="1"/>
  <c r="AI1269" i="6"/>
  <c r="AJ1269" i="6" s="1"/>
  <c r="AK1269" i="6" s="1"/>
  <c r="AI1270" i="6"/>
  <c r="AJ1270" i="6" s="1"/>
  <c r="AK1270" i="6" s="1"/>
  <c r="AI1271" i="6"/>
  <c r="AJ1271" i="6" s="1"/>
  <c r="AK1271" i="6" s="1"/>
  <c r="AI1272" i="6"/>
  <c r="AJ1272" i="6" s="1"/>
  <c r="AK1272" i="6" s="1"/>
  <c r="AI1273" i="6"/>
  <c r="AJ1273" i="6" s="1"/>
  <c r="AK1273" i="6" s="1"/>
  <c r="AI1274" i="6"/>
  <c r="AJ1274" i="6" s="1"/>
  <c r="AK1274" i="6" s="1"/>
  <c r="AI1275" i="6"/>
  <c r="AJ1275" i="6" s="1"/>
  <c r="AK1275" i="6" s="1"/>
  <c r="AI1276" i="6"/>
  <c r="AJ1276" i="6" s="1"/>
  <c r="AK1276" i="6" s="1"/>
  <c r="AI1277" i="6"/>
  <c r="AJ1277" i="6" s="1"/>
  <c r="AK1277" i="6" s="1"/>
  <c r="AI1278" i="6"/>
  <c r="AJ1278" i="6" s="1"/>
  <c r="AK1278" i="6" s="1"/>
  <c r="AI1279" i="6"/>
  <c r="AJ1279" i="6" s="1"/>
  <c r="AK1279" i="6" s="1"/>
  <c r="AI1280" i="6"/>
  <c r="AJ1280" i="6" s="1"/>
  <c r="AK1280" i="6" s="1"/>
  <c r="AI1281" i="6"/>
  <c r="AJ1281" i="6" s="1"/>
  <c r="AK1281" i="6" s="1"/>
  <c r="AI1282" i="6"/>
  <c r="AJ1282" i="6" s="1"/>
  <c r="AK1282" i="6" s="1"/>
  <c r="AI1283" i="6"/>
  <c r="AJ1283" i="6" s="1"/>
  <c r="AK1283" i="6" s="1"/>
  <c r="AI1284" i="6"/>
  <c r="AJ1284" i="6" s="1"/>
  <c r="AK1284" i="6" s="1"/>
  <c r="AI1285" i="6"/>
  <c r="AJ1285" i="6" s="1"/>
  <c r="AK1285" i="6" s="1"/>
  <c r="AI1286" i="6"/>
  <c r="AJ1286" i="6" s="1"/>
  <c r="AK1286" i="6" s="1"/>
  <c r="AI1287" i="6"/>
  <c r="AJ1287" i="6" s="1"/>
  <c r="AK1287" i="6" s="1"/>
  <c r="AI1288" i="6"/>
  <c r="AJ1288" i="6" s="1"/>
  <c r="AK1288" i="6" s="1"/>
  <c r="AI1289" i="6"/>
  <c r="AJ1289" i="6" s="1"/>
  <c r="AK1289" i="6" s="1"/>
  <c r="AI1290" i="6"/>
  <c r="AJ1290" i="6" s="1"/>
  <c r="AK1290" i="6" s="1"/>
  <c r="AI1291" i="6"/>
  <c r="AJ1291" i="6" s="1"/>
  <c r="AK1291" i="6" s="1"/>
  <c r="AI1292" i="6"/>
  <c r="AJ1292" i="6" s="1"/>
  <c r="AK1292" i="6" s="1"/>
  <c r="AI1293" i="6"/>
  <c r="AJ1293" i="6" s="1"/>
  <c r="AK1293" i="6" s="1"/>
  <c r="AI1294" i="6"/>
  <c r="AJ1294" i="6" s="1"/>
  <c r="AK1294" i="6" s="1"/>
  <c r="AI1295" i="6"/>
  <c r="AJ1295" i="6" s="1"/>
  <c r="AK1295" i="6" s="1"/>
  <c r="AI1296" i="6"/>
  <c r="AJ1296" i="6" s="1"/>
  <c r="AK1296" i="6" s="1"/>
  <c r="AI1297" i="6"/>
  <c r="AJ1297" i="6" s="1"/>
  <c r="AK1297" i="6" s="1"/>
  <c r="AI1298" i="6"/>
  <c r="AJ1298" i="6" s="1"/>
  <c r="AK1298" i="6" s="1"/>
  <c r="AI1299" i="6"/>
  <c r="AJ1299" i="6" s="1"/>
  <c r="AK1299" i="6" s="1"/>
  <c r="AI1300" i="6"/>
  <c r="AJ1300" i="6" s="1"/>
  <c r="AK1300" i="6" s="1"/>
  <c r="AI1301" i="6"/>
  <c r="AJ1301" i="6" s="1"/>
  <c r="AK1301" i="6" s="1"/>
  <c r="AI1302" i="6"/>
  <c r="AJ1302" i="6" s="1"/>
  <c r="AK1302" i="6" s="1"/>
  <c r="AI1303" i="6"/>
  <c r="AJ1303" i="6" s="1"/>
  <c r="AK1303" i="6" s="1"/>
  <c r="AI1304" i="6"/>
  <c r="AJ1304" i="6" s="1"/>
  <c r="AK1304" i="6" s="1"/>
  <c r="AI1305" i="6"/>
  <c r="AJ1305" i="6" s="1"/>
  <c r="AK1305" i="6" s="1"/>
  <c r="AI1306" i="6"/>
  <c r="AJ1306" i="6" s="1"/>
  <c r="AK1306" i="6" s="1"/>
  <c r="AI1307" i="6"/>
  <c r="AJ1307" i="6" s="1"/>
  <c r="AK1307" i="6" s="1"/>
  <c r="AI1308" i="6"/>
  <c r="AJ1308" i="6" s="1"/>
  <c r="AK1308" i="6" s="1"/>
  <c r="AI1309" i="6"/>
  <c r="AJ1309" i="6" s="1"/>
  <c r="AK1309" i="6" s="1"/>
  <c r="AI1310" i="6"/>
  <c r="AJ1310" i="6" s="1"/>
  <c r="AK1310" i="6" s="1"/>
  <c r="AI1311" i="6"/>
  <c r="AJ1311" i="6" s="1"/>
  <c r="AK1311" i="6" s="1"/>
  <c r="AI1312" i="6"/>
  <c r="AJ1312" i="6" s="1"/>
  <c r="AK1312" i="6" s="1"/>
  <c r="AI1313" i="6"/>
  <c r="AJ1313" i="6" s="1"/>
  <c r="AK1313" i="6" s="1"/>
  <c r="AI1314" i="6"/>
  <c r="AJ1314" i="6" s="1"/>
  <c r="AK1314" i="6" s="1"/>
  <c r="AI1315" i="6"/>
  <c r="AJ1315" i="6" s="1"/>
  <c r="AK1315" i="6" s="1"/>
  <c r="AI1316" i="6"/>
  <c r="AJ1316" i="6" s="1"/>
  <c r="AK1316" i="6" s="1"/>
  <c r="AI1317" i="6"/>
  <c r="AJ1317" i="6" s="1"/>
  <c r="AK1317" i="6" s="1"/>
  <c r="AI1318" i="6"/>
  <c r="AJ1318" i="6" s="1"/>
  <c r="AK1318" i="6" s="1"/>
  <c r="AI1319" i="6"/>
  <c r="AJ1319" i="6" s="1"/>
  <c r="AK1319" i="6" s="1"/>
  <c r="AI1320" i="6"/>
  <c r="AJ1320" i="6" s="1"/>
  <c r="AK1320" i="6" s="1"/>
  <c r="AI1321" i="6"/>
  <c r="AJ1321" i="6" s="1"/>
  <c r="AK1321" i="6" s="1"/>
  <c r="AI1322" i="6"/>
  <c r="AJ1322" i="6" s="1"/>
  <c r="AK1322" i="6" s="1"/>
  <c r="AI1323" i="6"/>
  <c r="AJ1323" i="6" s="1"/>
  <c r="AK1323" i="6" s="1"/>
  <c r="AI1324" i="6"/>
  <c r="AJ1324" i="6" s="1"/>
  <c r="AK1324" i="6" s="1"/>
  <c r="AI1325" i="6"/>
  <c r="AJ1325" i="6" s="1"/>
  <c r="AK1325" i="6" s="1"/>
  <c r="AI1326" i="6"/>
  <c r="AJ1326" i="6" s="1"/>
  <c r="AK1326" i="6" s="1"/>
  <c r="AI1327" i="6"/>
  <c r="AJ1327" i="6" s="1"/>
  <c r="AK1327" i="6" s="1"/>
  <c r="AI1328" i="6"/>
  <c r="AJ1328" i="6" s="1"/>
  <c r="AK1328" i="6" s="1"/>
  <c r="AI1329" i="6"/>
  <c r="AJ1329" i="6" s="1"/>
  <c r="AK1329" i="6" s="1"/>
  <c r="AI1330" i="6"/>
  <c r="AJ1330" i="6" s="1"/>
  <c r="AK1330" i="6" s="1"/>
  <c r="AI1331" i="6"/>
  <c r="AJ1331" i="6" s="1"/>
  <c r="AK1331" i="6" s="1"/>
  <c r="AI1332" i="6"/>
  <c r="AJ1332" i="6" s="1"/>
  <c r="AK1332" i="6" s="1"/>
  <c r="AI1333" i="6"/>
  <c r="AJ1333" i="6" s="1"/>
  <c r="AK1333" i="6" s="1"/>
  <c r="AI1334" i="6"/>
  <c r="AJ1334" i="6" s="1"/>
  <c r="AK1334" i="6" s="1"/>
  <c r="AI1335" i="6"/>
  <c r="AJ1335" i="6" s="1"/>
  <c r="AK1335" i="6" s="1"/>
  <c r="AI1336" i="6"/>
  <c r="AJ1336" i="6" s="1"/>
  <c r="AK1336" i="6" s="1"/>
  <c r="AI1337" i="6"/>
  <c r="AJ1337" i="6" s="1"/>
  <c r="AK1337" i="6" s="1"/>
  <c r="AI1338" i="6"/>
  <c r="AJ1338" i="6" s="1"/>
  <c r="AK1338" i="6" s="1"/>
  <c r="AI1339" i="6"/>
  <c r="AJ1339" i="6" s="1"/>
  <c r="AK1339" i="6" s="1"/>
  <c r="AI1340" i="6"/>
  <c r="AJ1340" i="6" s="1"/>
  <c r="AK1340" i="6" s="1"/>
  <c r="AI1341" i="6"/>
  <c r="AJ1341" i="6" s="1"/>
  <c r="AK1341" i="6" s="1"/>
  <c r="AI1342" i="6"/>
  <c r="AJ1342" i="6" s="1"/>
  <c r="AK1342" i="6" s="1"/>
  <c r="AI1343" i="6"/>
  <c r="AJ1343" i="6" s="1"/>
  <c r="AK1343" i="6" s="1"/>
  <c r="AI1344" i="6"/>
  <c r="AJ1344" i="6" s="1"/>
  <c r="AK1344" i="6" s="1"/>
  <c r="AI1345" i="6"/>
  <c r="AJ1345" i="6" s="1"/>
  <c r="AK1345" i="6" s="1"/>
  <c r="AI1346" i="6"/>
  <c r="AJ1346" i="6" s="1"/>
  <c r="AK1346" i="6" s="1"/>
  <c r="AI1347" i="6"/>
  <c r="AJ1347" i="6" s="1"/>
  <c r="AK1347" i="6" s="1"/>
  <c r="AI1348" i="6"/>
  <c r="AJ1348" i="6" s="1"/>
  <c r="AK1348" i="6" s="1"/>
  <c r="AI1349" i="6"/>
  <c r="AJ1349" i="6" s="1"/>
  <c r="AK1349" i="6" s="1"/>
  <c r="AI1350" i="6"/>
  <c r="AJ1350" i="6" s="1"/>
  <c r="AK1350" i="6" s="1"/>
  <c r="AI1351" i="6"/>
  <c r="AJ1351" i="6" s="1"/>
  <c r="AK1351" i="6" s="1"/>
  <c r="AI1352" i="6"/>
  <c r="AJ1352" i="6" s="1"/>
  <c r="AK1352" i="6" s="1"/>
  <c r="AI1353" i="6"/>
  <c r="AJ1353" i="6" s="1"/>
  <c r="AK1353" i="6" s="1"/>
  <c r="AI1354" i="6"/>
  <c r="AJ1354" i="6" s="1"/>
  <c r="AK1354" i="6" s="1"/>
  <c r="AI1355" i="6"/>
  <c r="AJ1355" i="6" s="1"/>
  <c r="AK1355" i="6" s="1"/>
  <c r="AI1356" i="6"/>
  <c r="AJ1356" i="6" s="1"/>
  <c r="AK1356" i="6" s="1"/>
  <c r="AI1357" i="6"/>
  <c r="AJ1357" i="6" s="1"/>
  <c r="AK1357" i="6" s="1"/>
  <c r="AI1358" i="6"/>
  <c r="AJ1358" i="6" s="1"/>
  <c r="AK1358" i="6" s="1"/>
  <c r="AI1359" i="6"/>
  <c r="AJ1359" i="6" s="1"/>
  <c r="AK1359" i="6" s="1"/>
  <c r="AI1360" i="6"/>
  <c r="AJ1360" i="6" s="1"/>
  <c r="AK1360" i="6" s="1"/>
  <c r="AI1361" i="6"/>
  <c r="AJ1361" i="6" s="1"/>
  <c r="AK1361" i="6" s="1"/>
  <c r="AI1362" i="6"/>
  <c r="AJ1362" i="6" s="1"/>
  <c r="AK1362" i="6" s="1"/>
  <c r="AI1363" i="6"/>
  <c r="AJ1363" i="6" s="1"/>
  <c r="AK1363" i="6" s="1"/>
  <c r="AI1364" i="6"/>
  <c r="AJ1364" i="6" s="1"/>
  <c r="AK1364" i="6" s="1"/>
  <c r="AI1365" i="6"/>
  <c r="AJ1365" i="6" s="1"/>
  <c r="AK1365" i="6" s="1"/>
  <c r="AI1366" i="6"/>
  <c r="AJ1366" i="6" s="1"/>
  <c r="AK1366" i="6" s="1"/>
  <c r="AI1367" i="6"/>
  <c r="AJ1367" i="6" s="1"/>
  <c r="AK1367" i="6" s="1"/>
  <c r="AI1368" i="6"/>
  <c r="AJ1368" i="6" s="1"/>
  <c r="AK1368" i="6" s="1"/>
  <c r="AI1369" i="6"/>
  <c r="AJ1369" i="6" s="1"/>
  <c r="AK1369" i="6" s="1"/>
  <c r="AI1370" i="6"/>
  <c r="AJ1370" i="6" s="1"/>
  <c r="AK1370" i="6" s="1"/>
  <c r="AI1371" i="6"/>
  <c r="AJ1371" i="6" s="1"/>
  <c r="AK1371" i="6" s="1"/>
  <c r="AI1372" i="6"/>
  <c r="AI1373" i="6"/>
  <c r="AJ1373" i="6" s="1"/>
  <c r="AK1373" i="6" s="1"/>
  <c r="AI1374" i="6"/>
  <c r="AJ1374" i="6" s="1"/>
  <c r="AK1374" i="6" s="1"/>
  <c r="AI1375" i="6"/>
  <c r="AJ1375" i="6" s="1"/>
  <c r="AK1375" i="6" s="1"/>
  <c r="AI1376" i="6"/>
  <c r="AJ1376" i="6" s="1"/>
  <c r="AK1376" i="6" s="1"/>
  <c r="AI1377" i="6"/>
  <c r="AJ1377" i="6" s="1"/>
  <c r="AK1377" i="6" s="1"/>
  <c r="AI1378" i="6"/>
  <c r="AJ1378" i="6" s="1"/>
  <c r="AK1378" i="6" s="1"/>
  <c r="AI1379" i="6"/>
  <c r="AJ1379" i="6" s="1"/>
  <c r="AK1379" i="6" s="1"/>
  <c r="AI1380" i="6"/>
  <c r="AJ1380" i="6" s="1"/>
  <c r="AK1380" i="6" s="1"/>
  <c r="AI1381" i="6"/>
  <c r="AJ1381" i="6" s="1"/>
  <c r="AK1381" i="6" s="1"/>
  <c r="AI1382" i="6"/>
  <c r="AJ1382" i="6" s="1"/>
  <c r="AK1382" i="6" s="1"/>
  <c r="AI1383" i="6"/>
  <c r="AJ1383" i="6" s="1"/>
  <c r="AK1383" i="6" s="1"/>
  <c r="AI1384" i="6"/>
  <c r="AJ1384" i="6" s="1"/>
  <c r="AK1384" i="6" s="1"/>
  <c r="AI1385" i="6"/>
  <c r="AJ1385" i="6" s="1"/>
  <c r="AK1385" i="6" s="1"/>
  <c r="AI1386" i="6"/>
  <c r="AJ1386" i="6" s="1"/>
  <c r="AK1386" i="6" s="1"/>
  <c r="AI1387" i="6"/>
  <c r="AJ1387" i="6" s="1"/>
  <c r="AK1387" i="6" s="1"/>
  <c r="AI1388" i="6"/>
  <c r="AJ1388" i="6" s="1"/>
  <c r="AK1388" i="6" s="1"/>
  <c r="AI1389" i="6"/>
  <c r="AJ1389" i="6" s="1"/>
  <c r="AK1389" i="6" s="1"/>
  <c r="AI1390" i="6"/>
  <c r="AJ1390" i="6" s="1"/>
  <c r="AK1390" i="6" s="1"/>
  <c r="AI1391" i="6"/>
  <c r="AJ1391" i="6" s="1"/>
  <c r="AK1391" i="6" s="1"/>
  <c r="AI1392" i="6"/>
  <c r="AJ1392" i="6" s="1"/>
  <c r="AK1392" i="6" s="1"/>
  <c r="AI1393" i="6"/>
  <c r="AJ1393" i="6" s="1"/>
  <c r="AK1393" i="6" s="1"/>
  <c r="AI1394" i="6"/>
  <c r="AJ1394" i="6" s="1"/>
  <c r="AK1394" i="6" s="1"/>
  <c r="AI1395" i="6"/>
  <c r="AJ1395" i="6" s="1"/>
  <c r="AK1395" i="6" s="1"/>
  <c r="AI1396" i="6"/>
  <c r="AJ1396" i="6" s="1"/>
  <c r="AK1396" i="6" s="1"/>
  <c r="AI1397" i="6"/>
  <c r="AJ1397" i="6" s="1"/>
  <c r="AK1397" i="6" s="1"/>
  <c r="AI1398" i="6"/>
  <c r="AJ1398" i="6" s="1"/>
  <c r="AK1398" i="6" s="1"/>
  <c r="AI1399" i="6"/>
  <c r="AJ1399" i="6" s="1"/>
  <c r="AK1399" i="6" s="1"/>
  <c r="AI1400" i="6"/>
  <c r="AJ1400" i="6" s="1"/>
  <c r="AK1400" i="6" s="1"/>
  <c r="AI1401" i="6"/>
  <c r="AJ1401" i="6" s="1"/>
  <c r="AK1401" i="6" s="1"/>
  <c r="AI1402" i="6"/>
  <c r="AJ1402" i="6" s="1"/>
  <c r="AK1402" i="6" s="1"/>
  <c r="AI1403" i="6"/>
  <c r="AJ1403" i="6" s="1"/>
  <c r="AK1403" i="6" s="1"/>
  <c r="AI1404" i="6"/>
  <c r="AJ1404" i="6" s="1"/>
  <c r="AK1404" i="6" s="1"/>
  <c r="AI1405" i="6"/>
  <c r="AJ1405" i="6" s="1"/>
  <c r="AK1405" i="6" s="1"/>
  <c r="AI1406" i="6"/>
  <c r="AJ1406" i="6" s="1"/>
  <c r="AK1406" i="6" s="1"/>
  <c r="AI1407" i="6"/>
  <c r="AJ1407" i="6" s="1"/>
  <c r="AK1407" i="6" s="1"/>
  <c r="AI1408" i="6"/>
  <c r="AJ1408" i="6" s="1"/>
  <c r="AK1408" i="6" s="1"/>
  <c r="AI1409" i="6"/>
  <c r="AJ1409" i="6" s="1"/>
  <c r="AK1409" i="6" s="1"/>
  <c r="AI1410" i="6"/>
  <c r="AJ1410" i="6" s="1"/>
  <c r="AK1410" i="6" s="1"/>
  <c r="AI1411" i="6"/>
  <c r="AJ1411" i="6" s="1"/>
  <c r="AK1411" i="6" s="1"/>
  <c r="AI1412" i="6"/>
  <c r="AJ1412" i="6" s="1"/>
  <c r="AK1412" i="6" s="1"/>
  <c r="AI1413" i="6"/>
  <c r="AJ1413" i="6" s="1"/>
  <c r="AK1413" i="6" s="1"/>
  <c r="AI1414" i="6"/>
  <c r="AJ1414" i="6" s="1"/>
  <c r="AK1414" i="6" s="1"/>
  <c r="AI1415" i="6"/>
  <c r="AJ1415" i="6" s="1"/>
  <c r="AK1415" i="6" s="1"/>
  <c r="AI1416" i="6"/>
  <c r="AJ1416" i="6" s="1"/>
  <c r="AK1416" i="6" s="1"/>
  <c r="AI1417" i="6"/>
  <c r="AJ1417" i="6" s="1"/>
  <c r="AK1417" i="6" s="1"/>
  <c r="AI1418" i="6"/>
  <c r="AJ1418" i="6" s="1"/>
  <c r="AK1418" i="6" s="1"/>
  <c r="AI1419" i="6"/>
  <c r="AJ1419" i="6" s="1"/>
  <c r="AK1419" i="6" s="1"/>
  <c r="AI1420" i="6"/>
  <c r="AJ1420" i="6" s="1"/>
  <c r="AK1420" i="6" s="1"/>
  <c r="AI1421" i="6"/>
  <c r="AJ1421" i="6" s="1"/>
  <c r="AK1421" i="6" s="1"/>
  <c r="AI1422" i="6"/>
  <c r="AJ1422" i="6" s="1"/>
  <c r="AK1422" i="6" s="1"/>
  <c r="AI1423" i="6"/>
  <c r="AJ1423" i="6" s="1"/>
  <c r="AK1423" i="6" s="1"/>
  <c r="AI1424" i="6"/>
  <c r="AJ1424" i="6" s="1"/>
  <c r="AK1424" i="6" s="1"/>
  <c r="AI1425" i="6"/>
  <c r="AJ1425" i="6" s="1"/>
  <c r="AK1425" i="6" s="1"/>
  <c r="AI1426" i="6"/>
  <c r="AJ1426" i="6" s="1"/>
  <c r="AK1426" i="6" s="1"/>
  <c r="AI1427" i="6"/>
  <c r="AJ1427" i="6" s="1"/>
  <c r="AK1427" i="6" s="1"/>
  <c r="AI1428" i="6"/>
  <c r="AJ1428" i="6" s="1"/>
  <c r="AK1428" i="6" s="1"/>
  <c r="AI1429" i="6"/>
  <c r="AJ1429" i="6" s="1"/>
  <c r="AK1429" i="6" s="1"/>
  <c r="AI1430" i="6"/>
  <c r="AJ1430" i="6" s="1"/>
  <c r="AK1430" i="6" s="1"/>
  <c r="AI1431" i="6"/>
  <c r="AJ1431" i="6" s="1"/>
  <c r="AK1431" i="6" s="1"/>
  <c r="AI1432" i="6"/>
  <c r="AJ1432" i="6" s="1"/>
  <c r="AK1432" i="6" s="1"/>
  <c r="AI1433" i="6"/>
  <c r="AJ1433" i="6" s="1"/>
  <c r="AK1433" i="6" s="1"/>
  <c r="AI1434" i="6"/>
  <c r="AJ1434" i="6" s="1"/>
  <c r="AK1434" i="6" s="1"/>
  <c r="AI1435" i="6"/>
  <c r="AJ1435" i="6" s="1"/>
  <c r="AK1435" i="6" s="1"/>
  <c r="AI1436" i="6"/>
  <c r="AJ1436" i="6" s="1"/>
  <c r="AK1436" i="6" s="1"/>
  <c r="AI1437" i="6"/>
  <c r="AJ1437" i="6" s="1"/>
  <c r="AK1437" i="6" s="1"/>
  <c r="AI1438" i="6"/>
  <c r="AJ1438" i="6" s="1"/>
  <c r="AK1438" i="6" s="1"/>
  <c r="AI1439" i="6"/>
  <c r="AJ1439" i="6" s="1"/>
  <c r="AK1439" i="6" s="1"/>
  <c r="AI1440" i="6"/>
  <c r="AJ1440" i="6" s="1"/>
  <c r="AK1440" i="6" s="1"/>
  <c r="AI1441" i="6"/>
  <c r="AJ1441" i="6" s="1"/>
  <c r="AK1441" i="6" s="1"/>
  <c r="AI1442" i="6"/>
  <c r="AJ1442" i="6" s="1"/>
  <c r="AK1442" i="6" s="1"/>
  <c r="AI1443" i="6"/>
  <c r="AJ1443" i="6" s="1"/>
  <c r="AK1443" i="6" s="1"/>
  <c r="AI1444" i="6"/>
  <c r="AJ1444" i="6" s="1"/>
  <c r="AK1444" i="6" s="1"/>
  <c r="AI1445" i="6"/>
  <c r="AJ1445" i="6" s="1"/>
  <c r="AK1445" i="6" s="1"/>
  <c r="AI1446" i="6"/>
  <c r="AJ1446" i="6" s="1"/>
  <c r="AK1446" i="6" s="1"/>
  <c r="AI1447" i="6"/>
  <c r="AJ1447" i="6" s="1"/>
  <c r="AK1447" i="6" s="1"/>
  <c r="AI1448" i="6"/>
  <c r="AJ1448" i="6" s="1"/>
  <c r="AK1448" i="6" s="1"/>
  <c r="AI1449" i="6"/>
  <c r="AJ1449" i="6" s="1"/>
  <c r="AK1449" i="6" s="1"/>
  <c r="AI1450" i="6"/>
  <c r="AJ1450" i="6" s="1"/>
  <c r="AK1450" i="6" s="1"/>
  <c r="AI1451" i="6"/>
  <c r="AJ1451" i="6" s="1"/>
  <c r="AK1451" i="6" s="1"/>
  <c r="AI1452" i="6"/>
  <c r="AJ1452" i="6" s="1"/>
  <c r="AK1452" i="6" s="1"/>
  <c r="AI1453" i="6"/>
  <c r="AJ1453" i="6" s="1"/>
  <c r="AK1453" i="6" s="1"/>
  <c r="AI1454" i="6"/>
  <c r="AJ1454" i="6" s="1"/>
  <c r="AK1454" i="6" s="1"/>
  <c r="AI1455" i="6"/>
  <c r="AJ1455" i="6" s="1"/>
  <c r="AK1455" i="6" s="1"/>
  <c r="AI1456" i="6"/>
  <c r="AJ1456" i="6" s="1"/>
  <c r="AK1456" i="6" s="1"/>
  <c r="AI1457" i="6"/>
  <c r="AJ1457" i="6" s="1"/>
  <c r="AK1457" i="6" s="1"/>
  <c r="AI1458" i="6"/>
  <c r="AJ1458" i="6" s="1"/>
  <c r="AK1458" i="6" s="1"/>
  <c r="AI1459" i="6"/>
  <c r="AJ1459" i="6" s="1"/>
  <c r="AK1459" i="6" s="1"/>
  <c r="AI1460" i="6"/>
  <c r="AJ1460" i="6" s="1"/>
  <c r="AK1460" i="6" s="1"/>
  <c r="AI1461" i="6"/>
  <c r="AJ1461" i="6" s="1"/>
  <c r="AK1461" i="6" s="1"/>
  <c r="AI1462" i="6"/>
  <c r="AJ1462" i="6" s="1"/>
  <c r="AK1462" i="6" s="1"/>
  <c r="AI1463" i="6"/>
  <c r="AJ1463" i="6" s="1"/>
  <c r="AK1463" i="6" s="1"/>
  <c r="AI1464" i="6"/>
  <c r="AJ1464" i="6" s="1"/>
  <c r="AK1464" i="6" s="1"/>
  <c r="AI1465" i="6"/>
  <c r="AJ1465" i="6" s="1"/>
  <c r="AK1465" i="6" s="1"/>
  <c r="AI1466" i="6"/>
  <c r="AJ1466" i="6" s="1"/>
  <c r="AK1466" i="6" s="1"/>
  <c r="AI1467" i="6"/>
  <c r="AJ1467" i="6" s="1"/>
  <c r="AK1467" i="6" s="1"/>
  <c r="AI1468" i="6"/>
  <c r="AJ1468" i="6" s="1"/>
  <c r="AK1468" i="6" s="1"/>
  <c r="AI1469" i="6"/>
  <c r="AJ1469" i="6" s="1"/>
  <c r="AK1469" i="6" s="1"/>
  <c r="AI1470" i="6"/>
  <c r="AJ1470" i="6" s="1"/>
  <c r="AK1470" i="6" s="1"/>
  <c r="AI1471" i="6"/>
  <c r="AJ1471" i="6" s="1"/>
  <c r="AK1471" i="6" s="1"/>
  <c r="AI1472" i="6"/>
  <c r="AJ1472" i="6" s="1"/>
  <c r="AK1472" i="6" s="1"/>
  <c r="AI1473" i="6"/>
  <c r="AJ1473" i="6" s="1"/>
  <c r="AK1473" i="6" s="1"/>
  <c r="AI1474" i="6"/>
  <c r="AJ1474" i="6" s="1"/>
  <c r="AK1474" i="6" s="1"/>
  <c r="AI1475" i="6"/>
  <c r="AJ1475" i="6" s="1"/>
  <c r="AK1475" i="6" s="1"/>
  <c r="AI1476" i="6"/>
  <c r="AJ1476" i="6" s="1"/>
  <c r="AK1476" i="6" s="1"/>
  <c r="AI1477" i="6"/>
  <c r="AJ1477" i="6" s="1"/>
  <c r="AK1477" i="6" s="1"/>
  <c r="AI1478" i="6"/>
  <c r="AJ1478" i="6" s="1"/>
  <c r="AK1478" i="6" s="1"/>
  <c r="AI1479" i="6"/>
  <c r="AJ1479" i="6" s="1"/>
  <c r="AK1479" i="6" s="1"/>
  <c r="AI1480" i="6"/>
  <c r="AJ1480" i="6" s="1"/>
  <c r="AK1480" i="6" s="1"/>
  <c r="AI1481" i="6"/>
  <c r="AJ1481" i="6" s="1"/>
  <c r="AK1481" i="6" s="1"/>
  <c r="AI1482" i="6"/>
  <c r="AJ1482" i="6" s="1"/>
  <c r="AK1482" i="6" s="1"/>
  <c r="AI1483" i="6"/>
  <c r="AJ1483" i="6" s="1"/>
  <c r="AK1483" i="6" s="1"/>
  <c r="AI1484" i="6"/>
  <c r="AJ1484" i="6" s="1"/>
  <c r="AK1484" i="6" s="1"/>
  <c r="AI1485" i="6"/>
  <c r="AJ1485" i="6" s="1"/>
  <c r="AK1485" i="6" s="1"/>
  <c r="AI1486" i="6"/>
  <c r="AJ1486" i="6" s="1"/>
  <c r="AK1486" i="6" s="1"/>
  <c r="AI1487" i="6"/>
  <c r="AJ1487" i="6" s="1"/>
  <c r="AK1487" i="6" s="1"/>
  <c r="AI1488" i="6"/>
  <c r="AJ1488" i="6" s="1"/>
  <c r="AK1488" i="6" s="1"/>
  <c r="AI1489" i="6"/>
  <c r="AJ1489" i="6" s="1"/>
  <c r="AK1489" i="6" s="1"/>
  <c r="AI1490" i="6"/>
  <c r="AJ1490" i="6" s="1"/>
  <c r="AK1490" i="6" s="1"/>
  <c r="AI1491" i="6"/>
  <c r="AJ1491" i="6" s="1"/>
  <c r="AK1491" i="6" s="1"/>
  <c r="AI1492" i="6"/>
  <c r="AJ1492" i="6" s="1"/>
  <c r="AK1492" i="6" s="1"/>
  <c r="AI1493" i="6"/>
  <c r="AJ1493" i="6" s="1"/>
  <c r="AK1493" i="6" s="1"/>
  <c r="AI1494" i="6"/>
  <c r="AJ1494" i="6" s="1"/>
  <c r="AK1494" i="6" s="1"/>
  <c r="AI1495" i="6"/>
  <c r="AJ1495" i="6" s="1"/>
  <c r="AK1495" i="6" s="1"/>
  <c r="AI1496" i="6"/>
  <c r="AJ1496" i="6" s="1"/>
  <c r="AK1496" i="6" s="1"/>
  <c r="AI1497" i="6"/>
  <c r="AJ1497" i="6" s="1"/>
  <c r="AK1497" i="6" s="1"/>
  <c r="AI1498" i="6"/>
  <c r="AJ1498" i="6" s="1"/>
  <c r="AK1498" i="6" s="1"/>
  <c r="AI1499" i="6"/>
  <c r="AJ1499" i="6" s="1"/>
  <c r="AK1499" i="6" s="1"/>
  <c r="AI1500" i="6"/>
  <c r="AJ1500" i="6" s="1"/>
  <c r="AK1500" i="6" s="1"/>
  <c r="AI1501" i="6"/>
  <c r="AJ1501" i="6" s="1"/>
  <c r="AK1501" i="6" s="1"/>
  <c r="AI1502" i="6"/>
  <c r="AJ1502" i="6" s="1"/>
  <c r="AK1502" i="6" s="1"/>
  <c r="AI1503" i="6"/>
  <c r="AJ1503" i="6" s="1"/>
  <c r="AK1503" i="6" s="1"/>
  <c r="AI1504" i="6"/>
  <c r="AJ1504" i="6" s="1"/>
  <c r="AK1504" i="6" s="1"/>
  <c r="AI1505" i="6"/>
  <c r="AJ1505" i="6" s="1"/>
  <c r="AK1505" i="6" s="1"/>
  <c r="AI1506" i="6"/>
  <c r="AJ1506" i="6" s="1"/>
  <c r="AK1506" i="6" s="1"/>
  <c r="AI1507" i="6"/>
  <c r="AJ1507" i="6" s="1"/>
  <c r="AK1507" i="6" s="1"/>
  <c r="AI1508" i="6"/>
  <c r="AJ1508" i="6" s="1"/>
  <c r="AK1508" i="6" s="1"/>
  <c r="AI1509" i="6"/>
  <c r="AJ1509" i="6" s="1"/>
  <c r="AK1509" i="6" s="1"/>
  <c r="AI1510" i="6"/>
  <c r="AJ1510" i="6" s="1"/>
  <c r="AK1510" i="6" s="1"/>
  <c r="AI1511" i="6"/>
  <c r="AJ1511" i="6" s="1"/>
  <c r="AK1511" i="6" s="1"/>
  <c r="AI1512" i="6"/>
  <c r="AJ1512" i="6" s="1"/>
  <c r="AK1512" i="6" s="1"/>
  <c r="AI1513" i="6"/>
  <c r="AJ1513" i="6" s="1"/>
  <c r="AK1513" i="6" s="1"/>
  <c r="AI1514" i="6"/>
  <c r="AJ1514" i="6" s="1"/>
  <c r="AK1514" i="6" s="1"/>
  <c r="AI1515" i="6"/>
  <c r="AJ1515" i="6" s="1"/>
  <c r="AK1515" i="6" s="1"/>
  <c r="AI1516" i="6"/>
  <c r="AJ1516" i="6" s="1"/>
  <c r="AK1516" i="6" s="1"/>
  <c r="AI1517" i="6"/>
  <c r="AJ1517" i="6" s="1"/>
  <c r="AK1517" i="6" s="1"/>
  <c r="AI1518" i="6"/>
  <c r="AJ1518" i="6" s="1"/>
  <c r="AK1518" i="6" s="1"/>
  <c r="AI1519" i="6"/>
  <c r="AJ1519" i="6" s="1"/>
  <c r="AK1519" i="6" s="1"/>
  <c r="AI1520" i="6"/>
  <c r="AJ1520" i="6" s="1"/>
  <c r="AK1520" i="6" s="1"/>
  <c r="AI1521" i="6"/>
  <c r="AJ1521" i="6" s="1"/>
  <c r="AK1521" i="6" s="1"/>
  <c r="AI1522" i="6"/>
  <c r="AJ1522" i="6" s="1"/>
  <c r="AK1522" i="6" s="1"/>
  <c r="AI1523" i="6"/>
  <c r="AJ1523" i="6" s="1"/>
  <c r="AK1523" i="6" s="1"/>
  <c r="AI1524" i="6"/>
  <c r="AJ1524" i="6" s="1"/>
  <c r="AK1524" i="6" s="1"/>
  <c r="AI1525" i="6"/>
  <c r="AJ1525" i="6" s="1"/>
  <c r="AK1525" i="6" s="1"/>
  <c r="AI1526" i="6"/>
  <c r="AJ1526" i="6" s="1"/>
  <c r="AK1526" i="6" s="1"/>
  <c r="AI1527" i="6"/>
  <c r="AJ1527" i="6" s="1"/>
  <c r="AK1527" i="6" s="1"/>
  <c r="AI1528" i="6"/>
  <c r="AJ1528" i="6" s="1"/>
  <c r="AK1528" i="6" s="1"/>
  <c r="AI1529" i="6"/>
  <c r="AJ1529" i="6" s="1"/>
  <c r="AK1529" i="6" s="1"/>
  <c r="AI1530" i="6"/>
  <c r="AJ1530" i="6" s="1"/>
  <c r="AK1530" i="6" s="1"/>
  <c r="AI1531" i="6"/>
  <c r="AJ1531" i="6" s="1"/>
  <c r="AK1531" i="6" s="1"/>
  <c r="AI1532" i="6"/>
  <c r="AJ1532" i="6" s="1"/>
  <c r="AK1532" i="6" s="1"/>
  <c r="AI1533" i="6"/>
  <c r="AJ1533" i="6" s="1"/>
  <c r="AK1533" i="6" s="1"/>
  <c r="AI1534" i="6"/>
  <c r="AJ1534" i="6" s="1"/>
  <c r="AK1534" i="6" s="1"/>
  <c r="AI1535" i="6"/>
  <c r="AJ1535" i="6" s="1"/>
  <c r="AK1535" i="6" s="1"/>
  <c r="AI1536" i="6"/>
  <c r="AJ1536" i="6" s="1"/>
  <c r="AK1536" i="6" s="1"/>
  <c r="AI1537" i="6"/>
  <c r="AJ1537" i="6" s="1"/>
  <c r="AK1537" i="6" s="1"/>
  <c r="AI1538" i="6"/>
  <c r="AJ1538" i="6" s="1"/>
  <c r="AK1538" i="6" s="1"/>
  <c r="AI1539" i="6"/>
  <c r="AJ1539" i="6" s="1"/>
  <c r="AK1539" i="6" s="1"/>
  <c r="AI1540" i="6"/>
  <c r="AJ1540" i="6" s="1"/>
  <c r="AK1540" i="6" s="1"/>
  <c r="AI1541" i="6"/>
  <c r="AJ1541" i="6" s="1"/>
  <c r="AK1541" i="6" s="1"/>
  <c r="AI1542" i="6"/>
  <c r="AJ1542" i="6" s="1"/>
  <c r="AK1542" i="6" s="1"/>
  <c r="AI1543" i="6"/>
  <c r="AJ1543" i="6" s="1"/>
  <c r="AK1543" i="6" s="1"/>
  <c r="AI1544" i="6"/>
  <c r="AJ1544" i="6" s="1"/>
  <c r="AK1544" i="6" s="1"/>
  <c r="AI1545" i="6"/>
  <c r="AJ1545" i="6" s="1"/>
  <c r="AK1545" i="6" s="1"/>
  <c r="AI1546" i="6"/>
  <c r="AJ1546" i="6" s="1"/>
  <c r="AK1546" i="6" s="1"/>
  <c r="AI1547" i="6"/>
  <c r="AJ1547" i="6" s="1"/>
  <c r="AK1547" i="6" s="1"/>
  <c r="AI1548" i="6"/>
  <c r="AJ1548" i="6" s="1"/>
  <c r="AK1548" i="6" s="1"/>
  <c r="AI1549" i="6"/>
  <c r="AJ1549" i="6" s="1"/>
  <c r="AK1549" i="6" s="1"/>
  <c r="AI1550" i="6"/>
  <c r="AJ1550" i="6" s="1"/>
  <c r="AK1550" i="6" s="1"/>
  <c r="AI1551" i="6"/>
  <c r="AJ1551" i="6" s="1"/>
  <c r="AK1551" i="6" s="1"/>
  <c r="AI1552" i="6"/>
  <c r="AJ1552" i="6" s="1"/>
  <c r="AK1552" i="6" s="1"/>
  <c r="AI1553" i="6"/>
  <c r="AJ1553" i="6" s="1"/>
  <c r="AK1553" i="6" s="1"/>
  <c r="AI1554" i="6"/>
  <c r="AJ1554" i="6" s="1"/>
  <c r="AK1554" i="6" s="1"/>
  <c r="AI1555" i="6"/>
  <c r="AJ1555" i="6" s="1"/>
  <c r="AK1555" i="6" s="1"/>
  <c r="AI1556" i="6"/>
  <c r="AJ1556" i="6" s="1"/>
  <c r="AK1556" i="6" s="1"/>
  <c r="AI1557" i="6"/>
  <c r="AJ1557" i="6" s="1"/>
  <c r="AK1557" i="6" s="1"/>
  <c r="AI1558" i="6"/>
  <c r="AJ1558" i="6" s="1"/>
  <c r="AK1558" i="6" s="1"/>
  <c r="AI1559" i="6"/>
  <c r="AJ1559" i="6" s="1"/>
  <c r="AK1559" i="6" s="1"/>
  <c r="AI1560" i="6"/>
  <c r="AJ1560" i="6" s="1"/>
  <c r="AK1560" i="6" s="1"/>
  <c r="AI1561" i="6"/>
  <c r="AJ1561" i="6" s="1"/>
  <c r="AK1561" i="6" s="1"/>
  <c r="AI1562" i="6"/>
  <c r="AJ1562" i="6" s="1"/>
  <c r="AK1562" i="6" s="1"/>
  <c r="AI1563" i="6"/>
  <c r="AJ1563" i="6" s="1"/>
  <c r="AK1563" i="6" s="1"/>
  <c r="AI1564" i="6"/>
  <c r="AJ1564" i="6" s="1"/>
  <c r="AK1564" i="6" s="1"/>
  <c r="AI1565" i="6"/>
  <c r="AJ1565" i="6" s="1"/>
  <c r="AK1565" i="6" s="1"/>
  <c r="AI1566" i="6"/>
  <c r="AJ1566" i="6" s="1"/>
  <c r="AK1566" i="6" s="1"/>
  <c r="AI1567" i="6"/>
  <c r="AJ1567" i="6" s="1"/>
  <c r="AK1567" i="6" s="1"/>
  <c r="AI1568" i="6"/>
  <c r="AJ1568" i="6" s="1"/>
  <c r="AK1568" i="6" s="1"/>
  <c r="AI1569" i="6"/>
  <c r="AJ1569" i="6" s="1"/>
  <c r="AK1569" i="6" s="1"/>
  <c r="AI1570" i="6"/>
  <c r="AJ1570" i="6" s="1"/>
  <c r="AK1570" i="6" s="1"/>
  <c r="AI1571" i="6"/>
  <c r="AJ1571" i="6" s="1"/>
  <c r="AK1571" i="6" s="1"/>
  <c r="AI1572" i="6"/>
  <c r="AJ1572" i="6" s="1"/>
  <c r="AK1572" i="6" s="1"/>
  <c r="AI1573" i="6"/>
  <c r="AJ1573" i="6" s="1"/>
  <c r="AK1573" i="6" s="1"/>
  <c r="AI1574" i="6"/>
  <c r="AJ1574" i="6" s="1"/>
  <c r="AK1574" i="6" s="1"/>
  <c r="AI1575" i="6"/>
  <c r="AJ1575" i="6" s="1"/>
  <c r="AK1575" i="6" s="1"/>
  <c r="AI1576" i="6"/>
  <c r="AJ1576" i="6" s="1"/>
  <c r="AK1576" i="6" s="1"/>
  <c r="AI1577" i="6"/>
  <c r="AJ1577" i="6" s="1"/>
  <c r="AK1577" i="6" s="1"/>
  <c r="AI1578" i="6"/>
  <c r="AJ1578" i="6" s="1"/>
  <c r="AK1578" i="6" s="1"/>
  <c r="AI1579" i="6"/>
  <c r="AJ1579" i="6" s="1"/>
  <c r="AK1579" i="6" s="1"/>
  <c r="AI1580" i="6"/>
  <c r="AJ1580" i="6" s="1"/>
  <c r="AK1580" i="6" s="1"/>
  <c r="AI1581" i="6"/>
  <c r="AJ1581" i="6" s="1"/>
  <c r="AK1581" i="6" s="1"/>
  <c r="AI1582" i="6"/>
  <c r="AJ1582" i="6" s="1"/>
  <c r="AK1582" i="6" s="1"/>
  <c r="AI1583" i="6"/>
  <c r="AJ1583" i="6" s="1"/>
  <c r="AK1583" i="6" s="1"/>
  <c r="AI1584" i="6"/>
  <c r="AJ1584" i="6" s="1"/>
  <c r="AK1584" i="6" s="1"/>
  <c r="AI1585" i="6"/>
  <c r="AJ1585" i="6" s="1"/>
  <c r="AK1585" i="6" s="1"/>
  <c r="AI1586" i="6"/>
  <c r="AJ1586" i="6" s="1"/>
  <c r="AK1586" i="6" s="1"/>
  <c r="AI1587" i="6"/>
  <c r="AJ1587" i="6" s="1"/>
  <c r="AK1587" i="6" s="1"/>
  <c r="AI1588" i="6"/>
  <c r="AJ1588" i="6" s="1"/>
  <c r="AK1588" i="6" s="1"/>
  <c r="AI1589" i="6"/>
  <c r="AJ1589" i="6" s="1"/>
  <c r="AK1589" i="6" s="1"/>
  <c r="AI1590" i="6"/>
  <c r="AJ1590" i="6" s="1"/>
  <c r="AK1590" i="6" s="1"/>
  <c r="AI1591" i="6"/>
  <c r="AJ1591" i="6" s="1"/>
  <c r="AK1591" i="6" s="1"/>
  <c r="AI1592" i="6"/>
  <c r="AJ1592" i="6" s="1"/>
  <c r="AK1592" i="6" s="1"/>
  <c r="AI1593" i="6"/>
  <c r="AJ1593" i="6" s="1"/>
  <c r="AK1593" i="6" s="1"/>
  <c r="AI1594" i="6"/>
  <c r="AJ1594" i="6" s="1"/>
  <c r="AK1594" i="6" s="1"/>
  <c r="AI1595" i="6"/>
  <c r="AJ1595" i="6" s="1"/>
  <c r="AK1595" i="6" s="1"/>
  <c r="AI1596" i="6"/>
  <c r="AJ1596" i="6" s="1"/>
  <c r="AK1596" i="6" s="1"/>
  <c r="AI1597" i="6"/>
  <c r="AJ1597" i="6" s="1"/>
  <c r="AK1597" i="6" s="1"/>
  <c r="AI1598" i="6"/>
  <c r="AJ1598" i="6" s="1"/>
  <c r="AK1598" i="6" s="1"/>
  <c r="AI1599" i="6"/>
  <c r="AJ1599" i="6" s="1"/>
  <c r="AK1599" i="6" s="1"/>
  <c r="AI1600" i="6"/>
  <c r="AJ1600" i="6" s="1"/>
  <c r="AK1600" i="6" s="1"/>
  <c r="AI1601" i="6"/>
  <c r="AJ1601" i="6" s="1"/>
  <c r="AK1601" i="6" s="1"/>
  <c r="AI1602" i="6"/>
  <c r="AJ1602" i="6" s="1"/>
  <c r="AK1602" i="6" s="1"/>
  <c r="AI1603" i="6"/>
  <c r="AJ1603" i="6" s="1"/>
  <c r="AK1603" i="6" s="1"/>
  <c r="AI1604" i="6"/>
  <c r="AI1605" i="6"/>
  <c r="AJ1605" i="6" s="1"/>
  <c r="AK1605" i="6" s="1"/>
  <c r="AI1606" i="6"/>
  <c r="AJ1606" i="6" s="1"/>
  <c r="AK1606" i="6" s="1"/>
  <c r="AI1607" i="6"/>
  <c r="AJ1607" i="6" s="1"/>
  <c r="AK1607" i="6" s="1"/>
  <c r="AI1608" i="6"/>
  <c r="AI1609" i="6"/>
  <c r="AJ1609" i="6" s="1"/>
  <c r="AK1609" i="6" s="1"/>
  <c r="AI1610" i="6"/>
  <c r="AJ1610" i="6" s="1"/>
  <c r="AK1610" i="6" s="1"/>
  <c r="AI1611" i="6"/>
  <c r="AJ1611" i="6" s="1"/>
  <c r="AK1611" i="6" s="1"/>
  <c r="AI1612" i="6"/>
  <c r="AI1613" i="6"/>
  <c r="AJ1613" i="6" s="1"/>
  <c r="AK1613" i="6" s="1"/>
  <c r="AI1614" i="6"/>
  <c r="AJ1614" i="6" s="1"/>
  <c r="AK1614" i="6" s="1"/>
  <c r="AI1615" i="6"/>
  <c r="AJ1615" i="6" s="1"/>
  <c r="AK1615" i="6" s="1"/>
  <c r="AI1616" i="6"/>
  <c r="AI1617" i="6"/>
  <c r="AJ1617" i="6" s="1"/>
  <c r="AK1617" i="6" s="1"/>
  <c r="AI1618" i="6"/>
  <c r="AJ1618" i="6" s="1"/>
  <c r="AK1618" i="6" s="1"/>
  <c r="AI1619" i="6"/>
  <c r="AJ1619" i="6" s="1"/>
  <c r="AK1619" i="6" s="1"/>
  <c r="AI1620" i="6"/>
  <c r="AI1621" i="6"/>
  <c r="AJ1621" i="6" s="1"/>
  <c r="AK1621" i="6" s="1"/>
  <c r="AI1622" i="6"/>
  <c r="AJ1622" i="6" s="1"/>
  <c r="AK1622" i="6" s="1"/>
  <c r="AI1623" i="6"/>
  <c r="AJ1623" i="6" s="1"/>
  <c r="AK1623" i="6" s="1"/>
  <c r="AI1624" i="6"/>
  <c r="AI1625" i="6"/>
  <c r="AJ1625" i="6" s="1"/>
  <c r="AK1625" i="6" s="1"/>
  <c r="AI1626" i="6"/>
  <c r="AJ1626" i="6" s="1"/>
  <c r="AK1626" i="6" s="1"/>
  <c r="AI1627" i="6"/>
  <c r="AJ1627" i="6" s="1"/>
  <c r="AK1627" i="6" s="1"/>
  <c r="AI1628" i="6"/>
  <c r="AI1629" i="6"/>
  <c r="AJ1629" i="6" s="1"/>
  <c r="AK1629" i="6" s="1"/>
  <c r="AI1630" i="6"/>
  <c r="AJ1630" i="6" s="1"/>
  <c r="AK1630" i="6" s="1"/>
  <c r="AI1631" i="6"/>
  <c r="AJ1631" i="6" s="1"/>
  <c r="AK1631" i="6" s="1"/>
  <c r="AI1632" i="6"/>
  <c r="AJ1632" i="6" s="1"/>
  <c r="AK1632" i="6" s="1"/>
  <c r="AI1633" i="6"/>
  <c r="AJ1633" i="6" s="1"/>
  <c r="AK1633" i="6" s="1"/>
  <c r="AI1634" i="6"/>
  <c r="AJ1634" i="6" s="1"/>
  <c r="AK1634" i="6" s="1"/>
  <c r="AI1635" i="6"/>
  <c r="AJ1635" i="6" s="1"/>
  <c r="AK1635" i="6" s="1"/>
  <c r="AI1636" i="6"/>
  <c r="AI1637" i="6"/>
  <c r="AJ1637" i="6" s="1"/>
  <c r="AK1637" i="6" s="1"/>
  <c r="AI1638" i="6"/>
  <c r="AJ1638" i="6" s="1"/>
  <c r="AK1638" i="6" s="1"/>
  <c r="AI1639" i="6"/>
  <c r="AJ1639" i="6" s="1"/>
  <c r="AK1639" i="6" s="1"/>
  <c r="AI1640" i="6"/>
  <c r="AJ1640" i="6" s="1"/>
  <c r="AK1640" i="6" s="1"/>
  <c r="AI1641" i="6"/>
  <c r="AJ1641" i="6" s="1"/>
  <c r="AK1641" i="6" s="1"/>
  <c r="AI1642" i="6"/>
  <c r="AJ1642" i="6" s="1"/>
  <c r="AK1642" i="6" s="1"/>
  <c r="AI1643" i="6"/>
  <c r="AJ1643" i="6" s="1"/>
  <c r="AK1643" i="6" s="1"/>
  <c r="AI1644" i="6"/>
  <c r="AI1645" i="6"/>
  <c r="AJ1645" i="6" s="1"/>
  <c r="AK1645" i="6" s="1"/>
  <c r="AI1646" i="6"/>
  <c r="AJ1646" i="6" s="1"/>
  <c r="AK1646" i="6" s="1"/>
  <c r="AI1647" i="6"/>
  <c r="AJ1647" i="6" s="1"/>
  <c r="AK1647" i="6" s="1"/>
  <c r="AI1648" i="6"/>
  <c r="AJ1648" i="6" s="1"/>
  <c r="AK1648" i="6" s="1"/>
  <c r="AI1649" i="6"/>
  <c r="AJ1649" i="6" s="1"/>
  <c r="AK1649" i="6" s="1"/>
  <c r="AI1650" i="6"/>
  <c r="AJ1650" i="6" s="1"/>
  <c r="AK1650" i="6" s="1"/>
  <c r="AI1651" i="6"/>
  <c r="AJ1651" i="6" s="1"/>
  <c r="AK1651" i="6" s="1"/>
  <c r="AI1652" i="6"/>
  <c r="AJ1652" i="6" s="1"/>
  <c r="AK1652" i="6" s="1"/>
  <c r="AI1653" i="6"/>
  <c r="AJ1653" i="6" s="1"/>
  <c r="AK1653" i="6" s="1"/>
  <c r="AI1654" i="6"/>
  <c r="AJ1654" i="6" s="1"/>
  <c r="AK1654" i="6" s="1"/>
  <c r="AI1655" i="6"/>
  <c r="AJ1655" i="6" s="1"/>
  <c r="AK1655" i="6" s="1"/>
  <c r="AI1656" i="6"/>
  <c r="AJ1656" i="6" s="1"/>
  <c r="AK1656" i="6" s="1"/>
  <c r="AI1657" i="6"/>
  <c r="AJ1657" i="6" s="1"/>
  <c r="AK1657" i="6" s="1"/>
  <c r="AI1658" i="6"/>
  <c r="AJ1658" i="6" s="1"/>
  <c r="AK1658" i="6" s="1"/>
  <c r="AI1659" i="6"/>
  <c r="AJ1659" i="6" s="1"/>
  <c r="AK1659" i="6" s="1"/>
  <c r="AI1660" i="6"/>
  <c r="AJ1660" i="6" s="1"/>
  <c r="AK1660" i="6" s="1"/>
  <c r="AI1661" i="6"/>
  <c r="AJ1661" i="6" s="1"/>
  <c r="AK1661" i="6" s="1"/>
  <c r="AI1662" i="6"/>
  <c r="AJ1662" i="6" s="1"/>
  <c r="AK1662" i="6" s="1"/>
  <c r="AI1663" i="6"/>
  <c r="AJ1663" i="6" s="1"/>
  <c r="AK1663" i="6" s="1"/>
  <c r="AI1664" i="6"/>
  <c r="AI1665" i="6"/>
  <c r="AJ1665" i="6" s="1"/>
  <c r="AK1665" i="6" s="1"/>
  <c r="AI1666" i="6"/>
  <c r="AJ1666" i="6" s="1"/>
  <c r="AK1666" i="6" s="1"/>
  <c r="AI1667" i="6"/>
  <c r="AJ1667" i="6" s="1"/>
  <c r="AK1667" i="6" s="1"/>
  <c r="AI1668" i="6"/>
  <c r="AJ1668" i="6" s="1"/>
  <c r="AK1668" i="6" s="1"/>
  <c r="AI1669" i="6"/>
  <c r="AJ1669" i="6" s="1"/>
  <c r="AK1669" i="6" s="1"/>
  <c r="AI1670" i="6"/>
  <c r="AJ1670" i="6" s="1"/>
  <c r="AK1670" i="6" s="1"/>
  <c r="AI1671" i="6"/>
  <c r="AJ1671" i="6" s="1"/>
  <c r="AK1671" i="6" s="1"/>
  <c r="AI1672" i="6"/>
  <c r="AI1673" i="6"/>
  <c r="AJ1673" i="6" s="1"/>
  <c r="AK1673" i="6" s="1"/>
  <c r="AI1674" i="6"/>
  <c r="AJ1674" i="6" s="1"/>
  <c r="AK1674" i="6" s="1"/>
  <c r="AI1675" i="6"/>
  <c r="AJ1675" i="6" s="1"/>
  <c r="AK1675" i="6" s="1"/>
  <c r="AI1676" i="6"/>
  <c r="AJ1676" i="6" s="1"/>
  <c r="AK1676" i="6" s="1"/>
  <c r="AI1677" i="6"/>
  <c r="AJ1677" i="6" s="1"/>
  <c r="AK1677" i="6" s="1"/>
  <c r="AI1678" i="6"/>
  <c r="AJ1678" i="6" s="1"/>
  <c r="AK1678" i="6" s="1"/>
  <c r="AI1679" i="6"/>
  <c r="AJ1679" i="6" s="1"/>
  <c r="AK1679" i="6" s="1"/>
  <c r="AI1680" i="6"/>
  <c r="AI1681" i="6"/>
  <c r="AJ1681" i="6" s="1"/>
  <c r="AK1681" i="6" s="1"/>
  <c r="AI1682" i="6"/>
  <c r="AJ1682" i="6" s="1"/>
  <c r="AK1682" i="6" s="1"/>
  <c r="AI1683" i="6"/>
  <c r="AJ1683" i="6" s="1"/>
  <c r="AK1683" i="6" s="1"/>
  <c r="AI1684" i="6"/>
  <c r="AJ1684" i="6" s="1"/>
  <c r="AK1684" i="6" s="1"/>
  <c r="AI1685" i="6"/>
  <c r="AJ1685" i="6" s="1"/>
  <c r="AK1685" i="6" s="1"/>
  <c r="AI1686" i="6"/>
  <c r="AJ1686" i="6" s="1"/>
  <c r="AK1686" i="6" s="1"/>
  <c r="AI1687" i="6"/>
  <c r="AJ1687" i="6" s="1"/>
  <c r="AK1687" i="6" s="1"/>
  <c r="AI1688" i="6"/>
  <c r="AI1689" i="6"/>
  <c r="AJ1689" i="6" s="1"/>
  <c r="AK1689" i="6" s="1"/>
  <c r="AI1690" i="6"/>
  <c r="AJ1690" i="6" s="1"/>
  <c r="AK1690" i="6" s="1"/>
  <c r="AI1691" i="6"/>
  <c r="AJ1691" i="6" s="1"/>
  <c r="AK1691" i="6" s="1"/>
  <c r="AI1692" i="6"/>
  <c r="AJ1692" i="6" s="1"/>
  <c r="AK1692" i="6" s="1"/>
  <c r="AI1693" i="6"/>
  <c r="AJ1693" i="6" s="1"/>
  <c r="AK1693" i="6" s="1"/>
  <c r="AI1694" i="6"/>
  <c r="AJ1694" i="6" s="1"/>
  <c r="AK1694" i="6" s="1"/>
  <c r="AI1695" i="6"/>
  <c r="AJ1695" i="6" s="1"/>
  <c r="AK1695" i="6" s="1"/>
  <c r="AI1696" i="6"/>
  <c r="AI1697" i="6"/>
  <c r="AJ1697" i="6" s="1"/>
  <c r="AK1697" i="6" s="1"/>
  <c r="AI1698" i="6"/>
  <c r="AJ1698" i="6" s="1"/>
  <c r="AK1698" i="6" s="1"/>
  <c r="AI1699" i="6"/>
  <c r="AJ1699" i="6" s="1"/>
  <c r="AK1699" i="6" s="1"/>
  <c r="AI1700" i="6"/>
  <c r="AJ1700" i="6" s="1"/>
  <c r="AK1700" i="6" s="1"/>
  <c r="AI1701" i="6"/>
  <c r="AJ1701" i="6" s="1"/>
  <c r="AK1701" i="6" s="1"/>
  <c r="AI1702" i="6"/>
  <c r="AJ1702" i="6" s="1"/>
  <c r="AK1702" i="6" s="1"/>
  <c r="AI1703" i="6"/>
  <c r="AJ1703" i="6" s="1"/>
  <c r="AK1703" i="6" s="1"/>
  <c r="AI1704" i="6"/>
  <c r="AJ1704" i="6" s="1"/>
  <c r="AK1704" i="6" s="1"/>
  <c r="AI1705" i="6"/>
  <c r="AJ1705" i="6" s="1"/>
  <c r="AK1705" i="6" s="1"/>
  <c r="AI1706" i="6"/>
  <c r="AJ1706" i="6" s="1"/>
  <c r="AK1706" i="6" s="1"/>
  <c r="AI1707" i="6"/>
  <c r="AJ1707" i="6" s="1"/>
  <c r="AK1707" i="6" s="1"/>
  <c r="AI1708" i="6"/>
  <c r="AI1709" i="6"/>
  <c r="AJ1709" i="6" s="1"/>
  <c r="AK1709" i="6" s="1"/>
  <c r="AI1710" i="6"/>
  <c r="AJ1710" i="6" s="1"/>
  <c r="AK1710" i="6" s="1"/>
  <c r="AI1711" i="6"/>
  <c r="AJ1711" i="6" s="1"/>
  <c r="AK1711" i="6" s="1"/>
  <c r="AI1712" i="6"/>
  <c r="AI1713" i="6"/>
  <c r="AJ1713" i="6" s="1"/>
  <c r="AK1713" i="6" s="1"/>
  <c r="AI1714" i="6"/>
  <c r="AJ1714" i="6" s="1"/>
  <c r="AK1714" i="6" s="1"/>
  <c r="AI1715" i="6"/>
  <c r="AJ1715" i="6" s="1"/>
  <c r="AK1715" i="6" s="1"/>
  <c r="AI1716" i="6"/>
  <c r="AJ1716" i="6" s="1"/>
  <c r="AK1716" i="6" s="1"/>
  <c r="AI1717" i="6"/>
  <c r="AJ1717" i="6" s="1"/>
  <c r="AK1717" i="6" s="1"/>
  <c r="AI1718" i="6"/>
  <c r="AJ1718" i="6" s="1"/>
  <c r="AK1718" i="6" s="1"/>
  <c r="AI1719" i="6"/>
  <c r="AJ1719" i="6" s="1"/>
  <c r="AK1719" i="6" s="1"/>
  <c r="AI1720" i="6"/>
  <c r="AI1721" i="6"/>
  <c r="AJ1721" i="6" s="1"/>
  <c r="AK1721" i="6" s="1"/>
  <c r="AI1722" i="6"/>
  <c r="AJ1722" i="6" s="1"/>
  <c r="AK1722" i="6" s="1"/>
  <c r="AI1723" i="6"/>
  <c r="AJ1723" i="6" s="1"/>
  <c r="AK1723" i="6" s="1"/>
  <c r="AI1724" i="6"/>
  <c r="AJ1724" i="6" s="1"/>
  <c r="AK1724" i="6" s="1"/>
  <c r="AI1725" i="6"/>
  <c r="AJ1725" i="6" s="1"/>
  <c r="AK1725" i="6" s="1"/>
  <c r="AI1726" i="6"/>
  <c r="AJ1726" i="6" s="1"/>
  <c r="AK1726" i="6" s="1"/>
  <c r="AI1727" i="6"/>
  <c r="AJ1727" i="6" s="1"/>
  <c r="AK1727" i="6" s="1"/>
  <c r="AI1728" i="6"/>
  <c r="AJ1728" i="6" s="1"/>
  <c r="AK1728" i="6" s="1"/>
  <c r="AI1729" i="6"/>
  <c r="AJ1729" i="6" s="1"/>
  <c r="AK1729" i="6" s="1"/>
  <c r="AI1730" i="6"/>
  <c r="AJ1730" i="6" s="1"/>
  <c r="AK1730" i="6" s="1"/>
  <c r="AI1731" i="6"/>
  <c r="AJ1731" i="6" s="1"/>
  <c r="AK1731" i="6" s="1"/>
  <c r="AI1732" i="6"/>
  <c r="AI1733" i="6"/>
  <c r="AJ1733" i="6" s="1"/>
  <c r="AK1733" i="6" s="1"/>
  <c r="AI1734" i="6"/>
  <c r="AJ1734" i="6" s="1"/>
  <c r="AK1734" i="6" s="1"/>
  <c r="AI1735" i="6"/>
  <c r="AJ1735" i="6" s="1"/>
  <c r="AK1735" i="6" s="1"/>
  <c r="AI1736" i="6"/>
  <c r="AI1737" i="6"/>
  <c r="AJ1737" i="6" s="1"/>
  <c r="AK1737" i="6" s="1"/>
  <c r="AI1738" i="6"/>
  <c r="AJ1738" i="6" s="1"/>
  <c r="AK1738" i="6" s="1"/>
  <c r="AI1739" i="6"/>
  <c r="AJ1739" i="6" s="1"/>
  <c r="AK1739" i="6" s="1"/>
  <c r="AI1740" i="6"/>
  <c r="AJ1740" i="6" s="1"/>
  <c r="AK1740" i="6" s="1"/>
  <c r="AI1741" i="6"/>
  <c r="AJ1741" i="6" s="1"/>
  <c r="AK1741" i="6" s="1"/>
  <c r="AI1742" i="6"/>
  <c r="AJ1742" i="6" s="1"/>
  <c r="AK1742" i="6" s="1"/>
  <c r="AI1743" i="6"/>
  <c r="AJ1743" i="6" s="1"/>
  <c r="AK1743" i="6" s="1"/>
  <c r="AI1744" i="6"/>
  <c r="AJ1744" i="6" s="1"/>
  <c r="AK1744" i="6" s="1"/>
  <c r="AI1745" i="6"/>
  <c r="AJ1745" i="6" s="1"/>
  <c r="AK1745" i="6" s="1"/>
  <c r="AI1746" i="6"/>
  <c r="AJ1746" i="6" s="1"/>
  <c r="AK1746" i="6" s="1"/>
  <c r="AI1747" i="6"/>
  <c r="AJ1747" i="6" s="1"/>
  <c r="AK1747" i="6" s="1"/>
  <c r="AI1748" i="6"/>
  <c r="AI1749" i="6"/>
  <c r="AJ1749" i="6" s="1"/>
  <c r="AK1749" i="6" s="1"/>
  <c r="AI1750" i="6"/>
  <c r="AJ1750" i="6" s="1"/>
  <c r="AK1750" i="6" s="1"/>
  <c r="AI1751" i="6"/>
  <c r="AJ1751" i="6" s="1"/>
  <c r="AK1751" i="6" s="1"/>
  <c r="AI1752" i="6"/>
  <c r="AI1753" i="6"/>
  <c r="AJ1753" i="6" s="1"/>
  <c r="AK1753" i="6" s="1"/>
  <c r="AI1754" i="6"/>
  <c r="AJ1754" i="6" s="1"/>
  <c r="AK1754" i="6" s="1"/>
  <c r="AI1755" i="6"/>
  <c r="AJ1755" i="6" s="1"/>
  <c r="AK1755" i="6" s="1"/>
  <c r="AI1756" i="6"/>
  <c r="AI1757" i="6"/>
  <c r="AJ1757" i="6" s="1"/>
  <c r="AK1757" i="6" s="1"/>
  <c r="AI1758" i="6"/>
  <c r="AJ1758" i="6" s="1"/>
  <c r="AK1758" i="6" s="1"/>
  <c r="AI1759" i="6"/>
  <c r="AJ1759" i="6" s="1"/>
  <c r="AK1759" i="6" s="1"/>
  <c r="AI1760" i="6"/>
  <c r="AJ1760" i="6" s="1"/>
  <c r="AK1760" i="6" s="1"/>
  <c r="AI1761" i="6"/>
  <c r="AJ1761" i="6" s="1"/>
  <c r="AK1761" i="6" s="1"/>
  <c r="AI1762" i="6"/>
  <c r="AJ1762" i="6" s="1"/>
  <c r="AK1762" i="6" s="1"/>
  <c r="AI1763" i="6"/>
  <c r="AJ1763" i="6" s="1"/>
  <c r="AK1763" i="6" s="1"/>
  <c r="AI1764" i="6"/>
  <c r="AI1765" i="6"/>
  <c r="AJ1765" i="6" s="1"/>
  <c r="AK1765" i="6" s="1"/>
  <c r="AI1766" i="6"/>
  <c r="AJ1766" i="6" s="1"/>
  <c r="AK1766" i="6" s="1"/>
  <c r="AI1767" i="6"/>
  <c r="AJ1767" i="6" s="1"/>
  <c r="AK1767" i="6" s="1"/>
  <c r="AI1768" i="6"/>
  <c r="AI1769" i="6"/>
  <c r="AJ1769" i="6" s="1"/>
  <c r="AK1769" i="6" s="1"/>
  <c r="AI1770" i="6"/>
  <c r="AJ1770" i="6" s="1"/>
  <c r="AK1770" i="6" s="1"/>
  <c r="AI1771" i="6"/>
  <c r="AJ1771" i="6" s="1"/>
  <c r="AK1771" i="6" s="1"/>
  <c r="AI1772" i="6"/>
  <c r="AJ1772" i="6" s="1"/>
  <c r="AK1772" i="6" s="1"/>
  <c r="AI1773" i="6"/>
  <c r="AJ1773" i="6" s="1"/>
  <c r="AK1773" i="6" s="1"/>
  <c r="AI1774" i="6"/>
  <c r="AJ1774" i="6" s="1"/>
  <c r="AK1774" i="6" s="1"/>
  <c r="AI1775" i="6"/>
  <c r="AJ1775" i="6" s="1"/>
  <c r="AK1775" i="6" s="1"/>
  <c r="AI1776" i="6"/>
  <c r="AI1777" i="6"/>
  <c r="AJ1777" i="6" s="1"/>
  <c r="AK1777" i="6" s="1"/>
  <c r="AI1778" i="6"/>
  <c r="AJ1778" i="6" s="1"/>
  <c r="AK1778" i="6" s="1"/>
  <c r="AI1779" i="6"/>
  <c r="AJ1779" i="6" s="1"/>
  <c r="AK1779" i="6" s="1"/>
  <c r="AI1780" i="6"/>
  <c r="AJ1780" i="6" s="1"/>
  <c r="AK1780" i="6" s="1"/>
  <c r="AI1781" i="6"/>
  <c r="AJ1781" i="6" s="1"/>
  <c r="AK1781" i="6" s="1"/>
  <c r="AI1782" i="6"/>
  <c r="AJ1782" i="6" s="1"/>
  <c r="AK1782" i="6" s="1"/>
  <c r="AI1783" i="6"/>
  <c r="AJ1783" i="6" s="1"/>
  <c r="AK1783" i="6" s="1"/>
  <c r="AI1784" i="6"/>
  <c r="AI1785" i="6"/>
  <c r="AJ1785" i="6" s="1"/>
  <c r="AK1785" i="6" s="1"/>
  <c r="AI1786" i="6"/>
  <c r="AJ1786" i="6" s="1"/>
  <c r="AK1786" i="6" s="1"/>
  <c r="AI1787" i="6"/>
  <c r="AJ1787" i="6" s="1"/>
  <c r="AK1787" i="6" s="1"/>
  <c r="AI1788" i="6"/>
  <c r="AJ1788" i="6" s="1"/>
  <c r="AK1788" i="6" s="1"/>
  <c r="AI1789" i="6"/>
  <c r="AJ1789" i="6" s="1"/>
  <c r="AK1789" i="6" s="1"/>
  <c r="AI1790" i="6"/>
  <c r="AJ1790" i="6" s="1"/>
  <c r="AK1790" i="6" s="1"/>
  <c r="AI1791" i="6"/>
  <c r="AJ1791" i="6" s="1"/>
  <c r="AK1791" i="6" s="1"/>
  <c r="AI1792" i="6"/>
  <c r="AI1793" i="6"/>
  <c r="AJ1793" i="6" s="1"/>
  <c r="AK1793" i="6" s="1"/>
  <c r="AI1794" i="6"/>
  <c r="AJ1794" i="6" s="1"/>
  <c r="AK1794" i="6" s="1"/>
  <c r="AI1795" i="6"/>
  <c r="AJ1795" i="6" s="1"/>
  <c r="AK1795" i="6" s="1"/>
  <c r="AI1796" i="6"/>
  <c r="AJ1796" i="6" s="1"/>
  <c r="AK1796" i="6" s="1"/>
  <c r="AI1797" i="6"/>
  <c r="AJ1797" i="6" s="1"/>
  <c r="AK1797" i="6" s="1"/>
  <c r="AI1798" i="6"/>
  <c r="AJ1798" i="6" s="1"/>
  <c r="AK1798" i="6" s="1"/>
  <c r="AI1799" i="6"/>
  <c r="AJ1799" i="6" s="1"/>
  <c r="AK1799" i="6" s="1"/>
  <c r="AI1800" i="6"/>
  <c r="AJ1800" i="6" s="1"/>
  <c r="AK1800" i="6" s="1"/>
  <c r="AI1801" i="6"/>
  <c r="AJ1801" i="6" s="1"/>
  <c r="AK1801" i="6" s="1"/>
  <c r="AI1802" i="6"/>
  <c r="AJ1802" i="6" s="1"/>
  <c r="AK1802" i="6" s="1"/>
  <c r="AI1803" i="6"/>
  <c r="AJ1803" i="6" s="1"/>
  <c r="AK1803" i="6" s="1"/>
  <c r="AI1804" i="6"/>
  <c r="AI1805" i="6"/>
  <c r="AJ1805" i="6" s="1"/>
  <c r="AK1805" i="6" s="1"/>
  <c r="AI1806" i="6"/>
  <c r="AJ1806" i="6" s="1"/>
  <c r="AK1806" i="6" s="1"/>
  <c r="AI1807" i="6"/>
  <c r="AJ1807" i="6" s="1"/>
  <c r="AK1807" i="6" s="1"/>
  <c r="AI1808" i="6"/>
  <c r="AI1809" i="6"/>
  <c r="AJ1809" i="6" s="1"/>
  <c r="AK1809" i="6" s="1"/>
  <c r="AI1810" i="6"/>
  <c r="AJ1810" i="6" s="1"/>
  <c r="AK1810" i="6" s="1"/>
  <c r="AI1811" i="6"/>
  <c r="AJ1811" i="6" s="1"/>
  <c r="AK1811" i="6" s="1"/>
  <c r="AI1812" i="6"/>
  <c r="AI1813" i="6"/>
  <c r="AJ1813" i="6" s="1"/>
  <c r="AK1813" i="6" s="1"/>
  <c r="AI1814" i="6"/>
  <c r="AJ1814" i="6" s="1"/>
  <c r="AK1814" i="6" s="1"/>
  <c r="AI1815" i="6"/>
  <c r="AJ1815" i="6" s="1"/>
  <c r="AK1815" i="6" s="1"/>
  <c r="AI1816" i="6"/>
  <c r="AJ1816" i="6" s="1"/>
  <c r="AK1816" i="6" s="1"/>
  <c r="AI1817" i="6"/>
  <c r="AJ1817" i="6" s="1"/>
  <c r="AK1817" i="6" s="1"/>
  <c r="AI1818" i="6"/>
  <c r="AJ1818" i="6" s="1"/>
  <c r="AK1818" i="6" s="1"/>
  <c r="AI1819" i="6"/>
  <c r="AJ1819" i="6" s="1"/>
  <c r="AK1819" i="6" s="1"/>
  <c r="AI1820" i="6"/>
  <c r="AJ1820" i="6" s="1"/>
  <c r="AK1820" i="6" s="1"/>
  <c r="AI1821" i="6"/>
  <c r="AJ1821" i="6" s="1"/>
  <c r="AK1821" i="6" s="1"/>
  <c r="AI1822" i="6"/>
  <c r="AJ1822" i="6" s="1"/>
  <c r="AK1822" i="6" s="1"/>
  <c r="AI1823" i="6"/>
  <c r="AJ1823" i="6" s="1"/>
  <c r="AK1823" i="6" s="1"/>
  <c r="AI1824" i="6"/>
  <c r="AJ1824" i="6" s="1"/>
  <c r="AK1824" i="6" s="1"/>
  <c r="AI1825" i="6"/>
  <c r="AJ1825" i="6" s="1"/>
  <c r="AK1825" i="6" s="1"/>
  <c r="AI1826" i="6"/>
  <c r="AJ1826" i="6" s="1"/>
  <c r="AK1826" i="6" s="1"/>
  <c r="AI1827" i="6"/>
  <c r="AJ1827" i="6" s="1"/>
  <c r="AK1827" i="6" s="1"/>
  <c r="AI1828" i="6"/>
  <c r="AJ1828" i="6" s="1"/>
  <c r="AK1828" i="6" s="1"/>
  <c r="AI1829" i="6"/>
  <c r="AJ1829" i="6" s="1"/>
  <c r="AK1829" i="6" s="1"/>
  <c r="AI1830" i="6"/>
  <c r="AJ1830" i="6" s="1"/>
  <c r="AK1830" i="6" s="1"/>
  <c r="AI1831" i="6"/>
  <c r="AJ1831" i="6" s="1"/>
  <c r="AK1831" i="6" s="1"/>
  <c r="AI1832" i="6"/>
  <c r="AJ1832" i="6" s="1"/>
  <c r="AK1832" i="6" s="1"/>
  <c r="AI1833" i="6"/>
  <c r="AJ1833" i="6" s="1"/>
  <c r="AK1833" i="6" s="1"/>
  <c r="AI1834" i="6"/>
  <c r="AJ1834" i="6" s="1"/>
  <c r="AK1834" i="6" s="1"/>
  <c r="AI1835" i="6"/>
  <c r="AJ1835" i="6" s="1"/>
  <c r="AK1835" i="6" s="1"/>
  <c r="AI1836" i="6"/>
  <c r="AJ1836" i="6" s="1"/>
  <c r="AK1836" i="6" s="1"/>
  <c r="AI1837" i="6"/>
  <c r="AJ1837" i="6" s="1"/>
  <c r="AK1837" i="6" s="1"/>
  <c r="AI1838" i="6"/>
  <c r="AJ1838" i="6" s="1"/>
  <c r="AK1838" i="6" s="1"/>
  <c r="AI1839" i="6"/>
  <c r="AJ1839" i="6" s="1"/>
  <c r="AK1839" i="6" s="1"/>
  <c r="AI1840" i="6"/>
  <c r="AJ1840" i="6" s="1"/>
  <c r="AK1840" i="6" s="1"/>
  <c r="AI1841" i="6"/>
  <c r="AJ1841" i="6" s="1"/>
  <c r="AK1841" i="6" s="1"/>
  <c r="AI1842" i="6"/>
  <c r="AJ1842" i="6" s="1"/>
  <c r="AK1842" i="6" s="1"/>
  <c r="AI1843" i="6"/>
  <c r="AJ1843" i="6" s="1"/>
  <c r="AK1843" i="6" s="1"/>
  <c r="AI1844" i="6"/>
  <c r="AJ1844" i="6" s="1"/>
  <c r="AK1844" i="6" s="1"/>
  <c r="AI1845" i="6"/>
  <c r="AJ1845" i="6" s="1"/>
  <c r="AK1845" i="6" s="1"/>
  <c r="AI1846" i="6"/>
  <c r="AJ1846" i="6" s="1"/>
  <c r="AK1846" i="6" s="1"/>
  <c r="AI1847" i="6"/>
  <c r="AJ1847" i="6" s="1"/>
  <c r="AK1847" i="6" s="1"/>
  <c r="AI1848" i="6"/>
  <c r="AJ1848" i="6" s="1"/>
  <c r="AK1848" i="6" s="1"/>
  <c r="AI1849" i="6"/>
  <c r="AJ1849" i="6" s="1"/>
  <c r="AK1849" i="6" s="1"/>
  <c r="AI1850" i="6"/>
  <c r="AJ1850" i="6" s="1"/>
  <c r="AK1850" i="6" s="1"/>
  <c r="AI1851" i="6"/>
  <c r="AJ1851" i="6" s="1"/>
  <c r="AK1851" i="6" s="1"/>
  <c r="AI1852" i="6"/>
  <c r="AJ1852" i="6" s="1"/>
  <c r="AK1852" i="6" s="1"/>
  <c r="AI1853" i="6"/>
  <c r="AJ1853" i="6" s="1"/>
  <c r="AK1853" i="6" s="1"/>
  <c r="AI1854" i="6"/>
  <c r="AJ1854" i="6" s="1"/>
  <c r="AK1854" i="6" s="1"/>
  <c r="AI1855" i="6"/>
  <c r="AJ1855" i="6" s="1"/>
  <c r="AK1855" i="6" s="1"/>
  <c r="AI1856" i="6"/>
  <c r="AJ1856" i="6" s="1"/>
  <c r="AK1856" i="6" s="1"/>
  <c r="AI1857" i="6"/>
  <c r="AJ1857" i="6" s="1"/>
  <c r="AK1857" i="6" s="1"/>
  <c r="AI1858" i="6"/>
  <c r="AJ1858" i="6" s="1"/>
  <c r="AK1858" i="6" s="1"/>
  <c r="AI1859" i="6"/>
  <c r="AJ1859" i="6" s="1"/>
  <c r="AK1859" i="6" s="1"/>
  <c r="AI1860" i="6"/>
  <c r="AJ1860" i="6" s="1"/>
  <c r="AK1860" i="6" s="1"/>
  <c r="AI1861" i="6"/>
  <c r="AJ1861" i="6" s="1"/>
  <c r="AK1861" i="6" s="1"/>
  <c r="AI1862" i="6"/>
  <c r="AJ1862" i="6" s="1"/>
  <c r="AK1862" i="6" s="1"/>
  <c r="AI1863" i="6"/>
  <c r="AJ1863" i="6" s="1"/>
  <c r="AK1863" i="6" s="1"/>
  <c r="AI1864" i="6"/>
  <c r="AJ1864" i="6" s="1"/>
  <c r="AK1864" i="6" s="1"/>
  <c r="AI1865" i="6"/>
  <c r="AJ1865" i="6" s="1"/>
  <c r="AK1865" i="6" s="1"/>
  <c r="AI1866" i="6"/>
  <c r="AJ1866" i="6" s="1"/>
  <c r="AK1866" i="6" s="1"/>
  <c r="AI1867" i="6"/>
  <c r="AJ1867" i="6" s="1"/>
  <c r="AK1867" i="6" s="1"/>
  <c r="AI1868" i="6"/>
  <c r="AJ1868" i="6" s="1"/>
  <c r="AK1868" i="6" s="1"/>
  <c r="AI1869" i="6"/>
  <c r="AJ1869" i="6" s="1"/>
  <c r="AK1869" i="6" s="1"/>
  <c r="AI1870" i="6"/>
  <c r="AJ1870" i="6" s="1"/>
  <c r="AK1870" i="6" s="1"/>
  <c r="AI1871" i="6"/>
  <c r="AJ1871" i="6" s="1"/>
  <c r="AK1871" i="6" s="1"/>
  <c r="AI1872" i="6"/>
  <c r="AJ1872" i="6" s="1"/>
  <c r="AK1872" i="6" s="1"/>
  <c r="AI1873" i="6"/>
  <c r="AJ1873" i="6" s="1"/>
  <c r="AK1873" i="6" s="1"/>
  <c r="AI1874" i="6"/>
  <c r="AJ1874" i="6" s="1"/>
  <c r="AK1874" i="6" s="1"/>
  <c r="AI1875" i="6"/>
  <c r="AJ1875" i="6" s="1"/>
  <c r="AK1875" i="6" s="1"/>
  <c r="AI1876" i="6"/>
  <c r="AJ1876" i="6" s="1"/>
  <c r="AK1876" i="6" s="1"/>
  <c r="AI1877" i="6"/>
  <c r="AJ1877" i="6" s="1"/>
  <c r="AK1877" i="6" s="1"/>
  <c r="AI1878" i="6"/>
  <c r="AJ1878" i="6" s="1"/>
  <c r="AK1878" i="6" s="1"/>
  <c r="AI1879" i="6"/>
  <c r="AJ1879" i="6" s="1"/>
  <c r="AK1879" i="6" s="1"/>
  <c r="AI1880" i="6"/>
  <c r="AJ1880" i="6" s="1"/>
  <c r="AK1880" i="6" s="1"/>
  <c r="AI1881" i="6"/>
  <c r="AJ1881" i="6" s="1"/>
  <c r="AK1881" i="6" s="1"/>
  <c r="AI1882" i="6"/>
  <c r="AJ1882" i="6" s="1"/>
  <c r="AK1882" i="6" s="1"/>
  <c r="AI1883" i="6"/>
  <c r="AJ1883" i="6" s="1"/>
  <c r="AK1883" i="6" s="1"/>
  <c r="AI1884" i="6"/>
  <c r="AJ1884" i="6" s="1"/>
  <c r="AK1884" i="6" s="1"/>
  <c r="AI1885" i="6"/>
  <c r="AJ1885" i="6" s="1"/>
  <c r="AK1885" i="6" s="1"/>
  <c r="AI1886" i="6"/>
  <c r="AJ1886" i="6" s="1"/>
  <c r="AK1886" i="6" s="1"/>
  <c r="AI1887" i="6"/>
  <c r="AJ1887" i="6" s="1"/>
  <c r="AK1887" i="6" s="1"/>
  <c r="AI1888" i="6"/>
  <c r="AJ1888" i="6" s="1"/>
  <c r="AK1888" i="6" s="1"/>
  <c r="AI1889" i="6"/>
  <c r="AJ1889" i="6" s="1"/>
  <c r="AK1889" i="6" s="1"/>
  <c r="AI1890" i="6"/>
  <c r="AJ1890" i="6" s="1"/>
  <c r="AK1890" i="6" s="1"/>
  <c r="AI1891" i="6"/>
  <c r="AJ1891" i="6" s="1"/>
  <c r="AK1891" i="6" s="1"/>
  <c r="AI1892" i="6"/>
  <c r="AJ1892" i="6" s="1"/>
  <c r="AK1892" i="6" s="1"/>
  <c r="AI1893" i="6"/>
  <c r="AJ1893" i="6" s="1"/>
  <c r="AK1893" i="6" s="1"/>
  <c r="AI1894" i="6"/>
  <c r="AJ1894" i="6" s="1"/>
  <c r="AK1894" i="6" s="1"/>
  <c r="AI1895" i="6"/>
  <c r="AJ1895" i="6" s="1"/>
  <c r="AK1895" i="6" s="1"/>
  <c r="AI1896" i="6"/>
  <c r="AJ1896" i="6" s="1"/>
  <c r="AK1896" i="6" s="1"/>
  <c r="AI1897" i="6"/>
  <c r="AJ1897" i="6" s="1"/>
  <c r="AK1897" i="6" s="1"/>
  <c r="AI1898" i="6"/>
  <c r="AJ1898" i="6" s="1"/>
  <c r="AK1898" i="6" s="1"/>
  <c r="AI1899" i="6"/>
  <c r="AJ1899" i="6" s="1"/>
  <c r="AK1899" i="6" s="1"/>
  <c r="AI1900" i="6"/>
  <c r="AJ1900" i="6" s="1"/>
  <c r="AK1900" i="6" s="1"/>
  <c r="AI1901" i="6"/>
  <c r="AJ1901" i="6" s="1"/>
  <c r="AK1901" i="6" s="1"/>
  <c r="AI1902" i="6"/>
  <c r="AJ1902" i="6" s="1"/>
  <c r="AK1902" i="6" s="1"/>
  <c r="AI1903" i="6"/>
  <c r="AJ1903" i="6" s="1"/>
  <c r="AK1903" i="6" s="1"/>
  <c r="AI1904" i="6"/>
  <c r="AJ1904" i="6" s="1"/>
  <c r="AK1904" i="6" s="1"/>
  <c r="AI1905" i="6"/>
  <c r="AJ1905" i="6" s="1"/>
  <c r="AK1905" i="6" s="1"/>
  <c r="AI1906" i="6"/>
  <c r="AJ1906" i="6" s="1"/>
  <c r="AK1906" i="6" s="1"/>
  <c r="AI1907" i="6"/>
  <c r="AJ1907" i="6" s="1"/>
  <c r="AK1907" i="6" s="1"/>
  <c r="AI1908" i="6"/>
  <c r="AJ1908" i="6" s="1"/>
  <c r="AK1908" i="6" s="1"/>
  <c r="AI1909" i="6"/>
  <c r="AJ1909" i="6" s="1"/>
  <c r="AK1909" i="6" s="1"/>
  <c r="AI1910" i="6"/>
  <c r="AJ1910" i="6" s="1"/>
  <c r="AK1910" i="6" s="1"/>
  <c r="AI1911" i="6"/>
  <c r="AJ1911" i="6" s="1"/>
  <c r="AK1911" i="6" s="1"/>
  <c r="AI1912" i="6"/>
  <c r="AJ1912" i="6" s="1"/>
  <c r="AK1912" i="6" s="1"/>
  <c r="AI1913" i="6"/>
  <c r="AJ1913" i="6" s="1"/>
  <c r="AK1913" i="6" s="1"/>
  <c r="AI1914" i="6"/>
  <c r="AJ1914" i="6" s="1"/>
  <c r="AK1914" i="6" s="1"/>
  <c r="AI1915" i="6"/>
  <c r="AJ1915" i="6" s="1"/>
  <c r="AK1915" i="6" s="1"/>
  <c r="AI1916" i="6"/>
  <c r="AJ1916" i="6" s="1"/>
  <c r="AK1916" i="6" s="1"/>
  <c r="AI1917" i="6"/>
  <c r="AJ1917" i="6" s="1"/>
  <c r="AK1917" i="6" s="1"/>
  <c r="AI1918" i="6"/>
  <c r="AJ1918" i="6" s="1"/>
  <c r="AK1918" i="6" s="1"/>
  <c r="AI1919" i="6"/>
  <c r="AJ1919" i="6" s="1"/>
  <c r="AK1919" i="6" s="1"/>
  <c r="AI1920" i="6"/>
  <c r="AJ1920" i="6" s="1"/>
  <c r="AK1920" i="6" s="1"/>
  <c r="AI1921" i="6"/>
  <c r="AJ1921" i="6" s="1"/>
  <c r="AK1921" i="6" s="1"/>
  <c r="AI1922" i="6"/>
  <c r="AJ1922" i="6" s="1"/>
  <c r="AK1922" i="6" s="1"/>
  <c r="AI1923" i="6"/>
  <c r="AJ1923" i="6" s="1"/>
  <c r="AK1923" i="6" s="1"/>
  <c r="AI1924" i="6"/>
  <c r="AJ1924" i="6" s="1"/>
  <c r="AK1924" i="6" s="1"/>
  <c r="AI1925" i="6"/>
  <c r="AJ1925" i="6" s="1"/>
  <c r="AK1925" i="6" s="1"/>
  <c r="AI1926" i="6"/>
  <c r="AJ1926" i="6" s="1"/>
  <c r="AK1926" i="6" s="1"/>
  <c r="AI1927" i="6"/>
  <c r="AJ1927" i="6" s="1"/>
  <c r="AK1927" i="6" s="1"/>
  <c r="AI1928" i="6"/>
  <c r="AJ1928" i="6" s="1"/>
  <c r="AK1928" i="6" s="1"/>
  <c r="AI1929" i="6"/>
  <c r="AJ1929" i="6" s="1"/>
  <c r="AK1929" i="6" s="1"/>
  <c r="AI1930" i="6"/>
  <c r="AJ1930" i="6" s="1"/>
  <c r="AK1930" i="6" s="1"/>
  <c r="AI1931" i="6"/>
  <c r="AJ1931" i="6" s="1"/>
  <c r="AK1931" i="6" s="1"/>
  <c r="AI1932" i="6"/>
  <c r="AJ1932" i="6" s="1"/>
  <c r="AK1932" i="6" s="1"/>
  <c r="AI1933" i="6"/>
  <c r="AJ1933" i="6" s="1"/>
  <c r="AK1933" i="6" s="1"/>
  <c r="AI1934" i="6"/>
  <c r="AJ1934" i="6" s="1"/>
  <c r="AK1934" i="6" s="1"/>
  <c r="AI1935" i="6"/>
  <c r="AJ1935" i="6" s="1"/>
  <c r="AK1935" i="6" s="1"/>
  <c r="AI1936" i="6"/>
  <c r="AJ1936" i="6" s="1"/>
  <c r="AK1936" i="6" s="1"/>
  <c r="AI1937" i="6"/>
  <c r="AJ1937" i="6" s="1"/>
  <c r="AK1937" i="6" s="1"/>
  <c r="AI1938" i="6"/>
  <c r="AJ1938" i="6" s="1"/>
  <c r="AK1938" i="6" s="1"/>
  <c r="AI1939" i="6"/>
  <c r="AJ1939" i="6" s="1"/>
  <c r="AK1939" i="6" s="1"/>
  <c r="AI1940" i="6"/>
  <c r="AJ1940" i="6" s="1"/>
  <c r="AK1940" i="6" s="1"/>
  <c r="AI1941" i="6"/>
  <c r="AJ1941" i="6" s="1"/>
  <c r="AK1941" i="6" s="1"/>
  <c r="AI1942" i="6"/>
  <c r="AJ1942" i="6" s="1"/>
  <c r="AK1942" i="6" s="1"/>
  <c r="AI1943" i="6"/>
  <c r="AJ1943" i="6" s="1"/>
  <c r="AK1943" i="6" s="1"/>
  <c r="AI1944" i="6"/>
  <c r="AJ1944" i="6" s="1"/>
  <c r="AK1944" i="6" s="1"/>
  <c r="AI1945" i="6"/>
  <c r="AJ1945" i="6" s="1"/>
  <c r="AK1945" i="6" s="1"/>
  <c r="AI1946" i="6"/>
  <c r="AJ1946" i="6" s="1"/>
  <c r="AK1946" i="6" s="1"/>
  <c r="AI1947" i="6"/>
  <c r="AJ1947" i="6" s="1"/>
  <c r="AK1947" i="6" s="1"/>
  <c r="AI1948" i="6"/>
  <c r="AJ1948" i="6" s="1"/>
  <c r="AK1948" i="6" s="1"/>
  <c r="AI1949" i="6"/>
  <c r="AJ1949" i="6" s="1"/>
  <c r="AK1949" i="6" s="1"/>
  <c r="AI1950" i="6"/>
  <c r="AJ1950" i="6" s="1"/>
  <c r="AK1950" i="6" s="1"/>
  <c r="AI1951" i="6"/>
  <c r="AJ1951" i="6" s="1"/>
  <c r="AK1951" i="6" s="1"/>
  <c r="AI1952" i="6"/>
  <c r="AJ1952" i="6" s="1"/>
  <c r="AK1952" i="6" s="1"/>
  <c r="AI1953" i="6"/>
  <c r="AJ1953" i="6" s="1"/>
  <c r="AK1953" i="6" s="1"/>
  <c r="AI1954" i="6"/>
  <c r="AJ1954" i="6" s="1"/>
  <c r="AK1954" i="6" s="1"/>
  <c r="AI1955" i="6"/>
  <c r="AJ1955" i="6" s="1"/>
  <c r="AK1955" i="6" s="1"/>
  <c r="AI1956" i="6"/>
  <c r="AJ1956" i="6" s="1"/>
  <c r="AK1956" i="6" s="1"/>
  <c r="AI1957" i="6"/>
  <c r="AJ1957" i="6" s="1"/>
  <c r="AK1957" i="6" s="1"/>
  <c r="AI1958" i="6"/>
  <c r="AJ1958" i="6" s="1"/>
  <c r="AK1958" i="6" s="1"/>
  <c r="AI1959" i="6"/>
  <c r="AJ1959" i="6" s="1"/>
  <c r="AK1959" i="6" s="1"/>
  <c r="AI1960" i="6"/>
  <c r="AJ1960" i="6" s="1"/>
  <c r="AK1960" i="6" s="1"/>
  <c r="AI1961" i="6"/>
  <c r="AJ1961" i="6" s="1"/>
  <c r="AK1961" i="6" s="1"/>
  <c r="AI1962" i="6"/>
  <c r="AJ1962" i="6" s="1"/>
  <c r="AK1962" i="6" s="1"/>
  <c r="AI1963" i="6"/>
  <c r="AJ1963" i="6" s="1"/>
  <c r="AK1963" i="6" s="1"/>
  <c r="AI1964" i="6"/>
  <c r="AJ1964" i="6" s="1"/>
  <c r="AK1964" i="6" s="1"/>
  <c r="AI1965" i="6"/>
  <c r="AJ1965" i="6" s="1"/>
  <c r="AK1965" i="6" s="1"/>
  <c r="AI1966" i="6"/>
  <c r="AJ1966" i="6" s="1"/>
  <c r="AK1966" i="6" s="1"/>
  <c r="AI1967" i="6"/>
  <c r="AJ1967" i="6" s="1"/>
  <c r="AK1967" i="6" s="1"/>
  <c r="AI1968" i="6"/>
  <c r="AJ1968" i="6" s="1"/>
  <c r="AK1968" i="6" s="1"/>
  <c r="AI1969" i="6"/>
  <c r="AJ1969" i="6" s="1"/>
  <c r="AK1969" i="6" s="1"/>
  <c r="AI1970" i="6"/>
  <c r="AJ1970" i="6" s="1"/>
  <c r="AK1970" i="6" s="1"/>
  <c r="AI1971" i="6"/>
  <c r="AJ1971" i="6" s="1"/>
  <c r="AK1971" i="6" s="1"/>
  <c r="AI1972" i="6"/>
  <c r="AJ1972" i="6" s="1"/>
  <c r="AK1972" i="6" s="1"/>
  <c r="AI1973" i="6"/>
  <c r="AJ1973" i="6" s="1"/>
  <c r="AK1973" i="6" s="1"/>
  <c r="AI1974" i="6"/>
  <c r="AJ1974" i="6" s="1"/>
  <c r="AK1974" i="6" s="1"/>
  <c r="AI1975" i="6"/>
  <c r="AJ1975" i="6" s="1"/>
  <c r="AK1975" i="6" s="1"/>
  <c r="AI1976" i="6"/>
  <c r="AJ1976" i="6" s="1"/>
  <c r="AK1976" i="6" s="1"/>
  <c r="AI1977" i="6"/>
  <c r="AJ1977" i="6" s="1"/>
  <c r="AK1977" i="6" s="1"/>
  <c r="AI1978" i="6"/>
  <c r="AJ1978" i="6" s="1"/>
  <c r="AK1978" i="6" s="1"/>
  <c r="AI1979" i="6"/>
  <c r="AJ1979" i="6" s="1"/>
  <c r="AK1979" i="6" s="1"/>
  <c r="AI1980" i="6"/>
  <c r="AJ1980" i="6" s="1"/>
  <c r="AK1980" i="6" s="1"/>
  <c r="AI1981" i="6"/>
  <c r="AJ1981" i="6" s="1"/>
  <c r="AK1981" i="6" s="1"/>
  <c r="AI1982" i="6"/>
  <c r="AJ1982" i="6" s="1"/>
  <c r="AK1982" i="6" s="1"/>
  <c r="AI1983" i="6"/>
  <c r="AJ1983" i="6" s="1"/>
  <c r="AK1983" i="6" s="1"/>
  <c r="AI1984" i="6"/>
  <c r="AJ1984" i="6" s="1"/>
  <c r="AK1984" i="6" s="1"/>
  <c r="AI1985" i="6"/>
  <c r="AJ1985" i="6" s="1"/>
  <c r="AK1985" i="6" s="1"/>
  <c r="AI1986" i="6"/>
  <c r="AJ1986" i="6" s="1"/>
  <c r="AK1986" i="6" s="1"/>
  <c r="AI1987" i="6"/>
  <c r="AJ1987" i="6" s="1"/>
  <c r="AK1987" i="6" s="1"/>
  <c r="AI1988" i="6"/>
  <c r="AJ1988" i="6" s="1"/>
  <c r="AK1988" i="6" s="1"/>
  <c r="AI1989" i="6"/>
  <c r="AJ1989" i="6" s="1"/>
  <c r="AK1989" i="6" s="1"/>
  <c r="AI1990" i="6"/>
  <c r="AJ1990" i="6" s="1"/>
  <c r="AK1990" i="6" s="1"/>
  <c r="AI1991" i="6"/>
  <c r="AJ1991" i="6" s="1"/>
  <c r="AK1991" i="6" s="1"/>
  <c r="AI1992" i="6"/>
  <c r="AJ1992" i="6" s="1"/>
  <c r="AK1992" i="6" s="1"/>
  <c r="AI1993" i="6"/>
  <c r="AJ1993" i="6" s="1"/>
  <c r="AK1993" i="6" s="1"/>
  <c r="AI1994" i="6"/>
  <c r="AJ1994" i="6" s="1"/>
  <c r="AK1994" i="6" s="1"/>
  <c r="AI1995" i="6"/>
  <c r="AJ1995" i="6" s="1"/>
  <c r="AK1995" i="6" s="1"/>
  <c r="AI1996" i="6"/>
  <c r="AJ1996" i="6" s="1"/>
  <c r="AK1996" i="6" s="1"/>
  <c r="AI1997" i="6"/>
  <c r="AJ1997" i="6" s="1"/>
  <c r="AK1997" i="6" s="1"/>
  <c r="AI1998" i="6"/>
  <c r="AJ1998" i="6" s="1"/>
  <c r="AK1998" i="6" s="1"/>
  <c r="AI1999" i="6"/>
  <c r="AJ1999" i="6" s="1"/>
  <c r="AK1999" i="6" s="1"/>
  <c r="AI2000" i="6"/>
  <c r="AJ2000" i="6" s="1"/>
  <c r="AK2000" i="6" s="1"/>
  <c r="AI2001" i="6"/>
  <c r="AJ2001" i="6" s="1"/>
  <c r="AK2001" i="6" s="1"/>
  <c r="AI2002" i="6"/>
  <c r="AJ2002" i="6" s="1"/>
  <c r="AK2002" i="6" s="1"/>
  <c r="AI2003" i="6"/>
  <c r="AJ2003" i="6" s="1"/>
  <c r="AK2003" i="6" s="1"/>
  <c r="AI2004" i="6"/>
  <c r="AJ2004" i="6" s="1"/>
  <c r="AK2004" i="6" s="1"/>
  <c r="AI2005" i="6"/>
  <c r="AJ2005" i="6" s="1"/>
  <c r="AK2005" i="6" s="1"/>
  <c r="AI2006" i="6"/>
  <c r="AJ2006" i="6" s="1"/>
  <c r="AK2006" i="6" s="1"/>
  <c r="AI2007" i="6"/>
  <c r="AJ2007" i="6" s="1"/>
  <c r="AK2007" i="6" s="1"/>
  <c r="AI2008" i="6"/>
  <c r="AJ2008" i="6" s="1"/>
  <c r="AK2008" i="6" s="1"/>
  <c r="AD9" i="6"/>
  <c r="AE9" i="6" s="1"/>
  <c r="AF9" i="6" s="1"/>
  <c r="AD8" i="6"/>
  <c r="AE8" i="6" s="1"/>
  <c r="AD10" i="6"/>
  <c r="AE10" i="6" s="1"/>
  <c r="AF10" i="6" s="1"/>
  <c r="AD11" i="6"/>
  <c r="AE11" i="6" s="1"/>
  <c r="AD12" i="6"/>
  <c r="AE12" i="6" s="1"/>
  <c r="AD13" i="6"/>
  <c r="AE13" i="6" s="1"/>
  <c r="AD14" i="6"/>
  <c r="AE14" i="6" s="1"/>
  <c r="AD15" i="6"/>
  <c r="AE15" i="6" s="1"/>
  <c r="AD16" i="6"/>
  <c r="AE16" i="6" s="1"/>
  <c r="AD17" i="6"/>
  <c r="AE17" i="6" s="1"/>
  <c r="AD18" i="6"/>
  <c r="AE18" i="6" s="1"/>
  <c r="AD19" i="6"/>
  <c r="AE19" i="6" s="1"/>
  <c r="AD20" i="6"/>
  <c r="AE20" i="6" s="1"/>
  <c r="AD21" i="6"/>
  <c r="AE21" i="6" s="1"/>
  <c r="AD22" i="6"/>
  <c r="AE22" i="6" s="1"/>
  <c r="AD23" i="6"/>
  <c r="AE23" i="6" s="1"/>
  <c r="AD24" i="6"/>
  <c r="AE24" i="6" s="1"/>
  <c r="AD25" i="6"/>
  <c r="AE25" i="6" s="1"/>
  <c r="AD26" i="6"/>
  <c r="AE26" i="6" s="1"/>
  <c r="AD27" i="6"/>
  <c r="AE27" i="6" s="1"/>
  <c r="AD28" i="6"/>
  <c r="AE28" i="6" s="1"/>
  <c r="AD29" i="6"/>
  <c r="AE29" i="6" s="1"/>
  <c r="AD30" i="6"/>
  <c r="AE30" i="6" s="1"/>
  <c r="AD31" i="6"/>
  <c r="AE31" i="6" s="1"/>
  <c r="AD32" i="6"/>
  <c r="AE32" i="6" s="1"/>
  <c r="AD33" i="6"/>
  <c r="AE33" i="6" s="1"/>
  <c r="AD34" i="6"/>
  <c r="AE34" i="6" s="1"/>
  <c r="AD35" i="6"/>
  <c r="AE35" i="6" s="1"/>
  <c r="AD36" i="6"/>
  <c r="AE36" i="6" s="1"/>
  <c r="AD37" i="6"/>
  <c r="AE37" i="6" s="1"/>
  <c r="AD38" i="6"/>
  <c r="AE38" i="6" s="1"/>
  <c r="AD39" i="6"/>
  <c r="AE39" i="6" s="1"/>
  <c r="AD40" i="6"/>
  <c r="AE40" i="6" s="1"/>
  <c r="AD41" i="6"/>
  <c r="AE41" i="6" s="1"/>
  <c r="AD42" i="6"/>
  <c r="AE42" i="6" s="1"/>
  <c r="AD43" i="6"/>
  <c r="AE43" i="6" s="1"/>
  <c r="AD44" i="6"/>
  <c r="AE44" i="6" s="1"/>
  <c r="AD45" i="6"/>
  <c r="AE45" i="6" s="1"/>
  <c r="AD46" i="6"/>
  <c r="AE46" i="6" s="1"/>
  <c r="AD47" i="6"/>
  <c r="AE47" i="6" s="1"/>
  <c r="AD48" i="6"/>
  <c r="AE48" i="6" s="1"/>
  <c r="AD49" i="6"/>
  <c r="AE49" i="6" s="1"/>
  <c r="AD50" i="6"/>
  <c r="AE50" i="6" s="1"/>
  <c r="AD51" i="6"/>
  <c r="AE51" i="6" s="1"/>
  <c r="AD52" i="6"/>
  <c r="AE52" i="6" s="1"/>
  <c r="AD53" i="6"/>
  <c r="AE53" i="6" s="1"/>
  <c r="AD54" i="6"/>
  <c r="AE54" i="6" s="1"/>
  <c r="AD55" i="6"/>
  <c r="AE55" i="6" s="1"/>
  <c r="AD56" i="6"/>
  <c r="AE56" i="6" s="1"/>
  <c r="AD57" i="6"/>
  <c r="AE57" i="6" s="1"/>
  <c r="AD58" i="6"/>
  <c r="AE58" i="6" s="1"/>
  <c r="AD59" i="6"/>
  <c r="AE59" i="6" s="1"/>
  <c r="AD60" i="6"/>
  <c r="AE60" i="6" s="1"/>
  <c r="AD61" i="6"/>
  <c r="AE61" i="6" s="1"/>
  <c r="AD62" i="6"/>
  <c r="AE62" i="6" s="1"/>
  <c r="AD63" i="6"/>
  <c r="AE63" i="6" s="1"/>
  <c r="AD64" i="6"/>
  <c r="AE64" i="6" s="1"/>
  <c r="AD65" i="6"/>
  <c r="AE65" i="6" s="1"/>
  <c r="AD66" i="6"/>
  <c r="AE66" i="6" s="1"/>
  <c r="AD67" i="6"/>
  <c r="AE67" i="6" s="1"/>
  <c r="AD68" i="6"/>
  <c r="AE68" i="6" s="1"/>
  <c r="AD69" i="6"/>
  <c r="AE69" i="6" s="1"/>
  <c r="AD70" i="6"/>
  <c r="AE70" i="6" s="1"/>
  <c r="AD71" i="6"/>
  <c r="AE71" i="6" s="1"/>
  <c r="AD72" i="6"/>
  <c r="AE72" i="6" s="1"/>
  <c r="AD73" i="6"/>
  <c r="AE73" i="6" s="1"/>
  <c r="AD74" i="6"/>
  <c r="AE74" i="6" s="1"/>
  <c r="AD75" i="6"/>
  <c r="AE75" i="6" s="1"/>
  <c r="AD76" i="6"/>
  <c r="AE76" i="6" s="1"/>
  <c r="AD77" i="6"/>
  <c r="AE77" i="6" s="1"/>
  <c r="AD78" i="6"/>
  <c r="AE78" i="6" s="1"/>
  <c r="AD79" i="6"/>
  <c r="AE79" i="6" s="1"/>
  <c r="AD80" i="6"/>
  <c r="AE80" i="6" s="1"/>
  <c r="AD81" i="6"/>
  <c r="AE81" i="6" s="1"/>
  <c r="AD82" i="6"/>
  <c r="AE82" i="6" s="1"/>
  <c r="AD83" i="6"/>
  <c r="AE83" i="6" s="1"/>
  <c r="AD84" i="6"/>
  <c r="AE84" i="6" s="1"/>
  <c r="AD85" i="6"/>
  <c r="AE85" i="6" s="1"/>
  <c r="AD86" i="6"/>
  <c r="AE86" i="6" s="1"/>
  <c r="AD87" i="6"/>
  <c r="AE87" i="6" s="1"/>
  <c r="AD88" i="6"/>
  <c r="AE88" i="6" s="1"/>
  <c r="AD89" i="6"/>
  <c r="AE89" i="6" s="1"/>
  <c r="AD90" i="6"/>
  <c r="AE90" i="6" s="1"/>
  <c r="AD91" i="6"/>
  <c r="AE91" i="6" s="1"/>
  <c r="AD92" i="6"/>
  <c r="AE92" i="6" s="1"/>
  <c r="AD93" i="6"/>
  <c r="AE93" i="6" s="1"/>
  <c r="AD94" i="6"/>
  <c r="AE94" i="6" s="1"/>
  <c r="AD95" i="6"/>
  <c r="AE95" i="6" s="1"/>
  <c r="AD96" i="6"/>
  <c r="AE96" i="6" s="1"/>
  <c r="AD97" i="6"/>
  <c r="AE97" i="6" s="1"/>
  <c r="AD98" i="6"/>
  <c r="AE98" i="6" s="1"/>
  <c r="AD99" i="6"/>
  <c r="AE99" i="6" s="1"/>
  <c r="AD100" i="6"/>
  <c r="AE100" i="6" s="1"/>
  <c r="AD101" i="6"/>
  <c r="AE101" i="6" s="1"/>
  <c r="AD102" i="6"/>
  <c r="AE102" i="6" s="1"/>
  <c r="AD103" i="6"/>
  <c r="AE103" i="6" s="1"/>
  <c r="AD104" i="6"/>
  <c r="AE104" i="6" s="1"/>
  <c r="AD105" i="6"/>
  <c r="AE105" i="6" s="1"/>
  <c r="AD106" i="6"/>
  <c r="AE106" i="6" s="1"/>
  <c r="AD107" i="6"/>
  <c r="AE107" i="6" s="1"/>
  <c r="AD108" i="6"/>
  <c r="AE108" i="6" s="1"/>
  <c r="AD109" i="6"/>
  <c r="AE109" i="6" s="1"/>
  <c r="AD110" i="6"/>
  <c r="AE110" i="6" s="1"/>
  <c r="AD111" i="6"/>
  <c r="AE111" i="6" s="1"/>
  <c r="AD112" i="6"/>
  <c r="AE112" i="6" s="1"/>
  <c r="AD113" i="6"/>
  <c r="AE113" i="6" s="1"/>
  <c r="AD114" i="6"/>
  <c r="AE114" i="6" s="1"/>
  <c r="AD115" i="6"/>
  <c r="AE115" i="6" s="1"/>
  <c r="AD116" i="6"/>
  <c r="AE116" i="6" s="1"/>
  <c r="AD117" i="6"/>
  <c r="AE117" i="6" s="1"/>
  <c r="AD118" i="6"/>
  <c r="AE118" i="6" s="1"/>
  <c r="AD119" i="6"/>
  <c r="AE119" i="6" s="1"/>
  <c r="AD120" i="6"/>
  <c r="AE120" i="6" s="1"/>
  <c r="AD121" i="6"/>
  <c r="AE121" i="6" s="1"/>
  <c r="AD122" i="6"/>
  <c r="AE122" i="6" s="1"/>
  <c r="AD123" i="6"/>
  <c r="AE123" i="6" s="1"/>
  <c r="AD124" i="6"/>
  <c r="AE124" i="6" s="1"/>
  <c r="AD125" i="6"/>
  <c r="AE125" i="6" s="1"/>
  <c r="AD126" i="6"/>
  <c r="AE126" i="6" s="1"/>
  <c r="AD127" i="6"/>
  <c r="AE127" i="6" s="1"/>
  <c r="AD128" i="6"/>
  <c r="AE128" i="6" s="1"/>
  <c r="AD129" i="6"/>
  <c r="AE129" i="6" s="1"/>
  <c r="AD130" i="6"/>
  <c r="AE130" i="6" s="1"/>
  <c r="AD131" i="6"/>
  <c r="AE131" i="6" s="1"/>
  <c r="AD132" i="6"/>
  <c r="AE132" i="6" s="1"/>
  <c r="AD133" i="6"/>
  <c r="AE133" i="6" s="1"/>
  <c r="AD134" i="6"/>
  <c r="AE134" i="6" s="1"/>
  <c r="AD135" i="6"/>
  <c r="AE135" i="6" s="1"/>
  <c r="AD136" i="6"/>
  <c r="AE136" i="6" s="1"/>
  <c r="AD137" i="6"/>
  <c r="AE137" i="6" s="1"/>
  <c r="AD138" i="6"/>
  <c r="AE138" i="6" s="1"/>
  <c r="AD139" i="6"/>
  <c r="AE139" i="6" s="1"/>
  <c r="AD140" i="6"/>
  <c r="AE140" i="6" s="1"/>
  <c r="AD141" i="6"/>
  <c r="AE141" i="6" s="1"/>
  <c r="AD142" i="6"/>
  <c r="AE142" i="6" s="1"/>
  <c r="AD143" i="6"/>
  <c r="AE143" i="6" s="1"/>
  <c r="AD144" i="6"/>
  <c r="AE144" i="6" s="1"/>
  <c r="AD145" i="6"/>
  <c r="AE145" i="6" s="1"/>
  <c r="AD146" i="6"/>
  <c r="AE146" i="6" s="1"/>
  <c r="AD147" i="6"/>
  <c r="AE147" i="6" s="1"/>
  <c r="AD148" i="6"/>
  <c r="AE148" i="6" s="1"/>
  <c r="AD149" i="6"/>
  <c r="AE149" i="6" s="1"/>
  <c r="AD150" i="6"/>
  <c r="AE150" i="6" s="1"/>
  <c r="AD151" i="6"/>
  <c r="AE151" i="6" s="1"/>
  <c r="AD152" i="6"/>
  <c r="AE152" i="6" s="1"/>
  <c r="AD153" i="6"/>
  <c r="AE153" i="6" s="1"/>
  <c r="AD154" i="6"/>
  <c r="AE154" i="6" s="1"/>
  <c r="AD155" i="6"/>
  <c r="AE155" i="6" s="1"/>
  <c r="AD156" i="6"/>
  <c r="AE156" i="6" s="1"/>
  <c r="AD157" i="6"/>
  <c r="AE157" i="6" s="1"/>
  <c r="AD158" i="6"/>
  <c r="AE158" i="6" s="1"/>
  <c r="AD159" i="6"/>
  <c r="AD160" i="6"/>
  <c r="AE160" i="6" s="1"/>
  <c r="AD161" i="6"/>
  <c r="AE161" i="6" s="1"/>
  <c r="AD162" i="6"/>
  <c r="AE162" i="6" s="1"/>
  <c r="AD163" i="6"/>
  <c r="AE163" i="6" s="1"/>
  <c r="AD164" i="6"/>
  <c r="AE164" i="6" s="1"/>
  <c r="AD165" i="6"/>
  <c r="AE165" i="6" s="1"/>
  <c r="AD166" i="6"/>
  <c r="AE166" i="6" s="1"/>
  <c r="AD167" i="6"/>
  <c r="AE167" i="6" s="1"/>
  <c r="AD168" i="6"/>
  <c r="AE168" i="6" s="1"/>
  <c r="AD169" i="6"/>
  <c r="AE169" i="6" s="1"/>
  <c r="AD170" i="6"/>
  <c r="AE170" i="6" s="1"/>
  <c r="AD171" i="6"/>
  <c r="AE171" i="6" s="1"/>
  <c r="AD172" i="6"/>
  <c r="AE172" i="6" s="1"/>
  <c r="AD173" i="6"/>
  <c r="AE173" i="6" s="1"/>
  <c r="AD174" i="6"/>
  <c r="AE174" i="6" s="1"/>
  <c r="AD175" i="6"/>
  <c r="AE175" i="6" s="1"/>
  <c r="AD176" i="6"/>
  <c r="AE176" i="6" s="1"/>
  <c r="AD177" i="6"/>
  <c r="AE177" i="6" s="1"/>
  <c r="AD178" i="6"/>
  <c r="AE178" i="6" s="1"/>
  <c r="AD179" i="6"/>
  <c r="AE179" i="6" s="1"/>
  <c r="AD180" i="6"/>
  <c r="AE180" i="6" s="1"/>
  <c r="AD181" i="6"/>
  <c r="AE181" i="6" s="1"/>
  <c r="AD182" i="6"/>
  <c r="AE182" i="6" s="1"/>
  <c r="AD183" i="6"/>
  <c r="AE183" i="6" s="1"/>
  <c r="AD184" i="6"/>
  <c r="AE184" i="6" s="1"/>
  <c r="AD185" i="6"/>
  <c r="AE185" i="6" s="1"/>
  <c r="AD186" i="6"/>
  <c r="AE186" i="6" s="1"/>
  <c r="AD187" i="6"/>
  <c r="AE187" i="6" s="1"/>
  <c r="AD188" i="6"/>
  <c r="AE188" i="6" s="1"/>
  <c r="AD189" i="6"/>
  <c r="AE189" i="6" s="1"/>
  <c r="AD190" i="6"/>
  <c r="AE190" i="6" s="1"/>
  <c r="AD191" i="6"/>
  <c r="AE191" i="6" s="1"/>
  <c r="AD192" i="6"/>
  <c r="AE192" i="6" s="1"/>
  <c r="AD193" i="6"/>
  <c r="AE193" i="6" s="1"/>
  <c r="AD194" i="6"/>
  <c r="AE194" i="6" s="1"/>
  <c r="AD195" i="6"/>
  <c r="AE195" i="6" s="1"/>
  <c r="AD196" i="6"/>
  <c r="AE196" i="6" s="1"/>
  <c r="AD197" i="6"/>
  <c r="AE197" i="6" s="1"/>
  <c r="AD198" i="6"/>
  <c r="AE198" i="6" s="1"/>
  <c r="AD199" i="6"/>
  <c r="AE199" i="6" s="1"/>
  <c r="AD200" i="6"/>
  <c r="AE200" i="6" s="1"/>
  <c r="AD201" i="6"/>
  <c r="AE201" i="6" s="1"/>
  <c r="AD202" i="6"/>
  <c r="AE202" i="6" s="1"/>
  <c r="AD203" i="6"/>
  <c r="AE203" i="6" s="1"/>
  <c r="AD204" i="6"/>
  <c r="AE204" i="6" s="1"/>
  <c r="AD205" i="6"/>
  <c r="AE205" i="6" s="1"/>
  <c r="AD206" i="6"/>
  <c r="AE206" i="6" s="1"/>
  <c r="AD207" i="6"/>
  <c r="AE207" i="6" s="1"/>
  <c r="AD208" i="6"/>
  <c r="AE208" i="6" s="1"/>
  <c r="AD209" i="6"/>
  <c r="AE209" i="6" s="1"/>
  <c r="AD210" i="6"/>
  <c r="AE210" i="6" s="1"/>
  <c r="AD211" i="6"/>
  <c r="AE211" i="6" s="1"/>
  <c r="AD212" i="6"/>
  <c r="AE212" i="6" s="1"/>
  <c r="AD213" i="6"/>
  <c r="AE213" i="6" s="1"/>
  <c r="AD214" i="6"/>
  <c r="AE214" i="6" s="1"/>
  <c r="AD215" i="6"/>
  <c r="AE215" i="6" s="1"/>
  <c r="AD216" i="6"/>
  <c r="AE216" i="6" s="1"/>
  <c r="AD217" i="6"/>
  <c r="AE217" i="6" s="1"/>
  <c r="AD218" i="6"/>
  <c r="AE218" i="6" s="1"/>
  <c r="AD219" i="6"/>
  <c r="AE219" i="6" s="1"/>
  <c r="AD220" i="6"/>
  <c r="AE220" i="6" s="1"/>
  <c r="AD221" i="6"/>
  <c r="AE221" i="6" s="1"/>
  <c r="AD222" i="6"/>
  <c r="AE222" i="6" s="1"/>
  <c r="AD223" i="6"/>
  <c r="AD224" i="6"/>
  <c r="AE224" i="6" s="1"/>
  <c r="AD225" i="6"/>
  <c r="AE225" i="6" s="1"/>
  <c r="AD226" i="6"/>
  <c r="AE226" i="6" s="1"/>
  <c r="AD227" i="6"/>
  <c r="AE227" i="6" s="1"/>
  <c r="AD228" i="6"/>
  <c r="AE228" i="6" s="1"/>
  <c r="AD229" i="6"/>
  <c r="AE229" i="6" s="1"/>
  <c r="AD230" i="6"/>
  <c r="AE230" i="6" s="1"/>
  <c r="AD231" i="6"/>
  <c r="AE231" i="6" s="1"/>
  <c r="AD232" i="6"/>
  <c r="AE232" i="6" s="1"/>
  <c r="AD233" i="6"/>
  <c r="AE233" i="6" s="1"/>
  <c r="AD234" i="6"/>
  <c r="AE234" i="6" s="1"/>
  <c r="AD235" i="6"/>
  <c r="AE235" i="6" s="1"/>
  <c r="AD236" i="6"/>
  <c r="AE236" i="6" s="1"/>
  <c r="AD237" i="6"/>
  <c r="AE237" i="6" s="1"/>
  <c r="AD238" i="6"/>
  <c r="AE238" i="6" s="1"/>
  <c r="AD239" i="6"/>
  <c r="AE239" i="6" s="1"/>
  <c r="AD240" i="6"/>
  <c r="AE240" i="6" s="1"/>
  <c r="AD241" i="6"/>
  <c r="AE241" i="6" s="1"/>
  <c r="AD242" i="6"/>
  <c r="AE242" i="6" s="1"/>
  <c r="AD243" i="6"/>
  <c r="AE243" i="6" s="1"/>
  <c r="AD244" i="6"/>
  <c r="AE244" i="6" s="1"/>
  <c r="AD245" i="6"/>
  <c r="AE245" i="6" s="1"/>
  <c r="AD246" i="6"/>
  <c r="AE246" i="6" s="1"/>
  <c r="AD247" i="6"/>
  <c r="AE247" i="6" s="1"/>
  <c r="AD248" i="6"/>
  <c r="AE248" i="6" s="1"/>
  <c r="AD249" i="6"/>
  <c r="AE249" i="6" s="1"/>
  <c r="AD250" i="6"/>
  <c r="AE250" i="6" s="1"/>
  <c r="AD251" i="6"/>
  <c r="AE251" i="6" s="1"/>
  <c r="AD252" i="6"/>
  <c r="AE252" i="6" s="1"/>
  <c r="AD253" i="6"/>
  <c r="AE253" i="6" s="1"/>
  <c r="AD254" i="6"/>
  <c r="AE254" i="6" s="1"/>
  <c r="AD255" i="6"/>
  <c r="AE255" i="6" s="1"/>
  <c r="AD256" i="6"/>
  <c r="AE256" i="6" s="1"/>
  <c r="AD257" i="6"/>
  <c r="AE257" i="6" s="1"/>
  <c r="AD258" i="6"/>
  <c r="AE258" i="6" s="1"/>
  <c r="AD259" i="6"/>
  <c r="AE259" i="6" s="1"/>
  <c r="AD260" i="6"/>
  <c r="AE260" i="6" s="1"/>
  <c r="AD261" i="6"/>
  <c r="AE261" i="6" s="1"/>
  <c r="AD262" i="6"/>
  <c r="AE262" i="6" s="1"/>
  <c r="AD263" i="6"/>
  <c r="AE263" i="6" s="1"/>
  <c r="AD264" i="6"/>
  <c r="AE264" i="6" s="1"/>
  <c r="AD265" i="6"/>
  <c r="AE265" i="6" s="1"/>
  <c r="AD266" i="6"/>
  <c r="AE266" i="6" s="1"/>
  <c r="AD267" i="6"/>
  <c r="AE267" i="6" s="1"/>
  <c r="AD268" i="6"/>
  <c r="AE268" i="6" s="1"/>
  <c r="AD269" i="6"/>
  <c r="AE269" i="6" s="1"/>
  <c r="AD270" i="6"/>
  <c r="AE270" i="6" s="1"/>
  <c r="AD271" i="6"/>
  <c r="AE271" i="6" s="1"/>
  <c r="AD272" i="6"/>
  <c r="AE272" i="6" s="1"/>
  <c r="AD273" i="6"/>
  <c r="AE273" i="6" s="1"/>
  <c r="AD274" i="6"/>
  <c r="AE274" i="6" s="1"/>
  <c r="AD275" i="6"/>
  <c r="AE275" i="6" s="1"/>
  <c r="AD276" i="6"/>
  <c r="AE276" i="6" s="1"/>
  <c r="AD277" i="6"/>
  <c r="AE277" i="6" s="1"/>
  <c r="AD278" i="6"/>
  <c r="AE278" i="6" s="1"/>
  <c r="AD279" i="6"/>
  <c r="AE279" i="6" s="1"/>
  <c r="AD280" i="6"/>
  <c r="AE280" i="6" s="1"/>
  <c r="AD281" i="6"/>
  <c r="AE281" i="6" s="1"/>
  <c r="AD282" i="6"/>
  <c r="AE282" i="6" s="1"/>
  <c r="AD283" i="6"/>
  <c r="AE283" i="6" s="1"/>
  <c r="AD284" i="6"/>
  <c r="AE284" i="6" s="1"/>
  <c r="AD285" i="6"/>
  <c r="AE285" i="6" s="1"/>
  <c r="AD286" i="6"/>
  <c r="AE286" i="6" s="1"/>
  <c r="AD287" i="6"/>
  <c r="AE287" i="6" s="1"/>
  <c r="AD288" i="6"/>
  <c r="AE288" i="6" s="1"/>
  <c r="AD289" i="6"/>
  <c r="AE289" i="6" s="1"/>
  <c r="AD290" i="6"/>
  <c r="AE290" i="6" s="1"/>
  <c r="AD291" i="6"/>
  <c r="AE291" i="6" s="1"/>
  <c r="AD292" i="6"/>
  <c r="AE292" i="6" s="1"/>
  <c r="AD293" i="6"/>
  <c r="AE293" i="6" s="1"/>
  <c r="AD294" i="6"/>
  <c r="AE294" i="6" s="1"/>
  <c r="AD295" i="6"/>
  <c r="AE295" i="6" s="1"/>
  <c r="AD296" i="6"/>
  <c r="AE296" i="6" s="1"/>
  <c r="AD297" i="6"/>
  <c r="AE297" i="6" s="1"/>
  <c r="AD298" i="6"/>
  <c r="AE298" i="6" s="1"/>
  <c r="AD299" i="6"/>
  <c r="AE299" i="6" s="1"/>
  <c r="AD300" i="6"/>
  <c r="AE300" i="6" s="1"/>
  <c r="AD301" i="6"/>
  <c r="AE301" i="6" s="1"/>
  <c r="AD302" i="6"/>
  <c r="AE302" i="6" s="1"/>
  <c r="AD303" i="6"/>
  <c r="AE303" i="6" s="1"/>
  <c r="AD304" i="6"/>
  <c r="AE304" i="6" s="1"/>
  <c r="AD305" i="6"/>
  <c r="AE305" i="6" s="1"/>
  <c r="AD306" i="6"/>
  <c r="AE306" i="6" s="1"/>
  <c r="AD307" i="6"/>
  <c r="AE307" i="6" s="1"/>
  <c r="AD308" i="6"/>
  <c r="AE308" i="6" s="1"/>
  <c r="AD309" i="6"/>
  <c r="AE309" i="6" s="1"/>
  <c r="AD310" i="6"/>
  <c r="AE310" i="6" s="1"/>
  <c r="AD311" i="6"/>
  <c r="AE311" i="6" s="1"/>
  <c r="AD312" i="6"/>
  <c r="AE312" i="6" s="1"/>
  <c r="AD313" i="6"/>
  <c r="AE313" i="6" s="1"/>
  <c r="AD314" i="6"/>
  <c r="AE314" i="6" s="1"/>
  <c r="AD315" i="6"/>
  <c r="AE315" i="6" s="1"/>
  <c r="AD316" i="6"/>
  <c r="AE316" i="6" s="1"/>
  <c r="AD317" i="6"/>
  <c r="AE317" i="6" s="1"/>
  <c r="AD318" i="6"/>
  <c r="AE318" i="6" s="1"/>
  <c r="AD319" i="6"/>
  <c r="AE319" i="6" s="1"/>
  <c r="AD320" i="6"/>
  <c r="AE320" i="6" s="1"/>
  <c r="AD321" i="6"/>
  <c r="AE321" i="6" s="1"/>
  <c r="AD322" i="6"/>
  <c r="AE322" i="6" s="1"/>
  <c r="AD323" i="6"/>
  <c r="AE323" i="6" s="1"/>
  <c r="AD324" i="6"/>
  <c r="AE324" i="6" s="1"/>
  <c r="AD325" i="6"/>
  <c r="AE325" i="6" s="1"/>
  <c r="AD326" i="6"/>
  <c r="AE326" i="6" s="1"/>
  <c r="AD327" i="6"/>
  <c r="AE327" i="6" s="1"/>
  <c r="AD328" i="6"/>
  <c r="AE328" i="6" s="1"/>
  <c r="AD329" i="6"/>
  <c r="AE329" i="6" s="1"/>
  <c r="AD330" i="6"/>
  <c r="AE330" i="6" s="1"/>
  <c r="AD331" i="6"/>
  <c r="AE331" i="6" s="1"/>
  <c r="AD332" i="6"/>
  <c r="AE332" i="6" s="1"/>
  <c r="AD333" i="6"/>
  <c r="AE333" i="6" s="1"/>
  <c r="AD334" i="6"/>
  <c r="AE334" i="6" s="1"/>
  <c r="AD335" i="6"/>
  <c r="AE335" i="6" s="1"/>
  <c r="AD336" i="6"/>
  <c r="AE336" i="6" s="1"/>
  <c r="AD337" i="6"/>
  <c r="AE337" i="6" s="1"/>
  <c r="AD338" i="6"/>
  <c r="AE338" i="6" s="1"/>
  <c r="AD339" i="6"/>
  <c r="AE339" i="6" s="1"/>
  <c r="AD340" i="6"/>
  <c r="AE340" i="6" s="1"/>
  <c r="AD341" i="6"/>
  <c r="AE341" i="6" s="1"/>
  <c r="AD342" i="6"/>
  <c r="AE342" i="6" s="1"/>
  <c r="AD343" i="6"/>
  <c r="AE343" i="6" s="1"/>
  <c r="AD344" i="6"/>
  <c r="AE344" i="6" s="1"/>
  <c r="AD345" i="6"/>
  <c r="AE345" i="6" s="1"/>
  <c r="AD346" i="6"/>
  <c r="AE346" i="6" s="1"/>
  <c r="AD347" i="6"/>
  <c r="AE347" i="6" s="1"/>
  <c r="AD348" i="6"/>
  <c r="AE348" i="6" s="1"/>
  <c r="AD349" i="6"/>
  <c r="AE349" i="6" s="1"/>
  <c r="AD350" i="6"/>
  <c r="AE350" i="6" s="1"/>
  <c r="AD351" i="6"/>
  <c r="AE351" i="6" s="1"/>
  <c r="AD352" i="6"/>
  <c r="AE352" i="6" s="1"/>
  <c r="AD353" i="6"/>
  <c r="AE353" i="6" s="1"/>
  <c r="AD354" i="6"/>
  <c r="AE354" i="6" s="1"/>
  <c r="AD355" i="6"/>
  <c r="AE355" i="6" s="1"/>
  <c r="AD356" i="6"/>
  <c r="AE356" i="6" s="1"/>
  <c r="AD357" i="6"/>
  <c r="AE357" i="6" s="1"/>
  <c r="AD358" i="6"/>
  <c r="AE358" i="6" s="1"/>
  <c r="AD359" i="6"/>
  <c r="AE359" i="6" s="1"/>
  <c r="AD360" i="6"/>
  <c r="AE360" i="6" s="1"/>
  <c r="AD361" i="6"/>
  <c r="AE361" i="6" s="1"/>
  <c r="AD362" i="6"/>
  <c r="AE362" i="6" s="1"/>
  <c r="AD363" i="6"/>
  <c r="AE363" i="6" s="1"/>
  <c r="AD364" i="6"/>
  <c r="AE364" i="6" s="1"/>
  <c r="AD365" i="6"/>
  <c r="AE365" i="6" s="1"/>
  <c r="AD366" i="6"/>
  <c r="AE366" i="6" s="1"/>
  <c r="AD367" i="6"/>
  <c r="AE367" i="6" s="1"/>
  <c r="AD368" i="6"/>
  <c r="AE368" i="6" s="1"/>
  <c r="AD369" i="6"/>
  <c r="AE369" i="6" s="1"/>
  <c r="AD370" i="6"/>
  <c r="AE370" i="6" s="1"/>
  <c r="AD371" i="6"/>
  <c r="AE371" i="6" s="1"/>
  <c r="AD372" i="6"/>
  <c r="AE372" i="6" s="1"/>
  <c r="AD373" i="6"/>
  <c r="AE373" i="6" s="1"/>
  <c r="AD374" i="6"/>
  <c r="AE374" i="6" s="1"/>
  <c r="AD375" i="6"/>
  <c r="AE375" i="6" s="1"/>
  <c r="AD376" i="6"/>
  <c r="AE376" i="6" s="1"/>
  <c r="AD377" i="6"/>
  <c r="AE377" i="6" s="1"/>
  <c r="AD378" i="6"/>
  <c r="AE378" i="6" s="1"/>
  <c r="AD379" i="6"/>
  <c r="AE379" i="6" s="1"/>
  <c r="AD380" i="6"/>
  <c r="AE380" i="6" s="1"/>
  <c r="AD381" i="6"/>
  <c r="AE381" i="6" s="1"/>
  <c r="AD382" i="6"/>
  <c r="AE382" i="6" s="1"/>
  <c r="AD383" i="6"/>
  <c r="AE383" i="6" s="1"/>
  <c r="AD384" i="6"/>
  <c r="AE384" i="6" s="1"/>
  <c r="AD385" i="6"/>
  <c r="AE385" i="6" s="1"/>
  <c r="AD386" i="6"/>
  <c r="AE386" i="6" s="1"/>
  <c r="AD387" i="6"/>
  <c r="AE387" i="6" s="1"/>
  <c r="AD388" i="6"/>
  <c r="AE388" i="6" s="1"/>
  <c r="AD389" i="6"/>
  <c r="AE389" i="6" s="1"/>
  <c r="AD390" i="6"/>
  <c r="AE390" i="6" s="1"/>
  <c r="AD391" i="6"/>
  <c r="AE391" i="6" s="1"/>
  <c r="AD392" i="6"/>
  <c r="AE392" i="6" s="1"/>
  <c r="AD393" i="6"/>
  <c r="AE393" i="6" s="1"/>
  <c r="AD394" i="6"/>
  <c r="AE394" i="6" s="1"/>
  <c r="AD395" i="6"/>
  <c r="AE395" i="6" s="1"/>
  <c r="AD396" i="6"/>
  <c r="AE396" i="6" s="1"/>
  <c r="AD397" i="6"/>
  <c r="AE397" i="6" s="1"/>
  <c r="AD398" i="6"/>
  <c r="AE398" i="6" s="1"/>
  <c r="AD399" i="6"/>
  <c r="AE399" i="6" s="1"/>
  <c r="AD400" i="6"/>
  <c r="AE400" i="6" s="1"/>
  <c r="AD401" i="6"/>
  <c r="AE401" i="6" s="1"/>
  <c r="AD402" i="6"/>
  <c r="AE402" i="6" s="1"/>
  <c r="AD403" i="6"/>
  <c r="AE403" i="6" s="1"/>
  <c r="AD404" i="6"/>
  <c r="AE404" i="6" s="1"/>
  <c r="AD405" i="6"/>
  <c r="AE405" i="6" s="1"/>
  <c r="AD406" i="6"/>
  <c r="AE406" i="6" s="1"/>
  <c r="AD407" i="6"/>
  <c r="AE407" i="6" s="1"/>
  <c r="AD408" i="6"/>
  <c r="AE408" i="6" s="1"/>
  <c r="AD409" i="6"/>
  <c r="AE409" i="6" s="1"/>
  <c r="AD410" i="6"/>
  <c r="AE410" i="6" s="1"/>
  <c r="AD411" i="6"/>
  <c r="AE411" i="6" s="1"/>
  <c r="AD412" i="6"/>
  <c r="AE412" i="6" s="1"/>
  <c r="AD413" i="6"/>
  <c r="AE413" i="6" s="1"/>
  <c r="AD414" i="6"/>
  <c r="AE414" i="6" s="1"/>
  <c r="AD415" i="6"/>
  <c r="AD416" i="6"/>
  <c r="AE416" i="6" s="1"/>
  <c r="AD417" i="6"/>
  <c r="AE417" i="6" s="1"/>
  <c r="AD418" i="6"/>
  <c r="AE418" i="6" s="1"/>
  <c r="AD419" i="6"/>
  <c r="AE419" i="6" s="1"/>
  <c r="AD420" i="6"/>
  <c r="AE420" i="6" s="1"/>
  <c r="AD421" i="6"/>
  <c r="AE421" i="6" s="1"/>
  <c r="AD422" i="6"/>
  <c r="AE422" i="6" s="1"/>
  <c r="AD423" i="6"/>
  <c r="AE423" i="6" s="1"/>
  <c r="AD424" i="6"/>
  <c r="AE424" i="6" s="1"/>
  <c r="AD425" i="6"/>
  <c r="AE425" i="6" s="1"/>
  <c r="AD426" i="6"/>
  <c r="AE426" i="6" s="1"/>
  <c r="AD427" i="6"/>
  <c r="AE427" i="6" s="1"/>
  <c r="AD428" i="6"/>
  <c r="AE428" i="6" s="1"/>
  <c r="AD429" i="6"/>
  <c r="AE429" i="6" s="1"/>
  <c r="AD430" i="6"/>
  <c r="AE430" i="6" s="1"/>
  <c r="AD431" i="6"/>
  <c r="AE431" i="6" s="1"/>
  <c r="AD432" i="6"/>
  <c r="AE432" i="6" s="1"/>
  <c r="AD433" i="6"/>
  <c r="AE433" i="6" s="1"/>
  <c r="AD434" i="6"/>
  <c r="AE434" i="6" s="1"/>
  <c r="AD435" i="6"/>
  <c r="AE435" i="6" s="1"/>
  <c r="AD436" i="6"/>
  <c r="AE436" i="6" s="1"/>
  <c r="AD437" i="6"/>
  <c r="AE437" i="6" s="1"/>
  <c r="AD438" i="6"/>
  <c r="AE438" i="6" s="1"/>
  <c r="AD439" i="6"/>
  <c r="AE439" i="6" s="1"/>
  <c r="AD440" i="6"/>
  <c r="AE440" i="6" s="1"/>
  <c r="AD441" i="6"/>
  <c r="AE441" i="6" s="1"/>
  <c r="AD442" i="6"/>
  <c r="AE442" i="6" s="1"/>
  <c r="AD443" i="6"/>
  <c r="AE443" i="6" s="1"/>
  <c r="AD444" i="6"/>
  <c r="AE444" i="6" s="1"/>
  <c r="AD445" i="6"/>
  <c r="AE445" i="6" s="1"/>
  <c r="AD446" i="6"/>
  <c r="AE446" i="6" s="1"/>
  <c r="AD447" i="6"/>
  <c r="AE447" i="6" s="1"/>
  <c r="AD448" i="6"/>
  <c r="AE448" i="6" s="1"/>
  <c r="AD449" i="6"/>
  <c r="AE449" i="6" s="1"/>
  <c r="AD450" i="6"/>
  <c r="AE450" i="6" s="1"/>
  <c r="AD451" i="6"/>
  <c r="AE451" i="6" s="1"/>
  <c r="AD452" i="6"/>
  <c r="AE452" i="6" s="1"/>
  <c r="AD453" i="6"/>
  <c r="AE453" i="6" s="1"/>
  <c r="AD454" i="6"/>
  <c r="AE454" i="6" s="1"/>
  <c r="AD455" i="6"/>
  <c r="AE455" i="6" s="1"/>
  <c r="AD456" i="6"/>
  <c r="AE456" i="6" s="1"/>
  <c r="AD457" i="6"/>
  <c r="AE457" i="6" s="1"/>
  <c r="AD458" i="6"/>
  <c r="AE458" i="6" s="1"/>
  <c r="AD459" i="6"/>
  <c r="AE459" i="6" s="1"/>
  <c r="AD460" i="6"/>
  <c r="AE460" i="6" s="1"/>
  <c r="AD461" i="6"/>
  <c r="AE461" i="6" s="1"/>
  <c r="AD462" i="6"/>
  <c r="AE462" i="6" s="1"/>
  <c r="AD463" i="6"/>
  <c r="AE463" i="6" s="1"/>
  <c r="AD464" i="6"/>
  <c r="AE464" i="6" s="1"/>
  <c r="AD465" i="6"/>
  <c r="AE465" i="6" s="1"/>
  <c r="AD466" i="6"/>
  <c r="AE466" i="6" s="1"/>
  <c r="AD467" i="6"/>
  <c r="AE467" i="6" s="1"/>
  <c r="AD468" i="6"/>
  <c r="AE468" i="6" s="1"/>
  <c r="AD469" i="6"/>
  <c r="AE469" i="6" s="1"/>
  <c r="AD470" i="6"/>
  <c r="AE470" i="6" s="1"/>
  <c r="AD471" i="6"/>
  <c r="AE471" i="6" s="1"/>
  <c r="AD472" i="6"/>
  <c r="AE472" i="6" s="1"/>
  <c r="AD473" i="6"/>
  <c r="AE473" i="6" s="1"/>
  <c r="AD474" i="6"/>
  <c r="AE474" i="6" s="1"/>
  <c r="AD475" i="6"/>
  <c r="AE475" i="6" s="1"/>
  <c r="AD476" i="6"/>
  <c r="AE476" i="6" s="1"/>
  <c r="AD477" i="6"/>
  <c r="AE477" i="6" s="1"/>
  <c r="AD478" i="6"/>
  <c r="AE478" i="6" s="1"/>
  <c r="AD479" i="6"/>
  <c r="AE479" i="6" s="1"/>
  <c r="AD480" i="6"/>
  <c r="AE480" i="6" s="1"/>
  <c r="AD481" i="6"/>
  <c r="AE481" i="6" s="1"/>
  <c r="AD482" i="6"/>
  <c r="AE482" i="6" s="1"/>
  <c r="AD483" i="6"/>
  <c r="AE483" i="6" s="1"/>
  <c r="AD484" i="6"/>
  <c r="AE484" i="6" s="1"/>
  <c r="AD485" i="6"/>
  <c r="AE485" i="6" s="1"/>
  <c r="AD486" i="6"/>
  <c r="AE486" i="6" s="1"/>
  <c r="AD487" i="6"/>
  <c r="AE487" i="6" s="1"/>
  <c r="AD488" i="6"/>
  <c r="AE488" i="6" s="1"/>
  <c r="AD489" i="6"/>
  <c r="AE489" i="6" s="1"/>
  <c r="AD490" i="6"/>
  <c r="AE490" i="6" s="1"/>
  <c r="AD491" i="6"/>
  <c r="AE491" i="6" s="1"/>
  <c r="AD492" i="6"/>
  <c r="AE492" i="6" s="1"/>
  <c r="AD493" i="6"/>
  <c r="AE493" i="6" s="1"/>
  <c r="AD494" i="6"/>
  <c r="AE494" i="6" s="1"/>
  <c r="AD495" i="6"/>
  <c r="AE495" i="6" s="1"/>
  <c r="AD496" i="6"/>
  <c r="AE496" i="6" s="1"/>
  <c r="AD497" i="6"/>
  <c r="AE497" i="6" s="1"/>
  <c r="AD498" i="6"/>
  <c r="AE498" i="6" s="1"/>
  <c r="AD499" i="6"/>
  <c r="AE499" i="6" s="1"/>
  <c r="AD500" i="6"/>
  <c r="AE500" i="6" s="1"/>
  <c r="AD501" i="6"/>
  <c r="AE501" i="6" s="1"/>
  <c r="AD502" i="6"/>
  <c r="AE502" i="6" s="1"/>
  <c r="AD503" i="6"/>
  <c r="AE503" i="6" s="1"/>
  <c r="AD504" i="6"/>
  <c r="AE504" i="6" s="1"/>
  <c r="AD505" i="6"/>
  <c r="AE505" i="6" s="1"/>
  <c r="AD506" i="6"/>
  <c r="AE506" i="6" s="1"/>
  <c r="AD507" i="6"/>
  <c r="AE507" i="6" s="1"/>
  <c r="AD508" i="6"/>
  <c r="AE508" i="6" s="1"/>
  <c r="AD509" i="6"/>
  <c r="AE509" i="6" s="1"/>
  <c r="AD510" i="6"/>
  <c r="AE510" i="6" s="1"/>
  <c r="AD511" i="6"/>
  <c r="AE511" i="6" s="1"/>
  <c r="AD512" i="6"/>
  <c r="AE512" i="6" s="1"/>
  <c r="AD513" i="6"/>
  <c r="AE513" i="6" s="1"/>
  <c r="AD514" i="6"/>
  <c r="AE514" i="6" s="1"/>
  <c r="AD515" i="6"/>
  <c r="AE515" i="6" s="1"/>
  <c r="AD516" i="6"/>
  <c r="AE516" i="6" s="1"/>
  <c r="AD517" i="6"/>
  <c r="AE517" i="6" s="1"/>
  <c r="AD518" i="6"/>
  <c r="AE518" i="6" s="1"/>
  <c r="AD519" i="6"/>
  <c r="AE519" i="6" s="1"/>
  <c r="AD520" i="6"/>
  <c r="AE520" i="6" s="1"/>
  <c r="AD521" i="6"/>
  <c r="AE521" i="6" s="1"/>
  <c r="AD522" i="6"/>
  <c r="AE522" i="6" s="1"/>
  <c r="AD523" i="6"/>
  <c r="AE523" i="6" s="1"/>
  <c r="AD524" i="6"/>
  <c r="AE524" i="6" s="1"/>
  <c r="AD525" i="6"/>
  <c r="AE525" i="6" s="1"/>
  <c r="AD526" i="6"/>
  <c r="AE526" i="6" s="1"/>
  <c r="AD527" i="6"/>
  <c r="AE527" i="6" s="1"/>
  <c r="AD528" i="6"/>
  <c r="AE528" i="6" s="1"/>
  <c r="AD529" i="6"/>
  <c r="AE529" i="6" s="1"/>
  <c r="AD530" i="6"/>
  <c r="AE530" i="6" s="1"/>
  <c r="AD531" i="6"/>
  <c r="AE531" i="6" s="1"/>
  <c r="AD532" i="6"/>
  <c r="AE532" i="6" s="1"/>
  <c r="AD533" i="6"/>
  <c r="AE533" i="6" s="1"/>
  <c r="AD534" i="6"/>
  <c r="AE534" i="6" s="1"/>
  <c r="AD535" i="6"/>
  <c r="AE535" i="6" s="1"/>
  <c r="AD536" i="6"/>
  <c r="AE536" i="6" s="1"/>
  <c r="AD537" i="6"/>
  <c r="AE537" i="6" s="1"/>
  <c r="AD538" i="6"/>
  <c r="AE538" i="6" s="1"/>
  <c r="AD539" i="6"/>
  <c r="AE539" i="6" s="1"/>
  <c r="AD540" i="6"/>
  <c r="AE540" i="6" s="1"/>
  <c r="AD541" i="6"/>
  <c r="AE541" i="6" s="1"/>
  <c r="AD542" i="6"/>
  <c r="AE542" i="6" s="1"/>
  <c r="AD543" i="6"/>
  <c r="AD544" i="6"/>
  <c r="AE544" i="6" s="1"/>
  <c r="AD545" i="6"/>
  <c r="AE545" i="6" s="1"/>
  <c r="AD546" i="6"/>
  <c r="AE546" i="6" s="1"/>
  <c r="AD547" i="6"/>
  <c r="AE547" i="6" s="1"/>
  <c r="AD548" i="6"/>
  <c r="AE548" i="6" s="1"/>
  <c r="AD549" i="6"/>
  <c r="AE549" i="6" s="1"/>
  <c r="AD550" i="6"/>
  <c r="AE550" i="6" s="1"/>
  <c r="AD551" i="6"/>
  <c r="AE551" i="6" s="1"/>
  <c r="AD552" i="6"/>
  <c r="AE552" i="6" s="1"/>
  <c r="AD553" i="6"/>
  <c r="AE553" i="6" s="1"/>
  <c r="AD554" i="6"/>
  <c r="AE554" i="6" s="1"/>
  <c r="AD555" i="6"/>
  <c r="AE555" i="6" s="1"/>
  <c r="AD556" i="6"/>
  <c r="AE556" i="6" s="1"/>
  <c r="AD557" i="6"/>
  <c r="AE557" i="6" s="1"/>
  <c r="AD558" i="6"/>
  <c r="AE558" i="6" s="1"/>
  <c r="AD559" i="6"/>
  <c r="AE559" i="6" s="1"/>
  <c r="AD560" i="6"/>
  <c r="AE560" i="6" s="1"/>
  <c r="AD561" i="6"/>
  <c r="AE561" i="6" s="1"/>
  <c r="AD562" i="6"/>
  <c r="AE562" i="6" s="1"/>
  <c r="AD563" i="6"/>
  <c r="AE563" i="6" s="1"/>
  <c r="AD564" i="6"/>
  <c r="AE564" i="6" s="1"/>
  <c r="AD565" i="6"/>
  <c r="AE565" i="6" s="1"/>
  <c r="AD566" i="6"/>
  <c r="AE566" i="6" s="1"/>
  <c r="AD567" i="6"/>
  <c r="AE567" i="6" s="1"/>
  <c r="AD568" i="6"/>
  <c r="AE568" i="6" s="1"/>
  <c r="AD569" i="6"/>
  <c r="AE569" i="6" s="1"/>
  <c r="AD570" i="6"/>
  <c r="AE570" i="6" s="1"/>
  <c r="AD571" i="6"/>
  <c r="AE571" i="6" s="1"/>
  <c r="AD572" i="6"/>
  <c r="AE572" i="6" s="1"/>
  <c r="AD573" i="6"/>
  <c r="AE573" i="6" s="1"/>
  <c r="AD574" i="6"/>
  <c r="AE574" i="6" s="1"/>
  <c r="AD575" i="6"/>
  <c r="AE575" i="6" s="1"/>
  <c r="AD576" i="6"/>
  <c r="AE576" i="6" s="1"/>
  <c r="AD577" i="6"/>
  <c r="AE577" i="6" s="1"/>
  <c r="AD578" i="6"/>
  <c r="AE578" i="6" s="1"/>
  <c r="AD579" i="6"/>
  <c r="AE579" i="6" s="1"/>
  <c r="AD580" i="6"/>
  <c r="AE580" i="6" s="1"/>
  <c r="AD581" i="6"/>
  <c r="AE581" i="6" s="1"/>
  <c r="AD582" i="6"/>
  <c r="AE582" i="6" s="1"/>
  <c r="AD583" i="6"/>
  <c r="AE583" i="6" s="1"/>
  <c r="AD584" i="6"/>
  <c r="AE584" i="6" s="1"/>
  <c r="AD585" i="6"/>
  <c r="AE585" i="6" s="1"/>
  <c r="AD586" i="6"/>
  <c r="AE586" i="6" s="1"/>
  <c r="AD587" i="6"/>
  <c r="AE587" i="6" s="1"/>
  <c r="AD588" i="6"/>
  <c r="AE588" i="6" s="1"/>
  <c r="AD589" i="6"/>
  <c r="AE589" i="6" s="1"/>
  <c r="AD590" i="6"/>
  <c r="AE590" i="6" s="1"/>
  <c r="AD591" i="6"/>
  <c r="AE591" i="6" s="1"/>
  <c r="AD592" i="6"/>
  <c r="AE592" i="6" s="1"/>
  <c r="AD593" i="6"/>
  <c r="AE593" i="6" s="1"/>
  <c r="AD594" i="6"/>
  <c r="AE594" i="6" s="1"/>
  <c r="AD595" i="6"/>
  <c r="AE595" i="6" s="1"/>
  <c r="AD596" i="6"/>
  <c r="AE596" i="6" s="1"/>
  <c r="AD597" i="6"/>
  <c r="AE597" i="6" s="1"/>
  <c r="AD598" i="6"/>
  <c r="AE598" i="6" s="1"/>
  <c r="AD599" i="6"/>
  <c r="AE599" i="6" s="1"/>
  <c r="AD600" i="6"/>
  <c r="AE600" i="6" s="1"/>
  <c r="AD601" i="6"/>
  <c r="AE601" i="6" s="1"/>
  <c r="AD602" i="6"/>
  <c r="AE602" i="6" s="1"/>
  <c r="AD603" i="6"/>
  <c r="AE603" i="6" s="1"/>
  <c r="AD604" i="6"/>
  <c r="AE604" i="6" s="1"/>
  <c r="AD605" i="6"/>
  <c r="AE605" i="6" s="1"/>
  <c r="AD606" i="6"/>
  <c r="AE606" i="6" s="1"/>
  <c r="AD607" i="6"/>
  <c r="AE607" i="6" s="1"/>
  <c r="AD608" i="6"/>
  <c r="AE608" i="6" s="1"/>
  <c r="AD609" i="6"/>
  <c r="AE609" i="6" s="1"/>
  <c r="AD610" i="6"/>
  <c r="AE610" i="6" s="1"/>
  <c r="AD611" i="6"/>
  <c r="AE611" i="6" s="1"/>
  <c r="AD612" i="6"/>
  <c r="AE612" i="6" s="1"/>
  <c r="AD613" i="6"/>
  <c r="AE613" i="6" s="1"/>
  <c r="AD614" i="6"/>
  <c r="AE614" i="6" s="1"/>
  <c r="AD615" i="6"/>
  <c r="AE615" i="6" s="1"/>
  <c r="AD616" i="6"/>
  <c r="AE616" i="6" s="1"/>
  <c r="AD617" i="6"/>
  <c r="AE617" i="6" s="1"/>
  <c r="AD618" i="6"/>
  <c r="AE618" i="6" s="1"/>
  <c r="AD619" i="6"/>
  <c r="AE619" i="6" s="1"/>
  <c r="AD620" i="6"/>
  <c r="AE620" i="6" s="1"/>
  <c r="AD621" i="6"/>
  <c r="AE621" i="6" s="1"/>
  <c r="AD622" i="6"/>
  <c r="AE622" i="6" s="1"/>
  <c r="AD623" i="6"/>
  <c r="AE623" i="6" s="1"/>
  <c r="AD624" i="6"/>
  <c r="AE624" i="6" s="1"/>
  <c r="AD625" i="6"/>
  <c r="AE625" i="6" s="1"/>
  <c r="AD626" i="6"/>
  <c r="AE626" i="6" s="1"/>
  <c r="AD627" i="6"/>
  <c r="AE627" i="6" s="1"/>
  <c r="AD628" i="6"/>
  <c r="AE628" i="6" s="1"/>
  <c r="AD629" i="6"/>
  <c r="AE629" i="6" s="1"/>
  <c r="AD630" i="6"/>
  <c r="AE630" i="6" s="1"/>
  <c r="AD631" i="6"/>
  <c r="AE631" i="6" s="1"/>
  <c r="AD632" i="6"/>
  <c r="AE632" i="6" s="1"/>
  <c r="AD633" i="6"/>
  <c r="AE633" i="6" s="1"/>
  <c r="AD634" i="6"/>
  <c r="AE634" i="6" s="1"/>
  <c r="AD635" i="6"/>
  <c r="AE635" i="6" s="1"/>
  <c r="AD636" i="6"/>
  <c r="AE636" i="6" s="1"/>
  <c r="AD637" i="6"/>
  <c r="AE637" i="6" s="1"/>
  <c r="AD638" i="6"/>
  <c r="AE638" i="6" s="1"/>
  <c r="AD639" i="6"/>
  <c r="AE639" i="6" s="1"/>
  <c r="AD640" i="6"/>
  <c r="AE640" i="6" s="1"/>
  <c r="AD641" i="6"/>
  <c r="AE641" i="6" s="1"/>
  <c r="AD642" i="6"/>
  <c r="AE642" i="6" s="1"/>
  <c r="AD643" i="6"/>
  <c r="AE643" i="6" s="1"/>
  <c r="AD644" i="6"/>
  <c r="AE644" i="6" s="1"/>
  <c r="AD645" i="6"/>
  <c r="AE645" i="6" s="1"/>
  <c r="AD646" i="6"/>
  <c r="AE646" i="6" s="1"/>
  <c r="AD647" i="6"/>
  <c r="AE647" i="6" s="1"/>
  <c r="AD648" i="6"/>
  <c r="AE648" i="6" s="1"/>
  <c r="AD649" i="6"/>
  <c r="AE649" i="6" s="1"/>
  <c r="AD650" i="6"/>
  <c r="AE650" i="6" s="1"/>
  <c r="AD651" i="6"/>
  <c r="AE651" i="6" s="1"/>
  <c r="AD652" i="6"/>
  <c r="AE652" i="6" s="1"/>
  <c r="AD653" i="6"/>
  <c r="AE653" i="6" s="1"/>
  <c r="AD654" i="6"/>
  <c r="AE654" i="6" s="1"/>
  <c r="AD655" i="6"/>
  <c r="AE655" i="6" s="1"/>
  <c r="AD656" i="6"/>
  <c r="AE656" i="6" s="1"/>
  <c r="AD657" i="6"/>
  <c r="AE657" i="6" s="1"/>
  <c r="AD658" i="6"/>
  <c r="AE658" i="6" s="1"/>
  <c r="AD659" i="6"/>
  <c r="AE659" i="6" s="1"/>
  <c r="AD660" i="6"/>
  <c r="AE660" i="6" s="1"/>
  <c r="AD661" i="6"/>
  <c r="AE661" i="6" s="1"/>
  <c r="AD662" i="6"/>
  <c r="AE662" i="6" s="1"/>
  <c r="AD663" i="6"/>
  <c r="AE663" i="6" s="1"/>
  <c r="AD664" i="6"/>
  <c r="AE664" i="6" s="1"/>
  <c r="AD665" i="6"/>
  <c r="AE665" i="6" s="1"/>
  <c r="AD666" i="6"/>
  <c r="AE666" i="6" s="1"/>
  <c r="AD667" i="6"/>
  <c r="AE667" i="6" s="1"/>
  <c r="AD668" i="6"/>
  <c r="AE668" i="6" s="1"/>
  <c r="AD669" i="6"/>
  <c r="AE669" i="6" s="1"/>
  <c r="AD670" i="6"/>
  <c r="AE670" i="6" s="1"/>
  <c r="AD671" i="6"/>
  <c r="AE671" i="6" s="1"/>
  <c r="AD672" i="6"/>
  <c r="AE672" i="6" s="1"/>
  <c r="AD673" i="6"/>
  <c r="AE673" i="6" s="1"/>
  <c r="AD674" i="6"/>
  <c r="AE674" i="6" s="1"/>
  <c r="AD675" i="6"/>
  <c r="AE675" i="6" s="1"/>
  <c r="AD676" i="6"/>
  <c r="AE676" i="6" s="1"/>
  <c r="AD677" i="6"/>
  <c r="AE677" i="6" s="1"/>
  <c r="AD678" i="6"/>
  <c r="AE678" i="6" s="1"/>
  <c r="AD679" i="6"/>
  <c r="AE679" i="6" s="1"/>
  <c r="AD680" i="6"/>
  <c r="AE680" i="6" s="1"/>
  <c r="AD681" i="6"/>
  <c r="AE681" i="6" s="1"/>
  <c r="AD682" i="6"/>
  <c r="AE682" i="6" s="1"/>
  <c r="AD683" i="6"/>
  <c r="AE683" i="6" s="1"/>
  <c r="AD684" i="6"/>
  <c r="AE684" i="6" s="1"/>
  <c r="AD685" i="6"/>
  <c r="AE685" i="6" s="1"/>
  <c r="AD686" i="6"/>
  <c r="AE686" i="6" s="1"/>
  <c r="AD687" i="6"/>
  <c r="AE687" i="6" s="1"/>
  <c r="AD688" i="6"/>
  <c r="AE688" i="6" s="1"/>
  <c r="AD689" i="6"/>
  <c r="AE689" i="6" s="1"/>
  <c r="AD690" i="6"/>
  <c r="AE690" i="6" s="1"/>
  <c r="AD691" i="6"/>
  <c r="AE691" i="6" s="1"/>
  <c r="AD692" i="6"/>
  <c r="AE692" i="6" s="1"/>
  <c r="AD693" i="6"/>
  <c r="AE693" i="6" s="1"/>
  <c r="AD694" i="6"/>
  <c r="AE694" i="6" s="1"/>
  <c r="AD695" i="6"/>
  <c r="AE695" i="6" s="1"/>
  <c r="AD696" i="6"/>
  <c r="AE696" i="6" s="1"/>
  <c r="AD697" i="6"/>
  <c r="AE697" i="6" s="1"/>
  <c r="AD698" i="6"/>
  <c r="AE698" i="6" s="1"/>
  <c r="AD699" i="6"/>
  <c r="AE699" i="6" s="1"/>
  <c r="AD700" i="6"/>
  <c r="AE700" i="6" s="1"/>
  <c r="AD701" i="6"/>
  <c r="AE701" i="6" s="1"/>
  <c r="AD702" i="6"/>
  <c r="AE702" i="6" s="1"/>
  <c r="AD703" i="6"/>
  <c r="AE703" i="6" s="1"/>
  <c r="AD704" i="6"/>
  <c r="AE704" i="6" s="1"/>
  <c r="AD705" i="6"/>
  <c r="AE705" i="6" s="1"/>
  <c r="AD706" i="6"/>
  <c r="AE706" i="6" s="1"/>
  <c r="AD707" i="6"/>
  <c r="AE707" i="6" s="1"/>
  <c r="AD708" i="6"/>
  <c r="AE708" i="6" s="1"/>
  <c r="AD709" i="6"/>
  <c r="AE709" i="6" s="1"/>
  <c r="AD710" i="6"/>
  <c r="AE710" i="6" s="1"/>
  <c r="AD711" i="6"/>
  <c r="AE711" i="6" s="1"/>
  <c r="AD712" i="6"/>
  <c r="AE712" i="6" s="1"/>
  <c r="AD713" i="6"/>
  <c r="AE713" i="6" s="1"/>
  <c r="AD714" i="6"/>
  <c r="AE714" i="6" s="1"/>
  <c r="AD715" i="6"/>
  <c r="AE715" i="6" s="1"/>
  <c r="AD716" i="6"/>
  <c r="AE716" i="6" s="1"/>
  <c r="AD717" i="6"/>
  <c r="AE717" i="6" s="1"/>
  <c r="AD718" i="6"/>
  <c r="AE718" i="6" s="1"/>
  <c r="AD719" i="6"/>
  <c r="AE719" i="6" s="1"/>
  <c r="AD720" i="6"/>
  <c r="AE720" i="6" s="1"/>
  <c r="AD721" i="6"/>
  <c r="AE721" i="6" s="1"/>
  <c r="AD722" i="6"/>
  <c r="AE722" i="6" s="1"/>
  <c r="AD723" i="6"/>
  <c r="AE723" i="6" s="1"/>
  <c r="AD724" i="6"/>
  <c r="AE724" i="6" s="1"/>
  <c r="AD725" i="6"/>
  <c r="AE725" i="6" s="1"/>
  <c r="AD726" i="6"/>
  <c r="AE726" i="6" s="1"/>
  <c r="AD727" i="6"/>
  <c r="AE727" i="6" s="1"/>
  <c r="AD728" i="6"/>
  <c r="AE728" i="6" s="1"/>
  <c r="AD729" i="6"/>
  <c r="AE729" i="6" s="1"/>
  <c r="AD730" i="6"/>
  <c r="AE730" i="6" s="1"/>
  <c r="AD731" i="6"/>
  <c r="AE731" i="6" s="1"/>
  <c r="AD732" i="6"/>
  <c r="AE732" i="6" s="1"/>
  <c r="AD733" i="6"/>
  <c r="AE733" i="6" s="1"/>
  <c r="AD734" i="6"/>
  <c r="AE734" i="6" s="1"/>
  <c r="AD735" i="6"/>
  <c r="AE735" i="6" s="1"/>
  <c r="AD736" i="6"/>
  <c r="AE736" i="6" s="1"/>
  <c r="AD737" i="6"/>
  <c r="AE737" i="6" s="1"/>
  <c r="AD738" i="6"/>
  <c r="AE738" i="6" s="1"/>
  <c r="AD739" i="6"/>
  <c r="AE739" i="6" s="1"/>
  <c r="AD740" i="6"/>
  <c r="AE740" i="6" s="1"/>
  <c r="AD741" i="6"/>
  <c r="AE741" i="6" s="1"/>
  <c r="AD742" i="6"/>
  <c r="AE742" i="6" s="1"/>
  <c r="AD743" i="6"/>
  <c r="AE743" i="6" s="1"/>
  <c r="AD744" i="6"/>
  <c r="AE744" i="6" s="1"/>
  <c r="AD745" i="6"/>
  <c r="AE745" i="6" s="1"/>
  <c r="AD746" i="6"/>
  <c r="AE746" i="6" s="1"/>
  <c r="AD747" i="6"/>
  <c r="AE747" i="6" s="1"/>
  <c r="AD748" i="6"/>
  <c r="AE748" i="6" s="1"/>
  <c r="AD749" i="6"/>
  <c r="AE749" i="6" s="1"/>
  <c r="AD750" i="6"/>
  <c r="AE750" i="6" s="1"/>
  <c r="AD751" i="6"/>
  <c r="AE751" i="6" s="1"/>
  <c r="AD752" i="6"/>
  <c r="AE752" i="6" s="1"/>
  <c r="AD753" i="6"/>
  <c r="AE753" i="6" s="1"/>
  <c r="AD754" i="6"/>
  <c r="AE754" i="6" s="1"/>
  <c r="AD755" i="6"/>
  <c r="AE755" i="6" s="1"/>
  <c r="AD756" i="6"/>
  <c r="AE756" i="6" s="1"/>
  <c r="AD757" i="6"/>
  <c r="AE757" i="6" s="1"/>
  <c r="AD758" i="6"/>
  <c r="AE758" i="6" s="1"/>
  <c r="AD759" i="6"/>
  <c r="AE759" i="6" s="1"/>
  <c r="AD760" i="6"/>
  <c r="AE760" i="6" s="1"/>
  <c r="AD761" i="6"/>
  <c r="AE761" i="6" s="1"/>
  <c r="AD762" i="6"/>
  <c r="AE762" i="6" s="1"/>
  <c r="AD763" i="6"/>
  <c r="AE763" i="6" s="1"/>
  <c r="AD764" i="6"/>
  <c r="AE764" i="6" s="1"/>
  <c r="AD765" i="6"/>
  <c r="AE765" i="6" s="1"/>
  <c r="AD766" i="6"/>
  <c r="AE766" i="6" s="1"/>
  <c r="AD767" i="6"/>
  <c r="AE767" i="6" s="1"/>
  <c r="AD768" i="6"/>
  <c r="AE768" i="6" s="1"/>
  <c r="AD769" i="6"/>
  <c r="AE769" i="6" s="1"/>
  <c r="AD770" i="6"/>
  <c r="AE770" i="6" s="1"/>
  <c r="AD771" i="6"/>
  <c r="AE771" i="6" s="1"/>
  <c r="AD772" i="6"/>
  <c r="AE772" i="6" s="1"/>
  <c r="AD773" i="6"/>
  <c r="AE773" i="6" s="1"/>
  <c r="AD774" i="6"/>
  <c r="AE774" i="6" s="1"/>
  <c r="AD775" i="6"/>
  <c r="AE775" i="6" s="1"/>
  <c r="AD776" i="6"/>
  <c r="AE776" i="6" s="1"/>
  <c r="AD777" i="6"/>
  <c r="AE777" i="6" s="1"/>
  <c r="AD778" i="6"/>
  <c r="AE778" i="6" s="1"/>
  <c r="AD779" i="6"/>
  <c r="AE779" i="6" s="1"/>
  <c r="AD780" i="6"/>
  <c r="AE780" i="6" s="1"/>
  <c r="AD781" i="6"/>
  <c r="AE781" i="6" s="1"/>
  <c r="AD782" i="6"/>
  <c r="AE782" i="6" s="1"/>
  <c r="AD783" i="6"/>
  <c r="AE783" i="6" s="1"/>
  <c r="AD784" i="6"/>
  <c r="AE784" i="6" s="1"/>
  <c r="AD785" i="6"/>
  <c r="AE785" i="6" s="1"/>
  <c r="AD786" i="6"/>
  <c r="AE786" i="6" s="1"/>
  <c r="AD787" i="6"/>
  <c r="AE787" i="6" s="1"/>
  <c r="AD788" i="6"/>
  <c r="AE788" i="6" s="1"/>
  <c r="AD789" i="6"/>
  <c r="AE789" i="6" s="1"/>
  <c r="AD790" i="6"/>
  <c r="AE790" i="6" s="1"/>
  <c r="AD791" i="6"/>
  <c r="AE791" i="6" s="1"/>
  <c r="AD792" i="6"/>
  <c r="AE792" i="6" s="1"/>
  <c r="AD793" i="6"/>
  <c r="AE793" i="6" s="1"/>
  <c r="AD794" i="6"/>
  <c r="AE794" i="6" s="1"/>
  <c r="AD795" i="6"/>
  <c r="AE795" i="6" s="1"/>
  <c r="AD796" i="6"/>
  <c r="AE796" i="6" s="1"/>
  <c r="AD797" i="6"/>
  <c r="AE797" i="6" s="1"/>
  <c r="AD798" i="6"/>
  <c r="AE798" i="6" s="1"/>
  <c r="AD799" i="6"/>
  <c r="AE799" i="6" s="1"/>
  <c r="AD800" i="6"/>
  <c r="AE800" i="6" s="1"/>
  <c r="AD801" i="6"/>
  <c r="AE801" i="6" s="1"/>
  <c r="AD802" i="6"/>
  <c r="AE802" i="6" s="1"/>
  <c r="AD803" i="6"/>
  <c r="AE803" i="6" s="1"/>
  <c r="AD804" i="6"/>
  <c r="AE804" i="6" s="1"/>
  <c r="AD805" i="6"/>
  <c r="AE805" i="6" s="1"/>
  <c r="AD806" i="6"/>
  <c r="AE806" i="6" s="1"/>
  <c r="AD807" i="6"/>
  <c r="AE807" i="6" s="1"/>
  <c r="AD808" i="6"/>
  <c r="AE808" i="6" s="1"/>
  <c r="AD809" i="6"/>
  <c r="AE809" i="6" s="1"/>
  <c r="AD810" i="6"/>
  <c r="AE810" i="6" s="1"/>
  <c r="AD811" i="6"/>
  <c r="AE811" i="6" s="1"/>
  <c r="AD812" i="6"/>
  <c r="AE812" i="6" s="1"/>
  <c r="AD813" i="6"/>
  <c r="AE813" i="6" s="1"/>
  <c r="AD814" i="6"/>
  <c r="AE814" i="6" s="1"/>
  <c r="AD815" i="6"/>
  <c r="AE815" i="6" s="1"/>
  <c r="AD816" i="6"/>
  <c r="AE816" i="6" s="1"/>
  <c r="AD817" i="6"/>
  <c r="AE817" i="6" s="1"/>
  <c r="AD818" i="6"/>
  <c r="AE818" i="6" s="1"/>
  <c r="AD819" i="6"/>
  <c r="AE819" i="6" s="1"/>
  <c r="AD820" i="6"/>
  <c r="AE820" i="6" s="1"/>
  <c r="AD821" i="6"/>
  <c r="AE821" i="6" s="1"/>
  <c r="AD822" i="6"/>
  <c r="AE822" i="6" s="1"/>
  <c r="AD823" i="6"/>
  <c r="AE823" i="6" s="1"/>
  <c r="AD824" i="6"/>
  <c r="AE824" i="6" s="1"/>
  <c r="AD825" i="6"/>
  <c r="AE825" i="6" s="1"/>
  <c r="AD826" i="6"/>
  <c r="AE826" i="6" s="1"/>
  <c r="AD827" i="6"/>
  <c r="AE827" i="6" s="1"/>
  <c r="AD828" i="6"/>
  <c r="AE828" i="6" s="1"/>
  <c r="AD829" i="6"/>
  <c r="AE829" i="6" s="1"/>
  <c r="AD830" i="6"/>
  <c r="AE830" i="6" s="1"/>
  <c r="AD831" i="6"/>
  <c r="AE831" i="6" s="1"/>
  <c r="AD832" i="6"/>
  <c r="AE832" i="6" s="1"/>
  <c r="AD833" i="6"/>
  <c r="AE833" i="6" s="1"/>
  <c r="AD834" i="6"/>
  <c r="AE834" i="6" s="1"/>
  <c r="AD835" i="6"/>
  <c r="AE835" i="6" s="1"/>
  <c r="AD836" i="6"/>
  <c r="AE836" i="6" s="1"/>
  <c r="AD837" i="6"/>
  <c r="AE837" i="6" s="1"/>
  <c r="AD838" i="6"/>
  <c r="AE838" i="6" s="1"/>
  <c r="AD839" i="6"/>
  <c r="AE839" i="6" s="1"/>
  <c r="AD840" i="6"/>
  <c r="AE840" i="6" s="1"/>
  <c r="AD841" i="6"/>
  <c r="AE841" i="6" s="1"/>
  <c r="AD842" i="6"/>
  <c r="AE842" i="6" s="1"/>
  <c r="AD843" i="6"/>
  <c r="AE843" i="6" s="1"/>
  <c r="AD844" i="6"/>
  <c r="AE844" i="6" s="1"/>
  <c r="AD845" i="6"/>
  <c r="AE845" i="6" s="1"/>
  <c r="AD846" i="6"/>
  <c r="AE846" i="6" s="1"/>
  <c r="AD847" i="6"/>
  <c r="AE847" i="6" s="1"/>
  <c r="AD848" i="6"/>
  <c r="AE848" i="6" s="1"/>
  <c r="AD849" i="6"/>
  <c r="AE849" i="6" s="1"/>
  <c r="AD850" i="6"/>
  <c r="AE850" i="6" s="1"/>
  <c r="AD851" i="6"/>
  <c r="AE851" i="6" s="1"/>
  <c r="AD852" i="6"/>
  <c r="AE852" i="6" s="1"/>
  <c r="AD853" i="6"/>
  <c r="AE853" i="6" s="1"/>
  <c r="AD854" i="6"/>
  <c r="AE854" i="6" s="1"/>
  <c r="AD855" i="6"/>
  <c r="AE855" i="6" s="1"/>
  <c r="AD856" i="6"/>
  <c r="AE856" i="6" s="1"/>
  <c r="AD857" i="6"/>
  <c r="AE857" i="6" s="1"/>
  <c r="AD858" i="6"/>
  <c r="AE858" i="6" s="1"/>
  <c r="AD859" i="6"/>
  <c r="AE859" i="6" s="1"/>
  <c r="AD860" i="6"/>
  <c r="AE860" i="6" s="1"/>
  <c r="AD861" i="6"/>
  <c r="AE861" i="6" s="1"/>
  <c r="AD862" i="6"/>
  <c r="AE862" i="6" s="1"/>
  <c r="AD863" i="6"/>
  <c r="AE863" i="6" s="1"/>
  <c r="AD864" i="6"/>
  <c r="AE864" i="6" s="1"/>
  <c r="AD865" i="6"/>
  <c r="AE865" i="6" s="1"/>
  <c r="AD866" i="6"/>
  <c r="AE866" i="6" s="1"/>
  <c r="AD867" i="6"/>
  <c r="AE867" i="6" s="1"/>
  <c r="AD868" i="6"/>
  <c r="AE868" i="6" s="1"/>
  <c r="AD869" i="6"/>
  <c r="AE869" i="6" s="1"/>
  <c r="AD870" i="6"/>
  <c r="AE870" i="6" s="1"/>
  <c r="AD871" i="6"/>
  <c r="AE871" i="6" s="1"/>
  <c r="AD872" i="6"/>
  <c r="AE872" i="6" s="1"/>
  <c r="AD873" i="6"/>
  <c r="AE873" i="6" s="1"/>
  <c r="AD874" i="6"/>
  <c r="AE874" i="6" s="1"/>
  <c r="AD875" i="6"/>
  <c r="AE875" i="6" s="1"/>
  <c r="AD876" i="6"/>
  <c r="AE876" i="6" s="1"/>
  <c r="AD877" i="6"/>
  <c r="AE877" i="6" s="1"/>
  <c r="AD878" i="6"/>
  <c r="AE878" i="6" s="1"/>
  <c r="AD879" i="6"/>
  <c r="AE879" i="6" s="1"/>
  <c r="AD880" i="6"/>
  <c r="AE880" i="6" s="1"/>
  <c r="AD881" i="6"/>
  <c r="AE881" i="6" s="1"/>
  <c r="AD882" i="6"/>
  <c r="AE882" i="6" s="1"/>
  <c r="AD883" i="6"/>
  <c r="AE883" i="6" s="1"/>
  <c r="AD884" i="6"/>
  <c r="AE884" i="6" s="1"/>
  <c r="AD885" i="6"/>
  <c r="AE885" i="6" s="1"/>
  <c r="AD886" i="6"/>
  <c r="AE886" i="6" s="1"/>
  <c r="AD887" i="6"/>
  <c r="AE887" i="6" s="1"/>
  <c r="AD888" i="6"/>
  <c r="AE888" i="6" s="1"/>
  <c r="AD889" i="6"/>
  <c r="AE889" i="6" s="1"/>
  <c r="AD890" i="6"/>
  <c r="AE890" i="6" s="1"/>
  <c r="AD891" i="6"/>
  <c r="AE891" i="6" s="1"/>
  <c r="AD892" i="6"/>
  <c r="AE892" i="6" s="1"/>
  <c r="AD893" i="6"/>
  <c r="AE893" i="6" s="1"/>
  <c r="AD894" i="6"/>
  <c r="AE894" i="6" s="1"/>
  <c r="AD895" i="6"/>
  <c r="AE895" i="6" s="1"/>
  <c r="AD896" i="6"/>
  <c r="AE896" i="6" s="1"/>
  <c r="AD897" i="6"/>
  <c r="AE897" i="6" s="1"/>
  <c r="AD898" i="6"/>
  <c r="AE898" i="6" s="1"/>
  <c r="AD899" i="6"/>
  <c r="AE899" i="6" s="1"/>
  <c r="AD900" i="6"/>
  <c r="AE900" i="6" s="1"/>
  <c r="AD901" i="6"/>
  <c r="AE901" i="6" s="1"/>
  <c r="AD902" i="6"/>
  <c r="AE902" i="6" s="1"/>
  <c r="AD903" i="6"/>
  <c r="AE903" i="6" s="1"/>
  <c r="AD904" i="6"/>
  <c r="AE904" i="6" s="1"/>
  <c r="AD905" i="6"/>
  <c r="AE905" i="6" s="1"/>
  <c r="AD906" i="6"/>
  <c r="AE906" i="6" s="1"/>
  <c r="AD907" i="6"/>
  <c r="AE907" i="6" s="1"/>
  <c r="AD908" i="6"/>
  <c r="AE908" i="6" s="1"/>
  <c r="AD909" i="6"/>
  <c r="AE909" i="6" s="1"/>
  <c r="AD910" i="6"/>
  <c r="AE910" i="6" s="1"/>
  <c r="AD911" i="6"/>
  <c r="AE911" i="6" s="1"/>
  <c r="AD912" i="6"/>
  <c r="AE912" i="6" s="1"/>
  <c r="AD913" i="6"/>
  <c r="AE913" i="6" s="1"/>
  <c r="AD914" i="6"/>
  <c r="AE914" i="6" s="1"/>
  <c r="AD915" i="6"/>
  <c r="AE915" i="6" s="1"/>
  <c r="AD916" i="6"/>
  <c r="AE916" i="6" s="1"/>
  <c r="AD917" i="6"/>
  <c r="AE917" i="6" s="1"/>
  <c r="AD918" i="6"/>
  <c r="AE918" i="6" s="1"/>
  <c r="AD919" i="6"/>
  <c r="AE919" i="6" s="1"/>
  <c r="AD920" i="6"/>
  <c r="AE920" i="6" s="1"/>
  <c r="AD921" i="6"/>
  <c r="AE921" i="6" s="1"/>
  <c r="AD922" i="6"/>
  <c r="AE922" i="6" s="1"/>
  <c r="AD923" i="6"/>
  <c r="AE923" i="6" s="1"/>
  <c r="AD924" i="6"/>
  <c r="AE924" i="6" s="1"/>
  <c r="AD925" i="6"/>
  <c r="AE925" i="6" s="1"/>
  <c r="AD926" i="6"/>
  <c r="AE926" i="6" s="1"/>
  <c r="AD927" i="6"/>
  <c r="AE927" i="6" s="1"/>
  <c r="AD928" i="6"/>
  <c r="AE928" i="6" s="1"/>
  <c r="AD929" i="6"/>
  <c r="AE929" i="6" s="1"/>
  <c r="AD930" i="6"/>
  <c r="AE930" i="6" s="1"/>
  <c r="AD931" i="6"/>
  <c r="AE931" i="6" s="1"/>
  <c r="AD932" i="6"/>
  <c r="AE932" i="6" s="1"/>
  <c r="AD933" i="6"/>
  <c r="AE933" i="6" s="1"/>
  <c r="AD934" i="6"/>
  <c r="AE934" i="6" s="1"/>
  <c r="AD935" i="6"/>
  <c r="AE935" i="6" s="1"/>
  <c r="AD936" i="6"/>
  <c r="AE936" i="6" s="1"/>
  <c r="AD937" i="6"/>
  <c r="AE937" i="6" s="1"/>
  <c r="AD938" i="6"/>
  <c r="AE938" i="6" s="1"/>
  <c r="AD939" i="6"/>
  <c r="AE939" i="6" s="1"/>
  <c r="AD940" i="6"/>
  <c r="AE940" i="6" s="1"/>
  <c r="AD941" i="6"/>
  <c r="AE941" i="6" s="1"/>
  <c r="AD942" i="6"/>
  <c r="AE942" i="6" s="1"/>
  <c r="AD943" i="6"/>
  <c r="AE943" i="6" s="1"/>
  <c r="AD944" i="6"/>
  <c r="AE944" i="6" s="1"/>
  <c r="AD945" i="6"/>
  <c r="AE945" i="6" s="1"/>
  <c r="AD946" i="6"/>
  <c r="AE946" i="6" s="1"/>
  <c r="AD947" i="6"/>
  <c r="AE947" i="6" s="1"/>
  <c r="AD948" i="6"/>
  <c r="AE948" i="6" s="1"/>
  <c r="AD949" i="6"/>
  <c r="AE949" i="6" s="1"/>
  <c r="AD950" i="6"/>
  <c r="AE950" i="6" s="1"/>
  <c r="AD951" i="6"/>
  <c r="AE951" i="6" s="1"/>
  <c r="AD952" i="6"/>
  <c r="AE952" i="6" s="1"/>
  <c r="AD953" i="6"/>
  <c r="AE953" i="6" s="1"/>
  <c r="AD954" i="6"/>
  <c r="AE954" i="6" s="1"/>
  <c r="AD955" i="6"/>
  <c r="AE955" i="6" s="1"/>
  <c r="AD956" i="6"/>
  <c r="AE956" i="6" s="1"/>
  <c r="AD957" i="6"/>
  <c r="AE957" i="6" s="1"/>
  <c r="AD958" i="6"/>
  <c r="AE958" i="6" s="1"/>
  <c r="AD959" i="6"/>
  <c r="AE959" i="6" s="1"/>
  <c r="AD960" i="6"/>
  <c r="AE960" i="6" s="1"/>
  <c r="AD961" i="6"/>
  <c r="AE961" i="6" s="1"/>
  <c r="AD962" i="6"/>
  <c r="AE962" i="6" s="1"/>
  <c r="AD963" i="6"/>
  <c r="AE963" i="6" s="1"/>
  <c r="AD964" i="6"/>
  <c r="AE964" i="6" s="1"/>
  <c r="AD965" i="6"/>
  <c r="AE965" i="6" s="1"/>
  <c r="AD966" i="6"/>
  <c r="AE966" i="6" s="1"/>
  <c r="AD967" i="6"/>
  <c r="AE967" i="6" s="1"/>
  <c r="AD968" i="6"/>
  <c r="AE968" i="6" s="1"/>
  <c r="AD969" i="6"/>
  <c r="AE969" i="6" s="1"/>
  <c r="AD970" i="6"/>
  <c r="AE970" i="6" s="1"/>
  <c r="AD971" i="6"/>
  <c r="AE971" i="6" s="1"/>
  <c r="AD972" i="6"/>
  <c r="AE972" i="6" s="1"/>
  <c r="AD973" i="6"/>
  <c r="AE973" i="6" s="1"/>
  <c r="AD974" i="6"/>
  <c r="AE974" i="6" s="1"/>
  <c r="AD975" i="6"/>
  <c r="AE975" i="6" s="1"/>
  <c r="AD976" i="6"/>
  <c r="AE976" i="6" s="1"/>
  <c r="AD977" i="6"/>
  <c r="AE977" i="6" s="1"/>
  <c r="AD978" i="6"/>
  <c r="AE978" i="6" s="1"/>
  <c r="AD979" i="6"/>
  <c r="AE979" i="6" s="1"/>
  <c r="AD980" i="6"/>
  <c r="AE980" i="6" s="1"/>
  <c r="AD981" i="6"/>
  <c r="AE981" i="6" s="1"/>
  <c r="AD982" i="6"/>
  <c r="AE982" i="6" s="1"/>
  <c r="AD983" i="6"/>
  <c r="AE983" i="6" s="1"/>
  <c r="AD984" i="6"/>
  <c r="AE984" i="6" s="1"/>
  <c r="AD985" i="6"/>
  <c r="AE985" i="6" s="1"/>
  <c r="AD986" i="6"/>
  <c r="AE986" i="6" s="1"/>
  <c r="AD987" i="6"/>
  <c r="AE987" i="6" s="1"/>
  <c r="AD988" i="6"/>
  <c r="AE988" i="6" s="1"/>
  <c r="AD989" i="6"/>
  <c r="AE989" i="6" s="1"/>
  <c r="AD990" i="6"/>
  <c r="AE990" i="6" s="1"/>
  <c r="AD991" i="6"/>
  <c r="AD992" i="6"/>
  <c r="AE992" i="6" s="1"/>
  <c r="AD993" i="6"/>
  <c r="AE993" i="6" s="1"/>
  <c r="AD994" i="6"/>
  <c r="AE994" i="6" s="1"/>
  <c r="AD995" i="6"/>
  <c r="AE995" i="6" s="1"/>
  <c r="AD996" i="6"/>
  <c r="AE996" i="6" s="1"/>
  <c r="AD997" i="6"/>
  <c r="AE997" i="6" s="1"/>
  <c r="AD998" i="6"/>
  <c r="AE998" i="6" s="1"/>
  <c r="AD999" i="6"/>
  <c r="AD1000" i="6"/>
  <c r="AE1000" i="6" s="1"/>
  <c r="AD1001" i="6"/>
  <c r="AE1001" i="6" s="1"/>
  <c r="AD1002" i="6"/>
  <c r="AE1002" i="6" s="1"/>
  <c r="AD1003" i="6"/>
  <c r="AE1003" i="6" s="1"/>
  <c r="AD1004" i="6"/>
  <c r="AE1004" i="6" s="1"/>
  <c r="AD1005" i="6"/>
  <c r="AE1005" i="6" s="1"/>
  <c r="AD1006" i="6"/>
  <c r="AE1006" i="6" s="1"/>
  <c r="AD1007" i="6"/>
  <c r="AD1008" i="6"/>
  <c r="AE1008" i="6" s="1"/>
  <c r="AD1009" i="6"/>
  <c r="AE1009" i="6" s="1"/>
  <c r="AD1010" i="6"/>
  <c r="AE1010" i="6" s="1"/>
  <c r="AD1011" i="6"/>
  <c r="AE1011" i="6" s="1"/>
  <c r="AD1012" i="6"/>
  <c r="AE1012" i="6" s="1"/>
  <c r="AD1013" i="6"/>
  <c r="AE1013" i="6" s="1"/>
  <c r="AD1014" i="6"/>
  <c r="AE1014" i="6" s="1"/>
  <c r="AD1015" i="6"/>
  <c r="AD1016" i="6"/>
  <c r="AE1016" i="6" s="1"/>
  <c r="AD1017" i="6"/>
  <c r="AE1017" i="6" s="1"/>
  <c r="AD1018" i="6"/>
  <c r="AE1018" i="6" s="1"/>
  <c r="AD1019" i="6"/>
  <c r="AE1019" i="6" s="1"/>
  <c r="AD1020" i="6"/>
  <c r="AE1020" i="6" s="1"/>
  <c r="AD1021" i="6"/>
  <c r="AE1021" i="6" s="1"/>
  <c r="AD1022" i="6"/>
  <c r="AE1022" i="6" s="1"/>
  <c r="AD1023" i="6"/>
  <c r="AD1024" i="6"/>
  <c r="AE1024" i="6" s="1"/>
  <c r="AD1025" i="6"/>
  <c r="AE1025" i="6" s="1"/>
  <c r="AD1026" i="6"/>
  <c r="AE1026" i="6" s="1"/>
  <c r="AD1027" i="6"/>
  <c r="AE1027" i="6" s="1"/>
  <c r="AD1028" i="6"/>
  <c r="AE1028" i="6" s="1"/>
  <c r="AD1029" i="6"/>
  <c r="AE1029" i="6" s="1"/>
  <c r="AD1030" i="6"/>
  <c r="AE1030" i="6" s="1"/>
  <c r="AD1031" i="6"/>
  <c r="AD1032" i="6"/>
  <c r="AE1032" i="6" s="1"/>
  <c r="AD1033" i="6"/>
  <c r="AE1033" i="6" s="1"/>
  <c r="AD1034" i="6"/>
  <c r="AE1034" i="6" s="1"/>
  <c r="AD1035" i="6"/>
  <c r="AE1035" i="6" s="1"/>
  <c r="AD1036" i="6"/>
  <c r="AE1036" i="6" s="1"/>
  <c r="AD1037" i="6"/>
  <c r="AE1037" i="6" s="1"/>
  <c r="AD1038" i="6"/>
  <c r="AE1038" i="6" s="1"/>
  <c r="AD1039" i="6"/>
  <c r="AE1039" i="6" s="1"/>
  <c r="AD1040" i="6"/>
  <c r="AE1040" i="6" s="1"/>
  <c r="AD1041" i="6"/>
  <c r="AE1041" i="6" s="1"/>
  <c r="AD1042" i="6"/>
  <c r="AE1042" i="6" s="1"/>
  <c r="AD1043" i="6"/>
  <c r="AE1043" i="6" s="1"/>
  <c r="AD1044" i="6"/>
  <c r="AE1044" i="6" s="1"/>
  <c r="AD1045" i="6"/>
  <c r="AE1045" i="6" s="1"/>
  <c r="AD1046" i="6"/>
  <c r="AE1046" i="6" s="1"/>
  <c r="AD1047" i="6"/>
  <c r="AE1047" i="6" s="1"/>
  <c r="AD1048" i="6"/>
  <c r="AE1048" i="6" s="1"/>
  <c r="AD1049" i="6"/>
  <c r="AE1049" i="6" s="1"/>
  <c r="AD1050" i="6"/>
  <c r="AE1050" i="6" s="1"/>
  <c r="AD1051" i="6"/>
  <c r="AD1052" i="6"/>
  <c r="AE1052" i="6" s="1"/>
  <c r="AD1053" i="6"/>
  <c r="AE1053" i="6" s="1"/>
  <c r="AD1054" i="6"/>
  <c r="AE1054" i="6" s="1"/>
  <c r="AD1055" i="6"/>
  <c r="AE1055" i="6" s="1"/>
  <c r="AD1056" i="6"/>
  <c r="AE1056" i="6" s="1"/>
  <c r="AD1057" i="6"/>
  <c r="AE1057" i="6" s="1"/>
  <c r="AD1058" i="6"/>
  <c r="AE1058" i="6" s="1"/>
  <c r="AD1059" i="6"/>
  <c r="AD1060" i="6"/>
  <c r="AE1060" i="6" s="1"/>
  <c r="AD1061" i="6"/>
  <c r="AE1061" i="6" s="1"/>
  <c r="AD1062" i="6"/>
  <c r="AE1062" i="6" s="1"/>
  <c r="AD1063" i="6"/>
  <c r="AE1063" i="6" s="1"/>
  <c r="AD1064" i="6"/>
  <c r="AE1064" i="6" s="1"/>
  <c r="AD1065" i="6"/>
  <c r="AE1065" i="6" s="1"/>
  <c r="AD1066" i="6"/>
  <c r="AE1066" i="6" s="1"/>
  <c r="AD1067" i="6"/>
  <c r="AD1068" i="6"/>
  <c r="AE1068" i="6" s="1"/>
  <c r="AD1069" i="6"/>
  <c r="AE1069" i="6" s="1"/>
  <c r="AD1070" i="6"/>
  <c r="AE1070" i="6" s="1"/>
  <c r="AD1071" i="6"/>
  <c r="AE1071" i="6" s="1"/>
  <c r="AD1072" i="6"/>
  <c r="AE1072" i="6" s="1"/>
  <c r="AD1073" i="6"/>
  <c r="AE1073" i="6" s="1"/>
  <c r="AD1074" i="6"/>
  <c r="AE1074" i="6" s="1"/>
  <c r="AD1075" i="6"/>
  <c r="AE1075" i="6" s="1"/>
  <c r="AD1076" i="6"/>
  <c r="AE1076" i="6" s="1"/>
  <c r="AD1077" i="6"/>
  <c r="AE1077" i="6" s="1"/>
  <c r="AD1078" i="6"/>
  <c r="AE1078" i="6" s="1"/>
  <c r="AD1079" i="6"/>
  <c r="AD1080" i="6"/>
  <c r="AE1080" i="6" s="1"/>
  <c r="AD1081" i="6"/>
  <c r="AE1081" i="6" s="1"/>
  <c r="AD1082" i="6"/>
  <c r="AE1082" i="6" s="1"/>
  <c r="AD1083" i="6"/>
  <c r="AD1084" i="6"/>
  <c r="AE1084" i="6" s="1"/>
  <c r="AD1085" i="6"/>
  <c r="AE1085" i="6" s="1"/>
  <c r="AD1086" i="6"/>
  <c r="AE1086" i="6" s="1"/>
  <c r="AD1087" i="6"/>
  <c r="AD1088" i="6"/>
  <c r="AE1088" i="6" s="1"/>
  <c r="AD1089" i="6"/>
  <c r="AE1089" i="6" s="1"/>
  <c r="AD1090" i="6"/>
  <c r="AE1090" i="6" s="1"/>
  <c r="AD1091" i="6"/>
  <c r="AE1091" i="6" s="1"/>
  <c r="AD1092" i="6"/>
  <c r="AE1092" i="6" s="1"/>
  <c r="AD1093" i="6"/>
  <c r="AE1093" i="6" s="1"/>
  <c r="AD1094" i="6"/>
  <c r="AE1094" i="6" s="1"/>
  <c r="AD1095" i="6"/>
  <c r="AD1096" i="6"/>
  <c r="AE1096" i="6" s="1"/>
  <c r="AD1097" i="6"/>
  <c r="AE1097" i="6" s="1"/>
  <c r="AD1098" i="6"/>
  <c r="AE1098" i="6" s="1"/>
  <c r="AD1099" i="6"/>
  <c r="AE1099" i="6" s="1"/>
  <c r="AD1100" i="6"/>
  <c r="AE1100" i="6" s="1"/>
  <c r="AD1101" i="6"/>
  <c r="AE1101" i="6" s="1"/>
  <c r="AD1102" i="6"/>
  <c r="AE1102" i="6" s="1"/>
  <c r="AD1103" i="6"/>
  <c r="AD1104" i="6"/>
  <c r="AE1104" i="6" s="1"/>
  <c r="AD1105" i="6"/>
  <c r="AE1105" i="6" s="1"/>
  <c r="AD1106" i="6"/>
  <c r="AE1106" i="6" s="1"/>
  <c r="AD1107" i="6"/>
  <c r="AD1108" i="6"/>
  <c r="AE1108" i="6" s="1"/>
  <c r="AD1109" i="6"/>
  <c r="AE1109" i="6" s="1"/>
  <c r="AD1110" i="6"/>
  <c r="AE1110" i="6" s="1"/>
  <c r="AD1111" i="6"/>
  <c r="AD1112" i="6"/>
  <c r="AE1112" i="6" s="1"/>
  <c r="AD1113" i="6"/>
  <c r="AE1113" i="6" s="1"/>
  <c r="AD1114" i="6"/>
  <c r="AE1114" i="6" s="1"/>
  <c r="AD1115" i="6"/>
  <c r="AD1116" i="6"/>
  <c r="AE1116" i="6" s="1"/>
  <c r="AD1117" i="6"/>
  <c r="AE1117" i="6" s="1"/>
  <c r="AD1118" i="6"/>
  <c r="AE1118" i="6" s="1"/>
  <c r="AD1119" i="6"/>
  <c r="AD1120" i="6"/>
  <c r="AE1120" i="6" s="1"/>
  <c r="AD1121" i="6"/>
  <c r="AE1121" i="6" s="1"/>
  <c r="AD1122" i="6"/>
  <c r="AE1122" i="6" s="1"/>
  <c r="AD1123" i="6"/>
  <c r="AD1124" i="6"/>
  <c r="AE1124" i="6" s="1"/>
  <c r="AD1125" i="6"/>
  <c r="AE1125" i="6" s="1"/>
  <c r="AD1126" i="6"/>
  <c r="AE1126" i="6" s="1"/>
  <c r="AD1127" i="6"/>
  <c r="AD1128" i="6"/>
  <c r="AE1128" i="6" s="1"/>
  <c r="AD1129" i="6"/>
  <c r="AE1129" i="6" s="1"/>
  <c r="AD1130" i="6"/>
  <c r="AE1130" i="6" s="1"/>
  <c r="AD1131" i="6"/>
  <c r="AD1132" i="6"/>
  <c r="AE1132" i="6" s="1"/>
  <c r="AD1133" i="6"/>
  <c r="AE1133" i="6" s="1"/>
  <c r="AD1134" i="6"/>
  <c r="AE1134" i="6" s="1"/>
  <c r="AD1135" i="6"/>
  <c r="AD1136" i="6"/>
  <c r="AE1136" i="6" s="1"/>
  <c r="AD1137" i="6"/>
  <c r="AE1137" i="6" s="1"/>
  <c r="AD1138" i="6"/>
  <c r="AE1138" i="6" s="1"/>
  <c r="AD1139" i="6"/>
  <c r="AD1140" i="6"/>
  <c r="AE1140" i="6" s="1"/>
  <c r="AD1141" i="6"/>
  <c r="AE1141" i="6" s="1"/>
  <c r="AD1142" i="6"/>
  <c r="AE1142" i="6" s="1"/>
  <c r="AD1143" i="6"/>
  <c r="AE1143" i="6" s="1"/>
  <c r="AD1144" i="6"/>
  <c r="AE1144" i="6" s="1"/>
  <c r="AD1145" i="6"/>
  <c r="AE1145" i="6" s="1"/>
  <c r="AD1146" i="6"/>
  <c r="AE1146" i="6" s="1"/>
  <c r="AD1147" i="6"/>
  <c r="AD1148" i="6"/>
  <c r="AE1148" i="6" s="1"/>
  <c r="AD1149" i="6"/>
  <c r="AE1149" i="6" s="1"/>
  <c r="AD1150" i="6"/>
  <c r="AE1150" i="6" s="1"/>
  <c r="AD1151" i="6"/>
  <c r="AE1151" i="6" s="1"/>
  <c r="AD1152" i="6"/>
  <c r="AE1152" i="6" s="1"/>
  <c r="AD1153" i="6"/>
  <c r="AE1153" i="6" s="1"/>
  <c r="AD1154" i="6"/>
  <c r="AE1154" i="6" s="1"/>
  <c r="AD1155" i="6"/>
  <c r="AD1156" i="6"/>
  <c r="AE1156" i="6" s="1"/>
  <c r="AD1157" i="6"/>
  <c r="AE1157" i="6" s="1"/>
  <c r="AD1158" i="6"/>
  <c r="AE1158" i="6" s="1"/>
  <c r="AD1159" i="6"/>
  <c r="AD1160" i="6"/>
  <c r="AE1160" i="6" s="1"/>
  <c r="AD1161" i="6"/>
  <c r="AE1161" i="6" s="1"/>
  <c r="AD1162" i="6"/>
  <c r="AE1162" i="6" s="1"/>
  <c r="AD1163" i="6"/>
  <c r="AD1164" i="6"/>
  <c r="AE1164" i="6" s="1"/>
  <c r="AD1165" i="6"/>
  <c r="AE1165" i="6" s="1"/>
  <c r="AD1166" i="6"/>
  <c r="AE1166" i="6" s="1"/>
  <c r="AD1167" i="6"/>
  <c r="AD1168" i="6"/>
  <c r="AE1168" i="6" s="1"/>
  <c r="AD1169" i="6"/>
  <c r="AE1169" i="6" s="1"/>
  <c r="AD1170" i="6"/>
  <c r="AE1170" i="6" s="1"/>
  <c r="AD1171" i="6"/>
  <c r="AE1171" i="6" s="1"/>
  <c r="AD1172" i="6"/>
  <c r="AE1172" i="6" s="1"/>
  <c r="AD1173" i="6"/>
  <c r="AE1173" i="6" s="1"/>
  <c r="AD1174" i="6"/>
  <c r="AE1174" i="6" s="1"/>
  <c r="AD1175" i="6"/>
  <c r="AD1176" i="6"/>
  <c r="AE1176" i="6" s="1"/>
  <c r="AD1177" i="6"/>
  <c r="AE1177" i="6" s="1"/>
  <c r="AD1178" i="6"/>
  <c r="AE1178" i="6" s="1"/>
  <c r="AD1179" i="6"/>
  <c r="AE1179" i="6" s="1"/>
  <c r="AD1180" i="6"/>
  <c r="AE1180" i="6" s="1"/>
  <c r="AD1181" i="6"/>
  <c r="AE1181" i="6" s="1"/>
  <c r="AD1182" i="6"/>
  <c r="AE1182" i="6" s="1"/>
  <c r="AD1183" i="6"/>
  <c r="AD1184" i="6"/>
  <c r="AE1184" i="6" s="1"/>
  <c r="AD1185" i="6"/>
  <c r="AE1185" i="6" s="1"/>
  <c r="AD1186" i="6"/>
  <c r="AE1186" i="6" s="1"/>
  <c r="AD1187" i="6"/>
  <c r="AE1187" i="6" s="1"/>
  <c r="AD1188" i="6"/>
  <c r="AE1188" i="6" s="1"/>
  <c r="AD1189" i="6"/>
  <c r="AE1189" i="6" s="1"/>
  <c r="AD1190" i="6"/>
  <c r="AE1190" i="6" s="1"/>
  <c r="AD1191" i="6"/>
  <c r="AE1191" i="6" s="1"/>
  <c r="AD1192" i="6"/>
  <c r="AE1192" i="6" s="1"/>
  <c r="AD1193" i="6"/>
  <c r="AE1193" i="6" s="1"/>
  <c r="AD1194" i="6"/>
  <c r="AE1194" i="6" s="1"/>
  <c r="AD1195" i="6"/>
  <c r="AE1195" i="6" s="1"/>
  <c r="AD1196" i="6"/>
  <c r="AE1196" i="6" s="1"/>
  <c r="AD1197" i="6"/>
  <c r="AE1197" i="6" s="1"/>
  <c r="AD1198" i="6"/>
  <c r="AE1198" i="6" s="1"/>
  <c r="AD1199" i="6"/>
  <c r="AD1200" i="6"/>
  <c r="AE1200" i="6" s="1"/>
  <c r="AD1201" i="6"/>
  <c r="AE1201" i="6" s="1"/>
  <c r="AD1202" i="6"/>
  <c r="AE1202" i="6" s="1"/>
  <c r="AD1203" i="6"/>
  <c r="AE1203" i="6" s="1"/>
  <c r="AD1204" i="6"/>
  <c r="AE1204" i="6" s="1"/>
  <c r="AD1205" i="6"/>
  <c r="AE1205" i="6" s="1"/>
  <c r="AD1206" i="6"/>
  <c r="AE1206" i="6" s="1"/>
  <c r="AD1207" i="6"/>
  <c r="AD1208" i="6"/>
  <c r="AE1208" i="6" s="1"/>
  <c r="AD1209" i="6"/>
  <c r="AE1209" i="6" s="1"/>
  <c r="AD1210" i="6"/>
  <c r="AE1210" i="6" s="1"/>
  <c r="AD1211" i="6"/>
  <c r="AD1212" i="6"/>
  <c r="AE1212" i="6" s="1"/>
  <c r="AD1213" i="6"/>
  <c r="AE1213" i="6" s="1"/>
  <c r="AD1214" i="6"/>
  <c r="AE1214" i="6" s="1"/>
  <c r="AD1215" i="6"/>
  <c r="AD1216" i="6"/>
  <c r="AE1216" i="6" s="1"/>
  <c r="AD1217" i="6"/>
  <c r="AE1217" i="6" s="1"/>
  <c r="AD1218" i="6"/>
  <c r="AE1218" i="6" s="1"/>
  <c r="AD1219" i="6"/>
  <c r="AD1220" i="6"/>
  <c r="AE1220" i="6" s="1"/>
  <c r="AD1221" i="6"/>
  <c r="AE1221" i="6" s="1"/>
  <c r="AD1222" i="6"/>
  <c r="AE1222" i="6" s="1"/>
  <c r="AD1223" i="6"/>
  <c r="AE1223" i="6" s="1"/>
  <c r="AD1224" i="6"/>
  <c r="AE1224" i="6" s="1"/>
  <c r="AD1225" i="6"/>
  <c r="AE1225" i="6" s="1"/>
  <c r="AD1226" i="6"/>
  <c r="AE1226" i="6" s="1"/>
  <c r="AD1227" i="6"/>
  <c r="AE1227" i="6" s="1"/>
  <c r="AD1228" i="6"/>
  <c r="AE1228" i="6" s="1"/>
  <c r="AD1229" i="6"/>
  <c r="AE1229" i="6" s="1"/>
  <c r="AD1230" i="6"/>
  <c r="AE1230" i="6" s="1"/>
  <c r="AD1231" i="6"/>
  <c r="AD1232" i="6"/>
  <c r="AE1232" i="6" s="1"/>
  <c r="AD1233" i="6"/>
  <c r="AE1233" i="6" s="1"/>
  <c r="AD1234" i="6"/>
  <c r="AE1234" i="6" s="1"/>
  <c r="AD1235" i="6"/>
  <c r="AD1236" i="6"/>
  <c r="AE1236" i="6" s="1"/>
  <c r="AD1237" i="6"/>
  <c r="AE1237" i="6" s="1"/>
  <c r="AD1238" i="6"/>
  <c r="AE1238" i="6" s="1"/>
  <c r="AD1239" i="6"/>
  <c r="AD1240" i="6"/>
  <c r="AE1240" i="6" s="1"/>
  <c r="AD1241" i="6"/>
  <c r="AE1241" i="6" s="1"/>
  <c r="AD1242" i="6"/>
  <c r="AE1242" i="6" s="1"/>
  <c r="AD1243" i="6"/>
  <c r="AD1244" i="6"/>
  <c r="AE1244" i="6" s="1"/>
  <c r="AD1245" i="6"/>
  <c r="AE1245" i="6" s="1"/>
  <c r="AD1246" i="6"/>
  <c r="AE1246" i="6" s="1"/>
  <c r="AD1247" i="6"/>
  <c r="AD1248" i="6"/>
  <c r="AE1248" i="6" s="1"/>
  <c r="AD1249" i="6"/>
  <c r="AE1249" i="6" s="1"/>
  <c r="AD1250" i="6"/>
  <c r="AE1250" i="6" s="1"/>
  <c r="AD1251" i="6"/>
  <c r="AD1252" i="6"/>
  <c r="AE1252" i="6" s="1"/>
  <c r="AD1253" i="6"/>
  <c r="AE1253" i="6" s="1"/>
  <c r="AD1254" i="6"/>
  <c r="AE1254" i="6" s="1"/>
  <c r="AD1255" i="6"/>
  <c r="AD1256" i="6"/>
  <c r="AE1256" i="6" s="1"/>
  <c r="AD1257" i="6"/>
  <c r="AE1257" i="6" s="1"/>
  <c r="AD1258" i="6"/>
  <c r="AE1258" i="6" s="1"/>
  <c r="AD1259" i="6"/>
  <c r="AD1260" i="6"/>
  <c r="AE1260" i="6" s="1"/>
  <c r="AD1261" i="6"/>
  <c r="AE1261" i="6" s="1"/>
  <c r="AD1262" i="6"/>
  <c r="AE1262" i="6" s="1"/>
  <c r="AD1263" i="6"/>
  <c r="AD1264" i="6"/>
  <c r="AE1264" i="6" s="1"/>
  <c r="AD1265" i="6"/>
  <c r="AE1265" i="6" s="1"/>
  <c r="AD1266" i="6"/>
  <c r="AE1266" i="6" s="1"/>
  <c r="AD1267" i="6"/>
  <c r="AD1268" i="6"/>
  <c r="AE1268" i="6" s="1"/>
  <c r="AD1269" i="6"/>
  <c r="AE1269" i="6" s="1"/>
  <c r="AD1270" i="6"/>
  <c r="AE1270" i="6" s="1"/>
  <c r="AD1271" i="6"/>
  <c r="AD1272" i="6"/>
  <c r="AE1272" i="6" s="1"/>
  <c r="AD1273" i="6"/>
  <c r="AE1273" i="6" s="1"/>
  <c r="AD1274" i="6"/>
  <c r="AE1274" i="6" s="1"/>
  <c r="AD1275" i="6"/>
  <c r="AE1275" i="6" s="1"/>
  <c r="AD1276" i="6"/>
  <c r="AE1276" i="6" s="1"/>
  <c r="AD1277" i="6"/>
  <c r="AE1277" i="6" s="1"/>
  <c r="AD1278" i="6"/>
  <c r="AE1278" i="6" s="1"/>
  <c r="AD1279" i="6"/>
  <c r="AD1280" i="6"/>
  <c r="AE1280" i="6" s="1"/>
  <c r="AD1281" i="6"/>
  <c r="AE1281" i="6" s="1"/>
  <c r="AD1282" i="6"/>
  <c r="AE1282" i="6" s="1"/>
  <c r="AD1283" i="6"/>
  <c r="AD1284" i="6"/>
  <c r="AE1284" i="6" s="1"/>
  <c r="AD1285" i="6"/>
  <c r="AE1285" i="6" s="1"/>
  <c r="AD1286" i="6"/>
  <c r="AE1286" i="6" s="1"/>
  <c r="AD1287" i="6"/>
  <c r="AD1288" i="6"/>
  <c r="AE1288" i="6" s="1"/>
  <c r="AD1289" i="6"/>
  <c r="AE1289" i="6" s="1"/>
  <c r="AD1290" i="6"/>
  <c r="AE1290" i="6" s="1"/>
  <c r="AD1291" i="6"/>
  <c r="AD1292" i="6"/>
  <c r="AE1292" i="6" s="1"/>
  <c r="AD1293" i="6"/>
  <c r="AE1293" i="6" s="1"/>
  <c r="AD1294" i="6"/>
  <c r="AE1294" i="6" s="1"/>
  <c r="AD1295" i="6"/>
  <c r="AE1295" i="6" s="1"/>
  <c r="AD1296" i="6"/>
  <c r="AE1296" i="6" s="1"/>
  <c r="AD1297" i="6"/>
  <c r="AE1297" i="6" s="1"/>
  <c r="AD1298" i="6"/>
  <c r="AE1298" i="6" s="1"/>
  <c r="AD1299" i="6"/>
  <c r="AD1300" i="6"/>
  <c r="AE1300" i="6" s="1"/>
  <c r="AD1301" i="6"/>
  <c r="AE1301" i="6" s="1"/>
  <c r="AD1302" i="6"/>
  <c r="AE1302" i="6" s="1"/>
  <c r="AD1303" i="6"/>
  <c r="AE1303" i="6" s="1"/>
  <c r="AD1304" i="6"/>
  <c r="AE1304" i="6" s="1"/>
  <c r="AD1305" i="6"/>
  <c r="AE1305" i="6" s="1"/>
  <c r="AD1306" i="6"/>
  <c r="AE1306" i="6" s="1"/>
  <c r="AD1307" i="6"/>
  <c r="AE1307" i="6" s="1"/>
  <c r="AD1308" i="6"/>
  <c r="AE1308" i="6" s="1"/>
  <c r="AD1309" i="6"/>
  <c r="AE1309" i="6" s="1"/>
  <c r="AD1310" i="6"/>
  <c r="AE1310" i="6" s="1"/>
  <c r="AD1311" i="6"/>
  <c r="AE1311" i="6" s="1"/>
  <c r="AD1312" i="6"/>
  <c r="AE1312" i="6" s="1"/>
  <c r="AD1313" i="6"/>
  <c r="AE1313" i="6" s="1"/>
  <c r="AD1314" i="6"/>
  <c r="AE1314" i="6" s="1"/>
  <c r="AD1315" i="6"/>
  <c r="AD1316" i="6"/>
  <c r="AE1316" i="6" s="1"/>
  <c r="AD1317" i="6"/>
  <c r="AE1317" i="6" s="1"/>
  <c r="AD1318" i="6"/>
  <c r="AE1318" i="6" s="1"/>
  <c r="AD1319" i="6"/>
  <c r="AD1320" i="6"/>
  <c r="AE1320" i="6" s="1"/>
  <c r="AD1321" i="6"/>
  <c r="AE1321" i="6" s="1"/>
  <c r="AD1322" i="6"/>
  <c r="AE1322" i="6" s="1"/>
  <c r="AD1323" i="6"/>
  <c r="AD1324" i="6"/>
  <c r="AE1324" i="6" s="1"/>
  <c r="AD1325" i="6"/>
  <c r="AE1325" i="6" s="1"/>
  <c r="AD1326" i="6"/>
  <c r="AE1326" i="6" s="1"/>
  <c r="AD1327" i="6"/>
  <c r="AD1328" i="6"/>
  <c r="AE1328" i="6" s="1"/>
  <c r="AD1329" i="6"/>
  <c r="AE1329" i="6" s="1"/>
  <c r="AD1330" i="6"/>
  <c r="AE1330" i="6" s="1"/>
  <c r="AD1331" i="6"/>
  <c r="AD1332" i="6"/>
  <c r="AE1332" i="6" s="1"/>
  <c r="AD1333" i="6"/>
  <c r="AE1333" i="6" s="1"/>
  <c r="AD1334" i="6"/>
  <c r="AE1334" i="6" s="1"/>
  <c r="AD1335" i="6"/>
  <c r="AE1335" i="6" s="1"/>
  <c r="AD1336" i="6"/>
  <c r="AE1336" i="6" s="1"/>
  <c r="AD1337" i="6"/>
  <c r="AE1337" i="6" s="1"/>
  <c r="AD1338" i="6"/>
  <c r="AE1338" i="6" s="1"/>
  <c r="AD1339" i="6"/>
  <c r="AD1340" i="6"/>
  <c r="AE1340" i="6" s="1"/>
  <c r="AD1341" i="6"/>
  <c r="AE1341" i="6" s="1"/>
  <c r="AD1342" i="6"/>
  <c r="AE1342" i="6" s="1"/>
  <c r="AD1343" i="6"/>
  <c r="AD1344" i="6"/>
  <c r="AE1344" i="6" s="1"/>
  <c r="AD1345" i="6"/>
  <c r="AE1345" i="6" s="1"/>
  <c r="AD1346" i="6"/>
  <c r="AE1346" i="6" s="1"/>
  <c r="AD1347" i="6"/>
  <c r="AE1347" i="6" s="1"/>
  <c r="AD1348" i="6"/>
  <c r="AE1348" i="6" s="1"/>
  <c r="AD1349" i="6"/>
  <c r="AE1349" i="6" s="1"/>
  <c r="AD1350" i="6"/>
  <c r="AE1350" i="6" s="1"/>
  <c r="AD1351" i="6"/>
  <c r="AD1352" i="6"/>
  <c r="AE1352" i="6" s="1"/>
  <c r="AD1353" i="6"/>
  <c r="AE1353" i="6" s="1"/>
  <c r="AD1354" i="6"/>
  <c r="AE1354" i="6" s="1"/>
  <c r="AD1355" i="6"/>
  <c r="AE1355" i="6" s="1"/>
  <c r="AD1356" i="6"/>
  <c r="AE1356" i="6" s="1"/>
  <c r="AD1357" i="6"/>
  <c r="AE1357" i="6" s="1"/>
  <c r="AD1358" i="6"/>
  <c r="AE1358" i="6" s="1"/>
  <c r="AD1359" i="6"/>
  <c r="AD1360" i="6"/>
  <c r="AE1360" i="6" s="1"/>
  <c r="AD1361" i="6"/>
  <c r="AE1361" i="6" s="1"/>
  <c r="AD1362" i="6"/>
  <c r="AE1362" i="6" s="1"/>
  <c r="AD1363" i="6"/>
  <c r="AD1364" i="6"/>
  <c r="AE1364" i="6" s="1"/>
  <c r="AD1365" i="6"/>
  <c r="AE1365" i="6" s="1"/>
  <c r="AD1366" i="6"/>
  <c r="AE1366" i="6" s="1"/>
  <c r="AD1367" i="6"/>
  <c r="AD1368" i="6"/>
  <c r="AE1368" i="6" s="1"/>
  <c r="AD1369" i="6"/>
  <c r="AE1369" i="6" s="1"/>
  <c r="AD1370" i="6"/>
  <c r="AE1370" i="6" s="1"/>
  <c r="AD1371" i="6"/>
  <c r="AD1372" i="6"/>
  <c r="AE1372" i="6" s="1"/>
  <c r="AD1373" i="6"/>
  <c r="AE1373" i="6" s="1"/>
  <c r="AD1374" i="6"/>
  <c r="AE1374" i="6" s="1"/>
  <c r="AD1375" i="6"/>
  <c r="AE1375" i="6" s="1"/>
  <c r="AD1376" i="6"/>
  <c r="AE1376" i="6" s="1"/>
  <c r="AD1377" i="6"/>
  <c r="AE1377" i="6" s="1"/>
  <c r="AD1378" i="6"/>
  <c r="AE1378" i="6" s="1"/>
  <c r="AD1379" i="6"/>
  <c r="AD1380" i="6"/>
  <c r="AE1380" i="6" s="1"/>
  <c r="AD1381" i="6"/>
  <c r="AE1381" i="6" s="1"/>
  <c r="AD1382" i="6"/>
  <c r="AE1382" i="6" s="1"/>
  <c r="AD1383" i="6"/>
  <c r="AE1383" i="6" s="1"/>
  <c r="AD1384" i="6"/>
  <c r="AE1384" i="6" s="1"/>
  <c r="AD1385" i="6"/>
  <c r="AE1385" i="6" s="1"/>
  <c r="AD1386" i="6"/>
  <c r="AE1386" i="6" s="1"/>
  <c r="AD1387" i="6"/>
  <c r="AD1388" i="6"/>
  <c r="AE1388" i="6" s="1"/>
  <c r="AD1389" i="6"/>
  <c r="AE1389" i="6" s="1"/>
  <c r="AD1390" i="6"/>
  <c r="AE1390" i="6" s="1"/>
  <c r="AD1391" i="6"/>
  <c r="AE1391" i="6" s="1"/>
  <c r="AD1392" i="6"/>
  <c r="AE1392" i="6" s="1"/>
  <c r="AD1393" i="6"/>
  <c r="AE1393" i="6" s="1"/>
  <c r="AD1394" i="6"/>
  <c r="AE1394" i="6" s="1"/>
  <c r="AD1395" i="6"/>
  <c r="AD1396" i="6"/>
  <c r="AE1396" i="6" s="1"/>
  <c r="AD1397" i="6"/>
  <c r="AE1397" i="6" s="1"/>
  <c r="AD1398" i="6"/>
  <c r="AE1398" i="6" s="1"/>
  <c r="AD1399" i="6"/>
  <c r="AE1399" i="6" s="1"/>
  <c r="AD1400" i="6"/>
  <c r="AE1400" i="6" s="1"/>
  <c r="AD1401" i="6"/>
  <c r="AE1401" i="6" s="1"/>
  <c r="AD1402" i="6"/>
  <c r="AE1402" i="6" s="1"/>
  <c r="AD1403" i="6"/>
  <c r="AD1404" i="6"/>
  <c r="AE1404" i="6" s="1"/>
  <c r="AD1405" i="6"/>
  <c r="AE1405" i="6" s="1"/>
  <c r="AD1406" i="6"/>
  <c r="AE1406" i="6" s="1"/>
  <c r="AD1407" i="6"/>
  <c r="AE1407" i="6" s="1"/>
  <c r="AD1408" i="6"/>
  <c r="AE1408" i="6" s="1"/>
  <c r="AD1409" i="6"/>
  <c r="AE1409" i="6" s="1"/>
  <c r="AD1410" i="6"/>
  <c r="AE1410" i="6" s="1"/>
  <c r="AD1411" i="6"/>
  <c r="AD1412" i="6"/>
  <c r="AE1412" i="6" s="1"/>
  <c r="AD1413" i="6"/>
  <c r="AE1413" i="6" s="1"/>
  <c r="AD1414" i="6"/>
  <c r="AE1414" i="6" s="1"/>
  <c r="AD1415" i="6"/>
  <c r="AD1416" i="6"/>
  <c r="AE1416" i="6" s="1"/>
  <c r="AD1417" i="6"/>
  <c r="AE1417" i="6" s="1"/>
  <c r="AD1418" i="6"/>
  <c r="AE1418" i="6" s="1"/>
  <c r="AD1419" i="6"/>
  <c r="AD1420" i="6"/>
  <c r="AE1420" i="6" s="1"/>
  <c r="AD1421" i="6"/>
  <c r="AE1421" i="6" s="1"/>
  <c r="AD1422" i="6"/>
  <c r="AE1422" i="6" s="1"/>
  <c r="AD1423" i="6"/>
  <c r="AD1424" i="6"/>
  <c r="AE1424" i="6" s="1"/>
  <c r="AD1425" i="6"/>
  <c r="AE1425" i="6" s="1"/>
  <c r="AD1426" i="6"/>
  <c r="AE1426" i="6" s="1"/>
  <c r="AD1427" i="6"/>
  <c r="AE1427" i="6" s="1"/>
  <c r="AD1428" i="6"/>
  <c r="AE1428" i="6" s="1"/>
  <c r="AD1429" i="6"/>
  <c r="AE1429" i="6" s="1"/>
  <c r="AD1430" i="6"/>
  <c r="AE1430" i="6" s="1"/>
  <c r="AD1431" i="6"/>
  <c r="AD1432" i="6"/>
  <c r="AE1432" i="6" s="1"/>
  <c r="AD1433" i="6"/>
  <c r="AE1433" i="6" s="1"/>
  <c r="AD1434" i="6"/>
  <c r="AE1434" i="6" s="1"/>
  <c r="AD1435" i="6"/>
  <c r="AD1436" i="6"/>
  <c r="AE1436" i="6" s="1"/>
  <c r="AD1437" i="6"/>
  <c r="AE1437" i="6" s="1"/>
  <c r="AD1438" i="6"/>
  <c r="AE1438" i="6" s="1"/>
  <c r="AD1439" i="6"/>
  <c r="AD1440" i="6"/>
  <c r="AE1440" i="6" s="1"/>
  <c r="AD1441" i="6"/>
  <c r="AE1441" i="6" s="1"/>
  <c r="AD1442" i="6"/>
  <c r="AE1442" i="6" s="1"/>
  <c r="AD1443" i="6"/>
  <c r="AD1444" i="6"/>
  <c r="AE1444" i="6" s="1"/>
  <c r="AD1445" i="6"/>
  <c r="AE1445" i="6" s="1"/>
  <c r="AD1446" i="6"/>
  <c r="AE1446" i="6" s="1"/>
  <c r="AD1447" i="6"/>
  <c r="AD1448" i="6"/>
  <c r="AE1448" i="6" s="1"/>
  <c r="AD1449" i="6"/>
  <c r="AE1449" i="6" s="1"/>
  <c r="AD1450" i="6"/>
  <c r="AE1450" i="6" s="1"/>
  <c r="AD1451" i="6"/>
  <c r="AD1452" i="6"/>
  <c r="AE1452" i="6" s="1"/>
  <c r="AD1453" i="6"/>
  <c r="AE1453" i="6" s="1"/>
  <c r="AD1454" i="6"/>
  <c r="AE1454" i="6" s="1"/>
  <c r="AD1455" i="6"/>
  <c r="AD1456" i="6"/>
  <c r="AE1456" i="6" s="1"/>
  <c r="AD1457" i="6"/>
  <c r="AE1457" i="6" s="1"/>
  <c r="AD1458" i="6"/>
  <c r="AE1458" i="6" s="1"/>
  <c r="AD1459" i="6"/>
  <c r="AD1460" i="6"/>
  <c r="AE1460" i="6" s="1"/>
  <c r="AD1461" i="6"/>
  <c r="AE1461" i="6" s="1"/>
  <c r="AD1462" i="6"/>
  <c r="AE1462" i="6" s="1"/>
  <c r="AD1463" i="6"/>
  <c r="AD1464" i="6"/>
  <c r="AE1464" i="6" s="1"/>
  <c r="AD1465" i="6"/>
  <c r="AE1465" i="6" s="1"/>
  <c r="AD1466" i="6"/>
  <c r="AE1466" i="6" s="1"/>
  <c r="AD1467" i="6"/>
  <c r="AD1468" i="6"/>
  <c r="AE1468" i="6" s="1"/>
  <c r="AD1469" i="6"/>
  <c r="AE1469" i="6" s="1"/>
  <c r="AD1470" i="6"/>
  <c r="AE1470" i="6" s="1"/>
  <c r="AD1471" i="6"/>
  <c r="AD1472" i="6"/>
  <c r="AE1472" i="6" s="1"/>
  <c r="AD1473" i="6"/>
  <c r="AE1473" i="6" s="1"/>
  <c r="AD1474" i="6"/>
  <c r="AE1474" i="6" s="1"/>
  <c r="AD1475" i="6"/>
  <c r="AD1476" i="6"/>
  <c r="AE1476" i="6" s="1"/>
  <c r="AD1477" i="6"/>
  <c r="AE1477" i="6" s="1"/>
  <c r="AD1478" i="6"/>
  <c r="AE1478" i="6" s="1"/>
  <c r="AD1479" i="6"/>
  <c r="AE1479" i="6" s="1"/>
  <c r="AD1480" i="6"/>
  <c r="AE1480" i="6" s="1"/>
  <c r="AD1481" i="6"/>
  <c r="AE1481" i="6" s="1"/>
  <c r="AD1482" i="6"/>
  <c r="AE1482" i="6" s="1"/>
  <c r="AD1483" i="6"/>
  <c r="AD1484" i="6"/>
  <c r="AE1484" i="6" s="1"/>
  <c r="AD1485" i="6"/>
  <c r="AE1485" i="6" s="1"/>
  <c r="AD1486" i="6"/>
  <c r="AE1486" i="6" s="1"/>
  <c r="AD1487" i="6"/>
  <c r="AD1488" i="6"/>
  <c r="AE1488" i="6" s="1"/>
  <c r="AD1489" i="6"/>
  <c r="AE1489" i="6" s="1"/>
  <c r="AD1490" i="6"/>
  <c r="AE1490" i="6" s="1"/>
  <c r="AD1491" i="6"/>
  <c r="AD1492" i="6"/>
  <c r="AE1492" i="6" s="1"/>
  <c r="AD1493" i="6"/>
  <c r="AE1493" i="6" s="1"/>
  <c r="AD1494" i="6"/>
  <c r="AE1494" i="6" s="1"/>
  <c r="AD1495" i="6"/>
  <c r="AD1496" i="6"/>
  <c r="AE1496" i="6" s="1"/>
  <c r="AD1497" i="6"/>
  <c r="AE1497" i="6" s="1"/>
  <c r="AD1498" i="6"/>
  <c r="AE1498" i="6" s="1"/>
  <c r="AD1499" i="6"/>
  <c r="AE1499" i="6" s="1"/>
  <c r="AD1500" i="6"/>
  <c r="AE1500" i="6" s="1"/>
  <c r="AD1501" i="6"/>
  <c r="AE1501" i="6" s="1"/>
  <c r="AD1502" i="6"/>
  <c r="AE1502" i="6" s="1"/>
  <c r="AD1503" i="6"/>
  <c r="AD1504" i="6"/>
  <c r="AE1504" i="6" s="1"/>
  <c r="AD1505" i="6"/>
  <c r="AE1505" i="6" s="1"/>
  <c r="AD1506" i="6"/>
  <c r="AE1506" i="6" s="1"/>
  <c r="AD1507" i="6"/>
  <c r="AE1507" i="6" s="1"/>
  <c r="AD1508" i="6"/>
  <c r="AE1508" i="6" s="1"/>
  <c r="AD1509" i="6"/>
  <c r="AE1509" i="6" s="1"/>
  <c r="AD1510" i="6"/>
  <c r="AE1510" i="6" s="1"/>
  <c r="AD1511" i="6"/>
  <c r="AD1512" i="6"/>
  <c r="AE1512" i="6" s="1"/>
  <c r="AD1513" i="6"/>
  <c r="AE1513" i="6" s="1"/>
  <c r="AD1514" i="6"/>
  <c r="AE1514" i="6" s="1"/>
  <c r="AD1515" i="6"/>
  <c r="AE1515" i="6" s="1"/>
  <c r="AD1516" i="6"/>
  <c r="AE1516" i="6" s="1"/>
  <c r="AD1517" i="6"/>
  <c r="AE1517" i="6" s="1"/>
  <c r="AD1518" i="6"/>
  <c r="AE1518" i="6" s="1"/>
  <c r="AD1519" i="6"/>
  <c r="AD1520" i="6"/>
  <c r="AE1520" i="6" s="1"/>
  <c r="AD1521" i="6"/>
  <c r="AE1521" i="6" s="1"/>
  <c r="AD1522" i="6"/>
  <c r="AE1522" i="6" s="1"/>
  <c r="AD1523" i="6"/>
  <c r="AE1523" i="6" s="1"/>
  <c r="AD1524" i="6"/>
  <c r="AE1524" i="6" s="1"/>
  <c r="AD1525" i="6"/>
  <c r="AE1525" i="6" s="1"/>
  <c r="AD1526" i="6"/>
  <c r="AE1526" i="6" s="1"/>
  <c r="AD1527" i="6"/>
  <c r="AD1528" i="6"/>
  <c r="AE1528" i="6" s="1"/>
  <c r="AD1529" i="6"/>
  <c r="AE1529" i="6" s="1"/>
  <c r="AD1530" i="6"/>
  <c r="AE1530" i="6" s="1"/>
  <c r="AD1531" i="6"/>
  <c r="AE1531" i="6" s="1"/>
  <c r="AD1532" i="6"/>
  <c r="AE1532" i="6" s="1"/>
  <c r="AD1533" i="6"/>
  <c r="AE1533" i="6" s="1"/>
  <c r="AD1534" i="6"/>
  <c r="AE1534" i="6" s="1"/>
  <c r="AD1535" i="6"/>
  <c r="AD1536" i="6"/>
  <c r="AE1536" i="6" s="1"/>
  <c r="AD1537" i="6"/>
  <c r="AE1537" i="6" s="1"/>
  <c r="AD1538" i="6"/>
  <c r="AE1538" i="6" s="1"/>
  <c r="AD1539" i="6"/>
  <c r="AD1540" i="6"/>
  <c r="AE1540" i="6" s="1"/>
  <c r="AD1541" i="6"/>
  <c r="AE1541" i="6" s="1"/>
  <c r="AD1542" i="6"/>
  <c r="AE1542" i="6" s="1"/>
  <c r="AD1543" i="6"/>
  <c r="AD1544" i="6"/>
  <c r="AE1544" i="6" s="1"/>
  <c r="AD1545" i="6"/>
  <c r="AE1545" i="6" s="1"/>
  <c r="AD1546" i="6"/>
  <c r="AE1546" i="6" s="1"/>
  <c r="AD1547" i="6"/>
  <c r="AD1548" i="6"/>
  <c r="AE1548" i="6" s="1"/>
  <c r="AD1549" i="6"/>
  <c r="AE1549" i="6" s="1"/>
  <c r="AD1550" i="6"/>
  <c r="AE1550" i="6" s="1"/>
  <c r="AD1551" i="6"/>
  <c r="AE1551" i="6" s="1"/>
  <c r="AD1552" i="6"/>
  <c r="AE1552" i="6" s="1"/>
  <c r="AD1553" i="6"/>
  <c r="AE1553" i="6" s="1"/>
  <c r="AD1554" i="6"/>
  <c r="AE1554" i="6" s="1"/>
  <c r="AD1555" i="6"/>
  <c r="AD1556" i="6"/>
  <c r="AE1556" i="6" s="1"/>
  <c r="AD1557" i="6"/>
  <c r="AE1557" i="6" s="1"/>
  <c r="AD1558" i="6"/>
  <c r="AE1558" i="6" s="1"/>
  <c r="AD1559" i="6"/>
  <c r="AE1559" i="6" s="1"/>
  <c r="AD1560" i="6"/>
  <c r="AE1560" i="6" s="1"/>
  <c r="AD1561" i="6"/>
  <c r="AE1561" i="6" s="1"/>
  <c r="AD1562" i="6"/>
  <c r="AE1562" i="6" s="1"/>
  <c r="AD1563" i="6"/>
  <c r="AD1564" i="6"/>
  <c r="AE1564" i="6" s="1"/>
  <c r="AD1565" i="6"/>
  <c r="AE1565" i="6" s="1"/>
  <c r="AD1566" i="6"/>
  <c r="AE1566" i="6" s="1"/>
  <c r="AD1567" i="6"/>
  <c r="AD1568" i="6"/>
  <c r="AE1568" i="6" s="1"/>
  <c r="AD1569" i="6"/>
  <c r="AE1569" i="6" s="1"/>
  <c r="AD1570" i="6"/>
  <c r="AE1570" i="6" s="1"/>
  <c r="AD1571" i="6"/>
  <c r="AD1572" i="6"/>
  <c r="AE1572" i="6" s="1"/>
  <c r="AD1573" i="6"/>
  <c r="AE1573" i="6" s="1"/>
  <c r="AD1574" i="6"/>
  <c r="AE1574" i="6" s="1"/>
  <c r="AD1575" i="6"/>
  <c r="AD1576" i="6"/>
  <c r="AE1576" i="6" s="1"/>
  <c r="AD1577" i="6"/>
  <c r="AE1577" i="6" s="1"/>
  <c r="AD1578" i="6"/>
  <c r="AE1578" i="6" s="1"/>
  <c r="AD1579" i="6"/>
  <c r="AD1580" i="6"/>
  <c r="AE1580" i="6" s="1"/>
  <c r="AD1581" i="6"/>
  <c r="AE1581" i="6" s="1"/>
  <c r="AD1582" i="6"/>
  <c r="AE1582" i="6" s="1"/>
  <c r="AD1583" i="6"/>
  <c r="AD1584" i="6"/>
  <c r="AE1584" i="6" s="1"/>
  <c r="AD1585" i="6"/>
  <c r="AE1585" i="6" s="1"/>
  <c r="AD1586" i="6"/>
  <c r="AE1586" i="6" s="1"/>
  <c r="AD1587" i="6"/>
  <c r="AD1588" i="6"/>
  <c r="AE1588" i="6" s="1"/>
  <c r="AD1589" i="6"/>
  <c r="AE1589" i="6" s="1"/>
  <c r="AD1590" i="6"/>
  <c r="AE1590" i="6" s="1"/>
  <c r="AD1591" i="6"/>
  <c r="AD1592" i="6"/>
  <c r="AE1592" i="6" s="1"/>
  <c r="AD1593" i="6"/>
  <c r="AE1593" i="6" s="1"/>
  <c r="AD1594" i="6"/>
  <c r="AE1594" i="6" s="1"/>
  <c r="AD1595" i="6"/>
  <c r="AD1596" i="6"/>
  <c r="AE1596" i="6" s="1"/>
  <c r="AD1597" i="6"/>
  <c r="AE1597" i="6" s="1"/>
  <c r="AD1598" i="6"/>
  <c r="AE1598" i="6" s="1"/>
  <c r="AD1599" i="6"/>
  <c r="AD1600" i="6"/>
  <c r="AE1600" i="6" s="1"/>
  <c r="AD1601" i="6"/>
  <c r="AE1601" i="6" s="1"/>
  <c r="AD1602" i="6"/>
  <c r="AE1602" i="6" s="1"/>
  <c r="AD1603" i="6"/>
  <c r="AE1603" i="6" s="1"/>
  <c r="AD1604" i="6"/>
  <c r="AE1604" i="6" s="1"/>
  <c r="AD1605" i="6"/>
  <c r="AE1605" i="6" s="1"/>
  <c r="AD1606" i="6"/>
  <c r="AE1606" i="6" s="1"/>
  <c r="AD1607" i="6"/>
  <c r="AD1608" i="6"/>
  <c r="AE1608" i="6" s="1"/>
  <c r="AD1609" i="6"/>
  <c r="AE1609" i="6" s="1"/>
  <c r="AD1610" i="6"/>
  <c r="AE1610" i="6" s="1"/>
  <c r="AD1611" i="6"/>
  <c r="AE1611" i="6" s="1"/>
  <c r="AD1612" i="6"/>
  <c r="AE1612" i="6" s="1"/>
  <c r="AD1613" i="6"/>
  <c r="AE1613" i="6" s="1"/>
  <c r="AD1614" i="6"/>
  <c r="AE1614" i="6" s="1"/>
  <c r="AD1615" i="6"/>
  <c r="AD1616" i="6"/>
  <c r="AE1616" i="6" s="1"/>
  <c r="AD1617" i="6"/>
  <c r="AE1617" i="6" s="1"/>
  <c r="AD1618" i="6"/>
  <c r="AE1618" i="6" s="1"/>
  <c r="AD1619" i="6"/>
  <c r="AD1620" i="6"/>
  <c r="AE1620" i="6" s="1"/>
  <c r="AD1621" i="6"/>
  <c r="AE1621" i="6" s="1"/>
  <c r="AD1622" i="6"/>
  <c r="AE1622" i="6" s="1"/>
  <c r="AD1623" i="6"/>
  <c r="AD1624" i="6"/>
  <c r="AE1624" i="6" s="1"/>
  <c r="AD1625" i="6"/>
  <c r="AE1625" i="6" s="1"/>
  <c r="AD1626" i="6"/>
  <c r="AE1626" i="6" s="1"/>
  <c r="AD1627" i="6"/>
  <c r="AD1628" i="6"/>
  <c r="AE1628" i="6" s="1"/>
  <c r="AD1629" i="6"/>
  <c r="AE1629" i="6" s="1"/>
  <c r="AD1630" i="6"/>
  <c r="AE1630" i="6" s="1"/>
  <c r="AD1631" i="6"/>
  <c r="AE1631" i="6" s="1"/>
  <c r="AD1632" i="6"/>
  <c r="AE1632" i="6" s="1"/>
  <c r="AD1633" i="6"/>
  <c r="AE1633" i="6" s="1"/>
  <c r="AD1634" i="6"/>
  <c r="AE1634" i="6" s="1"/>
  <c r="AD1635" i="6"/>
  <c r="AD1636" i="6"/>
  <c r="AE1636" i="6" s="1"/>
  <c r="AD1637" i="6"/>
  <c r="AE1637" i="6" s="1"/>
  <c r="AD1638" i="6"/>
  <c r="AE1638" i="6" s="1"/>
  <c r="AD1639" i="6"/>
  <c r="AE1639" i="6" s="1"/>
  <c r="AD1640" i="6"/>
  <c r="AE1640" i="6" s="1"/>
  <c r="AD1641" i="6"/>
  <c r="AE1641" i="6" s="1"/>
  <c r="AD1642" i="6"/>
  <c r="AE1642" i="6" s="1"/>
  <c r="AD1643" i="6"/>
  <c r="AD1644" i="6"/>
  <c r="AE1644" i="6" s="1"/>
  <c r="AD1645" i="6"/>
  <c r="AE1645" i="6" s="1"/>
  <c r="AD1646" i="6"/>
  <c r="AE1646" i="6" s="1"/>
  <c r="AD1647" i="6"/>
  <c r="AE1647" i="6" s="1"/>
  <c r="AD1648" i="6"/>
  <c r="AE1648" i="6" s="1"/>
  <c r="AD1649" i="6"/>
  <c r="AE1649" i="6" s="1"/>
  <c r="AD1650" i="6"/>
  <c r="AE1650" i="6" s="1"/>
  <c r="AD1651" i="6"/>
  <c r="AD1652" i="6"/>
  <c r="AE1652" i="6" s="1"/>
  <c r="AD1653" i="6"/>
  <c r="AE1653" i="6" s="1"/>
  <c r="AD1654" i="6"/>
  <c r="AE1654" i="6" s="1"/>
  <c r="AD1655" i="6"/>
  <c r="AE1655" i="6" s="1"/>
  <c r="AD1656" i="6"/>
  <c r="AE1656" i="6" s="1"/>
  <c r="AD1657" i="6"/>
  <c r="AE1657" i="6" s="1"/>
  <c r="AD1658" i="6"/>
  <c r="AE1658" i="6" s="1"/>
  <c r="AD1659" i="6"/>
  <c r="AD1660" i="6"/>
  <c r="AE1660" i="6" s="1"/>
  <c r="AD1661" i="6"/>
  <c r="AE1661" i="6" s="1"/>
  <c r="AD1662" i="6"/>
  <c r="AE1662" i="6" s="1"/>
  <c r="AD1663" i="6"/>
  <c r="AE1663" i="6" s="1"/>
  <c r="AD1664" i="6"/>
  <c r="AE1664" i="6" s="1"/>
  <c r="AD1665" i="6"/>
  <c r="AE1665" i="6" s="1"/>
  <c r="AD1666" i="6"/>
  <c r="AE1666" i="6" s="1"/>
  <c r="AD1667" i="6"/>
  <c r="AD1668" i="6"/>
  <c r="AE1668" i="6" s="1"/>
  <c r="AD1669" i="6"/>
  <c r="AE1669" i="6" s="1"/>
  <c r="AD1670" i="6"/>
  <c r="AE1670" i="6" s="1"/>
  <c r="AD1671" i="6"/>
  <c r="AD1672" i="6"/>
  <c r="AE1672" i="6" s="1"/>
  <c r="AD1673" i="6"/>
  <c r="AE1673" i="6" s="1"/>
  <c r="AD1674" i="6"/>
  <c r="AE1674" i="6" s="1"/>
  <c r="AD1675" i="6"/>
  <c r="AD1676" i="6"/>
  <c r="AE1676" i="6" s="1"/>
  <c r="AD1677" i="6"/>
  <c r="AE1677" i="6" s="1"/>
  <c r="AD1678" i="6"/>
  <c r="AE1678" i="6" s="1"/>
  <c r="AD1679" i="6"/>
  <c r="AD1680" i="6"/>
  <c r="AE1680" i="6" s="1"/>
  <c r="AD1681" i="6"/>
  <c r="AE1681" i="6" s="1"/>
  <c r="AD1682" i="6"/>
  <c r="AE1682" i="6" s="1"/>
  <c r="AD1683" i="6"/>
  <c r="AE1683" i="6" s="1"/>
  <c r="AD1684" i="6"/>
  <c r="AE1684" i="6" s="1"/>
  <c r="AD1685" i="6"/>
  <c r="AE1685" i="6" s="1"/>
  <c r="AD1686" i="6"/>
  <c r="AE1686" i="6" s="1"/>
  <c r="AD1687" i="6"/>
  <c r="AD1688" i="6"/>
  <c r="AE1688" i="6" s="1"/>
  <c r="AD1689" i="6"/>
  <c r="AE1689" i="6" s="1"/>
  <c r="AD1690" i="6"/>
  <c r="AE1690" i="6" s="1"/>
  <c r="AD1691" i="6"/>
  <c r="AD1692" i="6"/>
  <c r="AE1692" i="6" s="1"/>
  <c r="AD1693" i="6"/>
  <c r="AE1693" i="6" s="1"/>
  <c r="AD1694" i="6"/>
  <c r="AE1694" i="6" s="1"/>
  <c r="AD1695" i="6"/>
  <c r="AD1696" i="6"/>
  <c r="AE1696" i="6" s="1"/>
  <c r="AD1697" i="6"/>
  <c r="AE1697" i="6" s="1"/>
  <c r="AD1698" i="6"/>
  <c r="AE1698" i="6" s="1"/>
  <c r="AD1699" i="6"/>
  <c r="AD1700" i="6"/>
  <c r="AE1700" i="6" s="1"/>
  <c r="AD1701" i="6"/>
  <c r="AE1701" i="6" s="1"/>
  <c r="AD1702" i="6"/>
  <c r="AE1702" i="6" s="1"/>
  <c r="AD1703" i="6"/>
  <c r="AD1704" i="6"/>
  <c r="AE1704" i="6" s="1"/>
  <c r="AD1705" i="6"/>
  <c r="AE1705" i="6" s="1"/>
  <c r="AD1706" i="6"/>
  <c r="AE1706" i="6" s="1"/>
  <c r="AD1707" i="6"/>
  <c r="AD1708" i="6"/>
  <c r="AE1708" i="6" s="1"/>
  <c r="AD1709" i="6"/>
  <c r="AE1709" i="6" s="1"/>
  <c r="AD1710" i="6"/>
  <c r="AE1710" i="6" s="1"/>
  <c r="AD1711" i="6"/>
  <c r="AD1712" i="6"/>
  <c r="AE1712" i="6" s="1"/>
  <c r="AD1713" i="6"/>
  <c r="AE1713" i="6" s="1"/>
  <c r="AD1714" i="6"/>
  <c r="AE1714" i="6" s="1"/>
  <c r="AD1715" i="6"/>
  <c r="AD1716" i="6"/>
  <c r="AE1716" i="6" s="1"/>
  <c r="AD1717" i="6"/>
  <c r="AE1717" i="6" s="1"/>
  <c r="AD1718" i="6"/>
  <c r="AE1718" i="6" s="1"/>
  <c r="AD1719" i="6"/>
  <c r="AD1720" i="6"/>
  <c r="AE1720" i="6" s="1"/>
  <c r="AD1721" i="6"/>
  <c r="AE1721" i="6" s="1"/>
  <c r="AD1722" i="6"/>
  <c r="AE1722" i="6" s="1"/>
  <c r="AD1723" i="6"/>
  <c r="AD1724" i="6"/>
  <c r="AE1724" i="6" s="1"/>
  <c r="AD1725" i="6"/>
  <c r="AE1725" i="6" s="1"/>
  <c r="AD1726" i="6"/>
  <c r="AE1726" i="6" s="1"/>
  <c r="AD1727" i="6"/>
  <c r="AD1728" i="6"/>
  <c r="AE1728" i="6" s="1"/>
  <c r="AD1729" i="6"/>
  <c r="AE1729" i="6" s="1"/>
  <c r="AD1730" i="6"/>
  <c r="AE1730" i="6" s="1"/>
  <c r="AD1731" i="6"/>
  <c r="AD1732" i="6"/>
  <c r="AE1732" i="6" s="1"/>
  <c r="AD1733" i="6"/>
  <c r="AE1733" i="6" s="1"/>
  <c r="AD1734" i="6"/>
  <c r="AE1734" i="6" s="1"/>
  <c r="AD1735" i="6"/>
  <c r="AE1735" i="6" s="1"/>
  <c r="AD1736" i="6"/>
  <c r="AE1736" i="6" s="1"/>
  <c r="AD1737" i="6"/>
  <c r="AE1737" i="6" s="1"/>
  <c r="AD1738" i="6"/>
  <c r="AE1738" i="6" s="1"/>
  <c r="AD1739" i="6"/>
  <c r="AD1740" i="6"/>
  <c r="AE1740" i="6" s="1"/>
  <c r="AD1741" i="6"/>
  <c r="AE1741" i="6" s="1"/>
  <c r="AD1742" i="6"/>
  <c r="AE1742" i="6" s="1"/>
  <c r="AD1743" i="6"/>
  <c r="AD1744" i="6"/>
  <c r="AE1744" i="6" s="1"/>
  <c r="AD1745" i="6"/>
  <c r="AE1745" i="6" s="1"/>
  <c r="AD1746" i="6"/>
  <c r="AE1746" i="6" s="1"/>
  <c r="AD1747" i="6"/>
  <c r="AD1748" i="6"/>
  <c r="AE1748" i="6" s="1"/>
  <c r="AD1749" i="6"/>
  <c r="AE1749" i="6" s="1"/>
  <c r="AD1750" i="6"/>
  <c r="AE1750" i="6" s="1"/>
  <c r="AD1751" i="6"/>
  <c r="AD1752" i="6"/>
  <c r="AE1752" i="6" s="1"/>
  <c r="AD1753" i="6"/>
  <c r="AE1753" i="6" s="1"/>
  <c r="AD1754" i="6"/>
  <c r="AE1754" i="6" s="1"/>
  <c r="AD1755" i="6"/>
  <c r="AE1755" i="6" s="1"/>
  <c r="AD1756" i="6"/>
  <c r="AE1756" i="6" s="1"/>
  <c r="AD1757" i="6"/>
  <c r="AE1757" i="6" s="1"/>
  <c r="AD1758" i="6"/>
  <c r="AE1758" i="6" s="1"/>
  <c r="AD1759" i="6"/>
  <c r="AD1760" i="6"/>
  <c r="AE1760" i="6" s="1"/>
  <c r="AD1761" i="6"/>
  <c r="AE1761" i="6" s="1"/>
  <c r="AD1762" i="6"/>
  <c r="AE1762" i="6" s="1"/>
  <c r="AD1763" i="6"/>
  <c r="AE1763" i="6" s="1"/>
  <c r="AD1764" i="6"/>
  <c r="AE1764" i="6" s="1"/>
  <c r="AD1765" i="6"/>
  <c r="AE1765" i="6" s="1"/>
  <c r="AD1766" i="6"/>
  <c r="AE1766" i="6" s="1"/>
  <c r="AD1767" i="6"/>
  <c r="AD1768" i="6"/>
  <c r="AE1768" i="6" s="1"/>
  <c r="AD1769" i="6"/>
  <c r="AE1769" i="6" s="1"/>
  <c r="AD1770" i="6"/>
  <c r="AE1770" i="6" s="1"/>
  <c r="AD1771" i="6"/>
  <c r="AE1771" i="6" s="1"/>
  <c r="AD1772" i="6"/>
  <c r="AE1772" i="6" s="1"/>
  <c r="AD1773" i="6"/>
  <c r="AE1773" i="6" s="1"/>
  <c r="AD1774" i="6"/>
  <c r="AE1774" i="6" s="1"/>
  <c r="AD1775" i="6"/>
  <c r="AD1776" i="6"/>
  <c r="AE1776" i="6" s="1"/>
  <c r="AD1777" i="6"/>
  <c r="AE1777" i="6" s="1"/>
  <c r="AD1778" i="6"/>
  <c r="AE1778" i="6" s="1"/>
  <c r="AD1779" i="6"/>
  <c r="AE1779" i="6" s="1"/>
  <c r="AD1780" i="6"/>
  <c r="AE1780" i="6" s="1"/>
  <c r="AD1781" i="6"/>
  <c r="AE1781" i="6" s="1"/>
  <c r="AD1782" i="6"/>
  <c r="AE1782" i="6" s="1"/>
  <c r="AD1783" i="6"/>
  <c r="AD1784" i="6"/>
  <c r="AE1784" i="6" s="1"/>
  <c r="AD1785" i="6"/>
  <c r="AE1785" i="6" s="1"/>
  <c r="AD1786" i="6"/>
  <c r="AE1786" i="6" s="1"/>
  <c r="AD1787" i="6"/>
  <c r="AE1787" i="6" s="1"/>
  <c r="AD1788" i="6"/>
  <c r="AE1788" i="6" s="1"/>
  <c r="AD1789" i="6"/>
  <c r="AE1789" i="6" s="1"/>
  <c r="AD1790" i="6"/>
  <c r="AE1790" i="6" s="1"/>
  <c r="AD1791" i="6"/>
  <c r="AD1792" i="6"/>
  <c r="AE1792" i="6" s="1"/>
  <c r="AD1793" i="6"/>
  <c r="AE1793" i="6" s="1"/>
  <c r="AD1794" i="6"/>
  <c r="AE1794" i="6" s="1"/>
  <c r="AD1795" i="6"/>
  <c r="AD1796" i="6"/>
  <c r="AE1796" i="6" s="1"/>
  <c r="AD1797" i="6"/>
  <c r="AE1797" i="6" s="1"/>
  <c r="AD1798" i="6"/>
  <c r="AE1798" i="6" s="1"/>
  <c r="AD1799" i="6"/>
  <c r="AD1800" i="6"/>
  <c r="AE1800" i="6" s="1"/>
  <c r="AD1801" i="6"/>
  <c r="AE1801" i="6" s="1"/>
  <c r="AD1802" i="6"/>
  <c r="AE1802" i="6" s="1"/>
  <c r="AD1803" i="6"/>
  <c r="AD1804" i="6"/>
  <c r="AE1804" i="6" s="1"/>
  <c r="AD1805" i="6"/>
  <c r="AE1805" i="6" s="1"/>
  <c r="AD1806" i="6"/>
  <c r="AE1806" i="6" s="1"/>
  <c r="AD1807" i="6"/>
  <c r="AE1807" i="6" s="1"/>
  <c r="AD1808" i="6"/>
  <c r="AE1808" i="6" s="1"/>
  <c r="AD1809" i="6"/>
  <c r="AE1809" i="6" s="1"/>
  <c r="AD1810" i="6"/>
  <c r="AE1810" i="6" s="1"/>
  <c r="AD1811" i="6"/>
  <c r="AD1812" i="6"/>
  <c r="AE1812" i="6" s="1"/>
  <c r="AD1813" i="6"/>
  <c r="AE1813" i="6" s="1"/>
  <c r="AD1814" i="6"/>
  <c r="AE1814" i="6" s="1"/>
  <c r="AD1815" i="6"/>
  <c r="AE1815" i="6" s="1"/>
  <c r="AD1816" i="6"/>
  <c r="AE1816" i="6" s="1"/>
  <c r="AD1817" i="6"/>
  <c r="AE1817" i="6" s="1"/>
  <c r="AD1818" i="6"/>
  <c r="AE1818" i="6" s="1"/>
  <c r="AD1819" i="6"/>
  <c r="AD1820" i="6"/>
  <c r="AE1820" i="6" s="1"/>
  <c r="AD1821" i="6"/>
  <c r="AE1821" i="6" s="1"/>
  <c r="AD1822" i="6"/>
  <c r="AE1822" i="6" s="1"/>
  <c r="AD1823" i="6"/>
  <c r="AD1824" i="6"/>
  <c r="AE1824" i="6" s="1"/>
  <c r="AD1825" i="6"/>
  <c r="AE1825" i="6" s="1"/>
  <c r="AD1826" i="6"/>
  <c r="AE1826" i="6" s="1"/>
  <c r="AD1827" i="6"/>
  <c r="AD1828" i="6"/>
  <c r="AE1828" i="6" s="1"/>
  <c r="AD1829" i="6"/>
  <c r="AE1829" i="6" s="1"/>
  <c r="AD1830" i="6"/>
  <c r="AE1830" i="6" s="1"/>
  <c r="AD1831" i="6"/>
  <c r="AD1832" i="6"/>
  <c r="AE1832" i="6" s="1"/>
  <c r="AD1833" i="6"/>
  <c r="AE1833" i="6" s="1"/>
  <c r="AD1834" i="6"/>
  <c r="AE1834" i="6" s="1"/>
  <c r="AD1835" i="6"/>
  <c r="AD1836" i="6"/>
  <c r="AE1836" i="6" s="1"/>
  <c r="AD1837" i="6"/>
  <c r="AE1837" i="6" s="1"/>
  <c r="AD1838" i="6"/>
  <c r="AE1838" i="6" s="1"/>
  <c r="AD1839" i="6"/>
  <c r="AD1840" i="6"/>
  <c r="AE1840" i="6" s="1"/>
  <c r="AD1841" i="6"/>
  <c r="AE1841" i="6" s="1"/>
  <c r="AD1842" i="6"/>
  <c r="AE1842" i="6" s="1"/>
  <c r="AD1843" i="6"/>
  <c r="AD1844" i="6"/>
  <c r="AE1844" i="6" s="1"/>
  <c r="AD1845" i="6"/>
  <c r="AE1845" i="6" s="1"/>
  <c r="AD1846" i="6"/>
  <c r="AE1846" i="6" s="1"/>
  <c r="AD1847" i="6"/>
  <c r="AD1848" i="6"/>
  <c r="AE1848" i="6" s="1"/>
  <c r="AD1849" i="6"/>
  <c r="AE1849" i="6" s="1"/>
  <c r="AD1850" i="6"/>
  <c r="AE1850" i="6" s="1"/>
  <c r="AD1851" i="6"/>
  <c r="AE1851" i="6" s="1"/>
  <c r="AD1852" i="6"/>
  <c r="AE1852" i="6" s="1"/>
  <c r="AD1853" i="6"/>
  <c r="AE1853" i="6" s="1"/>
  <c r="AD1854" i="6"/>
  <c r="AE1854" i="6" s="1"/>
  <c r="AD1855" i="6"/>
  <c r="AD1856" i="6"/>
  <c r="AE1856" i="6" s="1"/>
  <c r="AD1857" i="6"/>
  <c r="AE1857" i="6" s="1"/>
  <c r="AD1858" i="6"/>
  <c r="AE1858" i="6" s="1"/>
  <c r="AD1859" i="6"/>
  <c r="AE1859" i="6" s="1"/>
  <c r="AD1860" i="6"/>
  <c r="AE1860" i="6" s="1"/>
  <c r="AD1861" i="6"/>
  <c r="AE1861" i="6" s="1"/>
  <c r="AD1862" i="6"/>
  <c r="AE1862" i="6" s="1"/>
  <c r="AD1863" i="6"/>
  <c r="AD1864" i="6"/>
  <c r="AE1864" i="6" s="1"/>
  <c r="AD1865" i="6"/>
  <c r="AE1865" i="6" s="1"/>
  <c r="AD1866" i="6"/>
  <c r="AE1866" i="6" s="1"/>
  <c r="AD1867" i="6"/>
  <c r="AD1868" i="6"/>
  <c r="AE1868" i="6" s="1"/>
  <c r="AD1869" i="6"/>
  <c r="AE1869" i="6" s="1"/>
  <c r="AD1870" i="6"/>
  <c r="AE1870" i="6" s="1"/>
  <c r="AD1871" i="6"/>
  <c r="AD1872" i="6"/>
  <c r="AE1872" i="6" s="1"/>
  <c r="AD1873" i="6"/>
  <c r="AE1873" i="6" s="1"/>
  <c r="AD1874" i="6"/>
  <c r="AE1874" i="6" s="1"/>
  <c r="AD1875" i="6"/>
  <c r="AD1876" i="6"/>
  <c r="AE1876" i="6" s="1"/>
  <c r="AD1877" i="6"/>
  <c r="AE1877" i="6" s="1"/>
  <c r="AD1878" i="6"/>
  <c r="AE1878" i="6" s="1"/>
  <c r="AD1879" i="6"/>
  <c r="AD1880" i="6"/>
  <c r="AE1880" i="6" s="1"/>
  <c r="AD1881" i="6"/>
  <c r="AE1881" i="6" s="1"/>
  <c r="AD1882" i="6"/>
  <c r="AE1882" i="6" s="1"/>
  <c r="AD1883" i="6"/>
  <c r="AD1884" i="6"/>
  <c r="AE1884" i="6" s="1"/>
  <c r="AD1885" i="6"/>
  <c r="AE1885" i="6" s="1"/>
  <c r="AD1886" i="6"/>
  <c r="AE1886" i="6" s="1"/>
  <c r="AD1887" i="6"/>
  <c r="AD1888" i="6"/>
  <c r="AE1888" i="6" s="1"/>
  <c r="AD1889" i="6"/>
  <c r="AE1889" i="6" s="1"/>
  <c r="AD1890" i="6"/>
  <c r="AE1890" i="6" s="1"/>
  <c r="AD1891" i="6"/>
  <c r="AD1892" i="6"/>
  <c r="AE1892" i="6" s="1"/>
  <c r="AD1893" i="6"/>
  <c r="AE1893" i="6" s="1"/>
  <c r="AD1894" i="6"/>
  <c r="AE1894" i="6" s="1"/>
  <c r="AD1895" i="6"/>
  <c r="AD1896" i="6"/>
  <c r="AE1896" i="6" s="1"/>
  <c r="AD1897" i="6"/>
  <c r="AE1897" i="6" s="1"/>
  <c r="AD1898" i="6"/>
  <c r="AE1898" i="6" s="1"/>
  <c r="AD1899" i="6"/>
  <c r="AD1900" i="6"/>
  <c r="AE1900" i="6" s="1"/>
  <c r="AD1901" i="6"/>
  <c r="AE1901" i="6" s="1"/>
  <c r="AD1902" i="6"/>
  <c r="AE1902" i="6" s="1"/>
  <c r="AD1903" i="6"/>
  <c r="AD1904" i="6"/>
  <c r="AE1904" i="6" s="1"/>
  <c r="AD1905" i="6"/>
  <c r="AE1905" i="6" s="1"/>
  <c r="AD1906" i="6"/>
  <c r="AE1906" i="6" s="1"/>
  <c r="AD1907" i="6"/>
  <c r="AD1908" i="6"/>
  <c r="AE1908" i="6" s="1"/>
  <c r="AD1909" i="6"/>
  <c r="AE1909" i="6" s="1"/>
  <c r="AD1910" i="6"/>
  <c r="AE1910" i="6" s="1"/>
  <c r="AD1911" i="6"/>
  <c r="AD1912" i="6"/>
  <c r="AE1912" i="6" s="1"/>
  <c r="AD1913" i="6"/>
  <c r="AE1913" i="6" s="1"/>
  <c r="AD1914" i="6"/>
  <c r="AE1914" i="6" s="1"/>
  <c r="AD1915" i="6"/>
  <c r="AD1916" i="6"/>
  <c r="AE1916" i="6" s="1"/>
  <c r="AD1917" i="6"/>
  <c r="AE1917" i="6" s="1"/>
  <c r="AD1918" i="6"/>
  <c r="AE1918" i="6" s="1"/>
  <c r="AD1919" i="6"/>
  <c r="AD1920" i="6"/>
  <c r="AE1920" i="6" s="1"/>
  <c r="AD1921" i="6"/>
  <c r="AE1921" i="6" s="1"/>
  <c r="AD1922" i="6"/>
  <c r="AE1922" i="6" s="1"/>
  <c r="AD1923" i="6"/>
  <c r="AD1924" i="6"/>
  <c r="AE1924" i="6" s="1"/>
  <c r="AD1925" i="6"/>
  <c r="AE1925" i="6" s="1"/>
  <c r="AD1926" i="6"/>
  <c r="AE1926" i="6" s="1"/>
  <c r="AD1927" i="6"/>
  <c r="AD1928" i="6"/>
  <c r="AE1928" i="6" s="1"/>
  <c r="AD1929" i="6"/>
  <c r="AE1929" i="6" s="1"/>
  <c r="AD1930" i="6"/>
  <c r="AE1930" i="6" s="1"/>
  <c r="AD1931" i="6"/>
  <c r="AD1932" i="6"/>
  <c r="AE1932" i="6" s="1"/>
  <c r="AD1933" i="6"/>
  <c r="AE1933" i="6" s="1"/>
  <c r="AD1934" i="6"/>
  <c r="AE1934" i="6" s="1"/>
  <c r="AD1935" i="6"/>
  <c r="AD1936" i="6"/>
  <c r="AE1936" i="6" s="1"/>
  <c r="AD1937" i="6"/>
  <c r="AE1937" i="6" s="1"/>
  <c r="AD1938" i="6"/>
  <c r="AE1938" i="6" s="1"/>
  <c r="AD1939" i="6"/>
  <c r="AD1940" i="6"/>
  <c r="AE1940" i="6" s="1"/>
  <c r="AD1941" i="6"/>
  <c r="AE1941" i="6" s="1"/>
  <c r="AD1942" i="6"/>
  <c r="AE1942" i="6" s="1"/>
  <c r="AD1943" i="6"/>
  <c r="AD1944" i="6"/>
  <c r="AE1944" i="6" s="1"/>
  <c r="AD1945" i="6"/>
  <c r="AE1945" i="6" s="1"/>
  <c r="AD1946" i="6"/>
  <c r="AE1946" i="6" s="1"/>
  <c r="AD1947" i="6"/>
  <c r="AD1948" i="6"/>
  <c r="AE1948" i="6" s="1"/>
  <c r="AD1949" i="6"/>
  <c r="AE1949" i="6" s="1"/>
  <c r="AD1950" i="6"/>
  <c r="AE1950" i="6" s="1"/>
  <c r="AD1951" i="6"/>
  <c r="AD1952" i="6"/>
  <c r="AE1952" i="6" s="1"/>
  <c r="AD1953" i="6"/>
  <c r="AE1953" i="6" s="1"/>
  <c r="AD1954" i="6"/>
  <c r="AE1954" i="6" s="1"/>
  <c r="AD1955" i="6"/>
  <c r="AD1956" i="6"/>
  <c r="AE1956" i="6" s="1"/>
  <c r="AD1957" i="6"/>
  <c r="AE1957" i="6" s="1"/>
  <c r="AD1958" i="6"/>
  <c r="AE1958" i="6" s="1"/>
  <c r="AD1959" i="6"/>
  <c r="AD1960" i="6"/>
  <c r="AE1960" i="6" s="1"/>
  <c r="AD1961" i="6"/>
  <c r="AE1961" i="6" s="1"/>
  <c r="AD1962" i="6"/>
  <c r="AE1962" i="6" s="1"/>
  <c r="AD1963" i="6"/>
  <c r="AD1964" i="6"/>
  <c r="AE1964" i="6" s="1"/>
  <c r="AD1965" i="6"/>
  <c r="AE1965" i="6" s="1"/>
  <c r="AD1966" i="6"/>
  <c r="AE1966" i="6" s="1"/>
  <c r="AD1967" i="6"/>
  <c r="AD1968" i="6"/>
  <c r="AE1968" i="6" s="1"/>
  <c r="AD1969" i="6"/>
  <c r="AE1969" i="6" s="1"/>
  <c r="AD1970" i="6"/>
  <c r="AE1970" i="6" s="1"/>
  <c r="AD1971" i="6"/>
  <c r="AD1972" i="6"/>
  <c r="AE1972" i="6" s="1"/>
  <c r="AD1973" i="6"/>
  <c r="AE1973" i="6" s="1"/>
  <c r="AD1974" i="6"/>
  <c r="AE1974" i="6" s="1"/>
  <c r="AD1975" i="6"/>
  <c r="AD1976" i="6"/>
  <c r="AE1976" i="6" s="1"/>
  <c r="AD1977" i="6"/>
  <c r="AE1977" i="6" s="1"/>
  <c r="AD1978" i="6"/>
  <c r="AE1978" i="6" s="1"/>
  <c r="AD1979" i="6"/>
  <c r="AD1980" i="6"/>
  <c r="AE1980" i="6" s="1"/>
  <c r="AD1981" i="6"/>
  <c r="AE1981" i="6" s="1"/>
  <c r="AD1982" i="6"/>
  <c r="AE1982" i="6" s="1"/>
  <c r="AD1983" i="6"/>
  <c r="AD1984" i="6"/>
  <c r="AE1984" i="6" s="1"/>
  <c r="AD1985" i="6"/>
  <c r="AE1985" i="6" s="1"/>
  <c r="AD1986" i="6"/>
  <c r="AE1986" i="6" s="1"/>
  <c r="AD1987" i="6"/>
  <c r="AD1988" i="6"/>
  <c r="AE1988" i="6" s="1"/>
  <c r="AD1989" i="6"/>
  <c r="AE1989" i="6" s="1"/>
  <c r="AD1990" i="6"/>
  <c r="AE1990" i="6" s="1"/>
  <c r="AD1991" i="6"/>
  <c r="AD1992" i="6"/>
  <c r="AE1992" i="6" s="1"/>
  <c r="AD1993" i="6"/>
  <c r="AE1993" i="6" s="1"/>
  <c r="AD1994" i="6"/>
  <c r="AE1994" i="6" s="1"/>
  <c r="AD1995" i="6"/>
  <c r="AD1996" i="6"/>
  <c r="AE1996" i="6" s="1"/>
  <c r="AD1997" i="6"/>
  <c r="AE1997" i="6" s="1"/>
  <c r="AD1998" i="6"/>
  <c r="AE1998" i="6" s="1"/>
  <c r="AD1999" i="6"/>
  <c r="AD2000" i="6"/>
  <c r="AE2000" i="6" s="1"/>
  <c r="AD2001" i="6"/>
  <c r="AE2001" i="6" s="1"/>
  <c r="AD2002" i="6"/>
  <c r="AE2002" i="6" s="1"/>
  <c r="AD2003" i="6"/>
  <c r="AD2004" i="6"/>
  <c r="AE2004" i="6" s="1"/>
  <c r="AD2005" i="6"/>
  <c r="AE2005" i="6" s="1"/>
  <c r="AD2006" i="6"/>
  <c r="AE2006" i="6" s="1"/>
  <c r="AD2007" i="6"/>
  <c r="AD2008" i="6"/>
  <c r="AE2008" i="6" s="1"/>
  <c r="AT12" i="6"/>
  <c r="AU12" i="6" s="1"/>
  <c r="AO12" i="6"/>
  <c r="AP12" i="6" s="1"/>
  <c r="AJ24" i="6"/>
  <c r="AK24" i="6" s="1"/>
  <c r="AJ40" i="6"/>
  <c r="AK40" i="6" s="1"/>
  <c r="AJ60" i="6"/>
  <c r="AK60" i="6" s="1"/>
  <c r="AJ72" i="6"/>
  <c r="AK72" i="6" s="1"/>
  <c r="AJ92" i="6"/>
  <c r="AK92" i="6" s="1"/>
  <c r="AJ108" i="6"/>
  <c r="AK108" i="6" s="1"/>
  <c r="AJ128" i="6"/>
  <c r="AK128" i="6" s="1"/>
  <c r="AJ140" i="6"/>
  <c r="AK140" i="6" s="1"/>
  <c r="AJ164" i="6"/>
  <c r="AK164" i="6" s="1"/>
  <c r="AJ176" i="6"/>
  <c r="AK176" i="6" s="1"/>
  <c r="AJ196" i="6"/>
  <c r="AK196" i="6" s="1"/>
  <c r="AJ208" i="6"/>
  <c r="AK208" i="6" s="1"/>
  <c r="AJ232" i="6"/>
  <c r="AK232" i="6" s="1"/>
  <c r="AJ244" i="6"/>
  <c r="AK244" i="6" s="1"/>
  <c r="AJ264" i="6"/>
  <c r="AK264" i="6" s="1"/>
  <c r="AJ276" i="6"/>
  <c r="AK276" i="6" s="1"/>
  <c r="AJ312" i="6"/>
  <c r="AK312" i="6" s="1"/>
  <c r="AJ316" i="6"/>
  <c r="AK316" i="6" s="1"/>
  <c r="AJ348" i="6"/>
  <c r="AK348" i="6" s="1"/>
  <c r="AJ364" i="6"/>
  <c r="AK364" i="6" s="1"/>
  <c r="AJ396" i="6"/>
  <c r="AK396" i="6" s="1"/>
  <c r="AJ408" i="6"/>
  <c r="AK408" i="6" s="1"/>
  <c r="AJ444" i="6"/>
  <c r="AK444" i="6" s="1"/>
  <c r="AJ472" i="6"/>
  <c r="AK472" i="6" s="1"/>
  <c r="AJ508" i="6"/>
  <c r="AK508" i="6" s="1"/>
  <c r="AJ540" i="6"/>
  <c r="AK540" i="6" s="1"/>
  <c r="AJ636" i="6"/>
  <c r="AK636" i="6" s="1"/>
  <c r="AJ668" i="6"/>
  <c r="AK668" i="6" s="1"/>
  <c r="AJ764" i="6"/>
  <c r="AK764" i="6" s="1"/>
  <c r="AJ796" i="6"/>
  <c r="AK796" i="6" s="1"/>
  <c r="AJ892" i="6"/>
  <c r="AK892" i="6" s="1"/>
  <c r="AJ924" i="6"/>
  <c r="AK924" i="6" s="1"/>
  <c r="AJ1148" i="6"/>
  <c r="AK1148" i="6" s="1"/>
  <c r="AJ1372" i="6"/>
  <c r="AK1372" i="6" s="1"/>
  <c r="Y9" i="6"/>
  <c r="Z9" i="6" s="1"/>
  <c r="Y8" i="6"/>
  <c r="Z8" i="6" s="1"/>
  <c r="Y10" i="6"/>
  <c r="Z10" i="6" s="1"/>
  <c r="Y11" i="6"/>
  <c r="Z11" i="6" s="1"/>
  <c r="AA11" i="6" s="1"/>
  <c r="Y12" i="6"/>
  <c r="Z12" i="6" s="1"/>
  <c r="AA12" i="6" s="1"/>
  <c r="Y13" i="6"/>
  <c r="Z13" i="6" s="1"/>
  <c r="AA13" i="6" s="1"/>
  <c r="Y14" i="6"/>
  <c r="Z14" i="6" s="1"/>
  <c r="Y15" i="6"/>
  <c r="Y16" i="6"/>
  <c r="Y17" i="6"/>
  <c r="Z17" i="6" s="1"/>
  <c r="AA17" i="6" s="1"/>
  <c r="Y18" i="6"/>
  <c r="Z18" i="6" s="1"/>
  <c r="Y19" i="6"/>
  <c r="Y20" i="6"/>
  <c r="Z20" i="6" s="1"/>
  <c r="AA20" i="6" s="1"/>
  <c r="Y21" i="6"/>
  <c r="Z21" i="6" s="1"/>
  <c r="Y22" i="6"/>
  <c r="Z22" i="6" s="1"/>
  <c r="Y23" i="6"/>
  <c r="Y24" i="6"/>
  <c r="Z24" i="6" s="1"/>
  <c r="AA24" i="6" s="1"/>
  <c r="Y25" i="6"/>
  <c r="Z25" i="6" s="1"/>
  <c r="AA25" i="6" s="1"/>
  <c r="Y26" i="6"/>
  <c r="Z26" i="6" s="1"/>
  <c r="Y27" i="6"/>
  <c r="Y28" i="6"/>
  <c r="Y29" i="6"/>
  <c r="Z29" i="6" s="1"/>
  <c r="AA29" i="6" s="1"/>
  <c r="Y30" i="6"/>
  <c r="Z30" i="6" s="1"/>
  <c r="Y31" i="6"/>
  <c r="Y32" i="6"/>
  <c r="Z32" i="6" s="1"/>
  <c r="AA32" i="6" s="1"/>
  <c r="Y33" i="6"/>
  <c r="Z33" i="6" s="1"/>
  <c r="AA33" i="6" s="1"/>
  <c r="Y34" i="6"/>
  <c r="Z34" i="6" s="1"/>
  <c r="Y35" i="6"/>
  <c r="Y36" i="6"/>
  <c r="Y37" i="6"/>
  <c r="Z37" i="6" s="1"/>
  <c r="AA37" i="6" s="1"/>
  <c r="Y38" i="6"/>
  <c r="Z38" i="6" s="1"/>
  <c r="Y39" i="6"/>
  <c r="Y40" i="6"/>
  <c r="Z40" i="6" s="1"/>
  <c r="AA40" i="6" s="1"/>
  <c r="Y41" i="6"/>
  <c r="Z41" i="6" s="1"/>
  <c r="AA41" i="6" s="1"/>
  <c r="Y42" i="6"/>
  <c r="Z42" i="6" s="1"/>
  <c r="Y43" i="6"/>
  <c r="Y44" i="6"/>
  <c r="Y45" i="6"/>
  <c r="Z45" i="6" s="1"/>
  <c r="AA45" i="6" s="1"/>
  <c r="Y46" i="6"/>
  <c r="Z46" i="6" s="1"/>
  <c r="Y47" i="6"/>
  <c r="Y48" i="6"/>
  <c r="Z48" i="6" s="1"/>
  <c r="AA48" i="6" s="1"/>
  <c r="Y49" i="6"/>
  <c r="Z49" i="6" s="1"/>
  <c r="AA49" i="6" s="1"/>
  <c r="Y50" i="6"/>
  <c r="Z50" i="6" s="1"/>
  <c r="Y51" i="6"/>
  <c r="Y52" i="6"/>
  <c r="Y53" i="6"/>
  <c r="Z53" i="6" s="1"/>
  <c r="AA53" i="6" s="1"/>
  <c r="Y54" i="6"/>
  <c r="Z54" i="6" s="1"/>
  <c r="Y55" i="6"/>
  <c r="Y56" i="6"/>
  <c r="Z56" i="6" s="1"/>
  <c r="AA56" i="6" s="1"/>
  <c r="Y57" i="6"/>
  <c r="Z57" i="6" s="1"/>
  <c r="AA57" i="6" s="1"/>
  <c r="Y58" i="6"/>
  <c r="Z58" i="6" s="1"/>
  <c r="Y59" i="6"/>
  <c r="Y60" i="6"/>
  <c r="Y61" i="6"/>
  <c r="Z61" i="6" s="1"/>
  <c r="AA61" i="6" s="1"/>
  <c r="Y62" i="6"/>
  <c r="Z62" i="6" s="1"/>
  <c r="Y63" i="6"/>
  <c r="Y64" i="6"/>
  <c r="Y65" i="6"/>
  <c r="Z65" i="6" s="1"/>
  <c r="AA65" i="6" s="1"/>
  <c r="Y66" i="6"/>
  <c r="Z66" i="6" s="1"/>
  <c r="Y67" i="6"/>
  <c r="Y68" i="6"/>
  <c r="Y69" i="6"/>
  <c r="Z69" i="6" s="1"/>
  <c r="AA69" i="6" s="1"/>
  <c r="Y70" i="6"/>
  <c r="Z70" i="6" s="1"/>
  <c r="Y71" i="6"/>
  <c r="Y72" i="6"/>
  <c r="Y73" i="6"/>
  <c r="Z73" i="6" s="1"/>
  <c r="AA73" i="6" s="1"/>
  <c r="Y74" i="6"/>
  <c r="Z74" i="6" s="1"/>
  <c r="Y75" i="6"/>
  <c r="Y76" i="6"/>
  <c r="Z76" i="6" s="1"/>
  <c r="AA76" i="6" s="1"/>
  <c r="Y77" i="6"/>
  <c r="Z77" i="6" s="1"/>
  <c r="AA77" i="6" s="1"/>
  <c r="Y78" i="6"/>
  <c r="Z78" i="6" s="1"/>
  <c r="Y79" i="6"/>
  <c r="Y80" i="6"/>
  <c r="Y81" i="6"/>
  <c r="Z81" i="6" s="1"/>
  <c r="AA81" i="6" s="1"/>
  <c r="Y82" i="6"/>
  <c r="Z82" i="6" s="1"/>
  <c r="Y83" i="6"/>
  <c r="Y84" i="6"/>
  <c r="Z84" i="6" s="1"/>
  <c r="AA84" i="6" s="1"/>
  <c r="Y85" i="6"/>
  <c r="Z85" i="6" s="1"/>
  <c r="AA85" i="6" s="1"/>
  <c r="Y86" i="6"/>
  <c r="Z86" i="6" s="1"/>
  <c r="Y87" i="6"/>
  <c r="Y88" i="6"/>
  <c r="Y89" i="6"/>
  <c r="Z89" i="6" s="1"/>
  <c r="AA89" i="6" s="1"/>
  <c r="Y90" i="6"/>
  <c r="Z90" i="6" s="1"/>
  <c r="Y91" i="6"/>
  <c r="Y92" i="6"/>
  <c r="Z92" i="6" s="1"/>
  <c r="AA92" i="6" s="1"/>
  <c r="Y93" i="6"/>
  <c r="Z93" i="6" s="1"/>
  <c r="AA93" i="6" s="1"/>
  <c r="Y94" i="6"/>
  <c r="Z94" i="6" s="1"/>
  <c r="Y95" i="6"/>
  <c r="Y96" i="6"/>
  <c r="Y97" i="6"/>
  <c r="Z97" i="6" s="1"/>
  <c r="AA97" i="6" s="1"/>
  <c r="Y98" i="6"/>
  <c r="Z98" i="6" s="1"/>
  <c r="Y99" i="6"/>
  <c r="Y100" i="6"/>
  <c r="Z100" i="6" s="1"/>
  <c r="AA100" i="6" s="1"/>
  <c r="Y101" i="6"/>
  <c r="Z101" i="6" s="1"/>
  <c r="AA101" i="6" s="1"/>
  <c r="Y102" i="6"/>
  <c r="Z102" i="6" s="1"/>
  <c r="Y103" i="6"/>
  <c r="Y104" i="6"/>
  <c r="Z104" i="6" s="1"/>
  <c r="AA104" i="6" s="1"/>
  <c r="Y105" i="6"/>
  <c r="Y106" i="6"/>
  <c r="Z106" i="6" s="1"/>
  <c r="Y107" i="6"/>
  <c r="Y108" i="6"/>
  <c r="Y109" i="6"/>
  <c r="Z109" i="6" s="1"/>
  <c r="AA109" i="6" s="1"/>
  <c r="Y110" i="6"/>
  <c r="Z110" i="6" s="1"/>
  <c r="Y111" i="6"/>
  <c r="Y112" i="6"/>
  <c r="Y113" i="6"/>
  <c r="Z113" i="6" s="1"/>
  <c r="AA113" i="6" s="1"/>
  <c r="Y114" i="6"/>
  <c r="Z114" i="6" s="1"/>
  <c r="Y115" i="6"/>
  <c r="Y116" i="6"/>
  <c r="Y117" i="6"/>
  <c r="Z117" i="6" s="1"/>
  <c r="AA117" i="6" s="1"/>
  <c r="Y118" i="6"/>
  <c r="Z118" i="6" s="1"/>
  <c r="Y119" i="6"/>
  <c r="Y120" i="6"/>
  <c r="Z120" i="6" s="1"/>
  <c r="AA120" i="6" s="1"/>
  <c r="Y121" i="6"/>
  <c r="Y122" i="6"/>
  <c r="Z122" i="6" s="1"/>
  <c r="Y123" i="6"/>
  <c r="Y124" i="6"/>
  <c r="Z124" i="6" s="1"/>
  <c r="AA124" i="6" s="1"/>
  <c r="Y125" i="6"/>
  <c r="Z125" i="6" s="1"/>
  <c r="AA125" i="6" s="1"/>
  <c r="Y126" i="6"/>
  <c r="Z126" i="6" s="1"/>
  <c r="Y127" i="6"/>
  <c r="Y128" i="6"/>
  <c r="Y129" i="6"/>
  <c r="Y130" i="6"/>
  <c r="Z130" i="6" s="1"/>
  <c r="Y131" i="6"/>
  <c r="Y132" i="6"/>
  <c r="Z132" i="6" s="1"/>
  <c r="AA132" i="6" s="1"/>
  <c r="Y133" i="6"/>
  <c r="Z133" i="6" s="1"/>
  <c r="AA133" i="6" s="1"/>
  <c r="Y134" i="6"/>
  <c r="Z134" i="6" s="1"/>
  <c r="Y135" i="6"/>
  <c r="Y136" i="6"/>
  <c r="Y137" i="6"/>
  <c r="Z137" i="6" s="1"/>
  <c r="AA137" i="6" s="1"/>
  <c r="Y138" i="6"/>
  <c r="Z138" i="6" s="1"/>
  <c r="Y139" i="6"/>
  <c r="Y140" i="6"/>
  <c r="Y141" i="6"/>
  <c r="Z141" i="6" s="1"/>
  <c r="AA141" i="6" s="1"/>
  <c r="Y142" i="6"/>
  <c r="Z142" i="6" s="1"/>
  <c r="Y143" i="6"/>
  <c r="Y144" i="6"/>
  <c r="Y145" i="6"/>
  <c r="Z145" i="6" s="1"/>
  <c r="AA145" i="6" s="1"/>
  <c r="Y146" i="6"/>
  <c r="Z146" i="6" s="1"/>
  <c r="Y147" i="6"/>
  <c r="Y148" i="6"/>
  <c r="Y149" i="6"/>
  <c r="Z149" i="6" s="1"/>
  <c r="AA149" i="6" s="1"/>
  <c r="Y150" i="6"/>
  <c r="Z150" i="6" s="1"/>
  <c r="Y151" i="6"/>
  <c r="Y152" i="6"/>
  <c r="Z152" i="6" s="1"/>
  <c r="AA152" i="6" s="1"/>
  <c r="Y153" i="6"/>
  <c r="Z153" i="6" s="1"/>
  <c r="AA153" i="6" s="1"/>
  <c r="Y154" i="6"/>
  <c r="Z154" i="6" s="1"/>
  <c r="Y155" i="6"/>
  <c r="Z155" i="6" s="1"/>
  <c r="AA155" i="6" s="1"/>
  <c r="Y156" i="6"/>
  <c r="Y157" i="6"/>
  <c r="Z157" i="6" s="1"/>
  <c r="AA157" i="6" s="1"/>
  <c r="Y158" i="6"/>
  <c r="Z158" i="6" s="1"/>
  <c r="Y159" i="6"/>
  <c r="Y160" i="6"/>
  <c r="Z160" i="6" s="1"/>
  <c r="AA160" i="6" s="1"/>
  <c r="Y161" i="6"/>
  <c r="Z161" i="6" s="1"/>
  <c r="AA161" i="6" s="1"/>
  <c r="Y162" i="6"/>
  <c r="Z162" i="6" s="1"/>
  <c r="Y163" i="6"/>
  <c r="Y164" i="6"/>
  <c r="Y165" i="6"/>
  <c r="Z165" i="6" s="1"/>
  <c r="AA165" i="6" s="1"/>
  <c r="Y166" i="6"/>
  <c r="Z166" i="6" s="1"/>
  <c r="Y167" i="6"/>
  <c r="Y168" i="6"/>
  <c r="Z168" i="6" s="1"/>
  <c r="AA168" i="6" s="1"/>
  <c r="Y169" i="6"/>
  <c r="Z169" i="6" s="1"/>
  <c r="AA169" i="6" s="1"/>
  <c r="Y170" i="6"/>
  <c r="Z170" i="6" s="1"/>
  <c r="Y171" i="6"/>
  <c r="Z171" i="6" s="1"/>
  <c r="AA171" i="6" s="1"/>
  <c r="Y172" i="6"/>
  <c r="Y173" i="6"/>
  <c r="Z173" i="6" s="1"/>
  <c r="AA173" i="6" s="1"/>
  <c r="Y174" i="6"/>
  <c r="Z174" i="6" s="1"/>
  <c r="Y175" i="6"/>
  <c r="Y176" i="6"/>
  <c r="Y177" i="6"/>
  <c r="Z177" i="6" s="1"/>
  <c r="AA177" i="6" s="1"/>
  <c r="Y178" i="6"/>
  <c r="Z178" i="6" s="1"/>
  <c r="Y179" i="6"/>
  <c r="Y180" i="6"/>
  <c r="Y181" i="6"/>
  <c r="Z181" i="6" s="1"/>
  <c r="AA181" i="6" s="1"/>
  <c r="Y182" i="6"/>
  <c r="Z182" i="6" s="1"/>
  <c r="Y183" i="6"/>
  <c r="Y184" i="6"/>
  <c r="Z184" i="6" s="1"/>
  <c r="AA184" i="6" s="1"/>
  <c r="Y185" i="6"/>
  <c r="Z185" i="6" s="1"/>
  <c r="AA185" i="6" s="1"/>
  <c r="Y186" i="6"/>
  <c r="Z186" i="6" s="1"/>
  <c r="Y187" i="6"/>
  <c r="Z187" i="6" s="1"/>
  <c r="AA187" i="6" s="1"/>
  <c r="Y188" i="6"/>
  <c r="Y189" i="6"/>
  <c r="Z189" i="6" s="1"/>
  <c r="AA189" i="6" s="1"/>
  <c r="Y190" i="6"/>
  <c r="Z190" i="6" s="1"/>
  <c r="Y191" i="6"/>
  <c r="Y192" i="6"/>
  <c r="Z192" i="6" s="1"/>
  <c r="AA192" i="6" s="1"/>
  <c r="Y193" i="6"/>
  <c r="Z193" i="6" s="1"/>
  <c r="AA193" i="6" s="1"/>
  <c r="Y194" i="6"/>
  <c r="Z194" i="6" s="1"/>
  <c r="Y195" i="6"/>
  <c r="Y196" i="6"/>
  <c r="Y197" i="6"/>
  <c r="Z197" i="6" s="1"/>
  <c r="AA197" i="6" s="1"/>
  <c r="Y198" i="6"/>
  <c r="Z198" i="6" s="1"/>
  <c r="Y199" i="6"/>
  <c r="Y200" i="6"/>
  <c r="Y201" i="6"/>
  <c r="Z201" i="6" s="1"/>
  <c r="AA201" i="6" s="1"/>
  <c r="Y202" i="6"/>
  <c r="Z202" i="6" s="1"/>
  <c r="Y203" i="6"/>
  <c r="Z203" i="6" s="1"/>
  <c r="AA203" i="6" s="1"/>
  <c r="Y204" i="6"/>
  <c r="Z204" i="6" s="1"/>
  <c r="AA204" i="6" s="1"/>
  <c r="Y205" i="6"/>
  <c r="Z205" i="6" s="1"/>
  <c r="AA205" i="6" s="1"/>
  <c r="Y206" i="6"/>
  <c r="Z206" i="6" s="1"/>
  <c r="Y207" i="6"/>
  <c r="Y208" i="6"/>
  <c r="Y209" i="6"/>
  <c r="Y210" i="6"/>
  <c r="Z210" i="6" s="1"/>
  <c r="Y211" i="6"/>
  <c r="Y212" i="6"/>
  <c r="Z212" i="6" s="1"/>
  <c r="AA212" i="6" s="1"/>
  <c r="Y213" i="6"/>
  <c r="Z213" i="6" s="1"/>
  <c r="AA213" i="6" s="1"/>
  <c r="Y214" i="6"/>
  <c r="Z214" i="6" s="1"/>
  <c r="Y215" i="6"/>
  <c r="Y216" i="6"/>
  <c r="Y217" i="6"/>
  <c r="Z217" i="6" s="1"/>
  <c r="AA217" i="6" s="1"/>
  <c r="Y218" i="6"/>
  <c r="Z218" i="6" s="1"/>
  <c r="Y219" i="6"/>
  <c r="Z219" i="6" s="1"/>
  <c r="AA219" i="6" s="1"/>
  <c r="Y220" i="6"/>
  <c r="Y221" i="6"/>
  <c r="Z221" i="6" s="1"/>
  <c r="AA221" i="6" s="1"/>
  <c r="Y222" i="6"/>
  <c r="Z222" i="6" s="1"/>
  <c r="Y223" i="6"/>
  <c r="Y224" i="6"/>
  <c r="Y225" i="6"/>
  <c r="Z225" i="6" s="1"/>
  <c r="AA225" i="6" s="1"/>
  <c r="Y226" i="6"/>
  <c r="Z226" i="6" s="1"/>
  <c r="Y227" i="6"/>
  <c r="Y228" i="6"/>
  <c r="Z228" i="6" s="1"/>
  <c r="AA228" i="6" s="1"/>
  <c r="Y229" i="6"/>
  <c r="Z229" i="6" s="1"/>
  <c r="AA229" i="6" s="1"/>
  <c r="Y230" i="6"/>
  <c r="Z230" i="6" s="1"/>
  <c r="Y231" i="6"/>
  <c r="Y232" i="6"/>
  <c r="Z232" i="6" s="1"/>
  <c r="AA232" i="6" s="1"/>
  <c r="Y233" i="6"/>
  <c r="Z233" i="6" s="1"/>
  <c r="AA233" i="6" s="1"/>
  <c r="Y234" i="6"/>
  <c r="Z234" i="6" s="1"/>
  <c r="Y235" i="6"/>
  <c r="Z235" i="6" s="1"/>
  <c r="AA235" i="6" s="1"/>
  <c r="Y236" i="6"/>
  <c r="Y237" i="6"/>
  <c r="Z237" i="6" s="1"/>
  <c r="AA237" i="6" s="1"/>
  <c r="Y238" i="6"/>
  <c r="Z238" i="6" s="1"/>
  <c r="Y239" i="6"/>
  <c r="Y240" i="6"/>
  <c r="Y241" i="6"/>
  <c r="Z241" i="6" s="1"/>
  <c r="AA241" i="6" s="1"/>
  <c r="Y242" i="6"/>
  <c r="Z242" i="6" s="1"/>
  <c r="Y243" i="6"/>
  <c r="Y244" i="6"/>
  <c r="Z244" i="6" s="1"/>
  <c r="AA244" i="6" s="1"/>
  <c r="Y245" i="6"/>
  <c r="Z245" i="6" s="1"/>
  <c r="AA245" i="6" s="1"/>
  <c r="Y246" i="6"/>
  <c r="Z246" i="6" s="1"/>
  <c r="Y247" i="6"/>
  <c r="Y248" i="6"/>
  <c r="Y249" i="6"/>
  <c r="Z249" i="6" s="1"/>
  <c r="AA249" i="6" s="1"/>
  <c r="Y250" i="6"/>
  <c r="Z250" i="6" s="1"/>
  <c r="Y251" i="6"/>
  <c r="Z251" i="6" s="1"/>
  <c r="AA251" i="6" s="1"/>
  <c r="Y252" i="6"/>
  <c r="Z252" i="6" s="1"/>
  <c r="AA252" i="6" s="1"/>
  <c r="Y253" i="6"/>
  <c r="Z253" i="6" s="1"/>
  <c r="AA253" i="6" s="1"/>
  <c r="Y254" i="6"/>
  <c r="Z254" i="6" s="1"/>
  <c r="Y255" i="6"/>
  <c r="Y256" i="6"/>
  <c r="Y257" i="6"/>
  <c r="Z257" i="6" s="1"/>
  <c r="AA257" i="6" s="1"/>
  <c r="Y258" i="6"/>
  <c r="Z258" i="6" s="1"/>
  <c r="AA258" i="6" s="1"/>
  <c r="Y259" i="6"/>
  <c r="Y260" i="6"/>
  <c r="Z260" i="6" s="1"/>
  <c r="AA260" i="6" s="1"/>
  <c r="Y261" i="6"/>
  <c r="Z261" i="6" s="1"/>
  <c r="AA261" i="6" s="1"/>
  <c r="Y262" i="6"/>
  <c r="Z262" i="6" s="1"/>
  <c r="AA262" i="6" s="1"/>
  <c r="Y263" i="6"/>
  <c r="Y264" i="6"/>
  <c r="Y265" i="6"/>
  <c r="Z265" i="6" s="1"/>
  <c r="AA265" i="6" s="1"/>
  <c r="Y266" i="6"/>
  <c r="Z266" i="6" s="1"/>
  <c r="Y267" i="6"/>
  <c r="Z267" i="6" s="1"/>
  <c r="AA267" i="6" s="1"/>
  <c r="Y268" i="6"/>
  <c r="Y269" i="6"/>
  <c r="Z269" i="6" s="1"/>
  <c r="AA269" i="6" s="1"/>
  <c r="Y270" i="6"/>
  <c r="Z270" i="6" s="1"/>
  <c r="Y271" i="6"/>
  <c r="Y272" i="6"/>
  <c r="Y273" i="6"/>
  <c r="Z273" i="6" s="1"/>
  <c r="AA273" i="6" s="1"/>
  <c r="Y274" i="6"/>
  <c r="Z274" i="6" s="1"/>
  <c r="AA274" i="6" s="1"/>
  <c r="Y275" i="6"/>
  <c r="Y276" i="6"/>
  <c r="Y277" i="6"/>
  <c r="Z277" i="6" s="1"/>
  <c r="AA277" i="6" s="1"/>
  <c r="Y278" i="6"/>
  <c r="Z278" i="6" s="1"/>
  <c r="AA278" i="6" s="1"/>
  <c r="Y279" i="6"/>
  <c r="Y280" i="6"/>
  <c r="Z280" i="6" s="1"/>
  <c r="AA280" i="6" s="1"/>
  <c r="Y281" i="6"/>
  <c r="Z281" i="6" s="1"/>
  <c r="AA281" i="6" s="1"/>
  <c r="Y282" i="6"/>
  <c r="Z282" i="6" s="1"/>
  <c r="Y283" i="6"/>
  <c r="Z283" i="6" s="1"/>
  <c r="AA283" i="6" s="1"/>
  <c r="Y284" i="6"/>
  <c r="Y285" i="6"/>
  <c r="Z285" i="6" s="1"/>
  <c r="AA285" i="6" s="1"/>
  <c r="Y286" i="6"/>
  <c r="Z286" i="6" s="1"/>
  <c r="Y287" i="6"/>
  <c r="Y288" i="6"/>
  <c r="Z288" i="6" s="1"/>
  <c r="AA288" i="6" s="1"/>
  <c r="Y289" i="6"/>
  <c r="Z289" i="6" s="1"/>
  <c r="AA289" i="6" s="1"/>
  <c r="Y290" i="6"/>
  <c r="Z290" i="6" s="1"/>
  <c r="AA290" i="6" s="1"/>
  <c r="Y291" i="6"/>
  <c r="Y292" i="6"/>
  <c r="Y293" i="6"/>
  <c r="Z293" i="6" s="1"/>
  <c r="AA293" i="6" s="1"/>
  <c r="Y294" i="6"/>
  <c r="Z294" i="6" s="1"/>
  <c r="AA294" i="6" s="1"/>
  <c r="Y295" i="6"/>
  <c r="Y296" i="6"/>
  <c r="Z296" i="6" s="1"/>
  <c r="AA296" i="6" s="1"/>
  <c r="Y297" i="6"/>
  <c r="Z297" i="6" s="1"/>
  <c r="AA297" i="6" s="1"/>
  <c r="Y298" i="6"/>
  <c r="Z298" i="6" s="1"/>
  <c r="Y299" i="6"/>
  <c r="Z299" i="6" s="1"/>
  <c r="AA299" i="6" s="1"/>
  <c r="Y300" i="6"/>
  <c r="Y301" i="6"/>
  <c r="Z301" i="6" s="1"/>
  <c r="AA301" i="6" s="1"/>
  <c r="Y302" i="6"/>
  <c r="Z302" i="6" s="1"/>
  <c r="Y303" i="6"/>
  <c r="Y304" i="6"/>
  <c r="Z304" i="6" s="1"/>
  <c r="AA304" i="6" s="1"/>
  <c r="Y305" i="6"/>
  <c r="Z305" i="6" s="1"/>
  <c r="AA305" i="6" s="1"/>
  <c r="Y306" i="6"/>
  <c r="Z306" i="6" s="1"/>
  <c r="AA306" i="6" s="1"/>
  <c r="Y307" i="6"/>
  <c r="Y308" i="6"/>
  <c r="Y309" i="6"/>
  <c r="Z309" i="6" s="1"/>
  <c r="AA309" i="6" s="1"/>
  <c r="Y310" i="6"/>
  <c r="Z310" i="6" s="1"/>
  <c r="AA310" i="6" s="1"/>
  <c r="Y311" i="6"/>
  <c r="Y312" i="6"/>
  <c r="Y313" i="6"/>
  <c r="Z313" i="6" s="1"/>
  <c r="AA313" i="6" s="1"/>
  <c r="Y314" i="6"/>
  <c r="Z314" i="6" s="1"/>
  <c r="Y315" i="6"/>
  <c r="Y316" i="6"/>
  <c r="Y317" i="6"/>
  <c r="Z317" i="6" s="1"/>
  <c r="AA317" i="6" s="1"/>
  <c r="Y318" i="6"/>
  <c r="Z318" i="6" s="1"/>
  <c r="Y319" i="6"/>
  <c r="Y320" i="6"/>
  <c r="Y321" i="6"/>
  <c r="Z321" i="6" s="1"/>
  <c r="AA321" i="6" s="1"/>
  <c r="Y322" i="6"/>
  <c r="Z322" i="6" s="1"/>
  <c r="AA322" i="6" s="1"/>
  <c r="Y323" i="6"/>
  <c r="Y324" i="6"/>
  <c r="Y325" i="6"/>
  <c r="Z325" i="6" s="1"/>
  <c r="Y326" i="6"/>
  <c r="Z326" i="6" s="1"/>
  <c r="Y327" i="6"/>
  <c r="Y328" i="6"/>
  <c r="Z328" i="6" s="1"/>
  <c r="AA328" i="6" s="1"/>
  <c r="Y329" i="6"/>
  <c r="Z329" i="6" s="1"/>
  <c r="AA329" i="6" s="1"/>
  <c r="Y330" i="6"/>
  <c r="Z330" i="6" s="1"/>
  <c r="Y331" i="6"/>
  <c r="Y332" i="6"/>
  <c r="Y333" i="6"/>
  <c r="Y334" i="6"/>
  <c r="Z334" i="6" s="1"/>
  <c r="AA334" i="6" s="1"/>
  <c r="Y335" i="6"/>
  <c r="Y336" i="6"/>
  <c r="Y337" i="6"/>
  <c r="Z337" i="6" s="1"/>
  <c r="AA337" i="6" s="1"/>
  <c r="Y338" i="6"/>
  <c r="Z338" i="6" s="1"/>
  <c r="AA338" i="6" s="1"/>
  <c r="Y339" i="6"/>
  <c r="Y340" i="6"/>
  <c r="Z340" i="6" s="1"/>
  <c r="AA340" i="6" s="1"/>
  <c r="Y341" i="6"/>
  <c r="Z341" i="6" s="1"/>
  <c r="AA341" i="6" s="1"/>
  <c r="Y342" i="6"/>
  <c r="Z342" i="6" s="1"/>
  <c r="Y343" i="6"/>
  <c r="Y344" i="6"/>
  <c r="Y345" i="6"/>
  <c r="Z345" i="6" s="1"/>
  <c r="AA345" i="6" s="1"/>
  <c r="Y346" i="6"/>
  <c r="Z346" i="6" s="1"/>
  <c r="Y347" i="6"/>
  <c r="Y348" i="6"/>
  <c r="Z348" i="6" s="1"/>
  <c r="AA348" i="6" s="1"/>
  <c r="Y349" i="6"/>
  <c r="Z349" i="6" s="1"/>
  <c r="AA349" i="6" s="1"/>
  <c r="Y350" i="6"/>
  <c r="Z350" i="6" s="1"/>
  <c r="AA350" i="6" s="1"/>
  <c r="Y351" i="6"/>
  <c r="Y352" i="6"/>
  <c r="Z352" i="6" s="1"/>
  <c r="AA352" i="6" s="1"/>
  <c r="Y353" i="6"/>
  <c r="Z353" i="6" s="1"/>
  <c r="AA353" i="6" s="1"/>
  <c r="Y354" i="6"/>
  <c r="Z354" i="6" s="1"/>
  <c r="AA354" i="6" s="1"/>
  <c r="Y355" i="6"/>
  <c r="Y356" i="6"/>
  <c r="Z356" i="6" s="1"/>
  <c r="AA356" i="6" s="1"/>
  <c r="Y357" i="6"/>
  <c r="Z357" i="6" s="1"/>
  <c r="AA357" i="6" s="1"/>
  <c r="Y358" i="6"/>
  <c r="Z358" i="6" s="1"/>
  <c r="Y359" i="6"/>
  <c r="Y360" i="6"/>
  <c r="Z360" i="6" s="1"/>
  <c r="AA360" i="6" s="1"/>
  <c r="Y361" i="6"/>
  <c r="Z361" i="6" s="1"/>
  <c r="AA361" i="6" s="1"/>
  <c r="Y362" i="6"/>
  <c r="Z362" i="6" s="1"/>
  <c r="Y363" i="6"/>
  <c r="Y364" i="6"/>
  <c r="Z364" i="6" s="1"/>
  <c r="AA364" i="6" s="1"/>
  <c r="Y365" i="6"/>
  <c r="Z365" i="6" s="1"/>
  <c r="AA365" i="6" s="1"/>
  <c r="Y366" i="6"/>
  <c r="Z366" i="6" s="1"/>
  <c r="AA366" i="6" s="1"/>
  <c r="Y367" i="6"/>
  <c r="Y368" i="6"/>
  <c r="Y369" i="6"/>
  <c r="Z369" i="6" s="1"/>
  <c r="AA369" i="6" s="1"/>
  <c r="Y370" i="6"/>
  <c r="Z370" i="6" s="1"/>
  <c r="Y371" i="6"/>
  <c r="Y372" i="6"/>
  <c r="Z372" i="6" s="1"/>
  <c r="AA372" i="6" s="1"/>
  <c r="Y373" i="6"/>
  <c r="Z373" i="6" s="1"/>
  <c r="Y374" i="6"/>
  <c r="Z374" i="6" s="1"/>
  <c r="AA374" i="6" s="1"/>
  <c r="Y375" i="6"/>
  <c r="Y376" i="6"/>
  <c r="Y377" i="6"/>
  <c r="Z377" i="6" s="1"/>
  <c r="AA377" i="6" s="1"/>
  <c r="Y378" i="6"/>
  <c r="Z378" i="6" s="1"/>
  <c r="AA378" i="6" s="1"/>
  <c r="Y379" i="6"/>
  <c r="Y380" i="6"/>
  <c r="Z380" i="6" s="1"/>
  <c r="AA380" i="6" s="1"/>
  <c r="Y381" i="6"/>
  <c r="Z381" i="6" s="1"/>
  <c r="AA381" i="6" s="1"/>
  <c r="Y382" i="6"/>
  <c r="Z382" i="6" s="1"/>
  <c r="Y383" i="6"/>
  <c r="Y384" i="6"/>
  <c r="Y385" i="6"/>
  <c r="Z385" i="6" s="1"/>
  <c r="AA385" i="6" s="1"/>
  <c r="Y386" i="6"/>
  <c r="Z386" i="6" s="1"/>
  <c r="Y387" i="6"/>
  <c r="Y388" i="6"/>
  <c r="Z388" i="6" s="1"/>
  <c r="AA388" i="6" s="1"/>
  <c r="Y389" i="6"/>
  <c r="Z389" i="6" s="1"/>
  <c r="Y390" i="6"/>
  <c r="Z390" i="6" s="1"/>
  <c r="AA390" i="6" s="1"/>
  <c r="Y391" i="6"/>
  <c r="Y392" i="6"/>
  <c r="Z392" i="6" s="1"/>
  <c r="AA392" i="6" s="1"/>
  <c r="Y393" i="6"/>
  <c r="Z393" i="6" s="1"/>
  <c r="AA393" i="6" s="1"/>
  <c r="Y394" i="6"/>
  <c r="Z394" i="6" s="1"/>
  <c r="Y395" i="6"/>
  <c r="Y396" i="6"/>
  <c r="Z396" i="6" s="1"/>
  <c r="AA396" i="6" s="1"/>
  <c r="Y397" i="6"/>
  <c r="Z397" i="6" s="1"/>
  <c r="AA397" i="6" s="1"/>
  <c r="Y398" i="6"/>
  <c r="Z398" i="6" s="1"/>
  <c r="AA398" i="6" s="1"/>
  <c r="Y399" i="6"/>
  <c r="Y400" i="6"/>
  <c r="Y401" i="6"/>
  <c r="Z401" i="6" s="1"/>
  <c r="AA401" i="6" s="1"/>
  <c r="Y402" i="6"/>
  <c r="Z402" i="6" s="1"/>
  <c r="AA402" i="6" s="1"/>
  <c r="Y403" i="6"/>
  <c r="Y404" i="6"/>
  <c r="Y405" i="6"/>
  <c r="Z405" i="6" s="1"/>
  <c r="AA405" i="6" s="1"/>
  <c r="Y406" i="6"/>
  <c r="Z406" i="6" s="1"/>
  <c r="Y407" i="6"/>
  <c r="Y408" i="6"/>
  <c r="Y409" i="6"/>
  <c r="Z409" i="6" s="1"/>
  <c r="AA409" i="6" s="1"/>
  <c r="Y410" i="6"/>
  <c r="Z410" i="6" s="1"/>
  <c r="Y411" i="6"/>
  <c r="Y412" i="6"/>
  <c r="Y413" i="6"/>
  <c r="Z413" i="6" s="1"/>
  <c r="AA413" i="6" s="1"/>
  <c r="Y414" i="6"/>
  <c r="Z414" i="6" s="1"/>
  <c r="AA414" i="6" s="1"/>
  <c r="Y415" i="6"/>
  <c r="Y416" i="6"/>
  <c r="Z416" i="6" s="1"/>
  <c r="AA416" i="6" s="1"/>
  <c r="Y417" i="6"/>
  <c r="Z417" i="6" s="1"/>
  <c r="AA417" i="6" s="1"/>
  <c r="Y418" i="6"/>
  <c r="Z418" i="6" s="1"/>
  <c r="AA418" i="6" s="1"/>
  <c r="Y419" i="6"/>
  <c r="Y420" i="6"/>
  <c r="Y421" i="6"/>
  <c r="Z421" i="6" s="1"/>
  <c r="AA421" i="6" s="1"/>
  <c r="Y422" i="6"/>
  <c r="Z422" i="6" s="1"/>
  <c r="Y423" i="6"/>
  <c r="Y424" i="6"/>
  <c r="Z424" i="6" s="1"/>
  <c r="AA424" i="6" s="1"/>
  <c r="Y425" i="6"/>
  <c r="Y426" i="6"/>
  <c r="Z426" i="6" s="1"/>
  <c r="Y427" i="6"/>
  <c r="Y428" i="6"/>
  <c r="Z428" i="6" s="1"/>
  <c r="AA428" i="6" s="1"/>
  <c r="Y429" i="6"/>
  <c r="Z429" i="6" s="1"/>
  <c r="AA429" i="6" s="1"/>
  <c r="Y430" i="6"/>
  <c r="Z430" i="6" s="1"/>
  <c r="AA430" i="6" s="1"/>
  <c r="Y431" i="6"/>
  <c r="Y432" i="6"/>
  <c r="Z432" i="6" s="1"/>
  <c r="AA432" i="6" s="1"/>
  <c r="Y433" i="6"/>
  <c r="Z433" i="6" s="1"/>
  <c r="AA433" i="6" s="1"/>
  <c r="Y434" i="6"/>
  <c r="Z434" i="6" s="1"/>
  <c r="AA434" i="6" s="1"/>
  <c r="Y435" i="6"/>
  <c r="Y436" i="6"/>
  <c r="Y437" i="6"/>
  <c r="Z437" i="6" s="1"/>
  <c r="AA437" i="6" s="1"/>
  <c r="Y438" i="6"/>
  <c r="Z438" i="6" s="1"/>
  <c r="Y439" i="6"/>
  <c r="Y440" i="6"/>
  <c r="Y441" i="6"/>
  <c r="Z441" i="6" s="1"/>
  <c r="AA441" i="6" s="1"/>
  <c r="Y442" i="6"/>
  <c r="Z442" i="6" s="1"/>
  <c r="Y443" i="6"/>
  <c r="Y444" i="6"/>
  <c r="Y445" i="6"/>
  <c r="Z445" i="6" s="1"/>
  <c r="AA445" i="6" s="1"/>
  <c r="Y446" i="6"/>
  <c r="Z446" i="6" s="1"/>
  <c r="AA446" i="6" s="1"/>
  <c r="Y447" i="6"/>
  <c r="Y448" i="6"/>
  <c r="Z448" i="6" s="1"/>
  <c r="AA448" i="6" s="1"/>
  <c r="Y449" i="6"/>
  <c r="Z449" i="6" s="1"/>
  <c r="AA449" i="6" s="1"/>
  <c r="Y450" i="6"/>
  <c r="Z450" i="6" s="1"/>
  <c r="AA450" i="6" s="1"/>
  <c r="Y451" i="6"/>
  <c r="Y452" i="6"/>
  <c r="Z452" i="6" s="1"/>
  <c r="AA452" i="6" s="1"/>
  <c r="Y453" i="6"/>
  <c r="Z453" i="6" s="1"/>
  <c r="AA453" i="6" s="1"/>
  <c r="Y454" i="6"/>
  <c r="Z454" i="6" s="1"/>
  <c r="Y455" i="6"/>
  <c r="Y456" i="6"/>
  <c r="Y457" i="6"/>
  <c r="Z457" i="6" s="1"/>
  <c r="AA457" i="6" s="1"/>
  <c r="Y458" i="6"/>
  <c r="Z458" i="6" s="1"/>
  <c r="Y459" i="6"/>
  <c r="Y460" i="6"/>
  <c r="Z460" i="6" s="1"/>
  <c r="AA460" i="6" s="1"/>
  <c r="Y461" i="6"/>
  <c r="Z461" i="6" s="1"/>
  <c r="AA461" i="6" s="1"/>
  <c r="Y462" i="6"/>
  <c r="Z462" i="6" s="1"/>
  <c r="AA462" i="6" s="1"/>
  <c r="Y463" i="6"/>
  <c r="Y464" i="6"/>
  <c r="Y465" i="6"/>
  <c r="Z465" i="6" s="1"/>
  <c r="AA465" i="6" s="1"/>
  <c r="Y466" i="6"/>
  <c r="Z466" i="6" s="1"/>
  <c r="Y467" i="6"/>
  <c r="Y468" i="6"/>
  <c r="Y469" i="6"/>
  <c r="Z469" i="6" s="1"/>
  <c r="AA469" i="6" s="1"/>
  <c r="Y470" i="6"/>
  <c r="Z470" i="6" s="1"/>
  <c r="AA470" i="6" s="1"/>
  <c r="Y471" i="6"/>
  <c r="Y472" i="6"/>
  <c r="Z472" i="6" s="1"/>
  <c r="AA472" i="6" s="1"/>
  <c r="Y473" i="6"/>
  <c r="Z473" i="6" s="1"/>
  <c r="AA473" i="6" s="1"/>
  <c r="Y474" i="6"/>
  <c r="Z474" i="6" s="1"/>
  <c r="Y475" i="6"/>
  <c r="Y476" i="6"/>
  <c r="Y477" i="6"/>
  <c r="Z477" i="6" s="1"/>
  <c r="AA477" i="6" s="1"/>
  <c r="Y478" i="6"/>
  <c r="Z478" i="6" s="1"/>
  <c r="AA478" i="6" s="1"/>
  <c r="Y479" i="6"/>
  <c r="Y480" i="6"/>
  <c r="Y481" i="6"/>
  <c r="Z481" i="6" s="1"/>
  <c r="AA481" i="6" s="1"/>
  <c r="Y482" i="6"/>
  <c r="Z482" i="6" s="1"/>
  <c r="Y483" i="6"/>
  <c r="Y484" i="6"/>
  <c r="Z484" i="6" s="1"/>
  <c r="AA484" i="6" s="1"/>
  <c r="Y485" i="6"/>
  <c r="Z485" i="6" s="1"/>
  <c r="AA485" i="6" s="1"/>
  <c r="Y486" i="6"/>
  <c r="Z486" i="6" s="1"/>
  <c r="AA486" i="6" s="1"/>
  <c r="Y487" i="6"/>
  <c r="Y488" i="6"/>
  <c r="Y489" i="6"/>
  <c r="Z489" i="6" s="1"/>
  <c r="AA489" i="6" s="1"/>
  <c r="Y490" i="6"/>
  <c r="Z490" i="6" s="1"/>
  <c r="AA490" i="6" s="1"/>
  <c r="Y491" i="6"/>
  <c r="Y492" i="6"/>
  <c r="Y493" i="6"/>
  <c r="Z493" i="6" s="1"/>
  <c r="AA493" i="6" s="1"/>
  <c r="Y494" i="6"/>
  <c r="Z494" i="6" s="1"/>
  <c r="Y495" i="6"/>
  <c r="Y496" i="6"/>
  <c r="Y497" i="6"/>
  <c r="Z497" i="6" s="1"/>
  <c r="AA497" i="6" s="1"/>
  <c r="Y498" i="6"/>
  <c r="Z498" i="6" s="1"/>
  <c r="Y499" i="6"/>
  <c r="Y500" i="6"/>
  <c r="Y501" i="6"/>
  <c r="Z501" i="6" s="1"/>
  <c r="AA501" i="6" s="1"/>
  <c r="Y502" i="6"/>
  <c r="Z502" i="6" s="1"/>
  <c r="AA502" i="6" s="1"/>
  <c r="Y503" i="6"/>
  <c r="Y504" i="6"/>
  <c r="Z504" i="6" s="1"/>
  <c r="AA504" i="6" s="1"/>
  <c r="Y505" i="6"/>
  <c r="Z505" i="6" s="1"/>
  <c r="AA505" i="6" s="1"/>
  <c r="Y506" i="6"/>
  <c r="Z506" i="6" s="1"/>
  <c r="AA506" i="6" s="1"/>
  <c r="Y507" i="6"/>
  <c r="Y508" i="6"/>
  <c r="Z508" i="6" s="1"/>
  <c r="AA508" i="6" s="1"/>
  <c r="Y509" i="6"/>
  <c r="Z509" i="6" s="1"/>
  <c r="AA509" i="6" s="1"/>
  <c r="Y510" i="6"/>
  <c r="Z510" i="6" s="1"/>
  <c r="Y511" i="6"/>
  <c r="Y512" i="6"/>
  <c r="Y513" i="6"/>
  <c r="Z513" i="6" s="1"/>
  <c r="AA513" i="6" s="1"/>
  <c r="Y514" i="6"/>
  <c r="Z514" i="6" s="1"/>
  <c r="Y515" i="6"/>
  <c r="Y516" i="6"/>
  <c r="Z516" i="6" s="1"/>
  <c r="AA516" i="6" s="1"/>
  <c r="Y517" i="6"/>
  <c r="Z517" i="6" s="1"/>
  <c r="AA517" i="6" s="1"/>
  <c r="Y518" i="6"/>
  <c r="Z518" i="6" s="1"/>
  <c r="AA518" i="6" s="1"/>
  <c r="Y519" i="6"/>
  <c r="Y520" i="6"/>
  <c r="Y521" i="6"/>
  <c r="Z521" i="6" s="1"/>
  <c r="AA521" i="6" s="1"/>
  <c r="Y522" i="6"/>
  <c r="Z522" i="6" s="1"/>
  <c r="AA522" i="6" s="1"/>
  <c r="Y523" i="6"/>
  <c r="Y524" i="6"/>
  <c r="Y525" i="6"/>
  <c r="Z525" i="6" s="1"/>
  <c r="AA525" i="6" s="1"/>
  <c r="Y526" i="6"/>
  <c r="Z526" i="6" s="1"/>
  <c r="Y527" i="6"/>
  <c r="Y528" i="6"/>
  <c r="Z528" i="6" s="1"/>
  <c r="AA528" i="6" s="1"/>
  <c r="Y529" i="6"/>
  <c r="Y530" i="6"/>
  <c r="Z530" i="6" s="1"/>
  <c r="Y531" i="6"/>
  <c r="Y532" i="6"/>
  <c r="Y533" i="6"/>
  <c r="Z533" i="6" s="1"/>
  <c r="AA533" i="6" s="1"/>
  <c r="Y534" i="6"/>
  <c r="Z534" i="6" s="1"/>
  <c r="AA534" i="6" s="1"/>
  <c r="Y535" i="6"/>
  <c r="Y536" i="6"/>
  <c r="Y537" i="6"/>
  <c r="Z537" i="6" s="1"/>
  <c r="AA537" i="6" s="1"/>
  <c r="Y538" i="6"/>
  <c r="Z538" i="6" s="1"/>
  <c r="AA538" i="6" s="1"/>
  <c r="Y539" i="6"/>
  <c r="Y540" i="6"/>
  <c r="Z540" i="6" s="1"/>
  <c r="AA540" i="6" s="1"/>
  <c r="Y541" i="6"/>
  <c r="Z541" i="6" s="1"/>
  <c r="AA541" i="6" s="1"/>
  <c r="Y542" i="6"/>
  <c r="Z542" i="6" s="1"/>
  <c r="Y543" i="6"/>
  <c r="Y544" i="6"/>
  <c r="Y545" i="6"/>
  <c r="Z545" i="6" s="1"/>
  <c r="AA545" i="6" s="1"/>
  <c r="Y546" i="6"/>
  <c r="Z546" i="6" s="1"/>
  <c r="Y547" i="6"/>
  <c r="Y548" i="6"/>
  <c r="Z548" i="6" s="1"/>
  <c r="AA548" i="6" s="1"/>
  <c r="Y549" i="6"/>
  <c r="Z549" i="6" s="1"/>
  <c r="AA549" i="6" s="1"/>
  <c r="Y550" i="6"/>
  <c r="Z550" i="6" s="1"/>
  <c r="AA550" i="6" s="1"/>
  <c r="Y551" i="6"/>
  <c r="Y552" i="6"/>
  <c r="Y553" i="6"/>
  <c r="Z553" i="6" s="1"/>
  <c r="AA553" i="6" s="1"/>
  <c r="Y554" i="6"/>
  <c r="Z554" i="6" s="1"/>
  <c r="AA554" i="6" s="1"/>
  <c r="Y555" i="6"/>
  <c r="Y556" i="6"/>
  <c r="Z556" i="6" s="1"/>
  <c r="AA556" i="6" s="1"/>
  <c r="Y557" i="6"/>
  <c r="Z557" i="6" s="1"/>
  <c r="AA557" i="6" s="1"/>
  <c r="Y558" i="6"/>
  <c r="Z558" i="6" s="1"/>
  <c r="Y559" i="6"/>
  <c r="Y560" i="6"/>
  <c r="Z560" i="6" s="1"/>
  <c r="AA560" i="6" s="1"/>
  <c r="Y561" i="6"/>
  <c r="Z561" i="6" s="1"/>
  <c r="AA561" i="6" s="1"/>
  <c r="Y562" i="6"/>
  <c r="Z562" i="6" s="1"/>
  <c r="Y563" i="6"/>
  <c r="Y564" i="6"/>
  <c r="Z564" i="6" s="1"/>
  <c r="AA564" i="6" s="1"/>
  <c r="Y565" i="6"/>
  <c r="Z565" i="6" s="1"/>
  <c r="AA565" i="6" s="1"/>
  <c r="Y566" i="6"/>
  <c r="Z566" i="6" s="1"/>
  <c r="AA566" i="6" s="1"/>
  <c r="Y567" i="6"/>
  <c r="Y568" i="6"/>
  <c r="Y569" i="6"/>
  <c r="Z569" i="6" s="1"/>
  <c r="AA569" i="6" s="1"/>
  <c r="Y570" i="6"/>
  <c r="Z570" i="6" s="1"/>
  <c r="AA570" i="6" s="1"/>
  <c r="Y571" i="6"/>
  <c r="Y572" i="6"/>
  <c r="Z572" i="6" s="1"/>
  <c r="AA572" i="6" s="1"/>
  <c r="Y573" i="6"/>
  <c r="Z573" i="6" s="1"/>
  <c r="AA573" i="6" s="1"/>
  <c r="Y574" i="6"/>
  <c r="Z574" i="6" s="1"/>
  <c r="Y575" i="6"/>
  <c r="Y576" i="6"/>
  <c r="Y577" i="6"/>
  <c r="Z577" i="6" s="1"/>
  <c r="AA577" i="6" s="1"/>
  <c r="Y578" i="6"/>
  <c r="Z578" i="6" s="1"/>
  <c r="Y579" i="6"/>
  <c r="Y580" i="6"/>
  <c r="Y581" i="6"/>
  <c r="Z581" i="6" s="1"/>
  <c r="AA581" i="6" s="1"/>
  <c r="Y582" i="6"/>
  <c r="Z582" i="6" s="1"/>
  <c r="AA582" i="6" s="1"/>
  <c r="Y583" i="6"/>
  <c r="Y584" i="6"/>
  <c r="Y585" i="6"/>
  <c r="Z585" i="6" s="1"/>
  <c r="AA585" i="6" s="1"/>
  <c r="Y586" i="6"/>
  <c r="Z586" i="6" s="1"/>
  <c r="AA586" i="6" s="1"/>
  <c r="Y587" i="6"/>
  <c r="Y588" i="6"/>
  <c r="Y589" i="6"/>
  <c r="Y590" i="6"/>
  <c r="Z590" i="6" s="1"/>
  <c r="Y591" i="6"/>
  <c r="Y592" i="6"/>
  <c r="Z592" i="6" s="1"/>
  <c r="AA592" i="6" s="1"/>
  <c r="Y593" i="6"/>
  <c r="Z593" i="6" s="1"/>
  <c r="AA593" i="6" s="1"/>
  <c r="Y594" i="6"/>
  <c r="Z594" i="6" s="1"/>
  <c r="AA594" i="6" s="1"/>
  <c r="Y595" i="6"/>
  <c r="Y596" i="6"/>
  <c r="Z596" i="6" s="1"/>
  <c r="AA596" i="6" s="1"/>
  <c r="Y597" i="6"/>
  <c r="Z597" i="6" s="1"/>
  <c r="AA597" i="6" s="1"/>
  <c r="Y598" i="6"/>
  <c r="Z598" i="6" s="1"/>
  <c r="Y599" i="6"/>
  <c r="Y600" i="6"/>
  <c r="Z600" i="6" s="1"/>
  <c r="AA600" i="6" s="1"/>
  <c r="Y601" i="6"/>
  <c r="Z601" i="6" s="1"/>
  <c r="AA601" i="6" s="1"/>
  <c r="Y602" i="6"/>
  <c r="Z602" i="6" s="1"/>
  <c r="AA602" i="6" s="1"/>
  <c r="Y603" i="6"/>
  <c r="Y604" i="6"/>
  <c r="Y605" i="6"/>
  <c r="Z605" i="6" s="1"/>
  <c r="AA605" i="6" s="1"/>
  <c r="Y606" i="6"/>
  <c r="Z606" i="6" s="1"/>
  <c r="Y607" i="6"/>
  <c r="Y608" i="6"/>
  <c r="Z608" i="6" s="1"/>
  <c r="AA608" i="6" s="1"/>
  <c r="Y609" i="6"/>
  <c r="Z609" i="6" s="1"/>
  <c r="AA609" i="6" s="1"/>
  <c r="Y610" i="6"/>
  <c r="Z610" i="6" s="1"/>
  <c r="AA610" i="6" s="1"/>
  <c r="Y611" i="6"/>
  <c r="Y612" i="6"/>
  <c r="Y613" i="6"/>
  <c r="Z613" i="6" s="1"/>
  <c r="Y614" i="6"/>
  <c r="Z614" i="6" s="1"/>
  <c r="Y615" i="6"/>
  <c r="Y616" i="6"/>
  <c r="Z616" i="6" s="1"/>
  <c r="AA616" i="6" s="1"/>
  <c r="Y617" i="6"/>
  <c r="Z617" i="6" s="1"/>
  <c r="AA617" i="6" s="1"/>
  <c r="Y618" i="6"/>
  <c r="Z618" i="6" s="1"/>
  <c r="Y619" i="6"/>
  <c r="Y620" i="6"/>
  <c r="Y621" i="6"/>
  <c r="Z621" i="6" s="1"/>
  <c r="AA621" i="6" s="1"/>
  <c r="Y622" i="6"/>
  <c r="Z622" i="6" s="1"/>
  <c r="AA622" i="6" s="1"/>
  <c r="Y623" i="6"/>
  <c r="Y624" i="6"/>
  <c r="Y625" i="6"/>
  <c r="Z625" i="6" s="1"/>
  <c r="AA625" i="6" s="1"/>
  <c r="Y626" i="6"/>
  <c r="Z626" i="6" s="1"/>
  <c r="AA626" i="6" s="1"/>
  <c r="Y627" i="6"/>
  <c r="Y628" i="6"/>
  <c r="Z628" i="6" s="1"/>
  <c r="AA628" i="6" s="1"/>
  <c r="Y629" i="6"/>
  <c r="Z629" i="6" s="1"/>
  <c r="AA629" i="6" s="1"/>
  <c r="Y630" i="6"/>
  <c r="Z630" i="6" s="1"/>
  <c r="Y631" i="6"/>
  <c r="Y632" i="6"/>
  <c r="Y633" i="6"/>
  <c r="Z633" i="6" s="1"/>
  <c r="AA633" i="6" s="1"/>
  <c r="Y634" i="6"/>
  <c r="Z634" i="6" s="1"/>
  <c r="Y635" i="6"/>
  <c r="Y636" i="6"/>
  <c r="Z636" i="6" s="1"/>
  <c r="AA636" i="6" s="1"/>
  <c r="Y637" i="6"/>
  <c r="Z637" i="6" s="1"/>
  <c r="AA637" i="6" s="1"/>
  <c r="Y638" i="6"/>
  <c r="Z638" i="6" s="1"/>
  <c r="AA638" i="6" s="1"/>
  <c r="Y639" i="6"/>
  <c r="Y640" i="6"/>
  <c r="Y641" i="6"/>
  <c r="Z641" i="6" s="1"/>
  <c r="AA641" i="6" s="1"/>
  <c r="Y642" i="6"/>
  <c r="Z642" i="6" s="1"/>
  <c r="Y643" i="6"/>
  <c r="Y644" i="6"/>
  <c r="Y645" i="6"/>
  <c r="Z645" i="6" s="1"/>
  <c r="Y646" i="6"/>
  <c r="Z646" i="6" s="1"/>
  <c r="AA646" i="6" s="1"/>
  <c r="Y647" i="6"/>
  <c r="Y648" i="6"/>
  <c r="Z648" i="6" s="1"/>
  <c r="AA648" i="6" s="1"/>
  <c r="Y649" i="6"/>
  <c r="Y650" i="6"/>
  <c r="Z650" i="6" s="1"/>
  <c r="Y651" i="6"/>
  <c r="Y652" i="6"/>
  <c r="Y653" i="6"/>
  <c r="Z653" i="6" s="1"/>
  <c r="AA653" i="6" s="1"/>
  <c r="Y654" i="6"/>
  <c r="Z654" i="6" s="1"/>
  <c r="Y655" i="6"/>
  <c r="Y656" i="6"/>
  <c r="Y657" i="6"/>
  <c r="Z657" i="6" s="1"/>
  <c r="AA657" i="6" s="1"/>
  <c r="Y658" i="6"/>
  <c r="Z658" i="6" s="1"/>
  <c r="AA658" i="6" s="1"/>
  <c r="Y659" i="6"/>
  <c r="Y660" i="6"/>
  <c r="Z660" i="6" s="1"/>
  <c r="AA660" i="6" s="1"/>
  <c r="Y661" i="6"/>
  <c r="Z661" i="6" s="1"/>
  <c r="AA661" i="6" s="1"/>
  <c r="Y662" i="6"/>
  <c r="Z662" i="6" s="1"/>
  <c r="AA662" i="6" s="1"/>
  <c r="Y663" i="6"/>
  <c r="Y664" i="6"/>
  <c r="Y665" i="6"/>
  <c r="Z665" i="6" s="1"/>
  <c r="AA665" i="6" s="1"/>
  <c r="Y666" i="6"/>
  <c r="Z666" i="6" s="1"/>
  <c r="Y667" i="6"/>
  <c r="Y668" i="6"/>
  <c r="Z668" i="6" s="1"/>
  <c r="AA668" i="6" s="1"/>
  <c r="Y669" i="6"/>
  <c r="Z669" i="6" s="1"/>
  <c r="AA669" i="6" s="1"/>
  <c r="Y670" i="6"/>
  <c r="Z670" i="6" s="1"/>
  <c r="Y671" i="6"/>
  <c r="Y672" i="6"/>
  <c r="Y673" i="6"/>
  <c r="Z673" i="6" s="1"/>
  <c r="AA673" i="6" s="1"/>
  <c r="Y674" i="6"/>
  <c r="Z674" i="6" s="1"/>
  <c r="AA674" i="6" s="1"/>
  <c r="Y675" i="6"/>
  <c r="Y676" i="6"/>
  <c r="Y677" i="6"/>
  <c r="Z677" i="6" s="1"/>
  <c r="AA677" i="6" s="1"/>
  <c r="Y678" i="6"/>
  <c r="Z678" i="6" s="1"/>
  <c r="AA678" i="6" s="1"/>
  <c r="Y679" i="6"/>
  <c r="Y680" i="6"/>
  <c r="Y681" i="6"/>
  <c r="Z681" i="6" s="1"/>
  <c r="AA681" i="6" s="1"/>
  <c r="Y682" i="6"/>
  <c r="Z682" i="6" s="1"/>
  <c r="Y683" i="6"/>
  <c r="Y684" i="6"/>
  <c r="Z684" i="6" s="1"/>
  <c r="AA684" i="6" s="1"/>
  <c r="Y685" i="6"/>
  <c r="Z685" i="6" s="1"/>
  <c r="AA685" i="6" s="1"/>
  <c r="Y686" i="6"/>
  <c r="Z686" i="6" s="1"/>
  <c r="AA686" i="6" s="1"/>
  <c r="Y687" i="6"/>
  <c r="Y688" i="6"/>
  <c r="Z688" i="6" s="1"/>
  <c r="AA688" i="6" s="1"/>
  <c r="Y689" i="6"/>
  <c r="Z689" i="6" s="1"/>
  <c r="AA689" i="6" s="1"/>
  <c r="Y690" i="6"/>
  <c r="Z690" i="6" s="1"/>
  <c r="AA690" i="6" s="1"/>
  <c r="Y691" i="6"/>
  <c r="Y692" i="6"/>
  <c r="Y693" i="6"/>
  <c r="Z693" i="6" s="1"/>
  <c r="AA693" i="6" s="1"/>
  <c r="Y694" i="6"/>
  <c r="Z694" i="6" s="1"/>
  <c r="Y695" i="6"/>
  <c r="Y696" i="6"/>
  <c r="Z696" i="6" s="1"/>
  <c r="AA696" i="6" s="1"/>
  <c r="Y697" i="6"/>
  <c r="Z697" i="6" s="1"/>
  <c r="AA697" i="6" s="1"/>
  <c r="Y698" i="6"/>
  <c r="Z698" i="6" s="1"/>
  <c r="AA698" i="6" s="1"/>
  <c r="Y699" i="6"/>
  <c r="Y700" i="6"/>
  <c r="Y701" i="6"/>
  <c r="Z701" i="6" s="1"/>
  <c r="AA701" i="6" s="1"/>
  <c r="Y702" i="6"/>
  <c r="Z702" i="6" s="1"/>
  <c r="AA702" i="6" s="1"/>
  <c r="Y703" i="6"/>
  <c r="Y704" i="6"/>
  <c r="Z704" i="6" s="1"/>
  <c r="AA704" i="6" s="1"/>
  <c r="Y705" i="6"/>
  <c r="Z705" i="6" s="1"/>
  <c r="AA705" i="6" s="1"/>
  <c r="Y706" i="6"/>
  <c r="Z706" i="6" s="1"/>
  <c r="AA706" i="6" s="1"/>
  <c r="Y707" i="6"/>
  <c r="Y708" i="6"/>
  <c r="Y709" i="6"/>
  <c r="Z709" i="6" s="1"/>
  <c r="AA709" i="6" s="1"/>
  <c r="Y710" i="6"/>
  <c r="Z710" i="6" s="1"/>
  <c r="AA710" i="6" s="1"/>
  <c r="Y711" i="6"/>
  <c r="Y712" i="6"/>
  <c r="Y713" i="6"/>
  <c r="Z713" i="6" s="1"/>
  <c r="AA713" i="6" s="1"/>
  <c r="Y714" i="6"/>
  <c r="Z714" i="6" s="1"/>
  <c r="AA714" i="6" s="1"/>
  <c r="Y715" i="6"/>
  <c r="Y716" i="6"/>
  <c r="Y717" i="6"/>
  <c r="Z717" i="6" s="1"/>
  <c r="AA717" i="6" s="1"/>
  <c r="Y718" i="6"/>
  <c r="Z718" i="6" s="1"/>
  <c r="AA718" i="6" s="1"/>
  <c r="Y719" i="6"/>
  <c r="Y720" i="6"/>
  <c r="Y721" i="6"/>
  <c r="Z721" i="6" s="1"/>
  <c r="AA721" i="6" s="1"/>
  <c r="Y722" i="6"/>
  <c r="Z722" i="6" s="1"/>
  <c r="AA722" i="6" s="1"/>
  <c r="Y723" i="6"/>
  <c r="Y724" i="6"/>
  <c r="Z724" i="6" s="1"/>
  <c r="AA724" i="6" s="1"/>
  <c r="Y725" i="6"/>
  <c r="Z725" i="6" s="1"/>
  <c r="AA725" i="6" s="1"/>
  <c r="Y726" i="6"/>
  <c r="Z726" i="6" s="1"/>
  <c r="AA726" i="6" s="1"/>
  <c r="Y727" i="6"/>
  <c r="Y728" i="6"/>
  <c r="Y729" i="6"/>
  <c r="Z729" i="6" s="1"/>
  <c r="AA729" i="6" s="1"/>
  <c r="Y730" i="6"/>
  <c r="Z730" i="6" s="1"/>
  <c r="AA730" i="6" s="1"/>
  <c r="Y731" i="6"/>
  <c r="Y732" i="6"/>
  <c r="Y733" i="6"/>
  <c r="Y734" i="6"/>
  <c r="Z734" i="6" s="1"/>
  <c r="AA734" i="6" s="1"/>
  <c r="Y735" i="6"/>
  <c r="Y736" i="6"/>
  <c r="Z736" i="6" s="1"/>
  <c r="AA736" i="6" s="1"/>
  <c r="Y737" i="6"/>
  <c r="Z737" i="6" s="1"/>
  <c r="AA737" i="6" s="1"/>
  <c r="Y738" i="6"/>
  <c r="Z738" i="6" s="1"/>
  <c r="Y739" i="6"/>
  <c r="Y740" i="6"/>
  <c r="Y741" i="6"/>
  <c r="Z741" i="6" s="1"/>
  <c r="AA741" i="6" s="1"/>
  <c r="Y742" i="6"/>
  <c r="Z742" i="6" s="1"/>
  <c r="AA742" i="6" s="1"/>
  <c r="Y743" i="6"/>
  <c r="Y744" i="6"/>
  <c r="Z744" i="6" s="1"/>
  <c r="AA744" i="6" s="1"/>
  <c r="Y745" i="6"/>
  <c r="Z745" i="6" s="1"/>
  <c r="AA745" i="6" s="1"/>
  <c r="Y746" i="6"/>
  <c r="Z746" i="6" s="1"/>
  <c r="AA746" i="6" s="1"/>
  <c r="Y747" i="6"/>
  <c r="Y748" i="6"/>
  <c r="Z748" i="6" s="1"/>
  <c r="AA748" i="6" s="1"/>
  <c r="Y749" i="6"/>
  <c r="Z749" i="6" s="1"/>
  <c r="AA749" i="6" s="1"/>
  <c r="Y750" i="6"/>
  <c r="Z750" i="6" s="1"/>
  <c r="AA750" i="6" s="1"/>
  <c r="Y751" i="6"/>
  <c r="Y752" i="6"/>
  <c r="Y753" i="6"/>
  <c r="Z753" i="6" s="1"/>
  <c r="AA753" i="6" s="1"/>
  <c r="Y754" i="6"/>
  <c r="Z754" i="6" s="1"/>
  <c r="Y755" i="6"/>
  <c r="Y756" i="6"/>
  <c r="Y757" i="6"/>
  <c r="Z757" i="6" s="1"/>
  <c r="AA757" i="6" s="1"/>
  <c r="Y758" i="6"/>
  <c r="Z758" i="6" s="1"/>
  <c r="AA758" i="6" s="1"/>
  <c r="Y759" i="6"/>
  <c r="Y760" i="6"/>
  <c r="Z760" i="6" s="1"/>
  <c r="AA760" i="6" s="1"/>
  <c r="Y761" i="6"/>
  <c r="Z761" i="6" s="1"/>
  <c r="AA761" i="6" s="1"/>
  <c r="Y762" i="6"/>
  <c r="Z762" i="6" s="1"/>
  <c r="Y763" i="6"/>
  <c r="Y764" i="6"/>
  <c r="Y765" i="6"/>
  <c r="Z765" i="6" s="1"/>
  <c r="AA765" i="6" s="1"/>
  <c r="Y766" i="6"/>
  <c r="Z766" i="6" s="1"/>
  <c r="AA766" i="6" s="1"/>
  <c r="Y767" i="6"/>
  <c r="Y768" i="6"/>
  <c r="Y769" i="6"/>
  <c r="Z769" i="6" s="1"/>
  <c r="AA769" i="6" s="1"/>
  <c r="Y770" i="6"/>
  <c r="Z770" i="6" s="1"/>
  <c r="AA770" i="6" s="1"/>
  <c r="Y771" i="6"/>
  <c r="Y772" i="6"/>
  <c r="Z772" i="6" s="1"/>
  <c r="AA772" i="6" s="1"/>
  <c r="Y773" i="6"/>
  <c r="Z773" i="6" s="1"/>
  <c r="AA773" i="6" s="1"/>
  <c r="Y774" i="6"/>
  <c r="Z774" i="6" s="1"/>
  <c r="AA774" i="6" s="1"/>
  <c r="Y775" i="6"/>
  <c r="Y776" i="6"/>
  <c r="Y777" i="6"/>
  <c r="Z777" i="6" s="1"/>
  <c r="AA777" i="6" s="1"/>
  <c r="Y778" i="6"/>
  <c r="Z778" i="6" s="1"/>
  <c r="AA778" i="6" s="1"/>
  <c r="Y779" i="6"/>
  <c r="Y780" i="6"/>
  <c r="Z780" i="6" s="1"/>
  <c r="AA780" i="6" s="1"/>
  <c r="Y781" i="6"/>
  <c r="Z781" i="6" s="1"/>
  <c r="AA781" i="6" s="1"/>
  <c r="Y782" i="6"/>
  <c r="Z782" i="6" s="1"/>
  <c r="AA782" i="6" s="1"/>
  <c r="Y783" i="6"/>
  <c r="Y784" i="6"/>
  <c r="Y785" i="6"/>
  <c r="Z785" i="6" s="1"/>
  <c r="AA785" i="6" s="1"/>
  <c r="Y786" i="6"/>
  <c r="Z786" i="6" s="1"/>
  <c r="AA786" i="6" s="1"/>
  <c r="Y787" i="6"/>
  <c r="Y788" i="6"/>
  <c r="Z788" i="6" s="1"/>
  <c r="AA788" i="6" s="1"/>
  <c r="Y789" i="6"/>
  <c r="Z789" i="6" s="1"/>
  <c r="AA789" i="6" s="1"/>
  <c r="Y790" i="6"/>
  <c r="Z790" i="6" s="1"/>
  <c r="AA790" i="6" s="1"/>
  <c r="Y791" i="6"/>
  <c r="Y792" i="6"/>
  <c r="Y793" i="6"/>
  <c r="Z793" i="6" s="1"/>
  <c r="AA793" i="6" s="1"/>
  <c r="Y794" i="6"/>
  <c r="Z794" i="6" s="1"/>
  <c r="AA794" i="6" s="1"/>
  <c r="Y795" i="6"/>
  <c r="Y796" i="6"/>
  <c r="Y797" i="6"/>
  <c r="Z797" i="6" s="1"/>
  <c r="AA797" i="6" s="1"/>
  <c r="Y798" i="6"/>
  <c r="Z798" i="6" s="1"/>
  <c r="AA798" i="6" s="1"/>
  <c r="Y799" i="6"/>
  <c r="Y800" i="6"/>
  <c r="Z800" i="6" s="1"/>
  <c r="AA800" i="6" s="1"/>
  <c r="Y801" i="6"/>
  <c r="Z801" i="6" s="1"/>
  <c r="AA801" i="6" s="1"/>
  <c r="Y802" i="6"/>
  <c r="Z802" i="6" s="1"/>
  <c r="AA802" i="6" s="1"/>
  <c r="Y803" i="6"/>
  <c r="Y804" i="6"/>
  <c r="Y805" i="6"/>
  <c r="Z805" i="6" s="1"/>
  <c r="AA805" i="6" s="1"/>
  <c r="Y806" i="6"/>
  <c r="Z806" i="6" s="1"/>
  <c r="AA806" i="6" s="1"/>
  <c r="Y807" i="6"/>
  <c r="Y808" i="6"/>
  <c r="Z808" i="6" s="1"/>
  <c r="AA808" i="6" s="1"/>
  <c r="Y809" i="6"/>
  <c r="Y810" i="6"/>
  <c r="Z810" i="6" s="1"/>
  <c r="AA810" i="6" s="1"/>
  <c r="Y811" i="6"/>
  <c r="Y812" i="6"/>
  <c r="Z812" i="6" s="1"/>
  <c r="AA812" i="6" s="1"/>
  <c r="Y813" i="6"/>
  <c r="Z813" i="6" s="1"/>
  <c r="AA813" i="6" s="1"/>
  <c r="Y814" i="6"/>
  <c r="Z814" i="6" s="1"/>
  <c r="Y815" i="6"/>
  <c r="Y816" i="6"/>
  <c r="Z816" i="6" s="1"/>
  <c r="AA816" i="6" s="1"/>
  <c r="Y817" i="6"/>
  <c r="Z817" i="6" s="1"/>
  <c r="AA817" i="6" s="1"/>
  <c r="Y818" i="6"/>
  <c r="Z818" i="6" s="1"/>
  <c r="AA818" i="6" s="1"/>
  <c r="Y819" i="6"/>
  <c r="Y820" i="6"/>
  <c r="Z820" i="6" s="1"/>
  <c r="AA820" i="6" s="1"/>
  <c r="Y821" i="6"/>
  <c r="Z821" i="6" s="1"/>
  <c r="AA821" i="6" s="1"/>
  <c r="Y822" i="6"/>
  <c r="Z822" i="6" s="1"/>
  <c r="AA822" i="6" s="1"/>
  <c r="Y823" i="6"/>
  <c r="Y824" i="6"/>
  <c r="Z824" i="6" s="1"/>
  <c r="AA824" i="6" s="1"/>
  <c r="Y825" i="6"/>
  <c r="Z825" i="6" s="1"/>
  <c r="AA825" i="6" s="1"/>
  <c r="Y826" i="6"/>
  <c r="Z826" i="6" s="1"/>
  <c r="AA826" i="6" s="1"/>
  <c r="Y827" i="6"/>
  <c r="Y828" i="6"/>
  <c r="Z828" i="6" s="1"/>
  <c r="AA828" i="6" s="1"/>
  <c r="Y829" i="6"/>
  <c r="Z829" i="6" s="1"/>
  <c r="AA829" i="6" s="1"/>
  <c r="Y830" i="6"/>
  <c r="Z830" i="6" s="1"/>
  <c r="Y831" i="6"/>
  <c r="Y832" i="6"/>
  <c r="Y833" i="6"/>
  <c r="Z833" i="6" s="1"/>
  <c r="AA833" i="6" s="1"/>
  <c r="Y834" i="6"/>
  <c r="Z834" i="6" s="1"/>
  <c r="AA834" i="6" s="1"/>
  <c r="Y835" i="6"/>
  <c r="Y836" i="6"/>
  <c r="Y837" i="6"/>
  <c r="Z837" i="6" s="1"/>
  <c r="AA837" i="6" s="1"/>
  <c r="Y838" i="6"/>
  <c r="Z838" i="6" s="1"/>
  <c r="AA838" i="6" s="1"/>
  <c r="Y839" i="6"/>
  <c r="Y840" i="6"/>
  <c r="Y841" i="6"/>
  <c r="Z841" i="6" s="1"/>
  <c r="AA841" i="6" s="1"/>
  <c r="Y842" i="6"/>
  <c r="Z842" i="6" s="1"/>
  <c r="AA842" i="6" s="1"/>
  <c r="Y843" i="6"/>
  <c r="Y844" i="6"/>
  <c r="Y845" i="6"/>
  <c r="Z845" i="6" s="1"/>
  <c r="AA845" i="6" s="1"/>
  <c r="Y846" i="6"/>
  <c r="Z846" i="6" s="1"/>
  <c r="AA846" i="6" s="1"/>
  <c r="Y847" i="6"/>
  <c r="Y848" i="6"/>
  <c r="Z848" i="6" s="1"/>
  <c r="AA848" i="6" s="1"/>
  <c r="Y849" i="6"/>
  <c r="Z849" i="6" s="1"/>
  <c r="AA849" i="6" s="1"/>
  <c r="Y850" i="6"/>
  <c r="Z850" i="6" s="1"/>
  <c r="AA850" i="6" s="1"/>
  <c r="Y851" i="6"/>
  <c r="Y852" i="6"/>
  <c r="Y853" i="6"/>
  <c r="Z853" i="6" s="1"/>
  <c r="AA853" i="6" s="1"/>
  <c r="Y854" i="6"/>
  <c r="Z854" i="6" s="1"/>
  <c r="AA854" i="6" s="1"/>
  <c r="Y855" i="6"/>
  <c r="Y856" i="6"/>
  <c r="Z856" i="6" s="1"/>
  <c r="AA856" i="6" s="1"/>
  <c r="Y857" i="6"/>
  <c r="Z857" i="6" s="1"/>
  <c r="AA857" i="6" s="1"/>
  <c r="Y858" i="6"/>
  <c r="Z858" i="6" s="1"/>
  <c r="AA858" i="6" s="1"/>
  <c r="Y859" i="6"/>
  <c r="Y860" i="6"/>
  <c r="Z860" i="6" s="1"/>
  <c r="AA860" i="6" s="1"/>
  <c r="Y861" i="6"/>
  <c r="Z861" i="6" s="1"/>
  <c r="AA861" i="6" s="1"/>
  <c r="Y862" i="6"/>
  <c r="Z862" i="6" s="1"/>
  <c r="AA862" i="6" s="1"/>
  <c r="Y863" i="6"/>
  <c r="Y864" i="6"/>
  <c r="Y865" i="6"/>
  <c r="Z865" i="6" s="1"/>
  <c r="AA865" i="6" s="1"/>
  <c r="Y866" i="6"/>
  <c r="Z866" i="6" s="1"/>
  <c r="Y867" i="6"/>
  <c r="Y868" i="6"/>
  <c r="Y869" i="6"/>
  <c r="Z869" i="6" s="1"/>
  <c r="AA869" i="6" s="1"/>
  <c r="Y870" i="6"/>
  <c r="Z870" i="6" s="1"/>
  <c r="AA870" i="6" s="1"/>
  <c r="Y871" i="6"/>
  <c r="Y872" i="6"/>
  <c r="Z872" i="6" s="1"/>
  <c r="AA872" i="6" s="1"/>
  <c r="Y873" i="6"/>
  <c r="Z873" i="6" s="1"/>
  <c r="AA873" i="6" s="1"/>
  <c r="Y874" i="6"/>
  <c r="Z874" i="6" s="1"/>
  <c r="Y875" i="6"/>
  <c r="Y876" i="6"/>
  <c r="Z876" i="6" s="1"/>
  <c r="AA876" i="6" s="1"/>
  <c r="Y877" i="6"/>
  <c r="Z877" i="6" s="1"/>
  <c r="AA877" i="6" s="1"/>
  <c r="Y878" i="6"/>
  <c r="Z878" i="6" s="1"/>
  <c r="AA878" i="6" s="1"/>
  <c r="Y879" i="6"/>
  <c r="Y880" i="6"/>
  <c r="Y881" i="6"/>
  <c r="Y882" i="6"/>
  <c r="Z882" i="6" s="1"/>
  <c r="Y883" i="6"/>
  <c r="Y884" i="6"/>
  <c r="Y885" i="6"/>
  <c r="Z885" i="6" s="1"/>
  <c r="AA885" i="6" s="1"/>
  <c r="Y886" i="6"/>
  <c r="Z886" i="6" s="1"/>
  <c r="AA886" i="6" s="1"/>
  <c r="Y887" i="6"/>
  <c r="Y888" i="6"/>
  <c r="Y889" i="6"/>
  <c r="Z889" i="6" s="1"/>
  <c r="AA889" i="6" s="1"/>
  <c r="Y890" i="6"/>
  <c r="Z890" i="6" s="1"/>
  <c r="Y891" i="6"/>
  <c r="Y892" i="6"/>
  <c r="Y893" i="6"/>
  <c r="Z893" i="6" s="1"/>
  <c r="AA893" i="6" s="1"/>
  <c r="Y894" i="6"/>
  <c r="Z894" i="6" s="1"/>
  <c r="AA894" i="6" s="1"/>
  <c r="Y895" i="6"/>
  <c r="Y896" i="6"/>
  <c r="Y897" i="6"/>
  <c r="Z897" i="6" s="1"/>
  <c r="AA897" i="6" s="1"/>
  <c r="Y898" i="6"/>
  <c r="Z898" i="6" s="1"/>
  <c r="AA898" i="6" s="1"/>
  <c r="Y899" i="6"/>
  <c r="Y900" i="6"/>
  <c r="Z900" i="6" s="1"/>
  <c r="AA900" i="6" s="1"/>
  <c r="Y901" i="6"/>
  <c r="Z901" i="6" s="1"/>
  <c r="AA901" i="6" s="1"/>
  <c r="Y902" i="6"/>
  <c r="Z902" i="6" s="1"/>
  <c r="AA902" i="6" s="1"/>
  <c r="Y903" i="6"/>
  <c r="Y904" i="6"/>
  <c r="Y905" i="6"/>
  <c r="Z905" i="6" s="1"/>
  <c r="AA905" i="6" s="1"/>
  <c r="Y906" i="6"/>
  <c r="Z906" i="6" s="1"/>
  <c r="AA906" i="6" s="1"/>
  <c r="Y907" i="6"/>
  <c r="Y908" i="6"/>
  <c r="Z908" i="6" s="1"/>
  <c r="AA908" i="6" s="1"/>
  <c r="Y909" i="6"/>
  <c r="Z909" i="6" s="1"/>
  <c r="AA909" i="6" s="1"/>
  <c r="Y910" i="6"/>
  <c r="Z910" i="6" s="1"/>
  <c r="AA910" i="6" s="1"/>
  <c r="Y911" i="6"/>
  <c r="Y912" i="6"/>
  <c r="Z912" i="6" s="1"/>
  <c r="AA912" i="6" s="1"/>
  <c r="Y913" i="6"/>
  <c r="Z913" i="6" s="1"/>
  <c r="AA913" i="6" s="1"/>
  <c r="Y914" i="6"/>
  <c r="Z914" i="6" s="1"/>
  <c r="AA914" i="6" s="1"/>
  <c r="Y915" i="6"/>
  <c r="Y916" i="6"/>
  <c r="Y917" i="6"/>
  <c r="Z917" i="6" s="1"/>
  <c r="AA917" i="6" s="1"/>
  <c r="Y918" i="6"/>
  <c r="Z918" i="6" s="1"/>
  <c r="AA918" i="6" s="1"/>
  <c r="Y919" i="6"/>
  <c r="Y920" i="6"/>
  <c r="Y921" i="6"/>
  <c r="Z921" i="6" s="1"/>
  <c r="AA921" i="6" s="1"/>
  <c r="Y922" i="6"/>
  <c r="Z922" i="6" s="1"/>
  <c r="AA922" i="6" s="1"/>
  <c r="Y923" i="6"/>
  <c r="Y924" i="6"/>
  <c r="Z924" i="6" s="1"/>
  <c r="AA924" i="6" s="1"/>
  <c r="Y925" i="6"/>
  <c r="Z925" i="6" s="1"/>
  <c r="AA925" i="6" s="1"/>
  <c r="Y926" i="6"/>
  <c r="Z926" i="6" s="1"/>
  <c r="Y927" i="6"/>
  <c r="Y928" i="6"/>
  <c r="Z928" i="6" s="1"/>
  <c r="AA928" i="6" s="1"/>
  <c r="Y929" i="6"/>
  <c r="Z929" i="6" s="1"/>
  <c r="AA929" i="6" s="1"/>
  <c r="Y930" i="6"/>
  <c r="Z930" i="6" s="1"/>
  <c r="AA930" i="6" s="1"/>
  <c r="Y931" i="6"/>
  <c r="Y932" i="6"/>
  <c r="Y933" i="6"/>
  <c r="Z933" i="6" s="1"/>
  <c r="AA933" i="6" s="1"/>
  <c r="Y934" i="6"/>
  <c r="Z934" i="6" s="1"/>
  <c r="AA934" i="6" s="1"/>
  <c r="Y935" i="6"/>
  <c r="Y936" i="6"/>
  <c r="Z936" i="6" s="1"/>
  <c r="AA936" i="6" s="1"/>
  <c r="Y937" i="6"/>
  <c r="Z937" i="6" s="1"/>
  <c r="AA937" i="6" s="1"/>
  <c r="Y938" i="6"/>
  <c r="Z938" i="6" s="1"/>
  <c r="AA938" i="6" s="1"/>
  <c r="Y939" i="6"/>
  <c r="Y940" i="6"/>
  <c r="Y941" i="6"/>
  <c r="Z941" i="6" s="1"/>
  <c r="AA941" i="6" s="1"/>
  <c r="Y942" i="6"/>
  <c r="Z942" i="6" s="1"/>
  <c r="Y943" i="6"/>
  <c r="Y944" i="6"/>
  <c r="Y945" i="6"/>
  <c r="Z945" i="6" s="1"/>
  <c r="AA945" i="6" s="1"/>
  <c r="Y946" i="6"/>
  <c r="Z946" i="6" s="1"/>
  <c r="AA946" i="6" s="1"/>
  <c r="Y947" i="6"/>
  <c r="Y948" i="6"/>
  <c r="Y949" i="6"/>
  <c r="Z949" i="6" s="1"/>
  <c r="AA949" i="6" s="1"/>
  <c r="Y950" i="6"/>
  <c r="Z950" i="6" s="1"/>
  <c r="AA950" i="6" s="1"/>
  <c r="Y951" i="6"/>
  <c r="Y952" i="6"/>
  <c r="Y953" i="6"/>
  <c r="Z953" i="6" s="1"/>
  <c r="AA953" i="6" s="1"/>
  <c r="Y954" i="6"/>
  <c r="Z954" i="6" s="1"/>
  <c r="AA954" i="6" s="1"/>
  <c r="Y955" i="6"/>
  <c r="Y956" i="6"/>
  <c r="Y957" i="6"/>
  <c r="Y958" i="6"/>
  <c r="Z958" i="6" s="1"/>
  <c r="Y959" i="6"/>
  <c r="Y960" i="6"/>
  <c r="Z960" i="6" s="1"/>
  <c r="AA960" i="6" s="1"/>
  <c r="Y961" i="6"/>
  <c r="Y962" i="6"/>
  <c r="Z962" i="6" s="1"/>
  <c r="AA962" i="6" s="1"/>
  <c r="Y963" i="6"/>
  <c r="Y964" i="6"/>
  <c r="Z964" i="6" s="1"/>
  <c r="AA964" i="6" s="1"/>
  <c r="Y965" i="6"/>
  <c r="Z965" i="6" s="1"/>
  <c r="AA965" i="6" s="1"/>
  <c r="Y966" i="6"/>
  <c r="Z966" i="6" s="1"/>
  <c r="AA966" i="6" s="1"/>
  <c r="Y967" i="6"/>
  <c r="Y968" i="6"/>
  <c r="Z968" i="6" s="1"/>
  <c r="AA968" i="6" s="1"/>
  <c r="Y969" i="6"/>
  <c r="Y970" i="6"/>
  <c r="Z970" i="6" s="1"/>
  <c r="AA970" i="6" s="1"/>
  <c r="Y971" i="6"/>
  <c r="Y972" i="6"/>
  <c r="Y973" i="6"/>
  <c r="Z973" i="6" s="1"/>
  <c r="AA973" i="6" s="1"/>
  <c r="Y974" i="6"/>
  <c r="Z974" i="6" s="1"/>
  <c r="AA974" i="6" s="1"/>
  <c r="Y975" i="6"/>
  <c r="Y976" i="6"/>
  <c r="Z976" i="6" s="1"/>
  <c r="AA976" i="6" s="1"/>
  <c r="Y977" i="6"/>
  <c r="Y978" i="6"/>
  <c r="Z978" i="6" s="1"/>
  <c r="AA978" i="6" s="1"/>
  <c r="Y979" i="6"/>
  <c r="Y980" i="6"/>
  <c r="Y981" i="6"/>
  <c r="Z981" i="6" s="1"/>
  <c r="AA981" i="6" s="1"/>
  <c r="Y982" i="6"/>
  <c r="Z982" i="6" s="1"/>
  <c r="AA982" i="6" s="1"/>
  <c r="Y983" i="6"/>
  <c r="Y984" i="6"/>
  <c r="Y985" i="6"/>
  <c r="Y986" i="6"/>
  <c r="Z986" i="6" s="1"/>
  <c r="AA986" i="6" s="1"/>
  <c r="Y987" i="6"/>
  <c r="Y988" i="6"/>
  <c r="Z988" i="6" s="1"/>
  <c r="AA988" i="6" s="1"/>
  <c r="Y989" i="6"/>
  <c r="Z989" i="6" s="1"/>
  <c r="AA989" i="6" s="1"/>
  <c r="Y990" i="6"/>
  <c r="Z990" i="6" s="1"/>
  <c r="AA990" i="6" s="1"/>
  <c r="Y991" i="6"/>
  <c r="Y992" i="6"/>
  <c r="Y993" i="6"/>
  <c r="Z993" i="6" s="1"/>
  <c r="AA993" i="6" s="1"/>
  <c r="Y994" i="6"/>
  <c r="Z994" i="6" s="1"/>
  <c r="Y995" i="6"/>
  <c r="Y996" i="6"/>
  <c r="Y997" i="6"/>
  <c r="Z997" i="6" s="1"/>
  <c r="AA997" i="6" s="1"/>
  <c r="Y998" i="6"/>
  <c r="Z998" i="6" s="1"/>
  <c r="AA998" i="6" s="1"/>
  <c r="Y999" i="6"/>
  <c r="Y1000" i="6"/>
  <c r="Z1000" i="6" s="1"/>
  <c r="AA1000" i="6" s="1"/>
  <c r="Y1001" i="6"/>
  <c r="Y1002" i="6"/>
  <c r="Z1002" i="6" s="1"/>
  <c r="AA1002" i="6" s="1"/>
  <c r="Y1003" i="6"/>
  <c r="Y1004" i="6"/>
  <c r="Y1005" i="6"/>
  <c r="Z1005" i="6" s="1"/>
  <c r="AA1005" i="6" s="1"/>
  <c r="Y1006" i="6"/>
  <c r="Z1006" i="6" s="1"/>
  <c r="AA1006" i="6" s="1"/>
  <c r="Y1007" i="6"/>
  <c r="Y1008" i="6"/>
  <c r="Y1009" i="6"/>
  <c r="Z1009" i="6" s="1"/>
  <c r="AA1009" i="6" s="1"/>
  <c r="Y1010" i="6"/>
  <c r="Z1010" i="6" s="1"/>
  <c r="AA1010" i="6" s="1"/>
  <c r="Y1011" i="6"/>
  <c r="Y1012" i="6"/>
  <c r="Y1013" i="6"/>
  <c r="Z1013" i="6" s="1"/>
  <c r="AA1013" i="6" s="1"/>
  <c r="Y1014" i="6"/>
  <c r="Z1014" i="6" s="1"/>
  <c r="AA1014" i="6" s="1"/>
  <c r="Y1015" i="6"/>
  <c r="Y1016" i="6"/>
  <c r="Y1017" i="6"/>
  <c r="Z1017" i="6" s="1"/>
  <c r="AA1017" i="6" s="1"/>
  <c r="Y1018" i="6"/>
  <c r="Z1018" i="6" s="1"/>
  <c r="AA1018" i="6" s="1"/>
  <c r="Y1019" i="6"/>
  <c r="Y1020" i="6"/>
  <c r="Y1021" i="6"/>
  <c r="Z1021" i="6" s="1"/>
  <c r="AA1021" i="6" s="1"/>
  <c r="Y1022" i="6"/>
  <c r="Z1022" i="6" s="1"/>
  <c r="AA1022" i="6" s="1"/>
  <c r="Y1023" i="6"/>
  <c r="Y1024" i="6"/>
  <c r="Y1025" i="6"/>
  <c r="Z1025" i="6" s="1"/>
  <c r="AA1025" i="6" s="1"/>
  <c r="Y1026" i="6"/>
  <c r="Z1026" i="6" s="1"/>
  <c r="AA1026" i="6" s="1"/>
  <c r="Y1027" i="6"/>
  <c r="Y1028" i="6"/>
  <c r="Z1028" i="6" s="1"/>
  <c r="AA1028" i="6" s="1"/>
  <c r="Y1029" i="6"/>
  <c r="Z1029" i="6" s="1"/>
  <c r="AA1029" i="6" s="1"/>
  <c r="Y1030" i="6"/>
  <c r="Z1030" i="6" s="1"/>
  <c r="AA1030" i="6" s="1"/>
  <c r="Y1031" i="6"/>
  <c r="Y1032" i="6"/>
  <c r="Z1032" i="6" s="1"/>
  <c r="AA1032" i="6" s="1"/>
  <c r="Y1033" i="6"/>
  <c r="Z1033" i="6" s="1"/>
  <c r="AA1033" i="6" s="1"/>
  <c r="Y1034" i="6"/>
  <c r="Z1034" i="6" s="1"/>
  <c r="AA1034" i="6" s="1"/>
  <c r="Y1035" i="6"/>
  <c r="Y1036" i="6"/>
  <c r="Y1037" i="6"/>
  <c r="Z1037" i="6" s="1"/>
  <c r="AA1037" i="6" s="1"/>
  <c r="Y1038" i="6"/>
  <c r="Z1038" i="6" s="1"/>
  <c r="AA1038" i="6" s="1"/>
  <c r="Y1039" i="6"/>
  <c r="Y1040" i="6"/>
  <c r="Z1040" i="6" s="1"/>
  <c r="AA1040" i="6" s="1"/>
  <c r="Y1041" i="6"/>
  <c r="Z1041" i="6" s="1"/>
  <c r="AA1041" i="6" s="1"/>
  <c r="Y1042" i="6"/>
  <c r="Z1042" i="6" s="1"/>
  <c r="AA1042" i="6" s="1"/>
  <c r="Y1043" i="6"/>
  <c r="Y1044" i="6"/>
  <c r="Y1045" i="6"/>
  <c r="Z1045" i="6" s="1"/>
  <c r="AA1045" i="6" s="1"/>
  <c r="Y1046" i="6"/>
  <c r="Z1046" i="6" s="1"/>
  <c r="AA1046" i="6" s="1"/>
  <c r="Y1047" i="6"/>
  <c r="Y1048" i="6"/>
  <c r="Z1048" i="6" s="1"/>
  <c r="AA1048" i="6" s="1"/>
  <c r="Y1049" i="6"/>
  <c r="Z1049" i="6" s="1"/>
  <c r="AA1049" i="6" s="1"/>
  <c r="Y1050" i="6"/>
  <c r="Z1050" i="6" s="1"/>
  <c r="Y1051" i="6"/>
  <c r="Y1052" i="6"/>
  <c r="Z1052" i="6" s="1"/>
  <c r="AA1052" i="6" s="1"/>
  <c r="Y1053" i="6"/>
  <c r="Z1053" i="6" s="1"/>
  <c r="AA1053" i="6" s="1"/>
  <c r="Y1054" i="6"/>
  <c r="Z1054" i="6" s="1"/>
  <c r="AA1054" i="6" s="1"/>
  <c r="Y1055" i="6"/>
  <c r="Y1056" i="6"/>
  <c r="Y1057" i="6"/>
  <c r="Z1057" i="6" s="1"/>
  <c r="AA1057" i="6" s="1"/>
  <c r="Y1058" i="6"/>
  <c r="Z1058" i="6" s="1"/>
  <c r="AA1058" i="6" s="1"/>
  <c r="Y1059" i="6"/>
  <c r="Y1060" i="6"/>
  <c r="Y1061" i="6"/>
  <c r="Z1061" i="6" s="1"/>
  <c r="AA1061" i="6" s="1"/>
  <c r="Y1062" i="6"/>
  <c r="Z1062" i="6" s="1"/>
  <c r="Y1063" i="6"/>
  <c r="Y1064" i="6"/>
  <c r="Z1064" i="6" s="1"/>
  <c r="AA1064" i="6" s="1"/>
  <c r="Y1065" i="6"/>
  <c r="Z1065" i="6" s="1"/>
  <c r="AA1065" i="6" s="1"/>
  <c r="Y1066" i="6"/>
  <c r="Z1066" i="6" s="1"/>
  <c r="AA1066" i="6" s="1"/>
  <c r="Y1067" i="6"/>
  <c r="Y1068" i="6"/>
  <c r="Z1068" i="6" s="1"/>
  <c r="AA1068" i="6" s="1"/>
  <c r="Y1069" i="6"/>
  <c r="Z1069" i="6" s="1"/>
  <c r="AA1069" i="6" s="1"/>
  <c r="Y1070" i="6"/>
  <c r="Z1070" i="6" s="1"/>
  <c r="Y1071" i="6"/>
  <c r="Y1072" i="6"/>
  <c r="Y1073" i="6"/>
  <c r="Z1073" i="6" s="1"/>
  <c r="AA1073" i="6" s="1"/>
  <c r="Y1074" i="6"/>
  <c r="Z1074" i="6" s="1"/>
  <c r="AA1074" i="6" s="1"/>
  <c r="Y1075" i="6"/>
  <c r="Y1076" i="6"/>
  <c r="Z1076" i="6" s="1"/>
  <c r="AA1076" i="6" s="1"/>
  <c r="Y1077" i="6"/>
  <c r="Z1077" i="6" s="1"/>
  <c r="AA1077" i="6" s="1"/>
  <c r="Y1078" i="6"/>
  <c r="Z1078" i="6" s="1"/>
  <c r="AA1078" i="6" s="1"/>
  <c r="Y1079" i="6"/>
  <c r="Y1080" i="6"/>
  <c r="Y1081" i="6"/>
  <c r="Z1081" i="6" s="1"/>
  <c r="AA1081" i="6" s="1"/>
  <c r="Y1082" i="6"/>
  <c r="Z1082" i="6" s="1"/>
  <c r="AA1082" i="6" s="1"/>
  <c r="Y1083" i="6"/>
  <c r="Y1084" i="6"/>
  <c r="Z1084" i="6" s="1"/>
  <c r="AA1084" i="6" s="1"/>
  <c r="Y1085" i="6"/>
  <c r="Z1085" i="6" s="1"/>
  <c r="AA1085" i="6" s="1"/>
  <c r="Y1086" i="6"/>
  <c r="Z1086" i="6" s="1"/>
  <c r="AA1086" i="6" s="1"/>
  <c r="Y1087" i="6"/>
  <c r="Y1088" i="6"/>
  <c r="Y1089" i="6"/>
  <c r="Y1090" i="6"/>
  <c r="Z1090" i="6" s="1"/>
  <c r="AA1090" i="6" s="1"/>
  <c r="Y1091" i="6"/>
  <c r="Y1092" i="6"/>
  <c r="Z1092" i="6" s="1"/>
  <c r="AA1092" i="6" s="1"/>
  <c r="Y1093" i="6"/>
  <c r="Z1093" i="6" s="1"/>
  <c r="AA1093" i="6" s="1"/>
  <c r="Y1094" i="6"/>
  <c r="Z1094" i="6" s="1"/>
  <c r="AA1094" i="6" s="1"/>
  <c r="Y1095" i="6"/>
  <c r="Y1096" i="6"/>
  <c r="Y1097" i="6"/>
  <c r="Y1098" i="6"/>
  <c r="Z1098" i="6" s="1"/>
  <c r="AA1098" i="6" s="1"/>
  <c r="Y1099" i="6"/>
  <c r="Y1100" i="6"/>
  <c r="Y1101" i="6"/>
  <c r="Z1101" i="6" s="1"/>
  <c r="AA1101" i="6" s="1"/>
  <c r="Y1102" i="6"/>
  <c r="Z1102" i="6" s="1"/>
  <c r="AA1102" i="6" s="1"/>
  <c r="Y1103" i="6"/>
  <c r="Y1104" i="6"/>
  <c r="Z1104" i="6" s="1"/>
  <c r="AA1104" i="6" s="1"/>
  <c r="Y1105" i="6"/>
  <c r="Z1105" i="6" s="1"/>
  <c r="AA1105" i="6" s="1"/>
  <c r="Y1106" i="6"/>
  <c r="Z1106" i="6" s="1"/>
  <c r="AA1106" i="6" s="1"/>
  <c r="Y1107" i="6"/>
  <c r="Y1108" i="6"/>
  <c r="Z1108" i="6" s="1"/>
  <c r="AA1108" i="6" s="1"/>
  <c r="Y1109" i="6"/>
  <c r="Z1109" i="6" s="1"/>
  <c r="AA1109" i="6" s="1"/>
  <c r="Y1110" i="6"/>
  <c r="Z1110" i="6" s="1"/>
  <c r="AA1110" i="6" s="1"/>
  <c r="Y1111" i="6"/>
  <c r="Y1112" i="6"/>
  <c r="Y1113" i="6"/>
  <c r="Z1113" i="6" s="1"/>
  <c r="AA1113" i="6" s="1"/>
  <c r="Y1114" i="6"/>
  <c r="Z1114" i="6" s="1"/>
  <c r="AA1114" i="6" s="1"/>
  <c r="Y1115" i="6"/>
  <c r="Y1116" i="6"/>
  <c r="Z1116" i="6" s="1"/>
  <c r="AA1116" i="6" s="1"/>
  <c r="Y1117" i="6"/>
  <c r="Z1117" i="6" s="1"/>
  <c r="AA1117" i="6" s="1"/>
  <c r="Y1118" i="6"/>
  <c r="Z1118" i="6" s="1"/>
  <c r="Y1119" i="6"/>
  <c r="Y1120" i="6"/>
  <c r="Y1121" i="6"/>
  <c r="Z1121" i="6" s="1"/>
  <c r="AA1121" i="6" s="1"/>
  <c r="Y1122" i="6"/>
  <c r="Z1122" i="6" s="1"/>
  <c r="AA1122" i="6" s="1"/>
  <c r="Y1123" i="6"/>
  <c r="Y1124" i="6"/>
  <c r="Y1125" i="6"/>
  <c r="Z1125" i="6" s="1"/>
  <c r="AA1125" i="6" s="1"/>
  <c r="Y1126" i="6"/>
  <c r="Z1126" i="6" s="1"/>
  <c r="AA1126" i="6" s="1"/>
  <c r="Y1127" i="6"/>
  <c r="Y1128" i="6"/>
  <c r="Z1128" i="6" s="1"/>
  <c r="AA1128" i="6" s="1"/>
  <c r="Y1129" i="6"/>
  <c r="Z1129" i="6" s="1"/>
  <c r="AA1129" i="6" s="1"/>
  <c r="Y1130" i="6"/>
  <c r="Z1130" i="6" s="1"/>
  <c r="AA1130" i="6" s="1"/>
  <c r="Y1131" i="6"/>
  <c r="Y1132" i="6"/>
  <c r="Y1133" i="6"/>
  <c r="Z1133" i="6" s="1"/>
  <c r="AA1133" i="6" s="1"/>
  <c r="Y1134" i="6"/>
  <c r="Z1134" i="6" s="1"/>
  <c r="AA1134" i="6" s="1"/>
  <c r="Y1135" i="6"/>
  <c r="Y1136" i="6"/>
  <c r="Z1136" i="6" s="1"/>
  <c r="AA1136" i="6" s="1"/>
  <c r="Y1137" i="6"/>
  <c r="Z1137" i="6" s="1"/>
  <c r="AA1137" i="6" s="1"/>
  <c r="Y1138" i="6"/>
  <c r="Z1138" i="6" s="1"/>
  <c r="Y1139" i="6"/>
  <c r="Y1140" i="6"/>
  <c r="Y1141" i="6"/>
  <c r="Z1141" i="6" s="1"/>
  <c r="AA1141" i="6" s="1"/>
  <c r="Y1142" i="6"/>
  <c r="Z1142" i="6" s="1"/>
  <c r="AA1142" i="6" s="1"/>
  <c r="Y1143" i="6"/>
  <c r="Y1144" i="6"/>
  <c r="Z1144" i="6" s="1"/>
  <c r="AA1144" i="6" s="1"/>
  <c r="Y1145" i="6"/>
  <c r="Z1145" i="6" s="1"/>
  <c r="AA1145" i="6" s="1"/>
  <c r="Y1146" i="6"/>
  <c r="Z1146" i="6" s="1"/>
  <c r="AA1146" i="6" s="1"/>
  <c r="Y1147" i="6"/>
  <c r="Y1148" i="6"/>
  <c r="Y1149" i="6"/>
  <c r="Z1149" i="6" s="1"/>
  <c r="AA1149" i="6" s="1"/>
  <c r="Y1150" i="6"/>
  <c r="Z1150" i="6" s="1"/>
  <c r="AA1150" i="6" s="1"/>
  <c r="Y1151" i="6"/>
  <c r="Y1152" i="6"/>
  <c r="Z1152" i="6" s="1"/>
  <c r="Y1153" i="6"/>
  <c r="Z1153" i="6" s="1"/>
  <c r="AA1153" i="6" s="1"/>
  <c r="Y1154" i="6"/>
  <c r="Z1154" i="6" s="1"/>
  <c r="AA1154" i="6" s="1"/>
  <c r="Y1155" i="6"/>
  <c r="Y1156" i="6"/>
  <c r="Z1156" i="6" s="1"/>
  <c r="AA1156" i="6" s="1"/>
  <c r="Y1157" i="6"/>
  <c r="Z1157" i="6" s="1"/>
  <c r="AA1157" i="6" s="1"/>
  <c r="Y1158" i="6"/>
  <c r="Z1158" i="6" s="1"/>
  <c r="Y1159" i="6"/>
  <c r="Y1160" i="6"/>
  <c r="Y1161" i="6"/>
  <c r="Z1161" i="6" s="1"/>
  <c r="AA1161" i="6" s="1"/>
  <c r="Y1162" i="6"/>
  <c r="Z1162" i="6" s="1"/>
  <c r="AA1162" i="6" s="1"/>
  <c r="Y1163" i="6"/>
  <c r="Y1164" i="6"/>
  <c r="Y1165" i="6"/>
  <c r="Z1165" i="6" s="1"/>
  <c r="AA1165" i="6" s="1"/>
  <c r="Y1166" i="6"/>
  <c r="Z1166" i="6" s="1"/>
  <c r="AA1166" i="6" s="1"/>
  <c r="Y1167" i="6"/>
  <c r="Y1168" i="6"/>
  <c r="Z1168" i="6" s="1"/>
  <c r="AA1168" i="6" s="1"/>
  <c r="Y1169" i="6"/>
  <c r="Z1169" i="6" s="1"/>
  <c r="AA1169" i="6" s="1"/>
  <c r="Y1170" i="6"/>
  <c r="Z1170" i="6" s="1"/>
  <c r="AA1170" i="6" s="1"/>
  <c r="Y1171" i="6"/>
  <c r="Y1172" i="6"/>
  <c r="Z1172" i="6" s="1"/>
  <c r="AA1172" i="6" s="1"/>
  <c r="Y1173" i="6"/>
  <c r="Z1173" i="6" s="1"/>
  <c r="AA1173" i="6" s="1"/>
  <c r="Y1174" i="6"/>
  <c r="Z1174" i="6" s="1"/>
  <c r="AA1174" i="6" s="1"/>
  <c r="Y1175" i="6"/>
  <c r="Y1176" i="6"/>
  <c r="Y1177" i="6"/>
  <c r="Z1177" i="6" s="1"/>
  <c r="AA1177" i="6" s="1"/>
  <c r="Y1178" i="6"/>
  <c r="Z1178" i="6" s="1"/>
  <c r="AA1178" i="6" s="1"/>
  <c r="Y1179" i="6"/>
  <c r="Y1180" i="6"/>
  <c r="Z1180" i="6" s="1"/>
  <c r="AA1180" i="6" s="1"/>
  <c r="Y1181" i="6"/>
  <c r="Z1181" i="6" s="1"/>
  <c r="AA1181" i="6" s="1"/>
  <c r="Y1182" i="6"/>
  <c r="Z1182" i="6" s="1"/>
  <c r="AA1182" i="6" s="1"/>
  <c r="Y1183" i="6"/>
  <c r="Y1184" i="6"/>
  <c r="Y1185" i="6"/>
  <c r="Z1185" i="6" s="1"/>
  <c r="AA1185" i="6" s="1"/>
  <c r="Y1186" i="6"/>
  <c r="Z1186" i="6" s="1"/>
  <c r="AA1186" i="6" s="1"/>
  <c r="Y1187" i="6"/>
  <c r="Y1188" i="6"/>
  <c r="Y1189" i="6"/>
  <c r="Z1189" i="6" s="1"/>
  <c r="AA1189" i="6" s="1"/>
  <c r="Y1190" i="6"/>
  <c r="Z1190" i="6" s="1"/>
  <c r="AA1190" i="6" s="1"/>
  <c r="Y1191" i="6"/>
  <c r="Y1192" i="6"/>
  <c r="Z1192" i="6" s="1"/>
  <c r="AA1192" i="6" s="1"/>
  <c r="Y1193" i="6"/>
  <c r="Z1193" i="6" s="1"/>
  <c r="AA1193" i="6" s="1"/>
  <c r="Y1194" i="6"/>
  <c r="Z1194" i="6" s="1"/>
  <c r="AA1194" i="6" s="1"/>
  <c r="Y1195" i="6"/>
  <c r="Y1196" i="6"/>
  <c r="Y1197" i="6"/>
  <c r="Z1197" i="6" s="1"/>
  <c r="AA1197" i="6" s="1"/>
  <c r="Y1198" i="6"/>
  <c r="Z1198" i="6" s="1"/>
  <c r="AA1198" i="6" s="1"/>
  <c r="Y1199" i="6"/>
  <c r="Y1200" i="6"/>
  <c r="Z1200" i="6" s="1"/>
  <c r="AA1200" i="6" s="1"/>
  <c r="Y1201" i="6"/>
  <c r="Z1201" i="6" s="1"/>
  <c r="AA1201" i="6" s="1"/>
  <c r="Y1202" i="6"/>
  <c r="Z1202" i="6" s="1"/>
  <c r="AA1202" i="6" s="1"/>
  <c r="Y1203" i="6"/>
  <c r="Y1204" i="6"/>
  <c r="Y1205" i="6"/>
  <c r="Z1205" i="6" s="1"/>
  <c r="AA1205" i="6" s="1"/>
  <c r="Y1206" i="6"/>
  <c r="Z1206" i="6" s="1"/>
  <c r="AA1206" i="6" s="1"/>
  <c r="Y1207" i="6"/>
  <c r="Y1208" i="6"/>
  <c r="Z1208" i="6" s="1"/>
  <c r="AA1208" i="6" s="1"/>
  <c r="Y1209" i="6"/>
  <c r="Z1209" i="6" s="1"/>
  <c r="AA1209" i="6" s="1"/>
  <c r="Y1210" i="6"/>
  <c r="Z1210" i="6" s="1"/>
  <c r="AA1210" i="6" s="1"/>
  <c r="Y1211" i="6"/>
  <c r="Y1212" i="6"/>
  <c r="Y1213" i="6"/>
  <c r="Z1213" i="6" s="1"/>
  <c r="AA1213" i="6" s="1"/>
  <c r="Y1214" i="6"/>
  <c r="Z1214" i="6" s="1"/>
  <c r="AA1214" i="6" s="1"/>
  <c r="Y1215" i="6"/>
  <c r="Y1216" i="6"/>
  <c r="Z1216" i="6" s="1"/>
  <c r="Y1217" i="6"/>
  <c r="Z1217" i="6" s="1"/>
  <c r="AA1217" i="6" s="1"/>
  <c r="Y1218" i="6"/>
  <c r="Z1218" i="6" s="1"/>
  <c r="AA1218" i="6" s="1"/>
  <c r="Y1219" i="6"/>
  <c r="Y1220" i="6"/>
  <c r="Z1220" i="6" s="1"/>
  <c r="AA1220" i="6" s="1"/>
  <c r="Y1221" i="6"/>
  <c r="Z1221" i="6" s="1"/>
  <c r="AA1221" i="6" s="1"/>
  <c r="Y1222" i="6"/>
  <c r="Z1222" i="6" s="1"/>
  <c r="AA1222" i="6" s="1"/>
  <c r="Y1223" i="6"/>
  <c r="Y1224" i="6"/>
  <c r="Y1225" i="6"/>
  <c r="Z1225" i="6" s="1"/>
  <c r="AA1225" i="6" s="1"/>
  <c r="Y1226" i="6"/>
  <c r="Z1226" i="6" s="1"/>
  <c r="AA1226" i="6" s="1"/>
  <c r="Y1227" i="6"/>
  <c r="Y1228" i="6"/>
  <c r="Y1229" i="6"/>
  <c r="Z1229" i="6" s="1"/>
  <c r="AA1229" i="6" s="1"/>
  <c r="Y1230" i="6"/>
  <c r="Z1230" i="6" s="1"/>
  <c r="AA1230" i="6" s="1"/>
  <c r="Y1231" i="6"/>
  <c r="Y1232" i="6"/>
  <c r="Z1232" i="6" s="1"/>
  <c r="AA1232" i="6" s="1"/>
  <c r="Y1233" i="6"/>
  <c r="Z1233" i="6" s="1"/>
  <c r="AA1233" i="6" s="1"/>
  <c r="Y1234" i="6"/>
  <c r="Z1234" i="6" s="1"/>
  <c r="AA1234" i="6" s="1"/>
  <c r="Y1235" i="6"/>
  <c r="Y1236" i="6"/>
  <c r="Z1236" i="6" s="1"/>
  <c r="AA1236" i="6" s="1"/>
  <c r="Y1237" i="6"/>
  <c r="Z1237" i="6" s="1"/>
  <c r="AA1237" i="6" s="1"/>
  <c r="Y1238" i="6"/>
  <c r="Z1238" i="6" s="1"/>
  <c r="AA1238" i="6" s="1"/>
  <c r="Y1239" i="6"/>
  <c r="Y1240" i="6"/>
  <c r="Y1241" i="6"/>
  <c r="Z1241" i="6" s="1"/>
  <c r="AA1241" i="6" s="1"/>
  <c r="Y1242" i="6"/>
  <c r="Z1242" i="6" s="1"/>
  <c r="Y1243" i="6"/>
  <c r="Y1244" i="6"/>
  <c r="Z1244" i="6" s="1"/>
  <c r="AA1244" i="6" s="1"/>
  <c r="Y1245" i="6"/>
  <c r="Z1245" i="6" s="1"/>
  <c r="AA1245" i="6" s="1"/>
  <c r="Y1246" i="6"/>
  <c r="Z1246" i="6" s="1"/>
  <c r="AA1246" i="6" s="1"/>
  <c r="Y1247" i="6"/>
  <c r="Y1248" i="6"/>
  <c r="Y1249" i="6"/>
  <c r="Z1249" i="6" s="1"/>
  <c r="AA1249" i="6" s="1"/>
  <c r="Y1250" i="6"/>
  <c r="Z1250" i="6" s="1"/>
  <c r="AA1250" i="6" s="1"/>
  <c r="Y1251" i="6"/>
  <c r="Y1252" i="6"/>
  <c r="Y1253" i="6"/>
  <c r="Z1253" i="6" s="1"/>
  <c r="AA1253" i="6" s="1"/>
  <c r="Y1254" i="6"/>
  <c r="Z1254" i="6" s="1"/>
  <c r="AA1254" i="6" s="1"/>
  <c r="Y1255" i="6"/>
  <c r="Y1256" i="6"/>
  <c r="Z1256" i="6" s="1"/>
  <c r="AA1256" i="6" s="1"/>
  <c r="Y1257" i="6"/>
  <c r="Z1257" i="6" s="1"/>
  <c r="AA1257" i="6" s="1"/>
  <c r="Y1258" i="6"/>
  <c r="Z1258" i="6" s="1"/>
  <c r="AA1258" i="6" s="1"/>
  <c r="Y1259" i="6"/>
  <c r="Y1260" i="6"/>
  <c r="Y1261" i="6"/>
  <c r="Z1261" i="6" s="1"/>
  <c r="AA1261" i="6" s="1"/>
  <c r="Y1262" i="6"/>
  <c r="Z1262" i="6" s="1"/>
  <c r="AA1262" i="6" s="1"/>
  <c r="Y1263" i="6"/>
  <c r="Y1264" i="6"/>
  <c r="Z1264" i="6" s="1"/>
  <c r="AA1264" i="6" s="1"/>
  <c r="Y1265" i="6"/>
  <c r="Z1265" i="6" s="1"/>
  <c r="AA1265" i="6" s="1"/>
  <c r="Y1266" i="6"/>
  <c r="Z1266" i="6" s="1"/>
  <c r="AA1266" i="6" s="1"/>
  <c r="Y1267" i="6"/>
  <c r="Y1268" i="6"/>
  <c r="Y1269" i="6"/>
  <c r="Z1269" i="6" s="1"/>
  <c r="AA1269" i="6" s="1"/>
  <c r="Y1270" i="6"/>
  <c r="Z1270" i="6" s="1"/>
  <c r="AA1270" i="6" s="1"/>
  <c r="Y1271" i="6"/>
  <c r="Y1272" i="6"/>
  <c r="Z1272" i="6" s="1"/>
  <c r="AA1272" i="6" s="1"/>
  <c r="Y1273" i="6"/>
  <c r="Z1273" i="6" s="1"/>
  <c r="AA1273" i="6" s="1"/>
  <c r="Y1274" i="6"/>
  <c r="Z1274" i="6" s="1"/>
  <c r="Y1275" i="6"/>
  <c r="Y1276" i="6"/>
  <c r="Y1277" i="6"/>
  <c r="Z1277" i="6" s="1"/>
  <c r="AA1277" i="6" s="1"/>
  <c r="Y1278" i="6"/>
  <c r="Z1278" i="6" s="1"/>
  <c r="AA1278" i="6" s="1"/>
  <c r="Y1279" i="6"/>
  <c r="Y1280" i="6"/>
  <c r="Z1280" i="6" s="1"/>
  <c r="AA1280" i="6" s="1"/>
  <c r="Y1281" i="6"/>
  <c r="Z1281" i="6" s="1"/>
  <c r="AA1281" i="6" s="1"/>
  <c r="Y1282" i="6"/>
  <c r="Z1282" i="6" s="1"/>
  <c r="AA1282" i="6" s="1"/>
  <c r="Y1283" i="6"/>
  <c r="Y1284" i="6"/>
  <c r="Z1284" i="6" s="1"/>
  <c r="AA1284" i="6" s="1"/>
  <c r="Y1285" i="6"/>
  <c r="Z1285" i="6" s="1"/>
  <c r="AA1285" i="6" s="1"/>
  <c r="Y1286" i="6"/>
  <c r="Z1286" i="6" s="1"/>
  <c r="AA1286" i="6" s="1"/>
  <c r="Y1287" i="6"/>
  <c r="Y1288" i="6"/>
  <c r="Y1289" i="6"/>
  <c r="Z1289" i="6" s="1"/>
  <c r="AA1289" i="6" s="1"/>
  <c r="Y1290" i="6"/>
  <c r="Z1290" i="6" s="1"/>
  <c r="AA1290" i="6" s="1"/>
  <c r="Y1291" i="6"/>
  <c r="Y1292" i="6"/>
  <c r="Y1293" i="6"/>
  <c r="Y1294" i="6"/>
  <c r="Z1294" i="6" s="1"/>
  <c r="AA1294" i="6" s="1"/>
  <c r="Y1295" i="6"/>
  <c r="Y1296" i="6"/>
  <c r="Z1296" i="6" s="1"/>
  <c r="AA1296" i="6" s="1"/>
  <c r="Y1297" i="6"/>
  <c r="Z1297" i="6" s="1"/>
  <c r="AA1297" i="6" s="1"/>
  <c r="Y1298" i="6"/>
  <c r="Z1298" i="6" s="1"/>
  <c r="AA1298" i="6" s="1"/>
  <c r="Y1299" i="6"/>
  <c r="Y1300" i="6"/>
  <c r="Y1301" i="6"/>
  <c r="Z1301" i="6" s="1"/>
  <c r="AA1301" i="6" s="1"/>
  <c r="Y1302" i="6"/>
  <c r="Z1302" i="6" s="1"/>
  <c r="AA1302" i="6" s="1"/>
  <c r="Y1303" i="6"/>
  <c r="Y1304" i="6"/>
  <c r="Y1305" i="6"/>
  <c r="Z1305" i="6" s="1"/>
  <c r="AA1305" i="6" s="1"/>
  <c r="Y1306" i="6"/>
  <c r="Z1306" i="6" s="1"/>
  <c r="AA1306" i="6" s="1"/>
  <c r="Y1307" i="6"/>
  <c r="Y1308" i="6"/>
  <c r="Z1308" i="6" s="1"/>
  <c r="AA1308" i="6" s="1"/>
  <c r="Y1309" i="6"/>
  <c r="Z1309" i="6" s="1"/>
  <c r="AA1309" i="6" s="1"/>
  <c r="Y1310" i="6"/>
  <c r="Z1310" i="6" s="1"/>
  <c r="AA1310" i="6" s="1"/>
  <c r="Y1311" i="6"/>
  <c r="Y1312" i="6"/>
  <c r="Y1313" i="6"/>
  <c r="Z1313" i="6" s="1"/>
  <c r="AA1313" i="6" s="1"/>
  <c r="Y1314" i="6"/>
  <c r="Z1314" i="6" s="1"/>
  <c r="AA1314" i="6" s="1"/>
  <c r="Y1315" i="6"/>
  <c r="Y1316" i="6"/>
  <c r="Z1316" i="6" s="1"/>
  <c r="AA1316" i="6" s="1"/>
  <c r="Y1317" i="6"/>
  <c r="Z1317" i="6" s="1"/>
  <c r="AA1317" i="6" s="1"/>
  <c r="Y1318" i="6"/>
  <c r="Z1318" i="6" s="1"/>
  <c r="AA1318" i="6" s="1"/>
  <c r="Y1319" i="6"/>
  <c r="Y1320" i="6"/>
  <c r="Z1320" i="6" s="1"/>
  <c r="AA1320" i="6" s="1"/>
  <c r="Y1321" i="6"/>
  <c r="Z1321" i="6" s="1"/>
  <c r="AA1321" i="6" s="1"/>
  <c r="Y1322" i="6"/>
  <c r="Z1322" i="6" s="1"/>
  <c r="AA1322" i="6" s="1"/>
  <c r="Y1323" i="6"/>
  <c r="Y1324" i="6"/>
  <c r="Y1325" i="6"/>
  <c r="Z1325" i="6" s="1"/>
  <c r="AA1325" i="6" s="1"/>
  <c r="Y1326" i="6"/>
  <c r="Z1326" i="6" s="1"/>
  <c r="AA1326" i="6" s="1"/>
  <c r="Y1327" i="6"/>
  <c r="Y1328" i="6"/>
  <c r="Y1329" i="6"/>
  <c r="Z1329" i="6" s="1"/>
  <c r="AA1329" i="6" s="1"/>
  <c r="Y1330" i="6"/>
  <c r="Z1330" i="6" s="1"/>
  <c r="AA1330" i="6" s="1"/>
  <c r="Y1331" i="6"/>
  <c r="Y1332" i="6"/>
  <c r="Y1333" i="6"/>
  <c r="Z1333" i="6" s="1"/>
  <c r="AA1333" i="6" s="1"/>
  <c r="Y1334" i="6"/>
  <c r="Z1334" i="6" s="1"/>
  <c r="AA1334" i="6" s="1"/>
  <c r="Y1335" i="6"/>
  <c r="Y1336" i="6"/>
  <c r="Y1337" i="6"/>
  <c r="Z1337" i="6" s="1"/>
  <c r="AA1337" i="6" s="1"/>
  <c r="Y1338" i="6"/>
  <c r="Z1338" i="6" s="1"/>
  <c r="AA1338" i="6" s="1"/>
  <c r="Y1339" i="6"/>
  <c r="Y1340" i="6"/>
  <c r="Y1341" i="6"/>
  <c r="Z1341" i="6" s="1"/>
  <c r="AA1341" i="6" s="1"/>
  <c r="Y1342" i="6"/>
  <c r="Z1342" i="6" s="1"/>
  <c r="AA1342" i="6" s="1"/>
  <c r="Y1343" i="6"/>
  <c r="Y1344" i="6"/>
  <c r="Y1345" i="6"/>
  <c r="Y1346" i="6"/>
  <c r="Z1346" i="6" s="1"/>
  <c r="AA1346" i="6" s="1"/>
  <c r="Y1347" i="6"/>
  <c r="Y1348" i="6"/>
  <c r="Z1348" i="6" s="1"/>
  <c r="AA1348" i="6" s="1"/>
  <c r="Y1349" i="6"/>
  <c r="Z1349" i="6" s="1"/>
  <c r="AA1349" i="6" s="1"/>
  <c r="Y1350" i="6"/>
  <c r="Z1350" i="6" s="1"/>
  <c r="AA1350" i="6" s="1"/>
  <c r="Y1351" i="6"/>
  <c r="Y1352" i="6"/>
  <c r="Y1353" i="6"/>
  <c r="Y1354" i="6"/>
  <c r="Z1354" i="6" s="1"/>
  <c r="AA1354" i="6" s="1"/>
  <c r="Y1355" i="6"/>
  <c r="Y1356" i="6"/>
  <c r="Z1356" i="6" s="1"/>
  <c r="AA1356" i="6" s="1"/>
  <c r="Y1357" i="6"/>
  <c r="Z1357" i="6" s="1"/>
  <c r="AA1357" i="6" s="1"/>
  <c r="Y1358" i="6"/>
  <c r="Z1358" i="6" s="1"/>
  <c r="AA1358" i="6" s="1"/>
  <c r="Y1359" i="6"/>
  <c r="Y1360" i="6"/>
  <c r="Z1360" i="6" s="1"/>
  <c r="AA1360" i="6" s="1"/>
  <c r="Y1361" i="6"/>
  <c r="Z1361" i="6" s="1"/>
  <c r="AA1361" i="6" s="1"/>
  <c r="Y1362" i="6"/>
  <c r="Z1362" i="6" s="1"/>
  <c r="AA1362" i="6" s="1"/>
  <c r="Y1363" i="6"/>
  <c r="Y1364" i="6"/>
  <c r="Y1365" i="6"/>
  <c r="Z1365" i="6" s="1"/>
  <c r="AA1365" i="6" s="1"/>
  <c r="Y1366" i="6"/>
  <c r="Z1366" i="6" s="1"/>
  <c r="AA1366" i="6" s="1"/>
  <c r="Y1367" i="6"/>
  <c r="Y1368" i="6"/>
  <c r="Y1369" i="6"/>
  <c r="Y1370" i="6"/>
  <c r="Z1370" i="6" s="1"/>
  <c r="AA1370" i="6" s="1"/>
  <c r="Y1371" i="6"/>
  <c r="Y1372" i="6"/>
  <c r="Z1372" i="6" s="1"/>
  <c r="AA1372" i="6" s="1"/>
  <c r="Y1373" i="6"/>
  <c r="Z1373" i="6" s="1"/>
  <c r="AA1373" i="6" s="1"/>
  <c r="Y1374" i="6"/>
  <c r="Z1374" i="6" s="1"/>
  <c r="AA1374" i="6" s="1"/>
  <c r="Y1375" i="6"/>
  <c r="Y1376" i="6"/>
  <c r="Y1377" i="6"/>
  <c r="Z1377" i="6" s="1"/>
  <c r="AA1377" i="6" s="1"/>
  <c r="Y1378" i="6"/>
  <c r="Z1378" i="6" s="1"/>
  <c r="AA1378" i="6" s="1"/>
  <c r="Y1379" i="6"/>
  <c r="Y1380" i="6"/>
  <c r="Y1381" i="6"/>
  <c r="Z1381" i="6" s="1"/>
  <c r="AA1381" i="6" s="1"/>
  <c r="Y1382" i="6"/>
  <c r="Z1382" i="6" s="1"/>
  <c r="AA1382" i="6" s="1"/>
  <c r="Y1383" i="6"/>
  <c r="Y1384" i="6"/>
  <c r="Z1384" i="6" s="1"/>
  <c r="AA1384" i="6" s="1"/>
  <c r="Y1385" i="6"/>
  <c r="Y1386" i="6"/>
  <c r="Z1386" i="6" s="1"/>
  <c r="AA1386" i="6" s="1"/>
  <c r="Y1387" i="6"/>
  <c r="Y1388" i="6"/>
  <c r="Y1389" i="6"/>
  <c r="Z1389" i="6" s="1"/>
  <c r="AA1389" i="6" s="1"/>
  <c r="Y1390" i="6"/>
  <c r="Z1390" i="6" s="1"/>
  <c r="AA1390" i="6" s="1"/>
  <c r="Y1391" i="6"/>
  <c r="Y1392" i="6"/>
  <c r="Y1393" i="6"/>
  <c r="Z1393" i="6" s="1"/>
  <c r="AA1393" i="6" s="1"/>
  <c r="Y1394" i="6"/>
  <c r="Z1394" i="6" s="1"/>
  <c r="AA1394" i="6" s="1"/>
  <c r="Y1395" i="6"/>
  <c r="Y1396" i="6"/>
  <c r="Y1397" i="6"/>
  <c r="Z1397" i="6" s="1"/>
  <c r="AA1397" i="6" s="1"/>
  <c r="Y1398" i="6"/>
  <c r="Z1398" i="6" s="1"/>
  <c r="AA1398" i="6" s="1"/>
  <c r="Y1399" i="6"/>
  <c r="Y1400" i="6"/>
  <c r="Y1401" i="6"/>
  <c r="Z1401" i="6" s="1"/>
  <c r="AA1401" i="6" s="1"/>
  <c r="Y1402" i="6"/>
  <c r="Z1402" i="6" s="1"/>
  <c r="AA1402" i="6" s="1"/>
  <c r="Y1403" i="6"/>
  <c r="Y1404" i="6"/>
  <c r="Y1405" i="6"/>
  <c r="Z1405" i="6" s="1"/>
  <c r="AA1405" i="6" s="1"/>
  <c r="Y1406" i="6"/>
  <c r="Z1406" i="6" s="1"/>
  <c r="AA1406" i="6" s="1"/>
  <c r="Y1407" i="6"/>
  <c r="Y1408" i="6"/>
  <c r="Y1409" i="6"/>
  <c r="Z1409" i="6" s="1"/>
  <c r="AA1409" i="6" s="1"/>
  <c r="Y1410" i="6"/>
  <c r="Z1410" i="6" s="1"/>
  <c r="AA1410" i="6" s="1"/>
  <c r="Y1411" i="6"/>
  <c r="Y1412" i="6"/>
  <c r="Z1412" i="6" s="1"/>
  <c r="AA1412" i="6" s="1"/>
  <c r="Y1413" i="6"/>
  <c r="Z1413" i="6" s="1"/>
  <c r="AA1413" i="6" s="1"/>
  <c r="Y1414" i="6"/>
  <c r="Z1414" i="6" s="1"/>
  <c r="AA1414" i="6" s="1"/>
  <c r="Y1415" i="6"/>
  <c r="Y1416" i="6"/>
  <c r="Z1416" i="6" s="1"/>
  <c r="AA1416" i="6" s="1"/>
  <c r="Y1417" i="6"/>
  <c r="Z1417" i="6" s="1"/>
  <c r="AA1417" i="6" s="1"/>
  <c r="Y1418" i="6"/>
  <c r="Z1418" i="6" s="1"/>
  <c r="AA1418" i="6" s="1"/>
  <c r="Y1419" i="6"/>
  <c r="Y1420" i="6"/>
  <c r="Y1421" i="6"/>
  <c r="Z1421" i="6" s="1"/>
  <c r="AA1421" i="6" s="1"/>
  <c r="Y1422" i="6"/>
  <c r="Z1422" i="6" s="1"/>
  <c r="AA1422" i="6" s="1"/>
  <c r="Y1423" i="6"/>
  <c r="Y1424" i="6"/>
  <c r="Z1424" i="6" s="1"/>
  <c r="AA1424" i="6" s="1"/>
  <c r="Y1425" i="6"/>
  <c r="Z1425" i="6" s="1"/>
  <c r="AA1425" i="6" s="1"/>
  <c r="Y1426" i="6"/>
  <c r="Z1426" i="6" s="1"/>
  <c r="AA1426" i="6" s="1"/>
  <c r="Y1427" i="6"/>
  <c r="Y1428" i="6"/>
  <c r="Y1429" i="6"/>
  <c r="Z1429" i="6" s="1"/>
  <c r="AA1429" i="6" s="1"/>
  <c r="Y1430" i="6"/>
  <c r="Z1430" i="6" s="1"/>
  <c r="AA1430" i="6" s="1"/>
  <c r="Y1431" i="6"/>
  <c r="Y1432" i="6"/>
  <c r="Z1432" i="6" s="1"/>
  <c r="AA1432" i="6" s="1"/>
  <c r="Y1433" i="6"/>
  <c r="Z1433" i="6" s="1"/>
  <c r="AA1433" i="6" s="1"/>
  <c r="Y1434" i="6"/>
  <c r="Z1434" i="6" s="1"/>
  <c r="AA1434" i="6" s="1"/>
  <c r="Y1435" i="6"/>
  <c r="Y1436" i="6"/>
  <c r="Z1436" i="6" s="1"/>
  <c r="AA1436" i="6" s="1"/>
  <c r="Y1437" i="6"/>
  <c r="Z1437" i="6" s="1"/>
  <c r="AA1437" i="6" s="1"/>
  <c r="Y1438" i="6"/>
  <c r="Z1438" i="6" s="1"/>
  <c r="AA1438" i="6" s="1"/>
  <c r="Y1439" i="6"/>
  <c r="Y1440" i="6"/>
  <c r="Y1441" i="6"/>
  <c r="Z1441" i="6" s="1"/>
  <c r="AA1441" i="6" s="1"/>
  <c r="Y1442" i="6"/>
  <c r="Z1442" i="6" s="1"/>
  <c r="AA1442" i="6" s="1"/>
  <c r="Y1443" i="6"/>
  <c r="Y1444" i="6"/>
  <c r="Y1445" i="6"/>
  <c r="Z1445" i="6" s="1"/>
  <c r="AA1445" i="6" s="1"/>
  <c r="Y1446" i="6"/>
  <c r="Z1446" i="6" s="1"/>
  <c r="AA1446" i="6" s="1"/>
  <c r="Y1447" i="6"/>
  <c r="Y1448" i="6"/>
  <c r="Z1448" i="6" s="1"/>
  <c r="AA1448" i="6" s="1"/>
  <c r="Y1449" i="6"/>
  <c r="Y1450" i="6"/>
  <c r="Z1450" i="6" s="1"/>
  <c r="AA1450" i="6" s="1"/>
  <c r="Y1451" i="6"/>
  <c r="Y1452" i="6"/>
  <c r="Y1453" i="6"/>
  <c r="Z1453" i="6" s="1"/>
  <c r="AA1453" i="6" s="1"/>
  <c r="Y1454" i="6"/>
  <c r="Z1454" i="6" s="1"/>
  <c r="AA1454" i="6" s="1"/>
  <c r="Y1455" i="6"/>
  <c r="Y1456" i="6"/>
  <c r="Y1457" i="6"/>
  <c r="Z1457" i="6" s="1"/>
  <c r="AA1457" i="6" s="1"/>
  <c r="Y1458" i="6"/>
  <c r="Z1458" i="6" s="1"/>
  <c r="AA1458" i="6" s="1"/>
  <c r="Y1459" i="6"/>
  <c r="Y1460" i="6"/>
  <c r="Y1461" i="6"/>
  <c r="Z1461" i="6" s="1"/>
  <c r="AA1461" i="6" s="1"/>
  <c r="Y1462" i="6"/>
  <c r="Z1462" i="6" s="1"/>
  <c r="AA1462" i="6" s="1"/>
  <c r="Y1463" i="6"/>
  <c r="Y1464" i="6"/>
  <c r="Y1465" i="6"/>
  <c r="Z1465" i="6" s="1"/>
  <c r="AA1465" i="6" s="1"/>
  <c r="Y1466" i="6"/>
  <c r="Z1466" i="6" s="1"/>
  <c r="AA1466" i="6" s="1"/>
  <c r="Y1467" i="6"/>
  <c r="Y1468" i="6"/>
  <c r="Y1469" i="6"/>
  <c r="Y1470" i="6"/>
  <c r="Z1470" i="6" s="1"/>
  <c r="AA1470" i="6" s="1"/>
  <c r="Y1471" i="6"/>
  <c r="Y1472" i="6"/>
  <c r="Z1472" i="6" s="1"/>
  <c r="AA1472" i="6" s="1"/>
  <c r="Y1473" i="6"/>
  <c r="Z1473" i="6" s="1"/>
  <c r="AA1473" i="6" s="1"/>
  <c r="Y1474" i="6"/>
  <c r="Z1474" i="6" s="1"/>
  <c r="AA1474" i="6" s="1"/>
  <c r="Y1475" i="6"/>
  <c r="Y1476" i="6"/>
  <c r="Z1476" i="6" s="1"/>
  <c r="AA1476" i="6" s="1"/>
  <c r="Y1477" i="6"/>
  <c r="Z1477" i="6" s="1"/>
  <c r="AA1477" i="6" s="1"/>
  <c r="Y1478" i="6"/>
  <c r="Z1478" i="6" s="1"/>
  <c r="AA1478" i="6" s="1"/>
  <c r="Y1479" i="6"/>
  <c r="Y1480" i="6"/>
  <c r="Y1481" i="6"/>
  <c r="Z1481" i="6" s="1"/>
  <c r="AA1481" i="6" s="1"/>
  <c r="Y1482" i="6"/>
  <c r="Z1482" i="6" s="1"/>
  <c r="AA1482" i="6" s="1"/>
  <c r="Y1483" i="6"/>
  <c r="Y1484" i="6"/>
  <c r="Y1485" i="6"/>
  <c r="Z1485" i="6" s="1"/>
  <c r="AA1485" i="6" s="1"/>
  <c r="Y1486" i="6"/>
  <c r="Z1486" i="6" s="1"/>
  <c r="AA1486" i="6" s="1"/>
  <c r="Y1487" i="6"/>
  <c r="Y1488" i="6"/>
  <c r="Z1488" i="6" s="1"/>
  <c r="AA1488" i="6" s="1"/>
  <c r="Y1489" i="6"/>
  <c r="Z1489" i="6" s="1"/>
  <c r="AA1489" i="6" s="1"/>
  <c r="Y1490" i="6"/>
  <c r="Z1490" i="6" s="1"/>
  <c r="AA1490" i="6" s="1"/>
  <c r="Y1491" i="6"/>
  <c r="Y1492" i="6"/>
  <c r="Z1492" i="6" s="1"/>
  <c r="AA1492" i="6" s="1"/>
  <c r="Y1493" i="6"/>
  <c r="Z1493" i="6" s="1"/>
  <c r="AA1493" i="6" s="1"/>
  <c r="Y1494" i="6"/>
  <c r="Z1494" i="6" s="1"/>
  <c r="AA1494" i="6" s="1"/>
  <c r="Y1495" i="6"/>
  <c r="Y1496" i="6"/>
  <c r="Y1497" i="6"/>
  <c r="Z1497" i="6" s="1"/>
  <c r="AA1497" i="6" s="1"/>
  <c r="Y1498" i="6"/>
  <c r="Z1498" i="6" s="1"/>
  <c r="AA1498" i="6" s="1"/>
  <c r="Y1499" i="6"/>
  <c r="Y1500" i="6"/>
  <c r="Z1500" i="6" s="1"/>
  <c r="AA1500" i="6" s="1"/>
  <c r="Y1501" i="6"/>
  <c r="Z1501" i="6" s="1"/>
  <c r="AA1501" i="6" s="1"/>
  <c r="Y1502" i="6"/>
  <c r="Z1502" i="6" s="1"/>
  <c r="AA1502" i="6" s="1"/>
  <c r="Y1503" i="6"/>
  <c r="Y1504" i="6"/>
  <c r="Y1505" i="6"/>
  <c r="Z1505" i="6" s="1"/>
  <c r="AA1505" i="6" s="1"/>
  <c r="Y1506" i="6"/>
  <c r="Z1506" i="6" s="1"/>
  <c r="AA1506" i="6" s="1"/>
  <c r="Y1507" i="6"/>
  <c r="Y1508" i="6"/>
  <c r="Z1508" i="6" s="1"/>
  <c r="AA1508" i="6" s="1"/>
  <c r="Y1509" i="6"/>
  <c r="Z1509" i="6" s="1"/>
  <c r="AA1509" i="6" s="1"/>
  <c r="Y1510" i="6"/>
  <c r="Z1510" i="6" s="1"/>
  <c r="AA1510" i="6" s="1"/>
  <c r="Y1511" i="6"/>
  <c r="Y1512" i="6"/>
  <c r="Z1512" i="6" s="1"/>
  <c r="AA1512" i="6" s="1"/>
  <c r="Y1513" i="6"/>
  <c r="Z1513" i="6" s="1"/>
  <c r="AA1513" i="6" s="1"/>
  <c r="Y1514" i="6"/>
  <c r="Z1514" i="6" s="1"/>
  <c r="AA1514" i="6" s="1"/>
  <c r="Y1515" i="6"/>
  <c r="Y1516" i="6"/>
  <c r="Y1517" i="6"/>
  <c r="Z1517" i="6" s="1"/>
  <c r="AA1517" i="6" s="1"/>
  <c r="Y1518" i="6"/>
  <c r="Z1518" i="6" s="1"/>
  <c r="AA1518" i="6" s="1"/>
  <c r="Y1519" i="6"/>
  <c r="Y1520" i="6"/>
  <c r="Y1521" i="6"/>
  <c r="Z1521" i="6" s="1"/>
  <c r="AA1521" i="6" s="1"/>
  <c r="Y1522" i="6"/>
  <c r="Z1522" i="6" s="1"/>
  <c r="AA1522" i="6" s="1"/>
  <c r="Y1523" i="6"/>
  <c r="Y1524" i="6"/>
  <c r="Y1525" i="6"/>
  <c r="Z1525" i="6" s="1"/>
  <c r="AA1525" i="6" s="1"/>
  <c r="Y1526" i="6"/>
  <c r="Z1526" i="6" s="1"/>
  <c r="AA1526" i="6" s="1"/>
  <c r="Y1527" i="6"/>
  <c r="Y1528" i="6"/>
  <c r="Y1529" i="6"/>
  <c r="Z1529" i="6" s="1"/>
  <c r="AA1529" i="6" s="1"/>
  <c r="Y1530" i="6"/>
  <c r="Z1530" i="6" s="1"/>
  <c r="AA1530" i="6" s="1"/>
  <c r="Y1531" i="6"/>
  <c r="Y1532" i="6"/>
  <c r="Y1533" i="6"/>
  <c r="Z1533" i="6" s="1"/>
  <c r="AA1533" i="6" s="1"/>
  <c r="Y1534" i="6"/>
  <c r="Z1534" i="6" s="1"/>
  <c r="AA1534" i="6" s="1"/>
  <c r="Y1535" i="6"/>
  <c r="Y1536" i="6"/>
  <c r="Y1537" i="6"/>
  <c r="Z1537" i="6" s="1"/>
  <c r="AA1537" i="6" s="1"/>
  <c r="Y1538" i="6"/>
  <c r="Z1538" i="6" s="1"/>
  <c r="AA1538" i="6" s="1"/>
  <c r="Y1539" i="6"/>
  <c r="Y1540" i="6"/>
  <c r="Z1540" i="6" s="1"/>
  <c r="AA1540" i="6" s="1"/>
  <c r="Y1541" i="6"/>
  <c r="Z1541" i="6" s="1"/>
  <c r="AA1541" i="6" s="1"/>
  <c r="Y1542" i="6"/>
  <c r="Z1542" i="6" s="1"/>
  <c r="AA1542" i="6" s="1"/>
  <c r="Y1543" i="6"/>
  <c r="Y1544" i="6"/>
  <c r="Z1544" i="6" s="1"/>
  <c r="AA1544" i="6" s="1"/>
  <c r="Y1545" i="6"/>
  <c r="Z1545" i="6" s="1"/>
  <c r="AA1545" i="6" s="1"/>
  <c r="Y1546" i="6"/>
  <c r="Z1546" i="6" s="1"/>
  <c r="AA1546" i="6" s="1"/>
  <c r="Y1547" i="6"/>
  <c r="Y1548" i="6"/>
  <c r="Y1549" i="6"/>
  <c r="Z1549" i="6" s="1"/>
  <c r="AA1549" i="6" s="1"/>
  <c r="Y1550" i="6"/>
  <c r="Z1550" i="6" s="1"/>
  <c r="AA1550" i="6" s="1"/>
  <c r="Y1551" i="6"/>
  <c r="Y1552" i="6"/>
  <c r="Z1552" i="6" s="1"/>
  <c r="AA1552" i="6" s="1"/>
  <c r="Y1553" i="6"/>
  <c r="Z1553" i="6" s="1"/>
  <c r="AA1553" i="6" s="1"/>
  <c r="Y1554" i="6"/>
  <c r="Z1554" i="6" s="1"/>
  <c r="AA1554" i="6" s="1"/>
  <c r="Y1555" i="6"/>
  <c r="Y1556" i="6"/>
  <c r="Y1557" i="6"/>
  <c r="Z1557" i="6" s="1"/>
  <c r="AA1557" i="6" s="1"/>
  <c r="Y1558" i="6"/>
  <c r="Z1558" i="6" s="1"/>
  <c r="AA1558" i="6" s="1"/>
  <c r="Y1559" i="6"/>
  <c r="Y1560" i="6"/>
  <c r="Y1561" i="6"/>
  <c r="Z1561" i="6" s="1"/>
  <c r="AA1561" i="6" s="1"/>
  <c r="Y1562" i="6"/>
  <c r="Z1562" i="6" s="1"/>
  <c r="AA1562" i="6" s="1"/>
  <c r="Y1563" i="6"/>
  <c r="Y1564" i="6"/>
  <c r="Z1564" i="6" s="1"/>
  <c r="AA1564" i="6" s="1"/>
  <c r="Y1565" i="6"/>
  <c r="Y1566" i="6"/>
  <c r="Z1566" i="6" s="1"/>
  <c r="AA1566" i="6" s="1"/>
  <c r="Y1567" i="6"/>
  <c r="Y1568" i="6"/>
  <c r="Y1569" i="6"/>
  <c r="Z1569" i="6" s="1"/>
  <c r="AA1569" i="6" s="1"/>
  <c r="Y1570" i="6"/>
  <c r="Z1570" i="6" s="1"/>
  <c r="AA1570" i="6" s="1"/>
  <c r="Y1571" i="6"/>
  <c r="Y1572" i="6"/>
  <c r="Y1573" i="6"/>
  <c r="Z1573" i="6" s="1"/>
  <c r="AA1573" i="6" s="1"/>
  <c r="Y1574" i="6"/>
  <c r="Z1574" i="6" s="1"/>
  <c r="AA1574" i="6" s="1"/>
  <c r="Y1575" i="6"/>
  <c r="Y1576" i="6"/>
  <c r="Z1576" i="6" s="1"/>
  <c r="AA1576" i="6" s="1"/>
  <c r="Y1577" i="6"/>
  <c r="Z1577" i="6" s="1"/>
  <c r="AA1577" i="6" s="1"/>
  <c r="Y1578" i="6"/>
  <c r="Z1578" i="6" s="1"/>
  <c r="AA1578" i="6" s="1"/>
  <c r="Y1579" i="6"/>
  <c r="Y1580" i="6"/>
  <c r="Z1580" i="6" s="1"/>
  <c r="AA1580" i="6" s="1"/>
  <c r="Y1581" i="6"/>
  <c r="Z1581" i="6" s="1"/>
  <c r="AA1581" i="6" s="1"/>
  <c r="Y1582" i="6"/>
  <c r="Z1582" i="6" s="1"/>
  <c r="AA1582" i="6" s="1"/>
  <c r="Y1583" i="6"/>
  <c r="Y1584" i="6"/>
  <c r="Y1585" i="6"/>
  <c r="Z1585" i="6" s="1"/>
  <c r="AA1585" i="6" s="1"/>
  <c r="Y1586" i="6"/>
  <c r="Z1586" i="6" s="1"/>
  <c r="AA1586" i="6" s="1"/>
  <c r="Y1587" i="6"/>
  <c r="Y1588" i="6"/>
  <c r="Z1588" i="6" s="1"/>
  <c r="AA1588" i="6" s="1"/>
  <c r="Y1589" i="6"/>
  <c r="Z1589" i="6" s="1"/>
  <c r="AA1589" i="6" s="1"/>
  <c r="Y1590" i="6"/>
  <c r="Z1590" i="6" s="1"/>
  <c r="AA1590" i="6" s="1"/>
  <c r="Y1591" i="6"/>
  <c r="Y1592" i="6"/>
  <c r="Y1593" i="6"/>
  <c r="Z1593" i="6" s="1"/>
  <c r="AA1593" i="6" s="1"/>
  <c r="Y1594" i="6"/>
  <c r="Z1594" i="6" s="1"/>
  <c r="AA1594" i="6" s="1"/>
  <c r="Y1595" i="6"/>
  <c r="Y1596" i="6"/>
  <c r="Z1596" i="6" s="1"/>
  <c r="AA1596" i="6" s="1"/>
  <c r="Y1597" i="6"/>
  <c r="Z1597" i="6" s="1"/>
  <c r="AA1597" i="6" s="1"/>
  <c r="Y1598" i="6"/>
  <c r="Z1598" i="6" s="1"/>
  <c r="AA1598" i="6" s="1"/>
  <c r="Y1599" i="6"/>
  <c r="Y1600" i="6"/>
  <c r="Y1601" i="6"/>
  <c r="Z1601" i="6" s="1"/>
  <c r="AA1601" i="6" s="1"/>
  <c r="Y1602" i="6"/>
  <c r="Z1602" i="6" s="1"/>
  <c r="AA1602" i="6" s="1"/>
  <c r="Y1603" i="6"/>
  <c r="Y1604" i="6"/>
  <c r="Z1604" i="6" s="1"/>
  <c r="AA1604" i="6" s="1"/>
  <c r="Y1605" i="6"/>
  <c r="Z1605" i="6" s="1"/>
  <c r="AA1605" i="6" s="1"/>
  <c r="Y1606" i="6"/>
  <c r="Z1606" i="6" s="1"/>
  <c r="AA1606" i="6" s="1"/>
  <c r="Y1607" i="6"/>
  <c r="Y1608" i="6"/>
  <c r="Y1609" i="6"/>
  <c r="Z1609" i="6" s="1"/>
  <c r="AA1609" i="6" s="1"/>
  <c r="Y1610" i="6"/>
  <c r="Z1610" i="6" s="1"/>
  <c r="AA1610" i="6" s="1"/>
  <c r="Y1611" i="6"/>
  <c r="Y1612" i="6"/>
  <c r="Y1613" i="6"/>
  <c r="Z1613" i="6" s="1"/>
  <c r="AA1613" i="6" s="1"/>
  <c r="Y1614" i="6"/>
  <c r="Z1614" i="6" s="1"/>
  <c r="AA1614" i="6" s="1"/>
  <c r="Y1615" i="6"/>
  <c r="Y1616" i="6"/>
  <c r="Z1616" i="6" s="1"/>
  <c r="AA1616" i="6" s="1"/>
  <c r="Y1617" i="6"/>
  <c r="Z1617" i="6" s="1"/>
  <c r="AA1617" i="6" s="1"/>
  <c r="Y1618" i="6"/>
  <c r="Z1618" i="6" s="1"/>
  <c r="AA1618" i="6" s="1"/>
  <c r="Y1619" i="6"/>
  <c r="Y1620" i="6"/>
  <c r="Y1621" i="6"/>
  <c r="Z1621" i="6" s="1"/>
  <c r="AA1621" i="6" s="1"/>
  <c r="Y1622" i="6"/>
  <c r="Z1622" i="6" s="1"/>
  <c r="AA1622" i="6" s="1"/>
  <c r="Y1623" i="6"/>
  <c r="Y1624" i="6"/>
  <c r="Z1624" i="6" s="1"/>
  <c r="AA1624" i="6" s="1"/>
  <c r="Y1625" i="6"/>
  <c r="Z1625" i="6" s="1"/>
  <c r="AA1625" i="6" s="1"/>
  <c r="Y1626" i="6"/>
  <c r="Z1626" i="6" s="1"/>
  <c r="AA1626" i="6" s="1"/>
  <c r="Y1627" i="6"/>
  <c r="Y1628" i="6"/>
  <c r="Z1628" i="6" s="1"/>
  <c r="AA1628" i="6" s="1"/>
  <c r="Y1629" i="6"/>
  <c r="Z1629" i="6" s="1"/>
  <c r="AA1629" i="6" s="1"/>
  <c r="Y1630" i="6"/>
  <c r="Z1630" i="6" s="1"/>
  <c r="AA1630" i="6" s="1"/>
  <c r="Y1631" i="6"/>
  <c r="Y1632" i="6"/>
  <c r="Y1633" i="6"/>
  <c r="Z1633" i="6" s="1"/>
  <c r="AA1633" i="6" s="1"/>
  <c r="Y1634" i="6"/>
  <c r="Z1634" i="6" s="1"/>
  <c r="AA1634" i="6" s="1"/>
  <c r="Y1635" i="6"/>
  <c r="Y1636" i="6"/>
  <c r="Y1637" i="6"/>
  <c r="Z1637" i="6" s="1"/>
  <c r="AA1637" i="6" s="1"/>
  <c r="Y1638" i="6"/>
  <c r="Z1638" i="6" s="1"/>
  <c r="AA1638" i="6" s="1"/>
  <c r="Y1639" i="6"/>
  <c r="Y1640" i="6"/>
  <c r="Z1640" i="6" s="1"/>
  <c r="AA1640" i="6" s="1"/>
  <c r="Y1641" i="6"/>
  <c r="Z1641" i="6" s="1"/>
  <c r="AA1641" i="6" s="1"/>
  <c r="Y1642" i="6"/>
  <c r="Z1642" i="6" s="1"/>
  <c r="AA1642" i="6" s="1"/>
  <c r="Y1643" i="6"/>
  <c r="Y1644" i="6"/>
  <c r="Z1644" i="6" s="1"/>
  <c r="AA1644" i="6" s="1"/>
  <c r="Y1645" i="6"/>
  <c r="Z1645" i="6" s="1"/>
  <c r="AA1645" i="6" s="1"/>
  <c r="Y1646" i="6"/>
  <c r="Z1646" i="6" s="1"/>
  <c r="AA1646" i="6" s="1"/>
  <c r="Y1647" i="6"/>
  <c r="Y1648" i="6"/>
  <c r="Y1649" i="6"/>
  <c r="Z1649" i="6" s="1"/>
  <c r="AA1649" i="6" s="1"/>
  <c r="Y1650" i="6"/>
  <c r="Z1650" i="6" s="1"/>
  <c r="AA1650" i="6" s="1"/>
  <c r="Y1651" i="6"/>
  <c r="Y1652" i="6"/>
  <c r="Z1652" i="6" s="1"/>
  <c r="AA1652" i="6" s="1"/>
  <c r="Y1653" i="6"/>
  <c r="Z1653" i="6" s="1"/>
  <c r="AA1653" i="6" s="1"/>
  <c r="Y1654" i="6"/>
  <c r="Z1654" i="6" s="1"/>
  <c r="AA1654" i="6" s="1"/>
  <c r="Y1655" i="6"/>
  <c r="Y1656" i="6"/>
  <c r="Y1657" i="6"/>
  <c r="Z1657" i="6" s="1"/>
  <c r="AA1657" i="6" s="1"/>
  <c r="Y1658" i="6"/>
  <c r="Z1658" i="6" s="1"/>
  <c r="AA1658" i="6" s="1"/>
  <c r="Y1659" i="6"/>
  <c r="Y1660" i="6"/>
  <c r="Z1660" i="6" s="1"/>
  <c r="AA1660" i="6" s="1"/>
  <c r="Y1661" i="6"/>
  <c r="Z1661" i="6" s="1"/>
  <c r="AA1661" i="6" s="1"/>
  <c r="Y1662" i="6"/>
  <c r="Z1662" i="6" s="1"/>
  <c r="AA1662" i="6" s="1"/>
  <c r="Y1663" i="6"/>
  <c r="Y1664" i="6"/>
  <c r="Y1665" i="6"/>
  <c r="Z1665" i="6" s="1"/>
  <c r="AA1665" i="6" s="1"/>
  <c r="Y1666" i="6"/>
  <c r="Z1666" i="6" s="1"/>
  <c r="AA1666" i="6" s="1"/>
  <c r="Y1667" i="6"/>
  <c r="Y1668" i="6"/>
  <c r="Z1668" i="6" s="1"/>
  <c r="AA1668" i="6" s="1"/>
  <c r="Y1669" i="6"/>
  <c r="Z1669" i="6" s="1"/>
  <c r="AA1669" i="6" s="1"/>
  <c r="Y1670" i="6"/>
  <c r="Z1670" i="6" s="1"/>
  <c r="AA1670" i="6" s="1"/>
  <c r="Y1671" i="6"/>
  <c r="Y1672" i="6"/>
  <c r="Y1673" i="6"/>
  <c r="Z1673" i="6" s="1"/>
  <c r="AA1673" i="6" s="1"/>
  <c r="Y1674" i="6"/>
  <c r="Z1674" i="6" s="1"/>
  <c r="AA1674" i="6" s="1"/>
  <c r="Y1675" i="6"/>
  <c r="Y1676" i="6"/>
  <c r="Y1677" i="6"/>
  <c r="Z1677" i="6" s="1"/>
  <c r="AA1677" i="6" s="1"/>
  <c r="Y1678" i="6"/>
  <c r="Z1678" i="6" s="1"/>
  <c r="AA1678" i="6" s="1"/>
  <c r="Y1679" i="6"/>
  <c r="Y1680" i="6"/>
  <c r="Z1680" i="6" s="1"/>
  <c r="AA1680" i="6" s="1"/>
  <c r="Y1681" i="6"/>
  <c r="Z1681" i="6" s="1"/>
  <c r="AA1681" i="6" s="1"/>
  <c r="Y1682" i="6"/>
  <c r="Z1682" i="6" s="1"/>
  <c r="AA1682" i="6" s="1"/>
  <c r="Y1683" i="6"/>
  <c r="Y1684" i="6"/>
  <c r="Y1685" i="6"/>
  <c r="Z1685" i="6" s="1"/>
  <c r="AA1685" i="6" s="1"/>
  <c r="Y1686" i="6"/>
  <c r="Z1686" i="6" s="1"/>
  <c r="AA1686" i="6" s="1"/>
  <c r="Y1687" i="6"/>
  <c r="Y1688" i="6"/>
  <c r="Z1688" i="6" s="1"/>
  <c r="AA1688" i="6" s="1"/>
  <c r="Y1689" i="6"/>
  <c r="Y1690" i="6"/>
  <c r="Z1690" i="6" s="1"/>
  <c r="AA1690" i="6" s="1"/>
  <c r="Y1691" i="6"/>
  <c r="Y1692" i="6"/>
  <c r="Z1692" i="6" s="1"/>
  <c r="AA1692" i="6" s="1"/>
  <c r="Y1693" i="6"/>
  <c r="Z1693" i="6" s="1"/>
  <c r="AA1693" i="6" s="1"/>
  <c r="Y1694" i="6"/>
  <c r="Z1694" i="6" s="1"/>
  <c r="AA1694" i="6" s="1"/>
  <c r="Y1695" i="6"/>
  <c r="Y1696" i="6"/>
  <c r="Z1696" i="6" s="1"/>
  <c r="AA1696" i="6" s="1"/>
  <c r="Y1697" i="6"/>
  <c r="Z1697" i="6" s="1"/>
  <c r="AA1697" i="6" s="1"/>
  <c r="Y1698" i="6"/>
  <c r="Z1698" i="6" s="1"/>
  <c r="AA1698" i="6" s="1"/>
  <c r="Y1699" i="6"/>
  <c r="Y1700" i="6"/>
  <c r="Y1701" i="6"/>
  <c r="Z1701" i="6" s="1"/>
  <c r="AA1701" i="6" s="1"/>
  <c r="Y1702" i="6"/>
  <c r="Z1702" i="6" s="1"/>
  <c r="AA1702" i="6" s="1"/>
  <c r="Y1703" i="6"/>
  <c r="Y1704" i="6"/>
  <c r="Z1704" i="6" s="1"/>
  <c r="AA1704" i="6" s="1"/>
  <c r="Y1705" i="6"/>
  <c r="Z1705" i="6" s="1"/>
  <c r="AA1705" i="6" s="1"/>
  <c r="Y1706" i="6"/>
  <c r="Z1706" i="6" s="1"/>
  <c r="AA1706" i="6" s="1"/>
  <c r="Y1707" i="6"/>
  <c r="Y1708" i="6"/>
  <c r="Y1709" i="6"/>
  <c r="Z1709" i="6" s="1"/>
  <c r="AA1709" i="6" s="1"/>
  <c r="Y1710" i="6"/>
  <c r="Z1710" i="6" s="1"/>
  <c r="AA1710" i="6" s="1"/>
  <c r="Y1711" i="6"/>
  <c r="Y1712" i="6"/>
  <c r="Y1713" i="6"/>
  <c r="Z1713" i="6" s="1"/>
  <c r="AA1713" i="6" s="1"/>
  <c r="Y1714" i="6"/>
  <c r="Z1714" i="6" s="1"/>
  <c r="AA1714" i="6" s="1"/>
  <c r="Y1715" i="6"/>
  <c r="Y1716" i="6"/>
  <c r="Y1717" i="6"/>
  <c r="Z1717" i="6" s="1"/>
  <c r="AA1717" i="6" s="1"/>
  <c r="Y1718" i="6"/>
  <c r="Z1718" i="6" s="1"/>
  <c r="AA1718" i="6" s="1"/>
  <c r="Y1719" i="6"/>
  <c r="Y1720" i="6"/>
  <c r="Y1721" i="6"/>
  <c r="Z1721" i="6" s="1"/>
  <c r="AA1721" i="6" s="1"/>
  <c r="Y1722" i="6"/>
  <c r="Z1722" i="6" s="1"/>
  <c r="AA1722" i="6" s="1"/>
  <c r="Y1723" i="6"/>
  <c r="Y1724" i="6"/>
  <c r="Y1725" i="6"/>
  <c r="Z1725" i="6" s="1"/>
  <c r="AA1725" i="6" s="1"/>
  <c r="Y1726" i="6"/>
  <c r="Z1726" i="6" s="1"/>
  <c r="AA1726" i="6" s="1"/>
  <c r="Y1727" i="6"/>
  <c r="Y1728" i="6"/>
  <c r="Y1729" i="6"/>
  <c r="Z1729" i="6" s="1"/>
  <c r="AA1729" i="6" s="1"/>
  <c r="Y1730" i="6"/>
  <c r="Z1730" i="6" s="1"/>
  <c r="AA1730" i="6" s="1"/>
  <c r="Y1731" i="6"/>
  <c r="Y1732" i="6"/>
  <c r="Z1732" i="6" s="1"/>
  <c r="AA1732" i="6" s="1"/>
  <c r="Y1733" i="6"/>
  <c r="Z1733" i="6" s="1"/>
  <c r="AA1733" i="6" s="1"/>
  <c r="Y1734" i="6"/>
  <c r="Z1734" i="6" s="1"/>
  <c r="AA1734" i="6" s="1"/>
  <c r="Y1735" i="6"/>
  <c r="Y1736" i="6"/>
  <c r="Y1737" i="6"/>
  <c r="Z1737" i="6" s="1"/>
  <c r="AA1737" i="6" s="1"/>
  <c r="Y1738" i="6"/>
  <c r="Z1738" i="6" s="1"/>
  <c r="AA1738" i="6" s="1"/>
  <c r="Y1739" i="6"/>
  <c r="Y1740" i="6"/>
  <c r="Y1741" i="6"/>
  <c r="Z1741" i="6" s="1"/>
  <c r="AA1741" i="6" s="1"/>
  <c r="Y1742" i="6"/>
  <c r="Z1742" i="6" s="1"/>
  <c r="AA1742" i="6" s="1"/>
  <c r="Y1743" i="6"/>
  <c r="Y1744" i="6"/>
  <c r="Z1744" i="6" s="1"/>
  <c r="AA1744" i="6" s="1"/>
  <c r="Y1745" i="6"/>
  <c r="Z1745" i="6" s="1"/>
  <c r="AA1745" i="6" s="1"/>
  <c r="Y1746" i="6"/>
  <c r="Z1746" i="6" s="1"/>
  <c r="AA1746" i="6" s="1"/>
  <c r="Y1747" i="6"/>
  <c r="Y1748" i="6"/>
  <c r="Y1749" i="6"/>
  <c r="Z1749" i="6" s="1"/>
  <c r="AA1749" i="6" s="1"/>
  <c r="Y1750" i="6"/>
  <c r="Z1750" i="6" s="1"/>
  <c r="AA1750" i="6" s="1"/>
  <c r="Y1751" i="6"/>
  <c r="Y1752" i="6"/>
  <c r="Z1752" i="6" s="1"/>
  <c r="AA1752" i="6" s="1"/>
  <c r="Y1753" i="6"/>
  <c r="Z1753" i="6" s="1"/>
  <c r="AA1753" i="6" s="1"/>
  <c r="Y1754" i="6"/>
  <c r="Z1754" i="6" s="1"/>
  <c r="AA1754" i="6" s="1"/>
  <c r="Y1755" i="6"/>
  <c r="Y1756" i="6"/>
  <c r="Z1756" i="6" s="1"/>
  <c r="AA1756" i="6" s="1"/>
  <c r="Y1757" i="6"/>
  <c r="Z1757" i="6" s="1"/>
  <c r="AA1757" i="6" s="1"/>
  <c r="Y1758" i="6"/>
  <c r="Z1758" i="6" s="1"/>
  <c r="AA1758" i="6" s="1"/>
  <c r="Y1759" i="6"/>
  <c r="Y1760" i="6"/>
  <c r="Y1761" i="6"/>
  <c r="Z1761" i="6" s="1"/>
  <c r="AA1761" i="6" s="1"/>
  <c r="Y1762" i="6"/>
  <c r="Z1762" i="6" s="1"/>
  <c r="AA1762" i="6" s="1"/>
  <c r="Y1763" i="6"/>
  <c r="Y1764" i="6"/>
  <c r="Y1765" i="6"/>
  <c r="Z1765" i="6" s="1"/>
  <c r="AA1765" i="6" s="1"/>
  <c r="Y1766" i="6"/>
  <c r="Z1766" i="6" s="1"/>
  <c r="AA1766" i="6" s="1"/>
  <c r="Y1767" i="6"/>
  <c r="Y1768" i="6"/>
  <c r="Z1768" i="6" s="1"/>
  <c r="AA1768" i="6" s="1"/>
  <c r="Y1769" i="6"/>
  <c r="Z1769" i="6" s="1"/>
  <c r="AA1769" i="6" s="1"/>
  <c r="Y1770" i="6"/>
  <c r="Z1770" i="6" s="1"/>
  <c r="AA1770" i="6" s="1"/>
  <c r="Y1771" i="6"/>
  <c r="Y1772" i="6"/>
  <c r="Z1772" i="6" s="1"/>
  <c r="AA1772" i="6" s="1"/>
  <c r="Y1773" i="6"/>
  <c r="Z1773" i="6" s="1"/>
  <c r="AA1773" i="6" s="1"/>
  <c r="Y1774" i="6"/>
  <c r="Z1774" i="6" s="1"/>
  <c r="AA1774" i="6" s="1"/>
  <c r="Y1775" i="6"/>
  <c r="Y1776" i="6"/>
  <c r="Y1777" i="6"/>
  <c r="Z1777" i="6" s="1"/>
  <c r="AA1777" i="6" s="1"/>
  <c r="Y1778" i="6"/>
  <c r="Z1778" i="6" s="1"/>
  <c r="AA1778" i="6" s="1"/>
  <c r="Y1779" i="6"/>
  <c r="Y1780" i="6"/>
  <c r="Z1780" i="6" s="1"/>
  <c r="AA1780" i="6" s="1"/>
  <c r="Y1781" i="6"/>
  <c r="Z1781" i="6" s="1"/>
  <c r="AA1781" i="6" s="1"/>
  <c r="Y1782" i="6"/>
  <c r="Z1782" i="6" s="1"/>
  <c r="AA1782" i="6" s="1"/>
  <c r="Y1783" i="6"/>
  <c r="Y1784" i="6"/>
  <c r="Y1785" i="6"/>
  <c r="Z1785" i="6" s="1"/>
  <c r="AA1785" i="6" s="1"/>
  <c r="Y1786" i="6"/>
  <c r="Z1786" i="6" s="1"/>
  <c r="AA1786" i="6" s="1"/>
  <c r="Y1787" i="6"/>
  <c r="Y1788" i="6"/>
  <c r="Z1788" i="6" s="1"/>
  <c r="AA1788" i="6" s="1"/>
  <c r="Y1789" i="6"/>
  <c r="Z1789" i="6" s="1"/>
  <c r="AA1789" i="6" s="1"/>
  <c r="Y1790" i="6"/>
  <c r="Z1790" i="6" s="1"/>
  <c r="AA1790" i="6" s="1"/>
  <c r="Y1791" i="6"/>
  <c r="Y1792" i="6"/>
  <c r="Y1793" i="6"/>
  <c r="Z1793" i="6" s="1"/>
  <c r="AA1793" i="6" s="1"/>
  <c r="Y1794" i="6"/>
  <c r="Z1794" i="6" s="1"/>
  <c r="AA1794" i="6" s="1"/>
  <c r="Y1795" i="6"/>
  <c r="Y1796" i="6"/>
  <c r="Z1796" i="6" s="1"/>
  <c r="AA1796" i="6" s="1"/>
  <c r="Y1797" i="6"/>
  <c r="Z1797" i="6" s="1"/>
  <c r="AA1797" i="6" s="1"/>
  <c r="Y1798" i="6"/>
  <c r="Z1798" i="6" s="1"/>
  <c r="AA1798" i="6" s="1"/>
  <c r="Y1799" i="6"/>
  <c r="Y1800" i="6"/>
  <c r="Y1801" i="6"/>
  <c r="Z1801" i="6" s="1"/>
  <c r="AA1801" i="6" s="1"/>
  <c r="Y1802" i="6"/>
  <c r="Z1802" i="6" s="1"/>
  <c r="AA1802" i="6" s="1"/>
  <c r="Y1803" i="6"/>
  <c r="Y1804" i="6"/>
  <c r="Y1805" i="6"/>
  <c r="Z1805" i="6" s="1"/>
  <c r="AA1805" i="6" s="1"/>
  <c r="Y1806" i="6"/>
  <c r="Z1806" i="6" s="1"/>
  <c r="AA1806" i="6" s="1"/>
  <c r="Y1807" i="6"/>
  <c r="Y1808" i="6"/>
  <c r="Z1808" i="6" s="1"/>
  <c r="AA1808" i="6" s="1"/>
  <c r="Y1809" i="6"/>
  <c r="Z1809" i="6" s="1"/>
  <c r="AA1809" i="6" s="1"/>
  <c r="Y1810" i="6"/>
  <c r="Z1810" i="6" s="1"/>
  <c r="AA1810" i="6" s="1"/>
  <c r="Y1811" i="6"/>
  <c r="Y1812" i="6"/>
  <c r="Y1813" i="6"/>
  <c r="Z1813" i="6" s="1"/>
  <c r="AA1813" i="6" s="1"/>
  <c r="Y1814" i="6"/>
  <c r="Z1814" i="6" s="1"/>
  <c r="AA1814" i="6" s="1"/>
  <c r="Y1815" i="6"/>
  <c r="Y1816" i="6"/>
  <c r="Y1817" i="6"/>
  <c r="Z1817" i="6" s="1"/>
  <c r="AA1817" i="6" s="1"/>
  <c r="Y1818" i="6"/>
  <c r="Z1818" i="6" s="1"/>
  <c r="AA1818" i="6" s="1"/>
  <c r="Y1819" i="6"/>
  <c r="Y1820" i="6"/>
  <c r="Z1820" i="6" s="1"/>
  <c r="AA1820" i="6" s="1"/>
  <c r="Y1821" i="6"/>
  <c r="Y1822" i="6"/>
  <c r="Z1822" i="6" s="1"/>
  <c r="AA1822" i="6" s="1"/>
  <c r="Y1823" i="6"/>
  <c r="Y1824" i="6"/>
  <c r="Y1825" i="6"/>
  <c r="Z1825" i="6" s="1"/>
  <c r="AA1825" i="6" s="1"/>
  <c r="Y1826" i="6"/>
  <c r="Z1826" i="6" s="1"/>
  <c r="AA1826" i="6" s="1"/>
  <c r="Y1827" i="6"/>
  <c r="Y1828" i="6"/>
  <c r="Y1829" i="6"/>
  <c r="Z1829" i="6" s="1"/>
  <c r="AA1829" i="6" s="1"/>
  <c r="Y1830" i="6"/>
  <c r="Z1830" i="6" s="1"/>
  <c r="AA1830" i="6" s="1"/>
  <c r="Y1831" i="6"/>
  <c r="Y1832" i="6"/>
  <c r="Y1833" i="6"/>
  <c r="Y1834" i="6"/>
  <c r="Z1834" i="6" s="1"/>
  <c r="AA1834" i="6" s="1"/>
  <c r="Y1835" i="6"/>
  <c r="Y1836" i="6"/>
  <c r="Z1836" i="6" s="1"/>
  <c r="AA1836" i="6" s="1"/>
  <c r="Y1837" i="6"/>
  <c r="Z1837" i="6" s="1"/>
  <c r="AA1837" i="6" s="1"/>
  <c r="Y1838" i="6"/>
  <c r="Z1838" i="6" s="1"/>
  <c r="AA1838" i="6" s="1"/>
  <c r="Y1839" i="6"/>
  <c r="Y1840" i="6"/>
  <c r="Y1841" i="6"/>
  <c r="Z1841" i="6" s="1"/>
  <c r="AA1841" i="6" s="1"/>
  <c r="Y1842" i="6"/>
  <c r="Z1842" i="6" s="1"/>
  <c r="AA1842" i="6" s="1"/>
  <c r="Y1843" i="6"/>
  <c r="Y1844" i="6"/>
  <c r="Y1845" i="6"/>
  <c r="Z1845" i="6" s="1"/>
  <c r="AA1845" i="6" s="1"/>
  <c r="Y1846" i="6"/>
  <c r="Z1846" i="6" s="1"/>
  <c r="AA1846" i="6" s="1"/>
  <c r="Y1847" i="6"/>
  <c r="Y1848" i="6"/>
  <c r="Y1849" i="6"/>
  <c r="Z1849" i="6" s="1"/>
  <c r="AA1849" i="6" s="1"/>
  <c r="Y1850" i="6"/>
  <c r="Z1850" i="6" s="1"/>
  <c r="AA1850" i="6" s="1"/>
  <c r="Y1851" i="6"/>
  <c r="Y1852" i="6"/>
  <c r="Y1853" i="6"/>
  <c r="Z1853" i="6" s="1"/>
  <c r="AA1853" i="6" s="1"/>
  <c r="Y1854" i="6"/>
  <c r="Z1854" i="6" s="1"/>
  <c r="AA1854" i="6" s="1"/>
  <c r="Y1855" i="6"/>
  <c r="Y1856" i="6"/>
  <c r="Y1857" i="6"/>
  <c r="Z1857" i="6" s="1"/>
  <c r="AA1857" i="6" s="1"/>
  <c r="Y1858" i="6"/>
  <c r="Z1858" i="6" s="1"/>
  <c r="AA1858" i="6" s="1"/>
  <c r="Y1859" i="6"/>
  <c r="Y1860" i="6"/>
  <c r="Y1861" i="6"/>
  <c r="Z1861" i="6" s="1"/>
  <c r="AA1861" i="6" s="1"/>
  <c r="Y1862" i="6"/>
  <c r="Z1862" i="6" s="1"/>
  <c r="AA1862" i="6" s="1"/>
  <c r="Y1863" i="6"/>
  <c r="Y1864" i="6"/>
  <c r="Y1865" i="6"/>
  <c r="Z1865" i="6" s="1"/>
  <c r="AA1865" i="6" s="1"/>
  <c r="Y1866" i="6"/>
  <c r="Z1866" i="6" s="1"/>
  <c r="AA1866" i="6" s="1"/>
  <c r="Y1867" i="6"/>
  <c r="Y1868" i="6"/>
  <c r="Z1868" i="6" s="1"/>
  <c r="AA1868" i="6" s="1"/>
  <c r="Y1869" i="6"/>
  <c r="Z1869" i="6" s="1"/>
  <c r="AA1869" i="6" s="1"/>
  <c r="Y1870" i="6"/>
  <c r="Z1870" i="6" s="1"/>
  <c r="AA1870" i="6" s="1"/>
  <c r="Y1871" i="6"/>
  <c r="Y1872" i="6"/>
  <c r="Y1873" i="6"/>
  <c r="Y1874" i="6"/>
  <c r="Z1874" i="6" s="1"/>
  <c r="AA1874" i="6" s="1"/>
  <c r="Y1875" i="6"/>
  <c r="Y1876" i="6"/>
  <c r="Y1877" i="6"/>
  <c r="Z1877" i="6" s="1"/>
  <c r="AA1877" i="6" s="1"/>
  <c r="Y1878" i="6"/>
  <c r="Z1878" i="6" s="1"/>
  <c r="AA1878" i="6" s="1"/>
  <c r="Y1879" i="6"/>
  <c r="Y1880" i="6"/>
  <c r="Y1881" i="6"/>
  <c r="Z1881" i="6" s="1"/>
  <c r="AA1881" i="6" s="1"/>
  <c r="Y1882" i="6"/>
  <c r="Z1882" i="6" s="1"/>
  <c r="AA1882" i="6" s="1"/>
  <c r="Y1883" i="6"/>
  <c r="Y1884" i="6"/>
  <c r="Y1885" i="6"/>
  <c r="Z1885" i="6" s="1"/>
  <c r="AA1885" i="6" s="1"/>
  <c r="Y1886" i="6"/>
  <c r="Z1886" i="6" s="1"/>
  <c r="AA1886" i="6" s="1"/>
  <c r="Y1887" i="6"/>
  <c r="Y1888" i="6"/>
  <c r="Z1888" i="6" s="1"/>
  <c r="AA1888" i="6" s="1"/>
  <c r="Y1889" i="6"/>
  <c r="Z1889" i="6" s="1"/>
  <c r="AA1889" i="6" s="1"/>
  <c r="Y1890" i="6"/>
  <c r="Z1890" i="6" s="1"/>
  <c r="AA1890" i="6" s="1"/>
  <c r="Y1891" i="6"/>
  <c r="Y1892" i="6"/>
  <c r="Y1893" i="6"/>
  <c r="Z1893" i="6" s="1"/>
  <c r="AA1893" i="6" s="1"/>
  <c r="Y1894" i="6"/>
  <c r="Z1894" i="6" s="1"/>
  <c r="AA1894" i="6" s="1"/>
  <c r="Y1895" i="6"/>
  <c r="Y1896" i="6"/>
  <c r="Z1896" i="6" s="1"/>
  <c r="AA1896" i="6" s="1"/>
  <c r="Y1897" i="6"/>
  <c r="Z1897" i="6" s="1"/>
  <c r="AA1897" i="6" s="1"/>
  <c r="Y1898" i="6"/>
  <c r="Z1898" i="6" s="1"/>
  <c r="AA1898" i="6" s="1"/>
  <c r="Y1899" i="6"/>
  <c r="Y1900" i="6"/>
  <c r="Y1901" i="6"/>
  <c r="Z1901" i="6" s="1"/>
  <c r="AA1901" i="6" s="1"/>
  <c r="Y1902" i="6"/>
  <c r="Z1902" i="6" s="1"/>
  <c r="AA1902" i="6" s="1"/>
  <c r="Y1903" i="6"/>
  <c r="Y1904" i="6"/>
  <c r="Z1904" i="6" s="1"/>
  <c r="AA1904" i="6" s="1"/>
  <c r="Y1905" i="6"/>
  <c r="Z1905" i="6" s="1"/>
  <c r="AA1905" i="6" s="1"/>
  <c r="Y1906" i="6"/>
  <c r="Z1906" i="6" s="1"/>
  <c r="AA1906" i="6" s="1"/>
  <c r="Y1907" i="6"/>
  <c r="Y1908" i="6"/>
  <c r="Y1909" i="6"/>
  <c r="Z1909" i="6" s="1"/>
  <c r="AA1909" i="6" s="1"/>
  <c r="Y1910" i="6"/>
  <c r="Z1910" i="6" s="1"/>
  <c r="AA1910" i="6" s="1"/>
  <c r="Y1911" i="6"/>
  <c r="Y1912" i="6"/>
  <c r="Z1912" i="6" s="1"/>
  <c r="AA1912" i="6" s="1"/>
  <c r="Y1913" i="6"/>
  <c r="Z1913" i="6" s="1"/>
  <c r="AA1913" i="6" s="1"/>
  <c r="Y1914" i="6"/>
  <c r="Z1914" i="6" s="1"/>
  <c r="AA1914" i="6" s="1"/>
  <c r="Y1915" i="6"/>
  <c r="Y1916" i="6"/>
  <c r="Y1917" i="6"/>
  <c r="Z1917" i="6" s="1"/>
  <c r="AA1917" i="6" s="1"/>
  <c r="Y1918" i="6"/>
  <c r="Z1918" i="6" s="1"/>
  <c r="AA1918" i="6" s="1"/>
  <c r="Y1919" i="6"/>
  <c r="Y1920" i="6"/>
  <c r="Z1920" i="6" s="1"/>
  <c r="AA1920" i="6" s="1"/>
  <c r="Y1921" i="6"/>
  <c r="Z1921" i="6" s="1"/>
  <c r="AA1921" i="6" s="1"/>
  <c r="Y1922" i="6"/>
  <c r="Z1922" i="6" s="1"/>
  <c r="AA1922" i="6" s="1"/>
  <c r="Y1923" i="6"/>
  <c r="Y1924" i="6"/>
  <c r="Y1925" i="6"/>
  <c r="Z1925" i="6" s="1"/>
  <c r="AA1925" i="6" s="1"/>
  <c r="Y1926" i="6"/>
  <c r="Z1926" i="6" s="1"/>
  <c r="AA1926" i="6" s="1"/>
  <c r="Y1927" i="6"/>
  <c r="Y1928" i="6"/>
  <c r="Z1928" i="6" s="1"/>
  <c r="AA1928" i="6" s="1"/>
  <c r="Y1929" i="6"/>
  <c r="Z1929" i="6" s="1"/>
  <c r="AA1929" i="6" s="1"/>
  <c r="Y1930" i="6"/>
  <c r="Z1930" i="6" s="1"/>
  <c r="AA1930" i="6" s="1"/>
  <c r="Y1931" i="6"/>
  <c r="Y1932" i="6"/>
  <c r="Y1933" i="6"/>
  <c r="Z1933" i="6" s="1"/>
  <c r="AA1933" i="6" s="1"/>
  <c r="Y1934" i="6"/>
  <c r="Z1934" i="6" s="1"/>
  <c r="AA1934" i="6" s="1"/>
  <c r="Y1935" i="6"/>
  <c r="Y1936" i="6"/>
  <c r="Z1936" i="6" s="1"/>
  <c r="AA1936" i="6" s="1"/>
  <c r="Y1937" i="6"/>
  <c r="Z1937" i="6" s="1"/>
  <c r="AA1937" i="6" s="1"/>
  <c r="Y1938" i="6"/>
  <c r="Z1938" i="6" s="1"/>
  <c r="AA1938" i="6" s="1"/>
  <c r="Y1939" i="6"/>
  <c r="Y1940" i="6"/>
  <c r="Y1941" i="6"/>
  <c r="Y1942" i="6"/>
  <c r="Z1942" i="6" s="1"/>
  <c r="AA1942" i="6" s="1"/>
  <c r="Y1943" i="6"/>
  <c r="Y1944" i="6"/>
  <c r="Y1945" i="6"/>
  <c r="Z1945" i="6" s="1"/>
  <c r="AA1945" i="6" s="1"/>
  <c r="Y1946" i="6"/>
  <c r="Z1946" i="6" s="1"/>
  <c r="AA1946" i="6" s="1"/>
  <c r="Y1947" i="6"/>
  <c r="Y1948" i="6"/>
  <c r="Y1949" i="6"/>
  <c r="Z1949" i="6" s="1"/>
  <c r="AA1949" i="6" s="1"/>
  <c r="Y1950" i="6"/>
  <c r="Z1950" i="6" s="1"/>
  <c r="AA1950" i="6" s="1"/>
  <c r="Y1951" i="6"/>
  <c r="Y1952" i="6"/>
  <c r="Y1953" i="6"/>
  <c r="Y1954" i="6"/>
  <c r="Z1954" i="6" s="1"/>
  <c r="AA1954" i="6" s="1"/>
  <c r="Y1955" i="6"/>
  <c r="Y1956" i="6"/>
  <c r="Z1956" i="6" s="1"/>
  <c r="AA1956" i="6" s="1"/>
  <c r="Y1957" i="6"/>
  <c r="Z1957" i="6" s="1"/>
  <c r="AA1957" i="6" s="1"/>
  <c r="Y1958" i="6"/>
  <c r="Z1958" i="6" s="1"/>
  <c r="AA1958" i="6" s="1"/>
  <c r="Y1959" i="6"/>
  <c r="Y1960" i="6"/>
  <c r="Y1961" i="6"/>
  <c r="Z1961" i="6" s="1"/>
  <c r="AA1961" i="6" s="1"/>
  <c r="Y1962" i="6"/>
  <c r="Z1962" i="6" s="1"/>
  <c r="AA1962" i="6" s="1"/>
  <c r="Y1963" i="6"/>
  <c r="Y1964" i="6"/>
  <c r="Z1964" i="6" s="1"/>
  <c r="AA1964" i="6" s="1"/>
  <c r="Y1965" i="6"/>
  <c r="Z1965" i="6" s="1"/>
  <c r="AA1965" i="6" s="1"/>
  <c r="Y1966" i="6"/>
  <c r="Z1966" i="6" s="1"/>
  <c r="AA1966" i="6" s="1"/>
  <c r="Y1967" i="6"/>
  <c r="Y1968" i="6"/>
  <c r="Y1969" i="6"/>
  <c r="Z1969" i="6" s="1"/>
  <c r="AA1969" i="6" s="1"/>
  <c r="Y1970" i="6"/>
  <c r="Z1970" i="6" s="1"/>
  <c r="AA1970" i="6" s="1"/>
  <c r="Y1971" i="6"/>
  <c r="Y1972" i="6"/>
  <c r="Z1972" i="6" s="1"/>
  <c r="AA1972" i="6" s="1"/>
  <c r="Y1973" i="6"/>
  <c r="Y1974" i="6"/>
  <c r="Z1974" i="6" s="1"/>
  <c r="AA1974" i="6" s="1"/>
  <c r="Y1975" i="6"/>
  <c r="Y1976" i="6"/>
  <c r="Y1977" i="6"/>
  <c r="Z1977" i="6" s="1"/>
  <c r="AA1977" i="6" s="1"/>
  <c r="Y1978" i="6"/>
  <c r="Z1978" i="6" s="1"/>
  <c r="AA1978" i="6" s="1"/>
  <c r="Y1979" i="6"/>
  <c r="Y1980" i="6"/>
  <c r="Y1981" i="6"/>
  <c r="Z1981" i="6" s="1"/>
  <c r="AA1981" i="6" s="1"/>
  <c r="Y1982" i="6"/>
  <c r="Z1982" i="6" s="1"/>
  <c r="AA1982" i="6" s="1"/>
  <c r="Y1983" i="6"/>
  <c r="Y1984" i="6"/>
  <c r="Y1985" i="6"/>
  <c r="Z1985" i="6" s="1"/>
  <c r="AA1985" i="6" s="1"/>
  <c r="Y1986" i="6"/>
  <c r="Z1986" i="6" s="1"/>
  <c r="AA1986" i="6" s="1"/>
  <c r="Y1987" i="6"/>
  <c r="Y1988" i="6"/>
  <c r="Y1989" i="6"/>
  <c r="Z1989" i="6" s="1"/>
  <c r="AA1989" i="6" s="1"/>
  <c r="Y1990" i="6"/>
  <c r="Z1990" i="6" s="1"/>
  <c r="AA1990" i="6" s="1"/>
  <c r="Y1991" i="6"/>
  <c r="Y1992" i="6"/>
  <c r="Y1993" i="6"/>
  <c r="Z1993" i="6" s="1"/>
  <c r="AA1993" i="6" s="1"/>
  <c r="Y1994" i="6"/>
  <c r="Z1994" i="6" s="1"/>
  <c r="AA1994" i="6" s="1"/>
  <c r="Y1995" i="6"/>
  <c r="Y1996" i="6"/>
  <c r="Y1997" i="6"/>
  <c r="Z1997" i="6" s="1"/>
  <c r="AA1997" i="6" s="1"/>
  <c r="Y1998" i="6"/>
  <c r="Z1998" i="6" s="1"/>
  <c r="AA1998" i="6" s="1"/>
  <c r="Y1999" i="6"/>
  <c r="Y2000" i="6"/>
  <c r="Y2001" i="6"/>
  <c r="Z2001" i="6" s="1"/>
  <c r="AA2001" i="6" s="1"/>
  <c r="Y2002" i="6"/>
  <c r="Z2002" i="6" s="1"/>
  <c r="AA2002" i="6" s="1"/>
  <c r="Y2003" i="6"/>
  <c r="Y2004" i="6"/>
  <c r="Y2005" i="6"/>
  <c r="Z2005" i="6" s="1"/>
  <c r="AA2005" i="6" s="1"/>
  <c r="Y2006" i="6"/>
  <c r="Z2006" i="6" s="1"/>
  <c r="AA2006" i="6" s="1"/>
  <c r="Y2007" i="6"/>
  <c r="Y2008" i="6"/>
  <c r="T9" i="6"/>
  <c r="U9" i="6" s="1"/>
  <c r="T8" i="6"/>
  <c r="U8" i="6" s="1"/>
  <c r="T10" i="6"/>
  <c r="U10" i="6" s="1"/>
  <c r="T11" i="6"/>
  <c r="T12" i="6"/>
  <c r="U12" i="6" s="1"/>
  <c r="V12" i="6" s="1"/>
  <c r="T13" i="6"/>
  <c r="U13" i="6" s="1"/>
  <c r="V13" i="6" s="1"/>
  <c r="T14" i="6"/>
  <c r="T15" i="6"/>
  <c r="T16" i="6"/>
  <c r="U16" i="6" s="1"/>
  <c r="V16" i="6" s="1"/>
  <c r="T17" i="6"/>
  <c r="U17" i="6" s="1"/>
  <c r="V17" i="6" s="1"/>
  <c r="T18" i="6"/>
  <c r="T19" i="6"/>
  <c r="T20" i="6"/>
  <c r="U20" i="6" s="1"/>
  <c r="V20" i="6" s="1"/>
  <c r="T21" i="6"/>
  <c r="U21" i="6" s="1"/>
  <c r="V21" i="6" s="1"/>
  <c r="T22" i="6"/>
  <c r="T23" i="6"/>
  <c r="T24" i="6"/>
  <c r="U24" i="6" s="1"/>
  <c r="V24" i="6" s="1"/>
  <c r="T25" i="6"/>
  <c r="U25" i="6" s="1"/>
  <c r="V25" i="6" s="1"/>
  <c r="T26" i="6"/>
  <c r="T27" i="6"/>
  <c r="T28" i="6"/>
  <c r="U28" i="6" s="1"/>
  <c r="V28" i="6" s="1"/>
  <c r="T29" i="6"/>
  <c r="U29" i="6" s="1"/>
  <c r="V29" i="6" s="1"/>
  <c r="T30" i="6"/>
  <c r="T31" i="6"/>
  <c r="T32" i="6"/>
  <c r="U32" i="6" s="1"/>
  <c r="V32" i="6" s="1"/>
  <c r="T33" i="6"/>
  <c r="U33" i="6" s="1"/>
  <c r="V33" i="6" s="1"/>
  <c r="T34" i="6"/>
  <c r="T35" i="6"/>
  <c r="T36" i="6"/>
  <c r="U36" i="6" s="1"/>
  <c r="V36" i="6" s="1"/>
  <c r="T37" i="6"/>
  <c r="U37" i="6" s="1"/>
  <c r="V37" i="6" s="1"/>
  <c r="T38" i="6"/>
  <c r="T39" i="6"/>
  <c r="T40" i="6"/>
  <c r="U40" i="6" s="1"/>
  <c r="V40" i="6" s="1"/>
  <c r="T41" i="6"/>
  <c r="U41" i="6" s="1"/>
  <c r="V41" i="6" s="1"/>
  <c r="T42" i="6"/>
  <c r="T43" i="6"/>
  <c r="T44" i="6"/>
  <c r="U44" i="6" s="1"/>
  <c r="V44" i="6" s="1"/>
  <c r="T45" i="6"/>
  <c r="U45" i="6" s="1"/>
  <c r="V45" i="6" s="1"/>
  <c r="T46" i="6"/>
  <c r="T47" i="6"/>
  <c r="T48" i="6"/>
  <c r="T49" i="6"/>
  <c r="U49" i="6" s="1"/>
  <c r="V49" i="6" s="1"/>
  <c r="T50" i="6"/>
  <c r="T51" i="6"/>
  <c r="T52" i="6"/>
  <c r="U52" i="6" s="1"/>
  <c r="V52" i="6" s="1"/>
  <c r="T53" i="6"/>
  <c r="U53" i="6" s="1"/>
  <c r="V53" i="6" s="1"/>
  <c r="T54" i="6"/>
  <c r="T55" i="6"/>
  <c r="T56" i="6"/>
  <c r="U56" i="6" s="1"/>
  <c r="V56" i="6" s="1"/>
  <c r="T57" i="6"/>
  <c r="U57" i="6" s="1"/>
  <c r="V57" i="6" s="1"/>
  <c r="T58" i="6"/>
  <c r="T59" i="6"/>
  <c r="T60" i="6"/>
  <c r="U60" i="6" s="1"/>
  <c r="V60" i="6" s="1"/>
  <c r="T61" i="6"/>
  <c r="U61" i="6" s="1"/>
  <c r="V61" i="6" s="1"/>
  <c r="T62" i="6"/>
  <c r="T63" i="6"/>
  <c r="T64" i="6"/>
  <c r="U64" i="6" s="1"/>
  <c r="V64" i="6" s="1"/>
  <c r="T65" i="6"/>
  <c r="U65" i="6" s="1"/>
  <c r="V65" i="6" s="1"/>
  <c r="T66" i="6"/>
  <c r="T67" i="6"/>
  <c r="T68" i="6"/>
  <c r="T69" i="6"/>
  <c r="U69" i="6" s="1"/>
  <c r="V69" i="6" s="1"/>
  <c r="T70" i="6"/>
  <c r="T71" i="6"/>
  <c r="T72" i="6"/>
  <c r="U72" i="6" s="1"/>
  <c r="V72" i="6" s="1"/>
  <c r="T73" i="6"/>
  <c r="U73" i="6" s="1"/>
  <c r="V73" i="6" s="1"/>
  <c r="T74" i="6"/>
  <c r="T75" i="6"/>
  <c r="T76" i="6"/>
  <c r="U76" i="6" s="1"/>
  <c r="V76" i="6" s="1"/>
  <c r="T77" i="6"/>
  <c r="U77" i="6" s="1"/>
  <c r="V77" i="6" s="1"/>
  <c r="T78" i="6"/>
  <c r="T79" i="6"/>
  <c r="T80" i="6"/>
  <c r="U80" i="6" s="1"/>
  <c r="V80" i="6" s="1"/>
  <c r="T81" i="6"/>
  <c r="U81" i="6" s="1"/>
  <c r="V81" i="6" s="1"/>
  <c r="T82" i="6"/>
  <c r="T83" i="6"/>
  <c r="T84" i="6"/>
  <c r="U84" i="6" s="1"/>
  <c r="V84" i="6" s="1"/>
  <c r="T85" i="6"/>
  <c r="U85" i="6" s="1"/>
  <c r="V85" i="6" s="1"/>
  <c r="T86" i="6"/>
  <c r="T87" i="6"/>
  <c r="T88" i="6"/>
  <c r="U88" i="6" s="1"/>
  <c r="V88" i="6" s="1"/>
  <c r="T89" i="6"/>
  <c r="U89" i="6" s="1"/>
  <c r="V89" i="6" s="1"/>
  <c r="T90" i="6"/>
  <c r="T91" i="6"/>
  <c r="T92" i="6"/>
  <c r="T93" i="6"/>
  <c r="U93" i="6" s="1"/>
  <c r="V93" i="6" s="1"/>
  <c r="T94" i="6"/>
  <c r="T95" i="6"/>
  <c r="T96" i="6"/>
  <c r="U96" i="6" s="1"/>
  <c r="V96" i="6" s="1"/>
  <c r="T97" i="6"/>
  <c r="U97" i="6" s="1"/>
  <c r="V97" i="6" s="1"/>
  <c r="T98" i="6"/>
  <c r="T99" i="6"/>
  <c r="T100" i="6"/>
  <c r="U100" i="6" s="1"/>
  <c r="V100" i="6" s="1"/>
  <c r="T101" i="6"/>
  <c r="U101" i="6" s="1"/>
  <c r="V101" i="6" s="1"/>
  <c r="T102" i="6"/>
  <c r="T103" i="6"/>
  <c r="T104" i="6"/>
  <c r="U104" i="6" s="1"/>
  <c r="V104" i="6" s="1"/>
  <c r="T105" i="6"/>
  <c r="U105" i="6" s="1"/>
  <c r="V105" i="6" s="1"/>
  <c r="T106" i="6"/>
  <c r="T107" i="6"/>
  <c r="T108" i="6"/>
  <c r="U108" i="6" s="1"/>
  <c r="V108" i="6" s="1"/>
  <c r="T109" i="6"/>
  <c r="U109" i="6" s="1"/>
  <c r="V109" i="6" s="1"/>
  <c r="T110" i="6"/>
  <c r="T111" i="6"/>
  <c r="T112" i="6"/>
  <c r="U112" i="6" s="1"/>
  <c r="V112" i="6" s="1"/>
  <c r="T113" i="6"/>
  <c r="U113" i="6" s="1"/>
  <c r="V113" i="6" s="1"/>
  <c r="T114" i="6"/>
  <c r="T115" i="6"/>
  <c r="T116" i="6"/>
  <c r="U116" i="6" s="1"/>
  <c r="V116" i="6" s="1"/>
  <c r="T117" i="6"/>
  <c r="U117" i="6" s="1"/>
  <c r="V117" i="6" s="1"/>
  <c r="T118" i="6"/>
  <c r="T119" i="6"/>
  <c r="T120" i="6"/>
  <c r="U120" i="6" s="1"/>
  <c r="V120" i="6" s="1"/>
  <c r="T121" i="6"/>
  <c r="U121" i="6" s="1"/>
  <c r="V121" i="6" s="1"/>
  <c r="T122" i="6"/>
  <c r="T123" i="6"/>
  <c r="T124" i="6"/>
  <c r="U124" i="6" s="1"/>
  <c r="V124" i="6" s="1"/>
  <c r="T125" i="6"/>
  <c r="U125" i="6" s="1"/>
  <c r="V125" i="6" s="1"/>
  <c r="T126" i="6"/>
  <c r="T127" i="6"/>
  <c r="T128" i="6"/>
  <c r="U128" i="6" s="1"/>
  <c r="V128" i="6" s="1"/>
  <c r="T129" i="6"/>
  <c r="U129" i="6" s="1"/>
  <c r="V129" i="6" s="1"/>
  <c r="T130" i="6"/>
  <c r="T131" i="6"/>
  <c r="T132" i="6"/>
  <c r="U132" i="6" s="1"/>
  <c r="V132" i="6" s="1"/>
  <c r="T133" i="6"/>
  <c r="U133" i="6" s="1"/>
  <c r="V133" i="6" s="1"/>
  <c r="T134" i="6"/>
  <c r="T135" i="6"/>
  <c r="T136" i="6"/>
  <c r="U136" i="6" s="1"/>
  <c r="V136" i="6" s="1"/>
  <c r="T137" i="6"/>
  <c r="U137" i="6" s="1"/>
  <c r="V137" i="6" s="1"/>
  <c r="T138" i="6"/>
  <c r="T139" i="6"/>
  <c r="T140" i="6"/>
  <c r="U140" i="6" s="1"/>
  <c r="V140" i="6" s="1"/>
  <c r="T141" i="6"/>
  <c r="U141" i="6" s="1"/>
  <c r="V141" i="6" s="1"/>
  <c r="T142" i="6"/>
  <c r="T143" i="6"/>
  <c r="T144" i="6"/>
  <c r="T145" i="6"/>
  <c r="U145" i="6" s="1"/>
  <c r="V145" i="6" s="1"/>
  <c r="T146" i="6"/>
  <c r="T147" i="6"/>
  <c r="T148" i="6"/>
  <c r="U148" i="6" s="1"/>
  <c r="V148" i="6" s="1"/>
  <c r="T149" i="6"/>
  <c r="U149" i="6" s="1"/>
  <c r="V149" i="6" s="1"/>
  <c r="T150" i="6"/>
  <c r="T151" i="6"/>
  <c r="T152" i="6"/>
  <c r="U152" i="6" s="1"/>
  <c r="V152" i="6" s="1"/>
  <c r="T153" i="6"/>
  <c r="U153" i="6" s="1"/>
  <c r="V153" i="6" s="1"/>
  <c r="T154" i="6"/>
  <c r="T155" i="6"/>
  <c r="T156" i="6"/>
  <c r="T157" i="6"/>
  <c r="U157" i="6" s="1"/>
  <c r="V157" i="6" s="1"/>
  <c r="T158" i="6"/>
  <c r="T159" i="6"/>
  <c r="T160" i="6"/>
  <c r="U160" i="6" s="1"/>
  <c r="V160" i="6" s="1"/>
  <c r="T161" i="6"/>
  <c r="U161" i="6" s="1"/>
  <c r="V161" i="6" s="1"/>
  <c r="T162" i="6"/>
  <c r="T163" i="6"/>
  <c r="T164" i="6"/>
  <c r="U164" i="6" s="1"/>
  <c r="V164" i="6" s="1"/>
  <c r="T165" i="6"/>
  <c r="U165" i="6" s="1"/>
  <c r="V165" i="6" s="1"/>
  <c r="T166" i="6"/>
  <c r="T167" i="6"/>
  <c r="T168" i="6"/>
  <c r="U168" i="6" s="1"/>
  <c r="V168" i="6" s="1"/>
  <c r="T169" i="6"/>
  <c r="U169" i="6" s="1"/>
  <c r="V169" i="6" s="1"/>
  <c r="T170" i="6"/>
  <c r="T171" i="6"/>
  <c r="T172" i="6"/>
  <c r="T173" i="6"/>
  <c r="U173" i="6" s="1"/>
  <c r="V173" i="6" s="1"/>
  <c r="T174" i="6"/>
  <c r="T175" i="6"/>
  <c r="T176" i="6"/>
  <c r="U176" i="6" s="1"/>
  <c r="V176" i="6" s="1"/>
  <c r="T177" i="6"/>
  <c r="U177" i="6" s="1"/>
  <c r="V177" i="6" s="1"/>
  <c r="T178" i="6"/>
  <c r="T179" i="6"/>
  <c r="T180" i="6"/>
  <c r="U180" i="6" s="1"/>
  <c r="V180" i="6" s="1"/>
  <c r="T181" i="6"/>
  <c r="U181" i="6" s="1"/>
  <c r="V181" i="6" s="1"/>
  <c r="T182" i="6"/>
  <c r="T183" i="6"/>
  <c r="T184" i="6"/>
  <c r="U184" i="6" s="1"/>
  <c r="V184" i="6" s="1"/>
  <c r="T185" i="6"/>
  <c r="U185" i="6" s="1"/>
  <c r="V185" i="6" s="1"/>
  <c r="T186" i="6"/>
  <c r="T187" i="6"/>
  <c r="T188" i="6"/>
  <c r="U188" i="6" s="1"/>
  <c r="V188" i="6" s="1"/>
  <c r="T189" i="6"/>
  <c r="U189" i="6" s="1"/>
  <c r="V189" i="6" s="1"/>
  <c r="T190" i="6"/>
  <c r="T191" i="6"/>
  <c r="T192" i="6"/>
  <c r="U192" i="6" s="1"/>
  <c r="V192" i="6" s="1"/>
  <c r="T193" i="6"/>
  <c r="U193" i="6" s="1"/>
  <c r="V193" i="6" s="1"/>
  <c r="T194" i="6"/>
  <c r="T195" i="6"/>
  <c r="T196" i="6"/>
  <c r="U196" i="6" s="1"/>
  <c r="V196" i="6" s="1"/>
  <c r="T197" i="6"/>
  <c r="U197" i="6" s="1"/>
  <c r="V197" i="6" s="1"/>
  <c r="T198" i="6"/>
  <c r="T199" i="6"/>
  <c r="T200" i="6"/>
  <c r="U200" i="6" s="1"/>
  <c r="V200" i="6" s="1"/>
  <c r="T201" i="6"/>
  <c r="U201" i="6" s="1"/>
  <c r="V201" i="6" s="1"/>
  <c r="T202" i="6"/>
  <c r="T203" i="6"/>
  <c r="T204" i="6"/>
  <c r="U204" i="6" s="1"/>
  <c r="V204" i="6" s="1"/>
  <c r="T205" i="6"/>
  <c r="U205" i="6" s="1"/>
  <c r="V205" i="6" s="1"/>
  <c r="T206" i="6"/>
  <c r="T207" i="6"/>
  <c r="T208" i="6"/>
  <c r="U208" i="6" s="1"/>
  <c r="V208" i="6" s="1"/>
  <c r="T209" i="6"/>
  <c r="U209" i="6" s="1"/>
  <c r="V209" i="6" s="1"/>
  <c r="T210" i="6"/>
  <c r="T211" i="6"/>
  <c r="T212" i="6"/>
  <c r="U212" i="6" s="1"/>
  <c r="V212" i="6" s="1"/>
  <c r="T213" i="6"/>
  <c r="U213" i="6" s="1"/>
  <c r="V213" i="6" s="1"/>
  <c r="T214" i="6"/>
  <c r="T215" i="6"/>
  <c r="T216" i="6"/>
  <c r="U216" i="6" s="1"/>
  <c r="V216" i="6" s="1"/>
  <c r="T217" i="6"/>
  <c r="U217" i="6" s="1"/>
  <c r="V217" i="6" s="1"/>
  <c r="T218" i="6"/>
  <c r="T219" i="6"/>
  <c r="T220" i="6"/>
  <c r="U220" i="6" s="1"/>
  <c r="V220" i="6" s="1"/>
  <c r="T221" i="6"/>
  <c r="U221" i="6" s="1"/>
  <c r="V221" i="6" s="1"/>
  <c r="T222" i="6"/>
  <c r="T223" i="6"/>
  <c r="T224" i="6"/>
  <c r="T225" i="6"/>
  <c r="U225" i="6" s="1"/>
  <c r="V225" i="6" s="1"/>
  <c r="T226" i="6"/>
  <c r="T227" i="6"/>
  <c r="T228" i="6"/>
  <c r="T229" i="6"/>
  <c r="U229" i="6" s="1"/>
  <c r="V229" i="6" s="1"/>
  <c r="T230" i="6"/>
  <c r="T231" i="6"/>
  <c r="T232" i="6"/>
  <c r="U232" i="6" s="1"/>
  <c r="V232" i="6" s="1"/>
  <c r="T233" i="6"/>
  <c r="U233" i="6" s="1"/>
  <c r="V233" i="6" s="1"/>
  <c r="T234" i="6"/>
  <c r="T235" i="6"/>
  <c r="T236" i="6"/>
  <c r="T237" i="6"/>
  <c r="U237" i="6" s="1"/>
  <c r="V237" i="6" s="1"/>
  <c r="T238" i="6"/>
  <c r="T239" i="6"/>
  <c r="T240" i="6"/>
  <c r="T241" i="6"/>
  <c r="U241" i="6" s="1"/>
  <c r="V241" i="6" s="1"/>
  <c r="T242" i="6"/>
  <c r="T243" i="6"/>
  <c r="T244" i="6"/>
  <c r="U244" i="6" s="1"/>
  <c r="V244" i="6" s="1"/>
  <c r="T245" i="6"/>
  <c r="U245" i="6" s="1"/>
  <c r="V245" i="6" s="1"/>
  <c r="T246" i="6"/>
  <c r="T247" i="6"/>
  <c r="T248" i="6"/>
  <c r="U248" i="6" s="1"/>
  <c r="V248" i="6" s="1"/>
  <c r="T249" i="6"/>
  <c r="U249" i="6" s="1"/>
  <c r="V249" i="6" s="1"/>
  <c r="T250" i="6"/>
  <c r="T251" i="6"/>
  <c r="T252" i="6"/>
  <c r="U252" i="6" s="1"/>
  <c r="V252" i="6" s="1"/>
  <c r="T253" i="6"/>
  <c r="U253" i="6" s="1"/>
  <c r="V253" i="6" s="1"/>
  <c r="T254" i="6"/>
  <c r="T255" i="6"/>
  <c r="T256" i="6"/>
  <c r="U256" i="6" s="1"/>
  <c r="V256" i="6" s="1"/>
  <c r="T257" i="6"/>
  <c r="U257" i="6" s="1"/>
  <c r="V257" i="6" s="1"/>
  <c r="T258" i="6"/>
  <c r="T259" i="6"/>
  <c r="T260" i="6"/>
  <c r="U260" i="6" s="1"/>
  <c r="V260" i="6" s="1"/>
  <c r="T261" i="6"/>
  <c r="U261" i="6" s="1"/>
  <c r="V261" i="6" s="1"/>
  <c r="T262" i="6"/>
  <c r="T263" i="6"/>
  <c r="T264" i="6"/>
  <c r="U264" i="6" s="1"/>
  <c r="V264" i="6" s="1"/>
  <c r="T265" i="6"/>
  <c r="U265" i="6" s="1"/>
  <c r="V265" i="6" s="1"/>
  <c r="T266" i="6"/>
  <c r="T267" i="6"/>
  <c r="T268" i="6"/>
  <c r="U268" i="6" s="1"/>
  <c r="V268" i="6" s="1"/>
  <c r="T269" i="6"/>
  <c r="U269" i="6" s="1"/>
  <c r="V269" i="6" s="1"/>
  <c r="T270" i="6"/>
  <c r="T271" i="6"/>
  <c r="T272" i="6"/>
  <c r="U272" i="6" s="1"/>
  <c r="V272" i="6" s="1"/>
  <c r="T273" i="6"/>
  <c r="U273" i="6" s="1"/>
  <c r="V273" i="6" s="1"/>
  <c r="T274" i="6"/>
  <c r="T275" i="6"/>
  <c r="T276" i="6"/>
  <c r="U276" i="6" s="1"/>
  <c r="V276" i="6" s="1"/>
  <c r="T277" i="6"/>
  <c r="U277" i="6" s="1"/>
  <c r="V277" i="6" s="1"/>
  <c r="T278" i="6"/>
  <c r="T279" i="6"/>
  <c r="T280" i="6"/>
  <c r="U280" i="6" s="1"/>
  <c r="V280" i="6" s="1"/>
  <c r="T281" i="6"/>
  <c r="U281" i="6" s="1"/>
  <c r="V281" i="6" s="1"/>
  <c r="T282" i="6"/>
  <c r="T283" i="6"/>
  <c r="T284" i="6"/>
  <c r="U284" i="6" s="1"/>
  <c r="V284" i="6" s="1"/>
  <c r="T285" i="6"/>
  <c r="U285" i="6" s="1"/>
  <c r="V285" i="6" s="1"/>
  <c r="T286" i="6"/>
  <c r="T287" i="6"/>
  <c r="T288" i="6"/>
  <c r="U288" i="6" s="1"/>
  <c r="V288" i="6" s="1"/>
  <c r="T289" i="6"/>
  <c r="U289" i="6" s="1"/>
  <c r="V289" i="6" s="1"/>
  <c r="T290" i="6"/>
  <c r="T291" i="6"/>
  <c r="T292" i="6"/>
  <c r="T293" i="6"/>
  <c r="U293" i="6" s="1"/>
  <c r="V293" i="6" s="1"/>
  <c r="T294" i="6"/>
  <c r="T295" i="6"/>
  <c r="T296" i="6"/>
  <c r="U296" i="6" s="1"/>
  <c r="V296" i="6" s="1"/>
  <c r="T297" i="6"/>
  <c r="U297" i="6" s="1"/>
  <c r="V297" i="6" s="1"/>
  <c r="T298" i="6"/>
  <c r="T299" i="6"/>
  <c r="T300" i="6"/>
  <c r="U300" i="6" s="1"/>
  <c r="V300" i="6" s="1"/>
  <c r="T301" i="6"/>
  <c r="U301" i="6" s="1"/>
  <c r="V301" i="6" s="1"/>
  <c r="T302" i="6"/>
  <c r="T303" i="6"/>
  <c r="T304" i="6"/>
  <c r="U304" i="6" s="1"/>
  <c r="V304" i="6" s="1"/>
  <c r="T305" i="6"/>
  <c r="U305" i="6" s="1"/>
  <c r="V305" i="6" s="1"/>
  <c r="T306" i="6"/>
  <c r="T307" i="6"/>
  <c r="T308" i="6"/>
  <c r="U308" i="6" s="1"/>
  <c r="V308" i="6" s="1"/>
  <c r="T309" i="6"/>
  <c r="U309" i="6" s="1"/>
  <c r="V309" i="6" s="1"/>
  <c r="T310" i="6"/>
  <c r="T311" i="6"/>
  <c r="T312" i="6"/>
  <c r="U312" i="6" s="1"/>
  <c r="V312" i="6" s="1"/>
  <c r="T313" i="6"/>
  <c r="U313" i="6" s="1"/>
  <c r="V313" i="6" s="1"/>
  <c r="T314" i="6"/>
  <c r="T315" i="6"/>
  <c r="T316" i="6"/>
  <c r="U316" i="6" s="1"/>
  <c r="V316" i="6" s="1"/>
  <c r="T317" i="6"/>
  <c r="U317" i="6" s="1"/>
  <c r="V317" i="6" s="1"/>
  <c r="T318" i="6"/>
  <c r="T319" i="6"/>
  <c r="T320" i="6"/>
  <c r="U320" i="6" s="1"/>
  <c r="V320" i="6" s="1"/>
  <c r="T321" i="6"/>
  <c r="U321" i="6" s="1"/>
  <c r="V321" i="6" s="1"/>
  <c r="T322" i="6"/>
  <c r="T323" i="6"/>
  <c r="T324" i="6"/>
  <c r="T325" i="6"/>
  <c r="U325" i="6" s="1"/>
  <c r="V325" i="6" s="1"/>
  <c r="T326" i="6"/>
  <c r="T327" i="6"/>
  <c r="T328" i="6"/>
  <c r="U328" i="6" s="1"/>
  <c r="V328" i="6" s="1"/>
  <c r="T329" i="6"/>
  <c r="U329" i="6" s="1"/>
  <c r="V329" i="6" s="1"/>
  <c r="T330" i="6"/>
  <c r="T331" i="6"/>
  <c r="T332" i="6"/>
  <c r="U332" i="6" s="1"/>
  <c r="V332" i="6" s="1"/>
  <c r="T333" i="6"/>
  <c r="U333" i="6" s="1"/>
  <c r="V333" i="6" s="1"/>
  <c r="T334" i="6"/>
  <c r="T335" i="6"/>
  <c r="T336" i="6"/>
  <c r="U336" i="6" s="1"/>
  <c r="V336" i="6" s="1"/>
  <c r="T337" i="6"/>
  <c r="U337" i="6" s="1"/>
  <c r="V337" i="6" s="1"/>
  <c r="T338" i="6"/>
  <c r="T339" i="6"/>
  <c r="T340" i="6"/>
  <c r="U340" i="6" s="1"/>
  <c r="V340" i="6" s="1"/>
  <c r="T341" i="6"/>
  <c r="U341" i="6" s="1"/>
  <c r="V341" i="6" s="1"/>
  <c r="T342" i="6"/>
  <c r="T343" i="6"/>
  <c r="T344" i="6"/>
  <c r="U344" i="6" s="1"/>
  <c r="V344" i="6" s="1"/>
  <c r="T345" i="6"/>
  <c r="U345" i="6" s="1"/>
  <c r="V345" i="6" s="1"/>
  <c r="T346" i="6"/>
  <c r="T347" i="6"/>
  <c r="T348" i="6"/>
  <c r="U348" i="6" s="1"/>
  <c r="V348" i="6" s="1"/>
  <c r="T349" i="6"/>
  <c r="U349" i="6" s="1"/>
  <c r="V349" i="6" s="1"/>
  <c r="T350" i="6"/>
  <c r="T351" i="6"/>
  <c r="T352" i="6"/>
  <c r="U352" i="6" s="1"/>
  <c r="V352" i="6" s="1"/>
  <c r="T353" i="6"/>
  <c r="U353" i="6" s="1"/>
  <c r="V353" i="6" s="1"/>
  <c r="T354" i="6"/>
  <c r="T355" i="6"/>
  <c r="T356" i="6"/>
  <c r="U356" i="6" s="1"/>
  <c r="V356" i="6" s="1"/>
  <c r="T357" i="6"/>
  <c r="U357" i="6" s="1"/>
  <c r="V357" i="6" s="1"/>
  <c r="T358" i="6"/>
  <c r="T359" i="6"/>
  <c r="T360" i="6"/>
  <c r="U360" i="6" s="1"/>
  <c r="V360" i="6" s="1"/>
  <c r="T361" i="6"/>
  <c r="U361" i="6" s="1"/>
  <c r="V361" i="6" s="1"/>
  <c r="T362" i="6"/>
  <c r="T363" i="6"/>
  <c r="T364" i="6"/>
  <c r="U364" i="6" s="1"/>
  <c r="V364" i="6" s="1"/>
  <c r="T365" i="6"/>
  <c r="U365" i="6" s="1"/>
  <c r="V365" i="6" s="1"/>
  <c r="T366" i="6"/>
  <c r="T367" i="6"/>
  <c r="T368" i="6"/>
  <c r="U368" i="6" s="1"/>
  <c r="V368" i="6" s="1"/>
  <c r="T369" i="6"/>
  <c r="U369" i="6" s="1"/>
  <c r="V369" i="6" s="1"/>
  <c r="T370" i="6"/>
  <c r="T371" i="6"/>
  <c r="T372" i="6"/>
  <c r="U372" i="6" s="1"/>
  <c r="V372" i="6" s="1"/>
  <c r="T373" i="6"/>
  <c r="U373" i="6" s="1"/>
  <c r="V373" i="6" s="1"/>
  <c r="T374" i="6"/>
  <c r="T375" i="6"/>
  <c r="T376" i="6"/>
  <c r="U376" i="6" s="1"/>
  <c r="V376" i="6" s="1"/>
  <c r="T377" i="6"/>
  <c r="U377" i="6" s="1"/>
  <c r="V377" i="6" s="1"/>
  <c r="T378" i="6"/>
  <c r="T379" i="6"/>
  <c r="T380" i="6"/>
  <c r="U380" i="6" s="1"/>
  <c r="V380" i="6" s="1"/>
  <c r="T381" i="6"/>
  <c r="U381" i="6" s="1"/>
  <c r="V381" i="6" s="1"/>
  <c r="T382" i="6"/>
  <c r="T383" i="6"/>
  <c r="T384" i="6"/>
  <c r="U384" i="6" s="1"/>
  <c r="V384" i="6" s="1"/>
  <c r="T385" i="6"/>
  <c r="U385" i="6" s="1"/>
  <c r="V385" i="6" s="1"/>
  <c r="T386" i="6"/>
  <c r="T387" i="6"/>
  <c r="T388" i="6"/>
  <c r="U388" i="6" s="1"/>
  <c r="V388" i="6" s="1"/>
  <c r="T389" i="6"/>
  <c r="U389" i="6" s="1"/>
  <c r="V389" i="6" s="1"/>
  <c r="T390" i="6"/>
  <c r="T391" i="6"/>
  <c r="T392" i="6"/>
  <c r="U392" i="6" s="1"/>
  <c r="V392" i="6" s="1"/>
  <c r="T393" i="6"/>
  <c r="U393" i="6" s="1"/>
  <c r="V393" i="6" s="1"/>
  <c r="T394" i="6"/>
  <c r="T395" i="6"/>
  <c r="T396" i="6"/>
  <c r="U396" i="6" s="1"/>
  <c r="V396" i="6" s="1"/>
  <c r="T397" i="6"/>
  <c r="U397" i="6" s="1"/>
  <c r="V397" i="6" s="1"/>
  <c r="T398" i="6"/>
  <c r="T399" i="6"/>
  <c r="T400" i="6"/>
  <c r="U400" i="6" s="1"/>
  <c r="V400" i="6" s="1"/>
  <c r="T401" i="6"/>
  <c r="U401" i="6" s="1"/>
  <c r="V401" i="6" s="1"/>
  <c r="T402" i="6"/>
  <c r="T403" i="6"/>
  <c r="T404" i="6"/>
  <c r="U404" i="6" s="1"/>
  <c r="V404" i="6" s="1"/>
  <c r="T405" i="6"/>
  <c r="U405" i="6" s="1"/>
  <c r="V405" i="6" s="1"/>
  <c r="T406" i="6"/>
  <c r="T407" i="6"/>
  <c r="T408" i="6"/>
  <c r="U408" i="6" s="1"/>
  <c r="V408" i="6" s="1"/>
  <c r="T409" i="6"/>
  <c r="U409" i="6" s="1"/>
  <c r="V409" i="6" s="1"/>
  <c r="T410" i="6"/>
  <c r="T411" i="6"/>
  <c r="T412" i="6"/>
  <c r="U412" i="6" s="1"/>
  <c r="V412" i="6" s="1"/>
  <c r="T413" i="6"/>
  <c r="U413" i="6" s="1"/>
  <c r="V413" i="6" s="1"/>
  <c r="T414" i="6"/>
  <c r="T415" i="6"/>
  <c r="T416" i="6"/>
  <c r="U416" i="6" s="1"/>
  <c r="V416" i="6" s="1"/>
  <c r="T417" i="6"/>
  <c r="U417" i="6" s="1"/>
  <c r="V417" i="6" s="1"/>
  <c r="T418" i="6"/>
  <c r="T419" i="6"/>
  <c r="T420" i="6"/>
  <c r="U420" i="6" s="1"/>
  <c r="V420" i="6" s="1"/>
  <c r="T421" i="6"/>
  <c r="U421" i="6" s="1"/>
  <c r="V421" i="6" s="1"/>
  <c r="T422" i="6"/>
  <c r="T423" i="6"/>
  <c r="T424" i="6"/>
  <c r="U424" i="6" s="1"/>
  <c r="V424" i="6" s="1"/>
  <c r="T425" i="6"/>
  <c r="U425" i="6" s="1"/>
  <c r="V425" i="6" s="1"/>
  <c r="T426" i="6"/>
  <c r="T427" i="6"/>
  <c r="T428" i="6"/>
  <c r="U428" i="6" s="1"/>
  <c r="V428" i="6" s="1"/>
  <c r="T429" i="6"/>
  <c r="U429" i="6" s="1"/>
  <c r="V429" i="6" s="1"/>
  <c r="T430" i="6"/>
  <c r="T431" i="6"/>
  <c r="T432" i="6"/>
  <c r="U432" i="6" s="1"/>
  <c r="V432" i="6" s="1"/>
  <c r="T433" i="6"/>
  <c r="U433" i="6" s="1"/>
  <c r="V433" i="6" s="1"/>
  <c r="T434" i="6"/>
  <c r="T435" i="6"/>
  <c r="T436" i="6"/>
  <c r="U436" i="6" s="1"/>
  <c r="V436" i="6" s="1"/>
  <c r="T437" i="6"/>
  <c r="U437" i="6" s="1"/>
  <c r="V437" i="6" s="1"/>
  <c r="T438" i="6"/>
  <c r="T439" i="6"/>
  <c r="T440" i="6"/>
  <c r="U440" i="6" s="1"/>
  <c r="V440" i="6" s="1"/>
  <c r="T441" i="6"/>
  <c r="U441" i="6" s="1"/>
  <c r="V441" i="6" s="1"/>
  <c r="T442" i="6"/>
  <c r="T443" i="6"/>
  <c r="T444" i="6"/>
  <c r="U444" i="6" s="1"/>
  <c r="V444" i="6" s="1"/>
  <c r="T445" i="6"/>
  <c r="U445" i="6" s="1"/>
  <c r="V445" i="6" s="1"/>
  <c r="T446" i="6"/>
  <c r="T447" i="6"/>
  <c r="T448" i="6"/>
  <c r="U448" i="6" s="1"/>
  <c r="V448" i="6" s="1"/>
  <c r="T449" i="6"/>
  <c r="U449" i="6" s="1"/>
  <c r="V449" i="6" s="1"/>
  <c r="T450" i="6"/>
  <c r="T451" i="6"/>
  <c r="T452" i="6"/>
  <c r="U452" i="6" s="1"/>
  <c r="V452" i="6" s="1"/>
  <c r="T453" i="6"/>
  <c r="U453" i="6" s="1"/>
  <c r="V453" i="6" s="1"/>
  <c r="T454" i="6"/>
  <c r="T455" i="6"/>
  <c r="T456" i="6"/>
  <c r="U456" i="6" s="1"/>
  <c r="V456" i="6" s="1"/>
  <c r="T457" i="6"/>
  <c r="U457" i="6" s="1"/>
  <c r="V457" i="6" s="1"/>
  <c r="T458" i="6"/>
  <c r="T459" i="6"/>
  <c r="T460" i="6"/>
  <c r="U460" i="6" s="1"/>
  <c r="V460" i="6" s="1"/>
  <c r="T461" i="6"/>
  <c r="U461" i="6" s="1"/>
  <c r="V461" i="6" s="1"/>
  <c r="T462" i="6"/>
  <c r="T463" i="6"/>
  <c r="T464" i="6"/>
  <c r="U464" i="6" s="1"/>
  <c r="V464" i="6" s="1"/>
  <c r="T465" i="6"/>
  <c r="U465" i="6" s="1"/>
  <c r="V465" i="6" s="1"/>
  <c r="T466" i="6"/>
  <c r="T467" i="6"/>
  <c r="T468" i="6"/>
  <c r="U468" i="6" s="1"/>
  <c r="V468" i="6" s="1"/>
  <c r="T469" i="6"/>
  <c r="U469" i="6" s="1"/>
  <c r="V469" i="6" s="1"/>
  <c r="T470" i="6"/>
  <c r="T471" i="6"/>
  <c r="T472" i="6"/>
  <c r="U472" i="6" s="1"/>
  <c r="V472" i="6" s="1"/>
  <c r="T473" i="6"/>
  <c r="U473" i="6" s="1"/>
  <c r="V473" i="6" s="1"/>
  <c r="T474" i="6"/>
  <c r="T475" i="6"/>
  <c r="T476" i="6"/>
  <c r="U476" i="6" s="1"/>
  <c r="V476" i="6" s="1"/>
  <c r="T477" i="6"/>
  <c r="U477" i="6" s="1"/>
  <c r="V477" i="6" s="1"/>
  <c r="T478" i="6"/>
  <c r="T479" i="6"/>
  <c r="T480" i="6"/>
  <c r="T481" i="6"/>
  <c r="U481" i="6" s="1"/>
  <c r="V481" i="6" s="1"/>
  <c r="T482" i="6"/>
  <c r="T483" i="6"/>
  <c r="T484" i="6"/>
  <c r="U484" i="6" s="1"/>
  <c r="V484" i="6" s="1"/>
  <c r="T485" i="6"/>
  <c r="U485" i="6" s="1"/>
  <c r="V485" i="6" s="1"/>
  <c r="T486" i="6"/>
  <c r="T487" i="6"/>
  <c r="T488" i="6"/>
  <c r="U488" i="6" s="1"/>
  <c r="V488" i="6" s="1"/>
  <c r="T489" i="6"/>
  <c r="U489" i="6" s="1"/>
  <c r="V489" i="6" s="1"/>
  <c r="T490" i="6"/>
  <c r="T491" i="6"/>
  <c r="T492" i="6"/>
  <c r="T493" i="6"/>
  <c r="U493" i="6" s="1"/>
  <c r="V493" i="6" s="1"/>
  <c r="T494" i="6"/>
  <c r="T495" i="6"/>
  <c r="T496" i="6"/>
  <c r="U496" i="6" s="1"/>
  <c r="V496" i="6" s="1"/>
  <c r="T497" i="6"/>
  <c r="U497" i="6" s="1"/>
  <c r="V497" i="6" s="1"/>
  <c r="T498" i="6"/>
  <c r="T499" i="6"/>
  <c r="T500" i="6"/>
  <c r="U500" i="6" s="1"/>
  <c r="V500" i="6" s="1"/>
  <c r="T501" i="6"/>
  <c r="U501" i="6" s="1"/>
  <c r="V501" i="6" s="1"/>
  <c r="T502" i="6"/>
  <c r="T503" i="6"/>
  <c r="T504" i="6"/>
  <c r="U504" i="6" s="1"/>
  <c r="V504" i="6" s="1"/>
  <c r="T505" i="6"/>
  <c r="U505" i="6" s="1"/>
  <c r="V505" i="6" s="1"/>
  <c r="T506" i="6"/>
  <c r="T507" i="6"/>
  <c r="T508" i="6"/>
  <c r="U508" i="6" s="1"/>
  <c r="V508" i="6" s="1"/>
  <c r="T509" i="6"/>
  <c r="U509" i="6" s="1"/>
  <c r="V509" i="6" s="1"/>
  <c r="T510" i="6"/>
  <c r="T511" i="6"/>
  <c r="T512" i="6"/>
  <c r="U512" i="6" s="1"/>
  <c r="V512" i="6" s="1"/>
  <c r="T513" i="6"/>
  <c r="U513" i="6" s="1"/>
  <c r="V513" i="6" s="1"/>
  <c r="T514" i="6"/>
  <c r="T515" i="6"/>
  <c r="T516" i="6"/>
  <c r="U516" i="6" s="1"/>
  <c r="V516" i="6" s="1"/>
  <c r="T517" i="6"/>
  <c r="U517" i="6" s="1"/>
  <c r="V517" i="6" s="1"/>
  <c r="T518" i="6"/>
  <c r="T519" i="6"/>
  <c r="T520" i="6"/>
  <c r="U520" i="6" s="1"/>
  <c r="V520" i="6" s="1"/>
  <c r="T521" i="6"/>
  <c r="U521" i="6" s="1"/>
  <c r="V521" i="6" s="1"/>
  <c r="T522" i="6"/>
  <c r="T523" i="6"/>
  <c r="T524" i="6"/>
  <c r="U524" i="6" s="1"/>
  <c r="V524" i="6" s="1"/>
  <c r="T525" i="6"/>
  <c r="U525" i="6" s="1"/>
  <c r="V525" i="6" s="1"/>
  <c r="T526" i="6"/>
  <c r="T527" i="6"/>
  <c r="T528" i="6"/>
  <c r="U528" i="6" s="1"/>
  <c r="V528" i="6" s="1"/>
  <c r="T529" i="6"/>
  <c r="U529" i="6" s="1"/>
  <c r="V529" i="6" s="1"/>
  <c r="T530" i="6"/>
  <c r="T531" i="6"/>
  <c r="T532" i="6"/>
  <c r="U532" i="6" s="1"/>
  <c r="V532" i="6" s="1"/>
  <c r="T533" i="6"/>
  <c r="U533" i="6" s="1"/>
  <c r="V533" i="6" s="1"/>
  <c r="T534" i="6"/>
  <c r="T535" i="6"/>
  <c r="T536" i="6"/>
  <c r="U536" i="6" s="1"/>
  <c r="V536" i="6" s="1"/>
  <c r="T537" i="6"/>
  <c r="U537" i="6" s="1"/>
  <c r="V537" i="6" s="1"/>
  <c r="T538" i="6"/>
  <c r="T539" i="6"/>
  <c r="T540" i="6"/>
  <c r="U540" i="6" s="1"/>
  <c r="V540" i="6" s="1"/>
  <c r="T541" i="6"/>
  <c r="U541" i="6" s="1"/>
  <c r="V541" i="6" s="1"/>
  <c r="T542" i="6"/>
  <c r="T543" i="6"/>
  <c r="T544" i="6"/>
  <c r="U544" i="6" s="1"/>
  <c r="V544" i="6" s="1"/>
  <c r="T545" i="6"/>
  <c r="U545" i="6" s="1"/>
  <c r="V545" i="6" s="1"/>
  <c r="T546" i="6"/>
  <c r="T547" i="6"/>
  <c r="T548" i="6"/>
  <c r="U548" i="6" s="1"/>
  <c r="V548" i="6" s="1"/>
  <c r="T549" i="6"/>
  <c r="U549" i="6" s="1"/>
  <c r="V549" i="6" s="1"/>
  <c r="T550" i="6"/>
  <c r="T551" i="6"/>
  <c r="T552" i="6"/>
  <c r="U552" i="6" s="1"/>
  <c r="V552" i="6" s="1"/>
  <c r="T553" i="6"/>
  <c r="U553" i="6" s="1"/>
  <c r="V553" i="6" s="1"/>
  <c r="T554" i="6"/>
  <c r="T555" i="6"/>
  <c r="T556" i="6"/>
  <c r="U556" i="6" s="1"/>
  <c r="V556" i="6" s="1"/>
  <c r="T557" i="6"/>
  <c r="U557" i="6" s="1"/>
  <c r="V557" i="6" s="1"/>
  <c r="T558" i="6"/>
  <c r="T559" i="6"/>
  <c r="T560" i="6"/>
  <c r="U560" i="6" s="1"/>
  <c r="V560" i="6" s="1"/>
  <c r="T561" i="6"/>
  <c r="U561" i="6" s="1"/>
  <c r="V561" i="6" s="1"/>
  <c r="T562" i="6"/>
  <c r="T563" i="6"/>
  <c r="T564" i="6"/>
  <c r="U564" i="6" s="1"/>
  <c r="V564" i="6" s="1"/>
  <c r="T565" i="6"/>
  <c r="U565" i="6" s="1"/>
  <c r="V565" i="6" s="1"/>
  <c r="T566" i="6"/>
  <c r="T567" i="6"/>
  <c r="T568" i="6"/>
  <c r="U568" i="6" s="1"/>
  <c r="V568" i="6" s="1"/>
  <c r="T569" i="6"/>
  <c r="U569" i="6" s="1"/>
  <c r="V569" i="6" s="1"/>
  <c r="T570" i="6"/>
  <c r="T571" i="6"/>
  <c r="T572" i="6"/>
  <c r="U572" i="6" s="1"/>
  <c r="V572" i="6" s="1"/>
  <c r="T573" i="6"/>
  <c r="U573" i="6" s="1"/>
  <c r="V573" i="6" s="1"/>
  <c r="T574" i="6"/>
  <c r="T575" i="6"/>
  <c r="T576" i="6"/>
  <c r="U576" i="6" s="1"/>
  <c r="V576" i="6" s="1"/>
  <c r="T577" i="6"/>
  <c r="U577" i="6" s="1"/>
  <c r="V577" i="6" s="1"/>
  <c r="T578" i="6"/>
  <c r="T579" i="6"/>
  <c r="T580" i="6"/>
  <c r="U580" i="6" s="1"/>
  <c r="V580" i="6" s="1"/>
  <c r="T581" i="6"/>
  <c r="U581" i="6" s="1"/>
  <c r="V581" i="6" s="1"/>
  <c r="T582" i="6"/>
  <c r="T583" i="6"/>
  <c r="T584" i="6"/>
  <c r="U584" i="6" s="1"/>
  <c r="V584" i="6" s="1"/>
  <c r="T585" i="6"/>
  <c r="U585" i="6" s="1"/>
  <c r="V585" i="6" s="1"/>
  <c r="T586" i="6"/>
  <c r="T587" i="6"/>
  <c r="T588" i="6"/>
  <c r="U588" i="6" s="1"/>
  <c r="V588" i="6" s="1"/>
  <c r="T589" i="6"/>
  <c r="U589" i="6" s="1"/>
  <c r="V589" i="6" s="1"/>
  <c r="T590" i="6"/>
  <c r="T591" i="6"/>
  <c r="T592" i="6"/>
  <c r="U592" i="6" s="1"/>
  <c r="V592" i="6" s="1"/>
  <c r="T593" i="6"/>
  <c r="U593" i="6" s="1"/>
  <c r="V593" i="6" s="1"/>
  <c r="T594" i="6"/>
  <c r="T595" i="6"/>
  <c r="T596" i="6"/>
  <c r="U596" i="6" s="1"/>
  <c r="V596" i="6" s="1"/>
  <c r="T597" i="6"/>
  <c r="U597" i="6" s="1"/>
  <c r="V597" i="6" s="1"/>
  <c r="T598" i="6"/>
  <c r="T599" i="6"/>
  <c r="T600" i="6"/>
  <c r="U600" i="6" s="1"/>
  <c r="V600" i="6" s="1"/>
  <c r="T601" i="6"/>
  <c r="U601" i="6" s="1"/>
  <c r="V601" i="6" s="1"/>
  <c r="T602" i="6"/>
  <c r="T603" i="6"/>
  <c r="T604" i="6"/>
  <c r="T605" i="6"/>
  <c r="U605" i="6" s="1"/>
  <c r="V605" i="6" s="1"/>
  <c r="T606" i="6"/>
  <c r="T607" i="6"/>
  <c r="T608" i="6"/>
  <c r="U608" i="6" s="1"/>
  <c r="V608" i="6" s="1"/>
  <c r="T609" i="6"/>
  <c r="U609" i="6" s="1"/>
  <c r="V609" i="6" s="1"/>
  <c r="T610" i="6"/>
  <c r="T611" i="6"/>
  <c r="T612" i="6"/>
  <c r="U612" i="6" s="1"/>
  <c r="V612" i="6" s="1"/>
  <c r="T613" i="6"/>
  <c r="U613" i="6" s="1"/>
  <c r="V613" i="6" s="1"/>
  <c r="T614" i="6"/>
  <c r="T615" i="6"/>
  <c r="T616" i="6"/>
  <c r="U616" i="6" s="1"/>
  <c r="V616" i="6" s="1"/>
  <c r="T617" i="6"/>
  <c r="U617" i="6" s="1"/>
  <c r="V617" i="6" s="1"/>
  <c r="T618" i="6"/>
  <c r="T619" i="6"/>
  <c r="T620" i="6"/>
  <c r="U620" i="6" s="1"/>
  <c r="V620" i="6" s="1"/>
  <c r="T621" i="6"/>
  <c r="U621" i="6" s="1"/>
  <c r="V621" i="6" s="1"/>
  <c r="T622" i="6"/>
  <c r="T623" i="6"/>
  <c r="T624" i="6"/>
  <c r="U624" i="6" s="1"/>
  <c r="V624" i="6" s="1"/>
  <c r="T625" i="6"/>
  <c r="U625" i="6" s="1"/>
  <c r="V625" i="6" s="1"/>
  <c r="T626" i="6"/>
  <c r="T627" i="6"/>
  <c r="T628" i="6"/>
  <c r="U628" i="6" s="1"/>
  <c r="V628" i="6" s="1"/>
  <c r="T629" i="6"/>
  <c r="U629" i="6" s="1"/>
  <c r="V629" i="6" s="1"/>
  <c r="T630" i="6"/>
  <c r="T631" i="6"/>
  <c r="T632" i="6"/>
  <c r="U632" i="6" s="1"/>
  <c r="V632" i="6" s="1"/>
  <c r="T633" i="6"/>
  <c r="U633" i="6" s="1"/>
  <c r="V633" i="6" s="1"/>
  <c r="T634" i="6"/>
  <c r="T635" i="6"/>
  <c r="T636" i="6"/>
  <c r="U636" i="6" s="1"/>
  <c r="V636" i="6" s="1"/>
  <c r="T637" i="6"/>
  <c r="U637" i="6" s="1"/>
  <c r="V637" i="6" s="1"/>
  <c r="T638" i="6"/>
  <c r="T639" i="6"/>
  <c r="T640" i="6"/>
  <c r="U640" i="6" s="1"/>
  <c r="V640" i="6" s="1"/>
  <c r="T641" i="6"/>
  <c r="U641" i="6" s="1"/>
  <c r="V641" i="6" s="1"/>
  <c r="T642" i="6"/>
  <c r="T643" i="6"/>
  <c r="T644" i="6"/>
  <c r="U644" i="6" s="1"/>
  <c r="V644" i="6" s="1"/>
  <c r="T645" i="6"/>
  <c r="U645" i="6" s="1"/>
  <c r="V645" i="6" s="1"/>
  <c r="T646" i="6"/>
  <c r="T647" i="6"/>
  <c r="T648" i="6"/>
  <c r="U648" i="6" s="1"/>
  <c r="V648" i="6" s="1"/>
  <c r="T649" i="6"/>
  <c r="U649" i="6" s="1"/>
  <c r="V649" i="6" s="1"/>
  <c r="T650" i="6"/>
  <c r="T651" i="6"/>
  <c r="T652" i="6"/>
  <c r="U652" i="6" s="1"/>
  <c r="V652" i="6" s="1"/>
  <c r="T653" i="6"/>
  <c r="U653" i="6" s="1"/>
  <c r="V653" i="6" s="1"/>
  <c r="T654" i="6"/>
  <c r="T655" i="6"/>
  <c r="T656" i="6"/>
  <c r="T657" i="6"/>
  <c r="U657" i="6" s="1"/>
  <c r="V657" i="6" s="1"/>
  <c r="T658" i="6"/>
  <c r="T659" i="6"/>
  <c r="T660" i="6"/>
  <c r="U660" i="6" s="1"/>
  <c r="V660" i="6" s="1"/>
  <c r="T661" i="6"/>
  <c r="U661" i="6" s="1"/>
  <c r="V661" i="6" s="1"/>
  <c r="T662" i="6"/>
  <c r="T663" i="6"/>
  <c r="T664" i="6"/>
  <c r="U664" i="6" s="1"/>
  <c r="V664" i="6" s="1"/>
  <c r="T665" i="6"/>
  <c r="U665" i="6" s="1"/>
  <c r="V665" i="6" s="1"/>
  <c r="T666" i="6"/>
  <c r="T667" i="6"/>
  <c r="T668" i="6"/>
  <c r="U668" i="6" s="1"/>
  <c r="V668" i="6" s="1"/>
  <c r="T669" i="6"/>
  <c r="U669" i="6" s="1"/>
  <c r="V669" i="6" s="1"/>
  <c r="T670" i="6"/>
  <c r="T671" i="6"/>
  <c r="T672" i="6"/>
  <c r="U672" i="6" s="1"/>
  <c r="V672" i="6" s="1"/>
  <c r="T673" i="6"/>
  <c r="U673" i="6" s="1"/>
  <c r="V673" i="6" s="1"/>
  <c r="T674" i="6"/>
  <c r="T675" i="6"/>
  <c r="T676" i="6"/>
  <c r="U676" i="6" s="1"/>
  <c r="V676" i="6" s="1"/>
  <c r="T677" i="6"/>
  <c r="U677" i="6" s="1"/>
  <c r="V677" i="6" s="1"/>
  <c r="T678" i="6"/>
  <c r="T679" i="6"/>
  <c r="T680" i="6"/>
  <c r="U680" i="6" s="1"/>
  <c r="V680" i="6" s="1"/>
  <c r="T681" i="6"/>
  <c r="U681" i="6" s="1"/>
  <c r="V681" i="6" s="1"/>
  <c r="T682" i="6"/>
  <c r="T683" i="6"/>
  <c r="T684" i="6"/>
  <c r="U684" i="6" s="1"/>
  <c r="V684" i="6" s="1"/>
  <c r="T685" i="6"/>
  <c r="U685" i="6" s="1"/>
  <c r="V685" i="6" s="1"/>
  <c r="T686" i="6"/>
  <c r="T687" i="6"/>
  <c r="T688" i="6"/>
  <c r="U688" i="6" s="1"/>
  <c r="V688" i="6" s="1"/>
  <c r="T689" i="6"/>
  <c r="U689" i="6" s="1"/>
  <c r="V689" i="6" s="1"/>
  <c r="T690" i="6"/>
  <c r="T691" i="6"/>
  <c r="T692" i="6"/>
  <c r="U692" i="6" s="1"/>
  <c r="V692" i="6" s="1"/>
  <c r="T693" i="6"/>
  <c r="U693" i="6" s="1"/>
  <c r="V693" i="6" s="1"/>
  <c r="T694" i="6"/>
  <c r="T695" i="6"/>
  <c r="T696" i="6"/>
  <c r="U696" i="6" s="1"/>
  <c r="V696" i="6" s="1"/>
  <c r="T697" i="6"/>
  <c r="U697" i="6" s="1"/>
  <c r="V697" i="6" s="1"/>
  <c r="T698" i="6"/>
  <c r="T699" i="6"/>
  <c r="T700" i="6"/>
  <c r="U700" i="6" s="1"/>
  <c r="V700" i="6" s="1"/>
  <c r="T701" i="6"/>
  <c r="U701" i="6" s="1"/>
  <c r="V701" i="6" s="1"/>
  <c r="T702" i="6"/>
  <c r="T703" i="6"/>
  <c r="T704" i="6"/>
  <c r="U704" i="6" s="1"/>
  <c r="V704" i="6" s="1"/>
  <c r="T705" i="6"/>
  <c r="U705" i="6" s="1"/>
  <c r="V705" i="6" s="1"/>
  <c r="T706" i="6"/>
  <c r="T707" i="6"/>
  <c r="T708" i="6"/>
  <c r="U708" i="6" s="1"/>
  <c r="V708" i="6" s="1"/>
  <c r="T709" i="6"/>
  <c r="U709" i="6" s="1"/>
  <c r="V709" i="6" s="1"/>
  <c r="T710" i="6"/>
  <c r="T711" i="6"/>
  <c r="T712" i="6"/>
  <c r="U712" i="6" s="1"/>
  <c r="V712" i="6" s="1"/>
  <c r="T713" i="6"/>
  <c r="U713" i="6" s="1"/>
  <c r="V713" i="6" s="1"/>
  <c r="T714" i="6"/>
  <c r="T715" i="6"/>
  <c r="T716" i="6"/>
  <c r="U716" i="6" s="1"/>
  <c r="V716" i="6" s="1"/>
  <c r="T717" i="6"/>
  <c r="U717" i="6" s="1"/>
  <c r="V717" i="6" s="1"/>
  <c r="T718" i="6"/>
  <c r="T719" i="6"/>
  <c r="T720" i="6"/>
  <c r="U720" i="6" s="1"/>
  <c r="V720" i="6" s="1"/>
  <c r="T721" i="6"/>
  <c r="U721" i="6" s="1"/>
  <c r="V721" i="6" s="1"/>
  <c r="T722" i="6"/>
  <c r="T723" i="6"/>
  <c r="T724" i="6"/>
  <c r="U724" i="6" s="1"/>
  <c r="V724" i="6" s="1"/>
  <c r="T725" i="6"/>
  <c r="U725" i="6" s="1"/>
  <c r="V725" i="6" s="1"/>
  <c r="T726" i="6"/>
  <c r="T727" i="6"/>
  <c r="T728" i="6"/>
  <c r="U728" i="6" s="1"/>
  <c r="V728" i="6" s="1"/>
  <c r="T729" i="6"/>
  <c r="U729" i="6" s="1"/>
  <c r="V729" i="6" s="1"/>
  <c r="T730" i="6"/>
  <c r="T731" i="6"/>
  <c r="T732" i="6"/>
  <c r="U732" i="6" s="1"/>
  <c r="V732" i="6" s="1"/>
  <c r="T733" i="6"/>
  <c r="U733" i="6" s="1"/>
  <c r="V733" i="6" s="1"/>
  <c r="T734" i="6"/>
  <c r="T735" i="6"/>
  <c r="T736" i="6"/>
  <c r="U736" i="6" s="1"/>
  <c r="V736" i="6" s="1"/>
  <c r="T737" i="6"/>
  <c r="U737" i="6" s="1"/>
  <c r="V737" i="6" s="1"/>
  <c r="T738" i="6"/>
  <c r="T739" i="6"/>
  <c r="T740" i="6"/>
  <c r="U740" i="6" s="1"/>
  <c r="V740" i="6" s="1"/>
  <c r="T741" i="6"/>
  <c r="U741" i="6" s="1"/>
  <c r="V741" i="6" s="1"/>
  <c r="T742" i="6"/>
  <c r="T743" i="6"/>
  <c r="T744" i="6"/>
  <c r="U744" i="6" s="1"/>
  <c r="V744" i="6" s="1"/>
  <c r="T745" i="6"/>
  <c r="U745" i="6" s="1"/>
  <c r="V745" i="6" s="1"/>
  <c r="T746" i="6"/>
  <c r="T747" i="6"/>
  <c r="T748" i="6"/>
  <c r="U748" i="6" s="1"/>
  <c r="V748" i="6" s="1"/>
  <c r="T749" i="6"/>
  <c r="U749" i="6" s="1"/>
  <c r="V749" i="6" s="1"/>
  <c r="T750" i="6"/>
  <c r="T751" i="6"/>
  <c r="T752" i="6"/>
  <c r="U752" i="6" s="1"/>
  <c r="V752" i="6" s="1"/>
  <c r="T753" i="6"/>
  <c r="U753" i="6" s="1"/>
  <c r="V753" i="6" s="1"/>
  <c r="T754" i="6"/>
  <c r="T755" i="6"/>
  <c r="T756" i="6"/>
  <c r="U756" i="6" s="1"/>
  <c r="V756" i="6" s="1"/>
  <c r="T757" i="6"/>
  <c r="U757" i="6" s="1"/>
  <c r="V757" i="6" s="1"/>
  <c r="T758" i="6"/>
  <c r="T759" i="6"/>
  <c r="T760" i="6"/>
  <c r="U760" i="6" s="1"/>
  <c r="V760" i="6" s="1"/>
  <c r="T761" i="6"/>
  <c r="U761" i="6" s="1"/>
  <c r="V761" i="6" s="1"/>
  <c r="T762" i="6"/>
  <c r="T763" i="6"/>
  <c r="T764" i="6"/>
  <c r="U764" i="6" s="1"/>
  <c r="V764" i="6" s="1"/>
  <c r="T765" i="6"/>
  <c r="U765" i="6" s="1"/>
  <c r="V765" i="6" s="1"/>
  <c r="T766" i="6"/>
  <c r="T767" i="6"/>
  <c r="T768" i="6"/>
  <c r="U768" i="6" s="1"/>
  <c r="V768" i="6" s="1"/>
  <c r="T769" i="6"/>
  <c r="U769" i="6" s="1"/>
  <c r="V769" i="6" s="1"/>
  <c r="T770" i="6"/>
  <c r="T771" i="6"/>
  <c r="T772" i="6"/>
  <c r="T773" i="6"/>
  <c r="U773" i="6" s="1"/>
  <c r="V773" i="6" s="1"/>
  <c r="T774" i="6"/>
  <c r="T775" i="6"/>
  <c r="T776" i="6"/>
  <c r="U776" i="6" s="1"/>
  <c r="V776" i="6" s="1"/>
  <c r="T777" i="6"/>
  <c r="U777" i="6" s="1"/>
  <c r="V777" i="6" s="1"/>
  <c r="T778" i="6"/>
  <c r="T779" i="6"/>
  <c r="T780" i="6"/>
  <c r="U780" i="6" s="1"/>
  <c r="V780" i="6" s="1"/>
  <c r="T781" i="6"/>
  <c r="U781" i="6" s="1"/>
  <c r="V781" i="6" s="1"/>
  <c r="T782" i="6"/>
  <c r="T783" i="6"/>
  <c r="T784" i="6"/>
  <c r="U784" i="6" s="1"/>
  <c r="V784" i="6" s="1"/>
  <c r="T785" i="6"/>
  <c r="U785" i="6" s="1"/>
  <c r="V785" i="6" s="1"/>
  <c r="T786" i="6"/>
  <c r="T787" i="6"/>
  <c r="T788" i="6"/>
  <c r="U788" i="6" s="1"/>
  <c r="V788" i="6" s="1"/>
  <c r="T789" i="6"/>
  <c r="U789" i="6" s="1"/>
  <c r="V789" i="6" s="1"/>
  <c r="T790" i="6"/>
  <c r="T791" i="6"/>
  <c r="T792" i="6"/>
  <c r="U792" i="6" s="1"/>
  <c r="V792" i="6" s="1"/>
  <c r="T793" i="6"/>
  <c r="U793" i="6" s="1"/>
  <c r="V793" i="6" s="1"/>
  <c r="T794" i="6"/>
  <c r="T795" i="6"/>
  <c r="T796" i="6"/>
  <c r="U796" i="6" s="1"/>
  <c r="V796" i="6" s="1"/>
  <c r="T797" i="6"/>
  <c r="U797" i="6" s="1"/>
  <c r="V797" i="6" s="1"/>
  <c r="T798" i="6"/>
  <c r="T799" i="6"/>
  <c r="T800" i="6"/>
  <c r="U800" i="6" s="1"/>
  <c r="V800" i="6" s="1"/>
  <c r="T801" i="6"/>
  <c r="U801" i="6" s="1"/>
  <c r="V801" i="6" s="1"/>
  <c r="T802" i="6"/>
  <c r="T803" i="6"/>
  <c r="T804" i="6"/>
  <c r="U804" i="6" s="1"/>
  <c r="V804" i="6" s="1"/>
  <c r="T805" i="6"/>
  <c r="U805" i="6" s="1"/>
  <c r="V805" i="6" s="1"/>
  <c r="T806" i="6"/>
  <c r="T807" i="6"/>
  <c r="T808" i="6"/>
  <c r="U808" i="6" s="1"/>
  <c r="V808" i="6" s="1"/>
  <c r="T809" i="6"/>
  <c r="U809" i="6" s="1"/>
  <c r="V809" i="6" s="1"/>
  <c r="T810" i="6"/>
  <c r="T811" i="6"/>
  <c r="T812" i="6"/>
  <c r="U812" i="6" s="1"/>
  <c r="V812" i="6" s="1"/>
  <c r="T813" i="6"/>
  <c r="U813" i="6" s="1"/>
  <c r="V813" i="6" s="1"/>
  <c r="T814" i="6"/>
  <c r="T815" i="6"/>
  <c r="T816" i="6"/>
  <c r="U816" i="6" s="1"/>
  <c r="V816" i="6" s="1"/>
  <c r="T817" i="6"/>
  <c r="U817" i="6" s="1"/>
  <c r="V817" i="6" s="1"/>
  <c r="T818" i="6"/>
  <c r="T819" i="6"/>
  <c r="T820" i="6"/>
  <c r="U820" i="6" s="1"/>
  <c r="V820" i="6" s="1"/>
  <c r="T821" i="6"/>
  <c r="U821" i="6" s="1"/>
  <c r="V821" i="6" s="1"/>
  <c r="T822" i="6"/>
  <c r="T823" i="6"/>
  <c r="T824" i="6"/>
  <c r="U824" i="6" s="1"/>
  <c r="V824" i="6" s="1"/>
  <c r="T825" i="6"/>
  <c r="U825" i="6" s="1"/>
  <c r="V825" i="6" s="1"/>
  <c r="T826" i="6"/>
  <c r="T827" i="6"/>
  <c r="T828" i="6"/>
  <c r="U828" i="6" s="1"/>
  <c r="V828" i="6" s="1"/>
  <c r="T829" i="6"/>
  <c r="U829" i="6" s="1"/>
  <c r="V829" i="6" s="1"/>
  <c r="T830" i="6"/>
  <c r="T831" i="6"/>
  <c r="T832" i="6"/>
  <c r="U832" i="6" s="1"/>
  <c r="V832" i="6" s="1"/>
  <c r="T833" i="6"/>
  <c r="U833" i="6" s="1"/>
  <c r="V833" i="6" s="1"/>
  <c r="T834" i="6"/>
  <c r="T835" i="6"/>
  <c r="T836" i="6"/>
  <c r="U836" i="6" s="1"/>
  <c r="V836" i="6" s="1"/>
  <c r="T837" i="6"/>
  <c r="U837" i="6" s="1"/>
  <c r="V837" i="6" s="1"/>
  <c r="T838" i="6"/>
  <c r="T839" i="6"/>
  <c r="T840" i="6"/>
  <c r="U840" i="6" s="1"/>
  <c r="V840" i="6" s="1"/>
  <c r="T841" i="6"/>
  <c r="U841" i="6" s="1"/>
  <c r="V841" i="6" s="1"/>
  <c r="T842" i="6"/>
  <c r="T843" i="6"/>
  <c r="T844" i="6"/>
  <c r="U844" i="6" s="1"/>
  <c r="V844" i="6" s="1"/>
  <c r="T845" i="6"/>
  <c r="U845" i="6" s="1"/>
  <c r="V845" i="6" s="1"/>
  <c r="T846" i="6"/>
  <c r="T847" i="6"/>
  <c r="T848" i="6"/>
  <c r="U848" i="6" s="1"/>
  <c r="V848" i="6" s="1"/>
  <c r="T849" i="6"/>
  <c r="U849" i="6" s="1"/>
  <c r="V849" i="6" s="1"/>
  <c r="T850" i="6"/>
  <c r="T851" i="6"/>
  <c r="T852" i="6"/>
  <c r="U852" i="6" s="1"/>
  <c r="V852" i="6" s="1"/>
  <c r="T853" i="6"/>
  <c r="U853" i="6" s="1"/>
  <c r="V853" i="6" s="1"/>
  <c r="T854" i="6"/>
  <c r="T855" i="6"/>
  <c r="T856" i="6"/>
  <c r="U856" i="6" s="1"/>
  <c r="V856" i="6" s="1"/>
  <c r="T857" i="6"/>
  <c r="U857" i="6" s="1"/>
  <c r="V857" i="6" s="1"/>
  <c r="T858" i="6"/>
  <c r="T859" i="6"/>
  <c r="T860" i="6"/>
  <c r="U860" i="6" s="1"/>
  <c r="V860" i="6" s="1"/>
  <c r="T861" i="6"/>
  <c r="U861" i="6" s="1"/>
  <c r="V861" i="6" s="1"/>
  <c r="T862" i="6"/>
  <c r="T863" i="6"/>
  <c r="T864" i="6"/>
  <c r="U864" i="6" s="1"/>
  <c r="V864" i="6" s="1"/>
  <c r="T865" i="6"/>
  <c r="U865" i="6" s="1"/>
  <c r="V865" i="6" s="1"/>
  <c r="T866" i="6"/>
  <c r="T867" i="6"/>
  <c r="T868" i="6"/>
  <c r="U868" i="6" s="1"/>
  <c r="V868" i="6" s="1"/>
  <c r="T869" i="6"/>
  <c r="U869" i="6" s="1"/>
  <c r="V869" i="6" s="1"/>
  <c r="T870" i="6"/>
  <c r="T871" i="6"/>
  <c r="T872" i="6"/>
  <c r="U872" i="6" s="1"/>
  <c r="V872" i="6" s="1"/>
  <c r="T873" i="6"/>
  <c r="U873" i="6" s="1"/>
  <c r="V873" i="6" s="1"/>
  <c r="T874" i="6"/>
  <c r="T875" i="6"/>
  <c r="T876" i="6"/>
  <c r="U876" i="6" s="1"/>
  <c r="V876" i="6" s="1"/>
  <c r="T877" i="6"/>
  <c r="U877" i="6" s="1"/>
  <c r="V877" i="6" s="1"/>
  <c r="T878" i="6"/>
  <c r="T879" i="6"/>
  <c r="T880" i="6"/>
  <c r="U880" i="6" s="1"/>
  <c r="V880" i="6" s="1"/>
  <c r="T881" i="6"/>
  <c r="U881" i="6" s="1"/>
  <c r="V881" i="6" s="1"/>
  <c r="T882" i="6"/>
  <c r="T883" i="6"/>
  <c r="T884" i="6"/>
  <c r="U884" i="6" s="1"/>
  <c r="V884" i="6" s="1"/>
  <c r="T885" i="6"/>
  <c r="U885" i="6" s="1"/>
  <c r="V885" i="6" s="1"/>
  <c r="T886" i="6"/>
  <c r="T887" i="6"/>
  <c r="T888" i="6"/>
  <c r="U888" i="6" s="1"/>
  <c r="V888" i="6" s="1"/>
  <c r="T889" i="6"/>
  <c r="U889" i="6" s="1"/>
  <c r="V889" i="6" s="1"/>
  <c r="T890" i="6"/>
  <c r="T891" i="6"/>
  <c r="T892" i="6"/>
  <c r="U892" i="6" s="1"/>
  <c r="V892" i="6" s="1"/>
  <c r="T893" i="6"/>
  <c r="U893" i="6" s="1"/>
  <c r="V893" i="6" s="1"/>
  <c r="T894" i="6"/>
  <c r="T895" i="6"/>
  <c r="T896" i="6"/>
  <c r="U896" i="6" s="1"/>
  <c r="V896" i="6" s="1"/>
  <c r="T897" i="6"/>
  <c r="U897" i="6" s="1"/>
  <c r="V897" i="6" s="1"/>
  <c r="T898" i="6"/>
  <c r="T899" i="6"/>
  <c r="T900" i="6"/>
  <c r="U900" i="6" s="1"/>
  <c r="V900" i="6" s="1"/>
  <c r="T901" i="6"/>
  <c r="U901" i="6" s="1"/>
  <c r="V901" i="6" s="1"/>
  <c r="T902" i="6"/>
  <c r="T903" i="6"/>
  <c r="T904" i="6"/>
  <c r="U904" i="6" s="1"/>
  <c r="V904" i="6" s="1"/>
  <c r="T905" i="6"/>
  <c r="U905" i="6" s="1"/>
  <c r="V905" i="6" s="1"/>
  <c r="T906" i="6"/>
  <c r="T907" i="6"/>
  <c r="T908" i="6"/>
  <c r="U908" i="6" s="1"/>
  <c r="V908" i="6" s="1"/>
  <c r="T909" i="6"/>
  <c r="U909" i="6" s="1"/>
  <c r="V909" i="6" s="1"/>
  <c r="T910" i="6"/>
  <c r="T911" i="6"/>
  <c r="T912" i="6"/>
  <c r="U912" i="6" s="1"/>
  <c r="V912" i="6" s="1"/>
  <c r="T913" i="6"/>
  <c r="U913" i="6" s="1"/>
  <c r="V913" i="6" s="1"/>
  <c r="T914" i="6"/>
  <c r="T915" i="6"/>
  <c r="T916" i="6"/>
  <c r="U916" i="6" s="1"/>
  <c r="V916" i="6" s="1"/>
  <c r="T917" i="6"/>
  <c r="U917" i="6" s="1"/>
  <c r="V917" i="6" s="1"/>
  <c r="T918" i="6"/>
  <c r="T919" i="6"/>
  <c r="T920" i="6"/>
  <c r="U920" i="6" s="1"/>
  <c r="V920" i="6" s="1"/>
  <c r="T921" i="6"/>
  <c r="U921" i="6" s="1"/>
  <c r="V921" i="6" s="1"/>
  <c r="T922" i="6"/>
  <c r="T923" i="6"/>
  <c r="T924" i="6"/>
  <c r="U924" i="6" s="1"/>
  <c r="V924" i="6" s="1"/>
  <c r="T925" i="6"/>
  <c r="U925" i="6" s="1"/>
  <c r="V925" i="6" s="1"/>
  <c r="T926" i="6"/>
  <c r="T927" i="6"/>
  <c r="T928" i="6"/>
  <c r="U928" i="6" s="1"/>
  <c r="V928" i="6" s="1"/>
  <c r="T929" i="6"/>
  <c r="U929" i="6" s="1"/>
  <c r="V929" i="6" s="1"/>
  <c r="T930" i="6"/>
  <c r="T931" i="6"/>
  <c r="T932" i="6"/>
  <c r="U932" i="6" s="1"/>
  <c r="V932" i="6" s="1"/>
  <c r="T933" i="6"/>
  <c r="U933" i="6" s="1"/>
  <c r="V933" i="6" s="1"/>
  <c r="T934" i="6"/>
  <c r="T935" i="6"/>
  <c r="T936" i="6"/>
  <c r="U936" i="6" s="1"/>
  <c r="V936" i="6" s="1"/>
  <c r="T937" i="6"/>
  <c r="U937" i="6" s="1"/>
  <c r="V937" i="6" s="1"/>
  <c r="T938" i="6"/>
  <c r="T939" i="6"/>
  <c r="T940" i="6"/>
  <c r="U940" i="6" s="1"/>
  <c r="V940" i="6" s="1"/>
  <c r="T941" i="6"/>
  <c r="U941" i="6" s="1"/>
  <c r="V941" i="6" s="1"/>
  <c r="T942" i="6"/>
  <c r="T943" i="6"/>
  <c r="T944" i="6"/>
  <c r="U944" i="6" s="1"/>
  <c r="V944" i="6" s="1"/>
  <c r="T945" i="6"/>
  <c r="U945" i="6" s="1"/>
  <c r="V945" i="6" s="1"/>
  <c r="T946" i="6"/>
  <c r="T947" i="6"/>
  <c r="T948" i="6"/>
  <c r="U948" i="6" s="1"/>
  <c r="V948" i="6" s="1"/>
  <c r="T949" i="6"/>
  <c r="U949" i="6" s="1"/>
  <c r="V949" i="6" s="1"/>
  <c r="T950" i="6"/>
  <c r="T951" i="6"/>
  <c r="T952" i="6"/>
  <c r="U952" i="6" s="1"/>
  <c r="V952" i="6" s="1"/>
  <c r="T953" i="6"/>
  <c r="U953" i="6" s="1"/>
  <c r="V953" i="6" s="1"/>
  <c r="T954" i="6"/>
  <c r="T955" i="6"/>
  <c r="T956" i="6"/>
  <c r="U956" i="6" s="1"/>
  <c r="V956" i="6" s="1"/>
  <c r="T957" i="6"/>
  <c r="U957" i="6" s="1"/>
  <c r="V957" i="6" s="1"/>
  <c r="T958" i="6"/>
  <c r="T959" i="6"/>
  <c r="T960" i="6"/>
  <c r="U960" i="6" s="1"/>
  <c r="V960" i="6" s="1"/>
  <c r="T961" i="6"/>
  <c r="U961" i="6" s="1"/>
  <c r="V961" i="6" s="1"/>
  <c r="T962" i="6"/>
  <c r="T963" i="6"/>
  <c r="T964" i="6"/>
  <c r="U964" i="6" s="1"/>
  <c r="V964" i="6" s="1"/>
  <c r="T965" i="6"/>
  <c r="U965" i="6" s="1"/>
  <c r="V965" i="6" s="1"/>
  <c r="T966" i="6"/>
  <c r="T967" i="6"/>
  <c r="T968" i="6"/>
  <c r="U968" i="6" s="1"/>
  <c r="V968" i="6" s="1"/>
  <c r="T969" i="6"/>
  <c r="U969" i="6" s="1"/>
  <c r="V969" i="6" s="1"/>
  <c r="T970" i="6"/>
  <c r="T971" i="6"/>
  <c r="T972" i="6"/>
  <c r="U972" i="6" s="1"/>
  <c r="V972" i="6" s="1"/>
  <c r="T973" i="6"/>
  <c r="U973" i="6" s="1"/>
  <c r="V973" i="6" s="1"/>
  <c r="T974" i="6"/>
  <c r="T975" i="6"/>
  <c r="T976" i="6"/>
  <c r="U976" i="6" s="1"/>
  <c r="V976" i="6" s="1"/>
  <c r="T977" i="6"/>
  <c r="U977" i="6" s="1"/>
  <c r="V977" i="6" s="1"/>
  <c r="T978" i="6"/>
  <c r="T979" i="6"/>
  <c r="T980" i="6"/>
  <c r="U980" i="6" s="1"/>
  <c r="V980" i="6" s="1"/>
  <c r="T981" i="6"/>
  <c r="U981" i="6" s="1"/>
  <c r="V981" i="6" s="1"/>
  <c r="T982" i="6"/>
  <c r="T983" i="6"/>
  <c r="T984" i="6"/>
  <c r="U984" i="6" s="1"/>
  <c r="V984" i="6" s="1"/>
  <c r="T985" i="6"/>
  <c r="U985" i="6" s="1"/>
  <c r="V985" i="6" s="1"/>
  <c r="T986" i="6"/>
  <c r="T987" i="6"/>
  <c r="T988" i="6"/>
  <c r="U988" i="6" s="1"/>
  <c r="V988" i="6" s="1"/>
  <c r="T989" i="6"/>
  <c r="U989" i="6" s="1"/>
  <c r="V989" i="6" s="1"/>
  <c r="T990" i="6"/>
  <c r="T991" i="6"/>
  <c r="T992" i="6"/>
  <c r="U992" i="6" s="1"/>
  <c r="V992" i="6" s="1"/>
  <c r="T993" i="6"/>
  <c r="U993" i="6" s="1"/>
  <c r="V993" i="6" s="1"/>
  <c r="T994" i="6"/>
  <c r="T995" i="6"/>
  <c r="T996" i="6"/>
  <c r="U996" i="6" s="1"/>
  <c r="V996" i="6" s="1"/>
  <c r="T997" i="6"/>
  <c r="U997" i="6" s="1"/>
  <c r="V997" i="6" s="1"/>
  <c r="T998" i="6"/>
  <c r="T999" i="6"/>
  <c r="T1000" i="6"/>
  <c r="U1000" i="6" s="1"/>
  <c r="V1000" i="6" s="1"/>
  <c r="T1001" i="6"/>
  <c r="U1001" i="6" s="1"/>
  <c r="V1001" i="6" s="1"/>
  <c r="T1002" i="6"/>
  <c r="T1003" i="6"/>
  <c r="T1004" i="6"/>
  <c r="U1004" i="6" s="1"/>
  <c r="V1004" i="6" s="1"/>
  <c r="T1005" i="6"/>
  <c r="U1005" i="6" s="1"/>
  <c r="V1005" i="6" s="1"/>
  <c r="T1006" i="6"/>
  <c r="T1007" i="6"/>
  <c r="T1008" i="6"/>
  <c r="U1008" i="6" s="1"/>
  <c r="V1008" i="6" s="1"/>
  <c r="T1009" i="6"/>
  <c r="U1009" i="6" s="1"/>
  <c r="V1009" i="6" s="1"/>
  <c r="T1010" i="6"/>
  <c r="T1011" i="6"/>
  <c r="T1012" i="6"/>
  <c r="U1012" i="6" s="1"/>
  <c r="V1012" i="6" s="1"/>
  <c r="T1013" i="6"/>
  <c r="U1013" i="6" s="1"/>
  <c r="V1013" i="6" s="1"/>
  <c r="T1014" i="6"/>
  <c r="T1015" i="6"/>
  <c r="T1016" i="6"/>
  <c r="U1016" i="6" s="1"/>
  <c r="V1016" i="6" s="1"/>
  <c r="T1017" i="6"/>
  <c r="U1017" i="6" s="1"/>
  <c r="V1017" i="6" s="1"/>
  <c r="T1018" i="6"/>
  <c r="T1019" i="6"/>
  <c r="T1020" i="6"/>
  <c r="U1020" i="6" s="1"/>
  <c r="V1020" i="6" s="1"/>
  <c r="T1021" i="6"/>
  <c r="U1021" i="6" s="1"/>
  <c r="V1021" i="6" s="1"/>
  <c r="T1022" i="6"/>
  <c r="T1023" i="6"/>
  <c r="T1024" i="6"/>
  <c r="U1024" i="6" s="1"/>
  <c r="V1024" i="6" s="1"/>
  <c r="T1025" i="6"/>
  <c r="U1025" i="6" s="1"/>
  <c r="V1025" i="6" s="1"/>
  <c r="T1026" i="6"/>
  <c r="T1027" i="6"/>
  <c r="T1028" i="6"/>
  <c r="U1028" i="6" s="1"/>
  <c r="V1028" i="6" s="1"/>
  <c r="T1029" i="6"/>
  <c r="U1029" i="6" s="1"/>
  <c r="V1029" i="6" s="1"/>
  <c r="T1030" i="6"/>
  <c r="T1031" i="6"/>
  <c r="T1032" i="6"/>
  <c r="U1032" i="6" s="1"/>
  <c r="V1032" i="6" s="1"/>
  <c r="T1033" i="6"/>
  <c r="U1033" i="6" s="1"/>
  <c r="V1033" i="6" s="1"/>
  <c r="T1034" i="6"/>
  <c r="T1035" i="6"/>
  <c r="T1036" i="6"/>
  <c r="U1036" i="6" s="1"/>
  <c r="V1036" i="6" s="1"/>
  <c r="T1037" i="6"/>
  <c r="U1037" i="6" s="1"/>
  <c r="V1037" i="6" s="1"/>
  <c r="T1038" i="6"/>
  <c r="T1039" i="6"/>
  <c r="T1040" i="6"/>
  <c r="U1040" i="6" s="1"/>
  <c r="V1040" i="6" s="1"/>
  <c r="T1041" i="6"/>
  <c r="U1041" i="6" s="1"/>
  <c r="V1041" i="6" s="1"/>
  <c r="T1042" i="6"/>
  <c r="T1043" i="6"/>
  <c r="T1044" i="6"/>
  <c r="U1044" i="6" s="1"/>
  <c r="V1044" i="6" s="1"/>
  <c r="T1045" i="6"/>
  <c r="U1045" i="6" s="1"/>
  <c r="V1045" i="6" s="1"/>
  <c r="T1046" i="6"/>
  <c r="T1047" i="6"/>
  <c r="T1048" i="6"/>
  <c r="U1048" i="6" s="1"/>
  <c r="V1048" i="6" s="1"/>
  <c r="T1049" i="6"/>
  <c r="U1049" i="6" s="1"/>
  <c r="V1049" i="6" s="1"/>
  <c r="T1050" i="6"/>
  <c r="T1051" i="6"/>
  <c r="T1052" i="6"/>
  <c r="U1052" i="6" s="1"/>
  <c r="V1052" i="6" s="1"/>
  <c r="T1053" i="6"/>
  <c r="U1053" i="6" s="1"/>
  <c r="V1053" i="6" s="1"/>
  <c r="T1054" i="6"/>
  <c r="T1055" i="6"/>
  <c r="T1056" i="6"/>
  <c r="U1056" i="6" s="1"/>
  <c r="V1056" i="6" s="1"/>
  <c r="T1057" i="6"/>
  <c r="U1057" i="6" s="1"/>
  <c r="V1057" i="6" s="1"/>
  <c r="T1058" i="6"/>
  <c r="T1059" i="6"/>
  <c r="T1060" i="6"/>
  <c r="U1060" i="6" s="1"/>
  <c r="V1060" i="6" s="1"/>
  <c r="T1061" i="6"/>
  <c r="U1061" i="6" s="1"/>
  <c r="V1061" i="6" s="1"/>
  <c r="T1062" i="6"/>
  <c r="T1063" i="6"/>
  <c r="T1064" i="6"/>
  <c r="U1064" i="6" s="1"/>
  <c r="V1064" i="6" s="1"/>
  <c r="T1065" i="6"/>
  <c r="U1065" i="6" s="1"/>
  <c r="V1065" i="6" s="1"/>
  <c r="T1066" i="6"/>
  <c r="T1067" i="6"/>
  <c r="T1068" i="6"/>
  <c r="U1068" i="6" s="1"/>
  <c r="V1068" i="6" s="1"/>
  <c r="T1069" i="6"/>
  <c r="U1069" i="6" s="1"/>
  <c r="V1069" i="6" s="1"/>
  <c r="T1070" i="6"/>
  <c r="T1071" i="6"/>
  <c r="T1072" i="6"/>
  <c r="U1072" i="6" s="1"/>
  <c r="V1072" i="6" s="1"/>
  <c r="T1073" i="6"/>
  <c r="U1073" i="6" s="1"/>
  <c r="V1073" i="6" s="1"/>
  <c r="T1074" i="6"/>
  <c r="T1075" i="6"/>
  <c r="T1076" i="6"/>
  <c r="U1076" i="6" s="1"/>
  <c r="V1076" i="6" s="1"/>
  <c r="T1077" i="6"/>
  <c r="U1077" i="6" s="1"/>
  <c r="V1077" i="6" s="1"/>
  <c r="T1078" i="6"/>
  <c r="T1079" i="6"/>
  <c r="T1080" i="6"/>
  <c r="U1080" i="6" s="1"/>
  <c r="V1080" i="6" s="1"/>
  <c r="T1081" i="6"/>
  <c r="U1081" i="6" s="1"/>
  <c r="V1081" i="6" s="1"/>
  <c r="T1082" i="6"/>
  <c r="T1083" i="6"/>
  <c r="T1084" i="6"/>
  <c r="T1085" i="6"/>
  <c r="U1085" i="6" s="1"/>
  <c r="V1085" i="6" s="1"/>
  <c r="T1086" i="6"/>
  <c r="T1087" i="6"/>
  <c r="T1088" i="6"/>
  <c r="U1088" i="6" s="1"/>
  <c r="V1088" i="6" s="1"/>
  <c r="T1089" i="6"/>
  <c r="U1089" i="6" s="1"/>
  <c r="V1089" i="6" s="1"/>
  <c r="T1090" i="6"/>
  <c r="T1091" i="6"/>
  <c r="T1092" i="6"/>
  <c r="U1092" i="6" s="1"/>
  <c r="V1092" i="6" s="1"/>
  <c r="T1093" i="6"/>
  <c r="U1093" i="6" s="1"/>
  <c r="V1093" i="6" s="1"/>
  <c r="T1094" i="6"/>
  <c r="T1095" i="6"/>
  <c r="T1096" i="6"/>
  <c r="U1096" i="6" s="1"/>
  <c r="V1096" i="6" s="1"/>
  <c r="T1097" i="6"/>
  <c r="U1097" i="6" s="1"/>
  <c r="V1097" i="6" s="1"/>
  <c r="T1098" i="6"/>
  <c r="T1099" i="6"/>
  <c r="T1100" i="6"/>
  <c r="U1100" i="6" s="1"/>
  <c r="V1100" i="6" s="1"/>
  <c r="T1101" i="6"/>
  <c r="U1101" i="6" s="1"/>
  <c r="V1101" i="6" s="1"/>
  <c r="T1102" i="6"/>
  <c r="T1103" i="6"/>
  <c r="T1104" i="6"/>
  <c r="U1104" i="6" s="1"/>
  <c r="V1104" i="6" s="1"/>
  <c r="T1105" i="6"/>
  <c r="U1105" i="6" s="1"/>
  <c r="V1105" i="6" s="1"/>
  <c r="T1106" i="6"/>
  <c r="T1107" i="6"/>
  <c r="T1108" i="6"/>
  <c r="U1108" i="6" s="1"/>
  <c r="V1108" i="6" s="1"/>
  <c r="T1109" i="6"/>
  <c r="U1109" i="6" s="1"/>
  <c r="V1109" i="6" s="1"/>
  <c r="T1110" i="6"/>
  <c r="T1111" i="6"/>
  <c r="T1112" i="6"/>
  <c r="U1112" i="6" s="1"/>
  <c r="V1112" i="6" s="1"/>
  <c r="T1113" i="6"/>
  <c r="U1113" i="6" s="1"/>
  <c r="V1113" i="6" s="1"/>
  <c r="T1114" i="6"/>
  <c r="T1115" i="6"/>
  <c r="T1116" i="6"/>
  <c r="U1116" i="6" s="1"/>
  <c r="V1116" i="6" s="1"/>
  <c r="T1117" i="6"/>
  <c r="U1117" i="6" s="1"/>
  <c r="V1117" i="6" s="1"/>
  <c r="T1118" i="6"/>
  <c r="T1119" i="6"/>
  <c r="T1120" i="6"/>
  <c r="U1120" i="6" s="1"/>
  <c r="V1120" i="6" s="1"/>
  <c r="T1121" i="6"/>
  <c r="U1121" i="6" s="1"/>
  <c r="V1121" i="6" s="1"/>
  <c r="T1122" i="6"/>
  <c r="T1123" i="6"/>
  <c r="T1124" i="6"/>
  <c r="U1124" i="6" s="1"/>
  <c r="V1124" i="6" s="1"/>
  <c r="T1125" i="6"/>
  <c r="U1125" i="6" s="1"/>
  <c r="V1125" i="6" s="1"/>
  <c r="T1126" i="6"/>
  <c r="T1127" i="6"/>
  <c r="T1128" i="6"/>
  <c r="U1128" i="6" s="1"/>
  <c r="V1128" i="6" s="1"/>
  <c r="T1129" i="6"/>
  <c r="U1129" i="6" s="1"/>
  <c r="V1129" i="6" s="1"/>
  <c r="T1130" i="6"/>
  <c r="T1131" i="6"/>
  <c r="T1132" i="6"/>
  <c r="U1132" i="6" s="1"/>
  <c r="V1132" i="6" s="1"/>
  <c r="T1133" i="6"/>
  <c r="U1133" i="6" s="1"/>
  <c r="V1133" i="6" s="1"/>
  <c r="T1134" i="6"/>
  <c r="T1135" i="6"/>
  <c r="T1136" i="6"/>
  <c r="U1136" i="6" s="1"/>
  <c r="V1136" i="6" s="1"/>
  <c r="T1137" i="6"/>
  <c r="U1137" i="6" s="1"/>
  <c r="V1137" i="6" s="1"/>
  <c r="T1138" i="6"/>
  <c r="T1139" i="6"/>
  <c r="T1140" i="6"/>
  <c r="U1140" i="6" s="1"/>
  <c r="V1140" i="6" s="1"/>
  <c r="T1141" i="6"/>
  <c r="U1141" i="6" s="1"/>
  <c r="V1141" i="6" s="1"/>
  <c r="T1142" i="6"/>
  <c r="T1143" i="6"/>
  <c r="T1144" i="6"/>
  <c r="U1144" i="6" s="1"/>
  <c r="V1144" i="6" s="1"/>
  <c r="T1145" i="6"/>
  <c r="U1145" i="6" s="1"/>
  <c r="V1145" i="6" s="1"/>
  <c r="T1146" i="6"/>
  <c r="T1147" i="6"/>
  <c r="T1148" i="6"/>
  <c r="U1148" i="6" s="1"/>
  <c r="V1148" i="6" s="1"/>
  <c r="T1149" i="6"/>
  <c r="U1149" i="6" s="1"/>
  <c r="V1149" i="6" s="1"/>
  <c r="T1150" i="6"/>
  <c r="T1151" i="6"/>
  <c r="T1152" i="6"/>
  <c r="U1152" i="6" s="1"/>
  <c r="V1152" i="6" s="1"/>
  <c r="T1153" i="6"/>
  <c r="U1153" i="6" s="1"/>
  <c r="V1153" i="6" s="1"/>
  <c r="T1154" i="6"/>
  <c r="T1155" i="6"/>
  <c r="T1156" i="6"/>
  <c r="U1156" i="6" s="1"/>
  <c r="V1156" i="6" s="1"/>
  <c r="T1157" i="6"/>
  <c r="U1157" i="6" s="1"/>
  <c r="V1157" i="6" s="1"/>
  <c r="T1158" i="6"/>
  <c r="T1159" i="6"/>
  <c r="T1160" i="6"/>
  <c r="U1160" i="6" s="1"/>
  <c r="V1160" i="6" s="1"/>
  <c r="T1161" i="6"/>
  <c r="U1161" i="6" s="1"/>
  <c r="V1161" i="6" s="1"/>
  <c r="T1162" i="6"/>
  <c r="T1163" i="6"/>
  <c r="T1164" i="6"/>
  <c r="U1164" i="6" s="1"/>
  <c r="V1164" i="6" s="1"/>
  <c r="T1165" i="6"/>
  <c r="U1165" i="6" s="1"/>
  <c r="V1165" i="6" s="1"/>
  <c r="T1166" i="6"/>
  <c r="T1167" i="6"/>
  <c r="T1168" i="6"/>
  <c r="U1168" i="6" s="1"/>
  <c r="V1168" i="6" s="1"/>
  <c r="T1169" i="6"/>
  <c r="U1169" i="6" s="1"/>
  <c r="V1169" i="6" s="1"/>
  <c r="T1170" i="6"/>
  <c r="T1171" i="6"/>
  <c r="T1172" i="6"/>
  <c r="U1172" i="6" s="1"/>
  <c r="V1172" i="6" s="1"/>
  <c r="T1173" i="6"/>
  <c r="U1173" i="6" s="1"/>
  <c r="V1173" i="6" s="1"/>
  <c r="T1174" i="6"/>
  <c r="T1175" i="6"/>
  <c r="T1176" i="6"/>
  <c r="U1176" i="6" s="1"/>
  <c r="V1176" i="6" s="1"/>
  <c r="T1177" i="6"/>
  <c r="U1177" i="6" s="1"/>
  <c r="V1177" i="6" s="1"/>
  <c r="T1178" i="6"/>
  <c r="T1179" i="6"/>
  <c r="T1180" i="6"/>
  <c r="U1180" i="6" s="1"/>
  <c r="V1180" i="6" s="1"/>
  <c r="T1181" i="6"/>
  <c r="U1181" i="6" s="1"/>
  <c r="V1181" i="6" s="1"/>
  <c r="T1182" i="6"/>
  <c r="T1183" i="6"/>
  <c r="T1184" i="6"/>
  <c r="U1184" i="6" s="1"/>
  <c r="V1184" i="6" s="1"/>
  <c r="T1185" i="6"/>
  <c r="U1185" i="6" s="1"/>
  <c r="V1185" i="6" s="1"/>
  <c r="T1186" i="6"/>
  <c r="T1187" i="6"/>
  <c r="T1188" i="6"/>
  <c r="U1188" i="6" s="1"/>
  <c r="V1188" i="6" s="1"/>
  <c r="T1189" i="6"/>
  <c r="U1189" i="6" s="1"/>
  <c r="V1189" i="6" s="1"/>
  <c r="T1190" i="6"/>
  <c r="T1191" i="6"/>
  <c r="T1192" i="6"/>
  <c r="U1192" i="6" s="1"/>
  <c r="V1192" i="6" s="1"/>
  <c r="T1193" i="6"/>
  <c r="U1193" i="6" s="1"/>
  <c r="V1193" i="6" s="1"/>
  <c r="T1194" i="6"/>
  <c r="T1195" i="6"/>
  <c r="T1196" i="6"/>
  <c r="U1196" i="6" s="1"/>
  <c r="V1196" i="6" s="1"/>
  <c r="T1197" i="6"/>
  <c r="U1197" i="6" s="1"/>
  <c r="V1197" i="6" s="1"/>
  <c r="T1198" i="6"/>
  <c r="T1199" i="6"/>
  <c r="T1200" i="6"/>
  <c r="T1201" i="6"/>
  <c r="U1201" i="6" s="1"/>
  <c r="V1201" i="6" s="1"/>
  <c r="T1202" i="6"/>
  <c r="T1203" i="6"/>
  <c r="T1204" i="6"/>
  <c r="U1204" i="6" s="1"/>
  <c r="V1204" i="6" s="1"/>
  <c r="T1205" i="6"/>
  <c r="U1205" i="6" s="1"/>
  <c r="V1205" i="6" s="1"/>
  <c r="T1206" i="6"/>
  <c r="T1207" i="6"/>
  <c r="T1208" i="6"/>
  <c r="U1208" i="6" s="1"/>
  <c r="V1208" i="6" s="1"/>
  <c r="T1209" i="6"/>
  <c r="U1209" i="6" s="1"/>
  <c r="V1209" i="6" s="1"/>
  <c r="T1210" i="6"/>
  <c r="T1211" i="6"/>
  <c r="T1212" i="6"/>
  <c r="U1212" i="6" s="1"/>
  <c r="V1212" i="6" s="1"/>
  <c r="T1213" i="6"/>
  <c r="U1213" i="6" s="1"/>
  <c r="V1213" i="6" s="1"/>
  <c r="T1214" i="6"/>
  <c r="T1215" i="6"/>
  <c r="T1216" i="6"/>
  <c r="U1216" i="6" s="1"/>
  <c r="V1216" i="6" s="1"/>
  <c r="T1217" i="6"/>
  <c r="U1217" i="6" s="1"/>
  <c r="V1217" i="6" s="1"/>
  <c r="T1218" i="6"/>
  <c r="T1219" i="6"/>
  <c r="T1220" i="6"/>
  <c r="U1220" i="6" s="1"/>
  <c r="V1220" i="6" s="1"/>
  <c r="T1221" i="6"/>
  <c r="U1221" i="6" s="1"/>
  <c r="V1221" i="6" s="1"/>
  <c r="T1222" i="6"/>
  <c r="T1223" i="6"/>
  <c r="T1224" i="6"/>
  <c r="U1224" i="6" s="1"/>
  <c r="V1224" i="6" s="1"/>
  <c r="T1225" i="6"/>
  <c r="U1225" i="6" s="1"/>
  <c r="V1225" i="6" s="1"/>
  <c r="T1226" i="6"/>
  <c r="T1227" i="6"/>
  <c r="T1228" i="6"/>
  <c r="U1228" i="6" s="1"/>
  <c r="V1228" i="6" s="1"/>
  <c r="T1229" i="6"/>
  <c r="U1229" i="6" s="1"/>
  <c r="V1229" i="6" s="1"/>
  <c r="T1230" i="6"/>
  <c r="T1231" i="6"/>
  <c r="T1232" i="6"/>
  <c r="U1232" i="6" s="1"/>
  <c r="V1232" i="6" s="1"/>
  <c r="T1233" i="6"/>
  <c r="U1233" i="6" s="1"/>
  <c r="V1233" i="6" s="1"/>
  <c r="T1234" i="6"/>
  <c r="T1235" i="6"/>
  <c r="T1236" i="6"/>
  <c r="U1236" i="6" s="1"/>
  <c r="V1236" i="6" s="1"/>
  <c r="T1237" i="6"/>
  <c r="U1237" i="6" s="1"/>
  <c r="V1237" i="6" s="1"/>
  <c r="T1238" i="6"/>
  <c r="T1239" i="6"/>
  <c r="T1240" i="6"/>
  <c r="U1240" i="6" s="1"/>
  <c r="V1240" i="6" s="1"/>
  <c r="T1241" i="6"/>
  <c r="U1241" i="6" s="1"/>
  <c r="V1241" i="6" s="1"/>
  <c r="T1242" i="6"/>
  <c r="T1243" i="6"/>
  <c r="T1244" i="6"/>
  <c r="U1244" i="6" s="1"/>
  <c r="V1244" i="6" s="1"/>
  <c r="T1245" i="6"/>
  <c r="U1245" i="6" s="1"/>
  <c r="V1245" i="6" s="1"/>
  <c r="T1246" i="6"/>
  <c r="T1247" i="6"/>
  <c r="T1248" i="6"/>
  <c r="U1248" i="6" s="1"/>
  <c r="V1248" i="6" s="1"/>
  <c r="T1249" i="6"/>
  <c r="U1249" i="6" s="1"/>
  <c r="V1249" i="6" s="1"/>
  <c r="T1250" i="6"/>
  <c r="T1251" i="6"/>
  <c r="T1252" i="6"/>
  <c r="U1252" i="6" s="1"/>
  <c r="V1252" i="6" s="1"/>
  <c r="T1253" i="6"/>
  <c r="U1253" i="6" s="1"/>
  <c r="V1253" i="6" s="1"/>
  <c r="T1254" i="6"/>
  <c r="T1255" i="6"/>
  <c r="T1256" i="6"/>
  <c r="U1256" i="6" s="1"/>
  <c r="V1256" i="6" s="1"/>
  <c r="T1257" i="6"/>
  <c r="U1257" i="6" s="1"/>
  <c r="V1257" i="6" s="1"/>
  <c r="T1258" i="6"/>
  <c r="T1259" i="6"/>
  <c r="T1260" i="6"/>
  <c r="U1260" i="6" s="1"/>
  <c r="V1260" i="6" s="1"/>
  <c r="T1261" i="6"/>
  <c r="U1261" i="6" s="1"/>
  <c r="V1261" i="6" s="1"/>
  <c r="T1262" i="6"/>
  <c r="T1263" i="6"/>
  <c r="T1264" i="6"/>
  <c r="U1264" i="6" s="1"/>
  <c r="V1264" i="6" s="1"/>
  <c r="T1265" i="6"/>
  <c r="U1265" i="6" s="1"/>
  <c r="V1265" i="6" s="1"/>
  <c r="T1266" i="6"/>
  <c r="T1267" i="6"/>
  <c r="T1268" i="6"/>
  <c r="U1268" i="6" s="1"/>
  <c r="V1268" i="6" s="1"/>
  <c r="T1269" i="6"/>
  <c r="U1269" i="6" s="1"/>
  <c r="V1269" i="6" s="1"/>
  <c r="T1270" i="6"/>
  <c r="T1271" i="6"/>
  <c r="T1272" i="6"/>
  <c r="U1272" i="6" s="1"/>
  <c r="V1272" i="6" s="1"/>
  <c r="T1273" i="6"/>
  <c r="U1273" i="6" s="1"/>
  <c r="V1273" i="6" s="1"/>
  <c r="T1274" i="6"/>
  <c r="T1275" i="6"/>
  <c r="T1276" i="6"/>
  <c r="U1276" i="6" s="1"/>
  <c r="V1276" i="6" s="1"/>
  <c r="T1277" i="6"/>
  <c r="U1277" i="6" s="1"/>
  <c r="V1277" i="6" s="1"/>
  <c r="T1278" i="6"/>
  <c r="T1279" i="6"/>
  <c r="T1280" i="6"/>
  <c r="U1280" i="6" s="1"/>
  <c r="V1280" i="6" s="1"/>
  <c r="T1281" i="6"/>
  <c r="U1281" i="6" s="1"/>
  <c r="V1281" i="6" s="1"/>
  <c r="T1282" i="6"/>
  <c r="T1283" i="6"/>
  <c r="T1284" i="6"/>
  <c r="U1284" i="6" s="1"/>
  <c r="V1284" i="6" s="1"/>
  <c r="T1285" i="6"/>
  <c r="U1285" i="6" s="1"/>
  <c r="V1285" i="6" s="1"/>
  <c r="T1286" i="6"/>
  <c r="T1287" i="6"/>
  <c r="T1288" i="6"/>
  <c r="U1288" i="6" s="1"/>
  <c r="V1288" i="6" s="1"/>
  <c r="T1289" i="6"/>
  <c r="U1289" i="6" s="1"/>
  <c r="V1289" i="6" s="1"/>
  <c r="T1290" i="6"/>
  <c r="T1291" i="6"/>
  <c r="T1292" i="6"/>
  <c r="U1292" i="6" s="1"/>
  <c r="V1292" i="6" s="1"/>
  <c r="T1293" i="6"/>
  <c r="U1293" i="6" s="1"/>
  <c r="V1293" i="6" s="1"/>
  <c r="T1294" i="6"/>
  <c r="T1295" i="6"/>
  <c r="T1296" i="6"/>
  <c r="U1296" i="6" s="1"/>
  <c r="V1296" i="6" s="1"/>
  <c r="T1297" i="6"/>
  <c r="U1297" i="6" s="1"/>
  <c r="V1297" i="6" s="1"/>
  <c r="T1298" i="6"/>
  <c r="T1299" i="6"/>
  <c r="T1300" i="6"/>
  <c r="U1300" i="6" s="1"/>
  <c r="V1300" i="6" s="1"/>
  <c r="T1301" i="6"/>
  <c r="U1301" i="6" s="1"/>
  <c r="V1301" i="6" s="1"/>
  <c r="T1302" i="6"/>
  <c r="T1303" i="6"/>
  <c r="T1304" i="6"/>
  <c r="U1304" i="6" s="1"/>
  <c r="V1304" i="6" s="1"/>
  <c r="T1305" i="6"/>
  <c r="U1305" i="6" s="1"/>
  <c r="V1305" i="6" s="1"/>
  <c r="T1306" i="6"/>
  <c r="T1307" i="6"/>
  <c r="T1308" i="6"/>
  <c r="U1308" i="6" s="1"/>
  <c r="V1308" i="6" s="1"/>
  <c r="T1309" i="6"/>
  <c r="U1309" i="6" s="1"/>
  <c r="V1309" i="6" s="1"/>
  <c r="T1310" i="6"/>
  <c r="T1311" i="6"/>
  <c r="T1312" i="6"/>
  <c r="U1312" i="6" s="1"/>
  <c r="V1312" i="6" s="1"/>
  <c r="T1313" i="6"/>
  <c r="U1313" i="6" s="1"/>
  <c r="V1313" i="6" s="1"/>
  <c r="T1314" i="6"/>
  <c r="T1315" i="6"/>
  <c r="T1316" i="6"/>
  <c r="U1316" i="6" s="1"/>
  <c r="V1316" i="6" s="1"/>
  <c r="T1317" i="6"/>
  <c r="U1317" i="6" s="1"/>
  <c r="V1317" i="6" s="1"/>
  <c r="T1318" i="6"/>
  <c r="T1319" i="6"/>
  <c r="T1320" i="6"/>
  <c r="U1320" i="6" s="1"/>
  <c r="V1320" i="6" s="1"/>
  <c r="T1321" i="6"/>
  <c r="U1321" i="6" s="1"/>
  <c r="V1321" i="6" s="1"/>
  <c r="T1322" i="6"/>
  <c r="T1323" i="6"/>
  <c r="T1324" i="6"/>
  <c r="U1324" i="6" s="1"/>
  <c r="V1324" i="6" s="1"/>
  <c r="T1325" i="6"/>
  <c r="U1325" i="6" s="1"/>
  <c r="V1325" i="6" s="1"/>
  <c r="T1326" i="6"/>
  <c r="T1327" i="6"/>
  <c r="T1328" i="6"/>
  <c r="U1328" i="6" s="1"/>
  <c r="V1328" i="6" s="1"/>
  <c r="T1329" i="6"/>
  <c r="U1329" i="6" s="1"/>
  <c r="V1329" i="6" s="1"/>
  <c r="T1330" i="6"/>
  <c r="T1331" i="6"/>
  <c r="T1332" i="6"/>
  <c r="U1332" i="6" s="1"/>
  <c r="V1332" i="6" s="1"/>
  <c r="T1333" i="6"/>
  <c r="U1333" i="6" s="1"/>
  <c r="V1333" i="6" s="1"/>
  <c r="T1334" i="6"/>
  <c r="T1335" i="6"/>
  <c r="T1336" i="6"/>
  <c r="U1336" i="6" s="1"/>
  <c r="V1336" i="6" s="1"/>
  <c r="T1337" i="6"/>
  <c r="U1337" i="6" s="1"/>
  <c r="V1337" i="6" s="1"/>
  <c r="T1338" i="6"/>
  <c r="T1339" i="6"/>
  <c r="T1340" i="6"/>
  <c r="U1340" i="6" s="1"/>
  <c r="V1340" i="6" s="1"/>
  <c r="T1341" i="6"/>
  <c r="U1341" i="6" s="1"/>
  <c r="V1341" i="6" s="1"/>
  <c r="T1342" i="6"/>
  <c r="T1343" i="6"/>
  <c r="T1344" i="6"/>
  <c r="U1344" i="6" s="1"/>
  <c r="V1344" i="6" s="1"/>
  <c r="T1345" i="6"/>
  <c r="U1345" i="6" s="1"/>
  <c r="V1345" i="6" s="1"/>
  <c r="T1346" i="6"/>
  <c r="T1347" i="6"/>
  <c r="T1348" i="6"/>
  <c r="U1348" i="6" s="1"/>
  <c r="V1348" i="6" s="1"/>
  <c r="T1349" i="6"/>
  <c r="U1349" i="6" s="1"/>
  <c r="V1349" i="6" s="1"/>
  <c r="T1350" i="6"/>
  <c r="T1351" i="6"/>
  <c r="T1352" i="6"/>
  <c r="U1352" i="6" s="1"/>
  <c r="V1352" i="6" s="1"/>
  <c r="T1353" i="6"/>
  <c r="U1353" i="6" s="1"/>
  <c r="V1353" i="6" s="1"/>
  <c r="T1354" i="6"/>
  <c r="T1355" i="6"/>
  <c r="T1356" i="6"/>
  <c r="U1356" i="6" s="1"/>
  <c r="V1356" i="6" s="1"/>
  <c r="T1357" i="6"/>
  <c r="U1357" i="6" s="1"/>
  <c r="V1357" i="6" s="1"/>
  <c r="T1358" i="6"/>
  <c r="T1359" i="6"/>
  <c r="T1360" i="6"/>
  <c r="U1360" i="6" s="1"/>
  <c r="V1360" i="6" s="1"/>
  <c r="T1361" i="6"/>
  <c r="U1361" i="6" s="1"/>
  <c r="V1361" i="6" s="1"/>
  <c r="T1362" i="6"/>
  <c r="T1363" i="6"/>
  <c r="T1364" i="6"/>
  <c r="U1364" i="6" s="1"/>
  <c r="V1364" i="6" s="1"/>
  <c r="T1365" i="6"/>
  <c r="U1365" i="6" s="1"/>
  <c r="V1365" i="6" s="1"/>
  <c r="T1366" i="6"/>
  <c r="T1367" i="6"/>
  <c r="T1368" i="6"/>
  <c r="U1368" i="6" s="1"/>
  <c r="V1368" i="6" s="1"/>
  <c r="T1369" i="6"/>
  <c r="U1369" i="6" s="1"/>
  <c r="V1369" i="6" s="1"/>
  <c r="T1370" i="6"/>
  <c r="T1371" i="6"/>
  <c r="T1372" i="6"/>
  <c r="U1372" i="6" s="1"/>
  <c r="V1372" i="6" s="1"/>
  <c r="T1373" i="6"/>
  <c r="U1373" i="6" s="1"/>
  <c r="V1373" i="6" s="1"/>
  <c r="T1374" i="6"/>
  <c r="T1375" i="6"/>
  <c r="T1376" i="6"/>
  <c r="U1376" i="6" s="1"/>
  <c r="V1376" i="6" s="1"/>
  <c r="T1377" i="6"/>
  <c r="U1377" i="6" s="1"/>
  <c r="V1377" i="6" s="1"/>
  <c r="T1378" i="6"/>
  <c r="T1379" i="6"/>
  <c r="T1380" i="6"/>
  <c r="U1380" i="6" s="1"/>
  <c r="V1380" i="6" s="1"/>
  <c r="T1381" i="6"/>
  <c r="U1381" i="6" s="1"/>
  <c r="V1381" i="6" s="1"/>
  <c r="T1382" i="6"/>
  <c r="T1383" i="6"/>
  <c r="T1384" i="6"/>
  <c r="U1384" i="6" s="1"/>
  <c r="V1384" i="6" s="1"/>
  <c r="T1385" i="6"/>
  <c r="U1385" i="6" s="1"/>
  <c r="V1385" i="6" s="1"/>
  <c r="T1386" i="6"/>
  <c r="T1387" i="6"/>
  <c r="T1388" i="6"/>
  <c r="U1388" i="6" s="1"/>
  <c r="V1388" i="6" s="1"/>
  <c r="T1389" i="6"/>
  <c r="U1389" i="6" s="1"/>
  <c r="V1389" i="6" s="1"/>
  <c r="T1390" i="6"/>
  <c r="T1391" i="6"/>
  <c r="T1392" i="6"/>
  <c r="U1392" i="6" s="1"/>
  <c r="V1392" i="6" s="1"/>
  <c r="T1393" i="6"/>
  <c r="U1393" i="6" s="1"/>
  <c r="V1393" i="6" s="1"/>
  <c r="T1394" i="6"/>
  <c r="T1395" i="6"/>
  <c r="T1396" i="6"/>
  <c r="U1396" i="6" s="1"/>
  <c r="V1396" i="6" s="1"/>
  <c r="T1397" i="6"/>
  <c r="U1397" i="6" s="1"/>
  <c r="V1397" i="6" s="1"/>
  <c r="T1398" i="6"/>
  <c r="T1399" i="6"/>
  <c r="T1400" i="6"/>
  <c r="U1400" i="6" s="1"/>
  <c r="V1400" i="6" s="1"/>
  <c r="T1401" i="6"/>
  <c r="U1401" i="6" s="1"/>
  <c r="V1401" i="6" s="1"/>
  <c r="T1402" i="6"/>
  <c r="T1403" i="6"/>
  <c r="T1404" i="6"/>
  <c r="U1404" i="6" s="1"/>
  <c r="V1404" i="6" s="1"/>
  <c r="T1405" i="6"/>
  <c r="U1405" i="6" s="1"/>
  <c r="V1405" i="6" s="1"/>
  <c r="T1406" i="6"/>
  <c r="T1407" i="6"/>
  <c r="T1408" i="6"/>
  <c r="U1408" i="6" s="1"/>
  <c r="V1408" i="6" s="1"/>
  <c r="T1409" i="6"/>
  <c r="U1409" i="6" s="1"/>
  <c r="V1409" i="6" s="1"/>
  <c r="T1410" i="6"/>
  <c r="T1411" i="6"/>
  <c r="T1412" i="6"/>
  <c r="U1412" i="6" s="1"/>
  <c r="V1412" i="6" s="1"/>
  <c r="T1413" i="6"/>
  <c r="U1413" i="6" s="1"/>
  <c r="V1413" i="6" s="1"/>
  <c r="T1414" i="6"/>
  <c r="T1415" i="6"/>
  <c r="T1416" i="6"/>
  <c r="U1416" i="6" s="1"/>
  <c r="V1416" i="6" s="1"/>
  <c r="T1417" i="6"/>
  <c r="U1417" i="6" s="1"/>
  <c r="V1417" i="6" s="1"/>
  <c r="T1418" i="6"/>
  <c r="T1419" i="6"/>
  <c r="T1420" i="6"/>
  <c r="U1420" i="6" s="1"/>
  <c r="V1420" i="6" s="1"/>
  <c r="T1421" i="6"/>
  <c r="U1421" i="6" s="1"/>
  <c r="V1421" i="6" s="1"/>
  <c r="T1422" i="6"/>
  <c r="T1423" i="6"/>
  <c r="T1424" i="6"/>
  <c r="U1424" i="6" s="1"/>
  <c r="V1424" i="6" s="1"/>
  <c r="T1425" i="6"/>
  <c r="U1425" i="6" s="1"/>
  <c r="V1425" i="6" s="1"/>
  <c r="T1426" i="6"/>
  <c r="T1427" i="6"/>
  <c r="T1428" i="6"/>
  <c r="U1428" i="6" s="1"/>
  <c r="V1428" i="6" s="1"/>
  <c r="T1429" i="6"/>
  <c r="U1429" i="6" s="1"/>
  <c r="V1429" i="6" s="1"/>
  <c r="T1430" i="6"/>
  <c r="T1431" i="6"/>
  <c r="T1432" i="6"/>
  <c r="U1432" i="6" s="1"/>
  <c r="V1432" i="6" s="1"/>
  <c r="T1433" i="6"/>
  <c r="U1433" i="6" s="1"/>
  <c r="V1433" i="6" s="1"/>
  <c r="T1434" i="6"/>
  <c r="T1435" i="6"/>
  <c r="T1436" i="6"/>
  <c r="U1436" i="6" s="1"/>
  <c r="V1436" i="6" s="1"/>
  <c r="T1437" i="6"/>
  <c r="U1437" i="6" s="1"/>
  <c r="V1437" i="6" s="1"/>
  <c r="T1438" i="6"/>
  <c r="T1439" i="6"/>
  <c r="T1440" i="6"/>
  <c r="U1440" i="6" s="1"/>
  <c r="V1440" i="6" s="1"/>
  <c r="T1441" i="6"/>
  <c r="U1441" i="6" s="1"/>
  <c r="V1441" i="6" s="1"/>
  <c r="T1442" i="6"/>
  <c r="T1443" i="6"/>
  <c r="T1444" i="6"/>
  <c r="U1444" i="6" s="1"/>
  <c r="V1444" i="6" s="1"/>
  <c r="T1445" i="6"/>
  <c r="U1445" i="6" s="1"/>
  <c r="V1445" i="6" s="1"/>
  <c r="T1446" i="6"/>
  <c r="T1447" i="6"/>
  <c r="T1448" i="6"/>
  <c r="U1448" i="6" s="1"/>
  <c r="V1448" i="6" s="1"/>
  <c r="T1449" i="6"/>
  <c r="U1449" i="6" s="1"/>
  <c r="V1449" i="6" s="1"/>
  <c r="T1450" i="6"/>
  <c r="T1451" i="6"/>
  <c r="T1452" i="6"/>
  <c r="U1452" i="6" s="1"/>
  <c r="V1452" i="6" s="1"/>
  <c r="T1453" i="6"/>
  <c r="U1453" i="6" s="1"/>
  <c r="V1453" i="6" s="1"/>
  <c r="T1454" i="6"/>
  <c r="T1455" i="6"/>
  <c r="T1456" i="6"/>
  <c r="U1456" i="6" s="1"/>
  <c r="V1456" i="6" s="1"/>
  <c r="T1457" i="6"/>
  <c r="U1457" i="6" s="1"/>
  <c r="V1457" i="6" s="1"/>
  <c r="T1458" i="6"/>
  <c r="T1459" i="6"/>
  <c r="T1460" i="6"/>
  <c r="U1460" i="6" s="1"/>
  <c r="V1460" i="6" s="1"/>
  <c r="T1461" i="6"/>
  <c r="U1461" i="6" s="1"/>
  <c r="V1461" i="6" s="1"/>
  <c r="T1462" i="6"/>
  <c r="T1463" i="6"/>
  <c r="T1464" i="6"/>
  <c r="U1464" i="6" s="1"/>
  <c r="V1464" i="6" s="1"/>
  <c r="T1465" i="6"/>
  <c r="U1465" i="6" s="1"/>
  <c r="V1465" i="6" s="1"/>
  <c r="T1466" i="6"/>
  <c r="T1467" i="6"/>
  <c r="T1468" i="6"/>
  <c r="U1468" i="6" s="1"/>
  <c r="V1468" i="6" s="1"/>
  <c r="T1469" i="6"/>
  <c r="U1469" i="6" s="1"/>
  <c r="V1469" i="6" s="1"/>
  <c r="T1470" i="6"/>
  <c r="T1471" i="6"/>
  <c r="T1472" i="6"/>
  <c r="U1472" i="6" s="1"/>
  <c r="V1472" i="6" s="1"/>
  <c r="T1473" i="6"/>
  <c r="U1473" i="6" s="1"/>
  <c r="V1473" i="6" s="1"/>
  <c r="T1474" i="6"/>
  <c r="T1475" i="6"/>
  <c r="T1476" i="6"/>
  <c r="U1476" i="6" s="1"/>
  <c r="V1476" i="6" s="1"/>
  <c r="T1477" i="6"/>
  <c r="U1477" i="6" s="1"/>
  <c r="V1477" i="6" s="1"/>
  <c r="T1478" i="6"/>
  <c r="T1479" i="6"/>
  <c r="T1480" i="6"/>
  <c r="U1480" i="6" s="1"/>
  <c r="V1480" i="6" s="1"/>
  <c r="T1481" i="6"/>
  <c r="U1481" i="6" s="1"/>
  <c r="V1481" i="6" s="1"/>
  <c r="T1482" i="6"/>
  <c r="T1483" i="6"/>
  <c r="T1484" i="6"/>
  <c r="U1484" i="6" s="1"/>
  <c r="V1484" i="6" s="1"/>
  <c r="T1485" i="6"/>
  <c r="U1485" i="6" s="1"/>
  <c r="V1485" i="6" s="1"/>
  <c r="T1486" i="6"/>
  <c r="T1487" i="6"/>
  <c r="T1488" i="6"/>
  <c r="U1488" i="6" s="1"/>
  <c r="V1488" i="6" s="1"/>
  <c r="T1489" i="6"/>
  <c r="U1489" i="6" s="1"/>
  <c r="V1489" i="6" s="1"/>
  <c r="T1490" i="6"/>
  <c r="T1491" i="6"/>
  <c r="T1492" i="6"/>
  <c r="U1492" i="6" s="1"/>
  <c r="V1492" i="6" s="1"/>
  <c r="T1493" i="6"/>
  <c r="U1493" i="6" s="1"/>
  <c r="V1493" i="6" s="1"/>
  <c r="T1494" i="6"/>
  <c r="T1495" i="6"/>
  <c r="T1496" i="6"/>
  <c r="U1496" i="6" s="1"/>
  <c r="V1496" i="6" s="1"/>
  <c r="T1497" i="6"/>
  <c r="U1497" i="6" s="1"/>
  <c r="V1497" i="6" s="1"/>
  <c r="T1498" i="6"/>
  <c r="T1499" i="6"/>
  <c r="T1500" i="6"/>
  <c r="U1500" i="6" s="1"/>
  <c r="V1500" i="6" s="1"/>
  <c r="T1501" i="6"/>
  <c r="U1501" i="6" s="1"/>
  <c r="V1501" i="6" s="1"/>
  <c r="T1502" i="6"/>
  <c r="T1503" i="6"/>
  <c r="T1504" i="6"/>
  <c r="U1504" i="6" s="1"/>
  <c r="V1504" i="6" s="1"/>
  <c r="T1505" i="6"/>
  <c r="U1505" i="6" s="1"/>
  <c r="V1505" i="6" s="1"/>
  <c r="T1506" i="6"/>
  <c r="T1507" i="6"/>
  <c r="T1508" i="6"/>
  <c r="U1508" i="6" s="1"/>
  <c r="V1508" i="6" s="1"/>
  <c r="T1509" i="6"/>
  <c r="U1509" i="6" s="1"/>
  <c r="V1509" i="6" s="1"/>
  <c r="T1510" i="6"/>
  <c r="T1511" i="6"/>
  <c r="T1512" i="6"/>
  <c r="U1512" i="6" s="1"/>
  <c r="V1512" i="6" s="1"/>
  <c r="T1513" i="6"/>
  <c r="U1513" i="6" s="1"/>
  <c r="V1513" i="6" s="1"/>
  <c r="T1514" i="6"/>
  <c r="T1515" i="6"/>
  <c r="T1516" i="6"/>
  <c r="U1516" i="6" s="1"/>
  <c r="V1516" i="6" s="1"/>
  <c r="T1517" i="6"/>
  <c r="U1517" i="6" s="1"/>
  <c r="V1517" i="6" s="1"/>
  <c r="T1518" i="6"/>
  <c r="T1519" i="6"/>
  <c r="T1520" i="6"/>
  <c r="U1520" i="6" s="1"/>
  <c r="V1520" i="6" s="1"/>
  <c r="T1521" i="6"/>
  <c r="U1521" i="6" s="1"/>
  <c r="V1521" i="6" s="1"/>
  <c r="T1522" i="6"/>
  <c r="T1523" i="6"/>
  <c r="T1524" i="6"/>
  <c r="U1524" i="6" s="1"/>
  <c r="V1524" i="6" s="1"/>
  <c r="T1525" i="6"/>
  <c r="U1525" i="6" s="1"/>
  <c r="V1525" i="6" s="1"/>
  <c r="T1526" i="6"/>
  <c r="T1527" i="6"/>
  <c r="T1528" i="6"/>
  <c r="U1528" i="6" s="1"/>
  <c r="V1528" i="6" s="1"/>
  <c r="T1529" i="6"/>
  <c r="U1529" i="6" s="1"/>
  <c r="V1529" i="6" s="1"/>
  <c r="T1530" i="6"/>
  <c r="T1531" i="6"/>
  <c r="T1532" i="6"/>
  <c r="U1532" i="6" s="1"/>
  <c r="V1532" i="6" s="1"/>
  <c r="T1533" i="6"/>
  <c r="U1533" i="6" s="1"/>
  <c r="V1533" i="6" s="1"/>
  <c r="T1534" i="6"/>
  <c r="T1535" i="6"/>
  <c r="T1536" i="6"/>
  <c r="U1536" i="6" s="1"/>
  <c r="V1536" i="6" s="1"/>
  <c r="T1537" i="6"/>
  <c r="U1537" i="6" s="1"/>
  <c r="V1537" i="6" s="1"/>
  <c r="T1538" i="6"/>
  <c r="T1539" i="6"/>
  <c r="T1540" i="6"/>
  <c r="U1540" i="6" s="1"/>
  <c r="V1540" i="6" s="1"/>
  <c r="T1541" i="6"/>
  <c r="U1541" i="6" s="1"/>
  <c r="V1541" i="6" s="1"/>
  <c r="T1542" i="6"/>
  <c r="T1543" i="6"/>
  <c r="T1544" i="6"/>
  <c r="U1544" i="6" s="1"/>
  <c r="V1544" i="6" s="1"/>
  <c r="T1545" i="6"/>
  <c r="U1545" i="6" s="1"/>
  <c r="V1545" i="6" s="1"/>
  <c r="T1546" i="6"/>
  <c r="T1547" i="6"/>
  <c r="T1548" i="6"/>
  <c r="U1548" i="6" s="1"/>
  <c r="V1548" i="6" s="1"/>
  <c r="T1549" i="6"/>
  <c r="U1549" i="6" s="1"/>
  <c r="V1549" i="6" s="1"/>
  <c r="T1550" i="6"/>
  <c r="T1551" i="6"/>
  <c r="T1552" i="6"/>
  <c r="U1552" i="6" s="1"/>
  <c r="V1552" i="6" s="1"/>
  <c r="T1553" i="6"/>
  <c r="U1553" i="6" s="1"/>
  <c r="V1553" i="6" s="1"/>
  <c r="T1554" i="6"/>
  <c r="T1555" i="6"/>
  <c r="T1556" i="6"/>
  <c r="U1556" i="6" s="1"/>
  <c r="V1556" i="6" s="1"/>
  <c r="T1557" i="6"/>
  <c r="U1557" i="6" s="1"/>
  <c r="V1557" i="6" s="1"/>
  <c r="T1558" i="6"/>
  <c r="T1559" i="6"/>
  <c r="T1560" i="6"/>
  <c r="U1560" i="6" s="1"/>
  <c r="V1560" i="6" s="1"/>
  <c r="T1561" i="6"/>
  <c r="U1561" i="6" s="1"/>
  <c r="V1561" i="6" s="1"/>
  <c r="T1562" i="6"/>
  <c r="T1563" i="6"/>
  <c r="T1564" i="6"/>
  <c r="U1564" i="6" s="1"/>
  <c r="V1564" i="6" s="1"/>
  <c r="T1565" i="6"/>
  <c r="U1565" i="6" s="1"/>
  <c r="V1565" i="6" s="1"/>
  <c r="T1566" i="6"/>
  <c r="T1567" i="6"/>
  <c r="T1568" i="6"/>
  <c r="U1568" i="6" s="1"/>
  <c r="V1568" i="6" s="1"/>
  <c r="T1569" i="6"/>
  <c r="U1569" i="6" s="1"/>
  <c r="V1569" i="6" s="1"/>
  <c r="T1570" i="6"/>
  <c r="T1571" i="6"/>
  <c r="T1572" i="6"/>
  <c r="U1572" i="6" s="1"/>
  <c r="V1572" i="6" s="1"/>
  <c r="T1573" i="6"/>
  <c r="U1573" i="6" s="1"/>
  <c r="V1573" i="6" s="1"/>
  <c r="T1574" i="6"/>
  <c r="T1575" i="6"/>
  <c r="T1576" i="6"/>
  <c r="U1576" i="6" s="1"/>
  <c r="V1576" i="6" s="1"/>
  <c r="T1577" i="6"/>
  <c r="U1577" i="6" s="1"/>
  <c r="V1577" i="6" s="1"/>
  <c r="T1578" i="6"/>
  <c r="T1579" i="6"/>
  <c r="T1580" i="6"/>
  <c r="U1580" i="6" s="1"/>
  <c r="V1580" i="6" s="1"/>
  <c r="T1581" i="6"/>
  <c r="U1581" i="6" s="1"/>
  <c r="V1581" i="6" s="1"/>
  <c r="T1582" i="6"/>
  <c r="T1583" i="6"/>
  <c r="T1584" i="6"/>
  <c r="U1584" i="6" s="1"/>
  <c r="V1584" i="6" s="1"/>
  <c r="T1585" i="6"/>
  <c r="U1585" i="6" s="1"/>
  <c r="V1585" i="6" s="1"/>
  <c r="T1586" i="6"/>
  <c r="T1587" i="6"/>
  <c r="T1588" i="6"/>
  <c r="U1588" i="6" s="1"/>
  <c r="V1588" i="6" s="1"/>
  <c r="T1589" i="6"/>
  <c r="U1589" i="6" s="1"/>
  <c r="V1589" i="6" s="1"/>
  <c r="T1590" i="6"/>
  <c r="T1591" i="6"/>
  <c r="T1592" i="6"/>
  <c r="U1592" i="6" s="1"/>
  <c r="V1592" i="6" s="1"/>
  <c r="T1593" i="6"/>
  <c r="U1593" i="6" s="1"/>
  <c r="V1593" i="6" s="1"/>
  <c r="T1594" i="6"/>
  <c r="T1595" i="6"/>
  <c r="T1596" i="6"/>
  <c r="U1596" i="6" s="1"/>
  <c r="V1596" i="6" s="1"/>
  <c r="T1597" i="6"/>
  <c r="U1597" i="6" s="1"/>
  <c r="V1597" i="6" s="1"/>
  <c r="T1598" i="6"/>
  <c r="T1599" i="6"/>
  <c r="T1600" i="6"/>
  <c r="U1600" i="6" s="1"/>
  <c r="V1600" i="6" s="1"/>
  <c r="T1601" i="6"/>
  <c r="U1601" i="6" s="1"/>
  <c r="V1601" i="6" s="1"/>
  <c r="T1602" i="6"/>
  <c r="T1603" i="6"/>
  <c r="T1604" i="6"/>
  <c r="U1604" i="6" s="1"/>
  <c r="V1604" i="6" s="1"/>
  <c r="T1605" i="6"/>
  <c r="U1605" i="6" s="1"/>
  <c r="V1605" i="6" s="1"/>
  <c r="T1606" i="6"/>
  <c r="T1607" i="6"/>
  <c r="T1608" i="6"/>
  <c r="U1608" i="6" s="1"/>
  <c r="V1608" i="6" s="1"/>
  <c r="T1609" i="6"/>
  <c r="U1609" i="6" s="1"/>
  <c r="V1609" i="6" s="1"/>
  <c r="T1610" i="6"/>
  <c r="T1611" i="6"/>
  <c r="T1612" i="6"/>
  <c r="U1612" i="6" s="1"/>
  <c r="V1612" i="6" s="1"/>
  <c r="T1613" i="6"/>
  <c r="U1613" i="6" s="1"/>
  <c r="V1613" i="6" s="1"/>
  <c r="T1614" i="6"/>
  <c r="T1615" i="6"/>
  <c r="T1616" i="6"/>
  <c r="U1616" i="6" s="1"/>
  <c r="V1616" i="6" s="1"/>
  <c r="T1617" i="6"/>
  <c r="U1617" i="6" s="1"/>
  <c r="V1617" i="6" s="1"/>
  <c r="T1618" i="6"/>
  <c r="T1619" i="6"/>
  <c r="T1620" i="6"/>
  <c r="U1620" i="6" s="1"/>
  <c r="V1620" i="6" s="1"/>
  <c r="T1621" i="6"/>
  <c r="U1621" i="6" s="1"/>
  <c r="V1621" i="6" s="1"/>
  <c r="T1622" i="6"/>
  <c r="T1623" i="6"/>
  <c r="T1624" i="6"/>
  <c r="U1624" i="6" s="1"/>
  <c r="V1624" i="6" s="1"/>
  <c r="T1625" i="6"/>
  <c r="U1625" i="6" s="1"/>
  <c r="V1625" i="6" s="1"/>
  <c r="T1626" i="6"/>
  <c r="T1627" i="6"/>
  <c r="T1628" i="6"/>
  <c r="U1628" i="6" s="1"/>
  <c r="V1628" i="6" s="1"/>
  <c r="T1629" i="6"/>
  <c r="U1629" i="6" s="1"/>
  <c r="V1629" i="6" s="1"/>
  <c r="T1630" i="6"/>
  <c r="T1631" i="6"/>
  <c r="T1632" i="6"/>
  <c r="U1632" i="6" s="1"/>
  <c r="V1632" i="6" s="1"/>
  <c r="T1633" i="6"/>
  <c r="U1633" i="6" s="1"/>
  <c r="V1633" i="6" s="1"/>
  <c r="T1634" i="6"/>
  <c r="T1635" i="6"/>
  <c r="T1636" i="6"/>
  <c r="U1636" i="6" s="1"/>
  <c r="V1636" i="6" s="1"/>
  <c r="T1637" i="6"/>
  <c r="U1637" i="6" s="1"/>
  <c r="V1637" i="6" s="1"/>
  <c r="T1638" i="6"/>
  <c r="T1639" i="6"/>
  <c r="T1640" i="6"/>
  <c r="U1640" i="6" s="1"/>
  <c r="V1640" i="6" s="1"/>
  <c r="T1641" i="6"/>
  <c r="U1641" i="6" s="1"/>
  <c r="V1641" i="6" s="1"/>
  <c r="T1642" i="6"/>
  <c r="T1643" i="6"/>
  <c r="T1644" i="6"/>
  <c r="U1644" i="6" s="1"/>
  <c r="V1644" i="6" s="1"/>
  <c r="T1645" i="6"/>
  <c r="U1645" i="6" s="1"/>
  <c r="V1645" i="6" s="1"/>
  <c r="T1646" i="6"/>
  <c r="T1647" i="6"/>
  <c r="T1648" i="6"/>
  <c r="U1648" i="6" s="1"/>
  <c r="V1648" i="6" s="1"/>
  <c r="T1649" i="6"/>
  <c r="U1649" i="6" s="1"/>
  <c r="V1649" i="6" s="1"/>
  <c r="T1650" i="6"/>
  <c r="T1651" i="6"/>
  <c r="T1652" i="6"/>
  <c r="U1652" i="6" s="1"/>
  <c r="V1652" i="6" s="1"/>
  <c r="T1653" i="6"/>
  <c r="U1653" i="6" s="1"/>
  <c r="V1653" i="6" s="1"/>
  <c r="T1654" i="6"/>
  <c r="T1655" i="6"/>
  <c r="T1656" i="6"/>
  <c r="U1656" i="6" s="1"/>
  <c r="V1656" i="6" s="1"/>
  <c r="T1657" i="6"/>
  <c r="U1657" i="6" s="1"/>
  <c r="V1657" i="6" s="1"/>
  <c r="T1658" i="6"/>
  <c r="T1659" i="6"/>
  <c r="T1660" i="6"/>
  <c r="U1660" i="6" s="1"/>
  <c r="V1660" i="6" s="1"/>
  <c r="T1661" i="6"/>
  <c r="U1661" i="6" s="1"/>
  <c r="V1661" i="6" s="1"/>
  <c r="T1662" i="6"/>
  <c r="T1663" i="6"/>
  <c r="T1664" i="6"/>
  <c r="U1664" i="6" s="1"/>
  <c r="V1664" i="6" s="1"/>
  <c r="T1665" i="6"/>
  <c r="U1665" i="6" s="1"/>
  <c r="V1665" i="6" s="1"/>
  <c r="T1666" i="6"/>
  <c r="T1667" i="6"/>
  <c r="T1668" i="6"/>
  <c r="U1668" i="6" s="1"/>
  <c r="V1668" i="6" s="1"/>
  <c r="T1669" i="6"/>
  <c r="U1669" i="6" s="1"/>
  <c r="V1669" i="6" s="1"/>
  <c r="T1670" i="6"/>
  <c r="T1671" i="6"/>
  <c r="T1672" i="6"/>
  <c r="U1672" i="6" s="1"/>
  <c r="V1672" i="6" s="1"/>
  <c r="T1673" i="6"/>
  <c r="U1673" i="6" s="1"/>
  <c r="V1673" i="6" s="1"/>
  <c r="T1674" i="6"/>
  <c r="T1675" i="6"/>
  <c r="T1676" i="6"/>
  <c r="U1676" i="6" s="1"/>
  <c r="V1676" i="6" s="1"/>
  <c r="T1677" i="6"/>
  <c r="U1677" i="6" s="1"/>
  <c r="V1677" i="6" s="1"/>
  <c r="T1678" i="6"/>
  <c r="T1679" i="6"/>
  <c r="T1680" i="6"/>
  <c r="U1680" i="6" s="1"/>
  <c r="V1680" i="6" s="1"/>
  <c r="T1681" i="6"/>
  <c r="U1681" i="6" s="1"/>
  <c r="V1681" i="6" s="1"/>
  <c r="T1682" i="6"/>
  <c r="T1683" i="6"/>
  <c r="T1684" i="6"/>
  <c r="U1684" i="6" s="1"/>
  <c r="V1684" i="6" s="1"/>
  <c r="T1685" i="6"/>
  <c r="U1685" i="6" s="1"/>
  <c r="V1685" i="6" s="1"/>
  <c r="T1686" i="6"/>
  <c r="T1687" i="6"/>
  <c r="T1688" i="6"/>
  <c r="U1688" i="6" s="1"/>
  <c r="V1688" i="6" s="1"/>
  <c r="T1689" i="6"/>
  <c r="U1689" i="6" s="1"/>
  <c r="V1689" i="6" s="1"/>
  <c r="T1690" i="6"/>
  <c r="T1691" i="6"/>
  <c r="T1692" i="6"/>
  <c r="U1692" i="6" s="1"/>
  <c r="V1692" i="6" s="1"/>
  <c r="T1693" i="6"/>
  <c r="U1693" i="6" s="1"/>
  <c r="V1693" i="6" s="1"/>
  <c r="T1694" i="6"/>
  <c r="T1695" i="6"/>
  <c r="T1696" i="6"/>
  <c r="U1696" i="6" s="1"/>
  <c r="V1696" i="6" s="1"/>
  <c r="T1697" i="6"/>
  <c r="U1697" i="6" s="1"/>
  <c r="V1697" i="6" s="1"/>
  <c r="T1698" i="6"/>
  <c r="T1699" i="6"/>
  <c r="T1700" i="6"/>
  <c r="U1700" i="6" s="1"/>
  <c r="V1700" i="6" s="1"/>
  <c r="T1701" i="6"/>
  <c r="U1701" i="6" s="1"/>
  <c r="V1701" i="6" s="1"/>
  <c r="T1702" i="6"/>
  <c r="T1703" i="6"/>
  <c r="T1704" i="6"/>
  <c r="U1704" i="6" s="1"/>
  <c r="V1704" i="6" s="1"/>
  <c r="T1705" i="6"/>
  <c r="U1705" i="6" s="1"/>
  <c r="V1705" i="6" s="1"/>
  <c r="T1706" i="6"/>
  <c r="T1707" i="6"/>
  <c r="T1708" i="6"/>
  <c r="U1708" i="6" s="1"/>
  <c r="V1708" i="6" s="1"/>
  <c r="T1709" i="6"/>
  <c r="U1709" i="6" s="1"/>
  <c r="V1709" i="6" s="1"/>
  <c r="T1710" i="6"/>
  <c r="T1711" i="6"/>
  <c r="T1712" i="6"/>
  <c r="U1712" i="6" s="1"/>
  <c r="V1712" i="6" s="1"/>
  <c r="T1713" i="6"/>
  <c r="U1713" i="6" s="1"/>
  <c r="V1713" i="6" s="1"/>
  <c r="T1714" i="6"/>
  <c r="T1715" i="6"/>
  <c r="T1716" i="6"/>
  <c r="U1716" i="6" s="1"/>
  <c r="V1716" i="6" s="1"/>
  <c r="T1717" i="6"/>
  <c r="U1717" i="6" s="1"/>
  <c r="V1717" i="6" s="1"/>
  <c r="T1718" i="6"/>
  <c r="T1719" i="6"/>
  <c r="T1720" i="6"/>
  <c r="U1720" i="6" s="1"/>
  <c r="V1720" i="6" s="1"/>
  <c r="T1721" i="6"/>
  <c r="U1721" i="6" s="1"/>
  <c r="V1721" i="6" s="1"/>
  <c r="T1722" i="6"/>
  <c r="T1723" i="6"/>
  <c r="T1724" i="6"/>
  <c r="U1724" i="6" s="1"/>
  <c r="V1724" i="6" s="1"/>
  <c r="T1725" i="6"/>
  <c r="U1725" i="6" s="1"/>
  <c r="V1725" i="6" s="1"/>
  <c r="T1726" i="6"/>
  <c r="T1727" i="6"/>
  <c r="T1728" i="6"/>
  <c r="U1728" i="6" s="1"/>
  <c r="V1728" i="6" s="1"/>
  <c r="T1729" i="6"/>
  <c r="U1729" i="6" s="1"/>
  <c r="V1729" i="6" s="1"/>
  <c r="T1730" i="6"/>
  <c r="T1731" i="6"/>
  <c r="T1732" i="6"/>
  <c r="U1732" i="6" s="1"/>
  <c r="V1732" i="6" s="1"/>
  <c r="T1733" i="6"/>
  <c r="U1733" i="6" s="1"/>
  <c r="V1733" i="6" s="1"/>
  <c r="T1734" i="6"/>
  <c r="T1735" i="6"/>
  <c r="T1736" i="6"/>
  <c r="U1736" i="6" s="1"/>
  <c r="V1736" i="6" s="1"/>
  <c r="T1737" i="6"/>
  <c r="U1737" i="6" s="1"/>
  <c r="V1737" i="6" s="1"/>
  <c r="T1738" i="6"/>
  <c r="T1739" i="6"/>
  <c r="T1740" i="6"/>
  <c r="U1740" i="6" s="1"/>
  <c r="V1740" i="6" s="1"/>
  <c r="T1741" i="6"/>
  <c r="U1741" i="6" s="1"/>
  <c r="V1741" i="6" s="1"/>
  <c r="T1742" i="6"/>
  <c r="T1743" i="6"/>
  <c r="T1744" i="6"/>
  <c r="U1744" i="6" s="1"/>
  <c r="V1744" i="6" s="1"/>
  <c r="T1745" i="6"/>
  <c r="U1745" i="6" s="1"/>
  <c r="V1745" i="6" s="1"/>
  <c r="T1746" i="6"/>
  <c r="T1747" i="6"/>
  <c r="T1748" i="6"/>
  <c r="U1748" i="6" s="1"/>
  <c r="V1748" i="6" s="1"/>
  <c r="T1749" i="6"/>
  <c r="U1749" i="6" s="1"/>
  <c r="V1749" i="6" s="1"/>
  <c r="T1750" i="6"/>
  <c r="T1751" i="6"/>
  <c r="T1752" i="6"/>
  <c r="U1752" i="6" s="1"/>
  <c r="V1752" i="6" s="1"/>
  <c r="T1753" i="6"/>
  <c r="U1753" i="6" s="1"/>
  <c r="V1753" i="6" s="1"/>
  <c r="T1754" i="6"/>
  <c r="T1755" i="6"/>
  <c r="T1756" i="6"/>
  <c r="U1756" i="6" s="1"/>
  <c r="V1756" i="6" s="1"/>
  <c r="T1757" i="6"/>
  <c r="U1757" i="6" s="1"/>
  <c r="V1757" i="6" s="1"/>
  <c r="T1758" i="6"/>
  <c r="T1759" i="6"/>
  <c r="T1760" i="6"/>
  <c r="U1760" i="6" s="1"/>
  <c r="V1760" i="6" s="1"/>
  <c r="T1761" i="6"/>
  <c r="U1761" i="6" s="1"/>
  <c r="V1761" i="6" s="1"/>
  <c r="T1762" i="6"/>
  <c r="T1763" i="6"/>
  <c r="T1764" i="6"/>
  <c r="U1764" i="6" s="1"/>
  <c r="V1764" i="6" s="1"/>
  <c r="T1765" i="6"/>
  <c r="U1765" i="6" s="1"/>
  <c r="V1765" i="6" s="1"/>
  <c r="T1766" i="6"/>
  <c r="T1767" i="6"/>
  <c r="T1768" i="6"/>
  <c r="U1768" i="6" s="1"/>
  <c r="V1768" i="6" s="1"/>
  <c r="T1769" i="6"/>
  <c r="U1769" i="6" s="1"/>
  <c r="V1769" i="6" s="1"/>
  <c r="T1770" i="6"/>
  <c r="T1771" i="6"/>
  <c r="T1772" i="6"/>
  <c r="U1772" i="6" s="1"/>
  <c r="V1772" i="6" s="1"/>
  <c r="T1773" i="6"/>
  <c r="U1773" i="6" s="1"/>
  <c r="V1773" i="6" s="1"/>
  <c r="T1774" i="6"/>
  <c r="T1775" i="6"/>
  <c r="T1776" i="6"/>
  <c r="U1776" i="6" s="1"/>
  <c r="V1776" i="6" s="1"/>
  <c r="T1777" i="6"/>
  <c r="U1777" i="6" s="1"/>
  <c r="V1777" i="6" s="1"/>
  <c r="T1778" i="6"/>
  <c r="T1779" i="6"/>
  <c r="T1780" i="6"/>
  <c r="U1780" i="6" s="1"/>
  <c r="V1780" i="6" s="1"/>
  <c r="T1781" i="6"/>
  <c r="U1781" i="6" s="1"/>
  <c r="V1781" i="6" s="1"/>
  <c r="T1782" i="6"/>
  <c r="T1783" i="6"/>
  <c r="T1784" i="6"/>
  <c r="U1784" i="6" s="1"/>
  <c r="V1784" i="6" s="1"/>
  <c r="T1785" i="6"/>
  <c r="U1785" i="6" s="1"/>
  <c r="V1785" i="6" s="1"/>
  <c r="T1786" i="6"/>
  <c r="T1787" i="6"/>
  <c r="T1788" i="6"/>
  <c r="U1788" i="6" s="1"/>
  <c r="V1788" i="6" s="1"/>
  <c r="T1789" i="6"/>
  <c r="U1789" i="6" s="1"/>
  <c r="V1789" i="6" s="1"/>
  <c r="T1790" i="6"/>
  <c r="T1791" i="6"/>
  <c r="T1792" i="6"/>
  <c r="U1792" i="6" s="1"/>
  <c r="V1792" i="6" s="1"/>
  <c r="T1793" i="6"/>
  <c r="U1793" i="6" s="1"/>
  <c r="V1793" i="6" s="1"/>
  <c r="T1794" i="6"/>
  <c r="T1795" i="6"/>
  <c r="T1796" i="6"/>
  <c r="U1796" i="6" s="1"/>
  <c r="V1796" i="6" s="1"/>
  <c r="T1797" i="6"/>
  <c r="U1797" i="6" s="1"/>
  <c r="V1797" i="6" s="1"/>
  <c r="T1798" i="6"/>
  <c r="T1799" i="6"/>
  <c r="T1800" i="6"/>
  <c r="U1800" i="6" s="1"/>
  <c r="V1800" i="6" s="1"/>
  <c r="T1801" i="6"/>
  <c r="U1801" i="6" s="1"/>
  <c r="V1801" i="6" s="1"/>
  <c r="T1802" i="6"/>
  <c r="T1803" i="6"/>
  <c r="T1804" i="6"/>
  <c r="U1804" i="6" s="1"/>
  <c r="V1804" i="6" s="1"/>
  <c r="T1805" i="6"/>
  <c r="U1805" i="6" s="1"/>
  <c r="V1805" i="6" s="1"/>
  <c r="T1806" i="6"/>
  <c r="T1807" i="6"/>
  <c r="T1808" i="6"/>
  <c r="U1808" i="6" s="1"/>
  <c r="V1808" i="6" s="1"/>
  <c r="T1809" i="6"/>
  <c r="U1809" i="6" s="1"/>
  <c r="V1809" i="6" s="1"/>
  <c r="T1810" i="6"/>
  <c r="T1811" i="6"/>
  <c r="T1812" i="6"/>
  <c r="U1812" i="6" s="1"/>
  <c r="V1812" i="6" s="1"/>
  <c r="T1813" i="6"/>
  <c r="U1813" i="6" s="1"/>
  <c r="V1813" i="6" s="1"/>
  <c r="T1814" i="6"/>
  <c r="T1815" i="6"/>
  <c r="T1816" i="6"/>
  <c r="U1816" i="6" s="1"/>
  <c r="V1816" i="6" s="1"/>
  <c r="T1817" i="6"/>
  <c r="U1817" i="6" s="1"/>
  <c r="V1817" i="6" s="1"/>
  <c r="T1818" i="6"/>
  <c r="T1819" i="6"/>
  <c r="T1820" i="6"/>
  <c r="U1820" i="6" s="1"/>
  <c r="V1820" i="6" s="1"/>
  <c r="T1821" i="6"/>
  <c r="U1821" i="6" s="1"/>
  <c r="V1821" i="6" s="1"/>
  <c r="T1822" i="6"/>
  <c r="T1823" i="6"/>
  <c r="T1824" i="6"/>
  <c r="U1824" i="6" s="1"/>
  <c r="V1824" i="6" s="1"/>
  <c r="T1825" i="6"/>
  <c r="U1825" i="6" s="1"/>
  <c r="V1825" i="6" s="1"/>
  <c r="T1826" i="6"/>
  <c r="T1827" i="6"/>
  <c r="T1828" i="6"/>
  <c r="U1828" i="6" s="1"/>
  <c r="V1828" i="6" s="1"/>
  <c r="T1829" i="6"/>
  <c r="U1829" i="6" s="1"/>
  <c r="V1829" i="6" s="1"/>
  <c r="T1830" i="6"/>
  <c r="T1831" i="6"/>
  <c r="T1832" i="6"/>
  <c r="U1832" i="6" s="1"/>
  <c r="V1832" i="6" s="1"/>
  <c r="T1833" i="6"/>
  <c r="U1833" i="6" s="1"/>
  <c r="V1833" i="6" s="1"/>
  <c r="T1834" i="6"/>
  <c r="T1835" i="6"/>
  <c r="T1836" i="6"/>
  <c r="U1836" i="6" s="1"/>
  <c r="V1836" i="6" s="1"/>
  <c r="T1837" i="6"/>
  <c r="U1837" i="6" s="1"/>
  <c r="V1837" i="6" s="1"/>
  <c r="T1838" i="6"/>
  <c r="T1839" i="6"/>
  <c r="T1840" i="6"/>
  <c r="U1840" i="6" s="1"/>
  <c r="V1840" i="6" s="1"/>
  <c r="T1841" i="6"/>
  <c r="U1841" i="6" s="1"/>
  <c r="V1841" i="6" s="1"/>
  <c r="T1842" i="6"/>
  <c r="T1843" i="6"/>
  <c r="T1844" i="6"/>
  <c r="U1844" i="6" s="1"/>
  <c r="V1844" i="6" s="1"/>
  <c r="T1845" i="6"/>
  <c r="U1845" i="6" s="1"/>
  <c r="V1845" i="6" s="1"/>
  <c r="T1846" i="6"/>
  <c r="T1847" i="6"/>
  <c r="T1848" i="6"/>
  <c r="U1848" i="6" s="1"/>
  <c r="V1848" i="6" s="1"/>
  <c r="T1849" i="6"/>
  <c r="U1849" i="6" s="1"/>
  <c r="V1849" i="6" s="1"/>
  <c r="T1850" i="6"/>
  <c r="T1851" i="6"/>
  <c r="T1852" i="6"/>
  <c r="U1852" i="6" s="1"/>
  <c r="V1852" i="6" s="1"/>
  <c r="T1853" i="6"/>
  <c r="U1853" i="6" s="1"/>
  <c r="V1853" i="6" s="1"/>
  <c r="T1854" i="6"/>
  <c r="T1855" i="6"/>
  <c r="T1856" i="6"/>
  <c r="U1856" i="6" s="1"/>
  <c r="V1856" i="6" s="1"/>
  <c r="T1857" i="6"/>
  <c r="U1857" i="6" s="1"/>
  <c r="V1857" i="6" s="1"/>
  <c r="T1858" i="6"/>
  <c r="T1859" i="6"/>
  <c r="T1860" i="6"/>
  <c r="U1860" i="6" s="1"/>
  <c r="V1860" i="6" s="1"/>
  <c r="T1861" i="6"/>
  <c r="U1861" i="6" s="1"/>
  <c r="V1861" i="6" s="1"/>
  <c r="T1862" i="6"/>
  <c r="T1863" i="6"/>
  <c r="T1864" i="6"/>
  <c r="U1864" i="6" s="1"/>
  <c r="V1864" i="6" s="1"/>
  <c r="T1865" i="6"/>
  <c r="U1865" i="6" s="1"/>
  <c r="V1865" i="6" s="1"/>
  <c r="T1866" i="6"/>
  <c r="T1867" i="6"/>
  <c r="T1868" i="6"/>
  <c r="U1868" i="6" s="1"/>
  <c r="V1868" i="6" s="1"/>
  <c r="T1869" i="6"/>
  <c r="U1869" i="6" s="1"/>
  <c r="V1869" i="6" s="1"/>
  <c r="T1870" i="6"/>
  <c r="T1871" i="6"/>
  <c r="T1872" i="6"/>
  <c r="U1872" i="6" s="1"/>
  <c r="V1872" i="6" s="1"/>
  <c r="T1873" i="6"/>
  <c r="U1873" i="6" s="1"/>
  <c r="V1873" i="6" s="1"/>
  <c r="T1874" i="6"/>
  <c r="T1875" i="6"/>
  <c r="T1876" i="6"/>
  <c r="U1876" i="6" s="1"/>
  <c r="V1876" i="6" s="1"/>
  <c r="T1877" i="6"/>
  <c r="U1877" i="6" s="1"/>
  <c r="V1877" i="6" s="1"/>
  <c r="T1878" i="6"/>
  <c r="T1879" i="6"/>
  <c r="T1880" i="6"/>
  <c r="U1880" i="6" s="1"/>
  <c r="V1880" i="6" s="1"/>
  <c r="T1881" i="6"/>
  <c r="U1881" i="6" s="1"/>
  <c r="V1881" i="6" s="1"/>
  <c r="T1882" i="6"/>
  <c r="T1883" i="6"/>
  <c r="T1884" i="6"/>
  <c r="U1884" i="6" s="1"/>
  <c r="V1884" i="6" s="1"/>
  <c r="T1885" i="6"/>
  <c r="U1885" i="6" s="1"/>
  <c r="V1885" i="6" s="1"/>
  <c r="T1886" i="6"/>
  <c r="T1887" i="6"/>
  <c r="T1888" i="6"/>
  <c r="U1888" i="6" s="1"/>
  <c r="V1888" i="6" s="1"/>
  <c r="T1889" i="6"/>
  <c r="U1889" i="6" s="1"/>
  <c r="V1889" i="6" s="1"/>
  <c r="T1890" i="6"/>
  <c r="T1891" i="6"/>
  <c r="T1892" i="6"/>
  <c r="U1892" i="6" s="1"/>
  <c r="V1892" i="6" s="1"/>
  <c r="T1893" i="6"/>
  <c r="U1893" i="6" s="1"/>
  <c r="V1893" i="6" s="1"/>
  <c r="T1894" i="6"/>
  <c r="T1895" i="6"/>
  <c r="T1896" i="6"/>
  <c r="U1896" i="6" s="1"/>
  <c r="V1896" i="6" s="1"/>
  <c r="T1897" i="6"/>
  <c r="U1897" i="6" s="1"/>
  <c r="V1897" i="6" s="1"/>
  <c r="T1898" i="6"/>
  <c r="T1899" i="6"/>
  <c r="T1900" i="6"/>
  <c r="U1900" i="6" s="1"/>
  <c r="V1900" i="6" s="1"/>
  <c r="T1901" i="6"/>
  <c r="U1901" i="6" s="1"/>
  <c r="V1901" i="6" s="1"/>
  <c r="T1902" i="6"/>
  <c r="T1903" i="6"/>
  <c r="T1904" i="6"/>
  <c r="U1904" i="6" s="1"/>
  <c r="V1904" i="6" s="1"/>
  <c r="T1905" i="6"/>
  <c r="U1905" i="6" s="1"/>
  <c r="V1905" i="6" s="1"/>
  <c r="T1906" i="6"/>
  <c r="T1907" i="6"/>
  <c r="T1908" i="6"/>
  <c r="U1908" i="6" s="1"/>
  <c r="V1908" i="6" s="1"/>
  <c r="T1909" i="6"/>
  <c r="U1909" i="6" s="1"/>
  <c r="V1909" i="6" s="1"/>
  <c r="T1910" i="6"/>
  <c r="T1911" i="6"/>
  <c r="T1912" i="6"/>
  <c r="U1912" i="6" s="1"/>
  <c r="V1912" i="6" s="1"/>
  <c r="T1913" i="6"/>
  <c r="U1913" i="6" s="1"/>
  <c r="V1913" i="6" s="1"/>
  <c r="T1914" i="6"/>
  <c r="T1915" i="6"/>
  <c r="T1916" i="6"/>
  <c r="U1916" i="6" s="1"/>
  <c r="V1916" i="6" s="1"/>
  <c r="T1917" i="6"/>
  <c r="U1917" i="6" s="1"/>
  <c r="V1917" i="6" s="1"/>
  <c r="T1918" i="6"/>
  <c r="T1919" i="6"/>
  <c r="T1920" i="6"/>
  <c r="U1920" i="6" s="1"/>
  <c r="V1920" i="6" s="1"/>
  <c r="T1921" i="6"/>
  <c r="U1921" i="6" s="1"/>
  <c r="V1921" i="6" s="1"/>
  <c r="T1922" i="6"/>
  <c r="T1923" i="6"/>
  <c r="T1924" i="6"/>
  <c r="U1924" i="6" s="1"/>
  <c r="V1924" i="6" s="1"/>
  <c r="T1925" i="6"/>
  <c r="U1925" i="6" s="1"/>
  <c r="V1925" i="6" s="1"/>
  <c r="T1926" i="6"/>
  <c r="T1927" i="6"/>
  <c r="T1928" i="6"/>
  <c r="U1928" i="6" s="1"/>
  <c r="V1928" i="6" s="1"/>
  <c r="T1929" i="6"/>
  <c r="U1929" i="6" s="1"/>
  <c r="V1929" i="6" s="1"/>
  <c r="T1930" i="6"/>
  <c r="T1931" i="6"/>
  <c r="T1932" i="6"/>
  <c r="U1932" i="6" s="1"/>
  <c r="V1932" i="6" s="1"/>
  <c r="T1933" i="6"/>
  <c r="U1933" i="6" s="1"/>
  <c r="V1933" i="6" s="1"/>
  <c r="T1934" i="6"/>
  <c r="T1935" i="6"/>
  <c r="T1936" i="6"/>
  <c r="U1936" i="6" s="1"/>
  <c r="V1936" i="6" s="1"/>
  <c r="T1937" i="6"/>
  <c r="U1937" i="6" s="1"/>
  <c r="V1937" i="6" s="1"/>
  <c r="T1938" i="6"/>
  <c r="T1939" i="6"/>
  <c r="T1940" i="6"/>
  <c r="U1940" i="6" s="1"/>
  <c r="V1940" i="6" s="1"/>
  <c r="T1941" i="6"/>
  <c r="U1941" i="6" s="1"/>
  <c r="V1941" i="6" s="1"/>
  <c r="T1942" i="6"/>
  <c r="T1943" i="6"/>
  <c r="T1944" i="6"/>
  <c r="U1944" i="6" s="1"/>
  <c r="V1944" i="6" s="1"/>
  <c r="T1945" i="6"/>
  <c r="U1945" i="6" s="1"/>
  <c r="V1945" i="6" s="1"/>
  <c r="T1946" i="6"/>
  <c r="T1947" i="6"/>
  <c r="T1948" i="6"/>
  <c r="U1948" i="6" s="1"/>
  <c r="V1948" i="6" s="1"/>
  <c r="T1949" i="6"/>
  <c r="U1949" i="6" s="1"/>
  <c r="V1949" i="6" s="1"/>
  <c r="T1950" i="6"/>
  <c r="T1951" i="6"/>
  <c r="T1952" i="6"/>
  <c r="U1952" i="6" s="1"/>
  <c r="V1952" i="6" s="1"/>
  <c r="T1953" i="6"/>
  <c r="U1953" i="6" s="1"/>
  <c r="V1953" i="6" s="1"/>
  <c r="T1954" i="6"/>
  <c r="T1955" i="6"/>
  <c r="T1956" i="6"/>
  <c r="U1956" i="6" s="1"/>
  <c r="V1956" i="6" s="1"/>
  <c r="T1957" i="6"/>
  <c r="U1957" i="6" s="1"/>
  <c r="V1957" i="6" s="1"/>
  <c r="T1958" i="6"/>
  <c r="T1959" i="6"/>
  <c r="T1960" i="6"/>
  <c r="U1960" i="6" s="1"/>
  <c r="V1960" i="6" s="1"/>
  <c r="T1961" i="6"/>
  <c r="U1961" i="6" s="1"/>
  <c r="V1961" i="6" s="1"/>
  <c r="T1962" i="6"/>
  <c r="T1963" i="6"/>
  <c r="T1964" i="6"/>
  <c r="U1964" i="6" s="1"/>
  <c r="V1964" i="6" s="1"/>
  <c r="T1965" i="6"/>
  <c r="U1965" i="6" s="1"/>
  <c r="V1965" i="6" s="1"/>
  <c r="T1966" i="6"/>
  <c r="T1967" i="6"/>
  <c r="T1968" i="6"/>
  <c r="U1968" i="6" s="1"/>
  <c r="V1968" i="6" s="1"/>
  <c r="T1969" i="6"/>
  <c r="U1969" i="6" s="1"/>
  <c r="V1969" i="6" s="1"/>
  <c r="T1970" i="6"/>
  <c r="T1971" i="6"/>
  <c r="T1972" i="6"/>
  <c r="U1972" i="6" s="1"/>
  <c r="V1972" i="6" s="1"/>
  <c r="T1973" i="6"/>
  <c r="U1973" i="6" s="1"/>
  <c r="V1973" i="6" s="1"/>
  <c r="T1974" i="6"/>
  <c r="T1975" i="6"/>
  <c r="T1976" i="6"/>
  <c r="U1976" i="6" s="1"/>
  <c r="V1976" i="6" s="1"/>
  <c r="T1977" i="6"/>
  <c r="U1977" i="6" s="1"/>
  <c r="V1977" i="6" s="1"/>
  <c r="T1978" i="6"/>
  <c r="T1979" i="6"/>
  <c r="T1980" i="6"/>
  <c r="U1980" i="6" s="1"/>
  <c r="V1980" i="6" s="1"/>
  <c r="T1981" i="6"/>
  <c r="U1981" i="6" s="1"/>
  <c r="V1981" i="6" s="1"/>
  <c r="T1982" i="6"/>
  <c r="T1983" i="6"/>
  <c r="T1984" i="6"/>
  <c r="U1984" i="6" s="1"/>
  <c r="V1984" i="6" s="1"/>
  <c r="T1985" i="6"/>
  <c r="U1985" i="6" s="1"/>
  <c r="V1985" i="6" s="1"/>
  <c r="T1986" i="6"/>
  <c r="T1987" i="6"/>
  <c r="T1988" i="6"/>
  <c r="U1988" i="6" s="1"/>
  <c r="V1988" i="6" s="1"/>
  <c r="T1989" i="6"/>
  <c r="U1989" i="6" s="1"/>
  <c r="V1989" i="6" s="1"/>
  <c r="T1990" i="6"/>
  <c r="T1991" i="6"/>
  <c r="T1992" i="6"/>
  <c r="U1992" i="6" s="1"/>
  <c r="V1992" i="6" s="1"/>
  <c r="T1993" i="6"/>
  <c r="U1993" i="6" s="1"/>
  <c r="V1993" i="6" s="1"/>
  <c r="T1994" i="6"/>
  <c r="T1995" i="6"/>
  <c r="T1996" i="6"/>
  <c r="U1996" i="6" s="1"/>
  <c r="V1996" i="6" s="1"/>
  <c r="T1997" i="6"/>
  <c r="U1997" i="6" s="1"/>
  <c r="V1997" i="6" s="1"/>
  <c r="T1998" i="6"/>
  <c r="T1999" i="6"/>
  <c r="T2000" i="6"/>
  <c r="U2000" i="6" s="1"/>
  <c r="V2000" i="6" s="1"/>
  <c r="T2001" i="6"/>
  <c r="U2001" i="6" s="1"/>
  <c r="V2001" i="6" s="1"/>
  <c r="T2002" i="6"/>
  <c r="T2003" i="6"/>
  <c r="T2004" i="6"/>
  <c r="U2004" i="6" s="1"/>
  <c r="V2004" i="6" s="1"/>
  <c r="T2005" i="6"/>
  <c r="U2005" i="6" s="1"/>
  <c r="V2005" i="6" s="1"/>
  <c r="T2006" i="6"/>
  <c r="T2007" i="6"/>
  <c r="T2008" i="6"/>
  <c r="U2008" i="6" s="1"/>
  <c r="V2008" i="6" s="1"/>
  <c r="O10" i="6"/>
  <c r="P10" i="6" s="1"/>
  <c r="O11" i="6"/>
  <c r="P11" i="6" s="1"/>
  <c r="O12" i="6"/>
  <c r="O13" i="6"/>
  <c r="P13" i="6" s="1"/>
  <c r="Q13" i="6" s="1"/>
  <c r="O14" i="6"/>
  <c r="P14" i="6" s="1"/>
  <c r="O15" i="6"/>
  <c r="O16" i="6"/>
  <c r="O17" i="6"/>
  <c r="P17" i="6" s="1"/>
  <c r="O18" i="6"/>
  <c r="P18" i="6" s="1"/>
  <c r="O19" i="6"/>
  <c r="O20" i="6"/>
  <c r="O21" i="6"/>
  <c r="P21" i="6" s="1"/>
  <c r="Q21" i="6" s="1"/>
  <c r="O22" i="6"/>
  <c r="P22" i="6" s="1"/>
  <c r="O23" i="6"/>
  <c r="O24" i="6"/>
  <c r="O25" i="6"/>
  <c r="P25" i="6" s="1"/>
  <c r="O26" i="6"/>
  <c r="P26" i="6" s="1"/>
  <c r="O27" i="6"/>
  <c r="O28" i="6"/>
  <c r="O29" i="6"/>
  <c r="P29" i="6" s="1"/>
  <c r="Q29" i="6" s="1"/>
  <c r="O30" i="6"/>
  <c r="P30" i="6" s="1"/>
  <c r="O31" i="6"/>
  <c r="O32" i="6"/>
  <c r="O33" i="6"/>
  <c r="P33" i="6" s="1"/>
  <c r="O34" i="6"/>
  <c r="P34" i="6" s="1"/>
  <c r="O35" i="6"/>
  <c r="O36" i="6"/>
  <c r="O37" i="6"/>
  <c r="P37" i="6" s="1"/>
  <c r="Q37" i="6" s="1"/>
  <c r="O38" i="6"/>
  <c r="P38" i="6" s="1"/>
  <c r="O39" i="6"/>
  <c r="O40" i="6"/>
  <c r="O41" i="6"/>
  <c r="P41" i="6" s="1"/>
  <c r="O42" i="6"/>
  <c r="P42" i="6" s="1"/>
  <c r="O43" i="6"/>
  <c r="O44" i="6"/>
  <c r="O45" i="6"/>
  <c r="P45" i="6" s="1"/>
  <c r="Q45" i="6" s="1"/>
  <c r="O46" i="6"/>
  <c r="P46" i="6" s="1"/>
  <c r="O47" i="6"/>
  <c r="O48" i="6"/>
  <c r="O49" i="6"/>
  <c r="P49" i="6" s="1"/>
  <c r="O50" i="6"/>
  <c r="P50" i="6" s="1"/>
  <c r="O51" i="6"/>
  <c r="O52" i="6"/>
  <c r="O53" i="6"/>
  <c r="P53" i="6" s="1"/>
  <c r="Q53" i="6" s="1"/>
  <c r="O54" i="6"/>
  <c r="P54" i="6" s="1"/>
  <c r="O55" i="6"/>
  <c r="O56" i="6"/>
  <c r="O57" i="6"/>
  <c r="P57" i="6" s="1"/>
  <c r="O58" i="6"/>
  <c r="P58" i="6" s="1"/>
  <c r="O59" i="6"/>
  <c r="O60" i="6"/>
  <c r="O61" i="6"/>
  <c r="P61" i="6" s="1"/>
  <c r="Q61" i="6" s="1"/>
  <c r="O62" i="6"/>
  <c r="P62" i="6" s="1"/>
  <c r="O63" i="6"/>
  <c r="O64" i="6"/>
  <c r="O65" i="6"/>
  <c r="P65" i="6" s="1"/>
  <c r="O66" i="6"/>
  <c r="P66" i="6" s="1"/>
  <c r="O67" i="6"/>
  <c r="O68" i="6"/>
  <c r="O69" i="6"/>
  <c r="O70" i="6"/>
  <c r="P70" i="6" s="1"/>
  <c r="O71" i="6"/>
  <c r="O72" i="6"/>
  <c r="O73" i="6"/>
  <c r="P73" i="6" s="1"/>
  <c r="O74" i="6"/>
  <c r="P74" i="6" s="1"/>
  <c r="O75" i="6"/>
  <c r="O76" i="6"/>
  <c r="O77" i="6"/>
  <c r="P77" i="6" s="1"/>
  <c r="Q77" i="6" s="1"/>
  <c r="O78" i="6"/>
  <c r="P78" i="6" s="1"/>
  <c r="O79" i="6"/>
  <c r="O80" i="6"/>
  <c r="O81" i="6"/>
  <c r="P81" i="6" s="1"/>
  <c r="O82" i="6"/>
  <c r="P82" i="6" s="1"/>
  <c r="O83" i="6"/>
  <c r="O84" i="6"/>
  <c r="O85" i="6"/>
  <c r="P85" i="6" s="1"/>
  <c r="Q85" i="6" s="1"/>
  <c r="O86" i="6"/>
  <c r="P86" i="6" s="1"/>
  <c r="O87" i="6"/>
  <c r="O88" i="6"/>
  <c r="O89" i="6"/>
  <c r="P89" i="6" s="1"/>
  <c r="O90" i="6"/>
  <c r="P90" i="6" s="1"/>
  <c r="O91" i="6"/>
  <c r="O92" i="6"/>
  <c r="O93" i="6"/>
  <c r="P93" i="6" s="1"/>
  <c r="Q93" i="6" s="1"/>
  <c r="O94" i="6"/>
  <c r="P94" i="6" s="1"/>
  <c r="O95" i="6"/>
  <c r="O96" i="6"/>
  <c r="O97" i="6"/>
  <c r="P97" i="6" s="1"/>
  <c r="O98" i="6"/>
  <c r="P98" i="6" s="1"/>
  <c r="O99" i="6"/>
  <c r="O100" i="6"/>
  <c r="O101" i="6"/>
  <c r="P101" i="6" s="1"/>
  <c r="Q101" i="6" s="1"/>
  <c r="O102" i="6"/>
  <c r="P102" i="6" s="1"/>
  <c r="O103" i="6"/>
  <c r="O104" i="6"/>
  <c r="O105" i="6"/>
  <c r="P105" i="6" s="1"/>
  <c r="O106" i="6"/>
  <c r="P106" i="6" s="1"/>
  <c r="O107" i="6"/>
  <c r="O108" i="6"/>
  <c r="O109" i="6"/>
  <c r="P109" i="6" s="1"/>
  <c r="Q109" i="6" s="1"/>
  <c r="O110" i="6"/>
  <c r="P110" i="6" s="1"/>
  <c r="O111" i="6"/>
  <c r="O112" i="6"/>
  <c r="O113" i="6"/>
  <c r="P113" i="6" s="1"/>
  <c r="O114" i="6"/>
  <c r="P114" i="6" s="1"/>
  <c r="O115" i="6"/>
  <c r="O116" i="6"/>
  <c r="O117" i="6"/>
  <c r="P117" i="6" s="1"/>
  <c r="Q117" i="6" s="1"/>
  <c r="O118" i="6"/>
  <c r="P118" i="6" s="1"/>
  <c r="O119" i="6"/>
  <c r="O120" i="6"/>
  <c r="O121" i="6"/>
  <c r="P121" i="6" s="1"/>
  <c r="O122" i="6"/>
  <c r="P122" i="6" s="1"/>
  <c r="O123" i="6"/>
  <c r="O124" i="6"/>
  <c r="O125" i="6"/>
  <c r="P125" i="6" s="1"/>
  <c r="Q125" i="6" s="1"/>
  <c r="O126" i="6"/>
  <c r="P126" i="6" s="1"/>
  <c r="O127" i="6"/>
  <c r="O128" i="6"/>
  <c r="O129" i="6"/>
  <c r="P129" i="6" s="1"/>
  <c r="O130" i="6"/>
  <c r="P130" i="6" s="1"/>
  <c r="O131" i="6"/>
  <c r="O132" i="6"/>
  <c r="O133" i="6"/>
  <c r="P133" i="6" s="1"/>
  <c r="Q133" i="6" s="1"/>
  <c r="O134" i="6"/>
  <c r="P134" i="6" s="1"/>
  <c r="O135" i="6"/>
  <c r="O136" i="6"/>
  <c r="O137" i="6"/>
  <c r="P137" i="6" s="1"/>
  <c r="O138" i="6"/>
  <c r="P138" i="6" s="1"/>
  <c r="O139" i="6"/>
  <c r="O140" i="6"/>
  <c r="O141" i="6"/>
  <c r="P141" i="6" s="1"/>
  <c r="Q141" i="6" s="1"/>
  <c r="O142" i="6"/>
  <c r="P142" i="6" s="1"/>
  <c r="O143" i="6"/>
  <c r="O144" i="6"/>
  <c r="O145" i="6"/>
  <c r="P145" i="6" s="1"/>
  <c r="O146" i="6"/>
  <c r="P146" i="6" s="1"/>
  <c r="O147" i="6"/>
  <c r="O148" i="6"/>
  <c r="O149" i="6"/>
  <c r="P149" i="6" s="1"/>
  <c r="Q149" i="6" s="1"/>
  <c r="O150" i="6"/>
  <c r="P150" i="6" s="1"/>
  <c r="O151" i="6"/>
  <c r="O152" i="6"/>
  <c r="O153" i="6"/>
  <c r="P153" i="6" s="1"/>
  <c r="O154" i="6"/>
  <c r="P154" i="6" s="1"/>
  <c r="O155" i="6"/>
  <c r="O156" i="6"/>
  <c r="O157" i="6"/>
  <c r="P157" i="6" s="1"/>
  <c r="Q157" i="6" s="1"/>
  <c r="O158" i="6"/>
  <c r="P158" i="6" s="1"/>
  <c r="O159" i="6"/>
  <c r="O160" i="6"/>
  <c r="O161" i="6"/>
  <c r="P161" i="6" s="1"/>
  <c r="O162" i="6"/>
  <c r="P162" i="6" s="1"/>
  <c r="O163" i="6"/>
  <c r="O164" i="6"/>
  <c r="O165" i="6"/>
  <c r="P165" i="6" s="1"/>
  <c r="Q165" i="6" s="1"/>
  <c r="O166" i="6"/>
  <c r="P166" i="6" s="1"/>
  <c r="O167" i="6"/>
  <c r="O168" i="6"/>
  <c r="O169" i="6"/>
  <c r="P169" i="6" s="1"/>
  <c r="O170" i="6"/>
  <c r="P170" i="6" s="1"/>
  <c r="O171" i="6"/>
  <c r="O172" i="6"/>
  <c r="O173" i="6"/>
  <c r="P173" i="6" s="1"/>
  <c r="Q173" i="6" s="1"/>
  <c r="O174" i="6"/>
  <c r="P174" i="6" s="1"/>
  <c r="O175" i="6"/>
  <c r="O176" i="6"/>
  <c r="O177" i="6"/>
  <c r="P177" i="6" s="1"/>
  <c r="O178" i="6"/>
  <c r="P178" i="6" s="1"/>
  <c r="O179" i="6"/>
  <c r="O180" i="6"/>
  <c r="O181" i="6"/>
  <c r="P181" i="6" s="1"/>
  <c r="Q181" i="6" s="1"/>
  <c r="O182" i="6"/>
  <c r="P182" i="6" s="1"/>
  <c r="O183" i="6"/>
  <c r="O184" i="6"/>
  <c r="O185" i="6"/>
  <c r="P185" i="6" s="1"/>
  <c r="O186" i="6"/>
  <c r="P186" i="6" s="1"/>
  <c r="O187" i="6"/>
  <c r="O188" i="6"/>
  <c r="O189" i="6"/>
  <c r="P189" i="6" s="1"/>
  <c r="Q189" i="6" s="1"/>
  <c r="O190" i="6"/>
  <c r="P190" i="6" s="1"/>
  <c r="O191" i="6"/>
  <c r="O192" i="6"/>
  <c r="O193" i="6"/>
  <c r="P193" i="6" s="1"/>
  <c r="O194" i="6"/>
  <c r="P194" i="6" s="1"/>
  <c r="O195" i="6"/>
  <c r="O196" i="6"/>
  <c r="O197" i="6"/>
  <c r="P197" i="6" s="1"/>
  <c r="Q197" i="6" s="1"/>
  <c r="O198" i="6"/>
  <c r="P198" i="6" s="1"/>
  <c r="O199" i="6"/>
  <c r="O200" i="6"/>
  <c r="O201" i="6"/>
  <c r="P201" i="6" s="1"/>
  <c r="O202" i="6"/>
  <c r="P202" i="6" s="1"/>
  <c r="O203" i="6"/>
  <c r="O204" i="6"/>
  <c r="O205" i="6"/>
  <c r="P205" i="6" s="1"/>
  <c r="Q205" i="6" s="1"/>
  <c r="O206" i="6"/>
  <c r="P206" i="6" s="1"/>
  <c r="O207" i="6"/>
  <c r="O208" i="6"/>
  <c r="O209" i="6"/>
  <c r="P209" i="6" s="1"/>
  <c r="O210" i="6"/>
  <c r="P210" i="6" s="1"/>
  <c r="O211" i="6"/>
  <c r="O212" i="6"/>
  <c r="O213" i="6"/>
  <c r="P213" i="6" s="1"/>
  <c r="Q213" i="6" s="1"/>
  <c r="O214" i="6"/>
  <c r="P214" i="6" s="1"/>
  <c r="O215" i="6"/>
  <c r="O216" i="6"/>
  <c r="O217" i="6"/>
  <c r="P217" i="6" s="1"/>
  <c r="O218" i="6"/>
  <c r="P218" i="6" s="1"/>
  <c r="O219" i="6"/>
  <c r="O220" i="6"/>
  <c r="O221" i="6"/>
  <c r="P221" i="6" s="1"/>
  <c r="Q221" i="6" s="1"/>
  <c r="O222" i="6"/>
  <c r="P222" i="6" s="1"/>
  <c r="O223" i="6"/>
  <c r="O224" i="6"/>
  <c r="O225" i="6"/>
  <c r="P225" i="6" s="1"/>
  <c r="O226" i="6"/>
  <c r="P226" i="6" s="1"/>
  <c r="O227" i="6"/>
  <c r="O228" i="6"/>
  <c r="O229" i="6"/>
  <c r="P229" i="6" s="1"/>
  <c r="Q229" i="6" s="1"/>
  <c r="O230" i="6"/>
  <c r="P230" i="6" s="1"/>
  <c r="O231" i="6"/>
  <c r="O232" i="6"/>
  <c r="O233" i="6"/>
  <c r="P233" i="6" s="1"/>
  <c r="O234" i="6"/>
  <c r="P234" i="6" s="1"/>
  <c r="O235" i="6"/>
  <c r="O236" i="6"/>
  <c r="O237" i="6"/>
  <c r="P237" i="6" s="1"/>
  <c r="Q237" i="6" s="1"/>
  <c r="O238" i="6"/>
  <c r="P238" i="6" s="1"/>
  <c r="O239" i="6"/>
  <c r="O240" i="6"/>
  <c r="O241" i="6"/>
  <c r="P241" i="6" s="1"/>
  <c r="O242" i="6"/>
  <c r="P242" i="6" s="1"/>
  <c r="O243" i="6"/>
  <c r="O244" i="6"/>
  <c r="O245" i="6"/>
  <c r="P245" i="6" s="1"/>
  <c r="Q245" i="6" s="1"/>
  <c r="O246" i="6"/>
  <c r="P246" i="6" s="1"/>
  <c r="O247" i="6"/>
  <c r="O248" i="6"/>
  <c r="O249" i="6"/>
  <c r="P249" i="6" s="1"/>
  <c r="O250" i="6"/>
  <c r="P250" i="6" s="1"/>
  <c r="O251" i="6"/>
  <c r="O252" i="6"/>
  <c r="O253" i="6"/>
  <c r="P253" i="6" s="1"/>
  <c r="Q253" i="6" s="1"/>
  <c r="O254" i="6"/>
  <c r="P254" i="6" s="1"/>
  <c r="O255" i="6"/>
  <c r="O256" i="6"/>
  <c r="O257" i="6"/>
  <c r="P257" i="6" s="1"/>
  <c r="O258" i="6"/>
  <c r="P258" i="6" s="1"/>
  <c r="O259" i="6"/>
  <c r="O260" i="6"/>
  <c r="O261" i="6"/>
  <c r="P261" i="6" s="1"/>
  <c r="Q261" i="6" s="1"/>
  <c r="O262" i="6"/>
  <c r="P262" i="6" s="1"/>
  <c r="O263" i="6"/>
  <c r="O264" i="6"/>
  <c r="O265" i="6"/>
  <c r="P265" i="6" s="1"/>
  <c r="O266" i="6"/>
  <c r="P266" i="6" s="1"/>
  <c r="O267" i="6"/>
  <c r="O268" i="6"/>
  <c r="O269" i="6"/>
  <c r="P269" i="6" s="1"/>
  <c r="Q269" i="6" s="1"/>
  <c r="O270" i="6"/>
  <c r="P270" i="6" s="1"/>
  <c r="O271" i="6"/>
  <c r="O272" i="6"/>
  <c r="O273" i="6"/>
  <c r="P273" i="6" s="1"/>
  <c r="O274" i="6"/>
  <c r="P274" i="6" s="1"/>
  <c r="O275" i="6"/>
  <c r="O276" i="6"/>
  <c r="O277" i="6"/>
  <c r="P277" i="6" s="1"/>
  <c r="Q277" i="6" s="1"/>
  <c r="O278" i="6"/>
  <c r="P278" i="6" s="1"/>
  <c r="O279" i="6"/>
  <c r="O280" i="6"/>
  <c r="O281" i="6"/>
  <c r="P281" i="6" s="1"/>
  <c r="O282" i="6"/>
  <c r="P282" i="6" s="1"/>
  <c r="O283" i="6"/>
  <c r="O284" i="6"/>
  <c r="O285" i="6"/>
  <c r="P285" i="6" s="1"/>
  <c r="Q285" i="6" s="1"/>
  <c r="O286" i="6"/>
  <c r="P286" i="6" s="1"/>
  <c r="O287" i="6"/>
  <c r="O288" i="6"/>
  <c r="O289" i="6"/>
  <c r="P289" i="6" s="1"/>
  <c r="O290" i="6"/>
  <c r="P290" i="6" s="1"/>
  <c r="O291" i="6"/>
  <c r="O292" i="6"/>
  <c r="O293" i="6"/>
  <c r="P293" i="6" s="1"/>
  <c r="Q293" i="6" s="1"/>
  <c r="O294" i="6"/>
  <c r="P294" i="6" s="1"/>
  <c r="O295" i="6"/>
  <c r="O296" i="6"/>
  <c r="O297" i="6"/>
  <c r="P297" i="6" s="1"/>
  <c r="O298" i="6"/>
  <c r="P298" i="6" s="1"/>
  <c r="O299" i="6"/>
  <c r="O300" i="6"/>
  <c r="O301" i="6"/>
  <c r="P301" i="6" s="1"/>
  <c r="Q301" i="6" s="1"/>
  <c r="O302" i="6"/>
  <c r="P302" i="6" s="1"/>
  <c r="O303" i="6"/>
  <c r="O304" i="6"/>
  <c r="O305" i="6"/>
  <c r="P305" i="6" s="1"/>
  <c r="O306" i="6"/>
  <c r="P306" i="6" s="1"/>
  <c r="O307" i="6"/>
  <c r="O308" i="6"/>
  <c r="O309" i="6"/>
  <c r="P309" i="6" s="1"/>
  <c r="Q309" i="6" s="1"/>
  <c r="O310" i="6"/>
  <c r="P310" i="6" s="1"/>
  <c r="O311" i="6"/>
  <c r="O312" i="6"/>
  <c r="O313" i="6"/>
  <c r="P313" i="6" s="1"/>
  <c r="O314" i="6"/>
  <c r="P314" i="6" s="1"/>
  <c r="O315" i="6"/>
  <c r="O316" i="6"/>
  <c r="O317" i="6"/>
  <c r="P317" i="6" s="1"/>
  <c r="Q317" i="6" s="1"/>
  <c r="O318" i="6"/>
  <c r="P318" i="6" s="1"/>
  <c r="O319" i="6"/>
  <c r="O320" i="6"/>
  <c r="O321" i="6"/>
  <c r="P321" i="6" s="1"/>
  <c r="O322" i="6"/>
  <c r="P322" i="6" s="1"/>
  <c r="O323" i="6"/>
  <c r="O324" i="6"/>
  <c r="O325" i="6"/>
  <c r="P325" i="6" s="1"/>
  <c r="Q325" i="6" s="1"/>
  <c r="O326" i="6"/>
  <c r="P326" i="6" s="1"/>
  <c r="O327" i="6"/>
  <c r="O328" i="6"/>
  <c r="O329" i="6"/>
  <c r="P329" i="6" s="1"/>
  <c r="O330" i="6"/>
  <c r="P330" i="6" s="1"/>
  <c r="O331" i="6"/>
  <c r="O332" i="6"/>
  <c r="O333" i="6"/>
  <c r="P333" i="6" s="1"/>
  <c r="Q333" i="6" s="1"/>
  <c r="O334" i="6"/>
  <c r="P334" i="6" s="1"/>
  <c r="O335" i="6"/>
  <c r="O336" i="6"/>
  <c r="O337" i="6"/>
  <c r="P337" i="6" s="1"/>
  <c r="O338" i="6"/>
  <c r="P338" i="6" s="1"/>
  <c r="O339" i="6"/>
  <c r="O340" i="6"/>
  <c r="O341" i="6"/>
  <c r="P341" i="6" s="1"/>
  <c r="Q341" i="6" s="1"/>
  <c r="O342" i="6"/>
  <c r="P342" i="6" s="1"/>
  <c r="O343" i="6"/>
  <c r="O344" i="6"/>
  <c r="O345" i="6"/>
  <c r="P345" i="6" s="1"/>
  <c r="O346" i="6"/>
  <c r="P346" i="6" s="1"/>
  <c r="O347" i="6"/>
  <c r="O348" i="6"/>
  <c r="O349" i="6"/>
  <c r="P349" i="6" s="1"/>
  <c r="Q349" i="6" s="1"/>
  <c r="O350" i="6"/>
  <c r="P350" i="6" s="1"/>
  <c r="O351" i="6"/>
  <c r="O352" i="6"/>
  <c r="O353" i="6"/>
  <c r="P353" i="6" s="1"/>
  <c r="O354" i="6"/>
  <c r="P354" i="6" s="1"/>
  <c r="O355" i="6"/>
  <c r="O356" i="6"/>
  <c r="O357" i="6"/>
  <c r="P357" i="6" s="1"/>
  <c r="Q357" i="6" s="1"/>
  <c r="O358" i="6"/>
  <c r="P358" i="6" s="1"/>
  <c r="O359" i="6"/>
  <c r="O360" i="6"/>
  <c r="O361" i="6"/>
  <c r="P361" i="6" s="1"/>
  <c r="O362" i="6"/>
  <c r="P362" i="6" s="1"/>
  <c r="O363" i="6"/>
  <c r="O364" i="6"/>
  <c r="O365" i="6"/>
  <c r="P365" i="6" s="1"/>
  <c r="Q365" i="6" s="1"/>
  <c r="O366" i="6"/>
  <c r="P366" i="6" s="1"/>
  <c r="O367" i="6"/>
  <c r="O368" i="6"/>
  <c r="O369" i="6"/>
  <c r="P369" i="6" s="1"/>
  <c r="O370" i="6"/>
  <c r="P370" i="6" s="1"/>
  <c r="O371" i="6"/>
  <c r="O372" i="6"/>
  <c r="O373" i="6"/>
  <c r="P373" i="6" s="1"/>
  <c r="Q373" i="6" s="1"/>
  <c r="O374" i="6"/>
  <c r="P374" i="6" s="1"/>
  <c r="O375" i="6"/>
  <c r="O376" i="6"/>
  <c r="O377" i="6"/>
  <c r="P377" i="6" s="1"/>
  <c r="O378" i="6"/>
  <c r="P378" i="6" s="1"/>
  <c r="O379" i="6"/>
  <c r="O380" i="6"/>
  <c r="O381" i="6"/>
  <c r="P381" i="6" s="1"/>
  <c r="Q381" i="6" s="1"/>
  <c r="O382" i="6"/>
  <c r="P382" i="6" s="1"/>
  <c r="O383" i="6"/>
  <c r="O384" i="6"/>
  <c r="O385" i="6"/>
  <c r="P385" i="6" s="1"/>
  <c r="O386" i="6"/>
  <c r="P386" i="6" s="1"/>
  <c r="O387" i="6"/>
  <c r="O388" i="6"/>
  <c r="O389" i="6"/>
  <c r="P389" i="6" s="1"/>
  <c r="Q389" i="6" s="1"/>
  <c r="O390" i="6"/>
  <c r="P390" i="6" s="1"/>
  <c r="O391" i="6"/>
  <c r="O392" i="6"/>
  <c r="O393" i="6"/>
  <c r="P393" i="6" s="1"/>
  <c r="O394" i="6"/>
  <c r="P394" i="6" s="1"/>
  <c r="O395" i="6"/>
  <c r="O396" i="6"/>
  <c r="O397" i="6"/>
  <c r="P397" i="6" s="1"/>
  <c r="Q397" i="6" s="1"/>
  <c r="O398" i="6"/>
  <c r="P398" i="6" s="1"/>
  <c r="O399" i="6"/>
  <c r="O400" i="6"/>
  <c r="O401" i="6"/>
  <c r="P401" i="6" s="1"/>
  <c r="O402" i="6"/>
  <c r="P402" i="6" s="1"/>
  <c r="O403" i="6"/>
  <c r="O404" i="6"/>
  <c r="O405" i="6"/>
  <c r="P405" i="6" s="1"/>
  <c r="Q405" i="6" s="1"/>
  <c r="O406" i="6"/>
  <c r="P406" i="6" s="1"/>
  <c r="O407" i="6"/>
  <c r="O408" i="6"/>
  <c r="O409" i="6"/>
  <c r="P409" i="6" s="1"/>
  <c r="O410" i="6"/>
  <c r="P410" i="6" s="1"/>
  <c r="O411" i="6"/>
  <c r="O412" i="6"/>
  <c r="O413" i="6"/>
  <c r="P413" i="6" s="1"/>
  <c r="Q413" i="6" s="1"/>
  <c r="O414" i="6"/>
  <c r="P414" i="6" s="1"/>
  <c r="O415" i="6"/>
  <c r="O416" i="6"/>
  <c r="O417" i="6"/>
  <c r="P417" i="6" s="1"/>
  <c r="O418" i="6"/>
  <c r="P418" i="6" s="1"/>
  <c r="O419" i="6"/>
  <c r="O420" i="6"/>
  <c r="O421" i="6"/>
  <c r="P421" i="6" s="1"/>
  <c r="Q421" i="6" s="1"/>
  <c r="O422" i="6"/>
  <c r="P422" i="6" s="1"/>
  <c r="O423" i="6"/>
  <c r="O424" i="6"/>
  <c r="O425" i="6"/>
  <c r="P425" i="6" s="1"/>
  <c r="O426" i="6"/>
  <c r="P426" i="6" s="1"/>
  <c r="O427" i="6"/>
  <c r="O428" i="6"/>
  <c r="O429" i="6"/>
  <c r="P429" i="6" s="1"/>
  <c r="Q429" i="6" s="1"/>
  <c r="O430" i="6"/>
  <c r="P430" i="6" s="1"/>
  <c r="O431" i="6"/>
  <c r="O432" i="6"/>
  <c r="O433" i="6"/>
  <c r="P433" i="6" s="1"/>
  <c r="O434" i="6"/>
  <c r="P434" i="6" s="1"/>
  <c r="O435" i="6"/>
  <c r="O436" i="6"/>
  <c r="O437" i="6"/>
  <c r="P437" i="6" s="1"/>
  <c r="Q437" i="6" s="1"/>
  <c r="O438" i="6"/>
  <c r="P438" i="6" s="1"/>
  <c r="O439" i="6"/>
  <c r="O440" i="6"/>
  <c r="O441" i="6"/>
  <c r="P441" i="6" s="1"/>
  <c r="O442" i="6"/>
  <c r="P442" i="6" s="1"/>
  <c r="O443" i="6"/>
  <c r="O444" i="6"/>
  <c r="O445" i="6"/>
  <c r="P445" i="6" s="1"/>
  <c r="Q445" i="6" s="1"/>
  <c r="O446" i="6"/>
  <c r="P446" i="6" s="1"/>
  <c r="O447" i="6"/>
  <c r="O448" i="6"/>
  <c r="O449" i="6"/>
  <c r="P449" i="6" s="1"/>
  <c r="O450" i="6"/>
  <c r="P450" i="6" s="1"/>
  <c r="O451" i="6"/>
  <c r="O452" i="6"/>
  <c r="O453" i="6"/>
  <c r="P453" i="6" s="1"/>
  <c r="Q453" i="6" s="1"/>
  <c r="O454" i="6"/>
  <c r="P454" i="6" s="1"/>
  <c r="O455" i="6"/>
  <c r="O456" i="6"/>
  <c r="O457" i="6"/>
  <c r="P457" i="6" s="1"/>
  <c r="O458" i="6"/>
  <c r="P458" i="6" s="1"/>
  <c r="O459" i="6"/>
  <c r="O460" i="6"/>
  <c r="O461" i="6"/>
  <c r="P461" i="6" s="1"/>
  <c r="Q461" i="6" s="1"/>
  <c r="O462" i="6"/>
  <c r="P462" i="6" s="1"/>
  <c r="O463" i="6"/>
  <c r="O464" i="6"/>
  <c r="O465" i="6"/>
  <c r="P465" i="6" s="1"/>
  <c r="O466" i="6"/>
  <c r="P466" i="6" s="1"/>
  <c r="O467" i="6"/>
  <c r="O468" i="6"/>
  <c r="O469" i="6"/>
  <c r="P469" i="6" s="1"/>
  <c r="Q469" i="6" s="1"/>
  <c r="O470" i="6"/>
  <c r="P470" i="6" s="1"/>
  <c r="O471" i="6"/>
  <c r="O472" i="6"/>
  <c r="O473" i="6"/>
  <c r="P473" i="6" s="1"/>
  <c r="O474" i="6"/>
  <c r="P474" i="6" s="1"/>
  <c r="O475" i="6"/>
  <c r="O476" i="6"/>
  <c r="O477" i="6"/>
  <c r="P477" i="6" s="1"/>
  <c r="Q477" i="6" s="1"/>
  <c r="O478" i="6"/>
  <c r="P478" i="6" s="1"/>
  <c r="O479" i="6"/>
  <c r="O480" i="6"/>
  <c r="O481" i="6"/>
  <c r="P481" i="6" s="1"/>
  <c r="O482" i="6"/>
  <c r="P482" i="6" s="1"/>
  <c r="O483" i="6"/>
  <c r="O484" i="6"/>
  <c r="O485" i="6"/>
  <c r="P485" i="6" s="1"/>
  <c r="Q485" i="6" s="1"/>
  <c r="O486" i="6"/>
  <c r="P486" i="6" s="1"/>
  <c r="O487" i="6"/>
  <c r="O488" i="6"/>
  <c r="O489" i="6"/>
  <c r="P489" i="6" s="1"/>
  <c r="O490" i="6"/>
  <c r="P490" i="6" s="1"/>
  <c r="O491" i="6"/>
  <c r="O492" i="6"/>
  <c r="O493" i="6"/>
  <c r="P493" i="6" s="1"/>
  <c r="Q493" i="6" s="1"/>
  <c r="O494" i="6"/>
  <c r="P494" i="6" s="1"/>
  <c r="O495" i="6"/>
  <c r="O496" i="6"/>
  <c r="O497" i="6"/>
  <c r="P497" i="6" s="1"/>
  <c r="O498" i="6"/>
  <c r="P498" i="6" s="1"/>
  <c r="O499" i="6"/>
  <c r="O500" i="6"/>
  <c r="O501" i="6"/>
  <c r="P501" i="6" s="1"/>
  <c r="Q501" i="6" s="1"/>
  <c r="O502" i="6"/>
  <c r="P502" i="6" s="1"/>
  <c r="O503" i="6"/>
  <c r="O504" i="6"/>
  <c r="O505" i="6"/>
  <c r="P505" i="6" s="1"/>
  <c r="O506" i="6"/>
  <c r="P506" i="6" s="1"/>
  <c r="O507" i="6"/>
  <c r="O508" i="6"/>
  <c r="O509" i="6"/>
  <c r="P509" i="6" s="1"/>
  <c r="Q509" i="6" s="1"/>
  <c r="O510" i="6"/>
  <c r="P510" i="6" s="1"/>
  <c r="O511" i="6"/>
  <c r="O512" i="6"/>
  <c r="O513" i="6"/>
  <c r="P513" i="6" s="1"/>
  <c r="O514" i="6"/>
  <c r="P514" i="6" s="1"/>
  <c r="O515" i="6"/>
  <c r="O516" i="6"/>
  <c r="O517" i="6"/>
  <c r="P517" i="6" s="1"/>
  <c r="Q517" i="6" s="1"/>
  <c r="O518" i="6"/>
  <c r="P518" i="6" s="1"/>
  <c r="O519" i="6"/>
  <c r="O520" i="6"/>
  <c r="O521" i="6"/>
  <c r="P521" i="6" s="1"/>
  <c r="O522" i="6"/>
  <c r="P522" i="6" s="1"/>
  <c r="O523" i="6"/>
  <c r="O524" i="6"/>
  <c r="O525" i="6"/>
  <c r="P525" i="6" s="1"/>
  <c r="Q525" i="6" s="1"/>
  <c r="O526" i="6"/>
  <c r="P526" i="6" s="1"/>
  <c r="O527" i="6"/>
  <c r="O528" i="6"/>
  <c r="O529" i="6"/>
  <c r="P529" i="6" s="1"/>
  <c r="O530" i="6"/>
  <c r="P530" i="6" s="1"/>
  <c r="O531" i="6"/>
  <c r="O532" i="6"/>
  <c r="O533" i="6"/>
  <c r="P533" i="6" s="1"/>
  <c r="Q533" i="6" s="1"/>
  <c r="O534" i="6"/>
  <c r="P534" i="6" s="1"/>
  <c r="O535" i="6"/>
  <c r="O536" i="6"/>
  <c r="O537" i="6"/>
  <c r="P537" i="6" s="1"/>
  <c r="O538" i="6"/>
  <c r="P538" i="6" s="1"/>
  <c r="O539" i="6"/>
  <c r="O540" i="6"/>
  <c r="O541" i="6"/>
  <c r="P541" i="6" s="1"/>
  <c r="Q541" i="6" s="1"/>
  <c r="O542" i="6"/>
  <c r="P542" i="6" s="1"/>
  <c r="O543" i="6"/>
  <c r="O544" i="6"/>
  <c r="O545" i="6"/>
  <c r="P545" i="6" s="1"/>
  <c r="O546" i="6"/>
  <c r="P546" i="6" s="1"/>
  <c r="O547" i="6"/>
  <c r="O548" i="6"/>
  <c r="O549" i="6"/>
  <c r="P549" i="6" s="1"/>
  <c r="Q549" i="6" s="1"/>
  <c r="O550" i="6"/>
  <c r="P550" i="6" s="1"/>
  <c r="O551" i="6"/>
  <c r="O552" i="6"/>
  <c r="O553" i="6"/>
  <c r="P553" i="6" s="1"/>
  <c r="O554" i="6"/>
  <c r="P554" i="6" s="1"/>
  <c r="O555" i="6"/>
  <c r="O556" i="6"/>
  <c r="O557" i="6"/>
  <c r="P557" i="6" s="1"/>
  <c r="Q557" i="6" s="1"/>
  <c r="O558" i="6"/>
  <c r="P558" i="6" s="1"/>
  <c r="O559" i="6"/>
  <c r="O560" i="6"/>
  <c r="O561" i="6"/>
  <c r="P561" i="6" s="1"/>
  <c r="O562" i="6"/>
  <c r="P562" i="6" s="1"/>
  <c r="O563" i="6"/>
  <c r="O564" i="6"/>
  <c r="O565" i="6"/>
  <c r="P565" i="6" s="1"/>
  <c r="Q565" i="6" s="1"/>
  <c r="O566" i="6"/>
  <c r="P566" i="6" s="1"/>
  <c r="O567" i="6"/>
  <c r="O568" i="6"/>
  <c r="O569" i="6"/>
  <c r="P569" i="6" s="1"/>
  <c r="O570" i="6"/>
  <c r="P570" i="6" s="1"/>
  <c r="O571" i="6"/>
  <c r="O572" i="6"/>
  <c r="O573" i="6"/>
  <c r="P573" i="6" s="1"/>
  <c r="Q573" i="6" s="1"/>
  <c r="O574" i="6"/>
  <c r="P574" i="6" s="1"/>
  <c r="O575" i="6"/>
  <c r="O576" i="6"/>
  <c r="O577" i="6"/>
  <c r="P577" i="6" s="1"/>
  <c r="O578" i="6"/>
  <c r="P578" i="6" s="1"/>
  <c r="O579" i="6"/>
  <c r="O580" i="6"/>
  <c r="O581" i="6"/>
  <c r="P581" i="6" s="1"/>
  <c r="Q581" i="6" s="1"/>
  <c r="O582" i="6"/>
  <c r="P582" i="6" s="1"/>
  <c r="O583" i="6"/>
  <c r="O584" i="6"/>
  <c r="O585" i="6"/>
  <c r="P585" i="6" s="1"/>
  <c r="O586" i="6"/>
  <c r="P586" i="6" s="1"/>
  <c r="O587" i="6"/>
  <c r="O588" i="6"/>
  <c r="O589" i="6"/>
  <c r="P589" i="6" s="1"/>
  <c r="Q589" i="6" s="1"/>
  <c r="O590" i="6"/>
  <c r="P590" i="6" s="1"/>
  <c r="O591" i="6"/>
  <c r="O592" i="6"/>
  <c r="O593" i="6"/>
  <c r="P593" i="6" s="1"/>
  <c r="O594" i="6"/>
  <c r="P594" i="6" s="1"/>
  <c r="O595" i="6"/>
  <c r="O596" i="6"/>
  <c r="O597" i="6"/>
  <c r="P597" i="6" s="1"/>
  <c r="Q597" i="6" s="1"/>
  <c r="O598" i="6"/>
  <c r="P598" i="6" s="1"/>
  <c r="O599" i="6"/>
  <c r="O600" i="6"/>
  <c r="O601" i="6"/>
  <c r="P601" i="6" s="1"/>
  <c r="O602" i="6"/>
  <c r="P602" i="6" s="1"/>
  <c r="O603" i="6"/>
  <c r="O604" i="6"/>
  <c r="O605" i="6"/>
  <c r="P605" i="6" s="1"/>
  <c r="Q605" i="6" s="1"/>
  <c r="O606" i="6"/>
  <c r="P606" i="6" s="1"/>
  <c r="O607" i="6"/>
  <c r="O608" i="6"/>
  <c r="O609" i="6"/>
  <c r="P609" i="6" s="1"/>
  <c r="O610" i="6"/>
  <c r="P610" i="6" s="1"/>
  <c r="O611" i="6"/>
  <c r="O612" i="6"/>
  <c r="O613" i="6"/>
  <c r="P613" i="6" s="1"/>
  <c r="Q613" i="6" s="1"/>
  <c r="O614" i="6"/>
  <c r="P614" i="6" s="1"/>
  <c r="O615" i="6"/>
  <c r="O616" i="6"/>
  <c r="O617" i="6"/>
  <c r="P617" i="6" s="1"/>
  <c r="O618" i="6"/>
  <c r="P618" i="6" s="1"/>
  <c r="O619" i="6"/>
  <c r="O620" i="6"/>
  <c r="O621" i="6"/>
  <c r="P621" i="6" s="1"/>
  <c r="Q621" i="6" s="1"/>
  <c r="O622" i="6"/>
  <c r="P622" i="6" s="1"/>
  <c r="O623" i="6"/>
  <c r="O624" i="6"/>
  <c r="O625" i="6"/>
  <c r="P625" i="6" s="1"/>
  <c r="O626" i="6"/>
  <c r="P626" i="6" s="1"/>
  <c r="O627" i="6"/>
  <c r="O628" i="6"/>
  <c r="O629" i="6"/>
  <c r="P629" i="6" s="1"/>
  <c r="Q629" i="6" s="1"/>
  <c r="O630" i="6"/>
  <c r="P630" i="6" s="1"/>
  <c r="O631" i="6"/>
  <c r="O632" i="6"/>
  <c r="O633" i="6"/>
  <c r="P633" i="6" s="1"/>
  <c r="O634" i="6"/>
  <c r="P634" i="6" s="1"/>
  <c r="O635" i="6"/>
  <c r="O636" i="6"/>
  <c r="O637" i="6"/>
  <c r="P637" i="6" s="1"/>
  <c r="Q637" i="6" s="1"/>
  <c r="O638" i="6"/>
  <c r="P638" i="6" s="1"/>
  <c r="O639" i="6"/>
  <c r="O640" i="6"/>
  <c r="O641" i="6"/>
  <c r="P641" i="6" s="1"/>
  <c r="O642" i="6"/>
  <c r="P642" i="6" s="1"/>
  <c r="O643" i="6"/>
  <c r="O644" i="6"/>
  <c r="O645" i="6"/>
  <c r="P645" i="6" s="1"/>
  <c r="Q645" i="6" s="1"/>
  <c r="O646" i="6"/>
  <c r="P646" i="6" s="1"/>
  <c r="O647" i="6"/>
  <c r="O648" i="6"/>
  <c r="O649" i="6"/>
  <c r="P649" i="6" s="1"/>
  <c r="O650" i="6"/>
  <c r="P650" i="6" s="1"/>
  <c r="O651" i="6"/>
  <c r="O652" i="6"/>
  <c r="O653" i="6"/>
  <c r="P653" i="6" s="1"/>
  <c r="Q653" i="6" s="1"/>
  <c r="O654" i="6"/>
  <c r="P654" i="6" s="1"/>
  <c r="O655" i="6"/>
  <c r="O656" i="6"/>
  <c r="O657" i="6"/>
  <c r="P657" i="6" s="1"/>
  <c r="O658" i="6"/>
  <c r="P658" i="6" s="1"/>
  <c r="O659" i="6"/>
  <c r="O660" i="6"/>
  <c r="O661" i="6"/>
  <c r="P661" i="6" s="1"/>
  <c r="Q661" i="6" s="1"/>
  <c r="O662" i="6"/>
  <c r="P662" i="6" s="1"/>
  <c r="O663" i="6"/>
  <c r="O664" i="6"/>
  <c r="O665" i="6"/>
  <c r="O666" i="6"/>
  <c r="P666" i="6" s="1"/>
  <c r="O667" i="6"/>
  <c r="O668" i="6"/>
  <c r="O669" i="6"/>
  <c r="P669" i="6" s="1"/>
  <c r="Q669" i="6" s="1"/>
  <c r="O670" i="6"/>
  <c r="P670" i="6" s="1"/>
  <c r="O671" i="6"/>
  <c r="O672" i="6"/>
  <c r="O673" i="6"/>
  <c r="P673" i="6" s="1"/>
  <c r="O674" i="6"/>
  <c r="P674" i="6" s="1"/>
  <c r="O675" i="6"/>
  <c r="O676" i="6"/>
  <c r="O677" i="6"/>
  <c r="P677" i="6" s="1"/>
  <c r="Q677" i="6" s="1"/>
  <c r="O678" i="6"/>
  <c r="P678" i="6" s="1"/>
  <c r="O679" i="6"/>
  <c r="O680" i="6"/>
  <c r="O681" i="6"/>
  <c r="P681" i="6" s="1"/>
  <c r="O682" i="6"/>
  <c r="P682" i="6" s="1"/>
  <c r="O683" i="6"/>
  <c r="O684" i="6"/>
  <c r="O685" i="6"/>
  <c r="P685" i="6" s="1"/>
  <c r="Q685" i="6" s="1"/>
  <c r="O686" i="6"/>
  <c r="P686" i="6" s="1"/>
  <c r="O687" i="6"/>
  <c r="O688" i="6"/>
  <c r="O689" i="6"/>
  <c r="P689" i="6" s="1"/>
  <c r="O690" i="6"/>
  <c r="P690" i="6" s="1"/>
  <c r="O691" i="6"/>
  <c r="O692" i="6"/>
  <c r="O693" i="6"/>
  <c r="P693" i="6" s="1"/>
  <c r="Q693" i="6" s="1"/>
  <c r="O694" i="6"/>
  <c r="P694" i="6" s="1"/>
  <c r="O695" i="6"/>
  <c r="O696" i="6"/>
  <c r="O697" i="6"/>
  <c r="P697" i="6" s="1"/>
  <c r="O698" i="6"/>
  <c r="P698" i="6" s="1"/>
  <c r="O699" i="6"/>
  <c r="O700" i="6"/>
  <c r="O701" i="6"/>
  <c r="P701" i="6" s="1"/>
  <c r="Q701" i="6" s="1"/>
  <c r="O702" i="6"/>
  <c r="P702" i="6" s="1"/>
  <c r="O703" i="6"/>
  <c r="O704" i="6"/>
  <c r="O705" i="6"/>
  <c r="P705" i="6" s="1"/>
  <c r="O706" i="6"/>
  <c r="P706" i="6" s="1"/>
  <c r="O707" i="6"/>
  <c r="O708" i="6"/>
  <c r="O709" i="6"/>
  <c r="P709" i="6" s="1"/>
  <c r="Q709" i="6" s="1"/>
  <c r="O710" i="6"/>
  <c r="P710" i="6" s="1"/>
  <c r="O711" i="6"/>
  <c r="O712" i="6"/>
  <c r="O713" i="6"/>
  <c r="P713" i="6" s="1"/>
  <c r="O714" i="6"/>
  <c r="P714" i="6" s="1"/>
  <c r="O715" i="6"/>
  <c r="O716" i="6"/>
  <c r="O717" i="6"/>
  <c r="P717" i="6" s="1"/>
  <c r="Q717" i="6" s="1"/>
  <c r="O718" i="6"/>
  <c r="P718" i="6" s="1"/>
  <c r="O719" i="6"/>
  <c r="O720" i="6"/>
  <c r="O721" i="6"/>
  <c r="P721" i="6" s="1"/>
  <c r="O722" i="6"/>
  <c r="P722" i="6" s="1"/>
  <c r="O723" i="6"/>
  <c r="O724" i="6"/>
  <c r="O725" i="6"/>
  <c r="P725" i="6" s="1"/>
  <c r="Q725" i="6" s="1"/>
  <c r="O726" i="6"/>
  <c r="P726" i="6" s="1"/>
  <c r="O727" i="6"/>
  <c r="O728" i="6"/>
  <c r="O729" i="6"/>
  <c r="O730" i="6"/>
  <c r="P730" i="6" s="1"/>
  <c r="O731" i="6"/>
  <c r="O732" i="6"/>
  <c r="O733" i="6"/>
  <c r="P733" i="6" s="1"/>
  <c r="Q733" i="6" s="1"/>
  <c r="O734" i="6"/>
  <c r="P734" i="6" s="1"/>
  <c r="O735" i="6"/>
  <c r="O736" i="6"/>
  <c r="O737" i="6"/>
  <c r="P737" i="6" s="1"/>
  <c r="O738" i="6"/>
  <c r="P738" i="6" s="1"/>
  <c r="O739" i="6"/>
  <c r="O740" i="6"/>
  <c r="O741" i="6"/>
  <c r="P741" i="6" s="1"/>
  <c r="Q741" i="6" s="1"/>
  <c r="O742" i="6"/>
  <c r="P742" i="6" s="1"/>
  <c r="O743" i="6"/>
  <c r="O744" i="6"/>
  <c r="O745" i="6"/>
  <c r="P745" i="6" s="1"/>
  <c r="O746" i="6"/>
  <c r="P746" i="6" s="1"/>
  <c r="O747" i="6"/>
  <c r="O748" i="6"/>
  <c r="O749" i="6"/>
  <c r="P749" i="6" s="1"/>
  <c r="Q749" i="6" s="1"/>
  <c r="O750" i="6"/>
  <c r="P750" i="6" s="1"/>
  <c r="O751" i="6"/>
  <c r="O752" i="6"/>
  <c r="O753" i="6"/>
  <c r="P753" i="6" s="1"/>
  <c r="O754" i="6"/>
  <c r="P754" i="6" s="1"/>
  <c r="O755" i="6"/>
  <c r="O756" i="6"/>
  <c r="O757" i="6"/>
  <c r="P757" i="6" s="1"/>
  <c r="Q757" i="6" s="1"/>
  <c r="O758" i="6"/>
  <c r="P758" i="6" s="1"/>
  <c r="O759" i="6"/>
  <c r="O760" i="6"/>
  <c r="O761" i="6"/>
  <c r="P761" i="6" s="1"/>
  <c r="O762" i="6"/>
  <c r="P762" i="6" s="1"/>
  <c r="O763" i="6"/>
  <c r="O764" i="6"/>
  <c r="O765" i="6"/>
  <c r="P765" i="6" s="1"/>
  <c r="Q765" i="6" s="1"/>
  <c r="O766" i="6"/>
  <c r="P766" i="6" s="1"/>
  <c r="O767" i="6"/>
  <c r="O768" i="6"/>
  <c r="O769" i="6"/>
  <c r="P769" i="6" s="1"/>
  <c r="O770" i="6"/>
  <c r="P770" i="6" s="1"/>
  <c r="O771" i="6"/>
  <c r="O772" i="6"/>
  <c r="O773" i="6"/>
  <c r="P773" i="6" s="1"/>
  <c r="Q773" i="6" s="1"/>
  <c r="O774" i="6"/>
  <c r="P774" i="6" s="1"/>
  <c r="O775" i="6"/>
  <c r="O776" i="6"/>
  <c r="O777" i="6"/>
  <c r="P777" i="6" s="1"/>
  <c r="O778" i="6"/>
  <c r="P778" i="6" s="1"/>
  <c r="O779" i="6"/>
  <c r="O780" i="6"/>
  <c r="O781" i="6"/>
  <c r="P781" i="6" s="1"/>
  <c r="Q781" i="6" s="1"/>
  <c r="O782" i="6"/>
  <c r="P782" i="6" s="1"/>
  <c r="O783" i="6"/>
  <c r="O784" i="6"/>
  <c r="O785" i="6"/>
  <c r="P785" i="6" s="1"/>
  <c r="O786" i="6"/>
  <c r="P786" i="6" s="1"/>
  <c r="O787" i="6"/>
  <c r="O788" i="6"/>
  <c r="O789" i="6"/>
  <c r="P789" i="6" s="1"/>
  <c r="Q789" i="6" s="1"/>
  <c r="O790" i="6"/>
  <c r="P790" i="6" s="1"/>
  <c r="O791" i="6"/>
  <c r="O792" i="6"/>
  <c r="O793" i="6"/>
  <c r="P793" i="6" s="1"/>
  <c r="O794" i="6"/>
  <c r="P794" i="6" s="1"/>
  <c r="O795" i="6"/>
  <c r="O796" i="6"/>
  <c r="O797" i="6"/>
  <c r="P797" i="6" s="1"/>
  <c r="Q797" i="6" s="1"/>
  <c r="O798" i="6"/>
  <c r="P798" i="6" s="1"/>
  <c r="O799" i="6"/>
  <c r="O800" i="6"/>
  <c r="O801" i="6"/>
  <c r="P801" i="6" s="1"/>
  <c r="O802" i="6"/>
  <c r="P802" i="6" s="1"/>
  <c r="O803" i="6"/>
  <c r="O804" i="6"/>
  <c r="O805" i="6"/>
  <c r="P805" i="6" s="1"/>
  <c r="Q805" i="6" s="1"/>
  <c r="O806" i="6"/>
  <c r="P806" i="6" s="1"/>
  <c r="O807" i="6"/>
  <c r="O808" i="6"/>
  <c r="O809" i="6"/>
  <c r="P809" i="6" s="1"/>
  <c r="O810" i="6"/>
  <c r="P810" i="6" s="1"/>
  <c r="O811" i="6"/>
  <c r="O812" i="6"/>
  <c r="O813" i="6"/>
  <c r="P813" i="6" s="1"/>
  <c r="Q813" i="6" s="1"/>
  <c r="O814" i="6"/>
  <c r="P814" i="6" s="1"/>
  <c r="O815" i="6"/>
  <c r="O816" i="6"/>
  <c r="O817" i="6"/>
  <c r="P817" i="6" s="1"/>
  <c r="O818" i="6"/>
  <c r="P818" i="6" s="1"/>
  <c r="O819" i="6"/>
  <c r="O820" i="6"/>
  <c r="O821" i="6"/>
  <c r="P821" i="6" s="1"/>
  <c r="Q821" i="6" s="1"/>
  <c r="O822" i="6"/>
  <c r="P822" i="6" s="1"/>
  <c r="O823" i="6"/>
  <c r="O824" i="6"/>
  <c r="O825" i="6"/>
  <c r="P825" i="6" s="1"/>
  <c r="O826" i="6"/>
  <c r="P826" i="6" s="1"/>
  <c r="O827" i="6"/>
  <c r="O828" i="6"/>
  <c r="O829" i="6"/>
  <c r="P829" i="6" s="1"/>
  <c r="Q829" i="6" s="1"/>
  <c r="O830" i="6"/>
  <c r="P830" i="6" s="1"/>
  <c r="O831" i="6"/>
  <c r="O832" i="6"/>
  <c r="O833" i="6"/>
  <c r="P833" i="6" s="1"/>
  <c r="O834" i="6"/>
  <c r="P834" i="6" s="1"/>
  <c r="O835" i="6"/>
  <c r="O836" i="6"/>
  <c r="O837" i="6"/>
  <c r="P837" i="6" s="1"/>
  <c r="Q837" i="6" s="1"/>
  <c r="O838" i="6"/>
  <c r="P838" i="6" s="1"/>
  <c r="O839" i="6"/>
  <c r="O840" i="6"/>
  <c r="O841" i="6"/>
  <c r="P841" i="6" s="1"/>
  <c r="O842" i="6"/>
  <c r="P842" i="6" s="1"/>
  <c r="O843" i="6"/>
  <c r="O844" i="6"/>
  <c r="O845" i="6"/>
  <c r="P845" i="6" s="1"/>
  <c r="Q845" i="6" s="1"/>
  <c r="O846" i="6"/>
  <c r="P846" i="6" s="1"/>
  <c r="O847" i="6"/>
  <c r="O848" i="6"/>
  <c r="O849" i="6"/>
  <c r="P849" i="6" s="1"/>
  <c r="O850" i="6"/>
  <c r="P850" i="6" s="1"/>
  <c r="O851" i="6"/>
  <c r="O852" i="6"/>
  <c r="O853" i="6"/>
  <c r="P853" i="6" s="1"/>
  <c r="Q853" i="6" s="1"/>
  <c r="O854" i="6"/>
  <c r="P854" i="6" s="1"/>
  <c r="O855" i="6"/>
  <c r="O856" i="6"/>
  <c r="O857" i="6"/>
  <c r="P857" i="6" s="1"/>
  <c r="O858" i="6"/>
  <c r="P858" i="6" s="1"/>
  <c r="O859" i="6"/>
  <c r="O860" i="6"/>
  <c r="O861" i="6"/>
  <c r="P861" i="6" s="1"/>
  <c r="Q861" i="6" s="1"/>
  <c r="O862" i="6"/>
  <c r="P862" i="6" s="1"/>
  <c r="O863" i="6"/>
  <c r="O864" i="6"/>
  <c r="O865" i="6"/>
  <c r="P865" i="6" s="1"/>
  <c r="O866" i="6"/>
  <c r="P866" i="6" s="1"/>
  <c r="O867" i="6"/>
  <c r="O868" i="6"/>
  <c r="O869" i="6"/>
  <c r="P869" i="6" s="1"/>
  <c r="Q869" i="6" s="1"/>
  <c r="O870" i="6"/>
  <c r="P870" i="6" s="1"/>
  <c r="O871" i="6"/>
  <c r="O872" i="6"/>
  <c r="O873" i="6"/>
  <c r="P873" i="6" s="1"/>
  <c r="O874" i="6"/>
  <c r="P874" i="6" s="1"/>
  <c r="O875" i="6"/>
  <c r="O876" i="6"/>
  <c r="O877" i="6"/>
  <c r="P877" i="6" s="1"/>
  <c r="Q877" i="6" s="1"/>
  <c r="O878" i="6"/>
  <c r="P878" i="6" s="1"/>
  <c r="O879" i="6"/>
  <c r="O880" i="6"/>
  <c r="O881" i="6"/>
  <c r="P881" i="6" s="1"/>
  <c r="O882" i="6"/>
  <c r="P882" i="6" s="1"/>
  <c r="O883" i="6"/>
  <c r="O884" i="6"/>
  <c r="O885" i="6"/>
  <c r="P885" i="6" s="1"/>
  <c r="Q885" i="6" s="1"/>
  <c r="O886" i="6"/>
  <c r="P886" i="6" s="1"/>
  <c r="O887" i="6"/>
  <c r="O888" i="6"/>
  <c r="O889" i="6"/>
  <c r="P889" i="6" s="1"/>
  <c r="O890" i="6"/>
  <c r="P890" i="6" s="1"/>
  <c r="O891" i="6"/>
  <c r="O892" i="6"/>
  <c r="O893" i="6"/>
  <c r="P893" i="6" s="1"/>
  <c r="Q893" i="6" s="1"/>
  <c r="O894" i="6"/>
  <c r="P894" i="6" s="1"/>
  <c r="O895" i="6"/>
  <c r="O896" i="6"/>
  <c r="O897" i="6"/>
  <c r="P897" i="6" s="1"/>
  <c r="O898" i="6"/>
  <c r="P898" i="6" s="1"/>
  <c r="O899" i="6"/>
  <c r="O900" i="6"/>
  <c r="O901" i="6"/>
  <c r="P901" i="6" s="1"/>
  <c r="Q901" i="6" s="1"/>
  <c r="O902" i="6"/>
  <c r="P902" i="6" s="1"/>
  <c r="O903" i="6"/>
  <c r="O904" i="6"/>
  <c r="O905" i="6"/>
  <c r="P905" i="6" s="1"/>
  <c r="O906" i="6"/>
  <c r="P906" i="6" s="1"/>
  <c r="O907" i="6"/>
  <c r="O908" i="6"/>
  <c r="O909" i="6"/>
  <c r="P909" i="6" s="1"/>
  <c r="Q909" i="6" s="1"/>
  <c r="O910" i="6"/>
  <c r="P910" i="6" s="1"/>
  <c r="O911" i="6"/>
  <c r="O912" i="6"/>
  <c r="O913" i="6"/>
  <c r="P913" i="6" s="1"/>
  <c r="O914" i="6"/>
  <c r="P914" i="6" s="1"/>
  <c r="O915" i="6"/>
  <c r="O916" i="6"/>
  <c r="O917" i="6"/>
  <c r="P917" i="6" s="1"/>
  <c r="Q917" i="6" s="1"/>
  <c r="O918" i="6"/>
  <c r="P918" i="6" s="1"/>
  <c r="O919" i="6"/>
  <c r="O920" i="6"/>
  <c r="O921" i="6"/>
  <c r="P921" i="6" s="1"/>
  <c r="O922" i="6"/>
  <c r="P922" i="6" s="1"/>
  <c r="O923" i="6"/>
  <c r="O924" i="6"/>
  <c r="O925" i="6"/>
  <c r="P925" i="6" s="1"/>
  <c r="Q925" i="6" s="1"/>
  <c r="O926" i="6"/>
  <c r="P926" i="6" s="1"/>
  <c r="O927" i="6"/>
  <c r="O928" i="6"/>
  <c r="O929" i="6"/>
  <c r="P929" i="6" s="1"/>
  <c r="O930" i="6"/>
  <c r="P930" i="6" s="1"/>
  <c r="O931" i="6"/>
  <c r="O932" i="6"/>
  <c r="O933" i="6"/>
  <c r="P933" i="6" s="1"/>
  <c r="Q933" i="6" s="1"/>
  <c r="O934" i="6"/>
  <c r="P934" i="6" s="1"/>
  <c r="O935" i="6"/>
  <c r="O936" i="6"/>
  <c r="O937" i="6"/>
  <c r="P937" i="6" s="1"/>
  <c r="O938" i="6"/>
  <c r="P938" i="6" s="1"/>
  <c r="O939" i="6"/>
  <c r="O940" i="6"/>
  <c r="O941" i="6"/>
  <c r="P941" i="6" s="1"/>
  <c r="Q941" i="6" s="1"/>
  <c r="O942" i="6"/>
  <c r="P942" i="6" s="1"/>
  <c r="O943" i="6"/>
  <c r="O944" i="6"/>
  <c r="O945" i="6"/>
  <c r="P945" i="6" s="1"/>
  <c r="O946" i="6"/>
  <c r="P946" i="6" s="1"/>
  <c r="O947" i="6"/>
  <c r="O948" i="6"/>
  <c r="O949" i="6"/>
  <c r="P949" i="6" s="1"/>
  <c r="Q949" i="6" s="1"/>
  <c r="O950" i="6"/>
  <c r="P950" i="6" s="1"/>
  <c r="O951" i="6"/>
  <c r="O952" i="6"/>
  <c r="O953" i="6"/>
  <c r="P953" i="6" s="1"/>
  <c r="O954" i="6"/>
  <c r="P954" i="6" s="1"/>
  <c r="O955" i="6"/>
  <c r="O956" i="6"/>
  <c r="O957" i="6"/>
  <c r="P957" i="6" s="1"/>
  <c r="Q957" i="6" s="1"/>
  <c r="O958" i="6"/>
  <c r="P958" i="6" s="1"/>
  <c r="O959" i="6"/>
  <c r="O960" i="6"/>
  <c r="O961" i="6"/>
  <c r="P961" i="6" s="1"/>
  <c r="O962" i="6"/>
  <c r="P962" i="6" s="1"/>
  <c r="O963" i="6"/>
  <c r="O964" i="6"/>
  <c r="O965" i="6"/>
  <c r="P965" i="6" s="1"/>
  <c r="Q965" i="6" s="1"/>
  <c r="O966" i="6"/>
  <c r="P966" i="6" s="1"/>
  <c r="O967" i="6"/>
  <c r="O968" i="6"/>
  <c r="O969" i="6"/>
  <c r="P969" i="6" s="1"/>
  <c r="O970" i="6"/>
  <c r="P970" i="6" s="1"/>
  <c r="O971" i="6"/>
  <c r="O972" i="6"/>
  <c r="O973" i="6"/>
  <c r="P973" i="6" s="1"/>
  <c r="O974" i="6"/>
  <c r="P974" i="6" s="1"/>
  <c r="O975" i="6"/>
  <c r="O976" i="6"/>
  <c r="O977" i="6"/>
  <c r="P977" i="6" s="1"/>
  <c r="O978" i="6"/>
  <c r="P978" i="6" s="1"/>
  <c r="O979" i="6"/>
  <c r="O980" i="6"/>
  <c r="O981" i="6"/>
  <c r="P981" i="6" s="1"/>
  <c r="O982" i="6"/>
  <c r="P982" i="6" s="1"/>
  <c r="O983" i="6"/>
  <c r="O984" i="6"/>
  <c r="O985" i="6"/>
  <c r="O986" i="6"/>
  <c r="P986" i="6" s="1"/>
  <c r="O987" i="6"/>
  <c r="O988" i="6"/>
  <c r="O989" i="6"/>
  <c r="P989" i="6" s="1"/>
  <c r="O990" i="6"/>
  <c r="P990" i="6" s="1"/>
  <c r="O991" i="6"/>
  <c r="O992" i="6"/>
  <c r="O993" i="6"/>
  <c r="P993" i="6" s="1"/>
  <c r="O994" i="6"/>
  <c r="P994" i="6" s="1"/>
  <c r="O995" i="6"/>
  <c r="O996" i="6"/>
  <c r="O997" i="6"/>
  <c r="P997" i="6" s="1"/>
  <c r="O998" i="6"/>
  <c r="P998" i="6" s="1"/>
  <c r="O999" i="6"/>
  <c r="O1000" i="6"/>
  <c r="O1001" i="6"/>
  <c r="P1001" i="6" s="1"/>
  <c r="O1002" i="6"/>
  <c r="P1002" i="6" s="1"/>
  <c r="O1003" i="6"/>
  <c r="O1004" i="6"/>
  <c r="O1005" i="6"/>
  <c r="P1005" i="6" s="1"/>
  <c r="O1006" i="6"/>
  <c r="P1006" i="6" s="1"/>
  <c r="O1007" i="6"/>
  <c r="O1008" i="6"/>
  <c r="O1009" i="6"/>
  <c r="P1009" i="6" s="1"/>
  <c r="O1010" i="6"/>
  <c r="P1010" i="6" s="1"/>
  <c r="O1011" i="6"/>
  <c r="O1012" i="6"/>
  <c r="O1013" i="6"/>
  <c r="P1013" i="6" s="1"/>
  <c r="O1014" i="6"/>
  <c r="P1014" i="6" s="1"/>
  <c r="O1015" i="6"/>
  <c r="O1016" i="6"/>
  <c r="O1017" i="6"/>
  <c r="P1017" i="6" s="1"/>
  <c r="O1018" i="6"/>
  <c r="P1018" i="6" s="1"/>
  <c r="O1019" i="6"/>
  <c r="O1020" i="6"/>
  <c r="O1021" i="6"/>
  <c r="P1021" i="6" s="1"/>
  <c r="O1022" i="6"/>
  <c r="P1022" i="6" s="1"/>
  <c r="O1023" i="6"/>
  <c r="O1024" i="6"/>
  <c r="O1025" i="6"/>
  <c r="P1025" i="6" s="1"/>
  <c r="O1026" i="6"/>
  <c r="P1026" i="6" s="1"/>
  <c r="O1027" i="6"/>
  <c r="O1028" i="6"/>
  <c r="O1029" i="6"/>
  <c r="P1029" i="6" s="1"/>
  <c r="O1030" i="6"/>
  <c r="P1030" i="6" s="1"/>
  <c r="O1031" i="6"/>
  <c r="O1032" i="6"/>
  <c r="O1033" i="6"/>
  <c r="P1033" i="6" s="1"/>
  <c r="O1034" i="6"/>
  <c r="P1034" i="6" s="1"/>
  <c r="O1035" i="6"/>
  <c r="O1036" i="6"/>
  <c r="O1037" i="6"/>
  <c r="P1037" i="6" s="1"/>
  <c r="O1038" i="6"/>
  <c r="P1038" i="6" s="1"/>
  <c r="O1039" i="6"/>
  <c r="O1040" i="6"/>
  <c r="O1041" i="6"/>
  <c r="P1041" i="6" s="1"/>
  <c r="O1042" i="6"/>
  <c r="P1042" i="6" s="1"/>
  <c r="O1043" i="6"/>
  <c r="O1044" i="6"/>
  <c r="O1045" i="6"/>
  <c r="P1045" i="6" s="1"/>
  <c r="O1046" i="6"/>
  <c r="P1046" i="6" s="1"/>
  <c r="O1047" i="6"/>
  <c r="O1048" i="6"/>
  <c r="O1049" i="6"/>
  <c r="O1050" i="6"/>
  <c r="P1050" i="6" s="1"/>
  <c r="O1051" i="6"/>
  <c r="O1052" i="6"/>
  <c r="O1053" i="6"/>
  <c r="P1053" i="6" s="1"/>
  <c r="O1054" i="6"/>
  <c r="P1054" i="6" s="1"/>
  <c r="O1055" i="6"/>
  <c r="O1056" i="6"/>
  <c r="O1057" i="6"/>
  <c r="P1057" i="6" s="1"/>
  <c r="O1058" i="6"/>
  <c r="P1058" i="6" s="1"/>
  <c r="O1059" i="6"/>
  <c r="O1060" i="6"/>
  <c r="O1061" i="6"/>
  <c r="P1061" i="6" s="1"/>
  <c r="O1062" i="6"/>
  <c r="P1062" i="6" s="1"/>
  <c r="O1063" i="6"/>
  <c r="O1064" i="6"/>
  <c r="O1065" i="6"/>
  <c r="P1065" i="6" s="1"/>
  <c r="O1066" i="6"/>
  <c r="P1066" i="6" s="1"/>
  <c r="O1067" i="6"/>
  <c r="O1068" i="6"/>
  <c r="O1069" i="6"/>
  <c r="O1070" i="6"/>
  <c r="P1070" i="6" s="1"/>
  <c r="O1071" i="6"/>
  <c r="O1072" i="6"/>
  <c r="O1073" i="6"/>
  <c r="P1073" i="6" s="1"/>
  <c r="O1074" i="6"/>
  <c r="P1074" i="6" s="1"/>
  <c r="O1075" i="6"/>
  <c r="O1076" i="6"/>
  <c r="O1077" i="6"/>
  <c r="P1077" i="6" s="1"/>
  <c r="O1078" i="6"/>
  <c r="P1078" i="6" s="1"/>
  <c r="O1079" i="6"/>
  <c r="O1080" i="6"/>
  <c r="O1081" i="6"/>
  <c r="P1081" i="6" s="1"/>
  <c r="O1082" i="6"/>
  <c r="P1082" i="6" s="1"/>
  <c r="O1083" i="6"/>
  <c r="O1084" i="6"/>
  <c r="O1085" i="6"/>
  <c r="P1085" i="6" s="1"/>
  <c r="O1086" i="6"/>
  <c r="P1086" i="6" s="1"/>
  <c r="O1087" i="6"/>
  <c r="O1088" i="6"/>
  <c r="O1089" i="6"/>
  <c r="P1089" i="6" s="1"/>
  <c r="O1090" i="6"/>
  <c r="P1090" i="6" s="1"/>
  <c r="O1091" i="6"/>
  <c r="O1092" i="6"/>
  <c r="O1093" i="6"/>
  <c r="P1093" i="6" s="1"/>
  <c r="O1094" i="6"/>
  <c r="P1094" i="6" s="1"/>
  <c r="O1095" i="6"/>
  <c r="O1096" i="6"/>
  <c r="O1097" i="6"/>
  <c r="P1097" i="6" s="1"/>
  <c r="O1098" i="6"/>
  <c r="P1098" i="6" s="1"/>
  <c r="O1099" i="6"/>
  <c r="O1100" i="6"/>
  <c r="O1101" i="6"/>
  <c r="O1102" i="6"/>
  <c r="P1102" i="6" s="1"/>
  <c r="O1103" i="6"/>
  <c r="O1104" i="6"/>
  <c r="O1105" i="6"/>
  <c r="P1105" i="6" s="1"/>
  <c r="O1106" i="6"/>
  <c r="P1106" i="6" s="1"/>
  <c r="O1107" i="6"/>
  <c r="O1108" i="6"/>
  <c r="O1109" i="6"/>
  <c r="P1109" i="6" s="1"/>
  <c r="O1110" i="6"/>
  <c r="P1110" i="6" s="1"/>
  <c r="O1111" i="6"/>
  <c r="O1112" i="6"/>
  <c r="O1113" i="6"/>
  <c r="P1113" i="6" s="1"/>
  <c r="O1114" i="6"/>
  <c r="P1114" i="6" s="1"/>
  <c r="O1115" i="6"/>
  <c r="O1116" i="6"/>
  <c r="O1117" i="6"/>
  <c r="P1117" i="6" s="1"/>
  <c r="O1118" i="6"/>
  <c r="P1118" i="6" s="1"/>
  <c r="O1119" i="6"/>
  <c r="O1120" i="6"/>
  <c r="O1121" i="6"/>
  <c r="P1121" i="6" s="1"/>
  <c r="O1122" i="6"/>
  <c r="P1122" i="6" s="1"/>
  <c r="O1123" i="6"/>
  <c r="O1124" i="6"/>
  <c r="O1125" i="6"/>
  <c r="P1125" i="6" s="1"/>
  <c r="O1126" i="6"/>
  <c r="P1126" i="6" s="1"/>
  <c r="O1127" i="6"/>
  <c r="O1128" i="6"/>
  <c r="O1129" i="6"/>
  <c r="P1129" i="6" s="1"/>
  <c r="O1130" i="6"/>
  <c r="P1130" i="6" s="1"/>
  <c r="O1131" i="6"/>
  <c r="O1132" i="6"/>
  <c r="O1133" i="6"/>
  <c r="P1133" i="6" s="1"/>
  <c r="O1134" i="6"/>
  <c r="P1134" i="6" s="1"/>
  <c r="O1135" i="6"/>
  <c r="O1136" i="6"/>
  <c r="O1137" i="6"/>
  <c r="P1137" i="6" s="1"/>
  <c r="O1138" i="6"/>
  <c r="P1138" i="6" s="1"/>
  <c r="O1139" i="6"/>
  <c r="O1140" i="6"/>
  <c r="O1141" i="6"/>
  <c r="P1141" i="6" s="1"/>
  <c r="O1142" i="6"/>
  <c r="P1142" i="6" s="1"/>
  <c r="O1143" i="6"/>
  <c r="O1144" i="6"/>
  <c r="O1145" i="6"/>
  <c r="P1145" i="6" s="1"/>
  <c r="O1146" i="6"/>
  <c r="P1146" i="6" s="1"/>
  <c r="O1147" i="6"/>
  <c r="O1148" i="6"/>
  <c r="O1149" i="6"/>
  <c r="P1149" i="6" s="1"/>
  <c r="O1150" i="6"/>
  <c r="P1150" i="6" s="1"/>
  <c r="O1151" i="6"/>
  <c r="O1152" i="6"/>
  <c r="O1153" i="6"/>
  <c r="P1153" i="6" s="1"/>
  <c r="O1154" i="6"/>
  <c r="P1154" i="6" s="1"/>
  <c r="O1155" i="6"/>
  <c r="O1156" i="6"/>
  <c r="O1157" i="6"/>
  <c r="P1157" i="6" s="1"/>
  <c r="O1158" i="6"/>
  <c r="P1158" i="6" s="1"/>
  <c r="O1159" i="6"/>
  <c r="O1160" i="6"/>
  <c r="O1161" i="6"/>
  <c r="P1161" i="6" s="1"/>
  <c r="O1162" i="6"/>
  <c r="P1162" i="6" s="1"/>
  <c r="O1163" i="6"/>
  <c r="O1164" i="6"/>
  <c r="O1165" i="6"/>
  <c r="P1165" i="6" s="1"/>
  <c r="O1166" i="6"/>
  <c r="P1166" i="6" s="1"/>
  <c r="O1167" i="6"/>
  <c r="O1168" i="6"/>
  <c r="O1169" i="6"/>
  <c r="P1169" i="6" s="1"/>
  <c r="O1170" i="6"/>
  <c r="P1170" i="6" s="1"/>
  <c r="O1171" i="6"/>
  <c r="O1172" i="6"/>
  <c r="O1173" i="6"/>
  <c r="P1173" i="6" s="1"/>
  <c r="O1174" i="6"/>
  <c r="P1174" i="6" s="1"/>
  <c r="O1175" i="6"/>
  <c r="O1176" i="6"/>
  <c r="O1177" i="6"/>
  <c r="P1177" i="6" s="1"/>
  <c r="O1178" i="6"/>
  <c r="P1178" i="6" s="1"/>
  <c r="O1179" i="6"/>
  <c r="O1180" i="6"/>
  <c r="O1181" i="6"/>
  <c r="P1181" i="6" s="1"/>
  <c r="O1182" i="6"/>
  <c r="P1182" i="6" s="1"/>
  <c r="O1183" i="6"/>
  <c r="O1184" i="6"/>
  <c r="O1185" i="6"/>
  <c r="P1185" i="6" s="1"/>
  <c r="O1186" i="6"/>
  <c r="P1186" i="6" s="1"/>
  <c r="O1187" i="6"/>
  <c r="O1188" i="6"/>
  <c r="O1189" i="6"/>
  <c r="P1189" i="6" s="1"/>
  <c r="O1190" i="6"/>
  <c r="P1190" i="6" s="1"/>
  <c r="O1191" i="6"/>
  <c r="O1192" i="6"/>
  <c r="O1193" i="6"/>
  <c r="P1193" i="6" s="1"/>
  <c r="O1194" i="6"/>
  <c r="P1194" i="6" s="1"/>
  <c r="O1195" i="6"/>
  <c r="O1196" i="6"/>
  <c r="O1197" i="6"/>
  <c r="P1197" i="6" s="1"/>
  <c r="O1198" i="6"/>
  <c r="P1198" i="6" s="1"/>
  <c r="O1199" i="6"/>
  <c r="O1200" i="6"/>
  <c r="O1201" i="6"/>
  <c r="P1201" i="6" s="1"/>
  <c r="O1202" i="6"/>
  <c r="P1202" i="6" s="1"/>
  <c r="O1203" i="6"/>
  <c r="O1204" i="6"/>
  <c r="O1205" i="6"/>
  <c r="P1205" i="6" s="1"/>
  <c r="O1206" i="6"/>
  <c r="P1206" i="6" s="1"/>
  <c r="O1207" i="6"/>
  <c r="O1208" i="6"/>
  <c r="O1209" i="6"/>
  <c r="P1209" i="6" s="1"/>
  <c r="O1210" i="6"/>
  <c r="P1210" i="6" s="1"/>
  <c r="O1211" i="6"/>
  <c r="O1212" i="6"/>
  <c r="O1213" i="6"/>
  <c r="P1213" i="6" s="1"/>
  <c r="O1214" i="6"/>
  <c r="P1214" i="6" s="1"/>
  <c r="O1215" i="6"/>
  <c r="O1216" i="6"/>
  <c r="O1217" i="6"/>
  <c r="P1217" i="6" s="1"/>
  <c r="O1218" i="6"/>
  <c r="P1218" i="6" s="1"/>
  <c r="O1219" i="6"/>
  <c r="O1220" i="6"/>
  <c r="O1221" i="6"/>
  <c r="P1221" i="6" s="1"/>
  <c r="O1222" i="6"/>
  <c r="P1222" i="6" s="1"/>
  <c r="O1223" i="6"/>
  <c r="O1224" i="6"/>
  <c r="O1225" i="6"/>
  <c r="P1225" i="6" s="1"/>
  <c r="O1226" i="6"/>
  <c r="P1226" i="6" s="1"/>
  <c r="O1227" i="6"/>
  <c r="O1228" i="6"/>
  <c r="O1229" i="6"/>
  <c r="O1230" i="6"/>
  <c r="P1230" i="6" s="1"/>
  <c r="O1231" i="6"/>
  <c r="O1232" i="6"/>
  <c r="O1233" i="6"/>
  <c r="P1233" i="6" s="1"/>
  <c r="O1234" i="6"/>
  <c r="P1234" i="6" s="1"/>
  <c r="O1235" i="6"/>
  <c r="O1236" i="6"/>
  <c r="O1237" i="6"/>
  <c r="P1237" i="6" s="1"/>
  <c r="O1238" i="6"/>
  <c r="P1238" i="6" s="1"/>
  <c r="O1239" i="6"/>
  <c r="O1240" i="6"/>
  <c r="O1241" i="6"/>
  <c r="P1241" i="6" s="1"/>
  <c r="O1242" i="6"/>
  <c r="P1242" i="6" s="1"/>
  <c r="O1243" i="6"/>
  <c r="O1244" i="6"/>
  <c r="O1245" i="6"/>
  <c r="P1245" i="6" s="1"/>
  <c r="O1246" i="6"/>
  <c r="P1246" i="6" s="1"/>
  <c r="O1247" i="6"/>
  <c r="O1248" i="6"/>
  <c r="O1249" i="6"/>
  <c r="P1249" i="6" s="1"/>
  <c r="O1250" i="6"/>
  <c r="P1250" i="6" s="1"/>
  <c r="O1251" i="6"/>
  <c r="O1252" i="6"/>
  <c r="O1253" i="6"/>
  <c r="P1253" i="6" s="1"/>
  <c r="O1254" i="6"/>
  <c r="P1254" i="6" s="1"/>
  <c r="O1255" i="6"/>
  <c r="O1256" i="6"/>
  <c r="O1257" i="6"/>
  <c r="P1257" i="6" s="1"/>
  <c r="O1258" i="6"/>
  <c r="P1258" i="6" s="1"/>
  <c r="O1259" i="6"/>
  <c r="O1260" i="6"/>
  <c r="O1261" i="6"/>
  <c r="O1262" i="6"/>
  <c r="P1262" i="6" s="1"/>
  <c r="O1263" i="6"/>
  <c r="O1264" i="6"/>
  <c r="O1265" i="6"/>
  <c r="P1265" i="6" s="1"/>
  <c r="O1266" i="6"/>
  <c r="P1266" i="6" s="1"/>
  <c r="O1267" i="6"/>
  <c r="O1268" i="6"/>
  <c r="O1269" i="6"/>
  <c r="P1269" i="6" s="1"/>
  <c r="O1270" i="6"/>
  <c r="P1270" i="6" s="1"/>
  <c r="O1271" i="6"/>
  <c r="O1272" i="6"/>
  <c r="O1273" i="6"/>
  <c r="P1273" i="6" s="1"/>
  <c r="O1274" i="6"/>
  <c r="P1274" i="6" s="1"/>
  <c r="O1275" i="6"/>
  <c r="O1276" i="6"/>
  <c r="O1277" i="6"/>
  <c r="P1277" i="6" s="1"/>
  <c r="O1278" i="6"/>
  <c r="P1278" i="6" s="1"/>
  <c r="O1279" i="6"/>
  <c r="O1280" i="6"/>
  <c r="O1281" i="6"/>
  <c r="P1281" i="6" s="1"/>
  <c r="O1282" i="6"/>
  <c r="P1282" i="6" s="1"/>
  <c r="O1283" i="6"/>
  <c r="O1284" i="6"/>
  <c r="O1285" i="6"/>
  <c r="P1285" i="6" s="1"/>
  <c r="O1286" i="6"/>
  <c r="P1286" i="6" s="1"/>
  <c r="O1287" i="6"/>
  <c r="O1288" i="6"/>
  <c r="O1289" i="6"/>
  <c r="P1289" i="6" s="1"/>
  <c r="O1290" i="6"/>
  <c r="P1290" i="6" s="1"/>
  <c r="O1291" i="6"/>
  <c r="O1292" i="6"/>
  <c r="O1293" i="6"/>
  <c r="P1293" i="6" s="1"/>
  <c r="O1294" i="6"/>
  <c r="P1294" i="6" s="1"/>
  <c r="O1295" i="6"/>
  <c r="O1296" i="6"/>
  <c r="O1297" i="6"/>
  <c r="P1297" i="6" s="1"/>
  <c r="O1298" i="6"/>
  <c r="P1298" i="6" s="1"/>
  <c r="O1299" i="6"/>
  <c r="O1300" i="6"/>
  <c r="O1301" i="6"/>
  <c r="P1301" i="6" s="1"/>
  <c r="O1302" i="6"/>
  <c r="P1302" i="6" s="1"/>
  <c r="O1303" i="6"/>
  <c r="O1304" i="6"/>
  <c r="O1305" i="6"/>
  <c r="P1305" i="6" s="1"/>
  <c r="O1306" i="6"/>
  <c r="P1306" i="6" s="1"/>
  <c r="O1307" i="6"/>
  <c r="O1308" i="6"/>
  <c r="O1309" i="6"/>
  <c r="P1309" i="6" s="1"/>
  <c r="O1310" i="6"/>
  <c r="P1310" i="6" s="1"/>
  <c r="O1311" i="6"/>
  <c r="O1312" i="6"/>
  <c r="O1313" i="6"/>
  <c r="P1313" i="6" s="1"/>
  <c r="O1314" i="6"/>
  <c r="P1314" i="6" s="1"/>
  <c r="O1315" i="6"/>
  <c r="O1316" i="6"/>
  <c r="O1317" i="6"/>
  <c r="P1317" i="6" s="1"/>
  <c r="O1318" i="6"/>
  <c r="P1318" i="6" s="1"/>
  <c r="O1319" i="6"/>
  <c r="O1320" i="6"/>
  <c r="O1321" i="6"/>
  <c r="P1321" i="6" s="1"/>
  <c r="O1322" i="6"/>
  <c r="P1322" i="6" s="1"/>
  <c r="O1323" i="6"/>
  <c r="O1324" i="6"/>
  <c r="O1325" i="6"/>
  <c r="P1325" i="6" s="1"/>
  <c r="O1326" i="6"/>
  <c r="P1326" i="6" s="1"/>
  <c r="O1327" i="6"/>
  <c r="O1328" i="6"/>
  <c r="O1329" i="6"/>
  <c r="P1329" i="6" s="1"/>
  <c r="O1330" i="6"/>
  <c r="P1330" i="6" s="1"/>
  <c r="O1331" i="6"/>
  <c r="O1332" i="6"/>
  <c r="O1333" i="6"/>
  <c r="P1333" i="6" s="1"/>
  <c r="O1334" i="6"/>
  <c r="P1334" i="6" s="1"/>
  <c r="O1335" i="6"/>
  <c r="O1336" i="6"/>
  <c r="O1337" i="6"/>
  <c r="P1337" i="6" s="1"/>
  <c r="O1338" i="6"/>
  <c r="P1338" i="6" s="1"/>
  <c r="O1339" i="6"/>
  <c r="O1340" i="6"/>
  <c r="O1341" i="6"/>
  <c r="P1341" i="6" s="1"/>
  <c r="O1342" i="6"/>
  <c r="P1342" i="6" s="1"/>
  <c r="O1343" i="6"/>
  <c r="O1344" i="6"/>
  <c r="O1345" i="6"/>
  <c r="P1345" i="6" s="1"/>
  <c r="O1346" i="6"/>
  <c r="P1346" i="6" s="1"/>
  <c r="O1347" i="6"/>
  <c r="O1348" i="6"/>
  <c r="O1349" i="6"/>
  <c r="P1349" i="6" s="1"/>
  <c r="O1350" i="6"/>
  <c r="P1350" i="6" s="1"/>
  <c r="O1351" i="6"/>
  <c r="O1352" i="6"/>
  <c r="O1353" i="6"/>
  <c r="P1353" i="6" s="1"/>
  <c r="O1354" i="6"/>
  <c r="P1354" i="6" s="1"/>
  <c r="O1355" i="6"/>
  <c r="O1356" i="6"/>
  <c r="O1357" i="6"/>
  <c r="O1358" i="6"/>
  <c r="P1358" i="6" s="1"/>
  <c r="O1359" i="6"/>
  <c r="O1360" i="6"/>
  <c r="O1361" i="6"/>
  <c r="P1361" i="6" s="1"/>
  <c r="O1362" i="6"/>
  <c r="P1362" i="6" s="1"/>
  <c r="O1363" i="6"/>
  <c r="O1364" i="6"/>
  <c r="O1365" i="6"/>
  <c r="P1365" i="6" s="1"/>
  <c r="O1366" i="6"/>
  <c r="P1366" i="6" s="1"/>
  <c r="O1367" i="6"/>
  <c r="O1368" i="6"/>
  <c r="O1369" i="6"/>
  <c r="P1369" i="6" s="1"/>
  <c r="O1370" i="6"/>
  <c r="P1370" i="6" s="1"/>
  <c r="O1371" i="6"/>
  <c r="O1372" i="6"/>
  <c r="O1373" i="6"/>
  <c r="P1373" i="6" s="1"/>
  <c r="O1374" i="6"/>
  <c r="P1374" i="6" s="1"/>
  <c r="O1375" i="6"/>
  <c r="O1376" i="6"/>
  <c r="O1377" i="6"/>
  <c r="P1377" i="6" s="1"/>
  <c r="O1378" i="6"/>
  <c r="P1378" i="6" s="1"/>
  <c r="O1379" i="6"/>
  <c r="O1380" i="6"/>
  <c r="O1381" i="6"/>
  <c r="P1381" i="6" s="1"/>
  <c r="O1382" i="6"/>
  <c r="P1382" i="6" s="1"/>
  <c r="O1383" i="6"/>
  <c r="O1384" i="6"/>
  <c r="O1385" i="6"/>
  <c r="P1385" i="6" s="1"/>
  <c r="O1386" i="6"/>
  <c r="P1386" i="6" s="1"/>
  <c r="O1387" i="6"/>
  <c r="O1388" i="6"/>
  <c r="O1389" i="6"/>
  <c r="O1390" i="6"/>
  <c r="P1390" i="6" s="1"/>
  <c r="O1391" i="6"/>
  <c r="O1392" i="6"/>
  <c r="O1393" i="6"/>
  <c r="P1393" i="6" s="1"/>
  <c r="O1394" i="6"/>
  <c r="P1394" i="6" s="1"/>
  <c r="O1395" i="6"/>
  <c r="O1396" i="6"/>
  <c r="O1397" i="6"/>
  <c r="P1397" i="6" s="1"/>
  <c r="O1398" i="6"/>
  <c r="P1398" i="6" s="1"/>
  <c r="O1399" i="6"/>
  <c r="O1400" i="6"/>
  <c r="O1401" i="6"/>
  <c r="P1401" i="6" s="1"/>
  <c r="O1402" i="6"/>
  <c r="P1402" i="6" s="1"/>
  <c r="O1403" i="6"/>
  <c r="O1404" i="6"/>
  <c r="O1405" i="6"/>
  <c r="P1405" i="6" s="1"/>
  <c r="O1406" i="6"/>
  <c r="P1406" i="6" s="1"/>
  <c r="O1407" i="6"/>
  <c r="O1408" i="6"/>
  <c r="O1409" i="6"/>
  <c r="P1409" i="6" s="1"/>
  <c r="O1410" i="6"/>
  <c r="P1410" i="6" s="1"/>
  <c r="O1411" i="6"/>
  <c r="O1412" i="6"/>
  <c r="O1413" i="6"/>
  <c r="P1413" i="6" s="1"/>
  <c r="O1414" i="6"/>
  <c r="P1414" i="6" s="1"/>
  <c r="O1415" i="6"/>
  <c r="O1416" i="6"/>
  <c r="O1417" i="6"/>
  <c r="P1417" i="6" s="1"/>
  <c r="O1418" i="6"/>
  <c r="P1418" i="6" s="1"/>
  <c r="O1419" i="6"/>
  <c r="O1420" i="6"/>
  <c r="O1421" i="6"/>
  <c r="P1421" i="6" s="1"/>
  <c r="O1422" i="6"/>
  <c r="P1422" i="6" s="1"/>
  <c r="O1423" i="6"/>
  <c r="O1424" i="6"/>
  <c r="O1425" i="6"/>
  <c r="P1425" i="6" s="1"/>
  <c r="O1426" i="6"/>
  <c r="P1426" i="6" s="1"/>
  <c r="O1427" i="6"/>
  <c r="O1428" i="6"/>
  <c r="O1429" i="6"/>
  <c r="P1429" i="6" s="1"/>
  <c r="O1430" i="6"/>
  <c r="P1430" i="6" s="1"/>
  <c r="O1431" i="6"/>
  <c r="O1432" i="6"/>
  <c r="O1433" i="6"/>
  <c r="P1433" i="6" s="1"/>
  <c r="O1434" i="6"/>
  <c r="P1434" i="6" s="1"/>
  <c r="O1435" i="6"/>
  <c r="O1436" i="6"/>
  <c r="O1437" i="6"/>
  <c r="P1437" i="6" s="1"/>
  <c r="O1438" i="6"/>
  <c r="P1438" i="6" s="1"/>
  <c r="O1439" i="6"/>
  <c r="O1440" i="6"/>
  <c r="O1441" i="6"/>
  <c r="P1441" i="6" s="1"/>
  <c r="O1442" i="6"/>
  <c r="P1442" i="6" s="1"/>
  <c r="O1443" i="6"/>
  <c r="O1444" i="6"/>
  <c r="O1445" i="6"/>
  <c r="P1445" i="6" s="1"/>
  <c r="O1446" i="6"/>
  <c r="P1446" i="6" s="1"/>
  <c r="O1447" i="6"/>
  <c r="O1448" i="6"/>
  <c r="O1449" i="6"/>
  <c r="P1449" i="6" s="1"/>
  <c r="O1450" i="6"/>
  <c r="P1450" i="6" s="1"/>
  <c r="O1451" i="6"/>
  <c r="O1452" i="6"/>
  <c r="O1453" i="6"/>
  <c r="P1453" i="6" s="1"/>
  <c r="O1454" i="6"/>
  <c r="P1454" i="6" s="1"/>
  <c r="O1455" i="6"/>
  <c r="O1456" i="6"/>
  <c r="O1457" i="6"/>
  <c r="P1457" i="6" s="1"/>
  <c r="O1458" i="6"/>
  <c r="P1458" i="6" s="1"/>
  <c r="O1459" i="6"/>
  <c r="O1460" i="6"/>
  <c r="O1461" i="6"/>
  <c r="P1461" i="6" s="1"/>
  <c r="O1462" i="6"/>
  <c r="P1462" i="6" s="1"/>
  <c r="O1463" i="6"/>
  <c r="O1464" i="6"/>
  <c r="O1465" i="6"/>
  <c r="P1465" i="6" s="1"/>
  <c r="O1466" i="6"/>
  <c r="P1466" i="6" s="1"/>
  <c r="O1467" i="6"/>
  <c r="O1468" i="6"/>
  <c r="O1469" i="6"/>
  <c r="P1469" i="6" s="1"/>
  <c r="O1470" i="6"/>
  <c r="P1470" i="6" s="1"/>
  <c r="O1471" i="6"/>
  <c r="O1472" i="6"/>
  <c r="O1473" i="6"/>
  <c r="P1473" i="6" s="1"/>
  <c r="O1474" i="6"/>
  <c r="P1474" i="6" s="1"/>
  <c r="O1475" i="6"/>
  <c r="O1476" i="6"/>
  <c r="O1477" i="6"/>
  <c r="P1477" i="6" s="1"/>
  <c r="O1478" i="6"/>
  <c r="P1478" i="6" s="1"/>
  <c r="O1479" i="6"/>
  <c r="O1480" i="6"/>
  <c r="O1481" i="6"/>
  <c r="P1481" i="6" s="1"/>
  <c r="O1482" i="6"/>
  <c r="P1482" i="6" s="1"/>
  <c r="O1483" i="6"/>
  <c r="O1484" i="6"/>
  <c r="O1485" i="6"/>
  <c r="O1486" i="6"/>
  <c r="P1486" i="6" s="1"/>
  <c r="O1487" i="6"/>
  <c r="O1488" i="6"/>
  <c r="O1489" i="6"/>
  <c r="P1489" i="6" s="1"/>
  <c r="O1490" i="6"/>
  <c r="P1490" i="6" s="1"/>
  <c r="O1491" i="6"/>
  <c r="O1492" i="6"/>
  <c r="O1493" i="6"/>
  <c r="P1493" i="6" s="1"/>
  <c r="O1494" i="6"/>
  <c r="P1494" i="6" s="1"/>
  <c r="O1495" i="6"/>
  <c r="O1496" i="6"/>
  <c r="O1497" i="6"/>
  <c r="P1497" i="6" s="1"/>
  <c r="O1498" i="6"/>
  <c r="P1498" i="6" s="1"/>
  <c r="O1499" i="6"/>
  <c r="O1500" i="6"/>
  <c r="O1501" i="6"/>
  <c r="P1501" i="6" s="1"/>
  <c r="O1502" i="6"/>
  <c r="P1502" i="6" s="1"/>
  <c r="O1503" i="6"/>
  <c r="O1504" i="6"/>
  <c r="O1505" i="6"/>
  <c r="P1505" i="6" s="1"/>
  <c r="O1506" i="6"/>
  <c r="P1506" i="6" s="1"/>
  <c r="O1507" i="6"/>
  <c r="O1508" i="6"/>
  <c r="O1509" i="6"/>
  <c r="P1509" i="6" s="1"/>
  <c r="O1510" i="6"/>
  <c r="P1510" i="6" s="1"/>
  <c r="O1511" i="6"/>
  <c r="O1512" i="6"/>
  <c r="O1513" i="6"/>
  <c r="P1513" i="6" s="1"/>
  <c r="O1514" i="6"/>
  <c r="P1514" i="6" s="1"/>
  <c r="O1515" i="6"/>
  <c r="O1516" i="6"/>
  <c r="O1517" i="6"/>
  <c r="O1518" i="6"/>
  <c r="P1518" i="6" s="1"/>
  <c r="O1519" i="6"/>
  <c r="O1520" i="6"/>
  <c r="O1521" i="6"/>
  <c r="P1521" i="6" s="1"/>
  <c r="O1522" i="6"/>
  <c r="P1522" i="6" s="1"/>
  <c r="O1523" i="6"/>
  <c r="O1524" i="6"/>
  <c r="O1525" i="6"/>
  <c r="P1525" i="6" s="1"/>
  <c r="O1526" i="6"/>
  <c r="P1526" i="6" s="1"/>
  <c r="O1527" i="6"/>
  <c r="O1528" i="6"/>
  <c r="O1529" i="6"/>
  <c r="P1529" i="6" s="1"/>
  <c r="O1530" i="6"/>
  <c r="P1530" i="6" s="1"/>
  <c r="O1531" i="6"/>
  <c r="O1532" i="6"/>
  <c r="O1533" i="6"/>
  <c r="P1533" i="6" s="1"/>
  <c r="O1534" i="6"/>
  <c r="P1534" i="6" s="1"/>
  <c r="O1535" i="6"/>
  <c r="O1536" i="6"/>
  <c r="O1537" i="6"/>
  <c r="P1537" i="6" s="1"/>
  <c r="O1538" i="6"/>
  <c r="P1538" i="6" s="1"/>
  <c r="O1539" i="6"/>
  <c r="O1540" i="6"/>
  <c r="O1541" i="6"/>
  <c r="P1541" i="6" s="1"/>
  <c r="O1542" i="6"/>
  <c r="P1542" i="6" s="1"/>
  <c r="O1543" i="6"/>
  <c r="O1544" i="6"/>
  <c r="O1545" i="6"/>
  <c r="P1545" i="6" s="1"/>
  <c r="O1546" i="6"/>
  <c r="P1546" i="6" s="1"/>
  <c r="O1547" i="6"/>
  <c r="O1548" i="6"/>
  <c r="O1549" i="6"/>
  <c r="P1549" i="6" s="1"/>
  <c r="O1550" i="6"/>
  <c r="P1550" i="6" s="1"/>
  <c r="O1551" i="6"/>
  <c r="O1552" i="6"/>
  <c r="O1553" i="6"/>
  <c r="P1553" i="6" s="1"/>
  <c r="O1554" i="6"/>
  <c r="P1554" i="6" s="1"/>
  <c r="O1555" i="6"/>
  <c r="O1556" i="6"/>
  <c r="O1557" i="6"/>
  <c r="P1557" i="6" s="1"/>
  <c r="O1558" i="6"/>
  <c r="P1558" i="6" s="1"/>
  <c r="O1559" i="6"/>
  <c r="O1560" i="6"/>
  <c r="O1561" i="6"/>
  <c r="P1561" i="6" s="1"/>
  <c r="O1562" i="6"/>
  <c r="P1562" i="6" s="1"/>
  <c r="O1563" i="6"/>
  <c r="O1564" i="6"/>
  <c r="O1565" i="6"/>
  <c r="P1565" i="6" s="1"/>
  <c r="O1566" i="6"/>
  <c r="P1566" i="6" s="1"/>
  <c r="O1567" i="6"/>
  <c r="O1568" i="6"/>
  <c r="O1569" i="6"/>
  <c r="P1569" i="6" s="1"/>
  <c r="O1570" i="6"/>
  <c r="P1570" i="6" s="1"/>
  <c r="O1571" i="6"/>
  <c r="O1572" i="6"/>
  <c r="O1573" i="6"/>
  <c r="P1573" i="6" s="1"/>
  <c r="O1574" i="6"/>
  <c r="P1574" i="6" s="1"/>
  <c r="O1575" i="6"/>
  <c r="O1576" i="6"/>
  <c r="O1577" i="6"/>
  <c r="P1577" i="6" s="1"/>
  <c r="O1578" i="6"/>
  <c r="P1578" i="6" s="1"/>
  <c r="O1579" i="6"/>
  <c r="O1580" i="6"/>
  <c r="O1581" i="6"/>
  <c r="P1581" i="6" s="1"/>
  <c r="O1582" i="6"/>
  <c r="P1582" i="6" s="1"/>
  <c r="O1583" i="6"/>
  <c r="O1584" i="6"/>
  <c r="O1585" i="6"/>
  <c r="P1585" i="6" s="1"/>
  <c r="O1586" i="6"/>
  <c r="P1586" i="6" s="1"/>
  <c r="O1587" i="6"/>
  <c r="O1588" i="6"/>
  <c r="O1589" i="6"/>
  <c r="P1589" i="6" s="1"/>
  <c r="O1590" i="6"/>
  <c r="P1590" i="6" s="1"/>
  <c r="O1591" i="6"/>
  <c r="O1592" i="6"/>
  <c r="O1593" i="6"/>
  <c r="P1593" i="6" s="1"/>
  <c r="O1594" i="6"/>
  <c r="P1594" i="6" s="1"/>
  <c r="O1595" i="6"/>
  <c r="O1596" i="6"/>
  <c r="O1597" i="6"/>
  <c r="P1597" i="6" s="1"/>
  <c r="O1598" i="6"/>
  <c r="P1598" i="6" s="1"/>
  <c r="O1599" i="6"/>
  <c r="O1600" i="6"/>
  <c r="O1601" i="6"/>
  <c r="P1601" i="6" s="1"/>
  <c r="O1602" i="6"/>
  <c r="P1602" i="6" s="1"/>
  <c r="O1603" i="6"/>
  <c r="O1604" i="6"/>
  <c r="O1605" i="6"/>
  <c r="P1605" i="6" s="1"/>
  <c r="O1606" i="6"/>
  <c r="P1606" i="6" s="1"/>
  <c r="O1607" i="6"/>
  <c r="O1608" i="6"/>
  <c r="O1609" i="6"/>
  <c r="P1609" i="6" s="1"/>
  <c r="O1610" i="6"/>
  <c r="P1610" i="6" s="1"/>
  <c r="O1611" i="6"/>
  <c r="O1612" i="6"/>
  <c r="O1613" i="6"/>
  <c r="O1614" i="6"/>
  <c r="P1614" i="6" s="1"/>
  <c r="O1615" i="6"/>
  <c r="O1616" i="6"/>
  <c r="O1617" i="6"/>
  <c r="P1617" i="6" s="1"/>
  <c r="O1618" i="6"/>
  <c r="P1618" i="6" s="1"/>
  <c r="O1619" i="6"/>
  <c r="O1620" i="6"/>
  <c r="O1621" i="6"/>
  <c r="P1621" i="6" s="1"/>
  <c r="O1622" i="6"/>
  <c r="P1622" i="6" s="1"/>
  <c r="O1623" i="6"/>
  <c r="O1624" i="6"/>
  <c r="O1625" i="6"/>
  <c r="P1625" i="6" s="1"/>
  <c r="O1626" i="6"/>
  <c r="P1626" i="6" s="1"/>
  <c r="O1627" i="6"/>
  <c r="O1628" i="6"/>
  <c r="O1629" i="6"/>
  <c r="P1629" i="6" s="1"/>
  <c r="O1630" i="6"/>
  <c r="P1630" i="6" s="1"/>
  <c r="O1631" i="6"/>
  <c r="O1632" i="6"/>
  <c r="O1633" i="6"/>
  <c r="P1633" i="6" s="1"/>
  <c r="O1634" i="6"/>
  <c r="P1634" i="6" s="1"/>
  <c r="O1635" i="6"/>
  <c r="O1636" i="6"/>
  <c r="O1637" i="6"/>
  <c r="P1637" i="6" s="1"/>
  <c r="O1638" i="6"/>
  <c r="P1638" i="6" s="1"/>
  <c r="O1639" i="6"/>
  <c r="O1640" i="6"/>
  <c r="O1641" i="6"/>
  <c r="P1641" i="6" s="1"/>
  <c r="O1642" i="6"/>
  <c r="P1642" i="6" s="1"/>
  <c r="O1643" i="6"/>
  <c r="O1644" i="6"/>
  <c r="O1645" i="6"/>
  <c r="O1646" i="6"/>
  <c r="P1646" i="6" s="1"/>
  <c r="O1647" i="6"/>
  <c r="O1648" i="6"/>
  <c r="O1649" i="6"/>
  <c r="P1649" i="6" s="1"/>
  <c r="O1650" i="6"/>
  <c r="P1650" i="6" s="1"/>
  <c r="O1651" i="6"/>
  <c r="O1652" i="6"/>
  <c r="O1653" i="6"/>
  <c r="P1653" i="6" s="1"/>
  <c r="O1654" i="6"/>
  <c r="P1654" i="6" s="1"/>
  <c r="O1655" i="6"/>
  <c r="O1656" i="6"/>
  <c r="O1657" i="6"/>
  <c r="P1657" i="6" s="1"/>
  <c r="O1658" i="6"/>
  <c r="P1658" i="6" s="1"/>
  <c r="O1659" i="6"/>
  <c r="O1660" i="6"/>
  <c r="O1661" i="6"/>
  <c r="P1661" i="6" s="1"/>
  <c r="O1662" i="6"/>
  <c r="P1662" i="6" s="1"/>
  <c r="O1663" i="6"/>
  <c r="O1664" i="6"/>
  <c r="O1665" i="6"/>
  <c r="P1665" i="6" s="1"/>
  <c r="O1666" i="6"/>
  <c r="P1666" i="6" s="1"/>
  <c r="O1667" i="6"/>
  <c r="O1668" i="6"/>
  <c r="O1669" i="6"/>
  <c r="P1669" i="6" s="1"/>
  <c r="O1670" i="6"/>
  <c r="P1670" i="6" s="1"/>
  <c r="O1671" i="6"/>
  <c r="O1672" i="6"/>
  <c r="O1673" i="6"/>
  <c r="P1673" i="6" s="1"/>
  <c r="O1674" i="6"/>
  <c r="P1674" i="6" s="1"/>
  <c r="O1675" i="6"/>
  <c r="O1676" i="6"/>
  <c r="O1677" i="6"/>
  <c r="P1677" i="6" s="1"/>
  <c r="O1678" i="6"/>
  <c r="P1678" i="6" s="1"/>
  <c r="O1679" i="6"/>
  <c r="O1680" i="6"/>
  <c r="O1681" i="6"/>
  <c r="P1681" i="6" s="1"/>
  <c r="O1682" i="6"/>
  <c r="P1682" i="6" s="1"/>
  <c r="O1683" i="6"/>
  <c r="O1684" i="6"/>
  <c r="O1685" i="6"/>
  <c r="P1685" i="6" s="1"/>
  <c r="O1686" i="6"/>
  <c r="P1686" i="6" s="1"/>
  <c r="O1687" i="6"/>
  <c r="O1688" i="6"/>
  <c r="O1689" i="6"/>
  <c r="P1689" i="6" s="1"/>
  <c r="O1690" i="6"/>
  <c r="P1690" i="6" s="1"/>
  <c r="O1691" i="6"/>
  <c r="O1692" i="6"/>
  <c r="O1693" i="6"/>
  <c r="P1693" i="6" s="1"/>
  <c r="O1694" i="6"/>
  <c r="P1694" i="6" s="1"/>
  <c r="O1695" i="6"/>
  <c r="O1696" i="6"/>
  <c r="O1697" i="6"/>
  <c r="P1697" i="6" s="1"/>
  <c r="O1698" i="6"/>
  <c r="O1699" i="6"/>
  <c r="O1700" i="6"/>
  <c r="O1701" i="6"/>
  <c r="P1701" i="6" s="1"/>
  <c r="O1702" i="6"/>
  <c r="O1703" i="6"/>
  <c r="O1704" i="6"/>
  <c r="O1705" i="6"/>
  <c r="P1705" i="6" s="1"/>
  <c r="O1706" i="6"/>
  <c r="O1707" i="6"/>
  <c r="O1708" i="6"/>
  <c r="O1709" i="6"/>
  <c r="P1709" i="6" s="1"/>
  <c r="O1710" i="6"/>
  <c r="O1711" i="6"/>
  <c r="O1712" i="6"/>
  <c r="O1713" i="6"/>
  <c r="P1713" i="6" s="1"/>
  <c r="O1714" i="6"/>
  <c r="O1715" i="6"/>
  <c r="O1716" i="6"/>
  <c r="O1717" i="6"/>
  <c r="P1717" i="6" s="1"/>
  <c r="O1718" i="6"/>
  <c r="O1719" i="6"/>
  <c r="O1720" i="6"/>
  <c r="O1721" i="6"/>
  <c r="P1721" i="6" s="1"/>
  <c r="O1722" i="6"/>
  <c r="O1723" i="6"/>
  <c r="O1724" i="6"/>
  <c r="O1725" i="6"/>
  <c r="P1725" i="6" s="1"/>
  <c r="O1726" i="6"/>
  <c r="O1727" i="6"/>
  <c r="O1728" i="6"/>
  <c r="O1729" i="6"/>
  <c r="P1729" i="6" s="1"/>
  <c r="O1730" i="6"/>
  <c r="O1731" i="6"/>
  <c r="O1732" i="6"/>
  <c r="O1733" i="6"/>
  <c r="P1733" i="6" s="1"/>
  <c r="O1734" i="6"/>
  <c r="O1735" i="6"/>
  <c r="O1736" i="6"/>
  <c r="O1737" i="6"/>
  <c r="P1737" i="6" s="1"/>
  <c r="O1738" i="6"/>
  <c r="O1739" i="6"/>
  <c r="O1740" i="6"/>
  <c r="O1741" i="6"/>
  <c r="P1741" i="6" s="1"/>
  <c r="O1742" i="6"/>
  <c r="O1743" i="6"/>
  <c r="O1744" i="6"/>
  <c r="O1745" i="6"/>
  <c r="P1745" i="6" s="1"/>
  <c r="O1746" i="6"/>
  <c r="O1747" i="6"/>
  <c r="O1748" i="6"/>
  <c r="O1749" i="6"/>
  <c r="P1749" i="6" s="1"/>
  <c r="O1750" i="6"/>
  <c r="O1751" i="6"/>
  <c r="O1752" i="6"/>
  <c r="O1753" i="6"/>
  <c r="P1753" i="6" s="1"/>
  <c r="O1754" i="6"/>
  <c r="O1755" i="6"/>
  <c r="O1756" i="6"/>
  <c r="O1757" i="6"/>
  <c r="P1757" i="6" s="1"/>
  <c r="O1758" i="6"/>
  <c r="O1759" i="6"/>
  <c r="O1760" i="6"/>
  <c r="O1761" i="6"/>
  <c r="P1761" i="6" s="1"/>
  <c r="O1762" i="6"/>
  <c r="O1763" i="6"/>
  <c r="O1764" i="6"/>
  <c r="O1765" i="6"/>
  <c r="P1765" i="6" s="1"/>
  <c r="O1766" i="6"/>
  <c r="O1767" i="6"/>
  <c r="O1768" i="6"/>
  <c r="O1769" i="6"/>
  <c r="P1769" i="6" s="1"/>
  <c r="O1770" i="6"/>
  <c r="O1771" i="6"/>
  <c r="O1772" i="6"/>
  <c r="O1773" i="6"/>
  <c r="P1773" i="6" s="1"/>
  <c r="O1774" i="6"/>
  <c r="O1775" i="6"/>
  <c r="O1776" i="6"/>
  <c r="O1777" i="6"/>
  <c r="P1777" i="6" s="1"/>
  <c r="O1778" i="6"/>
  <c r="O1779" i="6"/>
  <c r="O1780" i="6"/>
  <c r="O1781" i="6"/>
  <c r="P1781" i="6" s="1"/>
  <c r="O1782" i="6"/>
  <c r="O1783" i="6"/>
  <c r="O1784" i="6"/>
  <c r="O1785" i="6"/>
  <c r="P1785" i="6" s="1"/>
  <c r="O1786" i="6"/>
  <c r="O1787" i="6"/>
  <c r="O1788" i="6"/>
  <c r="O1789" i="6"/>
  <c r="P1789" i="6" s="1"/>
  <c r="O1790" i="6"/>
  <c r="O1791" i="6"/>
  <c r="O1792" i="6"/>
  <c r="O1793" i="6"/>
  <c r="P1793" i="6" s="1"/>
  <c r="O1794" i="6"/>
  <c r="O1795" i="6"/>
  <c r="O1796" i="6"/>
  <c r="O1797" i="6"/>
  <c r="P1797" i="6" s="1"/>
  <c r="O1798" i="6"/>
  <c r="O1799" i="6"/>
  <c r="O1800" i="6"/>
  <c r="O1801" i="6"/>
  <c r="P1801" i="6" s="1"/>
  <c r="O1802" i="6"/>
  <c r="O1803" i="6"/>
  <c r="O1804" i="6"/>
  <c r="O1805" i="6"/>
  <c r="P1805" i="6" s="1"/>
  <c r="O1806" i="6"/>
  <c r="O1807" i="6"/>
  <c r="O1808" i="6"/>
  <c r="O1809" i="6"/>
  <c r="P1809" i="6" s="1"/>
  <c r="O1810" i="6"/>
  <c r="O1811" i="6"/>
  <c r="O1812" i="6"/>
  <c r="O1813" i="6"/>
  <c r="P1813" i="6" s="1"/>
  <c r="O1814" i="6"/>
  <c r="O1815" i="6"/>
  <c r="O1816" i="6"/>
  <c r="O1817" i="6"/>
  <c r="P1817" i="6" s="1"/>
  <c r="O1818" i="6"/>
  <c r="O1819" i="6"/>
  <c r="O1820" i="6"/>
  <c r="O1821" i="6"/>
  <c r="P1821" i="6" s="1"/>
  <c r="O1822" i="6"/>
  <c r="O1823" i="6"/>
  <c r="O1824" i="6"/>
  <c r="O1825" i="6"/>
  <c r="P1825" i="6" s="1"/>
  <c r="O1826" i="6"/>
  <c r="O1827" i="6"/>
  <c r="O1828" i="6"/>
  <c r="O1829" i="6"/>
  <c r="P1829" i="6" s="1"/>
  <c r="O1830" i="6"/>
  <c r="O1831" i="6"/>
  <c r="O1832" i="6"/>
  <c r="O1833" i="6"/>
  <c r="P1833" i="6" s="1"/>
  <c r="O1834" i="6"/>
  <c r="O1835" i="6"/>
  <c r="O1836" i="6"/>
  <c r="O1837" i="6"/>
  <c r="P1837" i="6" s="1"/>
  <c r="O1838" i="6"/>
  <c r="O1839" i="6"/>
  <c r="O1840" i="6"/>
  <c r="O1841" i="6"/>
  <c r="P1841" i="6" s="1"/>
  <c r="O1842" i="6"/>
  <c r="O1843" i="6"/>
  <c r="O1844" i="6"/>
  <c r="O1845" i="6"/>
  <c r="P1845" i="6" s="1"/>
  <c r="O1846" i="6"/>
  <c r="O1847" i="6"/>
  <c r="O1848" i="6"/>
  <c r="O1849" i="6"/>
  <c r="P1849" i="6" s="1"/>
  <c r="O1850" i="6"/>
  <c r="O1851" i="6"/>
  <c r="O1852" i="6"/>
  <c r="O1853" i="6"/>
  <c r="P1853" i="6" s="1"/>
  <c r="O1854" i="6"/>
  <c r="O1855" i="6"/>
  <c r="O1856" i="6"/>
  <c r="O1857" i="6"/>
  <c r="P1857" i="6" s="1"/>
  <c r="O1858" i="6"/>
  <c r="O1859" i="6"/>
  <c r="O1860" i="6"/>
  <c r="O1861" i="6"/>
  <c r="P1861" i="6" s="1"/>
  <c r="O1862" i="6"/>
  <c r="O1863" i="6"/>
  <c r="O1864" i="6"/>
  <c r="O1865" i="6"/>
  <c r="P1865" i="6" s="1"/>
  <c r="O1866" i="6"/>
  <c r="O1867" i="6"/>
  <c r="O1868" i="6"/>
  <c r="O1869" i="6"/>
  <c r="P1869" i="6" s="1"/>
  <c r="O1870" i="6"/>
  <c r="O1871" i="6"/>
  <c r="O1872" i="6"/>
  <c r="O1873" i="6"/>
  <c r="P1873" i="6" s="1"/>
  <c r="O1874" i="6"/>
  <c r="O1875" i="6"/>
  <c r="O1876" i="6"/>
  <c r="O1877" i="6"/>
  <c r="P1877" i="6" s="1"/>
  <c r="O1878" i="6"/>
  <c r="O1879" i="6"/>
  <c r="O1880" i="6"/>
  <c r="O1881" i="6"/>
  <c r="P1881" i="6" s="1"/>
  <c r="O1882" i="6"/>
  <c r="O1883" i="6"/>
  <c r="O1884" i="6"/>
  <c r="O1885" i="6"/>
  <c r="P1885" i="6" s="1"/>
  <c r="O1886" i="6"/>
  <c r="O1887" i="6"/>
  <c r="O1888" i="6"/>
  <c r="O1889" i="6"/>
  <c r="P1889" i="6" s="1"/>
  <c r="O1890" i="6"/>
  <c r="O1891" i="6"/>
  <c r="O1892" i="6"/>
  <c r="O1893" i="6"/>
  <c r="P1893" i="6" s="1"/>
  <c r="O1894" i="6"/>
  <c r="O1895" i="6"/>
  <c r="O1896" i="6"/>
  <c r="O1897" i="6"/>
  <c r="P1897" i="6" s="1"/>
  <c r="O1898" i="6"/>
  <c r="O1899" i="6"/>
  <c r="O1900" i="6"/>
  <c r="O1901" i="6"/>
  <c r="P1901" i="6" s="1"/>
  <c r="O1902" i="6"/>
  <c r="O1903" i="6"/>
  <c r="O1904" i="6"/>
  <c r="O1905" i="6"/>
  <c r="P1905" i="6" s="1"/>
  <c r="O1906" i="6"/>
  <c r="O1907" i="6"/>
  <c r="O1908" i="6"/>
  <c r="O1909" i="6"/>
  <c r="P1909" i="6" s="1"/>
  <c r="O1910" i="6"/>
  <c r="O1911" i="6"/>
  <c r="O1912" i="6"/>
  <c r="O1913" i="6"/>
  <c r="P1913" i="6" s="1"/>
  <c r="O1914" i="6"/>
  <c r="O1915" i="6"/>
  <c r="O1916" i="6"/>
  <c r="O1917" i="6"/>
  <c r="P1917" i="6" s="1"/>
  <c r="O1918" i="6"/>
  <c r="O1919" i="6"/>
  <c r="O1920" i="6"/>
  <c r="O1921" i="6"/>
  <c r="P1921" i="6" s="1"/>
  <c r="O1922" i="6"/>
  <c r="O1923" i="6"/>
  <c r="O1924" i="6"/>
  <c r="O1925" i="6"/>
  <c r="P1925" i="6" s="1"/>
  <c r="O1926" i="6"/>
  <c r="O1927" i="6"/>
  <c r="O1928" i="6"/>
  <c r="O1929" i="6"/>
  <c r="P1929" i="6" s="1"/>
  <c r="O1930" i="6"/>
  <c r="O1931" i="6"/>
  <c r="O1932" i="6"/>
  <c r="O1933" i="6"/>
  <c r="P1933" i="6" s="1"/>
  <c r="O1934" i="6"/>
  <c r="O1935" i="6"/>
  <c r="O1936" i="6"/>
  <c r="O1937" i="6"/>
  <c r="P1937" i="6" s="1"/>
  <c r="O1938" i="6"/>
  <c r="O1939" i="6"/>
  <c r="O1940" i="6"/>
  <c r="O1941" i="6"/>
  <c r="P1941" i="6" s="1"/>
  <c r="O1942" i="6"/>
  <c r="O1943" i="6"/>
  <c r="O1944" i="6"/>
  <c r="O1945" i="6"/>
  <c r="P1945" i="6" s="1"/>
  <c r="O1946" i="6"/>
  <c r="O1947" i="6"/>
  <c r="O1948" i="6"/>
  <c r="O1949" i="6"/>
  <c r="P1949" i="6" s="1"/>
  <c r="O1950" i="6"/>
  <c r="O1951" i="6"/>
  <c r="O1952" i="6"/>
  <c r="O1953" i="6"/>
  <c r="P1953" i="6" s="1"/>
  <c r="O1954" i="6"/>
  <c r="O1955" i="6"/>
  <c r="O1956" i="6"/>
  <c r="O1957" i="6"/>
  <c r="P1957" i="6" s="1"/>
  <c r="O1958" i="6"/>
  <c r="O1959" i="6"/>
  <c r="O1960" i="6"/>
  <c r="O1961" i="6"/>
  <c r="P1961" i="6" s="1"/>
  <c r="O1962" i="6"/>
  <c r="O1963" i="6"/>
  <c r="O1964" i="6"/>
  <c r="O1965" i="6"/>
  <c r="P1965" i="6" s="1"/>
  <c r="O1966" i="6"/>
  <c r="O1967" i="6"/>
  <c r="O1968" i="6"/>
  <c r="O1969" i="6"/>
  <c r="P1969" i="6" s="1"/>
  <c r="O1970" i="6"/>
  <c r="O1971" i="6"/>
  <c r="O1972" i="6"/>
  <c r="O1973" i="6"/>
  <c r="P1973" i="6" s="1"/>
  <c r="O1974" i="6"/>
  <c r="O1975" i="6"/>
  <c r="O1976" i="6"/>
  <c r="O1977" i="6"/>
  <c r="P1977" i="6" s="1"/>
  <c r="O1978" i="6"/>
  <c r="O1979" i="6"/>
  <c r="O1980" i="6"/>
  <c r="O1981" i="6"/>
  <c r="P1981" i="6" s="1"/>
  <c r="O1982" i="6"/>
  <c r="O1983" i="6"/>
  <c r="O1984" i="6"/>
  <c r="O1985" i="6"/>
  <c r="P1985" i="6" s="1"/>
  <c r="O1986" i="6"/>
  <c r="O1987" i="6"/>
  <c r="O1988" i="6"/>
  <c r="O1989" i="6"/>
  <c r="P1989" i="6" s="1"/>
  <c r="O1990" i="6"/>
  <c r="O1991" i="6"/>
  <c r="O1992" i="6"/>
  <c r="O1993" i="6"/>
  <c r="P1993" i="6" s="1"/>
  <c r="O1994" i="6"/>
  <c r="O1995" i="6"/>
  <c r="O1996" i="6"/>
  <c r="O1997" i="6"/>
  <c r="P1997" i="6" s="1"/>
  <c r="O1998" i="6"/>
  <c r="O1999" i="6"/>
  <c r="O2000" i="6"/>
  <c r="O2001" i="6"/>
  <c r="P2001" i="6" s="1"/>
  <c r="O2002" i="6"/>
  <c r="O2003" i="6"/>
  <c r="O2004" i="6"/>
  <c r="O2005" i="6"/>
  <c r="O2006" i="6"/>
  <c r="O2007" i="6"/>
  <c r="O2008" i="6"/>
  <c r="J9" i="6"/>
  <c r="K9" i="6" s="1"/>
  <c r="J8" i="6"/>
  <c r="K8" i="6" s="1"/>
  <c r="AT10" i="6"/>
  <c r="AU10" i="6" s="1"/>
  <c r="AT14" i="6"/>
  <c r="AU14" i="6" s="1"/>
  <c r="AT18" i="6"/>
  <c r="AU18" i="6" s="1"/>
  <c r="AT22" i="6"/>
  <c r="AU22" i="6" s="1"/>
  <c r="AT26" i="6"/>
  <c r="AU26" i="6" s="1"/>
  <c r="AT30" i="6"/>
  <c r="AU30" i="6" s="1"/>
  <c r="AT33" i="6"/>
  <c r="AU33" i="6" s="1"/>
  <c r="AT34" i="6"/>
  <c r="AU34" i="6" s="1"/>
  <c r="AT38" i="6"/>
  <c r="AU38" i="6" s="1"/>
  <c r="AT42" i="6"/>
  <c r="AU42" i="6" s="1"/>
  <c r="AT46" i="6"/>
  <c r="AU46" i="6" s="1"/>
  <c r="AT50" i="6"/>
  <c r="AU50" i="6" s="1"/>
  <c r="AT54" i="6"/>
  <c r="AU54" i="6" s="1"/>
  <c r="AT58" i="6"/>
  <c r="AU58" i="6" s="1"/>
  <c r="AT62" i="6"/>
  <c r="AU62" i="6" s="1"/>
  <c r="AT66" i="6"/>
  <c r="AU66" i="6" s="1"/>
  <c r="AT70" i="6"/>
  <c r="AU70" i="6" s="1"/>
  <c r="AT74" i="6"/>
  <c r="AU74" i="6" s="1"/>
  <c r="AT78" i="6"/>
  <c r="AU78" i="6" s="1"/>
  <c r="AT82" i="6"/>
  <c r="AU82" i="6" s="1"/>
  <c r="AT86" i="6"/>
  <c r="AU86" i="6" s="1"/>
  <c r="AT90" i="6"/>
  <c r="AU90" i="6" s="1"/>
  <c r="AT94" i="6"/>
  <c r="AU94" i="6" s="1"/>
  <c r="AT98" i="6"/>
  <c r="AU98" i="6" s="1"/>
  <c r="AT102" i="6"/>
  <c r="AU102" i="6" s="1"/>
  <c r="AT106" i="6"/>
  <c r="AU106" i="6" s="1"/>
  <c r="AT110" i="6"/>
  <c r="AU110" i="6" s="1"/>
  <c r="AT114" i="6"/>
  <c r="AU114" i="6" s="1"/>
  <c r="AT118" i="6"/>
  <c r="AU118" i="6" s="1"/>
  <c r="AT122" i="6"/>
  <c r="AU122" i="6" s="1"/>
  <c r="AT126" i="6"/>
  <c r="AU126" i="6" s="1"/>
  <c r="AT130" i="6"/>
  <c r="AU130" i="6" s="1"/>
  <c r="AT134" i="6"/>
  <c r="AU134" i="6" s="1"/>
  <c r="AT138" i="6"/>
  <c r="AU138" i="6" s="1"/>
  <c r="AT142" i="6"/>
  <c r="AU142" i="6" s="1"/>
  <c r="AT146" i="6"/>
  <c r="AU146" i="6" s="1"/>
  <c r="AT150" i="6"/>
  <c r="AU150" i="6" s="1"/>
  <c r="AT154" i="6"/>
  <c r="AU154" i="6" s="1"/>
  <c r="AT158" i="6"/>
  <c r="AU158" i="6" s="1"/>
  <c r="AT162" i="6"/>
  <c r="AU162" i="6" s="1"/>
  <c r="AT166" i="6"/>
  <c r="AU166" i="6" s="1"/>
  <c r="AT170" i="6"/>
  <c r="AU170" i="6" s="1"/>
  <c r="AT174" i="6"/>
  <c r="AU174" i="6" s="1"/>
  <c r="AT178" i="6"/>
  <c r="AU178" i="6" s="1"/>
  <c r="AT182" i="6"/>
  <c r="AU182" i="6" s="1"/>
  <c r="AT186" i="6"/>
  <c r="AU186" i="6" s="1"/>
  <c r="AT190" i="6"/>
  <c r="AU190" i="6" s="1"/>
  <c r="AT194" i="6"/>
  <c r="AU194" i="6" s="1"/>
  <c r="AT198" i="6"/>
  <c r="AU198" i="6" s="1"/>
  <c r="AT202" i="6"/>
  <c r="AU202" i="6" s="1"/>
  <c r="AT206" i="6"/>
  <c r="AU206" i="6" s="1"/>
  <c r="AT210" i="6"/>
  <c r="AU210" i="6" s="1"/>
  <c r="AT214" i="6"/>
  <c r="AU214" i="6" s="1"/>
  <c r="AT218" i="6"/>
  <c r="AU218" i="6" s="1"/>
  <c r="AT222" i="6"/>
  <c r="AU222" i="6" s="1"/>
  <c r="AT226" i="6"/>
  <c r="AU226" i="6" s="1"/>
  <c r="AT230" i="6"/>
  <c r="AU230" i="6" s="1"/>
  <c r="AT234" i="6"/>
  <c r="AU234" i="6" s="1"/>
  <c r="AT238" i="6"/>
  <c r="AU238" i="6" s="1"/>
  <c r="AT242" i="6"/>
  <c r="AU242" i="6" s="1"/>
  <c r="AT246" i="6"/>
  <c r="AU246" i="6" s="1"/>
  <c r="AT250" i="6"/>
  <c r="AU250" i="6" s="1"/>
  <c r="AT254" i="6"/>
  <c r="AU254" i="6" s="1"/>
  <c r="AT258" i="6"/>
  <c r="AU258" i="6" s="1"/>
  <c r="AT262" i="6"/>
  <c r="AU262" i="6" s="1"/>
  <c r="AT266" i="6"/>
  <c r="AU266" i="6" s="1"/>
  <c r="AT270" i="6"/>
  <c r="AU270" i="6" s="1"/>
  <c r="AT274" i="6"/>
  <c r="AU274" i="6" s="1"/>
  <c r="AT278" i="6"/>
  <c r="AU278" i="6" s="1"/>
  <c r="AT282" i="6"/>
  <c r="AU282" i="6" s="1"/>
  <c r="AT286" i="6"/>
  <c r="AU286" i="6" s="1"/>
  <c r="AT290" i="6"/>
  <c r="AU290" i="6" s="1"/>
  <c r="AT294" i="6"/>
  <c r="AU294" i="6" s="1"/>
  <c r="AT298" i="6"/>
  <c r="AU298" i="6" s="1"/>
  <c r="AT302" i="6"/>
  <c r="AU302" i="6" s="1"/>
  <c r="AT306" i="6"/>
  <c r="AU306" i="6" s="1"/>
  <c r="AT310" i="6"/>
  <c r="AU310" i="6" s="1"/>
  <c r="AT314" i="6"/>
  <c r="AU314" i="6" s="1"/>
  <c r="AT318" i="6"/>
  <c r="AU318" i="6" s="1"/>
  <c r="AT322" i="6"/>
  <c r="AU322" i="6" s="1"/>
  <c r="AT326" i="6"/>
  <c r="AU326" i="6" s="1"/>
  <c r="AT330" i="6"/>
  <c r="AU330" i="6" s="1"/>
  <c r="AT334" i="6"/>
  <c r="AU334" i="6" s="1"/>
  <c r="AT338" i="6"/>
  <c r="AU338" i="6" s="1"/>
  <c r="AT342" i="6"/>
  <c r="AU342" i="6" s="1"/>
  <c r="AT346" i="6"/>
  <c r="AU346" i="6" s="1"/>
  <c r="AT350" i="6"/>
  <c r="AU350" i="6" s="1"/>
  <c r="AT354" i="6"/>
  <c r="AU354" i="6" s="1"/>
  <c r="AT358" i="6"/>
  <c r="AU358" i="6" s="1"/>
  <c r="AT362" i="6"/>
  <c r="AU362" i="6" s="1"/>
  <c r="AT366" i="6"/>
  <c r="AU366" i="6" s="1"/>
  <c r="AT370" i="6"/>
  <c r="AU370" i="6" s="1"/>
  <c r="AT374" i="6"/>
  <c r="AU374" i="6" s="1"/>
  <c r="AT378" i="6"/>
  <c r="AU378" i="6" s="1"/>
  <c r="AT382" i="6"/>
  <c r="AU382" i="6" s="1"/>
  <c r="AT386" i="6"/>
  <c r="AU386" i="6" s="1"/>
  <c r="AT390" i="6"/>
  <c r="AU390" i="6" s="1"/>
  <c r="AT394" i="6"/>
  <c r="AU394" i="6" s="1"/>
  <c r="AT398" i="6"/>
  <c r="AU398" i="6" s="1"/>
  <c r="AT402" i="6"/>
  <c r="AU402" i="6" s="1"/>
  <c r="AT406" i="6"/>
  <c r="AU406" i="6" s="1"/>
  <c r="AT410" i="6"/>
  <c r="AU410" i="6" s="1"/>
  <c r="AT414" i="6"/>
  <c r="AU414" i="6" s="1"/>
  <c r="AT418" i="6"/>
  <c r="AU418" i="6" s="1"/>
  <c r="AT422" i="6"/>
  <c r="AU422" i="6" s="1"/>
  <c r="AT426" i="6"/>
  <c r="AU426" i="6" s="1"/>
  <c r="AT430" i="6"/>
  <c r="AU430" i="6" s="1"/>
  <c r="AT434" i="6"/>
  <c r="AU434" i="6" s="1"/>
  <c r="AT438" i="6"/>
  <c r="AU438" i="6" s="1"/>
  <c r="AT442" i="6"/>
  <c r="AU442" i="6" s="1"/>
  <c r="AT446" i="6"/>
  <c r="AU446" i="6" s="1"/>
  <c r="AT450" i="6"/>
  <c r="AU450" i="6" s="1"/>
  <c r="AT454" i="6"/>
  <c r="AU454" i="6" s="1"/>
  <c r="AT458" i="6"/>
  <c r="AU458" i="6" s="1"/>
  <c r="AT462" i="6"/>
  <c r="AU462" i="6" s="1"/>
  <c r="AT466" i="6"/>
  <c r="AU466" i="6" s="1"/>
  <c r="AT470" i="6"/>
  <c r="AU470" i="6" s="1"/>
  <c r="AT474" i="6"/>
  <c r="AU474" i="6" s="1"/>
  <c r="AT478" i="6"/>
  <c r="AU478" i="6" s="1"/>
  <c r="AT482" i="6"/>
  <c r="AU482" i="6" s="1"/>
  <c r="AT486" i="6"/>
  <c r="AU486" i="6" s="1"/>
  <c r="AT490" i="6"/>
  <c r="AU490" i="6" s="1"/>
  <c r="AT494" i="6"/>
  <c r="AU494" i="6" s="1"/>
  <c r="AT498" i="6"/>
  <c r="AU498" i="6" s="1"/>
  <c r="AT502" i="6"/>
  <c r="AU502" i="6" s="1"/>
  <c r="AT506" i="6"/>
  <c r="AU506" i="6" s="1"/>
  <c r="AT510" i="6"/>
  <c r="AU510" i="6" s="1"/>
  <c r="AT514" i="6"/>
  <c r="AU514" i="6" s="1"/>
  <c r="AT518" i="6"/>
  <c r="AU518" i="6" s="1"/>
  <c r="AT522" i="6"/>
  <c r="AU522" i="6" s="1"/>
  <c r="AT526" i="6"/>
  <c r="AU526" i="6" s="1"/>
  <c r="AT530" i="6"/>
  <c r="AU530" i="6" s="1"/>
  <c r="AT534" i="6"/>
  <c r="AU534" i="6" s="1"/>
  <c r="AT538" i="6"/>
  <c r="AU538" i="6" s="1"/>
  <c r="AT542" i="6"/>
  <c r="AU542" i="6" s="1"/>
  <c r="AT546" i="6"/>
  <c r="AU546" i="6" s="1"/>
  <c r="AT550" i="6"/>
  <c r="AU550" i="6" s="1"/>
  <c r="AT554" i="6"/>
  <c r="AU554" i="6" s="1"/>
  <c r="AT558" i="6"/>
  <c r="AU558" i="6" s="1"/>
  <c r="AT562" i="6"/>
  <c r="AU562" i="6" s="1"/>
  <c r="AT566" i="6"/>
  <c r="AU566" i="6" s="1"/>
  <c r="AT570" i="6"/>
  <c r="AU570" i="6" s="1"/>
  <c r="AT574" i="6"/>
  <c r="AU574" i="6" s="1"/>
  <c r="AT578" i="6"/>
  <c r="AU578" i="6" s="1"/>
  <c r="AT582" i="6"/>
  <c r="AU582" i="6" s="1"/>
  <c r="AT586" i="6"/>
  <c r="AU586" i="6" s="1"/>
  <c r="AT590" i="6"/>
  <c r="AU590" i="6" s="1"/>
  <c r="AT594" i="6"/>
  <c r="AU594" i="6" s="1"/>
  <c r="AT598" i="6"/>
  <c r="AU598" i="6" s="1"/>
  <c r="AT602" i="6"/>
  <c r="AU602" i="6" s="1"/>
  <c r="AT606" i="6"/>
  <c r="AU606" i="6" s="1"/>
  <c r="AT610" i="6"/>
  <c r="AU610" i="6" s="1"/>
  <c r="AT614" i="6"/>
  <c r="AU614" i="6" s="1"/>
  <c r="AT618" i="6"/>
  <c r="AU618" i="6" s="1"/>
  <c r="AT622" i="6"/>
  <c r="AU622" i="6" s="1"/>
  <c r="AT626" i="6"/>
  <c r="AU626" i="6" s="1"/>
  <c r="AT630" i="6"/>
  <c r="AU630" i="6" s="1"/>
  <c r="AT634" i="6"/>
  <c r="AU634" i="6" s="1"/>
  <c r="AT638" i="6"/>
  <c r="AU638" i="6" s="1"/>
  <c r="AT642" i="6"/>
  <c r="AU642" i="6" s="1"/>
  <c r="AT646" i="6"/>
  <c r="AU646" i="6" s="1"/>
  <c r="AT650" i="6"/>
  <c r="AU650" i="6" s="1"/>
  <c r="AT654" i="6"/>
  <c r="AU654" i="6" s="1"/>
  <c r="AT658" i="6"/>
  <c r="AU658" i="6" s="1"/>
  <c r="AT660" i="6"/>
  <c r="AU660" i="6" s="1"/>
  <c r="AT662" i="6"/>
  <c r="AU662" i="6" s="1"/>
  <c r="AT666" i="6"/>
  <c r="AU666" i="6" s="1"/>
  <c r="AT670" i="6"/>
  <c r="AU670" i="6" s="1"/>
  <c r="AT674" i="6"/>
  <c r="AU674" i="6" s="1"/>
  <c r="AT678" i="6"/>
  <c r="AU678" i="6" s="1"/>
  <c r="AT682" i="6"/>
  <c r="AU682" i="6" s="1"/>
  <c r="AT686" i="6"/>
  <c r="AU686" i="6" s="1"/>
  <c r="AT690" i="6"/>
  <c r="AU690" i="6" s="1"/>
  <c r="AT694" i="6"/>
  <c r="AU694" i="6" s="1"/>
  <c r="AT698" i="6"/>
  <c r="AU698" i="6" s="1"/>
  <c r="AT702" i="6"/>
  <c r="AU702" i="6" s="1"/>
  <c r="AT706" i="6"/>
  <c r="AU706" i="6" s="1"/>
  <c r="AT710" i="6"/>
  <c r="AU710" i="6" s="1"/>
  <c r="AT714" i="6"/>
  <c r="AU714" i="6" s="1"/>
  <c r="AT718" i="6"/>
  <c r="AU718" i="6" s="1"/>
  <c r="AT722" i="6"/>
  <c r="AU722" i="6" s="1"/>
  <c r="AT726" i="6"/>
  <c r="AU726" i="6" s="1"/>
  <c r="AT730" i="6"/>
  <c r="AU730" i="6" s="1"/>
  <c r="AT734" i="6"/>
  <c r="AU734" i="6" s="1"/>
  <c r="AT738" i="6"/>
  <c r="AU738" i="6" s="1"/>
  <c r="AT742" i="6"/>
  <c r="AU742" i="6" s="1"/>
  <c r="AT746" i="6"/>
  <c r="AU746" i="6" s="1"/>
  <c r="AT750" i="6"/>
  <c r="AU750" i="6" s="1"/>
  <c r="AT754" i="6"/>
  <c r="AU754" i="6" s="1"/>
  <c r="AT758" i="6"/>
  <c r="AU758" i="6" s="1"/>
  <c r="AT762" i="6"/>
  <c r="AU762" i="6" s="1"/>
  <c r="AT766" i="6"/>
  <c r="AU766" i="6" s="1"/>
  <c r="AT770" i="6"/>
  <c r="AU770" i="6" s="1"/>
  <c r="AT774" i="6"/>
  <c r="AU774" i="6" s="1"/>
  <c r="AT778" i="6"/>
  <c r="AU778" i="6" s="1"/>
  <c r="AT782" i="6"/>
  <c r="AU782" i="6" s="1"/>
  <c r="AT786" i="6"/>
  <c r="AU786" i="6" s="1"/>
  <c r="AT790" i="6"/>
  <c r="AU790" i="6" s="1"/>
  <c r="AT794" i="6"/>
  <c r="AU794" i="6" s="1"/>
  <c r="AT798" i="6"/>
  <c r="AU798" i="6" s="1"/>
  <c r="AT802" i="6"/>
  <c r="AU802" i="6" s="1"/>
  <c r="AT806" i="6"/>
  <c r="AU806" i="6" s="1"/>
  <c r="AT810" i="6"/>
  <c r="AU810" i="6" s="1"/>
  <c r="AT814" i="6"/>
  <c r="AU814" i="6" s="1"/>
  <c r="AT818" i="6"/>
  <c r="AU818" i="6" s="1"/>
  <c r="AT822" i="6"/>
  <c r="AU822" i="6" s="1"/>
  <c r="AT826" i="6"/>
  <c r="AU826" i="6" s="1"/>
  <c r="AT830" i="6"/>
  <c r="AU830" i="6" s="1"/>
  <c r="AT834" i="6"/>
  <c r="AU834" i="6" s="1"/>
  <c r="AT838" i="6"/>
  <c r="AU838" i="6" s="1"/>
  <c r="AT842" i="6"/>
  <c r="AU842" i="6" s="1"/>
  <c r="AT846" i="6"/>
  <c r="AU846" i="6" s="1"/>
  <c r="AT850" i="6"/>
  <c r="AU850" i="6" s="1"/>
  <c r="AT854" i="6"/>
  <c r="AU854" i="6" s="1"/>
  <c r="AT858" i="6"/>
  <c r="AU858" i="6" s="1"/>
  <c r="AT862" i="6"/>
  <c r="AU862" i="6" s="1"/>
  <c r="AT866" i="6"/>
  <c r="AU866" i="6" s="1"/>
  <c r="AT870" i="6"/>
  <c r="AU870" i="6" s="1"/>
  <c r="AT874" i="6"/>
  <c r="AU874" i="6" s="1"/>
  <c r="AT878" i="6"/>
  <c r="AU878" i="6" s="1"/>
  <c r="AT882" i="6"/>
  <c r="AU882" i="6" s="1"/>
  <c r="AT886" i="6"/>
  <c r="AU886" i="6" s="1"/>
  <c r="AT890" i="6"/>
  <c r="AU890" i="6" s="1"/>
  <c r="AT894" i="6"/>
  <c r="AU894" i="6" s="1"/>
  <c r="AT898" i="6"/>
  <c r="AU898" i="6" s="1"/>
  <c r="AT902" i="6"/>
  <c r="AU902" i="6" s="1"/>
  <c r="AT906" i="6"/>
  <c r="AU906" i="6" s="1"/>
  <c r="AT910" i="6"/>
  <c r="AU910" i="6" s="1"/>
  <c r="AT914" i="6"/>
  <c r="AU914" i="6" s="1"/>
  <c r="AT918" i="6"/>
  <c r="AU918" i="6" s="1"/>
  <c r="AT922" i="6"/>
  <c r="AU922" i="6" s="1"/>
  <c r="AT926" i="6"/>
  <c r="AU926" i="6" s="1"/>
  <c r="AT930" i="6"/>
  <c r="AU930" i="6" s="1"/>
  <c r="AT934" i="6"/>
  <c r="AU934" i="6" s="1"/>
  <c r="AT938" i="6"/>
  <c r="AU938" i="6" s="1"/>
  <c r="AT942" i="6"/>
  <c r="AU942" i="6" s="1"/>
  <c r="AT946" i="6"/>
  <c r="AU946" i="6" s="1"/>
  <c r="AT950" i="6"/>
  <c r="AU950" i="6" s="1"/>
  <c r="AT954" i="6"/>
  <c r="AU954" i="6" s="1"/>
  <c r="AT958" i="6"/>
  <c r="AU958" i="6" s="1"/>
  <c r="AT962" i="6"/>
  <c r="AU962" i="6" s="1"/>
  <c r="AT966" i="6"/>
  <c r="AU966" i="6" s="1"/>
  <c r="AT970" i="6"/>
  <c r="AU970" i="6" s="1"/>
  <c r="AT974" i="6"/>
  <c r="AU974" i="6" s="1"/>
  <c r="AT978" i="6"/>
  <c r="AU978" i="6" s="1"/>
  <c r="AT982" i="6"/>
  <c r="AU982" i="6" s="1"/>
  <c r="AT985" i="6"/>
  <c r="AU985" i="6" s="1"/>
  <c r="AT986" i="6"/>
  <c r="AU986" i="6" s="1"/>
  <c r="AT990" i="6"/>
  <c r="AU990" i="6" s="1"/>
  <c r="AT994" i="6"/>
  <c r="AU994" i="6" s="1"/>
  <c r="AT998" i="6"/>
  <c r="AU998" i="6" s="1"/>
  <c r="AT1002" i="6"/>
  <c r="AU1002" i="6" s="1"/>
  <c r="AT1006" i="6"/>
  <c r="AU1006" i="6" s="1"/>
  <c r="AT1010" i="6"/>
  <c r="AU1010" i="6" s="1"/>
  <c r="AT1014" i="6"/>
  <c r="AU1014" i="6" s="1"/>
  <c r="AT1018" i="6"/>
  <c r="AU1018" i="6" s="1"/>
  <c r="AT1022" i="6"/>
  <c r="AU1022" i="6" s="1"/>
  <c r="AT1026" i="6"/>
  <c r="AU1026" i="6" s="1"/>
  <c r="AT1030" i="6"/>
  <c r="AU1030" i="6" s="1"/>
  <c r="AT1034" i="6"/>
  <c r="AU1034" i="6" s="1"/>
  <c r="AT1038" i="6"/>
  <c r="AU1038" i="6" s="1"/>
  <c r="AT1042" i="6"/>
  <c r="AU1042" i="6" s="1"/>
  <c r="AT1046" i="6"/>
  <c r="AU1046" i="6" s="1"/>
  <c r="AT1050" i="6"/>
  <c r="AU1050" i="6" s="1"/>
  <c r="AT1054" i="6"/>
  <c r="AU1054" i="6" s="1"/>
  <c r="AT1058" i="6"/>
  <c r="AU1058" i="6" s="1"/>
  <c r="AT1062" i="6"/>
  <c r="AU1062" i="6" s="1"/>
  <c r="AT1066" i="6"/>
  <c r="AU1066" i="6" s="1"/>
  <c r="AT1070" i="6"/>
  <c r="AU1070" i="6" s="1"/>
  <c r="AT1074" i="6"/>
  <c r="AU1074" i="6" s="1"/>
  <c r="AT1078" i="6"/>
  <c r="AU1078" i="6" s="1"/>
  <c r="AT1082" i="6"/>
  <c r="AU1082" i="6" s="1"/>
  <c r="AT1086" i="6"/>
  <c r="AU1086" i="6" s="1"/>
  <c r="AT1090" i="6"/>
  <c r="AU1090" i="6" s="1"/>
  <c r="AT1094" i="6"/>
  <c r="AU1094" i="6" s="1"/>
  <c r="AT1098" i="6"/>
  <c r="AU1098" i="6" s="1"/>
  <c r="AT1102" i="6"/>
  <c r="AU1102" i="6" s="1"/>
  <c r="AT1106" i="6"/>
  <c r="AU1106" i="6" s="1"/>
  <c r="AT1110" i="6"/>
  <c r="AU1110" i="6" s="1"/>
  <c r="AT1114" i="6"/>
  <c r="AU1114" i="6" s="1"/>
  <c r="AT1118" i="6"/>
  <c r="AU1118" i="6" s="1"/>
  <c r="AT1122" i="6"/>
  <c r="AU1122" i="6" s="1"/>
  <c r="AT1126" i="6"/>
  <c r="AU1126" i="6" s="1"/>
  <c r="AT1130" i="6"/>
  <c r="AU1130" i="6" s="1"/>
  <c r="AT1134" i="6"/>
  <c r="AU1134" i="6" s="1"/>
  <c r="AT1138" i="6"/>
  <c r="AU1138" i="6" s="1"/>
  <c r="AT1142" i="6"/>
  <c r="AU1142" i="6" s="1"/>
  <c r="AT1146" i="6"/>
  <c r="AU1146" i="6" s="1"/>
  <c r="AT1150" i="6"/>
  <c r="AU1150" i="6" s="1"/>
  <c r="AT1154" i="6"/>
  <c r="AU1154" i="6" s="1"/>
  <c r="AT1158" i="6"/>
  <c r="AU1158" i="6" s="1"/>
  <c r="AT1162" i="6"/>
  <c r="AU1162" i="6" s="1"/>
  <c r="AT1166" i="6"/>
  <c r="AU1166" i="6" s="1"/>
  <c r="AT1170" i="6"/>
  <c r="AU1170" i="6" s="1"/>
  <c r="AT1174" i="6"/>
  <c r="AU1174" i="6" s="1"/>
  <c r="AT1178" i="6"/>
  <c r="AU1178" i="6" s="1"/>
  <c r="AT1182" i="6"/>
  <c r="AU1182" i="6" s="1"/>
  <c r="AT1186" i="6"/>
  <c r="AU1186" i="6" s="1"/>
  <c r="AT1190" i="6"/>
  <c r="AU1190" i="6" s="1"/>
  <c r="AT1194" i="6"/>
  <c r="AU1194" i="6" s="1"/>
  <c r="AT1198" i="6"/>
  <c r="AU1198" i="6" s="1"/>
  <c r="AT1202" i="6"/>
  <c r="AU1202" i="6" s="1"/>
  <c r="AT1206" i="6"/>
  <c r="AU1206" i="6" s="1"/>
  <c r="AT1210" i="6"/>
  <c r="AU1210" i="6" s="1"/>
  <c r="AT1214" i="6"/>
  <c r="AU1214" i="6" s="1"/>
  <c r="AT1218" i="6"/>
  <c r="AU1218" i="6" s="1"/>
  <c r="AT1222" i="6"/>
  <c r="AU1222" i="6" s="1"/>
  <c r="AT1226" i="6"/>
  <c r="AU1226" i="6" s="1"/>
  <c r="AT1230" i="6"/>
  <c r="AU1230" i="6" s="1"/>
  <c r="AT1234" i="6"/>
  <c r="AU1234" i="6" s="1"/>
  <c r="AT1238" i="6"/>
  <c r="AU1238" i="6" s="1"/>
  <c r="AT1242" i="6"/>
  <c r="AU1242" i="6" s="1"/>
  <c r="AT1246" i="6"/>
  <c r="AU1246" i="6" s="1"/>
  <c r="AT1250" i="6"/>
  <c r="AU1250" i="6" s="1"/>
  <c r="AT1254" i="6"/>
  <c r="AU1254" i="6" s="1"/>
  <c r="AT1258" i="6"/>
  <c r="AU1258" i="6" s="1"/>
  <c r="AT1262" i="6"/>
  <c r="AU1262" i="6" s="1"/>
  <c r="AT1266" i="6"/>
  <c r="AU1266" i="6" s="1"/>
  <c r="AT1270" i="6"/>
  <c r="AU1270" i="6" s="1"/>
  <c r="AT1274" i="6"/>
  <c r="AU1274" i="6" s="1"/>
  <c r="AT1278" i="6"/>
  <c r="AU1278" i="6" s="1"/>
  <c r="AT1282" i="6"/>
  <c r="AU1282" i="6" s="1"/>
  <c r="AT1286" i="6"/>
  <c r="AU1286" i="6" s="1"/>
  <c r="AT1290" i="6"/>
  <c r="AU1290" i="6" s="1"/>
  <c r="AT1294" i="6"/>
  <c r="AU1294" i="6" s="1"/>
  <c r="AT1298" i="6"/>
  <c r="AU1298" i="6" s="1"/>
  <c r="AT1302" i="6"/>
  <c r="AU1302" i="6" s="1"/>
  <c r="AT1306" i="6"/>
  <c r="AU1306" i="6" s="1"/>
  <c r="AT1310" i="6"/>
  <c r="AU1310" i="6" s="1"/>
  <c r="AT1314" i="6"/>
  <c r="AU1314" i="6" s="1"/>
  <c r="AT1318" i="6"/>
  <c r="AU1318" i="6" s="1"/>
  <c r="AT1322" i="6"/>
  <c r="AU1322" i="6" s="1"/>
  <c r="AT1326" i="6"/>
  <c r="AU1326" i="6" s="1"/>
  <c r="AT1330" i="6"/>
  <c r="AU1330" i="6" s="1"/>
  <c r="AT1334" i="6"/>
  <c r="AU1334" i="6" s="1"/>
  <c r="AT1338" i="6"/>
  <c r="AU1338" i="6" s="1"/>
  <c r="AT1342" i="6"/>
  <c r="AU1342" i="6" s="1"/>
  <c r="AT1346" i="6"/>
  <c r="AU1346" i="6" s="1"/>
  <c r="AT1350" i="6"/>
  <c r="AU1350" i="6" s="1"/>
  <c r="AT1354" i="6"/>
  <c r="AU1354" i="6" s="1"/>
  <c r="AT1358" i="6"/>
  <c r="AU1358" i="6" s="1"/>
  <c r="AT1362" i="6"/>
  <c r="AU1362" i="6" s="1"/>
  <c r="AT1366" i="6"/>
  <c r="AU1366" i="6" s="1"/>
  <c r="AT1370" i="6"/>
  <c r="AU1370" i="6" s="1"/>
  <c r="AT1374" i="6"/>
  <c r="AU1374" i="6" s="1"/>
  <c r="AT1378" i="6"/>
  <c r="AU1378" i="6" s="1"/>
  <c r="AT1382" i="6"/>
  <c r="AU1382" i="6" s="1"/>
  <c r="AT1386" i="6"/>
  <c r="AU1386" i="6" s="1"/>
  <c r="AT1390" i="6"/>
  <c r="AU1390" i="6" s="1"/>
  <c r="AT1394" i="6"/>
  <c r="AU1394" i="6" s="1"/>
  <c r="AT1398" i="6"/>
  <c r="AU1398" i="6" s="1"/>
  <c r="AT1402" i="6"/>
  <c r="AU1402" i="6" s="1"/>
  <c r="AT1406" i="6"/>
  <c r="AU1406" i="6" s="1"/>
  <c r="AT1410" i="6"/>
  <c r="AU1410" i="6" s="1"/>
  <c r="AT1414" i="6"/>
  <c r="AU1414" i="6" s="1"/>
  <c r="AT1418" i="6"/>
  <c r="AU1418" i="6" s="1"/>
  <c r="AT1422" i="6"/>
  <c r="AU1422" i="6" s="1"/>
  <c r="AT1426" i="6"/>
  <c r="AU1426" i="6" s="1"/>
  <c r="AT1430" i="6"/>
  <c r="AU1430" i="6" s="1"/>
  <c r="AT1434" i="6"/>
  <c r="AU1434" i="6" s="1"/>
  <c r="AT1438" i="6"/>
  <c r="AU1438" i="6" s="1"/>
  <c r="AT1442" i="6"/>
  <c r="AU1442" i="6" s="1"/>
  <c r="AT1446" i="6"/>
  <c r="AU1446" i="6" s="1"/>
  <c r="AT1450" i="6"/>
  <c r="AU1450" i="6" s="1"/>
  <c r="AT1454" i="6"/>
  <c r="AU1454" i="6" s="1"/>
  <c r="AT1458" i="6"/>
  <c r="AU1458" i="6" s="1"/>
  <c r="AT1462" i="6"/>
  <c r="AU1462" i="6" s="1"/>
  <c r="AT1466" i="6"/>
  <c r="AU1466" i="6" s="1"/>
  <c r="AT1470" i="6"/>
  <c r="AU1470" i="6" s="1"/>
  <c r="AT1474" i="6"/>
  <c r="AU1474" i="6" s="1"/>
  <c r="AT1478" i="6"/>
  <c r="AU1478" i="6" s="1"/>
  <c r="AT1482" i="6"/>
  <c r="AU1482" i="6" s="1"/>
  <c r="AT1486" i="6"/>
  <c r="AU1486" i="6" s="1"/>
  <c r="AT1490" i="6"/>
  <c r="AU1490" i="6" s="1"/>
  <c r="AT1494" i="6"/>
  <c r="AU1494" i="6" s="1"/>
  <c r="AT1498" i="6"/>
  <c r="AU1498" i="6" s="1"/>
  <c r="AT1502" i="6"/>
  <c r="AU1502" i="6" s="1"/>
  <c r="AT1506" i="6"/>
  <c r="AU1506" i="6" s="1"/>
  <c r="AT1510" i="6"/>
  <c r="AU1510" i="6" s="1"/>
  <c r="AT1514" i="6"/>
  <c r="AU1514" i="6" s="1"/>
  <c r="AT1518" i="6"/>
  <c r="AU1518" i="6" s="1"/>
  <c r="AT1522" i="6"/>
  <c r="AU1522" i="6" s="1"/>
  <c r="AT1526" i="6"/>
  <c r="AU1526" i="6" s="1"/>
  <c r="AT1530" i="6"/>
  <c r="AU1530" i="6" s="1"/>
  <c r="AT1534" i="6"/>
  <c r="AU1534" i="6" s="1"/>
  <c r="AT1538" i="6"/>
  <c r="AU1538" i="6" s="1"/>
  <c r="AT1542" i="6"/>
  <c r="AU1542" i="6" s="1"/>
  <c r="AT1546" i="6"/>
  <c r="AU1546" i="6" s="1"/>
  <c r="AT1550" i="6"/>
  <c r="AU1550" i="6" s="1"/>
  <c r="AT1554" i="6"/>
  <c r="AU1554" i="6" s="1"/>
  <c r="AT1558" i="6"/>
  <c r="AU1558" i="6" s="1"/>
  <c r="AT1562" i="6"/>
  <c r="AU1562" i="6" s="1"/>
  <c r="AT1566" i="6"/>
  <c r="AU1566" i="6" s="1"/>
  <c r="AT1570" i="6"/>
  <c r="AU1570" i="6" s="1"/>
  <c r="AT1574" i="6"/>
  <c r="AU1574" i="6" s="1"/>
  <c r="AT1578" i="6"/>
  <c r="AU1578" i="6" s="1"/>
  <c r="AT1582" i="6"/>
  <c r="AU1582" i="6" s="1"/>
  <c r="AT1586" i="6"/>
  <c r="AU1586" i="6" s="1"/>
  <c r="AT1590" i="6"/>
  <c r="AU1590" i="6" s="1"/>
  <c r="AT1594" i="6"/>
  <c r="AU1594" i="6" s="1"/>
  <c r="AT1598" i="6"/>
  <c r="AU1598" i="6" s="1"/>
  <c r="AT1602" i="6"/>
  <c r="AU1602" i="6" s="1"/>
  <c r="AT1606" i="6"/>
  <c r="AU1606" i="6" s="1"/>
  <c r="AT1610" i="6"/>
  <c r="AU1610" i="6" s="1"/>
  <c r="AT1614" i="6"/>
  <c r="AU1614" i="6" s="1"/>
  <c r="AT1618" i="6"/>
  <c r="AU1618" i="6" s="1"/>
  <c r="AT1622" i="6"/>
  <c r="AU1622" i="6" s="1"/>
  <c r="AT1626" i="6"/>
  <c r="AU1626" i="6" s="1"/>
  <c r="AT1630" i="6"/>
  <c r="AU1630" i="6" s="1"/>
  <c r="AT1634" i="6"/>
  <c r="AU1634" i="6" s="1"/>
  <c r="AT1638" i="6"/>
  <c r="AU1638" i="6" s="1"/>
  <c r="AT1642" i="6"/>
  <c r="AU1642" i="6" s="1"/>
  <c r="AT1646" i="6"/>
  <c r="AU1646" i="6" s="1"/>
  <c r="AT1650" i="6"/>
  <c r="AU1650" i="6" s="1"/>
  <c r="AT1654" i="6"/>
  <c r="AU1654" i="6" s="1"/>
  <c r="AT1658" i="6"/>
  <c r="AU1658" i="6" s="1"/>
  <c r="AT1662" i="6"/>
  <c r="AU1662" i="6" s="1"/>
  <c r="AT1666" i="6"/>
  <c r="AU1666" i="6" s="1"/>
  <c r="AT1670" i="6"/>
  <c r="AU1670" i="6" s="1"/>
  <c r="AT1674" i="6"/>
  <c r="AU1674" i="6" s="1"/>
  <c r="AT1678" i="6"/>
  <c r="AU1678" i="6" s="1"/>
  <c r="AT1682" i="6"/>
  <c r="AU1682" i="6" s="1"/>
  <c r="AT1686" i="6"/>
  <c r="AU1686" i="6" s="1"/>
  <c r="AT1690" i="6"/>
  <c r="AU1690" i="6" s="1"/>
  <c r="AT1694" i="6"/>
  <c r="AU1694" i="6" s="1"/>
  <c r="AT1698" i="6"/>
  <c r="AU1698" i="6" s="1"/>
  <c r="AT1702" i="6"/>
  <c r="AU1702" i="6" s="1"/>
  <c r="AT1706" i="6"/>
  <c r="AU1706" i="6" s="1"/>
  <c r="AT1710" i="6"/>
  <c r="AU1710" i="6" s="1"/>
  <c r="AT1714" i="6"/>
  <c r="AU1714" i="6" s="1"/>
  <c r="AT1718" i="6"/>
  <c r="AU1718" i="6" s="1"/>
  <c r="AT1722" i="6"/>
  <c r="AU1722" i="6" s="1"/>
  <c r="AT1726" i="6"/>
  <c r="AU1726" i="6" s="1"/>
  <c r="AT1730" i="6"/>
  <c r="AU1730" i="6" s="1"/>
  <c r="AT1734" i="6"/>
  <c r="AU1734" i="6" s="1"/>
  <c r="AT1738" i="6"/>
  <c r="AU1738" i="6" s="1"/>
  <c r="AT1742" i="6"/>
  <c r="AU1742" i="6" s="1"/>
  <c r="AT1746" i="6"/>
  <c r="AU1746" i="6" s="1"/>
  <c r="AT1750" i="6"/>
  <c r="AU1750" i="6" s="1"/>
  <c r="AT1754" i="6"/>
  <c r="AU1754" i="6" s="1"/>
  <c r="AT1758" i="6"/>
  <c r="AU1758" i="6" s="1"/>
  <c r="AT1762" i="6"/>
  <c r="AU1762" i="6" s="1"/>
  <c r="AT1766" i="6"/>
  <c r="AU1766" i="6" s="1"/>
  <c r="AT1770" i="6"/>
  <c r="AU1770" i="6" s="1"/>
  <c r="AT1774" i="6"/>
  <c r="AU1774" i="6" s="1"/>
  <c r="AT1778" i="6"/>
  <c r="AU1778" i="6" s="1"/>
  <c r="AT1782" i="6"/>
  <c r="AU1782" i="6" s="1"/>
  <c r="AT1786" i="6"/>
  <c r="AU1786" i="6" s="1"/>
  <c r="AT1790" i="6"/>
  <c r="AU1790" i="6" s="1"/>
  <c r="AT1794" i="6"/>
  <c r="AU1794" i="6" s="1"/>
  <c r="AT1798" i="6"/>
  <c r="AU1798" i="6" s="1"/>
  <c r="AT1802" i="6"/>
  <c r="AU1802" i="6" s="1"/>
  <c r="AT1806" i="6"/>
  <c r="AU1806" i="6" s="1"/>
  <c r="AT1810" i="6"/>
  <c r="AU1810" i="6" s="1"/>
  <c r="AT1814" i="6"/>
  <c r="AU1814" i="6" s="1"/>
  <c r="AT1818" i="6"/>
  <c r="AU1818" i="6" s="1"/>
  <c r="AT1822" i="6"/>
  <c r="AU1822" i="6" s="1"/>
  <c r="AT1826" i="6"/>
  <c r="AU1826" i="6" s="1"/>
  <c r="AT1830" i="6"/>
  <c r="AU1830" i="6" s="1"/>
  <c r="AT1834" i="6"/>
  <c r="AU1834" i="6" s="1"/>
  <c r="AT1838" i="6"/>
  <c r="AU1838" i="6" s="1"/>
  <c r="AT1842" i="6"/>
  <c r="AU1842" i="6" s="1"/>
  <c r="AT1846" i="6"/>
  <c r="AU1846" i="6" s="1"/>
  <c r="AT1850" i="6"/>
  <c r="AU1850" i="6" s="1"/>
  <c r="AT1854" i="6"/>
  <c r="AU1854" i="6" s="1"/>
  <c r="AT1858" i="6"/>
  <c r="AU1858" i="6" s="1"/>
  <c r="AT1862" i="6"/>
  <c r="AU1862" i="6" s="1"/>
  <c r="AT1866" i="6"/>
  <c r="AU1866" i="6" s="1"/>
  <c r="AT1870" i="6"/>
  <c r="AU1870" i="6" s="1"/>
  <c r="AT1874" i="6"/>
  <c r="AU1874" i="6" s="1"/>
  <c r="AT1878" i="6"/>
  <c r="AU1878" i="6" s="1"/>
  <c r="AT1882" i="6"/>
  <c r="AU1882" i="6" s="1"/>
  <c r="AT1886" i="6"/>
  <c r="AU1886" i="6" s="1"/>
  <c r="AT1890" i="6"/>
  <c r="AU1890" i="6" s="1"/>
  <c r="AT1894" i="6"/>
  <c r="AU1894" i="6" s="1"/>
  <c r="AT1898" i="6"/>
  <c r="AU1898" i="6" s="1"/>
  <c r="AT1900" i="6"/>
  <c r="AU1900" i="6" s="1"/>
  <c r="AT1902" i="6"/>
  <c r="AU1902" i="6" s="1"/>
  <c r="AT1906" i="6"/>
  <c r="AU1906" i="6" s="1"/>
  <c r="AT1910" i="6"/>
  <c r="AU1910" i="6" s="1"/>
  <c r="AT1914" i="6"/>
  <c r="AU1914" i="6" s="1"/>
  <c r="AT1918" i="6"/>
  <c r="AU1918" i="6" s="1"/>
  <c r="AT1922" i="6"/>
  <c r="AU1922" i="6" s="1"/>
  <c r="AT1926" i="6"/>
  <c r="AU1926" i="6" s="1"/>
  <c r="AT1930" i="6"/>
  <c r="AU1930" i="6" s="1"/>
  <c r="AT1934" i="6"/>
  <c r="AU1934" i="6" s="1"/>
  <c r="AT1938" i="6"/>
  <c r="AU1938" i="6" s="1"/>
  <c r="AT1942" i="6"/>
  <c r="AU1942" i="6" s="1"/>
  <c r="AT1946" i="6"/>
  <c r="AU1946" i="6" s="1"/>
  <c r="AT1950" i="6"/>
  <c r="AU1950" i="6" s="1"/>
  <c r="AT1954" i="6"/>
  <c r="AU1954" i="6" s="1"/>
  <c r="AT1958" i="6"/>
  <c r="AU1958" i="6" s="1"/>
  <c r="AT1962" i="6"/>
  <c r="AU1962" i="6" s="1"/>
  <c r="AT1966" i="6"/>
  <c r="AU1966" i="6" s="1"/>
  <c r="AT1970" i="6"/>
  <c r="AU1970" i="6" s="1"/>
  <c r="AT1974" i="6"/>
  <c r="AU1974" i="6" s="1"/>
  <c r="AT1978" i="6"/>
  <c r="AU1978" i="6" s="1"/>
  <c r="AT1982" i="6"/>
  <c r="AU1982" i="6" s="1"/>
  <c r="AT1986" i="6"/>
  <c r="AU1986" i="6" s="1"/>
  <c r="AT1990" i="6"/>
  <c r="AU1990" i="6" s="1"/>
  <c r="AT1994" i="6"/>
  <c r="AU1994" i="6" s="1"/>
  <c r="AT1998" i="6"/>
  <c r="AU1998" i="6" s="1"/>
  <c r="AT2002" i="6"/>
  <c r="AU2002" i="6" s="1"/>
  <c r="AT2006" i="6"/>
  <c r="AU2006" i="6" s="1"/>
  <c r="AO8" i="6"/>
  <c r="AP8" i="6" s="1"/>
  <c r="AO13" i="6"/>
  <c r="AP13" i="6" s="1"/>
  <c r="AO17" i="6"/>
  <c r="AP17" i="6" s="1"/>
  <c r="AO21" i="6"/>
  <c r="AP21" i="6" s="1"/>
  <c r="AO25" i="6"/>
  <c r="AP25" i="6" s="1"/>
  <c r="AO29" i="6"/>
  <c r="AP29" i="6" s="1"/>
  <c r="AO33" i="6"/>
  <c r="AP33" i="6" s="1"/>
  <c r="AO37" i="6"/>
  <c r="AP37" i="6" s="1"/>
  <c r="AO41" i="6"/>
  <c r="AP41" i="6" s="1"/>
  <c r="AO45" i="6"/>
  <c r="AP45" i="6" s="1"/>
  <c r="AO49" i="6"/>
  <c r="AP49" i="6" s="1"/>
  <c r="AO53" i="6"/>
  <c r="AP53" i="6" s="1"/>
  <c r="AO57" i="6"/>
  <c r="AP57" i="6" s="1"/>
  <c r="AO61" i="6"/>
  <c r="AP61" i="6" s="1"/>
  <c r="AO65" i="6"/>
  <c r="AP65" i="6" s="1"/>
  <c r="AO69" i="6"/>
  <c r="AP69" i="6" s="1"/>
  <c r="AO73" i="6"/>
  <c r="AP73" i="6" s="1"/>
  <c r="AO77" i="6"/>
  <c r="AP77" i="6" s="1"/>
  <c r="AO81" i="6"/>
  <c r="AP81" i="6" s="1"/>
  <c r="AO85" i="6"/>
  <c r="AP85" i="6" s="1"/>
  <c r="AO89" i="6"/>
  <c r="AP89" i="6" s="1"/>
  <c r="AO93" i="6"/>
  <c r="AP93" i="6" s="1"/>
  <c r="AO97" i="6"/>
  <c r="AP97" i="6" s="1"/>
  <c r="AO101" i="6"/>
  <c r="AP101" i="6" s="1"/>
  <c r="AO105" i="6"/>
  <c r="AP105" i="6" s="1"/>
  <c r="AO109" i="6"/>
  <c r="AP109" i="6" s="1"/>
  <c r="AO113" i="6"/>
  <c r="AP113" i="6" s="1"/>
  <c r="AO117" i="6"/>
  <c r="AP117" i="6" s="1"/>
  <c r="AO121" i="6"/>
  <c r="AP121" i="6" s="1"/>
  <c r="AO125" i="6"/>
  <c r="AP125" i="6" s="1"/>
  <c r="AO129" i="6"/>
  <c r="AP129" i="6" s="1"/>
  <c r="AO133" i="6"/>
  <c r="AP133" i="6" s="1"/>
  <c r="AO137" i="6"/>
  <c r="AP137" i="6" s="1"/>
  <c r="AO141" i="6"/>
  <c r="AP141" i="6" s="1"/>
  <c r="AO145" i="6"/>
  <c r="AP145" i="6" s="1"/>
  <c r="AO149" i="6"/>
  <c r="AP149" i="6" s="1"/>
  <c r="AO153" i="6"/>
  <c r="AP153" i="6" s="1"/>
  <c r="AO157" i="6"/>
  <c r="AP157" i="6" s="1"/>
  <c r="AO161" i="6"/>
  <c r="AP161" i="6" s="1"/>
  <c r="AO165" i="6"/>
  <c r="AP165" i="6" s="1"/>
  <c r="AO169" i="6"/>
  <c r="AP169" i="6" s="1"/>
  <c r="AO173" i="6"/>
  <c r="AP173" i="6" s="1"/>
  <c r="AO177" i="6"/>
  <c r="AP177" i="6" s="1"/>
  <c r="AO181" i="6"/>
  <c r="AP181" i="6" s="1"/>
  <c r="AO185" i="6"/>
  <c r="AP185" i="6" s="1"/>
  <c r="AO186" i="6"/>
  <c r="AP186" i="6" s="1"/>
  <c r="AO189" i="6"/>
  <c r="AP189" i="6" s="1"/>
  <c r="AO193" i="6"/>
  <c r="AP193" i="6" s="1"/>
  <c r="AO197" i="6"/>
  <c r="AP197" i="6" s="1"/>
  <c r="AO201" i="6"/>
  <c r="AP201" i="6" s="1"/>
  <c r="AO205" i="6"/>
  <c r="AP205" i="6" s="1"/>
  <c r="AO209" i="6"/>
  <c r="AP209" i="6" s="1"/>
  <c r="AO213" i="6"/>
  <c r="AP213" i="6" s="1"/>
  <c r="AO217" i="6"/>
  <c r="AP217" i="6" s="1"/>
  <c r="AO221" i="6"/>
  <c r="AP221" i="6" s="1"/>
  <c r="AO225" i="6"/>
  <c r="AP225" i="6" s="1"/>
  <c r="AO229" i="6"/>
  <c r="AP229" i="6" s="1"/>
  <c r="AO233" i="6"/>
  <c r="AP233" i="6" s="1"/>
  <c r="AO237" i="6"/>
  <c r="AP237" i="6" s="1"/>
  <c r="AO241" i="6"/>
  <c r="AP241" i="6" s="1"/>
  <c r="AO245" i="6"/>
  <c r="AP245" i="6" s="1"/>
  <c r="AO249" i="6"/>
  <c r="AP249" i="6" s="1"/>
  <c r="AO253" i="6"/>
  <c r="AP253" i="6" s="1"/>
  <c r="AO257" i="6"/>
  <c r="AP257" i="6" s="1"/>
  <c r="AO261" i="6"/>
  <c r="AP261" i="6" s="1"/>
  <c r="AO265" i="6"/>
  <c r="AP265" i="6" s="1"/>
  <c r="AO269" i="6"/>
  <c r="AP269" i="6" s="1"/>
  <c r="AO273" i="6"/>
  <c r="AP273" i="6" s="1"/>
  <c r="AO277" i="6"/>
  <c r="AP277" i="6" s="1"/>
  <c r="AO281" i="6"/>
  <c r="AP281" i="6" s="1"/>
  <c r="AO285" i="6"/>
  <c r="AP285" i="6" s="1"/>
  <c r="AO289" i="6"/>
  <c r="AP289" i="6" s="1"/>
  <c r="AO293" i="6"/>
  <c r="AP293" i="6" s="1"/>
  <c r="AO297" i="6"/>
  <c r="AP297" i="6" s="1"/>
  <c r="AO301" i="6"/>
  <c r="AP301" i="6" s="1"/>
  <c r="AO305" i="6"/>
  <c r="AP305" i="6" s="1"/>
  <c r="AO309" i="6"/>
  <c r="AP309" i="6" s="1"/>
  <c r="AO313" i="6"/>
  <c r="AP313" i="6" s="1"/>
  <c r="AO317" i="6"/>
  <c r="AP317" i="6" s="1"/>
  <c r="AO321" i="6"/>
  <c r="AP321" i="6" s="1"/>
  <c r="AO325" i="6"/>
  <c r="AP325" i="6" s="1"/>
  <c r="AO329" i="6"/>
  <c r="AP329" i="6" s="1"/>
  <c r="AO333" i="6"/>
  <c r="AP333" i="6" s="1"/>
  <c r="AO337" i="6"/>
  <c r="AP337" i="6" s="1"/>
  <c r="AO341" i="6"/>
  <c r="AP341" i="6" s="1"/>
  <c r="AO345" i="6"/>
  <c r="AP345" i="6" s="1"/>
  <c r="AO349" i="6"/>
  <c r="AP349" i="6" s="1"/>
  <c r="AO353" i="6"/>
  <c r="AP353" i="6" s="1"/>
  <c r="AO357" i="6"/>
  <c r="AP357" i="6" s="1"/>
  <c r="AO361" i="6"/>
  <c r="AP361" i="6" s="1"/>
  <c r="AO365" i="6"/>
  <c r="AP365" i="6" s="1"/>
  <c r="AO369" i="6"/>
  <c r="AP369" i="6" s="1"/>
  <c r="AO373" i="6"/>
  <c r="AP373" i="6" s="1"/>
  <c r="AO377" i="6"/>
  <c r="AP377" i="6" s="1"/>
  <c r="AO381" i="6"/>
  <c r="AP381" i="6" s="1"/>
  <c r="AO385" i="6"/>
  <c r="AP385" i="6" s="1"/>
  <c r="AO389" i="6"/>
  <c r="AP389" i="6" s="1"/>
  <c r="AO393" i="6"/>
  <c r="AP393" i="6" s="1"/>
  <c r="AO397" i="6"/>
  <c r="AP397" i="6" s="1"/>
  <c r="AO401" i="6"/>
  <c r="AP401" i="6" s="1"/>
  <c r="AO405" i="6"/>
  <c r="AP405" i="6" s="1"/>
  <c r="AO409" i="6"/>
  <c r="AP409" i="6" s="1"/>
  <c r="AO413" i="6"/>
  <c r="AP413" i="6" s="1"/>
  <c r="AO417" i="6"/>
  <c r="AP417" i="6" s="1"/>
  <c r="AO421" i="6"/>
  <c r="AP421" i="6" s="1"/>
  <c r="AO425" i="6"/>
  <c r="AP425" i="6" s="1"/>
  <c r="AO429" i="6"/>
  <c r="AP429" i="6" s="1"/>
  <c r="AO433" i="6"/>
  <c r="AP433" i="6" s="1"/>
  <c r="AO437" i="6"/>
  <c r="AP437" i="6" s="1"/>
  <c r="AO441" i="6"/>
  <c r="AP441" i="6" s="1"/>
  <c r="AO445" i="6"/>
  <c r="AP445" i="6" s="1"/>
  <c r="AO449" i="6"/>
  <c r="AP449" i="6" s="1"/>
  <c r="AO453" i="6"/>
  <c r="AP453" i="6" s="1"/>
  <c r="AO457" i="6"/>
  <c r="AP457" i="6" s="1"/>
  <c r="AO461" i="6"/>
  <c r="AP461" i="6" s="1"/>
  <c r="AO465" i="6"/>
  <c r="AP465" i="6" s="1"/>
  <c r="AO469" i="6"/>
  <c r="AP469" i="6" s="1"/>
  <c r="AO473" i="6"/>
  <c r="AP473" i="6" s="1"/>
  <c r="AO477" i="6"/>
  <c r="AP477" i="6" s="1"/>
  <c r="AO481" i="6"/>
  <c r="AP481" i="6" s="1"/>
  <c r="AO485" i="6"/>
  <c r="AP485" i="6" s="1"/>
  <c r="AO489" i="6"/>
  <c r="AP489" i="6" s="1"/>
  <c r="AO493" i="6"/>
  <c r="AP493" i="6" s="1"/>
  <c r="AO497" i="6"/>
  <c r="AP497" i="6" s="1"/>
  <c r="AO501" i="6"/>
  <c r="AP501" i="6" s="1"/>
  <c r="AO505" i="6"/>
  <c r="AP505" i="6" s="1"/>
  <c r="AO509" i="6"/>
  <c r="AP509" i="6" s="1"/>
  <c r="AO513" i="6"/>
  <c r="AP513" i="6" s="1"/>
  <c r="AO517" i="6"/>
  <c r="AP517" i="6" s="1"/>
  <c r="AO521" i="6"/>
  <c r="AP521" i="6" s="1"/>
  <c r="AO525" i="6"/>
  <c r="AP525" i="6" s="1"/>
  <c r="AO529" i="6"/>
  <c r="AP529" i="6" s="1"/>
  <c r="AO533" i="6"/>
  <c r="AP533" i="6" s="1"/>
  <c r="AO537" i="6"/>
  <c r="AP537" i="6" s="1"/>
  <c r="AO541" i="6"/>
  <c r="AP541" i="6" s="1"/>
  <c r="AO545" i="6"/>
  <c r="AP545" i="6" s="1"/>
  <c r="AO549" i="6"/>
  <c r="AP549" i="6" s="1"/>
  <c r="AO553" i="6"/>
  <c r="AP553" i="6" s="1"/>
  <c r="AO557" i="6"/>
  <c r="AP557" i="6" s="1"/>
  <c r="AO561" i="6"/>
  <c r="AP561" i="6" s="1"/>
  <c r="AO565" i="6"/>
  <c r="AP565" i="6" s="1"/>
  <c r="AO569" i="6"/>
  <c r="AP569" i="6" s="1"/>
  <c r="AO573" i="6"/>
  <c r="AP573" i="6" s="1"/>
  <c r="AO577" i="6"/>
  <c r="AP577" i="6" s="1"/>
  <c r="AO581" i="6"/>
  <c r="AP581" i="6" s="1"/>
  <c r="AO585" i="6"/>
  <c r="AP585" i="6" s="1"/>
  <c r="AO589" i="6"/>
  <c r="AP589" i="6" s="1"/>
  <c r="AO593" i="6"/>
  <c r="AP593" i="6" s="1"/>
  <c r="AO597" i="6"/>
  <c r="AP597" i="6" s="1"/>
  <c r="AO601" i="6"/>
  <c r="AP601" i="6" s="1"/>
  <c r="AO605" i="6"/>
  <c r="AP605" i="6" s="1"/>
  <c r="AO609" i="6"/>
  <c r="AP609" i="6" s="1"/>
  <c r="AO613" i="6"/>
  <c r="AP613" i="6" s="1"/>
  <c r="AO617" i="6"/>
  <c r="AP617" i="6" s="1"/>
  <c r="AO621" i="6"/>
  <c r="AP621" i="6" s="1"/>
  <c r="AO625" i="6"/>
  <c r="AP625" i="6" s="1"/>
  <c r="AO629" i="6"/>
  <c r="AP629" i="6" s="1"/>
  <c r="AO633" i="6"/>
  <c r="AP633" i="6" s="1"/>
  <c r="AO637" i="6"/>
  <c r="AP637" i="6" s="1"/>
  <c r="AO641" i="6"/>
  <c r="AP641" i="6" s="1"/>
  <c r="AO645" i="6"/>
  <c r="AP645" i="6" s="1"/>
  <c r="AO649" i="6"/>
  <c r="AP649" i="6" s="1"/>
  <c r="AO653" i="6"/>
  <c r="AP653" i="6" s="1"/>
  <c r="AO657" i="6"/>
  <c r="AP657" i="6" s="1"/>
  <c r="AO661" i="6"/>
  <c r="AP661" i="6" s="1"/>
  <c r="AO665" i="6"/>
  <c r="AP665" i="6" s="1"/>
  <c r="AO669" i="6"/>
  <c r="AP669" i="6" s="1"/>
  <c r="AO673" i="6"/>
  <c r="AP673" i="6" s="1"/>
  <c r="AO677" i="6"/>
  <c r="AP677" i="6" s="1"/>
  <c r="AO681" i="6"/>
  <c r="AP681" i="6" s="1"/>
  <c r="AO685" i="6"/>
  <c r="AP685" i="6" s="1"/>
  <c r="AO689" i="6"/>
  <c r="AP689" i="6" s="1"/>
  <c r="AO693" i="6"/>
  <c r="AP693" i="6" s="1"/>
  <c r="AO697" i="6"/>
  <c r="AP697" i="6" s="1"/>
  <c r="AO701" i="6"/>
  <c r="AP701" i="6" s="1"/>
  <c r="AO705" i="6"/>
  <c r="AP705" i="6" s="1"/>
  <c r="AO709" i="6"/>
  <c r="AP709" i="6" s="1"/>
  <c r="AO713" i="6"/>
  <c r="AP713" i="6" s="1"/>
  <c r="AO717" i="6"/>
  <c r="AP717" i="6" s="1"/>
  <c r="AO721" i="6"/>
  <c r="AP721" i="6" s="1"/>
  <c r="AO725" i="6"/>
  <c r="AP725" i="6" s="1"/>
  <c r="AO729" i="6"/>
  <c r="AP729" i="6" s="1"/>
  <c r="AO733" i="6"/>
  <c r="AP733" i="6" s="1"/>
  <c r="AO737" i="6"/>
  <c r="AP737" i="6" s="1"/>
  <c r="AO741" i="6"/>
  <c r="AP741" i="6" s="1"/>
  <c r="AO745" i="6"/>
  <c r="AP745" i="6" s="1"/>
  <c r="AO749" i="6"/>
  <c r="AP749" i="6" s="1"/>
  <c r="AO753" i="6"/>
  <c r="AP753" i="6" s="1"/>
  <c r="AO757" i="6"/>
  <c r="AP757" i="6" s="1"/>
  <c r="AO761" i="6"/>
  <c r="AP761" i="6" s="1"/>
  <c r="AO765" i="6"/>
  <c r="AP765" i="6" s="1"/>
  <c r="AO769" i="6"/>
  <c r="AP769" i="6" s="1"/>
  <c r="AO773" i="6"/>
  <c r="AP773" i="6" s="1"/>
  <c r="AO777" i="6"/>
  <c r="AP777" i="6" s="1"/>
  <c r="AO781" i="6"/>
  <c r="AP781" i="6" s="1"/>
  <c r="AO785" i="6"/>
  <c r="AP785" i="6" s="1"/>
  <c r="AO789" i="6"/>
  <c r="AP789" i="6" s="1"/>
  <c r="AO793" i="6"/>
  <c r="AP793" i="6" s="1"/>
  <c r="AO797" i="6"/>
  <c r="AP797" i="6" s="1"/>
  <c r="AO801" i="6"/>
  <c r="AP801" i="6" s="1"/>
  <c r="AO805" i="6"/>
  <c r="AP805" i="6" s="1"/>
  <c r="AO809" i="6"/>
  <c r="AP809" i="6" s="1"/>
  <c r="AO813" i="6"/>
  <c r="AP813" i="6" s="1"/>
  <c r="AO817" i="6"/>
  <c r="AP817" i="6" s="1"/>
  <c r="AO821" i="6"/>
  <c r="AP821" i="6" s="1"/>
  <c r="AO825" i="6"/>
  <c r="AP825" i="6" s="1"/>
  <c r="AO829" i="6"/>
  <c r="AP829" i="6" s="1"/>
  <c r="AO833" i="6"/>
  <c r="AP833" i="6" s="1"/>
  <c r="AO837" i="6"/>
  <c r="AP837" i="6" s="1"/>
  <c r="AO841" i="6"/>
  <c r="AP841" i="6" s="1"/>
  <c r="AO845" i="6"/>
  <c r="AP845" i="6" s="1"/>
  <c r="AO849" i="6"/>
  <c r="AP849" i="6" s="1"/>
  <c r="AO853" i="6"/>
  <c r="AP853" i="6" s="1"/>
  <c r="AO857" i="6"/>
  <c r="AP857" i="6" s="1"/>
  <c r="AO861" i="6"/>
  <c r="AP861" i="6" s="1"/>
  <c r="AO865" i="6"/>
  <c r="AP865" i="6" s="1"/>
  <c r="AO869" i="6"/>
  <c r="AP869" i="6" s="1"/>
  <c r="AO873" i="6"/>
  <c r="AP873" i="6" s="1"/>
  <c r="AO877" i="6"/>
  <c r="AP877" i="6" s="1"/>
  <c r="AO881" i="6"/>
  <c r="AP881" i="6" s="1"/>
  <c r="AO885" i="6"/>
  <c r="AP885" i="6" s="1"/>
  <c r="AO889" i="6"/>
  <c r="AP889" i="6" s="1"/>
  <c r="AO893" i="6"/>
  <c r="AP893" i="6" s="1"/>
  <c r="AO897" i="6"/>
  <c r="AP897" i="6" s="1"/>
  <c r="AO901" i="6"/>
  <c r="AP901" i="6" s="1"/>
  <c r="AO905" i="6"/>
  <c r="AP905" i="6" s="1"/>
  <c r="AO909" i="6"/>
  <c r="AP909" i="6" s="1"/>
  <c r="AO913" i="6"/>
  <c r="AP913" i="6" s="1"/>
  <c r="AO917" i="6"/>
  <c r="AP917" i="6" s="1"/>
  <c r="AO921" i="6"/>
  <c r="AP921" i="6" s="1"/>
  <c r="AO925" i="6"/>
  <c r="AP925" i="6" s="1"/>
  <c r="AO929" i="6"/>
  <c r="AP929" i="6" s="1"/>
  <c r="AO933" i="6"/>
  <c r="AP933" i="6" s="1"/>
  <c r="AO937" i="6"/>
  <c r="AP937" i="6" s="1"/>
  <c r="AO941" i="6"/>
  <c r="AP941" i="6" s="1"/>
  <c r="AO945" i="6"/>
  <c r="AP945" i="6" s="1"/>
  <c r="AO949" i="6"/>
  <c r="AP949" i="6" s="1"/>
  <c r="AO953" i="6"/>
  <c r="AP953" i="6" s="1"/>
  <c r="AO957" i="6"/>
  <c r="AP957" i="6" s="1"/>
  <c r="AO961" i="6"/>
  <c r="AP961" i="6" s="1"/>
  <c r="AO965" i="6"/>
  <c r="AP965" i="6" s="1"/>
  <c r="AO969" i="6"/>
  <c r="AP969" i="6" s="1"/>
  <c r="AO973" i="6"/>
  <c r="AP973" i="6" s="1"/>
  <c r="AO977" i="6"/>
  <c r="AP977" i="6" s="1"/>
  <c r="AO981" i="6"/>
  <c r="AP981" i="6" s="1"/>
  <c r="AO985" i="6"/>
  <c r="AP985" i="6" s="1"/>
  <c r="AO989" i="6"/>
  <c r="AP989" i="6" s="1"/>
  <c r="AO993" i="6"/>
  <c r="AP993" i="6" s="1"/>
  <c r="AO997" i="6"/>
  <c r="AP997" i="6" s="1"/>
  <c r="AO1001" i="6"/>
  <c r="AP1001" i="6" s="1"/>
  <c r="AO1005" i="6"/>
  <c r="AP1005" i="6" s="1"/>
  <c r="AO1009" i="6"/>
  <c r="AP1009" i="6" s="1"/>
  <c r="AO1013" i="6"/>
  <c r="AP1013" i="6" s="1"/>
  <c r="AO1017" i="6"/>
  <c r="AP1017" i="6" s="1"/>
  <c r="AO1021" i="6"/>
  <c r="AP1021" i="6" s="1"/>
  <c r="AO1025" i="6"/>
  <c r="AP1025" i="6" s="1"/>
  <c r="AO1029" i="6"/>
  <c r="AP1029" i="6" s="1"/>
  <c r="AO1033" i="6"/>
  <c r="AP1033" i="6" s="1"/>
  <c r="AO1037" i="6"/>
  <c r="AP1037" i="6" s="1"/>
  <c r="AO1041" i="6"/>
  <c r="AP1041" i="6" s="1"/>
  <c r="AO1045" i="6"/>
  <c r="AP1045" i="6" s="1"/>
  <c r="AO1049" i="6"/>
  <c r="AP1049" i="6" s="1"/>
  <c r="AO1053" i="6"/>
  <c r="AP1053" i="6" s="1"/>
  <c r="AO1057" i="6"/>
  <c r="AP1057" i="6" s="1"/>
  <c r="AO1061" i="6"/>
  <c r="AP1061" i="6" s="1"/>
  <c r="AO1065" i="6"/>
  <c r="AP1065" i="6" s="1"/>
  <c r="AO1069" i="6"/>
  <c r="AP1069" i="6" s="1"/>
  <c r="AO1073" i="6"/>
  <c r="AP1073" i="6" s="1"/>
  <c r="AO1077" i="6"/>
  <c r="AP1077" i="6" s="1"/>
  <c r="AO1081" i="6"/>
  <c r="AP1081" i="6" s="1"/>
  <c r="AO1085" i="6"/>
  <c r="AP1085" i="6" s="1"/>
  <c r="AO1089" i="6"/>
  <c r="AP1089" i="6" s="1"/>
  <c r="AO1093" i="6"/>
  <c r="AP1093" i="6" s="1"/>
  <c r="AO1097" i="6"/>
  <c r="AP1097" i="6" s="1"/>
  <c r="AO1101" i="6"/>
  <c r="AP1101" i="6" s="1"/>
  <c r="AO1105" i="6"/>
  <c r="AP1105" i="6" s="1"/>
  <c r="AO1109" i="6"/>
  <c r="AP1109" i="6" s="1"/>
  <c r="AO1113" i="6"/>
  <c r="AP1113" i="6" s="1"/>
  <c r="AO1117" i="6"/>
  <c r="AP1117" i="6" s="1"/>
  <c r="AO1121" i="6"/>
  <c r="AP1121" i="6" s="1"/>
  <c r="AO1125" i="6"/>
  <c r="AP1125" i="6" s="1"/>
  <c r="AO1129" i="6"/>
  <c r="AP1129" i="6" s="1"/>
  <c r="AO1133" i="6"/>
  <c r="AP1133" i="6" s="1"/>
  <c r="AO1137" i="6"/>
  <c r="AP1137" i="6" s="1"/>
  <c r="AO1141" i="6"/>
  <c r="AP1141" i="6" s="1"/>
  <c r="AO1145" i="6"/>
  <c r="AP1145" i="6" s="1"/>
  <c r="AO1149" i="6"/>
  <c r="AP1149" i="6" s="1"/>
  <c r="AO1153" i="6"/>
  <c r="AP1153" i="6" s="1"/>
  <c r="AO1157" i="6"/>
  <c r="AP1157" i="6" s="1"/>
  <c r="AO1161" i="6"/>
  <c r="AP1161" i="6" s="1"/>
  <c r="AO1165" i="6"/>
  <c r="AP1165" i="6" s="1"/>
  <c r="AO1169" i="6"/>
  <c r="AP1169" i="6" s="1"/>
  <c r="AO1173" i="6"/>
  <c r="AP1173" i="6" s="1"/>
  <c r="AO1177" i="6"/>
  <c r="AP1177" i="6" s="1"/>
  <c r="AO1181" i="6"/>
  <c r="AP1181" i="6" s="1"/>
  <c r="AO1185" i="6"/>
  <c r="AP1185" i="6" s="1"/>
  <c r="AO1189" i="6"/>
  <c r="AP1189" i="6" s="1"/>
  <c r="AO1193" i="6"/>
  <c r="AP1193" i="6" s="1"/>
  <c r="AO1197" i="6"/>
  <c r="AP1197" i="6" s="1"/>
  <c r="AO1201" i="6"/>
  <c r="AP1201" i="6" s="1"/>
  <c r="AO1205" i="6"/>
  <c r="AP1205" i="6" s="1"/>
  <c r="AO1209" i="6"/>
  <c r="AP1209" i="6" s="1"/>
  <c r="AO1213" i="6"/>
  <c r="AP1213" i="6" s="1"/>
  <c r="AO1217" i="6"/>
  <c r="AP1217" i="6" s="1"/>
  <c r="AO1221" i="6"/>
  <c r="AP1221" i="6" s="1"/>
  <c r="AO1225" i="6"/>
  <c r="AP1225" i="6" s="1"/>
  <c r="AO1229" i="6"/>
  <c r="AP1229" i="6" s="1"/>
  <c r="AO1233" i="6"/>
  <c r="AP1233" i="6" s="1"/>
  <c r="AO1237" i="6"/>
  <c r="AP1237" i="6" s="1"/>
  <c r="AO1241" i="6"/>
  <c r="AP1241" i="6" s="1"/>
  <c r="AO1245" i="6"/>
  <c r="AP1245" i="6" s="1"/>
  <c r="AO1249" i="6"/>
  <c r="AP1249" i="6" s="1"/>
  <c r="AO1253" i="6"/>
  <c r="AP1253" i="6" s="1"/>
  <c r="AO1257" i="6"/>
  <c r="AP1257" i="6" s="1"/>
  <c r="AO1261" i="6"/>
  <c r="AP1261" i="6" s="1"/>
  <c r="AO1265" i="6"/>
  <c r="AP1265" i="6" s="1"/>
  <c r="AO1269" i="6"/>
  <c r="AP1269" i="6" s="1"/>
  <c r="AO1273" i="6"/>
  <c r="AP1273" i="6" s="1"/>
  <c r="AO1277" i="6"/>
  <c r="AP1277" i="6" s="1"/>
  <c r="AO1281" i="6"/>
  <c r="AP1281" i="6" s="1"/>
  <c r="AO1285" i="6"/>
  <c r="AP1285" i="6" s="1"/>
  <c r="AO1289" i="6"/>
  <c r="AP1289" i="6" s="1"/>
  <c r="AO1293" i="6"/>
  <c r="AP1293" i="6" s="1"/>
  <c r="AO1297" i="6"/>
  <c r="AP1297" i="6" s="1"/>
  <c r="AO1301" i="6"/>
  <c r="AP1301" i="6" s="1"/>
  <c r="AO1305" i="6"/>
  <c r="AP1305" i="6" s="1"/>
  <c r="AO1309" i="6"/>
  <c r="AP1309" i="6" s="1"/>
  <c r="AO1313" i="6"/>
  <c r="AP1313" i="6" s="1"/>
  <c r="AO1317" i="6"/>
  <c r="AP1317" i="6" s="1"/>
  <c r="AO1321" i="6"/>
  <c r="AP1321" i="6" s="1"/>
  <c r="AO1325" i="6"/>
  <c r="AP1325" i="6" s="1"/>
  <c r="AO1329" i="6"/>
  <c r="AP1329" i="6" s="1"/>
  <c r="AO1333" i="6"/>
  <c r="AP1333" i="6" s="1"/>
  <c r="AO1337" i="6"/>
  <c r="AP1337" i="6" s="1"/>
  <c r="AO1341" i="6"/>
  <c r="AP1341" i="6" s="1"/>
  <c r="AO1345" i="6"/>
  <c r="AP1345" i="6" s="1"/>
  <c r="AO1349" i="6"/>
  <c r="AP1349" i="6" s="1"/>
  <c r="AO1353" i="6"/>
  <c r="AP1353" i="6" s="1"/>
  <c r="AO1355" i="6"/>
  <c r="AP1355" i="6" s="1"/>
  <c r="AO1357" i="6"/>
  <c r="AP1357" i="6" s="1"/>
  <c r="AO1361" i="6"/>
  <c r="AP1361" i="6" s="1"/>
  <c r="AO1365" i="6"/>
  <c r="AP1365" i="6" s="1"/>
  <c r="AO1369" i="6"/>
  <c r="AP1369" i="6" s="1"/>
  <c r="AO1373" i="6"/>
  <c r="AP1373" i="6" s="1"/>
  <c r="AO1377" i="6"/>
  <c r="AP1377" i="6" s="1"/>
  <c r="AO1381" i="6"/>
  <c r="AP1381" i="6" s="1"/>
  <c r="AO1385" i="6"/>
  <c r="AP1385" i="6" s="1"/>
  <c r="AO1389" i="6"/>
  <c r="AP1389" i="6" s="1"/>
  <c r="AO1393" i="6"/>
  <c r="AP1393" i="6" s="1"/>
  <c r="AO1397" i="6"/>
  <c r="AP1397" i="6" s="1"/>
  <c r="AO1401" i="6"/>
  <c r="AP1401" i="6" s="1"/>
  <c r="AO1405" i="6"/>
  <c r="AP1405" i="6" s="1"/>
  <c r="AO1409" i="6"/>
  <c r="AP1409" i="6" s="1"/>
  <c r="AO1413" i="6"/>
  <c r="AP1413" i="6" s="1"/>
  <c r="AO1417" i="6"/>
  <c r="AP1417" i="6" s="1"/>
  <c r="AO1421" i="6"/>
  <c r="AP1421" i="6" s="1"/>
  <c r="AO1425" i="6"/>
  <c r="AP1425" i="6" s="1"/>
  <c r="AO1429" i="6"/>
  <c r="AP1429" i="6" s="1"/>
  <c r="AO1433" i="6"/>
  <c r="AP1433" i="6" s="1"/>
  <c r="AO1437" i="6"/>
  <c r="AP1437" i="6" s="1"/>
  <c r="AO1441" i="6"/>
  <c r="AP1441" i="6" s="1"/>
  <c r="AO1445" i="6"/>
  <c r="AP1445" i="6" s="1"/>
  <c r="AO1449" i="6"/>
  <c r="AP1449" i="6" s="1"/>
  <c r="AO1453" i="6"/>
  <c r="AP1453" i="6" s="1"/>
  <c r="AO1457" i="6"/>
  <c r="AP1457" i="6" s="1"/>
  <c r="AO1461" i="6"/>
  <c r="AP1461" i="6" s="1"/>
  <c r="AO1465" i="6"/>
  <c r="AP1465" i="6" s="1"/>
  <c r="AO1469" i="6"/>
  <c r="AP1469" i="6" s="1"/>
  <c r="AO1473" i="6"/>
  <c r="AP1473" i="6" s="1"/>
  <c r="AO1477" i="6"/>
  <c r="AP1477" i="6" s="1"/>
  <c r="AO1481" i="6"/>
  <c r="AP1481" i="6" s="1"/>
  <c r="AO1485" i="6"/>
  <c r="AP1485" i="6" s="1"/>
  <c r="AO1489" i="6"/>
  <c r="AP1489" i="6" s="1"/>
  <c r="AO1493" i="6"/>
  <c r="AP1493" i="6" s="1"/>
  <c r="AO1497" i="6"/>
  <c r="AP1497" i="6" s="1"/>
  <c r="AO1501" i="6"/>
  <c r="AP1501" i="6" s="1"/>
  <c r="AO1505" i="6"/>
  <c r="AP1505" i="6" s="1"/>
  <c r="AO1509" i="6"/>
  <c r="AP1509" i="6" s="1"/>
  <c r="AO1513" i="6"/>
  <c r="AP1513" i="6" s="1"/>
  <c r="AO1517" i="6"/>
  <c r="AP1517" i="6" s="1"/>
  <c r="AO1521" i="6"/>
  <c r="AP1521" i="6" s="1"/>
  <c r="AO1525" i="6"/>
  <c r="AP1525" i="6" s="1"/>
  <c r="AO1529" i="6"/>
  <c r="AP1529" i="6" s="1"/>
  <c r="AO1533" i="6"/>
  <c r="AP1533" i="6" s="1"/>
  <c r="AO1537" i="6"/>
  <c r="AP1537" i="6" s="1"/>
  <c r="AO1541" i="6"/>
  <c r="AP1541" i="6" s="1"/>
  <c r="AO1545" i="6"/>
  <c r="AP1545" i="6" s="1"/>
  <c r="AO1549" i="6"/>
  <c r="AP1549" i="6" s="1"/>
  <c r="AO1553" i="6"/>
  <c r="AP1553" i="6" s="1"/>
  <c r="AO1557" i="6"/>
  <c r="AP1557" i="6" s="1"/>
  <c r="AO1561" i="6"/>
  <c r="AP1561" i="6" s="1"/>
  <c r="AO1565" i="6"/>
  <c r="AP1565" i="6" s="1"/>
  <c r="AO1569" i="6"/>
  <c r="AP1569" i="6" s="1"/>
  <c r="AO1573" i="6"/>
  <c r="AP1573" i="6" s="1"/>
  <c r="AO1577" i="6"/>
  <c r="AP1577" i="6" s="1"/>
  <c r="AO1581" i="6"/>
  <c r="AP1581" i="6" s="1"/>
  <c r="AO1585" i="6"/>
  <c r="AP1585" i="6" s="1"/>
  <c r="AO1589" i="6"/>
  <c r="AP1589" i="6" s="1"/>
  <c r="AO1593" i="6"/>
  <c r="AP1593" i="6" s="1"/>
  <c r="AO1597" i="6"/>
  <c r="AP1597" i="6" s="1"/>
  <c r="AO1601" i="6"/>
  <c r="AP1601" i="6" s="1"/>
  <c r="AO1605" i="6"/>
  <c r="AP1605" i="6" s="1"/>
  <c r="AO1609" i="6"/>
  <c r="AP1609" i="6" s="1"/>
  <c r="AO1613" i="6"/>
  <c r="AP1613" i="6" s="1"/>
  <c r="AO1617" i="6"/>
  <c r="AP1617" i="6" s="1"/>
  <c r="AO1621" i="6"/>
  <c r="AP1621" i="6" s="1"/>
  <c r="AO1625" i="6"/>
  <c r="AP1625" i="6" s="1"/>
  <c r="AO1629" i="6"/>
  <c r="AP1629" i="6" s="1"/>
  <c r="AO1633" i="6"/>
  <c r="AP1633" i="6" s="1"/>
  <c r="AO1637" i="6"/>
  <c r="AP1637" i="6" s="1"/>
  <c r="AO1641" i="6"/>
  <c r="AP1641" i="6" s="1"/>
  <c r="AO1645" i="6"/>
  <c r="AP1645" i="6" s="1"/>
  <c r="AO1649" i="6"/>
  <c r="AP1649" i="6" s="1"/>
  <c r="AO1653" i="6"/>
  <c r="AP1653" i="6" s="1"/>
  <c r="AO1657" i="6"/>
  <c r="AP1657" i="6" s="1"/>
  <c r="AO1661" i="6"/>
  <c r="AP1661" i="6" s="1"/>
  <c r="AO1665" i="6"/>
  <c r="AP1665" i="6" s="1"/>
  <c r="AO1669" i="6"/>
  <c r="AP1669" i="6" s="1"/>
  <c r="AO1673" i="6"/>
  <c r="AP1673" i="6" s="1"/>
  <c r="AO1677" i="6"/>
  <c r="AP1677" i="6" s="1"/>
  <c r="AO1681" i="6"/>
  <c r="AP1681" i="6" s="1"/>
  <c r="AO1685" i="6"/>
  <c r="AP1685" i="6" s="1"/>
  <c r="AO1689" i="6"/>
  <c r="AP1689" i="6" s="1"/>
  <c r="AO1693" i="6"/>
  <c r="AP1693" i="6" s="1"/>
  <c r="AO1697" i="6"/>
  <c r="AP1697" i="6" s="1"/>
  <c r="AO1701" i="6"/>
  <c r="AP1701" i="6" s="1"/>
  <c r="AO1705" i="6"/>
  <c r="AP1705" i="6" s="1"/>
  <c r="AO1709" i="6"/>
  <c r="AP1709" i="6" s="1"/>
  <c r="AO1713" i="6"/>
  <c r="AP1713" i="6" s="1"/>
  <c r="AO1717" i="6"/>
  <c r="AP1717" i="6" s="1"/>
  <c r="AO1721" i="6"/>
  <c r="AP1721" i="6" s="1"/>
  <c r="AO1725" i="6"/>
  <c r="AP1725" i="6" s="1"/>
  <c r="AO1729" i="6"/>
  <c r="AP1729" i="6" s="1"/>
  <c r="AO1733" i="6"/>
  <c r="AP1733" i="6" s="1"/>
  <c r="AO1737" i="6"/>
  <c r="AP1737" i="6" s="1"/>
  <c r="AO1741" i="6"/>
  <c r="AP1741" i="6" s="1"/>
  <c r="AO1745" i="6"/>
  <c r="AP1745" i="6" s="1"/>
  <c r="AO1749" i="6"/>
  <c r="AP1749" i="6" s="1"/>
  <c r="AO1753" i="6"/>
  <c r="AP1753" i="6" s="1"/>
  <c r="AO1757" i="6"/>
  <c r="AP1757" i="6" s="1"/>
  <c r="AO1761" i="6"/>
  <c r="AP1761" i="6" s="1"/>
  <c r="AO1765" i="6"/>
  <c r="AP1765" i="6" s="1"/>
  <c r="AO1769" i="6"/>
  <c r="AP1769" i="6" s="1"/>
  <c r="AO1773" i="6"/>
  <c r="AP1773" i="6" s="1"/>
  <c r="AO1777" i="6"/>
  <c r="AP1777" i="6" s="1"/>
  <c r="AO1781" i="6"/>
  <c r="AP1781" i="6" s="1"/>
  <c r="AO1785" i="6"/>
  <c r="AP1785" i="6" s="1"/>
  <c r="AO1789" i="6"/>
  <c r="AP1789" i="6" s="1"/>
  <c r="AO1793" i="6"/>
  <c r="AP1793" i="6" s="1"/>
  <c r="AO1797" i="6"/>
  <c r="AP1797" i="6" s="1"/>
  <c r="AO1801" i="6"/>
  <c r="AP1801" i="6" s="1"/>
  <c r="AO1805" i="6"/>
  <c r="AP1805" i="6" s="1"/>
  <c r="AO1809" i="6"/>
  <c r="AP1809" i="6" s="1"/>
  <c r="AO1813" i="6"/>
  <c r="AP1813" i="6" s="1"/>
  <c r="AO1817" i="6"/>
  <c r="AP1817" i="6" s="1"/>
  <c r="AO1821" i="6"/>
  <c r="AP1821" i="6" s="1"/>
  <c r="AO1825" i="6"/>
  <c r="AP1825" i="6" s="1"/>
  <c r="AO1829" i="6"/>
  <c r="AP1829" i="6" s="1"/>
  <c r="AO1833" i="6"/>
  <c r="AP1833" i="6" s="1"/>
  <c r="AO1837" i="6"/>
  <c r="AP1837" i="6" s="1"/>
  <c r="AO1841" i="6"/>
  <c r="AP1841" i="6" s="1"/>
  <c r="AO1845" i="6"/>
  <c r="AP1845" i="6" s="1"/>
  <c r="AO1849" i="6"/>
  <c r="AP1849" i="6" s="1"/>
  <c r="AO1853" i="6"/>
  <c r="AP1853" i="6" s="1"/>
  <c r="AO1857" i="6"/>
  <c r="AP1857" i="6" s="1"/>
  <c r="AO1861" i="6"/>
  <c r="AP1861" i="6" s="1"/>
  <c r="AO1865" i="6"/>
  <c r="AP1865" i="6" s="1"/>
  <c r="AO1869" i="6"/>
  <c r="AP1869" i="6" s="1"/>
  <c r="AO1873" i="6"/>
  <c r="AP1873" i="6" s="1"/>
  <c r="AO1877" i="6"/>
  <c r="AP1877" i="6" s="1"/>
  <c r="AO1881" i="6"/>
  <c r="AP1881" i="6" s="1"/>
  <c r="AO1885" i="6"/>
  <c r="AP1885" i="6" s="1"/>
  <c r="AO1889" i="6"/>
  <c r="AP1889" i="6" s="1"/>
  <c r="AO1893" i="6"/>
  <c r="AP1893" i="6" s="1"/>
  <c r="AO1897" i="6"/>
  <c r="AP1897" i="6" s="1"/>
  <c r="AO1901" i="6"/>
  <c r="AP1901" i="6" s="1"/>
  <c r="AO1905" i="6"/>
  <c r="AP1905" i="6" s="1"/>
  <c r="AO1909" i="6"/>
  <c r="AP1909" i="6" s="1"/>
  <c r="AO1913" i="6"/>
  <c r="AP1913" i="6" s="1"/>
  <c r="AO1917" i="6"/>
  <c r="AP1917" i="6" s="1"/>
  <c r="AO1921" i="6"/>
  <c r="AP1921" i="6" s="1"/>
  <c r="AO1925" i="6"/>
  <c r="AP1925" i="6" s="1"/>
  <c r="AO1929" i="6"/>
  <c r="AP1929" i="6" s="1"/>
  <c r="AO1933" i="6"/>
  <c r="AP1933" i="6" s="1"/>
  <c r="AO1937" i="6"/>
  <c r="AP1937" i="6" s="1"/>
  <c r="AO1941" i="6"/>
  <c r="AP1941" i="6" s="1"/>
  <c r="AO1945" i="6"/>
  <c r="AP1945" i="6" s="1"/>
  <c r="AO1949" i="6"/>
  <c r="AP1949" i="6" s="1"/>
  <c r="AO1953" i="6"/>
  <c r="AP1953" i="6" s="1"/>
  <c r="AO1957" i="6"/>
  <c r="AP1957" i="6" s="1"/>
  <c r="AO1961" i="6"/>
  <c r="AP1961" i="6" s="1"/>
  <c r="AO1965" i="6"/>
  <c r="AP1965" i="6" s="1"/>
  <c r="AO1969" i="6"/>
  <c r="AP1969" i="6" s="1"/>
  <c r="AO1973" i="6"/>
  <c r="AP1973" i="6" s="1"/>
  <c r="AO1977" i="6"/>
  <c r="AP1977" i="6" s="1"/>
  <c r="AO1981" i="6"/>
  <c r="AP1981" i="6" s="1"/>
  <c r="AO1985" i="6"/>
  <c r="AP1985" i="6" s="1"/>
  <c r="AO1989" i="6"/>
  <c r="AP1989" i="6" s="1"/>
  <c r="AO1993" i="6"/>
  <c r="AP1993" i="6" s="1"/>
  <c r="AO1997" i="6"/>
  <c r="AP1997" i="6" s="1"/>
  <c r="AO2001" i="6"/>
  <c r="AP2001" i="6" s="1"/>
  <c r="AO2005" i="6"/>
  <c r="AP2005" i="6" s="1"/>
  <c r="AJ9" i="6"/>
  <c r="AK9" i="6" s="1"/>
  <c r="AJ32" i="6"/>
  <c r="AK32" i="6" s="1"/>
  <c r="AJ96" i="6"/>
  <c r="AK96" i="6" s="1"/>
  <c r="AJ160" i="6"/>
  <c r="AK160" i="6" s="1"/>
  <c r="AJ224" i="6"/>
  <c r="AK224" i="6" s="1"/>
  <c r="AJ288" i="6"/>
  <c r="AK288" i="6" s="1"/>
  <c r="AJ1604" i="6"/>
  <c r="AK1604" i="6" s="1"/>
  <c r="AJ1608" i="6"/>
  <c r="AK1608" i="6" s="1"/>
  <c r="AJ1612" i="6"/>
  <c r="AK1612" i="6" s="1"/>
  <c r="AJ1616" i="6"/>
  <c r="AK1616" i="6" s="1"/>
  <c r="AJ1620" i="6"/>
  <c r="AK1620" i="6" s="1"/>
  <c r="AJ1624" i="6"/>
  <c r="AK1624" i="6" s="1"/>
  <c r="AJ1628" i="6"/>
  <c r="AK1628" i="6" s="1"/>
  <c r="AJ1636" i="6"/>
  <c r="AK1636" i="6" s="1"/>
  <c r="AJ1644" i="6"/>
  <c r="AK1644" i="6" s="1"/>
  <c r="AJ1664" i="6"/>
  <c r="AK1664" i="6" s="1"/>
  <c r="AJ1672" i="6"/>
  <c r="AK1672" i="6" s="1"/>
  <c r="AJ1680" i="6"/>
  <c r="AK1680" i="6" s="1"/>
  <c r="AJ1688" i="6"/>
  <c r="AK1688" i="6" s="1"/>
  <c r="AJ1696" i="6"/>
  <c r="AK1696" i="6" s="1"/>
  <c r="AJ1708" i="6"/>
  <c r="AK1708" i="6" s="1"/>
  <c r="AJ1712" i="6"/>
  <c r="AK1712" i="6" s="1"/>
  <c r="AJ1720" i="6"/>
  <c r="AK1720" i="6" s="1"/>
  <c r="AJ1732" i="6"/>
  <c r="AK1732" i="6" s="1"/>
  <c r="AJ1736" i="6"/>
  <c r="AK1736" i="6" s="1"/>
  <c r="AJ1748" i="6"/>
  <c r="AK1748" i="6" s="1"/>
  <c r="AJ1752" i="6"/>
  <c r="AK1752" i="6" s="1"/>
  <c r="AJ1756" i="6"/>
  <c r="AK1756" i="6" s="1"/>
  <c r="AJ1764" i="6"/>
  <c r="AK1764" i="6" s="1"/>
  <c r="AJ1768" i="6"/>
  <c r="AK1768" i="6" s="1"/>
  <c r="AJ1776" i="6"/>
  <c r="AK1776" i="6" s="1"/>
  <c r="AJ1784" i="6"/>
  <c r="AK1784" i="6" s="1"/>
  <c r="AJ1792" i="6"/>
  <c r="AK1792" i="6" s="1"/>
  <c r="AJ1804" i="6"/>
  <c r="AK1804" i="6" s="1"/>
  <c r="AJ1808" i="6"/>
  <c r="AK1808" i="6" s="1"/>
  <c r="AJ1812" i="6"/>
  <c r="AK1812" i="6" s="1"/>
  <c r="AE159" i="6"/>
  <c r="AE223" i="6"/>
  <c r="AE415" i="6"/>
  <c r="AE543" i="6"/>
  <c r="AE991" i="6"/>
  <c r="AE999" i="6"/>
  <c r="AE1007" i="6"/>
  <c r="AE1015" i="6"/>
  <c r="AE1023" i="6"/>
  <c r="AE1031" i="6"/>
  <c r="AE1051" i="6"/>
  <c r="AE1059" i="6"/>
  <c r="AE1067" i="6"/>
  <c r="AE1079" i="6"/>
  <c r="AE1083" i="6"/>
  <c r="AE1087" i="6"/>
  <c r="AE1095" i="6"/>
  <c r="AE1103" i="6"/>
  <c r="AE1107" i="6"/>
  <c r="AE1111" i="6"/>
  <c r="AE1115" i="6"/>
  <c r="AE1119" i="6"/>
  <c r="AE1123" i="6"/>
  <c r="AE1127" i="6"/>
  <c r="AE1131" i="6"/>
  <c r="AE1135" i="6"/>
  <c r="AE1139" i="6"/>
  <c r="AE1147" i="6"/>
  <c r="AE1155" i="6"/>
  <c r="AE1159" i="6"/>
  <c r="AE1163" i="6"/>
  <c r="AE1167" i="6"/>
  <c r="AE1175" i="6"/>
  <c r="AE1183" i="6"/>
  <c r="AE1199" i="6"/>
  <c r="AE1207" i="6"/>
  <c r="AE1211" i="6"/>
  <c r="AE1215" i="6"/>
  <c r="AE1219" i="6"/>
  <c r="AE1231" i="6"/>
  <c r="AE1235" i="6"/>
  <c r="AE1239" i="6"/>
  <c r="AE1243" i="6"/>
  <c r="AE1247" i="6"/>
  <c r="AE1251" i="6"/>
  <c r="AE1255" i="6"/>
  <c r="AE1259" i="6"/>
  <c r="AE1263" i="6"/>
  <c r="AE1267" i="6"/>
  <c r="AE1271" i="6"/>
  <c r="AE1279" i="6"/>
  <c r="AE1283" i="6"/>
  <c r="AE1287" i="6"/>
  <c r="AE1291" i="6"/>
  <c r="AE1299" i="6"/>
  <c r="AE1315" i="6"/>
  <c r="AE1319" i="6"/>
  <c r="AE1323" i="6"/>
  <c r="AE1327" i="6"/>
  <c r="AE1331" i="6"/>
  <c r="AE1339" i="6"/>
  <c r="AE1343" i="6"/>
  <c r="AE1351" i="6"/>
  <c r="AE1359" i="6"/>
  <c r="AE1363" i="6"/>
  <c r="AE1367" i="6"/>
  <c r="AE1371" i="6"/>
  <c r="AE1379" i="6"/>
  <c r="AE1387" i="6"/>
  <c r="AE1395" i="6"/>
  <c r="AE1403" i="6"/>
  <c r="AE1411" i="6"/>
  <c r="AE1415" i="6"/>
  <c r="AE1419" i="6"/>
  <c r="AE1423" i="6"/>
  <c r="AE1431" i="6"/>
  <c r="AE1435" i="6"/>
  <c r="AE1439" i="6"/>
  <c r="AE1443" i="6"/>
  <c r="AE1447" i="6"/>
  <c r="AE1451" i="6"/>
  <c r="AE1455" i="6"/>
  <c r="AE1459" i="6"/>
  <c r="AE1463" i="6"/>
  <c r="AE1467" i="6"/>
  <c r="AE1471" i="6"/>
  <c r="AE1475" i="6"/>
  <c r="AE1483" i="6"/>
  <c r="AE1487" i="6"/>
  <c r="AE1491" i="6"/>
  <c r="AE1495" i="6"/>
  <c r="AE1503" i="6"/>
  <c r="AE1511" i="6"/>
  <c r="AE1519" i="6"/>
  <c r="AE1527" i="6"/>
  <c r="AE1535" i="6"/>
  <c r="AE1539" i="6"/>
  <c r="AE1543" i="6"/>
  <c r="AE1547" i="6"/>
  <c r="AE1555" i="6"/>
  <c r="AE1563" i="6"/>
  <c r="AE1567" i="6"/>
  <c r="AE1571" i="6"/>
  <c r="AE1575" i="6"/>
  <c r="AE1579" i="6"/>
  <c r="AE1583" i="6"/>
  <c r="AE1587" i="6"/>
  <c r="AE1591" i="6"/>
  <c r="AE1595" i="6"/>
  <c r="AE1599" i="6"/>
  <c r="AE1607" i="6"/>
  <c r="AE1615" i="6"/>
  <c r="AE1619" i="6"/>
  <c r="AE1623" i="6"/>
  <c r="AE1627" i="6"/>
  <c r="AE1635" i="6"/>
  <c r="AE1643" i="6"/>
  <c r="AE1651" i="6"/>
  <c r="AE1659" i="6"/>
  <c r="AE1667" i="6"/>
  <c r="AE1671" i="6"/>
  <c r="AE1675" i="6"/>
  <c r="AE1679" i="6"/>
  <c r="AE1687" i="6"/>
  <c r="AE1691" i="6"/>
  <c r="AE1695" i="6"/>
  <c r="AE1699" i="6"/>
  <c r="AE1703" i="6"/>
  <c r="AE1707" i="6"/>
  <c r="AE1711" i="6"/>
  <c r="AE1715" i="6"/>
  <c r="AE1719" i="6"/>
  <c r="AE1723" i="6"/>
  <c r="AE1727" i="6"/>
  <c r="AE1731" i="6"/>
  <c r="AE1739" i="6"/>
  <c r="AE1743" i="6"/>
  <c r="AE1747" i="6"/>
  <c r="AE1751" i="6"/>
  <c r="AE1759" i="6"/>
  <c r="AE1767" i="6"/>
  <c r="AE1775" i="6"/>
  <c r="AE1783" i="6"/>
  <c r="AE1791" i="6"/>
  <c r="AE1795" i="6"/>
  <c r="AE1799" i="6"/>
  <c r="AE1803" i="6"/>
  <c r="AE1811" i="6"/>
  <c r="AE1819" i="6"/>
  <c r="AE1823" i="6"/>
  <c r="AE1827" i="6"/>
  <c r="AE1831" i="6"/>
  <c r="AE1835" i="6"/>
  <c r="AE1839" i="6"/>
  <c r="AE1843" i="6"/>
  <c r="AE1847" i="6"/>
  <c r="AE1855" i="6"/>
  <c r="AE1863" i="6"/>
  <c r="AE1867" i="6"/>
  <c r="AE1871" i="6"/>
  <c r="AE1875" i="6"/>
  <c r="AE1879" i="6"/>
  <c r="AE1883" i="6"/>
  <c r="AE1887" i="6"/>
  <c r="AE1891" i="6"/>
  <c r="AE1895" i="6"/>
  <c r="AE1899" i="6"/>
  <c r="AE1903" i="6"/>
  <c r="AE1907" i="6"/>
  <c r="AE1911" i="6"/>
  <c r="AE1915" i="6"/>
  <c r="AE1919" i="6"/>
  <c r="AE1923" i="6"/>
  <c r="AE1927" i="6"/>
  <c r="AE1931" i="6"/>
  <c r="AE1935" i="6"/>
  <c r="AE1939" i="6"/>
  <c r="AE1943" i="6"/>
  <c r="AE1947" i="6"/>
  <c r="AE1951" i="6"/>
  <c r="AE1955" i="6"/>
  <c r="AE1959" i="6"/>
  <c r="AE1963" i="6"/>
  <c r="AE1967" i="6"/>
  <c r="AE1971" i="6"/>
  <c r="AE1975" i="6"/>
  <c r="AE1979" i="6"/>
  <c r="AE1983" i="6"/>
  <c r="AE1987" i="6"/>
  <c r="AE1991" i="6"/>
  <c r="AE1995" i="6"/>
  <c r="AE1999" i="6"/>
  <c r="AE2003" i="6"/>
  <c r="AE2007" i="6"/>
  <c r="Z15" i="6"/>
  <c r="AA15" i="6" s="1"/>
  <c r="Z16" i="6"/>
  <c r="AA16" i="6" s="1"/>
  <c r="Z19" i="6"/>
  <c r="AA19" i="6" s="1"/>
  <c r="Z23" i="6"/>
  <c r="AA23" i="6" s="1"/>
  <c r="Z27" i="6"/>
  <c r="AA27" i="6" s="1"/>
  <c r="Z28" i="6"/>
  <c r="AA28" i="6" s="1"/>
  <c r="Z31" i="6"/>
  <c r="AA31" i="6" s="1"/>
  <c r="Z35" i="6"/>
  <c r="AA35" i="6" s="1"/>
  <c r="Z36" i="6"/>
  <c r="AA36" i="6" s="1"/>
  <c r="Z39" i="6"/>
  <c r="AA39" i="6" s="1"/>
  <c r="Z43" i="6"/>
  <c r="AA43" i="6" s="1"/>
  <c r="Z44" i="6"/>
  <c r="AA44" i="6" s="1"/>
  <c r="Z47" i="6"/>
  <c r="AA47" i="6" s="1"/>
  <c r="Z51" i="6"/>
  <c r="AA51" i="6" s="1"/>
  <c r="Z52" i="6"/>
  <c r="AA52" i="6" s="1"/>
  <c r="Z55" i="6"/>
  <c r="AA55" i="6" s="1"/>
  <c r="Z59" i="6"/>
  <c r="AA59" i="6" s="1"/>
  <c r="Z60" i="6"/>
  <c r="AA60" i="6" s="1"/>
  <c r="Z63" i="6"/>
  <c r="AA63" i="6" s="1"/>
  <c r="Z64" i="6"/>
  <c r="AA64" i="6" s="1"/>
  <c r="Z67" i="6"/>
  <c r="AA67" i="6" s="1"/>
  <c r="Z68" i="6"/>
  <c r="AA68" i="6" s="1"/>
  <c r="Z71" i="6"/>
  <c r="AA71" i="6" s="1"/>
  <c r="Z72" i="6"/>
  <c r="AA72" i="6" s="1"/>
  <c r="Z75" i="6"/>
  <c r="AA75" i="6" s="1"/>
  <c r="Z79" i="6"/>
  <c r="AA79" i="6" s="1"/>
  <c r="Z80" i="6"/>
  <c r="AA80" i="6" s="1"/>
  <c r="Z83" i="6"/>
  <c r="AA83" i="6" s="1"/>
  <c r="Z87" i="6"/>
  <c r="AA87" i="6" s="1"/>
  <c r="Z88" i="6"/>
  <c r="AA88" i="6" s="1"/>
  <c r="Z91" i="6"/>
  <c r="AA91" i="6" s="1"/>
  <c r="Z95" i="6"/>
  <c r="AA95" i="6" s="1"/>
  <c r="Z96" i="6"/>
  <c r="AA96" i="6" s="1"/>
  <c r="Z99" i="6"/>
  <c r="AA99" i="6" s="1"/>
  <c r="Z103" i="6"/>
  <c r="AA103" i="6" s="1"/>
  <c r="Z105" i="6"/>
  <c r="AA105" i="6" s="1"/>
  <c r="Z107" i="6"/>
  <c r="AA107" i="6" s="1"/>
  <c r="Z108" i="6"/>
  <c r="AA108" i="6" s="1"/>
  <c r="Z111" i="6"/>
  <c r="AA111" i="6" s="1"/>
  <c r="Z112" i="6"/>
  <c r="AA112" i="6" s="1"/>
  <c r="Z115" i="6"/>
  <c r="AA115" i="6" s="1"/>
  <c r="Z116" i="6"/>
  <c r="AA116" i="6" s="1"/>
  <c r="Z119" i="6"/>
  <c r="AA119" i="6" s="1"/>
  <c r="Z121" i="6"/>
  <c r="AA121" i="6" s="1"/>
  <c r="Z123" i="6"/>
  <c r="AA123" i="6" s="1"/>
  <c r="Z127" i="6"/>
  <c r="AA127" i="6" s="1"/>
  <c r="Z128" i="6"/>
  <c r="AA128" i="6" s="1"/>
  <c r="Z129" i="6"/>
  <c r="AA129" i="6" s="1"/>
  <c r="Z131" i="6"/>
  <c r="AA131" i="6" s="1"/>
  <c r="Z135" i="6"/>
  <c r="AA135" i="6" s="1"/>
  <c r="Z136" i="6"/>
  <c r="AA136" i="6" s="1"/>
  <c r="Z139" i="6"/>
  <c r="AA139" i="6" s="1"/>
  <c r="Z140" i="6"/>
  <c r="AA140" i="6" s="1"/>
  <c r="Z143" i="6"/>
  <c r="AA143" i="6" s="1"/>
  <c r="Z144" i="6"/>
  <c r="AA144" i="6" s="1"/>
  <c r="Z147" i="6"/>
  <c r="AA147" i="6" s="1"/>
  <c r="Z148" i="6"/>
  <c r="AA148" i="6" s="1"/>
  <c r="Z151" i="6"/>
  <c r="AA151" i="6" s="1"/>
  <c r="Z156" i="6"/>
  <c r="AA156" i="6" s="1"/>
  <c r="Z159" i="6"/>
  <c r="AA159" i="6" s="1"/>
  <c r="Z163" i="6"/>
  <c r="AA163" i="6" s="1"/>
  <c r="Z164" i="6"/>
  <c r="AA164" i="6" s="1"/>
  <c r="Z167" i="6"/>
  <c r="AA167" i="6" s="1"/>
  <c r="Z172" i="6"/>
  <c r="AA172" i="6" s="1"/>
  <c r="Z175" i="6"/>
  <c r="AA175" i="6" s="1"/>
  <c r="Z176" i="6"/>
  <c r="AA176" i="6" s="1"/>
  <c r="Z179" i="6"/>
  <c r="AA179" i="6" s="1"/>
  <c r="Z180" i="6"/>
  <c r="AA180" i="6" s="1"/>
  <c r="Z183" i="6"/>
  <c r="AA183" i="6" s="1"/>
  <c r="Z188" i="6"/>
  <c r="AA188" i="6" s="1"/>
  <c r="Z191" i="6"/>
  <c r="AA191" i="6" s="1"/>
  <c r="Z195" i="6"/>
  <c r="AA195" i="6" s="1"/>
  <c r="Z196" i="6"/>
  <c r="AA196" i="6" s="1"/>
  <c r="Z199" i="6"/>
  <c r="AA199" i="6" s="1"/>
  <c r="Z200" i="6"/>
  <c r="AA200" i="6" s="1"/>
  <c r="Z207" i="6"/>
  <c r="AA207" i="6" s="1"/>
  <c r="Z208" i="6"/>
  <c r="AA208" i="6" s="1"/>
  <c r="Z209" i="6"/>
  <c r="AA209" i="6" s="1"/>
  <c r="Z211" i="6"/>
  <c r="AA211" i="6" s="1"/>
  <c r="Z215" i="6"/>
  <c r="AA215" i="6" s="1"/>
  <c r="Z216" i="6"/>
  <c r="AA216" i="6" s="1"/>
  <c r="Z220" i="6"/>
  <c r="AA220" i="6" s="1"/>
  <c r="Z223" i="6"/>
  <c r="AA223" i="6" s="1"/>
  <c r="Z224" i="6"/>
  <c r="AA224" i="6" s="1"/>
  <c r="Z227" i="6"/>
  <c r="AA227" i="6" s="1"/>
  <c r="Z231" i="6"/>
  <c r="AA231" i="6" s="1"/>
  <c r="Z236" i="6"/>
  <c r="AA236" i="6" s="1"/>
  <c r="Z239" i="6"/>
  <c r="AA239" i="6" s="1"/>
  <c r="Z240" i="6"/>
  <c r="AA240" i="6" s="1"/>
  <c r="Z243" i="6"/>
  <c r="AA243" i="6" s="1"/>
  <c r="Z247" i="6"/>
  <c r="AA247" i="6" s="1"/>
  <c r="Z248" i="6"/>
  <c r="AA248" i="6" s="1"/>
  <c r="Z255" i="6"/>
  <c r="AA255" i="6" s="1"/>
  <c r="Z256" i="6"/>
  <c r="AA256" i="6" s="1"/>
  <c r="Z259" i="6"/>
  <c r="AA259" i="6" s="1"/>
  <c r="Z263" i="6"/>
  <c r="AA263" i="6" s="1"/>
  <c r="Z264" i="6"/>
  <c r="AA264" i="6" s="1"/>
  <c r="Z268" i="6"/>
  <c r="AA268" i="6" s="1"/>
  <c r="Z271" i="6"/>
  <c r="AA271" i="6" s="1"/>
  <c r="Z272" i="6"/>
  <c r="AA272" i="6" s="1"/>
  <c r="Z275" i="6"/>
  <c r="AA275" i="6" s="1"/>
  <c r="Z276" i="6"/>
  <c r="AA276" i="6" s="1"/>
  <c r="Z279" i="6"/>
  <c r="AA279" i="6" s="1"/>
  <c r="Z284" i="6"/>
  <c r="AA284" i="6" s="1"/>
  <c r="Z287" i="6"/>
  <c r="AA287" i="6" s="1"/>
  <c r="Z291" i="6"/>
  <c r="AA291" i="6" s="1"/>
  <c r="Z292" i="6"/>
  <c r="AA292" i="6" s="1"/>
  <c r="Z295" i="6"/>
  <c r="AA295" i="6" s="1"/>
  <c r="Z300" i="6"/>
  <c r="AA300" i="6" s="1"/>
  <c r="Z303" i="6"/>
  <c r="AA303" i="6" s="1"/>
  <c r="Z307" i="6"/>
  <c r="AA307" i="6" s="1"/>
  <c r="Z308" i="6"/>
  <c r="AA308" i="6" s="1"/>
  <c r="Z311" i="6"/>
  <c r="AA311" i="6" s="1"/>
  <c r="Z312" i="6"/>
  <c r="AA312" i="6" s="1"/>
  <c r="Z315" i="6"/>
  <c r="AA315" i="6" s="1"/>
  <c r="Z316" i="6"/>
  <c r="AA316" i="6" s="1"/>
  <c r="Z319" i="6"/>
  <c r="AA319" i="6" s="1"/>
  <c r="Z320" i="6"/>
  <c r="AA320" i="6" s="1"/>
  <c r="Z323" i="6"/>
  <c r="AA323" i="6" s="1"/>
  <c r="Z324" i="6"/>
  <c r="AA324" i="6" s="1"/>
  <c r="Z327" i="6"/>
  <c r="AA327" i="6" s="1"/>
  <c r="Z331" i="6"/>
  <c r="AA331" i="6" s="1"/>
  <c r="Z332" i="6"/>
  <c r="AA332" i="6" s="1"/>
  <c r="Z333" i="6"/>
  <c r="AA333" i="6" s="1"/>
  <c r="Z335" i="6"/>
  <c r="AA335" i="6" s="1"/>
  <c r="Z336" i="6"/>
  <c r="AA336" i="6" s="1"/>
  <c r="Z339" i="6"/>
  <c r="AA339" i="6" s="1"/>
  <c r="Z343" i="6"/>
  <c r="AA343" i="6" s="1"/>
  <c r="Z344" i="6"/>
  <c r="AA344" i="6" s="1"/>
  <c r="Z347" i="6"/>
  <c r="AA347" i="6" s="1"/>
  <c r="Z351" i="6"/>
  <c r="AA351" i="6" s="1"/>
  <c r="Z355" i="6"/>
  <c r="AA355" i="6" s="1"/>
  <c r="Z359" i="6"/>
  <c r="AA359" i="6" s="1"/>
  <c r="Z363" i="6"/>
  <c r="AA363" i="6" s="1"/>
  <c r="Z367" i="6"/>
  <c r="AA367" i="6" s="1"/>
  <c r="Z368" i="6"/>
  <c r="AA368" i="6" s="1"/>
  <c r="Z371" i="6"/>
  <c r="AA371" i="6" s="1"/>
  <c r="Z375" i="6"/>
  <c r="AA375" i="6" s="1"/>
  <c r="Z376" i="6"/>
  <c r="AA376" i="6" s="1"/>
  <c r="Z379" i="6"/>
  <c r="AA379" i="6" s="1"/>
  <c r="Z383" i="6"/>
  <c r="AA383" i="6" s="1"/>
  <c r="Z384" i="6"/>
  <c r="AA384" i="6" s="1"/>
  <c r="Z387" i="6"/>
  <c r="AA387" i="6" s="1"/>
  <c r="Z391" i="6"/>
  <c r="AA391" i="6" s="1"/>
  <c r="Z395" i="6"/>
  <c r="AA395" i="6" s="1"/>
  <c r="Z399" i="6"/>
  <c r="AA399" i="6" s="1"/>
  <c r="Z400" i="6"/>
  <c r="AA400" i="6" s="1"/>
  <c r="Z403" i="6"/>
  <c r="AA403" i="6" s="1"/>
  <c r="Z404" i="6"/>
  <c r="AA404" i="6" s="1"/>
  <c r="Z407" i="6"/>
  <c r="AA407" i="6" s="1"/>
  <c r="Z408" i="6"/>
  <c r="AA408" i="6" s="1"/>
  <c r="Z411" i="6"/>
  <c r="AA411" i="6" s="1"/>
  <c r="Z412" i="6"/>
  <c r="AA412" i="6" s="1"/>
  <c r="Z415" i="6"/>
  <c r="AA415" i="6" s="1"/>
  <c r="Z419" i="6"/>
  <c r="AA419" i="6" s="1"/>
  <c r="Z420" i="6"/>
  <c r="AA420" i="6" s="1"/>
  <c r="Z423" i="6"/>
  <c r="AA423" i="6" s="1"/>
  <c r="Z425" i="6"/>
  <c r="AA425" i="6" s="1"/>
  <c r="Z427" i="6"/>
  <c r="AA427" i="6" s="1"/>
  <c r="Z431" i="6"/>
  <c r="AA431" i="6" s="1"/>
  <c r="Z435" i="6"/>
  <c r="AA435" i="6" s="1"/>
  <c r="Z436" i="6"/>
  <c r="AA436" i="6" s="1"/>
  <c r="Z439" i="6"/>
  <c r="AA439" i="6" s="1"/>
  <c r="Z440" i="6"/>
  <c r="AA440" i="6" s="1"/>
  <c r="Z443" i="6"/>
  <c r="AA443" i="6" s="1"/>
  <c r="Z444" i="6"/>
  <c r="AA444" i="6" s="1"/>
  <c r="Z447" i="6"/>
  <c r="AA447" i="6" s="1"/>
  <c r="Z451" i="6"/>
  <c r="AA451" i="6" s="1"/>
  <c r="Z455" i="6"/>
  <c r="AA455" i="6" s="1"/>
  <c r="Z456" i="6"/>
  <c r="AA456" i="6" s="1"/>
  <c r="Z459" i="6"/>
  <c r="AA459" i="6" s="1"/>
  <c r="Z463" i="6"/>
  <c r="AA463" i="6" s="1"/>
  <c r="Z464" i="6"/>
  <c r="AA464" i="6" s="1"/>
  <c r="Z467" i="6"/>
  <c r="AA467" i="6" s="1"/>
  <c r="Z468" i="6"/>
  <c r="AA468" i="6" s="1"/>
  <c r="Z471" i="6"/>
  <c r="AA471" i="6" s="1"/>
  <c r="Z475" i="6"/>
  <c r="AA475" i="6" s="1"/>
  <c r="Z476" i="6"/>
  <c r="AA476" i="6" s="1"/>
  <c r="Z479" i="6"/>
  <c r="AA479" i="6" s="1"/>
  <c r="Z480" i="6"/>
  <c r="AA480" i="6" s="1"/>
  <c r="Z483" i="6"/>
  <c r="AA483" i="6" s="1"/>
  <c r="Z487" i="6"/>
  <c r="AA487" i="6" s="1"/>
  <c r="Z488" i="6"/>
  <c r="AA488" i="6" s="1"/>
  <c r="Z491" i="6"/>
  <c r="AA491" i="6" s="1"/>
  <c r="Z492" i="6"/>
  <c r="AA492" i="6" s="1"/>
  <c r="Z495" i="6"/>
  <c r="AA495" i="6" s="1"/>
  <c r="Z496" i="6"/>
  <c r="AA496" i="6" s="1"/>
  <c r="Z499" i="6"/>
  <c r="AA499" i="6" s="1"/>
  <c r="Z500" i="6"/>
  <c r="AA500" i="6" s="1"/>
  <c r="Z503" i="6"/>
  <c r="AA503" i="6" s="1"/>
  <c r="Z507" i="6"/>
  <c r="AA507" i="6" s="1"/>
  <c r="Z511" i="6"/>
  <c r="AA511" i="6" s="1"/>
  <c r="Z512" i="6"/>
  <c r="AA512" i="6" s="1"/>
  <c r="Z515" i="6"/>
  <c r="AA515" i="6" s="1"/>
  <c r="Z519" i="6"/>
  <c r="AA519" i="6" s="1"/>
  <c r="Z520" i="6"/>
  <c r="AA520" i="6" s="1"/>
  <c r="Z523" i="6"/>
  <c r="AA523" i="6" s="1"/>
  <c r="Z524" i="6"/>
  <c r="AA524" i="6" s="1"/>
  <c r="Z527" i="6"/>
  <c r="AA527" i="6" s="1"/>
  <c r="Z529" i="6"/>
  <c r="AA529" i="6" s="1"/>
  <c r="Z531" i="6"/>
  <c r="AA531" i="6" s="1"/>
  <c r="Z532" i="6"/>
  <c r="AA532" i="6" s="1"/>
  <c r="Z535" i="6"/>
  <c r="AA535" i="6" s="1"/>
  <c r="Z536" i="6"/>
  <c r="AA536" i="6" s="1"/>
  <c r="Z539" i="6"/>
  <c r="AA539" i="6" s="1"/>
  <c r="Z543" i="6"/>
  <c r="AA543" i="6" s="1"/>
  <c r="Z544" i="6"/>
  <c r="AA544" i="6" s="1"/>
  <c r="Z547" i="6"/>
  <c r="AA547" i="6" s="1"/>
  <c r="Z551" i="6"/>
  <c r="AA551" i="6" s="1"/>
  <c r="Z552" i="6"/>
  <c r="AA552" i="6" s="1"/>
  <c r="Z555" i="6"/>
  <c r="AA555" i="6" s="1"/>
  <c r="Z559" i="6"/>
  <c r="AA559" i="6" s="1"/>
  <c r="Z563" i="6"/>
  <c r="AA563" i="6" s="1"/>
  <c r="Z567" i="6"/>
  <c r="AA567" i="6" s="1"/>
  <c r="Z568" i="6"/>
  <c r="AA568" i="6" s="1"/>
  <c r="Z571" i="6"/>
  <c r="AA571" i="6" s="1"/>
  <c r="Z575" i="6"/>
  <c r="AA575" i="6" s="1"/>
  <c r="Z576" i="6"/>
  <c r="AA576" i="6" s="1"/>
  <c r="Z579" i="6"/>
  <c r="AA579" i="6" s="1"/>
  <c r="Z580" i="6"/>
  <c r="AA580" i="6" s="1"/>
  <c r="Z583" i="6"/>
  <c r="AA583" i="6" s="1"/>
  <c r="Z584" i="6"/>
  <c r="AA584" i="6" s="1"/>
  <c r="Z587" i="6"/>
  <c r="AA587" i="6" s="1"/>
  <c r="Z588" i="6"/>
  <c r="AA588" i="6" s="1"/>
  <c r="Z589" i="6"/>
  <c r="AA589" i="6" s="1"/>
  <c r="Z591" i="6"/>
  <c r="AA591" i="6" s="1"/>
  <c r="Z595" i="6"/>
  <c r="AA595" i="6" s="1"/>
  <c r="Z599" i="6"/>
  <c r="AA599" i="6" s="1"/>
  <c r="Z603" i="6"/>
  <c r="AA603" i="6" s="1"/>
  <c r="Z604" i="6"/>
  <c r="AA604" i="6" s="1"/>
  <c r="Z607" i="6"/>
  <c r="AA607" i="6" s="1"/>
  <c r="Z611" i="6"/>
  <c r="AA611" i="6" s="1"/>
  <c r="Z612" i="6"/>
  <c r="AA612" i="6" s="1"/>
  <c r="Z615" i="6"/>
  <c r="AA615" i="6" s="1"/>
  <c r="Z619" i="6"/>
  <c r="AA619" i="6" s="1"/>
  <c r="Z620" i="6"/>
  <c r="AA620" i="6" s="1"/>
  <c r="Z623" i="6"/>
  <c r="AA623" i="6" s="1"/>
  <c r="Z624" i="6"/>
  <c r="AA624" i="6" s="1"/>
  <c r="Z627" i="6"/>
  <c r="AA627" i="6" s="1"/>
  <c r="Z631" i="6"/>
  <c r="AA631" i="6" s="1"/>
  <c r="Z632" i="6"/>
  <c r="AA632" i="6" s="1"/>
  <c r="Z635" i="6"/>
  <c r="AA635" i="6" s="1"/>
  <c r="Z639" i="6"/>
  <c r="AA639" i="6" s="1"/>
  <c r="Z640" i="6"/>
  <c r="AA640" i="6" s="1"/>
  <c r="Z643" i="6"/>
  <c r="AA643" i="6" s="1"/>
  <c r="Z644" i="6"/>
  <c r="AA644" i="6" s="1"/>
  <c r="Z647" i="6"/>
  <c r="AA647" i="6" s="1"/>
  <c r="Z649" i="6"/>
  <c r="AA649" i="6" s="1"/>
  <c r="Z651" i="6"/>
  <c r="AA651" i="6" s="1"/>
  <c r="Z652" i="6"/>
  <c r="AA652" i="6" s="1"/>
  <c r="Z655" i="6"/>
  <c r="AA655" i="6" s="1"/>
  <c r="Z656" i="6"/>
  <c r="AA656" i="6" s="1"/>
  <c r="Z659" i="6"/>
  <c r="AA659" i="6" s="1"/>
  <c r="Z663" i="6"/>
  <c r="AA663" i="6" s="1"/>
  <c r="Z664" i="6"/>
  <c r="AA664" i="6" s="1"/>
  <c r="Z667" i="6"/>
  <c r="AA667" i="6" s="1"/>
  <c r="Z671" i="6"/>
  <c r="AA671" i="6" s="1"/>
  <c r="Z672" i="6"/>
  <c r="AA672" i="6" s="1"/>
  <c r="Z675" i="6"/>
  <c r="AA675" i="6" s="1"/>
  <c r="Z676" i="6"/>
  <c r="AA676" i="6" s="1"/>
  <c r="Z679" i="6"/>
  <c r="AA679" i="6" s="1"/>
  <c r="Z680" i="6"/>
  <c r="AA680" i="6" s="1"/>
  <c r="Z683" i="6"/>
  <c r="AA683" i="6" s="1"/>
  <c r="Z687" i="6"/>
  <c r="AA687" i="6" s="1"/>
  <c r="Z691" i="6"/>
  <c r="AA691" i="6" s="1"/>
  <c r="Z692" i="6"/>
  <c r="AA692" i="6" s="1"/>
  <c r="Z695" i="6"/>
  <c r="AA695" i="6" s="1"/>
  <c r="Z699" i="6"/>
  <c r="AA699" i="6" s="1"/>
  <c r="Z700" i="6"/>
  <c r="AA700" i="6" s="1"/>
  <c r="Z703" i="6"/>
  <c r="AA703" i="6" s="1"/>
  <c r="Z707" i="6"/>
  <c r="AA707" i="6" s="1"/>
  <c r="Z708" i="6"/>
  <c r="AA708" i="6" s="1"/>
  <c r="Z711" i="6"/>
  <c r="AA711" i="6" s="1"/>
  <c r="Z712" i="6"/>
  <c r="AA712" i="6" s="1"/>
  <c r="Z715" i="6"/>
  <c r="AA715" i="6" s="1"/>
  <c r="Z716" i="6"/>
  <c r="AA716" i="6" s="1"/>
  <c r="Z719" i="6"/>
  <c r="AA719" i="6" s="1"/>
  <c r="Z720" i="6"/>
  <c r="AA720" i="6" s="1"/>
  <c r="Z723" i="6"/>
  <c r="AA723" i="6" s="1"/>
  <c r="Z727" i="6"/>
  <c r="AA727" i="6" s="1"/>
  <c r="Z728" i="6"/>
  <c r="AA728" i="6" s="1"/>
  <c r="Z731" i="6"/>
  <c r="Z732" i="6"/>
  <c r="AA732" i="6" s="1"/>
  <c r="Z733" i="6"/>
  <c r="AA733" i="6" s="1"/>
  <c r="Z735" i="6"/>
  <c r="AA735" i="6" s="1"/>
  <c r="Z739" i="6"/>
  <c r="AA739" i="6" s="1"/>
  <c r="Z740" i="6"/>
  <c r="AA740" i="6" s="1"/>
  <c r="Z743" i="6"/>
  <c r="AA743" i="6" s="1"/>
  <c r="Z747" i="6"/>
  <c r="AA747" i="6" s="1"/>
  <c r="Z751" i="6"/>
  <c r="AA751" i="6" s="1"/>
  <c r="Z752" i="6"/>
  <c r="AA752" i="6" s="1"/>
  <c r="Z755" i="6"/>
  <c r="AA755" i="6" s="1"/>
  <c r="Z756" i="6"/>
  <c r="AA756" i="6" s="1"/>
  <c r="Z759" i="6"/>
  <c r="AA759" i="6" s="1"/>
  <c r="Z763" i="6"/>
  <c r="AA763" i="6" s="1"/>
  <c r="Z764" i="6"/>
  <c r="AA764" i="6" s="1"/>
  <c r="Z767" i="6"/>
  <c r="AA767" i="6" s="1"/>
  <c r="Z768" i="6"/>
  <c r="AA768" i="6" s="1"/>
  <c r="Z771" i="6"/>
  <c r="AA771" i="6" s="1"/>
  <c r="Z775" i="6"/>
  <c r="AA775" i="6" s="1"/>
  <c r="Z776" i="6"/>
  <c r="AA776" i="6" s="1"/>
  <c r="Z779" i="6"/>
  <c r="AA779" i="6" s="1"/>
  <c r="Z783" i="6"/>
  <c r="AA783" i="6" s="1"/>
  <c r="Z784" i="6"/>
  <c r="AA784" i="6" s="1"/>
  <c r="Z787" i="6"/>
  <c r="AA787" i="6" s="1"/>
  <c r="Z791" i="6"/>
  <c r="AA791" i="6" s="1"/>
  <c r="Z792" i="6"/>
  <c r="AA792" i="6" s="1"/>
  <c r="Z795" i="6"/>
  <c r="AA795" i="6" s="1"/>
  <c r="Z796" i="6"/>
  <c r="AA796" i="6" s="1"/>
  <c r="Z799" i="6"/>
  <c r="AA799" i="6" s="1"/>
  <c r="Z803" i="6"/>
  <c r="AA803" i="6" s="1"/>
  <c r="Z804" i="6"/>
  <c r="AA804" i="6" s="1"/>
  <c r="Z807" i="6"/>
  <c r="AA807" i="6" s="1"/>
  <c r="Z809" i="6"/>
  <c r="AA809" i="6" s="1"/>
  <c r="Z811" i="6"/>
  <c r="AA811" i="6" s="1"/>
  <c r="Z815" i="6"/>
  <c r="AA815" i="6" s="1"/>
  <c r="Z819" i="6"/>
  <c r="AA819" i="6" s="1"/>
  <c r="Z823" i="6"/>
  <c r="AA823" i="6" s="1"/>
  <c r="Z827" i="6"/>
  <c r="AA827" i="6" s="1"/>
  <c r="Z831" i="6"/>
  <c r="AA831" i="6" s="1"/>
  <c r="Z832" i="6"/>
  <c r="AA832" i="6" s="1"/>
  <c r="Z835" i="6"/>
  <c r="AA835" i="6" s="1"/>
  <c r="Z836" i="6"/>
  <c r="AA836" i="6" s="1"/>
  <c r="Z839" i="6"/>
  <c r="AA839" i="6" s="1"/>
  <c r="Z840" i="6"/>
  <c r="AA840" i="6" s="1"/>
  <c r="Z843" i="6"/>
  <c r="AA843" i="6" s="1"/>
  <c r="Z844" i="6"/>
  <c r="AA844" i="6" s="1"/>
  <c r="Z847" i="6"/>
  <c r="AA847" i="6" s="1"/>
  <c r="Z851" i="6"/>
  <c r="AA851" i="6" s="1"/>
  <c r="Z852" i="6"/>
  <c r="AA852" i="6" s="1"/>
  <c r="Z855" i="6"/>
  <c r="AA855" i="6" s="1"/>
  <c r="Z859" i="6"/>
  <c r="AA859" i="6" s="1"/>
  <c r="Z863" i="6"/>
  <c r="AA863" i="6" s="1"/>
  <c r="Z864" i="6"/>
  <c r="AA864" i="6" s="1"/>
  <c r="Z867" i="6"/>
  <c r="AA867" i="6" s="1"/>
  <c r="Z868" i="6"/>
  <c r="AA868" i="6" s="1"/>
  <c r="Z871" i="6"/>
  <c r="AA871" i="6" s="1"/>
  <c r="Z875" i="6"/>
  <c r="AA875" i="6" s="1"/>
  <c r="Z879" i="6"/>
  <c r="AA879" i="6" s="1"/>
  <c r="Z880" i="6"/>
  <c r="AA880" i="6" s="1"/>
  <c r="Z881" i="6"/>
  <c r="AA881" i="6" s="1"/>
  <c r="Z883" i="6"/>
  <c r="AA883" i="6" s="1"/>
  <c r="Z884" i="6"/>
  <c r="AA884" i="6" s="1"/>
  <c r="Z887" i="6"/>
  <c r="AA887" i="6" s="1"/>
  <c r="Z888" i="6"/>
  <c r="AA888" i="6" s="1"/>
  <c r="Z891" i="6"/>
  <c r="AA891" i="6" s="1"/>
  <c r="Z892" i="6"/>
  <c r="AA892" i="6" s="1"/>
  <c r="Z895" i="6"/>
  <c r="AA895" i="6" s="1"/>
  <c r="Z896" i="6"/>
  <c r="AA896" i="6" s="1"/>
  <c r="Z899" i="6"/>
  <c r="AA899" i="6" s="1"/>
  <c r="Z903" i="6"/>
  <c r="AA903" i="6" s="1"/>
  <c r="Z904" i="6"/>
  <c r="AA904" i="6" s="1"/>
  <c r="Z907" i="6"/>
  <c r="AA907" i="6" s="1"/>
  <c r="Z911" i="6"/>
  <c r="AA911" i="6" s="1"/>
  <c r="Z915" i="6"/>
  <c r="AA915" i="6" s="1"/>
  <c r="Z916" i="6"/>
  <c r="AA916" i="6" s="1"/>
  <c r="Z919" i="6"/>
  <c r="AA919" i="6" s="1"/>
  <c r="Z920" i="6"/>
  <c r="AA920" i="6" s="1"/>
  <c r="Z923" i="6"/>
  <c r="AA923" i="6" s="1"/>
  <c r="Z927" i="6"/>
  <c r="AA927" i="6" s="1"/>
  <c r="Z931" i="6"/>
  <c r="AA931" i="6" s="1"/>
  <c r="Z932" i="6"/>
  <c r="AA932" i="6" s="1"/>
  <c r="Z935" i="6"/>
  <c r="AA935" i="6" s="1"/>
  <c r="Z939" i="6"/>
  <c r="AA939" i="6" s="1"/>
  <c r="Z940" i="6"/>
  <c r="AA940" i="6" s="1"/>
  <c r="Z943" i="6"/>
  <c r="AA943" i="6" s="1"/>
  <c r="Z944" i="6"/>
  <c r="AA944" i="6" s="1"/>
  <c r="Z947" i="6"/>
  <c r="AA947" i="6" s="1"/>
  <c r="Z948" i="6"/>
  <c r="AA948" i="6" s="1"/>
  <c r="Z951" i="6"/>
  <c r="AA951" i="6" s="1"/>
  <c r="Z952" i="6"/>
  <c r="AA952" i="6" s="1"/>
  <c r="Z955" i="6"/>
  <c r="AA955" i="6" s="1"/>
  <c r="Z956" i="6"/>
  <c r="AA956" i="6" s="1"/>
  <c r="Z957" i="6"/>
  <c r="AA957" i="6" s="1"/>
  <c r="Z959" i="6"/>
  <c r="AA959" i="6" s="1"/>
  <c r="Z961" i="6"/>
  <c r="AA961" i="6" s="1"/>
  <c r="Z963" i="6"/>
  <c r="AA963" i="6" s="1"/>
  <c r="Z967" i="6"/>
  <c r="AA967" i="6" s="1"/>
  <c r="Z969" i="6"/>
  <c r="AA969" i="6" s="1"/>
  <c r="Z971" i="6"/>
  <c r="AA971" i="6" s="1"/>
  <c r="Z972" i="6"/>
  <c r="Z975" i="6"/>
  <c r="AA975" i="6" s="1"/>
  <c r="Z977" i="6"/>
  <c r="AA977" i="6" s="1"/>
  <c r="Z979" i="6"/>
  <c r="AA979" i="6" s="1"/>
  <c r="Z980" i="6"/>
  <c r="AA980" i="6" s="1"/>
  <c r="Z983" i="6"/>
  <c r="AA983" i="6" s="1"/>
  <c r="Z984" i="6"/>
  <c r="AA984" i="6" s="1"/>
  <c r="Z985" i="6"/>
  <c r="AA985" i="6" s="1"/>
  <c r="Z987" i="6"/>
  <c r="AA987" i="6" s="1"/>
  <c r="Z991" i="6"/>
  <c r="AA991" i="6" s="1"/>
  <c r="Z992" i="6"/>
  <c r="AA992" i="6" s="1"/>
  <c r="Z995" i="6"/>
  <c r="AA995" i="6" s="1"/>
  <c r="Z996" i="6"/>
  <c r="AA996" i="6" s="1"/>
  <c r="Z999" i="6"/>
  <c r="AA999" i="6" s="1"/>
  <c r="Z1001" i="6"/>
  <c r="AA1001" i="6" s="1"/>
  <c r="Z1003" i="6"/>
  <c r="AA1003" i="6" s="1"/>
  <c r="Z1004" i="6"/>
  <c r="AA1004" i="6" s="1"/>
  <c r="Z1007" i="6"/>
  <c r="AA1007" i="6" s="1"/>
  <c r="Z1008" i="6"/>
  <c r="AA1008" i="6" s="1"/>
  <c r="Z1011" i="6"/>
  <c r="AA1011" i="6" s="1"/>
  <c r="Z1012" i="6"/>
  <c r="AA1012" i="6" s="1"/>
  <c r="Z1015" i="6"/>
  <c r="AA1015" i="6" s="1"/>
  <c r="Z1016" i="6"/>
  <c r="AA1016" i="6" s="1"/>
  <c r="Z1019" i="6"/>
  <c r="AA1019" i="6" s="1"/>
  <c r="Z1020" i="6"/>
  <c r="AA1020" i="6" s="1"/>
  <c r="Z1023" i="6"/>
  <c r="AA1023" i="6" s="1"/>
  <c r="Z1024" i="6"/>
  <c r="AA1024" i="6" s="1"/>
  <c r="Z1027" i="6"/>
  <c r="AA1027" i="6" s="1"/>
  <c r="Z1031" i="6"/>
  <c r="AA1031" i="6" s="1"/>
  <c r="Z1035" i="6"/>
  <c r="AA1035" i="6" s="1"/>
  <c r="Z1036" i="6"/>
  <c r="AA1036" i="6" s="1"/>
  <c r="Z1039" i="6"/>
  <c r="AA1039" i="6" s="1"/>
  <c r="Z1043" i="6"/>
  <c r="AA1043" i="6" s="1"/>
  <c r="Z1044" i="6"/>
  <c r="AA1044" i="6" s="1"/>
  <c r="Z1047" i="6"/>
  <c r="AA1047" i="6" s="1"/>
  <c r="Z1051" i="6"/>
  <c r="AA1051" i="6" s="1"/>
  <c r="Z1055" i="6"/>
  <c r="AA1055" i="6" s="1"/>
  <c r="Z1056" i="6"/>
  <c r="AA1056" i="6" s="1"/>
  <c r="Z1059" i="6"/>
  <c r="AA1059" i="6" s="1"/>
  <c r="Z1060" i="6"/>
  <c r="AA1060" i="6" s="1"/>
  <c r="Z1063" i="6"/>
  <c r="AA1063" i="6" s="1"/>
  <c r="Z1067" i="6"/>
  <c r="AA1067" i="6" s="1"/>
  <c r="Z1071" i="6"/>
  <c r="AA1071" i="6" s="1"/>
  <c r="Z1072" i="6"/>
  <c r="AA1072" i="6" s="1"/>
  <c r="Z1075" i="6"/>
  <c r="AA1075" i="6" s="1"/>
  <c r="Z1079" i="6"/>
  <c r="AA1079" i="6" s="1"/>
  <c r="Z1080" i="6"/>
  <c r="AA1080" i="6" s="1"/>
  <c r="Z1083" i="6"/>
  <c r="AA1083" i="6" s="1"/>
  <c r="Z1087" i="6"/>
  <c r="AA1087" i="6" s="1"/>
  <c r="Z1088" i="6"/>
  <c r="AA1088" i="6" s="1"/>
  <c r="Z1089" i="6"/>
  <c r="AA1089" i="6" s="1"/>
  <c r="Z1091" i="6"/>
  <c r="AA1091" i="6" s="1"/>
  <c r="Z1095" i="6"/>
  <c r="AA1095" i="6" s="1"/>
  <c r="Z1096" i="6"/>
  <c r="AA1096" i="6" s="1"/>
  <c r="Z1097" i="6"/>
  <c r="AA1097" i="6" s="1"/>
  <c r="Z1099" i="6"/>
  <c r="AA1099" i="6" s="1"/>
  <c r="Z1100" i="6"/>
  <c r="AA1100" i="6" s="1"/>
  <c r="Z1103" i="6"/>
  <c r="AA1103" i="6" s="1"/>
  <c r="Z1107" i="6"/>
  <c r="AA1107" i="6" s="1"/>
  <c r="Z1111" i="6"/>
  <c r="AA1111" i="6" s="1"/>
  <c r="Z1112" i="6"/>
  <c r="AA1112" i="6" s="1"/>
  <c r="Z1115" i="6"/>
  <c r="AA1115" i="6" s="1"/>
  <c r="Z1119" i="6"/>
  <c r="AA1119" i="6" s="1"/>
  <c r="Z1120" i="6"/>
  <c r="AA1120" i="6" s="1"/>
  <c r="Z1123" i="6"/>
  <c r="AA1123" i="6" s="1"/>
  <c r="Z1124" i="6"/>
  <c r="AA1124" i="6" s="1"/>
  <c r="Z1127" i="6"/>
  <c r="AA1127" i="6" s="1"/>
  <c r="Z1131" i="6"/>
  <c r="AA1131" i="6" s="1"/>
  <c r="Z1132" i="6"/>
  <c r="AA1132" i="6" s="1"/>
  <c r="Z1135" i="6"/>
  <c r="AA1135" i="6" s="1"/>
  <c r="Z1139" i="6"/>
  <c r="AA1139" i="6" s="1"/>
  <c r="Z1140" i="6"/>
  <c r="AA1140" i="6" s="1"/>
  <c r="Z1143" i="6"/>
  <c r="AA1143" i="6" s="1"/>
  <c r="Z1147" i="6"/>
  <c r="AA1147" i="6" s="1"/>
  <c r="Z1148" i="6"/>
  <c r="AA1148" i="6" s="1"/>
  <c r="Z1151" i="6"/>
  <c r="AA1151" i="6" s="1"/>
  <c r="Z1155" i="6"/>
  <c r="AA1155" i="6" s="1"/>
  <c r="Z1159" i="6"/>
  <c r="AA1159" i="6" s="1"/>
  <c r="Z1160" i="6"/>
  <c r="AA1160" i="6" s="1"/>
  <c r="Z1163" i="6"/>
  <c r="AA1163" i="6" s="1"/>
  <c r="Z1164" i="6"/>
  <c r="AA1164" i="6" s="1"/>
  <c r="Z1167" i="6"/>
  <c r="AA1167" i="6" s="1"/>
  <c r="Z1171" i="6"/>
  <c r="AA1171" i="6" s="1"/>
  <c r="Z1175" i="6"/>
  <c r="AA1175" i="6" s="1"/>
  <c r="Z1176" i="6"/>
  <c r="AA1176" i="6" s="1"/>
  <c r="Z1179" i="6"/>
  <c r="AA1179" i="6" s="1"/>
  <c r="Z1183" i="6"/>
  <c r="AA1183" i="6" s="1"/>
  <c r="Z1184" i="6"/>
  <c r="AA1184" i="6" s="1"/>
  <c r="Z1187" i="6"/>
  <c r="AA1187" i="6" s="1"/>
  <c r="Z1188" i="6"/>
  <c r="AA1188" i="6" s="1"/>
  <c r="Z1191" i="6"/>
  <c r="AA1191" i="6" s="1"/>
  <c r="Z1195" i="6"/>
  <c r="AA1195" i="6" s="1"/>
  <c r="Z1196" i="6"/>
  <c r="AA1196" i="6" s="1"/>
  <c r="Z1199" i="6"/>
  <c r="AA1199" i="6" s="1"/>
  <c r="Z1203" i="6"/>
  <c r="AA1203" i="6" s="1"/>
  <c r="Z1204" i="6"/>
  <c r="AA1204" i="6" s="1"/>
  <c r="Z1207" i="6"/>
  <c r="AA1207" i="6" s="1"/>
  <c r="Z1211" i="6"/>
  <c r="AA1211" i="6" s="1"/>
  <c r="Z1212" i="6"/>
  <c r="AA1212" i="6" s="1"/>
  <c r="Z1215" i="6"/>
  <c r="AA1215" i="6" s="1"/>
  <c r="Z1219" i="6"/>
  <c r="AA1219" i="6" s="1"/>
  <c r="Z1223" i="6"/>
  <c r="AA1223" i="6" s="1"/>
  <c r="Z1224" i="6"/>
  <c r="AA1224" i="6" s="1"/>
  <c r="Z1227" i="6"/>
  <c r="AA1227" i="6" s="1"/>
  <c r="Z1228" i="6"/>
  <c r="AA1228" i="6" s="1"/>
  <c r="Z1231" i="6"/>
  <c r="AA1231" i="6" s="1"/>
  <c r="Z1235" i="6"/>
  <c r="AA1235" i="6" s="1"/>
  <c r="Z1239" i="6"/>
  <c r="AA1239" i="6" s="1"/>
  <c r="Z1240" i="6"/>
  <c r="AA1240" i="6" s="1"/>
  <c r="Z1243" i="6"/>
  <c r="AA1243" i="6" s="1"/>
  <c r="Z1247" i="6"/>
  <c r="AA1247" i="6" s="1"/>
  <c r="Z1248" i="6"/>
  <c r="AA1248" i="6" s="1"/>
  <c r="Z1251" i="6"/>
  <c r="AA1251" i="6" s="1"/>
  <c r="Z1252" i="6"/>
  <c r="AA1252" i="6" s="1"/>
  <c r="Z1255" i="6"/>
  <c r="AA1255" i="6" s="1"/>
  <c r="Z1259" i="6"/>
  <c r="AA1259" i="6" s="1"/>
  <c r="Z1260" i="6"/>
  <c r="AA1260" i="6" s="1"/>
  <c r="Z1263" i="6"/>
  <c r="AA1263" i="6" s="1"/>
  <c r="Z1267" i="6"/>
  <c r="AA1267" i="6" s="1"/>
  <c r="Z1268" i="6"/>
  <c r="AA1268" i="6" s="1"/>
  <c r="Z1271" i="6"/>
  <c r="AA1271" i="6" s="1"/>
  <c r="Z1275" i="6"/>
  <c r="Z1276" i="6"/>
  <c r="AA1276" i="6" s="1"/>
  <c r="Z1279" i="6"/>
  <c r="AA1279" i="6" s="1"/>
  <c r="Z1283" i="6"/>
  <c r="AA1283" i="6" s="1"/>
  <c r="Z1287" i="6"/>
  <c r="AA1287" i="6" s="1"/>
  <c r="Z1288" i="6"/>
  <c r="AA1288" i="6" s="1"/>
  <c r="Z1291" i="6"/>
  <c r="AA1291" i="6" s="1"/>
  <c r="Z1292" i="6"/>
  <c r="AA1292" i="6" s="1"/>
  <c r="Z1293" i="6"/>
  <c r="AA1293" i="6" s="1"/>
  <c r="Z1295" i="6"/>
  <c r="AA1295" i="6" s="1"/>
  <c r="Z1299" i="6"/>
  <c r="AA1299" i="6" s="1"/>
  <c r="Z1300" i="6"/>
  <c r="AA1300" i="6" s="1"/>
  <c r="Z1303" i="6"/>
  <c r="AA1303" i="6" s="1"/>
  <c r="Z1304" i="6"/>
  <c r="AA1304" i="6" s="1"/>
  <c r="Z1307" i="6"/>
  <c r="AA1307" i="6" s="1"/>
  <c r="Z1311" i="6"/>
  <c r="AA1311" i="6" s="1"/>
  <c r="Z1312" i="6"/>
  <c r="AA1312" i="6" s="1"/>
  <c r="Z1315" i="6"/>
  <c r="AA1315" i="6" s="1"/>
  <c r="Z1319" i="6"/>
  <c r="AA1319" i="6" s="1"/>
  <c r="Z1323" i="6"/>
  <c r="AA1323" i="6" s="1"/>
  <c r="Z1324" i="6"/>
  <c r="AA1324" i="6" s="1"/>
  <c r="Z1327" i="6"/>
  <c r="AA1327" i="6" s="1"/>
  <c r="Z1328" i="6"/>
  <c r="AA1328" i="6" s="1"/>
  <c r="Z1331" i="6"/>
  <c r="AA1331" i="6" s="1"/>
  <c r="Z1332" i="6"/>
  <c r="AA1332" i="6" s="1"/>
  <c r="Z1335" i="6"/>
  <c r="AA1335" i="6" s="1"/>
  <c r="Z1336" i="6"/>
  <c r="AA1336" i="6" s="1"/>
  <c r="Z1339" i="6"/>
  <c r="AA1339" i="6" s="1"/>
  <c r="Z1340" i="6"/>
  <c r="AA1340" i="6" s="1"/>
  <c r="Z1343" i="6"/>
  <c r="AA1343" i="6" s="1"/>
  <c r="Z1344" i="6"/>
  <c r="AA1344" i="6" s="1"/>
  <c r="Z1345" i="6"/>
  <c r="AA1345" i="6" s="1"/>
  <c r="Z1347" i="6"/>
  <c r="AA1347" i="6" s="1"/>
  <c r="Z1351" i="6"/>
  <c r="AA1351" i="6" s="1"/>
  <c r="Z1352" i="6"/>
  <c r="AA1352" i="6" s="1"/>
  <c r="Z1353" i="6"/>
  <c r="AA1353" i="6" s="1"/>
  <c r="Z1355" i="6"/>
  <c r="AA1355" i="6" s="1"/>
  <c r="Z1359" i="6"/>
  <c r="AA1359" i="6" s="1"/>
  <c r="Z1363" i="6"/>
  <c r="AA1363" i="6" s="1"/>
  <c r="Z1364" i="6"/>
  <c r="AA1364" i="6" s="1"/>
  <c r="Z1367" i="6"/>
  <c r="AA1367" i="6" s="1"/>
  <c r="Z1368" i="6"/>
  <c r="AA1368" i="6" s="1"/>
  <c r="Z1369" i="6"/>
  <c r="AA1369" i="6" s="1"/>
  <c r="Z1371" i="6"/>
  <c r="AA1371" i="6" s="1"/>
  <c r="Z1375" i="6"/>
  <c r="AA1375" i="6" s="1"/>
  <c r="Z1376" i="6"/>
  <c r="AA1376" i="6" s="1"/>
  <c r="Z1379" i="6"/>
  <c r="AA1379" i="6" s="1"/>
  <c r="Z1380" i="6"/>
  <c r="AA1380" i="6" s="1"/>
  <c r="Z1383" i="6"/>
  <c r="AA1383" i="6" s="1"/>
  <c r="Z1385" i="6"/>
  <c r="AA1385" i="6" s="1"/>
  <c r="Z1387" i="6"/>
  <c r="AA1387" i="6" s="1"/>
  <c r="Z1388" i="6"/>
  <c r="AA1388" i="6" s="1"/>
  <c r="Z1391" i="6"/>
  <c r="AA1391" i="6" s="1"/>
  <c r="Z1392" i="6"/>
  <c r="AA1392" i="6" s="1"/>
  <c r="Z1395" i="6"/>
  <c r="AA1395" i="6" s="1"/>
  <c r="Z1396" i="6"/>
  <c r="AA1396" i="6" s="1"/>
  <c r="Z1399" i="6"/>
  <c r="AA1399" i="6" s="1"/>
  <c r="Z1400" i="6"/>
  <c r="AA1400" i="6" s="1"/>
  <c r="Z1403" i="6"/>
  <c r="AA1403" i="6" s="1"/>
  <c r="Z1404" i="6"/>
  <c r="AA1404" i="6" s="1"/>
  <c r="Z1407" i="6"/>
  <c r="AA1407" i="6" s="1"/>
  <c r="Z1408" i="6"/>
  <c r="AA1408" i="6" s="1"/>
  <c r="Z1411" i="6"/>
  <c r="AA1411" i="6" s="1"/>
  <c r="Z1415" i="6"/>
  <c r="AA1415" i="6" s="1"/>
  <c r="Z1419" i="6"/>
  <c r="AA1419" i="6" s="1"/>
  <c r="Z1420" i="6"/>
  <c r="AA1420" i="6" s="1"/>
  <c r="Z1423" i="6"/>
  <c r="AA1423" i="6" s="1"/>
  <c r="Z1427" i="6"/>
  <c r="AA1427" i="6" s="1"/>
  <c r="Z1428" i="6"/>
  <c r="AA1428" i="6" s="1"/>
  <c r="Z1431" i="6"/>
  <c r="AA1431" i="6" s="1"/>
  <c r="Z1435" i="6"/>
  <c r="AA1435" i="6" s="1"/>
  <c r="Z1439" i="6"/>
  <c r="AA1439" i="6" s="1"/>
  <c r="Z1440" i="6"/>
  <c r="AA1440" i="6" s="1"/>
  <c r="Z1443" i="6"/>
  <c r="AA1443" i="6" s="1"/>
  <c r="Z1444" i="6"/>
  <c r="AA1444" i="6" s="1"/>
  <c r="Z1447" i="6"/>
  <c r="AA1447" i="6" s="1"/>
  <c r="Z1449" i="6"/>
  <c r="AA1449" i="6" s="1"/>
  <c r="Z1451" i="6"/>
  <c r="AA1451" i="6" s="1"/>
  <c r="Z1452" i="6"/>
  <c r="AA1452" i="6" s="1"/>
  <c r="Z1455" i="6"/>
  <c r="AA1455" i="6" s="1"/>
  <c r="Z1456" i="6"/>
  <c r="AA1456" i="6" s="1"/>
  <c r="Z1459" i="6"/>
  <c r="AA1459" i="6" s="1"/>
  <c r="Z1460" i="6"/>
  <c r="AA1460" i="6" s="1"/>
  <c r="Z1463" i="6"/>
  <c r="AA1463" i="6" s="1"/>
  <c r="Z1464" i="6"/>
  <c r="AA1464" i="6" s="1"/>
  <c r="Z1467" i="6"/>
  <c r="AA1467" i="6" s="1"/>
  <c r="Z1468" i="6"/>
  <c r="AA1468" i="6" s="1"/>
  <c r="Z1469" i="6"/>
  <c r="AA1469" i="6" s="1"/>
  <c r="Z1471" i="6"/>
  <c r="AA1471" i="6" s="1"/>
  <c r="Z1475" i="6"/>
  <c r="AA1475" i="6" s="1"/>
  <c r="Z1479" i="6"/>
  <c r="AA1479" i="6" s="1"/>
  <c r="Z1480" i="6"/>
  <c r="AA1480" i="6" s="1"/>
  <c r="Z1483" i="6"/>
  <c r="AA1483" i="6" s="1"/>
  <c r="Z1484" i="6"/>
  <c r="AA1484" i="6" s="1"/>
  <c r="Z1487" i="6"/>
  <c r="AA1487" i="6" s="1"/>
  <c r="Z1491" i="6"/>
  <c r="AA1491" i="6" s="1"/>
  <c r="Z1495" i="6"/>
  <c r="AA1495" i="6" s="1"/>
  <c r="Z1496" i="6"/>
  <c r="AA1496" i="6" s="1"/>
  <c r="Z1499" i="6"/>
  <c r="AA1499" i="6" s="1"/>
  <c r="Z1503" i="6"/>
  <c r="AA1503" i="6" s="1"/>
  <c r="Z1504" i="6"/>
  <c r="AA1504" i="6" s="1"/>
  <c r="Z1507" i="6"/>
  <c r="AA1507" i="6" s="1"/>
  <c r="Z1511" i="6"/>
  <c r="AA1511" i="6" s="1"/>
  <c r="Z1515" i="6"/>
  <c r="AA1515" i="6" s="1"/>
  <c r="Z1516" i="6"/>
  <c r="AA1516" i="6" s="1"/>
  <c r="Z1519" i="6"/>
  <c r="AA1519" i="6" s="1"/>
  <c r="Z1520" i="6"/>
  <c r="AA1520" i="6" s="1"/>
  <c r="Z1523" i="6"/>
  <c r="AA1523" i="6" s="1"/>
  <c r="Z1524" i="6"/>
  <c r="AA1524" i="6" s="1"/>
  <c r="Z1527" i="6"/>
  <c r="AA1527" i="6" s="1"/>
  <c r="Z1528" i="6"/>
  <c r="AA1528" i="6" s="1"/>
  <c r="Z1531" i="6"/>
  <c r="AA1531" i="6" s="1"/>
  <c r="Z1532" i="6"/>
  <c r="AA1532" i="6" s="1"/>
  <c r="Z1535" i="6"/>
  <c r="AA1535" i="6" s="1"/>
  <c r="Z1536" i="6"/>
  <c r="AA1536" i="6" s="1"/>
  <c r="Z1539" i="6"/>
  <c r="AA1539" i="6" s="1"/>
  <c r="Z1543" i="6"/>
  <c r="AA1543" i="6" s="1"/>
  <c r="Z1547" i="6"/>
  <c r="AA1547" i="6" s="1"/>
  <c r="Z1548" i="6"/>
  <c r="AA1548" i="6" s="1"/>
  <c r="Z1551" i="6"/>
  <c r="AA1551" i="6" s="1"/>
  <c r="Z1555" i="6"/>
  <c r="AA1555" i="6" s="1"/>
  <c r="Z1556" i="6"/>
  <c r="AA1556" i="6" s="1"/>
  <c r="Z1559" i="6"/>
  <c r="AA1559" i="6" s="1"/>
  <c r="Z1560" i="6"/>
  <c r="AA1560" i="6" s="1"/>
  <c r="Z1563" i="6"/>
  <c r="AA1563" i="6" s="1"/>
  <c r="Z1565" i="6"/>
  <c r="AA1565" i="6" s="1"/>
  <c r="Z1567" i="6"/>
  <c r="AA1567" i="6" s="1"/>
  <c r="Z1568" i="6"/>
  <c r="AA1568" i="6" s="1"/>
  <c r="Z1571" i="6"/>
  <c r="AA1571" i="6" s="1"/>
  <c r="Z1572" i="6"/>
  <c r="AA1572" i="6" s="1"/>
  <c r="Z1575" i="6"/>
  <c r="AA1575" i="6" s="1"/>
  <c r="Z1579" i="6"/>
  <c r="AA1579" i="6" s="1"/>
  <c r="Z1583" i="6"/>
  <c r="AA1583" i="6" s="1"/>
  <c r="Z1584" i="6"/>
  <c r="AA1584" i="6" s="1"/>
  <c r="Z1587" i="6"/>
  <c r="AA1587" i="6" s="1"/>
  <c r="Z1591" i="6"/>
  <c r="AA1591" i="6" s="1"/>
  <c r="Z1592" i="6"/>
  <c r="AA1592" i="6" s="1"/>
  <c r="Z1595" i="6"/>
  <c r="AA1595" i="6" s="1"/>
  <c r="Z1599" i="6"/>
  <c r="AA1599" i="6" s="1"/>
  <c r="Z1600" i="6"/>
  <c r="AA1600" i="6" s="1"/>
  <c r="Z1603" i="6"/>
  <c r="AA1603" i="6" s="1"/>
  <c r="Z1607" i="6"/>
  <c r="AA1607" i="6" s="1"/>
  <c r="Z1608" i="6"/>
  <c r="AA1608" i="6" s="1"/>
  <c r="Z1611" i="6"/>
  <c r="AA1611" i="6" s="1"/>
  <c r="Z1612" i="6"/>
  <c r="AA1612" i="6" s="1"/>
  <c r="Z1615" i="6"/>
  <c r="AA1615" i="6" s="1"/>
  <c r="Z1619" i="6"/>
  <c r="AA1619" i="6" s="1"/>
  <c r="Z1620" i="6"/>
  <c r="AA1620" i="6" s="1"/>
  <c r="Z1623" i="6"/>
  <c r="AA1623" i="6" s="1"/>
  <c r="Z1627" i="6"/>
  <c r="AA1627" i="6" s="1"/>
  <c r="Z1631" i="6"/>
  <c r="AA1631" i="6" s="1"/>
  <c r="Z1632" i="6"/>
  <c r="AA1632" i="6" s="1"/>
  <c r="Z1635" i="6"/>
  <c r="AA1635" i="6" s="1"/>
  <c r="Z1636" i="6"/>
  <c r="AA1636" i="6" s="1"/>
  <c r="Z1639" i="6"/>
  <c r="AA1639" i="6" s="1"/>
  <c r="Z1643" i="6"/>
  <c r="AA1643" i="6" s="1"/>
  <c r="Z1647" i="6"/>
  <c r="AA1647" i="6" s="1"/>
  <c r="Z1648" i="6"/>
  <c r="AA1648" i="6" s="1"/>
  <c r="Z1651" i="6"/>
  <c r="AA1651" i="6" s="1"/>
  <c r="Z1655" i="6"/>
  <c r="AA1655" i="6" s="1"/>
  <c r="Z1656" i="6"/>
  <c r="AA1656" i="6" s="1"/>
  <c r="Z1659" i="6"/>
  <c r="AA1659" i="6" s="1"/>
  <c r="Z1663" i="6"/>
  <c r="AA1663" i="6" s="1"/>
  <c r="Z1664" i="6"/>
  <c r="AA1664" i="6" s="1"/>
  <c r="Z1667" i="6"/>
  <c r="AA1667" i="6" s="1"/>
  <c r="Z1671" i="6"/>
  <c r="AA1671" i="6" s="1"/>
  <c r="Z1672" i="6"/>
  <c r="AA1672" i="6" s="1"/>
  <c r="Z1675" i="6"/>
  <c r="AA1675" i="6" s="1"/>
  <c r="Z1676" i="6"/>
  <c r="AA1676" i="6" s="1"/>
  <c r="Z1679" i="6"/>
  <c r="AA1679" i="6" s="1"/>
  <c r="Z1683" i="6"/>
  <c r="AA1683" i="6" s="1"/>
  <c r="Z1684" i="6"/>
  <c r="AA1684" i="6" s="1"/>
  <c r="Z1687" i="6"/>
  <c r="AA1687" i="6" s="1"/>
  <c r="Z1689" i="6"/>
  <c r="AA1689" i="6" s="1"/>
  <c r="Z1691" i="6"/>
  <c r="AA1691" i="6" s="1"/>
  <c r="Z1695" i="6"/>
  <c r="AA1695" i="6" s="1"/>
  <c r="Z1699" i="6"/>
  <c r="AA1699" i="6" s="1"/>
  <c r="Z1700" i="6"/>
  <c r="AA1700" i="6" s="1"/>
  <c r="Z1703" i="6"/>
  <c r="AA1703" i="6" s="1"/>
  <c r="Z1707" i="6"/>
  <c r="AA1707" i="6" s="1"/>
  <c r="Z1708" i="6"/>
  <c r="AA1708" i="6" s="1"/>
  <c r="Z1711" i="6"/>
  <c r="AA1711" i="6" s="1"/>
  <c r="Z1712" i="6"/>
  <c r="AA1712" i="6" s="1"/>
  <c r="Z1715" i="6"/>
  <c r="AA1715" i="6" s="1"/>
  <c r="Z1716" i="6"/>
  <c r="AA1716" i="6" s="1"/>
  <c r="Z1719" i="6"/>
  <c r="AA1719" i="6" s="1"/>
  <c r="Z1720" i="6"/>
  <c r="AA1720" i="6" s="1"/>
  <c r="Z1723" i="6"/>
  <c r="AA1723" i="6" s="1"/>
  <c r="Z1724" i="6"/>
  <c r="AA1724" i="6" s="1"/>
  <c r="Z1727" i="6"/>
  <c r="AA1727" i="6" s="1"/>
  <c r="Z1728" i="6"/>
  <c r="AA1728" i="6" s="1"/>
  <c r="Z1731" i="6"/>
  <c r="AA1731" i="6" s="1"/>
  <c r="Z1735" i="6"/>
  <c r="AA1735" i="6" s="1"/>
  <c r="Z1736" i="6"/>
  <c r="AA1736" i="6" s="1"/>
  <c r="Z1739" i="6"/>
  <c r="AA1739" i="6" s="1"/>
  <c r="Z1740" i="6"/>
  <c r="AA1740" i="6" s="1"/>
  <c r="Z1743" i="6"/>
  <c r="AA1743" i="6" s="1"/>
  <c r="Z1747" i="6"/>
  <c r="AA1747" i="6" s="1"/>
  <c r="Z1748" i="6"/>
  <c r="AA1748" i="6" s="1"/>
  <c r="Z1751" i="6"/>
  <c r="AA1751" i="6" s="1"/>
  <c r="Z1755" i="6"/>
  <c r="AA1755" i="6" s="1"/>
  <c r="Z1759" i="6"/>
  <c r="AA1759" i="6" s="1"/>
  <c r="Z1760" i="6"/>
  <c r="AA1760" i="6" s="1"/>
  <c r="Z1763" i="6"/>
  <c r="AA1763" i="6" s="1"/>
  <c r="Z1764" i="6"/>
  <c r="AA1764" i="6" s="1"/>
  <c r="Z1767" i="6"/>
  <c r="AA1767" i="6" s="1"/>
  <c r="Z1771" i="6"/>
  <c r="AA1771" i="6" s="1"/>
  <c r="Z1775" i="6"/>
  <c r="AA1775" i="6" s="1"/>
  <c r="Z1776" i="6"/>
  <c r="AA1776" i="6" s="1"/>
  <c r="Z1779" i="6"/>
  <c r="AA1779" i="6" s="1"/>
  <c r="Z1783" i="6"/>
  <c r="AA1783" i="6" s="1"/>
  <c r="Z1784" i="6"/>
  <c r="AA1784" i="6" s="1"/>
  <c r="Z1787" i="6"/>
  <c r="AA1787" i="6" s="1"/>
  <c r="Z1791" i="6"/>
  <c r="AA1791" i="6" s="1"/>
  <c r="Z1792" i="6"/>
  <c r="AA1792" i="6" s="1"/>
  <c r="Z1795" i="6"/>
  <c r="AA1795" i="6" s="1"/>
  <c r="Z1799" i="6"/>
  <c r="AA1799" i="6" s="1"/>
  <c r="Z1800" i="6"/>
  <c r="AA1800" i="6" s="1"/>
  <c r="Z1803" i="6"/>
  <c r="AA1803" i="6" s="1"/>
  <c r="Z1804" i="6"/>
  <c r="AA1804" i="6" s="1"/>
  <c r="Z1807" i="6"/>
  <c r="AA1807" i="6" s="1"/>
  <c r="Z1811" i="6"/>
  <c r="AA1811" i="6" s="1"/>
  <c r="Z1812" i="6"/>
  <c r="AA1812" i="6" s="1"/>
  <c r="Z1815" i="6"/>
  <c r="AA1815" i="6" s="1"/>
  <c r="Z1816" i="6"/>
  <c r="AA1816" i="6" s="1"/>
  <c r="Z1819" i="6"/>
  <c r="AA1819" i="6" s="1"/>
  <c r="Z1821" i="6"/>
  <c r="AA1821" i="6" s="1"/>
  <c r="Z1823" i="6"/>
  <c r="AA1823" i="6" s="1"/>
  <c r="Z1824" i="6"/>
  <c r="AA1824" i="6" s="1"/>
  <c r="Z1827" i="6"/>
  <c r="AA1827" i="6" s="1"/>
  <c r="Z1828" i="6"/>
  <c r="AA1828" i="6" s="1"/>
  <c r="Z1831" i="6"/>
  <c r="AA1831" i="6" s="1"/>
  <c r="Z1832" i="6"/>
  <c r="AA1832" i="6" s="1"/>
  <c r="Z1833" i="6"/>
  <c r="AA1833" i="6" s="1"/>
  <c r="Z1835" i="6"/>
  <c r="AA1835" i="6" s="1"/>
  <c r="Z1839" i="6"/>
  <c r="AA1839" i="6" s="1"/>
  <c r="Z1840" i="6"/>
  <c r="AA1840" i="6" s="1"/>
  <c r="Z1843" i="6"/>
  <c r="AA1843" i="6" s="1"/>
  <c r="Z1844" i="6"/>
  <c r="AA1844" i="6" s="1"/>
  <c r="Z1847" i="6"/>
  <c r="AA1847" i="6" s="1"/>
  <c r="Z1848" i="6"/>
  <c r="AA1848" i="6" s="1"/>
  <c r="Z1851" i="6"/>
  <c r="AA1851" i="6" s="1"/>
  <c r="Z1852" i="6"/>
  <c r="AA1852" i="6" s="1"/>
  <c r="Z1855" i="6"/>
  <c r="AA1855" i="6" s="1"/>
  <c r="Z1856" i="6"/>
  <c r="AA1856" i="6" s="1"/>
  <c r="Z1859" i="6"/>
  <c r="AA1859" i="6" s="1"/>
  <c r="Z1860" i="6"/>
  <c r="AA1860" i="6" s="1"/>
  <c r="Z1863" i="6"/>
  <c r="AA1863" i="6" s="1"/>
  <c r="Z1864" i="6"/>
  <c r="AA1864" i="6" s="1"/>
  <c r="Z1867" i="6"/>
  <c r="AA1867" i="6" s="1"/>
  <c r="Z1871" i="6"/>
  <c r="AA1871" i="6" s="1"/>
  <c r="Z1872" i="6"/>
  <c r="AA1872" i="6" s="1"/>
  <c r="Z1873" i="6"/>
  <c r="AA1873" i="6" s="1"/>
  <c r="Z1875" i="6"/>
  <c r="AA1875" i="6" s="1"/>
  <c r="Z1876" i="6"/>
  <c r="AA1876" i="6" s="1"/>
  <c r="Z1879" i="6"/>
  <c r="AA1879" i="6" s="1"/>
  <c r="Z1880" i="6"/>
  <c r="AA1880" i="6" s="1"/>
  <c r="Z1883" i="6"/>
  <c r="AA1883" i="6" s="1"/>
  <c r="Z1884" i="6"/>
  <c r="AA1884" i="6" s="1"/>
  <c r="Z1887" i="6"/>
  <c r="AA1887" i="6" s="1"/>
  <c r="Z1891" i="6"/>
  <c r="AA1891" i="6" s="1"/>
  <c r="Z1892" i="6"/>
  <c r="AA1892" i="6" s="1"/>
  <c r="Z1895" i="6"/>
  <c r="AA1895" i="6" s="1"/>
  <c r="Z1899" i="6"/>
  <c r="AA1899" i="6" s="1"/>
  <c r="Z1900" i="6"/>
  <c r="AA1900" i="6" s="1"/>
  <c r="Z1903" i="6"/>
  <c r="AA1903" i="6" s="1"/>
  <c r="Z1907" i="6"/>
  <c r="AA1907" i="6" s="1"/>
  <c r="Z1908" i="6"/>
  <c r="AA1908" i="6" s="1"/>
  <c r="Z1911" i="6"/>
  <c r="AA1911" i="6" s="1"/>
  <c r="Z1915" i="6"/>
  <c r="AA1915" i="6" s="1"/>
  <c r="Z1916" i="6"/>
  <c r="AA1916" i="6" s="1"/>
  <c r="Z1919" i="6"/>
  <c r="AA1919" i="6" s="1"/>
  <c r="Z1923" i="6"/>
  <c r="AA1923" i="6" s="1"/>
  <c r="Z1924" i="6"/>
  <c r="AA1924" i="6" s="1"/>
  <c r="Z1927" i="6"/>
  <c r="AA1927" i="6" s="1"/>
  <c r="Z1931" i="6"/>
  <c r="AA1931" i="6" s="1"/>
  <c r="Z1932" i="6"/>
  <c r="AA1932" i="6" s="1"/>
  <c r="Z1935" i="6"/>
  <c r="AA1935" i="6" s="1"/>
  <c r="Z1939" i="6"/>
  <c r="AA1939" i="6" s="1"/>
  <c r="Z1940" i="6"/>
  <c r="AA1940" i="6" s="1"/>
  <c r="Z1941" i="6"/>
  <c r="AA1941" i="6" s="1"/>
  <c r="Z1943" i="6"/>
  <c r="AA1943" i="6" s="1"/>
  <c r="Z1944" i="6"/>
  <c r="AA1944" i="6" s="1"/>
  <c r="Z1947" i="6"/>
  <c r="AA1947" i="6" s="1"/>
  <c r="Z1948" i="6"/>
  <c r="AA1948" i="6" s="1"/>
  <c r="Z1951" i="6"/>
  <c r="AA1951" i="6" s="1"/>
  <c r="Z1952" i="6"/>
  <c r="AA1952" i="6" s="1"/>
  <c r="Z1953" i="6"/>
  <c r="AA1953" i="6" s="1"/>
  <c r="Z1955" i="6"/>
  <c r="AA1955" i="6" s="1"/>
  <c r="Z1959" i="6"/>
  <c r="AA1959" i="6" s="1"/>
  <c r="Z1960" i="6"/>
  <c r="AA1960" i="6" s="1"/>
  <c r="Z1963" i="6"/>
  <c r="AA1963" i="6" s="1"/>
  <c r="Z1967" i="6"/>
  <c r="AA1967" i="6" s="1"/>
  <c r="Z1968" i="6"/>
  <c r="AA1968" i="6" s="1"/>
  <c r="Z1971" i="6"/>
  <c r="AA1971" i="6" s="1"/>
  <c r="Z1973" i="6"/>
  <c r="AA1973" i="6" s="1"/>
  <c r="Z1975" i="6"/>
  <c r="AA1975" i="6" s="1"/>
  <c r="Z1976" i="6"/>
  <c r="AA1976" i="6" s="1"/>
  <c r="Z1979" i="6"/>
  <c r="AA1979" i="6" s="1"/>
  <c r="Z1980" i="6"/>
  <c r="AA1980" i="6" s="1"/>
  <c r="Z1983" i="6"/>
  <c r="AA1983" i="6" s="1"/>
  <c r="Z1984" i="6"/>
  <c r="AA1984" i="6" s="1"/>
  <c r="Z1987" i="6"/>
  <c r="AA1987" i="6" s="1"/>
  <c r="Z1988" i="6"/>
  <c r="AA1988" i="6" s="1"/>
  <c r="Z1991" i="6"/>
  <c r="AA1991" i="6" s="1"/>
  <c r="Z1992" i="6"/>
  <c r="AA1992" i="6" s="1"/>
  <c r="Z1995" i="6"/>
  <c r="AA1995" i="6" s="1"/>
  <c r="Z1996" i="6"/>
  <c r="AA1996" i="6" s="1"/>
  <c r="Z1999" i="6"/>
  <c r="AA1999" i="6" s="1"/>
  <c r="Z2000" i="6"/>
  <c r="AA2000" i="6" s="1"/>
  <c r="Z2003" i="6"/>
  <c r="AA2003" i="6" s="1"/>
  <c r="Z2004" i="6"/>
  <c r="AA2004" i="6" s="1"/>
  <c r="Z2007" i="6"/>
  <c r="AA2007" i="6" s="1"/>
  <c r="Z2008" i="6"/>
  <c r="AA2008" i="6" s="1"/>
  <c r="AA14" i="6"/>
  <c r="AA18" i="6"/>
  <c r="AA21" i="6"/>
  <c r="AA22" i="6"/>
  <c r="AA26" i="6"/>
  <c r="AA30" i="6"/>
  <c r="AA34" i="6"/>
  <c r="AA38" i="6"/>
  <c r="AA42" i="6"/>
  <c r="AA46" i="6"/>
  <c r="AA50" i="6"/>
  <c r="AA54" i="6"/>
  <c r="AA58" i="6"/>
  <c r="AA62" i="6"/>
  <c r="AA66" i="6"/>
  <c r="AA70" i="6"/>
  <c r="AA74" i="6"/>
  <c r="AA78" i="6"/>
  <c r="AA82" i="6"/>
  <c r="AA86" i="6"/>
  <c r="AA90" i="6"/>
  <c r="AA94" i="6"/>
  <c r="AA98" i="6"/>
  <c r="AA102" i="6"/>
  <c r="AA106" i="6"/>
  <c r="AA110" i="6"/>
  <c r="AA114" i="6"/>
  <c r="AA118" i="6"/>
  <c r="AA122" i="6"/>
  <c r="AA126" i="6"/>
  <c r="AA130" i="6"/>
  <c r="AA134" i="6"/>
  <c r="AA138" i="6"/>
  <c r="AA142" i="6"/>
  <c r="AA146" i="6"/>
  <c r="AA150" i="6"/>
  <c r="AA154" i="6"/>
  <c r="AA158" i="6"/>
  <c r="AA162" i="6"/>
  <c r="AA166" i="6"/>
  <c r="AA170" i="6"/>
  <c r="AA174" i="6"/>
  <c r="AA178" i="6"/>
  <c r="AA182" i="6"/>
  <c r="AA186" i="6"/>
  <c r="AA190" i="6"/>
  <c r="AA194" i="6"/>
  <c r="AA198" i="6"/>
  <c r="AA202" i="6"/>
  <c r="AA206" i="6"/>
  <c r="AA210" i="6"/>
  <c r="AA214" i="6"/>
  <c r="AA218" i="6"/>
  <c r="AA222" i="6"/>
  <c r="AA226" i="6"/>
  <c r="AA230" i="6"/>
  <c r="AA234" i="6"/>
  <c r="AA238" i="6"/>
  <c r="AA242" i="6"/>
  <c r="AA246" i="6"/>
  <c r="AA250" i="6"/>
  <c r="AA254" i="6"/>
  <c r="AA266" i="6"/>
  <c r="AA270" i="6"/>
  <c r="AA282" i="6"/>
  <c r="AA286" i="6"/>
  <c r="AA298" i="6"/>
  <c r="AA302" i="6"/>
  <c r="AA314" i="6"/>
  <c r="AA318" i="6"/>
  <c r="AA325" i="6"/>
  <c r="AA326" i="6"/>
  <c r="AA330" i="6"/>
  <c r="AA342" i="6"/>
  <c r="AA346" i="6"/>
  <c r="AA358" i="6"/>
  <c r="AA362" i="6"/>
  <c r="AA370" i="6"/>
  <c r="AA373" i="6"/>
  <c r="AA382" i="6"/>
  <c r="AA386" i="6"/>
  <c r="AA389" i="6"/>
  <c r="AA394" i="6"/>
  <c r="AA406" i="6"/>
  <c r="AA410" i="6"/>
  <c r="AA422" i="6"/>
  <c r="AA426" i="6"/>
  <c r="AA438" i="6"/>
  <c r="AA442" i="6"/>
  <c r="AA454" i="6"/>
  <c r="AA458" i="6"/>
  <c r="AA466" i="6"/>
  <c r="AA474" i="6"/>
  <c r="AA482" i="6"/>
  <c r="AA494" i="6"/>
  <c r="AA498" i="6"/>
  <c r="AA510" i="6"/>
  <c r="AA514" i="6"/>
  <c r="AA526" i="6"/>
  <c r="AA530" i="6"/>
  <c r="AA542" i="6"/>
  <c r="AA546" i="6"/>
  <c r="AA558" i="6"/>
  <c r="AA562" i="6"/>
  <c r="AA574" i="6"/>
  <c r="AA578" i="6"/>
  <c r="AA590" i="6"/>
  <c r="AA598" i="6"/>
  <c r="AA606" i="6"/>
  <c r="AA613" i="6"/>
  <c r="AA614" i="6"/>
  <c r="AA618" i="6"/>
  <c r="AA630" i="6"/>
  <c r="AA634" i="6"/>
  <c r="AA642" i="6"/>
  <c r="AA645" i="6"/>
  <c r="AA650" i="6"/>
  <c r="AA654" i="6"/>
  <c r="AA666" i="6"/>
  <c r="AA670" i="6"/>
  <c r="AA682" i="6"/>
  <c r="AA694" i="6"/>
  <c r="AA731" i="6"/>
  <c r="AA738" i="6"/>
  <c r="AA754" i="6"/>
  <c r="AA762" i="6"/>
  <c r="AA814" i="6"/>
  <c r="AA830" i="6"/>
  <c r="AA866" i="6"/>
  <c r="AA874" i="6"/>
  <c r="AA882" i="6"/>
  <c r="AA890" i="6"/>
  <c r="AA926" i="6"/>
  <c r="AA942" i="6"/>
  <c r="AA958" i="6"/>
  <c r="AA972" i="6"/>
  <c r="AA994" i="6"/>
  <c r="AA1050" i="6"/>
  <c r="AA1062" i="6"/>
  <c r="AA1070" i="6"/>
  <c r="AA1118" i="6"/>
  <c r="AA1138" i="6"/>
  <c r="AA1152" i="6"/>
  <c r="AA1158" i="6"/>
  <c r="AA1216" i="6"/>
  <c r="AA1242" i="6"/>
  <c r="AA1274" i="6"/>
  <c r="AA1275" i="6"/>
  <c r="U11" i="6"/>
  <c r="V11" i="6" s="1"/>
  <c r="U14" i="6"/>
  <c r="V14" i="6" s="1"/>
  <c r="U15" i="6"/>
  <c r="V15" i="6" s="1"/>
  <c r="U18" i="6"/>
  <c r="V18" i="6" s="1"/>
  <c r="U19" i="6"/>
  <c r="V19" i="6" s="1"/>
  <c r="U22" i="6"/>
  <c r="V22" i="6" s="1"/>
  <c r="U23" i="6"/>
  <c r="V23" i="6" s="1"/>
  <c r="U26" i="6"/>
  <c r="V26" i="6" s="1"/>
  <c r="U27" i="6"/>
  <c r="V27" i="6" s="1"/>
  <c r="U30" i="6"/>
  <c r="V30" i="6" s="1"/>
  <c r="U31" i="6"/>
  <c r="V31" i="6" s="1"/>
  <c r="U34" i="6"/>
  <c r="V34" i="6" s="1"/>
  <c r="U35" i="6"/>
  <c r="V35" i="6" s="1"/>
  <c r="U38" i="6"/>
  <c r="V38" i="6" s="1"/>
  <c r="U39" i="6"/>
  <c r="V39" i="6" s="1"/>
  <c r="U42" i="6"/>
  <c r="V42" i="6" s="1"/>
  <c r="U43" i="6"/>
  <c r="V43" i="6" s="1"/>
  <c r="U46" i="6"/>
  <c r="V46" i="6" s="1"/>
  <c r="U47" i="6"/>
  <c r="V47" i="6" s="1"/>
  <c r="U48" i="6"/>
  <c r="V48" i="6" s="1"/>
  <c r="U50" i="6"/>
  <c r="V50" i="6" s="1"/>
  <c r="U51" i="6"/>
  <c r="V51" i="6" s="1"/>
  <c r="U54" i="6"/>
  <c r="V54" i="6" s="1"/>
  <c r="U55" i="6"/>
  <c r="V55" i="6" s="1"/>
  <c r="U58" i="6"/>
  <c r="V58" i="6" s="1"/>
  <c r="U59" i="6"/>
  <c r="V59" i="6" s="1"/>
  <c r="U62" i="6"/>
  <c r="V62" i="6" s="1"/>
  <c r="U63" i="6"/>
  <c r="V63" i="6" s="1"/>
  <c r="U66" i="6"/>
  <c r="V66" i="6" s="1"/>
  <c r="U67" i="6"/>
  <c r="V67" i="6" s="1"/>
  <c r="U68" i="6"/>
  <c r="V68" i="6" s="1"/>
  <c r="U70" i="6"/>
  <c r="V70" i="6" s="1"/>
  <c r="U71" i="6"/>
  <c r="V71" i="6" s="1"/>
  <c r="U74" i="6"/>
  <c r="V74" i="6" s="1"/>
  <c r="U75" i="6"/>
  <c r="V75" i="6" s="1"/>
  <c r="U78" i="6"/>
  <c r="V78" i="6" s="1"/>
  <c r="U79" i="6"/>
  <c r="V79" i="6" s="1"/>
  <c r="U82" i="6"/>
  <c r="V82" i="6" s="1"/>
  <c r="U83" i="6"/>
  <c r="V83" i="6" s="1"/>
  <c r="U86" i="6"/>
  <c r="V86" i="6" s="1"/>
  <c r="U87" i="6"/>
  <c r="V87" i="6" s="1"/>
  <c r="U90" i="6"/>
  <c r="V90" i="6" s="1"/>
  <c r="U91" i="6"/>
  <c r="V91" i="6" s="1"/>
  <c r="U92" i="6"/>
  <c r="V92" i="6" s="1"/>
  <c r="U94" i="6"/>
  <c r="V94" i="6" s="1"/>
  <c r="U95" i="6"/>
  <c r="V95" i="6" s="1"/>
  <c r="U98" i="6"/>
  <c r="V98" i="6" s="1"/>
  <c r="U99" i="6"/>
  <c r="V99" i="6" s="1"/>
  <c r="U102" i="6"/>
  <c r="V102" i="6" s="1"/>
  <c r="U103" i="6"/>
  <c r="V103" i="6" s="1"/>
  <c r="U106" i="6"/>
  <c r="V106" i="6" s="1"/>
  <c r="U107" i="6"/>
  <c r="V107" i="6" s="1"/>
  <c r="U110" i="6"/>
  <c r="V110" i="6" s="1"/>
  <c r="U111" i="6"/>
  <c r="V111" i="6" s="1"/>
  <c r="U114" i="6"/>
  <c r="V114" i="6" s="1"/>
  <c r="U115" i="6"/>
  <c r="V115" i="6" s="1"/>
  <c r="U118" i="6"/>
  <c r="V118" i="6" s="1"/>
  <c r="U119" i="6"/>
  <c r="V119" i="6" s="1"/>
  <c r="U122" i="6"/>
  <c r="V122" i="6" s="1"/>
  <c r="U123" i="6"/>
  <c r="V123" i="6" s="1"/>
  <c r="U126" i="6"/>
  <c r="V126" i="6" s="1"/>
  <c r="U127" i="6"/>
  <c r="V127" i="6" s="1"/>
  <c r="U130" i="6"/>
  <c r="V130" i="6" s="1"/>
  <c r="U131" i="6"/>
  <c r="V131" i="6" s="1"/>
  <c r="U134" i="6"/>
  <c r="V134" i="6" s="1"/>
  <c r="U135" i="6"/>
  <c r="V135" i="6" s="1"/>
  <c r="U138" i="6"/>
  <c r="V138" i="6" s="1"/>
  <c r="U139" i="6"/>
  <c r="V139" i="6" s="1"/>
  <c r="U142" i="6"/>
  <c r="V142" i="6" s="1"/>
  <c r="U143" i="6"/>
  <c r="V143" i="6" s="1"/>
  <c r="U144" i="6"/>
  <c r="V144" i="6" s="1"/>
  <c r="U146" i="6"/>
  <c r="V146" i="6" s="1"/>
  <c r="U147" i="6"/>
  <c r="V147" i="6" s="1"/>
  <c r="U150" i="6"/>
  <c r="V150" i="6" s="1"/>
  <c r="U151" i="6"/>
  <c r="V151" i="6" s="1"/>
  <c r="U154" i="6"/>
  <c r="V154" i="6" s="1"/>
  <c r="U155" i="6"/>
  <c r="V155" i="6" s="1"/>
  <c r="U156" i="6"/>
  <c r="V156" i="6" s="1"/>
  <c r="U158" i="6"/>
  <c r="V158" i="6" s="1"/>
  <c r="U159" i="6"/>
  <c r="V159" i="6" s="1"/>
  <c r="U162" i="6"/>
  <c r="V162" i="6" s="1"/>
  <c r="U163" i="6"/>
  <c r="V163" i="6" s="1"/>
  <c r="U166" i="6"/>
  <c r="V166" i="6" s="1"/>
  <c r="U167" i="6"/>
  <c r="V167" i="6" s="1"/>
  <c r="U170" i="6"/>
  <c r="V170" i="6" s="1"/>
  <c r="U171" i="6"/>
  <c r="V171" i="6" s="1"/>
  <c r="U172" i="6"/>
  <c r="V172" i="6" s="1"/>
  <c r="U174" i="6"/>
  <c r="V174" i="6" s="1"/>
  <c r="U175" i="6"/>
  <c r="V175" i="6" s="1"/>
  <c r="U178" i="6"/>
  <c r="V178" i="6" s="1"/>
  <c r="U179" i="6"/>
  <c r="V179" i="6" s="1"/>
  <c r="U182" i="6"/>
  <c r="V182" i="6" s="1"/>
  <c r="U183" i="6"/>
  <c r="V183" i="6" s="1"/>
  <c r="U186" i="6"/>
  <c r="V186" i="6" s="1"/>
  <c r="U187" i="6"/>
  <c r="V187" i="6" s="1"/>
  <c r="U190" i="6"/>
  <c r="V190" i="6" s="1"/>
  <c r="U191" i="6"/>
  <c r="V191" i="6" s="1"/>
  <c r="U194" i="6"/>
  <c r="V194" i="6" s="1"/>
  <c r="U195" i="6"/>
  <c r="V195" i="6" s="1"/>
  <c r="U198" i="6"/>
  <c r="V198" i="6" s="1"/>
  <c r="U199" i="6"/>
  <c r="V199" i="6" s="1"/>
  <c r="U202" i="6"/>
  <c r="V202" i="6" s="1"/>
  <c r="U203" i="6"/>
  <c r="V203" i="6" s="1"/>
  <c r="U206" i="6"/>
  <c r="V206" i="6" s="1"/>
  <c r="U207" i="6"/>
  <c r="V207" i="6" s="1"/>
  <c r="U210" i="6"/>
  <c r="V210" i="6" s="1"/>
  <c r="U211" i="6"/>
  <c r="V211" i="6" s="1"/>
  <c r="U214" i="6"/>
  <c r="V214" i="6" s="1"/>
  <c r="U215" i="6"/>
  <c r="V215" i="6" s="1"/>
  <c r="U218" i="6"/>
  <c r="V218" i="6" s="1"/>
  <c r="U219" i="6"/>
  <c r="V219" i="6" s="1"/>
  <c r="U222" i="6"/>
  <c r="V222" i="6" s="1"/>
  <c r="U223" i="6"/>
  <c r="V223" i="6" s="1"/>
  <c r="U224" i="6"/>
  <c r="V224" i="6" s="1"/>
  <c r="U226" i="6"/>
  <c r="V226" i="6" s="1"/>
  <c r="U227" i="6"/>
  <c r="V227" i="6" s="1"/>
  <c r="U228" i="6"/>
  <c r="V228" i="6" s="1"/>
  <c r="U230" i="6"/>
  <c r="V230" i="6" s="1"/>
  <c r="U231" i="6"/>
  <c r="V231" i="6" s="1"/>
  <c r="U234" i="6"/>
  <c r="V234" i="6" s="1"/>
  <c r="U235" i="6"/>
  <c r="V235" i="6" s="1"/>
  <c r="U236" i="6"/>
  <c r="V236" i="6" s="1"/>
  <c r="U238" i="6"/>
  <c r="V238" i="6" s="1"/>
  <c r="U239" i="6"/>
  <c r="V239" i="6" s="1"/>
  <c r="U240" i="6"/>
  <c r="V240" i="6" s="1"/>
  <c r="U242" i="6"/>
  <c r="V242" i="6" s="1"/>
  <c r="U243" i="6"/>
  <c r="V243" i="6" s="1"/>
  <c r="U246" i="6"/>
  <c r="V246" i="6" s="1"/>
  <c r="U247" i="6"/>
  <c r="V247" i="6" s="1"/>
  <c r="U250" i="6"/>
  <c r="V250" i="6" s="1"/>
  <c r="U251" i="6"/>
  <c r="V251" i="6" s="1"/>
  <c r="U254" i="6"/>
  <c r="V254" i="6" s="1"/>
  <c r="U255" i="6"/>
  <c r="V255" i="6" s="1"/>
  <c r="U258" i="6"/>
  <c r="V258" i="6" s="1"/>
  <c r="U259" i="6"/>
  <c r="V259" i="6" s="1"/>
  <c r="U262" i="6"/>
  <c r="V262" i="6" s="1"/>
  <c r="U263" i="6"/>
  <c r="V263" i="6" s="1"/>
  <c r="U266" i="6"/>
  <c r="V266" i="6" s="1"/>
  <c r="U267" i="6"/>
  <c r="V267" i="6" s="1"/>
  <c r="U270" i="6"/>
  <c r="V270" i="6" s="1"/>
  <c r="U271" i="6"/>
  <c r="V271" i="6" s="1"/>
  <c r="U274" i="6"/>
  <c r="V274" i="6" s="1"/>
  <c r="U275" i="6"/>
  <c r="V275" i="6" s="1"/>
  <c r="U278" i="6"/>
  <c r="V278" i="6" s="1"/>
  <c r="U279" i="6"/>
  <c r="V279" i="6" s="1"/>
  <c r="U282" i="6"/>
  <c r="V282" i="6" s="1"/>
  <c r="U283" i="6"/>
  <c r="V283" i="6" s="1"/>
  <c r="U286" i="6"/>
  <c r="V286" i="6" s="1"/>
  <c r="U287" i="6"/>
  <c r="V287" i="6" s="1"/>
  <c r="U290" i="6"/>
  <c r="V290" i="6" s="1"/>
  <c r="U291" i="6"/>
  <c r="V291" i="6" s="1"/>
  <c r="U292" i="6"/>
  <c r="V292" i="6" s="1"/>
  <c r="U294" i="6"/>
  <c r="V294" i="6" s="1"/>
  <c r="U295" i="6"/>
  <c r="V295" i="6" s="1"/>
  <c r="U298" i="6"/>
  <c r="V298" i="6" s="1"/>
  <c r="U299" i="6"/>
  <c r="V299" i="6" s="1"/>
  <c r="U302" i="6"/>
  <c r="V302" i="6" s="1"/>
  <c r="U303" i="6"/>
  <c r="V303" i="6" s="1"/>
  <c r="U306" i="6"/>
  <c r="V306" i="6" s="1"/>
  <c r="U307" i="6"/>
  <c r="V307" i="6" s="1"/>
  <c r="U310" i="6"/>
  <c r="V310" i="6" s="1"/>
  <c r="U311" i="6"/>
  <c r="V311" i="6" s="1"/>
  <c r="U314" i="6"/>
  <c r="V314" i="6" s="1"/>
  <c r="U315" i="6"/>
  <c r="V315" i="6" s="1"/>
  <c r="U318" i="6"/>
  <c r="V318" i="6" s="1"/>
  <c r="U319" i="6"/>
  <c r="V319" i="6" s="1"/>
  <c r="U322" i="6"/>
  <c r="V322" i="6" s="1"/>
  <c r="U323" i="6"/>
  <c r="V323" i="6" s="1"/>
  <c r="U324" i="6"/>
  <c r="V324" i="6" s="1"/>
  <c r="U326" i="6"/>
  <c r="V326" i="6" s="1"/>
  <c r="U327" i="6"/>
  <c r="V327" i="6" s="1"/>
  <c r="U330" i="6"/>
  <c r="V330" i="6" s="1"/>
  <c r="U331" i="6"/>
  <c r="V331" i="6" s="1"/>
  <c r="U334" i="6"/>
  <c r="V334" i="6" s="1"/>
  <c r="U335" i="6"/>
  <c r="V335" i="6" s="1"/>
  <c r="U338" i="6"/>
  <c r="V338" i="6" s="1"/>
  <c r="U339" i="6"/>
  <c r="V339" i="6" s="1"/>
  <c r="U342" i="6"/>
  <c r="V342" i="6" s="1"/>
  <c r="U343" i="6"/>
  <c r="V343" i="6" s="1"/>
  <c r="U346" i="6"/>
  <c r="V346" i="6" s="1"/>
  <c r="U347" i="6"/>
  <c r="V347" i="6" s="1"/>
  <c r="U350" i="6"/>
  <c r="V350" i="6" s="1"/>
  <c r="U351" i="6"/>
  <c r="V351" i="6" s="1"/>
  <c r="U354" i="6"/>
  <c r="V354" i="6" s="1"/>
  <c r="U355" i="6"/>
  <c r="V355" i="6" s="1"/>
  <c r="U358" i="6"/>
  <c r="V358" i="6" s="1"/>
  <c r="U359" i="6"/>
  <c r="V359" i="6" s="1"/>
  <c r="U362" i="6"/>
  <c r="V362" i="6" s="1"/>
  <c r="U363" i="6"/>
  <c r="V363" i="6" s="1"/>
  <c r="U366" i="6"/>
  <c r="V366" i="6" s="1"/>
  <c r="U367" i="6"/>
  <c r="V367" i="6" s="1"/>
  <c r="U370" i="6"/>
  <c r="V370" i="6" s="1"/>
  <c r="U371" i="6"/>
  <c r="V371" i="6" s="1"/>
  <c r="U374" i="6"/>
  <c r="V374" i="6" s="1"/>
  <c r="U375" i="6"/>
  <c r="V375" i="6" s="1"/>
  <c r="U378" i="6"/>
  <c r="V378" i="6" s="1"/>
  <c r="U379" i="6"/>
  <c r="V379" i="6" s="1"/>
  <c r="U382" i="6"/>
  <c r="V382" i="6" s="1"/>
  <c r="U383" i="6"/>
  <c r="V383" i="6" s="1"/>
  <c r="U386" i="6"/>
  <c r="V386" i="6" s="1"/>
  <c r="U387" i="6"/>
  <c r="V387" i="6" s="1"/>
  <c r="U390" i="6"/>
  <c r="V390" i="6" s="1"/>
  <c r="U391" i="6"/>
  <c r="V391" i="6" s="1"/>
  <c r="U394" i="6"/>
  <c r="V394" i="6" s="1"/>
  <c r="U395" i="6"/>
  <c r="V395" i="6" s="1"/>
  <c r="U398" i="6"/>
  <c r="V398" i="6" s="1"/>
  <c r="U399" i="6"/>
  <c r="V399" i="6" s="1"/>
  <c r="U402" i="6"/>
  <c r="V402" i="6" s="1"/>
  <c r="U403" i="6"/>
  <c r="V403" i="6" s="1"/>
  <c r="U406" i="6"/>
  <c r="V406" i="6" s="1"/>
  <c r="U407" i="6"/>
  <c r="V407" i="6" s="1"/>
  <c r="U410" i="6"/>
  <c r="V410" i="6" s="1"/>
  <c r="U411" i="6"/>
  <c r="V411" i="6" s="1"/>
  <c r="U414" i="6"/>
  <c r="V414" i="6" s="1"/>
  <c r="U415" i="6"/>
  <c r="V415" i="6" s="1"/>
  <c r="U418" i="6"/>
  <c r="V418" i="6" s="1"/>
  <c r="U419" i="6"/>
  <c r="V419" i="6" s="1"/>
  <c r="U422" i="6"/>
  <c r="V422" i="6" s="1"/>
  <c r="U423" i="6"/>
  <c r="V423" i="6" s="1"/>
  <c r="U426" i="6"/>
  <c r="V426" i="6" s="1"/>
  <c r="U427" i="6"/>
  <c r="V427" i="6" s="1"/>
  <c r="U430" i="6"/>
  <c r="V430" i="6" s="1"/>
  <c r="U431" i="6"/>
  <c r="V431" i="6" s="1"/>
  <c r="U434" i="6"/>
  <c r="V434" i="6" s="1"/>
  <c r="U435" i="6"/>
  <c r="V435" i="6" s="1"/>
  <c r="U438" i="6"/>
  <c r="V438" i="6" s="1"/>
  <c r="U439" i="6"/>
  <c r="V439" i="6" s="1"/>
  <c r="U442" i="6"/>
  <c r="V442" i="6" s="1"/>
  <c r="U443" i="6"/>
  <c r="V443" i="6" s="1"/>
  <c r="U446" i="6"/>
  <c r="V446" i="6" s="1"/>
  <c r="U447" i="6"/>
  <c r="V447" i="6" s="1"/>
  <c r="U450" i="6"/>
  <c r="V450" i="6" s="1"/>
  <c r="U451" i="6"/>
  <c r="V451" i="6" s="1"/>
  <c r="U454" i="6"/>
  <c r="V454" i="6" s="1"/>
  <c r="U455" i="6"/>
  <c r="V455" i="6" s="1"/>
  <c r="U458" i="6"/>
  <c r="V458" i="6" s="1"/>
  <c r="U459" i="6"/>
  <c r="V459" i="6" s="1"/>
  <c r="U462" i="6"/>
  <c r="V462" i="6" s="1"/>
  <c r="U463" i="6"/>
  <c r="V463" i="6" s="1"/>
  <c r="U466" i="6"/>
  <c r="V466" i="6" s="1"/>
  <c r="U467" i="6"/>
  <c r="V467" i="6" s="1"/>
  <c r="U470" i="6"/>
  <c r="V470" i="6" s="1"/>
  <c r="U471" i="6"/>
  <c r="V471" i="6" s="1"/>
  <c r="U474" i="6"/>
  <c r="V474" i="6" s="1"/>
  <c r="U475" i="6"/>
  <c r="V475" i="6" s="1"/>
  <c r="U478" i="6"/>
  <c r="V478" i="6" s="1"/>
  <c r="U479" i="6"/>
  <c r="V479" i="6" s="1"/>
  <c r="U480" i="6"/>
  <c r="V480" i="6" s="1"/>
  <c r="U482" i="6"/>
  <c r="V482" i="6" s="1"/>
  <c r="U483" i="6"/>
  <c r="V483" i="6" s="1"/>
  <c r="U486" i="6"/>
  <c r="V486" i="6" s="1"/>
  <c r="U487" i="6"/>
  <c r="V487" i="6" s="1"/>
  <c r="U490" i="6"/>
  <c r="V490" i="6" s="1"/>
  <c r="U491" i="6"/>
  <c r="V491" i="6" s="1"/>
  <c r="U492" i="6"/>
  <c r="V492" i="6" s="1"/>
  <c r="U494" i="6"/>
  <c r="V494" i="6" s="1"/>
  <c r="U495" i="6"/>
  <c r="V495" i="6" s="1"/>
  <c r="U498" i="6"/>
  <c r="V498" i="6" s="1"/>
  <c r="U499" i="6"/>
  <c r="V499" i="6" s="1"/>
  <c r="U502" i="6"/>
  <c r="V502" i="6" s="1"/>
  <c r="U503" i="6"/>
  <c r="V503" i="6" s="1"/>
  <c r="U506" i="6"/>
  <c r="V506" i="6" s="1"/>
  <c r="U507" i="6"/>
  <c r="V507" i="6" s="1"/>
  <c r="U510" i="6"/>
  <c r="V510" i="6" s="1"/>
  <c r="U511" i="6"/>
  <c r="V511" i="6" s="1"/>
  <c r="U514" i="6"/>
  <c r="V514" i="6" s="1"/>
  <c r="U515" i="6"/>
  <c r="V515" i="6" s="1"/>
  <c r="U518" i="6"/>
  <c r="V518" i="6" s="1"/>
  <c r="U519" i="6"/>
  <c r="V519" i="6" s="1"/>
  <c r="U522" i="6"/>
  <c r="V522" i="6" s="1"/>
  <c r="U523" i="6"/>
  <c r="V523" i="6" s="1"/>
  <c r="U526" i="6"/>
  <c r="V526" i="6" s="1"/>
  <c r="U527" i="6"/>
  <c r="V527" i="6" s="1"/>
  <c r="U530" i="6"/>
  <c r="V530" i="6" s="1"/>
  <c r="U531" i="6"/>
  <c r="V531" i="6" s="1"/>
  <c r="U534" i="6"/>
  <c r="V534" i="6" s="1"/>
  <c r="U535" i="6"/>
  <c r="V535" i="6" s="1"/>
  <c r="U538" i="6"/>
  <c r="V538" i="6" s="1"/>
  <c r="U539" i="6"/>
  <c r="V539" i="6" s="1"/>
  <c r="U542" i="6"/>
  <c r="V542" i="6" s="1"/>
  <c r="U543" i="6"/>
  <c r="V543" i="6" s="1"/>
  <c r="U546" i="6"/>
  <c r="V546" i="6" s="1"/>
  <c r="U547" i="6"/>
  <c r="V547" i="6" s="1"/>
  <c r="U550" i="6"/>
  <c r="V550" i="6" s="1"/>
  <c r="U551" i="6"/>
  <c r="V551" i="6" s="1"/>
  <c r="U554" i="6"/>
  <c r="V554" i="6" s="1"/>
  <c r="U555" i="6"/>
  <c r="V555" i="6" s="1"/>
  <c r="U558" i="6"/>
  <c r="V558" i="6" s="1"/>
  <c r="U559" i="6"/>
  <c r="V559" i="6" s="1"/>
  <c r="U562" i="6"/>
  <c r="V562" i="6" s="1"/>
  <c r="U563" i="6"/>
  <c r="V563" i="6" s="1"/>
  <c r="U566" i="6"/>
  <c r="V566" i="6" s="1"/>
  <c r="U567" i="6"/>
  <c r="V567" i="6" s="1"/>
  <c r="U570" i="6"/>
  <c r="V570" i="6" s="1"/>
  <c r="U571" i="6"/>
  <c r="V571" i="6" s="1"/>
  <c r="U574" i="6"/>
  <c r="V574" i="6" s="1"/>
  <c r="U575" i="6"/>
  <c r="V575" i="6" s="1"/>
  <c r="U578" i="6"/>
  <c r="V578" i="6" s="1"/>
  <c r="U579" i="6"/>
  <c r="V579" i="6" s="1"/>
  <c r="U582" i="6"/>
  <c r="V582" i="6" s="1"/>
  <c r="U583" i="6"/>
  <c r="V583" i="6" s="1"/>
  <c r="U586" i="6"/>
  <c r="V586" i="6" s="1"/>
  <c r="U587" i="6"/>
  <c r="V587" i="6" s="1"/>
  <c r="U590" i="6"/>
  <c r="V590" i="6" s="1"/>
  <c r="U591" i="6"/>
  <c r="V591" i="6" s="1"/>
  <c r="U594" i="6"/>
  <c r="V594" i="6" s="1"/>
  <c r="U595" i="6"/>
  <c r="V595" i="6" s="1"/>
  <c r="U598" i="6"/>
  <c r="V598" i="6" s="1"/>
  <c r="U599" i="6"/>
  <c r="V599" i="6" s="1"/>
  <c r="U602" i="6"/>
  <c r="V602" i="6" s="1"/>
  <c r="U603" i="6"/>
  <c r="V603" i="6" s="1"/>
  <c r="U604" i="6"/>
  <c r="V604" i="6" s="1"/>
  <c r="U606" i="6"/>
  <c r="V606" i="6" s="1"/>
  <c r="U607" i="6"/>
  <c r="V607" i="6" s="1"/>
  <c r="U610" i="6"/>
  <c r="V610" i="6" s="1"/>
  <c r="U611" i="6"/>
  <c r="V611" i="6" s="1"/>
  <c r="U614" i="6"/>
  <c r="V614" i="6" s="1"/>
  <c r="U615" i="6"/>
  <c r="V615" i="6" s="1"/>
  <c r="U618" i="6"/>
  <c r="V618" i="6" s="1"/>
  <c r="U619" i="6"/>
  <c r="V619" i="6" s="1"/>
  <c r="U622" i="6"/>
  <c r="V622" i="6" s="1"/>
  <c r="U623" i="6"/>
  <c r="V623" i="6" s="1"/>
  <c r="U626" i="6"/>
  <c r="V626" i="6" s="1"/>
  <c r="U627" i="6"/>
  <c r="V627" i="6" s="1"/>
  <c r="U630" i="6"/>
  <c r="V630" i="6" s="1"/>
  <c r="U631" i="6"/>
  <c r="V631" i="6" s="1"/>
  <c r="U634" i="6"/>
  <c r="V634" i="6" s="1"/>
  <c r="U635" i="6"/>
  <c r="V635" i="6" s="1"/>
  <c r="U638" i="6"/>
  <c r="V638" i="6" s="1"/>
  <c r="U639" i="6"/>
  <c r="V639" i="6" s="1"/>
  <c r="U642" i="6"/>
  <c r="V642" i="6" s="1"/>
  <c r="U643" i="6"/>
  <c r="V643" i="6" s="1"/>
  <c r="U646" i="6"/>
  <c r="V646" i="6" s="1"/>
  <c r="U647" i="6"/>
  <c r="V647" i="6" s="1"/>
  <c r="U650" i="6"/>
  <c r="V650" i="6" s="1"/>
  <c r="U651" i="6"/>
  <c r="V651" i="6" s="1"/>
  <c r="U654" i="6"/>
  <c r="V654" i="6" s="1"/>
  <c r="U655" i="6"/>
  <c r="V655" i="6" s="1"/>
  <c r="U656" i="6"/>
  <c r="V656" i="6" s="1"/>
  <c r="U658" i="6"/>
  <c r="V658" i="6" s="1"/>
  <c r="U659" i="6"/>
  <c r="V659" i="6" s="1"/>
  <c r="U662" i="6"/>
  <c r="V662" i="6" s="1"/>
  <c r="U663" i="6"/>
  <c r="V663" i="6" s="1"/>
  <c r="U666" i="6"/>
  <c r="V666" i="6" s="1"/>
  <c r="U667" i="6"/>
  <c r="V667" i="6" s="1"/>
  <c r="U670" i="6"/>
  <c r="V670" i="6" s="1"/>
  <c r="U671" i="6"/>
  <c r="V671" i="6" s="1"/>
  <c r="U674" i="6"/>
  <c r="V674" i="6" s="1"/>
  <c r="U675" i="6"/>
  <c r="V675" i="6" s="1"/>
  <c r="U678" i="6"/>
  <c r="V678" i="6" s="1"/>
  <c r="U679" i="6"/>
  <c r="V679" i="6" s="1"/>
  <c r="U682" i="6"/>
  <c r="V682" i="6" s="1"/>
  <c r="U683" i="6"/>
  <c r="V683" i="6" s="1"/>
  <c r="U686" i="6"/>
  <c r="V686" i="6" s="1"/>
  <c r="U687" i="6"/>
  <c r="V687" i="6" s="1"/>
  <c r="U690" i="6"/>
  <c r="V690" i="6" s="1"/>
  <c r="U691" i="6"/>
  <c r="V691" i="6" s="1"/>
  <c r="U694" i="6"/>
  <c r="V694" i="6" s="1"/>
  <c r="U695" i="6"/>
  <c r="V695" i="6" s="1"/>
  <c r="U698" i="6"/>
  <c r="V698" i="6" s="1"/>
  <c r="U699" i="6"/>
  <c r="V699" i="6" s="1"/>
  <c r="U702" i="6"/>
  <c r="V702" i="6" s="1"/>
  <c r="U703" i="6"/>
  <c r="V703" i="6" s="1"/>
  <c r="U706" i="6"/>
  <c r="V706" i="6" s="1"/>
  <c r="U707" i="6"/>
  <c r="V707" i="6" s="1"/>
  <c r="U710" i="6"/>
  <c r="V710" i="6" s="1"/>
  <c r="U711" i="6"/>
  <c r="V711" i="6" s="1"/>
  <c r="U714" i="6"/>
  <c r="V714" i="6" s="1"/>
  <c r="U715" i="6"/>
  <c r="V715" i="6" s="1"/>
  <c r="U718" i="6"/>
  <c r="V718" i="6" s="1"/>
  <c r="U719" i="6"/>
  <c r="V719" i="6" s="1"/>
  <c r="U722" i="6"/>
  <c r="V722" i="6" s="1"/>
  <c r="U723" i="6"/>
  <c r="V723" i="6" s="1"/>
  <c r="U726" i="6"/>
  <c r="V726" i="6" s="1"/>
  <c r="U727" i="6"/>
  <c r="V727" i="6" s="1"/>
  <c r="U730" i="6"/>
  <c r="V730" i="6" s="1"/>
  <c r="U731" i="6"/>
  <c r="V731" i="6" s="1"/>
  <c r="U734" i="6"/>
  <c r="V734" i="6" s="1"/>
  <c r="U735" i="6"/>
  <c r="V735" i="6" s="1"/>
  <c r="U738" i="6"/>
  <c r="V738" i="6" s="1"/>
  <c r="U739" i="6"/>
  <c r="V739" i="6" s="1"/>
  <c r="U742" i="6"/>
  <c r="V742" i="6" s="1"/>
  <c r="U743" i="6"/>
  <c r="V743" i="6" s="1"/>
  <c r="U746" i="6"/>
  <c r="V746" i="6" s="1"/>
  <c r="U747" i="6"/>
  <c r="V747" i="6" s="1"/>
  <c r="U750" i="6"/>
  <c r="V750" i="6" s="1"/>
  <c r="U751" i="6"/>
  <c r="V751" i="6" s="1"/>
  <c r="U754" i="6"/>
  <c r="V754" i="6" s="1"/>
  <c r="U755" i="6"/>
  <c r="V755" i="6" s="1"/>
  <c r="U758" i="6"/>
  <c r="V758" i="6" s="1"/>
  <c r="U759" i="6"/>
  <c r="V759" i="6" s="1"/>
  <c r="U762" i="6"/>
  <c r="V762" i="6" s="1"/>
  <c r="U763" i="6"/>
  <c r="V763" i="6" s="1"/>
  <c r="U766" i="6"/>
  <c r="V766" i="6" s="1"/>
  <c r="U767" i="6"/>
  <c r="V767" i="6" s="1"/>
  <c r="U770" i="6"/>
  <c r="V770" i="6" s="1"/>
  <c r="U771" i="6"/>
  <c r="V771" i="6" s="1"/>
  <c r="U772" i="6"/>
  <c r="V772" i="6" s="1"/>
  <c r="U774" i="6"/>
  <c r="V774" i="6" s="1"/>
  <c r="U775" i="6"/>
  <c r="V775" i="6" s="1"/>
  <c r="U778" i="6"/>
  <c r="V778" i="6" s="1"/>
  <c r="U779" i="6"/>
  <c r="V779" i="6" s="1"/>
  <c r="U782" i="6"/>
  <c r="V782" i="6" s="1"/>
  <c r="U783" i="6"/>
  <c r="V783" i="6" s="1"/>
  <c r="U786" i="6"/>
  <c r="V786" i="6" s="1"/>
  <c r="U787" i="6"/>
  <c r="V787" i="6" s="1"/>
  <c r="U790" i="6"/>
  <c r="V790" i="6" s="1"/>
  <c r="U791" i="6"/>
  <c r="V791" i="6" s="1"/>
  <c r="U794" i="6"/>
  <c r="V794" i="6" s="1"/>
  <c r="U795" i="6"/>
  <c r="V795" i="6" s="1"/>
  <c r="U798" i="6"/>
  <c r="V798" i="6" s="1"/>
  <c r="U799" i="6"/>
  <c r="V799" i="6" s="1"/>
  <c r="U802" i="6"/>
  <c r="V802" i="6" s="1"/>
  <c r="U803" i="6"/>
  <c r="V803" i="6" s="1"/>
  <c r="U806" i="6"/>
  <c r="V806" i="6" s="1"/>
  <c r="U807" i="6"/>
  <c r="V807" i="6" s="1"/>
  <c r="U810" i="6"/>
  <c r="V810" i="6" s="1"/>
  <c r="U811" i="6"/>
  <c r="V811" i="6" s="1"/>
  <c r="U814" i="6"/>
  <c r="V814" i="6" s="1"/>
  <c r="U815" i="6"/>
  <c r="V815" i="6" s="1"/>
  <c r="U818" i="6"/>
  <c r="V818" i="6" s="1"/>
  <c r="U819" i="6"/>
  <c r="V819" i="6" s="1"/>
  <c r="U822" i="6"/>
  <c r="V822" i="6" s="1"/>
  <c r="U823" i="6"/>
  <c r="V823" i="6" s="1"/>
  <c r="U826" i="6"/>
  <c r="V826" i="6" s="1"/>
  <c r="U827" i="6"/>
  <c r="V827" i="6" s="1"/>
  <c r="U830" i="6"/>
  <c r="V830" i="6" s="1"/>
  <c r="U831" i="6"/>
  <c r="V831" i="6" s="1"/>
  <c r="U834" i="6"/>
  <c r="V834" i="6" s="1"/>
  <c r="U835" i="6"/>
  <c r="V835" i="6" s="1"/>
  <c r="U838" i="6"/>
  <c r="V838" i="6" s="1"/>
  <c r="U839" i="6"/>
  <c r="V839" i="6" s="1"/>
  <c r="U842" i="6"/>
  <c r="V842" i="6" s="1"/>
  <c r="U843" i="6"/>
  <c r="V843" i="6" s="1"/>
  <c r="U846" i="6"/>
  <c r="V846" i="6" s="1"/>
  <c r="U847" i="6"/>
  <c r="V847" i="6" s="1"/>
  <c r="U850" i="6"/>
  <c r="V850" i="6" s="1"/>
  <c r="U851" i="6"/>
  <c r="V851" i="6" s="1"/>
  <c r="U854" i="6"/>
  <c r="V854" i="6" s="1"/>
  <c r="U855" i="6"/>
  <c r="V855" i="6" s="1"/>
  <c r="U858" i="6"/>
  <c r="V858" i="6" s="1"/>
  <c r="U859" i="6"/>
  <c r="V859" i="6" s="1"/>
  <c r="U862" i="6"/>
  <c r="V862" i="6" s="1"/>
  <c r="U863" i="6"/>
  <c r="V863" i="6" s="1"/>
  <c r="U866" i="6"/>
  <c r="V866" i="6" s="1"/>
  <c r="U867" i="6"/>
  <c r="V867" i="6" s="1"/>
  <c r="U870" i="6"/>
  <c r="V870" i="6" s="1"/>
  <c r="U871" i="6"/>
  <c r="V871" i="6" s="1"/>
  <c r="U874" i="6"/>
  <c r="V874" i="6" s="1"/>
  <c r="U875" i="6"/>
  <c r="V875" i="6" s="1"/>
  <c r="U878" i="6"/>
  <c r="V878" i="6" s="1"/>
  <c r="U879" i="6"/>
  <c r="V879" i="6" s="1"/>
  <c r="U882" i="6"/>
  <c r="V882" i="6" s="1"/>
  <c r="U883" i="6"/>
  <c r="V883" i="6" s="1"/>
  <c r="U886" i="6"/>
  <c r="V886" i="6" s="1"/>
  <c r="U887" i="6"/>
  <c r="V887" i="6" s="1"/>
  <c r="U890" i="6"/>
  <c r="V890" i="6" s="1"/>
  <c r="U891" i="6"/>
  <c r="V891" i="6" s="1"/>
  <c r="U894" i="6"/>
  <c r="V894" i="6" s="1"/>
  <c r="U895" i="6"/>
  <c r="V895" i="6" s="1"/>
  <c r="U898" i="6"/>
  <c r="V898" i="6" s="1"/>
  <c r="U899" i="6"/>
  <c r="V899" i="6" s="1"/>
  <c r="U902" i="6"/>
  <c r="V902" i="6" s="1"/>
  <c r="U903" i="6"/>
  <c r="V903" i="6" s="1"/>
  <c r="U906" i="6"/>
  <c r="V906" i="6" s="1"/>
  <c r="U907" i="6"/>
  <c r="V907" i="6" s="1"/>
  <c r="U910" i="6"/>
  <c r="V910" i="6" s="1"/>
  <c r="U911" i="6"/>
  <c r="V911" i="6" s="1"/>
  <c r="U914" i="6"/>
  <c r="V914" i="6" s="1"/>
  <c r="U915" i="6"/>
  <c r="V915" i="6" s="1"/>
  <c r="U918" i="6"/>
  <c r="V918" i="6" s="1"/>
  <c r="U919" i="6"/>
  <c r="V919" i="6" s="1"/>
  <c r="U922" i="6"/>
  <c r="V922" i="6" s="1"/>
  <c r="U923" i="6"/>
  <c r="V923" i="6" s="1"/>
  <c r="U926" i="6"/>
  <c r="V926" i="6" s="1"/>
  <c r="U927" i="6"/>
  <c r="V927" i="6" s="1"/>
  <c r="U930" i="6"/>
  <c r="V930" i="6" s="1"/>
  <c r="U931" i="6"/>
  <c r="V931" i="6" s="1"/>
  <c r="U934" i="6"/>
  <c r="V934" i="6" s="1"/>
  <c r="U935" i="6"/>
  <c r="V935" i="6" s="1"/>
  <c r="U938" i="6"/>
  <c r="V938" i="6" s="1"/>
  <c r="U939" i="6"/>
  <c r="V939" i="6" s="1"/>
  <c r="U942" i="6"/>
  <c r="V942" i="6" s="1"/>
  <c r="U943" i="6"/>
  <c r="V943" i="6" s="1"/>
  <c r="U946" i="6"/>
  <c r="V946" i="6" s="1"/>
  <c r="U947" i="6"/>
  <c r="V947" i="6" s="1"/>
  <c r="U950" i="6"/>
  <c r="V950" i="6" s="1"/>
  <c r="U951" i="6"/>
  <c r="V951" i="6" s="1"/>
  <c r="U954" i="6"/>
  <c r="V954" i="6" s="1"/>
  <c r="U955" i="6"/>
  <c r="V955" i="6" s="1"/>
  <c r="U958" i="6"/>
  <c r="V958" i="6" s="1"/>
  <c r="U959" i="6"/>
  <c r="V959" i="6" s="1"/>
  <c r="U962" i="6"/>
  <c r="V962" i="6" s="1"/>
  <c r="U963" i="6"/>
  <c r="V963" i="6" s="1"/>
  <c r="U966" i="6"/>
  <c r="V966" i="6" s="1"/>
  <c r="U967" i="6"/>
  <c r="V967" i="6" s="1"/>
  <c r="U970" i="6"/>
  <c r="V970" i="6" s="1"/>
  <c r="U971" i="6"/>
  <c r="V971" i="6" s="1"/>
  <c r="U974" i="6"/>
  <c r="V974" i="6" s="1"/>
  <c r="U975" i="6"/>
  <c r="V975" i="6" s="1"/>
  <c r="U978" i="6"/>
  <c r="V978" i="6" s="1"/>
  <c r="U979" i="6"/>
  <c r="V979" i="6" s="1"/>
  <c r="U982" i="6"/>
  <c r="V982" i="6" s="1"/>
  <c r="U983" i="6"/>
  <c r="V983" i="6" s="1"/>
  <c r="U986" i="6"/>
  <c r="V986" i="6" s="1"/>
  <c r="U987" i="6"/>
  <c r="V987" i="6" s="1"/>
  <c r="U990" i="6"/>
  <c r="V990" i="6" s="1"/>
  <c r="U991" i="6"/>
  <c r="V991" i="6" s="1"/>
  <c r="U994" i="6"/>
  <c r="V994" i="6" s="1"/>
  <c r="U995" i="6"/>
  <c r="V995" i="6" s="1"/>
  <c r="U998" i="6"/>
  <c r="V998" i="6" s="1"/>
  <c r="U999" i="6"/>
  <c r="V999" i="6" s="1"/>
  <c r="U1002" i="6"/>
  <c r="V1002" i="6" s="1"/>
  <c r="U1003" i="6"/>
  <c r="V1003" i="6" s="1"/>
  <c r="U1006" i="6"/>
  <c r="V1006" i="6" s="1"/>
  <c r="U1007" i="6"/>
  <c r="V1007" i="6" s="1"/>
  <c r="U1010" i="6"/>
  <c r="V1010" i="6" s="1"/>
  <c r="U1011" i="6"/>
  <c r="V1011" i="6" s="1"/>
  <c r="U1014" i="6"/>
  <c r="V1014" i="6" s="1"/>
  <c r="U1015" i="6"/>
  <c r="V1015" i="6" s="1"/>
  <c r="U1018" i="6"/>
  <c r="V1018" i="6" s="1"/>
  <c r="U1019" i="6"/>
  <c r="V1019" i="6" s="1"/>
  <c r="U1022" i="6"/>
  <c r="V1022" i="6" s="1"/>
  <c r="U1023" i="6"/>
  <c r="V1023" i="6" s="1"/>
  <c r="U1026" i="6"/>
  <c r="V1026" i="6" s="1"/>
  <c r="U1027" i="6"/>
  <c r="V1027" i="6" s="1"/>
  <c r="U1030" i="6"/>
  <c r="V1030" i="6" s="1"/>
  <c r="U1031" i="6"/>
  <c r="V1031" i="6" s="1"/>
  <c r="U1034" i="6"/>
  <c r="V1034" i="6" s="1"/>
  <c r="U1035" i="6"/>
  <c r="V1035" i="6" s="1"/>
  <c r="U1038" i="6"/>
  <c r="V1038" i="6" s="1"/>
  <c r="U1039" i="6"/>
  <c r="V1039" i="6" s="1"/>
  <c r="U1042" i="6"/>
  <c r="V1042" i="6" s="1"/>
  <c r="U1043" i="6"/>
  <c r="V1043" i="6" s="1"/>
  <c r="U1046" i="6"/>
  <c r="V1046" i="6" s="1"/>
  <c r="U1047" i="6"/>
  <c r="V1047" i="6" s="1"/>
  <c r="U1050" i="6"/>
  <c r="V1050" i="6" s="1"/>
  <c r="U1051" i="6"/>
  <c r="V1051" i="6" s="1"/>
  <c r="U1054" i="6"/>
  <c r="V1054" i="6" s="1"/>
  <c r="U1055" i="6"/>
  <c r="V1055" i="6" s="1"/>
  <c r="U1058" i="6"/>
  <c r="V1058" i="6" s="1"/>
  <c r="U1059" i="6"/>
  <c r="V1059" i="6" s="1"/>
  <c r="U1062" i="6"/>
  <c r="V1062" i="6" s="1"/>
  <c r="U1063" i="6"/>
  <c r="V1063" i="6" s="1"/>
  <c r="U1066" i="6"/>
  <c r="V1066" i="6" s="1"/>
  <c r="U1067" i="6"/>
  <c r="V1067" i="6" s="1"/>
  <c r="U1070" i="6"/>
  <c r="V1070" i="6" s="1"/>
  <c r="U1071" i="6"/>
  <c r="V1071" i="6" s="1"/>
  <c r="U1074" i="6"/>
  <c r="V1074" i="6" s="1"/>
  <c r="U1075" i="6"/>
  <c r="V1075" i="6" s="1"/>
  <c r="U1078" i="6"/>
  <c r="V1078" i="6" s="1"/>
  <c r="U1079" i="6"/>
  <c r="V1079" i="6" s="1"/>
  <c r="U1082" i="6"/>
  <c r="V1082" i="6" s="1"/>
  <c r="U1083" i="6"/>
  <c r="V1083" i="6" s="1"/>
  <c r="U1084" i="6"/>
  <c r="V1084" i="6" s="1"/>
  <c r="U1086" i="6"/>
  <c r="V1086" i="6" s="1"/>
  <c r="U1087" i="6"/>
  <c r="V1087" i="6" s="1"/>
  <c r="U1090" i="6"/>
  <c r="V1090" i="6" s="1"/>
  <c r="U1091" i="6"/>
  <c r="V1091" i="6" s="1"/>
  <c r="U1094" i="6"/>
  <c r="V1094" i="6" s="1"/>
  <c r="U1095" i="6"/>
  <c r="V1095" i="6" s="1"/>
  <c r="U1098" i="6"/>
  <c r="V1098" i="6" s="1"/>
  <c r="U1099" i="6"/>
  <c r="V1099" i="6" s="1"/>
  <c r="U1102" i="6"/>
  <c r="V1102" i="6" s="1"/>
  <c r="U1103" i="6"/>
  <c r="V1103" i="6" s="1"/>
  <c r="U1106" i="6"/>
  <c r="V1106" i="6" s="1"/>
  <c r="U1107" i="6"/>
  <c r="V1107" i="6" s="1"/>
  <c r="U1110" i="6"/>
  <c r="V1110" i="6" s="1"/>
  <c r="U1111" i="6"/>
  <c r="V1111" i="6" s="1"/>
  <c r="U1114" i="6"/>
  <c r="V1114" i="6" s="1"/>
  <c r="U1115" i="6"/>
  <c r="V1115" i="6" s="1"/>
  <c r="U1118" i="6"/>
  <c r="V1118" i="6" s="1"/>
  <c r="U1119" i="6"/>
  <c r="V1119" i="6" s="1"/>
  <c r="U1122" i="6"/>
  <c r="V1122" i="6" s="1"/>
  <c r="U1123" i="6"/>
  <c r="V1123" i="6" s="1"/>
  <c r="U1126" i="6"/>
  <c r="V1126" i="6" s="1"/>
  <c r="U1127" i="6"/>
  <c r="V1127" i="6" s="1"/>
  <c r="U1130" i="6"/>
  <c r="V1130" i="6" s="1"/>
  <c r="U1131" i="6"/>
  <c r="V1131" i="6" s="1"/>
  <c r="U1134" i="6"/>
  <c r="V1134" i="6" s="1"/>
  <c r="U1135" i="6"/>
  <c r="V1135" i="6" s="1"/>
  <c r="U1138" i="6"/>
  <c r="V1138" i="6" s="1"/>
  <c r="U1139" i="6"/>
  <c r="V1139" i="6" s="1"/>
  <c r="U1142" i="6"/>
  <c r="V1142" i="6" s="1"/>
  <c r="U1143" i="6"/>
  <c r="V1143" i="6" s="1"/>
  <c r="U1146" i="6"/>
  <c r="V1146" i="6" s="1"/>
  <c r="U1147" i="6"/>
  <c r="V1147" i="6" s="1"/>
  <c r="U1150" i="6"/>
  <c r="V1150" i="6" s="1"/>
  <c r="U1151" i="6"/>
  <c r="V1151" i="6" s="1"/>
  <c r="U1154" i="6"/>
  <c r="V1154" i="6" s="1"/>
  <c r="U1155" i="6"/>
  <c r="V1155" i="6" s="1"/>
  <c r="U1158" i="6"/>
  <c r="V1158" i="6" s="1"/>
  <c r="U1159" i="6"/>
  <c r="V1159" i="6" s="1"/>
  <c r="U1162" i="6"/>
  <c r="V1162" i="6" s="1"/>
  <c r="U1163" i="6"/>
  <c r="V1163" i="6" s="1"/>
  <c r="U1166" i="6"/>
  <c r="V1166" i="6" s="1"/>
  <c r="U1167" i="6"/>
  <c r="V1167" i="6" s="1"/>
  <c r="U1170" i="6"/>
  <c r="V1170" i="6" s="1"/>
  <c r="U1171" i="6"/>
  <c r="V1171" i="6" s="1"/>
  <c r="U1174" i="6"/>
  <c r="V1174" i="6" s="1"/>
  <c r="U1175" i="6"/>
  <c r="V1175" i="6" s="1"/>
  <c r="U1178" i="6"/>
  <c r="V1178" i="6" s="1"/>
  <c r="U1179" i="6"/>
  <c r="V1179" i="6" s="1"/>
  <c r="U1182" i="6"/>
  <c r="V1182" i="6" s="1"/>
  <c r="U1183" i="6"/>
  <c r="V1183" i="6" s="1"/>
  <c r="U1186" i="6"/>
  <c r="V1186" i="6" s="1"/>
  <c r="U1187" i="6"/>
  <c r="V1187" i="6" s="1"/>
  <c r="U1190" i="6"/>
  <c r="V1190" i="6" s="1"/>
  <c r="U1191" i="6"/>
  <c r="V1191" i="6" s="1"/>
  <c r="U1194" i="6"/>
  <c r="V1194" i="6" s="1"/>
  <c r="U1195" i="6"/>
  <c r="V1195" i="6" s="1"/>
  <c r="U1198" i="6"/>
  <c r="V1198" i="6" s="1"/>
  <c r="U1199" i="6"/>
  <c r="V1199" i="6" s="1"/>
  <c r="U1200" i="6"/>
  <c r="V1200" i="6" s="1"/>
  <c r="U1202" i="6"/>
  <c r="V1202" i="6" s="1"/>
  <c r="U1203" i="6"/>
  <c r="V1203" i="6" s="1"/>
  <c r="U1206" i="6"/>
  <c r="V1206" i="6" s="1"/>
  <c r="U1207" i="6"/>
  <c r="V1207" i="6" s="1"/>
  <c r="U1210" i="6"/>
  <c r="V1210" i="6" s="1"/>
  <c r="U1211" i="6"/>
  <c r="V1211" i="6" s="1"/>
  <c r="U1214" i="6"/>
  <c r="V1214" i="6" s="1"/>
  <c r="U1215" i="6"/>
  <c r="V1215" i="6" s="1"/>
  <c r="U1218" i="6"/>
  <c r="V1218" i="6" s="1"/>
  <c r="U1219" i="6"/>
  <c r="V1219" i="6" s="1"/>
  <c r="U1222" i="6"/>
  <c r="V1222" i="6" s="1"/>
  <c r="U1223" i="6"/>
  <c r="V1223" i="6" s="1"/>
  <c r="U1226" i="6"/>
  <c r="V1226" i="6" s="1"/>
  <c r="U1227" i="6"/>
  <c r="V1227" i="6" s="1"/>
  <c r="U1230" i="6"/>
  <c r="V1230" i="6" s="1"/>
  <c r="U1231" i="6"/>
  <c r="V1231" i="6" s="1"/>
  <c r="U1234" i="6"/>
  <c r="V1234" i="6" s="1"/>
  <c r="U1235" i="6"/>
  <c r="V1235" i="6" s="1"/>
  <c r="U1238" i="6"/>
  <c r="V1238" i="6" s="1"/>
  <c r="U1239" i="6"/>
  <c r="V1239" i="6" s="1"/>
  <c r="U1242" i="6"/>
  <c r="V1242" i="6" s="1"/>
  <c r="U1243" i="6"/>
  <c r="V1243" i="6" s="1"/>
  <c r="U1246" i="6"/>
  <c r="V1246" i="6" s="1"/>
  <c r="U1247" i="6"/>
  <c r="V1247" i="6" s="1"/>
  <c r="U1250" i="6"/>
  <c r="V1250" i="6" s="1"/>
  <c r="U1251" i="6"/>
  <c r="V1251" i="6" s="1"/>
  <c r="U1254" i="6"/>
  <c r="V1254" i="6" s="1"/>
  <c r="U1255" i="6"/>
  <c r="V1255" i="6" s="1"/>
  <c r="U1258" i="6"/>
  <c r="V1258" i="6" s="1"/>
  <c r="U1259" i="6"/>
  <c r="V1259" i="6" s="1"/>
  <c r="U1262" i="6"/>
  <c r="V1262" i="6" s="1"/>
  <c r="U1263" i="6"/>
  <c r="V1263" i="6" s="1"/>
  <c r="U1266" i="6"/>
  <c r="V1266" i="6" s="1"/>
  <c r="U1267" i="6"/>
  <c r="V1267" i="6" s="1"/>
  <c r="U1270" i="6"/>
  <c r="V1270" i="6" s="1"/>
  <c r="U1271" i="6"/>
  <c r="V1271" i="6" s="1"/>
  <c r="U1274" i="6"/>
  <c r="V1274" i="6" s="1"/>
  <c r="U1275" i="6"/>
  <c r="V1275" i="6" s="1"/>
  <c r="U1278" i="6"/>
  <c r="V1278" i="6" s="1"/>
  <c r="U1279" i="6"/>
  <c r="V1279" i="6" s="1"/>
  <c r="U1282" i="6"/>
  <c r="V1282" i="6" s="1"/>
  <c r="U1283" i="6"/>
  <c r="V1283" i="6" s="1"/>
  <c r="U1286" i="6"/>
  <c r="V1286" i="6" s="1"/>
  <c r="U1287" i="6"/>
  <c r="V1287" i="6" s="1"/>
  <c r="U1290" i="6"/>
  <c r="V1290" i="6" s="1"/>
  <c r="U1291" i="6"/>
  <c r="V1291" i="6" s="1"/>
  <c r="U1294" i="6"/>
  <c r="V1294" i="6" s="1"/>
  <c r="U1295" i="6"/>
  <c r="V1295" i="6" s="1"/>
  <c r="U1298" i="6"/>
  <c r="V1298" i="6" s="1"/>
  <c r="U1299" i="6"/>
  <c r="V1299" i="6" s="1"/>
  <c r="U1302" i="6"/>
  <c r="V1302" i="6" s="1"/>
  <c r="U1303" i="6"/>
  <c r="V1303" i="6" s="1"/>
  <c r="U1306" i="6"/>
  <c r="V1306" i="6" s="1"/>
  <c r="U1307" i="6"/>
  <c r="V1307" i="6" s="1"/>
  <c r="U1310" i="6"/>
  <c r="V1310" i="6" s="1"/>
  <c r="U1311" i="6"/>
  <c r="V1311" i="6" s="1"/>
  <c r="U1314" i="6"/>
  <c r="V1314" i="6" s="1"/>
  <c r="U1315" i="6"/>
  <c r="V1315" i="6" s="1"/>
  <c r="U1318" i="6"/>
  <c r="V1318" i="6" s="1"/>
  <c r="U1319" i="6"/>
  <c r="V1319" i="6" s="1"/>
  <c r="U1322" i="6"/>
  <c r="V1322" i="6" s="1"/>
  <c r="U1323" i="6"/>
  <c r="V1323" i="6" s="1"/>
  <c r="U1326" i="6"/>
  <c r="V1326" i="6" s="1"/>
  <c r="U1327" i="6"/>
  <c r="V1327" i="6" s="1"/>
  <c r="U1330" i="6"/>
  <c r="V1330" i="6" s="1"/>
  <c r="U1331" i="6"/>
  <c r="V1331" i="6" s="1"/>
  <c r="U1334" i="6"/>
  <c r="V1334" i="6" s="1"/>
  <c r="U1335" i="6"/>
  <c r="V1335" i="6" s="1"/>
  <c r="U1338" i="6"/>
  <c r="V1338" i="6" s="1"/>
  <c r="U1339" i="6"/>
  <c r="V1339" i="6" s="1"/>
  <c r="U1342" i="6"/>
  <c r="V1342" i="6" s="1"/>
  <c r="U1343" i="6"/>
  <c r="V1343" i="6" s="1"/>
  <c r="U1346" i="6"/>
  <c r="V1346" i="6" s="1"/>
  <c r="U1347" i="6"/>
  <c r="V1347" i="6" s="1"/>
  <c r="U1350" i="6"/>
  <c r="V1350" i="6" s="1"/>
  <c r="U1351" i="6"/>
  <c r="V1351" i="6" s="1"/>
  <c r="U1354" i="6"/>
  <c r="V1354" i="6" s="1"/>
  <c r="U1355" i="6"/>
  <c r="V1355" i="6" s="1"/>
  <c r="U1358" i="6"/>
  <c r="V1358" i="6" s="1"/>
  <c r="U1359" i="6"/>
  <c r="V1359" i="6" s="1"/>
  <c r="U1362" i="6"/>
  <c r="V1362" i="6" s="1"/>
  <c r="U1363" i="6"/>
  <c r="V1363" i="6" s="1"/>
  <c r="U1366" i="6"/>
  <c r="V1366" i="6" s="1"/>
  <c r="U1367" i="6"/>
  <c r="V1367" i="6" s="1"/>
  <c r="U1370" i="6"/>
  <c r="V1370" i="6" s="1"/>
  <c r="U1371" i="6"/>
  <c r="V1371" i="6" s="1"/>
  <c r="U1374" i="6"/>
  <c r="V1374" i="6" s="1"/>
  <c r="U1375" i="6"/>
  <c r="V1375" i="6" s="1"/>
  <c r="U1378" i="6"/>
  <c r="V1378" i="6" s="1"/>
  <c r="U1379" i="6"/>
  <c r="V1379" i="6" s="1"/>
  <c r="U1382" i="6"/>
  <c r="V1382" i="6" s="1"/>
  <c r="U1383" i="6"/>
  <c r="V1383" i="6" s="1"/>
  <c r="U1386" i="6"/>
  <c r="V1386" i="6" s="1"/>
  <c r="U1387" i="6"/>
  <c r="V1387" i="6" s="1"/>
  <c r="U1390" i="6"/>
  <c r="V1390" i="6" s="1"/>
  <c r="U1391" i="6"/>
  <c r="V1391" i="6" s="1"/>
  <c r="U1394" i="6"/>
  <c r="V1394" i="6" s="1"/>
  <c r="U1395" i="6"/>
  <c r="V1395" i="6" s="1"/>
  <c r="U1398" i="6"/>
  <c r="V1398" i="6" s="1"/>
  <c r="U1399" i="6"/>
  <c r="V1399" i="6" s="1"/>
  <c r="U1402" i="6"/>
  <c r="V1402" i="6" s="1"/>
  <c r="U1403" i="6"/>
  <c r="V1403" i="6" s="1"/>
  <c r="U1406" i="6"/>
  <c r="V1406" i="6" s="1"/>
  <c r="U1407" i="6"/>
  <c r="V1407" i="6" s="1"/>
  <c r="U1410" i="6"/>
  <c r="V1410" i="6" s="1"/>
  <c r="U1411" i="6"/>
  <c r="V1411" i="6" s="1"/>
  <c r="U1414" i="6"/>
  <c r="V1414" i="6" s="1"/>
  <c r="U1415" i="6"/>
  <c r="V1415" i="6" s="1"/>
  <c r="U1418" i="6"/>
  <c r="V1418" i="6" s="1"/>
  <c r="U1419" i="6"/>
  <c r="V1419" i="6" s="1"/>
  <c r="U1422" i="6"/>
  <c r="V1422" i="6" s="1"/>
  <c r="U1423" i="6"/>
  <c r="V1423" i="6" s="1"/>
  <c r="U1426" i="6"/>
  <c r="V1426" i="6" s="1"/>
  <c r="U1427" i="6"/>
  <c r="V1427" i="6" s="1"/>
  <c r="U1430" i="6"/>
  <c r="V1430" i="6" s="1"/>
  <c r="U1431" i="6"/>
  <c r="V1431" i="6" s="1"/>
  <c r="U1434" i="6"/>
  <c r="V1434" i="6" s="1"/>
  <c r="U1435" i="6"/>
  <c r="V1435" i="6" s="1"/>
  <c r="U1438" i="6"/>
  <c r="V1438" i="6" s="1"/>
  <c r="U1439" i="6"/>
  <c r="V1439" i="6" s="1"/>
  <c r="U1442" i="6"/>
  <c r="V1442" i="6" s="1"/>
  <c r="U1443" i="6"/>
  <c r="V1443" i="6" s="1"/>
  <c r="U1446" i="6"/>
  <c r="V1446" i="6" s="1"/>
  <c r="U1447" i="6"/>
  <c r="V1447" i="6" s="1"/>
  <c r="U1450" i="6"/>
  <c r="V1450" i="6" s="1"/>
  <c r="U1451" i="6"/>
  <c r="V1451" i="6" s="1"/>
  <c r="U1454" i="6"/>
  <c r="V1454" i="6" s="1"/>
  <c r="U1455" i="6"/>
  <c r="V1455" i="6" s="1"/>
  <c r="U1458" i="6"/>
  <c r="V1458" i="6" s="1"/>
  <c r="U1459" i="6"/>
  <c r="V1459" i="6" s="1"/>
  <c r="U1462" i="6"/>
  <c r="V1462" i="6" s="1"/>
  <c r="U1463" i="6"/>
  <c r="V1463" i="6" s="1"/>
  <c r="U1466" i="6"/>
  <c r="V1466" i="6" s="1"/>
  <c r="U1467" i="6"/>
  <c r="V1467" i="6" s="1"/>
  <c r="U1470" i="6"/>
  <c r="V1470" i="6" s="1"/>
  <c r="U1471" i="6"/>
  <c r="V1471" i="6" s="1"/>
  <c r="U1474" i="6"/>
  <c r="V1474" i="6" s="1"/>
  <c r="U1475" i="6"/>
  <c r="V1475" i="6" s="1"/>
  <c r="U1478" i="6"/>
  <c r="V1478" i="6" s="1"/>
  <c r="U1479" i="6"/>
  <c r="V1479" i="6" s="1"/>
  <c r="U1482" i="6"/>
  <c r="V1482" i="6" s="1"/>
  <c r="U1483" i="6"/>
  <c r="V1483" i="6" s="1"/>
  <c r="U1486" i="6"/>
  <c r="V1486" i="6" s="1"/>
  <c r="U1487" i="6"/>
  <c r="V1487" i="6" s="1"/>
  <c r="U1490" i="6"/>
  <c r="V1490" i="6" s="1"/>
  <c r="U1491" i="6"/>
  <c r="V1491" i="6" s="1"/>
  <c r="U1494" i="6"/>
  <c r="V1494" i="6" s="1"/>
  <c r="U1495" i="6"/>
  <c r="V1495" i="6" s="1"/>
  <c r="U1498" i="6"/>
  <c r="V1498" i="6" s="1"/>
  <c r="U1499" i="6"/>
  <c r="V1499" i="6" s="1"/>
  <c r="U1502" i="6"/>
  <c r="V1502" i="6" s="1"/>
  <c r="U1503" i="6"/>
  <c r="V1503" i="6" s="1"/>
  <c r="U1506" i="6"/>
  <c r="V1506" i="6" s="1"/>
  <c r="U1507" i="6"/>
  <c r="V1507" i="6" s="1"/>
  <c r="U1510" i="6"/>
  <c r="V1510" i="6" s="1"/>
  <c r="U1511" i="6"/>
  <c r="V1511" i="6" s="1"/>
  <c r="U1514" i="6"/>
  <c r="V1514" i="6" s="1"/>
  <c r="U1515" i="6"/>
  <c r="V1515" i="6" s="1"/>
  <c r="U1518" i="6"/>
  <c r="V1518" i="6" s="1"/>
  <c r="U1519" i="6"/>
  <c r="V1519" i="6" s="1"/>
  <c r="U1522" i="6"/>
  <c r="V1522" i="6" s="1"/>
  <c r="U1523" i="6"/>
  <c r="V1523" i="6" s="1"/>
  <c r="U1526" i="6"/>
  <c r="V1526" i="6" s="1"/>
  <c r="U1527" i="6"/>
  <c r="V1527" i="6" s="1"/>
  <c r="U1530" i="6"/>
  <c r="V1530" i="6" s="1"/>
  <c r="U1531" i="6"/>
  <c r="V1531" i="6" s="1"/>
  <c r="U1534" i="6"/>
  <c r="V1534" i="6" s="1"/>
  <c r="U1535" i="6"/>
  <c r="V1535" i="6" s="1"/>
  <c r="U1538" i="6"/>
  <c r="V1538" i="6" s="1"/>
  <c r="U1539" i="6"/>
  <c r="V1539" i="6" s="1"/>
  <c r="U1542" i="6"/>
  <c r="V1542" i="6" s="1"/>
  <c r="U1543" i="6"/>
  <c r="V1543" i="6" s="1"/>
  <c r="U1546" i="6"/>
  <c r="V1546" i="6" s="1"/>
  <c r="U1547" i="6"/>
  <c r="V1547" i="6" s="1"/>
  <c r="U1550" i="6"/>
  <c r="V1550" i="6" s="1"/>
  <c r="U1551" i="6"/>
  <c r="V1551" i="6" s="1"/>
  <c r="U1554" i="6"/>
  <c r="V1554" i="6" s="1"/>
  <c r="U1555" i="6"/>
  <c r="V1555" i="6" s="1"/>
  <c r="U1558" i="6"/>
  <c r="V1558" i="6" s="1"/>
  <c r="U1559" i="6"/>
  <c r="V1559" i="6" s="1"/>
  <c r="U1562" i="6"/>
  <c r="V1562" i="6" s="1"/>
  <c r="U1563" i="6"/>
  <c r="V1563" i="6" s="1"/>
  <c r="U1566" i="6"/>
  <c r="V1566" i="6" s="1"/>
  <c r="U1567" i="6"/>
  <c r="V1567" i="6" s="1"/>
  <c r="U1570" i="6"/>
  <c r="V1570" i="6" s="1"/>
  <c r="U1571" i="6"/>
  <c r="V1571" i="6" s="1"/>
  <c r="U1574" i="6"/>
  <c r="V1574" i="6" s="1"/>
  <c r="U1575" i="6"/>
  <c r="V1575" i="6" s="1"/>
  <c r="U1578" i="6"/>
  <c r="V1578" i="6" s="1"/>
  <c r="U1579" i="6"/>
  <c r="V1579" i="6" s="1"/>
  <c r="U1582" i="6"/>
  <c r="V1582" i="6" s="1"/>
  <c r="U1583" i="6"/>
  <c r="V1583" i="6" s="1"/>
  <c r="U1586" i="6"/>
  <c r="V1586" i="6" s="1"/>
  <c r="U1587" i="6"/>
  <c r="V1587" i="6" s="1"/>
  <c r="U1590" i="6"/>
  <c r="V1590" i="6" s="1"/>
  <c r="U1591" i="6"/>
  <c r="V1591" i="6" s="1"/>
  <c r="U1594" i="6"/>
  <c r="V1594" i="6" s="1"/>
  <c r="U1595" i="6"/>
  <c r="V1595" i="6" s="1"/>
  <c r="U1598" i="6"/>
  <c r="V1598" i="6" s="1"/>
  <c r="U1599" i="6"/>
  <c r="V1599" i="6" s="1"/>
  <c r="U1602" i="6"/>
  <c r="V1602" i="6" s="1"/>
  <c r="U1603" i="6"/>
  <c r="V1603" i="6" s="1"/>
  <c r="U1606" i="6"/>
  <c r="V1606" i="6" s="1"/>
  <c r="U1607" i="6"/>
  <c r="V1607" i="6" s="1"/>
  <c r="U1610" i="6"/>
  <c r="V1610" i="6" s="1"/>
  <c r="U1611" i="6"/>
  <c r="V1611" i="6" s="1"/>
  <c r="U1614" i="6"/>
  <c r="V1614" i="6" s="1"/>
  <c r="U1615" i="6"/>
  <c r="V1615" i="6" s="1"/>
  <c r="U1618" i="6"/>
  <c r="V1618" i="6" s="1"/>
  <c r="U1619" i="6"/>
  <c r="V1619" i="6" s="1"/>
  <c r="U1622" i="6"/>
  <c r="V1622" i="6" s="1"/>
  <c r="U1623" i="6"/>
  <c r="V1623" i="6" s="1"/>
  <c r="U1626" i="6"/>
  <c r="V1626" i="6" s="1"/>
  <c r="U1627" i="6"/>
  <c r="V1627" i="6" s="1"/>
  <c r="U1630" i="6"/>
  <c r="V1630" i="6" s="1"/>
  <c r="U1631" i="6"/>
  <c r="V1631" i="6" s="1"/>
  <c r="U1634" i="6"/>
  <c r="V1634" i="6" s="1"/>
  <c r="U1635" i="6"/>
  <c r="V1635" i="6" s="1"/>
  <c r="U1638" i="6"/>
  <c r="V1638" i="6" s="1"/>
  <c r="U1639" i="6"/>
  <c r="V1639" i="6" s="1"/>
  <c r="U1642" i="6"/>
  <c r="V1642" i="6" s="1"/>
  <c r="U1643" i="6"/>
  <c r="V1643" i="6" s="1"/>
  <c r="U1646" i="6"/>
  <c r="V1646" i="6" s="1"/>
  <c r="U1647" i="6"/>
  <c r="V1647" i="6" s="1"/>
  <c r="U1650" i="6"/>
  <c r="V1650" i="6" s="1"/>
  <c r="U1651" i="6"/>
  <c r="V1651" i="6" s="1"/>
  <c r="U1654" i="6"/>
  <c r="V1654" i="6" s="1"/>
  <c r="U1655" i="6"/>
  <c r="V1655" i="6" s="1"/>
  <c r="U1658" i="6"/>
  <c r="V1658" i="6" s="1"/>
  <c r="U1659" i="6"/>
  <c r="V1659" i="6" s="1"/>
  <c r="U1662" i="6"/>
  <c r="V1662" i="6" s="1"/>
  <c r="U1663" i="6"/>
  <c r="V1663" i="6" s="1"/>
  <c r="U1666" i="6"/>
  <c r="V1666" i="6" s="1"/>
  <c r="U1667" i="6"/>
  <c r="V1667" i="6" s="1"/>
  <c r="U1670" i="6"/>
  <c r="V1670" i="6" s="1"/>
  <c r="U1671" i="6"/>
  <c r="V1671" i="6" s="1"/>
  <c r="U1674" i="6"/>
  <c r="V1674" i="6" s="1"/>
  <c r="U1675" i="6"/>
  <c r="V1675" i="6" s="1"/>
  <c r="U1678" i="6"/>
  <c r="V1678" i="6" s="1"/>
  <c r="U1679" i="6"/>
  <c r="V1679" i="6" s="1"/>
  <c r="U1682" i="6"/>
  <c r="V1682" i="6" s="1"/>
  <c r="U1683" i="6"/>
  <c r="V1683" i="6" s="1"/>
  <c r="U1686" i="6"/>
  <c r="V1686" i="6" s="1"/>
  <c r="U1687" i="6"/>
  <c r="V1687" i="6" s="1"/>
  <c r="U1690" i="6"/>
  <c r="V1690" i="6" s="1"/>
  <c r="U1691" i="6"/>
  <c r="V1691" i="6" s="1"/>
  <c r="U1694" i="6"/>
  <c r="V1694" i="6" s="1"/>
  <c r="U1695" i="6"/>
  <c r="V1695" i="6" s="1"/>
  <c r="U1698" i="6"/>
  <c r="V1698" i="6" s="1"/>
  <c r="U1699" i="6"/>
  <c r="V1699" i="6" s="1"/>
  <c r="U1702" i="6"/>
  <c r="V1702" i="6" s="1"/>
  <c r="U1703" i="6"/>
  <c r="V1703" i="6" s="1"/>
  <c r="U1706" i="6"/>
  <c r="V1706" i="6" s="1"/>
  <c r="U1707" i="6"/>
  <c r="V1707" i="6" s="1"/>
  <c r="U1710" i="6"/>
  <c r="V1710" i="6" s="1"/>
  <c r="U1711" i="6"/>
  <c r="V1711" i="6" s="1"/>
  <c r="U1714" i="6"/>
  <c r="V1714" i="6" s="1"/>
  <c r="U1715" i="6"/>
  <c r="V1715" i="6" s="1"/>
  <c r="U1718" i="6"/>
  <c r="V1718" i="6" s="1"/>
  <c r="U1719" i="6"/>
  <c r="V1719" i="6" s="1"/>
  <c r="U1722" i="6"/>
  <c r="V1722" i="6" s="1"/>
  <c r="U1723" i="6"/>
  <c r="V1723" i="6" s="1"/>
  <c r="U1726" i="6"/>
  <c r="V1726" i="6" s="1"/>
  <c r="U1727" i="6"/>
  <c r="V1727" i="6" s="1"/>
  <c r="U1730" i="6"/>
  <c r="V1730" i="6" s="1"/>
  <c r="U1731" i="6"/>
  <c r="V1731" i="6" s="1"/>
  <c r="U1734" i="6"/>
  <c r="V1734" i="6" s="1"/>
  <c r="U1735" i="6"/>
  <c r="V1735" i="6" s="1"/>
  <c r="U1738" i="6"/>
  <c r="V1738" i="6" s="1"/>
  <c r="U1739" i="6"/>
  <c r="V1739" i="6" s="1"/>
  <c r="U1742" i="6"/>
  <c r="V1742" i="6" s="1"/>
  <c r="U1743" i="6"/>
  <c r="V1743" i="6" s="1"/>
  <c r="U1746" i="6"/>
  <c r="V1746" i="6" s="1"/>
  <c r="U1747" i="6"/>
  <c r="V1747" i="6" s="1"/>
  <c r="U1750" i="6"/>
  <c r="V1750" i="6" s="1"/>
  <c r="U1751" i="6"/>
  <c r="V1751" i="6" s="1"/>
  <c r="U1754" i="6"/>
  <c r="V1754" i="6" s="1"/>
  <c r="U1755" i="6"/>
  <c r="V1755" i="6" s="1"/>
  <c r="U1758" i="6"/>
  <c r="V1758" i="6" s="1"/>
  <c r="U1759" i="6"/>
  <c r="V1759" i="6" s="1"/>
  <c r="U1762" i="6"/>
  <c r="V1762" i="6" s="1"/>
  <c r="U1763" i="6"/>
  <c r="V1763" i="6" s="1"/>
  <c r="U1766" i="6"/>
  <c r="V1766" i="6" s="1"/>
  <c r="U1767" i="6"/>
  <c r="V1767" i="6" s="1"/>
  <c r="U1770" i="6"/>
  <c r="V1770" i="6" s="1"/>
  <c r="U1771" i="6"/>
  <c r="V1771" i="6" s="1"/>
  <c r="U1774" i="6"/>
  <c r="V1774" i="6" s="1"/>
  <c r="U1775" i="6"/>
  <c r="V1775" i="6" s="1"/>
  <c r="U1778" i="6"/>
  <c r="V1778" i="6" s="1"/>
  <c r="U1779" i="6"/>
  <c r="V1779" i="6" s="1"/>
  <c r="U1782" i="6"/>
  <c r="V1782" i="6" s="1"/>
  <c r="U1783" i="6"/>
  <c r="V1783" i="6" s="1"/>
  <c r="U1786" i="6"/>
  <c r="V1786" i="6" s="1"/>
  <c r="U1787" i="6"/>
  <c r="V1787" i="6" s="1"/>
  <c r="U1790" i="6"/>
  <c r="V1790" i="6" s="1"/>
  <c r="U1791" i="6"/>
  <c r="V1791" i="6" s="1"/>
  <c r="U1794" i="6"/>
  <c r="V1794" i="6" s="1"/>
  <c r="U1795" i="6"/>
  <c r="V1795" i="6" s="1"/>
  <c r="U1798" i="6"/>
  <c r="V1798" i="6" s="1"/>
  <c r="U1799" i="6"/>
  <c r="V1799" i="6" s="1"/>
  <c r="U1802" i="6"/>
  <c r="V1802" i="6" s="1"/>
  <c r="U1803" i="6"/>
  <c r="V1803" i="6" s="1"/>
  <c r="U1806" i="6"/>
  <c r="V1806" i="6" s="1"/>
  <c r="U1807" i="6"/>
  <c r="V1807" i="6" s="1"/>
  <c r="U1810" i="6"/>
  <c r="V1810" i="6" s="1"/>
  <c r="U1811" i="6"/>
  <c r="V1811" i="6" s="1"/>
  <c r="U1814" i="6"/>
  <c r="V1814" i="6" s="1"/>
  <c r="U1815" i="6"/>
  <c r="V1815" i="6" s="1"/>
  <c r="U1818" i="6"/>
  <c r="V1818" i="6" s="1"/>
  <c r="U1819" i="6"/>
  <c r="V1819" i="6" s="1"/>
  <c r="U1822" i="6"/>
  <c r="V1822" i="6" s="1"/>
  <c r="U1823" i="6"/>
  <c r="V1823" i="6" s="1"/>
  <c r="U1826" i="6"/>
  <c r="V1826" i="6" s="1"/>
  <c r="U1827" i="6"/>
  <c r="V1827" i="6" s="1"/>
  <c r="U1830" i="6"/>
  <c r="V1830" i="6" s="1"/>
  <c r="U1831" i="6"/>
  <c r="V1831" i="6" s="1"/>
  <c r="U1834" i="6"/>
  <c r="V1834" i="6" s="1"/>
  <c r="U1835" i="6"/>
  <c r="V1835" i="6" s="1"/>
  <c r="U1838" i="6"/>
  <c r="V1838" i="6" s="1"/>
  <c r="U1839" i="6"/>
  <c r="V1839" i="6" s="1"/>
  <c r="U1842" i="6"/>
  <c r="V1842" i="6" s="1"/>
  <c r="U1843" i="6"/>
  <c r="V1843" i="6" s="1"/>
  <c r="U1846" i="6"/>
  <c r="V1846" i="6" s="1"/>
  <c r="U1847" i="6"/>
  <c r="V1847" i="6" s="1"/>
  <c r="U1850" i="6"/>
  <c r="V1850" i="6" s="1"/>
  <c r="U1851" i="6"/>
  <c r="V1851" i="6" s="1"/>
  <c r="U1854" i="6"/>
  <c r="V1854" i="6" s="1"/>
  <c r="U1855" i="6"/>
  <c r="V1855" i="6" s="1"/>
  <c r="U1858" i="6"/>
  <c r="V1858" i="6" s="1"/>
  <c r="U1859" i="6"/>
  <c r="V1859" i="6" s="1"/>
  <c r="U1862" i="6"/>
  <c r="V1862" i="6" s="1"/>
  <c r="U1863" i="6"/>
  <c r="V1863" i="6" s="1"/>
  <c r="U1866" i="6"/>
  <c r="V1866" i="6" s="1"/>
  <c r="U1867" i="6"/>
  <c r="V1867" i="6" s="1"/>
  <c r="U1870" i="6"/>
  <c r="V1870" i="6" s="1"/>
  <c r="U1871" i="6"/>
  <c r="V1871" i="6" s="1"/>
  <c r="U1874" i="6"/>
  <c r="V1874" i="6" s="1"/>
  <c r="U1875" i="6"/>
  <c r="V1875" i="6" s="1"/>
  <c r="U1878" i="6"/>
  <c r="V1878" i="6" s="1"/>
  <c r="U1879" i="6"/>
  <c r="V1879" i="6" s="1"/>
  <c r="U1882" i="6"/>
  <c r="V1882" i="6" s="1"/>
  <c r="U1883" i="6"/>
  <c r="V1883" i="6" s="1"/>
  <c r="U1886" i="6"/>
  <c r="V1886" i="6" s="1"/>
  <c r="U1887" i="6"/>
  <c r="V1887" i="6" s="1"/>
  <c r="U1890" i="6"/>
  <c r="V1890" i="6" s="1"/>
  <c r="U1891" i="6"/>
  <c r="V1891" i="6" s="1"/>
  <c r="U1894" i="6"/>
  <c r="V1894" i="6" s="1"/>
  <c r="U1895" i="6"/>
  <c r="V1895" i="6" s="1"/>
  <c r="U1898" i="6"/>
  <c r="V1898" i="6" s="1"/>
  <c r="U1899" i="6"/>
  <c r="V1899" i="6" s="1"/>
  <c r="U1902" i="6"/>
  <c r="V1902" i="6" s="1"/>
  <c r="U1903" i="6"/>
  <c r="V1903" i="6" s="1"/>
  <c r="U1906" i="6"/>
  <c r="V1906" i="6" s="1"/>
  <c r="U1907" i="6"/>
  <c r="V1907" i="6" s="1"/>
  <c r="U1910" i="6"/>
  <c r="V1910" i="6" s="1"/>
  <c r="U1911" i="6"/>
  <c r="V1911" i="6" s="1"/>
  <c r="U1914" i="6"/>
  <c r="V1914" i="6" s="1"/>
  <c r="U1915" i="6"/>
  <c r="V1915" i="6" s="1"/>
  <c r="U1918" i="6"/>
  <c r="V1918" i="6" s="1"/>
  <c r="U1919" i="6"/>
  <c r="V1919" i="6" s="1"/>
  <c r="U1922" i="6"/>
  <c r="V1922" i="6" s="1"/>
  <c r="U1923" i="6"/>
  <c r="V1923" i="6" s="1"/>
  <c r="U1926" i="6"/>
  <c r="V1926" i="6" s="1"/>
  <c r="U1927" i="6"/>
  <c r="V1927" i="6" s="1"/>
  <c r="U1930" i="6"/>
  <c r="V1930" i="6" s="1"/>
  <c r="U1931" i="6"/>
  <c r="V1931" i="6" s="1"/>
  <c r="U1934" i="6"/>
  <c r="V1934" i="6" s="1"/>
  <c r="U1935" i="6"/>
  <c r="V1935" i="6" s="1"/>
  <c r="U1938" i="6"/>
  <c r="V1938" i="6" s="1"/>
  <c r="U1939" i="6"/>
  <c r="V1939" i="6" s="1"/>
  <c r="U1942" i="6"/>
  <c r="V1942" i="6" s="1"/>
  <c r="U1943" i="6"/>
  <c r="V1943" i="6" s="1"/>
  <c r="U1946" i="6"/>
  <c r="V1946" i="6" s="1"/>
  <c r="U1947" i="6"/>
  <c r="V1947" i="6" s="1"/>
  <c r="U1950" i="6"/>
  <c r="V1950" i="6" s="1"/>
  <c r="U1951" i="6"/>
  <c r="V1951" i="6" s="1"/>
  <c r="U1954" i="6"/>
  <c r="V1954" i="6" s="1"/>
  <c r="U1955" i="6"/>
  <c r="V1955" i="6" s="1"/>
  <c r="U1958" i="6"/>
  <c r="V1958" i="6" s="1"/>
  <c r="U1959" i="6"/>
  <c r="V1959" i="6" s="1"/>
  <c r="U1962" i="6"/>
  <c r="V1962" i="6" s="1"/>
  <c r="U1963" i="6"/>
  <c r="V1963" i="6" s="1"/>
  <c r="U1966" i="6"/>
  <c r="V1966" i="6" s="1"/>
  <c r="U1967" i="6"/>
  <c r="V1967" i="6" s="1"/>
  <c r="U1970" i="6"/>
  <c r="V1970" i="6" s="1"/>
  <c r="U1971" i="6"/>
  <c r="V1971" i="6" s="1"/>
  <c r="U1974" i="6"/>
  <c r="V1974" i="6" s="1"/>
  <c r="U1975" i="6"/>
  <c r="V1975" i="6" s="1"/>
  <c r="U1978" i="6"/>
  <c r="V1978" i="6" s="1"/>
  <c r="U1979" i="6"/>
  <c r="V1979" i="6" s="1"/>
  <c r="U1982" i="6"/>
  <c r="V1982" i="6" s="1"/>
  <c r="U1983" i="6"/>
  <c r="V1983" i="6" s="1"/>
  <c r="U1986" i="6"/>
  <c r="V1986" i="6" s="1"/>
  <c r="U1987" i="6"/>
  <c r="V1987" i="6" s="1"/>
  <c r="U1990" i="6"/>
  <c r="V1990" i="6" s="1"/>
  <c r="U1991" i="6"/>
  <c r="V1991" i="6" s="1"/>
  <c r="U1994" i="6"/>
  <c r="V1994" i="6" s="1"/>
  <c r="U1995" i="6"/>
  <c r="V1995" i="6" s="1"/>
  <c r="U1998" i="6"/>
  <c r="V1998" i="6" s="1"/>
  <c r="U1999" i="6"/>
  <c r="V1999" i="6" s="1"/>
  <c r="U2002" i="6"/>
  <c r="V2002" i="6" s="1"/>
  <c r="U2003" i="6"/>
  <c r="V2003" i="6" s="1"/>
  <c r="U2006" i="6"/>
  <c r="V2006" i="6" s="1"/>
  <c r="U2007" i="6"/>
  <c r="V2007" i="6" s="1"/>
  <c r="P12" i="6"/>
  <c r="P15" i="6"/>
  <c r="P16" i="6"/>
  <c r="P19" i="6"/>
  <c r="P20" i="6"/>
  <c r="P23" i="6"/>
  <c r="P24" i="6"/>
  <c r="P27" i="6"/>
  <c r="P28" i="6"/>
  <c r="P31" i="6"/>
  <c r="P32" i="6"/>
  <c r="P35" i="6"/>
  <c r="P36" i="6"/>
  <c r="P39" i="6"/>
  <c r="P40" i="6"/>
  <c r="P43" i="6"/>
  <c r="P44" i="6"/>
  <c r="P47" i="6"/>
  <c r="P48" i="6"/>
  <c r="P51" i="6"/>
  <c r="P52" i="6"/>
  <c r="P55" i="6"/>
  <c r="P56" i="6"/>
  <c r="P59" i="6"/>
  <c r="P60" i="6"/>
  <c r="P63" i="6"/>
  <c r="P64" i="6"/>
  <c r="P67" i="6"/>
  <c r="P68" i="6"/>
  <c r="P69" i="6"/>
  <c r="Q69" i="6" s="1"/>
  <c r="P71" i="6"/>
  <c r="P72" i="6"/>
  <c r="P75" i="6"/>
  <c r="P76" i="6"/>
  <c r="P79" i="6"/>
  <c r="P80" i="6"/>
  <c r="P83" i="6"/>
  <c r="P84" i="6"/>
  <c r="P87" i="6"/>
  <c r="P88" i="6"/>
  <c r="P91" i="6"/>
  <c r="P92" i="6"/>
  <c r="P95" i="6"/>
  <c r="P96" i="6"/>
  <c r="P99" i="6"/>
  <c r="P100" i="6"/>
  <c r="P103" i="6"/>
  <c r="P104" i="6"/>
  <c r="P107" i="6"/>
  <c r="P108" i="6"/>
  <c r="P111" i="6"/>
  <c r="P112" i="6"/>
  <c r="P115" i="6"/>
  <c r="P116" i="6"/>
  <c r="P119" i="6"/>
  <c r="P120" i="6"/>
  <c r="P123" i="6"/>
  <c r="P124" i="6"/>
  <c r="P127" i="6"/>
  <c r="P128" i="6"/>
  <c r="P131" i="6"/>
  <c r="P132" i="6"/>
  <c r="P135" i="6"/>
  <c r="P136" i="6"/>
  <c r="P139" i="6"/>
  <c r="P140" i="6"/>
  <c r="P143" i="6"/>
  <c r="P144" i="6"/>
  <c r="P147" i="6"/>
  <c r="P148" i="6"/>
  <c r="P151" i="6"/>
  <c r="P152" i="6"/>
  <c r="P155" i="6"/>
  <c r="P156" i="6"/>
  <c r="P159" i="6"/>
  <c r="P160" i="6"/>
  <c r="P163" i="6"/>
  <c r="P164" i="6"/>
  <c r="P167" i="6"/>
  <c r="P168" i="6"/>
  <c r="P171" i="6"/>
  <c r="P172" i="6"/>
  <c r="P175" i="6"/>
  <c r="P176" i="6"/>
  <c r="P179" i="6"/>
  <c r="P180" i="6"/>
  <c r="P183" i="6"/>
  <c r="P184" i="6"/>
  <c r="P187" i="6"/>
  <c r="P188" i="6"/>
  <c r="P191" i="6"/>
  <c r="P192" i="6"/>
  <c r="P195" i="6"/>
  <c r="P196" i="6"/>
  <c r="P199" i="6"/>
  <c r="P200" i="6"/>
  <c r="P203" i="6"/>
  <c r="P204" i="6"/>
  <c r="P207" i="6"/>
  <c r="P208" i="6"/>
  <c r="P211" i="6"/>
  <c r="P212" i="6"/>
  <c r="P215" i="6"/>
  <c r="P216" i="6"/>
  <c r="P219" i="6"/>
  <c r="P220" i="6"/>
  <c r="P223" i="6"/>
  <c r="P224" i="6"/>
  <c r="P227" i="6"/>
  <c r="P228" i="6"/>
  <c r="P231" i="6"/>
  <c r="P232" i="6"/>
  <c r="P235" i="6"/>
  <c r="P236" i="6"/>
  <c r="P239" i="6"/>
  <c r="P240" i="6"/>
  <c r="P243" i="6"/>
  <c r="P244" i="6"/>
  <c r="P247" i="6"/>
  <c r="P248" i="6"/>
  <c r="P251" i="6"/>
  <c r="P252" i="6"/>
  <c r="P255" i="6"/>
  <c r="P256" i="6"/>
  <c r="P259" i="6"/>
  <c r="P260" i="6"/>
  <c r="P263" i="6"/>
  <c r="P264" i="6"/>
  <c r="P267" i="6"/>
  <c r="P268" i="6"/>
  <c r="P271" i="6"/>
  <c r="P272" i="6"/>
  <c r="P275" i="6"/>
  <c r="P276" i="6"/>
  <c r="P279" i="6"/>
  <c r="P280" i="6"/>
  <c r="P283" i="6"/>
  <c r="P284" i="6"/>
  <c r="P287" i="6"/>
  <c r="P288" i="6"/>
  <c r="P291" i="6"/>
  <c r="P292" i="6"/>
  <c r="P295" i="6"/>
  <c r="P296" i="6"/>
  <c r="P299" i="6"/>
  <c r="P300" i="6"/>
  <c r="P303" i="6"/>
  <c r="P304" i="6"/>
  <c r="P307" i="6"/>
  <c r="P308" i="6"/>
  <c r="P311" i="6"/>
  <c r="P312" i="6"/>
  <c r="P315" i="6"/>
  <c r="P316" i="6"/>
  <c r="P319" i="6"/>
  <c r="P320" i="6"/>
  <c r="P323" i="6"/>
  <c r="P324" i="6"/>
  <c r="P327" i="6"/>
  <c r="P328" i="6"/>
  <c r="P331" i="6"/>
  <c r="P332" i="6"/>
  <c r="P335" i="6"/>
  <c r="P336" i="6"/>
  <c r="P339" i="6"/>
  <c r="P340" i="6"/>
  <c r="P343" i="6"/>
  <c r="P344" i="6"/>
  <c r="P347" i="6"/>
  <c r="P348" i="6"/>
  <c r="P351" i="6"/>
  <c r="P352" i="6"/>
  <c r="P355" i="6"/>
  <c r="P356" i="6"/>
  <c r="P359" i="6"/>
  <c r="P360" i="6"/>
  <c r="P363" i="6"/>
  <c r="P364" i="6"/>
  <c r="P367" i="6"/>
  <c r="P368" i="6"/>
  <c r="P371" i="6"/>
  <c r="P372" i="6"/>
  <c r="P375" i="6"/>
  <c r="P376" i="6"/>
  <c r="P379" i="6"/>
  <c r="P380" i="6"/>
  <c r="P383" i="6"/>
  <c r="P384" i="6"/>
  <c r="P387" i="6"/>
  <c r="P388" i="6"/>
  <c r="P391" i="6"/>
  <c r="P392" i="6"/>
  <c r="P395" i="6"/>
  <c r="P396" i="6"/>
  <c r="P399" i="6"/>
  <c r="P400" i="6"/>
  <c r="P403" i="6"/>
  <c r="P404" i="6"/>
  <c r="P407" i="6"/>
  <c r="P408" i="6"/>
  <c r="P411" i="6"/>
  <c r="P412" i="6"/>
  <c r="P415" i="6"/>
  <c r="P416" i="6"/>
  <c r="P419" i="6"/>
  <c r="P420" i="6"/>
  <c r="P423" i="6"/>
  <c r="P424" i="6"/>
  <c r="P427" i="6"/>
  <c r="P428" i="6"/>
  <c r="P431" i="6"/>
  <c r="P432" i="6"/>
  <c r="P435" i="6"/>
  <c r="P436" i="6"/>
  <c r="P439" i="6"/>
  <c r="P440" i="6"/>
  <c r="P443" i="6"/>
  <c r="P444" i="6"/>
  <c r="P447" i="6"/>
  <c r="P448" i="6"/>
  <c r="P451" i="6"/>
  <c r="P452" i="6"/>
  <c r="P455" i="6"/>
  <c r="P456" i="6"/>
  <c r="P459" i="6"/>
  <c r="P460" i="6"/>
  <c r="P463" i="6"/>
  <c r="P464" i="6"/>
  <c r="P467" i="6"/>
  <c r="P468" i="6"/>
  <c r="P471" i="6"/>
  <c r="P472" i="6"/>
  <c r="P475" i="6"/>
  <c r="P476" i="6"/>
  <c r="P479" i="6"/>
  <c r="P480" i="6"/>
  <c r="P483" i="6"/>
  <c r="P484" i="6"/>
  <c r="P487" i="6"/>
  <c r="P488" i="6"/>
  <c r="P491" i="6"/>
  <c r="P492" i="6"/>
  <c r="P495" i="6"/>
  <c r="P496" i="6"/>
  <c r="P499" i="6"/>
  <c r="P500" i="6"/>
  <c r="P503" i="6"/>
  <c r="P504" i="6"/>
  <c r="P507" i="6"/>
  <c r="P508" i="6"/>
  <c r="P511" i="6"/>
  <c r="P512" i="6"/>
  <c r="P515" i="6"/>
  <c r="P516" i="6"/>
  <c r="P519" i="6"/>
  <c r="P520" i="6"/>
  <c r="P523" i="6"/>
  <c r="P524" i="6"/>
  <c r="P527" i="6"/>
  <c r="P528" i="6"/>
  <c r="P531" i="6"/>
  <c r="P532" i="6"/>
  <c r="P535" i="6"/>
  <c r="P536" i="6"/>
  <c r="P539" i="6"/>
  <c r="P540" i="6"/>
  <c r="P543" i="6"/>
  <c r="P544" i="6"/>
  <c r="P547" i="6"/>
  <c r="P548" i="6"/>
  <c r="P551" i="6"/>
  <c r="P552" i="6"/>
  <c r="P555" i="6"/>
  <c r="P556" i="6"/>
  <c r="P559" i="6"/>
  <c r="P560" i="6"/>
  <c r="P563" i="6"/>
  <c r="P564" i="6"/>
  <c r="P567" i="6"/>
  <c r="P568" i="6"/>
  <c r="P571" i="6"/>
  <c r="P572" i="6"/>
  <c r="P575" i="6"/>
  <c r="P576" i="6"/>
  <c r="P579" i="6"/>
  <c r="P580" i="6"/>
  <c r="P583" i="6"/>
  <c r="P584" i="6"/>
  <c r="P587" i="6"/>
  <c r="P588" i="6"/>
  <c r="P591" i="6"/>
  <c r="P592" i="6"/>
  <c r="P595" i="6"/>
  <c r="P596" i="6"/>
  <c r="P599" i="6"/>
  <c r="P600" i="6"/>
  <c r="P603" i="6"/>
  <c r="P604" i="6"/>
  <c r="P607" i="6"/>
  <c r="P608" i="6"/>
  <c r="P611" i="6"/>
  <c r="P612" i="6"/>
  <c r="P615" i="6"/>
  <c r="P616" i="6"/>
  <c r="P619" i="6"/>
  <c r="P620" i="6"/>
  <c r="P623" i="6"/>
  <c r="P624" i="6"/>
  <c r="P627" i="6"/>
  <c r="P628" i="6"/>
  <c r="P631" i="6"/>
  <c r="P632" i="6"/>
  <c r="P635" i="6"/>
  <c r="P636" i="6"/>
  <c r="P639" i="6"/>
  <c r="P640" i="6"/>
  <c r="P643" i="6"/>
  <c r="P644" i="6"/>
  <c r="P647" i="6"/>
  <c r="P648" i="6"/>
  <c r="P651" i="6"/>
  <c r="P652" i="6"/>
  <c r="P655" i="6"/>
  <c r="P656" i="6"/>
  <c r="P659" i="6"/>
  <c r="P660" i="6"/>
  <c r="P663" i="6"/>
  <c r="P664" i="6"/>
  <c r="P665" i="6"/>
  <c r="P667" i="6"/>
  <c r="P668" i="6"/>
  <c r="P671" i="6"/>
  <c r="P672" i="6"/>
  <c r="P675" i="6"/>
  <c r="P676" i="6"/>
  <c r="P679" i="6"/>
  <c r="P680" i="6"/>
  <c r="P683" i="6"/>
  <c r="P684" i="6"/>
  <c r="P687" i="6"/>
  <c r="P688" i="6"/>
  <c r="P691" i="6"/>
  <c r="P692" i="6"/>
  <c r="P695" i="6"/>
  <c r="P696" i="6"/>
  <c r="P699" i="6"/>
  <c r="P700" i="6"/>
  <c r="P703" i="6"/>
  <c r="P704" i="6"/>
  <c r="P707" i="6"/>
  <c r="P708" i="6"/>
  <c r="P711" i="6"/>
  <c r="P712" i="6"/>
  <c r="P715" i="6"/>
  <c r="P716" i="6"/>
  <c r="P719" i="6"/>
  <c r="P720" i="6"/>
  <c r="P723" i="6"/>
  <c r="P724" i="6"/>
  <c r="P727" i="6"/>
  <c r="P728" i="6"/>
  <c r="P729" i="6"/>
  <c r="P731" i="6"/>
  <c r="P732" i="6"/>
  <c r="P735" i="6"/>
  <c r="P736" i="6"/>
  <c r="P739" i="6"/>
  <c r="P740" i="6"/>
  <c r="P743" i="6"/>
  <c r="P744" i="6"/>
  <c r="P747" i="6"/>
  <c r="P748" i="6"/>
  <c r="P751" i="6"/>
  <c r="P752" i="6"/>
  <c r="P755" i="6"/>
  <c r="P756" i="6"/>
  <c r="P759" i="6"/>
  <c r="P760" i="6"/>
  <c r="P763" i="6"/>
  <c r="P764" i="6"/>
  <c r="P767" i="6"/>
  <c r="P768" i="6"/>
  <c r="P771" i="6"/>
  <c r="P772" i="6"/>
  <c r="P775" i="6"/>
  <c r="P776" i="6"/>
  <c r="P779" i="6"/>
  <c r="P780" i="6"/>
  <c r="P783" i="6"/>
  <c r="P784" i="6"/>
  <c r="P787" i="6"/>
  <c r="P788" i="6"/>
  <c r="P791" i="6"/>
  <c r="P792" i="6"/>
  <c r="P795" i="6"/>
  <c r="P796" i="6"/>
  <c r="P799" i="6"/>
  <c r="P800" i="6"/>
  <c r="P803" i="6"/>
  <c r="P804" i="6"/>
  <c r="P807" i="6"/>
  <c r="P808" i="6"/>
  <c r="P811" i="6"/>
  <c r="P812" i="6"/>
  <c r="P815" i="6"/>
  <c r="P816" i="6"/>
  <c r="P819" i="6"/>
  <c r="P820" i="6"/>
  <c r="P823" i="6"/>
  <c r="P824" i="6"/>
  <c r="P827" i="6"/>
  <c r="P828" i="6"/>
  <c r="P831" i="6"/>
  <c r="P832" i="6"/>
  <c r="P835" i="6"/>
  <c r="P836" i="6"/>
  <c r="P839" i="6"/>
  <c r="P840" i="6"/>
  <c r="P843" i="6"/>
  <c r="P844" i="6"/>
  <c r="P847" i="6"/>
  <c r="P848" i="6"/>
  <c r="P851" i="6"/>
  <c r="P852" i="6"/>
  <c r="P855" i="6"/>
  <c r="P856" i="6"/>
  <c r="P859" i="6"/>
  <c r="P860" i="6"/>
  <c r="P863" i="6"/>
  <c r="P864" i="6"/>
  <c r="P867" i="6"/>
  <c r="P868" i="6"/>
  <c r="P871" i="6"/>
  <c r="P872" i="6"/>
  <c r="P875" i="6"/>
  <c r="P876" i="6"/>
  <c r="P879" i="6"/>
  <c r="P880" i="6"/>
  <c r="P883" i="6"/>
  <c r="P884" i="6"/>
  <c r="P887" i="6"/>
  <c r="P888" i="6"/>
  <c r="P891" i="6"/>
  <c r="P892" i="6"/>
  <c r="P895" i="6"/>
  <c r="P896" i="6"/>
  <c r="P899" i="6"/>
  <c r="P900" i="6"/>
  <c r="P903" i="6"/>
  <c r="P904" i="6"/>
  <c r="P907" i="6"/>
  <c r="P908" i="6"/>
  <c r="P911" i="6"/>
  <c r="P912" i="6"/>
  <c r="P915" i="6"/>
  <c r="P916" i="6"/>
  <c r="P919" i="6"/>
  <c r="P920" i="6"/>
  <c r="P923" i="6"/>
  <c r="P924" i="6"/>
  <c r="P927" i="6"/>
  <c r="P928" i="6"/>
  <c r="P931" i="6"/>
  <c r="P932" i="6"/>
  <c r="P935" i="6"/>
  <c r="P936" i="6"/>
  <c r="P939" i="6"/>
  <c r="P940" i="6"/>
  <c r="P943" i="6"/>
  <c r="P944" i="6"/>
  <c r="P947" i="6"/>
  <c r="P948" i="6"/>
  <c r="P951" i="6"/>
  <c r="P952" i="6"/>
  <c r="P955" i="6"/>
  <c r="P956" i="6"/>
  <c r="P959" i="6"/>
  <c r="P960" i="6"/>
  <c r="P963" i="6"/>
  <c r="P964" i="6"/>
  <c r="P967" i="6"/>
  <c r="P968" i="6"/>
  <c r="P971" i="6"/>
  <c r="P972" i="6"/>
  <c r="P975" i="6"/>
  <c r="P976" i="6"/>
  <c r="P979" i="6"/>
  <c r="P980" i="6"/>
  <c r="P983" i="6"/>
  <c r="P984" i="6"/>
  <c r="P985" i="6"/>
  <c r="P987" i="6"/>
  <c r="P988" i="6"/>
  <c r="P991" i="6"/>
  <c r="P992" i="6"/>
  <c r="P995" i="6"/>
  <c r="P996" i="6"/>
  <c r="P999" i="6"/>
  <c r="P1000" i="6"/>
  <c r="P1003" i="6"/>
  <c r="P1004" i="6"/>
  <c r="P1007" i="6"/>
  <c r="P1008" i="6"/>
  <c r="P1011" i="6"/>
  <c r="P1012" i="6"/>
  <c r="P1015" i="6"/>
  <c r="P1016" i="6"/>
  <c r="P1019" i="6"/>
  <c r="P1020" i="6"/>
  <c r="P1023" i="6"/>
  <c r="P1024" i="6"/>
  <c r="P1027" i="6"/>
  <c r="P1028" i="6"/>
  <c r="P1031" i="6"/>
  <c r="P1032" i="6"/>
  <c r="P1035" i="6"/>
  <c r="P1036" i="6"/>
  <c r="P1039" i="6"/>
  <c r="P1040" i="6"/>
  <c r="P1043" i="6"/>
  <c r="P1044" i="6"/>
  <c r="P1047" i="6"/>
  <c r="P1048" i="6"/>
  <c r="P1049" i="6"/>
  <c r="P1051" i="6"/>
  <c r="P1052" i="6"/>
  <c r="P1055" i="6"/>
  <c r="P1056" i="6"/>
  <c r="P1059" i="6"/>
  <c r="P1060" i="6"/>
  <c r="P1063" i="6"/>
  <c r="P1064" i="6"/>
  <c r="P1067" i="6"/>
  <c r="P1068" i="6"/>
  <c r="P1069" i="6"/>
  <c r="P1071" i="6"/>
  <c r="P1072" i="6"/>
  <c r="P1075" i="6"/>
  <c r="P1076" i="6"/>
  <c r="P1079" i="6"/>
  <c r="P1080" i="6"/>
  <c r="P1083" i="6"/>
  <c r="P1084" i="6"/>
  <c r="P1087" i="6"/>
  <c r="P1088" i="6"/>
  <c r="P1091" i="6"/>
  <c r="P1092" i="6"/>
  <c r="P1095" i="6"/>
  <c r="P1096" i="6"/>
  <c r="P1099" i="6"/>
  <c r="P1100" i="6"/>
  <c r="P1101" i="6"/>
  <c r="P1103" i="6"/>
  <c r="P1104" i="6"/>
  <c r="P1107" i="6"/>
  <c r="P1108" i="6"/>
  <c r="P1111" i="6"/>
  <c r="P1112" i="6"/>
  <c r="P1115" i="6"/>
  <c r="P1116" i="6"/>
  <c r="P1119" i="6"/>
  <c r="P1120" i="6"/>
  <c r="P1123" i="6"/>
  <c r="P1124" i="6"/>
  <c r="P1127" i="6"/>
  <c r="P1128" i="6"/>
  <c r="P1131" i="6"/>
  <c r="P1132" i="6"/>
  <c r="P1135" i="6"/>
  <c r="P1136" i="6"/>
  <c r="P1139" i="6"/>
  <c r="P1140" i="6"/>
  <c r="P1143" i="6"/>
  <c r="P1144" i="6"/>
  <c r="P1147" i="6"/>
  <c r="P1148" i="6"/>
  <c r="P1151" i="6"/>
  <c r="P1152" i="6"/>
  <c r="P1155" i="6"/>
  <c r="P1156" i="6"/>
  <c r="P1159" i="6"/>
  <c r="P1160" i="6"/>
  <c r="P1163" i="6"/>
  <c r="P1164" i="6"/>
  <c r="P1167" i="6"/>
  <c r="P1168" i="6"/>
  <c r="P1171" i="6"/>
  <c r="P1172" i="6"/>
  <c r="P1175" i="6"/>
  <c r="P1176" i="6"/>
  <c r="P1179" i="6"/>
  <c r="P1180" i="6"/>
  <c r="P1183" i="6"/>
  <c r="P1184" i="6"/>
  <c r="P1187" i="6"/>
  <c r="P1188" i="6"/>
  <c r="P1191" i="6"/>
  <c r="P1192" i="6"/>
  <c r="P1195" i="6"/>
  <c r="P1196" i="6"/>
  <c r="P1199" i="6"/>
  <c r="P1200" i="6"/>
  <c r="P1203" i="6"/>
  <c r="P1204" i="6"/>
  <c r="P1207" i="6"/>
  <c r="P1208" i="6"/>
  <c r="P1211" i="6"/>
  <c r="P1212" i="6"/>
  <c r="P1215" i="6"/>
  <c r="P1216" i="6"/>
  <c r="P1219" i="6"/>
  <c r="P1220" i="6"/>
  <c r="P1223" i="6"/>
  <c r="P1224" i="6"/>
  <c r="P1227" i="6"/>
  <c r="P1228" i="6"/>
  <c r="P1229" i="6"/>
  <c r="P1231" i="6"/>
  <c r="P1232" i="6"/>
  <c r="P1235" i="6"/>
  <c r="P1236" i="6"/>
  <c r="P1239" i="6"/>
  <c r="P1240" i="6"/>
  <c r="P1243" i="6"/>
  <c r="P1244" i="6"/>
  <c r="P1247" i="6"/>
  <c r="P1248" i="6"/>
  <c r="P1251" i="6"/>
  <c r="P1252" i="6"/>
  <c r="P1255" i="6"/>
  <c r="P1256" i="6"/>
  <c r="P1259" i="6"/>
  <c r="P1260" i="6"/>
  <c r="P1261" i="6"/>
  <c r="P1263" i="6"/>
  <c r="P1264" i="6"/>
  <c r="P1267" i="6"/>
  <c r="P1268" i="6"/>
  <c r="P1271" i="6"/>
  <c r="P1272" i="6"/>
  <c r="P1275" i="6"/>
  <c r="P1276" i="6"/>
  <c r="P1279" i="6"/>
  <c r="P1280" i="6"/>
  <c r="P1283" i="6"/>
  <c r="P1284" i="6"/>
  <c r="P1287" i="6"/>
  <c r="P1288" i="6"/>
  <c r="P1291" i="6"/>
  <c r="P1292" i="6"/>
  <c r="P1295" i="6"/>
  <c r="P1296" i="6"/>
  <c r="P1299" i="6"/>
  <c r="P1300" i="6"/>
  <c r="P1303" i="6"/>
  <c r="P1304" i="6"/>
  <c r="P1307" i="6"/>
  <c r="P1308" i="6"/>
  <c r="P1311" i="6"/>
  <c r="P1312" i="6"/>
  <c r="P1315" i="6"/>
  <c r="P1316" i="6"/>
  <c r="P1319" i="6"/>
  <c r="P1320" i="6"/>
  <c r="P1323" i="6"/>
  <c r="P1324" i="6"/>
  <c r="P1327" i="6"/>
  <c r="P1328" i="6"/>
  <c r="P1331" i="6"/>
  <c r="P1332" i="6"/>
  <c r="P1335" i="6"/>
  <c r="P1336" i="6"/>
  <c r="P1339" i="6"/>
  <c r="P1340" i="6"/>
  <c r="P1343" i="6"/>
  <c r="P1344" i="6"/>
  <c r="P1347" i="6"/>
  <c r="P1348" i="6"/>
  <c r="P1351" i="6"/>
  <c r="P1352" i="6"/>
  <c r="P1355" i="6"/>
  <c r="P1356" i="6"/>
  <c r="P1357" i="6"/>
  <c r="P1359" i="6"/>
  <c r="P1360" i="6"/>
  <c r="P1363" i="6"/>
  <c r="P1364" i="6"/>
  <c r="P1367" i="6"/>
  <c r="P1368" i="6"/>
  <c r="P1371" i="6"/>
  <c r="P1372" i="6"/>
  <c r="P1375" i="6"/>
  <c r="P1376" i="6"/>
  <c r="P1379" i="6"/>
  <c r="P1380" i="6"/>
  <c r="P1383" i="6"/>
  <c r="P1384" i="6"/>
  <c r="P1387" i="6"/>
  <c r="P1388" i="6"/>
  <c r="P1389" i="6"/>
  <c r="P1391" i="6"/>
  <c r="P1392" i="6"/>
  <c r="P1395" i="6"/>
  <c r="P1396" i="6"/>
  <c r="P1399" i="6"/>
  <c r="P1400" i="6"/>
  <c r="P1403" i="6"/>
  <c r="P1404" i="6"/>
  <c r="P1407" i="6"/>
  <c r="P1408" i="6"/>
  <c r="P1411" i="6"/>
  <c r="P1412" i="6"/>
  <c r="P1415" i="6"/>
  <c r="P1416" i="6"/>
  <c r="P1419" i="6"/>
  <c r="P1420" i="6"/>
  <c r="P1423" i="6"/>
  <c r="P1424" i="6"/>
  <c r="P1427" i="6"/>
  <c r="P1428" i="6"/>
  <c r="P1431" i="6"/>
  <c r="P1432" i="6"/>
  <c r="P1435" i="6"/>
  <c r="P1436" i="6"/>
  <c r="P1439" i="6"/>
  <c r="P1440" i="6"/>
  <c r="P1443" i="6"/>
  <c r="P1444" i="6"/>
  <c r="P1447" i="6"/>
  <c r="P1448" i="6"/>
  <c r="P1451" i="6"/>
  <c r="P1452" i="6"/>
  <c r="P1455" i="6"/>
  <c r="P1456" i="6"/>
  <c r="P1459" i="6"/>
  <c r="P1460" i="6"/>
  <c r="P1463" i="6"/>
  <c r="P1464" i="6"/>
  <c r="P1467" i="6"/>
  <c r="P1468" i="6"/>
  <c r="P1471" i="6"/>
  <c r="P1472" i="6"/>
  <c r="P1475" i="6"/>
  <c r="P1476" i="6"/>
  <c r="P1479" i="6"/>
  <c r="P1480" i="6"/>
  <c r="P1483" i="6"/>
  <c r="P1484" i="6"/>
  <c r="P1485" i="6"/>
  <c r="P1487" i="6"/>
  <c r="P1488" i="6"/>
  <c r="P1491" i="6"/>
  <c r="P1492" i="6"/>
  <c r="P1495" i="6"/>
  <c r="P1496" i="6"/>
  <c r="P1499" i="6"/>
  <c r="P1500" i="6"/>
  <c r="P1503" i="6"/>
  <c r="P1504" i="6"/>
  <c r="P1507" i="6"/>
  <c r="P1508" i="6"/>
  <c r="P1511" i="6"/>
  <c r="P1512" i="6"/>
  <c r="P1515" i="6"/>
  <c r="P1516" i="6"/>
  <c r="P1517" i="6"/>
  <c r="P1519" i="6"/>
  <c r="P1520" i="6"/>
  <c r="P1523" i="6"/>
  <c r="P1524" i="6"/>
  <c r="P1527" i="6"/>
  <c r="P1528" i="6"/>
  <c r="P1531" i="6"/>
  <c r="P1532" i="6"/>
  <c r="P1535" i="6"/>
  <c r="P1536" i="6"/>
  <c r="P1539" i="6"/>
  <c r="P1540" i="6"/>
  <c r="P1543" i="6"/>
  <c r="P1544" i="6"/>
  <c r="P1547" i="6"/>
  <c r="P1548" i="6"/>
  <c r="P1551" i="6"/>
  <c r="P1552" i="6"/>
  <c r="P1555" i="6"/>
  <c r="P1556" i="6"/>
  <c r="P1559" i="6"/>
  <c r="P1560" i="6"/>
  <c r="P1563" i="6"/>
  <c r="P1564" i="6"/>
  <c r="P1567" i="6"/>
  <c r="P1568" i="6"/>
  <c r="P1571" i="6"/>
  <c r="P1572" i="6"/>
  <c r="P1575" i="6"/>
  <c r="P1576" i="6"/>
  <c r="P1579" i="6"/>
  <c r="P1580" i="6"/>
  <c r="P1583" i="6"/>
  <c r="P1584" i="6"/>
  <c r="P1587" i="6"/>
  <c r="P1588" i="6"/>
  <c r="P1591" i="6"/>
  <c r="P1592" i="6"/>
  <c r="P1595" i="6"/>
  <c r="P1596" i="6"/>
  <c r="P1599" i="6"/>
  <c r="P1600" i="6"/>
  <c r="P1603" i="6"/>
  <c r="P1604" i="6"/>
  <c r="P1607" i="6"/>
  <c r="P1608" i="6"/>
  <c r="P1611" i="6"/>
  <c r="P1612" i="6"/>
  <c r="P1613" i="6"/>
  <c r="P1615" i="6"/>
  <c r="P1616" i="6"/>
  <c r="P1619" i="6"/>
  <c r="P1620" i="6"/>
  <c r="P1623" i="6"/>
  <c r="P1624" i="6"/>
  <c r="P1627" i="6"/>
  <c r="P1628" i="6"/>
  <c r="P1631" i="6"/>
  <c r="P1632" i="6"/>
  <c r="P1635" i="6"/>
  <c r="P1636" i="6"/>
  <c r="P1639" i="6"/>
  <c r="P1640" i="6"/>
  <c r="P1643" i="6"/>
  <c r="P1644" i="6"/>
  <c r="P1645" i="6"/>
  <c r="P1647" i="6"/>
  <c r="P1648" i="6"/>
  <c r="P1651" i="6"/>
  <c r="P1652" i="6"/>
  <c r="P1655" i="6"/>
  <c r="P1656" i="6"/>
  <c r="P1659" i="6"/>
  <c r="P1660" i="6"/>
  <c r="P1663" i="6"/>
  <c r="P1664" i="6"/>
  <c r="P1667" i="6"/>
  <c r="P1668" i="6"/>
  <c r="P1671" i="6"/>
  <c r="P1672" i="6"/>
  <c r="P1675" i="6"/>
  <c r="P1676" i="6"/>
  <c r="P1679" i="6"/>
  <c r="P1680" i="6"/>
  <c r="P1683" i="6"/>
  <c r="P1684" i="6"/>
  <c r="P1687" i="6"/>
  <c r="P1688" i="6"/>
  <c r="P1691" i="6"/>
  <c r="P1692" i="6"/>
  <c r="P1695" i="6"/>
  <c r="P1696" i="6"/>
  <c r="P1698" i="6"/>
  <c r="P1699" i="6"/>
  <c r="P1700" i="6"/>
  <c r="P1702" i="6"/>
  <c r="P1703" i="6"/>
  <c r="P1704" i="6"/>
  <c r="P1706" i="6"/>
  <c r="P1707" i="6"/>
  <c r="P1708" i="6"/>
  <c r="P1710" i="6"/>
  <c r="P1711" i="6"/>
  <c r="P1712" i="6"/>
  <c r="P1714" i="6"/>
  <c r="P1715" i="6"/>
  <c r="P1716" i="6"/>
  <c r="P1718" i="6"/>
  <c r="P1719" i="6"/>
  <c r="P1720" i="6"/>
  <c r="P1722" i="6"/>
  <c r="P1723" i="6"/>
  <c r="P1724" i="6"/>
  <c r="P1726" i="6"/>
  <c r="P1727" i="6"/>
  <c r="P1728" i="6"/>
  <c r="P1730" i="6"/>
  <c r="P1731" i="6"/>
  <c r="P1732" i="6"/>
  <c r="P1734" i="6"/>
  <c r="P1735" i="6"/>
  <c r="P1736" i="6"/>
  <c r="P1738" i="6"/>
  <c r="P1739" i="6"/>
  <c r="P1740" i="6"/>
  <c r="P1742" i="6"/>
  <c r="P1743" i="6"/>
  <c r="P1744" i="6"/>
  <c r="P1746" i="6"/>
  <c r="P1747" i="6"/>
  <c r="P1748" i="6"/>
  <c r="P1750" i="6"/>
  <c r="P1751" i="6"/>
  <c r="P1752" i="6"/>
  <c r="P1754" i="6"/>
  <c r="P1755" i="6"/>
  <c r="P1756" i="6"/>
  <c r="P1758" i="6"/>
  <c r="P1759" i="6"/>
  <c r="P1760" i="6"/>
  <c r="P1762" i="6"/>
  <c r="P1763" i="6"/>
  <c r="P1764" i="6"/>
  <c r="P1766" i="6"/>
  <c r="P1767" i="6"/>
  <c r="P1768" i="6"/>
  <c r="P1770" i="6"/>
  <c r="P1771" i="6"/>
  <c r="P1772" i="6"/>
  <c r="P1774" i="6"/>
  <c r="P1775" i="6"/>
  <c r="P1776" i="6"/>
  <c r="P1778" i="6"/>
  <c r="P1779" i="6"/>
  <c r="P1780" i="6"/>
  <c r="P1782" i="6"/>
  <c r="P1783" i="6"/>
  <c r="P1784" i="6"/>
  <c r="P1786" i="6"/>
  <c r="P1787" i="6"/>
  <c r="P1788" i="6"/>
  <c r="P1790" i="6"/>
  <c r="P1791" i="6"/>
  <c r="P1792" i="6"/>
  <c r="P1794" i="6"/>
  <c r="P1795" i="6"/>
  <c r="P1796" i="6"/>
  <c r="P1798" i="6"/>
  <c r="P1799" i="6"/>
  <c r="P1800" i="6"/>
  <c r="P1802" i="6"/>
  <c r="P1803" i="6"/>
  <c r="P1804" i="6"/>
  <c r="P1806" i="6"/>
  <c r="P1807" i="6"/>
  <c r="P1808" i="6"/>
  <c r="P1810" i="6"/>
  <c r="P1811" i="6"/>
  <c r="P1812" i="6"/>
  <c r="P1814" i="6"/>
  <c r="P1815" i="6"/>
  <c r="P1816" i="6"/>
  <c r="P1818" i="6"/>
  <c r="P1819" i="6"/>
  <c r="P1820" i="6"/>
  <c r="P1822" i="6"/>
  <c r="P1823" i="6"/>
  <c r="P1824" i="6"/>
  <c r="P1826" i="6"/>
  <c r="P1827" i="6"/>
  <c r="P1828" i="6"/>
  <c r="P1830" i="6"/>
  <c r="P1831" i="6"/>
  <c r="P1832" i="6"/>
  <c r="P1834" i="6"/>
  <c r="P1835" i="6"/>
  <c r="P1836" i="6"/>
  <c r="P1838" i="6"/>
  <c r="P1839" i="6"/>
  <c r="P1840" i="6"/>
  <c r="P1842" i="6"/>
  <c r="P1843" i="6"/>
  <c r="P1844" i="6"/>
  <c r="P1846" i="6"/>
  <c r="P1847" i="6"/>
  <c r="P1848" i="6"/>
  <c r="P1850" i="6"/>
  <c r="P1851" i="6"/>
  <c r="P1852" i="6"/>
  <c r="P1854" i="6"/>
  <c r="P1855" i="6"/>
  <c r="P1856" i="6"/>
  <c r="P1858" i="6"/>
  <c r="P1859" i="6"/>
  <c r="P1860" i="6"/>
  <c r="P1862" i="6"/>
  <c r="P1863" i="6"/>
  <c r="P1864" i="6"/>
  <c r="P1866" i="6"/>
  <c r="P1867" i="6"/>
  <c r="P1868" i="6"/>
  <c r="P1870" i="6"/>
  <c r="P1871" i="6"/>
  <c r="P1872" i="6"/>
  <c r="P1874" i="6"/>
  <c r="P1875" i="6"/>
  <c r="P1876" i="6"/>
  <c r="P1878" i="6"/>
  <c r="P1879" i="6"/>
  <c r="P1880" i="6"/>
  <c r="P1882" i="6"/>
  <c r="P1883" i="6"/>
  <c r="P1884" i="6"/>
  <c r="P1886" i="6"/>
  <c r="P1887" i="6"/>
  <c r="P1888" i="6"/>
  <c r="P1890" i="6"/>
  <c r="P1891" i="6"/>
  <c r="P1892" i="6"/>
  <c r="P1894" i="6"/>
  <c r="P1895" i="6"/>
  <c r="P1896" i="6"/>
  <c r="P1898" i="6"/>
  <c r="P1899" i="6"/>
  <c r="P1900" i="6"/>
  <c r="P1902" i="6"/>
  <c r="P1903" i="6"/>
  <c r="P1904" i="6"/>
  <c r="P1906" i="6"/>
  <c r="P1907" i="6"/>
  <c r="P1908" i="6"/>
  <c r="P1910" i="6"/>
  <c r="P1911" i="6"/>
  <c r="P1912" i="6"/>
  <c r="P1914" i="6"/>
  <c r="P1915" i="6"/>
  <c r="P1916" i="6"/>
  <c r="P1918" i="6"/>
  <c r="P1919" i="6"/>
  <c r="P1920" i="6"/>
  <c r="P1922" i="6"/>
  <c r="P1923" i="6"/>
  <c r="P1924" i="6"/>
  <c r="P1926" i="6"/>
  <c r="P1927" i="6"/>
  <c r="P1928" i="6"/>
  <c r="P1930" i="6"/>
  <c r="P1931" i="6"/>
  <c r="P1932" i="6"/>
  <c r="P1934" i="6"/>
  <c r="P1935" i="6"/>
  <c r="P1936" i="6"/>
  <c r="P1938" i="6"/>
  <c r="P1939" i="6"/>
  <c r="P1940" i="6"/>
  <c r="P1942" i="6"/>
  <c r="P1943" i="6"/>
  <c r="P1944" i="6"/>
  <c r="P1946" i="6"/>
  <c r="P1947" i="6"/>
  <c r="P1948" i="6"/>
  <c r="P1950" i="6"/>
  <c r="P1951" i="6"/>
  <c r="P1952" i="6"/>
  <c r="P1954" i="6"/>
  <c r="P1955" i="6"/>
  <c r="P1956" i="6"/>
  <c r="P1958" i="6"/>
  <c r="P1959" i="6"/>
  <c r="P1960" i="6"/>
  <c r="P1962" i="6"/>
  <c r="P1963" i="6"/>
  <c r="P1964" i="6"/>
  <c r="P1966" i="6"/>
  <c r="P1967" i="6"/>
  <c r="P1968" i="6"/>
  <c r="P1970" i="6"/>
  <c r="P1971" i="6"/>
  <c r="P1972" i="6"/>
  <c r="P1974" i="6"/>
  <c r="P1975" i="6"/>
  <c r="P1976" i="6"/>
  <c r="P1978" i="6"/>
  <c r="P1979" i="6"/>
  <c r="P1980" i="6"/>
  <c r="P1982" i="6"/>
  <c r="P1983" i="6"/>
  <c r="P1984" i="6"/>
  <c r="P1986" i="6"/>
  <c r="P1987" i="6"/>
  <c r="P1988" i="6"/>
  <c r="P1990" i="6"/>
  <c r="P1991" i="6"/>
  <c r="P1992" i="6"/>
  <c r="P1994" i="6"/>
  <c r="P1995" i="6"/>
  <c r="P1996" i="6"/>
  <c r="P1998" i="6"/>
  <c r="P1999" i="6"/>
  <c r="P2000" i="6"/>
  <c r="P2002" i="6"/>
  <c r="P2003" i="6"/>
  <c r="P2004" i="6"/>
  <c r="P2005" i="6"/>
  <c r="P2006" i="6"/>
  <c r="P2007" i="6"/>
  <c r="P2008" i="6"/>
  <c r="BN93" i="6"/>
  <c r="BN92" i="6"/>
  <c r="BN91" i="6"/>
  <c r="BN90" i="6"/>
  <c r="BL93" i="6"/>
  <c r="BL92" i="6"/>
  <c r="BL91" i="6"/>
  <c r="BL90" i="6"/>
  <c r="BN85" i="6"/>
  <c r="BN86" i="6"/>
  <c r="BN87" i="6"/>
  <c r="BN88" i="6"/>
  <c r="BN89" i="6"/>
  <c r="BN69" i="6"/>
  <c r="BN70" i="6"/>
  <c r="BN71" i="6"/>
  <c r="BN72" i="6"/>
  <c r="BN73" i="6"/>
  <c r="BN74" i="6"/>
  <c r="BN75" i="6"/>
  <c r="BN76" i="6"/>
  <c r="BN77" i="6"/>
  <c r="BN78" i="6"/>
  <c r="BN79" i="6"/>
  <c r="BN80" i="6"/>
  <c r="BN81" i="6"/>
  <c r="BN82" i="6"/>
  <c r="BN83" i="6"/>
  <c r="BN84" i="6"/>
  <c r="BL10" i="6"/>
  <c r="BL11" i="6"/>
  <c r="BL12" i="6"/>
  <c r="BL13" i="6"/>
  <c r="BL14" i="6"/>
  <c r="BL15" i="6"/>
  <c r="BL16" i="6"/>
  <c r="BL17" i="6"/>
  <c r="BL18" i="6"/>
  <c r="BL19" i="6"/>
  <c r="BL20" i="6"/>
  <c r="BL21" i="6"/>
  <c r="BL22" i="6"/>
  <c r="BL23" i="6"/>
  <c r="BL24" i="6"/>
  <c r="BL25" i="6"/>
  <c r="BL26" i="6"/>
  <c r="BL27" i="6"/>
  <c r="BL28" i="6"/>
  <c r="BL29" i="6"/>
  <c r="BL30" i="6"/>
  <c r="BL31" i="6"/>
  <c r="BL32" i="6"/>
  <c r="BL33" i="6"/>
  <c r="BL34" i="6"/>
  <c r="BL35" i="6"/>
  <c r="BL36" i="6"/>
  <c r="BL37" i="6"/>
  <c r="BL38" i="6"/>
  <c r="BL39" i="6"/>
  <c r="BL40" i="6"/>
  <c r="BL41" i="6"/>
  <c r="BL42" i="6"/>
  <c r="BL43" i="6"/>
  <c r="BL44" i="6"/>
  <c r="BL45" i="6"/>
  <c r="BL46" i="6"/>
  <c r="BL47" i="6"/>
  <c r="BL48" i="6"/>
  <c r="BL49" i="6"/>
  <c r="BL50" i="6"/>
  <c r="BL51" i="6"/>
  <c r="BL52" i="6"/>
  <c r="BL53" i="6"/>
  <c r="BL54" i="6"/>
  <c r="BL55" i="6"/>
  <c r="BL56" i="6"/>
  <c r="BL57" i="6"/>
  <c r="BL58" i="6"/>
  <c r="BL59" i="6"/>
  <c r="BL60" i="6"/>
  <c r="BL61" i="6"/>
  <c r="BL62" i="6"/>
  <c r="BL63" i="6"/>
  <c r="BL64" i="6"/>
  <c r="BL65" i="6"/>
  <c r="BL66" i="6"/>
  <c r="BL67" i="6"/>
  <c r="BL68" i="6"/>
  <c r="BL69" i="6"/>
  <c r="BL70" i="6"/>
  <c r="BL71" i="6"/>
  <c r="BL72" i="6"/>
  <c r="BL73" i="6"/>
  <c r="BL74" i="6"/>
  <c r="BL75" i="6"/>
  <c r="BL76" i="6"/>
  <c r="BL77" i="6"/>
  <c r="BL78" i="6"/>
  <c r="BL79" i="6"/>
  <c r="BL80" i="6"/>
  <c r="BL81" i="6"/>
  <c r="BL82" i="6"/>
  <c r="BL83" i="6"/>
  <c r="BL84" i="6"/>
  <c r="BL85" i="6"/>
  <c r="BL86" i="6"/>
  <c r="BL87" i="6"/>
  <c r="BL88" i="6"/>
  <c r="BL89" i="6"/>
  <c r="BB14" i="6" l="1" a="1"/>
  <c r="BB14" i="6" s="1"/>
  <c r="BC14" i="6" s="1" a="1"/>
  <c r="BC14" i="6" s="1"/>
  <c r="BB13" i="6" a="1"/>
  <c r="BB13" i="6" s="1"/>
  <c r="BC13" i="6" s="1" a="1"/>
  <c r="BC13" i="6" s="1"/>
  <c r="BB12" i="6" a="1"/>
  <c r="BB12" i="6" s="1"/>
  <c r="BC12" i="6" s="1" a="1"/>
  <c r="BC12" i="6" s="1"/>
  <c r="AF397" i="6"/>
  <c r="AF2001" i="6"/>
  <c r="AF1979" i="6"/>
  <c r="AF1963" i="6"/>
  <c r="AF1942" i="6"/>
  <c r="AF1926" i="6"/>
  <c r="AF1899" i="6"/>
  <c r="AF1883" i="6"/>
  <c r="AF1867" i="6"/>
  <c r="AF1851" i="6"/>
  <c r="AF1830" i="6"/>
  <c r="AF1809" i="6"/>
  <c r="AF1793" i="6"/>
  <c r="AF1777" i="6"/>
  <c r="AF1750" i="6"/>
  <c r="AF1723" i="6"/>
  <c r="AF1707" i="6"/>
  <c r="AF1691" i="6"/>
  <c r="AF1675" i="6"/>
  <c r="AF1659" i="6"/>
  <c r="AF1633" i="6"/>
  <c r="AF1617" i="6"/>
  <c r="AF1601" i="6"/>
  <c r="AF1585" i="6"/>
  <c r="AF1569" i="6"/>
  <c r="AF1553" i="6"/>
  <c r="AF1537" i="6"/>
  <c r="AF1510" i="6"/>
  <c r="AF1494" i="6"/>
  <c r="AF1478" i="6"/>
  <c r="AF1451" i="6"/>
  <c r="AF1435" i="6"/>
  <c r="AF1419" i="6"/>
  <c r="AF1403" i="6"/>
  <c r="AF1382" i="6"/>
  <c r="AF1361" i="6"/>
  <c r="AF1339" i="6"/>
  <c r="AF1317" i="6"/>
  <c r="AF1295" i="6"/>
  <c r="AF1279" i="6"/>
  <c r="AF1253" i="6"/>
  <c r="AF1237" i="6"/>
  <c r="AF1210" i="6"/>
  <c r="AF1178" i="6"/>
  <c r="AF1151" i="6"/>
  <c r="AF1135" i="6"/>
  <c r="AF1114" i="6"/>
  <c r="AF1093" i="6"/>
  <c r="AF1077" i="6"/>
  <c r="AF1050" i="6"/>
  <c r="AF1034" i="6"/>
  <c r="AF1018" i="6"/>
  <c r="AF1002" i="6"/>
  <c r="AF986" i="6"/>
  <c r="AF962" i="6"/>
  <c r="AF938" i="6"/>
  <c r="AF914" i="6"/>
  <c r="AF890" i="6"/>
  <c r="AF866" i="6"/>
  <c r="AF834" i="6"/>
  <c r="AF802" i="6"/>
  <c r="AF778" i="6"/>
  <c r="AF746" i="6"/>
  <c r="AF714" i="6"/>
  <c r="AF674" i="6"/>
  <c r="AF653" i="6"/>
  <c r="AF629" i="6"/>
  <c r="AF606" i="6"/>
  <c r="AF582" i="6"/>
  <c r="AF543" i="6"/>
  <c r="AF521" i="6"/>
  <c r="AF497" i="6"/>
  <c r="AF458" i="6"/>
  <c r="AF434" i="6"/>
  <c r="AF413" i="6"/>
  <c r="AF381" i="6"/>
  <c r="AF1995" i="6"/>
  <c r="AF1985" i="6"/>
  <c r="AF1969" i="6"/>
  <c r="AF1953" i="6"/>
  <c r="AF1937" i="6"/>
  <c r="AF1921" i="6"/>
  <c r="AF1910" i="6"/>
  <c r="AF1889" i="6"/>
  <c r="AF1873" i="6"/>
  <c r="AF1857" i="6"/>
  <c r="AF1841" i="6"/>
  <c r="AF1825" i="6"/>
  <c r="AF1814" i="6"/>
  <c r="AF1798" i="6"/>
  <c r="AF1782" i="6"/>
  <c r="AF1766" i="6"/>
  <c r="AF1755" i="6"/>
  <c r="AF1739" i="6"/>
  <c r="AF1729" i="6"/>
  <c r="AF1713" i="6"/>
  <c r="AF1697" i="6"/>
  <c r="AF1681" i="6"/>
  <c r="AF1665" i="6"/>
  <c r="AF1649" i="6"/>
  <c r="AF1638" i="6"/>
  <c r="AF1622" i="6"/>
  <c r="AF1606" i="6"/>
  <c r="AF1590" i="6"/>
  <c r="AF1574" i="6"/>
  <c r="AF1563" i="6"/>
  <c r="AF1547" i="6"/>
  <c r="AF1531" i="6"/>
  <c r="AF1521" i="6"/>
  <c r="AF1505" i="6"/>
  <c r="AF1489" i="6"/>
  <c r="AF1473" i="6"/>
  <c r="AF1462" i="6"/>
  <c r="AF1441" i="6"/>
  <c r="AF1425" i="6"/>
  <c r="AF1414" i="6"/>
  <c r="AF1398" i="6"/>
  <c r="AF1387" i="6"/>
  <c r="AF1371" i="6"/>
  <c r="AF1355" i="6"/>
  <c r="AF1345" i="6"/>
  <c r="AF1327" i="6"/>
  <c r="AF1311" i="6"/>
  <c r="AF1301" i="6"/>
  <c r="AF1285" i="6"/>
  <c r="AF1269" i="6"/>
  <c r="AF1263" i="6"/>
  <c r="AF1247" i="6"/>
  <c r="AF1231" i="6"/>
  <c r="AF1221" i="6"/>
  <c r="AF1205" i="6"/>
  <c r="AF1194" i="6"/>
  <c r="AF1183" i="6"/>
  <c r="AF1167" i="6"/>
  <c r="AF1162" i="6"/>
  <c r="AF1141" i="6"/>
  <c r="AF1125" i="6"/>
  <c r="AF1109" i="6"/>
  <c r="AF1098" i="6"/>
  <c r="AF1082" i="6"/>
  <c r="AF1066" i="6"/>
  <c r="AF1055" i="6"/>
  <c r="AF1039" i="6"/>
  <c r="AF1023" i="6"/>
  <c r="AF1007" i="6"/>
  <c r="AF991" i="6"/>
  <c r="AF970" i="6"/>
  <c r="AF946" i="6"/>
  <c r="AF922" i="6"/>
  <c r="AF898" i="6"/>
  <c r="AF874" i="6"/>
  <c r="AF850" i="6"/>
  <c r="AF826" i="6"/>
  <c r="AF818" i="6"/>
  <c r="AF794" i="6"/>
  <c r="AF770" i="6"/>
  <c r="AF754" i="6"/>
  <c r="AF730" i="6"/>
  <c r="AF706" i="6"/>
  <c r="AF682" i="6"/>
  <c r="AF669" i="6"/>
  <c r="AF645" i="6"/>
  <c r="AF621" i="6"/>
  <c r="AF598" i="6"/>
  <c r="AF574" i="6"/>
  <c r="AF558" i="6"/>
  <c r="AF537" i="6"/>
  <c r="AF505" i="6"/>
  <c r="AF481" i="6"/>
  <c r="AF466" i="6"/>
  <c r="AF442" i="6"/>
  <c r="AF418" i="6"/>
  <c r="AF389" i="6"/>
  <c r="AF2006" i="6"/>
  <c r="AF1990" i="6"/>
  <c r="AF1974" i="6"/>
  <c r="AF1958" i="6"/>
  <c r="AF1947" i="6"/>
  <c r="AF1931" i="6"/>
  <c r="AF1915" i="6"/>
  <c r="AF1905" i="6"/>
  <c r="AF1894" i="6"/>
  <c r="AF1878" i="6"/>
  <c r="AF1862" i="6"/>
  <c r="AF1846" i="6"/>
  <c r="AF1835" i="6"/>
  <c r="AF1819" i="6"/>
  <c r="AF1803" i="6"/>
  <c r="AF1787" i="6"/>
  <c r="AF1771" i="6"/>
  <c r="AF1761" i="6"/>
  <c r="AF1745" i="6"/>
  <c r="AF1734" i="6"/>
  <c r="AF1718" i="6"/>
  <c r="AF1702" i="6"/>
  <c r="AF1686" i="6"/>
  <c r="AF1670" i="6"/>
  <c r="AF1654" i="6"/>
  <c r="AF1643" i="6"/>
  <c r="AF1627" i="6"/>
  <c r="AF1611" i="6"/>
  <c r="AF1595" i="6"/>
  <c r="AF1579" i="6"/>
  <c r="AF1558" i="6"/>
  <c r="AF1542" i="6"/>
  <c r="AF1526" i="6"/>
  <c r="AF1515" i="6"/>
  <c r="AF1499" i="6"/>
  <c r="AF1483" i="6"/>
  <c r="AF1467" i="6"/>
  <c r="AF1457" i="6"/>
  <c r="AF1446" i="6"/>
  <c r="AF1430" i="6"/>
  <c r="AF1409" i="6"/>
  <c r="AF1393" i="6"/>
  <c r="AF1377" i="6"/>
  <c r="AF1366" i="6"/>
  <c r="AF1350" i="6"/>
  <c r="AF1333" i="6"/>
  <c r="AF1322" i="6"/>
  <c r="AF1306" i="6"/>
  <c r="AF1290" i="6"/>
  <c r="AF1274" i="6"/>
  <c r="AF1258" i="6"/>
  <c r="AF1242" i="6"/>
  <c r="AF1226" i="6"/>
  <c r="AF1215" i="6"/>
  <c r="AF1199" i="6"/>
  <c r="AF1189" i="6"/>
  <c r="AF1173" i="6"/>
  <c r="AF1157" i="6"/>
  <c r="AF1146" i="6"/>
  <c r="AF1130" i="6"/>
  <c r="AF1119" i="6"/>
  <c r="AF1103" i="6"/>
  <c r="AF1087" i="6"/>
  <c r="AF1071" i="6"/>
  <c r="AF1061" i="6"/>
  <c r="AF1045" i="6"/>
  <c r="AF1029" i="6"/>
  <c r="AF1013" i="6"/>
  <c r="AF997" i="6"/>
  <c r="AF978" i="6"/>
  <c r="AF954" i="6"/>
  <c r="AF930" i="6"/>
  <c r="AF906" i="6"/>
  <c r="AF882" i="6"/>
  <c r="AF858" i="6"/>
  <c r="AF842" i="6"/>
  <c r="AF810" i="6"/>
  <c r="AF786" i="6"/>
  <c r="AF762" i="6"/>
  <c r="AF738" i="6"/>
  <c r="AF722" i="6"/>
  <c r="AF698" i="6"/>
  <c r="AF690" i="6"/>
  <c r="AF661" i="6"/>
  <c r="AF637" i="6"/>
  <c r="AF613" i="6"/>
  <c r="AF590" i="6"/>
  <c r="AF566" i="6"/>
  <c r="AF550" i="6"/>
  <c r="AF529" i="6"/>
  <c r="AF513" i="6"/>
  <c r="AF489" i="6"/>
  <c r="AF474" i="6"/>
  <c r="AF450" i="6"/>
  <c r="AF426" i="6"/>
  <c r="AF405" i="6"/>
  <c r="AF365" i="6"/>
  <c r="AF334" i="6"/>
  <c r="AF302" i="6"/>
  <c r="AF273" i="6"/>
  <c r="AF249" i="6"/>
  <c r="AF218" i="6"/>
  <c r="AF186" i="6"/>
  <c r="AF157" i="6"/>
  <c r="AF125" i="6"/>
  <c r="AF86" i="6"/>
  <c r="AF62" i="6"/>
  <c r="AF25" i="6"/>
  <c r="AF17" i="6"/>
  <c r="AF2007" i="6"/>
  <c r="AF2002" i="6"/>
  <c r="AF1997" i="6"/>
  <c r="AF1991" i="6"/>
  <c r="AF1986" i="6"/>
  <c r="AF1981" i="6"/>
  <c r="AF1975" i="6"/>
  <c r="AF1970" i="6"/>
  <c r="AF1965" i="6"/>
  <c r="AF1959" i="6"/>
  <c r="AF1954" i="6"/>
  <c r="AF1949" i="6"/>
  <c r="AF1943" i="6"/>
  <c r="AF1938" i="6"/>
  <c r="AF1933" i="6"/>
  <c r="AF1927" i="6"/>
  <c r="AF1922" i="6"/>
  <c r="AF1917" i="6"/>
  <c r="AF1911" i="6"/>
  <c r="AF1906" i="6"/>
  <c r="AF1901" i="6"/>
  <c r="AF1895" i="6"/>
  <c r="AF1890" i="6"/>
  <c r="AF1885" i="6"/>
  <c r="AF1879" i="6"/>
  <c r="AF1874" i="6"/>
  <c r="AF1869" i="6"/>
  <c r="AF1863" i="6"/>
  <c r="AF1858" i="6"/>
  <c r="AF1853" i="6"/>
  <c r="AF1847" i="6"/>
  <c r="AF1842" i="6"/>
  <c r="AF1837" i="6"/>
  <c r="AF1831" i="6"/>
  <c r="AF1826" i="6"/>
  <c r="AF1821" i="6"/>
  <c r="AF1815" i="6"/>
  <c r="AF1810" i="6"/>
  <c r="AF1805" i="6"/>
  <c r="AF1799" i="6"/>
  <c r="AF1794" i="6"/>
  <c r="AF1789" i="6"/>
  <c r="AF1783" i="6"/>
  <c r="AF1778" i="6"/>
  <c r="AF1773" i="6"/>
  <c r="AF1767" i="6"/>
  <c r="AF1762" i="6"/>
  <c r="AF1757" i="6"/>
  <c r="AF1751" i="6"/>
  <c r="AF1746" i="6"/>
  <c r="AF1741" i="6"/>
  <c r="AF1735" i="6"/>
  <c r="AF1730" i="6"/>
  <c r="AF1725" i="6"/>
  <c r="AF1719" i="6"/>
  <c r="AF1714" i="6"/>
  <c r="AF1709" i="6"/>
  <c r="AF1703" i="6"/>
  <c r="AF1698" i="6"/>
  <c r="AF1693" i="6"/>
  <c r="AF1687" i="6"/>
  <c r="AF1682" i="6"/>
  <c r="AF1677" i="6"/>
  <c r="AF1671" i="6"/>
  <c r="AF1666" i="6"/>
  <c r="AF1661" i="6"/>
  <c r="AF1655" i="6"/>
  <c r="AF1650" i="6"/>
  <c r="AF1645" i="6"/>
  <c r="AF1639" i="6"/>
  <c r="AF1634" i="6"/>
  <c r="AF1629" i="6"/>
  <c r="AF1623" i="6"/>
  <c r="AF1618" i="6"/>
  <c r="AF1613" i="6"/>
  <c r="AF1607" i="6"/>
  <c r="AF1602" i="6"/>
  <c r="AF1597" i="6"/>
  <c r="AF1591" i="6"/>
  <c r="AF1586" i="6"/>
  <c r="AF1581" i="6"/>
  <c r="AF1575" i="6"/>
  <c r="AF1570" i="6"/>
  <c r="AF1565" i="6"/>
  <c r="AF1559" i="6"/>
  <c r="AF1554" i="6"/>
  <c r="AF1549" i="6"/>
  <c r="AF1543" i="6"/>
  <c r="AF1538" i="6"/>
  <c r="AF1533" i="6"/>
  <c r="AF1527" i="6"/>
  <c r="AF1522" i="6"/>
  <c r="AF1517" i="6"/>
  <c r="AF1511" i="6"/>
  <c r="AF1506" i="6"/>
  <c r="AF1501" i="6"/>
  <c r="AF1495" i="6"/>
  <c r="AF1490" i="6"/>
  <c r="AF1485" i="6"/>
  <c r="AF1479" i="6"/>
  <c r="AF1474" i="6"/>
  <c r="AF1469" i="6"/>
  <c r="AF1463" i="6"/>
  <c r="AF1458" i="6"/>
  <c r="AF1453" i="6"/>
  <c r="AF1447" i="6"/>
  <c r="AF1442" i="6"/>
  <c r="AF1437" i="6"/>
  <c r="AF1431" i="6"/>
  <c r="AF1426" i="6"/>
  <c r="AF1421" i="6"/>
  <c r="AF1415" i="6"/>
  <c r="AF1410" i="6"/>
  <c r="AF1405" i="6"/>
  <c r="AF1399" i="6"/>
  <c r="AF1394" i="6"/>
  <c r="AF1389" i="6"/>
  <c r="AF1383" i="6"/>
  <c r="AF1378" i="6"/>
  <c r="AF1373" i="6"/>
  <c r="AF1367" i="6"/>
  <c r="AF1362" i="6"/>
  <c r="AF1357" i="6"/>
  <c r="AF1351" i="6"/>
  <c r="AF1346" i="6"/>
  <c r="AF1341" i="6"/>
  <c r="AF1334" i="6"/>
  <c r="AF1329" i="6"/>
  <c r="AF1323" i="6"/>
  <c r="AF1318" i="6"/>
  <c r="AF1313" i="6"/>
  <c r="AF1307" i="6"/>
  <c r="AF1302" i="6"/>
  <c r="AF1297" i="6"/>
  <c r="AF1291" i="6"/>
  <c r="AF1286" i="6"/>
  <c r="AF1281" i="6"/>
  <c r="AF1275" i="6"/>
  <c r="AF1270" i="6"/>
  <c r="AF1265" i="6"/>
  <c r="AF1259" i="6"/>
  <c r="AF1254" i="6"/>
  <c r="AF1249" i="6"/>
  <c r="AF1243" i="6"/>
  <c r="AF1238" i="6"/>
  <c r="AF1233" i="6"/>
  <c r="AF1227" i="6"/>
  <c r="AF1222" i="6"/>
  <c r="AF1217" i="6"/>
  <c r="AF1211" i="6"/>
  <c r="AF1206" i="6"/>
  <c r="AF1201" i="6"/>
  <c r="AF1195" i="6"/>
  <c r="AF1190" i="6"/>
  <c r="AF1185" i="6"/>
  <c r="AF1179" i="6"/>
  <c r="AF1174" i="6"/>
  <c r="AF1169" i="6"/>
  <c r="AF1163" i="6"/>
  <c r="AF1158" i="6"/>
  <c r="AF1153" i="6"/>
  <c r="AF1147" i="6"/>
  <c r="AF1142" i="6"/>
  <c r="AF1137" i="6"/>
  <c r="AF1131" i="6"/>
  <c r="AF1126" i="6"/>
  <c r="AF1121" i="6"/>
  <c r="AF1115" i="6"/>
  <c r="AF1110" i="6"/>
  <c r="AF1105" i="6"/>
  <c r="AF1099" i="6"/>
  <c r="AF1094" i="6"/>
  <c r="AF1089" i="6"/>
  <c r="AF1083" i="6"/>
  <c r="AF1078" i="6"/>
  <c r="AF1073" i="6"/>
  <c r="AF1067" i="6"/>
  <c r="AF1062" i="6"/>
  <c r="AF1057" i="6"/>
  <c r="AF1051" i="6"/>
  <c r="AF1046" i="6"/>
  <c r="AF1041" i="6"/>
  <c r="AF1035" i="6"/>
  <c r="AF1030" i="6"/>
  <c r="AF1025" i="6"/>
  <c r="AF1019" i="6"/>
  <c r="AF1014" i="6"/>
  <c r="AF1009" i="6"/>
  <c r="AF1003" i="6"/>
  <c r="AF998" i="6"/>
  <c r="AF993" i="6"/>
  <c r="AF987" i="6"/>
  <c r="AF981" i="6"/>
  <c r="AF973" i="6"/>
  <c r="AF965" i="6"/>
  <c r="AF957" i="6"/>
  <c r="AF949" i="6"/>
  <c r="AF941" i="6"/>
  <c r="AF933" i="6"/>
  <c r="AF925" i="6"/>
  <c r="AF917" i="6"/>
  <c r="AF909" i="6"/>
  <c r="AF901" i="6"/>
  <c r="AF893" i="6"/>
  <c r="AF885" i="6"/>
  <c r="AF877" i="6"/>
  <c r="AF869" i="6"/>
  <c r="AF861" i="6"/>
  <c r="AF853" i="6"/>
  <c r="AF845" i="6"/>
  <c r="AF837" i="6"/>
  <c r="AF829" i="6"/>
  <c r="AF821" i="6"/>
  <c r="AF813" i="6"/>
  <c r="AF805" i="6"/>
  <c r="AF797" i="6"/>
  <c r="AF789" i="6"/>
  <c r="AF781" i="6"/>
  <c r="AF773" i="6"/>
  <c r="AF765" i="6"/>
  <c r="AF757" i="6"/>
  <c r="AF749" i="6"/>
  <c r="AF741" i="6"/>
  <c r="AF733" i="6"/>
  <c r="AF725" i="6"/>
  <c r="AF717" i="6"/>
  <c r="AF709" i="6"/>
  <c r="AF701" i="6"/>
  <c r="AF693" i="6"/>
  <c r="AF685" i="6"/>
  <c r="AF677" i="6"/>
  <c r="AF670" i="6"/>
  <c r="AF662" i="6"/>
  <c r="AF654" i="6"/>
  <c r="AF646" i="6"/>
  <c r="AF638" i="6"/>
  <c r="AF630" i="6"/>
  <c r="AF622" i="6"/>
  <c r="AF614" i="6"/>
  <c r="AF607" i="6"/>
  <c r="AF601" i="6"/>
  <c r="AF593" i="6"/>
  <c r="AF585" i="6"/>
  <c r="AF577" i="6"/>
  <c r="AF569" i="6"/>
  <c r="AF561" i="6"/>
  <c r="AF553" i="6"/>
  <c r="AF545" i="6"/>
  <c r="AF538" i="6"/>
  <c r="AF530" i="6"/>
  <c r="AF522" i="6"/>
  <c r="AF514" i="6"/>
  <c r="AF506" i="6"/>
  <c r="AF498" i="6"/>
  <c r="AF490" i="6"/>
  <c r="AF482" i="6"/>
  <c r="AF477" i="6"/>
  <c r="AF469" i="6"/>
  <c r="AF461" i="6"/>
  <c r="AF453" i="6"/>
  <c r="AF445" i="6"/>
  <c r="AF437" i="6"/>
  <c r="AF429" i="6"/>
  <c r="AF421" i="6"/>
  <c r="AF414" i="6"/>
  <c r="AF406" i="6"/>
  <c r="AF398" i="6"/>
  <c r="AF390" i="6"/>
  <c r="AF382" i="6"/>
  <c r="AF374" i="6"/>
  <c r="AF366" i="6"/>
  <c r="AF358" i="6"/>
  <c r="AF351" i="6"/>
  <c r="AF345" i="6"/>
  <c r="AF337" i="6"/>
  <c r="AF329" i="6"/>
  <c r="AF321" i="6"/>
  <c r="AF313" i="6"/>
  <c r="AF305" i="6"/>
  <c r="AF297" i="6"/>
  <c r="AF289" i="6"/>
  <c r="AF282" i="6"/>
  <c r="AF274" i="6"/>
  <c r="AF266" i="6"/>
  <c r="AF258" i="6"/>
  <c r="AF250" i="6"/>
  <c r="AF242" i="6"/>
  <c r="AF234" i="6"/>
  <c r="AF226" i="6"/>
  <c r="AF221" i="6"/>
  <c r="AF213" i="6"/>
  <c r="AF205" i="6"/>
  <c r="AF197" i="6"/>
  <c r="AF189" i="6"/>
  <c r="AF181" i="6"/>
  <c r="AF173" i="6"/>
  <c r="AF165" i="6"/>
  <c r="AF158" i="6"/>
  <c r="AF150" i="6"/>
  <c r="AF142" i="6"/>
  <c r="AF134" i="6"/>
  <c r="AF126" i="6"/>
  <c r="AF118" i="6"/>
  <c r="AF110" i="6"/>
  <c r="AF102" i="6"/>
  <c r="AF95" i="6"/>
  <c r="AF89" i="6"/>
  <c r="AF81" i="6"/>
  <c r="AF73" i="6"/>
  <c r="AF65" i="6"/>
  <c r="AF57" i="6"/>
  <c r="AF49" i="6"/>
  <c r="AF41" i="6"/>
  <c r="AF33" i="6"/>
  <c r="AF26" i="6"/>
  <c r="AF18" i="6"/>
  <c r="AF350" i="6"/>
  <c r="AF310" i="6"/>
  <c r="AF281" i="6"/>
  <c r="AF241" i="6"/>
  <c r="AF202" i="6"/>
  <c r="AF162" i="6"/>
  <c r="AF141" i="6"/>
  <c r="AF109" i="6"/>
  <c r="AF78" i="6"/>
  <c r="AF46" i="6"/>
  <c r="AF2008" i="6"/>
  <c r="AF2004" i="6"/>
  <c r="AF2000" i="6"/>
  <c r="AF1996" i="6"/>
  <c r="AF1992" i="6"/>
  <c r="AF1988" i="6"/>
  <c r="AF1984" i="6"/>
  <c r="AF1980" i="6"/>
  <c r="AF1976" i="6"/>
  <c r="AF1972" i="6"/>
  <c r="AF1968" i="6"/>
  <c r="AF1964" i="6"/>
  <c r="AF1960" i="6"/>
  <c r="AF1956" i="6"/>
  <c r="AF1952" i="6"/>
  <c r="AF1948" i="6"/>
  <c r="AF1944" i="6"/>
  <c r="AF1940" i="6"/>
  <c r="AF1936" i="6"/>
  <c r="AF1932" i="6"/>
  <c r="AF1928" i="6"/>
  <c r="AF1924" i="6"/>
  <c r="AF1920" i="6"/>
  <c r="AF1916" i="6"/>
  <c r="AF1912" i="6"/>
  <c r="AF1908" i="6"/>
  <c r="AF1904" i="6"/>
  <c r="AF1900" i="6"/>
  <c r="AF1896" i="6"/>
  <c r="AF1892" i="6"/>
  <c r="AF1888" i="6"/>
  <c r="AF1884" i="6"/>
  <c r="AF1880" i="6"/>
  <c r="AF1876" i="6"/>
  <c r="AF1872" i="6"/>
  <c r="AF1868" i="6"/>
  <c r="AF1864" i="6"/>
  <c r="AF1860" i="6"/>
  <c r="AF1856" i="6"/>
  <c r="AF1852" i="6"/>
  <c r="AF1848" i="6"/>
  <c r="AF1844" i="6"/>
  <c r="AF1840" i="6"/>
  <c r="AF1836" i="6"/>
  <c r="AF1832" i="6"/>
  <c r="AF1828" i="6"/>
  <c r="AF1824" i="6"/>
  <c r="AF1820" i="6"/>
  <c r="AF1816" i="6"/>
  <c r="AF1812" i="6"/>
  <c r="AF1808" i="6"/>
  <c r="AF1804" i="6"/>
  <c r="AF1800" i="6"/>
  <c r="AF1796" i="6"/>
  <c r="AF1792" i="6"/>
  <c r="AF1788" i="6"/>
  <c r="AF1784" i="6"/>
  <c r="AF1780" i="6"/>
  <c r="AF1776" i="6"/>
  <c r="AF1772" i="6"/>
  <c r="AF1768" i="6"/>
  <c r="AF1764" i="6"/>
  <c r="AF1760" i="6"/>
  <c r="AF1756" i="6"/>
  <c r="AF1752" i="6"/>
  <c r="AF1748" i="6"/>
  <c r="AF1744" i="6"/>
  <c r="AF1740" i="6"/>
  <c r="AF1736" i="6"/>
  <c r="AF1732" i="6"/>
  <c r="AF1728" i="6"/>
  <c r="AF1724" i="6"/>
  <c r="AF1720" i="6"/>
  <c r="AF1716" i="6"/>
  <c r="AF1712" i="6"/>
  <c r="AF1708" i="6"/>
  <c r="AF1704" i="6"/>
  <c r="AF1700" i="6"/>
  <c r="AF1696" i="6"/>
  <c r="AF1692" i="6"/>
  <c r="AF1688" i="6"/>
  <c r="AF1684" i="6"/>
  <c r="AF1680" i="6"/>
  <c r="AF1676" i="6"/>
  <c r="AF1672" i="6"/>
  <c r="AF1668" i="6"/>
  <c r="AF1664" i="6"/>
  <c r="AF1660" i="6"/>
  <c r="AF1656" i="6"/>
  <c r="AF1652" i="6"/>
  <c r="AF1648" i="6"/>
  <c r="AF1644" i="6"/>
  <c r="AF1640" i="6"/>
  <c r="AF1636" i="6"/>
  <c r="AF1632" i="6"/>
  <c r="AF1628" i="6"/>
  <c r="AF1624" i="6"/>
  <c r="AF1620" i="6"/>
  <c r="AF1616" i="6"/>
  <c r="AF1612" i="6"/>
  <c r="AF1608" i="6"/>
  <c r="AF1604" i="6"/>
  <c r="AF1600" i="6"/>
  <c r="AF1596" i="6"/>
  <c r="AF1592" i="6"/>
  <c r="AF1588" i="6"/>
  <c r="AF1584" i="6"/>
  <c r="AF1580" i="6"/>
  <c r="AF1576" i="6"/>
  <c r="AF1572" i="6"/>
  <c r="AF1568" i="6"/>
  <c r="AF1564" i="6"/>
  <c r="AF1560" i="6"/>
  <c r="AF1556" i="6"/>
  <c r="AF1552" i="6"/>
  <c r="AF1548" i="6"/>
  <c r="AF1544" i="6"/>
  <c r="AF1540" i="6"/>
  <c r="AF1536" i="6"/>
  <c r="AF1532" i="6"/>
  <c r="AF1528" i="6"/>
  <c r="AF1524" i="6"/>
  <c r="AF1520" i="6"/>
  <c r="AF1516" i="6"/>
  <c r="AF1512" i="6"/>
  <c r="AF1508" i="6"/>
  <c r="AF1504" i="6"/>
  <c r="AF1500" i="6"/>
  <c r="AF1496" i="6"/>
  <c r="AF1492" i="6"/>
  <c r="AF1488" i="6"/>
  <c r="AF1484" i="6"/>
  <c r="AF1480" i="6"/>
  <c r="AF1476" i="6"/>
  <c r="AF1472" i="6"/>
  <c r="AF1468" i="6"/>
  <c r="AF1464" i="6"/>
  <c r="AF1460" i="6"/>
  <c r="AF1456" i="6"/>
  <c r="AF1452" i="6"/>
  <c r="AF1448" i="6"/>
  <c r="AF1444" i="6"/>
  <c r="AF1440" i="6"/>
  <c r="AF1436" i="6"/>
  <c r="AF1432" i="6"/>
  <c r="AF1428" i="6"/>
  <c r="AF1424" i="6"/>
  <c r="AF1420" i="6"/>
  <c r="AF1416" i="6"/>
  <c r="AF1412" i="6"/>
  <c r="AF1408" i="6"/>
  <c r="AF1404" i="6"/>
  <c r="AF1400" i="6"/>
  <c r="AF1396" i="6"/>
  <c r="AF1392" i="6"/>
  <c r="AF1388" i="6"/>
  <c r="AF1384" i="6"/>
  <c r="AF1380" i="6"/>
  <c r="AF1376" i="6"/>
  <c r="AF1372" i="6"/>
  <c r="AF1368" i="6"/>
  <c r="AF1364" i="6"/>
  <c r="AF1360" i="6"/>
  <c r="AF1356" i="6"/>
  <c r="AF1352" i="6"/>
  <c r="AF1348" i="6"/>
  <c r="AF1344" i="6"/>
  <c r="AF1340" i="6"/>
  <c r="AF1336" i="6"/>
  <c r="AF1332" i="6"/>
  <c r="AF1328" i="6"/>
  <c r="AF1324" i="6"/>
  <c r="AF1320" i="6"/>
  <c r="AF1316" i="6"/>
  <c r="AF1312" i="6"/>
  <c r="AF1308" i="6"/>
  <c r="AF1304" i="6"/>
  <c r="AF1300" i="6"/>
  <c r="AF1296" i="6"/>
  <c r="AF1292" i="6"/>
  <c r="AF1288" i="6"/>
  <c r="AF1284" i="6"/>
  <c r="AF1280" i="6"/>
  <c r="AF1276" i="6"/>
  <c r="AF1272" i="6"/>
  <c r="AF1268" i="6"/>
  <c r="AF1264" i="6"/>
  <c r="AF1260" i="6"/>
  <c r="AF1256" i="6"/>
  <c r="AF1252" i="6"/>
  <c r="AF1248" i="6"/>
  <c r="AF1244" i="6"/>
  <c r="AF1240" i="6"/>
  <c r="AF1236" i="6"/>
  <c r="AF1232" i="6"/>
  <c r="AF1228" i="6"/>
  <c r="AF1224" i="6"/>
  <c r="AF1220" i="6"/>
  <c r="AF1216" i="6"/>
  <c r="AF1212" i="6"/>
  <c r="AF1208" i="6"/>
  <c r="AF1204" i="6"/>
  <c r="AF1200" i="6"/>
  <c r="AF1196" i="6"/>
  <c r="AF1192" i="6"/>
  <c r="AF1188" i="6"/>
  <c r="AF1184" i="6"/>
  <c r="AF1180" i="6"/>
  <c r="AF1176" i="6"/>
  <c r="AF1172" i="6"/>
  <c r="AF1168" i="6"/>
  <c r="AF1164" i="6"/>
  <c r="AF1160" i="6"/>
  <c r="AF1156" i="6"/>
  <c r="AF1152" i="6"/>
  <c r="AF1148" i="6"/>
  <c r="AF1144" i="6"/>
  <c r="AF1140" i="6"/>
  <c r="AF1136" i="6"/>
  <c r="AF1132" i="6"/>
  <c r="AF1128" i="6"/>
  <c r="AF1124" i="6"/>
  <c r="AF1120" i="6"/>
  <c r="AF1116" i="6"/>
  <c r="AF1112" i="6"/>
  <c r="AF1108" i="6"/>
  <c r="AF1104" i="6"/>
  <c r="AF1100" i="6"/>
  <c r="AF1096" i="6"/>
  <c r="AF1092" i="6"/>
  <c r="AF1088" i="6"/>
  <c r="AF1084" i="6"/>
  <c r="AF1080" i="6"/>
  <c r="AF1076" i="6"/>
  <c r="AF1072" i="6"/>
  <c r="AF1068" i="6"/>
  <c r="AF1064" i="6"/>
  <c r="AF1060" i="6"/>
  <c r="AF1056" i="6"/>
  <c r="AF1052" i="6"/>
  <c r="AF1048" i="6"/>
  <c r="AF1044" i="6"/>
  <c r="AF1040" i="6"/>
  <c r="AF1036" i="6"/>
  <c r="AF1032" i="6"/>
  <c r="AF1028" i="6"/>
  <c r="AF1024" i="6"/>
  <c r="AF1020" i="6"/>
  <c r="AF1016" i="6"/>
  <c r="AF1012" i="6"/>
  <c r="AF1008" i="6"/>
  <c r="AF1004" i="6"/>
  <c r="AF1000" i="6"/>
  <c r="AF996" i="6"/>
  <c r="AF992" i="6"/>
  <c r="AF988" i="6"/>
  <c r="AF984" i="6"/>
  <c r="AF980" i="6"/>
  <c r="AF976" i="6"/>
  <c r="AF972" i="6"/>
  <c r="AF968" i="6"/>
  <c r="AF964" i="6"/>
  <c r="AF960" i="6"/>
  <c r="AF956" i="6"/>
  <c r="AF952" i="6"/>
  <c r="AF948" i="6"/>
  <c r="AF944" i="6"/>
  <c r="AF940" i="6"/>
  <c r="AF936" i="6"/>
  <c r="AF932" i="6"/>
  <c r="AF928" i="6"/>
  <c r="AF924" i="6"/>
  <c r="AF920" i="6"/>
  <c r="AF916" i="6"/>
  <c r="AF912" i="6"/>
  <c r="AF908" i="6"/>
  <c r="AF904" i="6"/>
  <c r="AF900" i="6"/>
  <c r="AF896" i="6"/>
  <c r="AF892" i="6"/>
  <c r="AF888" i="6"/>
  <c r="AF884" i="6"/>
  <c r="AF880" i="6"/>
  <c r="AF876" i="6"/>
  <c r="AF872" i="6"/>
  <c r="AF868" i="6"/>
  <c r="AF864" i="6"/>
  <c r="AF860" i="6"/>
  <c r="AF856" i="6"/>
  <c r="AF852" i="6"/>
  <c r="AF848" i="6"/>
  <c r="AF844" i="6"/>
  <c r="AF840" i="6"/>
  <c r="AF836" i="6"/>
  <c r="AF832" i="6"/>
  <c r="AF828" i="6"/>
  <c r="AF824" i="6"/>
  <c r="AF820" i="6"/>
  <c r="AF816" i="6"/>
  <c r="AF812" i="6"/>
  <c r="AF808" i="6"/>
  <c r="AF804" i="6"/>
  <c r="AF800" i="6"/>
  <c r="AF796" i="6"/>
  <c r="AF792" i="6"/>
  <c r="AF788" i="6"/>
  <c r="AF784" i="6"/>
  <c r="AF780" i="6"/>
  <c r="AF776" i="6"/>
  <c r="AF772" i="6"/>
  <c r="AF768" i="6"/>
  <c r="AF764" i="6"/>
  <c r="AF760" i="6"/>
  <c r="AF756" i="6"/>
  <c r="AF752" i="6"/>
  <c r="AF748" i="6"/>
  <c r="AF744" i="6"/>
  <c r="AF740" i="6"/>
  <c r="AF736" i="6"/>
  <c r="AF732" i="6"/>
  <c r="AF728" i="6"/>
  <c r="AF724" i="6"/>
  <c r="AF720" i="6"/>
  <c r="AF716" i="6"/>
  <c r="AF712" i="6"/>
  <c r="AF708" i="6"/>
  <c r="AF704" i="6"/>
  <c r="AF700" i="6"/>
  <c r="AF696" i="6"/>
  <c r="AF692" i="6"/>
  <c r="AF688" i="6"/>
  <c r="AF684" i="6"/>
  <c r="AF680" i="6"/>
  <c r="AF676" i="6"/>
  <c r="AF672" i="6"/>
  <c r="AF668" i="6"/>
  <c r="AF664" i="6"/>
  <c r="AF660" i="6"/>
  <c r="AF656" i="6"/>
  <c r="AF652" i="6"/>
  <c r="AF648" i="6"/>
  <c r="AF644" i="6"/>
  <c r="AF640" i="6"/>
  <c r="AF636" i="6"/>
  <c r="AF632" i="6"/>
  <c r="AF628" i="6"/>
  <c r="AF624" i="6"/>
  <c r="AF620" i="6"/>
  <c r="AF616" i="6"/>
  <c r="AF612" i="6"/>
  <c r="AF608" i="6"/>
  <c r="AF604" i="6"/>
  <c r="AF600" i="6"/>
  <c r="AF596" i="6"/>
  <c r="AF592" i="6"/>
  <c r="AF588" i="6"/>
  <c r="AF584" i="6"/>
  <c r="AF580" i="6"/>
  <c r="AF576" i="6"/>
  <c r="AF572" i="6"/>
  <c r="AF568" i="6"/>
  <c r="AF564" i="6"/>
  <c r="AF560" i="6"/>
  <c r="AF556" i="6"/>
  <c r="AF552" i="6"/>
  <c r="AF548" i="6"/>
  <c r="AF544" i="6"/>
  <c r="AF540" i="6"/>
  <c r="AF536" i="6"/>
  <c r="AF532" i="6"/>
  <c r="AF528" i="6"/>
  <c r="AF524" i="6"/>
  <c r="AF520" i="6"/>
  <c r="AF516" i="6"/>
  <c r="AF512" i="6"/>
  <c r="AF508" i="6"/>
  <c r="AF504" i="6"/>
  <c r="AF500" i="6"/>
  <c r="AF496" i="6"/>
  <c r="AF492" i="6"/>
  <c r="AF488" i="6"/>
  <c r="AF484" i="6"/>
  <c r="AF480" i="6"/>
  <c r="AF476" i="6"/>
  <c r="AF472" i="6"/>
  <c r="AF468" i="6"/>
  <c r="AF464" i="6"/>
  <c r="AF460" i="6"/>
  <c r="AF456" i="6"/>
  <c r="AF452" i="6"/>
  <c r="AF448" i="6"/>
  <c r="AF444" i="6"/>
  <c r="AF440" i="6"/>
  <c r="AF436" i="6"/>
  <c r="AF432" i="6"/>
  <c r="AF428" i="6"/>
  <c r="AF424" i="6"/>
  <c r="AF420" i="6"/>
  <c r="AF416" i="6"/>
  <c r="AF412" i="6"/>
  <c r="AF408" i="6"/>
  <c r="AF404" i="6"/>
  <c r="AF400" i="6"/>
  <c r="AF396" i="6"/>
  <c r="AF392" i="6"/>
  <c r="AF388" i="6"/>
  <c r="AF384" i="6"/>
  <c r="AF380" i="6"/>
  <c r="AF376" i="6"/>
  <c r="AF372" i="6"/>
  <c r="AF368" i="6"/>
  <c r="AF364" i="6"/>
  <c r="AF360" i="6"/>
  <c r="AF356" i="6"/>
  <c r="AF352" i="6"/>
  <c r="AF348" i="6"/>
  <c r="AF344" i="6"/>
  <c r="AF340" i="6"/>
  <c r="AF336" i="6"/>
  <c r="AF332" i="6"/>
  <c r="AF328" i="6"/>
  <c r="AF324" i="6"/>
  <c r="AF320" i="6"/>
  <c r="AF316" i="6"/>
  <c r="AF312" i="6"/>
  <c r="AF308" i="6"/>
  <c r="AF304" i="6"/>
  <c r="AF300" i="6"/>
  <c r="AF296" i="6"/>
  <c r="AF292" i="6"/>
  <c r="AF288" i="6"/>
  <c r="AF284" i="6"/>
  <c r="AF280" i="6"/>
  <c r="AF276" i="6"/>
  <c r="AF272" i="6"/>
  <c r="AF268" i="6"/>
  <c r="AF264" i="6"/>
  <c r="AF260" i="6"/>
  <c r="AF256" i="6"/>
  <c r="AF252" i="6"/>
  <c r="AF248" i="6"/>
  <c r="AF244" i="6"/>
  <c r="AF240" i="6"/>
  <c r="AF236" i="6"/>
  <c r="AF232" i="6"/>
  <c r="AF228" i="6"/>
  <c r="AF224" i="6"/>
  <c r="AF220" i="6"/>
  <c r="AF216" i="6"/>
  <c r="AF212" i="6"/>
  <c r="AF208" i="6"/>
  <c r="AF204" i="6"/>
  <c r="AF200" i="6"/>
  <c r="AF196" i="6"/>
  <c r="AF192" i="6"/>
  <c r="AF188" i="6"/>
  <c r="AF184" i="6"/>
  <c r="AF180" i="6"/>
  <c r="AF176" i="6"/>
  <c r="AF172" i="6"/>
  <c r="AF168" i="6"/>
  <c r="AF164" i="6"/>
  <c r="AF160" i="6"/>
  <c r="AF156" i="6"/>
  <c r="AF152" i="6"/>
  <c r="AF148" i="6"/>
  <c r="AF144" i="6"/>
  <c r="AF140" i="6"/>
  <c r="AF136" i="6"/>
  <c r="AF132" i="6"/>
  <c r="AF128" i="6"/>
  <c r="AF124" i="6"/>
  <c r="AF120" i="6"/>
  <c r="AF116" i="6"/>
  <c r="AF112" i="6"/>
  <c r="AF108" i="6"/>
  <c r="AF104" i="6"/>
  <c r="AF100" i="6"/>
  <c r="AF96" i="6"/>
  <c r="AF92" i="6"/>
  <c r="AF88" i="6"/>
  <c r="AF84" i="6"/>
  <c r="AF80" i="6"/>
  <c r="AF76" i="6"/>
  <c r="AF72" i="6"/>
  <c r="AF68" i="6"/>
  <c r="AF64" i="6"/>
  <c r="AF60" i="6"/>
  <c r="AF56" i="6"/>
  <c r="AF52" i="6"/>
  <c r="AF48" i="6"/>
  <c r="AF44" i="6"/>
  <c r="AF40" i="6"/>
  <c r="AF36" i="6"/>
  <c r="AF32" i="6"/>
  <c r="AF28" i="6"/>
  <c r="AF24" i="6"/>
  <c r="AF20" i="6"/>
  <c r="AF16" i="6"/>
  <c r="AF12" i="6"/>
  <c r="AF357" i="6"/>
  <c r="AF326" i="6"/>
  <c r="AF294" i="6"/>
  <c r="AF265" i="6"/>
  <c r="AF233" i="6"/>
  <c r="AF210" i="6"/>
  <c r="AF178" i="6"/>
  <c r="AF149" i="6"/>
  <c r="AF117" i="6"/>
  <c r="AF94" i="6"/>
  <c r="AF54" i="6"/>
  <c r="AF31" i="6"/>
  <c r="AF8" i="6"/>
  <c r="BB8" i="6" a="1"/>
  <c r="BB8" i="6" s="1"/>
  <c r="AF2005" i="6"/>
  <c r="AF1999" i="6"/>
  <c r="AF1994" i="6"/>
  <c r="AF1989" i="6"/>
  <c r="AF1983" i="6"/>
  <c r="AF1978" i="6"/>
  <c r="AF1973" i="6"/>
  <c r="AF1967" i="6"/>
  <c r="AF1962" i="6"/>
  <c r="AF1957" i="6"/>
  <c r="AF1951" i="6"/>
  <c r="AF1946" i="6"/>
  <c r="AF1941" i="6"/>
  <c r="AF1935" i="6"/>
  <c r="AF1930" i="6"/>
  <c r="AF1925" i="6"/>
  <c r="AF1919" i="6"/>
  <c r="AF1914" i="6"/>
  <c r="AF1909" i="6"/>
  <c r="AF1903" i="6"/>
  <c r="AF1898" i="6"/>
  <c r="AF1893" i="6"/>
  <c r="AF1887" i="6"/>
  <c r="AF1882" i="6"/>
  <c r="AF1877" i="6"/>
  <c r="AF1871" i="6"/>
  <c r="AF1866" i="6"/>
  <c r="AF1861" i="6"/>
  <c r="AF1855" i="6"/>
  <c r="AF1850" i="6"/>
  <c r="AF1845" i="6"/>
  <c r="AF1839" i="6"/>
  <c r="AF1834" i="6"/>
  <c r="AF1829" i="6"/>
  <c r="AF1823" i="6"/>
  <c r="AF1818" i="6"/>
  <c r="AF1813" i="6"/>
  <c r="AF1807" i="6"/>
  <c r="AF1802" i="6"/>
  <c r="AF1797" i="6"/>
  <c r="AF1791" i="6"/>
  <c r="AF1786" i="6"/>
  <c r="AF1781" i="6"/>
  <c r="AF1775" i="6"/>
  <c r="AF1770" i="6"/>
  <c r="AF1765" i="6"/>
  <c r="AF1759" i="6"/>
  <c r="AF1754" i="6"/>
  <c r="AF1749" i="6"/>
  <c r="AF1743" i="6"/>
  <c r="AF1738" i="6"/>
  <c r="AF1733" i="6"/>
  <c r="AF1727" i="6"/>
  <c r="AF1722" i="6"/>
  <c r="AF1717" i="6"/>
  <c r="AF1711" i="6"/>
  <c r="AF1706" i="6"/>
  <c r="AF1701" i="6"/>
  <c r="AF1695" i="6"/>
  <c r="AF1690" i="6"/>
  <c r="AF1685" i="6"/>
  <c r="AF1679" i="6"/>
  <c r="AF1674" i="6"/>
  <c r="AF1669" i="6"/>
  <c r="AF1663" i="6"/>
  <c r="AF1658" i="6"/>
  <c r="AF1653" i="6"/>
  <c r="AF1647" i="6"/>
  <c r="AF1642" i="6"/>
  <c r="AF1637" i="6"/>
  <c r="AF1631" i="6"/>
  <c r="AF1626" i="6"/>
  <c r="AF1621" i="6"/>
  <c r="AF1615" i="6"/>
  <c r="AF1610" i="6"/>
  <c r="AF1605" i="6"/>
  <c r="AF1599" i="6"/>
  <c r="AF1594" i="6"/>
  <c r="AF1589" i="6"/>
  <c r="AF1583" i="6"/>
  <c r="AF1578" i="6"/>
  <c r="AF1573" i="6"/>
  <c r="AF1567" i="6"/>
  <c r="AF1562" i="6"/>
  <c r="AF1557" i="6"/>
  <c r="AF1551" i="6"/>
  <c r="AF1546" i="6"/>
  <c r="AF1541" i="6"/>
  <c r="AF1535" i="6"/>
  <c r="AF1530" i="6"/>
  <c r="AF1525" i="6"/>
  <c r="AF1519" i="6"/>
  <c r="AF1514" i="6"/>
  <c r="AF1509" i="6"/>
  <c r="AF1503" i="6"/>
  <c r="AF1498" i="6"/>
  <c r="AF1493" i="6"/>
  <c r="AF1487" i="6"/>
  <c r="AF1482" i="6"/>
  <c r="AF1477" i="6"/>
  <c r="AF1471" i="6"/>
  <c r="AF1466" i="6"/>
  <c r="AF1461" i="6"/>
  <c r="AF1455" i="6"/>
  <c r="AF1450" i="6"/>
  <c r="AF1445" i="6"/>
  <c r="AF1439" i="6"/>
  <c r="AF1434" i="6"/>
  <c r="AF1429" i="6"/>
  <c r="AF1423" i="6"/>
  <c r="AF1418" i="6"/>
  <c r="AF1413" i="6"/>
  <c r="AF1407" i="6"/>
  <c r="AF1402" i="6"/>
  <c r="AF1397" i="6"/>
  <c r="AF1391" i="6"/>
  <c r="AF1386" i="6"/>
  <c r="AF1381" i="6"/>
  <c r="AF1375" i="6"/>
  <c r="AF1370" i="6"/>
  <c r="AF1365" i="6"/>
  <c r="AF1359" i="6"/>
  <c r="AF1354" i="6"/>
  <c r="AF1349" i="6"/>
  <c r="AF1343" i="6"/>
  <c r="AF1338" i="6"/>
  <c r="AF1331" i="6"/>
  <c r="AF1326" i="6"/>
  <c r="AF1321" i="6"/>
  <c r="AF1315" i="6"/>
  <c r="AF1310" i="6"/>
  <c r="AF1305" i="6"/>
  <c r="AF1299" i="6"/>
  <c r="AF1294" i="6"/>
  <c r="AF1289" i="6"/>
  <c r="AF1283" i="6"/>
  <c r="AF1278" i="6"/>
  <c r="AF1273" i="6"/>
  <c r="AF1267" i="6"/>
  <c r="AF1262" i="6"/>
  <c r="AF1257" i="6"/>
  <c r="AF1251" i="6"/>
  <c r="AF1246" i="6"/>
  <c r="AF1241" i="6"/>
  <c r="AF1235" i="6"/>
  <c r="AF1230" i="6"/>
  <c r="AF1225" i="6"/>
  <c r="AF1219" i="6"/>
  <c r="AF1214" i="6"/>
  <c r="AF1209" i="6"/>
  <c r="AF1203" i="6"/>
  <c r="AF1198" i="6"/>
  <c r="AF1193" i="6"/>
  <c r="AF1187" i="6"/>
  <c r="AF1182" i="6"/>
  <c r="AF1177" i="6"/>
  <c r="AF1171" i="6"/>
  <c r="AF1166" i="6"/>
  <c r="AF1161" i="6"/>
  <c r="AF1155" i="6"/>
  <c r="AF1150" i="6"/>
  <c r="AF1145" i="6"/>
  <c r="AF1139" i="6"/>
  <c r="AF1134" i="6"/>
  <c r="AF1129" i="6"/>
  <c r="AF1123" i="6"/>
  <c r="AF1118" i="6"/>
  <c r="AF1113" i="6"/>
  <c r="AF1107" i="6"/>
  <c r="AF1102" i="6"/>
  <c r="AF1097" i="6"/>
  <c r="AF1091" i="6"/>
  <c r="AF1086" i="6"/>
  <c r="AF1081" i="6"/>
  <c r="AF1075" i="6"/>
  <c r="AF1070" i="6"/>
  <c r="AF1065" i="6"/>
  <c r="AF1059" i="6"/>
  <c r="AF1054" i="6"/>
  <c r="AF1049" i="6"/>
  <c r="AF1043" i="6"/>
  <c r="AF1038" i="6"/>
  <c r="AF1033" i="6"/>
  <c r="AF1027" i="6"/>
  <c r="AF1022" i="6"/>
  <c r="AF1017" i="6"/>
  <c r="AF1011" i="6"/>
  <c r="AF1006" i="6"/>
  <c r="AF1001" i="6"/>
  <c r="AF995" i="6"/>
  <c r="AF990" i="6"/>
  <c r="AF985" i="6"/>
  <c r="AF977" i="6"/>
  <c r="AF969" i="6"/>
  <c r="AF961" i="6"/>
  <c r="AF953" i="6"/>
  <c r="AF945" i="6"/>
  <c r="AF937" i="6"/>
  <c r="AF929" i="6"/>
  <c r="AF921" i="6"/>
  <c r="AF913" i="6"/>
  <c r="AF905" i="6"/>
  <c r="AF897" i="6"/>
  <c r="AF889" i="6"/>
  <c r="AF881" i="6"/>
  <c r="AF873" i="6"/>
  <c r="AF865" i="6"/>
  <c r="AF857" i="6"/>
  <c r="AF849" i="6"/>
  <c r="AF841" i="6"/>
  <c r="AF833" i="6"/>
  <c r="AF825" i="6"/>
  <c r="AF817" i="6"/>
  <c r="AF809" i="6"/>
  <c r="AF801" i="6"/>
  <c r="AF793" i="6"/>
  <c r="AF785" i="6"/>
  <c r="AF777" i="6"/>
  <c r="AF769" i="6"/>
  <c r="AF761" i="6"/>
  <c r="AF753" i="6"/>
  <c r="AF745" i="6"/>
  <c r="AF737" i="6"/>
  <c r="AF729" i="6"/>
  <c r="AF721" i="6"/>
  <c r="AF713" i="6"/>
  <c r="AF705" i="6"/>
  <c r="AF697" i="6"/>
  <c r="AF689" i="6"/>
  <c r="AF681" i="6"/>
  <c r="AF673" i="6"/>
  <c r="AF666" i="6"/>
  <c r="AF658" i="6"/>
  <c r="AF650" i="6"/>
  <c r="AF642" i="6"/>
  <c r="AF634" i="6"/>
  <c r="AF626" i="6"/>
  <c r="AF618" i="6"/>
  <c r="AF610" i="6"/>
  <c r="AF605" i="6"/>
  <c r="AF597" i="6"/>
  <c r="AF589" i="6"/>
  <c r="AF581" i="6"/>
  <c r="AF573" i="6"/>
  <c r="AF565" i="6"/>
  <c r="AF557" i="6"/>
  <c r="AF549" i="6"/>
  <c r="AF542" i="6"/>
  <c r="AF534" i="6"/>
  <c r="AF526" i="6"/>
  <c r="AF518" i="6"/>
  <c r="AF510" i="6"/>
  <c r="AF502" i="6"/>
  <c r="AF494" i="6"/>
  <c r="AF486" i="6"/>
  <c r="AF479" i="6"/>
  <c r="AF473" i="6"/>
  <c r="AF465" i="6"/>
  <c r="AF457" i="6"/>
  <c r="AF449" i="6"/>
  <c r="AF441" i="6"/>
  <c r="AF433" i="6"/>
  <c r="AF425" i="6"/>
  <c r="AF417" i="6"/>
  <c r="AF410" i="6"/>
  <c r="AF402" i="6"/>
  <c r="AF394" i="6"/>
  <c r="AF386" i="6"/>
  <c r="AF378" i="6"/>
  <c r="AF370" i="6"/>
  <c r="AF362" i="6"/>
  <c r="AF354" i="6"/>
  <c r="AF349" i="6"/>
  <c r="AF341" i="6"/>
  <c r="AF333" i="6"/>
  <c r="AF325" i="6"/>
  <c r="AF317" i="6"/>
  <c r="AF309" i="6"/>
  <c r="AF301" i="6"/>
  <c r="AF293" i="6"/>
  <c r="AF286" i="6"/>
  <c r="AF278" i="6"/>
  <c r="AF270" i="6"/>
  <c r="AF262" i="6"/>
  <c r="AF254" i="6"/>
  <c r="AF246" i="6"/>
  <c r="AF238" i="6"/>
  <c r="AF230" i="6"/>
  <c r="AF223" i="6"/>
  <c r="AF217" i="6"/>
  <c r="AF209" i="6"/>
  <c r="AF201" i="6"/>
  <c r="AF193" i="6"/>
  <c r="AF185" i="6"/>
  <c r="AF177" i="6"/>
  <c r="AF169" i="6"/>
  <c r="AF161" i="6"/>
  <c r="AF154" i="6"/>
  <c r="AF146" i="6"/>
  <c r="AF138" i="6"/>
  <c r="AF130" i="6"/>
  <c r="AF122" i="6"/>
  <c r="AF114" i="6"/>
  <c r="AF106" i="6"/>
  <c r="AF98" i="6"/>
  <c r="AF93" i="6"/>
  <c r="AF85" i="6"/>
  <c r="AF77" i="6"/>
  <c r="AF69" i="6"/>
  <c r="AF61" i="6"/>
  <c r="AF53" i="6"/>
  <c r="AF45" i="6"/>
  <c r="AF37" i="6"/>
  <c r="AF30" i="6"/>
  <c r="AF22" i="6"/>
  <c r="AF14" i="6"/>
  <c r="AF1335" i="6"/>
  <c r="AF983" i="6"/>
  <c r="AF979" i="6"/>
  <c r="AF975" i="6"/>
  <c r="AF971" i="6"/>
  <c r="AF967" i="6"/>
  <c r="AF963" i="6"/>
  <c r="AF959" i="6"/>
  <c r="AF955" i="6"/>
  <c r="AF951" i="6"/>
  <c r="AF947" i="6"/>
  <c r="AF943" i="6"/>
  <c r="AF939" i="6"/>
  <c r="AF935" i="6"/>
  <c r="AF931" i="6"/>
  <c r="AF927" i="6"/>
  <c r="AF923" i="6"/>
  <c r="AF919" i="6"/>
  <c r="AF915" i="6"/>
  <c r="AF911" i="6"/>
  <c r="AF907" i="6"/>
  <c r="AF903" i="6"/>
  <c r="AF899" i="6"/>
  <c r="AF895" i="6"/>
  <c r="AF891" i="6"/>
  <c r="AF887" i="6"/>
  <c r="AF883" i="6"/>
  <c r="AF879" i="6"/>
  <c r="AF875" i="6"/>
  <c r="AF871" i="6"/>
  <c r="AF867" i="6"/>
  <c r="AF863" i="6"/>
  <c r="AF859" i="6"/>
  <c r="AF855" i="6"/>
  <c r="AF851" i="6"/>
  <c r="AF847" i="6"/>
  <c r="AF843" i="6"/>
  <c r="AF839" i="6"/>
  <c r="AF835" i="6"/>
  <c r="AF831" i="6"/>
  <c r="AF827" i="6"/>
  <c r="AF823" i="6"/>
  <c r="AF819" i="6"/>
  <c r="AF815" i="6"/>
  <c r="AF811" i="6"/>
  <c r="AF807" i="6"/>
  <c r="AF803" i="6"/>
  <c r="AF799" i="6"/>
  <c r="AF795" i="6"/>
  <c r="AF791" i="6"/>
  <c r="AF787" i="6"/>
  <c r="AF783" i="6"/>
  <c r="AF779" i="6"/>
  <c r="AF775" i="6"/>
  <c r="AF771" i="6"/>
  <c r="AF767" i="6"/>
  <c r="AF763" i="6"/>
  <c r="AF759" i="6"/>
  <c r="AF755" i="6"/>
  <c r="AF751" i="6"/>
  <c r="AF747" i="6"/>
  <c r="AF743" i="6"/>
  <c r="AF739" i="6"/>
  <c r="AF735" i="6"/>
  <c r="AF731" i="6"/>
  <c r="AF727" i="6"/>
  <c r="AF723" i="6"/>
  <c r="AF719" i="6"/>
  <c r="AF715" i="6"/>
  <c r="AF711" i="6"/>
  <c r="AF707" i="6"/>
  <c r="AF703" i="6"/>
  <c r="AF699" i="6"/>
  <c r="AF695" i="6"/>
  <c r="AF691" i="6"/>
  <c r="AF687" i="6"/>
  <c r="AF683" i="6"/>
  <c r="AF679" i="6"/>
  <c r="AF675" i="6"/>
  <c r="AF667" i="6"/>
  <c r="AF663" i="6"/>
  <c r="AF659" i="6"/>
  <c r="AF655" i="6"/>
  <c r="AF651" i="6"/>
  <c r="AF647" i="6"/>
  <c r="AF643" i="6"/>
  <c r="AF639" i="6"/>
  <c r="AF635" i="6"/>
  <c r="AF631" i="6"/>
  <c r="AF627" i="6"/>
  <c r="AF623" i="6"/>
  <c r="AF619" i="6"/>
  <c r="AF615" i="6"/>
  <c r="AF611" i="6"/>
  <c r="AF603" i="6"/>
  <c r="AF599" i="6"/>
  <c r="AF595" i="6"/>
  <c r="AF591" i="6"/>
  <c r="AF587" i="6"/>
  <c r="AF583" i="6"/>
  <c r="AF579" i="6"/>
  <c r="AF575" i="6"/>
  <c r="AF571" i="6"/>
  <c r="AF567" i="6"/>
  <c r="AF563" i="6"/>
  <c r="AF559" i="6"/>
  <c r="AF555" i="6"/>
  <c r="AF551" i="6"/>
  <c r="AF547" i="6"/>
  <c r="AF539" i="6"/>
  <c r="AF535" i="6"/>
  <c r="AF531" i="6"/>
  <c r="AF527" i="6"/>
  <c r="AF523" i="6"/>
  <c r="AF519" i="6"/>
  <c r="AF515" i="6"/>
  <c r="AF511" i="6"/>
  <c r="AF507" i="6"/>
  <c r="AF503" i="6"/>
  <c r="AF499" i="6"/>
  <c r="AF495" i="6"/>
  <c r="AF491" i="6"/>
  <c r="AF487" i="6"/>
  <c r="AF483" i="6"/>
  <c r="AF475" i="6"/>
  <c r="AF471" i="6"/>
  <c r="AF467" i="6"/>
  <c r="AF463" i="6"/>
  <c r="AF459" i="6"/>
  <c r="AF455" i="6"/>
  <c r="AF451" i="6"/>
  <c r="AF447" i="6"/>
  <c r="AF443" i="6"/>
  <c r="AF439" i="6"/>
  <c r="AF435" i="6"/>
  <c r="AF431" i="6"/>
  <c r="AF427" i="6"/>
  <c r="AF423" i="6"/>
  <c r="AF419" i="6"/>
  <c r="AF411" i="6"/>
  <c r="AF407" i="6"/>
  <c r="AF403" i="6"/>
  <c r="AF399" i="6"/>
  <c r="AF395" i="6"/>
  <c r="AF391" i="6"/>
  <c r="AF387" i="6"/>
  <c r="AF383" i="6"/>
  <c r="AF379" i="6"/>
  <c r="AF375" i="6"/>
  <c r="AF371" i="6"/>
  <c r="AF367" i="6"/>
  <c r="AF363" i="6"/>
  <c r="AF359" i="6"/>
  <c r="AF355" i="6"/>
  <c r="AF347" i="6"/>
  <c r="AF343" i="6"/>
  <c r="AF339" i="6"/>
  <c r="AF335" i="6"/>
  <c r="AF331" i="6"/>
  <c r="AF327" i="6"/>
  <c r="AF323" i="6"/>
  <c r="AF319" i="6"/>
  <c r="AF315" i="6"/>
  <c r="AF311" i="6"/>
  <c r="AF307" i="6"/>
  <c r="AF303" i="6"/>
  <c r="AF299" i="6"/>
  <c r="AF295" i="6"/>
  <c r="AF291" i="6"/>
  <c r="AF283" i="6"/>
  <c r="AF279" i="6"/>
  <c r="AF275" i="6"/>
  <c r="AF271" i="6"/>
  <c r="AF267" i="6"/>
  <c r="AF263" i="6"/>
  <c r="AF259" i="6"/>
  <c r="AF255" i="6"/>
  <c r="AF251" i="6"/>
  <c r="AF247" i="6"/>
  <c r="AF243" i="6"/>
  <c r="AF239" i="6"/>
  <c r="AF235" i="6"/>
  <c r="AF231" i="6"/>
  <c r="AF227" i="6"/>
  <c r="AF219" i="6"/>
  <c r="AF215" i="6"/>
  <c r="AF211" i="6"/>
  <c r="AF207" i="6"/>
  <c r="AF203" i="6"/>
  <c r="AF199" i="6"/>
  <c r="AF195" i="6"/>
  <c r="AF191" i="6"/>
  <c r="AF187" i="6"/>
  <c r="AF183" i="6"/>
  <c r="AF179" i="6"/>
  <c r="AF175" i="6"/>
  <c r="AF171" i="6"/>
  <c r="AF167" i="6"/>
  <c r="AF163" i="6"/>
  <c r="AF155" i="6"/>
  <c r="AF151" i="6"/>
  <c r="AF147" i="6"/>
  <c r="AF143" i="6"/>
  <c r="AF139" i="6"/>
  <c r="AF135" i="6"/>
  <c r="AF131" i="6"/>
  <c r="AF127" i="6"/>
  <c r="AF123" i="6"/>
  <c r="AF119" i="6"/>
  <c r="AF115" i="6"/>
  <c r="AF111" i="6"/>
  <c r="AF107" i="6"/>
  <c r="AF103" i="6"/>
  <c r="AF99" i="6"/>
  <c r="AF91" i="6"/>
  <c r="AF87" i="6"/>
  <c r="AF83" i="6"/>
  <c r="AF79" i="6"/>
  <c r="AF75" i="6"/>
  <c r="AF71" i="6"/>
  <c r="AF67" i="6"/>
  <c r="AF63" i="6"/>
  <c r="AF59" i="6"/>
  <c r="AF55" i="6"/>
  <c r="AF51" i="6"/>
  <c r="AF47" i="6"/>
  <c r="AF43" i="6"/>
  <c r="AF39" i="6"/>
  <c r="AF35" i="6"/>
  <c r="AF27" i="6"/>
  <c r="AF23" i="6"/>
  <c r="AF19" i="6"/>
  <c r="AF15" i="6"/>
  <c r="AF11" i="6"/>
  <c r="AF373" i="6"/>
  <c r="AF342" i="6"/>
  <c r="AF318" i="6"/>
  <c r="AF287" i="6"/>
  <c r="AF257" i="6"/>
  <c r="AF225" i="6"/>
  <c r="AF194" i="6"/>
  <c r="AF170" i="6"/>
  <c r="AF133" i="6"/>
  <c r="AF101" i="6"/>
  <c r="AF70" i="6"/>
  <c r="AF38" i="6"/>
  <c r="AF2003" i="6"/>
  <c r="AF1998" i="6"/>
  <c r="AF1993" i="6"/>
  <c r="AF1987" i="6"/>
  <c r="AF1982" i="6"/>
  <c r="AF1977" i="6"/>
  <c r="AF1971" i="6"/>
  <c r="AF1966" i="6"/>
  <c r="AF1961" i="6"/>
  <c r="AF1955" i="6"/>
  <c r="AF1950" i="6"/>
  <c r="AF1945" i="6"/>
  <c r="AF1939" i="6"/>
  <c r="AF1934" i="6"/>
  <c r="AF1929" i="6"/>
  <c r="AF1923" i="6"/>
  <c r="AF1918" i="6"/>
  <c r="AF1913" i="6"/>
  <c r="AF1907" i="6"/>
  <c r="AF1902" i="6"/>
  <c r="AF1897" i="6"/>
  <c r="AF1891" i="6"/>
  <c r="AF1886" i="6"/>
  <c r="AF1881" i="6"/>
  <c r="AF1875" i="6"/>
  <c r="AF1870" i="6"/>
  <c r="AF1865" i="6"/>
  <c r="AF1859" i="6"/>
  <c r="AF1854" i="6"/>
  <c r="AF1849" i="6"/>
  <c r="AF1843" i="6"/>
  <c r="AF1838" i="6"/>
  <c r="AF1833" i="6"/>
  <c r="AF1827" i="6"/>
  <c r="AF1822" i="6"/>
  <c r="AF1817" i="6"/>
  <c r="AF1811" i="6"/>
  <c r="AF1806" i="6"/>
  <c r="AF1801" i="6"/>
  <c r="AF1795" i="6"/>
  <c r="AF1790" i="6"/>
  <c r="AF1785" i="6"/>
  <c r="AF1779" i="6"/>
  <c r="AF1774" i="6"/>
  <c r="AF1769" i="6"/>
  <c r="AF1763" i="6"/>
  <c r="AF1758" i="6"/>
  <c r="AF1753" i="6"/>
  <c r="AF1747" i="6"/>
  <c r="AF1742" i="6"/>
  <c r="AF1737" i="6"/>
  <c r="AF1731" i="6"/>
  <c r="AF1726" i="6"/>
  <c r="AF1721" i="6"/>
  <c r="AF1715" i="6"/>
  <c r="AF1710" i="6"/>
  <c r="AF1705" i="6"/>
  <c r="AF1699" i="6"/>
  <c r="AF1694" i="6"/>
  <c r="AF1689" i="6"/>
  <c r="AF1683" i="6"/>
  <c r="AF1678" i="6"/>
  <c r="AF1673" i="6"/>
  <c r="AF1667" i="6"/>
  <c r="AF1662" i="6"/>
  <c r="AF1657" i="6"/>
  <c r="AF1651" i="6"/>
  <c r="AF1646" i="6"/>
  <c r="AF1641" i="6"/>
  <c r="AF1635" i="6"/>
  <c r="AF1630" i="6"/>
  <c r="AF1625" i="6"/>
  <c r="AF1619" i="6"/>
  <c r="AF1614" i="6"/>
  <c r="AF1609" i="6"/>
  <c r="AF1603" i="6"/>
  <c r="AF1598" i="6"/>
  <c r="AF1593" i="6"/>
  <c r="AF1587" i="6"/>
  <c r="AF1582" i="6"/>
  <c r="AF1577" i="6"/>
  <c r="AF1571" i="6"/>
  <c r="AF1566" i="6"/>
  <c r="AF1561" i="6"/>
  <c r="AF1555" i="6"/>
  <c r="AF1550" i="6"/>
  <c r="AF1545" i="6"/>
  <c r="AF1539" i="6"/>
  <c r="AF1534" i="6"/>
  <c r="AF1529" i="6"/>
  <c r="AF1523" i="6"/>
  <c r="AF1518" i="6"/>
  <c r="AF1513" i="6"/>
  <c r="AF1507" i="6"/>
  <c r="AF1502" i="6"/>
  <c r="AF1497" i="6"/>
  <c r="AF1491" i="6"/>
  <c r="AF1486" i="6"/>
  <c r="AF1481" i="6"/>
  <c r="AF1475" i="6"/>
  <c r="AF1470" i="6"/>
  <c r="AF1465" i="6"/>
  <c r="AF1459" i="6"/>
  <c r="AF1454" i="6"/>
  <c r="AF1449" i="6"/>
  <c r="AF1443" i="6"/>
  <c r="AF1438" i="6"/>
  <c r="AF1433" i="6"/>
  <c r="AF1427" i="6"/>
  <c r="AF1422" i="6"/>
  <c r="AF1417" i="6"/>
  <c r="AF1411" i="6"/>
  <c r="AF1406" i="6"/>
  <c r="AF1401" i="6"/>
  <c r="AF1395" i="6"/>
  <c r="AF1390" i="6"/>
  <c r="AF1385" i="6"/>
  <c r="AF1379" i="6"/>
  <c r="AF1374" i="6"/>
  <c r="AF1369" i="6"/>
  <c r="AF1363" i="6"/>
  <c r="AF1358" i="6"/>
  <c r="AF1353" i="6"/>
  <c r="AF1347" i="6"/>
  <c r="AF1342" i="6"/>
  <c r="AF1337" i="6"/>
  <c r="AF1330" i="6"/>
  <c r="AF1325" i="6"/>
  <c r="AF1319" i="6"/>
  <c r="AF1314" i="6"/>
  <c r="AF1309" i="6"/>
  <c r="AF1303" i="6"/>
  <c r="AF1298" i="6"/>
  <c r="AF1293" i="6"/>
  <c r="AF1287" i="6"/>
  <c r="AF1282" i="6"/>
  <c r="AF1277" i="6"/>
  <c r="AF1271" i="6"/>
  <c r="AF1266" i="6"/>
  <c r="AF1261" i="6"/>
  <c r="AF1255" i="6"/>
  <c r="AF1250" i="6"/>
  <c r="AF1245" i="6"/>
  <c r="AF1239" i="6"/>
  <c r="AF1234" i="6"/>
  <c r="AF1229" i="6"/>
  <c r="AF1223" i="6"/>
  <c r="AF1218" i="6"/>
  <c r="AF1213" i="6"/>
  <c r="AF1207" i="6"/>
  <c r="AF1202" i="6"/>
  <c r="AF1197" i="6"/>
  <c r="AF1191" i="6"/>
  <c r="AF1186" i="6"/>
  <c r="AF1181" i="6"/>
  <c r="AF1175" i="6"/>
  <c r="AF1170" i="6"/>
  <c r="AF1165" i="6"/>
  <c r="AF1159" i="6"/>
  <c r="AF1154" i="6"/>
  <c r="AF1149" i="6"/>
  <c r="AF1143" i="6"/>
  <c r="AF1138" i="6"/>
  <c r="AF1133" i="6"/>
  <c r="AF1127" i="6"/>
  <c r="AF1122" i="6"/>
  <c r="AF1117" i="6"/>
  <c r="AF1111" i="6"/>
  <c r="AF1106" i="6"/>
  <c r="AF1101" i="6"/>
  <c r="AF1095" i="6"/>
  <c r="AF1090" i="6"/>
  <c r="AF1085" i="6"/>
  <c r="AF1079" i="6"/>
  <c r="AF1074" i="6"/>
  <c r="AF1069" i="6"/>
  <c r="AF1063" i="6"/>
  <c r="AF1058" i="6"/>
  <c r="AF1053" i="6"/>
  <c r="AF1047" i="6"/>
  <c r="AF1042" i="6"/>
  <c r="AF1037" i="6"/>
  <c r="AF1031" i="6"/>
  <c r="AF1026" i="6"/>
  <c r="AF1021" i="6"/>
  <c r="AF1015" i="6"/>
  <c r="AF1010" i="6"/>
  <c r="AF1005" i="6"/>
  <c r="AF999" i="6"/>
  <c r="AF994" i="6"/>
  <c r="AF989" i="6"/>
  <c r="AF982" i="6"/>
  <c r="AF974" i="6"/>
  <c r="AF966" i="6"/>
  <c r="AF958" i="6"/>
  <c r="AF950" i="6"/>
  <c r="AF942" i="6"/>
  <c r="AF934" i="6"/>
  <c r="AF926" i="6"/>
  <c r="AF918" i="6"/>
  <c r="AF910" i="6"/>
  <c r="AF902" i="6"/>
  <c r="AF894" i="6"/>
  <c r="AF886" i="6"/>
  <c r="AF878" i="6"/>
  <c r="AF870" i="6"/>
  <c r="AF862" i="6"/>
  <c r="AF854" i="6"/>
  <c r="AF846" i="6"/>
  <c r="AF838" i="6"/>
  <c r="AF830" i="6"/>
  <c r="AF822" i="6"/>
  <c r="AF814" i="6"/>
  <c r="AF806" i="6"/>
  <c r="AF798" i="6"/>
  <c r="AF790" i="6"/>
  <c r="AF782" i="6"/>
  <c r="AF774" i="6"/>
  <c r="AF766" i="6"/>
  <c r="AF758" i="6"/>
  <c r="AF750" i="6"/>
  <c r="AF742" i="6"/>
  <c r="AF734" i="6"/>
  <c r="AF726" i="6"/>
  <c r="AF718" i="6"/>
  <c r="AF710" i="6"/>
  <c r="AF702" i="6"/>
  <c r="AF694" i="6"/>
  <c r="AF686" i="6"/>
  <c r="AF678" i="6"/>
  <c r="AF671" i="6"/>
  <c r="AF665" i="6"/>
  <c r="AF657" i="6"/>
  <c r="AF649" i="6"/>
  <c r="AF641" i="6"/>
  <c r="AF633" i="6"/>
  <c r="AF625" i="6"/>
  <c r="AF617" i="6"/>
  <c r="AF609" i="6"/>
  <c r="AF602" i="6"/>
  <c r="AF594" i="6"/>
  <c r="AF586" i="6"/>
  <c r="AF578" i="6"/>
  <c r="AF570" i="6"/>
  <c r="AF562" i="6"/>
  <c r="AF554" i="6"/>
  <c r="AF546" i="6"/>
  <c r="AF541" i="6"/>
  <c r="AF533" i="6"/>
  <c r="AF525" i="6"/>
  <c r="AF517" i="6"/>
  <c r="AF509" i="6"/>
  <c r="AF501" i="6"/>
  <c r="AF493" i="6"/>
  <c r="AF485" i="6"/>
  <c r="AF478" i="6"/>
  <c r="AF470" i="6"/>
  <c r="AF462" i="6"/>
  <c r="AF454" i="6"/>
  <c r="AF446" i="6"/>
  <c r="AF438" i="6"/>
  <c r="AF430" i="6"/>
  <c r="AF422" i="6"/>
  <c r="AF415" i="6"/>
  <c r="AF409" i="6"/>
  <c r="AF401" i="6"/>
  <c r="AF393" i="6"/>
  <c r="AF385" i="6"/>
  <c r="AF377" i="6"/>
  <c r="AF369" i="6"/>
  <c r="AF361" i="6"/>
  <c r="AF353" i="6"/>
  <c r="AF346" i="6"/>
  <c r="AF338" i="6"/>
  <c r="AF330" i="6"/>
  <c r="AF322" i="6"/>
  <c r="AF314" i="6"/>
  <c r="AF306" i="6"/>
  <c r="AF298" i="6"/>
  <c r="AF290" i="6"/>
  <c r="AF285" i="6"/>
  <c r="AF277" i="6"/>
  <c r="AF269" i="6"/>
  <c r="AF261" i="6"/>
  <c r="AF253" i="6"/>
  <c r="AF245" i="6"/>
  <c r="AF237" i="6"/>
  <c r="AF229" i="6"/>
  <c r="AF222" i="6"/>
  <c r="AF214" i="6"/>
  <c r="AF206" i="6"/>
  <c r="AF198" i="6"/>
  <c r="AF190" i="6"/>
  <c r="AF182" i="6"/>
  <c r="AF174" i="6"/>
  <c r="AF166" i="6"/>
  <c r="AF159" i="6"/>
  <c r="AF153" i="6"/>
  <c r="AF145" i="6"/>
  <c r="AF137" i="6"/>
  <c r="AF129" i="6"/>
  <c r="AF121" i="6"/>
  <c r="AF113" i="6"/>
  <c r="AF105" i="6"/>
  <c r="AF97" i="6"/>
  <c r="AF90" i="6"/>
  <c r="AF82" i="6"/>
  <c r="AF74" i="6"/>
  <c r="AF66" i="6"/>
  <c r="AF58" i="6"/>
  <c r="AF50" i="6"/>
  <c r="AF42" i="6"/>
  <c r="AF34" i="6"/>
  <c r="AF29" i="6"/>
  <c r="AF21" i="6"/>
  <c r="AF13" i="6"/>
  <c r="G4" i="6"/>
  <c r="Q2001" i="6"/>
  <c r="Q1989" i="6"/>
  <c r="Q1977" i="6"/>
  <c r="Q1965" i="6"/>
  <c r="Q1953" i="6"/>
  <c r="Q1945" i="6"/>
  <c r="Q1937" i="6"/>
  <c r="Q1925" i="6"/>
  <c r="Q1913" i="6"/>
  <c r="Q1901" i="6"/>
  <c r="Q1889" i="6"/>
  <c r="Q1877" i="6"/>
  <c r="Q1865" i="6"/>
  <c r="Q1857" i="6"/>
  <c r="Q1845" i="6"/>
  <c r="Q1833" i="6"/>
  <c r="Q1821" i="6"/>
  <c r="Q1809" i="6"/>
  <c r="Q1797" i="6"/>
  <c r="Q1785" i="6"/>
  <c r="Q1773" i="6"/>
  <c r="Q1761" i="6"/>
  <c r="Q1749" i="6"/>
  <c r="Q1737" i="6"/>
  <c r="Q1721" i="6"/>
  <c r="Q1709" i="6"/>
  <c r="Q1697" i="6"/>
  <c r="Q1685" i="6"/>
  <c r="Q1673" i="6"/>
  <c r="Q1661" i="6"/>
  <c r="Q1653" i="6"/>
  <c r="Q1641" i="6"/>
  <c r="Q1629" i="6"/>
  <c r="Q1617" i="6"/>
  <c r="Q1605" i="6"/>
  <c r="Q1589" i="6"/>
  <c r="Q1577" i="6"/>
  <c r="Q1565" i="6"/>
  <c r="Q1553" i="6"/>
  <c r="Q1541" i="6"/>
  <c r="Q1533" i="6"/>
  <c r="Q1521" i="6"/>
  <c r="Q1509" i="6"/>
  <c r="Q1497" i="6"/>
  <c r="Q1485" i="6"/>
  <c r="Q1473" i="6"/>
  <c r="Q1461" i="6"/>
  <c r="Q1449" i="6"/>
  <c r="Q1437" i="6"/>
  <c r="Q1425" i="6"/>
  <c r="Q1417" i="6"/>
  <c r="Q1405" i="6"/>
  <c r="Q1389" i="6"/>
  <c r="Q1373" i="6"/>
  <c r="Q1365" i="6"/>
  <c r="Q1357" i="6"/>
  <c r="Q1345" i="6"/>
  <c r="Q1337" i="6"/>
  <c r="Q1329" i="6"/>
  <c r="Q1317" i="6"/>
  <c r="Q1305" i="6"/>
  <c r="Q1293" i="6"/>
  <c r="Q1281" i="6"/>
  <c r="Q1265" i="6"/>
  <c r="Q1257" i="6"/>
  <c r="Q1245" i="6"/>
  <c r="Q1233" i="6"/>
  <c r="Q1221" i="6"/>
  <c r="Q1209" i="6"/>
  <c r="Q1201" i="6"/>
  <c r="Q1189" i="6"/>
  <c r="Q1173" i="6"/>
  <c r="Q1161" i="6"/>
  <c r="Q1149" i="6"/>
  <c r="Q1137" i="6"/>
  <c r="Q1125" i="6"/>
  <c r="Q1113" i="6"/>
  <c r="Q1101" i="6"/>
  <c r="Q1093" i="6"/>
  <c r="Q1081" i="6"/>
  <c r="Q1069" i="6"/>
  <c r="Q1053" i="6"/>
  <c r="Q1041" i="6"/>
  <c r="Q1029" i="6"/>
  <c r="Q1017" i="6"/>
  <c r="Q1009" i="6"/>
  <c r="Q997" i="6"/>
  <c r="Q985" i="6"/>
  <c r="Q973" i="6"/>
  <c r="Q959" i="6"/>
  <c r="Q932" i="6"/>
  <c r="Q916" i="6"/>
  <c r="Q900" i="6"/>
  <c r="Q884" i="6"/>
  <c r="Q868" i="6"/>
  <c r="Q852" i="6"/>
  <c r="Q836" i="6"/>
  <c r="Q820" i="6"/>
  <c r="Q804" i="6"/>
  <c r="Q788" i="6"/>
  <c r="Q783" i="6"/>
  <c r="Q767" i="6"/>
  <c r="Q751" i="6"/>
  <c r="Q729" i="6"/>
  <c r="Q719" i="6"/>
  <c r="Q708" i="6"/>
  <c r="Q692" i="6"/>
  <c r="Q676" i="6"/>
  <c r="Q660" i="6"/>
  <c r="Q644" i="6"/>
  <c r="Q628" i="6"/>
  <c r="Q607" i="6"/>
  <c r="Q585" i="6"/>
  <c r="Q559" i="6"/>
  <c r="Q420" i="6"/>
  <c r="Q1997" i="6"/>
  <c r="Q1985" i="6"/>
  <c r="Q1973" i="6"/>
  <c r="Q1961" i="6"/>
  <c r="Q1949" i="6"/>
  <c r="Q1933" i="6"/>
  <c r="Q1921" i="6"/>
  <c r="Q1909" i="6"/>
  <c r="Q1897" i="6"/>
  <c r="Q1885" i="6"/>
  <c r="Q1873" i="6"/>
  <c r="Q1861" i="6"/>
  <c r="Q1849" i="6"/>
  <c r="Q1837" i="6"/>
  <c r="Q1829" i="6"/>
  <c r="Q1817" i="6"/>
  <c r="Q1805" i="6"/>
  <c r="Q1793" i="6"/>
  <c r="Q1777" i="6"/>
  <c r="Q1765" i="6"/>
  <c r="Q1753" i="6"/>
  <c r="Q1741" i="6"/>
  <c r="Q1729" i="6"/>
  <c r="Q1717" i="6"/>
  <c r="Q1705" i="6"/>
  <c r="Q1693" i="6"/>
  <c r="Q1681" i="6"/>
  <c r="Q1669" i="6"/>
  <c r="Q1649" i="6"/>
  <c r="Q1637" i="6"/>
  <c r="Q1625" i="6"/>
  <c r="Q1613" i="6"/>
  <c r="Q1601" i="6"/>
  <c r="Q1593" i="6"/>
  <c r="Q1581" i="6"/>
  <c r="Q1569" i="6"/>
  <c r="Q1557" i="6"/>
  <c r="Q1545" i="6"/>
  <c r="Q1529" i="6"/>
  <c r="Q1517" i="6"/>
  <c r="Q1505" i="6"/>
  <c r="Q1489" i="6"/>
  <c r="Q1477" i="6"/>
  <c r="Q1465" i="6"/>
  <c r="Q1453" i="6"/>
  <c r="Q1441" i="6"/>
  <c r="Q1429" i="6"/>
  <c r="Q1409" i="6"/>
  <c r="Q1397" i="6"/>
  <c r="Q1393" i="6"/>
  <c r="Q1381" i="6"/>
  <c r="Q1369" i="6"/>
  <c r="Q1353" i="6"/>
  <c r="Q1341" i="6"/>
  <c r="Q1325" i="6"/>
  <c r="Q1309" i="6"/>
  <c r="Q1297" i="6"/>
  <c r="Q1285" i="6"/>
  <c r="Q1273" i="6"/>
  <c r="Q1261" i="6"/>
  <c r="Q1249" i="6"/>
  <c r="Q1237" i="6"/>
  <c r="Q1229" i="6"/>
  <c r="Q1217" i="6"/>
  <c r="Q1205" i="6"/>
  <c r="Q1193" i="6"/>
  <c r="Q1181" i="6"/>
  <c r="Q1169" i="6"/>
  <c r="Q1157" i="6"/>
  <c r="Q1145" i="6"/>
  <c r="Q1133" i="6"/>
  <c r="Q1121" i="6"/>
  <c r="Q1109" i="6"/>
  <c r="Q1097" i="6"/>
  <c r="Q1085" i="6"/>
  <c r="Q1073" i="6"/>
  <c r="Q1061" i="6"/>
  <c r="Q1049" i="6"/>
  <c r="Q1037" i="6"/>
  <c r="Q1025" i="6"/>
  <c r="Q1013" i="6"/>
  <c r="Q1001" i="6"/>
  <c r="Q989" i="6"/>
  <c r="Q977" i="6"/>
  <c r="Q969" i="6"/>
  <c r="Q953" i="6"/>
  <c r="Q943" i="6"/>
  <c r="Q921" i="6"/>
  <c r="Q911" i="6"/>
  <c r="Q889" i="6"/>
  <c r="Q873" i="6"/>
  <c r="Q857" i="6"/>
  <c r="Q847" i="6"/>
  <c r="Q831" i="6"/>
  <c r="Q809" i="6"/>
  <c r="Q793" i="6"/>
  <c r="Q772" i="6"/>
  <c r="Q761" i="6"/>
  <c r="Q745" i="6"/>
  <c r="Q735" i="6"/>
  <c r="Q713" i="6"/>
  <c r="Q703" i="6"/>
  <c r="Q681" i="6"/>
  <c r="Q665" i="6"/>
  <c r="Q655" i="6"/>
  <c r="Q639" i="6"/>
  <c r="Q623" i="6"/>
  <c r="Q612" i="6"/>
  <c r="Q596" i="6"/>
  <c r="Q580" i="6"/>
  <c r="Q564" i="6"/>
  <c r="Q548" i="6"/>
  <c r="Q537" i="6"/>
  <c r="Q527" i="6"/>
  <c r="Q516" i="6"/>
  <c r="Q409" i="6"/>
  <c r="Q2006" i="6"/>
  <c r="Q2002" i="6"/>
  <c r="Q1998" i="6"/>
  <c r="Q1994" i="6"/>
  <c r="Q1990" i="6"/>
  <c r="Q1986" i="6"/>
  <c r="Q1982" i="6"/>
  <c r="Q1978" i="6"/>
  <c r="Q1974" i="6"/>
  <c r="Q1970" i="6"/>
  <c r="Q1966" i="6"/>
  <c r="Q1962" i="6"/>
  <c r="Q1958" i="6"/>
  <c r="Q1954" i="6"/>
  <c r="Q1950" i="6"/>
  <c r="Q1946" i="6"/>
  <c r="Q1942" i="6"/>
  <c r="Q1938" i="6"/>
  <c r="Q1934" i="6"/>
  <c r="Q1930" i="6"/>
  <c r="Q1926" i="6"/>
  <c r="Q1922" i="6"/>
  <c r="Q1918" i="6"/>
  <c r="Q1914" i="6"/>
  <c r="Q1910" i="6"/>
  <c r="Q1906" i="6"/>
  <c r="Q1902" i="6"/>
  <c r="Q1898" i="6"/>
  <c r="Q1894" i="6"/>
  <c r="Q1890" i="6"/>
  <c r="Q1886" i="6"/>
  <c r="Q1882" i="6"/>
  <c r="Q1878" i="6"/>
  <c r="Q1874" i="6"/>
  <c r="Q1870" i="6"/>
  <c r="Q1866" i="6"/>
  <c r="Q1862" i="6"/>
  <c r="Q1858" i="6"/>
  <c r="Q1854" i="6"/>
  <c r="Q1850" i="6"/>
  <c r="Q1846" i="6"/>
  <c r="Q2005" i="6"/>
  <c r="Q1993" i="6"/>
  <c r="Q1981" i="6"/>
  <c r="Q1969" i="6"/>
  <c r="Q1957" i="6"/>
  <c r="Q1941" i="6"/>
  <c r="Q1929" i="6"/>
  <c r="Q1917" i="6"/>
  <c r="Q1905" i="6"/>
  <c r="Q1893" i="6"/>
  <c r="Q1881" i="6"/>
  <c r="Q1869" i="6"/>
  <c r="Q1853" i="6"/>
  <c r="Q1841" i="6"/>
  <c r="Q1825" i="6"/>
  <c r="Q1813" i="6"/>
  <c r="Q1801" i="6"/>
  <c r="Q1789" i="6"/>
  <c r="Q1781" i="6"/>
  <c r="Q1769" i="6"/>
  <c r="Q1757" i="6"/>
  <c r="Q1745" i="6"/>
  <c r="Q1733" i="6"/>
  <c r="Q1725" i="6"/>
  <c r="Q1713" i="6"/>
  <c r="Q1701" i="6"/>
  <c r="Q1689" i="6"/>
  <c r="Q1677" i="6"/>
  <c r="Q1665" i="6"/>
  <c r="Q1657" i="6"/>
  <c r="Q1645" i="6"/>
  <c r="Q1633" i="6"/>
  <c r="Q1621" i="6"/>
  <c r="Q1609" i="6"/>
  <c r="Q1597" i="6"/>
  <c r="Q1585" i="6"/>
  <c r="Q1573" i="6"/>
  <c r="Q1561" i="6"/>
  <c r="Q1549" i="6"/>
  <c r="Q1537" i="6"/>
  <c r="Q1525" i="6"/>
  <c r="Q1513" i="6"/>
  <c r="Q1501" i="6"/>
  <c r="Q1493" i="6"/>
  <c r="Q1481" i="6"/>
  <c r="Q1469" i="6"/>
  <c r="Q1457" i="6"/>
  <c r="Q1445" i="6"/>
  <c r="Q1433" i="6"/>
  <c r="Q1421" i="6"/>
  <c r="Q1413" i="6"/>
  <c r="Q1401" i="6"/>
  <c r="Q1385" i="6"/>
  <c r="Q1377" i="6"/>
  <c r="Q1361" i="6"/>
  <c r="Q1349" i="6"/>
  <c r="Q1333" i="6"/>
  <c r="Q1321" i="6"/>
  <c r="Q1313" i="6"/>
  <c r="Q1301" i="6"/>
  <c r="Q1289" i="6"/>
  <c r="Q1277" i="6"/>
  <c r="Q1269" i="6"/>
  <c r="Q1253" i="6"/>
  <c r="Q1241" i="6"/>
  <c r="Q1225" i="6"/>
  <c r="Q1213" i="6"/>
  <c r="Q1197" i="6"/>
  <c r="Q1185" i="6"/>
  <c r="Q1177" i="6"/>
  <c r="Q1165" i="6"/>
  <c r="Q1153" i="6"/>
  <c r="Q1141" i="6"/>
  <c r="Q1129" i="6"/>
  <c r="Q1117" i="6"/>
  <c r="Q1105" i="6"/>
  <c r="Q1089" i="6"/>
  <c r="Q1077" i="6"/>
  <c r="Q1065" i="6"/>
  <c r="Q1057" i="6"/>
  <c r="Q1045" i="6"/>
  <c r="Q1033" i="6"/>
  <c r="Q1021" i="6"/>
  <c r="Q1005" i="6"/>
  <c r="Q993" i="6"/>
  <c r="Q981" i="6"/>
  <c r="Q964" i="6"/>
  <c r="Q948" i="6"/>
  <c r="Q937" i="6"/>
  <c r="Q927" i="6"/>
  <c r="Q905" i="6"/>
  <c r="Q895" i="6"/>
  <c r="Q879" i="6"/>
  <c r="Q863" i="6"/>
  <c r="Q841" i="6"/>
  <c r="Q825" i="6"/>
  <c r="Q815" i="6"/>
  <c r="Q799" i="6"/>
  <c r="Q777" i="6"/>
  <c r="Q756" i="6"/>
  <c r="Q740" i="6"/>
  <c r="Q724" i="6"/>
  <c r="Q697" i="6"/>
  <c r="Q687" i="6"/>
  <c r="Q671" i="6"/>
  <c r="Q649" i="6"/>
  <c r="Q633" i="6"/>
  <c r="Q617" i="6"/>
  <c r="Q601" i="6"/>
  <c r="Q591" i="6"/>
  <c r="Q575" i="6"/>
  <c r="Q569" i="6"/>
  <c r="Q553" i="6"/>
  <c r="Q543" i="6"/>
  <c r="Q532" i="6"/>
  <c r="Q521" i="6"/>
  <c r="Q511" i="6"/>
  <c r="Q505" i="6"/>
  <c r="Q500" i="6"/>
  <c r="Q495" i="6"/>
  <c r="Q489" i="6"/>
  <c r="Q484" i="6"/>
  <c r="Q479" i="6"/>
  <c r="Q473" i="6"/>
  <c r="Q468" i="6"/>
  <c r="Q463" i="6"/>
  <c r="Q457" i="6"/>
  <c r="Q452" i="6"/>
  <c r="Q447" i="6"/>
  <c r="Q441" i="6"/>
  <c r="Q436" i="6"/>
  <c r="Q431" i="6"/>
  <c r="Q425" i="6"/>
  <c r="Q415" i="6"/>
  <c r="Q404" i="6"/>
  <c r="Q399" i="6"/>
  <c r="Q393" i="6"/>
  <c r="Q388" i="6"/>
  <c r="Q383" i="6"/>
  <c r="Q377" i="6"/>
  <c r="Q372" i="6"/>
  <c r="Q367" i="6"/>
  <c r="Q361" i="6"/>
  <c r="Q356" i="6"/>
  <c r="Q351" i="6"/>
  <c r="Q345" i="6"/>
  <c r="Q340" i="6"/>
  <c r="Q335" i="6"/>
  <c r="Q329" i="6"/>
  <c r="Q324" i="6"/>
  <c r="Q319" i="6"/>
  <c r="Q313" i="6"/>
  <c r="Q308" i="6"/>
  <c r="Q303" i="6"/>
  <c r="Q297" i="6"/>
  <c r="Q292" i="6"/>
  <c r="Q287" i="6"/>
  <c r="Q281" i="6"/>
  <c r="Q276" i="6"/>
  <c r="Q271" i="6"/>
  <c r="Q265" i="6"/>
  <c r="Q260" i="6"/>
  <c r="Q255" i="6"/>
  <c r="Q249" i="6"/>
  <c r="Q244" i="6"/>
  <c r="Q239" i="6"/>
  <c r="Q233" i="6"/>
  <c r="Q228" i="6"/>
  <c r="Q223" i="6"/>
  <c r="Q217" i="6"/>
  <c r="Q212" i="6"/>
  <c r="Q207" i="6"/>
  <c r="Q201" i="6"/>
  <c r="Q196" i="6"/>
  <c r="Q191" i="6"/>
  <c r="Q185" i="6"/>
  <c r="Q180" i="6"/>
  <c r="Q175" i="6"/>
  <c r="Q169" i="6"/>
  <c r="Q164" i="6"/>
  <c r="Q159" i="6"/>
  <c r="Q153" i="6"/>
  <c r="Q148" i="6"/>
  <c r="Q143" i="6"/>
  <c r="Q137" i="6"/>
  <c r="Q132" i="6"/>
  <c r="Q127" i="6"/>
  <c r="Q121" i="6"/>
  <c r="Q116" i="6"/>
  <c r="Q111" i="6"/>
  <c r="Q105" i="6"/>
  <c r="Q100" i="6"/>
  <c r="Q95" i="6"/>
  <c r="Q89" i="6"/>
  <c r="Q84" i="6"/>
  <c r="Q79" i="6"/>
  <c r="Q73" i="6"/>
  <c r="Q68" i="6"/>
  <c r="Q63" i="6"/>
  <c r="Q57" i="6"/>
  <c r="Q52" i="6"/>
  <c r="Q47" i="6"/>
  <c r="Q41" i="6"/>
  <c r="Q36" i="6"/>
  <c r="Q31" i="6"/>
  <c r="Q25" i="6"/>
  <c r="Q20" i="6"/>
  <c r="Q15" i="6"/>
  <c r="Q1842" i="6"/>
  <c r="Q1838" i="6"/>
  <c r="Q1834" i="6"/>
  <c r="Q1830" i="6"/>
  <c r="Q1826" i="6"/>
  <c r="Q1822" i="6"/>
  <c r="Q1818" i="6"/>
  <c r="Q1814" i="6"/>
  <c r="Q1810" i="6"/>
  <c r="Q1806" i="6"/>
  <c r="Q1802" i="6"/>
  <c r="Q1798" i="6"/>
  <c r="Q1794" i="6"/>
  <c r="Q1790" i="6"/>
  <c r="Q1786" i="6"/>
  <c r="Q1782" i="6"/>
  <c r="Q1778" i="6"/>
  <c r="Q1774" i="6"/>
  <c r="Q1770" i="6"/>
  <c r="Q1766" i="6"/>
  <c r="Q1762" i="6"/>
  <c r="Q1758" i="6"/>
  <c r="Q1754" i="6"/>
  <c r="Q1750" i="6"/>
  <c r="Q1746" i="6"/>
  <c r="Q1742" i="6"/>
  <c r="Q1738" i="6"/>
  <c r="Q1734" i="6"/>
  <c r="Q1730" i="6"/>
  <c r="Q1726" i="6"/>
  <c r="Q1722" i="6"/>
  <c r="Q1718" i="6"/>
  <c r="Q1714" i="6"/>
  <c r="Q1710" i="6"/>
  <c r="Q1706" i="6"/>
  <c r="Q1702" i="6"/>
  <c r="Q1698" i="6"/>
  <c r="Q1694" i="6"/>
  <c r="Q1690" i="6"/>
  <c r="Q1686" i="6"/>
  <c r="Q1682" i="6"/>
  <c r="Q1678" i="6"/>
  <c r="Q1674" i="6"/>
  <c r="Q1670" i="6"/>
  <c r="Q1666" i="6"/>
  <c r="Q1662" i="6"/>
  <c r="Q1658" i="6"/>
  <c r="Q1654" i="6"/>
  <c r="Q1650" i="6"/>
  <c r="Q1646" i="6"/>
  <c r="Q1642" i="6"/>
  <c r="Q1638" i="6"/>
  <c r="Q1634" i="6"/>
  <c r="Q1630" i="6"/>
  <c r="Q1626" i="6"/>
  <c r="Q1622" i="6"/>
  <c r="Q1618" i="6"/>
  <c r="Q1614" i="6"/>
  <c r="Q1610" i="6"/>
  <c r="Q1606" i="6"/>
  <c r="Q1602" i="6"/>
  <c r="Q1598" i="6"/>
  <c r="Q1594" i="6"/>
  <c r="Q1590" i="6"/>
  <c r="Q1586" i="6"/>
  <c r="Q1582" i="6"/>
  <c r="Q1578" i="6"/>
  <c r="Q1574" i="6"/>
  <c r="Q1570" i="6"/>
  <c r="Q1566" i="6"/>
  <c r="Q1562" i="6"/>
  <c r="Q1558" i="6"/>
  <c r="Q1554" i="6"/>
  <c r="Q1550" i="6"/>
  <c r="Q1546" i="6"/>
  <c r="Q1542" i="6"/>
  <c r="Q1538" i="6"/>
  <c r="Q1534" i="6"/>
  <c r="Q1530" i="6"/>
  <c r="Q1526" i="6"/>
  <c r="Q1522" i="6"/>
  <c r="Q1518" i="6"/>
  <c r="Q1514" i="6"/>
  <c r="Q1510" i="6"/>
  <c r="Q1506" i="6"/>
  <c r="Q1502" i="6"/>
  <c r="Q1498" i="6"/>
  <c r="Q1494" i="6"/>
  <c r="Q1490" i="6"/>
  <c r="Q1486" i="6"/>
  <c r="Q1482" i="6"/>
  <c r="Q1478" i="6"/>
  <c r="Q1474" i="6"/>
  <c r="Q1470" i="6"/>
  <c r="Q1466" i="6"/>
  <c r="Q1462" i="6"/>
  <c r="Q1458" i="6"/>
  <c r="Q1454" i="6"/>
  <c r="Q1450" i="6"/>
  <c r="Q1446" i="6"/>
  <c r="Q1442" i="6"/>
  <c r="Q1438" i="6"/>
  <c r="Q1434" i="6"/>
  <c r="Q1430" i="6"/>
  <c r="Q1426" i="6"/>
  <c r="Q1422" i="6"/>
  <c r="Q1418" i="6"/>
  <c r="Q1414" i="6"/>
  <c r="Q1410" i="6"/>
  <c r="Q1406" i="6"/>
  <c r="Q1402" i="6"/>
  <c r="Q1398" i="6"/>
  <c r="Q1394" i="6"/>
  <c r="Q1390" i="6"/>
  <c r="Q1386" i="6"/>
  <c r="Q1382" i="6"/>
  <c r="Q1378" i="6"/>
  <c r="Q1374" i="6"/>
  <c r="Q1370" i="6"/>
  <c r="Q1366" i="6"/>
  <c r="Q1362" i="6"/>
  <c r="Q1358" i="6"/>
  <c r="Q1354" i="6"/>
  <c r="Q1350" i="6"/>
  <c r="Q1346" i="6"/>
  <c r="Q1342" i="6"/>
  <c r="Q1338" i="6"/>
  <c r="Q1334" i="6"/>
  <c r="Q1330" i="6"/>
  <c r="Q1326" i="6"/>
  <c r="Q1322" i="6"/>
  <c r="Q1318" i="6"/>
  <c r="Q1314" i="6"/>
  <c r="Q1310" i="6"/>
  <c r="Q1306" i="6"/>
  <c r="Q1302" i="6"/>
  <c r="Q1298" i="6"/>
  <c r="Q1294" i="6"/>
  <c r="Q1290" i="6"/>
  <c r="Q1286" i="6"/>
  <c r="Q1282" i="6"/>
  <c r="Q1278" i="6"/>
  <c r="Q1274" i="6"/>
  <c r="Q1270" i="6"/>
  <c r="Q1266" i="6"/>
  <c r="Q1262" i="6"/>
  <c r="Q1258" i="6"/>
  <c r="Q1254" i="6"/>
  <c r="Q1250" i="6"/>
  <c r="Q1246" i="6"/>
  <c r="Q1242" i="6"/>
  <c r="Q1238" i="6"/>
  <c r="Q1234" i="6"/>
  <c r="Q1230" i="6"/>
  <c r="Q1226" i="6"/>
  <c r="Q1222" i="6"/>
  <c r="Q1218" i="6"/>
  <c r="Q1214" i="6"/>
  <c r="Q1210" i="6"/>
  <c r="Q1206" i="6"/>
  <c r="Q1202" i="6"/>
  <c r="Q1198" i="6"/>
  <c r="Q1194" i="6"/>
  <c r="Q1190" i="6"/>
  <c r="Q1186" i="6"/>
  <c r="Q1182" i="6"/>
  <c r="Q1178" i="6"/>
  <c r="Q1174" i="6"/>
  <c r="Q1170" i="6"/>
  <c r="Q1166" i="6"/>
  <c r="Q1162" i="6"/>
  <c r="Q1158" i="6"/>
  <c r="Q1154" i="6"/>
  <c r="Q1150" i="6"/>
  <c r="Q1146" i="6"/>
  <c r="Q1142" i="6"/>
  <c r="Q1138" i="6"/>
  <c r="Q1134" i="6"/>
  <c r="Q1130" i="6"/>
  <c r="Q1126" i="6"/>
  <c r="Q1122" i="6"/>
  <c r="Q1118" i="6"/>
  <c r="Q1114" i="6"/>
  <c r="Q1110" i="6"/>
  <c r="Q1106" i="6"/>
  <c r="Q1102" i="6"/>
  <c r="Q1098" i="6"/>
  <c r="Q1094" i="6"/>
  <c r="Q1090" i="6"/>
  <c r="Q1086" i="6"/>
  <c r="Q1082" i="6"/>
  <c r="Q1078" i="6"/>
  <c r="Q1074" i="6"/>
  <c r="Q1070" i="6"/>
  <c r="Q1066" i="6"/>
  <c r="Q1062" i="6"/>
  <c r="Q1058" i="6"/>
  <c r="Q1054" i="6"/>
  <c r="Q1050" i="6"/>
  <c r="Q1046" i="6"/>
  <c r="Q1042" i="6"/>
  <c r="Q1038" i="6"/>
  <c r="Q1034" i="6"/>
  <c r="Q1030" i="6"/>
  <c r="Q1026" i="6"/>
  <c r="Q1022" i="6"/>
  <c r="Q1018" i="6"/>
  <c r="Q1014" i="6"/>
  <c r="Q1010" i="6"/>
  <c r="Q1006" i="6"/>
  <c r="Q1002" i="6"/>
  <c r="Q998" i="6"/>
  <c r="Q994" i="6"/>
  <c r="Q990" i="6"/>
  <c r="Q986" i="6"/>
  <c r="Q982" i="6"/>
  <c r="Q978" i="6"/>
  <c r="Q974" i="6"/>
  <c r="Q970" i="6"/>
  <c r="Q960" i="6"/>
  <c r="Q955" i="6"/>
  <c r="Q944" i="6"/>
  <c r="Q939" i="6"/>
  <c r="Q928" i="6"/>
  <c r="Q923" i="6"/>
  <c r="Q912" i="6"/>
  <c r="Q907" i="6"/>
  <c r="Q896" i="6"/>
  <c r="Q891" i="6"/>
  <c r="Q880" i="6"/>
  <c r="Q875" i="6"/>
  <c r="Q864" i="6"/>
  <c r="Q859" i="6"/>
  <c r="Q848" i="6"/>
  <c r="Q843" i="6"/>
  <c r="Q832" i="6"/>
  <c r="Q827" i="6"/>
  <c r="Q816" i="6"/>
  <c r="Q811" i="6"/>
  <c r="Q800" i="6"/>
  <c r="Q795" i="6"/>
  <c r="Q784" i="6"/>
  <c r="Q779" i="6"/>
  <c r="Q768" i="6"/>
  <c r="Q763" i="6"/>
  <c r="Q752" i="6"/>
  <c r="Q747" i="6"/>
  <c r="Q736" i="6"/>
  <c r="Q731" i="6"/>
  <c r="Q720" i="6"/>
  <c r="Q715" i="6"/>
  <c r="Q704" i="6"/>
  <c r="Q699" i="6"/>
  <c r="Q688" i="6"/>
  <c r="Q683" i="6"/>
  <c r="Q672" i="6"/>
  <c r="Q667" i="6"/>
  <c r="Q656" i="6"/>
  <c r="Q651" i="6"/>
  <c r="Q640" i="6"/>
  <c r="Q635" i="6"/>
  <c r="Q624" i="6"/>
  <c r="Q619" i="6"/>
  <c r="Q608" i="6"/>
  <c r="Q603" i="6"/>
  <c r="Q592" i="6"/>
  <c r="Q587" i="6"/>
  <c r="Q576" i="6"/>
  <c r="Q571" i="6"/>
  <c r="Q560" i="6"/>
  <c r="Q555" i="6"/>
  <c r="Q544" i="6"/>
  <c r="Q539" i="6"/>
  <c r="Q528" i="6"/>
  <c r="Q523" i="6"/>
  <c r="Q512" i="6"/>
  <c r="Q507" i="6"/>
  <c r="Q496" i="6"/>
  <c r="Q491" i="6"/>
  <c r="Q480" i="6"/>
  <c r="Q475" i="6"/>
  <c r="Q464" i="6"/>
  <c r="Q459" i="6"/>
  <c r="Q448" i="6"/>
  <c r="Q443" i="6"/>
  <c r="Q432" i="6"/>
  <c r="Q427" i="6"/>
  <c r="Q416" i="6"/>
  <c r="Q411" i="6"/>
  <c r="Q400" i="6"/>
  <c r="Q395" i="6"/>
  <c r="Q384" i="6"/>
  <c r="Q379" i="6"/>
  <c r="Q368" i="6"/>
  <c r="Q363" i="6"/>
  <c r="Q352" i="6"/>
  <c r="Q347" i="6"/>
  <c r="Q336" i="6"/>
  <c r="Q331" i="6"/>
  <c r="Q320" i="6"/>
  <c r="Q315" i="6"/>
  <c r="Q304" i="6"/>
  <c r="Q299" i="6"/>
  <c r="Q288" i="6"/>
  <c r="Q283" i="6"/>
  <c r="Q272" i="6"/>
  <c r="Q267" i="6"/>
  <c r="Q256" i="6"/>
  <c r="Q251" i="6"/>
  <c r="Q240" i="6"/>
  <c r="Q235" i="6"/>
  <c r="Q224" i="6"/>
  <c r="Q219" i="6"/>
  <c r="Q208" i="6"/>
  <c r="Q203" i="6"/>
  <c r="Q192" i="6"/>
  <c r="Q187" i="6"/>
  <c r="Q176" i="6"/>
  <c r="Q171" i="6"/>
  <c r="Q160" i="6"/>
  <c r="Q155" i="6"/>
  <c r="Q144" i="6"/>
  <c r="Q139" i="6"/>
  <c r="Q128" i="6"/>
  <c r="Q123" i="6"/>
  <c r="Q112" i="6"/>
  <c r="Q107" i="6"/>
  <c r="Q96" i="6"/>
  <c r="Q91" i="6"/>
  <c r="Q80" i="6"/>
  <c r="Q75" i="6"/>
  <c r="Q64" i="6"/>
  <c r="Q59" i="6"/>
  <c r="Q48" i="6"/>
  <c r="Q43" i="6"/>
  <c r="Q32" i="6"/>
  <c r="Q27" i="6"/>
  <c r="Q16" i="6"/>
  <c r="Q11" i="6"/>
  <c r="Q346" i="6"/>
  <c r="Q342" i="6"/>
  <c r="Q326" i="6"/>
  <c r="Q314" i="6"/>
  <c r="Q306" i="6"/>
  <c r="Q294" i="6"/>
  <c r="Q286" i="6"/>
  <c r="Q274" i="6"/>
  <c r="Q262" i="6"/>
  <c r="Q250" i="6"/>
  <c r="Q238" i="6"/>
  <c r="Q222" i="6"/>
  <c r="Q210" i="6"/>
  <c r="Q198" i="6"/>
  <c r="Q182" i="6"/>
  <c r="Q170" i="6"/>
  <c r="Q158" i="6"/>
  <c r="Q146" i="6"/>
  <c r="Q134" i="6"/>
  <c r="Q122" i="6"/>
  <c r="Q110" i="6"/>
  <c r="Q102" i="6"/>
  <c r="Q90" i="6"/>
  <c r="Q78" i="6"/>
  <c r="Q66" i="6"/>
  <c r="Q50" i="6"/>
  <c r="Q38" i="6"/>
  <c r="Q26" i="6"/>
  <c r="Q18" i="6"/>
  <c r="Q962" i="6"/>
  <c r="Q954" i="6"/>
  <c r="Q946" i="6"/>
  <c r="Q938" i="6"/>
  <c r="Q926" i="6"/>
  <c r="Q922" i="6"/>
  <c r="Q914" i="6"/>
  <c r="Q906" i="6"/>
  <c r="Q898" i="6"/>
  <c r="Q890" i="6"/>
  <c r="Q882" i="6"/>
  <c r="Q874" i="6"/>
  <c r="Q866" i="6"/>
  <c r="Q858" i="6"/>
  <c r="Q850" i="6"/>
  <c r="Q842" i="6"/>
  <c r="Q834" i="6"/>
  <c r="Q830" i="6"/>
  <c r="Q822" i="6"/>
  <c r="Q810" i="6"/>
  <c r="Q802" i="6"/>
  <c r="Q794" i="6"/>
  <c r="Q786" i="6"/>
  <c r="Q778" i="6"/>
  <c r="Q770" i="6"/>
  <c r="Q762" i="6"/>
  <c r="Q754" i="6"/>
  <c r="Q746" i="6"/>
  <c r="Q738" i="6"/>
  <c r="Q730" i="6"/>
  <c r="Q722" i="6"/>
  <c r="Q718" i="6"/>
  <c r="Q710" i="6"/>
  <c r="Q706" i="6"/>
  <c r="Q698" i="6"/>
  <c r="Q690" i="6"/>
  <c r="Q682" i="6"/>
  <c r="Q674" i="6"/>
  <c r="Q666" i="6"/>
  <c r="Q662" i="6"/>
  <c r="Q654" i="6"/>
  <c r="Q646" i="6"/>
  <c r="Q638" i="6"/>
  <c r="Q630" i="6"/>
  <c r="Q622" i="6"/>
  <c r="Q618" i="6"/>
  <c r="Q610" i="6"/>
  <c r="Q602" i="6"/>
  <c r="Q594" i="6"/>
  <c r="Q586" i="6"/>
  <c r="Q578" i="6"/>
  <c r="Q570" i="6"/>
  <c r="Q562" i="6"/>
  <c r="Q558" i="6"/>
  <c r="Q550" i="6"/>
  <c r="Q542" i="6"/>
  <c r="Q534" i="6"/>
  <c r="Q522" i="6"/>
  <c r="Q514" i="6"/>
  <c r="Q506" i="6"/>
  <c r="Q502" i="6"/>
  <c r="Q494" i="6"/>
  <c r="Q490" i="6"/>
  <c r="Q482" i="6"/>
  <c r="Q474" i="6"/>
  <c r="Q466" i="6"/>
  <c r="Q458" i="6"/>
  <c r="Q454" i="6"/>
  <c r="Q446" i="6"/>
  <c r="Q438" i="6"/>
  <c r="Q430" i="6"/>
  <c r="Q422" i="6"/>
  <c r="Q414" i="6"/>
  <c r="Q410" i="6"/>
  <c r="Q402" i="6"/>
  <c r="Q394" i="6"/>
  <c r="Q386" i="6"/>
  <c r="Q378" i="6"/>
  <c r="Q374" i="6"/>
  <c r="Q366" i="6"/>
  <c r="Q358" i="6"/>
  <c r="Q350" i="6"/>
  <c r="Q334" i="6"/>
  <c r="Q322" i="6"/>
  <c r="Q310" i="6"/>
  <c r="Q298" i="6"/>
  <c r="Q278" i="6"/>
  <c r="Q266" i="6"/>
  <c r="Q254" i="6"/>
  <c r="Q242" i="6"/>
  <c r="Q230" i="6"/>
  <c r="Q218" i="6"/>
  <c r="Q206" i="6"/>
  <c r="Q190" i="6"/>
  <c r="Q178" i="6"/>
  <c r="Q166" i="6"/>
  <c r="Q154" i="6"/>
  <c r="Q142" i="6"/>
  <c r="Q126" i="6"/>
  <c r="Q114" i="6"/>
  <c r="Q98" i="6"/>
  <c r="Q86" i="6"/>
  <c r="Q70" i="6"/>
  <c r="Q58" i="6"/>
  <c r="Q46" i="6"/>
  <c r="Q30" i="6"/>
  <c r="Q2004" i="6"/>
  <c r="Q1996" i="6"/>
  <c r="Q1988" i="6"/>
  <c r="Q1980" i="6"/>
  <c r="Q1968" i="6"/>
  <c r="Q1960" i="6"/>
  <c r="Q1952" i="6"/>
  <c r="Q1948" i="6"/>
  <c r="Q1940" i="6"/>
  <c r="Q1932" i="6"/>
  <c r="Q1924" i="6"/>
  <c r="Q1916" i="6"/>
  <c r="Q1908" i="6"/>
  <c r="Q1900" i="6"/>
  <c r="Q1892" i="6"/>
  <c r="Q1884" i="6"/>
  <c r="Q1876" i="6"/>
  <c r="Q1868" i="6"/>
  <c r="Q1860" i="6"/>
  <c r="Q1852" i="6"/>
  <c r="Q1844" i="6"/>
  <c r="Q1836" i="6"/>
  <c r="Q1828" i="6"/>
  <c r="Q1820" i="6"/>
  <c r="Q1812" i="6"/>
  <c r="Q1804" i="6"/>
  <c r="Q1796" i="6"/>
  <c r="Q1788" i="6"/>
  <c r="Q1780" i="6"/>
  <c r="Q1772" i="6"/>
  <c r="Q1764" i="6"/>
  <c r="Q1756" i="6"/>
  <c r="Q1748" i="6"/>
  <c r="Q1740" i="6"/>
  <c r="Q1732" i="6"/>
  <c r="Q1724" i="6"/>
  <c r="Q1716" i="6"/>
  <c r="Q1704" i="6"/>
  <c r="Q1696" i="6"/>
  <c r="Q1688" i="6"/>
  <c r="Q1680" i="6"/>
  <c r="Q1676" i="6"/>
  <c r="Q1664" i="6"/>
  <c r="Q1656" i="6"/>
  <c r="Q1648" i="6"/>
  <c r="Q1640" i="6"/>
  <c r="Q1632" i="6"/>
  <c r="Q1624" i="6"/>
  <c r="Q1616" i="6"/>
  <c r="Q1608" i="6"/>
  <c r="Q1600" i="6"/>
  <c r="Q1592" i="6"/>
  <c r="Q1584" i="6"/>
  <c r="Q1580" i="6"/>
  <c r="Q1572" i="6"/>
  <c r="Q1564" i="6"/>
  <c r="Q1560" i="6"/>
  <c r="Q1552" i="6"/>
  <c r="Q1544" i="6"/>
  <c r="Q1536" i="6"/>
  <c r="Q1524" i="6"/>
  <c r="Q1516" i="6"/>
  <c r="Q1508" i="6"/>
  <c r="Q1500" i="6"/>
  <c r="Q1492" i="6"/>
  <c r="Q1484" i="6"/>
  <c r="Q1476" i="6"/>
  <c r="Q1468" i="6"/>
  <c r="Q1460" i="6"/>
  <c r="Q1452" i="6"/>
  <c r="Q1444" i="6"/>
  <c r="Q1436" i="6"/>
  <c r="Q1428" i="6"/>
  <c r="Q1420" i="6"/>
  <c r="Q1412" i="6"/>
  <c r="Q1404" i="6"/>
  <c r="Q1396" i="6"/>
  <c r="Q1388" i="6"/>
  <c r="Q1380" i="6"/>
  <c r="Q1372" i="6"/>
  <c r="Q1368" i="6"/>
  <c r="Q1360" i="6"/>
  <c r="Q1352" i="6"/>
  <c r="Q1344" i="6"/>
  <c r="Q1332" i="6"/>
  <c r="Q1324" i="6"/>
  <c r="Q1316" i="6"/>
  <c r="Q1308" i="6"/>
  <c r="Q1300" i="6"/>
  <c r="Q1292" i="6"/>
  <c r="Q1284" i="6"/>
  <c r="Q1276" i="6"/>
  <c r="Q1272" i="6"/>
  <c r="Q1264" i="6"/>
  <c r="Q1256" i="6"/>
  <c r="Q1248" i="6"/>
  <c r="Q1240" i="6"/>
  <c r="Q1232" i="6"/>
  <c r="Q1224" i="6"/>
  <c r="Q1216" i="6"/>
  <c r="Q1212" i="6"/>
  <c r="Q1204" i="6"/>
  <c r="Q1196" i="6"/>
  <c r="Q1184" i="6"/>
  <c r="Q1176" i="6"/>
  <c r="Q1168" i="6"/>
  <c r="Q1160" i="6"/>
  <c r="Q1152" i="6"/>
  <c r="Q1144" i="6"/>
  <c r="Q1136" i="6"/>
  <c r="Q1124" i="6"/>
  <c r="Q1116" i="6"/>
  <c r="Q1108" i="6"/>
  <c r="Q1100" i="6"/>
  <c r="Q1092" i="6"/>
  <c r="Q1084" i="6"/>
  <c r="Q1076" i="6"/>
  <c r="Q1068" i="6"/>
  <c r="Q1060" i="6"/>
  <c r="Q1052" i="6"/>
  <c r="Q1044" i="6"/>
  <c r="Q1032" i="6"/>
  <c r="Q1024" i="6"/>
  <c r="Q1016" i="6"/>
  <c r="Q1008" i="6"/>
  <c r="Q1000" i="6"/>
  <c r="Q996" i="6"/>
  <c r="Q988" i="6"/>
  <c r="Q980" i="6"/>
  <c r="Q976" i="6"/>
  <c r="Q972" i="6"/>
  <c r="Q968" i="6"/>
  <c r="Q963" i="6"/>
  <c r="Q936" i="6"/>
  <c r="Q931" i="6"/>
  <c r="Q920" i="6"/>
  <c r="Q915" i="6"/>
  <c r="Q904" i="6"/>
  <c r="Q888" i="6"/>
  <c r="Q883" i="6"/>
  <c r="Q872" i="6"/>
  <c r="Q867" i="6"/>
  <c r="Q856" i="6"/>
  <c r="Q851" i="6"/>
  <c r="Q840" i="6"/>
  <c r="Q835" i="6"/>
  <c r="Q824" i="6"/>
  <c r="Q819" i="6"/>
  <c r="Q808" i="6"/>
  <c r="Q803" i="6"/>
  <c r="Q792" i="6"/>
  <c r="Q787" i="6"/>
  <c r="Q776" i="6"/>
  <c r="Q771" i="6"/>
  <c r="Q760" i="6"/>
  <c r="Q755" i="6"/>
  <c r="Q744" i="6"/>
  <c r="Q728" i="6"/>
  <c r="Q723" i="6"/>
  <c r="Q712" i="6"/>
  <c r="Q707" i="6"/>
  <c r="Q696" i="6"/>
  <c r="Q691" i="6"/>
  <c r="Q680" i="6"/>
  <c r="Q675" i="6"/>
  <c r="Q664" i="6"/>
  <c r="Q659" i="6"/>
  <c r="Q648" i="6"/>
  <c r="Q643" i="6"/>
  <c r="Q632" i="6"/>
  <c r="Q627" i="6"/>
  <c r="Q616" i="6"/>
  <c r="Q611" i="6"/>
  <c r="Q600" i="6"/>
  <c r="Q595" i="6"/>
  <c r="Q584" i="6"/>
  <c r="Q579" i="6"/>
  <c r="Q568" i="6"/>
  <c r="Q563" i="6"/>
  <c r="Q552" i="6"/>
  <c r="Q547" i="6"/>
  <c r="Q536" i="6"/>
  <c r="Q531" i="6"/>
  <c r="Q520" i="6"/>
  <c r="Q515" i="6"/>
  <c r="Q504" i="6"/>
  <c r="Q499" i="6"/>
  <c r="Q488" i="6"/>
  <c r="Q483" i="6"/>
  <c r="Q472" i="6"/>
  <c r="Q467" i="6"/>
  <c r="Q456" i="6"/>
  <c r="Q451" i="6"/>
  <c r="Q440" i="6"/>
  <c r="Q435" i="6"/>
  <c r="Q424" i="6"/>
  <c r="Q419" i="6"/>
  <c r="Q408" i="6"/>
  <c r="Q403" i="6"/>
  <c r="Q392" i="6"/>
  <c r="Q387" i="6"/>
  <c r="Q376" i="6"/>
  <c r="Q371" i="6"/>
  <c r="Q360" i="6"/>
  <c r="Q355" i="6"/>
  <c r="Q344" i="6"/>
  <c r="Q339" i="6"/>
  <c r="Q328" i="6"/>
  <c r="Q323" i="6"/>
  <c r="Q312" i="6"/>
  <c r="Q307" i="6"/>
  <c r="Q296" i="6"/>
  <c r="Q291" i="6"/>
  <c r="Q280" i="6"/>
  <c r="Q275" i="6"/>
  <c r="Q264" i="6"/>
  <c r="Q259" i="6"/>
  <c r="Q248" i="6"/>
  <c r="Q243" i="6"/>
  <c r="Q232" i="6"/>
  <c r="Q227" i="6"/>
  <c r="Q216" i="6"/>
  <c r="Q211" i="6"/>
  <c r="Q200" i="6"/>
  <c r="Q195" i="6"/>
  <c r="Q184" i="6"/>
  <c r="Q179" i="6"/>
  <c r="Q168" i="6"/>
  <c r="Q163" i="6"/>
  <c r="Q152" i="6"/>
  <c r="Q147" i="6"/>
  <c r="Q136" i="6"/>
  <c r="Q131" i="6"/>
  <c r="Q120" i="6"/>
  <c r="Q115" i="6"/>
  <c r="Q104" i="6"/>
  <c r="Q99" i="6"/>
  <c r="Q88" i="6"/>
  <c r="Q83" i="6"/>
  <c r="Q72" i="6"/>
  <c r="Q67" i="6"/>
  <c r="Q56" i="6"/>
  <c r="Q51" i="6"/>
  <c r="Q40" i="6"/>
  <c r="Q35" i="6"/>
  <c r="Q24" i="6"/>
  <c r="Q19" i="6"/>
  <c r="Q966" i="6"/>
  <c r="Q958" i="6"/>
  <c r="Q950" i="6"/>
  <c r="Q942" i="6"/>
  <c r="Q934" i="6"/>
  <c r="Q930" i="6"/>
  <c r="Q918" i="6"/>
  <c r="Q910" i="6"/>
  <c r="Q902" i="6"/>
  <c r="Q894" i="6"/>
  <c r="Q886" i="6"/>
  <c r="Q878" i="6"/>
  <c r="Q870" i="6"/>
  <c r="Q862" i="6"/>
  <c r="Q854" i="6"/>
  <c r="Q846" i="6"/>
  <c r="Q838" i="6"/>
  <c r="Q826" i="6"/>
  <c r="Q818" i="6"/>
  <c r="Q814" i="6"/>
  <c r="Q806" i="6"/>
  <c r="Q798" i="6"/>
  <c r="Q790" i="6"/>
  <c r="Q782" i="6"/>
  <c r="Q774" i="6"/>
  <c r="Q766" i="6"/>
  <c r="Q758" i="6"/>
  <c r="Q750" i="6"/>
  <c r="Q742" i="6"/>
  <c r="Q734" i="6"/>
  <c r="Q726" i="6"/>
  <c r="Q714" i="6"/>
  <c r="Q702" i="6"/>
  <c r="Q694" i="6"/>
  <c r="Q686" i="6"/>
  <c r="Q678" i="6"/>
  <c r="Q670" i="6"/>
  <c r="Q658" i="6"/>
  <c r="Q650" i="6"/>
  <c r="Q642" i="6"/>
  <c r="Q634" i="6"/>
  <c r="Q626" i="6"/>
  <c r="Q614" i="6"/>
  <c r="Q606" i="6"/>
  <c r="Q598" i="6"/>
  <c r="Q590" i="6"/>
  <c r="Q582" i="6"/>
  <c r="Q574" i="6"/>
  <c r="Q566" i="6"/>
  <c r="Q554" i="6"/>
  <c r="Q546" i="6"/>
  <c r="Q538" i="6"/>
  <c r="Q530" i="6"/>
  <c r="Q526" i="6"/>
  <c r="Q518" i="6"/>
  <c r="Q510" i="6"/>
  <c r="Q498" i="6"/>
  <c r="Q486" i="6"/>
  <c r="Q478" i="6"/>
  <c r="Q470" i="6"/>
  <c r="Q462" i="6"/>
  <c r="Q450" i="6"/>
  <c r="Q442" i="6"/>
  <c r="Q434" i="6"/>
  <c r="Q426" i="6"/>
  <c r="Q418" i="6"/>
  <c r="Q406" i="6"/>
  <c r="Q398" i="6"/>
  <c r="Q390" i="6"/>
  <c r="Q382" i="6"/>
  <c r="Q370" i="6"/>
  <c r="Q362" i="6"/>
  <c r="Q354" i="6"/>
  <c r="Q338" i="6"/>
  <c r="Q330" i="6"/>
  <c r="Q318" i="6"/>
  <c r="Q302" i="6"/>
  <c r="Q290" i="6"/>
  <c r="Q282" i="6"/>
  <c r="Q270" i="6"/>
  <c r="Q258" i="6"/>
  <c r="Q246" i="6"/>
  <c r="Q234" i="6"/>
  <c r="Q226" i="6"/>
  <c r="Q214" i="6"/>
  <c r="Q202" i="6"/>
  <c r="Q194" i="6"/>
  <c r="Q186" i="6"/>
  <c r="Q174" i="6"/>
  <c r="Q162" i="6"/>
  <c r="Q150" i="6"/>
  <c r="Q138" i="6"/>
  <c r="Q130" i="6"/>
  <c r="Q118" i="6"/>
  <c r="Q106" i="6"/>
  <c r="Q94" i="6"/>
  <c r="Q82" i="6"/>
  <c r="Q74" i="6"/>
  <c r="Q62" i="6"/>
  <c r="Q54" i="6"/>
  <c r="Q42" i="6"/>
  <c r="Q34" i="6"/>
  <c r="Q22" i="6"/>
  <c r="Q14" i="6"/>
  <c r="Q2008" i="6"/>
  <c r="Q2000" i="6"/>
  <c r="Q1992" i="6"/>
  <c r="Q1984" i="6"/>
  <c r="Q1976" i="6"/>
  <c r="Q1972" i="6"/>
  <c r="Q1964" i="6"/>
  <c r="Q1956" i="6"/>
  <c r="Q1944" i="6"/>
  <c r="Q1936" i="6"/>
  <c r="Q1928" i="6"/>
  <c r="Q1920" i="6"/>
  <c r="Q1912" i="6"/>
  <c r="Q1904" i="6"/>
  <c r="Q1896" i="6"/>
  <c r="Q1888" i="6"/>
  <c r="Q1880" i="6"/>
  <c r="Q1872" i="6"/>
  <c r="Q1864" i="6"/>
  <c r="Q1856" i="6"/>
  <c r="Q1848" i="6"/>
  <c r="Q1840" i="6"/>
  <c r="Q1832" i="6"/>
  <c r="Q1824" i="6"/>
  <c r="Q1816" i="6"/>
  <c r="Q1808" i="6"/>
  <c r="Q1800" i="6"/>
  <c r="Q1792" i="6"/>
  <c r="Q1784" i="6"/>
  <c r="Q1776" i="6"/>
  <c r="Q1768" i="6"/>
  <c r="Q1760" i="6"/>
  <c r="Q1752" i="6"/>
  <c r="Q1744" i="6"/>
  <c r="Q1736" i="6"/>
  <c r="Q1728" i="6"/>
  <c r="Q1720" i="6"/>
  <c r="Q1712" i="6"/>
  <c r="Q1708" i="6"/>
  <c r="Q1700" i="6"/>
  <c r="Q1692" i="6"/>
  <c r="Q1684" i="6"/>
  <c r="Q1672" i="6"/>
  <c r="Q1668" i="6"/>
  <c r="Q1660" i="6"/>
  <c r="Q1652" i="6"/>
  <c r="Q1644" i="6"/>
  <c r="Q1636" i="6"/>
  <c r="Q1628" i="6"/>
  <c r="Q1620" i="6"/>
  <c r="Q1612" i="6"/>
  <c r="Q1604" i="6"/>
  <c r="Q1596" i="6"/>
  <c r="Q1588" i="6"/>
  <c r="Q1576" i="6"/>
  <c r="Q1568" i="6"/>
  <c r="Q1556" i="6"/>
  <c r="Q1548" i="6"/>
  <c r="Q1540" i="6"/>
  <c r="Q1532" i="6"/>
  <c r="Q1528" i="6"/>
  <c r="Q1520" i="6"/>
  <c r="Q1512" i="6"/>
  <c r="Q1504" i="6"/>
  <c r="Q1496" i="6"/>
  <c r="Q1488" i="6"/>
  <c r="Q1480" i="6"/>
  <c r="Q1472" i="6"/>
  <c r="Q1464" i="6"/>
  <c r="Q1456" i="6"/>
  <c r="Q1448" i="6"/>
  <c r="Q1440" i="6"/>
  <c r="Q1432" i="6"/>
  <c r="Q1424" i="6"/>
  <c r="Q1416" i="6"/>
  <c r="Q1408" i="6"/>
  <c r="Q1400" i="6"/>
  <c r="Q1392" i="6"/>
  <c r="Q1384" i="6"/>
  <c r="Q1376" i="6"/>
  <c r="Q1364" i="6"/>
  <c r="Q1356" i="6"/>
  <c r="Q1348" i="6"/>
  <c r="Q1340" i="6"/>
  <c r="Q1336" i="6"/>
  <c r="Q1328" i="6"/>
  <c r="Q1320" i="6"/>
  <c r="Q1312" i="6"/>
  <c r="Q1304" i="6"/>
  <c r="Q1296" i="6"/>
  <c r="Q1288" i="6"/>
  <c r="Q1280" i="6"/>
  <c r="Q1268" i="6"/>
  <c r="Q1260" i="6"/>
  <c r="Q1252" i="6"/>
  <c r="Q1244" i="6"/>
  <c r="Q1236" i="6"/>
  <c r="Q1228" i="6"/>
  <c r="Q1220" i="6"/>
  <c r="Q1208" i="6"/>
  <c r="Q1200" i="6"/>
  <c r="Q1192" i="6"/>
  <c r="Q1188" i="6"/>
  <c r="Q1180" i="6"/>
  <c r="Q1172" i="6"/>
  <c r="Q1164" i="6"/>
  <c r="Q1156" i="6"/>
  <c r="Q1148" i="6"/>
  <c r="Q1140" i="6"/>
  <c r="Q1132" i="6"/>
  <c r="Q1128" i="6"/>
  <c r="Q1120" i="6"/>
  <c r="Q1112" i="6"/>
  <c r="Q1104" i="6"/>
  <c r="Q1096" i="6"/>
  <c r="Q1088" i="6"/>
  <c r="Q1080" i="6"/>
  <c r="Q1072" i="6"/>
  <c r="Q1064" i="6"/>
  <c r="Q1056" i="6"/>
  <c r="Q1048" i="6"/>
  <c r="Q1040" i="6"/>
  <c r="Q1036" i="6"/>
  <c r="Q1028" i="6"/>
  <c r="Q1020" i="6"/>
  <c r="Q1012" i="6"/>
  <c r="Q1004" i="6"/>
  <c r="Q992" i="6"/>
  <c r="Q984" i="6"/>
  <c r="Q952" i="6"/>
  <c r="Q947" i="6"/>
  <c r="Q899" i="6"/>
  <c r="Q739" i="6"/>
  <c r="Q2007" i="6"/>
  <c r="Q2003" i="6"/>
  <c r="Q1999" i="6"/>
  <c r="Q1995" i="6"/>
  <c r="Q1991" i="6"/>
  <c r="Q1987" i="6"/>
  <c r="Q1983" i="6"/>
  <c r="Q1979" i="6"/>
  <c r="Q1975" i="6"/>
  <c r="Q1971" i="6"/>
  <c r="Q1967" i="6"/>
  <c r="Q1963" i="6"/>
  <c r="Q1959" i="6"/>
  <c r="Q1955" i="6"/>
  <c r="Q1951" i="6"/>
  <c r="Q1947" i="6"/>
  <c r="Q1943" i="6"/>
  <c r="Q1939" i="6"/>
  <c r="Q1935" i="6"/>
  <c r="Q1931" i="6"/>
  <c r="Q1927" i="6"/>
  <c r="Q1923" i="6"/>
  <c r="Q1919" i="6"/>
  <c r="Q1915" i="6"/>
  <c r="Q1911" i="6"/>
  <c r="Q1907" i="6"/>
  <c r="Q1903" i="6"/>
  <c r="Q1899" i="6"/>
  <c r="Q1895" i="6"/>
  <c r="Q1891" i="6"/>
  <c r="Q1887" i="6"/>
  <c r="Q1883" i="6"/>
  <c r="Q1879" i="6"/>
  <c r="Q1875" i="6"/>
  <c r="Q1871" i="6"/>
  <c r="Q1867" i="6"/>
  <c r="Q1863" i="6"/>
  <c r="Q1859" i="6"/>
  <c r="Q1855" i="6"/>
  <c r="Q1851" i="6"/>
  <c r="Q1847" i="6"/>
  <c r="Q1843" i="6"/>
  <c r="Q1839" i="6"/>
  <c r="Q1835" i="6"/>
  <c r="Q1831" i="6"/>
  <c r="Q1827" i="6"/>
  <c r="Q1823" i="6"/>
  <c r="Q1819" i="6"/>
  <c r="Q1815" i="6"/>
  <c r="Q1811" i="6"/>
  <c r="Q1807" i="6"/>
  <c r="Q1803" i="6"/>
  <c r="Q1799" i="6"/>
  <c r="Q1795" i="6"/>
  <c r="Q1791" i="6"/>
  <c r="Q1787" i="6"/>
  <c r="Q1783" i="6"/>
  <c r="Q1779" i="6"/>
  <c r="Q1775" i="6"/>
  <c r="Q1771" i="6"/>
  <c r="Q1767" i="6"/>
  <c r="Q1763" i="6"/>
  <c r="Q1759" i="6"/>
  <c r="Q1755" i="6"/>
  <c r="Q1751" i="6"/>
  <c r="Q1747" i="6"/>
  <c r="Q1743" i="6"/>
  <c r="Q1739" i="6"/>
  <c r="Q1735" i="6"/>
  <c r="Q1731" i="6"/>
  <c r="Q1727" i="6"/>
  <c r="Q1723" i="6"/>
  <c r="Q1719" i="6"/>
  <c r="Q1715" i="6"/>
  <c r="Q1711" i="6"/>
  <c r="Q1707" i="6"/>
  <c r="Q1703" i="6"/>
  <c r="Q1699" i="6"/>
  <c r="Q1695" i="6"/>
  <c r="Q1691" i="6"/>
  <c r="Q1687" i="6"/>
  <c r="Q1683" i="6"/>
  <c r="Q1679" i="6"/>
  <c r="Q1675" i="6"/>
  <c r="Q1671" i="6"/>
  <c r="Q1667" i="6"/>
  <c r="Q1663" i="6"/>
  <c r="Q1659" i="6"/>
  <c r="Q1655" i="6"/>
  <c r="Q1651" i="6"/>
  <c r="Q1647" i="6"/>
  <c r="Q1643" i="6"/>
  <c r="Q1639" i="6"/>
  <c r="Q1635" i="6"/>
  <c r="Q1631" i="6"/>
  <c r="Q1627" i="6"/>
  <c r="Q1623" i="6"/>
  <c r="Q1619" i="6"/>
  <c r="Q1615" i="6"/>
  <c r="Q1611" i="6"/>
  <c r="Q1607" i="6"/>
  <c r="Q1603" i="6"/>
  <c r="Q1599" i="6"/>
  <c r="Q1595" i="6"/>
  <c r="Q1591" i="6"/>
  <c r="Q1587" i="6"/>
  <c r="Q1583" i="6"/>
  <c r="Q1579" i="6"/>
  <c r="Q1575" i="6"/>
  <c r="Q1571" i="6"/>
  <c r="Q1567" i="6"/>
  <c r="Q1563" i="6"/>
  <c r="Q1559" i="6"/>
  <c r="Q1555" i="6"/>
  <c r="Q1551" i="6"/>
  <c r="Q1547" i="6"/>
  <c r="Q1543" i="6"/>
  <c r="Q1539" i="6"/>
  <c r="Q1535" i="6"/>
  <c r="Q1531" i="6"/>
  <c r="Q1527" i="6"/>
  <c r="Q1523" i="6"/>
  <c r="Q1519" i="6"/>
  <c r="Q1515" i="6"/>
  <c r="Q1511" i="6"/>
  <c r="Q1507" i="6"/>
  <c r="Q1503" i="6"/>
  <c r="Q1499" i="6"/>
  <c r="Q1495" i="6"/>
  <c r="Q1491" i="6"/>
  <c r="Q1487" i="6"/>
  <c r="Q1483" i="6"/>
  <c r="Q1479" i="6"/>
  <c r="Q1475" i="6"/>
  <c r="Q1471" i="6"/>
  <c r="Q1467" i="6"/>
  <c r="Q1463" i="6"/>
  <c r="Q1459" i="6"/>
  <c r="Q1455" i="6"/>
  <c r="Q1451" i="6"/>
  <c r="Q1447" i="6"/>
  <c r="Q1443" i="6"/>
  <c r="Q1439" i="6"/>
  <c r="Q1435" i="6"/>
  <c r="Q1431" i="6"/>
  <c r="Q1427" i="6"/>
  <c r="Q1423" i="6"/>
  <c r="Q1419" i="6"/>
  <c r="Q1415" i="6"/>
  <c r="Q1411" i="6"/>
  <c r="Q1407" i="6"/>
  <c r="Q1403" i="6"/>
  <c r="Q1399" i="6"/>
  <c r="Q1395" i="6"/>
  <c r="Q1391" i="6"/>
  <c r="Q1387" i="6"/>
  <c r="Q1383" i="6"/>
  <c r="Q1379" i="6"/>
  <c r="Q1375" i="6"/>
  <c r="Q1371" i="6"/>
  <c r="Q1367" i="6"/>
  <c r="Q1363" i="6"/>
  <c r="Q1359" i="6"/>
  <c r="Q1355" i="6"/>
  <c r="Q1351" i="6"/>
  <c r="Q1347" i="6"/>
  <c r="Q1343" i="6"/>
  <c r="Q1339" i="6"/>
  <c r="Q1335" i="6"/>
  <c r="Q1331" i="6"/>
  <c r="Q1327" i="6"/>
  <c r="Q1323" i="6"/>
  <c r="Q1319" i="6"/>
  <c r="Q1315" i="6"/>
  <c r="Q1311" i="6"/>
  <c r="Q1307" i="6"/>
  <c r="Q1303" i="6"/>
  <c r="Q1299" i="6"/>
  <c r="Q1295" i="6"/>
  <c r="Q1291" i="6"/>
  <c r="Q1287" i="6"/>
  <c r="Q1283" i="6"/>
  <c r="Q1279" i="6"/>
  <c r="Q1275" i="6"/>
  <c r="Q1271" i="6"/>
  <c r="Q1267" i="6"/>
  <c r="Q1263" i="6"/>
  <c r="Q1259" i="6"/>
  <c r="Q1255" i="6"/>
  <c r="Q1251" i="6"/>
  <c r="Q1247" i="6"/>
  <c r="Q1243" i="6"/>
  <c r="Q1239" i="6"/>
  <c r="Q1235" i="6"/>
  <c r="Q1231" i="6"/>
  <c r="Q1227" i="6"/>
  <c r="Q1223" i="6"/>
  <c r="Q1219" i="6"/>
  <c r="Q1215" i="6"/>
  <c r="Q1211" i="6"/>
  <c r="Q1207" i="6"/>
  <c r="Q1203" i="6"/>
  <c r="Q1199" i="6"/>
  <c r="Q1195" i="6"/>
  <c r="Q1191" i="6"/>
  <c r="Q1187" i="6"/>
  <c r="Q1183" i="6"/>
  <c r="Q1179" i="6"/>
  <c r="Q1175" i="6"/>
  <c r="Q1171" i="6"/>
  <c r="Q1167" i="6"/>
  <c r="Q1163" i="6"/>
  <c r="Q1159" i="6"/>
  <c r="Q1155" i="6"/>
  <c r="Q1151" i="6"/>
  <c r="Q1147" i="6"/>
  <c r="Q1143" i="6"/>
  <c r="Q1139" i="6"/>
  <c r="Q1135" i="6"/>
  <c r="Q1131" i="6"/>
  <c r="Q1127" i="6"/>
  <c r="Q1123" i="6"/>
  <c r="Q1119" i="6"/>
  <c r="Q1115" i="6"/>
  <c r="Q1111" i="6"/>
  <c r="Q1107" i="6"/>
  <c r="Q1103" i="6"/>
  <c r="Q1099" i="6"/>
  <c r="Q1095" i="6"/>
  <c r="Q1091" i="6"/>
  <c r="Q1087" i="6"/>
  <c r="Q1083" i="6"/>
  <c r="Q1079" i="6"/>
  <c r="Q1075" i="6"/>
  <c r="Q1071" i="6"/>
  <c r="Q1067" i="6"/>
  <c r="Q1063" i="6"/>
  <c r="Q1059" i="6"/>
  <c r="Q1055" i="6"/>
  <c r="Q1051" i="6"/>
  <c r="Q1047" i="6"/>
  <c r="Q1043" i="6"/>
  <c r="Q1039" i="6"/>
  <c r="Q1035" i="6"/>
  <c r="Q1031" i="6"/>
  <c r="Q1027" i="6"/>
  <c r="Q1023" i="6"/>
  <c r="Q1019" i="6"/>
  <c r="Q1015" i="6"/>
  <c r="Q1011" i="6"/>
  <c r="Q1007" i="6"/>
  <c r="Q1003" i="6"/>
  <c r="Q999" i="6"/>
  <c r="Q995" i="6"/>
  <c r="Q991" i="6"/>
  <c r="Q987" i="6"/>
  <c r="Q983" i="6"/>
  <c r="Q979" i="6"/>
  <c r="Q975" i="6"/>
  <c r="Q971" i="6"/>
  <c r="Q967" i="6"/>
  <c r="Q961" i="6"/>
  <c r="Q956" i="6"/>
  <c r="Q951" i="6"/>
  <c r="Q945" i="6"/>
  <c r="Q940" i="6"/>
  <c r="Q935" i="6"/>
  <c r="Q929" i="6"/>
  <c r="Q924" i="6"/>
  <c r="Q919" i="6"/>
  <c r="Q913" i="6"/>
  <c r="Q908" i="6"/>
  <c r="Q903" i="6"/>
  <c r="Q897" i="6"/>
  <c r="Q892" i="6"/>
  <c r="Q887" i="6"/>
  <c r="Q881" i="6"/>
  <c r="Q876" i="6"/>
  <c r="Q871" i="6"/>
  <c r="Q865" i="6"/>
  <c r="Q860" i="6"/>
  <c r="Q855" i="6"/>
  <c r="Q849" i="6"/>
  <c r="Q844" i="6"/>
  <c r="Q839" i="6"/>
  <c r="Q833" i="6"/>
  <c r="Q828" i="6"/>
  <c r="Q823" i="6"/>
  <c r="Q817" i="6"/>
  <c r="Q812" i="6"/>
  <c r="Q807" i="6"/>
  <c r="Q801" i="6"/>
  <c r="Q796" i="6"/>
  <c r="Q791" i="6"/>
  <c r="Q785" i="6"/>
  <c r="Q780" i="6"/>
  <c r="Q775" i="6"/>
  <c r="Q769" i="6"/>
  <c r="Q764" i="6"/>
  <c r="Q759" i="6"/>
  <c r="Q753" i="6"/>
  <c r="Q748" i="6"/>
  <c r="Q743" i="6"/>
  <c r="Q737" i="6"/>
  <c r="Q732" i="6"/>
  <c r="Q727" i="6"/>
  <c r="Q721" i="6"/>
  <c r="Q716" i="6"/>
  <c r="Q711" i="6"/>
  <c r="Q705" i="6"/>
  <c r="Q700" i="6"/>
  <c r="Q695" i="6"/>
  <c r="Q689" i="6"/>
  <c r="Q684" i="6"/>
  <c r="Q679" i="6"/>
  <c r="Q673" i="6"/>
  <c r="Q668" i="6"/>
  <c r="Q663" i="6"/>
  <c r="Q657" i="6"/>
  <c r="Q652" i="6"/>
  <c r="Q647" i="6"/>
  <c r="Q641" i="6"/>
  <c r="Q636" i="6"/>
  <c r="Q631" i="6"/>
  <c r="Q625" i="6"/>
  <c r="Q620" i="6"/>
  <c r="Q615" i="6"/>
  <c r="Q609" i="6"/>
  <c r="Q604" i="6"/>
  <c r="Q599" i="6"/>
  <c r="Q593" i="6"/>
  <c r="Q588" i="6"/>
  <c r="Q583" i="6"/>
  <c r="Q577" i="6"/>
  <c r="Q572" i="6"/>
  <c r="Q567" i="6"/>
  <c r="Q561" i="6"/>
  <c r="Q556" i="6"/>
  <c r="Q551" i="6"/>
  <c r="Q545" i="6"/>
  <c r="Q540" i="6"/>
  <c r="Q535" i="6"/>
  <c r="Q529" i="6"/>
  <c r="Q524" i="6"/>
  <c r="Q519" i="6"/>
  <c r="Q513" i="6"/>
  <c r="Q508" i="6"/>
  <c r="Q503" i="6"/>
  <c r="Q497" i="6"/>
  <c r="Q492" i="6"/>
  <c r="Q487" i="6"/>
  <c r="Q481" i="6"/>
  <c r="Q476" i="6"/>
  <c r="Q471" i="6"/>
  <c r="Q465" i="6"/>
  <c r="Q460" i="6"/>
  <c r="Q455" i="6"/>
  <c r="Q449" i="6"/>
  <c r="Q444" i="6"/>
  <c r="Q439" i="6"/>
  <c r="Q433" i="6"/>
  <c r="Q428" i="6"/>
  <c r="Q423" i="6"/>
  <c r="Q417" i="6"/>
  <c r="Q412" i="6"/>
  <c r="Q407" i="6"/>
  <c r="Q401" i="6"/>
  <c r="Q396" i="6"/>
  <c r="Q391" i="6"/>
  <c r="Q385" i="6"/>
  <c r="Q380" i="6"/>
  <c r="Q375" i="6"/>
  <c r="Q369" i="6"/>
  <c r="Q364" i="6"/>
  <c r="Q359" i="6"/>
  <c r="Q353" i="6"/>
  <c r="Q348" i="6"/>
  <c r="Q343" i="6"/>
  <c r="Q337" i="6"/>
  <c r="Q332" i="6"/>
  <c r="Q327" i="6"/>
  <c r="Q321" i="6"/>
  <c r="Q316" i="6"/>
  <c r="Q311" i="6"/>
  <c r="Q305" i="6"/>
  <c r="Q300" i="6"/>
  <c r="Q295" i="6"/>
  <c r="Q289" i="6"/>
  <c r="Q284" i="6"/>
  <c r="Q279" i="6"/>
  <c r="Q273" i="6"/>
  <c r="Q268" i="6"/>
  <c r="Q263" i="6"/>
  <c r="Q257" i="6"/>
  <c r="Q252" i="6"/>
  <c r="Q247" i="6"/>
  <c r="Q241" i="6"/>
  <c r="Q236" i="6"/>
  <c r="Q231" i="6"/>
  <c r="Q225" i="6"/>
  <c r="Q220" i="6"/>
  <c r="Q215" i="6"/>
  <c r="Q209" i="6"/>
  <c r="Q204" i="6"/>
  <c r="Q199" i="6"/>
  <c r="Q193" i="6"/>
  <c r="Q188" i="6"/>
  <c r="Q183" i="6"/>
  <c r="Q177" i="6"/>
  <c r="Q172" i="6"/>
  <c r="Q167" i="6"/>
  <c r="Q161" i="6"/>
  <c r="Q156" i="6"/>
  <c r="Q151" i="6"/>
  <c r="Q145" i="6"/>
  <c r="Q140" i="6"/>
  <c r="Q135" i="6"/>
  <c r="Q129" i="6"/>
  <c r="Q124" i="6"/>
  <c r="Q119" i="6"/>
  <c r="Q113" i="6"/>
  <c r="Q108" i="6"/>
  <c r="Q103" i="6"/>
  <c r="Q97" i="6"/>
  <c r="Q92" i="6"/>
  <c r="Q87" i="6"/>
  <c r="Q81" i="6"/>
  <c r="Q76" i="6"/>
  <c r="Q71" i="6"/>
  <c r="Q65" i="6"/>
  <c r="Q60" i="6"/>
  <c r="Q55" i="6"/>
  <c r="Q49" i="6"/>
  <c r="Q44" i="6"/>
  <c r="Q39" i="6"/>
  <c r="Q33" i="6"/>
  <c r="Q28" i="6"/>
  <c r="Q23" i="6"/>
  <c r="Q17" i="6"/>
  <c r="Q12" i="6"/>
  <c r="BD12" i="6" s="1" a="1"/>
  <c r="BD12" i="6" s="1"/>
  <c r="BL9" i="6"/>
  <c r="BN42" i="6"/>
  <c r="BN43" i="6"/>
  <c r="BN44" i="6"/>
  <c r="BN45" i="6"/>
  <c r="BN46" i="6"/>
  <c r="BN47" i="6"/>
  <c r="BN48" i="6"/>
  <c r="BN49" i="6"/>
  <c r="BN50" i="6"/>
  <c r="BN51" i="6"/>
  <c r="BN52" i="6"/>
  <c r="BN53" i="6"/>
  <c r="BN54" i="6"/>
  <c r="BN55" i="6"/>
  <c r="BN56" i="6"/>
  <c r="BN57" i="6"/>
  <c r="BN58" i="6"/>
  <c r="BN59" i="6"/>
  <c r="BN60" i="6"/>
  <c r="BN61" i="6"/>
  <c r="BN62" i="6"/>
  <c r="BN63" i="6"/>
  <c r="BN64" i="6"/>
  <c r="BN65" i="6"/>
  <c r="BN66" i="6"/>
  <c r="BN67" i="6"/>
  <c r="BN68" i="6"/>
  <c r="BN10" i="6"/>
  <c r="BN11" i="6"/>
  <c r="BN12" i="6"/>
  <c r="BN13" i="6"/>
  <c r="BN14" i="6"/>
  <c r="BN15" i="6"/>
  <c r="BN16" i="6"/>
  <c r="BN17" i="6"/>
  <c r="BN18" i="6"/>
  <c r="BN19" i="6"/>
  <c r="BN20" i="6"/>
  <c r="BN21" i="6"/>
  <c r="BN22" i="6"/>
  <c r="BN23" i="6"/>
  <c r="BN24" i="6"/>
  <c r="BN25" i="6"/>
  <c r="BN26" i="6"/>
  <c r="BN27" i="6"/>
  <c r="BN28" i="6"/>
  <c r="BN29" i="6"/>
  <c r="BN30" i="6"/>
  <c r="BN31" i="6"/>
  <c r="BN32" i="6"/>
  <c r="BN33" i="6"/>
  <c r="BN34" i="6"/>
  <c r="BN35" i="6"/>
  <c r="BN36" i="6"/>
  <c r="BN37" i="6"/>
  <c r="BN38" i="6"/>
  <c r="BN39" i="6"/>
  <c r="BN40" i="6"/>
  <c r="BN41" i="6"/>
  <c r="BN9" i="6"/>
  <c r="Q5" i="3"/>
  <c r="Q6" i="3"/>
  <c r="Q7" i="3"/>
  <c r="Q8" i="3"/>
  <c r="Q9" i="3"/>
  <c r="Q10" i="3"/>
  <c r="Q11" i="3"/>
  <c r="Q12" i="3"/>
  <c r="Q13" i="3"/>
  <c r="Q14" i="3"/>
  <c r="Q15" i="3"/>
  <c r="Q16" i="3"/>
  <c r="Q17" i="3"/>
  <c r="Q4" i="3"/>
  <c r="BR9" i="6"/>
  <c r="BR10" i="6"/>
  <c r="BR11" i="6"/>
  <c r="BR12" i="6"/>
  <c r="BR13" i="6"/>
  <c r="BP9" i="6"/>
  <c r="BP10" i="6"/>
  <c r="BP11" i="6"/>
  <c r="BP12" i="6"/>
  <c r="BP13" i="6"/>
  <c r="BR8" i="6"/>
  <c r="BP8" i="6"/>
  <c r="BJ9" i="6"/>
  <c r="BJ10" i="6"/>
  <c r="BJ11" i="6"/>
  <c r="BJ12" i="6"/>
  <c r="BJ13" i="6"/>
  <c r="BJ14" i="6"/>
  <c r="BJ15" i="6"/>
  <c r="BJ16" i="6"/>
  <c r="BJ17" i="6"/>
  <c r="BJ18" i="6"/>
  <c r="BJ19" i="6"/>
  <c r="BJ20" i="6"/>
  <c r="BJ21" i="6"/>
  <c r="BJ8" i="6"/>
  <c r="BH9" i="6"/>
  <c r="BH10" i="6"/>
  <c r="BH11" i="6"/>
  <c r="BH12" i="6"/>
  <c r="BH13" i="6"/>
  <c r="BH14" i="6"/>
  <c r="BH15" i="6"/>
  <c r="BH16" i="6"/>
  <c r="BH17" i="6"/>
  <c r="BH18" i="6"/>
  <c r="BH19" i="6"/>
  <c r="BH20" i="6"/>
  <c r="BH21" i="6"/>
  <c r="BH22" i="6"/>
  <c r="BH23" i="6"/>
  <c r="BH24" i="6"/>
  <c r="BH25" i="6"/>
  <c r="BH26" i="6"/>
  <c r="BH27" i="6"/>
  <c r="BH28" i="6"/>
  <c r="BH29" i="6"/>
  <c r="BH30" i="6"/>
  <c r="BH31" i="6"/>
  <c r="BH32" i="6"/>
  <c r="BH33" i="6"/>
  <c r="BH34" i="6"/>
  <c r="BH35" i="6"/>
  <c r="BH36" i="6"/>
  <c r="BH37" i="6"/>
  <c r="BH38" i="6"/>
  <c r="BH39" i="6"/>
  <c r="BH40" i="6"/>
  <c r="BH41" i="6"/>
  <c r="BH8" i="6"/>
  <c r="BD14" i="6" l="1" a="1"/>
  <c r="BD14" i="6" s="1"/>
  <c r="BD13" i="6" a="1"/>
  <c r="BD13" i="6" s="1"/>
  <c r="L13" i="3" l="1"/>
  <c r="L15" i="3"/>
  <c r="L16" i="3" l="1"/>
  <c r="L9" i="3" l="1"/>
  <c r="L10" i="3"/>
  <c r="L21" i="3"/>
  <c r="L14" i="3"/>
  <c r="L17" i="3"/>
  <c r="L18" i="3"/>
  <c r="L22" i="3"/>
  <c r="L23" i="3"/>
  <c r="L24" i="3"/>
  <c r="L25" i="3"/>
  <c r="L26" i="3"/>
  <c r="L27" i="3"/>
  <c r="L28" i="3"/>
  <c r="L29" i="3"/>
  <c r="L30" i="3"/>
  <c r="L31" i="3"/>
  <c r="L32" i="3"/>
  <c r="L33" i="3"/>
  <c r="L34" i="3"/>
  <c r="L35" i="3"/>
  <c r="L36" i="3"/>
  <c r="L37" i="3"/>
  <c r="L38" i="3"/>
  <c r="L39" i="3"/>
  <c r="K9" i="3"/>
  <c r="K10" i="3"/>
  <c r="K20" i="3"/>
  <c r="K13" i="3"/>
  <c r="K21" i="3"/>
  <c r="K14" i="3"/>
  <c r="K15" i="3"/>
  <c r="K16" i="3"/>
  <c r="K17" i="3"/>
  <c r="K18" i="3"/>
  <c r="K22" i="3"/>
  <c r="K23" i="3"/>
  <c r="K24" i="3"/>
  <c r="K25" i="3"/>
  <c r="K26" i="3"/>
  <c r="K27" i="3"/>
  <c r="K28" i="3"/>
  <c r="K29" i="3"/>
  <c r="K30" i="3"/>
  <c r="K31" i="3"/>
  <c r="K32" i="3"/>
  <c r="K33" i="3"/>
  <c r="K34" i="3"/>
  <c r="K35" i="3"/>
  <c r="K36" i="3"/>
  <c r="K37" i="3"/>
  <c r="K38" i="3"/>
  <c r="K39" i="3"/>
  <c r="B89" i="4"/>
  <c r="B88" i="4"/>
  <c r="B90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4" i="4"/>
  <c r="B105" i="4"/>
  <c r="B106" i="4"/>
  <c r="B107" i="4"/>
  <c r="F10" i="2"/>
  <c r="F9" i="2"/>
  <c r="B14" i="2"/>
  <c r="B13" i="2"/>
  <c r="B10" i="2"/>
  <c r="B9" i="2"/>
  <c r="Z55" i="4"/>
  <c r="Y55" i="4"/>
  <c r="X55" i="4"/>
  <c r="W55" i="4"/>
  <c r="V55" i="4"/>
  <c r="U55" i="4"/>
  <c r="T55" i="4"/>
  <c r="S55" i="4"/>
  <c r="R55" i="4"/>
  <c r="Q55" i="4"/>
  <c r="P55" i="4"/>
  <c r="O55" i="4"/>
  <c r="N55" i="4"/>
  <c r="M55" i="4"/>
  <c r="L55" i="4"/>
  <c r="K55" i="4"/>
  <c r="J55" i="4"/>
  <c r="I55" i="4"/>
  <c r="H55" i="4"/>
  <c r="G55" i="4"/>
  <c r="F55" i="4"/>
  <c r="D55" i="4"/>
  <c r="B9" i="4"/>
  <c r="B10" i="4"/>
  <c r="B11" i="4"/>
  <c r="B12" i="4"/>
  <c r="B13" i="4"/>
  <c r="B14" i="4"/>
  <c r="B15" i="4"/>
  <c r="B16" i="4"/>
  <c r="B17" i="4"/>
  <c r="B18" i="4"/>
  <c r="B19" i="4"/>
  <c r="B8" i="4"/>
  <c r="X8" i="4" s="1"/>
  <c r="M39" i="3"/>
  <c r="M38" i="3"/>
  <c r="M37" i="3"/>
  <c r="M36" i="3"/>
  <c r="M35" i="3"/>
  <c r="M34" i="3"/>
  <c r="M33" i="3"/>
  <c r="M32" i="3"/>
  <c r="M31" i="3"/>
  <c r="M30" i="3"/>
  <c r="M29" i="3"/>
  <c r="M28" i="3"/>
  <c r="M27" i="3"/>
  <c r="M26" i="3"/>
  <c r="M25" i="3"/>
  <c r="M24" i="3"/>
  <c r="M23" i="3"/>
  <c r="M22" i="3"/>
  <c r="M19" i="3"/>
  <c r="M18" i="3"/>
  <c r="M17" i="3"/>
  <c r="M16" i="3"/>
  <c r="M15" i="3"/>
  <c r="M14" i="3"/>
  <c r="M21" i="3"/>
  <c r="M13" i="3"/>
  <c r="M12" i="3"/>
  <c r="M20" i="3"/>
  <c r="M11" i="3"/>
  <c r="M10" i="3"/>
  <c r="M9" i="3"/>
  <c r="M8" i="3"/>
  <c r="M7" i="3"/>
  <c r="M6" i="3"/>
  <c r="M5" i="3"/>
  <c r="M4" i="3"/>
  <c r="C28" i="2"/>
  <c r="B34" i="2"/>
  <c r="F26" i="2"/>
  <c r="F25" i="2"/>
  <c r="F24" i="2"/>
  <c r="F23" i="2"/>
  <c r="E26" i="2"/>
  <c r="E25" i="2"/>
  <c r="E24" i="2"/>
  <c r="E23" i="2"/>
  <c r="B26" i="2"/>
  <c r="B25" i="2"/>
  <c r="B24" i="2"/>
  <c r="F20" i="2"/>
  <c r="F19" i="2"/>
  <c r="F18" i="2"/>
  <c r="E20" i="2"/>
  <c r="E19" i="2"/>
  <c r="E17" i="2"/>
  <c r="E18" i="2"/>
  <c r="B23" i="2"/>
  <c r="B20" i="2"/>
  <c r="B19" i="2"/>
  <c r="B18" i="2"/>
  <c r="B17" i="2"/>
  <c r="G3" i="6"/>
  <c r="K8" i="4" l="1"/>
  <c r="N8" i="4"/>
  <c r="E45" i="4"/>
  <c r="I45" i="4"/>
  <c r="M45" i="4"/>
  <c r="Q45" i="4"/>
  <c r="U45" i="4"/>
  <c r="Y45" i="4"/>
  <c r="F45" i="4"/>
  <c r="J45" i="4"/>
  <c r="N45" i="4"/>
  <c r="R45" i="4"/>
  <c r="V45" i="4"/>
  <c r="Z45" i="4"/>
  <c r="C45" i="4"/>
  <c r="G45" i="4"/>
  <c r="K45" i="4"/>
  <c r="O45" i="4"/>
  <c r="S45" i="4"/>
  <c r="W45" i="4"/>
  <c r="H45" i="4"/>
  <c r="X45" i="4"/>
  <c r="L45" i="4"/>
  <c r="P45" i="4"/>
  <c r="D45" i="4"/>
  <c r="T45" i="4"/>
  <c r="E41" i="4"/>
  <c r="I41" i="4"/>
  <c r="M41" i="4"/>
  <c r="Q41" i="4"/>
  <c r="U41" i="4"/>
  <c r="Y41" i="4"/>
  <c r="F41" i="4"/>
  <c r="J41" i="4"/>
  <c r="N41" i="4"/>
  <c r="R41" i="4"/>
  <c r="V41" i="4"/>
  <c r="Z41" i="4"/>
  <c r="H41" i="4"/>
  <c r="P41" i="4"/>
  <c r="C41" i="4"/>
  <c r="G41" i="4"/>
  <c r="K41" i="4"/>
  <c r="O41" i="4"/>
  <c r="S41" i="4"/>
  <c r="W41" i="4"/>
  <c r="D41" i="4"/>
  <c r="L41" i="4"/>
  <c r="T41" i="4"/>
  <c r="X41" i="4"/>
  <c r="E37" i="4"/>
  <c r="I37" i="4"/>
  <c r="M37" i="4"/>
  <c r="Q37" i="4"/>
  <c r="U37" i="4"/>
  <c r="Y37" i="4"/>
  <c r="F37" i="4"/>
  <c r="J37" i="4"/>
  <c r="N37" i="4"/>
  <c r="R37" i="4"/>
  <c r="V37" i="4"/>
  <c r="Z37" i="4"/>
  <c r="H37" i="4"/>
  <c r="P37" i="4"/>
  <c r="X37" i="4"/>
  <c r="C37" i="4"/>
  <c r="G37" i="4"/>
  <c r="K37" i="4"/>
  <c r="O37" i="4"/>
  <c r="S37" i="4"/>
  <c r="W37" i="4"/>
  <c r="D37" i="4"/>
  <c r="L37" i="4"/>
  <c r="T37" i="4"/>
  <c r="E33" i="4"/>
  <c r="I33" i="4"/>
  <c r="M33" i="4"/>
  <c r="Q33" i="4"/>
  <c r="U33" i="4"/>
  <c r="Y33" i="4"/>
  <c r="F33" i="4"/>
  <c r="J33" i="4"/>
  <c r="N33" i="4"/>
  <c r="R33" i="4"/>
  <c r="V33" i="4"/>
  <c r="Z33" i="4"/>
  <c r="D33" i="4"/>
  <c r="L33" i="4"/>
  <c r="T33" i="4"/>
  <c r="C33" i="4"/>
  <c r="G33" i="4"/>
  <c r="K33" i="4"/>
  <c r="O33" i="4"/>
  <c r="S33" i="4"/>
  <c r="W33" i="4"/>
  <c r="H33" i="4"/>
  <c r="P33" i="4"/>
  <c r="X33" i="4"/>
  <c r="D29" i="4"/>
  <c r="H29" i="4"/>
  <c r="L29" i="4"/>
  <c r="P29" i="4"/>
  <c r="T29" i="4"/>
  <c r="X29" i="4"/>
  <c r="E29" i="4"/>
  <c r="I29" i="4"/>
  <c r="M29" i="4"/>
  <c r="Q29" i="4"/>
  <c r="U29" i="4"/>
  <c r="Y29" i="4"/>
  <c r="F29" i="4"/>
  <c r="J29" i="4"/>
  <c r="N29" i="4"/>
  <c r="R29" i="4"/>
  <c r="V29" i="4"/>
  <c r="Z29" i="4"/>
  <c r="O29" i="4"/>
  <c r="C29" i="4"/>
  <c r="S29" i="4"/>
  <c r="K29" i="4"/>
  <c r="G29" i="4"/>
  <c r="W29" i="4"/>
  <c r="C25" i="4"/>
  <c r="G25" i="4"/>
  <c r="K25" i="4"/>
  <c r="O25" i="4"/>
  <c r="S25" i="4"/>
  <c r="W25" i="4"/>
  <c r="H25" i="4"/>
  <c r="M25" i="4"/>
  <c r="R25" i="4"/>
  <c r="X25" i="4"/>
  <c r="D25" i="4"/>
  <c r="I25" i="4"/>
  <c r="N25" i="4"/>
  <c r="T25" i="4"/>
  <c r="Y25" i="4"/>
  <c r="E25" i="4"/>
  <c r="J25" i="4"/>
  <c r="P25" i="4"/>
  <c r="U25" i="4"/>
  <c r="Z25" i="4"/>
  <c r="F25" i="4"/>
  <c r="L25" i="4"/>
  <c r="Q25" i="4"/>
  <c r="V25" i="4"/>
  <c r="C21" i="4"/>
  <c r="G21" i="4"/>
  <c r="K21" i="4"/>
  <c r="O21" i="4"/>
  <c r="S21" i="4"/>
  <c r="W21" i="4"/>
  <c r="D21" i="4"/>
  <c r="I21" i="4"/>
  <c r="N21" i="4"/>
  <c r="T21" i="4"/>
  <c r="Y21" i="4"/>
  <c r="H21" i="4"/>
  <c r="P21" i="4"/>
  <c r="V21" i="4"/>
  <c r="J21" i="4"/>
  <c r="Q21" i="4"/>
  <c r="X21" i="4"/>
  <c r="E21" i="4"/>
  <c r="L21" i="4"/>
  <c r="R21" i="4"/>
  <c r="Z21" i="4"/>
  <c r="F21" i="4"/>
  <c r="M21" i="4"/>
  <c r="U21" i="4"/>
  <c r="C17" i="4"/>
  <c r="G17" i="4"/>
  <c r="K17" i="4"/>
  <c r="O17" i="4"/>
  <c r="S17" i="4"/>
  <c r="W17" i="4"/>
  <c r="D17" i="4"/>
  <c r="I17" i="4"/>
  <c r="N17" i="4"/>
  <c r="T17" i="4"/>
  <c r="Y17" i="4"/>
  <c r="E17" i="4"/>
  <c r="L17" i="4"/>
  <c r="R17" i="4"/>
  <c r="Z17" i="4"/>
  <c r="F17" i="4"/>
  <c r="U17" i="4"/>
  <c r="H17" i="4"/>
  <c r="P17" i="4"/>
  <c r="V17" i="4"/>
  <c r="Q17" i="4"/>
  <c r="X17" i="4"/>
  <c r="J17" i="4"/>
  <c r="G13" i="4"/>
  <c r="K13" i="4"/>
  <c r="O13" i="4"/>
  <c r="S13" i="4"/>
  <c r="W13" i="4"/>
  <c r="I13" i="4"/>
  <c r="N13" i="4"/>
  <c r="T13" i="4"/>
  <c r="Y13" i="4"/>
  <c r="H13" i="4"/>
  <c r="P13" i="4"/>
  <c r="V13" i="4"/>
  <c r="J13" i="4"/>
  <c r="Q13" i="4"/>
  <c r="X13" i="4"/>
  <c r="E13" i="4"/>
  <c r="L13" i="4"/>
  <c r="R13" i="4"/>
  <c r="Z13" i="4"/>
  <c r="F13" i="4"/>
  <c r="U13" i="4"/>
  <c r="M13" i="4"/>
  <c r="C9" i="4"/>
  <c r="G9" i="4"/>
  <c r="K9" i="4"/>
  <c r="O9" i="4"/>
  <c r="S9" i="4"/>
  <c r="W9" i="4"/>
  <c r="D9" i="4"/>
  <c r="I9" i="4"/>
  <c r="N9" i="4"/>
  <c r="T9" i="4"/>
  <c r="Y9" i="4"/>
  <c r="E9" i="4"/>
  <c r="L9" i="4"/>
  <c r="R9" i="4"/>
  <c r="Z9" i="4"/>
  <c r="F9" i="4"/>
  <c r="M9" i="4"/>
  <c r="U9" i="4"/>
  <c r="H9" i="4"/>
  <c r="P9" i="4"/>
  <c r="V9" i="4"/>
  <c r="J9" i="4"/>
  <c r="Q9" i="4"/>
  <c r="X9" i="4"/>
  <c r="C9" i="2"/>
  <c r="E48" i="4"/>
  <c r="I48" i="4"/>
  <c r="M48" i="4"/>
  <c r="Q48" i="4"/>
  <c r="U48" i="4"/>
  <c r="Y48" i="4"/>
  <c r="F48" i="4"/>
  <c r="J48" i="4"/>
  <c r="N48" i="4"/>
  <c r="R48" i="4"/>
  <c r="V48" i="4"/>
  <c r="Z48" i="4"/>
  <c r="C48" i="4"/>
  <c r="G48" i="4"/>
  <c r="K48" i="4"/>
  <c r="O48" i="4"/>
  <c r="S48" i="4"/>
  <c r="W48" i="4"/>
  <c r="P48" i="4"/>
  <c r="D48" i="4"/>
  <c r="T48" i="4"/>
  <c r="H48" i="4"/>
  <c r="X48" i="4"/>
  <c r="L48" i="4"/>
  <c r="E44" i="4"/>
  <c r="I44" i="4"/>
  <c r="M44" i="4"/>
  <c r="Q44" i="4"/>
  <c r="U44" i="4"/>
  <c r="Y44" i="4"/>
  <c r="F44" i="4"/>
  <c r="J44" i="4"/>
  <c r="N44" i="4"/>
  <c r="R44" i="4"/>
  <c r="V44" i="4"/>
  <c r="Z44" i="4"/>
  <c r="C44" i="4"/>
  <c r="G44" i="4"/>
  <c r="K44" i="4"/>
  <c r="O44" i="4"/>
  <c r="S44" i="4"/>
  <c r="W44" i="4"/>
  <c r="P44" i="4"/>
  <c r="D44" i="4"/>
  <c r="T44" i="4"/>
  <c r="H44" i="4"/>
  <c r="X44" i="4"/>
  <c r="L44" i="4"/>
  <c r="E40" i="4"/>
  <c r="I40" i="4"/>
  <c r="M40" i="4"/>
  <c r="Q40" i="4"/>
  <c r="U40" i="4"/>
  <c r="Y40" i="4"/>
  <c r="F40" i="4"/>
  <c r="J40" i="4"/>
  <c r="N40" i="4"/>
  <c r="R40" i="4"/>
  <c r="V40" i="4"/>
  <c r="Z40" i="4"/>
  <c r="H40" i="4"/>
  <c r="P40" i="4"/>
  <c r="X40" i="4"/>
  <c r="C40" i="4"/>
  <c r="G40" i="4"/>
  <c r="K40" i="4"/>
  <c r="O40" i="4"/>
  <c r="S40" i="4"/>
  <c r="W40" i="4"/>
  <c r="D40" i="4"/>
  <c r="L40" i="4"/>
  <c r="T40" i="4"/>
  <c r="E36" i="4"/>
  <c r="I36" i="4"/>
  <c r="M36" i="4"/>
  <c r="Q36" i="4"/>
  <c r="U36" i="4"/>
  <c r="Y36" i="4"/>
  <c r="F36" i="4"/>
  <c r="J36" i="4"/>
  <c r="N36" i="4"/>
  <c r="R36" i="4"/>
  <c r="V36" i="4"/>
  <c r="Z36" i="4"/>
  <c r="H36" i="4"/>
  <c r="P36" i="4"/>
  <c r="X36" i="4"/>
  <c r="C36" i="4"/>
  <c r="G36" i="4"/>
  <c r="K36" i="4"/>
  <c r="O36" i="4"/>
  <c r="S36" i="4"/>
  <c r="W36" i="4"/>
  <c r="D36" i="4"/>
  <c r="L36" i="4"/>
  <c r="T36" i="4"/>
  <c r="D32" i="4"/>
  <c r="H32" i="4"/>
  <c r="L32" i="4"/>
  <c r="P32" i="4"/>
  <c r="T32" i="4"/>
  <c r="X32" i="4"/>
  <c r="F32" i="4"/>
  <c r="J32" i="4"/>
  <c r="N32" i="4"/>
  <c r="R32" i="4"/>
  <c r="V32" i="4"/>
  <c r="Z32" i="4"/>
  <c r="G32" i="4"/>
  <c r="O32" i="4"/>
  <c r="W32" i="4"/>
  <c r="I32" i="4"/>
  <c r="Q32" i="4"/>
  <c r="Y32" i="4"/>
  <c r="M32" i="4"/>
  <c r="C32" i="4"/>
  <c r="K32" i="4"/>
  <c r="S32" i="4"/>
  <c r="E32" i="4"/>
  <c r="U32" i="4"/>
  <c r="D28" i="4"/>
  <c r="H28" i="4"/>
  <c r="L28" i="4"/>
  <c r="P28" i="4"/>
  <c r="T28" i="4"/>
  <c r="X28" i="4"/>
  <c r="E28" i="4"/>
  <c r="I28" i="4"/>
  <c r="M28" i="4"/>
  <c r="Q28" i="4"/>
  <c r="U28" i="4"/>
  <c r="Y28" i="4"/>
  <c r="F28" i="4"/>
  <c r="J28" i="4"/>
  <c r="N28" i="4"/>
  <c r="R28" i="4"/>
  <c r="V28" i="4"/>
  <c r="Z28" i="4"/>
  <c r="G28" i="4"/>
  <c r="W28" i="4"/>
  <c r="K28" i="4"/>
  <c r="C28" i="4"/>
  <c r="O28" i="4"/>
  <c r="S28" i="4"/>
  <c r="C24" i="4"/>
  <c r="G24" i="4"/>
  <c r="K24" i="4"/>
  <c r="O24" i="4"/>
  <c r="S24" i="4"/>
  <c r="W24" i="4"/>
  <c r="E24" i="4"/>
  <c r="J24" i="4"/>
  <c r="P24" i="4"/>
  <c r="U24" i="4"/>
  <c r="Z24" i="4"/>
  <c r="F24" i="4"/>
  <c r="L24" i="4"/>
  <c r="Q24" i="4"/>
  <c r="V24" i="4"/>
  <c r="H24" i="4"/>
  <c r="M24" i="4"/>
  <c r="R24" i="4"/>
  <c r="X24" i="4"/>
  <c r="I24" i="4"/>
  <c r="N24" i="4"/>
  <c r="Y24" i="4"/>
  <c r="T24" i="4"/>
  <c r="D24" i="4"/>
  <c r="C20" i="4"/>
  <c r="G20" i="4"/>
  <c r="K20" i="4"/>
  <c r="O20" i="4"/>
  <c r="S20" i="4"/>
  <c r="W20" i="4"/>
  <c r="F20" i="4"/>
  <c r="L20" i="4"/>
  <c r="Q20" i="4"/>
  <c r="V20" i="4"/>
  <c r="D20" i="4"/>
  <c r="J20" i="4"/>
  <c r="R20" i="4"/>
  <c r="Y20" i="4"/>
  <c r="E20" i="4"/>
  <c r="M20" i="4"/>
  <c r="T20" i="4"/>
  <c r="Z20" i="4"/>
  <c r="H20" i="4"/>
  <c r="N20" i="4"/>
  <c r="U20" i="4"/>
  <c r="I20" i="4"/>
  <c r="X20" i="4"/>
  <c r="P20" i="4"/>
  <c r="C16" i="4"/>
  <c r="G16" i="4"/>
  <c r="K16" i="4"/>
  <c r="O16" i="4"/>
  <c r="S16" i="4"/>
  <c r="W16" i="4"/>
  <c r="F16" i="4"/>
  <c r="L16" i="4"/>
  <c r="Q16" i="4"/>
  <c r="V16" i="4"/>
  <c r="H16" i="4"/>
  <c r="N16" i="4"/>
  <c r="U16" i="4"/>
  <c r="I16" i="4"/>
  <c r="P16" i="4"/>
  <c r="X16" i="4"/>
  <c r="D16" i="4"/>
  <c r="J16" i="4"/>
  <c r="R16" i="4"/>
  <c r="Y16" i="4"/>
  <c r="M16" i="4"/>
  <c r="T16" i="4"/>
  <c r="E16" i="4"/>
  <c r="Z16" i="4"/>
  <c r="G12" i="4"/>
  <c r="K12" i="4"/>
  <c r="O12" i="4"/>
  <c r="S12" i="4"/>
  <c r="W12" i="4"/>
  <c r="F12" i="4"/>
  <c r="L12" i="4"/>
  <c r="Q12" i="4"/>
  <c r="V12" i="4"/>
  <c r="R12" i="4"/>
  <c r="Y12" i="4"/>
  <c r="E12" i="4"/>
  <c r="T12" i="4"/>
  <c r="Z12" i="4"/>
  <c r="H12" i="4"/>
  <c r="U12" i="4"/>
  <c r="X12" i="4"/>
  <c r="P12" i="4"/>
  <c r="S8" i="4"/>
  <c r="E47" i="4"/>
  <c r="I47" i="4"/>
  <c r="M47" i="4"/>
  <c r="Q47" i="4"/>
  <c r="U47" i="4"/>
  <c r="Y47" i="4"/>
  <c r="F47" i="4"/>
  <c r="J47" i="4"/>
  <c r="N47" i="4"/>
  <c r="R47" i="4"/>
  <c r="V47" i="4"/>
  <c r="Z47" i="4"/>
  <c r="C47" i="4"/>
  <c r="G47" i="4"/>
  <c r="K47" i="4"/>
  <c r="O47" i="4"/>
  <c r="S47" i="4"/>
  <c r="W47" i="4"/>
  <c r="H47" i="4"/>
  <c r="X47" i="4"/>
  <c r="L47" i="4"/>
  <c r="P47" i="4"/>
  <c r="D47" i="4"/>
  <c r="T47" i="4"/>
  <c r="E43" i="4"/>
  <c r="I43" i="4"/>
  <c r="M43" i="4"/>
  <c r="Q43" i="4"/>
  <c r="U43" i="4"/>
  <c r="Y43" i="4"/>
  <c r="F43" i="4"/>
  <c r="J43" i="4"/>
  <c r="N43" i="4"/>
  <c r="R43" i="4"/>
  <c r="V43" i="4"/>
  <c r="Z43" i="4"/>
  <c r="C43" i="4"/>
  <c r="G43" i="4"/>
  <c r="K43" i="4"/>
  <c r="O43" i="4"/>
  <c r="S43" i="4"/>
  <c r="W43" i="4"/>
  <c r="H43" i="4"/>
  <c r="X43" i="4"/>
  <c r="L43" i="4"/>
  <c r="P43" i="4"/>
  <c r="D43" i="4"/>
  <c r="T43" i="4"/>
  <c r="E39" i="4"/>
  <c r="I39" i="4"/>
  <c r="M39" i="4"/>
  <c r="Q39" i="4"/>
  <c r="U39" i="4"/>
  <c r="Y39" i="4"/>
  <c r="F39" i="4"/>
  <c r="J39" i="4"/>
  <c r="N39" i="4"/>
  <c r="R39" i="4"/>
  <c r="V39" i="4"/>
  <c r="Z39" i="4"/>
  <c r="H39" i="4"/>
  <c r="P39" i="4"/>
  <c r="X39" i="4"/>
  <c r="C39" i="4"/>
  <c r="G39" i="4"/>
  <c r="K39" i="4"/>
  <c r="O39" i="4"/>
  <c r="S39" i="4"/>
  <c r="W39" i="4"/>
  <c r="D39" i="4"/>
  <c r="L39" i="4"/>
  <c r="T39" i="4"/>
  <c r="E35" i="4"/>
  <c r="I35" i="4"/>
  <c r="M35" i="4"/>
  <c r="Q35" i="4"/>
  <c r="U35" i="4"/>
  <c r="Y35" i="4"/>
  <c r="F35" i="4"/>
  <c r="J35" i="4"/>
  <c r="N35" i="4"/>
  <c r="R35" i="4"/>
  <c r="V35" i="4"/>
  <c r="Z35" i="4"/>
  <c r="H35" i="4"/>
  <c r="P35" i="4"/>
  <c r="X35" i="4"/>
  <c r="C35" i="4"/>
  <c r="G35" i="4"/>
  <c r="K35" i="4"/>
  <c r="O35" i="4"/>
  <c r="S35" i="4"/>
  <c r="W35" i="4"/>
  <c r="D35" i="4"/>
  <c r="L35" i="4"/>
  <c r="T35" i="4"/>
  <c r="D31" i="4"/>
  <c r="H31" i="4"/>
  <c r="L31" i="4"/>
  <c r="P31" i="4"/>
  <c r="T31" i="4"/>
  <c r="X31" i="4"/>
  <c r="F31" i="4"/>
  <c r="J31" i="4"/>
  <c r="N31" i="4"/>
  <c r="R31" i="4"/>
  <c r="V31" i="4"/>
  <c r="Z31" i="4"/>
  <c r="G31" i="4"/>
  <c r="O31" i="4"/>
  <c r="W31" i="4"/>
  <c r="I31" i="4"/>
  <c r="Q31" i="4"/>
  <c r="Y31" i="4"/>
  <c r="E31" i="4"/>
  <c r="U31" i="4"/>
  <c r="C31" i="4"/>
  <c r="K31" i="4"/>
  <c r="S31" i="4"/>
  <c r="M31" i="4"/>
  <c r="D27" i="4"/>
  <c r="H27" i="4"/>
  <c r="L27" i="4"/>
  <c r="P27" i="4"/>
  <c r="T27" i="4"/>
  <c r="X27" i="4"/>
  <c r="E27" i="4"/>
  <c r="I27" i="4"/>
  <c r="M27" i="4"/>
  <c r="Q27" i="4"/>
  <c r="U27" i="4"/>
  <c r="Y27" i="4"/>
  <c r="F27" i="4"/>
  <c r="J27" i="4"/>
  <c r="N27" i="4"/>
  <c r="R27" i="4"/>
  <c r="V27" i="4"/>
  <c r="Z27" i="4"/>
  <c r="O27" i="4"/>
  <c r="C27" i="4"/>
  <c r="S27" i="4"/>
  <c r="G27" i="4"/>
  <c r="W27" i="4"/>
  <c r="K27" i="4"/>
  <c r="C23" i="4"/>
  <c r="G23" i="4"/>
  <c r="K23" i="4"/>
  <c r="O23" i="4"/>
  <c r="S23" i="4"/>
  <c r="W23" i="4"/>
  <c r="H23" i="4"/>
  <c r="M23" i="4"/>
  <c r="R23" i="4"/>
  <c r="X23" i="4"/>
  <c r="D23" i="4"/>
  <c r="I23" i="4"/>
  <c r="N23" i="4"/>
  <c r="T23" i="4"/>
  <c r="Y23" i="4"/>
  <c r="E23" i="4"/>
  <c r="J23" i="4"/>
  <c r="P23" i="4"/>
  <c r="U23" i="4"/>
  <c r="Z23" i="4"/>
  <c r="L23" i="4"/>
  <c r="Q23" i="4"/>
  <c r="F23" i="4"/>
  <c r="V23" i="4"/>
  <c r="C19" i="4"/>
  <c r="G19" i="4"/>
  <c r="K19" i="4"/>
  <c r="O19" i="4"/>
  <c r="S19" i="4"/>
  <c r="W19" i="4"/>
  <c r="D19" i="4"/>
  <c r="I19" i="4"/>
  <c r="N19" i="4"/>
  <c r="T19" i="4"/>
  <c r="Y19" i="4"/>
  <c r="F19" i="4"/>
  <c r="M19" i="4"/>
  <c r="U19" i="4"/>
  <c r="H19" i="4"/>
  <c r="P19" i="4"/>
  <c r="V19" i="4"/>
  <c r="J19" i="4"/>
  <c r="Q19" i="4"/>
  <c r="X19" i="4"/>
  <c r="Z19" i="4"/>
  <c r="E19" i="4"/>
  <c r="L19" i="4"/>
  <c r="R19" i="4"/>
  <c r="C15" i="4"/>
  <c r="G15" i="4"/>
  <c r="K15" i="4"/>
  <c r="O15" i="4"/>
  <c r="S15" i="4"/>
  <c r="W15" i="4"/>
  <c r="D15" i="4"/>
  <c r="I15" i="4"/>
  <c r="N15" i="4"/>
  <c r="T15" i="4"/>
  <c r="Y15" i="4"/>
  <c r="J15" i="4"/>
  <c r="Q15" i="4"/>
  <c r="X15" i="4"/>
  <c r="E15" i="4"/>
  <c r="L15" i="4"/>
  <c r="R15" i="4"/>
  <c r="Z15" i="4"/>
  <c r="F15" i="4"/>
  <c r="U15" i="4"/>
  <c r="H15" i="4"/>
  <c r="P15" i="4"/>
  <c r="V15" i="4"/>
  <c r="G11" i="4"/>
  <c r="K11" i="4"/>
  <c r="O11" i="4"/>
  <c r="S11" i="4"/>
  <c r="W11" i="4"/>
  <c r="T11" i="4"/>
  <c r="Y11" i="4"/>
  <c r="F11" i="4"/>
  <c r="H11" i="4"/>
  <c r="P11" i="4"/>
  <c r="Q11" i="4"/>
  <c r="X11" i="4"/>
  <c r="R11" i="4"/>
  <c r="Z11" i="4"/>
  <c r="L11" i="4"/>
  <c r="E11" i="4"/>
  <c r="V8" i="4"/>
  <c r="E46" i="4"/>
  <c r="I46" i="4"/>
  <c r="M46" i="4"/>
  <c r="Q46" i="4"/>
  <c r="U46" i="4"/>
  <c r="Y46" i="4"/>
  <c r="F46" i="4"/>
  <c r="J46" i="4"/>
  <c r="N46" i="4"/>
  <c r="R46" i="4"/>
  <c r="V46" i="4"/>
  <c r="Z46" i="4"/>
  <c r="C46" i="4"/>
  <c r="G46" i="4"/>
  <c r="K46" i="4"/>
  <c r="O46" i="4"/>
  <c r="S46" i="4"/>
  <c r="W46" i="4"/>
  <c r="P46" i="4"/>
  <c r="D46" i="4"/>
  <c r="T46" i="4"/>
  <c r="H46" i="4"/>
  <c r="X46" i="4"/>
  <c r="L46" i="4"/>
  <c r="E42" i="4"/>
  <c r="I42" i="4"/>
  <c r="M42" i="4"/>
  <c r="Q42" i="4"/>
  <c r="U42" i="4"/>
  <c r="Y42" i="4"/>
  <c r="F42" i="4"/>
  <c r="J42" i="4"/>
  <c r="N42" i="4"/>
  <c r="R42" i="4"/>
  <c r="V42" i="4"/>
  <c r="Z42" i="4"/>
  <c r="C42" i="4"/>
  <c r="G42" i="4"/>
  <c r="K42" i="4"/>
  <c r="O42" i="4"/>
  <c r="S42" i="4"/>
  <c r="W42" i="4"/>
  <c r="P42" i="4"/>
  <c r="D42" i="4"/>
  <c r="T42" i="4"/>
  <c r="H42" i="4"/>
  <c r="X42" i="4"/>
  <c r="L42" i="4"/>
  <c r="E38" i="4"/>
  <c r="I38" i="4"/>
  <c r="M38" i="4"/>
  <c r="Q38" i="4"/>
  <c r="U38" i="4"/>
  <c r="Y38" i="4"/>
  <c r="F38" i="4"/>
  <c r="J38" i="4"/>
  <c r="N38" i="4"/>
  <c r="R38" i="4"/>
  <c r="V38" i="4"/>
  <c r="Z38" i="4"/>
  <c r="H38" i="4"/>
  <c r="P38" i="4"/>
  <c r="X38" i="4"/>
  <c r="C38" i="4"/>
  <c r="G38" i="4"/>
  <c r="K38" i="4"/>
  <c r="O38" i="4"/>
  <c r="S38" i="4"/>
  <c r="W38" i="4"/>
  <c r="D38" i="4"/>
  <c r="L38" i="4"/>
  <c r="T38" i="4"/>
  <c r="E34" i="4"/>
  <c r="I34" i="4"/>
  <c r="M34" i="4"/>
  <c r="Q34" i="4"/>
  <c r="U34" i="4"/>
  <c r="Y34" i="4"/>
  <c r="F34" i="4"/>
  <c r="J34" i="4"/>
  <c r="N34" i="4"/>
  <c r="R34" i="4"/>
  <c r="V34" i="4"/>
  <c r="Z34" i="4"/>
  <c r="L34" i="4"/>
  <c r="P34" i="4"/>
  <c r="X34" i="4"/>
  <c r="G34" i="4"/>
  <c r="K34" i="4"/>
  <c r="O34" i="4"/>
  <c r="S34" i="4"/>
  <c r="W34" i="4"/>
  <c r="H34" i="4"/>
  <c r="T34" i="4"/>
  <c r="D30" i="4"/>
  <c r="H30" i="4"/>
  <c r="L30" i="4"/>
  <c r="P30" i="4"/>
  <c r="T30" i="4"/>
  <c r="X30" i="4"/>
  <c r="E30" i="4"/>
  <c r="F30" i="4"/>
  <c r="J30" i="4"/>
  <c r="N30" i="4"/>
  <c r="R30" i="4"/>
  <c r="V30" i="4"/>
  <c r="Z30" i="4"/>
  <c r="G30" i="4"/>
  <c r="O30" i="4"/>
  <c r="W30" i="4"/>
  <c r="I30" i="4"/>
  <c r="Q30" i="4"/>
  <c r="Y30" i="4"/>
  <c r="M30" i="4"/>
  <c r="K30" i="4"/>
  <c r="S30" i="4"/>
  <c r="C30" i="4"/>
  <c r="U30" i="4"/>
  <c r="C26" i="4"/>
  <c r="G26" i="4"/>
  <c r="K26" i="4"/>
  <c r="O26" i="4"/>
  <c r="E26" i="4"/>
  <c r="J26" i="4"/>
  <c r="P26" i="4"/>
  <c r="T26" i="4"/>
  <c r="X26" i="4"/>
  <c r="F26" i="4"/>
  <c r="L26" i="4"/>
  <c r="Q26" i="4"/>
  <c r="U26" i="4"/>
  <c r="Y26" i="4"/>
  <c r="H26" i="4"/>
  <c r="M26" i="4"/>
  <c r="R26" i="4"/>
  <c r="V26" i="4"/>
  <c r="Z26" i="4"/>
  <c r="D26" i="4"/>
  <c r="W26" i="4"/>
  <c r="I26" i="4"/>
  <c r="S26" i="4"/>
  <c r="N26" i="4"/>
  <c r="C22" i="4"/>
  <c r="G22" i="4"/>
  <c r="K22" i="4"/>
  <c r="O22" i="4"/>
  <c r="S22" i="4"/>
  <c r="W22" i="4"/>
  <c r="F22" i="4"/>
  <c r="L22" i="4"/>
  <c r="Q22" i="4"/>
  <c r="V22" i="4"/>
  <c r="E22" i="4"/>
  <c r="M22" i="4"/>
  <c r="T22" i="4"/>
  <c r="Z22" i="4"/>
  <c r="H22" i="4"/>
  <c r="N22" i="4"/>
  <c r="U22" i="4"/>
  <c r="I22" i="4"/>
  <c r="P22" i="4"/>
  <c r="X22" i="4"/>
  <c r="J22" i="4"/>
  <c r="R22" i="4"/>
  <c r="Y22" i="4"/>
  <c r="D22" i="4"/>
  <c r="C18" i="4"/>
  <c r="G18" i="4"/>
  <c r="K18" i="4"/>
  <c r="O18" i="4"/>
  <c r="S18" i="4"/>
  <c r="W18" i="4"/>
  <c r="F18" i="4"/>
  <c r="L18" i="4"/>
  <c r="Q18" i="4"/>
  <c r="V18" i="4"/>
  <c r="I18" i="4"/>
  <c r="P18" i="4"/>
  <c r="X18" i="4"/>
  <c r="D18" i="4"/>
  <c r="J18" i="4"/>
  <c r="R18" i="4"/>
  <c r="Y18" i="4"/>
  <c r="E18" i="4"/>
  <c r="M18" i="4"/>
  <c r="T18" i="4"/>
  <c r="Z18" i="4"/>
  <c r="U18" i="4"/>
  <c r="N18" i="4"/>
  <c r="H18" i="4"/>
  <c r="G14" i="4"/>
  <c r="K14" i="4"/>
  <c r="O14" i="4"/>
  <c r="S14" i="4"/>
  <c r="W14" i="4"/>
  <c r="F14" i="4"/>
  <c r="L14" i="4"/>
  <c r="Q14" i="4"/>
  <c r="V14" i="4"/>
  <c r="E14" i="4"/>
  <c r="M14" i="4"/>
  <c r="T14" i="4"/>
  <c r="Z14" i="4"/>
  <c r="H14" i="4"/>
  <c r="N14" i="4"/>
  <c r="U14" i="4"/>
  <c r="I14" i="4"/>
  <c r="P14" i="4"/>
  <c r="X14" i="4"/>
  <c r="J14" i="4"/>
  <c r="Y14" i="4"/>
  <c r="R14" i="4"/>
  <c r="G10" i="4"/>
  <c r="O10" i="4"/>
  <c r="W10" i="4"/>
  <c r="Q10" i="4"/>
  <c r="P10" i="4"/>
  <c r="X10" i="4"/>
  <c r="R10" i="4"/>
  <c r="Y10" i="4"/>
  <c r="T10" i="4"/>
  <c r="Z10" i="4"/>
  <c r="H10" i="4"/>
  <c r="C13" i="2"/>
  <c r="C10" i="2"/>
  <c r="C14" i="2"/>
  <c r="I8" i="4"/>
  <c r="L8" i="4"/>
  <c r="Q8" i="4"/>
  <c r="T8" i="4"/>
  <c r="Y8" i="4"/>
  <c r="G8" i="4"/>
  <c r="J8" i="4"/>
  <c r="O8" i="4"/>
  <c r="R8" i="4"/>
  <c r="W8" i="4"/>
  <c r="Z8" i="4"/>
  <c r="H8" i="4"/>
  <c r="P8" i="4"/>
  <c r="U8" i="4"/>
  <c r="A2008" i="6"/>
  <c r="A2007" i="6"/>
  <c r="A2006" i="6"/>
  <c r="A2005" i="6"/>
  <c r="A2004" i="6"/>
  <c r="A2003" i="6"/>
  <c r="A2002" i="6"/>
  <c r="A2001" i="6"/>
  <c r="A2000" i="6"/>
  <c r="A1999" i="6"/>
  <c r="A1998" i="6"/>
  <c r="A1997" i="6"/>
  <c r="A1996" i="6"/>
  <c r="A1995" i="6"/>
  <c r="A1994" i="6"/>
  <c r="A1993" i="6"/>
  <c r="A1992" i="6"/>
  <c r="A1991" i="6"/>
  <c r="A1990" i="6"/>
  <c r="A1989" i="6"/>
  <c r="A1988" i="6"/>
  <c r="A1987" i="6"/>
  <c r="A1986" i="6"/>
  <c r="A1985" i="6"/>
  <c r="A1984" i="6"/>
  <c r="A1983" i="6"/>
  <c r="A1982" i="6"/>
  <c r="A1981" i="6"/>
  <c r="A1980" i="6"/>
  <c r="A1979" i="6"/>
  <c r="A1978" i="6"/>
  <c r="A1977" i="6"/>
  <c r="A1976" i="6"/>
  <c r="A1975" i="6"/>
  <c r="A1974" i="6"/>
  <c r="A1973" i="6"/>
  <c r="A1972" i="6"/>
  <c r="A1971" i="6"/>
  <c r="A1970" i="6"/>
  <c r="A1969" i="6"/>
  <c r="A1968" i="6"/>
  <c r="A1967" i="6"/>
  <c r="A1966" i="6"/>
  <c r="A1965" i="6"/>
  <c r="A1964" i="6"/>
  <c r="A1963" i="6"/>
  <c r="A1962" i="6"/>
  <c r="A1961" i="6"/>
  <c r="A1960" i="6"/>
  <c r="A1959" i="6"/>
  <c r="A1958" i="6"/>
  <c r="A1957" i="6"/>
  <c r="A1956" i="6"/>
  <c r="A1955" i="6"/>
  <c r="A1954" i="6"/>
  <c r="A1953" i="6"/>
  <c r="A1952" i="6"/>
  <c r="A1951" i="6"/>
  <c r="A1950" i="6"/>
  <c r="A1949" i="6"/>
  <c r="A1948" i="6"/>
  <c r="A1947" i="6"/>
  <c r="A1946" i="6"/>
  <c r="A1945" i="6"/>
  <c r="A1944" i="6"/>
  <c r="A1943" i="6"/>
  <c r="A1942" i="6"/>
  <c r="A1941" i="6"/>
  <c r="A1940" i="6"/>
  <c r="A1939" i="6"/>
  <c r="A1938" i="6"/>
  <c r="A1937" i="6"/>
  <c r="A1936" i="6"/>
  <c r="A1935" i="6"/>
  <c r="A1934" i="6"/>
  <c r="A1933" i="6"/>
  <c r="A1932" i="6"/>
  <c r="A1931" i="6"/>
  <c r="A1930" i="6"/>
  <c r="A1929" i="6"/>
  <c r="A1928" i="6"/>
  <c r="A1927" i="6"/>
  <c r="A1926" i="6"/>
  <c r="A1925" i="6"/>
  <c r="A1924" i="6"/>
  <c r="A1923" i="6"/>
  <c r="A1922" i="6"/>
  <c r="A1921" i="6"/>
  <c r="A1920" i="6"/>
  <c r="A1919" i="6"/>
  <c r="A1918" i="6"/>
  <c r="A1917" i="6"/>
  <c r="A1916" i="6"/>
  <c r="A1915" i="6"/>
  <c r="A1914" i="6"/>
  <c r="A1913" i="6"/>
  <c r="A1912" i="6"/>
  <c r="A1911" i="6"/>
  <c r="A1910" i="6"/>
  <c r="A1909" i="6"/>
  <c r="A1908" i="6"/>
  <c r="A1907" i="6"/>
  <c r="A1906" i="6"/>
  <c r="A1905" i="6"/>
  <c r="A1904" i="6"/>
  <c r="A1903" i="6"/>
  <c r="A1902" i="6"/>
  <c r="A1901" i="6"/>
  <c r="A1900" i="6"/>
  <c r="A1899" i="6"/>
  <c r="A1898" i="6"/>
  <c r="A1897" i="6"/>
  <c r="A1896" i="6"/>
  <c r="A1895" i="6"/>
  <c r="A1894" i="6"/>
  <c r="A1893" i="6"/>
  <c r="A1892" i="6"/>
  <c r="A1891" i="6"/>
  <c r="A1890" i="6"/>
  <c r="A1889" i="6"/>
  <c r="A1888" i="6"/>
  <c r="A1887" i="6"/>
  <c r="A1886" i="6"/>
  <c r="A1885" i="6"/>
  <c r="A1884" i="6"/>
  <c r="A1883" i="6"/>
  <c r="A1882" i="6"/>
  <c r="A1881" i="6"/>
  <c r="A1880" i="6"/>
  <c r="A1879" i="6"/>
  <c r="A1878" i="6"/>
  <c r="A1877" i="6"/>
  <c r="A1876" i="6"/>
  <c r="A1875" i="6"/>
  <c r="A1874" i="6"/>
  <c r="A1873" i="6"/>
  <c r="A1872" i="6"/>
  <c r="A1871" i="6"/>
  <c r="A1870" i="6"/>
  <c r="A1869" i="6"/>
  <c r="A1868" i="6"/>
  <c r="A1867" i="6"/>
  <c r="A1866" i="6"/>
  <c r="A1865" i="6"/>
  <c r="A1864" i="6"/>
  <c r="A1863" i="6"/>
  <c r="A1862" i="6"/>
  <c r="A1861" i="6"/>
  <c r="A1860" i="6"/>
  <c r="A1859" i="6"/>
  <c r="A1858" i="6"/>
  <c r="A1857" i="6"/>
  <c r="A1856" i="6"/>
  <c r="A1855" i="6"/>
  <c r="A1854" i="6"/>
  <c r="A1853" i="6"/>
  <c r="A1852" i="6"/>
  <c r="A1851" i="6"/>
  <c r="A1850" i="6"/>
  <c r="A1849" i="6"/>
  <c r="A1848" i="6"/>
  <c r="A1847" i="6"/>
  <c r="A1846" i="6"/>
  <c r="A1845" i="6"/>
  <c r="A1844" i="6"/>
  <c r="A1843" i="6"/>
  <c r="A1842" i="6"/>
  <c r="A1841" i="6"/>
  <c r="A1840" i="6"/>
  <c r="A1839" i="6"/>
  <c r="A1838" i="6"/>
  <c r="A1837" i="6"/>
  <c r="A1836" i="6"/>
  <c r="A1835" i="6"/>
  <c r="A1834" i="6"/>
  <c r="A1833" i="6"/>
  <c r="A1832" i="6"/>
  <c r="A1831" i="6"/>
  <c r="A1830" i="6"/>
  <c r="A1829" i="6"/>
  <c r="A1828" i="6"/>
  <c r="A1827" i="6"/>
  <c r="A1826" i="6"/>
  <c r="A1825" i="6"/>
  <c r="A1824" i="6"/>
  <c r="A1823" i="6"/>
  <c r="A1822" i="6"/>
  <c r="A1821" i="6"/>
  <c r="A1820" i="6"/>
  <c r="A1819" i="6"/>
  <c r="A1818" i="6"/>
  <c r="A1817" i="6"/>
  <c r="A1816" i="6"/>
  <c r="A1815" i="6"/>
  <c r="A1814" i="6"/>
  <c r="A1813" i="6"/>
  <c r="A1812" i="6"/>
  <c r="A1811" i="6"/>
  <c r="A1810" i="6"/>
  <c r="A1809" i="6"/>
  <c r="A1808" i="6"/>
  <c r="A1807" i="6"/>
  <c r="A1806" i="6"/>
  <c r="A1805" i="6"/>
  <c r="A1804" i="6"/>
  <c r="A1803" i="6"/>
  <c r="A1802" i="6"/>
  <c r="A1801" i="6"/>
  <c r="A1800" i="6"/>
  <c r="A1799" i="6"/>
  <c r="A1798" i="6"/>
  <c r="A1797" i="6"/>
  <c r="A1796" i="6"/>
  <c r="A1795" i="6"/>
  <c r="A1794" i="6"/>
  <c r="A1793" i="6"/>
  <c r="A1792" i="6"/>
  <c r="A1791" i="6"/>
  <c r="A1790" i="6"/>
  <c r="A1789" i="6"/>
  <c r="A1788" i="6"/>
  <c r="A1787" i="6"/>
  <c r="A1786" i="6"/>
  <c r="A1785" i="6"/>
  <c r="A1784" i="6"/>
  <c r="A1783" i="6"/>
  <c r="A1782" i="6"/>
  <c r="A1781" i="6"/>
  <c r="A1780" i="6"/>
  <c r="A1779" i="6"/>
  <c r="A1778" i="6"/>
  <c r="A1777" i="6"/>
  <c r="A1776" i="6"/>
  <c r="A1775" i="6"/>
  <c r="A1774" i="6"/>
  <c r="A1773" i="6"/>
  <c r="A1772" i="6"/>
  <c r="A1771" i="6"/>
  <c r="A1770" i="6"/>
  <c r="A1769" i="6"/>
  <c r="A1768" i="6"/>
  <c r="A1767" i="6"/>
  <c r="A1766" i="6"/>
  <c r="A1765" i="6"/>
  <c r="A1764" i="6"/>
  <c r="A1763" i="6"/>
  <c r="A1762" i="6"/>
  <c r="A1761" i="6"/>
  <c r="A1760" i="6"/>
  <c r="A1759" i="6"/>
  <c r="A1758" i="6"/>
  <c r="A1757" i="6"/>
  <c r="A1756" i="6"/>
  <c r="A1755" i="6"/>
  <c r="A1754" i="6"/>
  <c r="A1753" i="6"/>
  <c r="A1752" i="6"/>
  <c r="A1751" i="6"/>
  <c r="A1750" i="6"/>
  <c r="A1749" i="6"/>
  <c r="A1748" i="6"/>
  <c r="A1747" i="6"/>
  <c r="A1746" i="6"/>
  <c r="A1745" i="6"/>
  <c r="A1744" i="6"/>
  <c r="A1743" i="6"/>
  <c r="A1742" i="6"/>
  <c r="A1741" i="6"/>
  <c r="A1740" i="6"/>
  <c r="A1739" i="6"/>
  <c r="A1738" i="6"/>
  <c r="A1737" i="6"/>
  <c r="A1736" i="6"/>
  <c r="A1735" i="6"/>
  <c r="A1734" i="6"/>
  <c r="A1733" i="6"/>
  <c r="A1732" i="6"/>
  <c r="A1731" i="6"/>
  <c r="A1730" i="6"/>
  <c r="A1729" i="6"/>
  <c r="A1728" i="6"/>
  <c r="A1727" i="6"/>
  <c r="A1726" i="6"/>
  <c r="A1725" i="6"/>
  <c r="A1724" i="6"/>
  <c r="A1723" i="6"/>
  <c r="A1722" i="6"/>
  <c r="A1721" i="6"/>
  <c r="A1720" i="6"/>
  <c r="A1719" i="6"/>
  <c r="A1718" i="6"/>
  <c r="A1717" i="6"/>
  <c r="A1716" i="6"/>
  <c r="A1715" i="6"/>
  <c r="A1714" i="6"/>
  <c r="A1713" i="6"/>
  <c r="A1712" i="6"/>
  <c r="A1711" i="6"/>
  <c r="A1710" i="6"/>
  <c r="A1709" i="6"/>
  <c r="A1708" i="6"/>
  <c r="A1707" i="6"/>
  <c r="A1706" i="6"/>
  <c r="A1705" i="6"/>
  <c r="A1704" i="6"/>
  <c r="A1703" i="6"/>
  <c r="A1702" i="6"/>
  <c r="A1701" i="6"/>
  <c r="A1700" i="6"/>
  <c r="A1699" i="6"/>
  <c r="A1698" i="6"/>
  <c r="A1697" i="6"/>
  <c r="A1696" i="6"/>
  <c r="A1695" i="6"/>
  <c r="A1694" i="6"/>
  <c r="A1693" i="6"/>
  <c r="A1692" i="6"/>
  <c r="A1691" i="6"/>
  <c r="A1690" i="6"/>
  <c r="A1689" i="6"/>
  <c r="A1688" i="6"/>
  <c r="A1687" i="6"/>
  <c r="A1686" i="6"/>
  <c r="A1685" i="6"/>
  <c r="A1684" i="6"/>
  <c r="A1683" i="6"/>
  <c r="A1682" i="6"/>
  <c r="A1681" i="6"/>
  <c r="A1680" i="6"/>
  <c r="A1679" i="6"/>
  <c r="A1678" i="6"/>
  <c r="A1677" i="6"/>
  <c r="A1676" i="6"/>
  <c r="A1675" i="6"/>
  <c r="A1674" i="6"/>
  <c r="A1673" i="6"/>
  <c r="A1672" i="6"/>
  <c r="A1671" i="6"/>
  <c r="A1670" i="6"/>
  <c r="A1669" i="6"/>
  <c r="A1668" i="6"/>
  <c r="A1667" i="6"/>
  <c r="A1666" i="6"/>
  <c r="A1665" i="6"/>
  <c r="A1664" i="6"/>
  <c r="A1663" i="6"/>
  <c r="A1662" i="6"/>
  <c r="A1661" i="6"/>
  <c r="A1660" i="6"/>
  <c r="A1659" i="6"/>
  <c r="A1658" i="6"/>
  <c r="A1657" i="6"/>
  <c r="A1656" i="6"/>
  <c r="A1655" i="6"/>
  <c r="A1654" i="6"/>
  <c r="A1653" i="6"/>
  <c r="A1652" i="6"/>
  <c r="A1651" i="6"/>
  <c r="A1650" i="6"/>
  <c r="A1649" i="6"/>
  <c r="A1648" i="6"/>
  <c r="A1647" i="6"/>
  <c r="A1646" i="6"/>
  <c r="A1645" i="6"/>
  <c r="A1644" i="6"/>
  <c r="A1643" i="6"/>
  <c r="A1642" i="6"/>
  <c r="A1641" i="6"/>
  <c r="A1640" i="6"/>
  <c r="A1639" i="6"/>
  <c r="A1638" i="6"/>
  <c r="A1637" i="6"/>
  <c r="A1636" i="6"/>
  <c r="A1635" i="6"/>
  <c r="A1634" i="6"/>
  <c r="A1633" i="6"/>
  <c r="A1632" i="6"/>
  <c r="A1631" i="6"/>
  <c r="A1630" i="6"/>
  <c r="A1629" i="6"/>
  <c r="A1628" i="6"/>
  <c r="A1627" i="6"/>
  <c r="A1626" i="6"/>
  <c r="A1625" i="6"/>
  <c r="A1624" i="6"/>
  <c r="A1623" i="6"/>
  <c r="A1622" i="6"/>
  <c r="A1621" i="6"/>
  <c r="A1620" i="6"/>
  <c r="A1619" i="6"/>
  <c r="A1618" i="6"/>
  <c r="A1617" i="6"/>
  <c r="A1616" i="6"/>
  <c r="A1615" i="6"/>
  <c r="A1614" i="6"/>
  <c r="A1613" i="6"/>
  <c r="A1612" i="6"/>
  <c r="A1611" i="6"/>
  <c r="A1610" i="6"/>
  <c r="A1609" i="6"/>
  <c r="A1608" i="6"/>
  <c r="A1607" i="6"/>
  <c r="A1606" i="6"/>
  <c r="A1605" i="6"/>
  <c r="A1604" i="6"/>
  <c r="A1603" i="6"/>
  <c r="A1602" i="6"/>
  <c r="A1601" i="6"/>
  <c r="A1600" i="6"/>
  <c r="A1599" i="6"/>
  <c r="A1598" i="6"/>
  <c r="A1597" i="6"/>
  <c r="A1596" i="6"/>
  <c r="A1595" i="6"/>
  <c r="A1594" i="6"/>
  <c r="A1593" i="6"/>
  <c r="A1592" i="6"/>
  <c r="A1591" i="6"/>
  <c r="A1590" i="6"/>
  <c r="A1589" i="6"/>
  <c r="A1588" i="6"/>
  <c r="A1587" i="6"/>
  <c r="A1586" i="6"/>
  <c r="A1585" i="6"/>
  <c r="A1584" i="6"/>
  <c r="A1583" i="6"/>
  <c r="A1582" i="6"/>
  <c r="A1581" i="6"/>
  <c r="A1580" i="6"/>
  <c r="A1579" i="6"/>
  <c r="A1578" i="6"/>
  <c r="A1577" i="6"/>
  <c r="A1576" i="6"/>
  <c r="A1575" i="6"/>
  <c r="A1574" i="6"/>
  <c r="A1573" i="6"/>
  <c r="A1572" i="6"/>
  <c r="A1571" i="6"/>
  <c r="A1570" i="6"/>
  <c r="A1569" i="6"/>
  <c r="A1568" i="6"/>
  <c r="A1567" i="6"/>
  <c r="A1566" i="6"/>
  <c r="A1565" i="6"/>
  <c r="A1564" i="6"/>
  <c r="A1563" i="6"/>
  <c r="A1562" i="6"/>
  <c r="A1561" i="6"/>
  <c r="A1560" i="6"/>
  <c r="A1559" i="6"/>
  <c r="A1558" i="6"/>
  <c r="A1557" i="6"/>
  <c r="A1556" i="6"/>
  <c r="A1555" i="6"/>
  <c r="A1554" i="6"/>
  <c r="A1553" i="6"/>
  <c r="A1552" i="6"/>
  <c r="A1551" i="6"/>
  <c r="A1550" i="6"/>
  <c r="A1549" i="6"/>
  <c r="A1548" i="6"/>
  <c r="A1547" i="6"/>
  <c r="A1546" i="6"/>
  <c r="A1545" i="6"/>
  <c r="A1544" i="6"/>
  <c r="A1543" i="6"/>
  <c r="A1542" i="6"/>
  <c r="A1541" i="6"/>
  <c r="A1540" i="6"/>
  <c r="A1539" i="6"/>
  <c r="A1538" i="6"/>
  <c r="A1537" i="6"/>
  <c r="A1536" i="6"/>
  <c r="A1535" i="6"/>
  <c r="A1534" i="6"/>
  <c r="A1533" i="6"/>
  <c r="A1532" i="6"/>
  <c r="A1531" i="6"/>
  <c r="A1530" i="6"/>
  <c r="A1529" i="6"/>
  <c r="A1528" i="6"/>
  <c r="A1527" i="6"/>
  <c r="A1526" i="6"/>
  <c r="A1525" i="6"/>
  <c r="A1524" i="6"/>
  <c r="A1523" i="6"/>
  <c r="A1522" i="6"/>
  <c r="A1521" i="6"/>
  <c r="A1520" i="6"/>
  <c r="A1519" i="6"/>
  <c r="A1518" i="6"/>
  <c r="A1517" i="6"/>
  <c r="A1516" i="6"/>
  <c r="A1515" i="6"/>
  <c r="A1514" i="6"/>
  <c r="A1513" i="6"/>
  <c r="A1512" i="6"/>
  <c r="A1511" i="6"/>
  <c r="A1510" i="6"/>
  <c r="A1509" i="6"/>
  <c r="A1508" i="6"/>
  <c r="A1507" i="6"/>
  <c r="A1506" i="6"/>
  <c r="A1505" i="6"/>
  <c r="A1504" i="6"/>
  <c r="A1503" i="6"/>
  <c r="A1502" i="6"/>
  <c r="A1501" i="6"/>
  <c r="A1500" i="6"/>
  <c r="A1499" i="6"/>
  <c r="A1498" i="6"/>
  <c r="A1497" i="6"/>
  <c r="A1496" i="6"/>
  <c r="A1495" i="6"/>
  <c r="A1494" i="6"/>
  <c r="A1493" i="6"/>
  <c r="A1492" i="6"/>
  <c r="A1491" i="6"/>
  <c r="A1490" i="6"/>
  <c r="A1489" i="6"/>
  <c r="A1488" i="6"/>
  <c r="A1487" i="6"/>
  <c r="A1486" i="6"/>
  <c r="A1485" i="6"/>
  <c r="A1484" i="6"/>
  <c r="A1483" i="6"/>
  <c r="A1482" i="6"/>
  <c r="A1481" i="6"/>
  <c r="A1480" i="6"/>
  <c r="A1479" i="6"/>
  <c r="A1478" i="6"/>
  <c r="A1477" i="6"/>
  <c r="A1476" i="6"/>
  <c r="A1475" i="6"/>
  <c r="A1474" i="6"/>
  <c r="A1473" i="6"/>
  <c r="A1472" i="6"/>
  <c r="A1471" i="6"/>
  <c r="A1470" i="6"/>
  <c r="A1469" i="6"/>
  <c r="A1468" i="6"/>
  <c r="A1467" i="6"/>
  <c r="A1466" i="6"/>
  <c r="A1465" i="6"/>
  <c r="A1464" i="6"/>
  <c r="A1463" i="6"/>
  <c r="A1462" i="6"/>
  <c r="A1461" i="6"/>
  <c r="A1460" i="6"/>
  <c r="A1459" i="6"/>
  <c r="A1458" i="6"/>
  <c r="A1457" i="6"/>
  <c r="A1456" i="6"/>
  <c r="A1455" i="6"/>
  <c r="A1454" i="6"/>
  <c r="A1453" i="6"/>
  <c r="A1452" i="6"/>
  <c r="A1451" i="6"/>
  <c r="A1450" i="6"/>
  <c r="A1449" i="6"/>
  <c r="A1448" i="6"/>
  <c r="A1447" i="6"/>
  <c r="A1446" i="6"/>
  <c r="A1445" i="6"/>
  <c r="A1444" i="6"/>
  <c r="A1443" i="6"/>
  <c r="A1442" i="6"/>
  <c r="A1441" i="6"/>
  <c r="A1440" i="6"/>
  <c r="A1439" i="6"/>
  <c r="A1438" i="6"/>
  <c r="A1437" i="6"/>
  <c r="A1436" i="6"/>
  <c r="A1435" i="6"/>
  <c r="A1434" i="6"/>
  <c r="A1433" i="6"/>
  <c r="A1432" i="6"/>
  <c r="A1431" i="6"/>
  <c r="A1430" i="6"/>
  <c r="A1429" i="6"/>
  <c r="A1428" i="6"/>
  <c r="A1427" i="6"/>
  <c r="A1426" i="6"/>
  <c r="A1425" i="6"/>
  <c r="A1424" i="6"/>
  <c r="A1423" i="6"/>
  <c r="A1422" i="6"/>
  <c r="A1421" i="6"/>
  <c r="A1420" i="6"/>
  <c r="A1419" i="6"/>
  <c r="A1418" i="6"/>
  <c r="A1417" i="6"/>
  <c r="A1416" i="6"/>
  <c r="A1415" i="6"/>
  <c r="A1414" i="6"/>
  <c r="A1413" i="6"/>
  <c r="A1412" i="6"/>
  <c r="A1411" i="6"/>
  <c r="A1410" i="6"/>
  <c r="A1409" i="6"/>
  <c r="A1408" i="6"/>
  <c r="A1407" i="6"/>
  <c r="A1406" i="6"/>
  <c r="A1405" i="6"/>
  <c r="A1404" i="6"/>
  <c r="A1403" i="6"/>
  <c r="A1402" i="6"/>
  <c r="A1401" i="6"/>
  <c r="A1400" i="6"/>
  <c r="A1399" i="6"/>
  <c r="A1398" i="6"/>
  <c r="A1397" i="6"/>
  <c r="A1396" i="6"/>
  <c r="A1395" i="6"/>
  <c r="A1394" i="6"/>
  <c r="A1393" i="6"/>
  <c r="A1392" i="6"/>
  <c r="A1391" i="6"/>
  <c r="A1390" i="6"/>
  <c r="A1389" i="6"/>
  <c r="A1388" i="6"/>
  <c r="A1387" i="6"/>
  <c r="A1386" i="6"/>
  <c r="A1385" i="6"/>
  <c r="A1384" i="6"/>
  <c r="A1383" i="6"/>
  <c r="A1382" i="6"/>
  <c r="A1381" i="6"/>
  <c r="A1380" i="6"/>
  <c r="A1379" i="6"/>
  <c r="A1378" i="6"/>
  <c r="A1377" i="6"/>
  <c r="A1376" i="6"/>
  <c r="A1375" i="6"/>
  <c r="A1374" i="6"/>
  <c r="A1373" i="6"/>
  <c r="A1372" i="6"/>
  <c r="A1371" i="6"/>
  <c r="A1370" i="6"/>
  <c r="A1369" i="6"/>
  <c r="A1368" i="6"/>
  <c r="A1367" i="6"/>
  <c r="A1366" i="6"/>
  <c r="A1365" i="6"/>
  <c r="A1364" i="6"/>
  <c r="A1363" i="6"/>
  <c r="A1362" i="6"/>
  <c r="A1361" i="6"/>
  <c r="A1360" i="6"/>
  <c r="A1359" i="6"/>
  <c r="A1358" i="6"/>
  <c r="A1357" i="6"/>
  <c r="A1356" i="6"/>
  <c r="A1355" i="6"/>
  <c r="A1354" i="6"/>
  <c r="A1353" i="6"/>
  <c r="A1352" i="6"/>
  <c r="A1351" i="6"/>
  <c r="A1350" i="6"/>
  <c r="A1349" i="6"/>
  <c r="A1348" i="6"/>
  <c r="A1347" i="6"/>
  <c r="A1346" i="6"/>
  <c r="A1345" i="6"/>
  <c r="A1344" i="6"/>
  <c r="A1343" i="6"/>
  <c r="A1342" i="6"/>
  <c r="A1341" i="6"/>
  <c r="A1340" i="6"/>
  <c r="A1339" i="6"/>
  <c r="A1338" i="6"/>
  <c r="A1337" i="6"/>
  <c r="A1336" i="6"/>
  <c r="A1335" i="6"/>
  <c r="A1334" i="6"/>
  <c r="A1333" i="6"/>
  <c r="A1332" i="6"/>
  <c r="A1331" i="6"/>
  <c r="A1330" i="6"/>
  <c r="A1329" i="6"/>
  <c r="A1328" i="6"/>
  <c r="A1327" i="6"/>
  <c r="A1326" i="6"/>
  <c r="A1325" i="6"/>
  <c r="A1324" i="6"/>
  <c r="A1323" i="6"/>
  <c r="A1322" i="6"/>
  <c r="A1321" i="6"/>
  <c r="A1320" i="6"/>
  <c r="A1319" i="6"/>
  <c r="A1318" i="6"/>
  <c r="A1317" i="6"/>
  <c r="A1316" i="6"/>
  <c r="A1315" i="6"/>
  <c r="A1314" i="6"/>
  <c r="A1313" i="6"/>
  <c r="A1312" i="6"/>
  <c r="A1311" i="6"/>
  <c r="A1310" i="6"/>
  <c r="A1309" i="6"/>
  <c r="A1308" i="6"/>
  <c r="A1307" i="6"/>
  <c r="A1306" i="6"/>
  <c r="A1305" i="6"/>
  <c r="A1304" i="6"/>
  <c r="A1303" i="6"/>
  <c r="A1302" i="6"/>
  <c r="A1301" i="6"/>
  <c r="A1300" i="6"/>
  <c r="A1299" i="6"/>
  <c r="A1298" i="6"/>
  <c r="A1297" i="6"/>
  <c r="A1296" i="6"/>
  <c r="A1295" i="6"/>
  <c r="A1294" i="6"/>
  <c r="A1293" i="6"/>
  <c r="A1292" i="6"/>
  <c r="A1291" i="6"/>
  <c r="A1290" i="6"/>
  <c r="A1289" i="6"/>
  <c r="A1288" i="6"/>
  <c r="A1287" i="6"/>
  <c r="A1286" i="6"/>
  <c r="A1285" i="6"/>
  <c r="A1284" i="6"/>
  <c r="A1283" i="6"/>
  <c r="A1282" i="6"/>
  <c r="A1281" i="6"/>
  <c r="A1280" i="6"/>
  <c r="A1279" i="6"/>
  <c r="A1278" i="6"/>
  <c r="A1277" i="6"/>
  <c r="A1276" i="6"/>
  <c r="A1275" i="6"/>
  <c r="A1274" i="6"/>
  <c r="A1273" i="6"/>
  <c r="A1272" i="6"/>
  <c r="A1271" i="6"/>
  <c r="A1270" i="6"/>
  <c r="A1269" i="6"/>
  <c r="A1268" i="6"/>
  <c r="A1267" i="6"/>
  <c r="A1266" i="6"/>
  <c r="A1265" i="6"/>
  <c r="A1264" i="6"/>
  <c r="A1263" i="6"/>
  <c r="A1262" i="6"/>
  <c r="A1261" i="6"/>
  <c r="A1260" i="6"/>
  <c r="A1259" i="6"/>
  <c r="A1258" i="6"/>
  <c r="A1257" i="6"/>
  <c r="A1256" i="6"/>
  <c r="A1255" i="6"/>
  <c r="A1254" i="6"/>
  <c r="A1253" i="6"/>
  <c r="A1252" i="6"/>
  <c r="A1251" i="6"/>
  <c r="A1250" i="6"/>
  <c r="A1249" i="6"/>
  <c r="A1248" i="6"/>
  <c r="A1247" i="6"/>
  <c r="A1246" i="6"/>
  <c r="A1245" i="6"/>
  <c r="A1244" i="6"/>
  <c r="A1243" i="6"/>
  <c r="A1242" i="6"/>
  <c r="A1241" i="6"/>
  <c r="A1240" i="6"/>
  <c r="A1239" i="6"/>
  <c r="A1238" i="6"/>
  <c r="A1237" i="6"/>
  <c r="A1236" i="6"/>
  <c r="A1235" i="6"/>
  <c r="A1234" i="6"/>
  <c r="A1233" i="6"/>
  <c r="A1232" i="6"/>
  <c r="A1231" i="6"/>
  <c r="A1230" i="6"/>
  <c r="A1229" i="6"/>
  <c r="A1228" i="6"/>
  <c r="A1227" i="6"/>
  <c r="A1226" i="6"/>
  <c r="A1225" i="6"/>
  <c r="A1224" i="6"/>
  <c r="A1223" i="6"/>
  <c r="A1222" i="6"/>
  <c r="A1221" i="6"/>
  <c r="A1220" i="6"/>
  <c r="A1219" i="6"/>
  <c r="A1218" i="6"/>
  <c r="A1217" i="6"/>
  <c r="A1216" i="6"/>
  <c r="A1215" i="6"/>
  <c r="A1214" i="6"/>
  <c r="A1213" i="6"/>
  <c r="A1212" i="6"/>
  <c r="A1211" i="6"/>
  <c r="A1210" i="6"/>
  <c r="A1209" i="6"/>
  <c r="A1208" i="6"/>
  <c r="A1207" i="6"/>
  <c r="A1206" i="6"/>
  <c r="A1205" i="6"/>
  <c r="A1204" i="6"/>
  <c r="A1203" i="6"/>
  <c r="A1202" i="6"/>
  <c r="A1201" i="6"/>
  <c r="A1200" i="6"/>
  <c r="A1199" i="6"/>
  <c r="A1198" i="6"/>
  <c r="A1197" i="6"/>
  <c r="A1196" i="6"/>
  <c r="A1195" i="6"/>
  <c r="A1194" i="6"/>
  <c r="A1193" i="6"/>
  <c r="A1192" i="6"/>
  <c r="A1191" i="6"/>
  <c r="A1190" i="6"/>
  <c r="A1189" i="6"/>
  <c r="A1188" i="6"/>
  <c r="A1187" i="6"/>
  <c r="A1186" i="6"/>
  <c r="A1185" i="6"/>
  <c r="A1184" i="6"/>
  <c r="A1183" i="6"/>
  <c r="A1182" i="6"/>
  <c r="A1181" i="6"/>
  <c r="A1180" i="6"/>
  <c r="A1179" i="6"/>
  <c r="A1178" i="6"/>
  <c r="A1177" i="6"/>
  <c r="A1176" i="6"/>
  <c r="A1175" i="6"/>
  <c r="A1174" i="6"/>
  <c r="A1173" i="6"/>
  <c r="A1172" i="6"/>
  <c r="A1171" i="6"/>
  <c r="A1170" i="6"/>
  <c r="A1169" i="6"/>
  <c r="A1168" i="6"/>
  <c r="A1167" i="6"/>
  <c r="A1166" i="6"/>
  <c r="A1165" i="6"/>
  <c r="A1164" i="6"/>
  <c r="A1163" i="6"/>
  <c r="A1162" i="6"/>
  <c r="A1161" i="6"/>
  <c r="A1160" i="6"/>
  <c r="A1159" i="6"/>
  <c r="A1158" i="6"/>
  <c r="A1157" i="6"/>
  <c r="A1156" i="6"/>
  <c r="A1155" i="6"/>
  <c r="A1154" i="6"/>
  <c r="A1153" i="6"/>
  <c r="A1152" i="6"/>
  <c r="A1151" i="6"/>
  <c r="A1150" i="6"/>
  <c r="A1149" i="6"/>
  <c r="A1148" i="6"/>
  <c r="A1147" i="6"/>
  <c r="A1146" i="6"/>
  <c r="A1145" i="6"/>
  <c r="A1144" i="6"/>
  <c r="A1143" i="6"/>
  <c r="A1142" i="6"/>
  <c r="A1141" i="6"/>
  <c r="A1140" i="6"/>
  <c r="A1139" i="6"/>
  <c r="A1138" i="6"/>
  <c r="A1137" i="6"/>
  <c r="A1136" i="6"/>
  <c r="A1135" i="6"/>
  <c r="A1134" i="6"/>
  <c r="A1133" i="6"/>
  <c r="A1132" i="6"/>
  <c r="A1131" i="6"/>
  <c r="A1130" i="6"/>
  <c r="A1129" i="6"/>
  <c r="A1128" i="6"/>
  <c r="A1127" i="6"/>
  <c r="A1126" i="6"/>
  <c r="A1125" i="6"/>
  <c r="A1124" i="6"/>
  <c r="A1123" i="6"/>
  <c r="A1122" i="6"/>
  <c r="A1121" i="6"/>
  <c r="A1120" i="6"/>
  <c r="A1119" i="6"/>
  <c r="A1118" i="6"/>
  <c r="A1117" i="6"/>
  <c r="A1116" i="6"/>
  <c r="A1115" i="6"/>
  <c r="A1114" i="6"/>
  <c r="A1113" i="6"/>
  <c r="A1112" i="6"/>
  <c r="A1111" i="6"/>
  <c r="A1110" i="6"/>
  <c r="A1109" i="6"/>
  <c r="A1108" i="6"/>
  <c r="A1107" i="6"/>
  <c r="A1106" i="6"/>
  <c r="A1105" i="6"/>
  <c r="A1104" i="6"/>
  <c r="A1103" i="6"/>
  <c r="A1102" i="6"/>
  <c r="A1101" i="6"/>
  <c r="A1100" i="6"/>
  <c r="A1099" i="6"/>
  <c r="A1098" i="6"/>
  <c r="A1097" i="6"/>
  <c r="A1096" i="6"/>
  <c r="A1095" i="6"/>
  <c r="A1094" i="6"/>
  <c r="A1093" i="6"/>
  <c r="A1092" i="6"/>
  <c r="A1091" i="6"/>
  <c r="A1090" i="6"/>
  <c r="A1089" i="6"/>
  <c r="A1088" i="6"/>
  <c r="A1087" i="6"/>
  <c r="A1086" i="6"/>
  <c r="A1085" i="6"/>
  <c r="A1084" i="6"/>
  <c r="A1083" i="6"/>
  <c r="A1082" i="6"/>
  <c r="A1081" i="6"/>
  <c r="A1080" i="6"/>
  <c r="A1079" i="6"/>
  <c r="A1078" i="6"/>
  <c r="A1077" i="6"/>
  <c r="A1076" i="6"/>
  <c r="A1075" i="6"/>
  <c r="A1074" i="6"/>
  <c r="A1073" i="6"/>
  <c r="A1072" i="6"/>
  <c r="A1071" i="6"/>
  <c r="A1070" i="6"/>
  <c r="A1069" i="6"/>
  <c r="A1068" i="6"/>
  <c r="A1067" i="6"/>
  <c r="A1066" i="6"/>
  <c r="A1065" i="6"/>
  <c r="A1064" i="6"/>
  <c r="A1063" i="6"/>
  <c r="A1062" i="6"/>
  <c r="A1061" i="6"/>
  <c r="A1060" i="6"/>
  <c r="A1059" i="6"/>
  <c r="A1058" i="6"/>
  <c r="A1057" i="6"/>
  <c r="A1056" i="6"/>
  <c r="A1055" i="6"/>
  <c r="A1054" i="6"/>
  <c r="A1053" i="6"/>
  <c r="A1052" i="6"/>
  <c r="A1051" i="6"/>
  <c r="A1050" i="6"/>
  <c r="A1049" i="6"/>
  <c r="A1048" i="6"/>
  <c r="A1047" i="6"/>
  <c r="A1046" i="6"/>
  <c r="A1045" i="6"/>
  <c r="A1044" i="6"/>
  <c r="A1043" i="6"/>
  <c r="A1042" i="6"/>
  <c r="A1041" i="6"/>
  <c r="A1040" i="6"/>
  <c r="A1039" i="6"/>
  <c r="A1038" i="6"/>
  <c r="A1037" i="6"/>
  <c r="A1036" i="6"/>
  <c r="A1035" i="6"/>
  <c r="A1034" i="6"/>
  <c r="A1033" i="6"/>
  <c r="A1032" i="6"/>
  <c r="A1031" i="6"/>
  <c r="A1030" i="6"/>
  <c r="A1029" i="6"/>
  <c r="A1028" i="6"/>
  <c r="A1027" i="6"/>
  <c r="A1026" i="6"/>
  <c r="A1025" i="6"/>
  <c r="A1024" i="6"/>
  <c r="A1023" i="6"/>
  <c r="A1022" i="6"/>
  <c r="A1021" i="6"/>
  <c r="A1020" i="6"/>
  <c r="A1019" i="6"/>
  <c r="A1018" i="6"/>
  <c r="A1017" i="6"/>
  <c r="A1016" i="6"/>
  <c r="A1015" i="6"/>
  <c r="A1014" i="6"/>
  <c r="A1013" i="6"/>
  <c r="A1012" i="6"/>
  <c r="A1011" i="6"/>
  <c r="A1010" i="6"/>
  <c r="A1009" i="6"/>
  <c r="A1008" i="6"/>
  <c r="A1007" i="6"/>
  <c r="A1006" i="6"/>
  <c r="A1005" i="6"/>
  <c r="A1004" i="6"/>
  <c r="A1003" i="6"/>
  <c r="A1002" i="6"/>
  <c r="A1001" i="6"/>
  <c r="A1000" i="6"/>
  <c r="A999" i="6"/>
  <c r="A998" i="6"/>
  <c r="A997" i="6"/>
  <c r="A996" i="6"/>
  <c r="A995" i="6"/>
  <c r="A994" i="6"/>
  <c r="A993" i="6"/>
  <c r="A992" i="6"/>
  <c r="A991" i="6"/>
  <c r="A990" i="6"/>
  <c r="A989" i="6"/>
  <c r="A988" i="6"/>
  <c r="A987" i="6"/>
  <c r="A986" i="6"/>
  <c r="A985" i="6"/>
  <c r="A984" i="6"/>
  <c r="A983" i="6"/>
  <c r="A982" i="6"/>
  <c r="A981" i="6"/>
  <c r="A980" i="6"/>
  <c r="A979" i="6"/>
  <c r="A978" i="6"/>
  <c r="A977" i="6"/>
  <c r="A976" i="6"/>
  <c r="A975" i="6"/>
  <c r="A974" i="6"/>
  <c r="A973" i="6"/>
  <c r="A972" i="6"/>
  <c r="A971" i="6"/>
  <c r="A970" i="6"/>
  <c r="A969" i="6"/>
  <c r="A968" i="6"/>
  <c r="A967" i="6"/>
  <c r="A966" i="6"/>
  <c r="A965" i="6"/>
  <c r="A964" i="6"/>
  <c r="A963" i="6"/>
  <c r="A962" i="6"/>
  <c r="A961" i="6"/>
  <c r="A960" i="6"/>
  <c r="A959" i="6"/>
  <c r="A958" i="6"/>
  <c r="A957" i="6"/>
  <c r="A956" i="6"/>
  <c r="A955" i="6"/>
  <c r="A954" i="6"/>
  <c r="A953" i="6"/>
  <c r="A952" i="6"/>
  <c r="A951" i="6"/>
  <c r="A950" i="6"/>
  <c r="A949" i="6"/>
  <c r="A948" i="6"/>
  <c r="A947" i="6"/>
  <c r="A946" i="6"/>
  <c r="A945" i="6"/>
  <c r="A944" i="6"/>
  <c r="A943" i="6"/>
  <c r="A942" i="6"/>
  <c r="A941" i="6"/>
  <c r="A940" i="6"/>
  <c r="A939" i="6"/>
  <c r="A938" i="6"/>
  <c r="A937" i="6"/>
  <c r="A936" i="6"/>
  <c r="A935" i="6"/>
  <c r="A934" i="6"/>
  <c r="A933" i="6"/>
  <c r="A932" i="6"/>
  <c r="A931" i="6"/>
  <c r="A930" i="6"/>
  <c r="A929" i="6"/>
  <c r="A928" i="6"/>
  <c r="A927" i="6"/>
  <c r="A926" i="6"/>
  <c r="A925" i="6"/>
  <c r="A924" i="6"/>
  <c r="A923" i="6"/>
  <c r="A922" i="6"/>
  <c r="A921" i="6"/>
  <c r="A920" i="6"/>
  <c r="A919" i="6"/>
  <c r="A918" i="6"/>
  <c r="A917" i="6"/>
  <c r="A916" i="6"/>
  <c r="A915" i="6"/>
  <c r="A914" i="6"/>
  <c r="A913" i="6"/>
  <c r="A912" i="6"/>
  <c r="A911" i="6"/>
  <c r="A910" i="6"/>
  <c r="A909" i="6"/>
  <c r="A908" i="6"/>
  <c r="A907" i="6"/>
  <c r="A906" i="6"/>
  <c r="A905" i="6"/>
  <c r="A904" i="6"/>
  <c r="A903" i="6"/>
  <c r="A902" i="6"/>
  <c r="A901" i="6"/>
  <c r="A900" i="6"/>
  <c r="A899" i="6"/>
  <c r="A898" i="6"/>
  <c r="A897" i="6"/>
  <c r="A896" i="6"/>
  <c r="A895" i="6"/>
  <c r="A894" i="6"/>
  <c r="A893" i="6"/>
  <c r="A892" i="6"/>
  <c r="A891" i="6"/>
  <c r="A890" i="6"/>
  <c r="A889" i="6"/>
  <c r="A888" i="6"/>
  <c r="A887" i="6"/>
  <c r="A886" i="6"/>
  <c r="A885" i="6"/>
  <c r="A884" i="6"/>
  <c r="A883" i="6"/>
  <c r="A882" i="6"/>
  <c r="A881" i="6"/>
  <c r="A880" i="6"/>
  <c r="A879" i="6"/>
  <c r="A878" i="6"/>
  <c r="A877" i="6"/>
  <c r="A876" i="6"/>
  <c r="A875" i="6"/>
  <c r="A874" i="6"/>
  <c r="A873" i="6"/>
  <c r="A872" i="6"/>
  <c r="A871" i="6"/>
  <c r="A870" i="6"/>
  <c r="A869" i="6"/>
  <c r="A868" i="6"/>
  <c r="A867" i="6"/>
  <c r="A866" i="6"/>
  <c r="A865" i="6"/>
  <c r="A864" i="6"/>
  <c r="A863" i="6"/>
  <c r="A862" i="6"/>
  <c r="A861" i="6"/>
  <c r="A860" i="6"/>
  <c r="A859" i="6"/>
  <c r="A858" i="6"/>
  <c r="A857" i="6"/>
  <c r="A856" i="6"/>
  <c r="A855" i="6"/>
  <c r="A854" i="6"/>
  <c r="A853" i="6"/>
  <c r="A852" i="6"/>
  <c r="A851" i="6"/>
  <c r="A850" i="6"/>
  <c r="A849" i="6"/>
  <c r="A848" i="6"/>
  <c r="A847" i="6"/>
  <c r="A846" i="6"/>
  <c r="A845" i="6"/>
  <c r="A844" i="6"/>
  <c r="A843" i="6"/>
  <c r="A842" i="6"/>
  <c r="A841" i="6"/>
  <c r="A840" i="6"/>
  <c r="A839" i="6"/>
  <c r="A838" i="6"/>
  <c r="A837" i="6"/>
  <c r="A836" i="6"/>
  <c r="A835" i="6"/>
  <c r="A834" i="6"/>
  <c r="A833" i="6"/>
  <c r="A832" i="6"/>
  <c r="A831" i="6"/>
  <c r="A830" i="6"/>
  <c r="A829" i="6"/>
  <c r="A828" i="6"/>
  <c r="A827" i="6"/>
  <c r="A826" i="6"/>
  <c r="A825" i="6"/>
  <c r="A824" i="6"/>
  <c r="A823" i="6"/>
  <c r="A822" i="6"/>
  <c r="A821" i="6"/>
  <c r="A820" i="6"/>
  <c r="A819" i="6"/>
  <c r="A818" i="6"/>
  <c r="A817" i="6"/>
  <c r="A816" i="6"/>
  <c r="A815" i="6"/>
  <c r="A814" i="6"/>
  <c r="A813" i="6"/>
  <c r="A812" i="6"/>
  <c r="A811" i="6"/>
  <c r="A810" i="6"/>
  <c r="A809" i="6"/>
  <c r="A808" i="6"/>
  <c r="A807" i="6"/>
  <c r="A806" i="6"/>
  <c r="A805" i="6"/>
  <c r="A804" i="6"/>
  <c r="A803" i="6"/>
  <c r="A802" i="6"/>
  <c r="A801" i="6"/>
  <c r="A800" i="6"/>
  <c r="A799" i="6"/>
  <c r="A798" i="6"/>
  <c r="A797" i="6"/>
  <c r="A796" i="6"/>
  <c r="A795" i="6"/>
  <c r="A794" i="6"/>
  <c r="A793" i="6"/>
  <c r="A792" i="6"/>
  <c r="A791" i="6"/>
  <c r="A790" i="6"/>
  <c r="A789" i="6"/>
  <c r="A788" i="6"/>
  <c r="A787" i="6"/>
  <c r="A786" i="6"/>
  <c r="A785" i="6"/>
  <c r="A784" i="6"/>
  <c r="A783" i="6"/>
  <c r="A782" i="6"/>
  <c r="A781" i="6"/>
  <c r="A780" i="6"/>
  <c r="A779" i="6"/>
  <c r="A778" i="6"/>
  <c r="A777" i="6"/>
  <c r="A776" i="6"/>
  <c r="A775" i="6"/>
  <c r="A774" i="6"/>
  <c r="A773" i="6"/>
  <c r="A772" i="6"/>
  <c r="A771" i="6"/>
  <c r="A770" i="6"/>
  <c r="A769" i="6"/>
  <c r="A768" i="6"/>
  <c r="A767" i="6"/>
  <c r="A766" i="6"/>
  <c r="A765" i="6"/>
  <c r="A764" i="6"/>
  <c r="A763" i="6"/>
  <c r="A762" i="6"/>
  <c r="A761" i="6"/>
  <c r="A760" i="6"/>
  <c r="A759" i="6"/>
  <c r="A758" i="6"/>
  <c r="A757" i="6"/>
  <c r="A756" i="6"/>
  <c r="A755" i="6"/>
  <c r="A754" i="6"/>
  <c r="A753" i="6"/>
  <c r="A752" i="6"/>
  <c r="A751" i="6"/>
  <c r="A750" i="6"/>
  <c r="A749" i="6"/>
  <c r="A748" i="6"/>
  <c r="A747" i="6"/>
  <c r="A746" i="6"/>
  <c r="A745" i="6"/>
  <c r="A744" i="6"/>
  <c r="A743" i="6"/>
  <c r="A742" i="6"/>
  <c r="A741" i="6"/>
  <c r="A740" i="6"/>
  <c r="A739" i="6"/>
  <c r="A738" i="6"/>
  <c r="A737" i="6"/>
  <c r="A736" i="6"/>
  <c r="A735" i="6"/>
  <c r="A734" i="6"/>
  <c r="A733" i="6"/>
  <c r="A732" i="6"/>
  <c r="A731" i="6"/>
  <c r="A730" i="6"/>
  <c r="A729" i="6"/>
  <c r="A728" i="6"/>
  <c r="A727" i="6"/>
  <c r="A726" i="6"/>
  <c r="A725" i="6"/>
  <c r="A724" i="6"/>
  <c r="A723" i="6"/>
  <c r="A722" i="6"/>
  <c r="A721" i="6"/>
  <c r="A720" i="6"/>
  <c r="A719" i="6"/>
  <c r="A718" i="6"/>
  <c r="A717" i="6"/>
  <c r="A716" i="6"/>
  <c r="A715" i="6"/>
  <c r="A714" i="6"/>
  <c r="A713" i="6"/>
  <c r="A712" i="6"/>
  <c r="A711" i="6"/>
  <c r="A710" i="6"/>
  <c r="A709" i="6"/>
  <c r="A708" i="6"/>
  <c r="A707" i="6"/>
  <c r="A706" i="6"/>
  <c r="A705" i="6"/>
  <c r="A704" i="6"/>
  <c r="A703" i="6"/>
  <c r="A702" i="6"/>
  <c r="A701" i="6"/>
  <c r="A700" i="6"/>
  <c r="A699" i="6"/>
  <c r="A698" i="6"/>
  <c r="A697" i="6"/>
  <c r="A696" i="6"/>
  <c r="A695" i="6"/>
  <c r="A694" i="6"/>
  <c r="A693" i="6"/>
  <c r="A692" i="6"/>
  <c r="A691" i="6"/>
  <c r="A690" i="6"/>
  <c r="A689" i="6"/>
  <c r="A688" i="6"/>
  <c r="A687" i="6"/>
  <c r="A686" i="6"/>
  <c r="A685" i="6"/>
  <c r="A684" i="6"/>
  <c r="A683" i="6"/>
  <c r="A682" i="6"/>
  <c r="A681" i="6"/>
  <c r="A680" i="6"/>
  <c r="A679" i="6"/>
  <c r="A678" i="6"/>
  <c r="A677" i="6"/>
  <c r="A676" i="6"/>
  <c r="A675" i="6"/>
  <c r="A674" i="6"/>
  <c r="A673" i="6"/>
  <c r="A672" i="6"/>
  <c r="A671" i="6"/>
  <c r="A670" i="6"/>
  <c r="A669" i="6"/>
  <c r="A668" i="6"/>
  <c r="A667" i="6"/>
  <c r="A666" i="6"/>
  <c r="A665" i="6"/>
  <c r="A664" i="6"/>
  <c r="A663" i="6"/>
  <c r="A662" i="6"/>
  <c r="A661" i="6"/>
  <c r="A660" i="6"/>
  <c r="A659" i="6"/>
  <c r="A658" i="6"/>
  <c r="A657" i="6"/>
  <c r="A656" i="6"/>
  <c r="A655" i="6"/>
  <c r="A654" i="6"/>
  <c r="A653" i="6"/>
  <c r="A652" i="6"/>
  <c r="A651" i="6"/>
  <c r="A650" i="6"/>
  <c r="A649" i="6"/>
  <c r="A648" i="6"/>
  <c r="A647" i="6"/>
  <c r="A646" i="6"/>
  <c r="A645" i="6"/>
  <c r="A644" i="6"/>
  <c r="A643" i="6"/>
  <c r="A642" i="6"/>
  <c r="A641" i="6"/>
  <c r="A640" i="6"/>
  <c r="A639" i="6"/>
  <c r="A638" i="6"/>
  <c r="A637" i="6"/>
  <c r="A636" i="6"/>
  <c r="A635" i="6"/>
  <c r="A634" i="6"/>
  <c r="A633" i="6"/>
  <c r="A632" i="6"/>
  <c r="A631" i="6"/>
  <c r="A630" i="6"/>
  <c r="A629" i="6"/>
  <c r="A628" i="6"/>
  <c r="A627" i="6"/>
  <c r="A626" i="6"/>
  <c r="A625" i="6"/>
  <c r="A624" i="6"/>
  <c r="A623" i="6"/>
  <c r="A622" i="6"/>
  <c r="A621" i="6"/>
  <c r="A620" i="6"/>
  <c r="A619" i="6"/>
  <c r="A618" i="6"/>
  <c r="A617" i="6"/>
  <c r="A616" i="6"/>
  <c r="A615" i="6"/>
  <c r="A614" i="6"/>
  <c r="A613" i="6"/>
  <c r="A612" i="6"/>
  <c r="A611" i="6"/>
  <c r="A610" i="6"/>
  <c r="A609" i="6"/>
  <c r="A608" i="6"/>
  <c r="A607" i="6"/>
  <c r="A606" i="6"/>
  <c r="A605" i="6"/>
  <c r="A604" i="6"/>
  <c r="A603" i="6"/>
  <c r="A602" i="6"/>
  <c r="A601" i="6"/>
  <c r="A600" i="6"/>
  <c r="A599" i="6"/>
  <c r="A598" i="6"/>
  <c r="A597" i="6"/>
  <c r="A596" i="6"/>
  <c r="A595" i="6"/>
  <c r="A594" i="6"/>
  <c r="A593" i="6"/>
  <c r="A592" i="6"/>
  <c r="A591" i="6"/>
  <c r="A590" i="6"/>
  <c r="A589" i="6"/>
  <c r="A588" i="6"/>
  <c r="A587" i="6"/>
  <c r="A586" i="6"/>
  <c r="A585" i="6"/>
  <c r="A584" i="6"/>
  <c r="A583" i="6"/>
  <c r="A582" i="6"/>
  <c r="A581" i="6"/>
  <c r="A580" i="6"/>
  <c r="A579" i="6"/>
  <c r="A578" i="6"/>
  <c r="A577" i="6"/>
  <c r="A576" i="6"/>
  <c r="A575" i="6"/>
  <c r="A574" i="6"/>
  <c r="A573" i="6"/>
  <c r="A572" i="6"/>
  <c r="A571" i="6"/>
  <c r="A570" i="6"/>
  <c r="A569" i="6"/>
  <c r="A568" i="6"/>
  <c r="A567" i="6"/>
  <c r="A566" i="6"/>
  <c r="A565" i="6"/>
  <c r="A564" i="6"/>
  <c r="A563" i="6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U10" i="4"/>
  <c r="A19" i="6"/>
  <c r="A18" i="6"/>
  <c r="A17" i="6"/>
  <c r="A16" i="6"/>
  <c r="K10" i="4"/>
  <c r="A15" i="6"/>
  <c r="I11" i="4"/>
  <c r="A14" i="6"/>
  <c r="A13" i="6"/>
  <c r="F8" i="4"/>
  <c r="A12" i="6"/>
  <c r="F10" i="4"/>
  <c r="A11" i="6"/>
  <c r="A10" i="6"/>
  <c r="A9" i="6"/>
  <c r="D13" i="4"/>
  <c r="A8" i="6"/>
  <c r="B6" i="6"/>
  <c r="L19" i="3" l="1"/>
  <c r="L10" i="4"/>
  <c r="V11" i="4"/>
  <c r="M11" i="4"/>
  <c r="N11" i="4"/>
  <c r="C11" i="4"/>
  <c r="M10" i="4"/>
  <c r="J10" i="4"/>
  <c r="I10" i="4"/>
  <c r="M15" i="4"/>
  <c r="N10" i="4"/>
  <c r="E10" i="4"/>
  <c r="D10" i="4"/>
  <c r="V10" i="4"/>
  <c r="D11" i="4"/>
  <c r="I12" i="4"/>
  <c r="N12" i="4"/>
  <c r="M12" i="4"/>
  <c r="J12" i="4"/>
  <c r="S10" i="4"/>
  <c r="C10" i="4"/>
  <c r="D14" i="4"/>
  <c r="C14" i="4"/>
  <c r="C34" i="4"/>
  <c r="D34" i="4"/>
  <c r="J11" i="4"/>
  <c r="U11" i="4"/>
  <c r="C13" i="4"/>
  <c r="M17" i="4"/>
  <c r="E8" i="4"/>
  <c r="M8" i="4"/>
  <c r="M13" i="5"/>
  <c r="M10" i="5"/>
  <c r="M9" i="5"/>
  <c r="M8" i="5"/>
  <c r="M7" i="5"/>
  <c r="G26" i="2"/>
  <c r="G25" i="2"/>
  <c r="G24" i="2"/>
  <c r="G20" i="2"/>
  <c r="G19" i="2"/>
  <c r="G18" i="2"/>
  <c r="Q9" i="6" l="1"/>
  <c r="BD9" i="6" s="1" a="1"/>
  <c r="BD9" i="6" s="1"/>
  <c r="Q8" i="6"/>
  <c r="L10" i="6"/>
  <c r="AA10" i="6"/>
  <c r="AA9" i="6"/>
  <c r="AA8" i="6"/>
  <c r="L8" i="6"/>
  <c r="V10" i="6"/>
  <c r="L9" i="6"/>
  <c r="V8" i="6"/>
  <c r="Q10" i="6"/>
  <c r="V9" i="6"/>
  <c r="K19" i="3"/>
  <c r="K6" i="3"/>
  <c r="K11" i="3"/>
  <c r="K4" i="3"/>
  <c r="K8" i="3"/>
  <c r="G23" i="2"/>
  <c r="AA26" i="4"/>
  <c r="AA33" i="4"/>
  <c r="AA45" i="4"/>
  <c r="AA55" i="4"/>
  <c r="C60" i="4" s="1"/>
  <c r="AB55" i="4"/>
  <c r="L11" i="3" l="1"/>
  <c r="AA37" i="4"/>
  <c r="AA30" i="4"/>
  <c r="AB46" i="4"/>
  <c r="AB33" i="4"/>
  <c r="AA48" i="4"/>
  <c r="AB45" i="4"/>
  <c r="AB44" i="4"/>
  <c r="M49" i="4"/>
  <c r="M56" i="4" s="1"/>
  <c r="S49" i="4"/>
  <c r="S56" i="4" s="1"/>
  <c r="W49" i="4"/>
  <c r="W56" i="4" s="1"/>
  <c r="L49" i="4"/>
  <c r="L56" i="4" s="1"/>
  <c r="AA20" i="4"/>
  <c r="AB41" i="4"/>
  <c r="AA47" i="4"/>
  <c r="AB42" i="4"/>
  <c r="AB38" i="4"/>
  <c r="AB34" i="4"/>
  <c r="AB31" i="4"/>
  <c r="AB24" i="4"/>
  <c r="AB16" i="4"/>
  <c r="O49" i="4"/>
  <c r="O56" i="4" s="1"/>
  <c r="AB21" i="4"/>
  <c r="AB13" i="4"/>
  <c r="AA15" i="4"/>
  <c r="AA22" i="4"/>
  <c r="P49" i="4"/>
  <c r="P56" i="4" s="1"/>
  <c r="AA24" i="4"/>
  <c r="AA44" i="4"/>
  <c r="AA40" i="4"/>
  <c r="Q49" i="4"/>
  <c r="Q56" i="4" s="1"/>
  <c r="K49" i="4"/>
  <c r="K56" i="4" s="1"/>
  <c r="AB25" i="4"/>
  <c r="Z49" i="4"/>
  <c r="Z56" i="4" s="1"/>
  <c r="E49" i="4"/>
  <c r="E56" i="4" s="1"/>
  <c r="H49" i="4"/>
  <c r="H56" i="4" s="1"/>
  <c r="X49" i="4"/>
  <c r="X56" i="4" s="1"/>
  <c r="T49" i="4"/>
  <c r="T56" i="4" s="1"/>
  <c r="AA16" i="4"/>
  <c r="AA46" i="4"/>
  <c r="AA43" i="4"/>
  <c r="AB30" i="4"/>
  <c r="AA32" i="4"/>
  <c r="U49" i="4"/>
  <c r="U56" i="4" s="1"/>
  <c r="G49" i="4"/>
  <c r="G56" i="4" s="1"/>
  <c r="Y49" i="4"/>
  <c r="Y56" i="4" s="1"/>
  <c r="AB17" i="4"/>
  <c r="AB9" i="4"/>
  <c r="AA23" i="4"/>
  <c r="I49" i="4"/>
  <c r="I56" i="4" s="1"/>
  <c r="AA41" i="4"/>
  <c r="D60" i="4"/>
  <c r="E60" i="4" s="1"/>
  <c r="AC55" i="4"/>
  <c r="AB47" i="4"/>
  <c r="AB48" i="4"/>
  <c r="AA34" i="4"/>
  <c r="V49" i="4"/>
  <c r="V56" i="4" s="1"/>
  <c r="F49" i="4"/>
  <c r="F56" i="4" s="1"/>
  <c r="AA29" i="4"/>
  <c r="AA27" i="4"/>
  <c r="AB18" i="4"/>
  <c r="AB15" i="4"/>
  <c r="AB10" i="4"/>
  <c r="AB11" i="4"/>
  <c r="AA42" i="4"/>
  <c r="AA38" i="4"/>
  <c r="AA39" i="4"/>
  <c r="AA31" i="4"/>
  <c r="AA21" i="4"/>
  <c r="AA13" i="4"/>
  <c r="R49" i="4"/>
  <c r="R56" i="4" s="1"/>
  <c r="AA36" i="4"/>
  <c r="AA28" i="4"/>
  <c r="AB36" i="4"/>
  <c r="AB23" i="4"/>
  <c r="AB14" i="4"/>
  <c r="AA11" i="4"/>
  <c r="AB39" i="4"/>
  <c r="AB20" i="4"/>
  <c r="N49" i="4"/>
  <c r="N56" i="4" s="1"/>
  <c r="AB35" i="4"/>
  <c r="AB27" i="4"/>
  <c r="AB28" i="4"/>
  <c r="AA18" i="4"/>
  <c r="AA10" i="4"/>
  <c r="AB43" i="4"/>
  <c r="AB37" i="4"/>
  <c r="AB40" i="4"/>
  <c r="AB26" i="4"/>
  <c r="AA35" i="4"/>
  <c r="AB32" i="4"/>
  <c r="AB29" i="4"/>
  <c r="AA25" i="4"/>
  <c r="AA17" i="4"/>
  <c r="AA9" i="4"/>
  <c r="J49" i="4"/>
  <c r="J56" i="4" s="1"/>
  <c r="AB22" i="4"/>
  <c r="AA19" i="4"/>
  <c r="AA14" i="4"/>
  <c r="AB19" i="4"/>
  <c r="L6" i="3" l="1"/>
  <c r="L20" i="3"/>
  <c r="L8" i="3"/>
  <c r="L4" i="3"/>
  <c r="F17" i="2"/>
  <c r="G17" i="2" s="1"/>
  <c r="G28" i="2" s="1"/>
  <c r="D12" i="4" l="1"/>
  <c r="AB12" i="4" s="1"/>
  <c r="C12" i="4"/>
  <c r="AA12" i="4" s="1"/>
  <c r="C8" i="4"/>
  <c r="AA8" i="4" s="1"/>
  <c r="K12" i="3"/>
  <c r="D8" i="4"/>
  <c r="L7" i="3" l="1"/>
  <c r="D49" i="4"/>
  <c r="D56" i="4" s="1"/>
  <c r="K5" i="3"/>
  <c r="K7" i="3"/>
  <c r="AA49" i="4"/>
  <c r="AA56" i="4" s="1"/>
  <c r="C61" i="4" s="1"/>
  <c r="G30" i="2"/>
  <c r="C30" i="2"/>
  <c r="L5" i="3"/>
  <c r="AB8" i="4"/>
  <c r="AB49" i="4" s="1"/>
  <c r="AC49" i="4" s="1"/>
  <c r="C49" i="4"/>
  <c r="C56" i="4" s="1"/>
  <c r="L12" i="3" l="1"/>
  <c r="AB56" i="4"/>
  <c r="D61" i="4" s="1"/>
  <c r="E61" i="4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<sst xmlns="http://schemas.openxmlformats.org/spreadsheetml/2006/main" count="537" uniqueCount="374">
  <si>
    <t>foi o último cadastro</t>
  </si>
  <si>
    <t>Produto 01</t>
  </si>
  <si>
    <t>Produto 02</t>
  </si>
  <si>
    <t>Produto 03</t>
  </si>
  <si>
    <t>Produto 04</t>
  </si>
  <si>
    <t>Acessório 01</t>
  </si>
  <si>
    <t>Acessório 02</t>
  </si>
  <si>
    <t>Acessório 03</t>
  </si>
  <si>
    <t>Acessório 04</t>
  </si>
  <si>
    <t>Geral</t>
  </si>
  <si>
    <t>Status</t>
  </si>
  <si>
    <t>Nº PEDIDO</t>
  </si>
  <si>
    <t>STATUS</t>
  </si>
  <si>
    <t>DATA PEDIDO</t>
  </si>
  <si>
    <t>COMO SOUBE</t>
  </si>
  <si>
    <t>PRODUTO(1)</t>
  </si>
  <si>
    <t>QUANT.(1)</t>
  </si>
  <si>
    <t>VLR UNIT(1)</t>
  </si>
  <si>
    <t>VLR TOTAL(1)</t>
  </si>
  <si>
    <t>PRODUTO(2)</t>
  </si>
  <si>
    <t>QUANT.(2)</t>
  </si>
  <si>
    <t>VLR UNIT(2)</t>
  </si>
  <si>
    <t>VLR TOTAL(2)</t>
  </si>
  <si>
    <t>PEÇAS(2)</t>
  </si>
  <si>
    <t>PRODUTO(3)</t>
  </si>
  <si>
    <t>QUANT.(3)</t>
  </si>
  <si>
    <t>VLR UNIT(3)</t>
  </si>
  <si>
    <t>VLR TOTAL(3)</t>
  </si>
  <si>
    <t>PEÇAS(3)</t>
  </si>
  <si>
    <t>PRODUTO(4)</t>
  </si>
  <si>
    <t>QUANT.(4)</t>
  </si>
  <si>
    <t>VLR UNIT(4)</t>
  </si>
  <si>
    <t>VLR TOTAL(4)</t>
  </si>
  <si>
    <t>PEÇAS(4)</t>
  </si>
  <si>
    <t>ACESSÓRIO(1)</t>
  </si>
  <si>
    <t>QUANT.(5)</t>
  </si>
  <si>
    <t>VLR UNIT(5)</t>
  </si>
  <si>
    <t>VLR TOTAL(5)</t>
  </si>
  <si>
    <t>PEÇAS(6)</t>
  </si>
  <si>
    <t>ACESSÓRIO (2)</t>
  </si>
  <si>
    <t>QUANT.(6)</t>
  </si>
  <si>
    <t>VLR UNIT.(6)</t>
  </si>
  <si>
    <t>VLR TOTAL(6)</t>
  </si>
  <si>
    <t>PEÇAS(6)2</t>
  </si>
  <si>
    <t>ACESSÓRIO (3)</t>
  </si>
  <si>
    <t>QUANT.(7)</t>
  </si>
  <si>
    <t>VLR UNIT.(7)</t>
  </si>
  <si>
    <t>VLR TOTAL(7)</t>
  </si>
  <si>
    <t>PEÇAS(7)</t>
  </si>
  <si>
    <t>ACESSÓRIO (4)</t>
  </si>
  <si>
    <t>QUANT.(8)</t>
  </si>
  <si>
    <t>VLR UNIT.(8)</t>
  </si>
  <si>
    <t>VLR TOTAL(8)</t>
  </si>
  <si>
    <t>PEÇAS(8)</t>
  </si>
  <si>
    <t>FORMA PGTO</t>
  </si>
  <si>
    <t>NOTA FISCAL</t>
  </si>
  <si>
    <t>VALOR</t>
  </si>
  <si>
    <t>VALOR PEÇA</t>
  </si>
  <si>
    <t>LISTA CLIENTES</t>
  </si>
  <si>
    <t>COMO FICOU SABENDO</t>
  </si>
  <si>
    <t>PRODUTO</t>
  </si>
  <si>
    <t>FORMA DE PGTO</t>
  </si>
  <si>
    <t>Entregue</t>
  </si>
  <si>
    <t>Bernardino Furlan</t>
  </si>
  <si>
    <t>Dinheiro</t>
  </si>
  <si>
    <t>Debora Vassoler Colchões</t>
  </si>
  <si>
    <t>Mauro José Salanti</t>
  </si>
  <si>
    <t>Boleto</t>
  </si>
  <si>
    <t>Orçamento</t>
  </si>
  <si>
    <t>NÚMERO PEDIDO:</t>
  </si>
  <si>
    <t>Produto</t>
  </si>
  <si>
    <t>Quantidade:</t>
  </si>
  <si>
    <t>Vlr. Unitário:</t>
  </si>
  <si>
    <t>Vlr. Total:</t>
  </si>
  <si>
    <t>Acessório</t>
  </si>
  <si>
    <t>Valor Total:</t>
  </si>
  <si>
    <t>Cliente</t>
  </si>
  <si>
    <t>Nível</t>
  </si>
  <si>
    <t>Endereço</t>
  </si>
  <si>
    <t>CPF</t>
  </si>
  <si>
    <t>E-mail</t>
  </si>
  <si>
    <t>Telefone</t>
  </si>
  <si>
    <t>Cidade</t>
  </si>
  <si>
    <t>Estado</t>
  </si>
  <si>
    <t>Vendas</t>
  </si>
  <si>
    <t>Qtde Vendas</t>
  </si>
  <si>
    <t>Distribuidor Nato</t>
  </si>
  <si>
    <t>RS</t>
  </si>
  <si>
    <t>Distribuidor</t>
  </si>
  <si>
    <t>Distribuidor De Carreira</t>
  </si>
  <si>
    <t>katiasampaio15@gmail.com</t>
  </si>
  <si>
    <t>Ano:</t>
  </si>
  <si>
    <t>Valores Orçados x Realizados</t>
  </si>
  <si>
    <t>JANEIRO</t>
  </si>
  <si>
    <t>FEVEREIRO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</si>
  <si>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</si>
  <si>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</si>
  <si>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</si>
  <si>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</si>
  <si>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</si>
  <si>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</si>
  <si>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</si>
  <si>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</si>
  <si>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</si>
  <si>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</si>
  <si>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TOTAL</t>
  </si>
  <si>
    <t>PRODUTOS</t>
  </si>
  <si>
    <t>Orçado</t>
  </si>
  <si>
    <t>Realizado</t>
  </si>
  <si>
    <t>Resumo Orçados x Realizados</t>
  </si>
  <si>
    <t>QUANTIDADE</t>
  </si>
  <si>
    <t>VALORES</t>
  </si>
  <si>
    <t>% Conversão</t>
  </si>
  <si>
    <t>Análise meios em que cliente fez contato</t>
  </si>
  <si>
    <t>Meios de contato</t>
  </si>
  <si>
    <t>Preencha abaixo os Meios que seu cliente lhe conhece e os seus produtos/serviços.</t>
  </si>
  <si>
    <t xml:space="preserve"> * Estes status não poderão ser alterados</t>
  </si>
  <si>
    <t>Peça</t>
  </si>
  <si>
    <t>Desconto</t>
  </si>
  <si>
    <t>Indicação</t>
  </si>
  <si>
    <t>Aprovado</t>
  </si>
  <si>
    <t>Distribuidor Líder</t>
  </si>
  <si>
    <t>Contato passado</t>
  </si>
  <si>
    <t>Cheque</t>
  </si>
  <si>
    <t>Distribuidor Sênior</t>
  </si>
  <si>
    <t>Google</t>
  </si>
  <si>
    <t>Cartão de Crédito</t>
  </si>
  <si>
    <t>Não aceito</t>
  </si>
  <si>
    <t>Evento</t>
  </si>
  <si>
    <t>Prospecção Ativa</t>
  </si>
  <si>
    <t>Promotor de Vendas</t>
  </si>
  <si>
    <t>Redes Sociais</t>
  </si>
  <si>
    <t>Acessórios</t>
  </si>
  <si>
    <t/>
  </si>
  <si>
    <t>Qtde Peças</t>
  </si>
  <si>
    <t>Sempre deixar o campo "Cliente" em ordem alfabética</t>
  </si>
  <si>
    <t>PEÇAS(1)</t>
  </si>
  <si>
    <t>Vendedor</t>
  </si>
  <si>
    <t>VENDEDOR</t>
  </si>
  <si>
    <t>TOTAL DO ANO</t>
  </si>
  <si>
    <t>CNPJ / CPF</t>
  </si>
  <si>
    <t>Antonio Marcos Montana De Moraes</t>
  </si>
  <si>
    <t>Elton Wallauer</t>
  </si>
  <si>
    <t>Ireni Leiria De Souza Me</t>
  </si>
  <si>
    <t>João Alfonso Schons Me</t>
  </si>
  <si>
    <t>José Felipe Klauck</t>
  </si>
  <si>
    <t>Lucimar A. Fontana Sampaio Colchões</t>
  </si>
  <si>
    <t>Michael Cristian Sturm</t>
  </si>
  <si>
    <t>Pedro Neri Feliz De Oliveira</t>
  </si>
  <si>
    <t>Schultz Comércio De Colchões Ltda</t>
  </si>
  <si>
    <t>Spuldaro Comércio De Aparelhos Terapêuticos Ltda</t>
  </si>
  <si>
    <t>Valmir Carlos Moraes</t>
  </si>
  <si>
    <t>Virlene Maria Lenhardt Jacobs</t>
  </si>
  <si>
    <t>Waldir Weber</t>
  </si>
  <si>
    <t>Rua Porto Alegre, 212, B. Maria Regina</t>
  </si>
  <si>
    <t>Rua Sinimbu, 2682 - Ap 302, B. Sao Pelegrino</t>
  </si>
  <si>
    <t>Rua Sebastiao Neris De Campos, 1325, B. Desvio Rizzo</t>
  </si>
  <si>
    <t>Av. Do Nazario, 559, B. Estancia Velha</t>
  </si>
  <si>
    <t>Rua Doutor Rivota, 181 - Casa, B. Centro</t>
  </si>
  <si>
    <t>Rua La Salle, 1687 - Aot 201 - Mont Blanc, B. Centro</t>
  </si>
  <si>
    <t>Rua Professor Affonso Schmitt, 108, B. Centro</t>
  </si>
  <si>
    <t>Av Setede Setembro, 826, B. Centro</t>
  </si>
  <si>
    <t>Av 15 De Novembro, 4973 - Subsolo A, B. Vale Verde</t>
  </si>
  <si>
    <t>Rua Dahne De Abreu, 486, B. Centro</t>
  </si>
  <si>
    <t>Rua Dom Pero Ii, 240 - Casa, B. Centro</t>
  </si>
  <si>
    <t>Rua Professor Adão Oscar Wiebling, 1858, B. Centro</t>
  </si>
  <si>
    <t>Rua Luiz Sogari, 350 - Sala, B. Polo</t>
  </si>
  <si>
    <t>Rua Dos Coqueiros, 529, B. Planalto</t>
  </si>
  <si>
    <t>Rua Vicente Ferreira De Oliveira, 434, B. Juscelino Kubitschek</t>
  </si>
  <si>
    <t>Rua Das Tulipas, 239, B. Esperança</t>
  </si>
  <si>
    <t>10.428.770/0001-93</t>
  </si>
  <si>
    <t>30.319.112/0001-70</t>
  </si>
  <si>
    <t>25.695.243/0001-12</t>
  </si>
  <si>
    <t>21.668.816/0001-68</t>
  </si>
  <si>
    <t>35.138.165/0001-09</t>
  </si>
  <si>
    <t>01.734.335/0001-04</t>
  </si>
  <si>
    <t>23.099.789/0001-85</t>
  </si>
  <si>
    <t>03.290.550/0001-80</t>
  </si>
  <si>
    <t>93.804.342/0001-45</t>
  </si>
  <si>
    <t>04.622.623/0001-57</t>
  </si>
  <si>
    <t>614.261.720-87</t>
  </si>
  <si>
    <t>205.508.980-34</t>
  </si>
  <si>
    <t>009.097.470-08</t>
  </si>
  <si>
    <t>202.719.720-68</t>
  </si>
  <si>
    <t>509.490.040-49</t>
  </si>
  <si>
    <t>345.987.409-06</t>
  </si>
  <si>
    <t>132.309.059-20</t>
  </si>
  <si>
    <t>489.390.560-00</t>
  </si>
  <si>
    <t>968.158.920-34</t>
  </si>
  <si>
    <t>194.964.600-97</t>
  </si>
  <si>
    <t>773.240.130-15</t>
  </si>
  <si>
    <t>309.815.140-49</t>
  </si>
  <si>
    <t>333.425.980-34</t>
  </si>
  <si>
    <t>antoniomontana.itapeme@gmail.com</t>
  </si>
  <si>
    <t>contato@fedrizzicontabilidade.com.br</t>
  </si>
  <si>
    <t>eltonwallauer@gmail.com</t>
  </si>
  <si>
    <t>marcia8692@hotmail.com</t>
  </si>
  <si>
    <t>joaoschons@hotmail.com</t>
  </si>
  <si>
    <t>mjsalanti@hotmail.com</t>
  </si>
  <si>
    <t>representacoesmichael@gmail.com</t>
  </si>
  <si>
    <t>p.feliz.oliveira@bol.com.br</t>
  </si>
  <si>
    <t>sonoperfeito@hotmail.com.br</t>
  </si>
  <si>
    <t>fiscalampessan@gmail.com</t>
  </si>
  <si>
    <t>lampa7@hotmail.com</t>
  </si>
  <si>
    <t>valdirjacob@bol.com.br</t>
  </si>
  <si>
    <t>waldirweber@hotmail.com</t>
  </si>
  <si>
    <t xml:space="preserve">Alvorada </t>
  </si>
  <si>
    <t>Caxias Do Sul</t>
  </si>
  <si>
    <t>Canoas</t>
  </si>
  <si>
    <t>Santiago</t>
  </si>
  <si>
    <t>São Miguel Do Oeste</t>
  </si>
  <si>
    <t>Picada Cafe</t>
  </si>
  <si>
    <t>Nova Petropolis</t>
  </si>
  <si>
    <t>Horizontina</t>
  </si>
  <si>
    <t>Alecrim</t>
  </si>
  <si>
    <t>Ernestina</t>
  </si>
  <si>
    <t>Sao Marcos</t>
  </si>
  <si>
    <t>Santa Rosa</t>
  </si>
  <si>
    <t>Santa Maria</t>
  </si>
  <si>
    <t>SC</t>
  </si>
  <si>
    <t>DATA PAGAMENTO</t>
  </si>
  <si>
    <t>VLR A PAGAR</t>
  </si>
  <si>
    <t>A Pagar:</t>
  </si>
  <si>
    <t>TOTAL PEÇAS</t>
  </si>
  <si>
    <t>NÍVEL</t>
  </si>
  <si>
    <t>10101 - Colchão Léctus 088 X 188 X 021 cm MVQ</t>
  </si>
  <si>
    <t>10102 - Colchão Vivace 088 X 188 X 024 cm MVQ</t>
  </si>
  <si>
    <t>10103 - Colchão Supremo 088 X 188 X 027 cm MVQ</t>
  </si>
  <si>
    <t>10104 - Colchão Léctus 138 X 188 X 021 cm MVQ</t>
  </si>
  <si>
    <t>10105 - Colchão Vivace 138 X 188 X 024 cm MVQ</t>
  </si>
  <si>
    <t>10106 - Colchão Supremo 138 X 188 X 027 cm MVQ</t>
  </si>
  <si>
    <t>10107 - Colchão Léctus 158 X 198 X 021 cm MVQ</t>
  </si>
  <si>
    <t>10108 - Colchão Vivace 158 X 198 X 024 cm MVQ</t>
  </si>
  <si>
    <t>10109 - Colchão Supremo 158 X 198 X 027 cm MVQ</t>
  </si>
  <si>
    <t>10110 - Colchão Léctus 193 X 203 X 021 cm MVQ</t>
  </si>
  <si>
    <t>10111 - Colchão Vivace 193 X 203 X 024 cm MVQ</t>
  </si>
  <si>
    <t>10112 - Colchão Supremo 193 X 203 X 027 cm MVQ</t>
  </si>
  <si>
    <t>10113 - Colchão Articulado Solt 089 X 198 X 019 cm MVQ</t>
  </si>
  <si>
    <t>10114 - Colchão Articulado Solt 096 X 203 X 019 cm MVQ</t>
  </si>
  <si>
    <t>10115 - Colchonete Plenosono 088 X 188 X 009 cm MVQ</t>
  </si>
  <si>
    <t>10116 - Colchonete Plenosono 138 X 188 X 009 cm MVQ</t>
  </si>
  <si>
    <t>10117 - Colchonete Plenosono 158 X 198 X 09 cm MVQ</t>
  </si>
  <si>
    <t>10118 - Colchonete Plenosono 193 X 203 X 09 cm MVQ</t>
  </si>
  <si>
    <t>10119 - Colchão Bem Estar A.R. 138 X 188 X 31/21 cm MVQ</t>
  </si>
  <si>
    <t xml:space="preserve">10120 - Colchão Bem Estar A.R. 158 X 198 X 31/21 cm MVQ </t>
  </si>
  <si>
    <t>10121 - Colchão Bem Estar A.R. 193 X 203 X 31/21 cm MVQ</t>
  </si>
  <si>
    <t>10122 - Colchão Bem Estar A.R. 088 X 188 X 31/21 cm MVQ</t>
  </si>
  <si>
    <t xml:space="preserve">20101 - Colchão Aconchego 088 X 188 X 019 cm </t>
  </si>
  <si>
    <t xml:space="preserve">20102 - Colchão Aconchego 138 X 188 X 019 cm </t>
  </si>
  <si>
    <t xml:space="preserve">20103 - Colchão Aconchego 158 X 198 X 019 cm </t>
  </si>
  <si>
    <t xml:space="preserve">20104 - Colchão Aconchego 193 X 203 X 019 cm </t>
  </si>
  <si>
    <t>40101 - Colchão Léctus 088 X 188 X 021 cm S/VQ</t>
  </si>
  <si>
    <t>40102 - Colchão Vivace 088 X 188 X 024 cm S/VQ</t>
  </si>
  <si>
    <t>40103 - Colchão Supremo 088 X 188 X 027 cm S/VQ</t>
  </si>
  <si>
    <t>40104 - Colchão Léctus 138 X 188 X 021 cm S/VQ</t>
  </si>
  <si>
    <t>40105 - Colchão Vivace 138 X 188 X 024 cm S/VQ</t>
  </si>
  <si>
    <t>40106 - Colchão Supremo 138 X 188 X 027 cm S/VQ</t>
  </si>
  <si>
    <t>40107 - Colchão Léctus 158 X 198 X 021 cm S/VQ</t>
  </si>
  <si>
    <t>40108 - Colchão Vivace 158 X 198 X 024 cm S/VQ</t>
  </si>
  <si>
    <t>40109 - Colchão Supremo 158 X 198 X 027 cm S/VQ</t>
  </si>
  <si>
    <t>40110 - Colchão Léctus 193 X 203 X 021 cm S/VQ</t>
  </si>
  <si>
    <t>40111 - Colchão Vivace 193 X 203 X 024 cm S/VQ</t>
  </si>
  <si>
    <t>40112 - Colchão Supremo 193 X 203 X 027 cm S/VQ</t>
  </si>
  <si>
    <t xml:space="preserve">40115 - Colchonete Plenosono 088 X 188 X 009 cm S/VQ </t>
  </si>
  <si>
    <t xml:space="preserve">40116 - Colchonete Plenosono 138 X 188 X 009 cm S/VQ </t>
  </si>
  <si>
    <t>40117 - Colchonete Plenosono 158 X 198 X 009 cm S/VQ</t>
  </si>
  <si>
    <t>40118 - Colchonete Plenosono 193 X 203 X 009 cm S/VQ</t>
  </si>
  <si>
    <t>T001 - Travesseiro Multicamadas 035 X 060 cm</t>
  </si>
  <si>
    <t>T002 - Travesseiro Colo De Mãe Mag Inf 035 X 060 Mult</t>
  </si>
  <si>
    <t>T003 - Travesseiro Visco 040 X 060</t>
  </si>
  <si>
    <t>T004 - Travesseiro Multiflex 035 X 060</t>
  </si>
  <si>
    <t>T005 - Travesseiro Junior 035 X 060 cm</t>
  </si>
  <si>
    <t xml:space="preserve">T006 - Travesseiro Colo De Mãe Jr Mag Inf 035 X 060 </t>
  </si>
  <si>
    <t>T007 - Travesseiro Infantil</t>
  </si>
  <si>
    <t>T008 - Travesseiro Infantil Ortopédico</t>
  </si>
  <si>
    <t>230 - Almofada Com Infravermelho</t>
  </si>
  <si>
    <t>184 - Almofada Terapêutica</t>
  </si>
  <si>
    <t>232 - Assento De Carro 98 X 45</t>
  </si>
  <si>
    <t>188 - Cunha Postural</t>
  </si>
  <si>
    <t>129 - Ioncel Blocker Ecoturb</t>
  </si>
  <si>
    <t>108 - Ioncel Wifi Ecoturb</t>
  </si>
  <si>
    <t>139 - Pingente Ecoturb</t>
  </si>
  <si>
    <t>249 - Pulseira Bioquântica Mhr</t>
  </si>
  <si>
    <t>185 - Rolo Postural Cervical</t>
  </si>
  <si>
    <t>187 - Rolo Postural Grande</t>
  </si>
  <si>
    <t>186 - Rolo Postural Lombar</t>
  </si>
  <si>
    <t>ACESSÓRIOS</t>
  </si>
  <si>
    <t>ECOTURB</t>
  </si>
  <si>
    <t>ACESSÓRIO</t>
  </si>
  <si>
    <t>182 - Box Baú Casal 1,58 X 1,98 X 0,35 cm Bipartido</t>
  </si>
  <si>
    <t>256 - Box Baú Casal 1,38 X 1,88 X 0,35 cm</t>
  </si>
  <si>
    <t>257 - Box Baú Casal 1,93 X 2,03 X 0,35 cm Bipartido</t>
  </si>
  <si>
    <t>BASE BOX</t>
  </si>
  <si>
    <t>239 - Base Box Casal 1,38 X 1,88 X 0,25 cm</t>
  </si>
  <si>
    <t>240 - Base Box Casal 1,58 X 1,98 X 0,25 cm</t>
  </si>
  <si>
    <t>241 - Base Box Casal 1,93 X 2,03 X 0,25 cm</t>
  </si>
  <si>
    <t>242 - Base Box Solteiro 0,88 X 1,88 X 0,25 cm</t>
  </si>
  <si>
    <t>BOX BAÚ</t>
  </si>
  <si>
    <t>258 - Box Baú Solteiro 0,88 X 1,88 X 0,35 cm</t>
  </si>
  <si>
    <t>259 - Base Somier Baú Solteiro 0,95 X 1,90 X 0,41 cm</t>
  </si>
  <si>
    <t>260 - Base Somier Baú Casal 1,45 X 1,95 X 0,41 cm</t>
  </si>
  <si>
    <t>261 - Base Somier Baú Casal 1,65 X 2,05 X 0,41 cm</t>
  </si>
  <si>
    <t>262 - Base Somier Baú Casal 1,98 X 2,08 X 0,41 cm</t>
  </si>
  <si>
    <t>ORTOPÉDICOS</t>
  </si>
  <si>
    <t>CAMA ARTICULADA</t>
  </si>
  <si>
    <t xml:space="preserve">43 - Cama Articulada Zeus Casal 180 X 200 </t>
  </si>
  <si>
    <t xml:space="preserve">41 - Cama Articulada Zeus Solt 0,90 X 2,00 X 41 </t>
  </si>
  <si>
    <t xml:space="preserve">42 - Cama Articulada Zeus Solt 0,96 X 2,03 X 41 </t>
  </si>
  <si>
    <t xml:space="preserve">126 - Cama Articulada Zeus Casal 193 X 203 </t>
  </si>
  <si>
    <t xml:space="preserve">190 - Cabeceira 2 Retângulos Borda Lisa 160 X 130 </t>
  </si>
  <si>
    <t xml:space="preserve">189 - Cabeceira 2 Retângulos Borda Lisa 180 X 130 </t>
  </si>
  <si>
    <t>171 - Cabeceira 2 Retângulos Borda Lisa 213 X 130</t>
  </si>
  <si>
    <t>153 - Cabeceira Capitone Borda 140 cm</t>
  </si>
  <si>
    <t>148 - Cabeceira Capitone Borda 160 cm</t>
  </si>
  <si>
    <t>154 - Cabeceira Capitone Borda 193 cm</t>
  </si>
  <si>
    <t>127 - Cabeceira Quadros S/ Borda 140 cm</t>
  </si>
  <si>
    <t>155 - Cabeceira Quadros S/ Borda 160 cm</t>
  </si>
  <si>
    <t>156 - Cabeceira Quadros S/ Borda 193 cm</t>
  </si>
  <si>
    <t>151 - Cabeceira Quadros S/ Borda 88 cm</t>
  </si>
  <si>
    <t>144 - Cabeceira Retângulos 160 X 130</t>
  </si>
  <si>
    <t>172 - Cabeceira Retângulos 193 X 130</t>
  </si>
  <si>
    <t>CABECEIRA</t>
  </si>
  <si>
    <t>LINHA BEM ESTAR</t>
  </si>
  <si>
    <t>LINHA BEM ESTAR SEM MASSAGEM</t>
  </si>
  <si>
    <t>FILTRO DE ÁGUA</t>
  </si>
  <si>
    <t>27 - Filtro De Água SAP Completo</t>
  </si>
  <si>
    <t>25 - Garrafão 10 L</t>
  </si>
  <si>
    <t xml:space="preserve">24 - Refil Sap Control </t>
  </si>
  <si>
    <t>26 - Torneira Plástica MCM</t>
  </si>
  <si>
    <t>TRAVESSEIROS</t>
  </si>
  <si>
    <t>LINHA INFANTIL</t>
  </si>
  <si>
    <t>BEM ESTAR COMODITÁ</t>
  </si>
  <si>
    <t>COLCHONETE BEM ESTAR</t>
  </si>
  <si>
    <t>BEM ESTAR ANTIRREFLUXO</t>
  </si>
  <si>
    <t>LONHA ORTOPÉDICO</t>
  </si>
  <si>
    <t>10129 - Colchão Infantil 70 X 130 X 12 MVQ</t>
  </si>
  <si>
    <t>20129 - Colchão Infantil Ortopédico 70 X 130 X 12</t>
  </si>
  <si>
    <t>Sistema CROMOTERAPIA</t>
  </si>
  <si>
    <t>Sistema AUDIO VIBE 4D</t>
  </si>
  <si>
    <t xml:space="preserve">CONTROLADORES </t>
  </si>
  <si>
    <t>MANTA QUÂNTICA</t>
  </si>
  <si>
    <t>140 - Manta Quântica 138 x 188</t>
  </si>
  <si>
    <t>PREÇO</t>
  </si>
  <si>
    <t>40129 - Colchão Infantil 70 X 130 X 12 S/VQ</t>
  </si>
  <si>
    <t>000 - Manta Quântica 088 x 188</t>
  </si>
  <si>
    <t>000 - Manta Quântica 158 x 198</t>
  </si>
  <si>
    <t>000 - Manta Quântica 193 x 203</t>
  </si>
  <si>
    <t>174 - Cobre-Leito Queem</t>
  </si>
  <si>
    <t>152 - Detector De Ondas E Magnétos 2 Em 1</t>
  </si>
  <si>
    <t>154 - Detector De Ondas E Magnétos 3 Em 1</t>
  </si>
  <si>
    <t xml:space="preserve">00152 - Palmilha Magnética </t>
  </si>
  <si>
    <t>LINHA ORTOPÉDICO INFANTIL</t>
  </si>
  <si>
    <t>ESPECIAIS</t>
  </si>
  <si>
    <t>Colchão 138 x 188</t>
  </si>
  <si>
    <t>Colchão 158 x 198</t>
  </si>
  <si>
    <t>Colchão 193 x 203</t>
  </si>
  <si>
    <t>Colchão 088 x 188</t>
  </si>
  <si>
    <t>FIM</t>
  </si>
  <si>
    <t>AJUSTE 
PRODUTO ESPECIAL</t>
  </si>
  <si>
    <t>ESPECIAL?</t>
  </si>
  <si>
    <t>Sim</t>
  </si>
  <si>
    <t>AJUSTE 
ACESS ESPECIAL</t>
  </si>
  <si>
    <t>176 - Cobre-Leito Casal</t>
  </si>
  <si>
    <t>175 - Cobre Leito Solteiro</t>
  </si>
  <si>
    <t>OBS / CONDIÇÃO PGTO</t>
  </si>
  <si>
    <t>Observação / Condição de Pgto</t>
  </si>
  <si>
    <t>DATA ENTREGA</t>
  </si>
  <si>
    <t>Pgto 1 + 1</t>
  </si>
  <si>
    <t>Cliente Sueli Pavezi - Agudo | Pgto A vista</t>
  </si>
  <si>
    <t>Cliente Vanessa Fell - São Leopoldo| Pé do box de 8 cm | Pgto à vista</t>
  </si>
  <si>
    <t>Cliente Alice Unfer - Agudo</t>
  </si>
  <si>
    <t>Cliente Regina Nóbrega - Canguçu | Depósito em conta</t>
  </si>
  <si>
    <t>Darci Capelletti | Pgto à vista</t>
  </si>
  <si>
    <t>Produto em estoque para vender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</si>
</sst>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6">
    <numFmt numFmtId="164" formatCode="_(&quot;R$&quot;* #,##0.00_);_(&quot;R$&quot;* \(#,##0.00\);_(&quot;R$&quot;* &quot;-&quot;??_);_(@_)"/>
    <numFmt numFmtId="165" formatCode="_-&quot;R$&quot;\ * #,##0.00_-;\-&quot;R$&quot;\ * #,##0.00_-;_-&quot;R$&quot;\ * &quot;-&quot;??_-;_-@_-"/>
    <numFmt numFmtId="166" formatCode="_-* #,##0.00_-;\-* #,##0.00_-;_-* &quot;-&quot;??_-;_-@_-"/>
    <numFmt numFmtId="167" formatCode="000000"/>
    <numFmt numFmtId="168" formatCode="00000"/>
    <numFmt numFmtId="169" formatCode="_(&quot;R$ &quot;* #,##0.00_);_(&quot;R$ &quot;* \(#,##0.00\);_(&quot;R$ &quot;* &quot;-&quot;??_);_(@_)"/>
    <numFmt numFmtId="170" formatCode="[$-416]d\-mmm;@"/>
    <numFmt numFmtId="171" formatCode="&quot;(&quot;0#&quot;)&quot;\ #####\-####"/>
    <numFmt numFmtId="172" formatCode="0#&quot;.&quot;###&quot;.&quot;###&quot;/&quot;####\-##"/>
    <numFmt numFmtId="173" formatCode="_-* #,##0.0_-;\-* #,##0.0_-;_-* &quot;-&quot;??_-;_-@_-"/>
    <numFmt numFmtId="174" formatCode="0.0%"/>
    <numFmt numFmtId="175" formatCode="_-* #,##0_-;\-* #,##0_-;_-* &quot;-&quot;??_-;_-@_-"/>
    <numFmt numFmtId="176" formatCode="[&lt;=99999999999]000\.000\.000\-00;00\.000\.000\/0000\-00"/>
    <numFmt numFmtId="177" formatCode="_-* #,##0.000_-;\-* #,##0.000_-;_-* &quot;-&quot;??_-;_-@_-"/>
    <numFmt numFmtId="178" formatCode="0.000"/>
    <numFmt numFmtId="179" formatCode="dd/mm"/>
  </numFmts>
  <fonts count="4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2"/>
      <color theme="0"/>
      <name val="Calibri"/>
      <family val="2"/>
      <scheme val="minor"/>
    </font>
    <font>
      <sz val="10"/>
      <color theme="0"/>
      <name val="Arial"/>
      <family val="2"/>
    </font>
    <font>
      <i/>
      <sz val="10"/>
      <name val="Arial"/>
      <family val="2"/>
    </font>
    <font>
      <sz val="12"/>
      <color theme="0"/>
      <name val="Calibri"/>
      <family val="2"/>
      <scheme val="minor"/>
    </font>
    <font>
      <b/>
      <i/>
      <sz val="10"/>
      <color theme="0"/>
      <name val="Arial"/>
      <family val="2"/>
    </font>
    <font>
      <b/>
      <sz val="10"/>
      <color theme="0"/>
      <name val="Arial"/>
      <family val="2"/>
    </font>
    <font>
      <u/>
      <sz val="10"/>
      <color indexed="12"/>
      <name val="Arial"/>
      <family val="2"/>
    </font>
    <font>
      <b/>
      <i/>
      <sz val="10"/>
      <name val="Arial"/>
      <family val="2"/>
    </font>
    <font>
      <b/>
      <sz val="10"/>
      <color theme="0"/>
      <name val="Arial"/>
      <family val="2"/>
    </font>
    <font>
      <b/>
      <sz val="10"/>
      <name val="Arial"/>
      <family val="2"/>
    </font>
    <font>
      <sz val="10"/>
      <color theme="1"/>
      <name val="Arial"/>
      <family val="2"/>
    </font>
    <font>
      <sz val="10"/>
      <color rgb="FFFF0000"/>
      <name val="Arial"/>
      <family val="2"/>
    </font>
    <font>
      <sz val="11"/>
      <name val="Calibri"/>
      <family val="2"/>
      <scheme val="minor"/>
    </font>
    <font>
      <sz val="11"/>
      <name val="Arial"/>
      <family val="2"/>
    </font>
    <font>
      <sz val="11"/>
      <color theme="1"/>
      <name val="Arial"/>
      <family val="2"/>
    </font>
    <font>
      <b/>
      <sz val="16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8"/>
      <color theme="1"/>
      <name val="Arial"/>
      <family val="2"/>
    </font>
    <font>
      <b/>
      <sz val="10"/>
      <color theme="1"/>
      <name val="Arial"/>
      <family val="2"/>
    </font>
    <font>
      <b/>
      <sz val="11"/>
      <color theme="1"/>
      <name val="Arial"/>
      <family val="2"/>
    </font>
    <font>
      <sz val="9"/>
      <color theme="1"/>
      <name val="Arial"/>
      <family val="2"/>
    </font>
    <font>
      <sz val="12"/>
      <color theme="1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color rgb="FF1F497D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name val="Arial"/>
      <family val="2"/>
    </font>
    <font>
      <i/>
      <sz val="11"/>
      <color theme="1"/>
      <name val="Calibri"/>
      <family val="2"/>
      <scheme val="minor"/>
    </font>
    <font>
      <b/>
      <sz val="20"/>
      <color theme="0"/>
      <name val="Calibri"/>
      <family val="2"/>
      <scheme val="minor"/>
    </font>
    <font>
      <b/>
      <i/>
      <sz val="11"/>
      <color theme="5" tint="0.39997558519241921"/>
      <name val="Calibri"/>
      <family val="2"/>
      <scheme val="minor"/>
    </font>
    <font>
      <i/>
      <sz val="11"/>
      <color theme="5" tint="0.3999755851924192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i/>
      <sz val="11"/>
      <color theme="0"/>
      <name val="Calibri"/>
      <family val="2"/>
      <scheme val="minor"/>
    </font>
    <font>
      <b/>
      <sz val="12"/>
      <color theme="0"/>
      <name val="Arial"/>
      <family val="2"/>
    </font>
    <font>
      <sz val="8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name val="Arial"/>
      <family val="2"/>
    </font>
    <font>
      <b/>
      <sz val="9"/>
      <name val="Arial"/>
      <family val="2"/>
    </font>
    <font>
      <sz val="10"/>
      <color rgb="FF000000"/>
      <name val="Arial"/>
      <family val="2"/>
    </font>
    <font>
      <sz val="10"/>
      <name val="Arial"/>
    </font>
  </fonts>
  <fills count="2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8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2F9EB"/>
        <bgColor indexed="64"/>
      </patternFill>
    </fill>
    <fill>
      <patternFill patternType="solid">
        <fgColor rgb="FF254B2C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6" tint="0.79998168889431442"/>
        <bgColor indexed="65"/>
      </patternFill>
    </fill>
    <fill>
      <patternFill patternType="solid">
        <fgColor rgb="FFDDEFE0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7" tint="0.79998168889431442"/>
        <bgColor indexed="64"/>
      </patternFill>
    </fill>
  </fills>
  <borders count="38">
    <border>
      <left/>
      <right/>
      <top/>
      <bottom/>
      <diagonal/>
    </border>
    <border>
      <left/>
      <right/>
      <top/>
      <bottom style="thin">
        <color theme="0"/>
      </bottom>
      <diagonal/>
    </border>
    <border>
      <left/>
      <right style="dashed">
        <color theme="0"/>
      </right>
      <top/>
      <bottom style="dashed">
        <color auto="1"/>
      </bottom>
      <diagonal/>
    </border>
    <border>
      <left/>
      <right/>
      <top style="hair">
        <color theme="0"/>
      </top>
      <bottom style="hair">
        <color theme="0" tint="-0.34998626667073579"/>
      </bottom>
      <diagonal/>
    </border>
    <border>
      <left/>
      <right style="hair">
        <color theme="0"/>
      </right>
      <top style="hair">
        <color theme="0"/>
      </top>
      <bottom style="hair">
        <color theme="0" tint="-0.34998626667073579"/>
      </bottom>
      <diagonal/>
    </border>
    <border>
      <left style="dashed">
        <color auto="1"/>
      </left>
      <right/>
      <top style="dashed">
        <color auto="1"/>
      </top>
      <bottom style="dashed">
        <color auto="1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/>
      <right/>
      <top style="dashed">
        <color auto="1"/>
      </top>
      <bottom style="dashed">
        <color auto="1"/>
      </bottom>
      <diagonal/>
    </border>
    <border>
      <left/>
      <right/>
      <top style="dashed">
        <color auto="1"/>
      </top>
      <bottom/>
      <diagonal/>
    </border>
    <border>
      <left/>
      <right/>
      <top/>
      <bottom style="hair">
        <color auto="1"/>
      </bottom>
      <diagonal/>
    </border>
    <border>
      <left style="dashed">
        <color theme="0"/>
      </left>
      <right/>
      <top style="dashed">
        <color theme="0"/>
      </top>
      <bottom style="dashed">
        <color theme="0"/>
      </bottom>
      <diagonal/>
    </border>
    <border>
      <left/>
      <right style="dashed">
        <color theme="0"/>
      </right>
      <top style="dashed">
        <color theme="0"/>
      </top>
      <bottom style="dashed">
        <color theme="0"/>
      </bottom>
      <diagonal/>
    </border>
    <border>
      <left style="dashed">
        <color theme="0"/>
      </left>
      <right style="dashed">
        <color theme="0"/>
      </right>
      <top style="dashed">
        <color theme="0"/>
      </top>
      <bottom style="dashed">
        <color theme="0"/>
      </bottom>
      <diagonal/>
    </border>
    <border>
      <left style="dashed">
        <color theme="0"/>
      </left>
      <right/>
      <top/>
      <bottom/>
      <diagonal/>
    </border>
    <border>
      <left/>
      <right style="dashed">
        <color theme="0"/>
      </right>
      <top/>
      <bottom/>
      <diagonal/>
    </border>
    <border>
      <left style="dashed">
        <color theme="0"/>
      </left>
      <right/>
      <top/>
      <bottom style="dashed">
        <color theme="0"/>
      </bottom>
      <diagonal/>
    </border>
    <border>
      <left/>
      <right/>
      <top/>
      <bottom style="dashed">
        <color theme="0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/>
      <right style="dashed">
        <color theme="0"/>
      </right>
      <top/>
      <bottom style="dashed">
        <color theme="0"/>
      </bottom>
      <diagonal/>
    </border>
    <border>
      <left/>
      <right style="dashed">
        <color theme="0"/>
      </right>
      <top style="dashed">
        <color theme="0"/>
      </top>
      <bottom/>
      <diagonal/>
    </border>
    <border>
      <left style="dashed">
        <color theme="0"/>
      </left>
      <right style="dashed">
        <color theme="0"/>
      </right>
      <top style="dashed">
        <color theme="0"/>
      </top>
      <bottom/>
      <diagonal/>
    </border>
    <border>
      <left/>
      <right style="dashed">
        <color theme="0"/>
      </right>
      <top style="thin">
        <color theme="0"/>
      </top>
      <bottom style="dashed">
        <color theme="0"/>
      </bottom>
      <diagonal/>
    </border>
    <border>
      <left style="dashed">
        <color theme="0"/>
      </left>
      <right/>
      <top style="dashed">
        <color theme="0"/>
      </top>
      <bottom/>
      <diagonal/>
    </border>
    <border>
      <left style="hair">
        <color theme="0" tint="-0.34998626667073579"/>
      </left>
      <right style="dashed">
        <color theme="0"/>
      </right>
      <top style="hair">
        <color theme="0" tint="-0.34998626667073579"/>
      </top>
      <bottom style="hair">
        <color theme="0" tint="-0.34998626667073579"/>
      </bottom>
      <diagonal/>
    </border>
    <border>
      <left style="dashed">
        <color theme="0"/>
      </left>
      <right/>
      <top style="hair">
        <color theme="0" tint="-0.34998626667073579"/>
      </top>
      <bottom/>
      <diagonal/>
    </border>
    <border>
      <left style="hair">
        <color theme="0" tint="-0.34998626667073579"/>
      </left>
      <right/>
      <top style="hair">
        <color theme="0" tint="-0.34998626667073579"/>
      </top>
      <bottom/>
      <diagonal/>
    </border>
    <border>
      <left style="hair">
        <color theme="0" tint="-0.34998626667073579"/>
      </left>
      <right style="dashed">
        <color theme="0"/>
      </right>
      <top style="hair">
        <color theme="0" tint="-0.34998626667073579"/>
      </top>
      <bottom/>
      <diagonal/>
    </border>
    <border>
      <left style="dashed">
        <color theme="0"/>
      </left>
      <right/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/>
      <top style="hair">
        <color theme="0" tint="-0.34998626667073579"/>
      </top>
      <bottom style="hair">
        <color theme="0" tint="-0.34998626667073579"/>
      </bottom>
      <diagonal/>
    </border>
    <border>
      <left/>
      <right/>
      <top/>
      <bottom style="double">
        <color auto="1"/>
      </bottom>
      <diagonal/>
    </border>
    <border>
      <left style="thin">
        <color theme="5" tint="-0.499984740745262"/>
      </left>
      <right style="thin">
        <color theme="5" tint="-0.499984740745262"/>
      </right>
      <top style="thin">
        <color theme="5" tint="-0.499984740745262"/>
      </top>
      <bottom style="thin">
        <color theme="5" tint="-0.499984740745262"/>
      </bottom>
      <diagonal/>
    </border>
    <border>
      <left style="thin">
        <color theme="5" tint="-0.499984740745262"/>
      </left>
      <right style="thin">
        <color theme="5" tint="-0.499984740745262"/>
      </right>
      <top/>
      <bottom style="thin">
        <color theme="5" tint="-0.499984740745262"/>
      </bottom>
      <diagonal/>
    </border>
    <border>
      <left style="thin">
        <color theme="5" tint="-0.499984740745262"/>
      </left>
      <right style="thin">
        <color theme="5" tint="-0.499984740745262"/>
      </right>
      <top style="thin">
        <color theme="5" tint="-0.499984740745262"/>
      </top>
      <bottom/>
      <diagonal/>
    </border>
    <border>
      <left/>
      <right style="thin">
        <color theme="5" tint="-0.499984740745262"/>
      </right>
      <top style="thin">
        <color theme="5" tint="-0.499984740745262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theme="5" tint="-0.499984740745262"/>
      </right>
      <top style="thin">
        <color theme="5" tint="-0.499984740745262"/>
      </top>
      <bottom style="thin">
        <color theme="5" tint="-0.499984740745262"/>
      </bottom>
      <diagonal/>
    </border>
    <border>
      <left/>
      <right/>
      <top/>
      <bottom style="hair">
        <color theme="0"/>
      </bottom>
      <diagonal/>
    </border>
  </borders>
  <cellStyleXfs count="9">
    <xf numFmtId="0" fontId="0" fillId="0" borderId="0"/>
    <xf numFmtId="166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4" fillId="0" borderId="0"/>
    <xf numFmtId="0" fontId="11" fillId="0" borderId="0" applyNumberFormat="0" applyFill="0" applyBorder="0" applyAlignment="0" applyProtection="0">
      <alignment vertical="top"/>
      <protection locked="0"/>
    </xf>
    <xf numFmtId="169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0" fontId="1" fillId="20" borderId="0" applyNumberFormat="0" applyBorder="0" applyAlignment="0" applyProtection="0"/>
  </cellStyleXfs>
  <cellXfs count="315">
    <xf numFmtId="0" fontId="0" fillId="0" borderId="0" xfId="0"/>
    <xf numFmtId="0" fontId="4" fillId="0" borderId="0" xfId="4" applyProtection="1">
      <protection locked="0"/>
    </xf>
    <xf numFmtId="0" fontId="4" fillId="0" borderId="0" xfId="4" applyAlignment="1" applyProtection="1">
      <alignment horizontal="center"/>
      <protection locked="0"/>
    </xf>
    <xf numFmtId="0" fontId="4" fillId="0" borderId="0" xfId="4"/>
    <xf numFmtId="0" fontId="7" fillId="0" borderId="0" xfId="4" applyFont="1" applyAlignment="1" applyProtection="1">
      <alignment horizontal="left"/>
      <protection locked="0"/>
    </xf>
    <xf numFmtId="0" fontId="12" fillId="3" borderId="0" xfId="4" applyFont="1" applyFill="1" applyAlignment="1" applyProtection="1">
      <alignment horizontal="center"/>
      <protection locked="0"/>
    </xf>
    <xf numFmtId="0" fontId="12" fillId="4" borderId="0" xfId="4" applyFont="1" applyFill="1" applyAlignment="1" applyProtection="1">
      <alignment horizontal="center"/>
      <protection locked="0"/>
    </xf>
    <xf numFmtId="0" fontId="12" fillId="5" borderId="0" xfId="4" applyFont="1" applyFill="1" applyAlignment="1" applyProtection="1">
      <alignment horizontal="center"/>
      <protection locked="0"/>
    </xf>
    <xf numFmtId="0" fontId="12" fillId="6" borderId="0" xfId="4" applyFont="1" applyFill="1" applyAlignment="1" applyProtection="1">
      <alignment horizontal="center"/>
      <protection locked="0"/>
    </xf>
    <xf numFmtId="0" fontId="12" fillId="7" borderId="0" xfId="4" applyFont="1" applyFill="1" applyAlignment="1" applyProtection="1">
      <alignment horizontal="center"/>
      <protection locked="0"/>
    </xf>
    <xf numFmtId="0" fontId="12" fillId="8" borderId="0" xfId="4" applyFont="1" applyFill="1" applyAlignment="1" applyProtection="1">
      <alignment horizontal="center"/>
      <protection locked="0"/>
    </xf>
    <xf numFmtId="0" fontId="12" fillId="9" borderId="0" xfId="4" applyFont="1" applyFill="1" applyAlignment="1" applyProtection="1">
      <alignment horizontal="center"/>
      <protection locked="0"/>
    </xf>
    <xf numFmtId="0" fontId="14" fillId="11" borderId="0" xfId="4" applyFont="1" applyFill="1" applyAlignment="1">
      <alignment horizontal="center" vertical="center" wrapText="1"/>
    </xf>
    <xf numFmtId="0" fontId="4" fillId="0" borderId="0" xfId="4" applyAlignment="1">
      <alignment wrapText="1"/>
    </xf>
    <xf numFmtId="0" fontId="14" fillId="11" borderId="0" xfId="4" applyFont="1" applyFill="1" applyAlignment="1">
      <alignment horizontal="center"/>
    </xf>
    <xf numFmtId="9" fontId="4" fillId="0" borderId="5" xfId="3" applyFont="1" applyFill="1" applyBorder="1" applyAlignment="1" applyProtection="1">
      <alignment horizontal="center"/>
      <protection hidden="1"/>
    </xf>
    <xf numFmtId="168" fontId="4" fillId="0" borderId="6" xfId="4" applyNumberFormat="1" applyBorder="1" applyAlignment="1" applyProtection="1">
      <alignment horizontal="center"/>
      <protection locked="0"/>
    </xf>
    <xf numFmtId="167" fontId="4" fillId="0" borderId="6" xfId="4" applyNumberFormat="1" applyBorder="1" applyAlignment="1" applyProtection="1">
      <alignment horizontal="center"/>
      <protection locked="0"/>
    </xf>
    <xf numFmtId="16" fontId="4" fillId="0" borderId="6" xfId="4" applyNumberFormat="1" applyBorder="1" applyAlignment="1" applyProtection="1">
      <alignment horizontal="center"/>
      <protection locked="0"/>
    </xf>
    <xf numFmtId="0" fontId="4" fillId="0" borderId="6" xfId="4" applyBorder="1" applyProtection="1">
      <protection locked="0"/>
    </xf>
    <xf numFmtId="166" fontId="4" fillId="0" borderId="6" xfId="1" applyFont="1" applyFill="1" applyBorder="1" applyProtection="1"/>
    <xf numFmtId="0" fontId="4" fillId="0" borderId="6" xfId="4" applyBorder="1" applyAlignment="1" applyProtection="1">
      <alignment horizontal="center" vertical="center" wrapText="1"/>
      <protection locked="0"/>
    </xf>
    <xf numFmtId="0" fontId="4" fillId="0" borderId="6" xfId="4" applyBorder="1" applyAlignment="1" applyProtection="1">
      <alignment horizontal="center" vertical="center"/>
      <protection locked="0"/>
    </xf>
    <xf numFmtId="169" fontId="0" fillId="12" borderId="6" xfId="6" applyFont="1" applyFill="1" applyBorder="1" applyProtection="1"/>
    <xf numFmtId="0" fontId="4" fillId="11" borderId="0" xfId="4" applyFill="1" applyAlignment="1">
      <alignment horizontal="center"/>
    </xf>
    <xf numFmtId="168" fontId="4" fillId="0" borderId="6" xfId="4" applyNumberFormat="1" applyBorder="1" applyAlignment="1">
      <alignment horizontal="center"/>
    </xf>
    <xf numFmtId="167" fontId="4" fillId="0" borderId="6" xfId="4" applyNumberFormat="1" applyBorder="1" applyAlignment="1">
      <alignment horizontal="center"/>
    </xf>
    <xf numFmtId="16" fontId="4" fillId="0" borderId="6" xfId="4" applyNumberFormat="1" applyBorder="1" applyAlignment="1">
      <alignment horizontal="center"/>
    </xf>
    <xf numFmtId="0" fontId="4" fillId="0" borderId="6" xfId="4" applyBorder="1"/>
    <xf numFmtId="0" fontId="4" fillId="0" borderId="6" xfId="4" applyBorder="1" applyAlignment="1">
      <alignment horizontal="center" vertical="center" wrapText="1"/>
    </xf>
    <xf numFmtId="0" fontId="4" fillId="0" borderId="6" xfId="4" applyBorder="1" applyAlignment="1">
      <alignment horizontal="center" vertical="center"/>
    </xf>
    <xf numFmtId="3" fontId="4" fillId="0" borderId="6" xfId="4" applyNumberFormat="1" applyBorder="1"/>
    <xf numFmtId="0" fontId="4" fillId="0" borderId="0" xfId="4" applyAlignment="1">
      <alignment horizontal="center"/>
    </xf>
    <xf numFmtId="0" fontId="15" fillId="0" borderId="6" xfId="4" applyFont="1" applyBorder="1" applyAlignment="1">
      <alignment horizontal="center" vertical="center" wrapText="1"/>
    </xf>
    <xf numFmtId="168" fontId="15" fillId="0" borderId="6" xfId="4" applyNumberFormat="1" applyFont="1" applyBorder="1" applyAlignment="1">
      <alignment horizontal="center"/>
    </xf>
    <xf numFmtId="167" fontId="15" fillId="0" borderId="6" xfId="4" applyNumberFormat="1" applyFont="1" applyBorder="1" applyAlignment="1">
      <alignment horizontal="center"/>
    </xf>
    <xf numFmtId="16" fontId="15" fillId="0" borderId="6" xfId="4" applyNumberFormat="1" applyFont="1" applyBorder="1" applyAlignment="1">
      <alignment horizontal="center"/>
    </xf>
    <xf numFmtId="0" fontId="15" fillId="0" borderId="6" xfId="4" applyFont="1" applyBorder="1"/>
    <xf numFmtId="0" fontId="15" fillId="0" borderId="6" xfId="4" applyFont="1" applyBorder="1" applyAlignment="1">
      <alignment horizontal="center" vertical="center"/>
    </xf>
    <xf numFmtId="168" fontId="16" fillId="0" borderId="6" xfId="4" applyNumberFormat="1" applyFont="1" applyBorder="1" applyAlignment="1">
      <alignment horizontal="center"/>
    </xf>
    <xf numFmtId="167" fontId="16" fillId="0" borderId="6" xfId="4" applyNumberFormat="1" applyFont="1" applyBorder="1" applyAlignment="1">
      <alignment horizontal="center"/>
    </xf>
    <xf numFmtId="16" fontId="16" fillId="0" borderId="6" xfId="4" applyNumberFormat="1" applyFont="1" applyBorder="1" applyAlignment="1">
      <alignment horizontal="center"/>
    </xf>
    <xf numFmtId="0" fontId="16" fillId="0" borderId="6" xfId="4" applyFont="1" applyBorder="1"/>
    <xf numFmtId="0" fontId="16" fillId="0" borderId="6" xfId="4" applyFont="1" applyBorder="1" applyAlignment="1">
      <alignment horizontal="center" vertical="center" wrapText="1"/>
    </xf>
    <xf numFmtId="0" fontId="16" fillId="0" borderId="6" xfId="4" applyFont="1" applyBorder="1" applyAlignment="1">
      <alignment horizontal="center" vertical="center"/>
    </xf>
    <xf numFmtId="167" fontId="18" fillId="0" borderId="6" xfId="4" applyNumberFormat="1" applyFont="1" applyBorder="1" applyAlignment="1">
      <alignment horizontal="center"/>
    </xf>
    <xf numFmtId="16" fontId="18" fillId="0" borderId="6" xfId="4" applyNumberFormat="1" applyFont="1" applyBorder="1" applyAlignment="1">
      <alignment horizontal="center"/>
    </xf>
    <xf numFmtId="0" fontId="18" fillId="0" borderId="6" xfId="4" applyFont="1" applyBorder="1"/>
    <xf numFmtId="0" fontId="18" fillId="0" borderId="6" xfId="4" applyFont="1" applyBorder="1" applyAlignment="1">
      <alignment horizontal="center" vertical="center" wrapText="1"/>
    </xf>
    <xf numFmtId="0" fontId="18" fillId="0" borderId="6" xfId="4" applyFont="1" applyBorder="1" applyAlignment="1">
      <alignment horizontal="center" vertical="center"/>
    </xf>
    <xf numFmtId="0" fontId="16" fillId="0" borderId="0" xfId="4" applyFont="1"/>
    <xf numFmtId="0" fontId="19" fillId="0" borderId="0" xfId="0" applyFont="1"/>
    <xf numFmtId="0" fontId="23" fillId="0" borderId="7" xfId="0" applyFont="1" applyBorder="1" applyAlignment="1">
      <alignment horizontal="left" vertical="center"/>
    </xf>
    <xf numFmtId="0" fontId="23" fillId="0" borderId="7" xfId="0" applyFont="1" applyBorder="1" applyAlignment="1">
      <alignment horizontal="right" vertical="center"/>
    </xf>
    <xf numFmtId="0" fontId="15" fillId="0" borderId="0" xfId="0" applyFont="1" applyAlignment="1">
      <alignment vertical="center"/>
    </xf>
    <xf numFmtId="0" fontId="19" fillId="0" borderId="7" xfId="0" applyFont="1" applyBorder="1" applyAlignment="1">
      <alignment horizontal="center" vertical="center"/>
    </xf>
    <xf numFmtId="165" fontId="19" fillId="0" borderId="7" xfId="2" applyFont="1" applyFill="1" applyBorder="1" applyAlignment="1" applyProtection="1">
      <alignment vertical="center"/>
      <protection hidden="1"/>
    </xf>
    <xf numFmtId="164" fontId="19" fillId="0" borderId="7" xfId="0" applyNumberFormat="1" applyFont="1" applyBorder="1" applyAlignment="1">
      <alignment vertical="center"/>
    </xf>
    <xf numFmtId="0" fontId="19" fillId="0" borderId="0" xfId="0" applyFont="1" applyAlignment="1">
      <alignment vertical="center"/>
    </xf>
    <xf numFmtId="164" fontId="19" fillId="0" borderId="7" xfId="0" applyNumberFormat="1" applyFont="1" applyBorder="1" applyAlignment="1">
      <alignment horizontal="center" vertical="center"/>
    </xf>
    <xf numFmtId="0" fontId="19" fillId="0" borderId="8" xfId="0" applyFont="1" applyBorder="1" applyAlignment="1">
      <alignment horizontal="center" vertical="center"/>
    </xf>
    <xf numFmtId="164" fontId="19" fillId="0" borderId="8" xfId="0" applyNumberFormat="1" applyFont="1" applyBorder="1" applyAlignment="1">
      <alignment horizontal="center" vertical="center"/>
    </xf>
    <xf numFmtId="0" fontId="25" fillId="0" borderId="8" xfId="0" applyFont="1" applyBorder="1"/>
    <xf numFmtId="0" fontId="15" fillId="0" borderId="8" xfId="0" applyFont="1" applyBorder="1" applyAlignment="1">
      <alignment horizontal="left"/>
    </xf>
    <xf numFmtId="164" fontId="15" fillId="0" borderId="8" xfId="0" applyNumberFormat="1" applyFont="1" applyBorder="1"/>
    <xf numFmtId="0" fontId="0" fillId="0" borderId="0" xfId="0" applyProtection="1">
      <protection hidden="1"/>
    </xf>
    <xf numFmtId="0" fontId="29" fillId="0" borderId="0" xfId="0" applyFont="1" applyProtection="1">
      <protection hidden="1"/>
    </xf>
    <xf numFmtId="0" fontId="4" fillId="0" borderId="0" xfId="4" applyProtection="1">
      <protection hidden="1"/>
    </xf>
    <xf numFmtId="0" fontId="30" fillId="0" borderId="9" xfId="0" applyFont="1" applyBorder="1" applyProtection="1">
      <protection hidden="1"/>
    </xf>
    <xf numFmtId="0" fontId="31" fillId="0" borderId="9" xfId="4" applyFont="1" applyBorder="1" applyProtection="1">
      <protection hidden="1"/>
    </xf>
    <xf numFmtId="0" fontId="10" fillId="16" borderId="12" xfId="4" applyFont="1" applyFill="1" applyBorder="1" applyAlignment="1" applyProtection="1">
      <alignment horizontal="center"/>
      <protection hidden="1"/>
    </xf>
    <xf numFmtId="0" fontId="6" fillId="16" borderId="12" xfId="4" applyFont="1" applyFill="1" applyBorder="1" applyAlignment="1" applyProtection="1">
      <alignment horizontal="center"/>
      <protection hidden="1"/>
    </xf>
    <xf numFmtId="0" fontId="4" fillId="0" borderId="0" xfId="4" applyAlignment="1" applyProtection="1">
      <alignment wrapText="1"/>
      <protection hidden="1"/>
    </xf>
    <xf numFmtId="0" fontId="6" fillId="16" borderId="12" xfId="4" applyFont="1" applyFill="1" applyBorder="1" applyProtection="1">
      <protection hidden="1"/>
    </xf>
    <xf numFmtId="166" fontId="6" fillId="16" borderId="13" xfId="7" applyFont="1" applyFill="1" applyBorder="1" applyProtection="1">
      <protection hidden="1"/>
    </xf>
    <xf numFmtId="166" fontId="6" fillId="16" borderId="14" xfId="7" applyFont="1" applyFill="1" applyBorder="1" applyProtection="1">
      <protection hidden="1"/>
    </xf>
    <xf numFmtId="174" fontId="4" fillId="0" borderId="0" xfId="3" applyNumberFormat="1" applyFont="1" applyProtection="1">
      <protection hidden="1"/>
    </xf>
    <xf numFmtId="175" fontId="0" fillId="15" borderId="13" xfId="7" applyNumberFormat="1" applyFont="1" applyFill="1" applyBorder="1" applyProtection="1">
      <protection hidden="1"/>
    </xf>
    <xf numFmtId="175" fontId="0" fillId="15" borderId="14" xfId="7" applyNumberFormat="1" applyFont="1" applyFill="1" applyBorder="1" applyProtection="1">
      <protection hidden="1"/>
    </xf>
    <xf numFmtId="166" fontId="0" fillId="15" borderId="13" xfId="7" applyFont="1" applyFill="1" applyBorder="1" applyProtection="1">
      <protection hidden="1"/>
    </xf>
    <xf numFmtId="166" fontId="0" fillId="15" borderId="14" xfId="7" applyFont="1" applyFill="1" applyBorder="1" applyProtection="1">
      <protection hidden="1"/>
    </xf>
    <xf numFmtId="0" fontId="0" fillId="0" borderId="0" xfId="0" applyAlignment="1" applyProtection="1">
      <alignment horizontal="center"/>
      <protection hidden="1"/>
    </xf>
    <xf numFmtId="175" fontId="0" fillId="15" borderId="0" xfId="0" applyNumberFormat="1" applyFill="1" applyProtection="1">
      <protection hidden="1"/>
    </xf>
    <xf numFmtId="174" fontId="0" fillId="15" borderId="0" xfId="3" applyNumberFormat="1" applyFont="1" applyFill="1" applyProtection="1">
      <protection hidden="1"/>
    </xf>
    <xf numFmtId="0" fontId="10" fillId="17" borderId="12" xfId="4" applyFont="1" applyFill="1" applyBorder="1" applyAlignment="1" applyProtection="1">
      <alignment horizontal="center"/>
      <protection hidden="1"/>
    </xf>
    <xf numFmtId="0" fontId="3" fillId="0" borderId="17" xfId="0" applyFont="1" applyBorder="1" applyAlignment="1" applyProtection="1">
      <alignment wrapText="1"/>
      <protection hidden="1"/>
    </xf>
    <xf numFmtId="9" fontId="3" fillId="0" borderId="17" xfId="3" applyFont="1" applyBorder="1" applyProtection="1">
      <protection hidden="1"/>
    </xf>
    <xf numFmtId="0" fontId="3" fillId="0" borderId="18" xfId="0" applyFont="1" applyBorder="1" applyAlignment="1" applyProtection="1">
      <alignment wrapText="1"/>
      <protection hidden="1"/>
    </xf>
    <xf numFmtId="9" fontId="3" fillId="0" borderId="18" xfId="3" applyFont="1" applyBorder="1" applyProtection="1">
      <protection hidden="1"/>
    </xf>
    <xf numFmtId="0" fontId="20" fillId="0" borderId="0" xfId="0" applyFont="1"/>
    <xf numFmtId="0" fontId="32" fillId="0" borderId="0" xfId="0" applyFont="1"/>
    <xf numFmtId="0" fontId="10" fillId="0" borderId="0" xfId="4" applyFont="1" applyAlignment="1">
      <alignment horizontal="center" vertical="center" wrapText="1"/>
    </xf>
    <xf numFmtId="0" fontId="10" fillId="0" borderId="0" xfId="4" applyFont="1" applyAlignment="1">
      <alignment horizontal="center"/>
    </xf>
    <xf numFmtId="0" fontId="14" fillId="0" borderId="0" xfId="4" applyFont="1" applyAlignment="1">
      <alignment horizontal="center"/>
    </xf>
    <xf numFmtId="0" fontId="6" fillId="0" borderId="0" xfId="4" applyFont="1" applyAlignment="1">
      <alignment horizontal="center" vertical="center"/>
    </xf>
    <xf numFmtId="0" fontId="4" fillId="0" borderId="0" xfId="4" applyAlignment="1" applyProtection="1">
      <alignment horizontal="left"/>
      <protection locked="0"/>
    </xf>
    <xf numFmtId="0" fontId="14" fillId="0" borderId="0" xfId="4" applyFont="1" applyAlignment="1">
      <alignment horizontal="left" vertical="center"/>
    </xf>
    <xf numFmtId="4" fontId="4" fillId="0" borderId="0" xfId="4" applyNumberFormat="1" applyAlignment="1">
      <alignment horizontal="center" vertical="center"/>
    </xf>
    <xf numFmtId="2" fontId="4" fillId="0" borderId="0" xfId="4" applyNumberFormat="1" applyAlignment="1">
      <alignment horizontal="center" vertical="center"/>
    </xf>
    <xf numFmtId="0" fontId="4" fillId="0" borderId="0" xfId="4" applyAlignment="1" applyProtection="1">
      <alignment horizontal="center"/>
      <protection hidden="1"/>
    </xf>
    <xf numFmtId="0" fontId="4" fillId="0" borderId="0" xfId="4" applyAlignment="1" applyProtection="1">
      <alignment horizontal="left"/>
      <protection hidden="1"/>
    </xf>
    <xf numFmtId="9" fontId="4" fillId="0" borderId="0" xfId="4" applyNumberFormat="1" applyAlignment="1">
      <alignment horizontal="center" vertical="center"/>
    </xf>
    <xf numFmtId="0" fontId="4" fillId="0" borderId="0" xfId="4" applyAlignment="1">
      <alignment horizontal="center" vertical="center"/>
    </xf>
    <xf numFmtId="0" fontId="4" fillId="18" borderId="0" xfId="4" applyFill="1" applyProtection="1">
      <protection locked="0"/>
    </xf>
    <xf numFmtId="0" fontId="0" fillId="18" borderId="0" xfId="0" applyFill="1" applyProtection="1">
      <protection hidden="1"/>
    </xf>
    <xf numFmtId="0" fontId="4" fillId="18" borderId="0" xfId="4" applyFill="1" applyProtection="1">
      <protection hidden="1"/>
    </xf>
    <xf numFmtId="0" fontId="0" fillId="18" borderId="0" xfId="0" applyFill="1"/>
    <xf numFmtId="0" fontId="19" fillId="18" borderId="0" xfId="0" applyFont="1" applyFill="1"/>
    <xf numFmtId="0" fontId="19" fillId="0" borderId="0" xfId="0" applyFont="1" applyFill="1"/>
    <xf numFmtId="0" fontId="4" fillId="16" borderId="1" xfId="4" applyFill="1" applyBorder="1" applyProtection="1">
      <protection hidden="1"/>
    </xf>
    <xf numFmtId="0" fontId="19" fillId="16" borderId="0" xfId="0" applyFont="1" applyFill="1"/>
    <xf numFmtId="0" fontId="9" fillId="16" borderId="0" xfId="4" applyFont="1" applyFill="1" applyAlignment="1" applyProtection="1">
      <alignment horizontal="center" vertical="center" wrapText="1"/>
      <protection locked="0"/>
    </xf>
    <xf numFmtId="0" fontId="10" fillId="16" borderId="0" xfId="4" applyFont="1" applyFill="1" applyAlignment="1" applyProtection="1">
      <alignment horizontal="center" vertical="center"/>
      <protection locked="0"/>
    </xf>
    <xf numFmtId="0" fontId="10" fillId="16" borderId="0" xfId="4" applyFont="1" applyFill="1" applyAlignment="1" applyProtection="1">
      <alignment horizontal="center" vertical="center" wrapText="1"/>
      <protection locked="0"/>
    </xf>
    <xf numFmtId="0" fontId="10" fillId="16" borderId="3" xfId="4" applyFont="1" applyFill="1" applyBorder="1" applyAlignment="1" applyProtection="1">
      <alignment horizontal="center" vertical="center" wrapText="1"/>
      <protection locked="0"/>
    </xf>
    <xf numFmtId="0" fontId="13" fillId="16" borderId="4" xfId="4" applyFont="1" applyFill="1" applyBorder="1" applyAlignment="1" applyProtection="1">
      <alignment horizontal="center" vertical="center" wrapText="1"/>
      <protection locked="0"/>
    </xf>
    <xf numFmtId="0" fontId="9" fillId="16" borderId="2" xfId="4" applyFont="1" applyFill="1" applyBorder="1" applyAlignment="1" applyProtection="1">
      <alignment horizontal="center" vertical="center"/>
      <protection locked="0"/>
    </xf>
    <xf numFmtId="0" fontId="10" fillId="16" borderId="1" xfId="4" applyFont="1" applyFill="1" applyBorder="1" applyAlignment="1" applyProtection="1">
      <alignment horizontal="center" vertical="center"/>
      <protection locked="0"/>
    </xf>
    <xf numFmtId="167" fontId="2" fillId="16" borderId="1" xfId="4" applyNumberFormat="1" applyFont="1" applyFill="1" applyBorder="1" applyAlignment="1" applyProtection="1">
      <alignment horizontal="center" vertical="center"/>
      <protection hidden="1"/>
    </xf>
    <xf numFmtId="0" fontId="9" fillId="16" borderId="1" xfId="4" applyFont="1" applyFill="1" applyBorder="1" applyAlignment="1" applyProtection="1">
      <alignment horizontal="left" vertical="center"/>
      <protection hidden="1"/>
    </xf>
    <xf numFmtId="0" fontId="0" fillId="0" borderId="0" xfId="0" applyFill="1"/>
    <xf numFmtId="0" fontId="0" fillId="16" borderId="1" xfId="0" applyFill="1" applyBorder="1"/>
    <xf numFmtId="0" fontId="34" fillId="16" borderId="1" xfId="0" applyFont="1" applyFill="1" applyBorder="1" applyAlignment="1">
      <alignment horizontal="left" vertical="center" indent="1"/>
    </xf>
    <xf numFmtId="0" fontId="35" fillId="16" borderId="1" xfId="0" applyFont="1" applyFill="1" applyBorder="1" applyAlignment="1">
      <alignment horizontal="left" indent="1"/>
    </xf>
    <xf numFmtId="0" fontId="4" fillId="16" borderId="0" xfId="4" applyFill="1"/>
    <xf numFmtId="0" fontId="6" fillId="16" borderId="0" xfId="4" applyFont="1" applyFill="1" applyProtection="1">
      <protection locked="0"/>
    </xf>
    <xf numFmtId="0" fontId="5" fillId="16" borderId="0" xfId="0" applyFont="1" applyFill="1" applyAlignment="1" applyProtection="1">
      <alignment horizontal="left" indent="1"/>
      <protection hidden="1"/>
    </xf>
    <xf numFmtId="0" fontId="8" fillId="16" borderId="0" xfId="1" applyNumberFormat="1" applyFont="1" applyFill="1" applyBorder="1" applyAlignment="1" applyProtection="1">
      <alignment horizontal="left" indent="1"/>
      <protection hidden="1"/>
    </xf>
    <xf numFmtId="0" fontId="2" fillId="16" borderId="0" xfId="0" applyFont="1" applyFill="1" applyAlignment="1">
      <alignment horizontal="center"/>
    </xf>
    <xf numFmtId="0" fontId="2" fillId="16" borderId="0" xfId="0" applyFont="1" applyFill="1" applyAlignment="1" applyProtection="1">
      <alignment horizontal="center"/>
      <protection hidden="1"/>
    </xf>
    <xf numFmtId="0" fontId="6" fillId="19" borderId="20" xfId="4" applyFont="1" applyFill="1" applyBorder="1" applyAlignment="1" applyProtection="1">
      <alignment horizontal="center"/>
      <protection hidden="1"/>
    </xf>
    <xf numFmtId="0" fontId="6" fillId="19" borderId="21" xfId="4" applyFont="1" applyFill="1" applyBorder="1" applyAlignment="1" applyProtection="1">
      <alignment horizontal="center"/>
      <protection hidden="1"/>
    </xf>
    <xf numFmtId="166" fontId="0" fillId="4" borderId="6" xfId="7" applyFont="1" applyFill="1" applyBorder="1" applyProtection="1">
      <protection hidden="1"/>
    </xf>
    <xf numFmtId="166" fontId="6" fillId="19" borderId="13" xfId="7" applyFont="1" applyFill="1" applyBorder="1" applyProtection="1">
      <protection hidden="1"/>
    </xf>
    <xf numFmtId="166" fontId="6" fillId="19" borderId="14" xfId="7" applyFont="1" applyFill="1" applyBorder="1" applyProtection="1">
      <protection hidden="1"/>
    </xf>
    <xf numFmtId="175" fontId="0" fillId="15" borderId="0" xfId="7" applyNumberFormat="1" applyFont="1" applyFill="1" applyBorder="1" applyProtection="1">
      <protection hidden="1"/>
    </xf>
    <xf numFmtId="166" fontId="0" fillId="15" borderId="0" xfId="7" applyFont="1" applyFill="1" applyBorder="1" applyProtection="1">
      <protection hidden="1"/>
    </xf>
    <xf numFmtId="175" fontId="0" fillId="4" borderId="6" xfId="7" applyNumberFormat="1" applyFont="1" applyFill="1" applyBorder="1" applyProtection="1">
      <protection hidden="1"/>
    </xf>
    <xf numFmtId="0" fontId="36" fillId="0" borderId="9" xfId="0" applyFont="1" applyFill="1" applyBorder="1" applyProtection="1">
      <protection hidden="1"/>
    </xf>
    <xf numFmtId="0" fontId="38" fillId="16" borderId="0" xfId="4" applyFont="1" applyFill="1" applyBorder="1" applyProtection="1">
      <protection hidden="1"/>
    </xf>
    <xf numFmtId="0" fontId="4" fillId="16" borderId="22" xfId="4" applyFill="1" applyBorder="1" applyProtection="1">
      <protection hidden="1"/>
    </xf>
    <xf numFmtId="0" fontId="19" fillId="0" borderId="0" xfId="0" applyFont="1" applyBorder="1"/>
    <xf numFmtId="0" fontId="20" fillId="0" borderId="0" xfId="0" applyFont="1" applyBorder="1" applyAlignment="1">
      <alignment horizontal="right" vertical="center"/>
    </xf>
    <xf numFmtId="0" fontId="19" fillId="0" borderId="0" xfId="0" applyFont="1" applyBorder="1" applyAlignment="1">
      <alignment horizontal="center"/>
    </xf>
    <xf numFmtId="14" fontId="22" fillId="0" borderId="0" xfId="0" applyNumberFormat="1" applyFont="1" applyBorder="1"/>
    <xf numFmtId="14" fontId="22" fillId="0" borderId="0" xfId="0" applyNumberFormat="1" applyFont="1" applyBorder="1" applyAlignment="1">
      <alignment horizontal="center"/>
    </xf>
    <xf numFmtId="0" fontId="24" fillId="0" borderId="0" xfId="0" applyFont="1" applyBorder="1" applyAlignment="1">
      <alignment vertical="center"/>
    </xf>
    <xf numFmtId="0" fontId="15" fillId="0" borderId="0" xfId="0" applyFont="1" applyBorder="1"/>
    <xf numFmtId="0" fontId="23" fillId="0" borderId="0" xfId="0" applyFont="1" applyBorder="1" applyAlignment="1">
      <alignment horizontal="right"/>
    </xf>
    <xf numFmtId="0" fontId="15" fillId="0" borderId="0" xfId="0" applyFont="1" applyBorder="1" applyAlignment="1">
      <alignment horizontal="center"/>
    </xf>
    <xf numFmtId="0" fontId="19" fillId="0" borderId="0" xfId="0" applyFont="1" applyBorder="1" applyAlignment="1">
      <alignment horizontal="center" vertical="center"/>
    </xf>
    <xf numFmtId="164" fontId="19" fillId="0" borderId="0" xfId="0" applyNumberFormat="1" applyFont="1" applyBorder="1" applyAlignment="1">
      <alignment horizontal="center" vertical="center"/>
    </xf>
    <xf numFmtId="0" fontId="24" fillId="0" borderId="0" xfId="0" applyFont="1" applyBorder="1"/>
    <xf numFmtId="2" fontId="23" fillId="0" borderId="0" xfId="0" applyNumberFormat="1" applyFont="1" applyBorder="1" applyAlignment="1">
      <alignment vertical="center"/>
    </xf>
    <xf numFmtId="0" fontId="0" fillId="0" borderId="0" xfId="0" applyBorder="1"/>
    <xf numFmtId="0" fontId="0" fillId="0" borderId="0" xfId="0" applyAlignment="1">
      <alignment horizontal="center"/>
    </xf>
    <xf numFmtId="0" fontId="4" fillId="16" borderId="1" xfId="4" applyFill="1" applyBorder="1" applyProtection="1">
      <protection locked="0"/>
    </xf>
    <xf numFmtId="0" fontId="6" fillId="16" borderId="23" xfId="4" applyFont="1" applyFill="1" applyBorder="1" applyAlignment="1" applyProtection="1">
      <alignment horizontal="center"/>
      <protection hidden="1"/>
    </xf>
    <xf numFmtId="166" fontId="0" fillId="9" borderId="25" xfId="7" applyNumberFormat="1" applyFont="1" applyFill="1" applyBorder="1"/>
    <xf numFmtId="166" fontId="0" fillId="9" borderId="26" xfId="7" applyNumberFormat="1" applyFont="1" applyFill="1" applyBorder="1"/>
    <xf numFmtId="166" fontId="0" fillId="9" borderId="27" xfId="7" applyNumberFormat="1" applyFont="1" applyFill="1" applyBorder="1"/>
    <xf numFmtId="166" fontId="0" fillId="0" borderId="25" xfId="7" applyFont="1" applyFill="1" applyBorder="1" applyProtection="1">
      <protection hidden="1"/>
    </xf>
    <xf numFmtId="166" fontId="0" fillId="0" borderId="26" xfId="7" applyFont="1" applyFill="1" applyBorder="1" applyProtection="1">
      <protection hidden="1"/>
    </xf>
    <xf numFmtId="166" fontId="0" fillId="0" borderId="27" xfId="7" applyFont="1" applyFill="1" applyBorder="1" applyProtection="1">
      <protection hidden="1"/>
    </xf>
    <xf numFmtId="166" fontId="0" fillId="0" borderId="28" xfId="7" applyFont="1" applyFill="1" applyBorder="1" applyProtection="1">
      <protection hidden="1"/>
    </xf>
    <xf numFmtId="166" fontId="0" fillId="0" borderId="29" xfId="7" applyFont="1" applyFill="1" applyBorder="1" applyProtection="1">
      <protection hidden="1"/>
    </xf>
    <xf numFmtId="166" fontId="0" fillId="0" borderId="24" xfId="7" applyFont="1" applyFill="1" applyBorder="1" applyProtection="1">
      <protection hidden="1"/>
    </xf>
    <xf numFmtId="0" fontId="0" fillId="16" borderId="0" xfId="0" applyFill="1"/>
    <xf numFmtId="166" fontId="1" fillId="20" borderId="6" xfId="8" applyNumberFormat="1" applyBorder="1" applyProtection="1"/>
    <xf numFmtId="0" fontId="10" fillId="9" borderId="1" xfId="4" applyFont="1" applyFill="1" applyBorder="1" applyAlignment="1" applyProtection="1">
      <alignment horizontal="center" vertical="center"/>
      <protection locked="0"/>
    </xf>
    <xf numFmtId="0" fontId="19" fillId="0" borderId="7" xfId="0" applyFont="1" applyBorder="1" applyAlignment="1">
      <alignment horizontal="left" vertical="center"/>
    </xf>
    <xf numFmtId="0" fontId="37" fillId="16" borderId="1" xfId="0" applyFont="1" applyFill="1" applyBorder="1"/>
    <xf numFmtId="0" fontId="15" fillId="0" borderId="0" xfId="0" applyFont="1" applyBorder="1" applyAlignment="1">
      <alignment vertical="top"/>
    </xf>
    <xf numFmtId="171" fontId="0" fillId="0" borderId="6" xfId="0" applyNumberFormat="1" applyFont="1" applyBorder="1" applyAlignment="1" applyProtection="1">
      <alignment horizontal="center" vertical="center"/>
      <protection locked="0"/>
    </xf>
    <xf numFmtId="171" fontId="0" fillId="0" borderId="6" xfId="0" applyNumberFormat="1" applyFont="1" applyBorder="1" applyAlignment="1" applyProtection="1">
      <alignment horizontal="center" vertical="center"/>
      <protection hidden="1"/>
    </xf>
    <xf numFmtId="171" fontId="40" fillId="0" borderId="6" xfId="0" applyNumberFormat="1" applyFont="1" applyBorder="1" applyAlignment="1" applyProtection="1">
      <alignment horizontal="center" vertical="center"/>
      <protection hidden="1"/>
    </xf>
    <xf numFmtId="0" fontId="0" fillId="0" borderId="6" xfId="0" applyBorder="1" applyAlignment="1" applyProtection="1">
      <alignment horizontal="left" vertical="center"/>
      <protection locked="0"/>
    </xf>
    <xf numFmtId="0" fontId="4" fillId="0" borderId="6" xfId="5" applyFont="1" applyBorder="1" applyAlignment="1" applyProtection="1">
      <alignment horizontal="left" vertical="center"/>
      <protection hidden="1"/>
    </xf>
    <xf numFmtId="0" fontId="0" fillId="0" borderId="6" xfId="0" applyBorder="1" applyAlignment="1" applyProtection="1">
      <alignment horizontal="left" vertical="center"/>
      <protection hidden="1"/>
    </xf>
    <xf numFmtId="0" fontId="17" fillId="0" borderId="6" xfId="0" applyFont="1" applyBorder="1" applyAlignment="1" applyProtection="1">
      <alignment horizontal="left" vertical="center"/>
      <protection hidden="1"/>
    </xf>
    <xf numFmtId="49" fontId="17" fillId="0" borderId="6" xfId="0" applyNumberFormat="1" applyFont="1" applyBorder="1" applyAlignment="1" applyProtection="1">
      <alignment horizontal="left" vertical="center"/>
      <protection hidden="1"/>
    </xf>
    <xf numFmtId="0" fontId="11" fillId="0" borderId="6" xfId="5" applyBorder="1" applyAlignment="1" applyProtection="1">
      <alignment horizontal="left" vertical="center"/>
      <protection hidden="1"/>
    </xf>
    <xf numFmtId="49" fontId="11" fillId="0" borderId="6" xfId="5" applyNumberFormat="1" applyBorder="1" applyAlignment="1" applyProtection="1">
      <alignment horizontal="left" vertical="center"/>
      <protection hidden="1"/>
    </xf>
    <xf numFmtId="0" fontId="27" fillId="0" borderId="6" xfId="0" applyFont="1" applyBorder="1" applyAlignment="1" applyProtection="1">
      <alignment horizontal="left" vertical="center"/>
      <protection hidden="1"/>
    </xf>
    <xf numFmtId="0" fontId="0" fillId="0" borderId="6" xfId="0" applyBorder="1" applyAlignment="1" applyProtection="1">
      <alignment vertical="center"/>
      <protection locked="0"/>
    </xf>
    <xf numFmtId="14" fontId="0" fillId="0" borderId="6" xfId="0" applyNumberFormat="1" applyBorder="1" applyAlignment="1" applyProtection="1">
      <alignment horizontal="left" vertical="center"/>
      <protection locked="0"/>
    </xf>
    <xf numFmtId="176" fontId="0" fillId="0" borderId="6" xfId="0" applyNumberFormat="1" applyBorder="1" applyAlignment="1" applyProtection="1">
      <alignment horizontal="left" vertical="center"/>
      <protection locked="0"/>
    </xf>
    <xf numFmtId="172" fontId="0" fillId="0" borderId="6" xfId="0" applyNumberFormat="1" applyBorder="1" applyAlignment="1" applyProtection="1">
      <alignment horizontal="left" vertical="center"/>
      <protection locked="0"/>
    </xf>
    <xf numFmtId="49" fontId="0" fillId="0" borderId="6" xfId="0" applyNumberFormat="1" applyBorder="1" applyAlignment="1" applyProtection="1">
      <alignment horizontal="left" vertical="center"/>
      <protection locked="0"/>
    </xf>
    <xf numFmtId="173" fontId="0" fillId="9" borderId="6" xfId="1" applyNumberFormat="1" applyFont="1" applyFill="1" applyBorder="1" applyAlignment="1" applyProtection="1">
      <alignment horizontal="left" vertical="center"/>
      <protection hidden="1"/>
    </xf>
    <xf numFmtId="0" fontId="0" fillId="9" borderId="6" xfId="0" applyFill="1" applyBorder="1" applyAlignment="1" applyProtection="1">
      <alignment vertical="center"/>
      <protection hidden="1"/>
    </xf>
    <xf numFmtId="0" fontId="0" fillId="0" borderId="6" xfId="0" applyBorder="1" applyAlignment="1" applyProtection="1">
      <alignment vertical="center"/>
      <protection hidden="1"/>
    </xf>
    <xf numFmtId="176" fontId="0" fillId="0" borderId="6" xfId="0" applyNumberFormat="1" applyBorder="1" applyAlignment="1" applyProtection="1">
      <alignment horizontal="left" vertical="center"/>
      <protection hidden="1"/>
    </xf>
    <xf numFmtId="172" fontId="0" fillId="0" borderId="6" xfId="0" applyNumberFormat="1" applyBorder="1" applyAlignment="1" applyProtection="1">
      <alignment horizontal="left" vertical="center"/>
      <protection hidden="1"/>
    </xf>
    <xf numFmtId="176" fontId="0" fillId="0" borderId="6" xfId="0" applyNumberFormat="1" applyBorder="1" applyAlignment="1" applyProtection="1">
      <alignment vertical="center"/>
      <protection hidden="1"/>
    </xf>
    <xf numFmtId="172" fontId="0" fillId="0" borderId="6" xfId="0" applyNumberFormat="1" applyBorder="1" applyAlignment="1" applyProtection="1">
      <alignment vertical="center"/>
      <protection hidden="1"/>
    </xf>
    <xf numFmtId="14" fontId="0" fillId="0" borderId="6" xfId="0" applyNumberFormat="1" applyBorder="1" applyAlignment="1" applyProtection="1">
      <alignment horizontal="left" vertical="center"/>
      <protection hidden="1"/>
    </xf>
    <xf numFmtId="49" fontId="0" fillId="0" borderId="6" xfId="0" applyNumberFormat="1" applyBorder="1" applyAlignment="1" applyProtection="1">
      <alignment horizontal="left" vertical="center"/>
      <protection hidden="1"/>
    </xf>
    <xf numFmtId="0" fontId="28" fillId="0" borderId="6" xfId="0" applyFont="1" applyBorder="1" applyAlignment="1" applyProtection="1">
      <alignment vertical="center"/>
      <protection hidden="1"/>
    </xf>
    <xf numFmtId="176" fontId="28" fillId="0" borderId="6" xfId="0" applyNumberFormat="1" applyFont="1" applyBorder="1" applyAlignment="1" applyProtection="1">
      <alignment vertical="center"/>
      <protection hidden="1"/>
    </xf>
    <xf numFmtId="172" fontId="28" fillId="0" borderId="6" xfId="0" applyNumberFormat="1" applyFont="1" applyBorder="1" applyAlignment="1" applyProtection="1">
      <alignment vertical="center"/>
      <protection hidden="1"/>
    </xf>
    <xf numFmtId="0" fontId="4" fillId="0" borderId="6" xfId="0" applyFont="1" applyBorder="1" applyAlignment="1" applyProtection="1">
      <alignment vertical="center"/>
      <protection hidden="1"/>
    </xf>
    <xf numFmtId="164" fontId="0" fillId="9" borderId="6" xfId="1" applyNumberFormat="1" applyFont="1" applyFill="1" applyBorder="1" applyAlignment="1" applyProtection="1">
      <alignment horizontal="left" vertical="center"/>
      <protection hidden="1"/>
    </xf>
    <xf numFmtId="167" fontId="21" fillId="13" borderId="0" xfId="2" applyNumberFormat="1" applyFont="1" applyFill="1" applyBorder="1" applyAlignment="1">
      <alignment horizontal="center" vertical="center"/>
    </xf>
    <xf numFmtId="0" fontId="23" fillId="0" borderId="0" xfId="0" applyFont="1" applyBorder="1" applyAlignment="1">
      <alignment vertical="center"/>
    </xf>
    <xf numFmtId="170" fontId="15" fillId="0" borderId="0" xfId="0" applyNumberFormat="1" applyFont="1" applyBorder="1" applyAlignment="1">
      <alignment horizontal="center" vertical="center"/>
    </xf>
    <xf numFmtId="0" fontId="23" fillId="0" borderId="0" xfId="0" applyFont="1" applyBorder="1"/>
    <xf numFmtId="0" fontId="23" fillId="0" borderId="0" xfId="0" applyFont="1" applyBorder="1" applyAlignment="1">
      <alignment horizontal="left" vertical="center"/>
    </xf>
    <xf numFmtId="164" fontId="19" fillId="0" borderId="0" xfId="0" applyNumberFormat="1" applyFont="1" applyBorder="1"/>
    <xf numFmtId="0" fontId="24" fillId="0" borderId="0" xfId="0" applyFont="1" applyBorder="1" applyAlignment="1">
      <alignment vertical="top"/>
    </xf>
    <xf numFmtId="164" fontId="25" fillId="0" borderId="8" xfId="0" applyNumberFormat="1" applyFont="1" applyBorder="1"/>
    <xf numFmtId="169" fontId="0" fillId="12" borderId="6" xfId="6" applyFont="1" applyFill="1" applyBorder="1" applyAlignment="1" applyProtection="1">
      <alignment horizontal="center" vertical="center"/>
    </xf>
    <xf numFmtId="0" fontId="24" fillId="0" borderId="0" xfId="0" applyFont="1" applyFill="1" applyBorder="1" applyAlignment="1">
      <alignment horizontal="right"/>
    </xf>
    <xf numFmtId="164" fontId="24" fillId="0" borderId="0" xfId="0" applyNumberFormat="1" applyFont="1" applyFill="1" applyBorder="1"/>
    <xf numFmtId="0" fontId="14" fillId="0" borderId="0" xfId="0" applyFont="1" applyFill="1" applyBorder="1" applyAlignment="1">
      <alignment horizontal="left" vertical="center"/>
    </xf>
    <xf numFmtId="0" fontId="15" fillId="0" borderId="0" xfId="0" applyFont="1" applyBorder="1" applyAlignment="1">
      <alignment horizontal="left" vertical="center" indent="1"/>
    </xf>
    <xf numFmtId="0" fontId="24" fillId="0" borderId="0" xfId="0" applyFont="1" applyFill="1" applyBorder="1" applyAlignment="1">
      <alignment horizontal="right" vertical="center"/>
    </xf>
    <xf numFmtId="164" fontId="19" fillId="0" borderId="0" xfId="0" applyNumberFormat="1" applyFont="1" applyFill="1" applyBorder="1" applyAlignment="1">
      <alignment horizontal="right" vertical="center"/>
    </xf>
    <xf numFmtId="2" fontId="4" fillId="0" borderId="0" xfId="0" applyNumberFormat="1" applyFont="1" applyFill="1" applyBorder="1" applyAlignment="1">
      <alignment horizontal="left" vertical="center" indent="1"/>
    </xf>
    <xf numFmtId="0" fontId="24" fillId="21" borderId="0" xfId="0" applyFont="1" applyFill="1" applyBorder="1" applyAlignment="1">
      <alignment vertical="top"/>
    </xf>
    <xf numFmtId="0" fontId="24" fillId="21" borderId="0" xfId="0" applyFont="1" applyFill="1" applyBorder="1"/>
    <xf numFmtId="2" fontId="23" fillId="21" borderId="0" xfId="0" applyNumberFormat="1" applyFont="1" applyFill="1" applyBorder="1" applyAlignment="1">
      <alignment vertical="center"/>
    </xf>
    <xf numFmtId="0" fontId="19" fillId="21" borderId="0" xfId="0" applyFont="1" applyFill="1" applyBorder="1"/>
    <xf numFmtId="164" fontId="19" fillId="21" borderId="0" xfId="0" applyNumberFormat="1" applyFont="1" applyFill="1" applyBorder="1"/>
    <xf numFmtId="0" fontId="41" fillId="14" borderId="30" xfId="0" applyFont="1" applyFill="1" applyBorder="1" applyAlignment="1">
      <alignment horizontal="right" vertical="center"/>
    </xf>
    <xf numFmtId="164" fontId="41" fillId="14" borderId="30" xfId="0" applyNumberFormat="1" applyFont="1" applyFill="1" applyBorder="1" applyAlignment="1">
      <alignment horizontal="right" vertical="center"/>
    </xf>
    <xf numFmtId="0" fontId="4" fillId="0" borderId="6" xfId="4" applyBorder="1" applyAlignment="1" applyProtection="1">
      <protection locked="0"/>
    </xf>
    <xf numFmtId="0" fontId="4" fillId="0" borderId="6" xfId="4" applyBorder="1" applyAlignment="1"/>
    <xf numFmtId="0" fontId="15" fillId="0" borderId="6" xfId="4" applyFont="1" applyBorder="1" applyAlignment="1"/>
    <xf numFmtId="0" fontId="16" fillId="0" borderId="6" xfId="4" applyFont="1" applyBorder="1" applyAlignment="1"/>
    <xf numFmtId="0" fontId="18" fillId="0" borderId="6" xfId="4" applyFont="1" applyBorder="1" applyAlignment="1"/>
    <xf numFmtId="0" fontId="4" fillId="11" borderId="0" xfId="4" applyFill="1" applyAlignment="1">
      <alignment horizontal="left" vertical="center"/>
    </xf>
    <xf numFmtId="0" fontId="10" fillId="22" borderId="0" xfId="4" applyFont="1" applyFill="1" applyBorder="1" applyAlignment="1">
      <alignment horizontal="center"/>
    </xf>
    <xf numFmtId="0" fontId="42" fillId="11" borderId="0" xfId="4" applyFont="1" applyFill="1" applyAlignment="1">
      <alignment horizontal="left" vertical="center" indent="2"/>
    </xf>
    <xf numFmtId="0" fontId="4" fillId="0" borderId="0" xfId="4" applyAlignment="1">
      <alignment horizontal="left" indent="1"/>
    </xf>
    <xf numFmtId="0" fontId="4" fillId="11" borderId="0" xfId="4" applyFill="1" applyAlignment="1">
      <alignment horizontal="left" vertical="center" indent="1"/>
    </xf>
    <xf numFmtId="0" fontId="10" fillId="0" borderId="0" xfId="4" applyFont="1" applyFill="1" applyAlignment="1" applyProtection="1">
      <alignment horizontal="center"/>
    </xf>
    <xf numFmtId="0" fontId="10" fillId="22" borderId="0" xfId="4" applyFont="1" applyFill="1" applyAlignment="1" applyProtection="1">
      <alignment horizontal="center"/>
    </xf>
    <xf numFmtId="39" fontId="43" fillId="0" borderId="35" xfId="0" applyNumberFormat="1" applyFont="1" applyBorder="1" applyAlignment="1">
      <alignment vertical="center"/>
    </xf>
    <xf numFmtId="2" fontId="4" fillId="0" borderId="32" xfId="4" applyNumberFormat="1" applyFont="1" applyFill="1" applyBorder="1" applyAlignment="1" applyProtection="1">
      <alignment horizontal="right" vertical="center"/>
      <protection locked="0"/>
    </xf>
    <xf numFmtId="2" fontId="4" fillId="0" borderId="31" xfId="4" applyNumberFormat="1" applyFont="1" applyFill="1" applyBorder="1" applyAlignment="1" applyProtection="1">
      <alignment horizontal="right" vertical="center"/>
      <protection locked="0"/>
    </xf>
    <xf numFmtId="2" fontId="4" fillId="0" borderId="0" xfId="4" applyNumberFormat="1" applyFont="1" applyFill="1" applyAlignment="1" applyProtection="1">
      <alignment vertical="center"/>
      <protection locked="0"/>
    </xf>
    <xf numFmtId="2" fontId="4" fillId="23" borderId="31" xfId="4" applyNumberFormat="1" applyFont="1" applyFill="1" applyBorder="1" applyAlignment="1" applyProtection="1">
      <alignment horizontal="right" vertical="center"/>
      <protection locked="0"/>
    </xf>
    <xf numFmtId="0" fontId="4" fillId="0" borderId="0" xfId="4" applyFill="1" applyAlignment="1">
      <alignment horizontal="center"/>
    </xf>
    <xf numFmtId="0" fontId="42" fillId="0" borderId="0" xfId="4" applyFont="1" applyFill="1" applyAlignment="1" applyProtection="1">
      <alignment horizontal="left" indent="2"/>
      <protection locked="0"/>
    </xf>
    <xf numFmtId="0" fontId="4" fillId="0" borderId="0" xfId="4" applyFont="1" applyFill="1" applyAlignment="1" applyProtection="1">
      <alignment horizontal="left" indent="1"/>
      <protection locked="0"/>
    </xf>
    <xf numFmtId="0" fontId="42" fillId="0" borderId="31" xfId="4" applyFont="1" applyFill="1" applyBorder="1" applyAlignment="1" applyProtection="1">
      <alignment horizontal="left" indent="2"/>
      <protection locked="0"/>
    </xf>
    <xf numFmtId="0" fontId="42" fillId="0" borderId="31" xfId="4" applyFont="1" applyBorder="1" applyAlignment="1" applyProtection="1">
      <alignment horizontal="left" indent="2"/>
      <protection hidden="1"/>
    </xf>
    <xf numFmtId="0" fontId="4" fillId="0" borderId="31" xfId="4" applyBorder="1" applyAlignment="1" applyProtection="1">
      <alignment horizontal="left" indent="1"/>
      <protection hidden="1"/>
    </xf>
    <xf numFmtId="0" fontId="42" fillId="0" borderId="31" xfId="4" applyFont="1" applyBorder="1" applyAlignment="1" applyProtection="1">
      <alignment horizontal="left" indent="2"/>
      <protection locked="0"/>
    </xf>
    <xf numFmtId="0" fontId="4" fillId="0" borderId="31" xfId="4" applyFont="1" applyFill="1" applyBorder="1" applyAlignment="1" applyProtection="1">
      <alignment horizontal="left" indent="1"/>
      <protection locked="0"/>
    </xf>
    <xf numFmtId="0" fontId="4" fillId="0" borderId="31" xfId="4" applyBorder="1" applyAlignment="1" applyProtection="1">
      <alignment horizontal="left" indent="1"/>
      <protection locked="0"/>
    </xf>
    <xf numFmtId="2" fontId="4" fillId="0" borderId="36" xfId="4" applyNumberFormat="1" applyFont="1" applyFill="1" applyBorder="1" applyAlignment="1" applyProtection="1">
      <alignment horizontal="right" vertical="center"/>
      <protection locked="0"/>
    </xf>
    <xf numFmtId="0" fontId="42" fillId="0" borderId="33" xfId="4" applyFont="1" applyFill="1" applyBorder="1" applyAlignment="1" applyProtection="1">
      <alignment horizontal="left" indent="2"/>
      <protection locked="0"/>
    </xf>
    <xf numFmtId="2" fontId="42" fillId="0" borderId="33" xfId="4" applyNumberFormat="1" applyFont="1" applyFill="1" applyBorder="1" applyAlignment="1" applyProtection="1">
      <alignment horizontal="left" vertical="center" indent="1"/>
      <protection locked="0"/>
    </xf>
    <xf numFmtId="166" fontId="0" fillId="0" borderId="6" xfId="1" applyFont="1" applyFill="1" applyBorder="1" applyProtection="1"/>
    <xf numFmtId="0" fontId="44" fillId="0" borderId="31" xfId="4" applyFont="1" applyFill="1" applyBorder="1" applyAlignment="1" applyProtection="1">
      <alignment horizontal="left" indent="1"/>
      <protection locked="0"/>
    </xf>
    <xf numFmtId="2" fontId="44" fillId="0" borderId="36" xfId="4" applyNumberFormat="1" applyFont="1" applyFill="1" applyBorder="1" applyAlignment="1" applyProtection="1">
      <alignment horizontal="right" vertical="center"/>
      <protection locked="0"/>
    </xf>
    <xf numFmtId="0" fontId="44" fillId="0" borderId="33" xfId="4" applyFont="1" applyFill="1" applyBorder="1" applyAlignment="1" applyProtection="1">
      <alignment horizontal="left" indent="1"/>
      <protection locked="0"/>
    </xf>
    <xf numFmtId="2" fontId="44" fillId="0" borderId="34" xfId="4" applyNumberFormat="1" applyFont="1" applyFill="1" applyBorder="1" applyAlignment="1" applyProtection="1">
      <alignment horizontal="right" vertical="center"/>
      <protection locked="0"/>
    </xf>
    <xf numFmtId="0" fontId="44" fillId="0" borderId="0" xfId="4" applyFont="1" applyFill="1" applyAlignment="1" applyProtection="1">
      <alignment horizontal="left" indent="1"/>
      <protection locked="0"/>
    </xf>
    <xf numFmtId="2" fontId="44" fillId="0" borderId="0" xfId="4" applyNumberFormat="1" applyFont="1" applyFill="1" applyAlignment="1" applyProtection="1">
      <alignment vertical="center"/>
      <protection locked="0"/>
    </xf>
    <xf numFmtId="0" fontId="6" fillId="16" borderId="10" xfId="4" applyFont="1" applyFill="1" applyBorder="1" applyAlignment="1" applyProtection="1">
      <alignment horizontal="left"/>
      <protection hidden="1"/>
    </xf>
    <xf numFmtId="0" fontId="10" fillId="16" borderId="3" xfId="4" applyFont="1" applyFill="1" applyBorder="1" applyAlignment="1" applyProtection="1">
      <alignment horizontal="center" vertical="center"/>
      <protection locked="0"/>
    </xf>
    <xf numFmtId="169" fontId="0" fillId="12" borderId="6" xfId="6" applyNumberFormat="1" applyFont="1" applyFill="1" applyBorder="1" applyProtection="1"/>
    <xf numFmtId="169" fontId="0" fillId="12" borderId="6" xfId="6" applyNumberFormat="1" applyFont="1" applyFill="1" applyBorder="1" applyAlignment="1" applyProtection="1">
      <alignment horizontal="center" vertical="center"/>
    </xf>
    <xf numFmtId="2" fontId="4" fillId="0" borderId="6" xfId="3" applyNumberFormat="1" applyFont="1" applyBorder="1" applyAlignment="1" applyProtection="1">
      <alignment horizontal="center" vertical="center"/>
      <protection locked="0"/>
    </xf>
    <xf numFmtId="2" fontId="4" fillId="0" borderId="6" xfId="3" applyNumberFormat="1" applyFont="1" applyBorder="1" applyAlignment="1">
      <alignment horizontal="center" vertical="center"/>
    </xf>
    <xf numFmtId="2" fontId="15" fillId="0" borderId="6" xfId="3" applyNumberFormat="1" applyFont="1" applyBorder="1" applyAlignment="1">
      <alignment horizontal="center" vertical="center"/>
    </xf>
    <xf numFmtId="2" fontId="16" fillId="0" borderId="6" xfId="3" applyNumberFormat="1" applyFont="1" applyBorder="1" applyAlignment="1">
      <alignment horizontal="center" vertical="center"/>
    </xf>
    <xf numFmtId="2" fontId="18" fillId="0" borderId="6" xfId="3" applyNumberFormat="1" applyFont="1" applyBorder="1" applyAlignment="1">
      <alignment horizontal="center" vertical="center"/>
    </xf>
    <xf numFmtId="0" fontId="4" fillId="18" borderId="0" xfId="4" applyFill="1"/>
    <xf numFmtId="0" fontId="6" fillId="16" borderId="1" xfId="4" applyFont="1" applyFill="1" applyBorder="1" applyProtection="1">
      <protection locked="0"/>
    </xf>
    <xf numFmtId="0" fontId="4" fillId="0" borderId="0" xfId="4" applyFont="1" applyFill="1" applyBorder="1" applyAlignment="1" applyProtection="1">
      <alignment horizontal="left" indent="1"/>
      <protection locked="0"/>
    </xf>
    <xf numFmtId="0" fontId="42" fillId="0" borderId="0" xfId="4" applyFont="1" applyFill="1" applyBorder="1" applyAlignment="1" applyProtection="1">
      <alignment horizontal="left" indent="2"/>
      <protection locked="0"/>
    </xf>
    <xf numFmtId="177" fontId="1" fillId="20" borderId="6" xfId="8" applyNumberFormat="1" applyBorder="1" applyProtection="1"/>
    <xf numFmtId="178" fontId="0" fillId="12" borderId="6" xfId="6" applyNumberFormat="1" applyFont="1" applyFill="1" applyBorder="1" applyAlignment="1" applyProtection="1">
      <alignment horizontal="center" vertical="center"/>
    </xf>
    <xf numFmtId="0" fontId="4" fillId="16" borderId="0" xfId="4" applyFill="1" applyProtection="1">
      <protection locked="0"/>
    </xf>
    <xf numFmtId="179" fontId="4" fillId="0" borderId="6" xfId="4" applyNumberFormat="1" applyBorder="1" applyAlignment="1" applyProtection="1">
      <alignment horizontal="center"/>
      <protection locked="0"/>
    </xf>
    <xf numFmtId="179" fontId="4" fillId="0" borderId="6" xfId="4" applyNumberFormat="1" applyBorder="1" applyAlignment="1">
      <alignment horizontal="center"/>
    </xf>
    <xf numFmtId="179" fontId="15" fillId="0" borderId="6" xfId="4" applyNumberFormat="1" applyFont="1" applyBorder="1" applyAlignment="1">
      <alignment horizontal="center"/>
    </xf>
    <xf numFmtId="179" fontId="16" fillId="0" borderId="6" xfId="4" applyNumberFormat="1" applyFont="1" applyBorder="1" applyAlignment="1">
      <alignment horizontal="center"/>
    </xf>
    <xf numFmtId="179" fontId="18" fillId="0" borderId="6" xfId="4" applyNumberFormat="1" applyFont="1" applyBorder="1" applyAlignment="1">
      <alignment horizontal="center"/>
    </xf>
    <xf numFmtId="0" fontId="14" fillId="0" borderId="0" xfId="0" applyFont="1" applyBorder="1"/>
    <xf numFmtId="0" fontId="12" fillId="10" borderId="37" xfId="4" applyFont="1" applyFill="1" applyBorder="1" applyAlignment="1" applyProtection="1">
      <alignment horizontal="center"/>
      <protection locked="0"/>
    </xf>
    <xf numFmtId="0" fontId="0" fillId="18" borderId="0" xfId="0" applyFill="1" applyAlignment="1">
      <alignment horizontal="center"/>
    </xf>
    <xf numFmtId="0" fontId="12" fillId="8" borderId="0" xfId="4" applyFont="1" applyFill="1" applyAlignment="1" applyProtection="1">
      <alignment horizontal="center"/>
      <protection locked="0"/>
    </xf>
    <xf numFmtId="0" fontId="12" fillId="9" borderId="0" xfId="4" applyFont="1" applyFill="1" applyAlignment="1" applyProtection="1">
      <alignment horizontal="center"/>
      <protection locked="0"/>
    </xf>
    <xf numFmtId="0" fontId="12" fillId="2" borderId="0" xfId="4" applyFont="1" applyFill="1" applyAlignment="1" applyProtection="1">
      <alignment horizontal="center"/>
      <protection locked="0"/>
    </xf>
    <xf numFmtId="0" fontId="12" fillId="3" borderId="0" xfId="4" applyFont="1" applyFill="1" applyAlignment="1" applyProtection="1">
      <alignment horizontal="center"/>
      <protection locked="0"/>
    </xf>
    <xf numFmtId="0" fontId="12" fillId="4" borderId="0" xfId="4" applyFont="1" applyFill="1" applyAlignment="1" applyProtection="1">
      <alignment horizontal="center"/>
      <protection locked="0"/>
    </xf>
    <xf numFmtId="0" fontId="12" fillId="5" borderId="0" xfId="4" applyFont="1" applyFill="1" applyAlignment="1" applyProtection="1">
      <alignment horizontal="center"/>
      <protection locked="0"/>
    </xf>
    <xf numFmtId="0" fontId="12" fillId="6" borderId="0" xfId="4" applyFont="1" applyFill="1" applyAlignment="1" applyProtection="1">
      <alignment horizontal="center"/>
      <protection locked="0"/>
    </xf>
    <xf numFmtId="0" fontId="12" fillId="7" borderId="0" xfId="4" applyFont="1" applyFill="1" applyAlignment="1" applyProtection="1">
      <alignment horizontal="center"/>
      <protection locked="0"/>
    </xf>
    <xf numFmtId="0" fontId="19" fillId="0" borderId="7" xfId="0" applyFont="1" applyBorder="1" applyAlignment="1">
      <alignment horizontal="left" vertical="center"/>
    </xf>
    <xf numFmtId="171" fontId="15" fillId="0" borderId="0" xfId="0" applyNumberFormat="1" applyFont="1" applyBorder="1" applyAlignment="1">
      <alignment horizontal="left" vertical="center"/>
    </xf>
    <xf numFmtId="172" fontId="15" fillId="0" borderId="0" xfId="0" applyNumberFormat="1" applyFont="1" applyBorder="1" applyAlignment="1">
      <alignment horizontal="left" vertical="center"/>
    </xf>
    <xf numFmtId="0" fontId="23" fillId="0" borderId="7" xfId="0" applyFont="1" applyBorder="1" applyAlignment="1">
      <alignment horizontal="center" vertical="center"/>
    </xf>
    <xf numFmtId="0" fontId="19" fillId="0" borderId="7" xfId="4" applyFont="1" applyBorder="1" applyAlignment="1" applyProtection="1">
      <alignment horizontal="left" vertical="center"/>
      <protection hidden="1"/>
    </xf>
    <xf numFmtId="0" fontId="15" fillId="0" borderId="0" xfId="0" applyFont="1" applyBorder="1" applyAlignment="1">
      <alignment horizontal="left" vertical="center" indent="1"/>
    </xf>
    <xf numFmtId="0" fontId="26" fillId="21" borderId="0" xfId="0" applyFont="1" applyFill="1" applyBorder="1" applyAlignment="1">
      <alignment horizontal="left" vertical="top" wrapText="1" indent="1"/>
    </xf>
    <xf numFmtId="0" fontId="37" fillId="18" borderId="0" xfId="0" applyFont="1" applyFill="1" applyAlignment="1">
      <alignment horizontal="center" vertical="center"/>
    </xf>
    <xf numFmtId="0" fontId="14" fillId="11" borderId="0" xfId="4" applyFont="1" applyFill="1" applyAlignment="1">
      <alignment horizontal="center" vertical="center"/>
    </xf>
    <xf numFmtId="0" fontId="10" fillId="16" borderId="15" xfId="4" applyFont="1" applyFill="1" applyBorder="1" applyAlignment="1" applyProtection="1">
      <alignment horizontal="center"/>
      <protection hidden="1"/>
    </xf>
    <xf numFmtId="0" fontId="10" fillId="16" borderId="19" xfId="4" applyFont="1" applyFill="1" applyBorder="1" applyAlignment="1" applyProtection="1">
      <alignment horizontal="center"/>
      <protection hidden="1"/>
    </xf>
    <xf numFmtId="0" fontId="10" fillId="19" borderId="10" xfId="4" applyFont="1" applyFill="1" applyBorder="1" applyAlignment="1" applyProtection="1">
      <alignment horizontal="center"/>
      <protection hidden="1"/>
    </xf>
    <xf numFmtId="0" fontId="10" fillId="19" borderId="11" xfId="4" applyFont="1" applyFill="1" applyBorder="1" applyAlignment="1" applyProtection="1">
      <alignment horizontal="center"/>
      <protection hidden="1"/>
    </xf>
    <xf numFmtId="0" fontId="6" fillId="16" borderId="15" xfId="4" applyFont="1" applyFill="1" applyBorder="1" applyAlignment="1" applyProtection="1">
      <alignment horizontal="center"/>
      <protection hidden="1"/>
    </xf>
    <xf numFmtId="0" fontId="6" fillId="16" borderId="16" xfId="4" applyFont="1" applyFill="1" applyBorder="1" applyAlignment="1" applyProtection="1">
      <alignment horizontal="center"/>
      <protection hidden="1"/>
    </xf>
    <xf numFmtId="0" fontId="10" fillId="19" borderId="15" xfId="4" applyFont="1" applyFill="1" applyBorder="1" applyAlignment="1" applyProtection="1">
      <alignment horizontal="center"/>
      <protection hidden="1"/>
    </xf>
    <xf numFmtId="0" fontId="10" fillId="19" borderId="19" xfId="4" applyFont="1" applyFill="1" applyBorder="1" applyAlignment="1" applyProtection="1">
      <alignment horizontal="center"/>
      <protection hidden="1"/>
    </xf>
    <xf numFmtId="0" fontId="6" fillId="16" borderId="10" xfId="4" applyFont="1" applyFill="1" applyBorder="1" applyAlignment="1" applyProtection="1">
      <alignment horizontal="center"/>
      <protection hidden="1"/>
    </xf>
    <xf numFmtId="0" fontId="6" fillId="16" borderId="11" xfId="4" applyFont="1" applyFill="1" applyBorder="1" applyAlignment="1" applyProtection="1">
      <alignment horizontal="center"/>
      <protection hidden="1"/>
    </xf>
    <xf numFmtId="0" fontId="33" fillId="16" borderId="0" xfId="0" applyFont="1" applyFill="1" applyAlignment="1" applyProtection="1">
      <alignment horizontal="center" vertical="center"/>
      <protection hidden="1"/>
    </xf>
    <xf numFmtId="0" fontId="33" fillId="16" borderId="0" xfId="0" applyFont="1" applyFill="1" applyAlignment="1" applyProtection="1">
      <alignment horizontal="center" vertical="center"/>
      <protection locked="0"/>
    </xf>
  </cellXfs>
  <cellStyles count="9">
    <cellStyle name="20% - Ênfase3" xfId="8" builtinId="38"/>
    <cellStyle name="Hiperlink 2" xfId="5" xr:uid="{DC247C55-35F1-43AB-A135-5744DAD4F947}"/>
    <cellStyle name="Moeda" xfId="2" builtinId="4"/>
    <cellStyle name="Moeda 2" xfId="6" xr:uid="{6B8DD49D-C6A9-4849-AA2D-29011BEEC6C3}"/>
    <cellStyle name="Normal" xfId="0" builtinId="0"/>
    <cellStyle name="Normal 2" xfId="4" xr:uid="{C5E2A942-3C17-49B2-9F36-44131DA942A1}"/>
    <cellStyle name="Porcentagem" xfId="3" builtinId="5"/>
    <cellStyle name="Vírgula" xfId="1" builtinId="3"/>
    <cellStyle name="Vírgula 2" xfId="7" xr:uid="{3514C1B8-677F-41ED-B900-131C80DD7AF6}"/>
  </cellStyles>
  <dxfs count="10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thin">
          <color theme="5" tint="-0.499984740745262"/>
        </right>
        <top style="thin">
          <color theme="5" tint="-0.499984740745262"/>
        </top>
        <bottom style="thin">
          <color theme="5" tint="-0.499984740745262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relativeIndent="1" justifyLastLine="0" shrinkToFit="0" readingOrder="0"/>
      <border diagonalUp="0" diagonalDown="0" outline="0">
        <left style="thin">
          <color theme="5" tint="-0.499984740745262"/>
        </left>
        <right style="thin">
          <color theme="5" tint="-0.499984740745262"/>
        </right>
        <top style="thin">
          <color theme="5" tint="-0.499984740745262"/>
        </top>
        <bottom style="thin">
          <color theme="5" tint="-0.499984740745262"/>
        </bottom>
      </border>
      <protection locked="0" hidden="0"/>
    </dxf>
    <dxf>
      <border diagonalUp="0" diagonalDown="0">
        <left style="thin">
          <color theme="5" tint="-0.499984740745262"/>
        </left>
        <right style="thin">
          <color theme="5" tint="-0.499984740745262"/>
        </right>
        <top style="thin">
          <color theme="5" tint="-0.499984740745262"/>
        </top>
        <bottom style="thin">
          <color theme="5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family val="2"/>
        <scheme val="none"/>
      </font>
      <fill>
        <patternFill patternType="solid">
          <fgColor indexed="64"/>
          <bgColor theme="5" tint="-0.499984740745262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3" formatCode="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0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relative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1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  <protection locked="1" hidden="1"/>
    </dxf>
    <dxf>
      <border outline="0">
        <bottom style="hair">
          <color auto="1"/>
        </bottom>
      </border>
    </dxf>
    <dxf>
      <protection locked="1" hidden="1"/>
    </dxf>
    <dxf>
      <fill>
        <patternFill patternType="solid">
          <fgColor indexed="64"/>
          <bgColor theme="3"/>
        </patternFill>
      </fill>
      <protection locked="1" hidden="1"/>
    </dxf>
    <dxf>
      <numFmt numFmtId="0" formatCode="General"/>
      <fill>
        <patternFill patternType="solid">
          <fgColor indexed="64"/>
          <bgColor theme="9" tint="0.79998168889431442"/>
        </patternFill>
      </fill>
      <alignment vertical="center" textRotation="0" wrapText="0" indent="0" justifyLastLine="0" shrinkToFit="0" readingOrder="0"/>
      <border diagonalUp="0" diagonalDown="0" outline="0">
        <left style="hair">
          <color theme="0" tint="-0.34998626667073579"/>
        </left>
        <right style="hair">
          <color theme="0" tint="-0.34998626667073579"/>
        </right>
        <top style="hair">
          <color theme="0" tint="-0.34998626667073579"/>
        </top>
        <bottom style="hair">
          <color theme="0" tint="-0.34998626667073579"/>
        </bottom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3" formatCode="_-* #,##0.0_-;\-* #,##0.0_-;_-* &quot;-&quot;??_-;_-@_-"/>
      <fill>
        <patternFill patternType="solid">
          <fgColor indexed="64"/>
          <bgColor theme="9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hair">
          <color theme="0" tint="-0.34998626667073579"/>
        </left>
        <right style="hair">
          <color theme="0" tint="-0.34998626667073579"/>
        </right>
        <top style="hair">
          <color theme="0" tint="-0.34998626667073579"/>
        </top>
        <bottom style="hair">
          <color theme="0" tint="-0.34998626667073579"/>
        </bottom>
      </border>
      <protection locked="1" hidden="1"/>
    </dxf>
    <dxf>
      <numFmt numFmtId="164" formatCode="_(&quot;R$&quot;* #,##0.00_);_(&quot;R$&quot;* \(#,##0.00\);_(&quot;R$&quot;* &quot;-&quot;??_);_(@_)"/>
      <fill>
        <patternFill patternType="solid">
          <fgColor indexed="64"/>
          <bgColor theme="9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hair">
          <color theme="0" tint="-0.34998626667073579"/>
        </left>
        <right style="hair">
          <color theme="0" tint="-0.34998626667073579"/>
        </right>
        <top style="hair">
          <color theme="0" tint="-0.34998626667073579"/>
        </top>
        <bottom style="hair">
          <color theme="0" tint="-0.34998626667073579"/>
        </bottom>
      </border>
      <protection locked="1" hidden="1"/>
    </dxf>
    <dxf>
      <alignment vertical="center" textRotation="0" wrapText="0" indent="0" justifyLastLine="0" shrinkToFit="0" readingOrder="0"/>
      <border diagonalUp="0" diagonalDown="0" outline="0">
        <left style="hair">
          <color theme="0" tint="-0.34998626667073579"/>
        </left>
        <right style="hair">
          <color theme="0" tint="-0.34998626667073579"/>
        </right>
        <top style="hair">
          <color theme="0" tint="-0.34998626667073579"/>
        </top>
        <bottom style="hair">
          <color theme="0" tint="-0.34998626667073579"/>
        </bottom>
      </border>
      <protection locked="0" hidden="0"/>
    </dxf>
    <dxf>
      <alignment vertical="center" textRotation="0" wrapText="0" indent="0" justifyLastLine="0" shrinkToFit="0" readingOrder="0"/>
      <border diagonalUp="0" diagonalDown="0" outline="0">
        <left/>
        <right style="hair">
          <color theme="0" tint="-0.34998626667073579"/>
        </right>
        <top style="hair">
          <color theme="0" tint="-0.34998626667073579"/>
        </top>
        <bottom style="hair">
          <color theme="0" tint="-0.34998626667073579"/>
        </bottom>
      </border>
      <protection locked="0" hidden="0"/>
    </dxf>
    <dxf>
      <font>
        <b val="0"/>
      </font>
      <numFmt numFmtId="171" formatCode="&quot;(&quot;0#&quot;)&quot;\ #####\-####"/>
      <alignment horizontal="center" vertical="center" textRotation="0" wrapText="0" indent="0" justifyLastLine="0" shrinkToFit="0" readingOrder="0"/>
      <border diagonalUp="0" diagonalDown="0" outline="0">
        <left style="hair">
          <color theme="0" tint="-0.34998626667073579"/>
        </left>
        <right style="hair">
          <color theme="0" tint="-0.34998626667073579"/>
        </right>
        <top style="hair">
          <color theme="0" tint="-0.34998626667073579"/>
        </top>
        <bottom style="hair">
          <color theme="0" tint="-0.34998626667073579"/>
        </bottom>
      </border>
      <protection locked="0" hidden="0"/>
    </dxf>
    <dxf>
      <alignment horizontal="left" vertical="center" textRotation="0" wrapText="0" indent="0" justifyLastLine="0" shrinkToFit="0" readingOrder="0"/>
      <border diagonalUp="0" diagonalDown="0" outline="0">
        <left style="hair">
          <color theme="0" tint="-0.34998626667073579"/>
        </left>
        <right/>
        <top style="hair">
          <color theme="0" tint="-0.34998626667073579"/>
        </top>
        <bottom style="hair">
          <color theme="0" tint="-0.34998626667073579"/>
        </bottom>
      </border>
      <protection locked="0" hidden="0"/>
    </dxf>
    <dxf>
      <numFmt numFmtId="172" formatCode="0#&quot;.&quot;###&quot;.&quot;###&quot;/&quot;####\-##"/>
      <alignment vertical="center" textRotation="0" wrapText="0" indent="0" justifyLastLine="0" shrinkToFit="0" readingOrder="0"/>
      <border diagonalUp="0" diagonalDown="0" outline="0">
        <left style="hair">
          <color theme="0" tint="-0.34998626667073579"/>
        </left>
        <right style="hair">
          <color theme="0" tint="-0.34998626667073579"/>
        </right>
        <top style="hair">
          <color theme="0" tint="-0.34998626667073579"/>
        </top>
        <bottom style="hair">
          <color theme="0" tint="-0.34998626667073579"/>
        </bottom>
      </border>
      <protection locked="1" hidden="1"/>
    </dxf>
    <dxf>
      <numFmt numFmtId="176" formatCode="[&lt;=99999999999]000\.000\.000\-00;00\.000\.000\/0000\-00"/>
      <alignment vertical="center" textRotation="0" wrapText="0" indent="0" justifyLastLine="0" shrinkToFit="0" readingOrder="0"/>
      <border diagonalUp="0" diagonalDown="0" outline="0">
        <left style="hair">
          <color theme="0" tint="-0.34998626667073579"/>
        </left>
        <right style="hair">
          <color theme="0" tint="-0.34998626667073579"/>
        </right>
        <top style="hair">
          <color theme="0" tint="-0.34998626667073579"/>
        </top>
        <bottom style="hair">
          <color theme="0" tint="-0.34998626667073579"/>
        </bottom>
      </border>
      <protection locked="0" hidden="0"/>
    </dxf>
    <dxf>
      <alignment vertical="center" textRotation="0" wrapText="0" indent="0" justifyLastLine="0" shrinkToFit="0" readingOrder="0"/>
      <border diagonalUp="0" diagonalDown="0" outline="0">
        <left style="hair">
          <color theme="0" tint="-0.34998626667073579"/>
        </left>
        <right style="hair">
          <color theme="0" tint="-0.34998626667073579"/>
        </right>
        <top style="hair">
          <color theme="0" tint="-0.34998626667073579"/>
        </top>
        <bottom style="hair">
          <color theme="0" tint="-0.34998626667073579"/>
        </bottom>
      </border>
      <protection locked="0" hidden="0"/>
    </dxf>
    <dxf>
      <alignment vertical="center" textRotation="0" wrapText="0" indent="0" justifyLastLine="0" shrinkToFit="0" readingOrder="0"/>
      <border diagonalUp="0" diagonalDown="0" outline="0">
        <left style="hair">
          <color theme="0" tint="-0.34998626667073579"/>
        </left>
        <right style="hair">
          <color theme="0" tint="-0.34998626667073579"/>
        </right>
        <top style="hair">
          <color theme="0" tint="-0.34998626667073579"/>
        </top>
        <bottom style="hair">
          <color theme="0" tint="-0.34998626667073579"/>
        </bottom>
      </border>
      <protection locked="0" hidden="0"/>
    </dxf>
    <dxf>
      <alignment vertical="center" textRotation="0" wrapText="0" indent="0" justifyLastLine="0" shrinkToFit="0" readingOrder="0"/>
      <border diagonalUp="0" diagonalDown="0" outline="0">
        <left style="hair">
          <color theme="0" tint="-0.34998626667073579"/>
        </left>
        <right style="hair">
          <color theme="0" tint="-0.34998626667073579"/>
        </right>
        <top style="hair">
          <color theme="0" tint="-0.34998626667073579"/>
        </top>
        <bottom style="hair">
          <color theme="0" tint="-0.34998626667073579"/>
        </bottom>
      </border>
      <protection locked="0" hidden="0"/>
    </dxf>
    <dxf>
      <alignment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254B2C"/>
        </patternFill>
      </fill>
      <alignment horizontal="center" vertical="bottom" textRotation="0" wrapText="0" indent="0" justifyLastLine="0" shrinkToFit="0" readingOrder="0"/>
    </dxf>
    <dxf>
      <numFmt numFmtId="178" formatCode="0.0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outline="0">
        <left style="hair">
          <color theme="0" tint="-0.34998626667073579"/>
        </left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9" formatCode="_(&quot;R$ &quot;* #,##0.00_);_(&quot;R$ &quot;* \(#,##0.00\);_(&quot;R$ &quot;* &quot;-&quot;??_);_(@_)"/>
      <fill>
        <patternFill patternType="solid">
          <fgColor indexed="64"/>
          <bgColor theme="8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theme="0" tint="-0.34998626667073579"/>
        </left>
        <right style="hair">
          <color theme="0" tint="-0.34998626667073579"/>
        </right>
        <top style="hair">
          <color theme="0" tint="-0.34998626667073579"/>
        </top>
        <bottom style="hair">
          <color theme="0" tint="-0.34998626667073579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_(&quot;R$ &quot;* #,##0.00_);_(&quot;R$ &quot;* \(#,##0.00\);_(&quot;R$ &quot;* &quot;-&quot;??_);_(@_)"/>
      <fill>
        <patternFill patternType="none">
          <fgColor indexed="64"/>
          <bgColor theme="8" tint="0.79998168889431442"/>
        </patternFill>
      </fill>
      <border diagonalUp="0" diagonalDown="0">
        <left style="hair">
          <color theme="0" tint="-0.34998626667073579"/>
        </left>
        <right style="hair">
          <color theme="0" tint="-0.34998626667073579"/>
        </right>
        <top style="hair">
          <color theme="0" tint="-0.34998626667073579"/>
        </top>
        <bottom style="hair">
          <color theme="0" tint="-0.34998626667073579"/>
        </bottom>
      </border>
      <protection locked="0" hidden="0"/>
    </dxf>
    <dxf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 outline="0">
        <left style="hair">
          <color theme="0" tint="-0.34998626667073579"/>
        </left>
        <right style="hair">
          <color theme="0" tint="-0.34998626667073579"/>
        </right>
        <top style="hair">
          <color theme="0" tint="-0.34998626667073579"/>
        </top>
        <bottom style="hair">
          <color theme="0" tint="-0.34998626667073579"/>
        </bottom>
      </border>
      <protection locked="0" hidden="0"/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hair">
          <color theme="0" tint="-0.34998626667073579"/>
        </left>
        <right style="hair">
          <color theme="0" tint="-0.34998626667073579"/>
        </right>
        <top style="hair">
          <color theme="0" tint="-0.34998626667073579"/>
        </top>
        <bottom style="hair">
          <color theme="0" tint="-0.34998626667073579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hair">
          <color theme="0" tint="-0.34998626667073579"/>
        </left>
        <right style="hair">
          <color theme="0" tint="-0.34998626667073579"/>
        </right>
        <top style="hair">
          <color theme="0" tint="-0.34998626667073579"/>
        </top>
        <bottom style="hair">
          <color theme="0" tint="-0.34998626667073579"/>
        </bottom>
      </border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hair">
          <color theme="0" tint="-0.34998626667073579"/>
        </left>
        <right style="hair">
          <color theme="0" tint="-0.34998626667073579"/>
        </right>
        <top style="hair">
          <color theme="0" tint="-0.34998626667073579"/>
        </top>
        <bottom style="hair">
          <color theme="0" tint="-0.34998626667073579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hair">
          <color theme="0" tint="-0.34998626667073579"/>
        </left>
        <right style="hair">
          <color theme="0" tint="-0.34998626667073579"/>
        </right>
        <top style="hair">
          <color theme="0" tint="-0.34998626667073579"/>
        </top>
        <bottom style="hair">
          <color theme="0" tint="-0.34998626667073579"/>
        </bottom>
      </border>
    </dxf>
    <dxf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  <border diagonalUp="0" diagonalDown="0" outline="0">
        <left style="hair">
          <color theme="0" tint="-0.34998626667073579"/>
        </left>
        <right style="hair">
          <color theme="0" tint="-0.34998626667073579"/>
        </right>
        <top style="hair">
          <color theme="0" tint="-0.34998626667073579"/>
        </top>
        <bottom style="hair">
          <color theme="0" tint="-0.34998626667073579"/>
        </bottom>
      </border>
      <protection locked="0" hidden="0"/>
    </dxf>
    <dxf>
      <numFmt numFmtId="166" formatCode="_-* #,##0.00_-;\-* #,##0.00_-;_-* &quot;-&quot;??_-;_-@_-"/>
      <border diagonalUp="0" diagonalDown="0" outline="0">
        <left style="hair">
          <color theme="0" tint="-0.34998626667073579"/>
        </left>
        <right style="hair">
          <color theme="0" tint="-0.34998626667073579"/>
        </right>
        <top style="hair">
          <color theme="0" tint="-0.34998626667073579"/>
        </top>
        <bottom style="hair">
          <color theme="0" tint="-0.34998626667073579"/>
        </bottom>
      </border>
      <protection locked="1" hidden="0"/>
    </dxf>
    <dxf>
      <numFmt numFmtId="166" formatCode="_-* #,##0.00_-;\-* #,##0.00_-;_-* &quot;-&quot;??_-;_-@_-"/>
      <border diagonalUp="0" diagonalDown="0">
        <left style="hair">
          <color theme="0" tint="-0.34998626667073579"/>
        </left>
        <right style="hair">
          <color theme="0" tint="-0.34998626667073579"/>
        </right>
        <top style="hair">
          <color theme="0" tint="-0.34998626667073579"/>
        </top>
        <bottom style="hair">
          <color theme="0" tint="-0.34998626667073579"/>
        </bottom>
        <vertical style="hair">
          <color theme="0" tint="-0.34998626667073579"/>
        </vertical>
        <horizontal style="hair">
          <color theme="0" tint="-0.34998626667073579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66" formatCode="_-* #,##0.00_-;\-* #,##0.00_-;_-* &quot;-&quot;??_-;_-@_-"/>
      <fill>
        <patternFill patternType="none">
          <fgColor indexed="64"/>
          <bgColor indexed="65"/>
        </patternFill>
      </fill>
      <border diagonalUp="0" diagonalDown="0">
        <left style="hair">
          <color theme="0" tint="-0.34998626667073579"/>
        </left>
        <right style="hair">
          <color theme="0" tint="-0.34998626667073579"/>
        </right>
        <top style="hair">
          <color theme="0" tint="-0.34998626667073579"/>
        </top>
        <bottom style="hair">
          <color theme="0" tint="-0.34998626667073579"/>
        </bottom>
        <vertical style="hair">
          <color theme="0" tint="-0.34998626667073579"/>
        </vertical>
        <horizontal style="hair">
          <color theme="0" tint="-0.34998626667073579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border diagonalUp="0" diagonalDown="0">
        <left style="hair">
          <color theme="0" tint="-0.34998626667073579"/>
        </left>
        <right style="hair">
          <color theme="0" tint="-0.34998626667073579"/>
        </right>
        <top style="hair">
          <color theme="0" tint="-0.34998626667073579"/>
        </top>
        <bottom style="hair">
          <color theme="0" tint="-0.34998626667073579"/>
        </bottom>
        <vertical style="hair">
          <color theme="0" tint="-0.34998626667073579"/>
        </vertical>
        <horizontal style="hair">
          <color theme="0" tint="-0.34998626667073579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border diagonalUp="0" diagonalDown="0">
        <left style="hair">
          <color theme="0" tint="-0.34998626667073579"/>
        </left>
        <right style="hair">
          <color theme="0" tint="-0.34998626667073579"/>
        </right>
        <top style="hair">
          <color theme="0" tint="-0.34998626667073579"/>
        </top>
        <bottom style="hair">
          <color theme="0" tint="-0.34998626667073579"/>
        </bottom>
        <vertical style="hair">
          <color theme="0" tint="-0.34998626667073579"/>
        </vertical>
        <horizontal style="hair">
          <color theme="0" tint="-0.34998626667073579"/>
        </horizontal>
      </border>
      <protection locked="1" hidden="0"/>
    </dxf>
    <dxf>
      <numFmt numFmtId="166" formatCode="_-* #,##0.00_-;\-* #,##0.00_-;_-* &quot;-&quot;??_-;_-@_-"/>
      <border diagonalUp="0" diagonalDown="0">
        <left style="hair">
          <color theme="0" tint="-0.34998626667073579"/>
        </left>
        <right style="hair">
          <color theme="0" tint="-0.34998626667073579"/>
        </right>
        <top style="hair">
          <color theme="0" tint="-0.34998626667073579"/>
        </top>
        <bottom style="hair">
          <color theme="0" tint="-0.34998626667073579"/>
        </bottom>
        <vertical/>
        <horizontal/>
      </border>
      <protection locked="1" hidden="0"/>
    </dxf>
    <dxf>
      <numFmt numFmtId="166" formatCode="_-* #,##0.00_-;\-* #,##0.00_-;_-* &quot;-&quot;??_-;_-@_-"/>
      <border diagonalUp="0" diagonalDown="0">
        <left style="hair">
          <color theme="0" tint="-0.34998626667073579"/>
        </left>
        <right style="hair">
          <color theme="0" tint="-0.34998626667073579"/>
        </right>
        <top style="hair">
          <color theme="0" tint="-0.34998626667073579"/>
        </top>
        <bottom style="hair">
          <color theme="0" tint="-0.34998626667073579"/>
        </bottom>
        <vertical style="hair">
          <color theme="0" tint="-0.34998626667073579"/>
        </vertical>
        <horizontal style="hair">
          <color theme="0" tint="-0.34998626667073579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66" formatCode="_-* #,##0.00_-;\-* #,##0.00_-;_-* &quot;-&quot;??_-;_-@_-"/>
      <fill>
        <patternFill patternType="none">
          <fgColor indexed="64"/>
          <bgColor indexed="65"/>
        </patternFill>
      </fill>
      <border diagonalUp="0" diagonalDown="0">
        <left style="hair">
          <color theme="0" tint="-0.34998626667073579"/>
        </left>
        <right style="hair">
          <color theme="0" tint="-0.34998626667073579"/>
        </right>
        <top style="hair">
          <color theme="0" tint="-0.34998626667073579"/>
        </top>
        <bottom style="hair">
          <color theme="0" tint="-0.34998626667073579"/>
        </bottom>
        <vertical style="hair">
          <color theme="0" tint="-0.34998626667073579"/>
        </vertical>
        <horizontal style="hair">
          <color theme="0" tint="-0.34998626667073579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border diagonalUp="0" diagonalDown="0">
        <left style="hair">
          <color theme="0" tint="-0.34998626667073579"/>
        </left>
        <right style="hair">
          <color theme="0" tint="-0.34998626667073579"/>
        </right>
        <top style="hair">
          <color theme="0" tint="-0.34998626667073579"/>
        </top>
        <bottom style="hair">
          <color theme="0" tint="-0.34998626667073579"/>
        </bottom>
        <vertical style="hair">
          <color theme="0" tint="-0.34998626667073579"/>
        </vertical>
        <horizontal style="hair">
          <color theme="0" tint="-0.34998626667073579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border diagonalUp="0" diagonalDown="0">
        <left style="hair">
          <color theme="0" tint="-0.34998626667073579"/>
        </left>
        <right style="hair">
          <color theme="0" tint="-0.34998626667073579"/>
        </right>
        <top style="hair">
          <color theme="0" tint="-0.34998626667073579"/>
        </top>
        <bottom style="hair">
          <color theme="0" tint="-0.34998626667073579"/>
        </bottom>
        <vertical style="hair">
          <color theme="0" tint="-0.34998626667073579"/>
        </vertical>
        <horizontal style="hair">
          <color theme="0" tint="-0.34998626667073579"/>
        </horizontal>
      </border>
      <protection locked="1" hidden="0"/>
    </dxf>
    <dxf>
      <numFmt numFmtId="166" formatCode="_-* #,##0.00_-;\-* #,##0.00_-;_-* &quot;-&quot;??_-;_-@_-"/>
      <border diagonalUp="0" diagonalDown="0">
        <left style="hair">
          <color theme="0" tint="-0.34998626667073579"/>
        </left>
        <right style="hair">
          <color theme="0" tint="-0.34998626667073579"/>
        </right>
        <top style="hair">
          <color theme="0" tint="-0.34998626667073579"/>
        </top>
        <bottom style="hair">
          <color theme="0" tint="-0.34998626667073579"/>
        </bottom>
        <vertical/>
        <horizontal/>
      </border>
      <protection locked="1" hidden="0"/>
    </dxf>
    <dxf>
      <numFmt numFmtId="166" formatCode="_-* #,##0.00_-;\-* #,##0.00_-;_-* &quot;-&quot;??_-;_-@_-"/>
      <border diagonalUp="0" diagonalDown="0">
        <left style="hair">
          <color theme="0" tint="-0.34998626667073579"/>
        </left>
        <right style="hair">
          <color theme="0" tint="-0.34998626667073579"/>
        </right>
        <top style="hair">
          <color theme="0" tint="-0.34998626667073579"/>
        </top>
        <bottom style="hair">
          <color theme="0" tint="-0.34998626667073579"/>
        </bottom>
        <vertical style="hair">
          <color theme="0" tint="-0.34998626667073579"/>
        </vertical>
        <horizontal style="hair">
          <color theme="0" tint="-0.34998626667073579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66" formatCode="_-* #,##0.00_-;\-* #,##0.00_-;_-* &quot;-&quot;??_-;_-@_-"/>
      <fill>
        <patternFill patternType="none">
          <fgColor indexed="64"/>
          <bgColor indexed="65"/>
        </patternFill>
      </fill>
      <border diagonalUp="0" diagonalDown="0">
        <left style="hair">
          <color theme="0" tint="-0.34998626667073579"/>
        </left>
        <right style="hair">
          <color theme="0" tint="-0.34998626667073579"/>
        </right>
        <top style="hair">
          <color theme="0" tint="-0.34998626667073579"/>
        </top>
        <bottom style="hair">
          <color theme="0" tint="-0.34998626667073579"/>
        </bottom>
        <vertical style="hair">
          <color theme="0" tint="-0.34998626667073579"/>
        </vertical>
        <horizontal style="hair">
          <color theme="0" tint="-0.34998626667073579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border diagonalUp="0" diagonalDown="0">
        <left style="hair">
          <color theme="0" tint="-0.34998626667073579"/>
        </left>
        <right style="hair">
          <color theme="0" tint="-0.34998626667073579"/>
        </right>
        <top style="hair">
          <color theme="0" tint="-0.34998626667073579"/>
        </top>
        <bottom style="hair">
          <color theme="0" tint="-0.34998626667073579"/>
        </bottom>
        <vertical style="hair">
          <color theme="0" tint="-0.34998626667073579"/>
        </vertical>
        <horizontal style="hair">
          <color theme="0" tint="-0.34998626667073579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border diagonalUp="0" diagonalDown="0">
        <left style="hair">
          <color theme="0" tint="-0.34998626667073579"/>
        </left>
        <right style="hair">
          <color theme="0" tint="-0.34998626667073579"/>
        </right>
        <top style="hair">
          <color theme="0" tint="-0.34998626667073579"/>
        </top>
        <bottom style="hair">
          <color theme="0" tint="-0.34998626667073579"/>
        </bottom>
        <vertical style="hair">
          <color theme="0" tint="-0.34998626667073579"/>
        </vertical>
        <horizontal style="hair">
          <color theme="0" tint="-0.34998626667073579"/>
        </horizontal>
      </border>
      <protection locked="1" hidden="0"/>
    </dxf>
    <dxf>
      <numFmt numFmtId="166" formatCode="_-* #,##0.00_-;\-* #,##0.00_-;_-* &quot;-&quot;??_-;_-@_-"/>
      <border diagonalUp="0" diagonalDown="0">
        <left style="hair">
          <color theme="0" tint="-0.34998626667073579"/>
        </left>
        <right style="hair">
          <color theme="0" tint="-0.34998626667073579"/>
        </right>
        <top style="hair">
          <color theme="0" tint="-0.34998626667073579"/>
        </top>
        <bottom style="hair">
          <color theme="0" tint="-0.34998626667073579"/>
        </bottom>
        <vertical/>
        <horizontal/>
      </border>
      <protection locked="1" hidden="0"/>
    </dxf>
    <dxf>
      <numFmt numFmtId="166" formatCode="_-* #,##0.00_-;\-* #,##0.00_-;_-* &quot;-&quot;??_-;_-@_-"/>
      <border diagonalUp="0" diagonalDown="0">
        <left style="hair">
          <color theme="0" tint="-0.34998626667073579"/>
        </left>
        <right style="hair">
          <color theme="0" tint="-0.34998626667073579"/>
        </right>
        <top style="hair">
          <color theme="0" tint="-0.34998626667073579"/>
        </top>
        <bottom style="hair">
          <color theme="0" tint="-0.34998626667073579"/>
        </bottom>
        <vertical style="hair">
          <color theme="0" tint="-0.34998626667073579"/>
        </vertical>
        <horizontal style="hair">
          <color theme="0" tint="-0.34998626667073579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6" formatCode="_-* #,##0.00_-;\-* #,##0.00_-;_-* &quot;-&quot;??_-;_-@_-"/>
      <fill>
        <patternFill patternType="none">
          <fgColor indexed="64"/>
          <bgColor indexed="65"/>
        </patternFill>
      </fill>
      <border diagonalUp="0" diagonalDown="0">
        <left style="hair">
          <color theme="0" tint="-0.34998626667073579"/>
        </left>
        <right style="hair">
          <color theme="0" tint="-0.34998626667073579"/>
        </right>
        <top style="hair">
          <color theme="0" tint="-0.34998626667073579"/>
        </top>
        <bottom style="hair">
          <color theme="0" tint="-0.34998626667073579"/>
        </bottom>
        <vertical style="hair">
          <color theme="0" tint="-0.34998626667073579"/>
        </vertical>
        <horizontal style="hair">
          <color theme="0" tint="-0.34998626667073579"/>
        </horizontal>
      </border>
      <protection locked="0" hidden="0"/>
    </dxf>
    <dxf>
      <fill>
        <patternFill patternType="none">
          <fgColor indexed="64"/>
          <bgColor indexed="65"/>
        </patternFill>
      </fill>
      <border diagonalUp="0" diagonalDown="0">
        <left style="hair">
          <color theme="0" tint="-0.34998626667073579"/>
        </left>
        <right style="hair">
          <color theme="0" tint="-0.34998626667073579"/>
        </right>
        <top style="hair">
          <color theme="0" tint="-0.34998626667073579"/>
        </top>
        <bottom style="hair">
          <color theme="0" tint="-0.34998626667073579"/>
        </bottom>
        <vertical style="hair">
          <color theme="0" tint="-0.34998626667073579"/>
        </vertical>
        <horizontal style="hair">
          <color theme="0" tint="-0.34998626667073579"/>
        </horizontal>
      </border>
      <protection locked="0" hidden="0"/>
    </dxf>
    <dxf>
      <fill>
        <patternFill patternType="none">
          <fgColor indexed="64"/>
          <bgColor indexed="65"/>
        </patternFill>
      </fill>
      <border diagonalUp="0" diagonalDown="0">
        <left style="hair">
          <color theme="0" tint="-0.34998626667073579"/>
        </left>
        <right style="hair">
          <color theme="0" tint="-0.34998626667073579"/>
        </right>
        <top style="hair">
          <color theme="0" tint="-0.34998626667073579"/>
        </top>
        <bottom style="hair">
          <color theme="0" tint="-0.34998626667073579"/>
        </bottom>
        <vertical style="hair">
          <color theme="0" tint="-0.34998626667073579"/>
        </vertical>
        <horizontal style="hair">
          <color theme="0" tint="-0.34998626667073579"/>
        </horizontal>
      </border>
      <protection locked="0" hidden="0"/>
    </dxf>
    <dxf>
      <numFmt numFmtId="166" formatCode="_-* #,##0.00_-;\-* #,##0.00_-;_-* &quot;-&quot;??_-;_-@_-"/>
      <border diagonalUp="0" diagonalDown="0">
        <left style="hair">
          <color theme="0" tint="-0.34998626667073579"/>
        </left>
        <right style="hair">
          <color theme="0" tint="-0.34998626667073579"/>
        </right>
        <top style="hair">
          <color theme="0" tint="-0.34998626667073579"/>
        </top>
        <bottom style="hair">
          <color theme="0" tint="-0.34998626667073579"/>
        </bottom>
        <vertical/>
        <horizontal/>
      </border>
      <protection locked="1" hidden="0"/>
    </dxf>
    <dxf>
      <numFmt numFmtId="166" formatCode="_-* #,##0.00_-;\-* #,##0.00_-;_-* &quot;-&quot;??_-;_-@_-"/>
      <border diagonalUp="0" diagonalDown="0">
        <left style="hair">
          <color theme="0" tint="-0.34998626667073579"/>
        </left>
        <right style="hair">
          <color theme="0" tint="-0.34998626667073579"/>
        </right>
        <top style="hair">
          <color theme="0" tint="-0.34998626667073579"/>
        </top>
        <bottom style="hair">
          <color theme="0" tint="-0.34998626667073579"/>
        </bottom>
        <vertical style="hair">
          <color theme="0" tint="-0.34998626667073579"/>
        </vertical>
        <horizontal style="hair">
          <color theme="0" tint="-0.34998626667073579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6" formatCode="_-* #,##0.00_-;\-* #,##0.00_-;_-* &quot;-&quot;??_-;_-@_-"/>
      <fill>
        <patternFill patternType="none">
          <fgColor indexed="64"/>
          <bgColor indexed="65"/>
        </patternFill>
      </fill>
      <border diagonalUp="0" diagonalDown="0">
        <left style="hair">
          <color theme="0" tint="-0.34998626667073579"/>
        </left>
        <right style="hair">
          <color theme="0" tint="-0.34998626667073579"/>
        </right>
        <top style="hair">
          <color theme="0" tint="-0.34998626667073579"/>
        </top>
        <bottom style="hair">
          <color theme="0" tint="-0.34998626667073579"/>
        </bottom>
        <vertical style="hair">
          <color theme="0" tint="-0.34998626667073579"/>
        </vertical>
        <horizontal style="hair">
          <color theme="0" tint="-0.34998626667073579"/>
        </horizontal>
      </border>
      <protection locked="0" hidden="0"/>
    </dxf>
    <dxf>
      <fill>
        <patternFill patternType="none">
          <fgColor indexed="64"/>
          <bgColor indexed="65"/>
        </patternFill>
      </fill>
      <border diagonalUp="0" diagonalDown="0">
        <left style="hair">
          <color theme="0" tint="-0.34998626667073579"/>
        </left>
        <right style="hair">
          <color theme="0" tint="-0.34998626667073579"/>
        </right>
        <top style="hair">
          <color theme="0" tint="-0.34998626667073579"/>
        </top>
        <bottom style="hair">
          <color theme="0" tint="-0.34998626667073579"/>
        </bottom>
        <vertical style="hair">
          <color theme="0" tint="-0.34998626667073579"/>
        </vertical>
        <horizontal style="hair">
          <color theme="0" tint="-0.34998626667073579"/>
        </horizontal>
      </border>
      <protection locked="0" hidden="0"/>
    </dxf>
    <dxf>
      <fill>
        <patternFill patternType="none">
          <fgColor indexed="64"/>
          <bgColor indexed="65"/>
        </patternFill>
      </fill>
      <border diagonalUp="0" diagonalDown="0">
        <left style="hair">
          <color theme="0" tint="-0.34998626667073579"/>
        </left>
        <right style="hair">
          <color theme="0" tint="-0.34998626667073579"/>
        </right>
        <top style="hair">
          <color theme="0" tint="-0.34998626667073579"/>
        </top>
        <bottom style="hair">
          <color theme="0" tint="-0.34998626667073579"/>
        </bottom>
        <vertical style="hair">
          <color theme="0" tint="-0.34998626667073579"/>
        </vertical>
        <horizontal style="hair">
          <color theme="0" tint="-0.34998626667073579"/>
        </horizontal>
      </border>
      <protection locked="0" hidden="0"/>
    </dxf>
    <dxf>
      <numFmt numFmtId="166" formatCode="_-* #,##0.00_-;\-* #,##0.00_-;_-* &quot;-&quot;??_-;_-@_-"/>
      <border diagonalUp="0" diagonalDown="0">
        <left style="hair">
          <color theme="0" tint="-0.34998626667073579"/>
        </left>
        <right style="hair">
          <color theme="0" tint="-0.34998626667073579"/>
        </right>
        <top style="hair">
          <color theme="0" tint="-0.34998626667073579"/>
        </top>
        <bottom style="hair">
          <color theme="0" tint="-0.34998626667073579"/>
        </bottom>
        <vertical/>
        <horizontal/>
      </border>
      <protection locked="1" hidden="0"/>
    </dxf>
    <dxf>
      <border diagonalUp="0" diagonalDown="0">
        <left style="hair">
          <color theme="0" tint="-0.34998626667073579"/>
        </left>
        <right style="hair">
          <color theme="0" tint="-0.34998626667073579"/>
        </right>
        <top style="hair">
          <color theme="0" tint="-0.34998626667073579"/>
        </top>
        <bottom style="hair">
          <color theme="0" tint="-0.34998626667073579"/>
        </bottom>
        <vertical style="hair">
          <color theme="0" tint="-0.34998626667073579"/>
        </vertical>
        <horizontal style="hair">
          <color theme="0" tint="-0.34998626667073579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6" formatCode="_-* #,##0.00_-;\-* #,##0.00_-;_-* &quot;-&quot;??_-;_-@_-"/>
      <fill>
        <patternFill patternType="none">
          <fgColor indexed="64"/>
          <bgColor indexed="65"/>
        </patternFill>
      </fill>
      <border diagonalUp="0" diagonalDown="0">
        <left style="hair">
          <color theme="0" tint="-0.34998626667073579"/>
        </left>
        <right style="hair">
          <color theme="0" tint="-0.34998626667073579"/>
        </right>
        <top style="hair">
          <color theme="0" tint="-0.34998626667073579"/>
        </top>
        <bottom style="hair">
          <color theme="0" tint="-0.34998626667073579"/>
        </bottom>
        <vertical style="hair">
          <color theme="0" tint="-0.34998626667073579"/>
        </vertical>
        <horizontal style="hair">
          <color theme="0" tint="-0.34998626667073579"/>
        </horizontal>
      </border>
      <protection locked="0" hidden="0"/>
    </dxf>
    <dxf>
      <fill>
        <patternFill patternType="none">
          <fgColor indexed="64"/>
          <bgColor indexed="65"/>
        </patternFill>
      </fill>
      <border diagonalUp="0" diagonalDown="0">
        <left style="hair">
          <color theme="0" tint="-0.34998626667073579"/>
        </left>
        <right style="hair">
          <color theme="0" tint="-0.34998626667073579"/>
        </right>
        <top style="hair">
          <color theme="0" tint="-0.34998626667073579"/>
        </top>
        <bottom style="hair">
          <color theme="0" tint="-0.34998626667073579"/>
        </bottom>
        <vertical style="hair">
          <color theme="0" tint="-0.34998626667073579"/>
        </vertical>
        <horizontal style="hair">
          <color theme="0" tint="-0.34998626667073579"/>
        </horizontal>
      </border>
      <protection locked="0" hidden="0"/>
    </dxf>
    <dxf>
      <fill>
        <patternFill patternType="none">
          <fgColor indexed="64"/>
          <bgColor indexed="65"/>
        </patternFill>
      </fill>
      <border diagonalUp="0" diagonalDown="0">
        <left style="hair">
          <color theme="0" tint="-0.34998626667073579"/>
        </left>
        <right style="hair">
          <color theme="0" tint="-0.34998626667073579"/>
        </right>
        <top style="hair">
          <color theme="0" tint="-0.34998626667073579"/>
        </top>
        <bottom style="hair">
          <color theme="0" tint="-0.34998626667073579"/>
        </bottom>
        <vertical style="hair">
          <color theme="0" tint="-0.34998626667073579"/>
        </vertical>
        <horizontal style="hair">
          <color theme="0" tint="-0.34998626667073579"/>
        </horizontal>
      </border>
      <protection locked="0" hidden="0"/>
    </dxf>
    <dxf>
      <numFmt numFmtId="166" formatCode="_-* #,##0.00_-;\-* #,##0.00_-;_-* &quot;-&quot;??_-;_-@_-"/>
      <border diagonalUp="0" diagonalDown="0">
        <left style="hair">
          <color theme="0" tint="-0.34998626667073579"/>
        </left>
        <right style="hair">
          <color theme="0" tint="-0.34998626667073579"/>
        </right>
        <top style="hair">
          <color theme="0" tint="-0.34998626667073579"/>
        </top>
        <bottom style="hair">
          <color theme="0" tint="-0.34998626667073579"/>
        </bottom>
        <vertical/>
        <horizontal/>
      </border>
      <protection locked="1" hidden="0"/>
    </dxf>
    <dxf>
      <numFmt numFmtId="166" formatCode="_-* #,##0.00_-;\-* #,##0.00_-;_-* &quot;-&quot;??_-;_-@_-"/>
      <border diagonalUp="0" diagonalDown="0">
        <left style="hair">
          <color theme="0" tint="-0.34998626667073579"/>
        </left>
        <right style="hair">
          <color theme="0" tint="-0.34998626667073579"/>
        </right>
        <top style="hair">
          <color theme="0" tint="-0.34998626667073579"/>
        </top>
        <bottom style="hair">
          <color theme="0" tint="-0.34998626667073579"/>
        </bottom>
        <vertical style="hair">
          <color theme="0" tint="-0.34998626667073579"/>
        </vertical>
        <horizontal style="hair">
          <color theme="0" tint="-0.34998626667073579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6" formatCode="_-* #,##0.00_-;\-* #,##0.00_-;_-* &quot;-&quot;??_-;_-@_-"/>
      <fill>
        <patternFill patternType="none">
          <fgColor indexed="64"/>
          <bgColor auto="1"/>
        </patternFill>
      </fill>
      <border diagonalUp="0" diagonalDown="0">
        <left style="hair">
          <color theme="0" tint="-0.34998626667073579"/>
        </left>
        <right style="hair">
          <color theme="0" tint="-0.34998626667073579"/>
        </right>
        <top style="hair">
          <color theme="0" tint="-0.34998626667073579"/>
        </top>
        <bottom style="hair">
          <color theme="0" tint="-0.34998626667073579"/>
        </bottom>
        <vertical style="hair">
          <color theme="0" tint="-0.34998626667073579"/>
        </vertical>
        <horizontal style="hair">
          <color theme="0" tint="-0.34998626667073579"/>
        </horizontal>
      </border>
      <protection locked="0" hidden="0"/>
    </dxf>
    <dxf>
      <fill>
        <patternFill patternType="none">
          <fgColor indexed="64"/>
          <bgColor auto="1"/>
        </patternFill>
      </fill>
      <border diagonalUp="0" diagonalDown="0">
        <left style="hair">
          <color theme="0" tint="-0.34998626667073579"/>
        </left>
        <right style="hair">
          <color theme="0" tint="-0.34998626667073579"/>
        </right>
        <top style="hair">
          <color theme="0" tint="-0.34998626667073579"/>
        </top>
        <bottom style="hair">
          <color theme="0" tint="-0.34998626667073579"/>
        </bottom>
        <vertical style="hair">
          <color theme="0" tint="-0.34998626667073579"/>
        </vertical>
        <horizontal style="hair">
          <color theme="0" tint="-0.34998626667073579"/>
        </horizontal>
      </border>
      <protection locked="0" hidden="0"/>
    </dxf>
    <dxf>
      <fill>
        <patternFill patternType="none">
          <fgColor indexed="64"/>
          <bgColor auto="1"/>
        </patternFill>
      </fill>
      <border diagonalUp="0" diagonalDown="0" outline="0">
        <left style="hair">
          <color theme="0" tint="-0.34998626667073579"/>
        </left>
        <right style="hair">
          <color theme="0" tint="-0.34998626667073579"/>
        </right>
        <top style="hair">
          <color theme="0" tint="-0.34998626667073579"/>
        </top>
        <bottom style="hair">
          <color theme="0" tint="-0.34998626667073579"/>
        </bottom>
      </border>
      <protection locked="0" hidden="0"/>
    </dxf>
    <dxf>
      <numFmt numFmtId="166" formatCode="_-* #,##0.00_-;\-* #,##0.00_-;_-* &quot;-&quot;??_-;_-@_-"/>
      <border diagonalUp="0" diagonalDown="0" outline="0">
        <left style="hair">
          <color theme="0" tint="-0.34998626667073579"/>
        </left>
        <right style="hair">
          <color theme="0" tint="-0.34998626667073579"/>
        </right>
        <top style="hair">
          <color theme="0" tint="-0.34998626667073579"/>
        </top>
        <bottom style="hair">
          <color theme="0" tint="-0.34998626667073579"/>
        </bottom>
      </border>
      <protection locked="1" hidden="0"/>
    </dxf>
    <dxf>
      <numFmt numFmtId="166" formatCode="_-* #,##0.00_-;\-* #,##0.00_-;_-* &quot;-&quot;??_-;_-@_-"/>
      <border diagonalUp="0" diagonalDown="0">
        <left style="hair">
          <color theme="0" tint="-0.34998626667073579"/>
        </left>
        <right style="hair">
          <color theme="0" tint="-0.34998626667073579"/>
        </right>
        <top style="hair">
          <color theme="0" tint="-0.34998626667073579"/>
        </top>
        <bottom style="hair">
          <color theme="0" tint="-0.34998626667073579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6" formatCode="_-* #,##0.00_-;\-* #,##0.00_-;_-* &quot;-&quot;??_-;_-@_-"/>
      <fill>
        <patternFill patternType="none">
          <fgColor indexed="64"/>
          <bgColor auto="1"/>
        </patternFill>
      </fill>
      <border diagonalUp="0" diagonalDown="0" outline="0">
        <left style="hair">
          <color theme="0" tint="-0.34998626667073579"/>
        </left>
        <right style="hair">
          <color theme="0" tint="-0.34998626667073579"/>
        </right>
        <top style="hair">
          <color theme="0" tint="-0.34998626667073579"/>
        </top>
        <bottom style="hair">
          <color theme="0" tint="-0.34998626667073579"/>
        </bottom>
      </border>
      <protection locked="1" hidden="0"/>
    </dxf>
    <dxf>
      <fill>
        <patternFill patternType="none">
          <fgColor indexed="64"/>
          <bgColor auto="1"/>
        </patternFill>
      </fill>
      <border diagonalUp="0" diagonalDown="0" outline="0">
        <left style="hair">
          <color theme="0" tint="-0.34998626667073579"/>
        </left>
        <right style="hair">
          <color theme="0" tint="-0.34998626667073579"/>
        </right>
        <top style="hair">
          <color theme="0" tint="-0.34998626667073579"/>
        </top>
        <bottom style="hair">
          <color theme="0" tint="-0.34998626667073579"/>
        </bottom>
      </border>
      <protection locked="0" hidden="0"/>
    </dxf>
    <dxf>
      <fill>
        <patternFill patternType="none">
          <fgColor indexed="64"/>
          <bgColor auto="1"/>
        </patternFill>
      </fill>
      <border diagonalUp="0" diagonalDown="0">
        <left style="hair">
          <color theme="0" tint="-0.34998626667073579"/>
        </left>
        <right style="hair">
          <color theme="0" tint="-0.34998626667073579"/>
        </right>
        <top style="hair">
          <color theme="0" tint="-0.34998626667073579"/>
        </top>
        <bottom style="hair">
          <color theme="0" tint="-0.34998626667073579"/>
        </bottom>
        <vertical style="hair">
          <color theme="0" tint="-0.34998626667073579"/>
        </vertical>
        <horizontal style="hair">
          <color theme="0" tint="-0.34998626667073579"/>
        </horizontal>
      </border>
      <protection locked="0" hidden="0"/>
    </dxf>
    <dxf>
      <numFmt numFmtId="180" formatCode="d\-mmm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hair">
          <color theme="0" tint="-0.34998626667073579"/>
        </left>
        <right style="hair">
          <color theme="0" tint="-0.34998626667073579"/>
        </right>
        <top style="hair">
          <color theme="0" tint="-0.34998626667073579"/>
        </top>
        <bottom style="hair">
          <color theme="0" tint="-0.34998626667073579"/>
        </bottom>
      </border>
      <protection locked="0" hidden="0"/>
    </dxf>
    <dxf>
      <fill>
        <patternFill patternType="none">
          <fgColor indexed="64"/>
          <bgColor auto="1"/>
        </patternFill>
      </fill>
      <border diagonalUp="0" diagonalDown="0">
        <left style="hair">
          <color theme="0" tint="-0.34998626667073579"/>
        </left>
        <right style="hair">
          <color theme="0" tint="-0.34998626667073579"/>
        </right>
        <top style="hair">
          <color theme="0" tint="-0.34998626667073579"/>
        </top>
        <bottom style="hair">
          <color theme="0" tint="-0.34998626667073579"/>
        </bottom>
        <vertical style="hair">
          <color theme="0" tint="-0.34998626667073579"/>
        </vertical>
        <horizontal style="hair">
          <color theme="0" tint="-0.34998626667073579"/>
        </horizontal>
      </border>
      <protection locked="0" hidden="0"/>
    </dxf>
    <dxf>
      <numFmt numFmtId="180" formatCode="d\-mmm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hair">
          <color theme="0" tint="-0.34998626667073579"/>
        </left>
        <right style="hair">
          <color theme="0" tint="-0.34998626667073579"/>
        </right>
        <top style="hair">
          <color theme="0" tint="-0.34998626667073579"/>
        </top>
        <bottom style="hair">
          <color theme="0" tint="-0.34998626667073579"/>
        </bottom>
      </border>
      <protection locked="0" hidden="0"/>
    </dxf>
    <dxf>
      <numFmt numFmtId="179" formatCode="dd/mm"/>
      <alignment horizontal="center" vertical="bottom" textRotation="0" wrapText="0" indent="0" justifyLastLine="0" shrinkToFit="0" readingOrder="0"/>
      <border diagonalUp="0" diagonalDown="0">
        <left style="hair">
          <color theme="0" tint="-0.34998626667073579"/>
        </left>
        <right style="hair">
          <color theme="0" tint="-0.34998626667073579"/>
        </right>
        <top style="hair">
          <color theme="0" tint="-0.34998626667073579"/>
        </top>
        <bottom style="hair">
          <color theme="0" tint="-0.34998626667073579"/>
        </bottom>
      </border>
    </dxf>
    <dxf>
      <numFmt numFmtId="167" formatCode="00000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hair">
          <color theme="0" tint="-0.34998626667073579"/>
        </left>
        <right style="hair">
          <color theme="0" tint="-0.34998626667073579"/>
        </right>
        <top style="hair">
          <color theme="0" tint="-0.34998626667073579"/>
        </top>
        <bottom style="hair">
          <color theme="0" tint="-0.34998626667073579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68" formatCode="0000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hair">
          <color theme="0" tint="-0.34998626667073579"/>
        </left>
        <right style="hair">
          <color theme="0" tint="-0.34998626667073579"/>
        </right>
        <top style="hair">
          <color theme="0" tint="-0.34998626667073579"/>
        </top>
        <bottom style="hair">
          <color theme="0" tint="-0.34998626667073579"/>
        </bottom>
        <vertical style="hair">
          <color theme="0" tint="-0.34998626667073579"/>
        </vertical>
        <horizontal style="hair">
          <color theme="0" tint="-0.34998626667073579"/>
        </horizontal>
      </border>
      <protection locked="0" hidden="0"/>
    </dxf>
    <dxf>
      <border outline="0">
        <bottom style="dashed">
          <color auto="1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fill>
        <patternFill patternType="solid">
          <fgColor indexed="64"/>
          <bgColor rgb="FF254B2C"/>
        </patternFill>
      </fill>
      <alignment horizontal="center" vertical="center" textRotation="0" wrapText="1" indent="0" justifyLastLine="0" shrinkToFit="0" readingOrder="0"/>
      <protection locked="0" hidden="0"/>
    </dxf>
    <dxf>
      <font>
        <b/>
        <i/>
        <color theme="0"/>
      </font>
      <fill>
        <patternFill>
          <bgColor theme="5"/>
        </patternFill>
      </fill>
    </dxf>
    <dxf>
      <font>
        <b/>
        <i val="0"/>
        <color rgb="FFFF0000"/>
      </font>
    </dxf>
    <dxf>
      <font>
        <color theme="0"/>
      </font>
      <fill>
        <patternFill>
          <bgColor rgb="FFFF3333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</dxfs>
  <tableStyles count="3" defaultTableStyle="TableStyleMedium2" defaultPivotStyle="PivotStyleLight16">
    <tableStyle name="Estilo de Tabela 1" pivot="0" count="1" xr9:uid="{B152A032-928B-4892-B0C3-936529C880CF}">
      <tableStyleElement type="firstRowStripe" dxfId="104"/>
    </tableStyle>
    <tableStyle name="Estilo de Tabela 2" pivot="0" count="1" xr9:uid="{3B880DB6-BAF2-4666-9137-9CEFB8A6549F}">
      <tableStyleElement type="firstRowStripe" dxfId="103"/>
    </tableStyle>
    <tableStyle name="Estilo de Tabela 3" pivot="0" count="1" xr9:uid="{A9616EE9-0684-48FB-B412-7D36330D0742}">
      <tableStyleElement type="secondRowStripe" dxfId="102"/>
    </tableStyle>
  </tableStyles>
  <colors>
    <mruColors>
      <color rgb="FF254B2C"/>
      <color rgb="FFDDEFE0"/>
      <color rgb="FFC4E2C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Relação  Orçamentos x Entregas </a:t>
            </a:r>
            <a:r>
              <a:rPr lang="pt-BR" b="0" i="1"/>
              <a:t>(em</a:t>
            </a:r>
            <a:r>
              <a:rPr lang="pt-BR" b="0" i="1" baseline="0"/>
              <a:t> quantidade e valor)</a:t>
            </a:r>
            <a:endParaRPr lang="pt-BR" b="0" i="1"/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2"/>
          <c:order val="2"/>
          <c:spPr>
            <a:solidFill>
              <a:schemeClr val="accent1"/>
            </a:solidFill>
          </c:spPr>
          <c:invertIfNegative val="0"/>
          <c:dLbls>
            <c:dLbl>
              <c:idx val="0"/>
              <c:layout>
                <c:manualLayout>
                  <c:x val="-1.1049723756906077E-2"/>
                  <c:y val="-3.1745665017400499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5C5-4B77-A7EF-47D2E21DD67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 b="1">
                    <a:solidFill>
                      <a:schemeClr val="tx2"/>
                    </a:solidFill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(Análises!$C$56,Análises!$E$56,Análises!$G$56,Análises!$I$56,Análises!$K$56,Análises!$M$56,Análises!$O$56,Análises!$Q$56,Análises!$S$56,Análises!$U$56,Análises!$W$56,Análises!$Y$56)</c:f>
              <c:numCache>
                <c:formatCode>_-* #,##0.00_-;\-* #,##0.00_-;_-* "-"??_-;_-@_-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14925.179999999998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28D-41AE-9056-B245E66FC0FD}"/>
            </c:ext>
          </c:extLst>
        </c:ser>
        <c:ser>
          <c:idx val="3"/>
          <c:order val="3"/>
          <c:spPr>
            <a:solidFill>
              <a:schemeClr val="accent2"/>
            </a:solidFill>
          </c:spPr>
          <c:invertIfNegative val="0"/>
          <c:dLbls>
            <c:dLbl>
              <c:idx val="0"/>
              <c:layout>
                <c:manualLayout>
                  <c:x val="2.9465930018416207E-2"/>
                  <c:y val="-3.1745665017400499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5C5-4B77-A7EF-47D2E21DD67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00" b="1">
                    <a:ln>
                      <a:noFill/>
                    </a:ln>
                    <a:solidFill>
                      <a:schemeClr val="accent6">
                        <a:lumMod val="75000"/>
                      </a:schemeClr>
                    </a:solidFill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(Análises!$D$56,Análises!$F$56,Análises!$H$56,Análises!$J$56,Análises!$L$56,Análises!$N$56,Análises!$P$56,Análises!$R$56,Análises!$T$56,Análises!$V$56,Análises!$X$56,Análises!$Z$56)</c:f>
              <c:numCache>
                <c:formatCode>_-* #,##0.00_-;\-* #,##0.00_-;_-* "-"??_-;_-@_-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14925.179999999998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28D-41AE-9056-B245E66FC0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axId val="1090808192"/>
        <c:axId val="1090805952"/>
      </c:barChart>
      <c:lineChart>
        <c:grouping val="standard"/>
        <c:varyColors val="0"/>
        <c:ser>
          <c:idx val="0"/>
          <c:order val="0"/>
          <c:tx>
            <c:v>Orçados</c:v>
          </c:tx>
          <c:marker>
            <c:spPr>
              <a:solidFill>
                <a:schemeClr val="accent1">
                  <a:lumMod val="20000"/>
                  <a:lumOff val="80000"/>
                </a:schemeClr>
              </a:solidFill>
            </c:spPr>
          </c:marker>
          <c:cat>
            <c:strRef>
              <c:f>(Análises!$C$6,Análises!$E$6,Análises!$G$6,Análises!$I$6,Análises!$K$6,Análises!$M$6,Análises!$O$6,Análises!$Q$6,Análises!$S$6,Análises!$U$6,Análises!$W$6,Análises!$Y$6)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(Análises!$C$55,Análises!$E$55,Análises!$G$55,Análises!$I$55,Análises!$K$55,Análises!$M$55,Análises!$O$55,Análises!$Q$55,Análises!$S$55,Análises!$U$55,Análises!$W$55,Análises!$Y$55)</c:f>
              <c:numCache>
                <c:formatCode>_-* #,##0_-;\-* #,##0_-;_-* "-"??_-;_-@_-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6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28D-41AE-9056-B245E66FC0FD}"/>
            </c:ext>
          </c:extLst>
        </c:ser>
        <c:ser>
          <c:idx val="1"/>
          <c:order val="1"/>
          <c:tx>
            <c:v>Entregue</c:v>
          </c:tx>
          <c:marker>
            <c:spPr>
              <a:solidFill>
                <a:schemeClr val="accent2">
                  <a:lumMod val="20000"/>
                  <a:lumOff val="80000"/>
                </a:schemeClr>
              </a:solidFill>
            </c:spPr>
          </c:marker>
          <c:val>
            <c:numRef>
              <c:f>(Análises!$D$55,Análises!$F$55,Análises!$H$55,Análises!$J$55,Análises!$L$55,Análises!$N$55,Análises!$P$55,Análises!$R$55,Análises!$T$55,Análises!$V$55,Análises!$X$55,Análises!$Z$55)</c:f>
              <c:numCache>
                <c:formatCode>_-* #,##0_-;\-* #,##0_-;_-* "-"??_-;_-@_-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6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28D-41AE-9056-B245E66FC0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90816592"/>
        <c:axId val="1090826672"/>
      </c:lineChart>
      <c:catAx>
        <c:axId val="1090816592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1090826672"/>
        <c:crosses val="autoZero"/>
        <c:auto val="1"/>
        <c:lblAlgn val="ctr"/>
        <c:lblOffset val="100"/>
        <c:noMultiLvlLbl val="0"/>
      </c:catAx>
      <c:valAx>
        <c:axId val="1090826672"/>
        <c:scaling>
          <c:orientation val="minMax"/>
        </c:scaling>
        <c:delete val="0"/>
        <c:axPos val="l"/>
        <c:majorGridlines/>
        <c:numFmt formatCode="_-* #,##0_-;\-* #,##0_-;_-* &quot;-&quot;??_-;_-@_-" sourceLinked="1"/>
        <c:majorTickMark val="none"/>
        <c:minorTickMark val="none"/>
        <c:tickLblPos val="nextTo"/>
        <c:spPr>
          <a:ln w="9525">
            <a:noFill/>
          </a:ln>
        </c:spPr>
        <c:crossAx val="1090816592"/>
        <c:crosses val="autoZero"/>
        <c:crossBetween val="between"/>
      </c:valAx>
      <c:valAx>
        <c:axId val="1090805952"/>
        <c:scaling>
          <c:orientation val="minMax"/>
        </c:scaling>
        <c:delete val="0"/>
        <c:axPos val="r"/>
        <c:numFmt formatCode="_-* #,##0.00_-;\-* #,##0.00_-;_-* &quot;-&quot;??_-;_-@_-" sourceLinked="1"/>
        <c:majorTickMark val="out"/>
        <c:minorTickMark val="none"/>
        <c:tickLblPos val="nextTo"/>
        <c:crossAx val="1090808192"/>
        <c:crosses val="max"/>
        <c:crossBetween val="between"/>
      </c:valAx>
      <c:catAx>
        <c:axId val="1090808192"/>
        <c:scaling>
          <c:orientation val="minMax"/>
        </c:scaling>
        <c:delete val="1"/>
        <c:axPos val="b"/>
        <c:majorTickMark val="out"/>
        <c:minorTickMark val="none"/>
        <c:tickLblPos val="nextTo"/>
        <c:crossAx val="1090805952"/>
        <c:crosses val="autoZero"/>
        <c:auto val="1"/>
        <c:lblAlgn val="ctr"/>
        <c:lblOffset val="100"/>
        <c:noMultiLvlLbl val="0"/>
      </c:catAx>
    </c:plotArea>
    <c:legend>
      <c:legendPos val="b"/>
      <c:legendEntry>
        <c:idx val="0"/>
        <c:delete val="1"/>
      </c:legendEntry>
      <c:legendEntry>
        <c:idx val="1"/>
        <c:delete val="1"/>
      </c:legendEntry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png"/><Relationship Id="rId13" Type="http://schemas.openxmlformats.org/officeDocument/2006/relationships/image" Target="../media/image8.svg"/><Relationship Id="rId18" Type="http://schemas.openxmlformats.org/officeDocument/2006/relationships/image" Target="../media/image12.svg"/><Relationship Id="rId3" Type="http://schemas.openxmlformats.org/officeDocument/2006/relationships/hyperlink" Target="#Clientes!A1"/><Relationship Id="rId7" Type="http://schemas.openxmlformats.org/officeDocument/2006/relationships/image" Target="../media/image2.svg"/><Relationship Id="rId12" Type="http://schemas.openxmlformats.org/officeDocument/2006/relationships/image" Target="../media/image7.png"/><Relationship Id="rId17" Type="http://schemas.openxmlformats.org/officeDocument/2006/relationships/image" Target="../media/image11.png"/><Relationship Id="rId2" Type="http://schemas.openxmlformats.org/officeDocument/2006/relationships/hyperlink" Target="#Pedido!A1"/><Relationship Id="rId16" Type="http://schemas.openxmlformats.org/officeDocument/2006/relationships/hyperlink" Target="#Vendas!AV6"/><Relationship Id="rId20" Type="http://schemas.openxmlformats.org/officeDocument/2006/relationships/image" Target="../media/image13.svg"/><Relationship Id="rId1" Type="http://schemas.openxmlformats.org/officeDocument/2006/relationships/hyperlink" Target="#Vendas!A1"/><Relationship Id="rId6" Type="http://schemas.openxmlformats.org/officeDocument/2006/relationships/image" Target="../media/image1.png"/><Relationship Id="rId11" Type="http://schemas.openxmlformats.org/officeDocument/2006/relationships/image" Target="../media/image6.svg"/><Relationship Id="rId5" Type="http://schemas.openxmlformats.org/officeDocument/2006/relationships/hyperlink" Target="#Cadastros!A1"/><Relationship Id="rId15" Type="http://schemas.openxmlformats.org/officeDocument/2006/relationships/image" Target="../media/image10.svg"/><Relationship Id="rId10" Type="http://schemas.openxmlformats.org/officeDocument/2006/relationships/image" Target="../media/image5.png"/><Relationship Id="rId19" Type="http://schemas.openxmlformats.org/officeDocument/2006/relationships/hyperlink" Target="#Vendas!G7"/><Relationship Id="rId4" Type="http://schemas.openxmlformats.org/officeDocument/2006/relationships/hyperlink" Target="#An&#225;lises!A1"/><Relationship Id="rId9" Type="http://schemas.openxmlformats.org/officeDocument/2006/relationships/image" Target="../media/image4.svg"/><Relationship Id="rId14" Type="http://schemas.openxmlformats.org/officeDocument/2006/relationships/image" Target="../media/image9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png"/><Relationship Id="rId13" Type="http://schemas.openxmlformats.org/officeDocument/2006/relationships/image" Target="../media/image8.svg"/><Relationship Id="rId18" Type="http://schemas.openxmlformats.org/officeDocument/2006/relationships/image" Target="../media/image16.svg"/><Relationship Id="rId3" Type="http://schemas.openxmlformats.org/officeDocument/2006/relationships/hyperlink" Target="#Pedido!A1"/><Relationship Id="rId7" Type="http://schemas.openxmlformats.org/officeDocument/2006/relationships/image" Target="../media/image2.svg"/><Relationship Id="rId12" Type="http://schemas.openxmlformats.org/officeDocument/2006/relationships/image" Target="../media/image7.png"/><Relationship Id="rId17" Type="http://schemas.openxmlformats.org/officeDocument/2006/relationships/image" Target="../media/image15.png"/><Relationship Id="rId2" Type="http://schemas.openxmlformats.org/officeDocument/2006/relationships/hyperlink" Target="#Vendas!A1"/><Relationship Id="rId16" Type="http://schemas.openxmlformats.org/officeDocument/2006/relationships/image" Target="../media/image14.png"/><Relationship Id="rId1" Type="http://schemas.openxmlformats.org/officeDocument/2006/relationships/hyperlink" Target="#Clientes!A1"/><Relationship Id="rId6" Type="http://schemas.openxmlformats.org/officeDocument/2006/relationships/image" Target="../media/image1.png"/><Relationship Id="rId11" Type="http://schemas.openxmlformats.org/officeDocument/2006/relationships/image" Target="../media/image6.svg"/><Relationship Id="rId5" Type="http://schemas.openxmlformats.org/officeDocument/2006/relationships/hyperlink" Target="#Cadastros!A1"/><Relationship Id="rId15" Type="http://schemas.openxmlformats.org/officeDocument/2006/relationships/image" Target="../media/image10.svg"/><Relationship Id="rId10" Type="http://schemas.openxmlformats.org/officeDocument/2006/relationships/image" Target="../media/image5.png"/><Relationship Id="rId4" Type="http://schemas.openxmlformats.org/officeDocument/2006/relationships/hyperlink" Target="#An&#225;lises!A1"/><Relationship Id="rId9" Type="http://schemas.openxmlformats.org/officeDocument/2006/relationships/image" Target="../media/image4.svg"/><Relationship Id="rId14" Type="http://schemas.openxmlformats.org/officeDocument/2006/relationships/image" Target="../media/image9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9.png"/><Relationship Id="rId13" Type="http://schemas.openxmlformats.org/officeDocument/2006/relationships/image" Target="../media/image22.svg"/><Relationship Id="rId3" Type="http://schemas.openxmlformats.org/officeDocument/2006/relationships/hyperlink" Target="#Clientes!A1"/><Relationship Id="rId7" Type="http://schemas.openxmlformats.org/officeDocument/2006/relationships/image" Target="../media/image2.svg"/><Relationship Id="rId12" Type="http://schemas.openxmlformats.org/officeDocument/2006/relationships/image" Target="../media/image21.png"/><Relationship Id="rId2" Type="http://schemas.openxmlformats.org/officeDocument/2006/relationships/hyperlink" Target="#Pedido!A1"/><Relationship Id="rId1" Type="http://schemas.openxmlformats.org/officeDocument/2006/relationships/hyperlink" Target="#Vendas!A1"/><Relationship Id="rId6" Type="http://schemas.openxmlformats.org/officeDocument/2006/relationships/image" Target="../media/image1.png"/><Relationship Id="rId11" Type="http://schemas.openxmlformats.org/officeDocument/2006/relationships/image" Target="../media/image6.svg"/><Relationship Id="rId5" Type="http://schemas.openxmlformats.org/officeDocument/2006/relationships/hyperlink" Target="#Cadastros!A1"/><Relationship Id="rId15" Type="http://schemas.openxmlformats.org/officeDocument/2006/relationships/image" Target="../media/image10.svg"/><Relationship Id="rId10" Type="http://schemas.openxmlformats.org/officeDocument/2006/relationships/image" Target="../media/image5.png"/><Relationship Id="rId4" Type="http://schemas.openxmlformats.org/officeDocument/2006/relationships/hyperlink" Target="#An&#225;lises!A1"/><Relationship Id="rId9" Type="http://schemas.openxmlformats.org/officeDocument/2006/relationships/image" Target="../media/image20.svg"/><Relationship Id="rId14" Type="http://schemas.openxmlformats.org/officeDocument/2006/relationships/image" Target="../media/image9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svg"/><Relationship Id="rId13" Type="http://schemas.openxmlformats.org/officeDocument/2006/relationships/image" Target="../media/image21.png"/><Relationship Id="rId3" Type="http://schemas.openxmlformats.org/officeDocument/2006/relationships/hyperlink" Target="#Pedido!A1"/><Relationship Id="rId7" Type="http://schemas.openxmlformats.org/officeDocument/2006/relationships/image" Target="../media/image1.png"/><Relationship Id="rId12" Type="http://schemas.openxmlformats.org/officeDocument/2006/relationships/image" Target="../media/image24.svg"/><Relationship Id="rId2" Type="http://schemas.openxmlformats.org/officeDocument/2006/relationships/hyperlink" Target="#Vendas!A1"/><Relationship Id="rId16" Type="http://schemas.openxmlformats.org/officeDocument/2006/relationships/image" Target="../media/image10.svg"/><Relationship Id="rId1" Type="http://schemas.openxmlformats.org/officeDocument/2006/relationships/chart" Target="../charts/chart1.xml"/><Relationship Id="rId6" Type="http://schemas.openxmlformats.org/officeDocument/2006/relationships/hyperlink" Target="#Cadastros!A1"/><Relationship Id="rId11" Type="http://schemas.openxmlformats.org/officeDocument/2006/relationships/image" Target="../media/image23.png"/><Relationship Id="rId5" Type="http://schemas.openxmlformats.org/officeDocument/2006/relationships/hyperlink" Target="#An&#225;lises!A1"/><Relationship Id="rId15" Type="http://schemas.openxmlformats.org/officeDocument/2006/relationships/image" Target="../media/image9.png"/><Relationship Id="rId10" Type="http://schemas.openxmlformats.org/officeDocument/2006/relationships/image" Target="../media/image4.svg"/><Relationship Id="rId4" Type="http://schemas.openxmlformats.org/officeDocument/2006/relationships/hyperlink" Target="#Clientes!A1"/><Relationship Id="rId9" Type="http://schemas.openxmlformats.org/officeDocument/2006/relationships/image" Target="../media/image3.png"/><Relationship Id="rId14" Type="http://schemas.openxmlformats.org/officeDocument/2006/relationships/image" Target="../media/image25.sv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png"/><Relationship Id="rId13" Type="http://schemas.openxmlformats.org/officeDocument/2006/relationships/image" Target="../media/image22.svg"/><Relationship Id="rId3" Type="http://schemas.openxmlformats.org/officeDocument/2006/relationships/hyperlink" Target="#Clientes!A1"/><Relationship Id="rId7" Type="http://schemas.openxmlformats.org/officeDocument/2006/relationships/image" Target="../media/image27.svg"/><Relationship Id="rId12" Type="http://schemas.openxmlformats.org/officeDocument/2006/relationships/image" Target="../media/image21.png"/><Relationship Id="rId2" Type="http://schemas.openxmlformats.org/officeDocument/2006/relationships/hyperlink" Target="#Pedido!A1"/><Relationship Id="rId1" Type="http://schemas.openxmlformats.org/officeDocument/2006/relationships/hyperlink" Target="#Vendas!A1"/><Relationship Id="rId6" Type="http://schemas.openxmlformats.org/officeDocument/2006/relationships/image" Target="../media/image26.png"/><Relationship Id="rId11" Type="http://schemas.openxmlformats.org/officeDocument/2006/relationships/image" Target="../media/image6.svg"/><Relationship Id="rId5" Type="http://schemas.openxmlformats.org/officeDocument/2006/relationships/hyperlink" Target="#Cadastros!A1"/><Relationship Id="rId15" Type="http://schemas.openxmlformats.org/officeDocument/2006/relationships/image" Target="../media/image10.svg"/><Relationship Id="rId10" Type="http://schemas.openxmlformats.org/officeDocument/2006/relationships/image" Target="../media/image5.png"/><Relationship Id="rId4" Type="http://schemas.openxmlformats.org/officeDocument/2006/relationships/hyperlink" Target="#An&#225;lises!A1"/><Relationship Id="rId9" Type="http://schemas.openxmlformats.org/officeDocument/2006/relationships/image" Target="../media/image4.svg"/><Relationship Id="rId14" Type="http://schemas.openxmlformats.org/officeDocument/2006/relationships/image" Target="../media/image9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8.jpeg"/><Relationship Id="rId1" Type="http://schemas.openxmlformats.org/officeDocument/2006/relationships/image" Target="../media/image17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5</xdr:col>
      <xdr:colOff>2223135</xdr:colOff>
      <xdr:row>5</xdr:row>
      <xdr:rowOff>0</xdr:rowOff>
    </xdr:to>
    <xdr:sp macro="" textlink="">
      <xdr:nvSpPr>
        <xdr:cNvPr id="36" name="Retângulo 35">
          <a:extLst>
            <a:ext uri="{FF2B5EF4-FFF2-40B4-BE49-F238E27FC236}">
              <a16:creationId xmlns:a16="http://schemas.microsoft.com/office/drawing/2014/main" id="{24A4986A-4407-4764-A2FC-DF0DCFDA7DF0}"/>
            </a:ext>
          </a:extLst>
        </xdr:cNvPr>
        <xdr:cNvSpPr/>
      </xdr:nvSpPr>
      <xdr:spPr>
        <a:xfrm>
          <a:off x="0" y="0"/>
          <a:ext cx="6353175" cy="8763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19549</xdr:colOff>
      <xdr:row>2</xdr:row>
      <xdr:rowOff>186771</xdr:rowOff>
    </xdr:from>
    <xdr:to>
      <xdr:col>1</xdr:col>
      <xdr:colOff>484266</xdr:colOff>
      <xdr:row>5</xdr:row>
      <xdr:rowOff>0</xdr:rowOff>
    </xdr:to>
    <xdr:sp macro="" textlink="">
      <xdr:nvSpPr>
        <xdr:cNvPr id="37" name="Retângulo: Único Canto Recortado 3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E19B004-7C88-4642-A509-C3D0106BC8E7}"/>
            </a:ext>
          </a:extLst>
        </xdr:cNvPr>
        <xdr:cNvSpPr/>
      </xdr:nvSpPr>
      <xdr:spPr>
        <a:xfrm>
          <a:off x="19549" y="522051"/>
          <a:ext cx="967637" cy="354249"/>
        </a:xfrm>
        <a:prstGeom prst="snip1Rect">
          <a:avLst/>
        </a:prstGeom>
        <a:solidFill>
          <a:srgbClr val="254B2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r>
            <a:rPr lang="pt-BR" sz="1200" b="1">
              <a:solidFill>
                <a:schemeClr val="bg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Vendas</a:t>
          </a:r>
        </a:p>
      </xdr:txBody>
    </xdr:sp>
    <xdr:clientData/>
  </xdr:twoCellAnchor>
  <xdr:twoCellAnchor>
    <xdr:from>
      <xdr:col>1</xdr:col>
      <xdr:colOff>513589</xdr:colOff>
      <xdr:row>2</xdr:row>
      <xdr:rowOff>186771</xdr:rowOff>
    </xdr:from>
    <xdr:to>
      <xdr:col>2</xdr:col>
      <xdr:colOff>498246</xdr:colOff>
      <xdr:row>5</xdr:row>
      <xdr:rowOff>0</xdr:rowOff>
    </xdr:to>
    <xdr:sp macro="" textlink="">
      <xdr:nvSpPr>
        <xdr:cNvPr id="38" name="Retângulo: Único Canto Recortado 3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7F83BE0-3BC7-4384-9714-D32FF05DE813}"/>
            </a:ext>
          </a:extLst>
        </xdr:cNvPr>
        <xdr:cNvSpPr/>
      </xdr:nvSpPr>
      <xdr:spPr>
        <a:xfrm>
          <a:off x="1016509" y="522051"/>
          <a:ext cx="967637" cy="354249"/>
        </a:xfrm>
        <a:prstGeom prst="snip1Rect">
          <a:avLst/>
        </a:prstGeom>
        <a:solidFill>
          <a:schemeClr val="tx1">
            <a:lumMod val="85000"/>
            <a:lumOff val="1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r>
            <a:rPr kumimoji="0" lang="pt-BR" sz="1200" b="1" i="0" u="none" strike="noStrike" kern="0" cap="none" spc="0" normalizeH="0" baseline="0">
              <a:ln>
                <a:noFill/>
              </a:ln>
              <a:solidFill>
                <a:prstClr val="white">
                  <a:lumMod val="65000"/>
                </a:prstClr>
              </a:solidFill>
              <a:effectLst/>
              <a:uLnTx/>
              <a:uFillTx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Pedidos</a:t>
          </a:r>
        </a:p>
      </xdr:txBody>
    </xdr:sp>
    <xdr:clientData/>
  </xdr:twoCellAnchor>
  <xdr:twoCellAnchor>
    <xdr:from>
      <xdr:col>2</xdr:col>
      <xdr:colOff>527569</xdr:colOff>
      <xdr:row>2</xdr:row>
      <xdr:rowOff>186771</xdr:rowOff>
    </xdr:from>
    <xdr:to>
      <xdr:col>3</xdr:col>
      <xdr:colOff>603666</xdr:colOff>
      <xdr:row>5</xdr:row>
      <xdr:rowOff>0</xdr:rowOff>
    </xdr:to>
    <xdr:sp macro="" textlink="">
      <xdr:nvSpPr>
        <xdr:cNvPr id="39" name="Retângulo: Único Canto Recortado 3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C1A74480-8F33-4256-8D05-284C60295FDE}"/>
            </a:ext>
          </a:extLst>
        </xdr:cNvPr>
        <xdr:cNvSpPr/>
      </xdr:nvSpPr>
      <xdr:spPr>
        <a:xfrm>
          <a:off x="2013469" y="522051"/>
          <a:ext cx="967637" cy="354249"/>
        </a:xfrm>
        <a:prstGeom prst="snip1Rect">
          <a:avLst/>
        </a:prstGeom>
        <a:solidFill>
          <a:schemeClr val="tx1">
            <a:lumMod val="85000"/>
            <a:lumOff val="1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200" b="1" i="0" u="none" strike="noStrike" kern="0" cap="none" spc="0" normalizeH="0" baseline="0" noProof="0">
              <a:ln>
                <a:noFill/>
              </a:ln>
              <a:solidFill>
                <a:prstClr val="white">
                  <a:lumMod val="65000"/>
                </a:prstClr>
              </a:solidFill>
              <a:effectLst/>
              <a:uLnTx/>
              <a:uFillTx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Vendedor</a:t>
          </a:r>
        </a:p>
        <a:p>
          <a:pPr algn="l"/>
          <a:endParaRPr lang="pt-BR" sz="1100"/>
        </a:p>
      </xdr:txBody>
    </xdr:sp>
    <xdr:clientData/>
  </xdr:twoCellAnchor>
  <xdr:twoCellAnchor>
    <xdr:from>
      <xdr:col>3</xdr:col>
      <xdr:colOff>632989</xdr:colOff>
      <xdr:row>2</xdr:row>
      <xdr:rowOff>186771</xdr:rowOff>
    </xdr:from>
    <xdr:to>
      <xdr:col>4</xdr:col>
      <xdr:colOff>709086</xdr:colOff>
      <xdr:row>5</xdr:row>
      <xdr:rowOff>0</xdr:rowOff>
    </xdr:to>
    <xdr:sp macro="" textlink="">
      <xdr:nvSpPr>
        <xdr:cNvPr id="40" name="Retângulo: Único Canto Recortado 39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D0F84E4-95C4-4E4C-8BAA-0C7C810F6397}"/>
            </a:ext>
          </a:extLst>
        </xdr:cNvPr>
        <xdr:cNvSpPr/>
      </xdr:nvSpPr>
      <xdr:spPr>
        <a:xfrm>
          <a:off x="3010429" y="522051"/>
          <a:ext cx="967637" cy="354249"/>
        </a:xfrm>
        <a:prstGeom prst="snip1Rect">
          <a:avLst/>
        </a:prstGeom>
        <a:solidFill>
          <a:schemeClr val="tx1">
            <a:lumMod val="85000"/>
            <a:lumOff val="1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200" b="1" i="0" u="none" strike="noStrike" kern="0" cap="none" spc="0" normalizeH="0" baseline="0" noProof="0">
              <a:ln>
                <a:noFill/>
              </a:ln>
              <a:solidFill>
                <a:prstClr val="white">
                  <a:lumMod val="65000"/>
                </a:prstClr>
              </a:solidFill>
              <a:effectLst/>
              <a:uLnTx/>
              <a:uFillTx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Análises</a:t>
          </a:r>
        </a:p>
        <a:p>
          <a:pPr algn="l"/>
          <a:endParaRPr lang="pt-BR" sz="1100"/>
        </a:p>
      </xdr:txBody>
    </xdr:sp>
    <xdr:clientData/>
  </xdr:twoCellAnchor>
  <xdr:twoCellAnchor>
    <xdr:from>
      <xdr:col>4</xdr:col>
      <xdr:colOff>738408</xdr:colOff>
      <xdr:row>2</xdr:row>
      <xdr:rowOff>186771</xdr:rowOff>
    </xdr:from>
    <xdr:to>
      <xdr:col>5</xdr:col>
      <xdr:colOff>884082</xdr:colOff>
      <xdr:row>5</xdr:row>
      <xdr:rowOff>0</xdr:rowOff>
    </xdr:to>
    <xdr:sp macro="" textlink="">
      <xdr:nvSpPr>
        <xdr:cNvPr id="41" name="Retângulo: Único Canto Recortado 4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90E63964-74BE-466E-A08B-FD7A58FDD945}"/>
            </a:ext>
          </a:extLst>
        </xdr:cNvPr>
        <xdr:cNvSpPr/>
      </xdr:nvSpPr>
      <xdr:spPr>
        <a:xfrm>
          <a:off x="4007388" y="522051"/>
          <a:ext cx="1006734" cy="354249"/>
        </a:xfrm>
        <a:prstGeom prst="snip1Rect">
          <a:avLst/>
        </a:prstGeom>
        <a:solidFill>
          <a:schemeClr val="tx1">
            <a:lumMod val="85000"/>
            <a:lumOff val="1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200" b="1" i="0" u="none" strike="noStrike" kern="0" cap="none" spc="0" normalizeH="0" baseline="0" noProof="0">
              <a:ln>
                <a:noFill/>
              </a:ln>
              <a:solidFill>
                <a:prstClr val="white">
                  <a:lumMod val="65000"/>
                </a:prstClr>
              </a:solidFill>
              <a:effectLst/>
              <a:uLnTx/>
              <a:uFillTx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Cadastros</a:t>
          </a:r>
        </a:p>
        <a:p>
          <a:pPr algn="l"/>
          <a:endParaRPr lang="pt-BR" sz="1100"/>
        </a:p>
      </xdr:txBody>
    </xdr:sp>
    <xdr:clientData/>
  </xdr:twoCellAnchor>
  <xdr:twoCellAnchor>
    <xdr:from>
      <xdr:col>0</xdr:col>
      <xdr:colOff>373380</xdr:colOff>
      <xdr:row>0</xdr:row>
      <xdr:rowOff>137160</xdr:rowOff>
    </xdr:from>
    <xdr:to>
      <xdr:col>5</xdr:col>
      <xdr:colOff>505088</xdr:colOff>
      <xdr:row>2</xdr:row>
      <xdr:rowOff>72465</xdr:rowOff>
    </xdr:to>
    <xdr:grpSp>
      <xdr:nvGrpSpPr>
        <xdr:cNvPr id="18" name="Agrupar 17">
          <a:extLst>
            <a:ext uri="{FF2B5EF4-FFF2-40B4-BE49-F238E27FC236}">
              <a16:creationId xmlns:a16="http://schemas.microsoft.com/office/drawing/2014/main" id="{ECAAF852-3B4A-4CE9-B54E-129C086E4F81}"/>
            </a:ext>
          </a:extLst>
        </xdr:cNvPr>
        <xdr:cNvGrpSpPr/>
      </xdr:nvGrpSpPr>
      <xdr:grpSpPr>
        <a:xfrm>
          <a:off x="373380" y="137160"/>
          <a:ext cx="4261748" cy="270585"/>
          <a:chOff x="373380" y="137160"/>
          <a:chExt cx="4261748" cy="270585"/>
        </a:xfrm>
      </xdr:grpSpPr>
      <xdr:pic>
        <xdr:nvPicPr>
          <xdr:cNvPr id="31" name="Gráfico 30" descr="Engrenagem única">
            <a:extLst>
              <a:ext uri="{FF2B5EF4-FFF2-40B4-BE49-F238E27FC236}">
                <a16:creationId xmlns:a16="http://schemas.microsoft.com/office/drawing/2014/main" id="{00EEB43E-D70B-47EF-A3A6-DAD0AE7FF4D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4362262" y="137160"/>
            <a:ext cx="272866" cy="270585"/>
          </a:xfrm>
          <a:prstGeom prst="rect">
            <a:avLst/>
          </a:prstGeom>
        </xdr:spPr>
      </xdr:pic>
      <xdr:pic>
        <xdr:nvPicPr>
          <xdr:cNvPr id="32" name="Gráfico 31" descr="Usuários">
            <a:extLst>
              <a:ext uri="{FF2B5EF4-FFF2-40B4-BE49-F238E27FC236}">
                <a16:creationId xmlns:a16="http://schemas.microsoft.com/office/drawing/2014/main" id="{01DAC344-8919-462A-A6B3-8EFEB90F827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2355315" y="137160"/>
            <a:ext cx="272866" cy="270585"/>
          </a:xfrm>
          <a:prstGeom prst="rect">
            <a:avLst/>
          </a:prstGeom>
        </xdr:spPr>
      </xdr:pic>
      <xdr:pic>
        <xdr:nvPicPr>
          <xdr:cNvPr id="33" name="Gráfico 32" descr="Sinal">
            <a:extLst>
              <a:ext uri="{FF2B5EF4-FFF2-40B4-BE49-F238E27FC236}">
                <a16:creationId xmlns:a16="http://schemas.microsoft.com/office/drawing/2014/main" id="{C0B0E540-9E03-4428-B679-44F71D149A0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3349046" y="137160"/>
            <a:ext cx="272866" cy="270585"/>
          </a:xfrm>
          <a:prstGeom prst="rect">
            <a:avLst/>
          </a:prstGeom>
        </xdr:spPr>
      </xdr:pic>
      <xdr:pic>
        <xdr:nvPicPr>
          <xdr:cNvPr id="34" name="Gráfico 33" descr="Ícone do menu de hambúrguer">
            <a:extLst>
              <a:ext uri="{FF2B5EF4-FFF2-40B4-BE49-F238E27FC236}">
                <a16:creationId xmlns:a16="http://schemas.microsoft.com/office/drawing/2014/main" id="{33C21CF9-A07C-46FD-B8D4-BE5FC3CAB9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361584" y="137160"/>
            <a:ext cx="272866" cy="270585"/>
          </a:xfrm>
          <a:prstGeom prst="rect">
            <a:avLst/>
          </a:prstGeom>
        </xdr:spPr>
      </xdr:pic>
      <xdr:pic>
        <xdr:nvPicPr>
          <xdr:cNvPr id="35" name="Gráfico 34" descr="Loja">
            <a:extLst>
              <a:ext uri="{FF2B5EF4-FFF2-40B4-BE49-F238E27FC236}">
                <a16:creationId xmlns:a16="http://schemas.microsoft.com/office/drawing/2014/main" id="{BC3AAAF3-8793-430D-AA57-45B60984B66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5"/>
              </a:ext>
            </a:extLst>
          </a:blip>
          <a:stretch>
            <a:fillRect/>
          </a:stretch>
        </xdr:blipFill>
        <xdr:spPr>
          <a:xfrm>
            <a:off x="373380" y="137160"/>
            <a:ext cx="272866" cy="270585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1558289</xdr:colOff>
      <xdr:row>0</xdr:row>
      <xdr:rowOff>129540</xdr:rowOff>
    </xdr:from>
    <xdr:to>
      <xdr:col>5</xdr:col>
      <xdr:colOff>1931669</xdr:colOff>
      <xdr:row>4</xdr:row>
      <xdr:rowOff>91440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B23CD306-61AB-47EC-83E7-72DEBBEEF6DB}"/>
            </a:ext>
          </a:extLst>
        </xdr:cNvPr>
        <xdr:cNvGrpSpPr/>
      </xdr:nvGrpSpPr>
      <xdr:grpSpPr>
        <a:xfrm>
          <a:off x="5688329" y="129540"/>
          <a:ext cx="373380" cy="693420"/>
          <a:chOff x="5292089" y="129540"/>
          <a:chExt cx="373380" cy="693420"/>
        </a:xfrm>
      </xdr:grpSpPr>
      <xdr:pic>
        <xdr:nvPicPr>
          <xdr:cNvPr id="5" name="Gráfico 4" descr="Seta para Direita">
            <a:hlinkClick xmlns:r="http://schemas.openxmlformats.org/officeDocument/2006/relationships" r:id="rId16"/>
            <a:extLst>
              <a:ext uri="{FF2B5EF4-FFF2-40B4-BE49-F238E27FC236}">
                <a16:creationId xmlns:a16="http://schemas.microsoft.com/office/drawing/2014/main" id="{429F014A-8F88-4980-954A-42A208B6E97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5292089" y="129540"/>
            <a:ext cx="373380" cy="373380"/>
          </a:xfrm>
          <a:prstGeom prst="rect">
            <a:avLst/>
          </a:prstGeom>
        </xdr:spPr>
      </xdr:pic>
      <xdr:pic>
        <xdr:nvPicPr>
          <xdr:cNvPr id="42" name="Gráfico 41" descr="Seta para Direita">
            <a:hlinkClick xmlns:r="http://schemas.openxmlformats.org/officeDocument/2006/relationships" r:id="rId19"/>
            <a:extLst>
              <a:ext uri="{FF2B5EF4-FFF2-40B4-BE49-F238E27FC236}">
                <a16:creationId xmlns:a16="http://schemas.microsoft.com/office/drawing/2014/main" id="{AC2D7CA9-A750-4B0D-B703-E855B34F10B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 flipH="1">
            <a:off x="5292089" y="449580"/>
            <a:ext cx="373380" cy="37338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129540</xdr:colOff>
      <xdr:row>2</xdr:row>
      <xdr:rowOff>36196</xdr:rowOff>
    </xdr:from>
    <xdr:to>
      <xdr:col>10</xdr:col>
      <xdr:colOff>0</xdr:colOff>
      <xdr:row>7</xdr:row>
      <xdr:rowOff>15240</xdr:rowOff>
    </xdr:to>
    <xdr:sp macro="" textlink="">
      <xdr:nvSpPr>
        <xdr:cNvPr id="4" name="Canto dobrado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889B9FE-4F9C-44E2-9641-43A2FDB5BBC5}"/>
            </a:ext>
          </a:extLst>
        </xdr:cNvPr>
        <xdr:cNvSpPr/>
      </xdr:nvSpPr>
      <xdr:spPr>
        <a:xfrm>
          <a:off x="7109460" y="1087756"/>
          <a:ext cx="1089660" cy="1015364"/>
        </a:xfrm>
        <a:prstGeom prst="foldedCorner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000" b="1"/>
            <a:t>Não esqueça de deixar o campo "Cliente" na aba "Clientes" em ordem alfabética!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7</xdr:col>
      <xdr:colOff>7620</xdr:colOff>
      <xdr:row>1</xdr:row>
      <xdr:rowOff>0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049D11FD-A4D7-4FE6-A401-82A77E55D050}"/>
            </a:ext>
          </a:extLst>
        </xdr:cNvPr>
        <xdr:cNvGrpSpPr/>
      </xdr:nvGrpSpPr>
      <xdr:grpSpPr>
        <a:xfrm>
          <a:off x="0" y="0"/>
          <a:ext cx="6652260" cy="876300"/>
          <a:chOff x="0" y="0"/>
          <a:chExt cx="6652260" cy="876300"/>
        </a:xfrm>
      </xdr:grpSpPr>
      <xdr:grpSp>
        <xdr:nvGrpSpPr>
          <xdr:cNvPr id="19" name="Agrupar 18">
            <a:extLst>
              <a:ext uri="{FF2B5EF4-FFF2-40B4-BE49-F238E27FC236}">
                <a16:creationId xmlns:a16="http://schemas.microsoft.com/office/drawing/2014/main" id="{EA57D186-9936-4EF6-B4F4-6697B8C12AF2}"/>
              </a:ext>
            </a:extLst>
          </xdr:cNvPr>
          <xdr:cNvGrpSpPr/>
        </xdr:nvGrpSpPr>
        <xdr:grpSpPr>
          <a:xfrm>
            <a:off x="0" y="0"/>
            <a:ext cx="6652260" cy="876300"/>
            <a:chOff x="0" y="0"/>
            <a:chExt cx="6482712" cy="895351"/>
          </a:xfrm>
        </xdr:grpSpPr>
        <xdr:sp macro="" textlink="">
          <xdr:nvSpPr>
            <xdr:cNvPr id="13" name="Retângulo 12">
              <a:extLst>
                <a:ext uri="{FF2B5EF4-FFF2-40B4-BE49-F238E27FC236}">
                  <a16:creationId xmlns:a16="http://schemas.microsoft.com/office/drawing/2014/main" id="{06B9589B-9950-4D7E-856F-FBACB0CE936E}"/>
                </a:ext>
              </a:extLst>
            </xdr:cNvPr>
            <xdr:cNvSpPr/>
          </xdr:nvSpPr>
          <xdr:spPr>
            <a:xfrm>
              <a:off x="0" y="0"/>
              <a:ext cx="6482712" cy="895351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dk1">
                <a:shade val="50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4" name="Retângulo: Único Canto Recortado 13">
              <a:hlinkClick xmlns:r="http://schemas.openxmlformats.org/officeDocument/2006/relationships" r:id="rId2"/>
              <a:extLst>
                <a:ext uri="{FF2B5EF4-FFF2-40B4-BE49-F238E27FC236}">
                  <a16:creationId xmlns:a16="http://schemas.microsoft.com/office/drawing/2014/main" id="{4C3E1329-036B-45D7-A4CB-BA318051F055}"/>
                </a:ext>
              </a:extLst>
            </xdr:cNvPr>
            <xdr:cNvSpPr/>
          </xdr:nvSpPr>
          <xdr:spPr>
            <a:xfrm>
              <a:off x="19051" y="533401"/>
              <a:ext cx="942975" cy="361950"/>
            </a:xfrm>
            <a:prstGeom prst="snip1Rect">
              <a:avLst/>
            </a:prstGeom>
            <a:solidFill>
              <a:schemeClr val="tx1">
                <a:lumMod val="85000"/>
                <a:lumOff val="1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marL="0" indent="0" algn="l"/>
              <a:r>
                <a:rPr kumimoji="0" lang="pt-BR" sz="1200" b="1" i="0" u="none" strike="noStrike" kern="0" cap="none" spc="0" normalizeH="0" baseline="0">
                  <a:ln>
                    <a:noFill/>
                  </a:ln>
                  <a:solidFill>
                    <a:prstClr val="white">
                      <a:lumMod val="65000"/>
                    </a:prstClr>
                  </a:solidFill>
                  <a:effectLst/>
                  <a:uLnTx/>
                  <a:uFillTx/>
                  <a:latin typeface="Arial" panose="020B0604020202020204" pitchFamily="34" charset="0"/>
                  <a:ea typeface="+mn-ea"/>
                  <a:cs typeface="Arial" panose="020B0604020202020204" pitchFamily="34" charset="0"/>
                </a:rPr>
                <a:t>Vendas</a:t>
              </a:r>
            </a:p>
          </xdr:txBody>
        </xdr:sp>
        <xdr:sp macro="" textlink="">
          <xdr:nvSpPr>
            <xdr:cNvPr id="15" name="Retângulo: Único Canto Recortado 14">
              <a:hlinkClick xmlns:r="http://schemas.openxmlformats.org/officeDocument/2006/relationships" r:id="rId3"/>
              <a:extLst>
                <a:ext uri="{FF2B5EF4-FFF2-40B4-BE49-F238E27FC236}">
                  <a16:creationId xmlns:a16="http://schemas.microsoft.com/office/drawing/2014/main" id="{BEA7F129-F91A-40C9-8CBC-1A2C0DB64A0D}"/>
                </a:ext>
              </a:extLst>
            </xdr:cNvPr>
            <xdr:cNvSpPr/>
          </xdr:nvSpPr>
          <xdr:spPr>
            <a:xfrm>
              <a:off x="990601" y="533401"/>
              <a:ext cx="942975" cy="361950"/>
            </a:xfrm>
            <a:prstGeom prst="snip1Rect">
              <a:avLst/>
            </a:prstGeom>
            <a:solidFill>
              <a:srgbClr val="254B2C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marL="0" indent="0" algn="l"/>
              <a:r>
                <a:rPr lang="pt-BR" sz="1200" b="1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rPr>
                <a:t>Pedidos</a:t>
              </a:r>
            </a:p>
          </xdr:txBody>
        </xdr:sp>
        <xdr:sp macro="" textlink="">
          <xdr:nvSpPr>
            <xdr:cNvPr id="16" name="Retângulo: Único Canto Recortado 15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75DC45BC-D631-47EA-80BD-FBB6C7CC54A3}"/>
                </a:ext>
              </a:extLst>
            </xdr:cNvPr>
            <xdr:cNvSpPr/>
          </xdr:nvSpPr>
          <xdr:spPr>
            <a:xfrm>
              <a:off x="1962151" y="533401"/>
              <a:ext cx="942975" cy="361950"/>
            </a:xfrm>
            <a:prstGeom prst="snip1Rect">
              <a:avLst/>
            </a:prstGeom>
            <a:solidFill>
              <a:schemeClr val="tx1">
                <a:lumMod val="85000"/>
                <a:lumOff val="1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1200" b="1" i="0" u="none" strike="noStrike" kern="0" cap="none" spc="0" normalizeH="0" baseline="0" noProof="0">
                  <a:ln>
                    <a:noFill/>
                  </a:ln>
                  <a:solidFill>
                    <a:prstClr val="white">
                      <a:lumMod val="65000"/>
                    </a:prstClr>
                  </a:solidFill>
                  <a:effectLst/>
                  <a:uLnTx/>
                  <a:uFillTx/>
                  <a:latin typeface="Arial" panose="020B0604020202020204" pitchFamily="34" charset="0"/>
                  <a:ea typeface="+mn-ea"/>
                  <a:cs typeface="Arial" panose="020B0604020202020204" pitchFamily="34" charset="0"/>
                </a:rPr>
                <a:t>Vendedor</a:t>
              </a:r>
            </a:p>
            <a:p>
              <a:pPr algn="l"/>
              <a:endParaRPr lang="pt-BR" sz="1100"/>
            </a:p>
          </xdr:txBody>
        </xdr:sp>
        <xdr:sp macro="" textlink="">
          <xdr:nvSpPr>
            <xdr:cNvPr id="17" name="Retângulo: Único Canto Recortado 16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1A21C40A-CED4-4C29-BB80-8E8CCBAD2D5A}"/>
                </a:ext>
              </a:extLst>
            </xdr:cNvPr>
            <xdr:cNvSpPr/>
          </xdr:nvSpPr>
          <xdr:spPr>
            <a:xfrm>
              <a:off x="2933701" y="533401"/>
              <a:ext cx="942975" cy="361950"/>
            </a:xfrm>
            <a:prstGeom prst="snip1Rect">
              <a:avLst/>
            </a:prstGeom>
            <a:solidFill>
              <a:schemeClr val="tx1">
                <a:lumMod val="85000"/>
                <a:lumOff val="1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1200" b="1" i="0" u="none" strike="noStrike" kern="0" cap="none" spc="0" normalizeH="0" baseline="0" noProof="0">
                  <a:ln>
                    <a:noFill/>
                  </a:ln>
                  <a:solidFill>
                    <a:prstClr val="white">
                      <a:lumMod val="65000"/>
                    </a:prstClr>
                  </a:solidFill>
                  <a:effectLst/>
                  <a:uLnTx/>
                  <a:uFillTx/>
                  <a:latin typeface="Arial" panose="020B0604020202020204" pitchFamily="34" charset="0"/>
                  <a:ea typeface="+mn-ea"/>
                  <a:cs typeface="Arial" panose="020B0604020202020204" pitchFamily="34" charset="0"/>
                </a:rPr>
                <a:t>Análises</a:t>
              </a:r>
            </a:p>
            <a:p>
              <a:pPr algn="l"/>
              <a:endParaRPr lang="pt-BR" sz="1100"/>
            </a:p>
          </xdr:txBody>
        </xdr:sp>
        <xdr:sp macro="" textlink="">
          <xdr:nvSpPr>
            <xdr:cNvPr id="18" name="Retângulo: Único Canto Recortado 17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F2F03704-5B03-4A4E-9C6B-697A3DAD25D2}"/>
                </a:ext>
              </a:extLst>
            </xdr:cNvPr>
            <xdr:cNvSpPr/>
          </xdr:nvSpPr>
          <xdr:spPr>
            <a:xfrm>
              <a:off x="3905251" y="533401"/>
              <a:ext cx="981075" cy="361950"/>
            </a:xfrm>
            <a:prstGeom prst="snip1Rect">
              <a:avLst/>
            </a:prstGeom>
            <a:solidFill>
              <a:schemeClr val="tx1">
                <a:lumMod val="85000"/>
                <a:lumOff val="1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1200" b="1" i="0" u="none" strike="noStrike" kern="0" cap="none" spc="0" normalizeH="0" baseline="0" noProof="0">
                  <a:ln>
                    <a:noFill/>
                  </a:ln>
                  <a:solidFill>
                    <a:prstClr val="white">
                      <a:lumMod val="65000"/>
                    </a:prstClr>
                  </a:solidFill>
                  <a:effectLst/>
                  <a:uLnTx/>
                  <a:uFillTx/>
                  <a:latin typeface="Arial" panose="020B0604020202020204" pitchFamily="34" charset="0"/>
                  <a:ea typeface="+mn-ea"/>
                  <a:cs typeface="Arial" panose="020B0604020202020204" pitchFamily="34" charset="0"/>
                </a:rPr>
                <a:t>Cadastros</a:t>
              </a:r>
            </a:p>
            <a:p>
              <a:pPr algn="l"/>
              <a:endParaRPr lang="pt-BR" sz="1100"/>
            </a:p>
          </xdr:txBody>
        </xdr:sp>
      </xdr:grpSp>
      <xdr:grpSp>
        <xdr:nvGrpSpPr>
          <xdr:cNvPr id="3" name="Agrupar 2">
            <a:extLst>
              <a:ext uri="{FF2B5EF4-FFF2-40B4-BE49-F238E27FC236}">
                <a16:creationId xmlns:a16="http://schemas.microsoft.com/office/drawing/2014/main" id="{E9695EAD-CC3A-48A3-87BD-CAEF3DC22507}"/>
              </a:ext>
            </a:extLst>
          </xdr:cNvPr>
          <xdr:cNvGrpSpPr/>
        </xdr:nvGrpSpPr>
        <xdr:grpSpPr>
          <a:xfrm>
            <a:off x="373380" y="137160"/>
            <a:ext cx="4261748" cy="270585"/>
            <a:chOff x="373380" y="137160"/>
            <a:chExt cx="4261748" cy="270585"/>
          </a:xfrm>
        </xdr:grpSpPr>
        <xdr:pic>
          <xdr:nvPicPr>
            <xdr:cNvPr id="12" name="Gráfico 11" descr="Engrenagem única">
              <a:extLst>
                <a:ext uri="{FF2B5EF4-FFF2-40B4-BE49-F238E27FC236}">
                  <a16:creationId xmlns:a16="http://schemas.microsoft.com/office/drawing/2014/main" id="{E465F7D2-05C4-4AEB-B388-E04EA4FD621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7"/>
                </a:ext>
              </a:extLst>
            </a:blip>
            <a:stretch>
              <a:fillRect/>
            </a:stretch>
          </xdr:blipFill>
          <xdr:spPr>
            <a:xfrm>
              <a:off x="4362262" y="137160"/>
              <a:ext cx="272866" cy="270585"/>
            </a:xfrm>
            <a:prstGeom prst="rect">
              <a:avLst/>
            </a:prstGeom>
          </xdr:spPr>
        </xdr:pic>
        <xdr:pic>
          <xdr:nvPicPr>
            <xdr:cNvPr id="20" name="Gráfico 19" descr="Usuários">
              <a:extLst>
                <a:ext uri="{FF2B5EF4-FFF2-40B4-BE49-F238E27FC236}">
                  <a16:creationId xmlns:a16="http://schemas.microsoft.com/office/drawing/2014/main" id="{A51169DE-0A2C-4182-A61A-00D8AEAA7E8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9"/>
                </a:ext>
              </a:extLst>
            </a:blip>
            <a:stretch>
              <a:fillRect/>
            </a:stretch>
          </xdr:blipFill>
          <xdr:spPr>
            <a:xfrm>
              <a:off x="2355315" y="137160"/>
              <a:ext cx="272866" cy="270585"/>
            </a:xfrm>
            <a:prstGeom prst="rect">
              <a:avLst/>
            </a:prstGeom>
          </xdr:spPr>
        </xdr:pic>
        <xdr:pic>
          <xdr:nvPicPr>
            <xdr:cNvPr id="21" name="Gráfico 20" descr="Sinal">
              <a:extLst>
                <a:ext uri="{FF2B5EF4-FFF2-40B4-BE49-F238E27FC236}">
                  <a16:creationId xmlns:a16="http://schemas.microsoft.com/office/drawing/2014/main" id="{C9AFB802-6C42-469B-B033-590C9202AAB8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0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1"/>
                </a:ext>
              </a:extLst>
            </a:blip>
            <a:stretch>
              <a:fillRect/>
            </a:stretch>
          </xdr:blipFill>
          <xdr:spPr>
            <a:xfrm>
              <a:off x="3349046" y="137160"/>
              <a:ext cx="272866" cy="270585"/>
            </a:xfrm>
            <a:prstGeom prst="rect">
              <a:avLst/>
            </a:prstGeom>
          </xdr:spPr>
        </xdr:pic>
        <xdr:pic>
          <xdr:nvPicPr>
            <xdr:cNvPr id="22" name="Gráfico 21" descr="Ícone do menu de hambúrguer">
              <a:extLst>
                <a:ext uri="{FF2B5EF4-FFF2-40B4-BE49-F238E27FC236}">
                  <a16:creationId xmlns:a16="http://schemas.microsoft.com/office/drawing/2014/main" id="{E7201F51-B24F-41FB-A97C-61BAD3918187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2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3"/>
                </a:ext>
              </a:extLst>
            </a:blip>
            <a:stretch>
              <a:fillRect/>
            </a:stretch>
          </xdr:blipFill>
          <xdr:spPr>
            <a:xfrm>
              <a:off x="1361584" y="137160"/>
              <a:ext cx="272866" cy="270585"/>
            </a:xfrm>
            <a:prstGeom prst="rect">
              <a:avLst/>
            </a:prstGeom>
          </xdr:spPr>
        </xdr:pic>
        <xdr:pic>
          <xdr:nvPicPr>
            <xdr:cNvPr id="23" name="Gráfico 22" descr="Loja">
              <a:extLst>
                <a:ext uri="{FF2B5EF4-FFF2-40B4-BE49-F238E27FC236}">
                  <a16:creationId xmlns:a16="http://schemas.microsoft.com/office/drawing/2014/main" id="{B0D6790A-8B54-488C-A4DA-5F954FCB7932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4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5"/>
                </a:ext>
              </a:extLst>
            </a:blip>
            <a:stretch>
              <a:fillRect/>
            </a:stretch>
          </xdr:blipFill>
          <xdr:spPr>
            <a:xfrm>
              <a:off x="373380" y="137160"/>
              <a:ext cx="272866" cy="270585"/>
            </a:xfrm>
            <a:prstGeom prst="rect">
              <a:avLst/>
            </a:prstGeom>
          </xdr:spPr>
        </xdr:pic>
      </xdr:grpSp>
    </xdr:grpSp>
    <xdr:clientData/>
  </xdr:twoCellAnchor>
  <xdr:twoCellAnchor editAs="oneCell">
    <xdr:from>
      <xdr:col>1</xdr:col>
      <xdr:colOff>38100</xdr:colOff>
      <xdr:row>2</xdr:row>
      <xdr:rowOff>8238</xdr:rowOff>
    </xdr:from>
    <xdr:to>
      <xdr:col>2</xdr:col>
      <xdr:colOff>1196620</xdr:colOff>
      <xdr:row>6</xdr:row>
      <xdr:rowOff>7620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id="{B390AE8F-F63C-40E1-B93B-A620083DF9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3380" y="1059798"/>
          <a:ext cx="2080540" cy="852822"/>
        </a:xfrm>
        <a:prstGeom prst="rect">
          <a:avLst/>
        </a:prstGeom>
      </xdr:spPr>
    </xdr:pic>
    <xdr:clientData/>
  </xdr:twoCellAnchor>
  <xdr:twoCellAnchor editAs="oneCell">
    <xdr:from>
      <xdr:col>6</xdr:col>
      <xdr:colOff>289560</xdr:colOff>
      <xdr:row>0</xdr:row>
      <xdr:rowOff>251460</xdr:rowOff>
    </xdr:from>
    <xdr:to>
      <xdr:col>6</xdr:col>
      <xdr:colOff>731520</xdr:colOff>
      <xdr:row>0</xdr:row>
      <xdr:rowOff>693420</xdr:rowOff>
    </xdr:to>
    <xdr:pic macro="[0]!Imprimir">
      <xdr:nvPicPr>
        <xdr:cNvPr id="26" name="Gráfico 25" descr="Impressora">
          <a:extLst>
            <a:ext uri="{FF2B5EF4-FFF2-40B4-BE49-F238E27FC236}">
              <a16:creationId xmlns:a16="http://schemas.microsoft.com/office/drawing/2014/main" id="{E3C23095-9276-4C78-B325-FF2F978DF7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5928360" y="251460"/>
          <a:ext cx="441960" cy="44196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</xdr:col>
      <xdr:colOff>1897380</xdr:colOff>
      <xdr:row>1</xdr:row>
      <xdr:rowOff>0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713DF8AB-4234-4884-9803-3D36ADEB4B30}"/>
            </a:ext>
          </a:extLst>
        </xdr:cNvPr>
        <xdr:cNvGrpSpPr/>
      </xdr:nvGrpSpPr>
      <xdr:grpSpPr>
        <a:xfrm>
          <a:off x="0" y="0"/>
          <a:ext cx="6294120" cy="876300"/>
          <a:chOff x="0" y="9525"/>
          <a:chExt cx="6294120" cy="876300"/>
        </a:xfrm>
      </xdr:grpSpPr>
      <xdr:grpSp>
        <xdr:nvGrpSpPr>
          <xdr:cNvPr id="18" name="Agrupar 17">
            <a:extLst>
              <a:ext uri="{FF2B5EF4-FFF2-40B4-BE49-F238E27FC236}">
                <a16:creationId xmlns:a16="http://schemas.microsoft.com/office/drawing/2014/main" id="{6E3DA28A-E83C-41D8-884F-B9D181C71A73}"/>
              </a:ext>
            </a:extLst>
          </xdr:cNvPr>
          <xdr:cNvGrpSpPr/>
        </xdr:nvGrpSpPr>
        <xdr:grpSpPr>
          <a:xfrm>
            <a:off x="0" y="9525"/>
            <a:ext cx="6294120" cy="876300"/>
            <a:chOff x="0" y="0"/>
            <a:chExt cx="6120344" cy="895351"/>
          </a:xfrm>
        </xdr:grpSpPr>
        <xdr:sp macro="" textlink="">
          <xdr:nvSpPr>
            <xdr:cNvPr id="4" name="Retângulo 3">
              <a:extLst>
                <a:ext uri="{FF2B5EF4-FFF2-40B4-BE49-F238E27FC236}">
                  <a16:creationId xmlns:a16="http://schemas.microsoft.com/office/drawing/2014/main" id="{FC17AEB9-0455-42A7-A4FB-53132E324D9D}"/>
                </a:ext>
              </a:extLst>
            </xdr:cNvPr>
            <xdr:cNvSpPr/>
          </xdr:nvSpPr>
          <xdr:spPr>
            <a:xfrm>
              <a:off x="0" y="0"/>
              <a:ext cx="6120344" cy="895351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dk1">
                <a:shade val="50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5" name="Retângulo: Único Canto Recortado 4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2B31B516-AE46-4FC2-AF36-F3051A249F91}"/>
                </a:ext>
              </a:extLst>
            </xdr:cNvPr>
            <xdr:cNvSpPr/>
          </xdr:nvSpPr>
          <xdr:spPr>
            <a:xfrm>
              <a:off x="19051" y="533401"/>
              <a:ext cx="942975" cy="361950"/>
            </a:xfrm>
            <a:prstGeom prst="snip1Rect">
              <a:avLst/>
            </a:prstGeom>
            <a:solidFill>
              <a:schemeClr val="tx1">
                <a:lumMod val="85000"/>
                <a:lumOff val="1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marL="0" indent="0" algn="l"/>
              <a:r>
                <a:rPr kumimoji="0" lang="pt-BR" sz="1200" b="1" i="0" u="none" strike="noStrike" kern="0" cap="none" spc="0" normalizeH="0" baseline="0">
                  <a:ln>
                    <a:noFill/>
                  </a:ln>
                  <a:solidFill>
                    <a:prstClr val="white">
                      <a:lumMod val="65000"/>
                    </a:prstClr>
                  </a:solidFill>
                  <a:effectLst/>
                  <a:uLnTx/>
                  <a:uFillTx/>
                  <a:latin typeface="Arial" panose="020B0604020202020204" pitchFamily="34" charset="0"/>
                  <a:ea typeface="+mn-ea"/>
                  <a:cs typeface="Arial" panose="020B0604020202020204" pitchFamily="34" charset="0"/>
                </a:rPr>
                <a:t>Vendas</a:t>
              </a:r>
            </a:p>
          </xdr:txBody>
        </xdr:sp>
        <xdr:sp macro="" textlink="">
          <xdr:nvSpPr>
            <xdr:cNvPr id="6" name="Retângulo: Único Canto Recortado 5">
              <a:hlinkClick xmlns:r="http://schemas.openxmlformats.org/officeDocument/2006/relationships" r:id="rId2"/>
              <a:extLst>
                <a:ext uri="{FF2B5EF4-FFF2-40B4-BE49-F238E27FC236}">
                  <a16:creationId xmlns:a16="http://schemas.microsoft.com/office/drawing/2014/main" id="{C07374E1-916F-4E79-A09E-6AEDE8BCC01E}"/>
                </a:ext>
              </a:extLst>
            </xdr:cNvPr>
            <xdr:cNvSpPr/>
          </xdr:nvSpPr>
          <xdr:spPr>
            <a:xfrm>
              <a:off x="990601" y="533401"/>
              <a:ext cx="942975" cy="361950"/>
            </a:xfrm>
            <a:prstGeom prst="snip1Rect">
              <a:avLst/>
            </a:prstGeom>
            <a:solidFill>
              <a:schemeClr val="tx1">
                <a:lumMod val="85000"/>
                <a:lumOff val="1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marL="0" indent="0" algn="l"/>
              <a:r>
                <a:rPr kumimoji="0" lang="pt-BR" sz="1200" b="1" i="0" u="none" strike="noStrike" kern="0" cap="none" spc="0" normalizeH="0" baseline="0">
                  <a:ln>
                    <a:noFill/>
                  </a:ln>
                  <a:solidFill>
                    <a:prstClr val="white">
                      <a:lumMod val="65000"/>
                    </a:prstClr>
                  </a:solidFill>
                  <a:effectLst/>
                  <a:uLnTx/>
                  <a:uFillTx/>
                  <a:latin typeface="Arial" panose="020B0604020202020204" pitchFamily="34" charset="0"/>
                  <a:ea typeface="+mn-ea"/>
                  <a:cs typeface="Arial" panose="020B0604020202020204" pitchFamily="34" charset="0"/>
                </a:rPr>
                <a:t>Pedidos</a:t>
              </a:r>
            </a:p>
          </xdr:txBody>
        </xdr:sp>
        <xdr:sp macro="" textlink="">
          <xdr:nvSpPr>
            <xdr:cNvPr id="7" name="Retângulo: Único Canto Recortado 6">
              <a:hlinkClick xmlns:r="http://schemas.openxmlformats.org/officeDocument/2006/relationships" r:id="rId3"/>
              <a:extLst>
                <a:ext uri="{FF2B5EF4-FFF2-40B4-BE49-F238E27FC236}">
                  <a16:creationId xmlns:a16="http://schemas.microsoft.com/office/drawing/2014/main" id="{FE5E4ED4-EB72-4491-8AFE-D7267DD810E4}"/>
                </a:ext>
              </a:extLst>
            </xdr:cNvPr>
            <xdr:cNvSpPr/>
          </xdr:nvSpPr>
          <xdr:spPr>
            <a:xfrm>
              <a:off x="1962151" y="533401"/>
              <a:ext cx="942975" cy="361950"/>
            </a:xfrm>
            <a:prstGeom prst="snip1Rect">
              <a:avLst/>
            </a:prstGeom>
            <a:solidFill>
              <a:srgbClr val="254B2C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pt-BR" sz="1200" b="1" noProof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rPr>
                <a:t>Vendedor</a:t>
              </a:r>
            </a:p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lang="pt-BR" sz="1200" b="1" noProof="0">
                <a:solidFill>
                  <a:schemeClr val="bg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endParaRPr>
            </a:p>
            <a:p>
              <a:pPr marL="0" indent="0" algn="l"/>
              <a:endParaRPr lang="pt-BR" sz="1200" b="1">
                <a:solidFill>
                  <a:schemeClr val="bg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endParaRPr>
            </a:p>
          </xdr:txBody>
        </xdr:sp>
        <xdr:sp macro="" textlink="">
          <xdr:nvSpPr>
            <xdr:cNvPr id="8" name="Retângulo: Único Canto Recortado 7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7D2608A5-63E5-4977-A5BD-712D6693887C}"/>
                </a:ext>
              </a:extLst>
            </xdr:cNvPr>
            <xdr:cNvSpPr/>
          </xdr:nvSpPr>
          <xdr:spPr>
            <a:xfrm>
              <a:off x="2933701" y="533401"/>
              <a:ext cx="942975" cy="361950"/>
            </a:xfrm>
            <a:prstGeom prst="snip1Rect">
              <a:avLst/>
            </a:prstGeom>
            <a:solidFill>
              <a:schemeClr val="tx1">
                <a:lumMod val="85000"/>
                <a:lumOff val="1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1200" b="1" i="0" u="none" strike="noStrike" kern="0" cap="none" spc="0" normalizeH="0" baseline="0" noProof="0">
                  <a:ln>
                    <a:noFill/>
                  </a:ln>
                  <a:solidFill>
                    <a:prstClr val="white">
                      <a:lumMod val="65000"/>
                    </a:prstClr>
                  </a:solidFill>
                  <a:effectLst/>
                  <a:uLnTx/>
                  <a:uFillTx/>
                  <a:latin typeface="Arial" panose="020B0604020202020204" pitchFamily="34" charset="0"/>
                  <a:ea typeface="+mn-ea"/>
                  <a:cs typeface="Arial" panose="020B0604020202020204" pitchFamily="34" charset="0"/>
                </a:rPr>
                <a:t>Análises</a:t>
              </a:r>
            </a:p>
            <a:p>
              <a:pPr algn="l"/>
              <a:endParaRPr lang="pt-BR" sz="1100"/>
            </a:p>
          </xdr:txBody>
        </xdr:sp>
        <xdr:sp macro="" textlink="">
          <xdr:nvSpPr>
            <xdr:cNvPr id="9" name="Retângulo: Único Canto Recortado 8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EA941605-CD2F-4108-94A5-83EBEEBE571F}"/>
                </a:ext>
              </a:extLst>
            </xdr:cNvPr>
            <xdr:cNvSpPr/>
          </xdr:nvSpPr>
          <xdr:spPr>
            <a:xfrm>
              <a:off x="3905251" y="533401"/>
              <a:ext cx="981075" cy="361950"/>
            </a:xfrm>
            <a:prstGeom prst="snip1Rect">
              <a:avLst/>
            </a:prstGeom>
            <a:solidFill>
              <a:schemeClr val="tx1">
                <a:lumMod val="85000"/>
                <a:lumOff val="1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1200" b="1" i="0" u="none" strike="noStrike" kern="0" cap="none" spc="0" normalizeH="0" baseline="0" noProof="0">
                  <a:ln>
                    <a:noFill/>
                  </a:ln>
                  <a:solidFill>
                    <a:prstClr val="white">
                      <a:lumMod val="65000"/>
                    </a:prstClr>
                  </a:solidFill>
                  <a:effectLst/>
                  <a:uLnTx/>
                  <a:uFillTx/>
                  <a:latin typeface="Arial" panose="020B0604020202020204" pitchFamily="34" charset="0"/>
                  <a:ea typeface="+mn-ea"/>
                  <a:cs typeface="Arial" panose="020B0604020202020204" pitchFamily="34" charset="0"/>
                </a:rPr>
                <a:t>Cadastros</a:t>
              </a:r>
            </a:p>
            <a:p>
              <a:pPr algn="l"/>
              <a:endParaRPr lang="pt-BR" sz="1100"/>
            </a:p>
          </xdr:txBody>
        </xdr:sp>
      </xdr:grpSp>
      <xdr:pic>
        <xdr:nvPicPr>
          <xdr:cNvPr id="11" name="Gráfico 10" descr="Engrenagem única">
            <a:extLst>
              <a:ext uri="{FF2B5EF4-FFF2-40B4-BE49-F238E27FC236}">
                <a16:creationId xmlns:a16="http://schemas.microsoft.com/office/drawing/2014/main" id="{484977B1-4C3B-41A0-A8C2-3A593E6EEB7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4362262" y="144780"/>
            <a:ext cx="272866" cy="270585"/>
          </a:xfrm>
          <a:prstGeom prst="rect">
            <a:avLst/>
          </a:prstGeom>
        </xdr:spPr>
      </xdr:pic>
      <xdr:pic>
        <xdr:nvPicPr>
          <xdr:cNvPr id="12" name="Gráfico 11" descr="Usuários">
            <a:extLst>
              <a:ext uri="{FF2B5EF4-FFF2-40B4-BE49-F238E27FC236}">
                <a16:creationId xmlns:a16="http://schemas.microsoft.com/office/drawing/2014/main" id="{25428324-C7CE-4EC3-BBA1-24CABCFFFE3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2355315" y="144780"/>
            <a:ext cx="272866" cy="270585"/>
          </a:xfrm>
          <a:prstGeom prst="rect">
            <a:avLst/>
          </a:prstGeom>
        </xdr:spPr>
      </xdr:pic>
      <xdr:pic>
        <xdr:nvPicPr>
          <xdr:cNvPr id="13" name="Gráfico 12" descr="Sinal">
            <a:extLst>
              <a:ext uri="{FF2B5EF4-FFF2-40B4-BE49-F238E27FC236}">
                <a16:creationId xmlns:a16="http://schemas.microsoft.com/office/drawing/2014/main" id="{64649A81-14EB-41D2-BEF7-3E79CD0C183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3349046" y="144780"/>
            <a:ext cx="272866" cy="270585"/>
          </a:xfrm>
          <a:prstGeom prst="rect">
            <a:avLst/>
          </a:prstGeom>
        </xdr:spPr>
      </xdr:pic>
      <xdr:pic>
        <xdr:nvPicPr>
          <xdr:cNvPr id="14" name="Gráfico 13" descr="Ícone do menu de hambúrguer">
            <a:extLst>
              <a:ext uri="{FF2B5EF4-FFF2-40B4-BE49-F238E27FC236}">
                <a16:creationId xmlns:a16="http://schemas.microsoft.com/office/drawing/2014/main" id="{2A8A6944-8297-469F-90F1-BF81379FE07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361584" y="144780"/>
            <a:ext cx="272866" cy="270585"/>
          </a:xfrm>
          <a:prstGeom prst="rect">
            <a:avLst/>
          </a:prstGeom>
        </xdr:spPr>
      </xdr:pic>
      <xdr:pic>
        <xdr:nvPicPr>
          <xdr:cNvPr id="15" name="Gráfico 14" descr="Loja">
            <a:extLst>
              <a:ext uri="{FF2B5EF4-FFF2-40B4-BE49-F238E27FC236}">
                <a16:creationId xmlns:a16="http://schemas.microsoft.com/office/drawing/2014/main" id="{84F07385-8E2C-4EDF-AA72-0A3BA67ADF0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5"/>
              </a:ext>
            </a:extLst>
          </a:blip>
          <a:stretch>
            <a:fillRect/>
          </a:stretch>
        </xdr:blipFill>
        <xdr:spPr>
          <a:xfrm>
            <a:off x="373380" y="144780"/>
            <a:ext cx="272866" cy="270585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133350</xdr:colOff>
      <xdr:row>62</xdr:row>
      <xdr:rowOff>66675</xdr:rowOff>
    </xdr:from>
    <xdr:to>
      <xdr:col>14</xdr:col>
      <xdr:colOff>762000</xdr:colOff>
      <xdr:row>81</xdr:row>
      <xdr:rowOff>114300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17A560A7-9581-444C-A07B-AE4E4ACB47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5</xdr:col>
      <xdr:colOff>22860</xdr:colOff>
      <xdr:row>4</xdr:row>
      <xdr:rowOff>1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34ADE51C-CD70-4227-8BCD-6504E97F6F4E}"/>
            </a:ext>
          </a:extLst>
        </xdr:cNvPr>
        <xdr:cNvGrpSpPr/>
      </xdr:nvGrpSpPr>
      <xdr:grpSpPr>
        <a:xfrm>
          <a:off x="0" y="0"/>
          <a:ext cx="5524500" cy="876301"/>
          <a:chOff x="0" y="0"/>
          <a:chExt cx="5524500" cy="876301"/>
        </a:xfrm>
      </xdr:grpSpPr>
      <xdr:grpSp>
        <xdr:nvGrpSpPr>
          <xdr:cNvPr id="53" name="Agrupar 52">
            <a:extLst>
              <a:ext uri="{FF2B5EF4-FFF2-40B4-BE49-F238E27FC236}">
                <a16:creationId xmlns:a16="http://schemas.microsoft.com/office/drawing/2014/main" id="{B736A00A-8FC9-4659-B725-B621A332140D}"/>
              </a:ext>
            </a:extLst>
          </xdr:cNvPr>
          <xdr:cNvGrpSpPr/>
        </xdr:nvGrpSpPr>
        <xdr:grpSpPr>
          <a:xfrm>
            <a:off x="0" y="0"/>
            <a:ext cx="5524500" cy="876301"/>
            <a:chOff x="0" y="0"/>
            <a:chExt cx="5373432" cy="895351"/>
          </a:xfrm>
        </xdr:grpSpPr>
        <xdr:sp macro="" textlink="">
          <xdr:nvSpPr>
            <xdr:cNvPr id="46" name="Retângulo 45">
              <a:extLst>
                <a:ext uri="{FF2B5EF4-FFF2-40B4-BE49-F238E27FC236}">
                  <a16:creationId xmlns:a16="http://schemas.microsoft.com/office/drawing/2014/main" id="{2AC4B04F-220D-432E-BE26-513608A2FACB}"/>
                </a:ext>
              </a:extLst>
            </xdr:cNvPr>
            <xdr:cNvSpPr/>
          </xdr:nvSpPr>
          <xdr:spPr>
            <a:xfrm>
              <a:off x="0" y="0"/>
              <a:ext cx="5373432" cy="895351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dk1">
                <a:shade val="50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47" name="Retângulo: Único Canto Recortado 46">
              <a:hlinkClick xmlns:r="http://schemas.openxmlformats.org/officeDocument/2006/relationships" r:id="rId2"/>
              <a:extLst>
                <a:ext uri="{FF2B5EF4-FFF2-40B4-BE49-F238E27FC236}">
                  <a16:creationId xmlns:a16="http://schemas.microsoft.com/office/drawing/2014/main" id="{B545053B-A5A1-4BE4-AE02-EFAC27F3148A}"/>
                </a:ext>
              </a:extLst>
            </xdr:cNvPr>
            <xdr:cNvSpPr/>
          </xdr:nvSpPr>
          <xdr:spPr>
            <a:xfrm>
              <a:off x="19051" y="533401"/>
              <a:ext cx="942975" cy="361950"/>
            </a:xfrm>
            <a:prstGeom prst="snip1Rect">
              <a:avLst/>
            </a:prstGeom>
            <a:solidFill>
              <a:schemeClr val="tx1">
                <a:lumMod val="85000"/>
                <a:lumOff val="1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marL="0" indent="0" algn="l"/>
              <a:r>
                <a:rPr kumimoji="0" lang="pt-BR" sz="1200" b="1" i="0" u="none" strike="noStrike" kern="0" cap="none" spc="0" normalizeH="0" baseline="0">
                  <a:ln>
                    <a:noFill/>
                  </a:ln>
                  <a:solidFill>
                    <a:prstClr val="white">
                      <a:lumMod val="65000"/>
                    </a:prstClr>
                  </a:solidFill>
                  <a:effectLst/>
                  <a:uLnTx/>
                  <a:uFillTx/>
                  <a:latin typeface="Arial" panose="020B0604020202020204" pitchFamily="34" charset="0"/>
                  <a:ea typeface="+mn-ea"/>
                  <a:cs typeface="Arial" panose="020B0604020202020204" pitchFamily="34" charset="0"/>
                </a:rPr>
                <a:t>Vendas</a:t>
              </a:r>
            </a:p>
          </xdr:txBody>
        </xdr:sp>
        <xdr:sp macro="" textlink="">
          <xdr:nvSpPr>
            <xdr:cNvPr id="48" name="Retângulo: Único Canto Recortado 47">
              <a:hlinkClick xmlns:r="http://schemas.openxmlformats.org/officeDocument/2006/relationships" r:id="rId3"/>
              <a:extLst>
                <a:ext uri="{FF2B5EF4-FFF2-40B4-BE49-F238E27FC236}">
                  <a16:creationId xmlns:a16="http://schemas.microsoft.com/office/drawing/2014/main" id="{2C9B0621-A7A0-4F60-843E-8B2B523E307F}"/>
                </a:ext>
              </a:extLst>
            </xdr:cNvPr>
            <xdr:cNvSpPr/>
          </xdr:nvSpPr>
          <xdr:spPr>
            <a:xfrm>
              <a:off x="990601" y="533401"/>
              <a:ext cx="942975" cy="361950"/>
            </a:xfrm>
            <a:prstGeom prst="snip1Rect">
              <a:avLst/>
            </a:prstGeom>
            <a:solidFill>
              <a:schemeClr val="tx1">
                <a:lumMod val="85000"/>
                <a:lumOff val="1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marL="0" indent="0" algn="l"/>
              <a:r>
                <a:rPr kumimoji="0" lang="pt-BR" sz="1200" b="1" i="0" u="none" strike="noStrike" kern="0" cap="none" spc="0" normalizeH="0" baseline="0">
                  <a:ln>
                    <a:noFill/>
                  </a:ln>
                  <a:solidFill>
                    <a:prstClr val="white">
                      <a:lumMod val="65000"/>
                    </a:prstClr>
                  </a:solidFill>
                  <a:effectLst/>
                  <a:uLnTx/>
                  <a:uFillTx/>
                  <a:latin typeface="Arial" panose="020B0604020202020204" pitchFamily="34" charset="0"/>
                  <a:ea typeface="+mn-ea"/>
                  <a:cs typeface="Arial" panose="020B0604020202020204" pitchFamily="34" charset="0"/>
                </a:rPr>
                <a:t>Pedidos</a:t>
              </a:r>
            </a:p>
          </xdr:txBody>
        </xdr:sp>
        <xdr:sp macro="" textlink="">
          <xdr:nvSpPr>
            <xdr:cNvPr id="49" name="Retângulo: Único Canto Recortado 48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27BA6289-8241-44E2-985D-856CAC011F56}"/>
                </a:ext>
              </a:extLst>
            </xdr:cNvPr>
            <xdr:cNvSpPr/>
          </xdr:nvSpPr>
          <xdr:spPr>
            <a:xfrm>
              <a:off x="1962151" y="533401"/>
              <a:ext cx="942975" cy="361950"/>
            </a:xfrm>
            <a:prstGeom prst="snip1Rect">
              <a:avLst/>
            </a:prstGeom>
            <a:solidFill>
              <a:schemeClr val="tx1">
                <a:lumMod val="85000"/>
                <a:lumOff val="1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1200" b="1" i="0" u="none" strike="noStrike" kern="0" cap="none" spc="0" normalizeH="0" baseline="0" noProof="0">
                  <a:ln>
                    <a:noFill/>
                  </a:ln>
                  <a:solidFill>
                    <a:prstClr val="white">
                      <a:lumMod val="65000"/>
                    </a:prstClr>
                  </a:solidFill>
                  <a:effectLst/>
                  <a:uLnTx/>
                  <a:uFillTx/>
                  <a:latin typeface="Arial" panose="020B0604020202020204" pitchFamily="34" charset="0"/>
                  <a:ea typeface="+mn-ea"/>
                  <a:cs typeface="Arial" panose="020B0604020202020204" pitchFamily="34" charset="0"/>
                </a:rPr>
                <a:t>Vendedor</a:t>
              </a:r>
            </a:p>
            <a:p>
              <a:pPr algn="l"/>
              <a:endParaRPr lang="pt-BR" sz="1100"/>
            </a:p>
          </xdr:txBody>
        </xdr:sp>
        <xdr:sp macro="" textlink="">
          <xdr:nvSpPr>
            <xdr:cNvPr id="50" name="Retângulo: Único Canto Recortado 49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E4A78592-8DD2-41BB-8C7E-9342CF61913E}"/>
                </a:ext>
              </a:extLst>
            </xdr:cNvPr>
            <xdr:cNvSpPr/>
          </xdr:nvSpPr>
          <xdr:spPr>
            <a:xfrm>
              <a:off x="2933701" y="533401"/>
              <a:ext cx="942975" cy="361950"/>
            </a:xfrm>
            <a:prstGeom prst="snip1Rect">
              <a:avLst/>
            </a:prstGeom>
            <a:solidFill>
              <a:srgbClr val="254B2C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pt-BR" sz="1200" b="1" noProof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rPr>
                <a:t>Análises</a:t>
              </a:r>
            </a:p>
            <a:p>
              <a:pPr marL="0" indent="0" algn="l"/>
              <a:endParaRPr lang="pt-BR" sz="1200" b="1">
                <a:solidFill>
                  <a:schemeClr val="bg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endParaRPr>
            </a:p>
          </xdr:txBody>
        </xdr:sp>
        <xdr:sp macro="" textlink="">
          <xdr:nvSpPr>
            <xdr:cNvPr id="51" name="Retângulo: Único Canto Recortado 50">
              <a:hlinkClick xmlns:r="http://schemas.openxmlformats.org/officeDocument/2006/relationships" r:id="rId6"/>
              <a:extLst>
                <a:ext uri="{FF2B5EF4-FFF2-40B4-BE49-F238E27FC236}">
                  <a16:creationId xmlns:a16="http://schemas.microsoft.com/office/drawing/2014/main" id="{08980AC5-EFC8-4E73-922C-A1C605B875DE}"/>
                </a:ext>
              </a:extLst>
            </xdr:cNvPr>
            <xdr:cNvSpPr/>
          </xdr:nvSpPr>
          <xdr:spPr>
            <a:xfrm>
              <a:off x="3905251" y="533401"/>
              <a:ext cx="981075" cy="361950"/>
            </a:xfrm>
            <a:prstGeom prst="snip1Rect">
              <a:avLst/>
            </a:prstGeom>
            <a:solidFill>
              <a:schemeClr val="tx1">
                <a:lumMod val="85000"/>
                <a:lumOff val="1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1200" b="1" i="0" u="none" strike="noStrike" kern="0" cap="none" spc="0" normalizeH="0" baseline="0" noProof="0">
                  <a:ln>
                    <a:noFill/>
                  </a:ln>
                  <a:solidFill>
                    <a:prstClr val="white">
                      <a:lumMod val="65000"/>
                    </a:prstClr>
                  </a:solidFill>
                  <a:effectLst/>
                  <a:uLnTx/>
                  <a:uFillTx/>
                  <a:latin typeface="Arial" panose="020B0604020202020204" pitchFamily="34" charset="0"/>
                  <a:ea typeface="+mn-ea"/>
                  <a:cs typeface="Arial" panose="020B0604020202020204" pitchFamily="34" charset="0"/>
                </a:rPr>
                <a:t>Cadastros</a:t>
              </a:r>
            </a:p>
            <a:p>
              <a:pPr algn="l"/>
              <a:endParaRPr lang="pt-BR" sz="1100"/>
            </a:p>
          </xdr:txBody>
        </xdr:sp>
      </xdr:grpSp>
      <xdr:grpSp>
        <xdr:nvGrpSpPr>
          <xdr:cNvPr id="10" name="Agrupar 9">
            <a:extLst>
              <a:ext uri="{FF2B5EF4-FFF2-40B4-BE49-F238E27FC236}">
                <a16:creationId xmlns:a16="http://schemas.microsoft.com/office/drawing/2014/main" id="{D9E49D66-47F1-4C65-8CB4-C0B53435CD67}"/>
              </a:ext>
            </a:extLst>
          </xdr:cNvPr>
          <xdr:cNvGrpSpPr/>
        </xdr:nvGrpSpPr>
        <xdr:grpSpPr>
          <a:xfrm>
            <a:off x="373380" y="129540"/>
            <a:ext cx="4261748" cy="270585"/>
            <a:chOff x="374107" y="134760"/>
            <a:chExt cx="4261748" cy="270585"/>
          </a:xfrm>
        </xdr:grpSpPr>
        <xdr:pic>
          <xdr:nvPicPr>
            <xdr:cNvPr id="11" name="Gráfico 10" descr="Engrenagem única">
              <a:extLst>
                <a:ext uri="{FF2B5EF4-FFF2-40B4-BE49-F238E27FC236}">
                  <a16:creationId xmlns:a16="http://schemas.microsoft.com/office/drawing/2014/main" id="{A9DD6B03-81BC-4309-A737-0148445AD07C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7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8"/>
                </a:ext>
              </a:extLst>
            </a:blip>
            <a:stretch>
              <a:fillRect/>
            </a:stretch>
          </xdr:blipFill>
          <xdr:spPr>
            <a:xfrm>
              <a:off x="4362989" y="134760"/>
              <a:ext cx="272866" cy="270585"/>
            </a:xfrm>
            <a:prstGeom prst="rect">
              <a:avLst/>
            </a:prstGeom>
          </xdr:spPr>
        </xdr:pic>
        <xdr:pic>
          <xdr:nvPicPr>
            <xdr:cNvPr id="12" name="Gráfico 11" descr="Usuários">
              <a:extLst>
                <a:ext uri="{FF2B5EF4-FFF2-40B4-BE49-F238E27FC236}">
                  <a16:creationId xmlns:a16="http://schemas.microsoft.com/office/drawing/2014/main" id="{B7321937-D9B9-4CCE-8164-BB717967FC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9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0"/>
                </a:ext>
              </a:extLst>
            </a:blip>
            <a:stretch>
              <a:fillRect/>
            </a:stretch>
          </xdr:blipFill>
          <xdr:spPr>
            <a:xfrm>
              <a:off x="2356042" y="134760"/>
              <a:ext cx="272866" cy="270585"/>
            </a:xfrm>
            <a:prstGeom prst="rect">
              <a:avLst/>
            </a:prstGeom>
          </xdr:spPr>
        </xdr:pic>
        <xdr:pic>
          <xdr:nvPicPr>
            <xdr:cNvPr id="13" name="Gráfico 12" descr="Sinal">
              <a:extLst>
                <a:ext uri="{FF2B5EF4-FFF2-40B4-BE49-F238E27FC236}">
                  <a16:creationId xmlns:a16="http://schemas.microsoft.com/office/drawing/2014/main" id="{7B0B0E88-0E05-4DA6-9309-39D97D21916E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2"/>
                </a:ext>
              </a:extLst>
            </a:blip>
            <a:stretch>
              <a:fillRect/>
            </a:stretch>
          </xdr:blipFill>
          <xdr:spPr>
            <a:xfrm>
              <a:off x="3349773" y="134760"/>
              <a:ext cx="272866" cy="270585"/>
            </a:xfrm>
            <a:prstGeom prst="rect">
              <a:avLst/>
            </a:prstGeom>
          </xdr:spPr>
        </xdr:pic>
        <xdr:pic>
          <xdr:nvPicPr>
            <xdr:cNvPr id="14" name="Gráfico 13" descr="Ícone do menu de hambúrguer">
              <a:extLst>
                <a:ext uri="{FF2B5EF4-FFF2-40B4-BE49-F238E27FC236}">
                  <a16:creationId xmlns:a16="http://schemas.microsoft.com/office/drawing/2014/main" id="{112E926C-030F-4872-938A-4BB3FF56D43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3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4"/>
                </a:ext>
              </a:extLst>
            </a:blip>
            <a:stretch>
              <a:fillRect/>
            </a:stretch>
          </xdr:blipFill>
          <xdr:spPr>
            <a:xfrm>
              <a:off x="1362311" y="134760"/>
              <a:ext cx="272866" cy="270585"/>
            </a:xfrm>
            <a:prstGeom prst="rect">
              <a:avLst/>
            </a:prstGeom>
          </xdr:spPr>
        </xdr:pic>
        <xdr:pic>
          <xdr:nvPicPr>
            <xdr:cNvPr id="15" name="Gráfico 14" descr="Loja">
              <a:extLst>
                <a:ext uri="{FF2B5EF4-FFF2-40B4-BE49-F238E27FC236}">
                  <a16:creationId xmlns:a16="http://schemas.microsoft.com/office/drawing/2014/main" id="{12A40811-D44F-4408-B784-9219B9FB655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5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6"/>
                </a:ext>
              </a:extLst>
            </a:blip>
            <a:stretch>
              <a:fillRect/>
            </a:stretch>
          </xdr:blipFill>
          <xdr:spPr>
            <a:xfrm>
              <a:off x="374107" y="134760"/>
              <a:ext cx="272866" cy="270585"/>
            </a:xfrm>
            <a:prstGeom prst="rect">
              <a:avLst/>
            </a:prstGeom>
          </xdr:spPr>
        </xdr:pic>
      </xdr:grp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4</xdr:col>
      <xdr:colOff>0</xdr:colOff>
      <xdr:row>1</xdr:row>
      <xdr:rowOff>0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58E46FBF-C55E-4B6A-AD26-857557990BC3}"/>
            </a:ext>
          </a:extLst>
        </xdr:cNvPr>
        <xdr:cNvGrpSpPr/>
      </xdr:nvGrpSpPr>
      <xdr:grpSpPr>
        <a:xfrm>
          <a:off x="0" y="0"/>
          <a:ext cx="6233160" cy="876300"/>
          <a:chOff x="0" y="0"/>
          <a:chExt cx="6233160" cy="885825"/>
        </a:xfrm>
      </xdr:grpSpPr>
      <xdr:grpSp>
        <xdr:nvGrpSpPr>
          <xdr:cNvPr id="17" name="Agrupar 16">
            <a:extLst>
              <a:ext uri="{FF2B5EF4-FFF2-40B4-BE49-F238E27FC236}">
                <a16:creationId xmlns:a16="http://schemas.microsoft.com/office/drawing/2014/main" id="{573EC3E2-DC6E-447F-BC12-74161F4525DD}"/>
              </a:ext>
            </a:extLst>
          </xdr:cNvPr>
          <xdr:cNvGrpSpPr/>
        </xdr:nvGrpSpPr>
        <xdr:grpSpPr>
          <a:xfrm>
            <a:off x="0" y="0"/>
            <a:ext cx="6233160" cy="885825"/>
            <a:chOff x="0" y="0"/>
            <a:chExt cx="6062677" cy="885825"/>
          </a:xfrm>
        </xdr:grpSpPr>
        <xdr:sp macro="" textlink="">
          <xdr:nvSpPr>
            <xdr:cNvPr id="11" name="Retângulo 10">
              <a:extLst>
                <a:ext uri="{FF2B5EF4-FFF2-40B4-BE49-F238E27FC236}">
                  <a16:creationId xmlns:a16="http://schemas.microsoft.com/office/drawing/2014/main" id="{F585F612-D760-43DD-8558-0D2E5C466AC6}"/>
                </a:ext>
              </a:extLst>
            </xdr:cNvPr>
            <xdr:cNvSpPr/>
          </xdr:nvSpPr>
          <xdr:spPr>
            <a:xfrm>
              <a:off x="0" y="0"/>
              <a:ext cx="6062677" cy="885825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dk1">
                <a:shade val="50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2" name="Retângulo: Único Canto Recortado 11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548C030E-E4D5-4A64-8875-ACD770C0FEDA}"/>
                </a:ext>
              </a:extLst>
            </xdr:cNvPr>
            <xdr:cNvSpPr/>
          </xdr:nvSpPr>
          <xdr:spPr>
            <a:xfrm>
              <a:off x="19051" y="527726"/>
              <a:ext cx="942975" cy="358099"/>
            </a:xfrm>
            <a:prstGeom prst="snip1Rect">
              <a:avLst/>
            </a:prstGeom>
            <a:solidFill>
              <a:schemeClr val="tx1">
                <a:lumMod val="85000"/>
                <a:lumOff val="1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marL="0" indent="0" algn="l"/>
              <a:r>
                <a:rPr kumimoji="0" lang="pt-BR" sz="1200" b="1" i="0" u="none" strike="noStrike" kern="0" cap="none" spc="0" normalizeH="0" baseline="0">
                  <a:ln>
                    <a:noFill/>
                  </a:ln>
                  <a:solidFill>
                    <a:prstClr val="white">
                      <a:lumMod val="65000"/>
                    </a:prstClr>
                  </a:solidFill>
                  <a:effectLst/>
                  <a:uLnTx/>
                  <a:uFillTx/>
                  <a:latin typeface="Arial" panose="020B0604020202020204" pitchFamily="34" charset="0"/>
                  <a:ea typeface="+mn-ea"/>
                  <a:cs typeface="Arial" panose="020B0604020202020204" pitchFamily="34" charset="0"/>
                </a:rPr>
                <a:t>Vendas</a:t>
              </a:r>
            </a:p>
          </xdr:txBody>
        </xdr:sp>
        <xdr:sp macro="" textlink="">
          <xdr:nvSpPr>
            <xdr:cNvPr id="13" name="Retângulo: Único Canto Recortado 12">
              <a:hlinkClick xmlns:r="http://schemas.openxmlformats.org/officeDocument/2006/relationships" r:id="rId2"/>
              <a:extLst>
                <a:ext uri="{FF2B5EF4-FFF2-40B4-BE49-F238E27FC236}">
                  <a16:creationId xmlns:a16="http://schemas.microsoft.com/office/drawing/2014/main" id="{09514988-E0B0-4D91-BCE1-8BA9FAA59F1B}"/>
                </a:ext>
              </a:extLst>
            </xdr:cNvPr>
            <xdr:cNvSpPr/>
          </xdr:nvSpPr>
          <xdr:spPr>
            <a:xfrm>
              <a:off x="990601" y="527726"/>
              <a:ext cx="942975" cy="358099"/>
            </a:xfrm>
            <a:prstGeom prst="snip1Rect">
              <a:avLst/>
            </a:prstGeom>
            <a:solidFill>
              <a:schemeClr val="tx1">
                <a:lumMod val="85000"/>
                <a:lumOff val="1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marL="0" indent="0" algn="l"/>
              <a:r>
                <a:rPr kumimoji="0" lang="pt-BR" sz="1200" b="1" i="0" u="none" strike="noStrike" kern="0" cap="none" spc="0" normalizeH="0" baseline="0">
                  <a:ln>
                    <a:noFill/>
                  </a:ln>
                  <a:solidFill>
                    <a:prstClr val="white">
                      <a:lumMod val="65000"/>
                    </a:prstClr>
                  </a:solidFill>
                  <a:effectLst/>
                  <a:uLnTx/>
                  <a:uFillTx/>
                  <a:latin typeface="Arial" panose="020B0604020202020204" pitchFamily="34" charset="0"/>
                  <a:ea typeface="+mn-ea"/>
                  <a:cs typeface="Arial" panose="020B0604020202020204" pitchFamily="34" charset="0"/>
                </a:rPr>
                <a:t>Pedidos</a:t>
              </a:r>
            </a:p>
          </xdr:txBody>
        </xdr:sp>
        <xdr:sp macro="" textlink="">
          <xdr:nvSpPr>
            <xdr:cNvPr id="14" name="Retângulo: Único Canto Recortado 13">
              <a:hlinkClick xmlns:r="http://schemas.openxmlformats.org/officeDocument/2006/relationships" r:id="rId3"/>
              <a:extLst>
                <a:ext uri="{FF2B5EF4-FFF2-40B4-BE49-F238E27FC236}">
                  <a16:creationId xmlns:a16="http://schemas.microsoft.com/office/drawing/2014/main" id="{259603F0-E481-4928-A6D0-675A58F27C45}"/>
                </a:ext>
              </a:extLst>
            </xdr:cNvPr>
            <xdr:cNvSpPr/>
          </xdr:nvSpPr>
          <xdr:spPr>
            <a:xfrm>
              <a:off x="1962151" y="527726"/>
              <a:ext cx="942975" cy="358099"/>
            </a:xfrm>
            <a:prstGeom prst="snip1Rect">
              <a:avLst/>
            </a:prstGeom>
            <a:solidFill>
              <a:schemeClr val="tx1">
                <a:lumMod val="85000"/>
                <a:lumOff val="1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1200" b="1" i="0" u="none" strike="noStrike" kern="0" cap="none" spc="0" normalizeH="0" baseline="0" noProof="0">
                  <a:ln>
                    <a:noFill/>
                  </a:ln>
                  <a:solidFill>
                    <a:prstClr val="white">
                      <a:lumMod val="65000"/>
                    </a:prstClr>
                  </a:solidFill>
                  <a:effectLst/>
                  <a:uLnTx/>
                  <a:uFillTx/>
                  <a:latin typeface="Arial" panose="020B0604020202020204" pitchFamily="34" charset="0"/>
                  <a:ea typeface="+mn-ea"/>
                  <a:cs typeface="Arial" panose="020B0604020202020204" pitchFamily="34" charset="0"/>
                </a:rPr>
                <a:t>Vendedor</a:t>
              </a:r>
            </a:p>
            <a:p>
              <a:pPr marL="0" indent="0" algn="l"/>
              <a:endParaRPr kumimoji="0" lang="pt-BR" sz="1200" b="1" i="0" u="none" strike="noStrike" kern="0" cap="none" spc="0" normalizeH="0" baseline="0">
                <a:ln>
                  <a:noFill/>
                </a:ln>
                <a:solidFill>
                  <a:prstClr val="white">
                    <a:lumMod val="65000"/>
                  </a:prst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endParaRPr>
            </a:p>
          </xdr:txBody>
        </xdr:sp>
        <xdr:sp macro="" textlink="">
          <xdr:nvSpPr>
            <xdr:cNvPr id="15" name="Retângulo: Único Canto Recortado 14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959A6690-623B-4699-825E-BF7B21E23F36}"/>
                </a:ext>
              </a:extLst>
            </xdr:cNvPr>
            <xdr:cNvSpPr/>
          </xdr:nvSpPr>
          <xdr:spPr>
            <a:xfrm>
              <a:off x="2933701" y="527726"/>
              <a:ext cx="942975" cy="358099"/>
            </a:xfrm>
            <a:prstGeom prst="snip1Rect">
              <a:avLst/>
            </a:prstGeom>
            <a:solidFill>
              <a:schemeClr val="tx1">
                <a:lumMod val="85000"/>
                <a:lumOff val="1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1200" b="1" i="0" u="none" strike="noStrike" kern="0" cap="none" spc="0" normalizeH="0" baseline="0" noProof="0">
                  <a:ln>
                    <a:noFill/>
                  </a:ln>
                  <a:solidFill>
                    <a:prstClr val="white">
                      <a:lumMod val="65000"/>
                    </a:prstClr>
                  </a:solidFill>
                  <a:effectLst/>
                  <a:uLnTx/>
                  <a:uFillTx/>
                  <a:latin typeface="Arial" panose="020B0604020202020204" pitchFamily="34" charset="0"/>
                  <a:ea typeface="+mn-ea"/>
                  <a:cs typeface="Arial" panose="020B0604020202020204" pitchFamily="34" charset="0"/>
                </a:rPr>
                <a:t>Análises</a:t>
              </a:r>
            </a:p>
            <a:p>
              <a:pPr algn="l"/>
              <a:endParaRPr lang="pt-BR" sz="1100"/>
            </a:p>
          </xdr:txBody>
        </xdr:sp>
        <xdr:sp macro="" textlink="">
          <xdr:nvSpPr>
            <xdr:cNvPr id="16" name="Retângulo: Único Canto Recortado 15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D9894CCE-FA5E-4A15-95CB-E3A66E9DA3B6}"/>
                </a:ext>
              </a:extLst>
            </xdr:cNvPr>
            <xdr:cNvSpPr/>
          </xdr:nvSpPr>
          <xdr:spPr>
            <a:xfrm>
              <a:off x="3905251" y="527726"/>
              <a:ext cx="981075" cy="358099"/>
            </a:xfrm>
            <a:prstGeom prst="snip1Rect">
              <a:avLst/>
            </a:prstGeom>
            <a:solidFill>
              <a:srgbClr val="254B2C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pt-BR" sz="1200" b="1" noProof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rPr>
                <a:t>Cadastros</a:t>
              </a:r>
            </a:p>
            <a:p>
              <a:pPr marL="0" indent="0" algn="l"/>
              <a:endParaRPr lang="pt-BR" sz="1200" b="1">
                <a:solidFill>
                  <a:schemeClr val="bg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endParaRPr>
            </a:p>
          </xdr:txBody>
        </xdr:sp>
      </xdr:grpSp>
      <xdr:grpSp>
        <xdr:nvGrpSpPr>
          <xdr:cNvPr id="9" name="Agrupar 8">
            <a:extLst>
              <a:ext uri="{FF2B5EF4-FFF2-40B4-BE49-F238E27FC236}">
                <a16:creationId xmlns:a16="http://schemas.microsoft.com/office/drawing/2014/main" id="{9A60DA6D-55BA-419F-9D42-2BCAD2F3CD06}"/>
              </a:ext>
            </a:extLst>
          </xdr:cNvPr>
          <xdr:cNvGrpSpPr/>
        </xdr:nvGrpSpPr>
        <xdr:grpSpPr>
          <a:xfrm>
            <a:off x="373380" y="137160"/>
            <a:ext cx="4261748" cy="270585"/>
            <a:chOff x="374107" y="142380"/>
            <a:chExt cx="4261748" cy="270585"/>
          </a:xfrm>
        </xdr:grpSpPr>
        <xdr:pic>
          <xdr:nvPicPr>
            <xdr:cNvPr id="10" name="Gráfico 9" descr="Engrenagem única">
              <a:extLst>
                <a:ext uri="{FF2B5EF4-FFF2-40B4-BE49-F238E27FC236}">
                  <a16:creationId xmlns:a16="http://schemas.microsoft.com/office/drawing/2014/main" id="{E1CAAF28-037F-4211-84E1-2595D6C7D31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7"/>
                </a:ext>
              </a:extLst>
            </a:blip>
            <a:stretch>
              <a:fillRect/>
            </a:stretch>
          </xdr:blipFill>
          <xdr:spPr>
            <a:xfrm>
              <a:off x="4362989" y="142380"/>
              <a:ext cx="272866" cy="270585"/>
            </a:xfrm>
            <a:prstGeom prst="rect">
              <a:avLst/>
            </a:prstGeom>
          </xdr:spPr>
        </xdr:pic>
        <xdr:pic>
          <xdr:nvPicPr>
            <xdr:cNvPr id="18" name="Gráfico 17" descr="Usuários">
              <a:extLst>
                <a:ext uri="{FF2B5EF4-FFF2-40B4-BE49-F238E27FC236}">
                  <a16:creationId xmlns:a16="http://schemas.microsoft.com/office/drawing/2014/main" id="{B8898105-972E-4D69-9E24-E444118A2A97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9"/>
                </a:ext>
              </a:extLst>
            </a:blip>
            <a:stretch>
              <a:fillRect/>
            </a:stretch>
          </xdr:blipFill>
          <xdr:spPr>
            <a:xfrm>
              <a:off x="2356042" y="142380"/>
              <a:ext cx="272866" cy="270585"/>
            </a:xfrm>
            <a:prstGeom prst="rect">
              <a:avLst/>
            </a:prstGeom>
          </xdr:spPr>
        </xdr:pic>
        <xdr:pic>
          <xdr:nvPicPr>
            <xdr:cNvPr id="19" name="Gráfico 18" descr="Sinal">
              <a:extLst>
                <a:ext uri="{FF2B5EF4-FFF2-40B4-BE49-F238E27FC236}">
                  <a16:creationId xmlns:a16="http://schemas.microsoft.com/office/drawing/2014/main" id="{B8DFE6EA-57B9-4E61-B5D4-C851477E48E7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0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1"/>
                </a:ext>
              </a:extLst>
            </a:blip>
            <a:stretch>
              <a:fillRect/>
            </a:stretch>
          </xdr:blipFill>
          <xdr:spPr>
            <a:xfrm>
              <a:off x="3349773" y="142380"/>
              <a:ext cx="272866" cy="270585"/>
            </a:xfrm>
            <a:prstGeom prst="rect">
              <a:avLst/>
            </a:prstGeom>
          </xdr:spPr>
        </xdr:pic>
        <xdr:pic>
          <xdr:nvPicPr>
            <xdr:cNvPr id="20" name="Gráfico 19" descr="Ícone do menu de hambúrguer">
              <a:extLst>
                <a:ext uri="{FF2B5EF4-FFF2-40B4-BE49-F238E27FC236}">
                  <a16:creationId xmlns:a16="http://schemas.microsoft.com/office/drawing/2014/main" id="{CDB88717-8BF1-4823-90A6-C75D25233F8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2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3"/>
                </a:ext>
              </a:extLst>
            </a:blip>
            <a:stretch>
              <a:fillRect/>
            </a:stretch>
          </xdr:blipFill>
          <xdr:spPr>
            <a:xfrm>
              <a:off x="1362311" y="142380"/>
              <a:ext cx="272866" cy="270585"/>
            </a:xfrm>
            <a:prstGeom prst="rect">
              <a:avLst/>
            </a:prstGeom>
          </xdr:spPr>
        </xdr:pic>
        <xdr:pic>
          <xdr:nvPicPr>
            <xdr:cNvPr id="21" name="Gráfico 20" descr="Loja">
              <a:extLst>
                <a:ext uri="{FF2B5EF4-FFF2-40B4-BE49-F238E27FC236}">
                  <a16:creationId xmlns:a16="http://schemas.microsoft.com/office/drawing/2014/main" id="{070E1936-E9F1-404E-A59C-4B84645728B2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4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5"/>
                </a:ext>
              </a:extLst>
            </a:blip>
            <a:stretch>
              <a:fillRect/>
            </a:stretch>
          </xdr:blipFill>
          <xdr:spPr>
            <a:xfrm>
              <a:off x="374107" y="142380"/>
              <a:ext cx="272866" cy="270585"/>
            </a:xfrm>
            <a:prstGeom prst="rect">
              <a:avLst/>
            </a:prstGeom>
          </xdr:spPr>
        </xdr:pic>
      </xdr:grp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User-PC/Desktop/Pedidos%20-%20TEST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endas"/>
      <sheetName val="Pedido"/>
      <sheetName val="Clientes"/>
      <sheetName val="Análises"/>
      <sheetName val="Cadastros"/>
      <sheetName val="Pedidos - TESTE"/>
    </sheetNames>
    <sheetDataSet>
      <sheetData sheetId="0"/>
      <sheetData sheetId="1"/>
      <sheetData sheetId="2"/>
      <sheetData sheetId="3"/>
      <sheetData sheetId="4"/>
      <sheetData sheetId="5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B84B608-2D54-4483-9555-89DE3DF8C974}" name="Tabela2" displayName="Tabela2" ref="B7:BD2008" totalsRowShown="0" headerRowDxfId="98" dataDxfId="97" tableBorderDxfId="96" headerRowCellStyle="Normal 2">
  <autoFilter ref="B7:BD2008" xr:uid="{9030347D-9A79-4375-97FC-06120453092A}"/>
  <sortState xmlns:xlrd2="http://schemas.microsoft.com/office/spreadsheetml/2017/richdata2" ref="B8:BD2008">
    <sortCondition ref="B7:B2008"/>
  </sortState>
  <tableColumns count="55">
    <tableColumn id="1" xr3:uid="{B3E1E4BD-C167-4462-8F30-ED4C461E51B4}" name="Nº PEDIDO" dataDxfId="95" dataCellStyle="Normal 2"/>
    <tableColumn id="2" xr3:uid="{AE8C7229-5B26-49E9-A723-52097366E9B3}" name="STATUS" dataDxfId="94" dataCellStyle="Normal 2"/>
    <tableColumn id="41" xr3:uid="{C88B5D8C-73CD-4B64-9706-DC524FD9A643}" name="DATA PEDIDO" dataDxfId="93" dataCellStyle="Normal 2"/>
    <tableColumn id="4" xr3:uid="{E5D9929D-A264-4F13-8C06-FBA736BF47AF}" name="DATA ENTREGA" dataDxfId="92" dataCellStyle="Normal 2"/>
    <tableColumn id="5" xr3:uid="{098AF6DB-4B54-4FEF-97F5-C1D051EFD037}" name="VENDEDOR" dataDxfId="91" dataCellStyle="Normal 2"/>
    <tableColumn id="7" xr3:uid="{96983B09-D0D4-407C-BE2A-2A7727812DE2}" name="DATA PAGAMENTO" dataDxfId="90" dataCellStyle="Normal 2"/>
    <tableColumn id="8" xr3:uid="{7758CD27-D9BB-4695-AAA9-B0CAB2C0A086}" name="PRODUTO(1)" dataDxfId="89" dataCellStyle="Normal 2"/>
    <tableColumn id="10" xr3:uid="{E093B70D-B163-4100-9245-E25B245D720A}" name="QUANT.(1)" dataDxfId="88" dataCellStyle="Normal 2"/>
    <tableColumn id="11" xr3:uid="{3B37E258-B6D5-4999-9F90-99CA34D2A538}" name="VLR UNIT(1)" dataDxfId="87" dataCellStyle="Vírgula">
      <calculatedColumnFormula>IF(H8="","",(_xlfn.XLOOKUP(H8,Cadastros!$D$6:$D$90,Cadastros!$E$6:$E$90))*(1-_xlfn.XLOOKUP(_xlfn.XLOOKUP($F8,Clientes!$B$4:$B$39,Clientes!$C$4:$C$39),Cadastros!$L$6:$L$12,Cadastros!$N$6:$N$12)))</calculatedColumnFormula>
    </tableColumn>
    <tableColumn id="12" xr3:uid="{7DCCBEE2-6A82-4C1E-B3EB-B6DE8DDD327B}" name="VLR TOTAL(1)" dataDxfId="86" dataCellStyle="20% - Ênfase3">
      <calculatedColumnFormula>IF(J8="","",I8*J8)</calculatedColumnFormula>
    </tableColumn>
    <tableColumn id="3" xr3:uid="{2AD484A0-7C6D-4F2E-AB16-2B93E0077427}" name="PEÇAS(1)" dataDxfId="85" dataCellStyle="20% - Ênfase3">
      <calculatedColumnFormula>IFERROR(K8/_xlfn.XLOOKUP(_xlfn.XLOOKUP($F8,Clientes!$B$4:$B$39,Clientes!$C$4:$C$39),Cadastros!$L$6:$L$12,Cadastros!$M$6:$M$12)," ")</calculatedColumnFormula>
    </tableColumn>
    <tableColumn id="13" xr3:uid="{F0B5D2C3-0213-4E33-8EC7-A5F49ED5CF04}" name="PRODUTO(2)" dataDxfId="84" dataCellStyle="Normal 2"/>
    <tableColumn id="15" xr3:uid="{F12A121B-6CCE-4040-9E01-946F272A0CEF}" name="QUANT.(2)" dataDxfId="83" dataCellStyle="Normal 2"/>
    <tableColumn id="16" xr3:uid="{F43207D3-6AEB-4751-91F4-DFBC84DBF08F}" name="VLR UNIT(2)" dataDxfId="82" dataCellStyle="Vírgula">
      <calculatedColumnFormula>IF(M8="","",(_xlfn.XLOOKUP(M8,Cadastros!$D$6:$D$90,Cadastros!$E$6:$E$90))*(1-_xlfn.XLOOKUP(_xlfn.XLOOKUP($F8,Clientes!$B$4:$B$39,Clientes!$C$4:$C$39),Cadastros!$L$6:$L$12,Cadastros!$N$6:$N$12)))</calculatedColumnFormula>
    </tableColumn>
    <tableColumn id="17" xr3:uid="{29FA9B35-4327-46BD-9419-12535348EDD8}" name="VLR TOTAL(2)" dataDxfId="81" dataCellStyle="20% - Ênfase3">
      <calculatedColumnFormula>IF(O8="","",N8*O8)</calculatedColumnFormula>
    </tableColumn>
    <tableColumn id="42" xr3:uid="{36EEED05-E4E8-4BFF-9472-445AFFBF9E5A}" name="PEÇAS(2)" dataDxfId="80" dataCellStyle="20% - Ênfase3">
      <calculatedColumnFormula>IFERROR(P8/_xlfn.XLOOKUP(_xlfn.XLOOKUP($F8,Clientes!$B$4:$B$39,Clientes!$C$4:$C$39),Cadastros!$L$6:$L$12,Cadastros!$M$6:$M$12)," ")</calculatedColumnFormula>
    </tableColumn>
    <tableColumn id="18" xr3:uid="{03953657-7BED-4868-A3BE-A9464531516A}" name="PRODUTO(3)" dataDxfId="79" dataCellStyle="Normal 2"/>
    <tableColumn id="20" xr3:uid="{1F2C053A-1F7D-4555-97C9-EC797E9D72B2}" name="QUANT.(3)" dataDxfId="78" dataCellStyle="Normal 2"/>
    <tableColumn id="21" xr3:uid="{8174EAF6-90FE-4320-ABD1-AC90107A1565}" name="VLR UNIT(3)" dataDxfId="77" dataCellStyle="Vírgula">
      <calculatedColumnFormula>IF(R8="","",(_xlfn.XLOOKUP(R8,Cadastros!$D$6:$D$90,Cadastros!$E$6:$E$90))*(1-_xlfn.XLOOKUP(_xlfn.XLOOKUP($F8,Clientes!$B$4:$B$39,Clientes!$C$4:$C$39),Cadastros!$L$6:$L$12,Cadastros!$N$6:$N$12)))</calculatedColumnFormula>
    </tableColumn>
    <tableColumn id="22" xr3:uid="{981C36EC-C630-40A0-A185-734C017456D7}" name="VLR TOTAL(3)" dataDxfId="76" dataCellStyle="20% - Ênfase3">
      <calculatedColumnFormula>IF(T8="","",S8*T8)</calculatedColumnFormula>
    </tableColumn>
    <tableColumn id="43" xr3:uid="{7D0293D2-C776-4FF2-9D21-546B3FFC9B7D}" name="PEÇAS(3)" dataDxfId="75" dataCellStyle="20% - Ênfase3">
      <calculatedColumnFormula>IFERROR(U8/_xlfn.XLOOKUP(_xlfn.XLOOKUP($F8,Clientes!$B$4:$B$39,Clientes!$C$4:$C$39),Cadastros!$L$6:$L$12,Cadastros!$M$6:$M$12)," ")</calculatedColumnFormula>
    </tableColumn>
    <tableColumn id="23" xr3:uid="{233F9801-FDB1-4256-ABFC-BBD6DDFB30EF}" name="PRODUTO(4)" dataDxfId="74" dataCellStyle="Normal 2"/>
    <tableColumn id="25" xr3:uid="{4B65BCAE-7C76-404D-B148-EE36A9F5664C}" name="QUANT.(4)" dataDxfId="73" dataCellStyle="Normal 2"/>
    <tableColumn id="26" xr3:uid="{2E0BF572-17AD-430B-B476-32B277D8214F}" name="VLR UNIT(4)" dataDxfId="72" dataCellStyle="Vírgula">
      <calculatedColumnFormula>IF(W8="","",(_xlfn.XLOOKUP(W8,Cadastros!$D$6:$D$90,Cadastros!$E$6:$E$90))*(1-_xlfn.XLOOKUP(_xlfn.XLOOKUP($F8,Clientes!$B$4:$B$39,Clientes!$C$4:$C$39),Cadastros!$L$6:$L$12,Cadastros!$N$6:$N$12)))</calculatedColumnFormula>
    </tableColumn>
    <tableColumn id="27" xr3:uid="{4ED42FF0-D225-4E55-9150-A17519BF5428}" name="VLR TOTAL(4)" dataDxfId="71" dataCellStyle="20% - Ênfase3">
      <calculatedColumnFormula>IF(Y8="","",X8*Y8)</calculatedColumnFormula>
    </tableColumn>
    <tableColumn id="44" xr3:uid="{192CDD2F-3403-44F2-99E8-2EBB65902CB3}" name="PEÇAS(4)" dataDxfId="70" dataCellStyle="20% - Ênfase3">
      <calculatedColumnFormula>IFERROR(Z8/_xlfn.XLOOKUP(_xlfn.XLOOKUP($F8,Clientes!$B$4:$B$39,Clientes!$C$4:$C$39),Cadastros!$L$6:$L$12,Cadastros!$M$6:$M$12)," ")</calculatedColumnFormula>
    </tableColumn>
    <tableColumn id="28" xr3:uid="{650F40AA-D0A2-49F3-803B-DFF480BA4F47}" name="ACESSÓRIO(1)" dataDxfId="69" dataCellStyle="Normal 2"/>
    <tableColumn id="30" xr3:uid="{7BAE4223-3A6B-4481-8E48-F1D1405AA312}" name="QUANT.(5)" dataDxfId="68" dataCellStyle="Normal 2"/>
    <tableColumn id="31" xr3:uid="{B9BC04C1-4032-4F9F-8CF1-0EDA5173C26D}" name="VLR UNIT(5)" dataDxfId="67" dataCellStyle="Vírgula">
      <calculatedColumnFormula>IF(AB8="","",IF($F8="Bernardino Furlan",_xlfn.XLOOKUP(AB8,Cadastros!$G$6:$G$90,Cadastros!$H$6:$H$90)*(1-0.18),IF($F8="Mauro José Salanti",_xlfn.XLOOKUP(AB8,Cadastros!$G$6:$G$90,Cadastros!$H$6:$H$90)*(1-0.18),_xlfn.XLOOKUP(AB8,Cadastros!$G$6:$G$90,Cadastros!$H$6:$H$90))))</calculatedColumnFormula>
    </tableColumn>
    <tableColumn id="32" xr3:uid="{18DC8A1F-5BD2-41CC-88EE-B37179723486}" name="VLR TOTAL(5)" dataDxfId="66" dataCellStyle="20% - Ênfase3">
      <calculatedColumnFormula>IF(AD8="","",AC8*AD8)</calculatedColumnFormula>
    </tableColumn>
    <tableColumn id="45" xr3:uid="{D6D292A4-FD60-4CA5-AC8D-198B19E90DA2}" name="PEÇAS(6)" dataDxfId="65" dataCellStyle="20% - Ênfase3">
      <calculatedColumnFormula>IFERROR(IF($F8="Bernardino Furlan",AE8/2751.92,IF($F8="Mauro José Salanti",AE8/2751.92,AE8/3356)),"")</calculatedColumnFormula>
    </tableColumn>
    <tableColumn id="71" xr3:uid="{D371CC61-B530-43E1-AA06-925F8B860F9B}" name="ACESSÓRIO (2)" dataDxfId="64" dataCellStyle="Normal 2"/>
    <tableColumn id="70" xr3:uid="{63D63BF1-94AC-4072-B692-BDCADD6D31A5}" name="QUANT.(6)" dataDxfId="63" dataCellStyle="Normal 2"/>
    <tableColumn id="69" xr3:uid="{016AA3A9-6998-4CF9-B197-0AE8796E889D}" name="VLR UNIT.(6)" dataDxfId="62" dataCellStyle="Vírgula">
      <calculatedColumnFormula>IF(AG8="","",IF($F8="Bernardino Furlan",_xlfn.XLOOKUP(AG8,Cadastros!$G$6:$G$90,Cadastros!$H$6:$H$90)*(1-0.18),IF($F8="Mauro José Salanti",_xlfn.XLOOKUP(AG8,Cadastros!$G$6:$G$90,Cadastros!$H$6:$H$90)*(1-0.18),_xlfn.XLOOKUP(AG8,Cadastros!$G$6:$G$90,Cadastros!$H$6:$H$90))))</calculatedColumnFormula>
    </tableColumn>
    <tableColumn id="68" xr3:uid="{ED92ECA1-A8F8-4AAD-A081-D1FFF982926E}" name="VLR TOTAL(6)" dataDxfId="61" dataCellStyle="20% - Ênfase3">
      <calculatedColumnFormula>IF(AI8="","",AH8*AI8)</calculatedColumnFormula>
    </tableColumn>
    <tableColumn id="46" xr3:uid="{4488EF99-45C8-4056-AD18-29A34A6675E9}" name="PEÇAS(6)2" dataDxfId="60" dataCellStyle="20% - Ênfase3">
      <calculatedColumnFormula>IFERROR(IF($F8="Bernardino Furlan",AJ8/2751.92,IF($F8="Mauro José Salanti",AJ8/2751.92,AJ8/3356)),"")</calculatedColumnFormula>
    </tableColumn>
    <tableColumn id="24" xr3:uid="{10721D31-AB77-4EF4-B917-B24B1C4950A4}" name="ACESSÓRIO (3)" dataDxfId="59" dataCellStyle="Normal 2"/>
    <tableColumn id="19" xr3:uid="{14A8CBF2-C949-4429-AF36-22C7AA76226A}" name="QUANT.(7)" dataDxfId="58" dataCellStyle="Normal 2"/>
    <tableColumn id="14" xr3:uid="{859083B3-BB7F-463A-B0EA-143152DBC039}" name="VLR UNIT.(7)" dataDxfId="57" dataCellStyle="Vírgula">
      <calculatedColumnFormula>IF(AL8="","",IF($F8="Bernardino Furlan",_xlfn.XLOOKUP(AL8,Cadastros!$G$6:$G$90,Cadastros!$H$6:$H$90)*(1-0.18),IF($F8="Mauro José Salanti",_xlfn.XLOOKUP(AL8,Cadastros!$G$6:$G$90,Cadastros!$H$6:$H$90)*(1-0.18),_xlfn.XLOOKUP(AL8,Cadastros!$G$6:$G$90,Cadastros!$H$6:$H$90))))</calculatedColumnFormula>
    </tableColumn>
    <tableColumn id="9" xr3:uid="{6A0ECC9E-B660-477E-A7EE-50935C375CC0}" name="VLR TOTAL(7)" dataDxfId="56" dataCellStyle="20% - Ênfase3">
      <calculatedColumnFormula>IF(AN8="","",AM8*AN8)</calculatedColumnFormula>
    </tableColumn>
    <tableColumn id="47" xr3:uid="{BDAC806A-8E52-42FC-94B4-98D6A16E19BB}" name="PEÇAS(7)" dataDxfId="55" dataCellStyle="20% - Ênfase3">
      <calculatedColumnFormula>IFERROR(IF($F8="Bernardino Furlan",AO8/2751.92,IF($F8="Mauro José Salanti",AO8/2751.92,AO8/3356)),"")</calculatedColumnFormula>
    </tableColumn>
    <tableColumn id="39" xr3:uid="{6C3A059F-C44C-4190-AFBA-F85D4A2C1D83}" name="ACESSÓRIO (4)" dataDxfId="54" dataCellStyle="Normal 2"/>
    <tableColumn id="38" xr3:uid="{838E7D25-B823-478D-B5CD-B321F45D47B9}" name="QUANT.(8)" dataDxfId="53" dataCellStyle="Normal 2"/>
    <tableColumn id="37" xr3:uid="{5B89B489-F3F8-4D15-A778-7394E3E96658}" name="VLR UNIT.(8)" dataDxfId="52" dataCellStyle="Vírgula">
      <calculatedColumnFormula>IF(AQ8="","",IF($F8="Bernardino Furlan",_xlfn.XLOOKUP(AQ8,Cadastros!$G$6:$G$90,Cadastros!$H$6:$H$90)*(1-0.18),IF($F8="Mauro José Salanti",_xlfn.XLOOKUP(AQ8,Cadastros!$G$6:$G$90,Cadastros!$H$6:$H$90)*(1-0.18),_xlfn.XLOOKUP(AQ8,Cadastros!$G$6:$G$90,Cadastros!$H$6:$H$90))))</calculatedColumnFormula>
    </tableColumn>
    <tableColumn id="29" xr3:uid="{A171A017-9797-4609-BDFF-DF28FD493DC7}" name="VLR TOTAL(8)" dataDxfId="51" dataCellStyle="20% - Ênfase3">
      <calculatedColumnFormula>IF(AS8="","",AR8*AS8)</calculatedColumnFormula>
    </tableColumn>
    <tableColumn id="48" xr3:uid="{3924A4A0-C233-4C21-83C0-A3C46E94DB3D}" name="PEÇAS(8)" dataDxfId="50" dataCellStyle="20% - Ênfase3">
      <calculatedColumnFormula>IFERROR(IF($F8="Bernardino Furlan",AT8/2751.92,IF($F8="Mauro José Salanti",AT8/2751.92,AT8/3356)),"")</calculatedColumnFormula>
    </tableColumn>
    <tableColumn id="33" xr3:uid="{AD7E65A5-6F0B-4F44-8681-9143F30BBBEB}" name="OBS / CONDIÇÃO PGTO" dataDxfId="49" dataCellStyle="Normal 2"/>
    <tableColumn id="51" xr3:uid="{8B2140E0-2419-4CAC-92C9-33D08A5CB4DD}" name="ESPECIAL?" dataDxfId="48" dataCellStyle="Normal 2"/>
    <tableColumn id="50" xr3:uid="{B7A061AB-34BA-4516-81D2-4E9FDEF81A80}" name="AJUSTE _x000a_PRODUTO ESPECIAL" dataDxfId="47" dataCellStyle="Porcentagem"/>
    <tableColumn id="52" xr3:uid="{987B180F-ACE3-4071-B0A1-F7779D5FB77E}" name="AJUSTE _x000a_ACESS ESPECIAL" dataDxfId="46" dataCellStyle="Porcentagem"/>
    <tableColumn id="34" xr3:uid="{060CAEB6-6121-444C-9A34-068EAED55C51}" name="FORMA PGTO" dataDxfId="45" dataCellStyle="Normal 2"/>
    <tableColumn id="35" xr3:uid="{9A6E65EC-4AEE-44B2-9004-ECBCE9E27F14}" name="NOTA FISCAL" dataDxfId="44" dataCellStyle="Normal 2"/>
    <tableColumn id="36" xr3:uid="{2ED67823-602F-4B03-8CEB-B9082642F88D}" name="VALOR" dataDxfId="43" dataCellStyle="Moeda 2">
      <calculatedColumnFormula array="1">_xlfn.IFS(AW8="SIM",SUM(K8,P8,U8,Z8,AE8,AJ8,AO8,AT8,AX8,AY8),F8&lt;&gt;"",SUM(K8,P8,U8,Z8,AE8,AJ8,,AO8,AT8),F8="","")</calculatedColumnFormula>
    </tableColumn>
    <tableColumn id="40" xr3:uid="{4CE0B171-9C9F-4849-B33E-BC2EBCDE4C93}" name="VLR A PAGAR" dataDxfId="42" dataCellStyle="Moeda 2">
      <calculatedColumnFormula array="1">_xlfn.IFS(E8="","",G8&lt;=E8,BB8*(1-0.03),G8&lt;(E8+8),BB8,AZ8="Boleto",BB8*(1+0.001)^DATEDIF(E8,G8,"D"),AZ8="Cheque",BB8,AZ8="Dinheiro","Alterar forma pgto")</calculatedColumnFormula>
    </tableColumn>
    <tableColumn id="49" xr3:uid="{176893B4-D225-47A9-A26E-BDCEB9320A18}" name="VALOR PEÇA" dataDxfId="41">
      <calculatedColumnFormula array="1">IF(F8=0," ",IF(BC8&lt;BB8,(_xlfn.IFS(AW8="SIM",SUM(L8,Q8,V8,AA8,AF8,AK8,AP8,AU8)+AX8/_xlfn.XLOOKUP(_xlfn.XLOOKUP($F8,Clientes!$B$4:$B$39,Clientes!$C$4:$C$39),Cadastros!$L$6:$L$12,Cadastros!$M$6:$M$12)+IF($F8="Bernardino Furlan",AY8/2751.92,IF($F8="Mauro José Salanti",AY8/2751.92,AY8/3356)),F8&lt;&gt;0,SUM(L8,Q8,V8,AA8,AF8,AK8,AP8,AU8)))*(1-0.03),_xlfn.IFS(AW8="SIM",SUM(L8,Q8,V8,AA8,AF8,AK8,AP8,AU8)+AX8/_xlfn.XLOOKUP(_xlfn.XLOOKUP($F8,Clientes!$B$4:$B$39,Clientes!$C$4:$C$39),Cadastros!$L$6:$L$12,Cadastros!$M$6:$M$12)+IF($F8="Bernardino Furlan",AY8/2751.92,IF($F8="Mauro José Salanti",AY8/2751.92,AY8/3356)),F8&lt;&gt;0,SUM(L8,Q8,V8,AA8,AF8,AK8,AP8,AU8))))</calculatedColumnFormula>
    </tableColumn>
  </tableColumns>
  <tableStyleInfo name="Estilo de Tabela 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65E6017-1370-424C-B2FC-02ED191614E9}" name="Tabela1" displayName="Tabela1" ref="B3:M39" totalsRowShown="0" headerRowDxfId="40" dataDxfId="39">
  <autoFilter ref="B3:M39" xr:uid="{00000000-0009-0000-0100-000001000000}"/>
  <sortState xmlns:xlrd2="http://schemas.microsoft.com/office/spreadsheetml/2017/richdata2" ref="B4:M39">
    <sortCondition ref="B3:B39"/>
  </sortState>
  <tableColumns count="12">
    <tableColumn id="2" xr3:uid="{F046F68A-7B28-4D2A-ABA7-2B460E08075B}" name="Vendedor" dataDxfId="38"/>
    <tableColumn id="3" xr3:uid="{631387FE-C89A-4E1C-A6A1-D4E8E6B6BA8C}" name="Nível" dataDxfId="37"/>
    <tableColumn id="4" xr3:uid="{E9ADDB4E-AF85-46D7-A4E6-482FA3E0290D}" name="Endereço" dataDxfId="36"/>
    <tableColumn id="6" xr3:uid="{D1A76F1F-4746-4F82-8863-1E9967E33385}" name="CNPJ / CPF" dataDxfId="35"/>
    <tableColumn id="1" xr3:uid="{B84E89C9-B474-49D4-BEB4-D6E078001087}" name="CPF" dataDxfId="34"/>
    <tableColumn id="11" xr3:uid="{B8C4B32B-0BCE-431E-9D66-E564CB2386B5}" name="E-mail" dataDxfId="33"/>
    <tableColumn id="8" xr3:uid="{F2D8B5F1-AAC0-4E4D-A3D1-3D92D2849C48}" name="Telefone" dataDxfId="32"/>
    <tableColumn id="9" xr3:uid="{4843780A-0AD0-406C-9013-9E44BE9080A7}" name="Cidade" dataDxfId="31"/>
    <tableColumn id="10" xr3:uid="{D16ED682-D926-458D-80B8-9D3F482D1091}" name="Estado" dataDxfId="30"/>
    <tableColumn id="12" xr3:uid="{024D6931-61B6-480C-8D72-ABF60690635B}" name="Vendas" dataDxfId="29" dataCellStyle="Vírgula">
      <calculatedColumnFormula>SUMIFS(Vendas!BB:BB,Vendas!$C:$C,"entregue",Vendas!$F:$F,Tabela1[[#This Row],[Vendedor]])+SUMIFS(Vendas!BB:BB,Vendas!$C:$C,"aprovado",Vendas!$F:$F,Tabela1[[#This Row],[Vendedor]])</calculatedColumnFormula>
    </tableColumn>
    <tableColumn id="5" xr3:uid="{89201F01-BE0A-415B-8219-69D308675C8E}" name="Qtde Peças" dataDxfId="28" dataCellStyle="Vírgula">
      <calculatedColumnFormula>SUMIFS(Vendas!BD:BD,Vendas!$C:$C,"entregue",Vendas!$F:$F,Tabela1[[#This Row],[Vendedor]])+SUMIFS(Vendas!BD:BD,Vendas!$C:$C,"aprovado",Vendas!$F:$F,Tabela1[[#This Row],[Vendedor]])</calculatedColumnFormula>
    </tableColumn>
    <tableColumn id="13" xr3:uid="{211CAE18-D850-458A-A017-611055E3B1CE}" name="Qtde Vendas" dataDxfId="27">
      <calculatedColumnFormula>COUNTIFS(Vendas!C:C,"entregue",Vendas!F:F,Tabela1[[#This Row],[Vendedor]])+COUNTIFS(Vendas!C:C,"aprovado",Vendas!F:F,Tabela1[[#This Row],[Vendedor]])</calculatedColumnFormula>
    </tableColumn>
  </tableColumns>
  <tableStyleInfo name="Estilo de Tabela 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0652AC5-B3BB-4255-92FE-8A3E18C667CF}" name="Tabela6" displayName="Tabela6" ref="B87:C107" totalsRowShown="0" headerRowDxfId="26" dataDxfId="25" tableBorderDxfId="24">
  <autoFilter ref="B87:C107" xr:uid="{00000000-0009-0000-0100-000006000000}"/>
  <tableColumns count="2">
    <tableColumn id="1" xr3:uid="{688A70E0-FB3A-418D-8137-0DB750E2A8B9}" name="Meios de contato" dataDxfId="23">
      <calculatedColumnFormula>IF(Cadastros!B6="","",Cadastros!B6)</calculatedColumnFormula>
    </tableColumn>
    <tableColumn id="2" xr3:uid="{E9E476C5-8928-49C5-AC05-AB20EAA74503}" name="Geral" dataDxfId="22" dataCellStyle="Porcentagem"/>
  </tableColumns>
  <tableStyleInfo name="TableStyleLight1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9DCC4D2D-3873-4591-A9F5-F29179355C14}" name="Tabela3" displayName="Tabela3" ref="B5:B19" totalsRowShown="0" headerRowDxfId="21" dataDxfId="20" headerRowCellStyle="Normal 2" dataCellStyle="Normal 2">
  <tableColumns count="1">
    <tableColumn id="1" xr3:uid="{8D15BDEC-FB38-4305-A4D6-ACA99C46FFF7}" name="COMO SOUBE" dataDxfId="19" dataCellStyle="Normal 2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2F2C213-BDB9-4873-9F2E-EB53989430EF}" name="Tabela4" displayName="Tabela4" ref="D5:E90" totalsRowShown="0" headerRowDxfId="18" dataDxfId="17" headerRowCellStyle="Normal 2" dataCellStyle="Normal 2">
  <autoFilter ref="D5:E90" xr:uid="{A5877053-F35A-4589-B253-F4B9419AC71C}"/>
  <sortState xmlns:xlrd2="http://schemas.microsoft.com/office/spreadsheetml/2017/richdata2" ref="D6:D70">
    <sortCondition ref="D5:D70"/>
  </sortState>
  <tableColumns count="2">
    <tableColumn id="1" xr3:uid="{61898FA8-E6B8-4951-AC63-334D42C93B14}" name="PRODUTO" dataDxfId="16" dataCellStyle="Normal 2"/>
    <tableColumn id="2" xr3:uid="{9F86D01D-10AE-4D94-A782-473D96BCBB07}" name="PREÇO" dataDxfId="15" dataCellStyle="Normal 2"/>
  </tableColumns>
  <tableStyleInfo name="TableStyleLight10" showFirstColumn="0" showLastColumn="0" showRowStripes="1" showColumnStripes="1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DFEE82A5-51EB-441C-ACED-D505290DAB20}" name="Tabela5" displayName="Tabela5" ref="J5:J9" totalsRowShown="0" headerRowDxfId="14" dataDxfId="13" headerRowCellStyle="Normal 2" dataCellStyle="Normal 2">
  <tableColumns count="1">
    <tableColumn id="1" xr3:uid="{C29CB2C8-906C-47DB-B62C-408957D7DF58}" name="STATUS" dataDxfId="12" dataCellStyle="Normal 2"/>
  </tableColumns>
  <tableStyleInfo name="TableStyleLight1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A4EC5FF-6760-44D1-8846-724F69EF221F}" name="Tabela8" displayName="Tabela8" ref="L5:N13" totalsRowShown="0" headerRowDxfId="11" headerRowCellStyle="Normal 2">
  <tableColumns count="3">
    <tableColumn id="1" xr3:uid="{16DF03B5-C238-4D07-AB59-1BD850E42A2D}" name="Nível" dataDxfId="10" dataCellStyle="Normal 2"/>
    <tableColumn id="2" xr3:uid="{B58956CD-F777-4CED-A777-9DDE2ED93E6B}" name="Peça" dataDxfId="9" dataCellStyle="Normal 2"/>
    <tableColumn id="3" xr3:uid="{CD67766C-B320-444F-801B-C6505135CF8C}" name="Desconto" dataDxfId="8" dataCellStyle="Normal 2"/>
  </tableColumns>
  <tableStyleInfo name="TableStyleLight1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EA7FC87-1D1F-486D-AA10-361FFF492CF9}" name="Tabela7" displayName="Tabela7" ref="J12:J19" totalsRowShown="0" headerRowDxfId="7" dataDxfId="6" headerRowCellStyle="Normal 2" dataCellStyle="Normal 2">
  <tableColumns count="1">
    <tableColumn id="1" xr3:uid="{48AE1245-24C1-4F48-87B1-52F596F38C0F}" name="FORMA DE PGTO" dataDxfId="5" dataCellStyle="Normal 2"/>
  </tableColumns>
  <tableStyleInfo name="TableStyleLight13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C893CAB-A494-4636-8DCD-DC6329A05325}" name="Tabela42" displayName="Tabela42" ref="G5:H90" totalsRowShown="0" headerRowDxfId="4" dataDxfId="3" tableBorderDxfId="2" headerRowCellStyle="Normal 2" dataCellStyle="Normal 2">
  <autoFilter ref="G5:H90" xr:uid="{A9685F6A-C41F-4370-8D0E-161B77450818}"/>
  <sortState xmlns:xlrd2="http://schemas.microsoft.com/office/spreadsheetml/2017/richdata2" ref="G6:G70">
    <sortCondition ref="G5:G70"/>
  </sortState>
  <tableColumns count="2">
    <tableColumn id="1" xr3:uid="{DA491B1A-EE37-401D-8CF8-F6066D57912C}" name="ACESSÓRIOS" dataDxfId="1" dataCellStyle="Normal 2"/>
    <tableColumn id="2" xr3:uid="{19C224B6-B36B-4D83-9C3D-A9BA371C3796}" name="PREÇO" dataDxfId="0" dataCellStyle="Normal 2"/>
  </tableColumns>
  <tableStyleInfo name="TableStyleLight10" showFirstColumn="0" showLastColumn="0" showRowStripes="1" showColumnStripes="1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9.xml"/><Relationship Id="rId3" Type="http://schemas.openxmlformats.org/officeDocument/2006/relationships/table" Target="../tables/table4.xml"/><Relationship Id="rId7" Type="http://schemas.openxmlformats.org/officeDocument/2006/relationships/table" Target="../tables/table8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7.xml"/><Relationship Id="rId5" Type="http://schemas.openxmlformats.org/officeDocument/2006/relationships/table" Target="../tables/table6.xml"/><Relationship Id="rId4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82ED7A-F275-43AE-946A-9AA913DAE872}">
  <sheetPr codeName="Planilha1"/>
  <dimension ref="A1:BU2011"/>
  <sheetViews>
    <sheetView showGridLines="0" showRowColHeaders="0" tabSelected="1" zoomScaleNormal="100" workbookViewId="0">
      <pane xSplit="6" ySplit="7" topLeftCell="AZ8" activePane="bottomRight" state="frozen"/>
      <selection pane="topRight" activeCell="G1" sqref="G1"/>
      <selection pane="bottomLeft" activeCell="A7" sqref="A7"/>
      <selection pane="bottomRight" activeCell="BB10" sqref="BB10"/>
    </sheetView>
  </sheetViews>
  <sheetFormatPr defaultColWidth="0" defaultRowHeight="14.4" zeroHeight="1" x14ac:dyDescent="0.3"/>
  <cols>
    <col min="1" max="1" width="7.33203125" style="120" bestFit="1" customWidth="1"/>
    <col min="2" max="2" width="14.33203125" style="120" customWidth="1"/>
    <col min="3" max="3" width="13" style="120" bestFit="1" customWidth="1"/>
    <col min="4" max="4" width="13" style="120" customWidth="1"/>
    <col min="5" max="5" width="12.5546875" style="120" bestFit="1" customWidth="1"/>
    <col min="6" max="6" width="37.44140625" style="120" customWidth="1"/>
    <col min="7" max="7" width="16.5546875" style="120" customWidth="1"/>
    <col min="8" max="8" width="35.6640625" style="120" bestFit="1" customWidth="1"/>
    <col min="9" max="10" width="11.6640625" style="120" customWidth="1"/>
    <col min="11" max="12" width="16.5546875" style="120" customWidth="1"/>
    <col min="13" max="13" width="39" style="120" customWidth="1"/>
    <col min="14" max="15" width="11.6640625" style="120" customWidth="1"/>
    <col min="16" max="17" width="16.5546875" style="120" customWidth="1"/>
    <col min="18" max="18" width="39" style="120" customWidth="1"/>
    <col min="19" max="20" width="11.6640625" style="120" customWidth="1"/>
    <col min="21" max="22" width="16.5546875" style="120" customWidth="1"/>
    <col min="23" max="23" width="39" style="120" customWidth="1"/>
    <col min="24" max="25" width="11.6640625" style="120" customWidth="1"/>
    <col min="26" max="27" width="16.5546875" style="120" customWidth="1"/>
    <col min="28" max="28" width="39" style="120" customWidth="1"/>
    <col min="29" max="30" width="11.6640625" style="120" customWidth="1"/>
    <col min="31" max="32" width="16.5546875" style="120" customWidth="1"/>
    <col min="33" max="33" width="39" style="120" customWidth="1"/>
    <col min="34" max="35" width="11.6640625" style="120" customWidth="1"/>
    <col min="36" max="37" width="16.5546875" style="120" customWidth="1"/>
    <col min="38" max="38" width="39" style="120" customWidth="1"/>
    <col min="39" max="40" width="11.6640625" style="120" customWidth="1"/>
    <col min="41" max="42" width="16.5546875" style="120" customWidth="1"/>
    <col min="43" max="43" width="39" style="120" customWidth="1"/>
    <col min="44" max="45" width="11.6640625" style="120" customWidth="1"/>
    <col min="46" max="47" width="16.5546875" style="120" customWidth="1"/>
    <col min="48" max="48" width="30.5546875" style="120" customWidth="1"/>
    <col min="49" max="49" width="15.5546875" style="120" bestFit="1" customWidth="1"/>
    <col min="50" max="51" width="21.77734375" style="120" customWidth="1"/>
    <col min="52" max="52" width="23.44140625" style="120" customWidth="1"/>
    <col min="53" max="56" width="16.5546875" style="120" customWidth="1"/>
    <col min="57" max="57" width="9.109375" style="120" customWidth="1"/>
    <col min="58" max="59" width="9.109375" style="120" hidden="1" customWidth="1"/>
    <col min="60" max="60" width="44.109375" style="120" hidden="1" customWidth="1"/>
    <col min="61" max="61" width="3.77734375" style="120" hidden="1" customWidth="1"/>
    <col min="62" max="62" width="22.88671875" style="120" hidden="1" customWidth="1"/>
    <col min="63" max="63" width="3.6640625" style="120" hidden="1" customWidth="1"/>
    <col min="64" max="64" width="51.77734375" style="120" hidden="1" customWidth="1"/>
    <col min="65" max="65" width="3.77734375" style="120" hidden="1" customWidth="1"/>
    <col min="66" max="66" width="51.77734375" style="120" hidden="1" customWidth="1"/>
    <col min="67" max="67" width="4.44140625" style="120" hidden="1" customWidth="1"/>
    <col min="68" max="68" width="9.88671875" style="120" hidden="1" customWidth="1"/>
    <col min="69" max="69" width="3.88671875" style="120" hidden="1" customWidth="1"/>
    <col min="70" max="70" width="16.5546875" style="120" hidden="1" customWidth="1"/>
    <col min="71" max="71" width="8.44140625" style="120" hidden="1" customWidth="1"/>
    <col min="72" max="73" width="15.33203125" style="120" hidden="1" customWidth="1"/>
    <col min="74" max="16384" width="9.109375" style="120" hidden="1"/>
  </cols>
  <sheetData>
    <row r="1" spans="1:70" s="3" customFormat="1" ht="13.2" x14ac:dyDescent="0.25">
      <c r="A1" s="4"/>
      <c r="B1" s="4"/>
      <c r="C1" s="4"/>
      <c r="D1" s="4"/>
      <c r="E1" s="2"/>
      <c r="F1" s="103"/>
      <c r="G1" s="271"/>
      <c r="H1" s="271"/>
      <c r="I1" s="271"/>
      <c r="J1" s="103"/>
      <c r="K1" s="103"/>
      <c r="L1" s="103"/>
      <c r="M1" s="103"/>
      <c r="N1" s="103"/>
      <c r="O1" s="103"/>
      <c r="P1" s="103"/>
      <c r="Q1" s="103"/>
      <c r="R1" s="103"/>
      <c r="S1" s="103"/>
      <c r="T1" s="103"/>
      <c r="U1" s="103"/>
      <c r="V1" s="103"/>
      <c r="W1" s="103"/>
      <c r="X1" s="103"/>
      <c r="Y1" s="103"/>
      <c r="Z1" s="103"/>
      <c r="AA1" s="103"/>
      <c r="AB1" s="103"/>
      <c r="AC1" s="103"/>
      <c r="AD1" s="103"/>
      <c r="AE1" s="103"/>
      <c r="AF1" s="103"/>
      <c r="AG1" s="103"/>
      <c r="AH1" s="103"/>
      <c r="AI1" s="103"/>
      <c r="AJ1" s="103"/>
      <c r="AK1" s="103"/>
      <c r="AL1" s="103"/>
      <c r="AM1" s="103"/>
      <c r="AN1" s="103"/>
      <c r="AO1" s="103"/>
      <c r="AP1" s="103"/>
      <c r="AQ1" s="103"/>
      <c r="AR1" s="103"/>
      <c r="AS1" s="103"/>
      <c r="AT1" s="103"/>
      <c r="AU1" s="103"/>
      <c r="AV1" s="103"/>
      <c r="AW1" s="103"/>
      <c r="AX1" s="103"/>
      <c r="AY1" s="103"/>
      <c r="AZ1" s="103"/>
      <c r="BA1" s="103"/>
      <c r="BB1" s="103"/>
      <c r="BC1" s="103"/>
      <c r="BD1" s="103"/>
      <c r="BE1" s="1"/>
      <c r="BF1" s="1"/>
      <c r="BG1" s="1"/>
    </row>
    <row r="2" spans="1:70" s="3" customFormat="1" ht="13.2" x14ac:dyDescent="0.25">
      <c r="A2" s="4"/>
      <c r="B2" s="4"/>
      <c r="C2" s="4"/>
      <c r="D2" s="4"/>
      <c r="E2" s="2"/>
      <c r="F2" s="103"/>
      <c r="G2" s="124"/>
      <c r="H2" s="124"/>
      <c r="I2" s="124"/>
      <c r="J2" s="125"/>
      <c r="K2" s="103"/>
      <c r="L2" s="103"/>
      <c r="M2" s="103"/>
      <c r="N2" s="103"/>
      <c r="O2" s="103"/>
      <c r="P2" s="103"/>
      <c r="Q2" s="103"/>
      <c r="R2" s="103"/>
      <c r="S2" s="103"/>
      <c r="T2" s="103"/>
      <c r="U2" s="103"/>
      <c r="V2" s="103"/>
      <c r="W2" s="103"/>
      <c r="X2" s="103"/>
      <c r="Y2" s="103"/>
      <c r="Z2" s="103"/>
      <c r="AA2" s="103"/>
      <c r="AB2" s="103"/>
      <c r="AC2" s="103"/>
      <c r="AD2" s="103"/>
      <c r="AE2" s="103"/>
      <c r="AF2" s="103"/>
      <c r="AG2" s="103"/>
      <c r="AH2" s="103"/>
      <c r="AI2" s="103"/>
      <c r="AJ2" s="103"/>
      <c r="AK2" s="103"/>
      <c r="AL2" s="103"/>
      <c r="AM2" s="103"/>
      <c r="AN2" s="103"/>
      <c r="AO2" s="103"/>
      <c r="AP2" s="103"/>
      <c r="AQ2" s="103"/>
      <c r="AR2" s="103"/>
      <c r="AS2" s="103"/>
      <c r="AT2" s="103"/>
      <c r="AU2" s="103"/>
      <c r="AV2" s="103"/>
      <c r="AW2" s="103"/>
      <c r="AX2" s="103"/>
      <c r="AY2" s="103"/>
      <c r="AZ2" s="103"/>
      <c r="BA2" s="103"/>
      <c r="BB2" s="103"/>
      <c r="BC2" s="103"/>
      <c r="BD2" s="103"/>
      <c r="BE2" s="1"/>
      <c r="BF2" s="1"/>
      <c r="BG2" s="1"/>
    </row>
    <row r="3" spans="1:70" s="3" customFormat="1" ht="15.6" x14ac:dyDescent="0.3">
      <c r="A3" s="4"/>
      <c r="B3" s="4"/>
      <c r="C3" s="4"/>
      <c r="D3" s="4"/>
      <c r="E3" s="2"/>
      <c r="F3" s="103"/>
      <c r="G3" s="126" t="str">
        <f>IF(COUNTIF(Vendas!C:C,"Orçamento")=0,"Nós não temos nenhum orçamento em aberto.","Nós temos "&amp;COUNTIF(Vendas!C:C,"Orçamento")&amp;" orçamentos em aberto.")</f>
        <v>Nós não temos nenhum orçamento em aberto.</v>
      </c>
      <c r="H3" s="125"/>
      <c r="I3" s="125"/>
      <c r="J3" s="125"/>
      <c r="K3" s="103"/>
      <c r="L3" s="103"/>
      <c r="M3" s="103"/>
      <c r="N3" s="103"/>
      <c r="O3" s="103"/>
      <c r="P3" s="103"/>
      <c r="Q3" s="103"/>
      <c r="R3" s="103"/>
      <c r="S3" s="103"/>
      <c r="T3" s="103"/>
      <c r="U3" s="103"/>
      <c r="V3" s="103"/>
      <c r="W3" s="103"/>
      <c r="X3" s="103"/>
      <c r="Y3" s="103"/>
      <c r="Z3" s="103"/>
      <c r="AA3" s="103"/>
      <c r="AB3" s="103"/>
      <c r="AC3" s="103"/>
      <c r="AD3" s="103"/>
      <c r="AE3" s="103"/>
      <c r="AF3" s="103"/>
      <c r="AG3" s="103"/>
      <c r="AH3" s="103"/>
      <c r="AI3" s="103"/>
      <c r="AJ3" s="103"/>
      <c r="AK3" s="103"/>
      <c r="AL3" s="103"/>
      <c r="AM3" s="103"/>
      <c r="AN3" s="103"/>
      <c r="AO3" s="103"/>
      <c r="AP3" s="103"/>
      <c r="AQ3" s="103"/>
      <c r="AR3" s="103"/>
      <c r="AS3" s="103"/>
      <c r="AT3" s="103"/>
      <c r="AU3" s="103"/>
      <c r="AV3" s="103"/>
      <c r="AW3" s="103"/>
      <c r="AX3" s="103"/>
      <c r="AY3" s="103"/>
      <c r="AZ3" s="103"/>
      <c r="BA3" s="103"/>
      <c r="BB3" s="103"/>
      <c r="BC3" s="103"/>
      <c r="BD3" s="103"/>
      <c r="BE3" s="1"/>
      <c r="BF3" s="1"/>
      <c r="BG3" s="1"/>
    </row>
    <row r="4" spans="1:70" s="3" customFormat="1" ht="15.6" x14ac:dyDescent="0.3">
      <c r="A4" s="4"/>
      <c r="B4" s="4"/>
      <c r="C4" s="4"/>
      <c r="D4" s="4"/>
      <c r="E4" s="2"/>
      <c r="F4" s="103"/>
      <c r="G4" s="127" t="str">
        <f>IF(SUMIF(Vendas!C:C,"Orçamento",Vendas!BB:BB)=0,"","Isto representará, se fecharmos negócio, R$ "&amp;ROUND(SUMIF(Vendas!C:C,"Orçamento",Vendas!BB:BB),2)&amp;" a mais de faturamento")</f>
        <v/>
      </c>
      <c r="H4" s="125"/>
      <c r="I4" s="125"/>
      <c r="J4" s="125"/>
      <c r="K4" s="103"/>
      <c r="L4" s="103"/>
      <c r="M4" s="103"/>
      <c r="N4" s="103"/>
      <c r="O4" s="103"/>
      <c r="P4" s="103"/>
      <c r="Q4" s="103"/>
      <c r="R4" s="103"/>
      <c r="S4" s="103"/>
      <c r="T4" s="103"/>
      <c r="U4" s="103"/>
      <c r="V4" s="103"/>
      <c r="W4" s="103"/>
      <c r="X4" s="103"/>
      <c r="Y4" s="103"/>
      <c r="Z4" s="103"/>
      <c r="AA4" s="103"/>
      <c r="AB4" s="103"/>
      <c r="AC4" s="103"/>
      <c r="AD4" s="103"/>
      <c r="AE4" s="103"/>
      <c r="AF4" s="103"/>
      <c r="AG4" s="103"/>
      <c r="AH4" s="103"/>
      <c r="AI4" s="103"/>
      <c r="AJ4" s="103"/>
      <c r="AK4" s="103"/>
      <c r="AL4" s="103"/>
      <c r="AM4" s="103"/>
      <c r="AN4" s="103"/>
      <c r="AO4" s="103"/>
      <c r="AP4" s="103"/>
      <c r="AQ4" s="103"/>
      <c r="AR4" s="103"/>
      <c r="AS4" s="103"/>
      <c r="AT4" s="103"/>
      <c r="AU4" s="103"/>
      <c r="AV4" s="103"/>
      <c r="AW4" s="103"/>
      <c r="AX4" s="103"/>
      <c r="AY4" s="103"/>
      <c r="AZ4" s="103"/>
      <c r="BA4" s="103"/>
      <c r="BB4" s="103"/>
      <c r="BC4" s="103"/>
      <c r="BD4" s="103"/>
      <c r="BE4" s="1"/>
      <c r="BF4" s="1"/>
      <c r="BG4" s="1"/>
    </row>
    <row r="5" spans="1:70" s="3" customFormat="1" ht="11.4" customHeight="1" x14ac:dyDescent="0.25">
      <c r="A5" s="4"/>
      <c r="B5" s="4"/>
      <c r="C5" s="4"/>
      <c r="D5" s="4"/>
      <c r="E5" s="2"/>
      <c r="F5" s="103"/>
      <c r="G5" s="156"/>
      <c r="H5" s="156"/>
      <c r="I5" s="272"/>
      <c r="J5" s="277"/>
      <c r="K5" s="103"/>
      <c r="L5" s="103"/>
      <c r="M5" s="103"/>
      <c r="N5" s="103"/>
      <c r="O5" s="103"/>
      <c r="P5" s="103"/>
      <c r="Q5" s="103"/>
      <c r="R5" s="103"/>
      <c r="S5" s="103"/>
      <c r="T5" s="103"/>
      <c r="U5" s="103"/>
      <c r="V5" s="103"/>
      <c r="W5" s="103"/>
      <c r="X5" s="103"/>
      <c r="Y5" s="103"/>
      <c r="Z5" s="103"/>
      <c r="AA5" s="103"/>
      <c r="AB5" s="103"/>
      <c r="AC5" s="103"/>
      <c r="AD5" s="103"/>
      <c r="AE5" s="103"/>
      <c r="AF5" s="103"/>
      <c r="AG5" s="103"/>
      <c r="AH5" s="103"/>
      <c r="AI5" s="103"/>
      <c r="AJ5" s="103"/>
      <c r="AK5" s="103"/>
      <c r="AL5" s="103"/>
      <c r="AM5" s="103"/>
      <c r="AN5" s="103"/>
      <c r="AO5" s="103"/>
      <c r="AP5" s="103"/>
      <c r="AQ5" s="103"/>
      <c r="AR5" s="103"/>
      <c r="AS5" s="103"/>
      <c r="AT5" s="103"/>
      <c r="AU5" s="103"/>
      <c r="AV5" s="103"/>
      <c r="AW5" s="103"/>
      <c r="AX5" s="103"/>
      <c r="AY5" s="103"/>
      <c r="AZ5" s="103"/>
      <c r="BA5" s="103"/>
      <c r="BB5" s="103"/>
      <c r="BC5" s="103"/>
      <c r="BD5" s="103"/>
      <c r="BE5" s="1"/>
      <c r="BF5" s="1"/>
      <c r="BG5" s="1"/>
    </row>
    <row r="6" spans="1:70" s="3" customFormat="1" x14ac:dyDescent="0.25">
      <c r="A6" s="117"/>
      <c r="B6" s="118">
        <f>MAX(B8:B2008)</f>
        <v>107</v>
      </c>
      <c r="C6" s="119" t="s">
        <v>0</v>
      </c>
      <c r="D6" s="119"/>
      <c r="E6" s="117"/>
      <c r="F6" s="117"/>
      <c r="G6" s="169"/>
      <c r="H6" s="288" t="s">
        <v>1</v>
      </c>
      <c r="I6" s="288"/>
      <c r="J6" s="288"/>
      <c r="K6" s="288"/>
      <c r="L6" s="288"/>
      <c r="M6" s="289" t="s">
        <v>2</v>
      </c>
      <c r="N6" s="289"/>
      <c r="O6" s="289"/>
      <c r="P6" s="289"/>
      <c r="Q6" s="5"/>
      <c r="R6" s="290" t="s">
        <v>3</v>
      </c>
      <c r="S6" s="290"/>
      <c r="T6" s="290"/>
      <c r="U6" s="290"/>
      <c r="V6" s="6"/>
      <c r="W6" s="291" t="s">
        <v>4</v>
      </c>
      <c r="X6" s="291"/>
      <c r="Y6" s="291"/>
      <c r="Z6" s="291"/>
      <c r="AA6" s="7"/>
      <c r="AB6" s="292" t="s">
        <v>5</v>
      </c>
      <c r="AC6" s="292"/>
      <c r="AD6" s="292"/>
      <c r="AE6" s="292"/>
      <c r="AF6" s="8"/>
      <c r="AG6" s="293" t="s">
        <v>6</v>
      </c>
      <c r="AH6" s="293"/>
      <c r="AI6" s="293"/>
      <c r="AJ6" s="293"/>
      <c r="AK6" s="9"/>
      <c r="AL6" s="286" t="s">
        <v>7</v>
      </c>
      <c r="AM6" s="286"/>
      <c r="AN6" s="286"/>
      <c r="AO6" s="286"/>
      <c r="AP6" s="10"/>
      <c r="AQ6" s="287" t="s">
        <v>8</v>
      </c>
      <c r="AR6" s="287"/>
      <c r="AS6" s="287"/>
      <c r="AT6" s="287"/>
      <c r="AU6" s="11"/>
      <c r="AV6" s="284" t="s">
        <v>9</v>
      </c>
      <c r="AW6" s="284"/>
      <c r="AX6" s="284"/>
      <c r="AY6" s="284"/>
      <c r="AZ6" s="284"/>
      <c r="BA6" s="284"/>
      <c r="BB6" s="284"/>
      <c r="BC6" s="284"/>
      <c r="BD6" s="284"/>
      <c r="BE6" s="1"/>
      <c r="BF6" s="1"/>
      <c r="BG6" s="1"/>
    </row>
    <row r="7" spans="1:70" s="13" customFormat="1" ht="26.4" x14ac:dyDescent="0.3">
      <c r="A7" s="116" t="s">
        <v>10</v>
      </c>
      <c r="B7" s="111" t="s">
        <v>11</v>
      </c>
      <c r="C7" s="112" t="s">
        <v>12</v>
      </c>
      <c r="D7" s="113" t="s">
        <v>13</v>
      </c>
      <c r="E7" s="113" t="s">
        <v>366</v>
      </c>
      <c r="F7" s="114" t="s">
        <v>138</v>
      </c>
      <c r="G7" s="114" t="s">
        <v>220</v>
      </c>
      <c r="H7" s="114" t="s">
        <v>15</v>
      </c>
      <c r="I7" s="114" t="s">
        <v>16</v>
      </c>
      <c r="J7" s="114" t="s">
        <v>17</v>
      </c>
      <c r="K7" s="114" t="s">
        <v>18</v>
      </c>
      <c r="L7" s="114" t="s">
        <v>136</v>
      </c>
      <c r="M7" s="114" t="s">
        <v>19</v>
      </c>
      <c r="N7" s="114" t="s">
        <v>20</v>
      </c>
      <c r="O7" s="114" t="s">
        <v>21</v>
      </c>
      <c r="P7" s="114" t="s">
        <v>22</v>
      </c>
      <c r="Q7" s="114" t="s">
        <v>23</v>
      </c>
      <c r="R7" s="114" t="s">
        <v>24</v>
      </c>
      <c r="S7" s="114" t="s">
        <v>25</v>
      </c>
      <c r="T7" s="114" t="s">
        <v>26</v>
      </c>
      <c r="U7" s="114" t="s">
        <v>27</v>
      </c>
      <c r="V7" s="114" t="s">
        <v>28</v>
      </c>
      <c r="W7" s="114" t="s">
        <v>29</v>
      </c>
      <c r="X7" s="114" t="s">
        <v>30</v>
      </c>
      <c r="Y7" s="114" t="s">
        <v>31</v>
      </c>
      <c r="Z7" s="114" t="s">
        <v>32</v>
      </c>
      <c r="AA7" s="114" t="s">
        <v>33</v>
      </c>
      <c r="AB7" s="114" t="s">
        <v>34</v>
      </c>
      <c r="AC7" s="114" t="s">
        <v>35</v>
      </c>
      <c r="AD7" s="114" t="s">
        <v>36</v>
      </c>
      <c r="AE7" s="114" t="s">
        <v>37</v>
      </c>
      <c r="AF7" s="114" t="s">
        <v>38</v>
      </c>
      <c r="AG7" s="114" t="s">
        <v>39</v>
      </c>
      <c r="AH7" s="114" t="s">
        <v>40</v>
      </c>
      <c r="AI7" s="114" t="s">
        <v>41</v>
      </c>
      <c r="AJ7" s="114" t="s">
        <v>42</v>
      </c>
      <c r="AK7" s="114" t="s">
        <v>43</v>
      </c>
      <c r="AL7" s="114" t="s">
        <v>44</v>
      </c>
      <c r="AM7" s="114" t="s">
        <v>45</v>
      </c>
      <c r="AN7" s="114" t="s">
        <v>46</v>
      </c>
      <c r="AO7" s="114" t="s">
        <v>47</v>
      </c>
      <c r="AP7" s="114" t="s">
        <v>48</v>
      </c>
      <c r="AQ7" s="114" t="s">
        <v>49</v>
      </c>
      <c r="AR7" s="114" t="s">
        <v>50</v>
      </c>
      <c r="AS7" s="114" t="s">
        <v>51</v>
      </c>
      <c r="AT7" s="114" t="s">
        <v>52</v>
      </c>
      <c r="AU7" s="114" t="s">
        <v>53</v>
      </c>
      <c r="AV7" s="263" t="s">
        <v>364</v>
      </c>
      <c r="AW7" s="263" t="s">
        <v>359</v>
      </c>
      <c r="AX7" s="114" t="s">
        <v>358</v>
      </c>
      <c r="AY7" s="114" t="s">
        <v>361</v>
      </c>
      <c r="AZ7" s="114" t="s">
        <v>54</v>
      </c>
      <c r="BA7" s="263" t="s">
        <v>55</v>
      </c>
      <c r="BB7" s="114" t="s">
        <v>56</v>
      </c>
      <c r="BC7" s="114" t="s">
        <v>221</v>
      </c>
      <c r="BD7" s="115" t="s">
        <v>57</v>
      </c>
      <c r="BE7" s="120"/>
      <c r="BF7" s="120"/>
      <c r="BG7" s="120"/>
      <c r="BH7" s="12" t="s">
        <v>58</v>
      </c>
      <c r="BJ7" s="12" t="s">
        <v>59</v>
      </c>
      <c r="BL7" s="14" t="s">
        <v>60</v>
      </c>
      <c r="BN7" s="14" t="s">
        <v>288</v>
      </c>
      <c r="BP7" s="14" t="s">
        <v>12</v>
      </c>
      <c r="BR7" s="14" t="s">
        <v>61</v>
      </c>
    </row>
    <row r="8" spans="1:70" s="3" customFormat="1" x14ac:dyDescent="0.3">
      <c r="A8" s="15">
        <f t="shared" ref="A8:A71" si="0">IF(C8="orçamento",25%,IF(C8="aprovado",50%,IF(C8="entregue",100%,IF(C8="não aceito",0%,""))))</f>
        <v>1</v>
      </c>
      <c r="B8" s="16">
        <v>101</v>
      </c>
      <c r="C8" s="17" t="s">
        <v>62</v>
      </c>
      <c r="D8" s="278">
        <v>43983</v>
      </c>
      <c r="E8" s="18">
        <v>43994</v>
      </c>
      <c r="F8" s="19" t="s">
        <v>66</v>
      </c>
      <c r="G8" s="18">
        <v>43994</v>
      </c>
      <c r="H8" s="19" t="s">
        <v>232</v>
      </c>
      <c r="I8" s="19">
        <v>1</v>
      </c>
      <c r="J8" s="255">
        <f>IF(H8="","",(_xlfn.XLOOKUP(H8,Cadastros!$D$6:$D$90,Cadastros!$E$6:$E$90))*(1-_xlfn.XLOOKUP(_xlfn.XLOOKUP($F8,Clientes!$B$4:$B$39,Clientes!$C$4:$C$39),Cadastros!$L$6:$L$12,Cadastros!$N$6:$N$12)))</f>
        <v>2480.64</v>
      </c>
      <c r="K8" s="168">
        <f t="shared" ref="K8:K71" si="1">IF(J8="","",I8*J8)</f>
        <v>2480.64</v>
      </c>
      <c r="L8" s="168">
        <f>IFERROR(K8/_xlfn.XLOOKUP(_xlfn.XLOOKUP($F8,Clientes!$B$4:$B$39,Clientes!$C$4:$C$39),Cadastros!$L$6:$L$12,Cadastros!$M$6:$M$12)," ")</f>
        <v>1.1549463647199045</v>
      </c>
      <c r="M8" s="19" t="s">
        <v>267</v>
      </c>
      <c r="N8" s="19">
        <v>2</v>
      </c>
      <c r="O8" s="255">
        <f>IF(M8="","",(_xlfn.XLOOKUP(M8,Cadastros!$D$6:$D$90,Cadastros!$E$6:$E$90))*(1-_xlfn.XLOOKUP(_xlfn.XLOOKUP($F8,Clientes!$B$4:$B$39,Clientes!$C$4:$C$39),Cadastros!$L$6:$L$12,Cadastros!$N$6:$N$12)))</f>
        <v>92.16</v>
      </c>
      <c r="P8" s="168">
        <f t="shared" ref="P8:P71" si="2">IF(O8="","",N8*O8)</f>
        <v>184.32</v>
      </c>
      <c r="Q8" s="168">
        <f>IFERROR(P8/_xlfn.XLOOKUP(_xlfn.XLOOKUP($F8,Clientes!$B$4:$B$39,Clientes!$C$4:$C$39),Cadastros!$L$6:$L$12,Cadastros!$M$6:$M$12)," ")</f>
        <v>8.5816448152562563E-2</v>
      </c>
      <c r="R8" s="19"/>
      <c r="S8" s="19"/>
      <c r="T8" s="255" t="str">
        <f>IF(R8="","",(_xlfn.XLOOKUP(R8,Cadastros!$D$6:$D$90,Cadastros!$E$6:$E$90))*(1-_xlfn.XLOOKUP(_xlfn.XLOOKUP($F8,Clientes!$B$4:$B$39,Clientes!$C$4:$C$39),Cadastros!$L$6:$L$12,Cadastros!$N$6:$N$12)))</f>
        <v/>
      </c>
      <c r="U8" s="168" t="str">
        <f t="shared" ref="U8:U71" si="3">IF(T8="","",S8*T8)</f>
        <v/>
      </c>
      <c r="V8" s="168" t="str">
        <f>IFERROR(U8/_xlfn.XLOOKUP(_xlfn.XLOOKUP($F8,Clientes!$B$4:$B$39,Clientes!$C$4:$C$39),Cadastros!$L$6:$L$12,Cadastros!$M$6:$M$12)," ")</f>
        <v xml:space="preserve"> </v>
      </c>
      <c r="W8" s="19"/>
      <c r="X8" s="19"/>
      <c r="Y8" s="255" t="str">
        <f>IF(W8="","",(_xlfn.XLOOKUP(W8,Cadastros!$D$6:$D$90,Cadastros!$E$6:$E$90))*(1-_xlfn.XLOOKUP(_xlfn.XLOOKUP($F8,Clientes!$B$4:$B$39,Clientes!$C$4:$C$39),Cadastros!$L$6:$L$12,Cadastros!$N$6:$N$12)))</f>
        <v/>
      </c>
      <c r="Z8" s="168" t="str">
        <f t="shared" ref="Z8:Z71" si="4">IF(Y8="","",X8*Y8)</f>
        <v/>
      </c>
      <c r="AA8" s="168" t="str">
        <f>IFERROR(Z8/_xlfn.XLOOKUP(_xlfn.XLOOKUP($F8,Clientes!$B$4:$B$39,Clientes!$C$4:$C$39),Cadastros!$L$6:$L$12,Cadastros!$M$6:$M$12)," ")</f>
        <v xml:space="preserve"> </v>
      </c>
      <c r="AB8" s="19" t="s">
        <v>294</v>
      </c>
      <c r="AC8" s="19">
        <v>1</v>
      </c>
      <c r="AD8" s="20">
        <f>IF(AB8="","",IF($F8="Bernardino Furlan",_xlfn.XLOOKUP(AB8,Cadastros!$G$6:$G$90,Cadastros!$H$6:$H$90)*(1-0.18),IF($F8="Mauro José Salanti",_xlfn.XLOOKUP(AB8,Cadastros!$G$6:$G$90,Cadastros!$H$6:$H$90)*(1-0.18),_xlfn.XLOOKUP(AB8,Cadastros!$G$6:$G$90,Cadastros!$H$6:$H$90))))</f>
        <v>733.08</v>
      </c>
      <c r="AE8" s="168">
        <f t="shared" ref="AE8:AE71" si="5">IF(AD8="","",AC8*AD8)</f>
        <v>733.08</v>
      </c>
      <c r="AF8" s="168">
        <f t="shared" ref="AF8:AF71" si="6">IFERROR(IF($F8="Bernardino Furlan",AE8/2751.92,IF($F8="Mauro José Salanti",AE8/2751.92,AE8/3356)),"")</f>
        <v>0.26638855780691301</v>
      </c>
      <c r="AG8" s="19"/>
      <c r="AH8" s="19"/>
      <c r="AI8" s="20" t="str">
        <f>IF(AG8="","",IF($F8="Bernardino Furlan",_xlfn.XLOOKUP(AG8,Cadastros!$G$6:$G$90,Cadastros!$H$6:$H$90)*(1-0.18),IF($F8="Mauro José Salanti",_xlfn.XLOOKUP(AG8,Cadastros!$G$6:$G$90,Cadastros!$H$6:$H$90)*(1-0.18),_xlfn.XLOOKUP(AG8,Cadastros!$G$6:$G$90,Cadastros!$H$6:$H$90))))</f>
        <v/>
      </c>
      <c r="AJ8" s="168" t="str">
        <f t="shared" ref="AJ8:AJ71" si="7">IF(AI8="","",AH8*AI8)</f>
        <v/>
      </c>
      <c r="AK8" s="168" t="str">
        <f t="shared" ref="AK8:AK71" si="8">IFERROR(IF($F8="Bernardino Furlan",AJ8/2751.92,IF($F8="Mauro José Salanti",AJ8/2751.92,AJ8/3356)),"")</f>
        <v/>
      </c>
      <c r="AL8" s="19"/>
      <c r="AM8" s="19"/>
      <c r="AN8" s="20" t="str">
        <f>IF(AL8="","",IF($F8="Bernardino Furlan",_xlfn.XLOOKUP(AL8,Cadastros!$G$6:$G$90,Cadastros!$H$6:$H$90)*(1-0.18),IF($F8="Mauro José Salanti",_xlfn.XLOOKUP(AL8,Cadastros!$G$6:$G$90,Cadastros!$H$6:$H$90)*(1-0.18),_xlfn.XLOOKUP(AL8,Cadastros!$G$6:$G$90,Cadastros!$H$6:$H$90))))</f>
        <v/>
      </c>
      <c r="AO8" s="168" t="str">
        <f t="shared" ref="AO8:AO71" si="9">IF(AN8="","",AM8*AN8)</f>
        <v/>
      </c>
      <c r="AP8" s="168" t="str">
        <f t="shared" ref="AP8:AP71" si="10">IFERROR(IF($F8="Bernardino Furlan",AO8/2751.92,IF($F8="Mauro José Salanti",AO8/2751.92,AO8/3356)),"")</f>
        <v/>
      </c>
      <c r="AQ8" s="19"/>
      <c r="AR8" s="19"/>
      <c r="AS8" s="20" t="str">
        <f>IF(AQ8="","",IF($F8="Bernardino Furlan",_xlfn.XLOOKUP(AQ8,Cadastros!$G$6:$G$90,Cadastros!$H$6:$H$90)*(1-0.18),IF($F8="Mauro José Salanti",_xlfn.XLOOKUP(AQ8,Cadastros!$G$6:$G$90,Cadastros!$H$6:$H$90)*(1-0.18),_xlfn.XLOOKUP(AQ8,Cadastros!$G$6:$G$90,Cadastros!$H$6:$H$90))))</f>
        <v/>
      </c>
      <c r="AT8" s="168" t="str">
        <f t="shared" ref="AT8:AT71" si="11">IF(AS8="","",AR8*AS8)</f>
        <v/>
      </c>
      <c r="AU8" s="168" t="str">
        <f t="shared" ref="AU8:AU71" si="12">IFERROR(IF($F8="Bernardino Furlan",AT8/2751.92,IF($F8="Mauro José Salanti",AT8/2751.92,AT8/3356)),"")</f>
        <v/>
      </c>
      <c r="AV8" s="226" t="s">
        <v>371</v>
      </c>
      <c r="AW8" s="22"/>
      <c r="AX8" s="266"/>
      <c r="AY8" s="266"/>
      <c r="AZ8" s="21" t="s">
        <v>64</v>
      </c>
      <c r="BA8" s="22">
        <v>458</v>
      </c>
      <c r="BB8" s="23" cm="1">
        <f t="array" ref="BB8">_xlfn.IFS(AW8="SIM",SUM(K8,P8,U8,Z8,AE8,AJ8,AO8,AT8,AX8,AY8),F8&lt;&gt;"",SUM(K8,P8,U8,Z8,AE8,AJ8,,AO8,AT8),F8="","")</f>
        <v>3398.04</v>
      </c>
      <c r="BC8" s="211" cm="1">
        <f t="array" ref="BC8">_xlfn.IFS(E8="","",G8&lt;=E8,BB8*(1-0.03),G8&lt;(E8+8),BB8,AZ8="Boleto",BB8*(1+0.001)^DATEDIF(E8,G8,"D"),AZ8="Cheque",BB8,AZ8="Dinheiro","Alterar forma pgto")</f>
        <v>3296.0987999999998</v>
      </c>
      <c r="BD8" s="276" cm="1">
        <f t="array" ref="BD8">IF(F8=0," ",IF(BC8&lt;BB8,(_xlfn.IFS(AW8="SIM",SUM(L8,Q8,V8,AA8,AF8,AK8,AP8,AU8)+AX8/_xlfn.XLOOKUP(_xlfn.XLOOKUP($F8,Clientes!$B$4:$B$39,Clientes!$C$4:$C$39),Cadastros!$L$6:$L$12,Cadastros!$M$6:$M$12)+IF($F8="Bernardino Furlan",AY8/2751.92,IF($F8="Mauro José Salanti",AY8/2751.92,AY8/3356)),F8&lt;&gt;0,SUM(L8,Q8,V8,AA8,AF8,AK8,AP8,AU8)))*(1-0.03),_xlfn.IFS(AW8="SIM",SUM(L8,Q8,V8,AA8,AF8,AK8,AP8,AU8)+AX8/_xlfn.XLOOKUP(_xlfn.XLOOKUP($F8,Clientes!$B$4:$B$39,Clientes!$C$4:$C$39),Cadastros!$L$6:$L$12,Cadastros!$M$6:$M$12)+IF($F8="Bernardino Furlan",AY8/2751.92,IF($F8="Mauro José Salanti",AY8/2751.92,AY8/3356)),F8&lt;&gt;0,SUM(L8,Q8,V8,AA8,AF8,AK8,AP8,AU8))))</f>
        <v>1.4619368295589985</v>
      </c>
      <c r="BE8" s="120"/>
      <c r="BF8" s="120"/>
      <c r="BG8" s="120"/>
      <c r="BH8" s="231" t="str">
        <f>IF(Clientes!B4="","",Clientes!B4)</f>
        <v>Antonio Marcos Montana De Moraes</v>
      </c>
      <c r="BJ8" s="24" t="str">
        <f>IF(Cadastros!B6="","",Cadastros!B6)</f>
        <v>Indicação</v>
      </c>
      <c r="BL8" s="233"/>
      <c r="BM8" s="234"/>
      <c r="BN8" s="233"/>
      <c r="BP8" s="24" t="str">
        <f>IF(Cadastros!J6="","",Cadastros!J6)</f>
        <v>Orçamento</v>
      </c>
      <c r="BR8" s="24" t="str">
        <f>IF(Cadastros!J13="","",Cadastros!J13)</f>
        <v>Dinheiro</v>
      </c>
    </row>
    <row r="9" spans="1:70" s="3" customFormat="1" x14ac:dyDescent="0.3">
      <c r="A9" s="15">
        <f t="shared" si="0"/>
        <v>1</v>
      </c>
      <c r="B9" s="16">
        <v>102</v>
      </c>
      <c r="C9" s="17" t="s">
        <v>62</v>
      </c>
      <c r="D9" s="278">
        <v>43983</v>
      </c>
      <c r="E9" s="18">
        <v>43994</v>
      </c>
      <c r="F9" s="19" t="s">
        <v>66</v>
      </c>
      <c r="G9" s="18">
        <v>43994</v>
      </c>
      <c r="H9" s="19" t="s">
        <v>243</v>
      </c>
      <c r="I9" s="19">
        <v>1</v>
      </c>
      <c r="J9" s="255">
        <f>IF(H9="","",(_xlfn.XLOOKUP(H9,Cadastros!$D$6:$D$90,Cadastros!$E$6:$E$90))*(1-_xlfn.XLOOKUP(_xlfn.XLOOKUP($F9,Clientes!$B$4:$B$39,Clientes!$C$4:$C$39),Cadastros!$L$6:$L$12,Cadastros!$N$6:$N$12)))</f>
        <v>2368</v>
      </c>
      <c r="K9" s="168">
        <f t="shared" si="1"/>
        <v>2368</v>
      </c>
      <c r="L9" s="168">
        <f>IFERROR(K9/_xlfn.XLOOKUP(_xlfn.XLOOKUP($F9,Clientes!$B$4:$B$39,Clientes!$C$4:$C$39),Cadastros!$L$6:$L$12,Cadastros!$M$6:$M$12)," ")</f>
        <v>1.102502979737783</v>
      </c>
      <c r="M9" s="19" t="s">
        <v>267</v>
      </c>
      <c r="N9" s="19">
        <v>2</v>
      </c>
      <c r="O9" s="255">
        <f>IF(M9="","",(_xlfn.XLOOKUP(M9,Cadastros!$D$6:$D$90,Cadastros!$E$6:$E$90))*(1-_xlfn.XLOOKUP(_xlfn.XLOOKUP($F9,Clientes!$B$4:$B$39,Clientes!$C$4:$C$39),Cadastros!$L$6:$L$12,Cadastros!$N$6:$N$12)))</f>
        <v>92.16</v>
      </c>
      <c r="P9" s="168">
        <f t="shared" si="2"/>
        <v>184.32</v>
      </c>
      <c r="Q9" s="168">
        <f>IFERROR(P9/_xlfn.XLOOKUP(_xlfn.XLOOKUP($F9,Clientes!$B$4:$B$39,Clientes!$C$4:$C$39),Cadastros!$L$6:$L$12,Cadastros!$M$6:$M$12)," ")</f>
        <v>8.5816448152562563E-2</v>
      </c>
      <c r="R9" s="19"/>
      <c r="S9" s="19"/>
      <c r="T9" s="255" t="str">
        <f>IF(R9="","",(_xlfn.XLOOKUP(R9,Cadastros!$D$6:$D$90,Cadastros!$E$6:$E$90))*(1-_xlfn.XLOOKUP(_xlfn.XLOOKUP($F9,Clientes!$B$4:$B$39,Clientes!$C$4:$C$39),Cadastros!$L$6:$L$12,Cadastros!$N$6:$N$12)))</f>
        <v/>
      </c>
      <c r="U9" s="168" t="str">
        <f t="shared" si="3"/>
        <v/>
      </c>
      <c r="V9" s="168" t="str">
        <f>IFERROR(U9/_xlfn.XLOOKUP(_xlfn.XLOOKUP($F9,Clientes!$B$4:$B$39,Clientes!$C$4:$C$39),Cadastros!$L$6:$L$12,Cadastros!$M$6:$M$12)," ")</f>
        <v xml:space="preserve"> </v>
      </c>
      <c r="W9" s="19"/>
      <c r="X9" s="19"/>
      <c r="Y9" s="255" t="str">
        <f>IF(W9="","",(_xlfn.XLOOKUP(W9,Cadastros!$D$6:$D$90,Cadastros!$E$6:$E$90))*(1-_xlfn.XLOOKUP(_xlfn.XLOOKUP($F9,Clientes!$B$4:$B$39,Clientes!$C$4:$C$39),Cadastros!$L$6:$L$12,Cadastros!$N$6:$N$12)))</f>
        <v/>
      </c>
      <c r="Z9" s="168" t="str">
        <f t="shared" si="4"/>
        <v/>
      </c>
      <c r="AA9" s="168" t="str">
        <f>IFERROR(Z9/_xlfn.XLOOKUP(_xlfn.XLOOKUP($F9,Clientes!$B$4:$B$39,Clientes!$C$4:$C$39),Cadastros!$L$6:$L$12,Cadastros!$M$6:$M$12)," ")</f>
        <v xml:space="preserve"> </v>
      </c>
      <c r="AB9" s="19"/>
      <c r="AC9" s="19"/>
      <c r="AD9" s="20" t="str">
        <f>IF(AB9="","",IF($F9="Bernardino Furlan",_xlfn.XLOOKUP(AB9,Cadastros!$G$6:$G$90,Cadastros!$H$6:$H$90)*(1-0.18),IF($F9="Mauro José Salanti",_xlfn.XLOOKUP(AB9,Cadastros!$G$6:$G$90,Cadastros!$H$6:$H$90)*(1-0.18),_xlfn.XLOOKUP(AB9,Cadastros!$G$6:$G$90,Cadastros!$H$6:$H$90))))</f>
        <v/>
      </c>
      <c r="AE9" s="168" t="str">
        <f t="shared" si="5"/>
        <v/>
      </c>
      <c r="AF9" s="168" t="str">
        <f t="shared" si="6"/>
        <v/>
      </c>
      <c r="AG9" s="19"/>
      <c r="AH9" s="19"/>
      <c r="AI9" s="20" t="str">
        <f>IF(AG9="","",IF($F9="Bernardino Furlan",_xlfn.XLOOKUP(AG9,Cadastros!$G$6:$G$90,Cadastros!$H$6:$H$90)*(1-0.18),IF($F9="Mauro José Salanti",_xlfn.XLOOKUP(AG9,Cadastros!$G$6:$G$90,Cadastros!$H$6:$H$90)*(1-0.18),_xlfn.XLOOKUP(AG9,Cadastros!$G$6:$G$90,Cadastros!$H$6:$H$90))))</f>
        <v/>
      </c>
      <c r="AJ9" s="168" t="str">
        <f t="shared" si="7"/>
        <v/>
      </c>
      <c r="AK9" s="168" t="str">
        <f t="shared" si="8"/>
        <v/>
      </c>
      <c r="AL9" s="19"/>
      <c r="AM9" s="19"/>
      <c r="AN9" s="20" t="str">
        <f>IF(AL9="","",IF($F9="Bernardino Furlan",_xlfn.XLOOKUP(AL9,Cadastros!$G$6:$G$90,Cadastros!$H$6:$H$90)*(1-0.18),IF($F9="Mauro José Salanti",_xlfn.XLOOKUP(AL9,Cadastros!$G$6:$G$90,Cadastros!$H$6:$H$90)*(1-0.18),_xlfn.XLOOKUP(AL9,Cadastros!$G$6:$G$90,Cadastros!$H$6:$H$90))))</f>
        <v/>
      </c>
      <c r="AO9" s="168" t="str">
        <f t="shared" si="9"/>
        <v/>
      </c>
      <c r="AP9" s="168" t="str">
        <f t="shared" si="10"/>
        <v/>
      </c>
      <c r="AQ9" s="19"/>
      <c r="AR9" s="19"/>
      <c r="AS9" s="20" t="str">
        <f>IF(AQ9="","",IF($F9="Bernardino Furlan",_xlfn.XLOOKUP(AQ9,Cadastros!$G$6:$G$90,Cadastros!$H$6:$H$90)*(1-0.18),IF($F9="Mauro José Salanti",_xlfn.XLOOKUP(AQ9,Cadastros!$G$6:$G$90,Cadastros!$H$6:$H$90)*(1-0.18),_xlfn.XLOOKUP(AQ9,Cadastros!$G$6:$G$90,Cadastros!$H$6:$H$90))))</f>
        <v/>
      </c>
      <c r="AT9" s="168" t="str">
        <f t="shared" si="11"/>
        <v/>
      </c>
      <c r="AU9" s="168" t="str">
        <f t="shared" si="12"/>
        <v/>
      </c>
      <c r="AV9" s="226" t="s">
        <v>370</v>
      </c>
      <c r="AW9" s="22"/>
      <c r="AX9" s="266"/>
      <c r="AY9" s="266"/>
      <c r="AZ9" s="21" t="s">
        <v>64</v>
      </c>
      <c r="BA9" s="22">
        <v>459</v>
      </c>
      <c r="BB9" s="23" cm="1">
        <f t="array" ref="BB9">_xlfn.IFS(AW9="SIM",SUM(K9,P9,U9,Z9,AE9,AJ9,AO9,AT9,AX9,AY9),F9&lt;&gt;"",SUM(K9,P9,U9,Z9,AE9,AJ9,,AO9,AT9),F9="","")</f>
        <v>2552.3200000000002</v>
      </c>
      <c r="BC9" s="211" cm="1">
        <f t="array" ref="BC9">_xlfn.IFS(E9="","",G9&lt;=E9,BB9*(1-0.03),G9&lt;(E9+8),BB9,AZ9="Boleto",BB9*(1+0.001)^DATEDIF(E9,G9,"D"),AZ9="Cheque",BB9,AZ9="Dinheiro","Alterar forma pgto")</f>
        <v>2475.7503999999999</v>
      </c>
      <c r="BD9" s="276" cm="1">
        <f t="array" ref="BD9">IF(F9=0," ",IF(BC9&lt;BB9,(_xlfn.IFS(AW9="SIM",SUM(L9,Q9,V9,AA9,AF9,AK9,AP9,AU9)+AX9/_xlfn.XLOOKUP(_xlfn.XLOOKUP($F9,Clientes!$B$4:$B$39,Clientes!$C$4:$C$39),Cadastros!$L$6:$L$12,Cadastros!$M$6:$M$12)+IF($F9="Bernardino Furlan",AY9/2751.92,IF($F9="Mauro José Salanti",AY9/2751.92,AY9/3356)),F9&lt;&gt;0,SUM(L9,Q9,V9,AA9,AF9,AK9,AP9,AU9)))*(1-0.03),_xlfn.IFS(AW9="SIM",SUM(L9,Q9,V9,AA9,AF9,AK9,AP9,AU9)+AX9/_xlfn.XLOOKUP(_xlfn.XLOOKUP($F9,Clientes!$B$4:$B$39,Clientes!$C$4:$C$39),Cadastros!$L$6:$L$12,Cadastros!$M$6:$M$12)+IF($F9="Bernardino Furlan",AY9/2751.92,IF($F9="Mauro José Salanti",AY9/2751.92,AY9/3356)),F9&lt;&gt;0,SUM(L9,Q9,V9,AA9,AF9,AK9,AP9,AU9))))</f>
        <v>1.152669845053635</v>
      </c>
      <c r="BE9" s="120"/>
      <c r="BF9" s="120"/>
      <c r="BG9" s="120"/>
      <c r="BH9" s="231" t="str">
        <f>IF(Clientes!B5="","",Clientes!B5)</f>
        <v>Bernardino Furlan</v>
      </c>
      <c r="BJ9" s="24" t="str">
        <f>IF(Cadastros!B7="","",Cadastros!B7)</f>
        <v>Cliente</v>
      </c>
      <c r="BL9" s="233" t="str">
        <f>IF(Cadastros!D6="","",Cadastros!D6)</f>
        <v>LINHA BEM ESTAR</v>
      </c>
      <c r="BM9" s="234"/>
      <c r="BN9" s="233" t="str">
        <f>IF(Cadastros!G6="","",Cadastros!G6)</f>
        <v>BASE BOX</v>
      </c>
      <c r="BP9" s="24" t="str">
        <f>IF(Cadastros!J7="","",Cadastros!J7)</f>
        <v>Aprovado</v>
      </c>
      <c r="BR9" s="24" t="str">
        <f>IF(Cadastros!J14="","",Cadastros!J14)</f>
        <v>Boleto</v>
      </c>
    </row>
    <row r="10" spans="1:70" s="3" customFormat="1" x14ac:dyDescent="0.3">
      <c r="A10" s="15">
        <f t="shared" si="0"/>
        <v>1</v>
      </c>
      <c r="B10" s="16">
        <v>103</v>
      </c>
      <c r="C10" s="17" t="s">
        <v>62</v>
      </c>
      <c r="D10" s="278">
        <v>43995</v>
      </c>
      <c r="E10" s="18"/>
      <c r="F10" s="19" t="s">
        <v>66</v>
      </c>
      <c r="G10" s="18"/>
      <c r="H10" s="19" t="s">
        <v>233</v>
      </c>
      <c r="I10" s="19">
        <v>1</v>
      </c>
      <c r="J10" s="255">
        <f>IF(H10="","",(_xlfn.XLOOKUP(H10,Cadastros!$D$6:$D$90,Cadastros!$E$6:$E$90))*(1-_xlfn.XLOOKUP(_xlfn.XLOOKUP($F10,Clientes!$B$4:$B$39,Clientes!$C$4:$C$39),Cadastros!$L$6:$L$12,Cadastros!$N$6:$N$12)))</f>
        <v>2780.16</v>
      </c>
      <c r="K10" s="168">
        <f t="shared" si="1"/>
        <v>2780.16</v>
      </c>
      <c r="L10" s="168">
        <f>IFERROR(K10/_xlfn.XLOOKUP(_xlfn.XLOOKUP($F10,Clientes!$B$4:$B$39,Clientes!$C$4:$C$39),Cadastros!$L$6:$L$12,Cadastros!$M$6:$M$12)," ")</f>
        <v>1.2943980929678187</v>
      </c>
      <c r="M10" s="19" t="s">
        <v>267</v>
      </c>
      <c r="N10" s="19">
        <v>2</v>
      </c>
      <c r="O10" s="255">
        <f>IF(M10="","",(_xlfn.XLOOKUP(M10,Cadastros!$D$6:$D$90,Cadastros!$E$6:$E$90))*(1-_xlfn.XLOOKUP(_xlfn.XLOOKUP($F10,Clientes!$B$4:$B$39,Clientes!$C$4:$C$39),Cadastros!$L$6:$L$12,Cadastros!$N$6:$N$12)))</f>
        <v>92.16</v>
      </c>
      <c r="P10" s="168">
        <f t="shared" si="2"/>
        <v>184.32</v>
      </c>
      <c r="Q10" s="168">
        <f>IFERROR(P10/_xlfn.XLOOKUP(_xlfn.XLOOKUP($F10,Clientes!$B$4:$B$39,Clientes!$C$4:$C$39),Cadastros!$L$6:$L$12,Cadastros!$M$6:$M$12)," ")</f>
        <v>8.5816448152562563E-2</v>
      </c>
      <c r="R10" s="19"/>
      <c r="S10" s="19"/>
      <c r="T10" s="255" t="str">
        <f>IF(R10="","",(_xlfn.XLOOKUP(R10,Cadastros!$D$6:$D$90,Cadastros!$E$6:$E$90))*(1-_xlfn.XLOOKUP(_xlfn.XLOOKUP($F10,Clientes!$B$4:$B$39,Clientes!$C$4:$C$39),Cadastros!$L$6:$L$12,Cadastros!$N$6:$N$12)))</f>
        <v/>
      </c>
      <c r="U10" s="168" t="str">
        <f t="shared" si="3"/>
        <v/>
      </c>
      <c r="V10" s="168" t="str">
        <f>IFERROR(U10/_xlfn.XLOOKUP(_xlfn.XLOOKUP($F10,Clientes!$B$4:$B$39,Clientes!$C$4:$C$39),Cadastros!$L$6:$L$12,Cadastros!$M$6:$M$12)," ")</f>
        <v xml:space="preserve"> </v>
      </c>
      <c r="W10" s="19"/>
      <c r="X10" s="19"/>
      <c r="Y10" s="255" t="str">
        <f>IF(W10="","",(_xlfn.XLOOKUP(W10,Cadastros!$D$6:$D$90,Cadastros!$E$6:$E$90))*(1-_xlfn.XLOOKUP(_xlfn.XLOOKUP($F10,Clientes!$B$4:$B$39,Clientes!$C$4:$C$39),Cadastros!$L$6:$L$12,Cadastros!$N$6:$N$12)))</f>
        <v/>
      </c>
      <c r="Z10" s="168" t="str">
        <f t="shared" si="4"/>
        <v/>
      </c>
      <c r="AA10" s="168" t="str">
        <f>IFERROR(Z10/_xlfn.XLOOKUP(_xlfn.XLOOKUP($F10,Clientes!$B$4:$B$39,Clientes!$C$4:$C$39),Cadastros!$L$6:$L$12,Cadastros!$M$6:$M$12)," ")</f>
        <v xml:space="preserve"> </v>
      </c>
      <c r="AB10" s="19" t="s">
        <v>289</v>
      </c>
      <c r="AC10" s="19">
        <v>1</v>
      </c>
      <c r="AD10" s="20">
        <f>IF(AB10="","",IF($F10="Bernardino Furlan",_xlfn.XLOOKUP(AB10,Cadastros!$G$6:$G$90,Cadastros!$H$6:$H$90)*(1-0.18),IF($F10="Mauro José Salanti",_xlfn.XLOOKUP(AB10,Cadastros!$G$6:$G$90,Cadastros!$H$6:$H$90)*(1-0.18),_xlfn.XLOOKUP(AB10,Cadastros!$G$6:$G$90,Cadastros!$H$6:$H$90))))</f>
        <v>1397.2800000000002</v>
      </c>
      <c r="AE10" s="168">
        <f t="shared" si="5"/>
        <v>1397.2800000000002</v>
      </c>
      <c r="AF10" s="275">
        <f t="shared" si="6"/>
        <v>0.50774731823599528</v>
      </c>
      <c r="AG10" s="19"/>
      <c r="AH10" s="19"/>
      <c r="AI10" s="20" t="str">
        <f>IF(AG10="","",IF($F10="Bernardino Furlan",_xlfn.XLOOKUP(AG10,Cadastros!$G$6:$G$90,Cadastros!$H$6:$H$90)*(1-0.18),IF($F10="Mauro José Salanti",_xlfn.XLOOKUP(AG10,Cadastros!$G$6:$G$90,Cadastros!$H$6:$H$90)*(1-0.18),_xlfn.XLOOKUP(AG10,Cadastros!$G$6:$G$90,Cadastros!$H$6:$H$90))))</f>
        <v/>
      </c>
      <c r="AJ10" s="168" t="str">
        <f t="shared" si="7"/>
        <v/>
      </c>
      <c r="AK10" s="275" t="str">
        <f t="shared" si="8"/>
        <v/>
      </c>
      <c r="AL10" s="19"/>
      <c r="AM10" s="19"/>
      <c r="AN10" s="20" t="str">
        <f>IF(AL10="","",IF($F10="Bernardino Furlan",_xlfn.XLOOKUP(AL10,Cadastros!$G$6:$G$90,Cadastros!$H$6:$H$90)*(1-0.18),IF($F10="Mauro José Salanti",_xlfn.XLOOKUP(AL10,Cadastros!$G$6:$G$90,Cadastros!$H$6:$H$90)*(1-0.18),_xlfn.XLOOKUP(AL10,Cadastros!$G$6:$G$90,Cadastros!$H$6:$H$90))))</f>
        <v/>
      </c>
      <c r="AO10" s="168" t="str">
        <f t="shared" si="9"/>
        <v/>
      </c>
      <c r="AP10" s="275" t="str">
        <f t="shared" si="10"/>
        <v/>
      </c>
      <c r="AQ10" s="19"/>
      <c r="AR10" s="19"/>
      <c r="AS10" s="20" t="str">
        <f>IF(AQ10="","",IF($F10="Bernardino Furlan",_xlfn.XLOOKUP(AQ10,Cadastros!$G$6:$G$90,Cadastros!$H$6:$H$90)*(1-0.18),IF($F10="Mauro José Salanti",_xlfn.XLOOKUP(AQ10,Cadastros!$G$6:$G$90,Cadastros!$H$6:$H$90)*(1-0.18),_xlfn.XLOOKUP(AQ10,Cadastros!$G$6:$G$90,Cadastros!$H$6:$H$90))))</f>
        <v/>
      </c>
      <c r="AT10" s="168" t="str">
        <f t="shared" si="11"/>
        <v/>
      </c>
      <c r="AU10" s="275" t="str">
        <f t="shared" si="12"/>
        <v/>
      </c>
      <c r="AV10" s="226" t="s">
        <v>369</v>
      </c>
      <c r="AW10" s="22"/>
      <c r="AX10" s="266"/>
      <c r="AY10" s="266"/>
      <c r="AZ10" s="21" t="s">
        <v>64</v>
      </c>
      <c r="BA10" s="22"/>
      <c r="BB10" s="264" cm="1">
        <f t="array" ref="BB10">_xlfn.IFS(AW10="SIM",SUM(K10,P10,U10,Z10,AE10,AJ10,AO10,AT10,AX10,AY10),F10&lt;&gt;"",SUM(K10,P10,U10,Z10,AE10,AJ10,,AO10,AT10),F10="","")</f>
        <v>4361.76</v>
      </c>
      <c r="BC10" s="265" t="str" cm="1">
        <f t="array" ref="BC10">_xlfn.IFS(E10="","",G10&lt;=E10,BB10*(1-0.03),G10&lt;(E10+8),BB10,AZ10="Boleto",BB10*(1+0.001)^DATEDIF(E10,G10,"D"),AZ10="Cheque",BB10,AZ10="Dinheiro","Alterar forma pgto")</f>
        <v/>
      </c>
      <c r="BD10" s="276" cm="1">
        <f t="array" ref="BD10">IF(F10=0," ",IF(BC10&lt;BB10,(_xlfn.IFS(AW10="SIM",SUM(L10,Q10,V10,AA10,AF10,AK10,AP10,AU10)+AX10/_xlfn.XLOOKUP(_xlfn.XLOOKUP($F10,Clientes!$B$4:$B$39,Clientes!$C$4:$C$39),Cadastros!$L$6:$L$12,Cadastros!$M$6:$M$12)+IF($F10="Bernardino Furlan",AY10/2751.92,IF($F10="Mauro José Salanti",AY10/2751.92,AY10/3356)),F10&lt;&gt;0,SUM(L10,Q10,V10,AA10,AF10,AK10,AP10,AU10)))*(1-0.03),_xlfn.IFS(AW10="SIM",SUM(L10,Q10,V10,AA10,AF10,AK10,AP10,AU10)+AX10/_xlfn.XLOOKUP(_xlfn.XLOOKUP($F10,Clientes!$B$4:$B$39,Clientes!$C$4:$C$39),Cadastros!$L$6:$L$12,Cadastros!$M$6:$M$12)+IF($F10="Bernardino Furlan",AY10/2751.92,IF($F10="Mauro José Salanti",AY10/2751.92,AY10/3356)),F10&lt;&gt;0,SUM(L10,Q10,V10,AA10,AF10,AK10,AP10,AU10))))</f>
        <v>1.8879618593563765</v>
      </c>
      <c r="BE10" s="120"/>
      <c r="BF10" s="120"/>
      <c r="BG10" s="120"/>
      <c r="BH10" s="231" t="str">
        <f>IF(Clientes!B6="","",Clientes!B6)</f>
        <v>Debora Vassoler Colchões</v>
      </c>
      <c r="BJ10" s="24" t="str">
        <f>IF(Cadastros!B8="","",Cadastros!B8)</f>
        <v>Contato passado</v>
      </c>
      <c r="BL10" s="235" t="str">
        <f>IF(Cadastros!D7="","",Cadastros!D7)</f>
        <v>10101 - Colchão Léctus 088 X 188 X 021 cm MVQ</v>
      </c>
      <c r="BM10" s="234"/>
      <c r="BN10" s="235" t="str">
        <f>IF(Cadastros!G7="","",Cadastros!G7)</f>
        <v>239 - Base Box Casal 1,38 X 1,88 X 0,25 cm</v>
      </c>
      <c r="BP10" s="24" t="str">
        <f>IF(Cadastros!J8="","",Cadastros!J8)</f>
        <v>Entregue</v>
      </c>
      <c r="BR10" s="24" t="str">
        <f>IF(Cadastros!J15="","",Cadastros!J15)</f>
        <v>Cheque</v>
      </c>
    </row>
    <row r="11" spans="1:70" s="3" customFormat="1" x14ac:dyDescent="0.3">
      <c r="A11" s="15">
        <f t="shared" si="0"/>
        <v>1</v>
      </c>
      <c r="B11" s="25">
        <v>104</v>
      </c>
      <c r="C11" s="17" t="s">
        <v>62</v>
      </c>
      <c r="D11" s="278">
        <v>43994</v>
      </c>
      <c r="E11" s="27">
        <v>43999</v>
      </c>
      <c r="F11" s="28" t="s">
        <v>66</v>
      </c>
      <c r="G11" s="27">
        <v>43999</v>
      </c>
      <c r="H11" s="28" t="s">
        <v>225</v>
      </c>
      <c r="I11" s="28">
        <v>1</v>
      </c>
      <c r="J11" s="255">
        <f>IF(H11="","",(_xlfn.XLOOKUP(H11,Cadastros!$D$6:$D$90,Cadastros!$E$6:$E$90))*(1-_xlfn.XLOOKUP(_xlfn.XLOOKUP($F11,Clientes!$B$4:$B$39,Clientes!$C$4:$C$39),Cadastros!$L$6:$L$12,Cadastros!$N$6:$N$12)))</f>
        <v>1447.68</v>
      </c>
      <c r="K11" s="168">
        <f t="shared" si="1"/>
        <v>1447.68</v>
      </c>
      <c r="L11" s="168">
        <f>IFERROR(K11/_xlfn.XLOOKUP(_xlfn.XLOOKUP($F11,Clientes!$B$4:$B$39,Clientes!$C$4:$C$39),Cadastros!$L$6:$L$12,Cadastros!$M$6:$M$12)," ")</f>
        <v>0.6740166865315852</v>
      </c>
      <c r="M11" s="28" t="s">
        <v>267</v>
      </c>
      <c r="N11" s="28">
        <v>1</v>
      </c>
      <c r="O11" s="255">
        <f>IF(M11="","",(_xlfn.XLOOKUP(M11,Cadastros!$D$6:$D$90,Cadastros!$E$6:$E$90))*(1-_xlfn.XLOOKUP(_xlfn.XLOOKUP($F11,Clientes!$B$4:$B$39,Clientes!$C$4:$C$39),Cadastros!$L$6:$L$12,Cadastros!$N$6:$N$12)))</f>
        <v>92.16</v>
      </c>
      <c r="P11" s="168">
        <f t="shared" si="2"/>
        <v>92.16</v>
      </c>
      <c r="Q11" s="168">
        <f>IFERROR(P11/_xlfn.XLOOKUP(_xlfn.XLOOKUP($F11,Clientes!$B$4:$B$39,Clientes!$C$4:$C$39),Cadastros!$L$6:$L$12,Cadastros!$M$6:$M$12)," ")</f>
        <v>4.2908224076281282E-2</v>
      </c>
      <c r="R11" s="28"/>
      <c r="S11" s="28"/>
      <c r="T11" s="255" t="str">
        <f>IF(R11="","",(_xlfn.XLOOKUP(R11,Cadastros!$D$6:$D$90,Cadastros!$E$6:$E$90))*(1-_xlfn.XLOOKUP(_xlfn.XLOOKUP($F11,Clientes!$B$4:$B$39,Clientes!$C$4:$C$39),Cadastros!$L$6:$L$12,Cadastros!$N$6:$N$12)))</f>
        <v/>
      </c>
      <c r="U11" s="168" t="str">
        <f t="shared" si="3"/>
        <v/>
      </c>
      <c r="V11" s="168" t="str">
        <f>IFERROR(U11/_xlfn.XLOOKUP(_xlfn.XLOOKUP($F11,Clientes!$B$4:$B$39,Clientes!$C$4:$C$39),Cadastros!$L$6:$L$12,Cadastros!$M$6:$M$12)," ")</f>
        <v xml:space="preserve"> </v>
      </c>
      <c r="W11" s="28"/>
      <c r="X11" s="28"/>
      <c r="Y11" s="255" t="str">
        <f>IF(W11="","",(_xlfn.XLOOKUP(W11,Cadastros!$D$6:$D$90,Cadastros!$E$6:$E$90))*(1-_xlfn.XLOOKUP(_xlfn.XLOOKUP($F11,Clientes!$B$4:$B$39,Clientes!$C$4:$C$39),Cadastros!$L$6:$L$12,Cadastros!$N$6:$N$12)))</f>
        <v/>
      </c>
      <c r="Z11" s="168" t="str">
        <f t="shared" si="4"/>
        <v/>
      </c>
      <c r="AA11" s="168" t="str">
        <f>IFERROR(Z11/_xlfn.XLOOKUP(_xlfn.XLOOKUP($F11,Clientes!$B$4:$B$39,Clientes!$C$4:$C$39),Cadastros!$L$6:$L$12,Cadastros!$M$6:$M$12)," ")</f>
        <v xml:space="preserve"> </v>
      </c>
      <c r="AB11" s="28"/>
      <c r="AC11" s="28"/>
      <c r="AD11" s="20" t="str">
        <f>IF(AB11="","",IF($F11="Bernardino Furlan",_xlfn.XLOOKUP(AB11,Cadastros!$G$6:$G$90,Cadastros!$H$6:$H$90)*(1-0.18),IF($F11="Mauro José Salanti",_xlfn.XLOOKUP(AB11,Cadastros!$G$6:$G$90,Cadastros!$H$6:$H$90)*(1-0.18),_xlfn.XLOOKUP(AB11,Cadastros!$G$6:$G$90,Cadastros!$H$6:$H$90))))</f>
        <v/>
      </c>
      <c r="AE11" s="168" t="str">
        <f t="shared" si="5"/>
        <v/>
      </c>
      <c r="AF11" s="168" t="str">
        <f t="shared" si="6"/>
        <v/>
      </c>
      <c r="AG11" s="28"/>
      <c r="AH11" s="28"/>
      <c r="AI11" s="20" t="str">
        <f>IF(AG11="","",IF($F11="Bernardino Furlan",_xlfn.XLOOKUP(AG11,Cadastros!$G$6:$G$90,Cadastros!$H$6:$H$90)*(1-0.18),IF($F11="Mauro José Salanti",_xlfn.XLOOKUP(AG11,Cadastros!$G$6:$G$90,Cadastros!$H$6:$H$90)*(1-0.18),_xlfn.XLOOKUP(AG11,Cadastros!$G$6:$G$90,Cadastros!$H$6:$H$90))))</f>
        <v/>
      </c>
      <c r="AJ11" s="168" t="str">
        <f t="shared" si="7"/>
        <v/>
      </c>
      <c r="AK11" s="168" t="str">
        <f t="shared" si="8"/>
        <v/>
      </c>
      <c r="AL11" s="28"/>
      <c r="AM11" s="28"/>
      <c r="AN11" s="20" t="str">
        <f>IF(AL11="","",IF($F11="Bernardino Furlan",_xlfn.XLOOKUP(AL11,Cadastros!$G$6:$G$90,Cadastros!$H$6:$H$90)*(1-0.18),IF($F11="Mauro José Salanti",_xlfn.XLOOKUP(AL11,Cadastros!$G$6:$G$90,Cadastros!$H$6:$H$90)*(1-0.18),_xlfn.XLOOKUP(AL11,Cadastros!$G$6:$G$90,Cadastros!$H$6:$H$90))))</f>
        <v/>
      </c>
      <c r="AO11" s="168" t="str">
        <f t="shared" si="9"/>
        <v/>
      </c>
      <c r="AP11" s="168" t="str">
        <f t="shared" si="10"/>
        <v/>
      </c>
      <c r="AQ11" s="28"/>
      <c r="AR11" s="28"/>
      <c r="AS11" s="20" t="str">
        <f>IF(AQ11="","",IF($F11="Bernardino Furlan",_xlfn.XLOOKUP(AQ11,Cadastros!$G$6:$G$90,Cadastros!$H$6:$H$90)*(1-0.18),IF($F11="Mauro José Salanti",_xlfn.XLOOKUP(AQ11,Cadastros!$G$6:$G$90,Cadastros!$H$6:$H$90)*(1-0.18),_xlfn.XLOOKUP(AQ11,Cadastros!$G$6:$G$90,Cadastros!$H$6:$H$90))))</f>
        <v/>
      </c>
      <c r="AT11" s="168" t="str">
        <f t="shared" si="11"/>
        <v/>
      </c>
      <c r="AU11" s="168" t="str">
        <f t="shared" si="12"/>
        <v/>
      </c>
      <c r="AV11" s="227" t="s">
        <v>368</v>
      </c>
      <c r="AW11" s="30" t="s">
        <v>360</v>
      </c>
      <c r="AX11" s="267">
        <v>144.47</v>
      </c>
      <c r="AY11" s="267"/>
      <c r="AZ11" s="29" t="s">
        <v>64</v>
      </c>
      <c r="BA11" s="30">
        <v>463</v>
      </c>
      <c r="BB11" s="23" cm="1">
        <f t="array" ref="BB11">_xlfn.IFS(AW11="SIM",SUM(K11,P11,U11,Z11,AE11,AJ11,AO11,AT11,AX11,AY11),F11&lt;&gt;"",SUM(K11,P11,U11,Z11,AE11,AJ11,,AO11,AT11),F11="","")</f>
        <v>1684.3100000000002</v>
      </c>
      <c r="BC11" s="211" cm="1">
        <f t="array" ref="BC11">_xlfn.IFS(E11="","",G11&lt;=E11,BB11*(1-0.03),G11&lt;(E11+8),BB11,AZ11="Boleto",BB11*(1+0.001)^DATEDIF(E11,G11,"D"),AZ11="Cheque",BB11,AZ11="Dinheiro","Alterar forma pgto")</f>
        <v>1633.7807</v>
      </c>
      <c r="BD11" s="276" cm="1">
        <f t="array" ref="BD11">IF(F11=0," ",IF(BC11&lt;BB11,(_xlfn.IFS(AW11="SIM",SUM(L11,Q11,V11,AA11,AF11,AK11,AP11,AU11)+AX11/_xlfn.XLOOKUP(_xlfn.XLOOKUP($F11,Clientes!$B$4:$B$39,Clientes!$C$4:$C$39),Cadastros!$L$6:$L$12,Cadastros!$M$6:$M$12)+IF($F11="Bernardino Furlan",AY11/2751.92,IF($F11="Mauro José Salanti",AY11/2751.92,AY11/3356)),F11&lt;&gt;0,SUM(L11,Q11,V11,AA11,AF11,AK11,AP11,AU11)))*(1-0.03),_xlfn.IFS(AW11="SIM",SUM(L11,Q11,V11,AA11,AF11,AK11,AP11,AU11)+AX11/_xlfn.XLOOKUP(_xlfn.XLOOKUP($F11,Clientes!$B$4:$B$39,Clientes!$C$4:$C$39),Cadastros!$L$6:$L$12,Cadastros!$M$6:$M$12)+IF($F11="Bernardino Furlan",AY11/2751.92,IF($F11="Mauro José Salanti",AY11/2751.92,AY11/3356)),F11&lt;&gt;0,SUM(L11,Q11,V11,AA11,AF11,AK11,AP11,AU11))))</f>
        <v>0.76066220016388542</v>
      </c>
      <c r="BE11" s="120"/>
      <c r="BF11" s="120"/>
      <c r="BG11" s="120"/>
      <c r="BH11" s="231" t="str">
        <f>IF(Clientes!B7="","",Clientes!B7)</f>
        <v>Elton Wallauer</v>
      </c>
      <c r="BJ11" s="24" t="str">
        <f>IF(Cadastros!B9="","",Cadastros!B9)</f>
        <v>Google</v>
      </c>
      <c r="BL11" s="235" t="str">
        <f>IF(Cadastros!D8="","",Cadastros!D8)</f>
        <v>10102 - Colchão Vivace 088 X 188 X 024 cm MVQ</v>
      </c>
      <c r="BM11" s="234"/>
      <c r="BN11" s="235" t="str">
        <f>IF(Cadastros!G8="","",Cadastros!G8)</f>
        <v>240 - Base Box Casal 1,58 X 1,98 X 0,25 cm</v>
      </c>
      <c r="BP11" s="24" t="str">
        <f>IF(Cadastros!J9="","",Cadastros!J9)</f>
        <v>Não aceito</v>
      </c>
      <c r="BR11" s="24" t="str">
        <f>IF(Cadastros!J16="","",Cadastros!J16)</f>
        <v>Cartão de Crédito</v>
      </c>
    </row>
    <row r="12" spans="1:70" s="3" customFormat="1" x14ac:dyDescent="0.3">
      <c r="A12" s="15">
        <f t="shared" si="0"/>
        <v>1</v>
      </c>
      <c r="B12" s="16">
        <v>105</v>
      </c>
      <c r="C12" s="17" t="s">
        <v>62</v>
      </c>
      <c r="D12" s="278">
        <v>43998</v>
      </c>
      <c r="E12" s="18">
        <v>43999</v>
      </c>
      <c r="F12" s="19" t="s">
        <v>148</v>
      </c>
      <c r="G12" s="18">
        <v>44006</v>
      </c>
      <c r="H12" s="19" t="s">
        <v>229</v>
      </c>
      <c r="I12" s="19">
        <v>1</v>
      </c>
      <c r="J12" s="255">
        <f>IF(H12="","",(_xlfn.XLOOKUP(H12,Cadastros!$D$6:$D$90,Cadastros!$E$6:$E$90))*(1-_xlfn.XLOOKUP(_xlfn.XLOOKUP($F12,Clientes!$B$4:$B$39,Clientes!$C$4:$C$39),Cadastros!$L$6:$L$12,Cadastros!$N$6:$N$12)))</f>
        <v>2483.44</v>
      </c>
      <c r="K12" s="168">
        <f t="shared" si="1"/>
        <v>2483.44</v>
      </c>
      <c r="L12" s="168">
        <f>IFERROR(K12/_xlfn.XLOOKUP(_xlfn.XLOOKUP($F12,Clientes!$B$4:$B$39,Clientes!$C$4:$C$39),Cadastros!$L$6:$L$12,Cadastros!$M$6:$M$12)," ")</f>
        <v>1</v>
      </c>
      <c r="M12" s="19" t="s">
        <v>267</v>
      </c>
      <c r="N12" s="19">
        <v>2</v>
      </c>
      <c r="O12" s="255">
        <f>IF(M12="","",(_xlfn.XLOOKUP(M12,Cadastros!$D$6:$D$90,Cadastros!$E$6:$E$90))*(1-_xlfn.XLOOKUP(_xlfn.XLOOKUP($F12,Clientes!$B$4:$B$39,Clientes!$C$4:$C$39),Cadastros!$L$6:$L$12,Cadastros!$N$6:$N$12)))</f>
        <v>106.56</v>
      </c>
      <c r="P12" s="168">
        <f t="shared" si="2"/>
        <v>213.12</v>
      </c>
      <c r="Q12" s="168">
        <f>IFERROR(P12/_xlfn.XLOOKUP(_xlfn.XLOOKUP($F12,Clientes!$B$4:$B$39,Clientes!$C$4:$C$39),Cadastros!$L$6:$L$12,Cadastros!$M$6:$M$12)," ")</f>
        <v>8.5816448152562577E-2</v>
      </c>
      <c r="R12" s="19"/>
      <c r="S12" s="19"/>
      <c r="T12" s="255" t="str">
        <f>IF(R12="","",(_xlfn.XLOOKUP(R12,Cadastros!$D$6:$D$90,Cadastros!$E$6:$E$90))*(1-_xlfn.XLOOKUP(_xlfn.XLOOKUP($F12,Clientes!$B$4:$B$39,Clientes!$C$4:$C$39),Cadastros!$L$6:$L$12,Cadastros!$N$6:$N$12)))</f>
        <v/>
      </c>
      <c r="U12" s="168" t="str">
        <f t="shared" si="3"/>
        <v/>
      </c>
      <c r="V12" s="168" t="str">
        <f>IFERROR(U12/_xlfn.XLOOKUP(_xlfn.XLOOKUP($F12,Clientes!$B$4:$B$39,Clientes!$C$4:$C$39),Cadastros!$L$6:$L$12,Cadastros!$M$6:$M$12)," ")</f>
        <v xml:space="preserve"> </v>
      </c>
      <c r="W12" s="19"/>
      <c r="X12" s="19"/>
      <c r="Y12" s="255" t="str">
        <f>IF(W12="","",(_xlfn.XLOOKUP(W12,Cadastros!$D$6:$D$90,Cadastros!$E$6:$E$90))*(1-_xlfn.XLOOKUP(_xlfn.XLOOKUP($F12,Clientes!$B$4:$B$39,Clientes!$C$4:$C$39),Cadastros!$L$6:$L$12,Cadastros!$N$6:$N$12)))</f>
        <v/>
      </c>
      <c r="Z12" s="168" t="str">
        <f t="shared" si="4"/>
        <v/>
      </c>
      <c r="AA12" s="168" t="str">
        <f>IFERROR(Z12/_xlfn.XLOOKUP(_xlfn.XLOOKUP($F12,Clientes!$B$4:$B$39,Clientes!$C$4:$C$39),Cadastros!$L$6:$L$12,Cadastros!$M$6:$M$12)," ")</f>
        <v xml:space="preserve"> </v>
      </c>
      <c r="AB12" s="19"/>
      <c r="AC12" s="19"/>
      <c r="AD12" s="20" t="str">
        <f>IF(AB12="","",IF($F12="Bernardino Furlan",_xlfn.XLOOKUP(AB12,Cadastros!$G$6:$G$90,Cadastros!$H$6:$H$90)*(1-0.18),IF($F12="Mauro José Salanti",_xlfn.XLOOKUP(AB12,Cadastros!$G$6:$G$90,Cadastros!$H$6:$H$90)*(1-0.18),_xlfn.XLOOKUP(AB12,Cadastros!$G$6:$G$90,Cadastros!$H$6:$H$90))))</f>
        <v/>
      </c>
      <c r="AE12" s="168" t="str">
        <f t="shared" si="5"/>
        <v/>
      </c>
      <c r="AF12" s="168" t="str">
        <f t="shared" si="6"/>
        <v/>
      </c>
      <c r="AG12" s="19"/>
      <c r="AH12" s="19"/>
      <c r="AI12" s="20" t="str">
        <f>IF(AG12="","",IF($F12="Bernardino Furlan",_xlfn.XLOOKUP(AG12,Cadastros!$G$6:$G$90,Cadastros!$H$6:$H$90)*(1-0.18),IF($F12="Mauro José Salanti",_xlfn.XLOOKUP(AG12,Cadastros!$G$6:$G$90,Cadastros!$H$6:$H$90)*(1-0.18),_xlfn.XLOOKUP(AG12,Cadastros!$G$6:$G$90,Cadastros!$H$6:$H$90))))</f>
        <v/>
      </c>
      <c r="AJ12" s="168" t="str">
        <f t="shared" si="7"/>
        <v/>
      </c>
      <c r="AK12" s="168" t="str">
        <f t="shared" si="8"/>
        <v/>
      </c>
      <c r="AL12" s="19"/>
      <c r="AM12" s="19"/>
      <c r="AN12" s="20" t="str">
        <f>IF(AL12="","",IF($F12="Bernardino Furlan",_xlfn.XLOOKUP(AL12,Cadastros!$G$6:$G$90,Cadastros!$H$6:$H$90)*(1-0.18),IF($F12="Mauro José Salanti",_xlfn.XLOOKUP(AL12,Cadastros!$G$6:$G$90,Cadastros!$H$6:$H$90)*(1-0.18),_xlfn.XLOOKUP(AL12,Cadastros!$G$6:$G$90,Cadastros!$H$6:$H$90))))</f>
        <v/>
      </c>
      <c r="AO12" s="168" t="str">
        <f t="shared" si="9"/>
        <v/>
      </c>
      <c r="AP12" s="168" t="str">
        <f t="shared" si="10"/>
        <v/>
      </c>
      <c r="AQ12" s="19"/>
      <c r="AR12" s="19"/>
      <c r="AS12" s="20" t="str">
        <f>IF(AQ12="","",IF($F12="Bernardino Furlan",_xlfn.XLOOKUP(AQ12,Cadastros!$G$6:$G$90,Cadastros!$H$6:$H$90)*(1-0.18),IF($F12="Mauro José Salanti",_xlfn.XLOOKUP(AQ12,Cadastros!$G$6:$G$90,Cadastros!$H$6:$H$90)*(1-0.18),_xlfn.XLOOKUP(AQ12,Cadastros!$G$6:$G$90,Cadastros!$H$6:$H$90))))</f>
        <v/>
      </c>
      <c r="AT12" s="168" t="str">
        <f t="shared" si="11"/>
        <v/>
      </c>
      <c r="AU12" s="168" t="str">
        <f t="shared" si="12"/>
        <v/>
      </c>
      <c r="AV12" s="226" t="s">
        <v>367</v>
      </c>
      <c r="AW12" s="22"/>
      <c r="AX12" s="266"/>
      <c r="AY12" s="266"/>
      <c r="AZ12" s="21" t="s">
        <v>64</v>
      </c>
      <c r="BA12" s="22">
        <v>461</v>
      </c>
      <c r="BB12" s="23" cm="1">
        <f t="array" ref="BB12">_xlfn.IFS(AW12="SIM",SUM(K12,P12,U12,Z12,AE12,AJ12,AO12,AT12,AX12,AY12),F12&lt;&gt;"",SUM(K12,P12,U12,Z12,AE12,AJ12,,AO12,AT12),F12="","")</f>
        <v>2696.56</v>
      </c>
      <c r="BC12" s="211" cm="1">
        <f t="array" ref="BC12">_xlfn.IFS(E12="","",G12&lt;=E12,BB12*(1-0.03),G12&lt;(E12+8),BB12,AZ12="Boleto",BB12*(1+0.001)^DATEDIF(E12,G12,"D"),AZ12="Cheque",BB12,AZ12="Dinheiro","Alterar forma pgto")</f>
        <v>2696.56</v>
      </c>
      <c r="BD12" s="276" cm="1">
        <f t="array" ref="BD12">IF(F12=0," ",IF(BC12&lt;BB12,(_xlfn.IFS(AW12="SIM",SUM(L12,Q12,V12,AA12,AF12,AK12,AP12,AU12)+AX12/_xlfn.XLOOKUP(_xlfn.XLOOKUP($F12,Clientes!$B$4:$B$39,Clientes!$C$4:$C$39),Cadastros!$L$6:$L$12,Cadastros!$M$6:$M$12)+IF($F12="Bernardino Furlan",AY12/2751.92,IF($F12="Mauro José Salanti",AY12/2751.92,AY12/3356)),F12&lt;&gt;0,SUM(L12,Q12,V12,AA12,AF12,AK12,AP12,AU12)))*(1-0.03),_xlfn.IFS(AW12="SIM",SUM(L12,Q12,V12,AA12,AF12,AK12,AP12,AU12)+AX12/_xlfn.XLOOKUP(_xlfn.XLOOKUP($F12,Clientes!$B$4:$B$39,Clientes!$C$4:$C$39),Cadastros!$L$6:$L$12,Cadastros!$M$6:$M$12)+IF($F12="Bernardino Furlan",AY12/2751.92,IF($F12="Mauro José Salanti",AY12/2751.92,AY12/3356)),F12&lt;&gt;0,SUM(L12,Q12,V12,AA12,AF12,AK12,AP12,AU12))))</f>
        <v>1.0858164481525625</v>
      </c>
      <c r="BE12" s="120"/>
      <c r="BF12" s="120"/>
      <c r="BG12" s="120"/>
      <c r="BH12" s="231" t="str">
        <f>IF(Clientes!B8="","",Clientes!B8)</f>
        <v>Ireni Leiria De Souza Me</v>
      </c>
      <c r="BJ12" s="24" t="str">
        <f>IF(Cadastros!B10="","",Cadastros!B10)</f>
        <v>Evento</v>
      </c>
      <c r="BL12" s="235" t="str">
        <f>IF(Cadastros!D9="","",Cadastros!D9)</f>
        <v>10103 - Colchão Supremo 088 X 188 X 027 cm MVQ</v>
      </c>
      <c r="BM12" s="234"/>
      <c r="BN12" s="235" t="str">
        <f>IF(Cadastros!G9="","",Cadastros!G9)</f>
        <v>241 - Base Box Casal 1,93 X 2,03 X 0,25 cm</v>
      </c>
      <c r="BP12" s="24" t="str">
        <f>IF(Cadastros!J10="","",Cadastros!J10)</f>
        <v/>
      </c>
      <c r="BR12" s="24" t="str">
        <f>IF(Cadastros!J17="","",Cadastros!J17)</f>
        <v/>
      </c>
    </row>
    <row r="13" spans="1:70" s="3" customFormat="1" x14ac:dyDescent="0.3">
      <c r="A13" s="15">
        <f t="shared" si="0"/>
        <v>1</v>
      </c>
      <c r="B13" s="16">
        <v>106</v>
      </c>
      <c r="C13" s="17" t="s">
        <v>62</v>
      </c>
      <c r="D13" s="278">
        <v>43998</v>
      </c>
      <c r="E13" s="18">
        <v>43999</v>
      </c>
      <c r="F13" s="19" t="s">
        <v>151</v>
      </c>
      <c r="G13" s="18">
        <v>44006</v>
      </c>
      <c r="H13" s="19" t="s">
        <v>231</v>
      </c>
      <c r="I13" s="19">
        <v>1</v>
      </c>
      <c r="J13" s="255">
        <f>IF(H13="","",(_xlfn.XLOOKUP(H13,Cadastros!$D$6:$D$90,Cadastros!$E$6:$E$90))*(1-_xlfn.XLOOKUP(_xlfn.XLOOKUP($F13,Clientes!$B$4:$B$39,Clientes!$C$4:$C$39),Cadastros!$L$6:$L$12,Cadastros!$N$6:$N$12)))</f>
        <v>3495</v>
      </c>
      <c r="K13" s="168">
        <f t="shared" si="1"/>
        <v>3495</v>
      </c>
      <c r="L13" s="168">
        <f>IFERROR(K13/_xlfn.XLOOKUP(_xlfn.XLOOKUP($F13,Clientes!$B$4:$B$39,Clientes!$C$4:$C$39),Cadastros!$L$6:$L$12,Cadastros!$M$6:$M$12)," ")</f>
        <v>1.0414183551847438</v>
      </c>
      <c r="M13" s="19" t="s">
        <v>267</v>
      </c>
      <c r="N13" s="19">
        <v>2</v>
      </c>
      <c r="O13" s="255">
        <f>IF(M13="","",(_xlfn.XLOOKUP(M13,Cadastros!$D$6:$D$90,Cadastros!$E$6:$E$90))*(1-_xlfn.XLOOKUP(_xlfn.XLOOKUP($F13,Clientes!$B$4:$B$39,Clientes!$C$4:$C$39),Cadastros!$L$6:$L$12,Cadastros!$N$6:$N$12)))</f>
        <v>144</v>
      </c>
      <c r="P13" s="168">
        <f t="shared" si="2"/>
        <v>288</v>
      </c>
      <c r="Q13" s="168">
        <f>IFERROR(P13/_xlfn.XLOOKUP(_xlfn.XLOOKUP($F13,Clientes!$B$4:$B$39,Clientes!$C$4:$C$39),Cadastros!$L$6:$L$12,Cadastros!$M$6:$M$12)," ")</f>
        <v>8.5816448152562577E-2</v>
      </c>
      <c r="R13" s="19"/>
      <c r="S13" s="19"/>
      <c r="T13" s="255" t="str">
        <f>IF(R13="","",(_xlfn.XLOOKUP(R13,Cadastros!$D$6:$D$90,Cadastros!$E$6:$E$90))*(1-_xlfn.XLOOKUP(_xlfn.XLOOKUP($F13,Clientes!$B$4:$B$39,Clientes!$C$4:$C$39),Cadastros!$L$6:$L$12,Cadastros!$N$6:$N$12)))</f>
        <v/>
      </c>
      <c r="U13" s="168" t="str">
        <f t="shared" si="3"/>
        <v/>
      </c>
      <c r="V13" s="168" t="str">
        <f>IFERROR(U13/_xlfn.XLOOKUP(_xlfn.XLOOKUP($F13,Clientes!$B$4:$B$39,Clientes!$C$4:$C$39),Cadastros!$L$6:$L$12,Cadastros!$M$6:$M$12)," ")</f>
        <v xml:space="preserve"> </v>
      </c>
      <c r="W13" s="19"/>
      <c r="X13" s="19"/>
      <c r="Y13" s="255" t="str">
        <f>IF(W13="","",(_xlfn.XLOOKUP(W13,Cadastros!$D$6:$D$90,Cadastros!$E$6:$E$90))*(1-_xlfn.XLOOKUP(_xlfn.XLOOKUP($F13,Clientes!$B$4:$B$39,Clientes!$C$4:$C$39),Cadastros!$L$6:$L$12,Cadastros!$N$6:$N$12)))</f>
        <v/>
      </c>
      <c r="Z13" s="168" t="str">
        <f t="shared" si="4"/>
        <v/>
      </c>
      <c r="AA13" s="168" t="str">
        <f>IFERROR(Z13/_xlfn.XLOOKUP(_xlfn.XLOOKUP($F13,Clientes!$B$4:$B$39,Clientes!$C$4:$C$39),Cadastros!$L$6:$L$12,Cadastros!$M$6:$M$12)," ")</f>
        <v xml:space="preserve"> </v>
      </c>
      <c r="AB13" s="19" t="s">
        <v>294</v>
      </c>
      <c r="AC13" s="19">
        <v>1</v>
      </c>
      <c r="AD13" s="20">
        <f>IF(AB13="","",IF($F13="Bernardino Furlan",_xlfn.XLOOKUP(AB13,Cadastros!$G$6:$G$90,Cadastros!$H$6:$H$90)*(1-0.18),IF($F13="Mauro José Salanti",_xlfn.XLOOKUP(AB13,Cadastros!$G$6:$G$90,Cadastros!$H$6:$H$90)*(1-0.18),_xlfn.XLOOKUP(AB13,Cadastros!$G$6:$G$90,Cadastros!$H$6:$H$90))))</f>
        <v>894</v>
      </c>
      <c r="AE13" s="168">
        <f t="shared" si="5"/>
        <v>894</v>
      </c>
      <c r="AF13" s="168">
        <f t="shared" si="6"/>
        <v>0.26638855780691301</v>
      </c>
      <c r="AG13" s="19"/>
      <c r="AH13" s="19"/>
      <c r="AI13" s="20" t="str">
        <f>IF(AG13="","",IF($F13="Bernardino Furlan",_xlfn.XLOOKUP(AG13,Cadastros!$G$6:$G$90,Cadastros!$H$6:$H$90)*(1-0.18),IF($F13="Mauro José Salanti",_xlfn.XLOOKUP(AG13,Cadastros!$G$6:$G$90,Cadastros!$H$6:$H$90)*(1-0.18),_xlfn.XLOOKUP(AG13,Cadastros!$G$6:$G$90,Cadastros!$H$6:$H$90))))</f>
        <v/>
      </c>
      <c r="AJ13" s="168" t="str">
        <f t="shared" si="7"/>
        <v/>
      </c>
      <c r="AK13" s="168" t="str">
        <f t="shared" si="8"/>
        <v/>
      </c>
      <c r="AL13" s="19"/>
      <c r="AM13" s="19"/>
      <c r="AN13" s="20" t="str">
        <f>IF(AL13="","",IF($F13="Bernardino Furlan",_xlfn.XLOOKUP(AL13,Cadastros!$G$6:$G$90,Cadastros!$H$6:$H$90)*(1-0.18),IF($F13="Mauro José Salanti",_xlfn.XLOOKUP(AL13,Cadastros!$G$6:$G$90,Cadastros!$H$6:$H$90)*(1-0.18),_xlfn.XLOOKUP(AL13,Cadastros!$G$6:$G$90,Cadastros!$H$6:$H$90))))</f>
        <v/>
      </c>
      <c r="AO13" s="168" t="str">
        <f t="shared" si="9"/>
        <v/>
      </c>
      <c r="AP13" s="168" t="str">
        <f t="shared" si="10"/>
        <v/>
      </c>
      <c r="AQ13" s="19"/>
      <c r="AR13" s="19"/>
      <c r="AS13" s="20" t="str">
        <f>IF(AQ13="","",IF($F13="Bernardino Furlan",_xlfn.XLOOKUP(AQ13,Cadastros!$G$6:$G$90,Cadastros!$H$6:$H$90)*(1-0.18),IF($F13="Mauro José Salanti",_xlfn.XLOOKUP(AQ13,Cadastros!$G$6:$G$90,Cadastros!$H$6:$H$90)*(1-0.18),_xlfn.XLOOKUP(AQ13,Cadastros!$G$6:$G$90,Cadastros!$H$6:$H$90))))</f>
        <v/>
      </c>
      <c r="AT13" s="168" t="str">
        <f t="shared" si="11"/>
        <v/>
      </c>
      <c r="AU13" s="168" t="str">
        <f t="shared" si="12"/>
        <v/>
      </c>
      <c r="AV13" s="226" t="s">
        <v>372</v>
      </c>
      <c r="AW13" s="22"/>
      <c r="AX13" s="266"/>
      <c r="AY13" s="266"/>
      <c r="AZ13" s="21" t="s">
        <v>64</v>
      </c>
      <c r="BA13" s="22">
        <v>462</v>
      </c>
      <c r="BB13" s="23" cm="1">
        <f t="array" ref="BB13">_xlfn.IFS(AW13="SIM",SUM(K13,P13,U13,Z13,AE13,AJ13,AO13,AT13,AX13,AY13),F13&lt;&gt;"",SUM(K13,P13,U13,Z13,AE13,AJ13,,AO13,AT13),F13="","")</f>
        <v>4677</v>
      </c>
      <c r="BC13" s="211" cm="1">
        <f t="array" ref="BC13">_xlfn.IFS(E13="","",G13&lt;=E13,BB13*(1-0.03),G13&lt;(E13+8),BB13,AZ13="Boleto",BB13*(1+0.001)^DATEDIF(E13,G13,"D"),AZ13="Cheque",BB13,AZ13="Dinheiro","Alterar forma pgto")</f>
        <v>4677</v>
      </c>
      <c r="BD13" s="276" cm="1">
        <f t="array" ref="BD13">IF(F13=0," ",IF(BC13&lt;BB13,(_xlfn.IFS(AW13="SIM",SUM(L13,Q13,V13,AA13,AF13,AK13,AP13,AU13)+AX13/_xlfn.XLOOKUP(_xlfn.XLOOKUP($F13,Clientes!$B$4:$B$39,Clientes!$C$4:$C$39),Cadastros!$L$6:$L$12,Cadastros!$M$6:$M$12)+IF($F13="Bernardino Furlan",AY13/2751.92,IF($F13="Mauro José Salanti",AY13/2751.92,AY13/3356)),F13&lt;&gt;0,SUM(L13,Q13,V13,AA13,AF13,AK13,AP13,AU13)))*(1-0.03),_xlfn.IFS(AW13="SIM",SUM(L13,Q13,V13,AA13,AF13,AK13,AP13,AU13)+AX13/_xlfn.XLOOKUP(_xlfn.XLOOKUP($F13,Clientes!$B$4:$B$39,Clientes!$C$4:$C$39),Cadastros!$L$6:$L$12,Cadastros!$M$6:$M$12)+IF($F13="Bernardino Furlan",AY13/2751.92,IF($F13="Mauro José Salanti",AY13/2751.92,AY13/3356)),F13&lt;&gt;0,SUM(L13,Q13,V13,AA13,AF13,AK13,AP13,AU13))))</f>
        <v>1.3936233611442193</v>
      </c>
      <c r="BE13" s="120"/>
      <c r="BF13" s="120"/>
      <c r="BG13" s="120"/>
      <c r="BH13" s="231" t="str">
        <f>IF(Clientes!B9="","",Clientes!B9)</f>
        <v>João Alfonso Schons Me</v>
      </c>
      <c r="BJ13" s="24" t="str">
        <f>IF(Cadastros!B11="","",Cadastros!B11)</f>
        <v>Prospecção Ativa</v>
      </c>
      <c r="BL13" s="235" t="str">
        <f>IF(Cadastros!D10="","",Cadastros!D10)</f>
        <v>10104 - Colchão Léctus 138 X 188 X 021 cm MVQ</v>
      </c>
      <c r="BM13" s="234"/>
      <c r="BN13" s="235" t="str">
        <f>IF(Cadastros!G10="","",Cadastros!G10)</f>
        <v>242 - Base Box Solteiro 0,88 X 1,88 X 0,25 cm</v>
      </c>
      <c r="BP13" s="24" t="str">
        <f>IF(Cadastros!J11="","",Cadastros!J11)</f>
        <v/>
      </c>
      <c r="BR13" s="24" t="str">
        <f>IF(Cadastros!J18="","",Cadastros!J18)</f>
        <v/>
      </c>
    </row>
    <row r="14" spans="1:70" s="3" customFormat="1" x14ac:dyDescent="0.3">
      <c r="A14" s="15">
        <f t="shared" si="0"/>
        <v>1</v>
      </c>
      <c r="B14" s="25">
        <v>107</v>
      </c>
      <c r="C14" s="17" t="s">
        <v>62</v>
      </c>
      <c r="D14" s="278">
        <v>43998</v>
      </c>
      <c r="E14" s="27">
        <v>43999</v>
      </c>
      <c r="F14" s="28" t="s">
        <v>148</v>
      </c>
      <c r="G14" s="27">
        <v>44006</v>
      </c>
      <c r="H14" s="28" t="s">
        <v>228</v>
      </c>
      <c r="I14" s="28">
        <v>1</v>
      </c>
      <c r="J14" s="255">
        <f>IF(H14="","",(_xlfn.XLOOKUP(H14,Cadastros!$D$6:$D$90,Cadastros!$E$6:$E$90))*(1-_xlfn.XLOOKUP(_xlfn.XLOOKUP($F14,Clientes!$B$4:$B$39,Clientes!$C$4:$C$39),Cadastros!$L$6:$L$12,Cadastros!$N$6:$N$12)))</f>
        <v>2216.3000000000002</v>
      </c>
      <c r="K14" s="168">
        <f t="shared" si="1"/>
        <v>2216.3000000000002</v>
      </c>
      <c r="L14" s="168">
        <f>IFERROR(K14/_xlfn.XLOOKUP(_xlfn.XLOOKUP($F14,Clientes!$B$4:$B$39,Clientes!$C$4:$C$39),Cadastros!$L$6:$L$12,Cadastros!$M$6:$M$12)," ")</f>
        <v>0.89243146603098933</v>
      </c>
      <c r="M14" s="28" t="s">
        <v>267</v>
      </c>
      <c r="N14" s="28">
        <v>2</v>
      </c>
      <c r="O14" s="255">
        <f>IF(M14="","",(_xlfn.XLOOKUP(M14,Cadastros!$D$6:$D$90,Cadastros!$E$6:$E$90))*(1-_xlfn.XLOOKUP(_xlfn.XLOOKUP($F14,Clientes!$B$4:$B$39,Clientes!$C$4:$C$39),Cadastros!$L$6:$L$12,Cadastros!$N$6:$N$12)))</f>
        <v>106.56</v>
      </c>
      <c r="P14" s="168">
        <f t="shared" si="2"/>
        <v>213.12</v>
      </c>
      <c r="Q14" s="168">
        <f>IFERROR(P14/_xlfn.XLOOKUP(_xlfn.XLOOKUP($F14,Clientes!$B$4:$B$39,Clientes!$C$4:$C$39),Cadastros!$L$6:$L$12,Cadastros!$M$6:$M$12)," ")</f>
        <v>8.5816448152562577E-2</v>
      </c>
      <c r="R14" s="28"/>
      <c r="S14" s="28"/>
      <c r="T14" s="255" t="str">
        <f>IF(R14="","",(_xlfn.XLOOKUP(R14,Cadastros!$D$6:$D$90,Cadastros!$E$6:$E$90))*(1-_xlfn.XLOOKUP(_xlfn.XLOOKUP($F14,Clientes!$B$4:$B$39,Clientes!$C$4:$C$39),Cadastros!$L$6:$L$12,Cadastros!$N$6:$N$12)))</f>
        <v/>
      </c>
      <c r="U14" s="168" t="str">
        <f t="shared" si="3"/>
        <v/>
      </c>
      <c r="V14" s="168" t="str">
        <f>IFERROR(U14/_xlfn.XLOOKUP(_xlfn.XLOOKUP($F14,Clientes!$B$4:$B$39,Clientes!$C$4:$C$39),Cadastros!$L$6:$L$12,Cadastros!$M$6:$M$12)," ")</f>
        <v xml:space="preserve"> </v>
      </c>
      <c r="W14" s="28"/>
      <c r="X14" s="28"/>
      <c r="Y14" s="255" t="str">
        <f>IF(W14="","",(_xlfn.XLOOKUP(W14,Cadastros!$D$6:$D$90,Cadastros!$E$6:$E$90))*(1-_xlfn.XLOOKUP(_xlfn.XLOOKUP($F14,Clientes!$B$4:$B$39,Clientes!$C$4:$C$39),Cadastros!$L$6:$L$12,Cadastros!$N$6:$N$12)))</f>
        <v/>
      </c>
      <c r="Z14" s="168" t="str">
        <f t="shared" si="4"/>
        <v/>
      </c>
      <c r="AA14" s="168" t="str">
        <f>IFERROR(Z14/_xlfn.XLOOKUP(_xlfn.XLOOKUP($F14,Clientes!$B$4:$B$39,Clientes!$C$4:$C$39),Cadastros!$L$6:$L$12,Cadastros!$M$6:$M$12)," ")</f>
        <v xml:space="preserve"> </v>
      </c>
      <c r="AB14" s="28"/>
      <c r="AC14" s="28"/>
      <c r="AD14" s="20" t="str">
        <f>IF(AB14="","",IF($F14="Bernardino Furlan",_xlfn.XLOOKUP(AB14,Cadastros!$G$6:$G$90,Cadastros!$H$6:$H$90)*(1-0.18),IF($F14="Mauro José Salanti",_xlfn.XLOOKUP(AB14,Cadastros!$G$6:$G$90,Cadastros!$H$6:$H$90)*(1-0.18),_xlfn.XLOOKUP(AB14,Cadastros!$G$6:$G$90,Cadastros!$H$6:$H$90))))</f>
        <v/>
      </c>
      <c r="AE14" s="168" t="str">
        <f t="shared" si="5"/>
        <v/>
      </c>
      <c r="AF14" s="168" t="str">
        <f t="shared" si="6"/>
        <v/>
      </c>
      <c r="AG14" s="28"/>
      <c r="AH14" s="28"/>
      <c r="AI14" s="20" t="str">
        <f>IF(AG14="","",IF($F14="Bernardino Furlan",_xlfn.XLOOKUP(AG14,Cadastros!$G$6:$G$90,Cadastros!$H$6:$H$90)*(1-0.18),IF($F14="Mauro José Salanti",_xlfn.XLOOKUP(AG14,Cadastros!$G$6:$G$90,Cadastros!$H$6:$H$90)*(1-0.18),_xlfn.XLOOKUP(AG14,Cadastros!$G$6:$G$90,Cadastros!$H$6:$H$90))))</f>
        <v/>
      </c>
      <c r="AJ14" s="168" t="str">
        <f t="shared" si="7"/>
        <v/>
      </c>
      <c r="AK14" s="168" t="str">
        <f t="shared" si="8"/>
        <v/>
      </c>
      <c r="AL14" s="28"/>
      <c r="AM14" s="28"/>
      <c r="AN14" s="20" t="str">
        <f>IF(AL14="","",IF($F14="Bernardino Furlan",_xlfn.XLOOKUP(AL14,Cadastros!$G$6:$G$90,Cadastros!$H$6:$H$90)*(1-0.18),IF($F14="Mauro José Salanti",_xlfn.XLOOKUP(AL14,Cadastros!$G$6:$G$90,Cadastros!$H$6:$H$90)*(1-0.18),_xlfn.XLOOKUP(AL14,Cadastros!$G$6:$G$90,Cadastros!$H$6:$H$90))))</f>
        <v/>
      </c>
      <c r="AO14" s="168" t="str">
        <f t="shared" si="9"/>
        <v/>
      </c>
      <c r="AP14" s="168" t="str">
        <f t="shared" si="10"/>
        <v/>
      </c>
      <c r="AQ14" s="28"/>
      <c r="AR14" s="28"/>
      <c r="AS14" s="20" t="str">
        <f>IF(AQ14="","",IF($F14="Bernardino Furlan",_xlfn.XLOOKUP(AQ14,Cadastros!$G$6:$G$90,Cadastros!$H$6:$H$90)*(1-0.18),IF($F14="Mauro José Salanti",_xlfn.XLOOKUP(AQ14,Cadastros!$G$6:$G$90,Cadastros!$H$6:$H$90)*(1-0.18),_xlfn.XLOOKUP(AQ14,Cadastros!$G$6:$G$90,Cadastros!$H$6:$H$90))))</f>
        <v/>
      </c>
      <c r="AT14" s="168" t="str">
        <f t="shared" si="11"/>
        <v/>
      </c>
      <c r="AU14" s="168" t="str">
        <f t="shared" si="12"/>
        <v/>
      </c>
      <c r="AV14" s="227" t="s">
        <v>373</v>
      </c>
      <c r="AW14" s="30"/>
      <c r="AX14" s="267"/>
      <c r="AY14" s="267"/>
      <c r="AZ14" s="29"/>
      <c r="BA14" s="30">
        <v>461</v>
      </c>
      <c r="BB14" s="23" cm="1">
        <f t="array" ref="BB14">_xlfn.IFS(AW14="SIM",SUM(K14,P14,U14,Z14,AE14,AJ14,AO14,AT14,AX14,AY14),F14&lt;&gt;"",SUM(K14,P14,U14,Z14,AE14,AJ14,,AO14,AT14),F14="","")</f>
        <v>2429.42</v>
      </c>
      <c r="BC14" s="211" cm="1">
        <f t="array" ref="BC14">_xlfn.IFS(E14="","",G14&lt;=E14,BB14*(1-0.03),G14&lt;(E14+8),BB14,AZ14="Boleto",BB14*(1+0.001)^DATEDIF(E14,G14,"D"),AZ14="Cheque",BB14,AZ14="Dinheiro","Alterar forma pgto")</f>
        <v>2429.42</v>
      </c>
      <c r="BD14" s="276" cm="1">
        <f t="array" ref="BD14">IF(F14=0," ",IF(BC14&lt;BB14,(_xlfn.IFS(AW14="SIM",SUM(L14,Q14,V14,AA14,AF14,AK14,AP14,AU14)+AX14/_xlfn.XLOOKUP(_xlfn.XLOOKUP($F14,Clientes!$B$4:$B$39,Clientes!$C$4:$C$39),Cadastros!$L$6:$L$12,Cadastros!$M$6:$M$12)+IF($F14="Bernardino Furlan",AY14/2751.92,IF($F14="Mauro José Salanti",AY14/2751.92,AY14/3356)),F14&lt;&gt;0,SUM(L14,Q14,V14,AA14,AF14,AK14,AP14,AU14)))*(1-0.03),_xlfn.IFS(AW14="SIM",SUM(L14,Q14,V14,AA14,AF14,AK14,AP14,AU14)+AX14/_xlfn.XLOOKUP(_xlfn.XLOOKUP($F14,Clientes!$B$4:$B$39,Clientes!$C$4:$C$39),Cadastros!$L$6:$L$12,Cadastros!$M$6:$M$12)+IF($F14="Bernardino Furlan",AY14/2751.92,IF($F14="Mauro José Salanti",AY14/2751.92,AY14/3356)),F14&lt;&gt;0,SUM(L14,Q14,V14,AA14,AF14,AK14,AP14,AU14))))</f>
        <v>0.97824791418355195</v>
      </c>
      <c r="BE14" s="120"/>
      <c r="BF14" s="120"/>
      <c r="BG14" s="120"/>
      <c r="BH14" s="231" t="str">
        <f>IF(Clientes!B10="","",Clientes!B10)</f>
        <v>José Felipe Klauck</v>
      </c>
      <c r="BJ14" s="24" t="str">
        <f>IF(Cadastros!B12="","",Cadastros!B12)</f>
        <v>Redes Sociais</v>
      </c>
      <c r="BL14" s="235" t="str">
        <f>IF(Cadastros!D11="","",Cadastros!D11)</f>
        <v>10105 - Colchão Vivace 138 X 188 X 024 cm MVQ</v>
      </c>
      <c r="BM14" s="234"/>
      <c r="BN14" s="235" t="str">
        <f>IF(Cadastros!G11="","",Cadastros!G11)</f>
        <v/>
      </c>
    </row>
    <row r="15" spans="1:70" s="3" customFormat="1" x14ac:dyDescent="0.3">
      <c r="A15" s="15" t="str">
        <f t="shared" si="0"/>
        <v/>
      </c>
      <c r="B15" s="25"/>
      <c r="C15" s="17"/>
      <c r="D15" s="278"/>
      <c r="E15" s="27"/>
      <c r="F15" s="28"/>
      <c r="G15" s="27"/>
      <c r="H15" s="28"/>
      <c r="I15" s="28"/>
      <c r="J15" s="255" t="str">
        <f>IF(H15="","",(_xlfn.XLOOKUP(H15,Cadastros!$D$6:$D$90,Cadastros!$E$6:$E$90))*(1-_xlfn.XLOOKUP(_xlfn.XLOOKUP($F15,Clientes!$B$4:$B$39,Clientes!$C$4:$C$39),Cadastros!$L$6:$L$12,Cadastros!$N$6:$N$12)))</f>
        <v/>
      </c>
      <c r="K15" s="168" t="str">
        <f t="shared" si="1"/>
        <v/>
      </c>
      <c r="L15" s="168" t="str">
        <f>IFERROR(K15/_xlfn.XLOOKUP(_xlfn.XLOOKUP($F15,Clientes!$B$4:$B$39,Clientes!$C$4:$C$39),Cadastros!$L$6:$L$12,Cadastros!$M$6:$M$12)," ")</f>
        <v xml:space="preserve"> </v>
      </c>
      <c r="M15" s="28"/>
      <c r="N15" s="28"/>
      <c r="O15" s="255" t="str">
        <f>IF(M15="","",(_xlfn.XLOOKUP(M15,Cadastros!$D$6:$D$90,Cadastros!$E$6:$E$90))*(1-_xlfn.XLOOKUP(_xlfn.XLOOKUP($F15,Clientes!$B$4:$B$39,Clientes!$C$4:$C$39),Cadastros!$L$6:$L$12,Cadastros!$N$6:$N$12)))</f>
        <v/>
      </c>
      <c r="P15" s="168" t="str">
        <f t="shared" si="2"/>
        <v/>
      </c>
      <c r="Q15" s="168" t="str">
        <f>IFERROR(P15/_xlfn.XLOOKUP(_xlfn.XLOOKUP($F15,Clientes!$B$4:$B$39,Clientes!$C$4:$C$39),Cadastros!$L$6:$L$12,Cadastros!$M$6:$M$12)," ")</f>
        <v xml:space="preserve"> </v>
      </c>
      <c r="R15" s="28"/>
      <c r="S15" s="28"/>
      <c r="T15" s="255" t="str">
        <f>IF(R15="","",(_xlfn.XLOOKUP(R15,Cadastros!$D$6:$D$90,Cadastros!$E$6:$E$90))*(1-_xlfn.XLOOKUP(_xlfn.XLOOKUP($F15,Clientes!$B$4:$B$39,Clientes!$C$4:$C$39),Cadastros!$L$6:$L$12,Cadastros!$N$6:$N$12)))</f>
        <v/>
      </c>
      <c r="U15" s="168" t="str">
        <f t="shared" si="3"/>
        <v/>
      </c>
      <c r="V15" s="168" t="str">
        <f>IFERROR(U15/_xlfn.XLOOKUP(_xlfn.XLOOKUP($F15,Clientes!$B$4:$B$39,Clientes!$C$4:$C$39),Cadastros!$L$6:$L$12,Cadastros!$M$6:$M$12)," ")</f>
        <v xml:space="preserve"> </v>
      </c>
      <c r="W15" s="28"/>
      <c r="X15" s="28"/>
      <c r="Y15" s="255" t="str">
        <f>IF(W15="","",(_xlfn.XLOOKUP(W15,Cadastros!$D$6:$D$90,Cadastros!$E$6:$E$90))*(1-_xlfn.XLOOKUP(_xlfn.XLOOKUP($F15,Clientes!$B$4:$B$39,Clientes!$C$4:$C$39),Cadastros!$L$6:$L$12,Cadastros!$N$6:$N$12)))</f>
        <v/>
      </c>
      <c r="Z15" s="168" t="str">
        <f t="shared" si="4"/>
        <v/>
      </c>
      <c r="AA15" s="168" t="str">
        <f>IFERROR(Z15/_xlfn.XLOOKUP(_xlfn.XLOOKUP($F15,Clientes!$B$4:$B$39,Clientes!$C$4:$C$39),Cadastros!$L$6:$L$12,Cadastros!$M$6:$M$12)," ")</f>
        <v xml:space="preserve"> </v>
      </c>
      <c r="AB15" s="28"/>
      <c r="AC15" s="28"/>
      <c r="AD15" s="20" t="str">
        <f>IF(AB15="","",IF($F15="Bernardino Furlan",_xlfn.XLOOKUP(AB15,Cadastros!$G$6:$G$90,Cadastros!$H$6:$H$90)*(1-0.18),IF($F15="Mauro José Salanti",_xlfn.XLOOKUP(AB15,Cadastros!$G$6:$G$90,Cadastros!$H$6:$H$90)*(1-0.18),_xlfn.XLOOKUP(AB15,Cadastros!$G$6:$G$90,Cadastros!$H$6:$H$90))))</f>
        <v/>
      </c>
      <c r="AE15" s="168" t="str">
        <f t="shared" si="5"/>
        <v/>
      </c>
      <c r="AF15" s="168" t="str">
        <f t="shared" si="6"/>
        <v/>
      </c>
      <c r="AG15" s="28"/>
      <c r="AH15" s="28"/>
      <c r="AI15" s="20" t="str">
        <f>IF(AG15="","",IF($F15="Bernardino Furlan",_xlfn.XLOOKUP(AG15,Cadastros!$G$6:$G$90,Cadastros!$H$6:$H$90)*(1-0.18),IF($F15="Mauro José Salanti",_xlfn.XLOOKUP(AG15,Cadastros!$G$6:$G$90,Cadastros!$H$6:$H$90)*(1-0.18),_xlfn.XLOOKUP(AG15,Cadastros!$G$6:$G$90,Cadastros!$H$6:$H$90))))</f>
        <v/>
      </c>
      <c r="AJ15" s="168" t="str">
        <f t="shared" si="7"/>
        <v/>
      </c>
      <c r="AK15" s="168" t="str">
        <f t="shared" si="8"/>
        <v/>
      </c>
      <c r="AL15" s="28"/>
      <c r="AM15" s="28"/>
      <c r="AN15" s="20" t="str">
        <f>IF(AL15="","",IF($F15="Bernardino Furlan",_xlfn.XLOOKUP(AL15,Cadastros!$G$6:$G$90,Cadastros!$H$6:$H$90)*(1-0.18),IF($F15="Mauro José Salanti",_xlfn.XLOOKUP(AL15,Cadastros!$G$6:$G$90,Cadastros!$H$6:$H$90)*(1-0.18),_xlfn.XLOOKUP(AL15,Cadastros!$G$6:$G$90,Cadastros!$H$6:$H$90))))</f>
        <v/>
      </c>
      <c r="AO15" s="168" t="str">
        <f t="shared" si="9"/>
        <v/>
      </c>
      <c r="AP15" s="168" t="str">
        <f t="shared" si="10"/>
        <v/>
      </c>
      <c r="AQ15" s="28"/>
      <c r="AR15" s="28"/>
      <c r="AS15" s="20" t="str">
        <f>IF(AQ15="","",IF($F15="Bernardino Furlan",_xlfn.XLOOKUP(AQ15,Cadastros!$G$6:$G$90,Cadastros!$H$6:$H$90)*(1-0.18),IF($F15="Mauro José Salanti",_xlfn.XLOOKUP(AQ15,Cadastros!$G$6:$G$90,Cadastros!$H$6:$H$90)*(1-0.18),_xlfn.XLOOKUP(AQ15,Cadastros!$G$6:$G$90,Cadastros!$H$6:$H$90))))</f>
        <v/>
      </c>
      <c r="AT15" s="168" t="str">
        <f t="shared" si="11"/>
        <v/>
      </c>
      <c r="AU15" s="168" t="str">
        <f t="shared" si="12"/>
        <v/>
      </c>
      <c r="AV15" s="227"/>
      <c r="AW15" s="30"/>
      <c r="AX15" s="267"/>
      <c r="AY15" s="267"/>
      <c r="AZ15" s="29"/>
      <c r="BA15" s="30"/>
      <c r="BB15" s="23" t="str" cm="1">
        <f t="array" ref="BB15">_xlfn.IFS(AW15="SIM",SUM(K15,P15,U15,Z15,AE15,AJ15,AO15,AT15,AX15,AY15),F15&lt;&gt;"",SUM(K15,P15,U15,Z15,AE15,AJ15,,AO15,AT15),F15="","")</f>
        <v/>
      </c>
      <c r="BC15" s="211" t="str" cm="1">
        <f t="array" ref="BC15">_xlfn.IFS(E15="","",G15&lt;=E15,BB15*(1-0.03),G15&lt;(E15+8),BB15,AZ15="Boleto",BB15*(1+0.001)^DATEDIF(E15,G15,"D"),AZ15="Cheque",BB15,AZ15="Dinheiro","Alterar forma pgto")</f>
        <v/>
      </c>
      <c r="BD15" s="276" t="str" cm="1">
        <f t="array" ref="BD15">IF(F15=0," ",IF(BC15&lt;BB15,(_xlfn.IFS(AW15="SIM",SUM(L15,Q15,V15,AA15,AF15,AK15,AP15,AU15)+AX15/_xlfn.XLOOKUP(_xlfn.XLOOKUP($F15,Clientes!$B$4:$B$39,Clientes!$C$4:$C$39),Cadastros!$L$6:$L$12,Cadastros!$M$6:$M$12)+IF($F15="Bernardino Furlan",AY15/2751.92,IF($F15="Mauro José Salanti",AY15/2751.92,AY15/3356)),F15&lt;&gt;0,SUM(L15,Q15,V15,AA15,AF15,AK15,AP15,AU15)))*(1-0.03),_xlfn.IFS(AW15="SIM",SUM(L15,Q15,V15,AA15,AF15,AK15,AP15,AU15)+AX15/_xlfn.XLOOKUP(_xlfn.XLOOKUP($F15,Clientes!$B$4:$B$39,Clientes!$C$4:$C$39),Cadastros!$L$6:$L$12,Cadastros!$M$6:$M$12)+IF($F15="Bernardino Furlan",AY15/2751.92,IF($F15="Mauro José Salanti",AY15/2751.92,AY15/3356)),F15&lt;&gt;0,SUM(L15,Q15,V15,AA15,AF15,AK15,AP15,AU15))))</f>
        <v xml:space="preserve"> </v>
      </c>
      <c r="BE15" s="120"/>
      <c r="BF15" s="120"/>
      <c r="BG15" s="120"/>
      <c r="BH15" s="231" t="str">
        <f>IF(Clientes!B11="","",Clientes!B11)</f>
        <v>Lucimar A. Fontana Sampaio Colchões</v>
      </c>
      <c r="BJ15" s="24" t="str">
        <f>IF(Cadastros!B13="","",Cadastros!B13)</f>
        <v/>
      </c>
      <c r="BL15" s="235" t="str">
        <f>IF(Cadastros!D12="","",Cadastros!D12)</f>
        <v>10106 - Colchão Supremo 138 X 188 X 027 cm MVQ</v>
      </c>
      <c r="BM15" s="234"/>
      <c r="BN15" s="233" t="str">
        <f>IF(Cadastros!G12="","",Cadastros!G12)</f>
        <v>BOX BAÚ</v>
      </c>
    </row>
    <row r="16" spans="1:70" s="3" customFormat="1" x14ac:dyDescent="0.3">
      <c r="A16" s="15" t="str">
        <f t="shared" si="0"/>
        <v/>
      </c>
      <c r="B16" s="25"/>
      <c r="C16" s="17"/>
      <c r="D16" s="278"/>
      <c r="E16" s="27"/>
      <c r="F16" s="28"/>
      <c r="G16" s="27"/>
      <c r="H16" s="28"/>
      <c r="I16" s="28"/>
      <c r="J16" s="255" t="str">
        <f>IF(H16="","",(_xlfn.XLOOKUP(H16,Cadastros!$D$6:$D$90,Cadastros!$E$6:$E$90))*(1-_xlfn.XLOOKUP(_xlfn.XLOOKUP($F16,Clientes!$B$4:$B$39,Clientes!$C$4:$C$39),Cadastros!$L$6:$L$12,Cadastros!$N$6:$N$12)))</f>
        <v/>
      </c>
      <c r="K16" s="168" t="str">
        <f t="shared" si="1"/>
        <v/>
      </c>
      <c r="L16" s="168" t="str">
        <f>IFERROR(K16/_xlfn.XLOOKUP(_xlfn.XLOOKUP($F16,Clientes!$B$4:$B$39,Clientes!$C$4:$C$39),Cadastros!$L$6:$L$12,Cadastros!$M$6:$M$12)," ")</f>
        <v xml:space="preserve"> </v>
      </c>
      <c r="M16" s="28"/>
      <c r="N16" s="28"/>
      <c r="O16" s="255" t="str">
        <f>IF(M16="","",(_xlfn.XLOOKUP(M16,Cadastros!$D$6:$D$90,Cadastros!$E$6:$E$90))*(1-_xlfn.XLOOKUP(_xlfn.XLOOKUP($F16,Clientes!$B$4:$B$39,Clientes!$C$4:$C$39),Cadastros!$L$6:$L$12,Cadastros!$N$6:$N$12)))</f>
        <v/>
      </c>
      <c r="P16" s="168" t="str">
        <f t="shared" si="2"/>
        <v/>
      </c>
      <c r="Q16" s="168" t="str">
        <f>IFERROR(P16/_xlfn.XLOOKUP(_xlfn.XLOOKUP($F16,Clientes!$B$4:$B$39,Clientes!$C$4:$C$39),Cadastros!$L$6:$L$12,Cadastros!$M$6:$M$12)," ")</f>
        <v xml:space="preserve"> </v>
      </c>
      <c r="R16" s="28"/>
      <c r="S16" s="28"/>
      <c r="T16" s="255" t="str">
        <f>IF(R16="","",(_xlfn.XLOOKUP(R16,Cadastros!$D$6:$D$90,Cadastros!$E$6:$E$90))*(1-_xlfn.XLOOKUP(_xlfn.XLOOKUP($F16,Clientes!$B$4:$B$39,Clientes!$C$4:$C$39),Cadastros!$L$6:$L$12,Cadastros!$N$6:$N$12)))</f>
        <v/>
      </c>
      <c r="U16" s="168" t="str">
        <f t="shared" si="3"/>
        <v/>
      </c>
      <c r="V16" s="168" t="str">
        <f>IFERROR(U16/_xlfn.XLOOKUP(_xlfn.XLOOKUP($F16,Clientes!$B$4:$B$39,Clientes!$C$4:$C$39),Cadastros!$L$6:$L$12,Cadastros!$M$6:$M$12)," ")</f>
        <v xml:space="preserve"> </v>
      </c>
      <c r="W16" s="28"/>
      <c r="X16" s="28"/>
      <c r="Y16" s="255" t="str">
        <f>IF(W16="","",(_xlfn.XLOOKUP(W16,Cadastros!$D$6:$D$90,Cadastros!$E$6:$E$90))*(1-_xlfn.XLOOKUP(_xlfn.XLOOKUP($F16,Clientes!$B$4:$B$39,Clientes!$C$4:$C$39),Cadastros!$L$6:$L$12,Cadastros!$N$6:$N$12)))</f>
        <v/>
      </c>
      <c r="Z16" s="168" t="str">
        <f t="shared" si="4"/>
        <v/>
      </c>
      <c r="AA16" s="168" t="str">
        <f>IFERROR(Z16/_xlfn.XLOOKUP(_xlfn.XLOOKUP($F16,Clientes!$B$4:$B$39,Clientes!$C$4:$C$39),Cadastros!$L$6:$L$12,Cadastros!$M$6:$M$12)," ")</f>
        <v xml:space="preserve"> </v>
      </c>
      <c r="AB16" s="28"/>
      <c r="AC16" s="28"/>
      <c r="AD16" s="20" t="str">
        <f>IF(AB16="","",IF($F16="Bernardino Furlan",_xlfn.XLOOKUP(AB16,Cadastros!$G$6:$G$90,Cadastros!$H$6:$H$90)*(1-0.18),IF($F16="Mauro José Salanti",_xlfn.XLOOKUP(AB16,Cadastros!$G$6:$G$90,Cadastros!$H$6:$H$90)*(1-0.18),_xlfn.XLOOKUP(AB16,Cadastros!$G$6:$G$90,Cadastros!$H$6:$H$90))))</f>
        <v/>
      </c>
      <c r="AE16" s="168" t="str">
        <f t="shared" si="5"/>
        <v/>
      </c>
      <c r="AF16" s="168" t="str">
        <f t="shared" si="6"/>
        <v/>
      </c>
      <c r="AG16" s="28"/>
      <c r="AH16" s="28"/>
      <c r="AI16" s="20" t="str">
        <f>IF(AG16="","",IF($F16="Bernardino Furlan",_xlfn.XLOOKUP(AG16,Cadastros!$G$6:$G$90,Cadastros!$H$6:$H$90)*(1-0.18),IF($F16="Mauro José Salanti",_xlfn.XLOOKUP(AG16,Cadastros!$G$6:$G$90,Cadastros!$H$6:$H$90)*(1-0.18),_xlfn.XLOOKUP(AG16,Cadastros!$G$6:$G$90,Cadastros!$H$6:$H$90))))</f>
        <v/>
      </c>
      <c r="AJ16" s="168" t="str">
        <f t="shared" si="7"/>
        <v/>
      </c>
      <c r="AK16" s="168" t="str">
        <f t="shared" si="8"/>
        <v/>
      </c>
      <c r="AL16" s="28"/>
      <c r="AM16" s="28"/>
      <c r="AN16" s="20" t="str">
        <f>IF(AL16="","",IF($F16="Bernardino Furlan",_xlfn.XLOOKUP(AL16,Cadastros!$G$6:$G$90,Cadastros!$H$6:$H$90)*(1-0.18),IF($F16="Mauro José Salanti",_xlfn.XLOOKUP(AL16,Cadastros!$G$6:$G$90,Cadastros!$H$6:$H$90)*(1-0.18),_xlfn.XLOOKUP(AL16,Cadastros!$G$6:$G$90,Cadastros!$H$6:$H$90))))</f>
        <v/>
      </c>
      <c r="AO16" s="168" t="str">
        <f t="shared" si="9"/>
        <v/>
      </c>
      <c r="AP16" s="168" t="str">
        <f t="shared" si="10"/>
        <v/>
      </c>
      <c r="AQ16" s="28"/>
      <c r="AR16" s="28"/>
      <c r="AS16" s="20" t="str">
        <f>IF(AQ16="","",IF($F16="Bernardino Furlan",_xlfn.XLOOKUP(AQ16,Cadastros!$G$6:$G$90,Cadastros!$H$6:$H$90)*(1-0.18),IF($F16="Mauro José Salanti",_xlfn.XLOOKUP(AQ16,Cadastros!$G$6:$G$90,Cadastros!$H$6:$H$90)*(1-0.18),_xlfn.XLOOKUP(AQ16,Cadastros!$G$6:$G$90,Cadastros!$H$6:$H$90))))</f>
        <v/>
      </c>
      <c r="AT16" s="168" t="str">
        <f t="shared" si="11"/>
        <v/>
      </c>
      <c r="AU16" s="168" t="str">
        <f t="shared" si="12"/>
        <v/>
      </c>
      <c r="AV16" s="227"/>
      <c r="AW16" s="30"/>
      <c r="AX16" s="267"/>
      <c r="AY16" s="267"/>
      <c r="AZ16" s="29"/>
      <c r="BA16" s="30"/>
      <c r="BB16" s="23" t="str" cm="1">
        <f t="array" ref="BB16">_xlfn.IFS(AW16="SIM",SUM(K16,P16,U16,Z16,AE16,AJ16,AO16,AT16,AX16,AY16),F16&lt;&gt;"",SUM(K16,P16,U16,Z16,AE16,AJ16,,AO16,AT16),F16="","")</f>
        <v/>
      </c>
      <c r="BC16" s="211" t="str" cm="1">
        <f t="array" ref="BC16">_xlfn.IFS(E16="","",G16&lt;=E16,BB16*(1-0.03),G16&lt;(E16+8),BB16,AZ16="Boleto",BB16*(1+0.001)^DATEDIF(E16,G16,"D"),AZ16="Cheque",BB16,AZ16="Dinheiro","Alterar forma pgto")</f>
        <v/>
      </c>
      <c r="BD16" s="276" t="str" cm="1">
        <f t="array" ref="BD16">IF(F16=0," ",IF(BC16&lt;BB16,(_xlfn.IFS(AW16="SIM",SUM(L16,Q16,V16,AA16,AF16,AK16,AP16,AU16)+AX16/_xlfn.XLOOKUP(_xlfn.XLOOKUP($F16,Clientes!$B$4:$B$39,Clientes!$C$4:$C$39),Cadastros!$L$6:$L$12,Cadastros!$M$6:$M$12)+IF($F16="Bernardino Furlan",AY16/2751.92,IF($F16="Mauro José Salanti",AY16/2751.92,AY16/3356)),F16&lt;&gt;0,SUM(L16,Q16,V16,AA16,AF16,AK16,AP16,AU16)))*(1-0.03),_xlfn.IFS(AW16="SIM",SUM(L16,Q16,V16,AA16,AF16,AK16,AP16,AU16)+AX16/_xlfn.XLOOKUP(_xlfn.XLOOKUP($F16,Clientes!$B$4:$B$39,Clientes!$C$4:$C$39),Cadastros!$L$6:$L$12,Cadastros!$M$6:$M$12)+IF($F16="Bernardino Furlan",AY16/2751.92,IF($F16="Mauro José Salanti",AY16/2751.92,AY16/3356)),F16&lt;&gt;0,SUM(L16,Q16,V16,AA16,AF16,AK16,AP16,AU16))))</f>
        <v xml:space="preserve"> </v>
      </c>
      <c r="BE16" s="120"/>
      <c r="BF16" s="120"/>
      <c r="BG16" s="120"/>
      <c r="BH16" s="231" t="str">
        <f>IF(Clientes!B12="","",Clientes!B12)</f>
        <v>Mauro José Salanti</v>
      </c>
      <c r="BJ16" s="24" t="str">
        <f>IF(Cadastros!B14="","",Cadastros!B14)</f>
        <v/>
      </c>
      <c r="BL16" s="235" t="str">
        <f>IF(Cadastros!D13="","",Cadastros!D13)</f>
        <v>10107 - Colchão Léctus 158 X 198 X 021 cm MVQ</v>
      </c>
      <c r="BM16" s="234"/>
      <c r="BN16" s="235" t="str">
        <f>IF(Cadastros!G13="","",Cadastros!G13)</f>
        <v>256 - Box Baú Casal 1,38 X 1,88 X 0,35 cm</v>
      </c>
    </row>
    <row r="17" spans="1:66" s="3" customFormat="1" x14ac:dyDescent="0.3">
      <c r="A17" s="15" t="str">
        <f t="shared" si="0"/>
        <v/>
      </c>
      <c r="B17" s="25"/>
      <c r="C17" s="17"/>
      <c r="D17" s="278"/>
      <c r="E17" s="27"/>
      <c r="F17" s="28"/>
      <c r="G17" s="27"/>
      <c r="H17" s="28"/>
      <c r="I17" s="28"/>
      <c r="J17" s="255" t="str">
        <f>IF(H17="","",(_xlfn.XLOOKUP(H17,Cadastros!$D$6:$D$90,Cadastros!$E$6:$E$90))*(1-_xlfn.XLOOKUP(_xlfn.XLOOKUP($F17,Clientes!$B$4:$B$39,Clientes!$C$4:$C$39),Cadastros!$L$6:$L$12,Cadastros!$N$6:$N$12)))</f>
        <v/>
      </c>
      <c r="K17" s="168" t="str">
        <f t="shared" si="1"/>
        <v/>
      </c>
      <c r="L17" s="168" t="str">
        <f>IFERROR(K17/_xlfn.XLOOKUP(_xlfn.XLOOKUP($F17,Clientes!$B$4:$B$39,Clientes!$C$4:$C$39),Cadastros!$L$6:$L$12,Cadastros!$M$6:$M$12)," ")</f>
        <v xml:space="preserve"> </v>
      </c>
      <c r="M17" s="28"/>
      <c r="N17" s="28"/>
      <c r="O17" s="255" t="str">
        <f>IF(M17="","",(_xlfn.XLOOKUP(M17,Cadastros!$D$6:$D$90,Cadastros!$E$6:$E$90))*(1-_xlfn.XLOOKUP(_xlfn.XLOOKUP($F17,Clientes!$B$4:$B$39,Clientes!$C$4:$C$39),Cadastros!$L$6:$L$12,Cadastros!$N$6:$N$12)))</f>
        <v/>
      </c>
      <c r="P17" s="168" t="str">
        <f t="shared" si="2"/>
        <v/>
      </c>
      <c r="Q17" s="168" t="str">
        <f>IFERROR(P17/_xlfn.XLOOKUP(_xlfn.XLOOKUP($F17,Clientes!$B$4:$B$39,Clientes!$C$4:$C$39),Cadastros!$L$6:$L$12,Cadastros!$M$6:$M$12)," ")</f>
        <v xml:space="preserve"> </v>
      </c>
      <c r="R17" s="28"/>
      <c r="S17" s="28"/>
      <c r="T17" s="255" t="str">
        <f>IF(R17="","",(_xlfn.XLOOKUP(R17,Cadastros!$D$6:$D$90,Cadastros!$E$6:$E$90))*(1-_xlfn.XLOOKUP(_xlfn.XLOOKUP($F17,Clientes!$B$4:$B$39,Clientes!$C$4:$C$39),Cadastros!$L$6:$L$12,Cadastros!$N$6:$N$12)))</f>
        <v/>
      </c>
      <c r="U17" s="168" t="str">
        <f t="shared" si="3"/>
        <v/>
      </c>
      <c r="V17" s="168" t="str">
        <f>IFERROR(U17/_xlfn.XLOOKUP(_xlfn.XLOOKUP($F17,Clientes!$B$4:$B$39,Clientes!$C$4:$C$39),Cadastros!$L$6:$L$12,Cadastros!$M$6:$M$12)," ")</f>
        <v xml:space="preserve"> </v>
      </c>
      <c r="W17" s="28"/>
      <c r="X17" s="28"/>
      <c r="Y17" s="255" t="str">
        <f>IF(W17="","",(_xlfn.XLOOKUP(W17,Cadastros!$D$6:$D$90,Cadastros!$E$6:$E$90))*(1-_xlfn.XLOOKUP(_xlfn.XLOOKUP($F17,Clientes!$B$4:$B$39,Clientes!$C$4:$C$39),Cadastros!$L$6:$L$12,Cadastros!$N$6:$N$12)))</f>
        <v/>
      </c>
      <c r="Z17" s="168" t="str">
        <f t="shared" si="4"/>
        <v/>
      </c>
      <c r="AA17" s="168" t="str">
        <f>IFERROR(Z17/_xlfn.XLOOKUP(_xlfn.XLOOKUP($F17,Clientes!$B$4:$B$39,Clientes!$C$4:$C$39),Cadastros!$L$6:$L$12,Cadastros!$M$6:$M$12)," ")</f>
        <v xml:space="preserve"> </v>
      </c>
      <c r="AB17" s="28"/>
      <c r="AC17" s="28"/>
      <c r="AD17" s="20" t="str">
        <f>IF(AB17="","",IF($F17="Bernardino Furlan",_xlfn.XLOOKUP(AB17,Cadastros!$G$6:$G$90,Cadastros!$H$6:$H$90)*(1-0.18),IF($F17="Mauro José Salanti",_xlfn.XLOOKUP(AB17,Cadastros!$G$6:$G$90,Cadastros!$H$6:$H$90)*(1-0.18),_xlfn.XLOOKUP(AB17,Cadastros!$G$6:$G$90,Cadastros!$H$6:$H$90))))</f>
        <v/>
      </c>
      <c r="AE17" s="168" t="str">
        <f t="shared" si="5"/>
        <v/>
      </c>
      <c r="AF17" s="168" t="str">
        <f t="shared" si="6"/>
        <v/>
      </c>
      <c r="AG17" s="28"/>
      <c r="AH17" s="28"/>
      <c r="AI17" s="20" t="str">
        <f>IF(AG17="","",IF($F17="Bernardino Furlan",_xlfn.XLOOKUP(AG17,Cadastros!$G$6:$G$90,Cadastros!$H$6:$H$90)*(1-0.18),IF($F17="Mauro José Salanti",_xlfn.XLOOKUP(AG17,Cadastros!$G$6:$G$90,Cadastros!$H$6:$H$90)*(1-0.18),_xlfn.XLOOKUP(AG17,Cadastros!$G$6:$G$90,Cadastros!$H$6:$H$90))))</f>
        <v/>
      </c>
      <c r="AJ17" s="168" t="str">
        <f t="shared" si="7"/>
        <v/>
      </c>
      <c r="AK17" s="168" t="str">
        <f t="shared" si="8"/>
        <v/>
      </c>
      <c r="AL17" s="28"/>
      <c r="AM17" s="28"/>
      <c r="AN17" s="20" t="str">
        <f>IF(AL17="","",IF($F17="Bernardino Furlan",_xlfn.XLOOKUP(AL17,Cadastros!$G$6:$G$90,Cadastros!$H$6:$H$90)*(1-0.18),IF($F17="Mauro José Salanti",_xlfn.XLOOKUP(AL17,Cadastros!$G$6:$G$90,Cadastros!$H$6:$H$90)*(1-0.18),_xlfn.XLOOKUP(AL17,Cadastros!$G$6:$G$90,Cadastros!$H$6:$H$90))))</f>
        <v/>
      </c>
      <c r="AO17" s="168" t="str">
        <f t="shared" si="9"/>
        <v/>
      </c>
      <c r="AP17" s="168" t="str">
        <f t="shared" si="10"/>
        <v/>
      </c>
      <c r="AQ17" s="28"/>
      <c r="AR17" s="28"/>
      <c r="AS17" s="20" t="str">
        <f>IF(AQ17="","",IF($F17="Bernardino Furlan",_xlfn.XLOOKUP(AQ17,Cadastros!$G$6:$G$90,Cadastros!$H$6:$H$90)*(1-0.18),IF($F17="Mauro José Salanti",_xlfn.XLOOKUP(AQ17,Cadastros!$G$6:$G$90,Cadastros!$H$6:$H$90)*(1-0.18),_xlfn.XLOOKUP(AQ17,Cadastros!$G$6:$G$90,Cadastros!$H$6:$H$90))))</f>
        <v/>
      </c>
      <c r="AT17" s="168" t="str">
        <f t="shared" si="11"/>
        <v/>
      </c>
      <c r="AU17" s="168" t="str">
        <f t="shared" si="12"/>
        <v/>
      </c>
      <c r="AV17" s="227"/>
      <c r="AW17" s="30"/>
      <c r="AX17" s="267"/>
      <c r="AY17" s="267"/>
      <c r="AZ17" s="29"/>
      <c r="BA17" s="30"/>
      <c r="BB17" s="23" t="str" cm="1">
        <f t="array" ref="BB17">_xlfn.IFS(AW17="SIM",SUM(K17,P17,U17,Z17,AE17,AJ17,AO17,AT17,AX17,AY17),F17&lt;&gt;"",SUM(K17,P17,U17,Z17,AE17,AJ17,,AO17,AT17),F17="","")</f>
        <v/>
      </c>
      <c r="BC17" s="211" t="str" cm="1">
        <f t="array" ref="BC17">_xlfn.IFS(E17="","",G17&lt;=E17,BB17*(1-0.03),G17&lt;(E17+8),BB17,AZ17="Boleto",BB17*(1+0.001)^DATEDIF(E17,G17,"D"),AZ17="Cheque",BB17,AZ17="Dinheiro","Alterar forma pgto")</f>
        <v/>
      </c>
      <c r="BD17" s="276" t="str" cm="1">
        <f t="array" ref="BD17">IF(F17=0," ",IF(BC17&lt;BB17,(_xlfn.IFS(AW17="SIM",SUM(L17,Q17,V17,AA17,AF17,AK17,AP17,AU17)+AX17/_xlfn.XLOOKUP(_xlfn.XLOOKUP($F17,Clientes!$B$4:$B$39,Clientes!$C$4:$C$39),Cadastros!$L$6:$L$12,Cadastros!$M$6:$M$12)+IF($F17="Bernardino Furlan",AY17/2751.92,IF($F17="Mauro José Salanti",AY17/2751.92,AY17/3356)),F17&lt;&gt;0,SUM(L17,Q17,V17,AA17,AF17,AK17,AP17,AU17)))*(1-0.03),_xlfn.IFS(AW17="SIM",SUM(L17,Q17,V17,AA17,AF17,AK17,AP17,AU17)+AX17/_xlfn.XLOOKUP(_xlfn.XLOOKUP($F17,Clientes!$B$4:$B$39,Clientes!$C$4:$C$39),Cadastros!$L$6:$L$12,Cadastros!$M$6:$M$12)+IF($F17="Bernardino Furlan",AY17/2751.92,IF($F17="Mauro José Salanti",AY17/2751.92,AY17/3356)),F17&lt;&gt;0,SUM(L17,Q17,V17,AA17,AF17,AK17,AP17,AU17))))</f>
        <v xml:space="preserve"> </v>
      </c>
      <c r="BE17" s="120"/>
      <c r="BF17" s="120"/>
      <c r="BG17" s="120"/>
      <c r="BH17" s="231" t="str">
        <f>IF(Clientes!B13="","",Clientes!B13)</f>
        <v>Michael Cristian Sturm</v>
      </c>
      <c r="BJ17" s="24" t="str">
        <f>IF(Cadastros!B15="","",Cadastros!B15)</f>
        <v/>
      </c>
      <c r="BL17" s="235" t="str">
        <f>IF(Cadastros!D14="","",Cadastros!D14)</f>
        <v>10108 - Colchão Vivace 158 X 198 X 024 cm MVQ</v>
      </c>
      <c r="BM17" s="234"/>
      <c r="BN17" s="235" t="str">
        <f>IF(Cadastros!G14="","",Cadastros!G14)</f>
        <v>182 - Box Baú Casal 1,58 X 1,98 X 0,35 cm Bipartido</v>
      </c>
    </row>
    <row r="18" spans="1:66" s="3" customFormat="1" x14ac:dyDescent="0.3">
      <c r="A18" s="15" t="str">
        <f t="shared" si="0"/>
        <v/>
      </c>
      <c r="B18" s="25"/>
      <c r="C18" s="17"/>
      <c r="D18" s="278"/>
      <c r="E18" s="27"/>
      <c r="F18" s="28"/>
      <c r="G18" s="27"/>
      <c r="H18" s="28"/>
      <c r="I18" s="28"/>
      <c r="J18" s="255" t="str">
        <f>IF(H18="","",(_xlfn.XLOOKUP(H18,Cadastros!$D$6:$D$90,Cadastros!$E$6:$E$90))*(1-_xlfn.XLOOKUP(_xlfn.XLOOKUP($F18,Clientes!$B$4:$B$39,Clientes!$C$4:$C$39),Cadastros!$L$6:$L$12,Cadastros!$N$6:$N$12)))</f>
        <v/>
      </c>
      <c r="K18" s="168" t="str">
        <f t="shared" si="1"/>
        <v/>
      </c>
      <c r="L18" s="168" t="str">
        <f>IFERROR(K18/_xlfn.XLOOKUP(_xlfn.XLOOKUP($F18,Clientes!$B$4:$B$39,Clientes!$C$4:$C$39),Cadastros!$L$6:$L$12,Cadastros!$M$6:$M$12)," ")</f>
        <v xml:space="preserve"> </v>
      </c>
      <c r="M18" s="28"/>
      <c r="N18" s="28"/>
      <c r="O18" s="255" t="str">
        <f>IF(M18="","",(_xlfn.XLOOKUP(M18,Cadastros!$D$6:$D$90,Cadastros!$E$6:$E$90))*(1-_xlfn.XLOOKUP(_xlfn.XLOOKUP($F18,Clientes!$B$4:$B$39,Clientes!$C$4:$C$39),Cadastros!$L$6:$L$12,Cadastros!$N$6:$N$12)))</f>
        <v/>
      </c>
      <c r="P18" s="168" t="str">
        <f t="shared" si="2"/>
        <v/>
      </c>
      <c r="Q18" s="168" t="str">
        <f>IFERROR(P18/_xlfn.XLOOKUP(_xlfn.XLOOKUP($F18,Clientes!$B$4:$B$39,Clientes!$C$4:$C$39),Cadastros!$L$6:$L$12,Cadastros!$M$6:$M$12)," ")</f>
        <v xml:space="preserve"> </v>
      </c>
      <c r="R18" s="28"/>
      <c r="S18" s="28"/>
      <c r="T18" s="255" t="str">
        <f>IF(R18="","",(_xlfn.XLOOKUP(R18,Cadastros!$D$6:$D$90,Cadastros!$E$6:$E$90))*(1-_xlfn.XLOOKUP(_xlfn.XLOOKUP($F18,Clientes!$B$4:$B$39,Clientes!$C$4:$C$39),Cadastros!$L$6:$L$12,Cadastros!$N$6:$N$12)))</f>
        <v/>
      </c>
      <c r="U18" s="168" t="str">
        <f t="shared" si="3"/>
        <v/>
      </c>
      <c r="V18" s="168" t="str">
        <f>IFERROR(U18/_xlfn.XLOOKUP(_xlfn.XLOOKUP($F18,Clientes!$B$4:$B$39,Clientes!$C$4:$C$39),Cadastros!$L$6:$L$12,Cadastros!$M$6:$M$12)," ")</f>
        <v xml:space="preserve"> </v>
      </c>
      <c r="W18" s="28"/>
      <c r="X18" s="28"/>
      <c r="Y18" s="255" t="str">
        <f>IF(W18="","",(_xlfn.XLOOKUP(W18,Cadastros!$D$6:$D$90,Cadastros!$E$6:$E$90))*(1-_xlfn.XLOOKUP(_xlfn.XLOOKUP($F18,Clientes!$B$4:$B$39,Clientes!$C$4:$C$39),Cadastros!$L$6:$L$12,Cadastros!$N$6:$N$12)))</f>
        <v/>
      </c>
      <c r="Z18" s="168" t="str">
        <f t="shared" si="4"/>
        <v/>
      </c>
      <c r="AA18" s="168" t="str">
        <f>IFERROR(Z18/_xlfn.XLOOKUP(_xlfn.XLOOKUP($F18,Clientes!$B$4:$B$39,Clientes!$C$4:$C$39),Cadastros!$L$6:$L$12,Cadastros!$M$6:$M$12)," ")</f>
        <v xml:space="preserve"> </v>
      </c>
      <c r="AB18" s="28"/>
      <c r="AC18" s="28"/>
      <c r="AD18" s="20" t="str">
        <f>IF(AB18="","",IF($F18="Bernardino Furlan",_xlfn.XLOOKUP(AB18,Cadastros!$G$6:$G$90,Cadastros!$H$6:$H$90)*(1-0.18),IF($F18="Mauro José Salanti",_xlfn.XLOOKUP(AB18,Cadastros!$G$6:$G$90,Cadastros!$H$6:$H$90)*(1-0.18),_xlfn.XLOOKUP(AB18,Cadastros!$G$6:$G$90,Cadastros!$H$6:$H$90))))</f>
        <v/>
      </c>
      <c r="AE18" s="168" t="str">
        <f t="shared" si="5"/>
        <v/>
      </c>
      <c r="AF18" s="168" t="str">
        <f t="shared" si="6"/>
        <v/>
      </c>
      <c r="AG18" s="28"/>
      <c r="AH18" s="28"/>
      <c r="AI18" s="20" t="str">
        <f>IF(AG18="","",IF($F18="Bernardino Furlan",_xlfn.XLOOKUP(AG18,Cadastros!$G$6:$G$90,Cadastros!$H$6:$H$90)*(1-0.18),IF($F18="Mauro José Salanti",_xlfn.XLOOKUP(AG18,Cadastros!$G$6:$G$90,Cadastros!$H$6:$H$90)*(1-0.18),_xlfn.XLOOKUP(AG18,Cadastros!$G$6:$G$90,Cadastros!$H$6:$H$90))))</f>
        <v/>
      </c>
      <c r="AJ18" s="168" t="str">
        <f t="shared" si="7"/>
        <v/>
      </c>
      <c r="AK18" s="168" t="str">
        <f t="shared" si="8"/>
        <v/>
      </c>
      <c r="AL18" s="28"/>
      <c r="AM18" s="28"/>
      <c r="AN18" s="20" t="str">
        <f>IF(AL18="","",IF($F18="Bernardino Furlan",_xlfn.XLOOKUP(AL18,Cadastros!$G$6:$G$90,Cadastros!$H$6:$H$90)*(1-0.18),IF($F18="Mauro José Salanti",_xlfn.XLOOKUP(AL18,Cadastros!$G$6:$G$90,Cadastros!$H$6:$H$90)*(1-0.18),_xlfn.XLOOKUP(AL18,Cadastros!$G$6:$G$90,Cadastros!$H$6:$H$90))))</f>
        <v/>
      </c>
      <c r="AO18" s="168" t="str">
        <f t="shared" si="9"/>
        <v/>
      </c>
      <c r="AP18" s="168" t="str">
        <f t="shared" si="10"/>
        <v/>
      </c>
      <c r="AQ18" s="28"/>
      <c r="AR18" s="28"/>
      <c r="AS18" s="20" t="str">
        <f>IF(AQ18="","",IF($F18="Bernardino Furlan",_xlfn.XLOOKUP(AQ18,Cadastros!$G$6:$G$90,Cadastros!$H$6:$H$90)*(1-0.18),IF($F18="Mauro José Salanti",_xlfn.XLOOKUP(AQ18,Cadastros!$G$6:$G$90,Cadastros!$H$6:$H$90)*(1-0.18),_xlfn.XLOOKUP(AQ18,Cadastros!$G$6:$G$90,Cadastros!$H$6:$H$90))))</f>
        <v/>
      </c>
      <c r="AT18" s="168" t="str">
        <f t="shared" si="11"/>
        <v/>
      </c>
      <c r="AU18" s="168" t="str">
        <f t="shared" si="12"/>
        <v/>
      </c>
      <c r="AV18" s="227"/>
      <c r="AW18" s="30"/>
      <c r="AX18" s="267"/>
      <c r="AY18" s="267"/>
      <c r="AZ18" s="29"/>
      <c r="BA18" s="30"/>
      <c r="BB18" s="23" t="str" cm="1">
        <f t="array" ref="BB18">_xlfn.IFS(AW18="SIM",SUM(K18,P18,U18,Z18,AE18,AJ18,AO18,AT18,AX18,AY18),F18&lt;&gt;"",SUM(K18,P18,U18,Z18,AE18,AJ18,,AO18,AT18),F18="","")</f>
        <v/>
      </c>
      <c r="BC18" s="211" t="str" cm="1">
        <f t="array" ref="BC18">_xlfn.IFS(E18="","",G18&lt;=E18,BB18*(1-0.03),G18&lt;(E18+8),BB18,AZ18="Boleto",BB18*(1+0.001)^DATEDIF(E18,G18,"D"),AZ18="Cheque",BB18,AZ18="Dinheiro","Alterar forma pgto")</f>
        <v/>
      </c>
      <c r="BD18" s="276" t="str" cm="1">
        <f t="array" ref="BD18">IF(F18=0," ",IF(BC18&lt;BB18,(_xlfn.IFS(AW18="SIM",SUM(L18,Q18,V18,AA18,AF18,AK18,AP18,AU18)+AX18/_xlfn.XLOOKUP(_xlfn.XLOOKUP($F18,Clientes!$B$4:$B$39,Clientes!$C$4:$C$39),Cadastros!$L$6:$L$12,Cadastros!$M$6:$M$12)+IF($F18="Bernardino Furlan",AY18/2751.92,IF($F18="Mauro José Salanti",AY18/2751.92,AY18/3356)),F18&lt;&gt;0,SUM(L18,Q18,V18,AA18,AF18,AK18,AP18,AU18)))*(1-0.03),_xlfn.IFS(AW18="SIM",SUM(L18,Q18,V18,AA18,AF18,AK18,AP18,AU18)+AX18/_xlfn.XLOOKUP(_xlfn.XLOOKUP($F18,Clientes!$B$4:$B$39,Clientes!$C$4:$C$39),Cadastros!$L$6:$L$12,Cadastros!$M$6:$M$12)+IF($F18="Bernardino Furlan",AY18/2751.92,IF($F18="Mauro José Salanti",AY18/2751.92,AY18/3356)),F18&lt;&gt;0,SUM(L18,Q18,V18,AA18,AF18,AK18,AP18,AU18))))</f>
        <v xml:space="preserve"> </v>
      </c>
      <c r="BE18" s="120"/>
      <c r="BF18" s="120"/>
      <c r="BG18" s="120"/>
      <c r="BH18" s="231" t="str">
        <f>IF(Clientes!B14="","",Clientes!B14)</f>
        <v>Pedro Neri Feliz De Oliveira</v>
      </c>
      <c r="BJ18" s="24" t="str">
        <f>IF(Cadastros!B16="","",Cadastros!B16)</f>
        <v/>
      </c>
      <c r="BL18" s="235" t="str">
        <f>IF(Cadastros!D15="","",Cadastros!D15)</f>
        <v>10109 - Colchão Supremo 158 X 198 X 027 cm MVQ</v>
      </c>
      <c r="BM18" s="234"/>
      <c r="BN18" s="235" t="str">
        <f>IF(Cadastros!G15="","",Cadastros!G15)</f>
        <v>257 - Box Baú Casal 1,93 X 2,03 X 0,35 cm Bipartido</v>
      </c>
    </row>
    <row r="19" spans="1:66" s="3" customFormat="1" x14ac:dyDescent="0.3">
      <c r="A19" s="15" t="str">
        <f t="shared" si="0"/>
        <v/>
      </c>
      <c r="B19" s="25"/>
      <c r="C19" s="17"/>
      <c r="D19" s="278"/>
      <c r="E19" s="27"/>
      <c r="F19" s="28"/>
      <c r="G19" s="27"/>
      <c r="H19" s="28"/>
      <c r="I19" s="28"/>
      <c r="J19" s="255" t="str">
        <f>IF(H19="","",(_xlfn.XLOOKUP(H19,Cadastros!$D$6:$D$90,Cadastros!$E$6:$E$90))*(1-_xlfn.XLOOKUP(_xlfn.XLOOKUP($F19,Clientes!$B$4:$B$39,Clientes!$C$4:$C$39),Cadastros!$L$6:$L$12,Cadastros!$N$6:$N$12)))</f>
        <v/>
      </c>
      <c r="K19" s="168" t="str">
        <f t="shared" si="1"/>
        <v/>
      </c>
      <c r="L19" s="168" t="str">
        <f>IFERROR(K19/_xlfn.XLOOKUP(_xlfn.XLOOKUP($F19,Clientes!$B$4:$B$39,Clientes!$C$4:$C$39),Cadastros!$L$6:$L$12,Cadastros!$M$6:$M$12)," ")</f>
        <v xml:space="preserve"> </v>
      </c>
      <c r="M19" s="28"/>
      <c r="N19" s="28"/>
      <c r="O19" s="255" t="str">
        <f>IF(M19="","",(_xlfn.XLOOKUP(M19,Cadastros!$D$6:$D$90,Cadastros!$E$6:$E$90))*(1-_xlfn.XLOOKUP(_xlfn.XLOOKUP($F19,Clientes!$B$4:$B$39,Clientes!$C$4:$C$39),Cadastros!$L$6:$L$12,Cadastros!$N$6:$N$12)))</f>
        <v/>
      </c>
      <c r="P19" s="168" t="str">
        <f t="shared" si="2"/>
        <v/>
      </c>
      <c r="Q19" s="168" t="str">
        <f>IFERROR(P19/_xlfn.XLOOKUP(_xlfn.XLOOKUP($F19,Clientes!$B$4:$B$39,Clientes!$C$4:$C$39),Cadastros!$L$6:$L$12,Cadastros!$M$6:$M$12)," ")</f>
        <v xml:space="preserve"> </v>
      </c>
      <c r="R19" s="28"/>
      <c r="S19" s="28"/>
      <c r="T19" s="255" t="str">
        <f>IF(R19="","",(_xlfn.XLOOKUP(R19,Cadastros!$D$6:$D$90,Cadastros!$E$6:$E$90))*(1-_xlfn.XLOOKUP(_xlfn.XLOOKUP($F19,Clientes!$B$4:$B$39,Clientes!$C$4:$C$39),Cadastros!$L$6:$L$12,Cadastros!$N$6:$N$12)))</f>
        <v/>
      </c>
      <c r="U19" s="168" t="str">
        <f t="shared" si="3"/>
        <v/>
      </c>
      <c r="V19" s="168" t="str">
        <f>IFERROR(U19/_xlfn.XLOOKUP(_xlfn.XLOOKUP($F19,Clientes!$B$4:$B$39,Clientes!$C$4:$C$39),Cadastros!$L$6:$L$12,Cadastros!$M$6:$M$12)," ")</f>
        <v xml:space="preserve"> </v>
      </c>
      <c r="W19" s="28"/>
      <c r="X19" s="28"/>
      <c r="Y19" s="255" t="str">
        <f>IF(W19="","",(_xlfn.XLOOKUP(W19,Cadastros!$D$6:$D$90,Cadastros!$E$6:$E$90))*(1-_xlfn.XLOOKUP(_xlfn.XLOOKUP($F19,Clientes!$B$4:$B$39,Clientes!$C$4:$C$39),Cadastros!$L$6:$L$12,Cadastros!$N$6:$N$12)))</f>
        <v/>
      </c>
      <c r="Z19" s="168" t="str">
        <f t="shared" si="4"/>
        <v/>
      </c>
      <c r="AA19" s="168" t="str">
        <f>IFERROR(Z19/_xlfn.XLOOKUP(_xlfn.XLOOKUP($F19,Clientes!$B$4:$B$39,Clientes!$C$4:$C$39),Cadastros!$L$6:$L$12,Cadastros!$M$6:$M$12)," ")</f>
        <v xml:space="preserve"> </v>
      </c>
      <c r="AB19" s="28"/>
      <c r="AC19" s="28"/>
      <c r="AD19" s="20" t="str">
        <f>IF(AB19="","",IF($F19="Bernardino Furlan",_xlfn.XLOOKUP(AB19,Cadastros!$G$6:$G$90,Cadastros!$H$6:$H$90)*(1-0.18),IF($F19="Mauro José Salanti",_xlfn.XLOOKUP(AB19,Cadastros!$G$6:$G$90,Cadastros!$H$6:$H$90)*(1-0.18),_xlfn.XLOOKUP(AB19,Cadastros!$G$6:$G$90,Cadastros!$H$6:$H$90))))</f>
        <v/>
      </c>
      <c r="AE19" s="168" t="str">
        <f t="shared" si="5"/>
        <v/>
      </c>
      <c r="AF19" s="168" t="str">
        <f t="shared" si="6"/>
        <v/>
      </c>
      <c r="AG19" s="28"/>
      <c r="AH19" s="28"/>
      <c r="AI19" s="20" t="str">
        <f>IF(AG19="","",IF($F19="Bernardino Furlan",_xlfn.XLOOKUP(AG19,Cadastros!$G$6:$G$90,Cadastros!$H$6:$H$90)*(1-0.18),IF($F19="Mauro José Salanti",_xlfn.XLOOKUP(AG19,Cadastros!$G$6:$G$90,Cadastros!$H$6:$H$90)*(1-0.18),_xlfn.XLOOKUP(AG19,Cadastros!$G$6:$G$90,Cadastros!$H$6:$H$90))))</f>
        <v/>
      </c>
      <c r="AJ19" s="168" t="str">
        <f t="shared" si="7"/>
        <v/>
      </c>
      <c r="AK19" s="168" t="str">
        <f t="shared" si="8"/>
        <v/>
      </c>
      <c r="AL19" s="28"/>
      <c r="AM19" s="28"/>
      <c r="AN19" s="20" t="str">
        <f>IF(AL19="","",IF($F19="Bernardino Furlan",_xlfn.XLOOKUP(AL19,Cadastros!$G$6:$G$90,Cadastros!$H$6:$H$90)*(1-0.18),IF($F19="Mauro José Salanti",_xlfn.XLOOKUP(AL19,Cadastros!$G$6:$G$90,Cadastros!$H$6:$H$90)*(1-0.18),_xlfn.XLOOKUP(AL19,Cadastros!$G$6:$G$90,Cadastros!$H$6:$H$90))))</f>
        <v/>
      </c>
      <c r="AO19" s="168" t="str">
        <f t="shared" si="9"/>
        <v/>
      </c>
      <c r="AP19" s="168" t="str">
        <f t="shared" si="10"/>
        <v/>
      </c>
      <c r="AQ19" s="28"/>
      <c r="AR19" s="28"/>
      <c r="AS19" s="20" t="str">
        <f>IF(AQ19="","",IF($F19="Bernardino Furlan",_xlfn.XLOOKUP(AQ19,Cadastros!$G$6:$G$90,Cadastros!$H$6:$H$90)*(1-0.18),IF($F19="Mauro José Salanti",_xlfn.XLOOKUP(AQ19,Cadastros!$G$6:$G$90,Cadastros!$H$6:$H$90)*(1-0.18),_xlfn.XLOOKUP(AQ19,Cadastros!$G$6:$G$90,Cadastros!$H$6:$H$90))))</f>
        <v/>
      </c>
      <c r="AT19" s="168" t="str">
        <f t="shared" si="11"/>
        <v/>
      </c>
      <c r="AU19" s="168" t="str">
        <f t="shared" si="12"/>
        <v/>
      </c>
      <c r="AV19" s="227"/>
      <c r="AW19" s="30"/>
      <c r="AX19" s="267"/>
      <c r="AY19" s="267"/>
      <c r="AZ19" s="29"/>
      <c r="BA19" s="30"/>
      <c r="BB19" s="23" t="str" cm="1">
        <f t="array" ref="BB19">_xlfn.IFS(AW19="SIM",SUM(K19,P19,U19,Z19,AE19,AJ19,AO19,AT19,AX19,AY19),F19&lt;&gt;"",SUM(K19,P19,U19,Z19,AE19,AJ19,,AO19,AT19),F19="","")</f>
        <v/>
      </c>
      <c r="BC19" s="211" t="str" cm="1">
        <f t="array" ref="BC19">_xlfn.IFS(E19="","",G19&lt;=E19,BB19*(1-0.03),G19&lt;(E19+8),BB19,AZ19="Boleto",BB19*(1+0.001)^DATEDIF(E19,G19,"D"),AZ19="Cheque",BB19,AZ19="Dinheiro","Alterar forma pgto")</f>
        <v/>
      </c>
      <c r="BD19" s="276" t="str" cm="1">
        <f t="array" ref="BD19">IF(F19=0," ",IF(BC19&lt;BB19,(_xlfn.IFS(AW19="SIM",SUM(L19,Q19,V19,AA19,AF19,AK19,AP19,AU19)+AX19/_xlfn.XLOOKUP(_xlfn.XLOOKUP($F19,Clientes!$B$4:$B$39,Clientes!$C$4:$C$39),Cadastros!$L$6:$L$12,Cadastros!$M$6:$M$12)+IF($F19="Bernardino Furlan",AY19/2751.92,IF($F19="Mauro José Salanti",AY19/2751.92,AY19/3356)),F19&lt;&gt;0,SUM(L19,Q19,V19,AA19,AF19,AK19,AP19,AU19)))*(1-0.03),_xlfn.IFS(AW19="SIM",SUM(L19,Q19,V19,AA19,AF19,AK19,AP19,AU19)+AX19/_xlfn.XLOOKUP(_xlfn.XLOOKUP($F19,Clientes!$B$4:$B$39,Clientes!$C$4:$C$39),Cadastros!$L$6:$L$12,Cadastros!$M$6:$M$12)+IF($F19="Bernardino Furlan",AY19/2751.92,IF($F19="Mauro José Salanti",AY19/2751.92,AY19/3356)),F19&lt;&gt;0,SUM(L19,Q19,V19,AA19,AF19,AK19,AP19,AU19))))</f>
        <v xml:space="preserve"> </v>
      </c>
      <c r="BE19" s="120"/>
      <c r="BF19" s="120"/>
      <c r="BG19" s="120"/>
      <c r="BH19" s="231" t="str">
        <f>IF(Clientes!B15="","",Clientes!B15)</f>
        <v>Schultz Comércio De Colchões Ltda</v>
      </c>
      <c r="BJ19" s="24" t="str">
        <f>IF(Cadastros!B17="","",Cadastros!B17)</f>
        <v/>
      </c>
      <c r="BL19" s="235" t="str">
        <f>IF(Cadastros!D16="","",Cadastros!D16)</f>
        <v>10110 - Colchão Léctus 193 X 203 X 021 cm MVQ</v>
      </c>
      <c r="BM19" s="234"/>
      <c r="BN19" s="235" t="str">
        <f>IF(Cadastros!G16="","",Cadastros!G16)</f>
        <v>258 - Box Baú Solteiro 0,88 X 1,88 X 0,35 cm</v>
      </c>
    </row>
    <row r="20" spans="1:66" s="3" customFormat="1" x14ac:dyDescent="0.3">
      <c r="A20" s="15" t="str">
        <f t="shared" si="0"/>
        <v/>
      </c>
      <c r="B20" s="25"/>
      <c r="C20" s="17"/>
      <c r="D20" s="278"/>
      <c r="E20" s="27"/>
      <c r="F20" s="28"/>
      <c r="G20" s="27"/>
      <c r="H20" s="28"/>
      <c r="I20" s="28"/>
      <c r="J20" s="255" t="str">
        <f>IF(H20="","",(_xlfn.XLOOKUP(H20,Cadastros!$D$6:$D$90,Cadastros!$E$6:$E$90))*(1-_xlfn.XLOOKUP(_xlfn.XLOOKUP($F20,Clientes!$B$4:$B$39,Clientes!$C$4:$C$39),Cadastros!$L$6:$L$12,Cadastros!$N$6:$N$12)))</f>
        <v/>
      </c>
      <c r="K20" s="168" t="str">
        <f t="shared" si="1"/>
        <v/>
      </c>
      <c r="L20" s="168" t="str">
        <f>IFERROR(K20/_xlfn.XLOOKUP(_xlfn.XLOOKUP($F20,Clientes!$B$4:$B$39,Clientes!$C$4:$C$39),Cadastros!$L$6:$L$12,Cadastros!$M$6:$M$12)," ")</f>
        <v xml:space="preserve"> </v>
      </c>
      <c r="M20" s="28"/>
      <c r="N20" s="28"/>
      <c r="O20" s="255" t="str">
        <f>IF(M20="","",(_xlfn.XLOOKUP(M20,Cadastros!$D$6:$D$90,Cadastros!$E$6:$E$90))*(1-_xlfn.XLOOKUP(_xlfn.XLOOKUP($F20,Clientes!$B$4:$B$39,Clientes!$C$4:$C$39),Cadastros!$L$6:$L$12,Cadastros!$N$6:$N$12)))</f>
        <v/>
      </c>
      <c r="P20" s="168" t="str">
        <f t="shared" si="2"/>
        <v/>
      </c>
      <c r="Q20" s="168" t="str">
        <f>IFERROR(P20/_xlfn.XLOOKUP(_xlfn.XLOOKUP($F20,Clientes!$B$4:$B$39,Clientes!$C$4:$C$39),Cadastros!$L$6:$L$12,Cadastros!$M$6:$M$12)," ")</f>
        <v xml:space="preserve"> </v>
      </c>
      <c r="R20" s="28"/>
      <c r="S20" s="28"/>
      <c r="T20" s="255" t="str">
        <f>IF(R20="","",(_xlfn.XLOOKUP(R20,Cadastros!$D$6:$D$90,Cadastros!$E$6:$E$90))*(1-_xlfn.XLOOKUP(_xlfn.XLOOKUP($F20,Clientes!$B$4:$B$39,Clientes!$C$4:$C$39),Cadastros!$L$6:$L$12,Cadastros!$N$6:$N$12)))</f>
        <v/>
      </c>
      <c r="U20" s="168" t="str">
        <f t="shared" si="3"/>
        <v/>
      </c>
      <c r="V20" s="168" t="str">
        <f>IFERROR(U20/_xlfn.XLOOKUP(_xlfn.XLOOKUP($F20,Clientes!$B$4:$B$39,Clientes!$C$4:$C$39),Cadastros!$L$6:$L$12,Cadastros!$M$6:$M$12)," ")</f>
        <v xml:space="preserve"> </v>
      </c>
      <c r="W20" s="28"/>
      <c r="X20" s="28"/>
      <c r="Y20" s="255" t="str">
        <f>IF(W20="","",(_xlfn.XLOOKUP(W20,Cadastros!$D$6:$D$90,Cadastros!$E$6:$E$90))*(1-_xlfn.XLOOKUP(_xlfn.XLOOKUP($F20,Clientes!$B$4:$B$39,Clientes!$C$4:$C$39),Cadastros!$L$6:$L$12,Cadastros!$N$6:$N$12)))</f>
        <v/>
      </c>
      <c r="Z20" s="168" t="str">
        <f t="shared" si="4"/>
        <v/>
      </c>
      <c r="AA20" s="168" t="str">
        <f>IFERROR(Z20/_xlfn.XLOOKUP(_xlfn.XLOOKUP($F20,Clientes!$B$4:$B$39,Clientes!$C$4:$C$39),Cadastros!$L$6:$L$12,Cadastros!$M$6:$M$12)," ")</f>
        <v xml:space="preserve"> </v>
      </c>
      <c r="AB20" s="28"/>
      <c r="AC20" s="28"/>
      <c r="AD20" s="20" t="str">
        <f>IF(AB20="","",IF($F20="Bernardino Furlan",_xlfn.XLOOKUP(AB20,Cadastros!$G$6:$G$90,Cadastros!$H$6:$H$90)*(1-0.18),IF($F20="Mauro José Salanti",_xlfn.XLOOKUP(AB20,Cadastros!$G$6:$G$90,Cadastros!$H$6:$H$90)*(1-0.18),_xlfn.XLOOKUP(AB20,Cadastros!$G$6:$G$90,Cadastros!$H$6:$H$90))))</f>
        <v/>
      </c>
      <c r="AE20" s="168" t="str">
        <f t="shared" si="5"/>
        <v/>
      </c>
      <c r="AF20" s="168" t="str">
        <f t="shared" si="6"/>
        <v/>
      </c>
      <c r="AG20" s="28"/>
      <c r="AH20" s="28"/>
      <c r="AI20" s="20" t="str">
        <f>IF(AG20="","",IF($F20="Bernardino Furlan",_xlfn.XLOOKUP(AG20,Cadastros!$G$6:$G$90,Cadastros!$H$6:$H$90)*(1-0.18),IF($F20="Mauro José Salanti",_xlfn.XLOOKUP(AG20,Cadastros!$G$6:$G$90,Cadastros!$H$6:$H$90)*(1-0.18),_xlfn.XLOOKUP(AG20,Cadastros!$G$6:$G$90,Cadastros!$H$6:$H$90))))</f>
        <v/>
      </c>
      <c r="AJ20" s="168" t="str">
        <f t="shared" si="7"/>
        <v/>
      </c>
      <c r="AK20" s="168" t="str">
        <f t="shared" si="8"/>
        <v/>
      </c>
      <c r="AL20" s="28"/>
      <c r="AM20" s="28"/>
      <c r="AN20" s="20" t="str">
        <f>IF(AL20="","",IF($F20="Bernardino Furlan",_xlfn.XLOOKUP(AL20,Cadastros!$G$6:$G$90,Cadastros!$H$6:$H$90)*(1-0.18),IF($F20="Mauro José Salanti",_xlfn.XLOOKUP(AL20,Cadastros!$G$6:$G$90,Cadastros!$H$6:$H$90)*(1-0.18),_xlfn.XLOOKUP(AL20,Cadastros!$G$6:$G$90,Cadastros!$H$6:$H$90))))</f>
        <v/>
      </c>
      <c r="AO20" s="168" t="str">
        <f t="shared" si="9"/>
        <v/>
      </c>
      <c r="AP20" s="168" t="str">
        <f t="shared" si="10"/>
        <v/>
      </c>
      <c r="AQ20" s="28"/>
      <c r="AR20" s="28"/>
      <c r="AS20" s="20" t="str">
        <f>IF(AQ20="","",IF($F20="Bernardino Furlan",_xlfn.XLOOKUP(AQ20,Cadastros!$G$6:$G$90,Cadastros!$H$6:$H$90)*(1-0.18),IF($F20="Mauro José Salanti",_xlfn.XLOOKUP(AQ20,Cadastros!$G$6:$G$90,Cadastros!$H$6:$H$90)*(1-0.18),_xlfn.XLOOKUP(AQ20,Cadastros!$G$6:$G$90,Cadastros!$H$6:$H$90))))</f>
        <v/>
      </c>
      <c r="AT20" s="168" t="str">
        <f t="shared" si="11"/>
        <v/>
      </c>
      <c r="AU20" s="168" t="str">
        <f t="shared" si="12"/>
        <v/>
      </c>
      <c r="AV20" s="227"/>
      <c r="AW20" s="30"/>
      <c r="AX20" s="267"/>
      <c r="AY20" s="267"/>
      <c r="AZ20" s="29"/>
      <c r="BA20" s="30"/>
      <c r="BB20" s="23" t="str" cm="1">
        <f t="array" ref="BB20">_xlfn.IFS(AW20="SIM",SUM(K20,P20,U20,Z20,AE20,AJ20,AO20,AT20,AX20,AY20),F20&lt;&gt;"",SUM(K20,P20,U20,Z20,AE20,AJ20,,AO20,AT20),F20="","")</f>
        <v/>
      </c>
      <c r="BC20" s="211" t="str" cm="1">
        <f t="array" ref="BC20">_xlfn.IFS(E20="","",G20&lt;=E20,BB20*(1-0.03),G20&lt;(E20+8),BB20,AZ20="Boleto",BB20*(1+0.001)^DATEDIF(E20,G20,"D"),AZ20="Cheque",BB20,AZ20="Dinheiro","Alterar forma pgto")</f>
        <v/>
      </c>
      <c r="BD20" s="276" t="str" cm="1">
        <f t="array" ref="BD20">IF(F20=0," ",IF(BC20&lt;BB20,(_xlfn.IFS(AW20="SIM",SUM(L20,Q20,V20,AA20,AF20,AK20,AP20,AU20)+AX20/_xlfn.XLOOKUP(_xlfn.XLOOKUP($F20,Clientes!$B$4:$B$39,Clientes!$C$4:$C$39),Cadastros!$L$6:$L$12,Cadastros!$M$6:$M$12)+IF($F20="Bernardino Furlan",AY20/2751.92,IF($F20="Mauro José Salanti",AY20/2751.92,AY20/3356)),F20&lt;&gt;0,SUM(L20,Q20,V20,AA20,AF20,AK20,AP20,AU20)))*(1-0.03),_xlfn.IFS(AW20="SIM",SUM(L20,Q20,V20,AA20,AF20,AK20,AP20,AU20)+AX20/_xlfn.XLOOKUP(_xlfn.XLOOKUP($F20,Clientes!$B$4:$B$39,Clientes!$C$4:$C$39),Cadastros!$L$6:$L$12,Cadastros!$M$6:$M$12)+IF($F20="Bernardino Furlan",AY20/2751.92,IF($F20="Mauro José Salanti",AY20/2751.92,AY20/3356)),F20&lt;&gt;0,SUM(L20,Q20,V20,AA20,AF20,AK20,AP20,AU20))))</f>
        <v xml:space="preserve"> </v>
      </c>
      <c r="BE20" s="120"/>
      <c r="BF20" s="120"/>
      <c r="BG20" s="120"/>
      <c r="BH20" s="231" t="str">
        <f>IF(Clientes!B16="","",Clientes!B16)</f>
        <v>Spuldaro Comércio De Aparelhos Terapêuticos Ltda</v>
      </c>
      <c r="BJ20" s="24" t="str">
        <f>IF(Cadastros!B18="","",Cadastros!B18)</f>
        <v/>
      </c>
      <c r="BL20" s="235" t="str">
        <f>IF(Cadastros!D17="","",Cadastros!D17)</f>
        <v>10111 - Colchão Vivace 193 X 203 X 024 cm MVQ</v>
      </c>
      <c r="BM20" s="234"/>
      <c r="BN20" s="235" t="str">
        <f>IF(Cadastros!G17="","",Cadastros!G17)</f>
        <v>259 - Base Somier Baú Solteiro 0,95 X 1,90 X 0,41 cm</v>
      </c>
    </row>
    <row r="21" spans="1:66" s="3" customFormat="1" x14ac:dyDescent="0.3">
      <c r="A21" s="15" t="str">
        <f t="shared" si="0"/>
        <v/>
      </c>
      <c r="B21" s="25"/>
      <c r="C21" s="17"/>
      <c r="D21" s="278"/>
      <c r="E21" s="27"/>
      <c r="F21" s="28"/>
      <c r="G21" s="27"/>
      <c r="H21" s="28"/>
      <c r="I21" s="28"/>
      <c r="J21" s="255" t="str">
        <f>IF(H21="","",(_xlfn.XLOOKUP(H21,Cadastros!$D$6:$D$90,Cadastros!$E$6:$E$90))*(1-_xlfn.XLOOKUP(_xlfn.XLOOKUP($F21,Clientes!$B$4:$B$39,Clientes!$C$4:$C$39),Cadastros!$L$6:$L$12,Cadastros!$N$6:$N$12)))</f>
        <v/>
      </c>
      <c r="K21" s="168" t="str">
        <f t="shared" si="1"/>
        <v/>
      </c>
      <c r="L21" s="168" t="str">
        <f>IFERROR(K21/_xlfn.XLOOKUP(_xlfn.XLOOKUP($F21,Clientes!$B$4:$B$39,Clientes!$C$4:$C$39),Cadastros!$L$6:$L$12,Cadastros!$M$6:$M$12)," ")</f>
        <v xml:space="preserve"> </v>
      </c>
      <c r="M21" s="28"/>
      <c r="N21" s="28"/>
      <c r="O21" s="255" t="str">
        <f>IF(M21="","",(_xlfn.XLOOKUP(M21,Cadastros!$D$6:$D$90,Cadastros!$E$6:$E$90))*(1-_xlfn.XLOOKUP(_xlfn.XLOOKUP($F21,Clientes!$B$4:$B$39,Clientes!$C$4:$C$39),Cadastros!$L$6:$L$12,Cadastros!$N$6:$N$12)))</f>
        <v/>
      </c>
      <c r="P21" s="168" t="str">
        <f t="shared" si="2"/>
        <v/>
      </c>
      <c r="Q21" s="168" t="str">
        <f>IFERROR(P21/_xlfn.XLOOKUP(_xlfn.XLOOKUP($F21,Clientes!$B$4:$B$39,Clientes!$C$4:$C$39),Cadastros!$L$6:$L$12,Cadastros!$M$6:$M$12)," ")</f>
        <v xml:space="preserve"> </v>
      </c>
      <c r="R21" s="28"/>
      <c r="S21" s="28"/>
      <c r="T21" s="255" t="str">
        <f>IF(R21="","",(_xlfn.XLOOKUP(R21,Cadastros!$D$6:$D$90,Cadastros!$E$6:$E$90))*(1-_xlfn.XLOOKUP(_xlfn.XLOOKUP($F21,Clientes!$B$4:$B$39,Clientes!$C$4:$C$39),Cadastros!$L$6:$L$12,Cadastros!$N$6:$N$12)))</f>
        <v/>
      </c>
      <c r="U21" s="168" t="str">
        <f t="shared" si="3"/>
        <v/>
      </c>
      <c r="V21" s="168" t="str">
        <f>IFERROR(U21/_xlfn.XLOOKUP(_xlfn.XLOOKUP($F21,Clientes!$B$4:$B$39,Clientes!$C$4:$C$39),Cadastros!$L$6:$L$12,Cadastros!$M$6:$M$12)," ")</f>
        <v xml:space="preserve"> </v>
      </c>
      <c r="W21" s="28"/>
      <c r="X21" s="28"/>
      <c r="Y21" s="255" t="str">
        <f>IF(W21="","",(_xlfn.XLOOKUP(W21,Cadastros!$D$6:$D$90,Cadastros!$E$6:$E$90))*(1-_xlfn.XLOOKUP(_xlfn.XLOOKUP($F21,Clientes!$B$4:$B$39,Clientes!$C$4:$C$39),Cadastros!$L$6:$L$12,Cadastros!$N$6:$N$12)))</f>
        <v/>
      </c>
      <c r="Z21" s="168" t="str">
        <f t="shared" si="4"/>
        <v/>
      </c>
      <c r="AA21" s="168" t="str">
        <f>IFERROR(Z21/_xlfn.XLOOKUP(_xlfn.XLOOKUP($F21,Clientes!$B$4:$B$39,Clientes!$C$4:$C$39),Cadastros!$L$6:$L$12,Cadastros!$M$6:$M$12)," ")</f>
        <v xml:space="preserve"> </v>
      </c>
      <c r="AB21" s="28"/>
      <c r="AC21" s="28"/>
      <c r="AD21" s="20" t="str">
        <f>IF(AB21="","",IF($F21="Bernardino Furlan",_xlfn.XLOOKUP(AB21,Cadastros!$G$6:$G$90,Cadastros!$H$6:$H$90)*(1-0.18),IF($F21="Mauro José Salanti",_xlfn.XLOOKUP(AB21,Cadastros!$G$6:$G$90,Cadastros!$H$6:$H$90)*(1-0.18),_xlfn.XLOOKUP(AB21,Cadastros!$G$6:$G$90,Cadastros!$H$6:$H$90))))</f>
        <v/>
      </c>
      <c r="AE21" s="168" t="str">
        <f t="shared" si="5"/>
        <v/>
      </c>
      <c r="AF21" s="168" t="str">
        <f t="shared" si="6"/>
        <v/>
      </c>
      <c r="AG21" s="28"/>
      <c r="AH21" s="28"/>
      <c r="AI21" s="20" t="str">
        <f>IF(AG21="","",IF($F21="Bernardino Furlan",_xlfn.XLOOKUP(AG21,Cadastros!$G$6:$G$90,Cadastros!$H$6:$H$90)*(1-0.18),IF($F21="Mauro José Salanti",_xlfn.XLOOKUP(AG21,Cadastros!$G$6:$G$90,Cadastros!$H$6:$H$90)*(1-0.18),_xlfn.XLOOKUP(AG21,Cadastros!$G$6:$G$90,Cadastros!$H$6:$H$90))))</f>
        <v/>
      </c>
      <c r="AJ21" s="168" t="str">
        <f t="shared" si="7"/>
        <v/>
      </c>
      <c r="AK21" s="168" t="str">
        <f t="shared" si="8"/>
        <v/>
      </c>
      <c r="AL21" s="28"/>
      <c r="AM21" s="28"/>
      <c r="AN21" s="20" t="str">
        <f>IF(AL21="","",IF($F21="Bernardino Furlan",_xlfn.XLOOKUP(AL21,Cadastros!$G$6:$G$90,Cadastros!$H$6:$H$90)*(1-0.18),IF($F21="Mauro José Salanti",_xlfn.XLOOKUP(AL21,Cadastros!$G$6:$G$90,Cadastros!$H$6:$H$90)*(1-0.18),_xlfn.XLOOKUP(AL21,Cadastros!$G$6:$G$90,Cadastros!$H$6:$H$90))))</f>
        <v/>
      </c>
      <c r="AO21" s="168" t="str">
        <f t="shared" si="9"/>
        <v/>
      </c>
      <c r="AP21" s="168" t="str">
        <f t="shared" si="10"/>
        <v/>
      </c>
      <c r="AQ21" s="28"/>
      <c r="AR21" s="28"/>
      <c r="AS21" s="20" t="str">
        <f>IF(AQ21="","",IF($F21="Bernardino Furlan",_xlfn.XLOOKUP(AQ21,Cadastros!$G$6:$G$90,Cadastros!$H$6:$H$90)*(1-0.18),IF($F21="Mauro José Salanti",_xlfn.XLOOKUP(AQ21,Cadastros!$G$6:$G$90,Cadastros!$H$6:$H$90)*(1-0.18),_xlfn.XLOOKUP(AQ21,Cadastros!$G$6:$G$90,Cadastros!$H$6:$H$90))))</f>
        <v/>
      </c>
      <c r="AT21" s="168" t="str">
        <f t="shared" si="11"/>
        <v/>
      </c>
      <c r="AU21" s="168" t="str">
        <f t="shared" si="12"/>
        <v/>
      </c>
      <c r="AV21" s="227"/>
      <c r="AW21" s="30"/>
      <c r="AX21" s="267"/>
      <c r="AY21" s="267"/>
      <c r="AZ21" s="29"/>
      <c r="BA21" s="30"/>
      <c r="BB21" s="23" t="str" cm="1">
        <f t="array" ref="BB21">_xlfn.IFS(AW21="SIM",SUM(K21,P21,U21,Z21,AE21,AJ21,AO21,AT21,AX21,AY21),F21&lt;&gt;"",SUM(K21,P21,U21,Z21,AE21,AJ21,,AO21,AT21),F21="","")</f>
        <v/>
      </c>
      <c r="BC21" s="211" t="str" cm="1">
        <f t="array" ref="BC21">_xlfn.IFS(E21="","",G21&lt;=E21,BB21*(1-0.03),G21&lt;(E21+8),BB21,AZ21="Boleto",BB21*(1+0.001)^DATEDIF(E21,G21,"D"),AZ21="Cheque",BB21,AZ21="Dinheiro","Alterar forma pgto")</f>
        <v/>
      </c>
      <c r="BD21" s="276" t="str" cm="1">
        <f t="array" ref="BD21">IF(F21=0," ",IF(BC21&lt;BB21,(_xlfn.IFS(AW21="SIM",SUM(L21,Q21,V21,AA21,AF21,AK21,AP21,AU21)+AX21/_xlfn.XLOOKUP(_xlfn.XLOOKUP($F21,Clientes!$B$4:$B$39,Clientes!$C$4:$C$39),Cadastros!$L$6:$L$12,Cadastros!$M$6:$M$12)+IF($F21="Bernardino Furlan",AY21/2751.92,IF($F21="Mauro José Salanti",AY21/2751.92,AY21/3356)),F21&lt;&gt;0,SUM(L21,Q21,V21,AA21,AF21,AK21,AP21,AU21)))*(1-0.03),_xlfn.IFS(AW21="SIM",SUM(L21,Q21,V21,AA21,AF21,AK21,AP21,AU21)+AX21/_xlfn.XLOOKUP(_xlfn.XLOOKUP($F21,Clientes!$B$4:$B$39,Clientes!$C$4:$C$39),Cadastros!$L$6:$L$12,Cadastros!$M$6:$M$12)+IF($F21="Bernardino Furlan",AY21/2751.92,IF($F21="Mauro José Salanti",AY21/2751.92,AY21/3356)),F21&lt;&gt;0,SUM(L21,Q21,V21,AA21,AF21,AK21,AP21,AU21))))</f>
        <v xml:space="preserve"> </v>
      </c>
      <c r="BE21" s="120"/>
      <c r="BF21" s="120"/>
      <c r="BG21" s="120"/>
      <c r="BH21" s="231" t="str">
        <f>IF(Clientes!B17="","",Clientes!B17)</f>
        <v>Valmir Carlos Moraes</v>
      </c>
      <c r="BJ21" s="24" t="str">
        <f>IF(Cadastros!B19="","",Cadastros!B19)</f>
        <v/>
      </c>
      <c r="BL21" s="235" t="str">
        <f>IF(Cadastros!D18="","",Cadastros!D18)</f>
        <v>10112 - Colchão Supremo 193 X 203 X 027 cm MVQ</v>
      </c>
      <c r="BM21" s="234"/>
      <c r="BN21" s="235" t="str">
        <f>IF(Cadastros!G18="","",Cadastros!G18)</f>
        <v>260 - Base Somier Baú Casal 1,45 X 1,95 X 0,41 cm</v>
      </c>
    </row>
    <row r="22" spans="1:66" s="3" customFormat="1" x14ac:dyDescent="0.3">
      <c r="A22" s="15" t="str">
        <f t="shared" si="0"/>
        <v/>
      </c>
      <c r="B22" s="25"/>
      <c r="C22" s="17"/>
      <c r="D22" s="278"/>
      <c r="E22" s="27"/>
      <c r="F22" s="28"/>
      <c r="G22" s="27"/>
      <c r="H22" s="28"/>
      <c r="I22" s="28"/>
      <c r="J22" s="255" t="str">
        <f>IF(H22="","",(_xlfn.XLOOKUP(H22,Cadastros!$D$6:$D$90,Cadastros!$E$6:$E$90))*(1-_xlfn.XLOOKUP(_xlfn.XLOOKUP($F22,Clientes!$B$4:$B$39,Clientes!$C$4:$C$39),Cadastros!$L$6:$L$12,Cadastros!$N$6:$N$12)))</f>
        <v/>
      </c>
      <c r="K22" s="168" t="str">
        <f t="shared" si="1"/>
        <v/>
      </c>
      <c r="L22" s="168" t="str">
        <f>IFERROR(K22/_xlfn.XLOOKUP(_xlfn.XLOOKUP($F22,Clientes!$B$4:$B$39,Clientes!$C$4:$C$39),Cadastros!$L$6:$L$12,Cadastros!$M$6:$M$12)," ")</f>
        <v xml:space="preserve"> </v>
      </c>
      <c r="M22" s="28"/>
      <c r="N22" s="28"/>
      <c r="O22" s="255" t="str">
        <f>IF(M22="","",(_xlfn.XLOOKUP(M22,Cadastros!$D$6:$D$90,Cadastros!$E$6:$E$90))*(1-_xlfn.XLOOKUP(_xlfn.XLOOKUP($F22,Clientes!$B$4:$B$39,Clientes!$C$4:$C$39),Cadastros!$L$6:$L$12,Cadastros!$N$6:$N$12)))</f>
        <v/>
      </c>
      <c r="P22" s="168" t="str">
        <f t="shared" si="2"/>
        <v/>
      </c>
      <c r="Q22" s="168" t="str">
        <f>IFERROR(P22/_xlfn.XLOOKUP(_xlfn.XLOOKUP($F22,Clientes!$B$4:$B$39,Clientes!$C$4:$C$39),Cadastros!$L$6:$L$12,Cadastros!$M$6:$M$12)," ")</f>
        <v xml:space="preserve"> </v>
      </c>
      <c r="R22" s="28"/>
      <c r="S22" s="28"/>
      <c r="T22" s="255" t="str">
        <f>IF(R22="","",(_xlfn.XLOOKUP(R22,Cadastros!$D$6:$D$90,Cadastros!$E$6:$E$90))*(1-_xlfn.XLOOKUP(_xlfn.XLOOKUP($F22,Clientes!$B$4:$B$39,Clientes!$C$4:$C$39),Cadastros!$L$6:$L$12,Cadastros!$N$6:$N$12)))</f>
        <v/>
      </c>
      <c r="U22" s="168" t="str">
        <f t="shared" si="3"/>
        <v/>
      </c>
      <c r="V22" s="168" t="str">
        <f>IFERROR(U22/_xlfn.XLOOKUP(_xlfn.XLOOKUP($F22,Clientes!$B$4:$B$39,Clientes!$C$4:$C$39),Cadastros!$L$6:$L$12,Cadastros!$M$6:$M$12)," ")</f>
        <v xml:space="preserve"> </v>
      </c>
      <c r="W22" s="28"/>
      <c r="X22" s="28"/>
      <c r="Y22" s="255" t="str">
        <f>IF(W22="","",(_xlfn.XLOOKUP(W22,Cadastros!$D$6:$D$90,Cadastros!$E$6:$E$90))*(1-_xlfn.XLOOKUP(_xlfn.XLOOKUP($F22,Clientes!$B$4:$B$39,Clientes!$C$4:$C$39),Cadastros!$L$6:$L$12,Cadastros!$N$6:$N$12)))</f>
        <v/>
      </c>
      <c r="Z22" s="168" t="str">
        <f t="shared" si="4"/>
        <v/>
      </c>
      <c r="AA22" s="168" t="str">
        <f>IFERROR(Z22/_xlfn.XLOOKUP(_xlfn.XLOOKUP($F22,Clientes!$B$4:$B$39,Clientes!$C$4:$C$39),Cadastros!$L$6:$L$12,Cadastros!$M$6:$M$12)," ")</f>
        <v xml:space="preserve"> </v>
      </c>
      <c r="AB22" s="28"/>
      <c r="AC22" s="28"/>
      <c r="AD22" s="20" t="str">
        <f>IF(AB22="","",IF($F22="Bernardino Furlan",_xlfn.XLOOKUP(AB22,Cadastros!$G$6:$G$90,Cadastros!$H$6:$H$90)*(1-0.18),IF($F22="Mauro José Salanti",_xlfn.XLOOKUP(AB22,Cadastros!$G$6:$G$90,Cadastros!$H$6:$H$90)*(1-0.18),_xlfn.XLOOKUP(AB22,Cadastros!$G$6:$G$90,Cadastros!$H$6:$H$90))))</f>
        <v/>
      </c>
      <c r="AE22" s="168" t="str">
        <f t="shared" si="5"/>
        <v/>
      </c>
      <c r="AF22" s="168" t="str">
        <f t="shared" si="6"/>
        <v/>
      </c>
      <c r="AG22" s="28"/>
      <c r="AH22" s="28"/>
      <c r="AI22" s="20" t="str">
        <f>IF(AG22="","",IF($F22="Bernardino Furlan",_xlfn.XLOOKUP(AG22,Cadastros!$G$6:$G$90,Cadastros!$H$6:$H$90)*(1-0.18),IF($F22="Mauro José Salanti",_xlfn.XLOOKUP(AG22,Cadastros!$G$6:$G$90,Cadastros!$H$6:$H$90)*(1-0.18),_xlfn.XLOOKUP(AG22,Cadastros!$G$6:$G$90,Cadastros!$H$6:$H$90))))</f>
        <v/>
      </c>
      <c r="AJ22" s="168" t="str">
        <f t="shared" si="7"/>
        <v/>
      </c>
      <c r="AK22" s="168" t="str">
        <f t="shared" si="8"/>
        <v/>
      </c>
      <c r="AL22" s="28"/>
      <c r="AM22" s="28"/>
      <c r="AN22" s="20" t="str">
        <f>IF(AL22="","",IF($F22="Bernardino Furlan",_xlfn.XLOOKUP(AL22,Cadastros!$G$6:$G$90,Cadastros!$H$6:$H$90)*(1-0.18),IF($F22="Mauro José Salanti",_xlfn.XLOOKUP(AL22,Cadastros!$G$6:$G$90,Cadastros!$H$6:$H$90)*(1-0.18),_xlfn.XLOOKUP(AL22,Cadastros!$G$6:$G$90,Cadastros!$H$6:$H$90))))</f>
        <v/>
      </c>
      <c r="AO22" s="168" t="str">
        <f t="shared" si="9"/>
        <v/>
      </c>
      <c r="AP22" s="168" t="str">
        <f t="shared" si="10"/>
        <v/>
      </c>
      <c r="AQ22" s="28"/>
      <c r="AR22" s="28"/>
      <c r="AS22" s="20" t="str">
        <f>IF(AQ22="","",IF($F22="Bernardino Furlan",_xlfn.XLOOKUP(AQ22,Cadastros!$G$6:$G$90,Cadastros!$H$6:$H$90)*(1-0.18),IF($F22="Mauro José Salanti",_xlfn.XLOOKUP(AQ22,Cadastros!$G$6:$G$90,Cadastros!$H$6:$H$90)*(1-0.18),_xlfn.XLOOKUP(AQ22,Cadastros!$G$6:$G$90,Cadastros!$H$6:$H$90))))</f>
        <v/>
      </c>
      <c r="AT22" s="168" t="str">
        <f t="shared" si="11"/>
        <v/>
      </c>
      <c r="AU22" s="168" t="str">
        <f t="shared" si="12"/>
        <v/>
      </c>
      <c r="AV22" s="227"/>
      <c r="AW22" s="30"/>
      <c r="AX22" s="267"/>
      <c r="AY22" s="267"/>
      <c r="AZ22" s="29"/>
      <c r="BA22" s="30"/>
      <c r="BB22" s="23" t="str" cm="1">
        <f t="array" ref="BB22">_xlfn.IFS(AW22="SIM",SUM(K22,P22,U22,Z22,AE22,AJ22,AO22,AT22,AX22,AY22),F22&lt;&gt;"",SUM(K22,P22,U22,Z22,AE22,AJ22,,AO22,AT22),F22="","")</f>
        <v/>
      </c>
      <c r="BC22" s="211" t="str" cm="1">
        <f t="array" ref="BC22">_xlfn.IFS(E22="","",G22&lt;=E22,BB22*(1-0.03),G22&lt;(E22+8),BB22,AZ22="Boleto",BB22*(1+0.001)^DATEDIF(E22,G22,"D"),AZ22="Cheque",BB22,AZ22="Dinheiro","Alterar forma pgto")</f>
        <v/>
      </c>
      <c r="BD22" s="276" t="str" cm="1">
        <f t="array" ref="BD22">IF(F22=0," ",IF(BC22&lt;BB22,(_xlfn.IFS(AW22="SIM",SUM(L22,Q22,V22,AA22,AF22,AK22,AP22,AU22)+AX22/_xlfn.XLOOKUP(_xlfn.XLOOKUP($F22,Clientes!$B$4:$B$39,Clientes!$C$4:$C$39),Cadastros!$L$6:$L$12,Cadastros!$M$6:$M$12)+IF($F22="Bernardino Furlan",AY22/2751.92,IF($F22="Mauro José Salanti",AY22/2751.92,AY22/3356)),F22&lt;&gt;0,SUM(L22,Q22,V22,AA22,AF22,AK22,AP22,AU22)))*(1-0.03),_xlfn.IFS(AW22="SIM",SUM(L22,Q22,V22,AA22,AF22,AK22,AP22,AU22)+AX22/_xlfn.XLOOKUP(_xlfn.XLOOKUP($F22,Clientes!$B$4:$B$39,Clientes!$C$4:$C$39),Cadastros!$L$6:$L$12,Cadastros!$M$6:$M$12)+IF($F22="Bernardino Furlan",AY22/2751.92,IF($F22="Mauro José Salanti",AY22/2751.92,AY22/3356)),F22&lt;&gt;0,SUM(L22,Q22,V22,AA22,AF22,AK22,AP22,AU22))))</f>
        <v xml:space="preserve"> </v>
      </c>
      <c r="BE22" s="120"/>
      <c r="BF22" s="120"/>
      <c r="BG22" s="120"/>
      <c r="BH22" s="231" t="str">
        <f>IF(Clientes!B18="","",Clientes!B18)</f>
        <v>Virlene Maria Lenhardt Jacobs</v>
      </c>
      <c r="BL22" s="235" t="str">
        <f>IF(Cadastros!D19="","",Cadastros!D19)</f>
        <v/>
      </c>
      <c r="BM22" s="234"/>
      <c r="BN22" s="235" t="str">
        <f>IF(Cadastros!G19="","",Cadastros!G19)</f>
        <v>261 - Base Somier Baú Casal 1,65 X 2,05 X 0,41 cm</v>
      </c>
    </row>
    <row r="23" spans="1:66" s="3" customFormat="1" x14ac:dyDescent="0.3">
      <c r="A23" s="15" t="str">
        <f t="shared" si="0"/>
        <v/>
      </c>
      <c r="B23" s="25"/>
      <c r="C23" s="17"/>
      <c r="D23" s="278"/>
      <c r="E23" s="27"/>
      <c r="F23" s="28"/>
      <c r="G23" s="27"/>
      <c r="H23" s="28"/>
      <c r="I23" s="28"/>
      <c r="J23" s="255" t="str">
        <f>IF(H23="","",(_xlfn.XLOOKUP(H23,Cadastros!$D$6:$D$90,Cadastros!$E$6:$E$90))*(1-_xlfn.XLOOKUP(_xlfn.XLOOKUP($F23,Clientes!$B$4:$B$39,Clientes!$C$4:$C$39),Cadastros!$L$6:$L$12,Cadastros!$N$6:$N$12)))</f>
        <v/>
      </c>
      <c r="K23" s="168" t="str">
        <f t="shared" si="1"/>
        <v/>
      </c>
      <c r="L23" s="168" t="str">
        <f>IFERROR(K23/_xlfn.XLOOKUP(_xlfn.XLOOKUP($F23,Clientes!$B$4:$B$39,Clientes!$C$4:$C$39),Cadastros!$L$6:$L$12,Cadastros!$M$6:$M$12)," ")</f>
        <v xml:space="preserve"> </v>
      </c>
      <c r="M23" s="28"/>
      <c r="N23" s="28"/>
      <c r="O23" s="255" t="str">
        <f>IF(M23="","",(_xlfn.XLOOKUP(M23,Cadastros!$D$6:$D$90,Cadastros!$E$6:$E$90))*(1-_xlfn.XLOOKUP(_xlfn.XLOOKUP($F23,Clientes!$B$4:$B$39,Clientes!$C$4:$C$39),Cadastros!$L$6:$L$12,Cadastros!$N$6:$N$12)))</f>
        <v/>
      </c>
      <c r="P23" s="168" t="str">
        <f t="shared" si="2"/>
        <v/>
      </c>
      <c r="Q23" s="168" t="str">
        <f>IFERROR(P23/_xlfn.XLOOKUP(_xlfn.XLOOKUP($F23,Clientes!$B$4:$B$39,Clientes!$C$4:$C$39),Cadastros!$L$6:$L$12,Cadastros!$M$6:$M$12)," ")</f>
        <v xml:space="preserve"> </v>
      </c>
      <c r="R23" s="28"/>
      <c r="S23" s="28"/>
      <c r="T23" s="255" t="str">
        <f>IF(R23="","",(_xlfn.XLOOKUP(R23,Cadastros!$D$6:$D$90,Cadastros!$E$6:$E$90))*(1-_xlfn.XLOOKUP(_xlfn.XLOOKUP($F23,Clientes!$B$4:$B$39,Clientes!$C$4:$C$39),Cadastros!$L$6:$L$12,Cadastros!$N$6:$N$12)))</f>
        <v/>
      </c>
      <c r="U23" s="168" t="str">
        <f t="shared" si="3"/>
        <v/>
      </c>
      <c r="V23" s="168" t="str">
        <f>IFERROR(U23/_xlfn.XLOOKUP(_xlfn.XLOOKUP($F23,Clientes!$B$4:$B$39,Clientes!$C$4:$C$39),Cadastros!$L$6:$L$12,Cadastros!$M$6:$M$12)," ")</f>
        <v xml:space="preserve"> </v>
      </c>
      <c r="W23" s="28"/>
      <c r="X23" s="28"/>
      <c r="Y23" s="255" t="str">
        <f>IF(W23="","",(_xlfn.XLOOKUP(W23,Cadastros!$D$6:$D$90,Cadastros!$E$6:$E$90))*(1-_xlfn.XLOOKUP(_xlfn.XLOOKUP($F23,Clientes!$B$4:$B$39,Clientes!$C$4:$C$39),Cadastros!$L$6:$L$12,Cadastros!$N$6:$N$12)))</f>
        <v/>
      </c>
      <c r="Z23" s="168" t="str">
        <f t="shared" si="4"/>
        <v/>
      </c>
      <c r="AA23" s="168" t="str">
        <f>IFERROR(Z23/_xlfn.XLOOKUP(_xlfn.XLOOKUP($F23,Clientes!$B$4:$B$39,Clientes!$C$4:$C$39),Cadastros!$L$6:$L$12,Cadastros!$M$6:$M$12)," ")</f>
        <v xml:space="preserve"> </v>
      </c>
      <c r="AB23" s="28"/>
      <c r="AC23" s="28"/>
      <c r="AD23" s="20" t="str">
        <f>IF(AB23="","",IF($F23="Bernardino Furlan",_xlfn.XLOOKUP(AB23,Cadastros!$G$6:$G$90,Cadastros!$H$6:$H$90)*(1-0.18),IF($F23="Mauro José Salanti",_xlfn.XLOOKUP(AB23,Cadastros!$G$6:$G$90,Cadastros!$H$6:$H$90)*(1-0.18),_xlfn.XLOOKUP(AB23,Cadastros!$G$6:$G$90,Cadastros!$H$6:$H$90))))</f>
        <v/>
      </c>
      <c r="AE23" s="168" t="str">
        <f t="shared" si="5"/>
        <v/>
      </c>
      <c r="AF23" s="168" t="str">
        <f t="shared" si="6"/>
        <v/>
      </c>
      <c r="AG23" s="28"/>
      <c r="AH23" s="28"/>
      <c r="AI23" s="20" t="str">
        <f>IF(AG23="","",IF($F23="Bernardino Furlan",_xlfn.XLOOKUP(AG23,Cadastros!$G$6:$G$90,Cadastros!$H$6:$H$90)*(1-0.18),IF($F23="Mauro José Salanti",_xlfn.XLOOKUP(AG23,Cadastros!$G$6:$G$90,Cadastros!$H$6:$H$90)*(1-0.18),_xlfn.XLOOKUP(AG23,Cadastros!$G$6:$G$90,Cadastros!$H$6:$H$90))))</f>
        <v/>
      </c>
      <c r="AJ23" s="168" t="str">
        <f t="shared" si="7"/>
        <v/>
      </c>
      <c r="AK23" s="168" t="str">
        <f t="shared" si="8"/>
        <v/>
      </c>
      <c r="AL23" s="28"/>
      <c r="AM23" s="28"/>
      <c r="AN23" s="20" t="str">
        <f>IF(AL23="","",IF($F23="Bernardino Furlan",_xlfn.XLOOKUP(AL23,Cadastros!$G$6:$G$90,Cadastros!$H$6:$H$90)*(1-0.18),IF($F23="Mauro José Salanti",_xlfn.XLOOKUP(AL23,Cadastros!$G$6:$G$90,Cadastros!$H$6:$H$90)*(1-0.18),_xlfn.XLOOKUP(AL23,Cadastros!$G$6:$G$90,Cadastros!$H$6:$H$90))))</f>
        <v/>
      </c>
      <c r="AO23" s="168" t="str">
        <f t="shared" si="9"/>
        <v/>
      </c>
      <c r="AP23" s="168" t="str">
        <f t="shared" si="10"/>
        <v/>
      </c>
      <c r="AQ23" s="28"/>
      <c r="AR23" s="28"/>
      <c r="AS23" s="20" t="str">
        <f>IF(AQ23="","",IF($F23="Bernardino Furlan",_xlfn.XLOOKUP(AQ23,Cadastros!$G$6:$G$90,Cadastros!$H$6:$H$90)*(1-0.18),IF($F23="Mauro José Salanti",_xlfn.XLOOKUP(AQ23,Cadastros!$G$6:$G$90,Cadastros!$H$6:$H$90)*(1-0.18),_xlfn.XLOOKUP(AQ23,Cadastros!$G$6:$G$90,Cadastros!$H$6:$H$90))))</f>
        <v/>
      </c>
      <c r="AT23" s="168" t="str">
        <f t="shared" si="11"/>
        <v/>
      </c>
      <c r="AU23" s="168" t="str">
        <f t="shared" si="12"/>
        <v/>
      </c>
      <c r="AV23" s="227"/>
      <c r="AW23" s="30"/>
      <c r="AX23" s="267"/>
      <c r="AY23" s="267"/>
      <c r="AZ23" s="29"/>
      <c r="BA23" s="30"/>
      <c r="BB23" s="23" t="str" cm="1">
        <f t="array" ref="BB23">_xlfn.IFS(AW23="SIM",SUM(K23,P23,U23,Z23,AE23,AJ23,AO23,AT23,AX23,AY23),F23&lt;&gt;"",SUM(K23,P23,U23,Z23,AE23,AJ23,,AO23,AT23),F23="","")</f>
        <v/>
      </c>
      <c r="BC23" s="211" t="str" cm="1">
        <f t="array" ref="BC23">_xlfn.IFS(E23="","",G23&lt;=E23,BB23*(1-0.03),G23&lt;(E23+8),BB23,AZ23="Boleto",BB23*(1+0.001)^DATEDIF(E23,G23,"D"),AZ23="Cheque",BB23,AZ23="Dinheiro","Alterar forma pgto")</f>
        <v/>
      </c>
      <c r="BD23" s="276" t="str" cm="1">
        <f t="array" ref="BD23">IF(F23=0," ",IF(BC23&lt;BB23,(_xlfn.IFS(AW23="SIM",SUM(L23,Q23,V23,AA23,AF23,AK23,AP23,AU23)+AX23/_xlfn.XLOOKUP(_xlfn.XLOOKUP($F23,Clientes!$B$4:$B$39,Clientes!$C$4:$C$39),Cadastros!$L$6:$L$12,Cadastros!$M$6:$M$12)+IF($F23="Bernardino Furlan",AY23/2751.92,IF($F23="Mauro José Salanti",AY23/2751.92,AY23/3356)),F23&lt;&gt;0,SUM(L23,Q23,V23,AA23,AF23,AK23,AP23,AU23)))*(1-0.03),_xlfn.IFS(AW23="SIM",SUM(L23,Q23,V23,AA23,AF23,AK23,AP23,AU23)+AX23/_xlfn.XLOOKUP(_xlfn.XLOOKUP($F23,Clientes!$B$4:$B$39,Clientes!$C$4:$C$39),Cadastros!$L$6:$L$12,Cadastros!$M$6:$M$12)+IF($F23="Bernardino Furlan",AY23/2751.92,IF($F23="Mauro José Salanti",AY23/2751.92,AY23/3356)),F23&lt;&gt;0,SUM(L23,Q23,V23,AA23,AF23,AK23,AP23,AU23))))</f>
        <v xml:space="preserve"> </v>
      </c>
      <c r="BE23" s="120"/>
      <c r="BF23" s="120"/>
      <c r="BG23" s="120"/>
      <c r="BH23" s="231" t="str">
        <f>IF(Clientes!B19="","",Clientes!B19)</f>
        <v>Waldir Weber</v>
      </c>
      <c r="BL23" s="233" t="str">
        <f>IF(Cadastros!D20="","",Cadastros!D20)</f>
        <v>TRAVESSEIROS</v>
      </c>
      <c r="BM23" s="234"/>
      <c r="BN23" s="235" t="str">
        <f>IF(Cadastros!G20="","",Cadastros!G20)</f>
        <v>262 - Base Somier Baú Casal 1,98 X 2,08 X 0,41 cm</v>
      </c>
    </row>
    <row r="24" spans="1:66" s="3" customFormat="1" x14ac:dyDescent="0.3">
      <c r="A24" s="15" t="str">
        <f t="shared" si="0"/>
        <v/>
      </c>
      <c r="B24" s="25"/>
      <c r="C24" s="17"/>
      <c r="D24" s="278"/>
      <c r="E24" s="27"/>
      <c r="F24" s="28"/>
      <c r="G24" s="27"/>
      <c r="H24" s="28"/>
      <c r="I24" s="28"/>
      <c r="J24" s="255" t="str">
        <f>IF(H24="","",(_xlfn.XLOOKUP(H24,Cadastros!$D$6:$D$90,Cadastros!$E$6:$E$90))*(1-_xlfn.XLOOKUP(_xlfn.XLOOKUP($F24,Clientes!$B$4:$B$39,Clientes!$C$4:$C$39),Cadastros!$L$6:$L$12,Cadastros!$N$6:$N$12)))</f>
        <v/>
      </c>
      <c r="K24" s="168" t="str">
        <f t="shared" si="1"/>
        <v/>
      </c>
      <c r="L24" s="168" t="str">
        <f>IFERROR(K24/_xlfn.XLOOKUP(_xlfn.XLOOKUP($F24,Clientes!$B$4:$B$39,Clientes!$C$4:$C$39),Cadastros!$L$6:$L$12,Cadastros!$M$6:$M$12)," ")</f>
        <v xml:space="preserve"> </v>
      </c>
      <c r="M24" s="28"/>
      <c r="N24" s="28"/>
      <c r="O24" s="255" t="str">
        <f>IF(M24="","",(_xlfn.XLOOKUP(M24,Cadastros!$D$6:$D$90,Cadastros!$E$6:$E$90))*(1-_xlfn.XLOOKUP(_xlfn.XLOOKUP($F24,Clientes!$B$4:$B$39,Clientes!$C$4:$C$39),Cadastros!$L$6:$L$12,Cadastros!$N$6:$N$12)))</f>
        <v/>
      </c>
      <c r="P24" s="168" t="str">
        <f t="shared" si="2"/>
        <v/>
      </c>
      <c r="Q24" s="168" t="str">
        <f>IFERROR(P24/_xlfn.XLOOKUP(_xlfn.XLOOKUP($F24,Clientes!$B$4:$B$39,Clientes!$C$4:$C$39),Cadastros!$L$6:$L$12,Cadastros!$M$6:$M$12)," ")</f>
        <v xml:space="preserve"> </v>
      </c>
      <c r="R24" s="28"/>
      <c r="S24" s="28"/>
      <c r="T24" s="255" t="str">
        <f>IF(R24="","",(_xlfn.XLOOKUP(R24,Cadastros!$D$6:$D$90,Cadastros!$E$6:$E$90))*(1-_xlfn.XLOOKUP(_xlfn.XLOOKUP($F24,Clientes!$B$4:$B$39,Clientes!$C$4:$C$39),Cadastros!$L$6:$L$12,Cadastros!$N$6:$N$12)))</f>
        <v/>
      </c>
      <c r="U24" s="168" t="str">
        <f t="shared" si="3"/>
        <v/>
      </c>
      <c r="V24" s="168" t="str">
        <f>IFERROR(U24/_xlfn.XLOOKUP(_xlfn.XLOOKUP($F24,Clientes!$B$4:$B$39,Clientes!$C$4:$C$39),Cadastros!$L$6:$L$12,Cadastros!$M$6:$M$12)," ")</f>
        <v xml:space="preserve"> </v>
      </c>
      <c r="W24" s="28"/>
      <c r="X24" s="28"/>
      <c r="Y24" s="255" t="str">
        <f>IF(W24="","",(_xlfn.XLOOKUP(W24,Cadastros!$D$6:$D$90,Cadastros!$E$6:$E$90))*(1-_xlfn.XLOOKUP(_xlfn.XLOOKUP($F24,Clientes!$B$4:$B$39,Clientes!$C$4:$C$39),Cadastros!$L$6:$L$12,Cadastros!$N$6:$N$12)))</f>
        <v/>
      </c>
      <c r="Z24" s="168" t="str">
        <f t="shared" si="4"/>
        <v/>
      </c>
      <c r="AA24" s="168" t="str">
        <f>IFERROR(Z24/_xlfn.XLOOKUP(_xlfn.XLOOKUP($F24,Clientes!$B$4:$B$39,Clientes!$C$4:$C$39),Cadastros!$L$6:$L$12,Cadastros!$M$6:$M$12)," ")</f>
        <v xml:space="preserve"> </v>
      </c>
      <c r="AB24" s="28"/>
      <c r="AC24" s="28"/>
      <c r="AD24" s="20" t="str">
        <f>IF(AB24="","",IF($F24="Bernardino Furlan",_xlfn.XLOOKUP(AB24,Cadastros!$G$6:$G$90,Cadastros!$H$6:$H$90)*(1-0.18),IF($F24="Mauro José Salanti",_xlfn.XLOOKUP(AB24,Cadastros!$G$6:$G$90,Cadastros!$H$6:$H$90)*(1-0.18),_xlfn.XLOOKUP(AB24,Cadastros!$G$6:$G$90,Cadastros!$H$6:$H$90))))</f>
        <v/>
      </c>
      <c r="AE24" s="168" t="str">
        <f t="shared" si="5"/>
        <v/>
      </c>
      <c r="AF24" s="168" t="str">
        <f t="shared" si="6"/>
        <v/>
      </c>
      <c r="AG24" s="28"/>
      <c r="AH24" s="28"/>
      <c r="AI24" s="20" t="str">
        <f>IF(AG24="","",IF($F24="Bernardino Furlan",_xlfn.XLOOKUP(AG24,Cadastros!$G$6:$G$90,Cadastros!$H$6:$H$90)*(1-0.18),IF($F24="Mauro José Salanti",_xlfn.XLOOKUP(AG24,Cadastros!$G$6:$G$90,Cadastros!$H$6:$H$90)*(1-0.18),_xlfn.XLOOKUP(AG24,Cadastros!$G$6:$G$90,Cadastros!$H$6:$H$90))))</f>
        <v/>
      </c>
      <c r="AJ24" s="168" t="str">
        <f t="shared" si="7"/>
        <v/>
      </c>
      <c r="AK24" s="168" t="str">
        <f t="shared" si="8"/>
        <v/>
      </c>
      <c r="AL24" s="28"/>
      <c r="AM24" s="28"/>
      <c r="AN24" s="20" t="str">
        <f>IF(AL24="","",IF($F24="Bernardino Furlan",_xlfn.XLOOKUP(AL24,Cadastros!$G$6:$G$90,Cadastros!$H$6:$H$90)*(1-0.18),IF($F24="Mauro José Salanti",_xlfn.XLOOKUP(AL24,Cadastros!$G$6:$G$90,Cadastros!$H$6:$H$90)*(1-0.18),_xlfn.XLOOKUP(AL24,Cadastros!$G$6:$G$90,Cadastros!$H$6:$H$90))))</f>
        <v/>
      </c>
      <c r="AO24" s="168" t="str">
        <f t="shared" si="9"/>
        <v/>
      </c>
      <c r="AP24" s="168" t="str">
        <f t="shared" si="10"/>
        <v/>
      </c>
      <c r="AQ24" s="28"/>
      <c r="AR24" s="28"/>
      <c r="AS24" s="20" t="str">
        <f>IF(AQ24="","",IF($F24="Bernardino Furlan",_xlfn.XLOOKUP(AQ24,Cadastros!$G$6:$G$90,Cadastros!$H$6:$H$90)*(1-0.18),IF($F24="Mauro José Salanti",_xlfn.XLOOKUP(AQ24,Cadastros!$G$6:$G$90,Cadastros!$H$6:$H$90)*(1-0.18),_xlfn.XLOOKUP(AQ24,Cadastros!$G$6:$G$90,Cadastros!$H$6:$H$90))))</f>
        <v/>
      </c>
      <c r="AT24" s="168" t="str">
        <f t="shared" si="11"/>
        <v/>
      </c>
      <c r="AU24" s="168" t="str">
        <f t="shared" si="12"/>
        <v/>
      </c>
      <c r="AV24" s="227"/>
      <c r="AW24" s="30"/>
      <c r="AX24" s="267"/>
      <c r="AY24" s="267"/>
      <c r="AZ24" s="29"/>
      <c r="BA24" s="30"/>
      <c r="BB24" s="23" t="str" cm="1">
        <f t="array" ref="BB24">_xlfn.IFS(AW24="SIM",SUM(K24,P24,U24,Z24,AE24,AJ24,AO24,AT24,AX24,AY24),F24&lt;&gt;"",SUM(K24,P24,U24,Z24,AE24,AJ24,,AO24,AT24),F24="","")</f>
        <v/>
      </c>
      <c r="BC24" s="211" t="str" cm="1">
        <f t="array" ref="BC24">_xlfn.IFS(E24="","",G24&lt;=E24,BB24*(1-0.03),G24&lt;(E24+8),BB24,AZ24="Boleto",BB24*(1+0.001)^DATEDIF(E24,G24,"D"),AZ24="Cheque",BB24,AZ24="Dinheiro","Alterar forma pgto")</f>
        <v/>
      </c>
      <c r="BD24" s="276" t="str" cm="1">
        <f t="array" ref="BD24">IF(F24=0," ",IF(BC24&lt;BB24,(_xlfn.IFS(AW24="SIM",SUM(L24,Q24,V24,AA24,AF24,AK24,AP24,AU24)+AX24/_xlfn.XLOOKUP(_xlfn.XLOOKUP($F24,Clientes!$B$4:$B$39,Clientes!$C$4:$C$39),Cadastros!$L$6:$L$12,Cadastros!$M$6:$M$12)+IF($F24="Bernardino Furlan",AY24/2751.92,IF($F24="Mauro José Salanti",AY24/2751.92,AY24/3356)),F24&lt;&gt;0,SUM(L24,Q24,V24,AA24,AF24,AK24,AP24,AU24)))*(1-0.03),_xlfn.IFS(AW24="SIM",SUM(L24,Q24,V24,AA24,AF24,AK24,AP24,AU24)+AX24/_xlfn.XLOOKUP(_xlfn.XLOOKUP($F24,Clientes!$B$4:$B$39,Clientes!$C$4:$C$39),Cadastros!$L$6:$L$12,Cadastros!$M$6:$M$12)+IF($F24="Bernardino Furlan",AY24/2751.92,IF($F24="Mauro José Salanti",AY24/2751.92,AY24/3356)),F24&lt;&gt;0,SUM(L24,Q24,V24,AA24,AF24,AK24,AP24,AU24))))</f>
        <v xml:space="preserve"> </v>
      </c>
      <c r="BE24" s="120"/>
      <c r="BF24" s="120"/>
      <c r="BG24" s="120"/>
      <c r="BH24" s="231" t="str">
        <f>IF(Clientes!B20="","",Clientes!B20)</f>
        <v/>
      </c>
      <c r="BL24" s="235" t="str">
        <f>IF(Cadastros!D21="","",Cadastros!D21)</f>
        <v>T001 - Travesseiro Multicamadas 035 X 060 cm</v>
      </c>
      <c r="BM24" s="234"/>
      <c r="BN24" s="235" t="str">
        <f>IF(Cadastros!G21="","",Cadastros!G21)</f>
        <v/>
      </c>
    </row>
    <row r="25" spans="1:66" s="3" customFormat="1" x14ac:dyDescent="0.3">
      <c r="A25" s="15" t="str">
        <f t="shared" si="0"/>
        <v/>
      </c>
      <c r="B25" s="25"/>
      <c r="C25" s="17"/>
      <c r="D25" s="278"/>
      <c r="E25" s="27"/>
      <c r="F25" s="28"/>
      <c r="G25" s="27"/>
      <c r="H25" s="28"/>
      <c r="I25" s="28"/>
      <c r="J25" s="255" t="str">
        <f>IF(H25="","",(_xlfn.XLOOKUP(H25,Cadastros!$D$6:$D$90,Cadastros!$E$6:$E$90))*(1-_xlfn.XLOOKUP(_xlfn.XLOOKUP($F25,Clientes!$B$4:$B$39,Clientes!$C$4:$C$39),Cadastros!$L$6:$L$12,Cadastros!$N$6:$N$12)))</f>
        <v/>
      </c>
      <c r="K25" s="168" t="str">
        <f t="shared" si="1"/>
        <v/>
      </c>
      <c r="L25" s="168" t="str">
        <f>IFERROR(K25/_xlfn.XLOOKUP(_xlfn.XLOOKUP($F25,Clientes!$B$4:$B$39,Clientes!$C$4:$C$39),Cadastros!$L$6:$L$12,Cadastros!$M$6:$M$12)," ")</f>
        <v xml:space="preserve"> </v>
      </c>
      <c r="M25" s="28"/>
      <c r="N25" s="28"/>
      <c r="O25" s="255" t="str">
        <f>IF(M25="","",(_xlfn.XLOOKUP(M25,Cadastros!$D$6:$D$90,Cadastros!$E$6:$E$90))*(1-_xlfn.XLOOKUP(_xlfn.XLOOKUP($F25,Clientes!$B$4:$B$39,Clientes!$C$4:$C$39),Cadastros!$L$6:$L$12,Cadastros!$N$6:$N$12)))</f>
        <v/>
      </c>
      <c r="P25" s="168" t="str">
        <f t="shared" si="2"/>
        <v/>
      </c>
      <c r="Q25" s="168" t="str">
        <f>IFERROR(P25/_xlfn.XLOOKUP(_xlfn.XLOOKUP($F25,Clientes!$B$4:$B$39,Clientes!$C$4:$C$39),Cadastros!$L$6:$L$12,Cadastros!$M$6:$M$12)," ")</f>
        <v xml:space="preserve"> </v>
      </c>
      <c r="R25" s="28"/>
      <c r="S25" s="28"/>
      <c r="T25" s="255" t="str">
        <f>IF(R25="","",(_xlfn.XLOOKUP(R25,Cadastros!$D$6:$D$90,Cadastros!$E$6:$E$90))*(1-_xlfn.XLOOKUP(_xlfn.XLOOKUP($F25,Clientes!$B$4:$B$39,Clientes!$C$4:$C$39),Cadastros!$L$6:$L$12,Cadastros!$N$6:$N$12)))</f>
        <v/>
      </c>
      <c r="U25" s="168" t="str">
        <f t="shared" si="3"/>
        <v/>
      </c>
      <c r="V25" s="168" t="str">
        <f>IFERROR(U25/_xlfn.XLOOKUP(_xlfn.XLOOKUP($F25,Clientes!$B$4:$B$39,Clientes!$C$4:$C$39),Cadastros!$L$6:$L$12,Cadastros!$M$6:$M$12)," ")</f>
        <v xml:space="preserve"> </v>
      </c>
      <c r="W25" s="28"/>
      <c r="X25" s="28"/>
      <c r="Y25" s="255" t="str">
        <f>IF(W25="","",(_xlfn.XLOOKUP(W25,Cadastros!$D$6:$D$90,Cadastros!$E$6:$E$90))*(1-_xlfn.XLOOKUP(_xlfn.XLOOKUP($F25,Clientes!$B$4:$B$39,Clientes!$C$4:$C$39),Cadastros!$L$6:$L$12,Cadastros!$N$6:$N$12)))</f>
        <v/>
      </c>
      <c r="Z25" s="168" t="str">
        <f t="shared" si="4"/>
        <v/>
      </c>
      <c r="AA25" s="168" t="str">
        <f>IFERROR(Z25/_xlfn.XLOOKUP(_xlfn.XLOOKUP($F25,Clientes!$B$4:$B$39,Clientes!$C$4:$C$39),Cadastros!$L$6:$L$12,Cadastros!$M$6:$M$12)," ")</f>
        <v xml:space="preserve"> </v>
      </c>
      <c r="AB25" s="28"/>
      <c r="AC25" s="28"/>
      <c r="AD25" s="20" t="str">
        <f>IF(AB25="","",IF($F25="Bernardino Furlan",_xlfn.XLOOKUP(AB25,Cadastros!$G$6:$G$90,Cadastros!$H$6:$H$90)*(1-0.18),IF($F25="Mauro José Salanti",_xlfn.XLOOKUP(AB25,Cadastros!$G$6:$G$90,Cadastros!$H$6:$H$90)*(1-0.18),_xlfn.XLOOKUP(AB25,Cadastros!$G$6:$G$90,Cadastros!$H$6:$H$90))))</f>
        <v/>
      </c>
      <c r="AE25" s="168" t="str">
        <f t="shared" si="5"/>
        <v/>
      </c>
      <c r="AF25" s="168" t="str">
        <f t="shared" si="6"/>
        <v/>
      </c>
      <c r="AG25" s="28"/>
      <c r="AH25" s="28"/>
      <c r="AI25" s="20" t="str">
        <f>IF(AG25="","",IF($F25="Bernardino Furlan",_xlfn.XLOOKUP(AG25,Cadastros!$G$6:$G$90,Cadastros!$H$6:$H$90)*(1-0.18),IF($F25="Mauro José Salanti",_xlfn.XLOOKUP(AG25,Cadastros!$G$6:$G$90,Cadastros!$H$6:$H$90)*(1-0.18),_xlfn.XLOOKUP(AG25,Cadastros!$G$6:$G$90,Cadastros!$H$6:$H$90))))</f>
        <v/>
      </c>
      <c r="AJ25" s="168" t="str">
        <f t="shared" si="7"/>
        <v/>
      </c>
      <c r="AK25" s="168" t="str">
        <f t="shared" si="8"/>
        <v/>
      </c>
      <c r="AL25" s="28"/>
      <c r="AM25" s="28"/>
      <c r="AN25" s="20" t="str">
        <f>IF(AL25="","",IF($F25="Bernardino Furlan",_xlfn.XLOOKUP(AL25,Cadastros!$G$6:$G$90,Cadastros!$H$6:$H$90)*(1-0.18),IF($F25="Mauro José Salanti",_xlfn.XLOOKUP(AL25,Cadastros!$G$6:$G$90,Cadastros!$H$6:$H$90)*(1-0.18),_xlfn.XLOOKUP(AL25,Cadastros!$G$6:$G$90,Cadastros!$H$6:$H$90))))</f>
        <v/>
      </c>
      <c r="AO25" s="168" t="str">
        <f t="shared" si="9"/>
        <v/>
      </c>
      <c r="AP25" s="168" t="str">
        <f t="shared" si="10"/>
        <v/>
      </c>
      <c r="AQ25" s="28"/>
      <c r="AR25" s="28"/>
      <c r="AS25" s="20" t="str">
        <f>IF(AQ25="","",IF($F25="Bernardino Furlan",_xlfn.XLOOKUP(AQ25,Cadastros!$G$6:$G$90,Cadastros!$H$6:$H$90)*(1-0.18),IF($F25="Mauro José Salanti",_xlfn.XLOOKUP(AQ25,Cadastros!$G$6:$G$90,Cadastros!$H$6:$H$90)*(1-0.18),_xlfn.XLOOKUP(AQ25,Cadastros!$G$6:$G$90,Cadastros!$H$6:$H$90))))</f>
        <v/>
      </c>
      <c r="AT25" s="168" t="str">
        <f t="shared" si="11"/>
        <v/>
      </c>
      <c r="AU25" s="168" t="str">
        <f t="shared" si="12"/>
        <v/>
      </c>
      <c r="AV25" s="227"/>
      <c r="AW25" s="30"/>
      <c r="AX25" s="267"/>
      <c r="AY25" s="267"/>
      <c r="AZ25" s="29"/>
      <c r="BA25" s="30"/>
      <c r="BB25" s="23" t="str" cm="1">
        <f t="array" ref="BB25">_xlfn.IFS(AW25="SIM",SUM(K25,P25,U25,Z25,AE25,AJ25,AO25,AT25,AX25,AY25),F25&lt;&gt;"",SUM(K25,P25,U25,Z25,AE25,AJ25,,AO25,AT25),F25="","")</f>
        <v/>
      </c>
      <c r="BC25" s="211" t="str" cm="1">
        <f t="array" ref="BC25">_xlfn.IFS(E25="","",G25&lt;=E25,BB25*(1-0.03),G25&lt;(E25+8),BB25,AZ25="Boleto",BB25*(1+0.001)^DATEDIF(E25,G25,"D"),AZ25="Cheque",BB25,AZ25="Dinheiro","Alterar forma pgto")</f>
        <v/>
      </c>
      <c r="BD25" s="276" t="str" cm="1">
        <f t="array" ref="BD25">IF(F25=0," ",IF(BC25&lt;BB25,(_xlfn.IFS(AW25="SIM",SUM(L25,Q25,V25,AA25,AF25,AK25,AP25,AU25)+AX25/_xlfn.XLOOKUP(_xlfn.XLOOKUP($F25,Clientes!$B$4:$B$39,Clientes!$C$4:$C$39),Cadastros!$L$6:$L$12,Cadastros!$M$6:$M$12)+IF($F25="Bernardino Furlan",AY25/2751.92,IF($F25="Mauro José Salanti",AY25/2751.92,AY25/3356)),F25&lt;&gt;0,SUM(L25,Q25,V25,AA25,AF25,AK25,AP25,AU25)))*(1-0.03),_xlfn.IFS(AW25="SIM",SUM(L25,Q25,V25,AA25,AF25,AK25,AP25,AU25)+AX25/_xlfn.XLOOKUP(_xlfn.XLOOKUP($F25,Clientes!$B$4:$B$39,Clientes!$C$4:$C$39),Cadastros!$L$6:$L$12,Cadastros!$M$6:$M$12)+IF($F25="Bernardino Furlan",AY25/2751.92,IF($F25="Mauro José Salanti",AY25/2751.92,AY25/3356)),F25&lt;&gt;0,SUM(L25,Q25,V25,AA25,AF25,AK25,AP25,AU25))))</f>
        <v xml:space="preserve"> </v>
      </c>
      <c r="BE25" s="120"/>
      <c r="BF25" s="120"/>
      <c r="BG25" s="120"/>
      <c r="BH25" s="231" t="str">
        <f>IF(Clientes!B21="","",Clientes!B21)</f>
        <v/>
      </c>
      <c r="BL25" s="235" t="str">
        <f>IF(Cadastros!D22="","",Cadastros!D22)</f>
        <v>T002 - Travesseiro Colo De Mãe Mag Inf 035 X 060 Mult</v>
      </c>
      <c r="BM25" s="234"/>
      <c r="BN25" s="233" t="str">
        <f>IF(Cadastros!G22="","",Cadastros!G22)</f>
        <v>CAMA ARTICULADA</v>
      </c>
    </row>
    <row r="26" spans="1:66" s="3" customFormat="1" x14ac:dyDescent="0.3">
      <c r="A26" s="15" t="str">
        <f t="shared" si="0"/>
        <v/>
      </c>
      <c r="B26" s="25"/>
      <c r="C26" s="26"/>
      <c r="D26" s="279"/>
      <c r="E26" s="27"/>
      <c r="F26" s="28"/>
      <c r="G26" s="27"/>
      <c r="H26" s="28"/>
      <c r="I26" s="28"/>
      <c r="J26" s="255" t="str">
        <f>IF(H26="","",(_xlfn.XLOOKUP(H26,Cadastros!$D$6:$D$90,Cadastros!$E$6:$E$90))*(1-_xlfn.XLOOKUP(_xlfn.XLOOKUP($F26,Clientes!$B$4:$B$39,Clientes!$C$4:$C$39),Cadastros!$L$6:$L$12,Cadastros!$N$6:$N$12)))</f>
        <v/>
      </c>
      <c r="K26" s="168" t="str">
        <f t="shared" si="1"/>
        <v/>
      </c>
      <c r="L26" s="168" t="str">
        <f>IFERROR(K26/_xlfn.XLOOKUP(_xlfn.XLOOKUP($F26,Clientes!$B$4:$B$39,Clientes!$C$4:$C$39),Cadastros!$L$6:$L$12,Cadastros!$M$6:$M$12)," ")</f>
        <v xml:space="preserve"> </v>
      </c>
      <c r="M26" s="28"/>
      <c r="N26" s="28"/>
      <c r="O26" s="255" t="str">
        <f>IF(M26="","",(_xlfn.XLOOKUP(M26,Cadastros!$D$6:$D$90,Cadastros!$E$6:$E$90))*(1-_xlfn.XLOOKUP(_xlfn.XLOOKUP($F26,Clientes!$B$4:$B$39,Clientes!$C$4:$C$39),Cadastros!$L$6:$L$12,Cadastros!$N$6:$N$12)))</f>
        <v/>
      </c>
      <c r="P26" s="168" t="str">
        <f t="shared" si="2"/>
        <v/>
      </c>
      <c r="Q26" s="168" t="str">
        <f>IFERROR(P26/_xlfn.XLOOKUP(_xlfn.XLOOKUP($F26,Clientes!$B$4:$B$39,Clientes!$C$4:$C$39),Cadastros!$L$6:$L$12,Cadastros!$M$6:$M$12)," ")</f>
        <v xml:space="preserve"> </v>
      </c>
      <c r="R26" s="28"/>
      <c r="S26" s="28"/>
      <c r="T26" s="255" t="str">
        <f>IF(R26="","",(_xlfn.XLOOKUP(R26,Cadastros!$D$6:$D$90,Cadastros!$E$6:$E$90))*(1-_xlfn.XLOOKUP(_xlfn.XLOOKUP($F26,Clientes!$B$4:$B$39,Clientes!$C$4:$C$39),Cadastros!$L$6:$L$12,Cadastros!$N$6:$N$12)))</f>
        <v/>
      </c>
      <c r="U26" s="168" t="str">
        <f t="shared" si="3"/>
        <v/>
      </c>
      <c r="V26" s="168" t="str">
        <f>IFERROR(U26/_xlfn.XLOOKUP(_xlfn.XLOOKUP($F26,Clientes!$B$4:$B$39,Clientes!$C$4:$C$39),Cadastros!$L$6:$L$12,Cadastros!$M$6:$M$12)," ")</f>
        <v xml:space="preserve"> </v>
      </c>
      <c r="W26" s="28"/>
      <c r="X26" s="28"/>
      <c r="Y26" s="255" t="str">
        <f>IF(W26="","",(_xlfn.XLOOKUP(W26,Cadastros!$D$6:$D$90,Cadastros!$E$6:$E$90))*(1-_xlfn.XLOOKUP(_xlfn.XLOOKUP($F26,Clientes!$B$4:$B$39,Clientes!$C$4:$C$39),Cadastros!$L$6:$L$12,Cadastros!$N$6:$N$12)))</f>
        <v/>
      </c>
      <c r="Z26" s="168" t="str">
        <f t="shared" si="4"/>
        <v/>
      </c>
      <c r="AA26" s="168" t="str">
        <f>IFERROR(Z26/_xlfn.XLOOKUP(_xlfn.XLOOKUP($F26,Clientes!$B$4:$B$39,Clientes!$C$4:$C$39),Cadastros!$L$6:$L$12,Cadastros!$M$6:$M$12)," ")</f>
        <v xml:space="preserve"> </v>
      </c>
      <c r="AB26" s="28"/>
      <c r="AC26" s="28"/>
      <c r="AD26" s="20" t="str">
        <f>IF(AB26="","",IF($F26="Bernardino Furlan",_xlfn.XLOOKUP(AB26,Cadastros!$G$6:$G$90,Cadastros!$H$6:$H$90)*(1-0.18),IF($F26="Mauro José Salanti",_xlfn.XLOOKUP(AB26,Cadastros!$G$6:$G$90,Cadastros!$H$6:$H$90)*(1-0.18),_xlfn.XLOOKUP(AB26,Cadastros!$G$6:$G$90,Cadastros!$H$6:$H$90))))</f>
        <v/>
      </c>
      <c r="AE26" s="168" t="str">
        <f t="shared" si="5"/>
        <v/>
      </c>
      <c r="AF26" s="168" t="str">
        <f t="shared" si="6"/>
        <v/>
      </c>
      <c r="AG26" s="28"/>
      <c r="AH26" s="28"/>
      <c r="AI26" s="20" t="str">
        <f>IF(AG26="","",IF($F26="Bernardino Furlan",_xlfn.XLOOKUP(AG26,Cadastros!$G$6:$G$90,Cadastros!$H$6:$H$90)*(1-0.18),IF($F26="Mauro José Salanti",_xlfn.XLOOKUP(AG26,Cadastros!$G$6:$G$90,Cadastros!$H$6:$H$90)*(1-0.18),_xlfn.XLOOKUP(AG26,Cadastros!$G$6:$G$90,Cadastros!$H$6:$H$90))))</f>
        <v/>
      </c>
      <c r="AJ26" s="168" t="str">
        <f t="shared" si="7"/>
        <v/>
      </c>
      <c r="AK26" s="168" t="str">
        <f t="shared" si="8"/>
        <v/>
      </c>
      <c r="AL26" s="28"/>
      <c r="AM26" s="28"/>
      <c r="AN26" s="20" t="str">
        <f>IF(AL26="","",IF($F26="Bernardino Furlan",_xlfn.XLOOKUP(AL26,Cadastros!$G$6:$G$90,Cadastros!$H$6:$H$90)*(1-0.18),IF($F26="Mauro José Salanti",_xlfn.XLOOKUP(AL26,Cadastros!$G$6:$G$90,Cadastros!$H$6:$H$90)*(1-0.18),_xlfn.XLOOKUP(AL26,Cadastros!$G$6:$G$90,Cadastros!$H$6:$H$90))))</f>
        <v/>
      </c>
      <c r="AO26" s="168" t="str">
        <f t="shared" si="9"/>
        <v/>
      </c>
      <c r="AP26" s="168" t="str">
        <f t="shared" si="10"/>
        <v/>
      </c>
      <c r="AQ26" s="28"/>
      <c r="AR26" s="28"/>
      <c r="AS26" s="20" t="str">
        <f>IF(AQ26="","",IF($F26="Bernardino Furlan",_xlfn.XLOOKUP(AQ26,Cadastros!$G$6:$G$90,Cadastros!$H$6:$H$90)*(1-0.18),IF($F26="Mauro José Salanti",_xlfn.XLOOKUP(AQ26,Cadastros!$G$6:$G$90,Cadastros!$H$6:$H$90)*(1-0.18),_xlfn.XLOOKUP(AQ26,Cadastros!$G$6:$G$90,Cadastros!$H$6:$H$90))))</f>
        <v/>
      </c>
      <c r="AT26" s="168" t="str">
        <f t="shared" si="11"/>
        <v/>
      </c>
      <c r="AU26" s="168" t="str">
        <f t="shared" si="12"/>
        <v/>
      </c>
      <c r="AV26" s="227"/>
      <c r="AW26" s="30"/>
      <c r="AX26" s="267"/>
      <c r="AY26" s="267"/>
      <c r="AZ26" s="29"/>
      <c r="BA26" s="30"/>
      <c r="BB26" s="23" t="str" cm="1">
        <f t="array" ref="BB26">_xlfn.IFS(AW26="SIM",SUM(K26,P26,U26,Z26,AE26,AJ26,AO26,AT26,AX26,AY26),F26&lt;&gt;"",SUM(K26,P26,U26,Z26,AE26,AJ26,,AO26,AT26),F26="","")</f>
        <v/>
      </c>
      <c r="BC26" s="211" t="str" cm="1">
        <f t="array" ref="BC26">_xlfn.IFS(E26="","",G26&lt;=E26,BB26*(1-0.03),G26&lt;(E26+8),BB26,AZ26="Boleto",BB26*(1+0.001)^DATEDIF(E26,G26,"D"),AZ26="Cheque",BB26,AZ26="Dinheiro","Alterar forma pgto")</f>
        <v/>
      </c>
      <c r="BD26" s="276" t="str" cm="1">
        <f t="array" ref="BD26">IF(F26=0," ",IF(BC26&lt;BB26,(_xlfn.IFS(AW26="SIM",SUM(L26,Q26,V26,AA26,AF26,AK26,AP26,AU26)+AX26/_xlfn.XLOOKUP(_xlfn.XLOOKUP($F26,Clientes!$B$4:$B$39,Clientes!$C$4:$C$39),Cadastros!$L$6:$L$12,Cadastros!$M$6:$M$12)+IF($F26="Bernardino Furlan",AY26/2751.92,IF($F26="Mauro José Salanti",AY26/2751.92,AY26/3356)),F26&lt;&gt;0,SUM(L26,Q26,V26,AA26,AF26,AK26,AP26,AU26)))*(1-0.03),_xlfn.IFS(AW26="SIM",SUM(L26,Q26,V26,AA26,AF26,AK26,AP26,AU26)+AX26/_xlfn.XLOOKUP(_xlfn.XLOOKUP($F26,Clientes!$B$4:$B$39,Clientes!$C$4:$C$39),Cadastros!$L$6:$L$12,Cadastros!$M$6:$M$12)+IF($F26="Bernardino Furlan",AY26/2751.92,IF($F26="Mauro José Salanti",AY26/2751.92,AY26/3356)),F26&lt;&gt;0,SUM(L26,Q26,V26,AA26,AF26,AK26,AP26,AU26))))</f>
        <v xml:space="preserve"> </v>
      </c>
      <c r="BE26" s="120"/>
      <c r="BF26" s="120"/>
      <c r="BG26" s="120"/>
      <c r="BH26" s="231" t="str">
        <f>IF(Clientes!B22="","",Clientes!B22)</f>
        <v/>
      </c>
      <c r="BL26" s="235" t="str">
        <f>IF(Cadastros!D23="","",Cadastros!D23)</f>
        <v>T003 - Travesseiro Visco 040 X 060</v>
      </c>
      <c r="BM26" s="234"/>
      <c r="BN26" s="235" t="str">
        <f>IF(Cadastros!G23="","",Cadastros!G23)</f>
        <v xml:space="preserve">126 - Cama Articulada Zeus Casal 193 X 203 </v>
      </c>
    </row>
    <row r="27" spans="1:66" s="3" customFormat="1" x14ac:dyDescent="0.3">
      <c r="A27" s="15" t="str">
        <f t="shared" si="0"/>
        <v/>
      </c>
      <c r="B27" s="25"/>
      <c r="C27" s="26"/>
      <c r="D27" s="279"/>
      <c r="E27" s="27"/>
      <c r="F27" s="28"/>
      <c r="G27" s="27"/>
      <c r="H27" s="28"/>
      <c r="I27" s="28"/>
      <c r="J27" s="255" t="str">
        <f>IF(H27="","",(_xlfn.XLOOKUP(H27,Cadastros!$D$6:$D$90,Cadastros!$E$6:$E$90))*(1-_xlfn.XLOOKUP(_xlfn.XLOOKUP($F27,Clientes!$B$4:$B$39,Clientes!$C$4:$C$39),Cadastros!$L$6:$L$12,Cadastros!$N$6:$N$12)))</f>
        <v/>
      </c>
      <c r="K27" s="168" t="str">
        <f t="shared" si="1"/>
        <v/>
      </c>
      <c r="L27" s="168" t="str">
        <f>IFERROR(K27/_xlfn.XLOOKUP(_xlfn.XLOOKUP($F27,Clientes!$B$4:$B$39,Clientes!$C$4:$C$39),Cadastros!$L$6:$L$12,Cadastros!$M$6:$M$12)," ")</f>
        <v xml:space="preserve"> </v>
      </c>
      <c r="M27" s="28"/>
      <c r="N27" s="28"/>
      <c r="O27" s="255" t="str">
        <f>IF(M27="","",(_xlfn.XLOOKUP(M27,Cadastros!$D$6:$D$90,Cadastros!$E$6:$E$90))*(1-_xlfn.XLOOKUP(_xlfn.XLOOKUP($F27,Clientes!$B$4:$B$39,Clientes!$C$4:$C$39),Cadastros!$L$6:$L$12,Cadastros!$N$6:$N$12)))</f>
        <v/>
      </c>
      <c r="P27" s="168" t="str">
        <f t="shared" si="2"/>
        <v/>
      </c>
      <c r="Q27" s="168" t="str">
        <f>IFERROR(P27/_xlfn.XLOOKUP(_xlfn.XLOOKUP($F27,Clientes!$B$4:$B$39,Clientes!$C$4:$C$39),Cadastros!$L$6:$L$12,Cadastros!$M$6:$M$12)," ")</f>
        <v xml:space="preserve"> </v>
      </c>
      <c r="R27" s="28"/>
      <c r="S27" s="28"/>
      <c r="T27" s="255" t="str">
        <f>IF(R27="","",(_xlfn.XLOOKUP(R27,Cadastros!$D$6:$D$90,Cadastros!$E$6:$E$90))*(1-_xlfn.XLOOKUP(_xlfn.XLOOKUP($F27,Clientes!$B$4:$B$39,Clientes!$C$4:$C$39),Cadastros!$L$6:$L$12,Cadastros!$N$6:$N$12)))</f>
        <v/>
      </c>
      <c r="U27" s="168" t="str">
        <f t="shared" si="3"/>
        <v/>
      </c>
      <c r="V27" s="168" t="str">
        <f>IFERROR(U27/_xlfn.XLOOKUP(_xlfn.XLOOKUP($F27,Clientes!$B$4:$B$39,Clientes!$C$4:$C$39),Cadastros!$L$6:$L$12,Cadastros!$M$6:$M$12)," ")</f>
        <v xml:space="preserve"> </v>
      </c>
      <c r="W27" s="28"/>
      <c r="X27" s="28"/>
      <c r="Y27" s="255" t="str">
        <f>IF(W27="","",(_xlfn.XLOOKUP(W27,Cadastros!$D$6:$D$90,Cadastros!$E$6:$E$90))*(1-_xlfn.XLOOKUP(_xlfn.XLOOKUP($F27,Clientes!$B$4:$B$39,Clientes!$C$4:$C$39),Cadastros!$L$6:$L$12,Cadastros!$N$6:$N$12)))</f>
        <v/>
      </c>
      <c r="Z27" s="168" t="str">
        <f t="shared" si="4"/>
        <v/>
      </c>
      <c r="AA27" s="168" t="str">
        <f>IFERROR(Z27/_xlfn.XLOOKUP(_xlfn.XLOOKUP($F27,Clientes!$B$4:$B$39,Clientes!$C$4:$C$39),Cadastros!$L$6:$L$12,Cadastros!$M$6:$M$12)," ")</f>
        <v xml:space="preserve"> </v>
      </c>
      <c r="AB27" s="28"/>
      <c r="AC27" s="28"/>
      <c r="AD27" s="20" t="str">
        <f>IF(AB27="","",IF($F27="Bernardino Furlan",_xlfn.XLOOKUP(AB27,Cadastros!$G$6:$G$90,Cadastros!$H$6:$H$90)*(1-0.18),IF($F27="Mauro José Salanti",_xlfn.XLOOKUP(AB27,Cadastros!$G$6:$G$90,Cadastros!$H$6:$H$90)*(1-0.18),_xlfn.XLOOKUP(AB27,Cadastros!$G$6:$G$90,Cadastros!$H$6:$H$90))))</f>
        <v/>
      </c>
      <c r="AE27" s="168" t="str">
        <f t="shared" si="5"/>
        <v/>
      </c>
      <c r="AF27" s="168" t="str">
        <f t="shared" si="6"/>
        <v/>
      </c>
      <c r="AG27" s="28"/>
      <c r="AH27" s="28"/>
      <c r="AI27" s="20" t="str">
        <f>IF(AG27="","",IF($F27="Bernardino Furlan",_xlfn.XLOOKUP(AG27,Cadastros!$G$6:$G$90,Cadastros!$H$6:$H$90)*(1-0.18),IF($F27="Mauro José Salanti",_xlfn.XLOOKUP(AG27,Cadastros!$G$6:$G$90,Cadastros!$H$6:$H$90)*(1-0.18),_xlfn.XLOOKUP(AG27,Cadastros!$G$6:$G$90,Cadastros!$H$6:$H$90))))</f>
        <v/>
      </c>
      <c r="AJ27" s="168" t="str">
        <f t="shared" si="7"/>
        <v/>
      </c>
      <c r="AK27" s="168" t="str">
        <f t="shared" si="8"/>
        <v/>
      </c>
      <c r="AL27" s="28"/>
      <c r="AM27" s="28"/>
      <c r="AN27" s="20" t="str">
        <f>IF(AL27="","",IF($F27="Bernardino Furlan",_xlfn.XLOOKUP(AL27,Cadastros!$G$6:$G$90,Cadastros!$H$6:$H$90)*(1-0.18),IF($F27="Mauro José Salanti",_xlfn.XLOOKUP(AL27,Cadastros!$G$6:$G$90,Cadastros!$H$6:$H$90)*(1-0.18),_xlfn.XLOOKUP(AL27,Cadastros!$G$6:$G$90,Cadastros!$H$6:$H$90))))</f>
        <v/>
      </c>
      <c r="AO27" s="168" t="str">
        <f t="shared" si="9"/>
        <v/>
      </c>
      <c r="AP27" s="168" t="str">
        <f t="shared" si="10"/>
        <v/>
      </c>
      <c r="AQ27" s="28"/>
      <c r="AR27" s="28"/>
      <c r="AS27" s="20" t="str">
        <f>IF(AQ27="","",IF($F27="Bernardino Furlan",_xlfn.XLOOKUP(AQ27,Cadastros!$G$6:$G$90,Cadastros!$H$6:$H$90)*(1-0.18),IF($F27="Mauro José Salanti",_xlfn.XLOOKUP(AQ27,Cadastros!$G$6:$G$90,Cadastros!$H$6:$H$90)*(1-0.18),_xlfn.XLOOKUP(AQ27,Cadastros!$G$6:$G$90,Cadastros!$H$6:$H$90))))</f>
        <v/>
      </c>
      <c r="AT27" s="168" t="str">
        <f t="shared" si="11"/>
        <v/>
      </c>
      <c r="AU27" s="168" t="str">
        <f t="shared" si="12"/>
        <v/>
      </c>
      <c r="AV27" s="227"/>
      <c r="AW27" s="30"/>
      <c r="AX27" s="267"/>
      <c r="AY27" s="267"/>
      <c r="AZ27" s="29"/>
      <c r="BA27" s="30"/>
      <c r="BB27" s="23" t="str" cm="1">
        <f t="array" ref="BB27">_xlfn.IFS(AW27="SIM",SUM(K27,P27,U27,Z27,AE27,AJ27,AO27,AT27,AX27,AY27),F27&lt;&gt;"",SUM(K27,P27,U27,Z27,AE27,AJ27,,AO27,AT27),F27="","")</f>
        <v/>
      </c>
      <c r="BC27" s="211" t="str" cm="1">
        <f t="array" ref="BC27">_xlfn.IFS(E27="","",G27&lt;=E27,BB27*(1-0.03),G27&lt;(E27+8),BB27,AZ27="Boleto",BB27*(1+0.001)^DATEDIF(E27,G27,"D"),AZ27="Cheque",BB27,AZ27="Dinheiro","Alterar forma pgto")</f>
        <v/>
      </c>
      <c r="BD27" s="276" t="str" cm="1">
        <f t="array" ref="BD27">IF(F27=0," ",IF(BC27&lt;BB27,(_xlfn.IFS(AW27="SIM",SUM(L27,Q27,V27,AA27,AF27,AK27,AP27,AU27)+AX27/_xlfn.XLOOKUP(_xlfn.XLOOKUP($F27,Clientes!$B$4:$B$39,Clientes!$C$4:$C$39),Cadastros!$L$6:$L$12,Cadastros!$M$6:$M$12)+IF($F27="Bernardino Furlan",AY27/2751.92,IF($F27="Mauro José Salanti",AY27/2751.92,AY27/3356)),F27&lt;&gt;0,SUM(L27,Q27,V27,AA27,AF27,AK27,AP27,AU27)))*(1-0.03),_xlfn.IFS(AW27="SIM",SUM(L27,Q27,V27,AA27,AF27,AK27,AP27,AU27)+AX27/_xlfn.XLOOKUP(_xlfn.XLOOKUP($F27,Clientes!$B$4:$B$39,Clientes!$C$4:$C$39),Cadastros!$L$6:$L$12,Cadastros!$M$6:$M$12)+IF($F27="Bernardino Furlan",AY27/2751.92,IF($F27="Mauro José Salanti",AY27/2751.92,AY27/3356)),F27&lt;&gt;0,SUM(L27,Q27,V27,AA27,AF27,AK27,AP27,AU27))))</f>
        <v xml:space="preserve"> </v>
      </c>
      <c r="BE27" s="120"/>
      <c r="BF27" s="120"/>
      <c r="BG27" s="120"/>
      <c r="BH27" s="231" t="str">
        <f>IF(Clientes!B23="","",Clientes!B23)</f>
        <v/>
      </c>
      <c r="BL27" s="235" t="str">
        <f>IF(Cadastros!D24="","",Cadastros!D24)</f>
        <v>T004 - Travesseiro Multiflex 035 X 060</v>
      </c>
      <c r="BM27" s="234"/>
      <c r="BN27" s="235" t="str">
        <f>IF(Cadastros!G24="","",Cadastros!G24)</f>
        <v xml:space="preserve">43 - Cama Articulada Zeus Casal 180 X 200 </v>
      </c>
    </row>
    <row r="28" spans="1:66" s="3" customFormat="1" x14ac:dyDescent="0.3">
      <c r="A28" s="15" t="str">
        <f t="shared" si="0"/>
        <v/>
      </c>
      <c r="B28" s="25"/>
      <c r="C28" s="26"/>
      <c r="D28" s="279"/>
      <c r="E28" s="27"/>
      <c r="F28" s="28"/>
      <c r="G28" s="27"/>
      <c r="H28" s="28"/>
      <c r="I28" s="28"/>
      <c r="J28" s="255" t="str">
        <f>IF(H28="","",(_xlfn.XLOOKUP(H28,Cadastros!$D$6:$D$90,Cadastros!$E$6:$E$90))*(1-_xlfn.XLOOKUP(_xlfn.XLOOKUP($F28,Clientes!$B$4:$B$39,Clientes!$C$4:$C$39),Cadastros!$L$6:$L$12,Cadastros!$N$6:$N$12)))</f>
        <v/>
      </c>
      <c r="K28" s="168" t="str">
        <f t="shared" si="1"/>
        <v/>
      </c>
      <c r="L28" s="168" t="str">
        <f>IFERROR(K28/_xlfn.XLOOKUP(_xlfn.XLOOKUP($F28,Clientes!$B$4:$B$39,Clientes!$C$4:$C$39),Cadastros!$L$6:$L$12,Cadastros!$M$6:$M$12)," ")</f>
        <v xml:space="preserve"> </v>
      </c>
      <c r="M28" s="28"/>
      <c r="N28" s="28"/>
      <c r="O28" s="255" t="str">
        <f>IF(M28="","",(_xlfn.XLOOKUP(M28,Cadastros!$D$6:$D$90,Cadastros!$E$6:$E$90))*(1-_xlfn.XLOOKUP(_xlfn.XLOOKUP($F28,Clientes!$B$4:$B$39,Clientes!$C$4:$C$39),Cadastros!$L$6:$L$12,Cadastros!$N$6:$N$12)))</f>
        <v/>
      </c>
      <c r="P28" s="168" t="str">
        <f t="shared" si="2"/>
        <v/>
      </c>
      <c r="Q28" s="168" t="str">
        <f>IFERROR(P28/_xlfn.XLOOKUP(_xlfn.XLOOKUP($F28,Clientes!$B$4:$B$39,Clientes!$C$4:$C$39),Cadastros!$L$6:$L$12,Cadastros!$M$6:$M$12)," ")</f>
        <v xml:space="preserve"> </v>
      </c>
      <c r="R28" s="28"/>
      <c r="S28" s="28"/>
      <c r="T28" s="255" t="str">
        <f>IF(R28="","",(_xlfn.XLOOKUP(R28,Cadastros!$D$6:$D$90,Cadastros!$E$6:$E$90))*(1-_xlfn.XLOOKUP(_xlfn.XLOOKUP($F28,Clientes!$B$4:$B$39,Clientes!$C$4:$C$39),Cadastros!$L$6:$L$12,Cadastros!$N$6:$N$12)))</f>
        <v/>
      </c>
      <c r="U28" s="168" t="str">
        <f t="shared" si="3"/>
        <v/>
      </c>
      <c r="V28" s="168" t="str">
        <f>IFERROR(U28/_xlfn.XLOOKUP(_xlfn.XLOOKUP($F28,Clientes!$B$4:$B$39,Clientes!$C$4:$C$39),Cadastros!$L$6:$L$12,Cadastros!$M$6:$M$12)," ")</f>
        <v xml:space="preserve"> </v>
      </c>
      <c r="W28" s="28"/>
      <c r="X28" s="28"/>
      <c r="Y28" s="255" t="str">
        <f>IF(W28="","",(_xlfn.XLOOKUP(W28,Cadastros!$D$6:$D$90,Cadastros!$E$6:$E$90))*(1-_xlfn.XLOOKUP(_xlfn.XLOOKUP($F28,Clientes!$B$4:$B$39,Clientes!$C$4:$C$39),Cadastros!$L$6:$L$12,Cadastros!$N$6:$N$12)))</f>
        <v/>
      </c>
      <c r="Z28" s="168" t="str">
        <f t="shared" si="4"/>
        <v/>
      </c>
      <c r="AA28" s="168" t="str">
        <f>IFERROR(Z28/_xlfn.XLOOKUP(_xlfn.XLOOKUP($F28,Clientes!$B$4:$B$39,Clientes!$C$4:$C$39),Cadastros!$L$6:$L$12,Cadastros!$M$6:$M$12)," ")</f>
        <v xml:space="preserve"> </v>
      </c>
      <c r="AB28" s="28"/>
      <c r="AC28" s="28"/>
      <c r="AD28" s="20" t="str">
        <f>IF(AB28="","",IF($F28="Bernardino Furlan",_xlfn.XLOOKUP(AB28,Cadastros!$G$6:$G$90,Cadastros!$H$6:$H$90)*(1-0.18),IF($F28="Mauro José Salanti",_xlfn.XLOOKUP(AB28,Cadastros!$G$6:$G$90,Cadastros!$H$6:$H$90)*(1-0.18),_xlfn.XLOOKUP(AB28,Cadastros!$G$6:$G$90,Cadastros!$H$6:$H$90))))</f>
        <v/>
      </c>
      <c r="AE28" s="168" t="str">
        <f t="shared" si="5"/>
        <v/>
      </c>
      <c r="AF28" s="168" t="str">
        <f t="shared" si="6"/>
        <v/>
      </c>
      <c r="AG28" s="28"/>
      <c r="AH28" s="28"/>
      <c r="AI28" s="20" t="str">
        <f>IF(AG28="","",IF($F28="Bernardino Furlan",_xlfn.XLOOKUP(AG28,Cadastros!$G$6:$G$90,Cadastros!$H$6:$H$90)*(1-0.18),IF($F28="Mauro José Salanti",_xlfn.XLOOKUP(AG28,Cadastros!$G$6:$G$90,Cadastros!$H$6:$H$90)*(1-0.18),_xlfn.XLOOKUP(AG28,Cadastros!$G$6:$G$90,Cadastros!$H$6:$H$90))))</f>
        <v/>
      </c>
      <c r="AJ28" s="168" t="str">
        <f t="shared" si="7"/>
        <v/>
      </c>
      <c r="AK28" s="168" t="str">
        <f t="shared" si="8"/>
        <v/>
      </c>
      <c r="AL28" s="28"/>
      <c r="AM28" s="28"/>
      <c r="AN28" s="20" t="str">
        <f>IF(AL28="","",IF($F28="Bernardino Furlan",_xlfn.XLOOKUP(AL28,Cadastros!$G$6:$G$90,Cadastros!$H$6:$H$90)*(1-0.18),IF($F28="Mauro José Salanti",_xlfn.XLOOKUP(AL28,Cadastros!$G$6:$G$90,Cadastros!$H$6:$H$90)*(1-0.18),_xlfn.XLOOKUP(AL28,Cadastros!$G$6:$G$90,Cadastros!$H$6:$H$90))))</f>
        <v/>
      </c>
      <c r="AO28" s="168" t="str">
        <f t="shared" si="9"/>
        <v/>
      </c>
      <c r="AP28" s="168" t="str">
        <f t="shared" si="10"/>
        <v/>
      </c>
      <c r="AQ28" s="28"/>
      <c r="AR28" s="28"/>
      <c r="AS28" s="20" t="str">
        <f>IF(AQ28="","",IF($F28="Bernardino Furlan",_xlfn.XLOOKUP(AQ28,Cadastros!$G$6:$G$90,Cadastros!$H$6:$H$90)*(1-0.18),IF($F28="Mauro José Salanti",_xlfn.XLOOKUP(AQ28,Cadastros!$G$6:$G$90,Cadastros!$H$6:$H$90)*(1-0.18),_xlfn.XLOOKUP(AQ28,Cadastros!$G$6:$G$90,Cadastros!$H$6:$H$90))))</f>
        <v/>
      </c>
      <c r="AT28" s="168" t="str">
        <f t="shared" si="11"/>
        <v/>
      </c>
      <c r="AU28" s="168" t="str">
        <f t="shared" si="12"/>
        <v/>
      </c>
      <c r="AV28" s="227"/>
      <c r="AW28" s="30"/>
      <c r="AX28" s="267"/>
      <c r="AY28" s="267"/>
      <c r="AZ28" s="29"/>
      <c r="BA28" s="30"/>
      <c r="BB28" s="23" t="str" cm="1">
        <f t="array" ref="BB28">_xlfn.IFS(AW28="SIM",SUM(K28,P28,U28,Z28,AE28,AJ28,AO28,AT28,AX28,AY28),F28&lt;&gt;"",SUM(K28,P28,U28,Z28,AE28,AJ28,,AO28,AT28),F28="","")</f>
        <v/>
      </c>
      <c r="BC28" s="211" t="str" cm="1">
        <f t="array" ref="BC28">_xlfn.IFS(E28="","",G28&lt;=E28,BB28*(1-0.03),G28&lt;(E28+8),BB28,AZ28="Boleto",BB28*(1+0.001)^DATEDIF(E28,G28,"D"),AZ28="Cheque",BB28,AZ28="Dinheiro","Alterar forma pgto")</f>
        <v/>
      </c>
      <c r="BD28" s="276" t="str" cm="1">
        <f t="array" ref="BD28">IF(F28=0," ",IF(BC28&lt;BB28,(_xlfn.IFS(AW28="SIM",SUM(L28,Q28,V28,AA28,AF28,AK28,AP28,AU28)+AX28/_xlfn.XLOOKUP(_xlfn.XLOOKUP($F28,Clientes!$B$4:$B$39,Clientes!$C$4:$C$39),Cadastros!$L$6:$L$12,Cadastros!$M$6:$M$12)+IF($F28="Bernardino Furlan",AY28/2751.92,IF($F28="Mauro José Salanti",AY28/2751.92,AY28/3356)),F28&lt;&gt;0,SUM(L28,Q28,V28,AA28,AF28,AK28,AP28,AU28)))*(1-0.03),_xlfn.IFS(AW28="SIM",SUM(L28,Q28,V28,AA28,AF28,AK28,AP28,AU28)+AX28/_xlfn.XLOOKUP(_xlfn.XLOOKUP($F28,Clientes!$B$4:$B$39,Clientes!$C$4:$C$39),Cadastros!$L$6:$L$12,Cadastros!$M$6:$M$12)+IF($F28="Bernardino Furlan",AY28/2751.92,IF($F28="Mauro José Salanti",AY28/2751.92,AY28/3356)),F28&lt;&gt;0,SUM(L28,Q28,V28,AA28,AF28,AK28,AP28,AU28))))</f>
        <v xml:space="preserve"> </v>
      </c>
      <c r="BE28" s="120"/>
      <c r="BF28" s="120"/>
      <c r="BG28" s="120"/>
      <c r="BH28" s="231" t="str">
        <f>IF(Clientes!B24="","",Clientes!B24)</f>
        <v/>
      </c>
      <c r="BL28" s="235" t="str">
        <f>IF(Cadastros!D25="","",Cadastros!D25)</f>
        <v/>
      </c>
      <c r="BM28" s="234"/>
      <c r="BN28" s="235" t="str">
        <f>IF(Cadastros!G25="","",Cadastros!G25)</f>
        <v xml:space="preserve">41 - Cama Articulada Zeus Solt 0,90 X 2,00 X 41 </v>
      </c>
    </row>
    <row r="29" spans="1:66" s="3" customFormat="1" x14ac:dyDescent="0.3">
      <c r="A29" s="15" t="str">
        <f t="shared" si="0"/>
        <v/>
      </c>
      <c r="B29" s="25"/>
      <c r="C29" s="26"/>
      <c r="D29" s="279"/>
      <c r="E29" s="27"/>
      <c r="F29" s="28"/>
      <c r="G29" s="27"/>
      <c r="H29" s="28"/>
      <c r="I29" s="28"/>
      <c r="J29" s="255" t="str">
        <f>IF(H29="","",(_xlfn.XLOOKUP(H29,Cadastros!$D$6:$D$90,Cadastros!$E$6:$E$90))*(1-_xlfn.XLOOKUP(_xlfn.XLOOKUP($F29,Clientes!$B$4:$B$39,Clientes!$C$4:$C$39),Cadastros!$L$6:$L$12,Cadastros!$N$6:$N$12)))</f>
        <v/>
      </c>
      <c r="K29" s="168" t="str">
        <f t="shared" si="1"/>
        <v/>
      </c>
      <c r="L29" s="168" t="str">
        <f>IFERROR(K29/_xlfn.XLOOKUP(_xlfn.XLOOKUP($F29,Clientes!$B$4:$B$39,Clientes!$C$4:$C$39),Cadastros!$L$6:$L$12,Cadastros!$M$6:$M$12)," ")</f>
        <v xml:space="preserve"> </v>
      </c>
      <c r="M29" s="28"/>
      <c r="N29" s="28"/>
      <c r="O29" s="255" t="str">
        <f>IF(M29="","",(_xlfn.XLOOKUP(M29,Cadastros!$D$6:$D$90,Cadastros!$E$6:$E$90))*(1-_xlfn.XLOOKUP(_xlfn.XLOOKUP($F29,Clientes!$B$4:$B$39,Clientes!$C$4:$C$39),Cadastros!$L$6:$L$12,Cadastros!$N$6:$N$12)))</f>
        <v/>
      </c>
      <c r="P29" s="168" t="str">
        <f t="shared" si="2"/>
        <v/>
      </c>
      <c r="Q29" s="168" t="str">
        <f>IFERROR(P29/_xlfn.XLOOKUP(_xlfn.XLOOKUP($F29,Clientes!$B$4:$B$39,Clientes!$C$4:$C$39),Cadastros!$L$6:$L$12,Cadastros!$M$6:$M$12)," ")</f>
        <v xml:space="preserve"> </v>
      </c>
      <c r="R29" s="28"/>
      <c r="S29" s="28"/>
      <c r="T29" s="255" t="str">
        <f>IF(R29="","",(_xlfn.XLOOKUP(R29,Cadastros!$D$6:$D$90,Cadastros!$E$6:$E$90))*(1-_xlfn.XLOOKUP(_xlfn.XLOOKUP($F29,Clientes!$B$4:$B$39,Clientes!$C$4:$C$39),Cadastros!$L$6:$L$12,Cadastros!$N$6:$N$12)))</f>
        <v/>
      </c>
      <c r="U29" s="168" t="str">
        <f t="shared" si="3"/>
        <v/>
      </c>
      <c r="V29" s="168" t="str">
        <f>IFERROR(U29/_xlfn.XLOOKUP(_xlfn.XLOOKUP($F29,Clientes!$B$4:$B$39,Clientes!$C$4:$C$39),Cadastros!$L$6:$L$12,Cadastros!$M$6:$M$12)," ")</f>
        <v xml:space="preserve"> </v>
      </c>
      <c r="W29" s="28"/>
      <c r="X29" s="28"/>
      <c r="Y29" s="255" t="str">
        <f>IF(W29="","",(_xlfn.XLOOKUP(W29,Cadastros!$D$6:$D$90,Cadastros!$E$6:$E$90))*(1-_xlfn.XLOOKUP(_xlfn.XLOOKUP($F29,Clientes!$B$4:$B$39,Clientes!$C$4:$C$39),Cadastros!$L$6:$L$12,Cadastros!$N$6:$N$12)))</f>
        <v/>
      </c>
      <c r="Z29" s="168" t="str">
        <f t="shared" si="4"/>
        <v/>
      </c>
      <c r="AA29" s="168" t="str">
        <f>IFERROR(Z29/_xlfn.XLOOKUP(_xlfn.XLOOKUP($F29,Clientes!$B$4:$B$39,Clientes!$C$4:$C$39),Cadastros!$L$6:$L$12,Cadastros!$M$6:$M$12)," ")</f>
        <v xml:space="preserve"> </v>
      </c>
      <c r="AB29" s="28"/>
      <c r="AC29" s="28"/>
      <c r="AD29" s="20" t="str">
        <f>IF(AB29="","",IF($F29="Bernardino Furlan",_xlfn.XLOOKUP(AB29,Cadastros!$G$6:$G$90,Cadastros!$H$6:$H$90)*(1-0.18),IF($F29="Mauro José Salanti",_xlfn.XLOOKUP(AB29,Cadastros!$G$6:$G$90,Cadastros!$H$6:$H$90)*(1-0.18),_xlfn.XLOOKUP(AB29,Cadastros!$G$6:$G$90,Cadastros!$H$6:$H$90))))</f>
        <v/>
      </c>
      <c r="AE29" s="168" t="str">
        <f t="shared" si="5"/>
        <v/>
      </c>
      <c r="AF29" s="168" t="str">
        <f t="shared" si="6"/>
        <v/>
      </c>
      <c r="AG29" s="28"/>
      <c r="AH29" s="28"/>
      <c r="AI29" s="20" t="str">
        <f>IF(AG29="","",IF($F29="Bernardino Furlan",_xlfn.XLOOKUP(AG29,Cadastros!$G$6:$G$90,Cadastros!$H$6:$H$90)*(1-0.18),IF($F29="Mauro José Salanti",_xlfn.XLOOKUP(AG29,Cadastros!$G$6:$G$90,Cadastros!$H$6:$H$90)*(1-0.18),_xlfn.XLOOKUP(AG29,Cadastros!$G$6:$G$90,Cadastros!$H$6:$H$90))))</f>
        <v/>
      </c>
      <c r="AJ29" s="168" t="str">
        <f t="shared" si="7"/>
        <v/>
      </c>
      <c r="AK29" s="168" t="str">
        <f t="shared" si="8"/>
        <v/>
      </c>
      <c r="AL29" s="28"/>
      <c r="AM29" s="28"/>
      <c r="AN29" s="20" t="str">
        <f>IF(AL29="","",IF($F29="Bernardino Furlan",_xlfn.XLOOKUP(AL29,Cadastros!$G$6:$G$90,Cadastros!$H$6:$H$90)*(1-0.18),IF($F29="Mauro José Salanti",_xlfn.XLOOKUP(AL29,Cadastros!$G$6:$G$90,Cadastros!$H$6:$H$90)*(1-0.18),_xlfn.XLOOKUP(AL29,Cadastros!$G$6:$G$90,Cadastros!$H$6:$H$90))))</f>
        <v/>
      </c>
      <c r="AO29" s="168" t="str">
        <f t="shared" si="9"/>
        <v/>
      </c>
      <c r="AP29" s="168" t="str">
        <f t="shared" si="10"/>
        <v/>
      </c>
      <c r="AQ29" s="28"/>
      <c r="AR29" s="28"/>
      <c r="AS29" s="20" t="str">
        <f>IF(AQ29="","",IF($F29="Bernardino Furlan",_xlfn.XLOOKUP(AQ29,Cadastros!$G$6:$G$90,Cadastros!$H$6:$H$90)*(1-0.18),IF($F29="Mauro José Salanti",_xlfn.XLOOKUP(AQ29,Cadastros!$G$6:$G$90,Cadastros!$H$6:$H$90)*(1-0.18),_xlfn.XLOOKUP(AQ29,Cadastros!$G$6:$G$90,Cadastros!$H$6:$H$90))))</f>
        <v/>
      </c>
      <c r="AT29" s="168" t="str">
        <f t="shared" si="11"/>
        <v/>
      </c>
      <c r="AU29" s="168" t="str">
        <f t="shared" si="12"/>
        <v/>
      </c>
      <c r="AV29" s="227"/>
      <c r="AW29" s="30"/>
      <c r="AX29" s="267"/>
      <c r="AY29" s="267"/>
      <c r="AZ29" s="29"/>
      <c r="BA29" s="30"/>
      <c r="BB29" s="23" t="str" cm="1">
        <f t="array" ref="BB29">_xlfn.IFS(AW29="SIM",SUM(K29,P29,U29,Z29,AE29,AJ29,AO29,AT29,AX29,AY29),F29&lt;&gt;"",SUM(K29,P29,U29,Z29,AE29,AJ29,,AO29,AT29),F29="","")</f>
        <v/>
      </c>
      <c r="BC29" s="211" t="str" cm="1">
        <f t="array" ref="BC29">_xlfn.IFS(E29="","",G29&lt;=E29,BB29*(1-0.03),G29&lt;(E29+8),BB29,AZ29="Boleto",BB29*(1+0.001)^DATEDIF(E29,G29,"D"),AZ29="Cheque",BB29,AZ29="Dinheiro","Alterar forma pgto")</f>
        <v/>
      </c>
      <c r="BD29" s="276" t="str" cm="1">
        <f t="array" ref="BD29">IF(F29=0," ",IF(BC29&lt;BB29,(_xlfn.IFS(AW29="SIM",SUM(L29,Q29,V29,AA29,AF29,AK29,AP29,AU29)+AX29/_xlfn.XLOOKUP(_xlfn.XLOOKUP($F29,Clientes!$B$4:$B$39,Clientes!$C$4:$C$39),Cadastros!$L$6:$L$12,Cadastros!$M$6:$M$12)+IF($F29="Bernardino Furlan",AY29/2751.92,IF($F29="Mauro José Salanti",AY29/2751.92,AY29/3356)),F29&lt;&gt;0,SUM(L29,Q29,V29,AA29,AF29,AK29,AP29,AU29)))*(1-0.03),_xlfn.IFS(AW29="SIM",SUM(L29,Q29,V29,AA29,AF29,AK29,AP29,AU29)+AX29/_xlfn.XLOOKUP(_xlfn.XLOOKUP($F29,Clientes!$B$4:$B$39,Clientes!$C$4:$C$39),Cadastros!$L$6:$L$12,Cadastros!$M$6:$M$12)+IF($F29="Bernardino Furlan",AY29/2751.92,IF($F29="Mauro José Salanti",AY29/2751.92,AY29/3356)),F29&lt;&gt;0,SUM(L29,Q29,V29,AA29,AF29,AK29,AP29,AU29))))</f>
        <v xml:space="preserve"> </v>
      </c>
      <c r="BE29" s="120"/>
      <c r="BF29" s="120"/>
      <c r="BG29" s="120"/>
      <c r="BH29" s="231" t="str">
        <f>IF(Clientes!B25="","",Clientes!B25)</f>
        <v/>
      </c>
      <c r="BL29" s="233" t="str">
        <f>IF(Cadastros!D26="","",Cadastros!D26)</f>
        <v>BEM ESTAR COMODITÁ</v>
      </c>
      <c r="BM29" s="234"/>
      <c r="BN29" s="235" t="str">
        <f>IF(Cadastros!G26="","",Cadastros!G26)</f>
        <v xml:space="preserve">42 - Cama Articulada Zeus Solt 0,96 X 2,03 X 41 </v>
      </c>
    </row>
    <row r="30" spans="1:66" s="3" customFormat="1" x14ac:dyDescent="0.3">
      <c r="A30" s="15" t="str">
        <f t="shared" si="0"/>
        <v/>
      </c>
      <c r="B30" s="25"/>
      <c r="C30" s="26"/>
      <c r="D30" s="279"/>
      <c r="E30" s="27"/>
      <c r="F30" s="28"/>
      <c r="G30" s="27"/>
      <c r="H30" s="28"/>
      <c r="I30" s="28"/>
      <c r="J30" s="255" t="str">
        <f>IF(H30="","",(_xlfn.XLOOKUP(H30,Cadastros!$D$6:$D$90,Cadastros!$E$6:$E$90))*(1-_xlfn.XLOOKUP(_xlfn.XLOOKUP($F30,Clientes!$B$4:$B$39,Clientes!$C$4:$C$39),Cadastros!$L$6:$L$12,Cadastros!$N$6:$N$12)))</f>
        <v/>
      </c>
      <c r="K30" s="168" t="str">
        <f t="shared" si="1"/>
        <v/>
      </c>
      <c r="L30" s="168" t="str">
        <f>IFERROR(K30/_xlfn.XLOOKUP(_xlfn.XLOOKUP($F30,Clientes!$B$4:$B$39,Clientes!$C$4:$C$39),Cadastros!$L$6:$L$12,Cadastros!$M$6:$M$12)," ")</f>
        <v xml:space="preserve"> </v>
      </c>
      <c r="M30" s="28"/>
      <c r="N30" s="31"/>
      <c r="O30" s="255" t="str">
        <f>IF(M30="","",(_xlfn.XLOOKUP(M30,Cadastros!$D$6:$D$90,Cadastros!$E$6:$E$90))*(1-_xlfn.XLOOKUP(_xlfn.XLOOKUP($F30,Clientes!$B$4:$B$39,Clientes!$C$4:$C$39),Cadastros!$L$6:$L$12,Cadastros!$N$6:$N$12)))</f>
        <v/>
      </c>
      <c r="P30" s="168" t="str">
        <f t="shared" si="2"/>
        <v/>
      </c>
      <c r="Q30" s="168" t="str">
        <f>IFERROR(P30/_xlfn.XLOOKUP(_xlfn.XLOOKUP($F30,Clientes!$B$4:$B$39,Clientes!$C$4:$C$39),Cadastros!$L$6:$L$12,Cadastros!$M$6:$M$12)," ")</f>
        <v xml:space="preserve"> </v>
      </c>
      <c r="R30" s="28"/>
      <c r="S30" s="31"/>
      <c r="T30" s="255" t="str">
        <f>IF(R30="","",(_xlfn.XLOOKUP(R30,Cadastros!$D$6:$D$90,Cadastros!$E$6:$E$90))*(1-_xlfn.XLOOKUP(_xlfn.XLOOKUP($F30,Clientes!$B$4:$B$39,Clientes!$C$4:$C$39),Cadastros!$L$6:$L$12,Cadastros!$N$6:$N$12)))</f>
        <v/>
      </c>
      <c r="U30" s="168" t="str">
        <f t="shared" si="3"/>
        <v/>
      </c>
      <c r="V30" s="168" t="str">
        <f>IFERROR(U30/_xlfn.XLOOKUP(_xlfn.XLOOKUP($F30,Clientes!$B$4:$B$39,Clientes!$C$4:$C$39),Cadastros!$L$6:$L$12,Cadastros!$M$6:$M$12)," ")</f>
        <v xml:space="preserve"> </v>
      </c>
      <c r="W30" s="28"/>
      <c r="X30" s="31"/>
      <c r="Y30" s="255" t="str">
        <f>IF(W30="","",(_xlfn.XLOOKUP(W30,Cadastros!$D$6:$D$90,Cadastros!$E$6:$E$90))*(1-_xlfn.XLOOKUP(_xlfn.XLOOKUP($F30,Clientes!$B$4:$B$39,Clientes!$C$4:$C$39),Cadastros!$L$6:$L$12,Cadastros!$N$6:$N$12)))</f>
        <v/>
      </c>
      <c r="Z30" s="168" t="str">
        <f t="shared" si="4"/>
        <v/>
      </c>
      <c r="AA30" s="168" t="str">
        <f>IFERROR(Z30/_xlfn.XLOOKUP(_xlfn.XLOOKUP($F30,Clientes!$B$4:$B$39,Clientes!$C$4:$C$39),Cadastros!$L$6:$L$12,Cadastros!$M$6:$M$12)," ")</f>
        <v xml:space="preserve"> </v>
      </c>
      <c r="AB30" s="28"/>
      <c r="AC30" s="31"/>
      <c r="AD30" s="20" t="str">
        <f>IF(AB30="","",IF($F30="Bernardino Furlan",_xlfn.XLOOKUP(AB30,Cadastros!$G$6:$G$90,Cadastros!$H$6:$H$90)*(1-0.18),IF($F30="Mauro José Salanti",_xlfn.XLOOKUP(AB30,Cadastros!$G$6:$G$90,Cadastros!$H$6:$H$90)*(1-0.18),_xlfn.XLOOKUP(AB30,Cadastros!$G$6:$G$90,Cadastros!$H$6:$H$90))))</f>
        <v/>
      </c>
      <c r="AE30" s="168" t="str">
        <f t="shared" si="5"/>
        <v/>
      </c>
      <c r="AF30" s="168" t="str">
        <f t="shared" si="6"/>
        <v/>
      </c>
      <c r="AG30" s="28"/>
      <c r="AH30" s="31"/>
      <c r="AI30" s="20" t="str">
        <f>IF(AG30="","",IF($F30="Bernardino Furlan",_xlfn.XLOOKUP(AG30,Cadastros!$G$6:$G$90,Cadastros!$H$6:$H$90)*(1-0.18),IF($F30="Mauro José Salanti",_xlfn.XLOOKUP(AG30,Cadastros!$G$6:$G$90,Cadastros!$H$6:$H$90)*(1-0.18),_xlfn.XLOOKUP(AG30,Cadastros!$G$6:$G$90,Cadastros!$H$6:$H$90))))</f>
        <v/>
      </c>
      <c r="AJ30" s="168" t="str">
        <f t="shared" si="7"/>
        <v/>
      </c>
      <c r="AK30" s="168" t="str">
        <f t="shared" si="8"/>
        <v/>
      </c>
      <c r="AL30" s="28"/>
      <c r="AM30" s="31"/>
      <c r="AN30" s="20" t="str">
        <f>IF(AL30="","",IF($F30="Bernardino Furlan",_xlfn.XLOOKUP(AL30,Cadastros!$G$6:$G$90,Cadastros!$H$6:$H$90)*(1-0.18),IF($F30="Mauro José Salanti",_xlfn.XLOOKUP(AL30,Cadastros!$G$6:$G$90,Cadastros!$H$6:$H$90)*(1-0.18),_xlfn.XLOOKUP(AL30,Cadastros!$G$6:$G$90,Cadastros!$H$6:$H$90))))</f>
        <v/>
      </c>
      <c r="AO30" s="168" t="str">
        <f t="shared" si="9"/>
        <v/>
      </c>
      <c r="AP30" s="168" t="str">
        <f t="shared" si="10"/>
        <v/>
      </c>
      <c r="AQ30" s="28"/>
      <c r="AR30" s="31"/>
      <c r="AS30" s="20" t="str">
        <f>IF(AQ30="","",IF($F30="Bernardino Furlan",_xlfn.XLOOKUP(AQ30,Cadastros!$G$6:$G$90,Cadastros!$H$6:$H$90)*(1-0.18),IF($F30="Mauro José Salanti",_xlfn.XLOOKUP(AQ30,Cadastros!$G$6:$G$90,Cadastros!$H$6:$H$90)*(1-0.18),_xlfn.XLOOKUP(AQ30,Cadastros!$G$6:$G$90,Cadastros!$H$6:$H$90))))</f>
        <v/>
      </c>
      <c r="AT30" s="168" t="str">
        <f t="shared" si="11"/>
        <v/>
      </c>
      <c r="AU30" s="168" t="str">
        <f t="shared" si="12"/>
        <v/>
      </c>
      <c r="AV30" s="227"/>
      <c r="AW30" s="30"/>
      <c r="AX30" s="267"/>
      <c r="AY30" s="267"/>
      <c r="AZ30" s="29"/>
      <c r="BA30" s="30"/>
      <c r="BB30" s="23" t="str" cm="1">
        <f t="array" ref="BB30">_xlfn.IFS(AW30="SIM",SUM(K30,P30,U30,Z30,AE30,AJ30,AO30,AT30,AX30,AY30),F30&lt;&gt;"",SUM(K30,P30,U30,Z30,AE30,AJ30,,AO30,AT30),F30="","")</f>
        <v/>
      </c>
      <c r="BC30" s="211" t="str" cm="1">
        <f t="array" ref="BC30">_xlfn.IFS(E30="","",G30&lt;=E30,BB30*(1-0.03),G30&lt;(E30+8),BB30,AZ30="Boleto",BB30*(1+0.001)^DATEDIF(E30,G30,"D"),AZ30="Cheque",BB30,AZ30="Dinheiro","Alterar forma pgto")</f>
        <v/>
      </c>
      <c r="BD30" s="276" t="str" cm="1">
        <f t="array" ref="BD30">IF(F30=0," ",IF(BC30&lt;BB30,(_xlfn.IFS(AW30="SIM",SUM(L30,Q30,V30,AA30,AF30,AK30,AP30,AU30)+AX30/_xlfn.XLOOKUP(_xlfn.XLOOKUP($F30,Clientes!$B$4:$B$39,Clientes!$C$4:$C$39),Cadastros!$L$6:$L$12,Cadastros!$M$6:$M$12)+IF($F30="Bernardino Furlan",AY30/2751.92,IF($F30="Mauro José Salanti",AY30/2751.92,AY30/3356)),F30&lt;&gt;0,SUM(L30,Q30,V30,AA30,AF30,AK30,AP30,AU30)))*(1-0.03),_xlfn.IFS(AW30="SIM",SUM(L30,Q30,V30,AA30,AF30,AK30,AP30,AU30)+AX30/_xlfn.XLOOKUP(_xlfn.XLOOKUP($F30,Clientes!$B$4:$B$39,Clientes!$C$4:$C$39),Cadastros!$L$6:$L$12,Cadastros!$M$6:$M$12)+IF($F30="Bernardino Furlan",AY30/2751.92,IF($F30="Mauro José Salanti",AY30/2751.92,AY30/3356)),F30&lt;&gt;0,SUM(L30,Q30,V30,AA30,AF30,AK30,AP30,AU30))))</f>
        <v xml:space="preserve"> </v>
      </c>
      <c r="BE30" s="120"/>
      <c r="BF30" s="120"/>
      <c r="BG30" s="120"/>
      <c r="BH30" s="231" t="str">
        <f>IF(Clientes!B26="","",Clientes!B26)</f>
        <v/>
      </c>
      <c r="BL30" s="235" t="str">
        <f>IF(Cadastros!D27="","",Cadastros!D27)</f>
        <v>10113 - Colchão Articulado Solt 089 X 198 X 019 cm MVQ</v>
      </c>
      <c r="BM30" s="234"/>
      <c r="BN30" s="235" t="str">
        <f>IF(Cadastros!G27="","",Cadastros!G27)</f>
        <v/>
      </c>
    </row>
    <row r="31" spans="1:66" s="3" customFormat="1" x14ac:dyDescent="0.3">
      <c r="A31" s="15" t="str">
        <f t="shared" si="0"/>
        <v/>
      </c>
      <c r="B31" s="25"/>
      <c r="C31" s="26"/>
      <c r="D31" s="279"/>
      <c r="E31" s="27"/>
      <c r="F31" s="28"/>
      <c r="G31" s="27"/>
      <c r="H31" s="28"/>
      <c r="I31" s="28"/>
      <c r="J31" s="255" t="str">
        <f>IF(H31="","",(_xlfn.XLOOKUP(H31,Cadastros!$D$6:$D$90,Cadastros!$E$6:$E$90))*(1-_xlfn.XLOOKUP(_xlfn.XLOOKUP($F31,Clientes!$B$4:$B$39,Clientes!$C$4:$C$39),Cadastros!$L$6:$L$12,Cadastros!$N$6:$N$12)))</f>
        <v/>
      </c>
      <c r="K31" s="168" t="str">
        <f t="shared" si="1"/>
        <v/>
      </c>
      <c r="L31" s="168" t="str">
        <f>IFERROR(K31/_xlfn.XLOOKUP(_xlfn.XLOOKUP($F31,Clientes!$B$4:$B$39,Clientes!$C$4:$C$39),Cadastros!$L$6:$L$12,Cadastros!$M$6:$M$12)," ")</f>
        <v xml:space="preserve"> </v>
      </c>
      <c r="M31" s="28"/>
      <c r="N31" s="28"/>
      <c r="O31" s="255" t="str">
        <f>IF(M31="","",(_xlfn.XLOOKUP(M31,Cadastros!$D$6:$D$90,Cadastros!$E$6:$E$90))*(1-_xlfn.XLOOKUP(_xlfn.XLOOKUP($F31,Clientes!$B$4:$B$39,Clientes!$C$4:$C$39),Cadastros!$L$6:$L$12,Cadastros!$N$6:$N$12)))</f>
        <v/>
      </c>
      <c r="P31" s="168" t="str">
        <f t="shared" si="2"/>
        <v/>
      </c>
      <c r="Q31" s="168" t="str">
        <f>IFERROR(P31/_xlfn.XLOOKUP(_xlfn.XLOOKUP($F31,Clientes!$B$4:$B$39,Clientes!$C$4:$C$39),Cadastros!$L$6:$L$12,Cadastros!$M$6:$M$12)," ")</f>
        <v xml:space="preserve"> </v>
      </c>
      <c r="R31" s="28"/>
      <c r="S31" s="28"/>
      <c r="T31" s="255" t="str">
        <f>IF(R31="","",(_xlfn.XLOOKUP(R31,Cadastros!$D$6:$D$90,Cadastros!$E$6:$E$90))*(1-_xlfn.XLOOKUP(_xlfn.XLOOKUP($F31,Clientes!$B$4:$B$39,Clientes!$C$4:$C$39),Cadastros!$L$6:$L$12,Cadastros!$N$6:$N$12)))</f>
        <v/>
      </c>
      <c r="U31" s="168" t="str">
        <f t="shared" si="3"/>
        <v/>
      </c>
      <c r="V31" s="168" t="str">
        <f>IFERROR(U31/_xlfn.XLOOKUP(_xlfn.XLOOKUP($F31,Clientes!$B$4:$B$39,Clientes!$C$4:$C$39),Cadastros!$L$6:$L$12,Cadastros!$M$6:$M$12)," ")</f>
        <v xml:space="preserve"> </v>
      </c>
      <c r="W31" s="28"/>
      <c r="X31" s="28"/>
      <c r="Y31" s="255" t="str">
        <f>IF(W31="","",(_xlfn.XLOOKUP(W31,Cadastros!$D$6:$D$90,Cadastros!$E$6:$E$90))*(1-_xlfn.XLOOKUP(_xlfn.XLOOKUP($F31,Clientes!$B$4:$B$39,Clientes!$C$4:$C$39),Cadastros!$L$6:$L$12,Cadastros!$N$6:$N$12)))</f>
        <v/>
      </c>
      <c r="Z31" s="168" t="str">
        <f t="shared" si="4"/>
        <v/>
      </c>
      <c r="AA31" s="168" t="str">
        <f>IFERROR(Z31/_xlfn.XLOOKUP(_xlfn.XLOOKUP($F31,Clientes!$B$4:$B$39,Clientes!$C$4:$C$39),Cadastros!$L$6:$L$12,Cadastros!$M$6:$M$12)," ")</f>
        <v xml:space="preserve"> </v>
      </c>
      <c r="AB31" s="28"/>
      <c r="AC31" s="28"/>
      <c r="AD31" s="20" t="str">
        <f>IF(AB31="","",IF($F31="Bernardino Furlan",_xlfn.XLOOKUP(AB31,Cadastros!$G$6:$G$90,Cadastros!$H$6:$H$90)*(1-0.18),IF($F31="Mauro José Salanti",_xlfn.XLOOKUP(AB31,Cadastros!$G$6:$G$90,Cadastros!$H$6:$H$90)*(1-0.18),_xlfn.XLOOKUP(AB31,Cadastros!$G$6:$G$90,Cadastros!$H$6:$H$90))))</f>
        <v/>
      </c>
      <c r="AE31" s="168" t="str">
        <f t="shared" si="5"/>
        <v/>
      </c>
      <c r="AF31" s="168" t="str">
        <f t="shared" si="6"/>
        <v/>
      </c>
      <c r="AG31" s="28"/>
      <c r="AH31" s="28"/>
      <c r="AI31" s="20" t="str">
        <f>IF(AG31="","",IF($F31="Bernardino Furlan",_xlfn.XLOOKUP(AG31,Cadastros!$G$6:$G$90,Cadastros!$H$6:$H$90)*(1-0.18),IF($F31="Mauro José Salanti",_xlfn.XLOOKUP(AG31,Cadastros!$G$6:$G$90,Cadastros!$H$6:$H$90)*(1-0.18),_xlfn.XLOOKUP(AG31,Cadastros!$G$6:$G$90,Cadastros!$H$6:$H$90))))</f>
        <v/>
      </c>
      <c r="AJ31" s="168" t="str">
        <f t="shared" si="7"/>
        <v/>
      </c>
      <c r="AK31" s="168" t="str">
        <f t="shared" si="8"/>
        <v/>
      </c>
      <c r="AL31" s="28"/>
      <c r="AM31" s="28"/>
      <c r="AN31" s="20" t="str">
        <f>IF(AL31="","",IF($F31="Bernardino Furlan",_xlfn.XLOOKUP(AL31,Cadastros!$G$6:$G$90,Cadastros!$H$6:$H$90)*(1-0.18),IF($F31="Mauro José Salanti",_xlfn.XLOOKUP(AL31,Cadastros!$G$6:$G$90,Cadastros!$H$6:$H$90)*(1-0.18),_xlfn.XLOOKUP(AL31,Cadastros!$G$6:$G$90,Cadastros!$H$6:$H$90))))</f>
        <v/>
      </c>
      <c r="AO31" s="168" t="str">
        <f t="shared" si="9"/>
        <v/>
      </c>
      <c r="AP31" s="168" t="str">
        <f t="shared" si="10"/>
        <v/>
      </c>
      <c r="AQ31" s="28"/>
      <c r="AR31" s="28"/>
      <c r="AS31" s="20" t="str">
        <f>IF(AQ31="","",IF($F31="Bernardino Furlan",_xlfn.XLOOKUP(AQ31,Cadastros!$G$6:$G$90,Cadastros!$H$6:$H$90)*(1-0.18),IF($F31="Mauro José Salanti",_xlfn.XLOOKUP(AQ31,Cadastros!$G$6:$G$90,Cadastros!$H$6:$H$90)*(1-0.18),_xlfn.XLOOKUP(AQ31,Cadastros!$G$6:$G$90,Cadastros!$H$6:$H$90))))</f>
        <v/>
      </c>
      <c r="AT31" s="168" t="str">
        <f t="shared" si="11"/>
        <v/>
      </c>
      <c r="AU31" s="168" t="str">
        <f t="shared" si="12"/>
        <v/>
      </c>
      <c r="AV31" s="227"/>
      <c r="AW31" s="30"/>
      <c r="AX31" s="267"/>
      <c r="AY31" s="267"/>
      <c r="AZ31" s="29"/>
      <c r="BA31" s="30"/>
      <c r="BB31" s="23" t="str" cm="1">
        <f t="array" ref="BB31">_xlfn.IFS(AW31="SIM",SUM(K31,P31,U31,Z31,AE31,AJ31,AO31,AT31,AX31,AY31),F31&lt;&gt;"",SUM(K31,P31,U31,Z31,AE31,AJ31,,AO31,AT31),F31="","")</f>
        <v/>
      </c>
      <c r="BC31" s="211" t="str" cm="1">
        <f t="array" ref="BC31">_xlfn.IFS(E31="","",G31&lt;=E31,BB31*(1-0.03),G31&lt;(E31+8),BB31,AZ31="Boleto",BB31*(1+0.001)^DATEDIF(E31,G31,"D"),AZ31="Cheque",BB31,AZ31="Dinheiro","Alterar forma pgto")</f>
        <v/>
      </c>
      <c r="BD31" s="276" t="str" cm="1">
        <f t="array" ref="BD31">IF(F31=0," ",IF(BC31&lt;BB31,(_xlfn.IFS(AW31="SIM",SUM(L31,Q31,V31,AA31,AF31,AK31,AP31,AU31)+AX31/_xlfn.XLOOKUP(_xlfn.XLOOKUP($F31,Clientes!$B$4:$B$39,Clientes!$C$4:$C$39),Cadastros!$L$6:$L$12,Cadastros!$M$6:$M$12)+IF($F31="Bernardino Furlan",AY31/2751.92,IF($F31="Mauro José Salanti",AY31/2751.92,AY31/3356)),F31&lt;&gt;0,SUM(L31,Q31,V31,AA31,AF31,AK31,AP31,AU31)))*(1-0.03),_xlfn.IFS(AW31="SIM",SUM(L31,Q31,V31,AA31,AF31,AK31,AP31,AU31)+AX31/_xlfn.XLOOKUP(_xlfn.XLOOKUP($F31,Clientes!$B$4:$B$39,Clientes!$C$4:$C$39),Cadastros!$L$6:$L$12,Cadastros!$M$6:$M$12)+IF($F31="Bernardino Furlan",AY31/2751.92,IF($F31="Mauro José Salanti",AY31/2751.92,AY31/3356)),F31&lt;&gt;0,SUM(L31,Q31,V31,AA31,AF31,AK31,AP31,AU31))))</f>
        <v xml:space="preserve"> </v>
      </c>
      <c r="BE31" s="120"/>
      <c r="BF31" s="120"/>
      <c r="BG31" s="120"/>
      <c r="BH31" s="231" t="str">
        <f>IF(Clientes!B27="","",Clientes!B27)</f>
        <v/>
      </c>
      <c r="BL31" s="235" t="str">
        <f>IF(Cadastros!D28="","",Cadastros!D28)</f>
        <v>10114 - Colchão Articulado Solt 096 X 203 X 019 cm MVQ</v>
      </c>
      <c r="BM31" s="234"/>
      <c r="BN31" s="233" t="str">
        <f>IF(Cadastros!G28="","",Cadastros!G28)</f>
        <v>ECOTURB</v>
      </c>
    </row>
    <row r="32" spans="1:66" s="3" customFormat="1" x14ac:dyDescent="0.3">
      <c r="A32" s="15" t="str">
        <f t="shared" si="0"/>
        <v/>
      </c>
      <c r="B32" s="25"/>
      <c r="C32" s="26"/>
      <c r="D32" s="279"/>
      <c r="E32" s="27"/>
      <c r="F32" s="28"/>
      <c r="G32" s="27"/>
      <c r="H32" s="28"/>
      <c r="I32" s="28"/>
      <c r="J32" s="255" t="str">
        <f>IF(H32="","",(_xlfn.XLOOKUP(H32,Cadastros!$D$6:$D$90,Cadastros!$E$6:$E$90))*(1-_xlfn.XLOOKUP(_xlfn.XLOOKUP($F32,Clientes!$B$4:$B$39,Clientes!$C$4:$C$39),Cadastros!$L$6:$L$12,Cadastros!$N$6:$N$12)))</f>
        <v/>
      </c>
      <c r="K32" s="168" t="str">
        <f t="shared" si="1"/>
        <v/>
      </c>
      <c r="L32" s="168" t="str">
        <f>IFERROR(K32/_xlfn.XLOOKUP(_xlfn.XLOOKUP($F32,Clientes!$B$4:$B$39,Clientes!$C$4:$C$39),Cadastros!$L$6:$L$12,Cadastros!$M$6:$M$12)," ")</f>
        <v xml:space="preserve"> </v>
      </c>
      <c r="M32" s="28"/>
      <c r="N32" s="28"/>
      <c r="O32" s="255" t="str">
        <f>IF(M32="","",(_xlfn.XLOOKUP(M32,Cadastros!$D$6:$D$90,Cadastros!$E$6:$E$90))*(1-_xlfn.XLOOKUP(_xlfn.XLOOKUP($F32,Clientes!$B$4:$B$39,Clientes!$C$4:$C$39),Cadastros!$L$6:$L$12,Cadastros!$N$6:$N$12)))</f>
        <v/>
      </c>
      <c r="P32" s="168" t="str">
        <f t="shared" si="2"/>
        <v/>
      </c>
      <c r="Q32" s="168" t="str">
        <f>IFERROR(P32/_xlfn.XLOOKUP(_xlfn.XLOOKUP($F32,Clientes!$B$4:$B$39,Clientes!$C$4:$C$39),Cadastros!$L$6:$L$12,Cadastros!$M$6:$M$12)," ")</f>
        <v xml:space="preserve"> </v>
      </c>
      <c r="R32" s="28"/>
      <c r="S32" s="28"/>
      <c r="T32" s="255" t="str">
        <f>IF(R32="","",(_xlfn.XLOOKUP(R32,Cadastros!$D$6:$D$90,Cadastros!$E$6:$E$90))*(1-_xlfn.XLOOKUP(_xlfn.XLOOKUP($F32,Clientes!$B$4:$B$39,Clientes!$C$4:$C$39),Cadastros!$L$6:$L$12,Cadastros!$N$6:$N$12)))</f>
        <v/>
      </c>
      <c r="U32" s="168" t="str">
        <f t="shared" si="3"/>
        <v/>
      </c>
      <c r="V32" s="168" t="str">
        <f>IFERROR(U32/_xlfn.XLOOKUP(_xlfn.XLOOKUP($F32,Clientes!$B$4:$B$39,Clientes!$C$4:$C$39),Cadastros!$L$6:$L$12,Cadastros!$M$6:$M$12)," ")</f>
        <v xml:space="preserve"> </v>
      </c>
      <c r="W32" s="28"/>
      <c r="X32" s="28"/>
      <c r="Y32" s="255" t="str">
        <f>IF(W32="","",(_xlfn.XLOOKUP(W32,Cadastros!$D$6:$D$90,Cadastros!$E$6:$E$90))*(1-_xlfn.XLOOKUP(_xlfn.XLOOKUP($F32,Clientes!$B$4:$B$39,Clientes!$C$4:$C$39),Cadastros!$L$6:$L$12,Cadastros!$N$6:$N$12)))</f>
        <v/>
      </c>
      <c r="Z32" s="168" t="str">
        <f t="shared" si="4"/>
        <v/>
      </c>
      <c r="AA32" s="168" t="str">
        <f>IFERROR(Z32/_xlfn.XLOOKUP(_xlfn.XLOOKUP($F32,Clientes!$B$4:$B$39,Clientes!$C$4:$C$39),Cadastros!$L$6:$L$12,Cadastros!$M$6:$M$12)," ")</f>
        <v xml:space="preserve"> </v>
      </c>
      <c r="AB32" s="28"/>
      <c r="AC32" s="28"/>
      <c r="AD32" s="20" t="str">
        <f>IF(AB32="","",IF($F32="Bernardino Furlan",_xlfn.XLOOKUP(AB32,Cadastros!$G$6:$G$90,Cadastros!$H$6:$H$90)*(1-0.18),IF($F32="Mauro José Salanti",_xlfn.XLOOKUP(AB32,Cadastros!$G$6:$G$90,Cadastros!$H$6:$H$90)*(1-0.18),_xlfn.XLOOKUP(AB32,Cadastros!$G$6:$G$90,Cadastros!$H$6:$H$90))))</f>
        <v/>
      </c>
      <c r="AE32" s="168" t="str">
        <f t="shared" si="5"/>
        <v/>
      </c>
      <c r="AF32" s="168" t="str">
        <f t="shared" si="6"/>
        <v/>
      </c>
      <c r="AG32" s="28"/>
      <c r="AH32" s="28"/>
      <c r="AI32" s="20" t="str">
        <f>IF(AG32="","",IF($F32="Bernardino Furlan",_xlfn.XLOOKUP(AG32,Cadastros!$G$6:$G$90,Cadastros!$H$6:$H$90)*(1-0.18),IF($F32="Mauro José Salanti",_xlfn.XLOOKUP(AG32,Cadastros!$G$6:$G$90,Cadastros!$H$6:$H$90)*(1-0.18),_xlfn.XLOOKUP(AG32,Cadastros!$G$6:$G$90,Cadastros!$H$6:$H$90))))</f>
        <v/>
      </c>
      <c r="AJ32" s="168" t="str">
        <f t="shared" si="7"/>
        <v/>
      </c>
      <c r="AK32" s="168" t="str">
        <f t="shared" si="8"/>
        <v/>
      </c>
      <c r="AL32" s="28"/>
      <c r="AM32" s="28"/>
      <c r="AN32" s="20" t="str">
        <f>IF(AL32="","",IF($F32="Bernardino Furlan",_xlfn.XLOOKUP(AL32,Cadastros!$G$6:$G$90,Cadastros!$H$6:$H$90)*(1-0.18),IF($F32="Mauro José Salanti",_xlfn.XLOOKUP(AL32,Cadastros!$G$6:$G$90,Cadastros!$H$6:$H$90)*(1-0.18),_xlfn.XLOOKUP(AL32,Cadastros!$G$6:$G$90,Cadastros!$H$6:$H$90))))</f>
        <v/>
      </c>
      <c r="AO32" s="168" t="str">
        <f t="shared" si="9"/>
        <v/>
      </c>
      <c r="AP32" s="168" t="str">
        <f t="shared" si="10"/>
        <v/>
      </c>
      <c r="AQ32" s="28"/>
      <c r="AR32" s="28"/>
      <c r="AS32" s="20" t="str">
        <f>IF(AQ32="","",IF($F32="Bernardino Furlan",_xlfn.XLOOKUP(AQ32,Cadastros!$G$6:$G$90,Cadastros!$H$6:$H$90)*(1-0.18),IF($F32="Mauro José Salanti",_xlfn.XLOOKUP(AQ32,Cadastros!$G$6:$G$90,Cadastros!$H$6:$H$90)*(1-0.18),_xlfn.XLOOKUP(AQ32,Cadastros!$G$6:$G$90,Cadastros!$H$6:$H$90))))</f>
        <v/>
      </c>
      <c r="AT32" s="168" t="str">
        <f t="shared" si="11"/>
        <v/>
      </c>
      <c r="AU32" s="168" t="str">
        <f t="shared" si="12"/>
        <v/>
      </c>
      <c r="AV32" s="227"/>
      <c r="AW32" s="30"/>
      <c r="AX32" s="267"/>
      <c r="AY32" s="267"/>
      <c r="AZ32" s="29"/>
      <c r="BA32" s="30"/>
      <c r="BB32" s="23" t="str" cm="1">
        <f t="array" ref="BB32">_xlfn.IFS(AW32="SIM",SUM(K32,P32,U32,Z32,AE32,AJ32,AO32,AT32,AX32,AY32),F32&lt;&gt;"",SUM(K32,P32,U32,Z32,AE32,AJ32,,AO32,AT32),F32="","")</f>
        <v/>
      </c>
      <c r="BC32" s="211" t="str" cm="1">
        <f t="array" ref="BC32">_xlfn.IFS(E32="","",G32&lt;=E32,BB32*(1-0.03),G32&lt;(E32+8),BB32,AZ32="Boleto",BB32*(1+0.001)^DATEDIF(E32,G32,"D"),AZ32="Cheque",BB32,AZ32="Dinheiro","Alterar forma pgto")</f>
        <v/>
      </c>
      <c r="BD32" s="276" t="str" cm="1">
        <f t="array" ref="BD32">IF(F32=0," ",IF(BC32&lt;BB32,(_xlfn.IFS(AW32="SIM",SUM(L32,Q32,V32,AA32,AF32,AK32,AP32,AU32)+AX32/_xlfn.XLOOKUP(_xlfn.XLOOKUP($F32,Clientes!$B$4:$B$39,Clientes!$C$4:$C$39),Cadastros!$L$6:$L$12,Cadastros!$M$6:$M$12)+IF($F32="Bernardino Furlan",AY32/2751.92,IF($F32="Mauro José Salanti",AY32/2751.92,AY32/3356)),F32&lt;&gt;0,SUM(L32,Q32,V32,AA32,AF32,AK32,AP32,AU32)))*(1-0.03),_xlfn.IFS(AW32="SIM",SUM(L32,Q32,V32,AA32,AF32,AK32,AP32,AU32)+AX32/_xlfn.XLOOKUP(_xlfn.XLOOKUP($F32,Clientes!$B$4:$B$39,Clientes!$C$4:$C$39),Cadastros!$L$6:$L$12,Cadastros!$M$6:$M$12)+IF($F32="Bernardino Furlan",AY32/2751.92,IF($F32="Mauro José Salanti",AY32/2751.92,AY32/3356)),F32&lt;&gt;0,SUM(L32,Q32,V32,AA32,AF32,AK32,AP32,AU32))))</f>
        <v xml:space="preserve"> </v>
      </c>
      <c r="BE32" s="120"/>
      <c r="BF32" s="120"/>
      <c r="BG32" s="120"/>
      <c r="BH32" s="231" t="str">
        <f>IF(Clientes!B28="","",Clientes!B28)</f>
        <v/>
      </c>
      <c r="BL32" s="235" t="str">
        <f>IF(Cadastros!D29="","",Cadastros!D29)</f>
        <v/>
      </c>
      <c r="BM32" s="234"/>
      <c r="BN32" s="235" t="str">
        <f>IF(Cadastros!G29="","",Cadastros!G29)</f>
        <v>108 - Ioncel Wifi Ecoturb</v>
      </c>
    </row>
    <row r="33" spans="1:66" s="3" customFormat="1" x14ac:dyDescent="0.3">
      <c r="A33" s="15" t="str">
        <f t="shared" si="0"/>
        <v/>
      </c>
      <c r="B33" s="25"/>
      <c r="C33" s="26"/>
      <c r="D33" s="279"/>
      <c r="E33" s="27"/>
      <c r="F33" s="28"/>
      <c r="G33" s="27"/>
      <c r="H33" s="28"/>
      <c r="I33" s="28"/>
      <c r="J33" s="255" t="str">
        <f>IF(H33="","",(_xlfn.XLOOKUP(H33,Cadastros!$D$6:$D$90,Cadastros!$E$6:$E$90))*(1-_xlfn.XLOOKUP(_xlfn.XLOOKUP($F33,Clientes!$B$4:$B$39,Clientes!$C$4:$C$39),Cadastros!$L$6:$L$12,Cadastros!$N$6:$N$12)))</f>
        <v/>
      </c>
      <c r="K33" s="168" t="str">
        <f t="shared" si="1"/>
        <v/>
      </c>
      <c r="L33" s="168" t="str">
        <f>IFERROR(K33/_xlfn.XLOOKUP(_xlfn.XLOOKUP($F33,Clientes!$B$4:$B$39,Clientes!$C$4:$C$39),Cadastros!$L$6:$L$12,Cadastros!$M$6:$M$12)," ")</f>
        <v xml:space="preserve"> </v>
      </c>
      <c r="M33" s="28"/>
      <c r="N33" s="28"/>
      <c r="O33" s="255" t="str">
        <f>IF(M33="","",(_xlfn.XLOOKUP(M33,Cadastros!$D$6:$D$90,Cadastros!$E$6:$E$90))*(1-_xlfn.XLOOKUP(_xlfn.XLOOKUP($F33,Clientes!$B$4:$B$39,Clientes!$C$4:$C$39),Cadastros!$L$6:$L$12,Cadastros!$N$6:$N$12)))</f>
        <v/>
      </c>
      <c r="P33" s="168" t="str">
        <f t="shared" si="2"/>
        <v/>
      </c>
      <c r="Q33" s="168" t="str">
        <f>IFERROR(P33/_xlfn.XLOOKUP(_xlfn.XLOOKUP($F33,Clientes!$B$4:$B$39,Clientes!$C$4:$C$39),Cadastros!$L$6:$L$12,Cadastros!$M$6:$M$12)," ")</f>
        <v xml:space="preserve"> </v>
      </c>
      <c r="R33" s="28"/>
      <c r="S33" s="28"/>
      <c r="T33" s="255" t="str">
        <f>IF(R33="","",(_xlfn.XLOOKUP(R33,Cadastros!$D$6:$D$90,Cadastros!$E$6:$E$90))*(1-_xlfn.XLOOKUP(_xlfn.XLOOKUP($F33,Clientes!$B$4:$B$39,Clientes!$C$4:$C$39),Cadastros!$L$6:$L$12,Cadastros!$N$6:$N$12)))</f>
        <v/>
      </c>
      <c r="U33" s="168" t="str">
        <f t="shared" si="3"/>
        <v/>
      </c>
      <c r="V33" s="168" t="str">
        <f>IFERROR(U33/_xlfn.XLOOKUP(_xlfn.XLOOKUP($F33,Clientes!$B$4:$B$39,Clientes!$C$4:$C$39),Cadastros!$L$6:$L$12,Cadastros!$M$6:$M$12)," ")</f>
        <v xml:space="preserve"> </v>
      </c>
      <c r="W33" s="28"/>
      <c r="X33" s="28"/>
      <c r="Y33" s="255" t="str">
        <f>IF(W33="","",(_xlfn.XLOOKUP(W33,Cadastros!$D$6:$D$90,Cadastros!$E$6:$E$90))*(1-_xlfn.XLOOKUP(_xlfn.XLOOKUP($F33,Clientes!$B$4:$B$39,Clientes!$C$4:$C$39),Cadastros!$L$6:$L$12,Cadastros!$N$6:$N$12)))</f>
        <v/>
      </c>
      <c r="Z33" s="168" t="str">
        <f t="shared" si="4"/>
        <v/>
      </c>
      <c r="AA33" s="168" t="str">
        <f>IFERROR(Z33/_xlfn.XLOOKUP(_xlfn.XLOOKUP($F33,Clientes!$B$4:$B$39,Clientes!$C$4:$C$39),Cadastros!$L$6:$L$12,Cadastros!$M$6:$M$12)," ")</f>
        <v xml:space="preserve"> </v>
      </c>
      <c r="AB33" s="28"/>
      <c r="AC33" s="28"/>
      <c r="AD33" s="20" t="str">
        <f>IF(AB33="","",IF($F33="Bernardino Furlan",_xlfn.XLOOKUP(AB33,Cadastros!$G$6:$G$90,Cadastros!$H$6:$H$90)*(1-0.18),IF($F33="Mauro José Salanti",_xlfn.XLOOKUP(AB33,Cadastros!$G$6:$G$90,Cadastros!$H$6:$H$90)*(1-0.18),_xlfn.XLOOKUP(AB33,Cadastros!$G$6:$G$90,Cadastros!$H$6:$H$90))))</f>
        <v/>
      </c>
      <c r="AE33" s="168" t="str">
        <f t="shared" si="5"/>
        <v/>
      </c>
      <c r="AF33" s="168" t="str">
        <f t="shared" si="6"/>
        <v/>
      </c>
      <c r="AG33" s="28"/>
      <c r="AH33" s="28"/>
      <c r="AI33" s="20" t="str">
        <f>IF(AG33="","",IF($F33="Bernardino Furlan",_xlfn.XLOOKUP(AG33,Cadastros!$G$6:$G$90,Cadastros!$H$6:$H$90)*(1-0.18),IF($F33="Mauro José Salanti",_xlfn.XLOOKUP(AG33,Cadastros!$G$6:$G$90,Cadastros!$H$6:$H$90)*(1-0.18),_xlfn.XLOOKUP(AG33,Cadastros!$G$6:$G$90,Cadastros!$H$6:$H$90))))</f>
        <v/>
      </c>
      <c r="AJ33" s="168" t="str">
        <f t="shared" si="7"/>
        <v/>
      </c>
      <c r="AK33" s="168" t="str">
        <f t="shared" si="8"/>
        <v/>
      </c>
      <c r="AL33" s="28"/>
      <c r="AM33" s="28"/>
      <c r="AN33" s="20" t="str">
        <f>IF(AL33="","",IF($F33="Bernardino Furlan",_xlfn.XLOOKUP(AL33,Cadastros!$G$6:$G$90,Cadastros!$H$6:$H$90)*(1-0.18),IF($F33="Mauro José Salanti",_xlfn.XLOOKUP(AL33,Cadastros!$G$6:$G$90,Cadastros!$H$6:$H$90)*(1-0.18),_xlfn.XLOOKUP(AL33,Cadastros!$G$6:$G$90,Cadastros!$H$6:$H$90))))</f>
        <v/>
      </c>
      <c r="AO33" s="168" t="str">
        <f t="shared" si="9"/>
        <v/>
      </c>
      <c r="AP33" s="168" t="str">
        <f t="shared" si="10"/>
        <v/>
      </c>
      <c r="AQ33" s="28"/>
      <c r="AR33" s="28"/>
      <c r="AS33" s="20" t="str">
        <f>IF(AQ33="","",IF($F33="Bernardino Furlan",_xlfn.XLOOKUP(AQ33,Cadastros!$G$6:$G$90,Cadastros!$H$6:$H$90)*(1-0.18),IF($F33="Mauro José Salanti",_xlfn.XLOOKUP(AQ33,Cadastros!$G$6:$G$90,Cadastros!$H$6:$H$90)*(1-0.18),_xlfn.XLOOKUP(AQ33,Cadastros!$G$6:$G$90,Cadastros!$H$6:$H$90))))</f>
        <v/>
      </c>
      <c r="AT33" s="168" t="str">
        <f t="shared" si="11"/>
        <v/>
      </c>
      <c r="AU33" s="168" t="str">
        <f t="shared" si="12"/>
        <v/>
      </c>
      <c r="AV33" s="227"/>
      <c r="AW33" s="30"/>
      <c r="AX33" s="267"/>
      <c r="AY33" s="267"/>
      <c r="AZ33" s="29"/>
      <c r="BA33" s="30"/>
      <c r="BB33" s="23" t="str" cm="1">
        <f t="array" ref="BB33">_xlfn.IFS(AW33="SIM",SUM(K33,P33,U33,Z33,AE33,AJ33,AO33,AT33,AX33,AY33),F33&lt;&gt;"",SUM(K33,P33,U33,Z33,AE33,AJ33,,AO33,AT33),F33="","")</f>
        <v/>
      </c>
      <c r="BC33" s="211" t="str" cm="1">
        <f t="array" ref="BC33">_xlfn.IFS(E33="","",G33&lt;=E33,BB33*(1-0.03),G33&lt;(E33+8),BB33,AZ33="Boleto",BB33*(1+0.001)^DATEDIF(E33,G33,"D"),AZ33="Cheque",BB33,AZ33="Dinheiro","Alterar forma pgto")</f>
        <v/>
      </c>
      <c r="BD33" s="276" t="str" cm="1">
        <f t="array" ref="BD33">IF(F33=0," ",IF(BC33&lt;BB33,(_xlfn.IFS(AW33="SIM",SUM(L33,Q33,V33,AA33,AF33,AK33,AP33,AU33)+AX33/_xlfn.XLOOKUP(_xlfn.XLOOKUP($F33,Clientes!$B$4:$B$39,Clientes!$C$4:$C$39),Cadastros!$L$6:$L$12,Cadastros!$M$6:$M$12)+IF($F33="Bernardino Furlan",AY33/2751.92,IF($F33="Mauro José Salanti",AY33/2751.92,AY33/3356)),F33&lt;&gt;0,SUM(L33,Q33,V33,AA33,AF33,AK33,AP33,AU33)))*(1-0.03),_xlfn.IFS(AW33="SIM",SUM(L33,Q33,V33,AA33,AF33,AK33,AP33,AU33)+AX33/_xlfn.XLOOKUP(_xlfn.XLOOKUP($F33,Clientes!$B$4:$B$39,Clientes!$C$4:$C$39),Cadastros!$L$6:$L$12,Cadastros!$M$6:$M$12)+IF($F33="Bernardino Furlan",AY33/2751.92,IF($F33="Mauro José Salanti",AY33/2751.92,AY33/3356)),F33&lt;&gt;0,SUM(L33,Q33,V33,AA33,AF33,AK33,AP33,AU33))))</f>
        <v xml:space="preserve"> </v>
      </c>
      <c r="BE33" s="120"/>
      <c r="BF33" s="120"/>
      <c r="BG33" s="120"/>
      <c r="BH33" s="231" t="str">
        <f>IF(Clientes!B29="","",Clientes!B29)</f>
        <v/>
      </c>
      <c r="BL33" s="233" t="str">
        <f>IF(Cadastros!D30="","",Cadastros!D30)</f>
        <v>COLCHONETE BEM ESTAR</v>
      </c>
      <c r="BM33" s="234"/>
      <c r="BN33" s="235" t="str">
        <f>IF(Cadastros!G30="","",Cadastros!G30)</f>
        <v>129 - Ioncel Blocker Ecoturb</v>
      </c>
    </row>
    <row r="34" spans="1:66" s="3" customFormat="1" x14ac:dyDescent="0.3">
      <c r="A34" s="15" t="str">
        <f t="shared" si="0"/>
        <v/>
      </c>
      <c r="B34" s="25"/>
      <c r="C34" s="26"/>
      <c r="D34" s="279"/>
      <c r="E34" s="27"/>
      <c r="F34" s="28"/>
      <c r="G34" s="27"/>
      <c r="H34" s="28"/>
      <c r="I34" s="28"/>
      <c r="J34" s="255" t="str">
        <f>IF(H34="","",(_xlfn.XLOOKUP(H34,Cadastros!$D$6:$D$90,Cadastros!$E$6:$E$90))*(1-_xlfn.XLOOKUP(_xlfn.XLOOKUP($F34,Clientes!$B$4:$B$39,Clientes!$C$4:$C$39),Cadastros!$L$6:$L$12,Cadastros!$N$6:$N$12)))</f>
        <v/>
      </c>
      <c r="K34" s="168" t="str">
        <f t="shared" si="1"/>
        <v/>
      </c>
      <c r="L34" s="168" t="str">
        <f>IFERROR(K34/_xlfn.XLOOKUP(_xlfn.XLOOKUP($F34,Clientes!$B$4:$B$39,Clientes!$C$4:$C$39),Cadastros!$L$6:$L$12,Cadastros!$M$6:$M$12)," ")</f>
        <v xml:space="preserve"> </v>
      </c>
      <c r="M34" s="28"/>
      <c r="N34" s="28"/>
      <c r="O34" s="255" t="str">
        <f>IF(M34="","",(_xlfn.XLOOKUP(M34,Cadastros!$D$6:$D$90,Cadastros!$E$6:$E$90))*(1-_xlfn.XLOOKUP(_xlfn.XLOOKUP($F34,Clientes!$B$4:$B$39,Clientes!$C$4:$C$39),Cadastros!$L$6:$L$12,Cadastros!$N$6:$N$12)))</f>
        <v/>
      </c>
      <c r="P34" s="168" t="str">
        <f t="shared" si="2"/>
        <v/>
      </c>
      <c r="Q34" s="168" t="str">
        <f>IFERROR(P34/_xlfn.XLOOKUP(_xlfn.XLOOKUP($F34,Clientes!$B$4:$B$39,Clientes!$C$4:$C$39),Cadastros!$L$6:$L$12,Cadastros!$M$6:$M$12)," ")</f>
        <v xml:space="preserve"> </v>
      </c>
      <c r="R34" s="28"/>
      <c r="S34" s="28"/>
      <c r="T34" s="255" t="str">
        <f>IF(R34="","",(_xlfn.XLOOKUP(R34,Cadastros!$D$6:$D$90,Cadastros!$E$6:$E$90))*(1-_xlfn.XLOOKUP(_xlfn.XLOOKUP($F34,Clientes!$B$4:$B$39,Clientes!$C$4:$C$39),Cadastros!$L$6:$L$12,Cadastros!$N$6:$N$12)))</f>
        <v/>
      </c>
      <c r="U34" s="168" t="str">
        <f t="shared" si="3"/>
        <v/>
      </c>
      <c r="V34" s="168" t="str">
        <f>IFERROR(U34/_xlfn.XLOOKUP(_xlfn.XLOOKUP($F34,Clientes!$B$4:$B$39,Clientes!$C$4:$C$39),Cadastros!$L$6:$L$12,Cadastros!$M$6:$M$12)," ")</f>
        <v xml:space="preserve"> </v>
      </c>
      <c r="W34" s="28"/>
      <c r="X34" s="28"/>
      <c r="Y34" s="255" t="str">
        <f>IF(W34="","",(_xlfn.XLOOKUP(W34,Cadastros!$D$6:$D$90,Cadastros!$E$6:$E$90))*(1-_xlfn.XLOOKUP(_xlfn.XLOOKUP($F34,Clientes!$B$4:$B$39,Clientes!$C$4:$C$39),Cadastros!$L$6:$L$12,Cadastros!$N$6:$N$12)))</f>
        <v/>
      </c>
      <c r="Z34" s="168" t="str">
        <f t="shared" si="4"/>
        <v/>
      </c>
      <c r="AA34" s="168" t="str">
        <f>IFERROR(Z34/_xlfn.XLOOKUP(_xlfn.XLOOKUP($F34,Clientes!$B$4:$B$39,Clientes!$C$4:$C$39),Cadastros!$L$6:$L$12,Cadastros!$M$6:$M$12)," ")</f>
        <v xml:space="preserve"> </v>
      </c>
      <c r="AB34" s="28"/>
      <c r="AC34" s="28"/>
      <c r="AD34" s="20" t="str">
        <f>IF(AB34="","",IF($F34="Bernardino Furlan",_xlfn.XLOOKUP(AB34,Cadastros!$G$6:$G$90,Cadastros!$H$6:$H$90)*(1-0.18),IF($F34="Mauro José Salanti",_xlfn.XLOOKUP(AB34,Cadastros!$G$6:$G$90,Cadastros!$H$6:$H$90)*(1-0.18),_xlfn.XLOOKUP(AB34,Cadastros!$G$6:$G$90,Cadastros!$H$6:$H$90))))</f>
        <v/>
      </c>
      <c r="AE34" s="168" t="str">
        <f t="shared" si="5"/>
        <v/>
      </c>
      <c r="AF34" s="168" t="str">
        <f t="shared" si="6"/>
        <v/>
      </c>
      <c r="AG34" s="28"/>
      <c r="AH34" s="28"/>
      <c r="AI34" s="20" t="str">
        <f>IF(AG34="","",IF($F34="Bernardino Furlan",_xlfn.XLOOKUP(AG34,Cadastros!$G$6:$G$90,Cadastros!$H$6:$H$90)*(1-0.18),IF($F34="Mauro José Salanti",_xlfn.XLOOKUP(AG34,Cadastros!$G$6:$G$90,Cadastros!$H$6:$H$90)*(1-0.18),_xlfn.XLOOKUP(AG34,Cadastros!$G$6:$G$90,Cadastros!$H$6:$H$90))))</f>
        <v/>
      </c>
      <c r="AJ34" s="168" t="str">
        <f t="shared" si="7"/>
        <v/>
      </c>
      <c r="AK34" s="168" t="str">
        <f t="shared" si="8"/>
        <v/>
      </c>
      <c r="AL34" s="28"/>
      <c r="AM34" s="28"/>
      <c r="AN34" s="20" t="str">
        <f>IF(AL34="","",IF($F34="Bernardino Furlan",_xlfn.XLOOKUP(AL34,Cadastros!$G$6:$G$90,Cadastros!$H$6:$H$90)*(1-0.18),IF($F34="Mauro José Salanti",_xlfn.XLOOKUP(AL34,Cadastros!$G$6:$G$90,Cadastros!$H$6:$H$90)*(1-0.18),_xlfn.XLOOKUP(AL34,Cadastros!$G$6:$G$90,Cadastros!$H$6:$H$90))))</f>
        <v/>
      </c>
      <c r="AO34" s="168" t="str">
        <f t="shared" si="9"/>
        <v/>
      </c>
      <c r="AP34" s="168" t="str">
        <f t="shared" si="10"/>
        <v/>
      </c>
      <c r="AQ34" s="28"/>
      <c r="AR34" s="28"/>
      <c r="AS34" s="20" t="str">
        <f>IF(AQ34="","",IF($F34="Bernardino Furlan",_xlfn.XLOOKUP(AQ34,Cadastros!$G$6:$G$90,Cadastros!$H$6:$H$90)*(1-0.18),IF($F34="Mauro José Salanti",_xlfn.XLOOKUP(AQ34,Cadastros!$G$6:$G$90,Cadastros!$H$6:$H$90)*(1-0.18),_xlfn.XLOOKUP(AQ34,Cadastros!$G$6:$G$90,Cadastros!$H$6:$H$90))))</f>
        <v/>
      </c>
      <c r="AT34" s="168" t="str">
        <f t="shared" si="11"/>
        <v/>
      </c>
      <c r="AU34" s="168" t="str">
        <f t="shared" si="12"/>
        <v/>
      </c>
      <c r="AV34" s="227"/>
      <c r="AW34" s="30"/>
      <c r="AX34" s="267"/>
      <c r="AY34" s="267"/>
      <c r="AZ34" s="29"/>
      <c r="BA34" s="30"/>
      <c r="BB34" s="23" t="str" cm="1">
        <f t="array" ref="BB34">_xlfn.IFS(AW34="SIM",SUM(K34,P34,U34,Z34,AE34,AJ34,AO34,AT34,AX34,AY34),F34&lt;&gt;"",SUM(K34,P34,U34,Z34,AE34,AJ34,,AO34,AT34),F34="","")</f>
        <v/>
      </c>
      <c r="BC34" s="211" t="str" cm="1">
        <f t="array" ref="BC34">_xlfn.IFS(E34="","",G34&lt;=E34,BB34*(1-0.03),G34&lt;(E34+8),BB34,AZ34="Boleto",BB34*(1+0.001)^DATEDIF(E34,G34,"D"),AZ34="Cheque",BB34,AZ34="Dinheiro","Alterar forma pgto")</f>
        <v/>
      </c>
      <c r="BD34" s="276" t="str" cm="1">
        <f t="array" ref="BD34">IF(F34=0," ",IF(BC34&lt;BB34,(_xlfn.IFS(AW34="SIM",SUM(L34,Q34,V34,AA34,AF34,AK34,AP34,AU34)+AX34/_xlfn.XLOOKUP(_xlfn.XLOOKUP($F34,Clientes!$B$4:$B$39,Clientes!$C$4:$C$39),Cadastros!$L$6:$L$12,Cadastros!$M$6:$M$12)+IF($F34="Bernardino Furlan",AY34/2751.92,IF($F34="Mauro José Salanti",AY34/2751.92,AY34/3356)),F34&lt;&gt;0,SUM(L34,Q34,V34,AA34,AF34,AK34,AP34,AU34)))*(1-0.03),_xlfn.IFS(AW34="SIM",SUM(L34,Q34,V34,AA34,AF34,AK34,AP34,AU34)+AX34/_xlfn.XLOOKUP(_xlfn.XLOOKUP($F34,Clientes!$B$4:$B$39,Clientes!$C$4:$C$39),Cadastros!$L$6:$L$12,Cadastros!$M$6:$M$12)+IF($F34="Bernardino Furlan",AY34/2751.92,IF($F34="Mauro José Salanti",AY34/2751.92,AY34/3356)),F34&lt;&gt;0,SUM(L34,Q34,V34,AA34,AF34,AK34,AP34,AU34))))</f>
        <v xml:space="preserve"> </v>
      </c>
      <c r="BE34" s="120"/>
      <c r="BF34" s="120"/>
      <c r="BG34" s="120"/>
      <c r="BH34" s="231" t="str">
        <f>IF(Clientes!B30="","",Clientes!B30)</f>
        <v/>
      </c>
      <c r="BL34" s="235" t="str">
        <f>IF(Cadastros!D31="","",Cadastros!D31)</f>
        <v>10115 - Colchonete Plenosono 088 X 188 X 009 cm MVQ</v>
      </c>
      <c r="BM34" s="234"/>
      <c r="BN34" s="235" t="str">
        <f>IF(Cadastros!G31="","",Cadastros!G31)</f>
        <v>139 - Pingente Ecoturb</v>
      </c>
    </row>
    <row r="35" spans="1:66" s="3" customFormat="1" x14ac:dyDescent="0.3">
      <c r="A35" s="15" t="str">
        <f t="shared" si="0"/>
        <v/>
      </c>
      <c r="B35" s="25"/>
      <c r="C35" s="26"/>
      <c r="D35" s="279"/>
      <c r="E35" s="27"/>
      <c r="F35" s="28"/>
      <c r="G35" s="27"/>
      <c r="H35" s="28"/>
      <c r="I35" s="28"/>
      <c r="J35" s="255" t="str">
        <f>IF(H35="","",(_xlfn.XLOOKUP(H35,Cadastros!$D$6:$D$90,Cadastros!$E$6:$E$90))*(1-_xlfn.XLOOKUP(_xlfn.XLOOKUP($F35,Clientes!$B$4:$B$39,Clientes!$C$4:$C$39),Cadastros!$L$6:$L$12,Cadastros!$N$6:$N$12)))</f>
        <v/>
      </c>
      <c r="K35" s="168" t="str">
        <f t="shared" si="1"/>
        <v/>
      </c>
      <c r="L35" s="168" t="str">
        <f>IFERROR(K35/_xlfn.XLOOKUP(_xlfn.XLOOKUP($F35,Clientes!$B$4:$B$39,Clientes!$C$4:$C$39),Cadastros!$L$6:$L$12,Cadastros!$M$6:$M$12)," ")</f>
        <v xml:space="preserve"> </v>
      </c>
      <c r="M35" s="28"/>
      <c r="N35" s="28"/>
      <c r="O35" s="255" t="str">
        <f>IF(M35="","",(_xlfn.XLOOKUP(M35,Cadastros!$D$6:$D$90,Cadastros!$E$6:$E$90))*(1-_xlfn.XLOOKUP(_xlfn.XLOOKUP($F35,Clientes!$B$4:$B$39,Clientes!$C$4:$C$39),Cadastros!$L$6:$L$12,Cadastros!$N$6:$N$12)))</f>
        <v/>
      </c>
      <c r="P35" s="168" t="str">
        <f t="shared" si="2"/>
        <v/>
      </c>
      <c r="Q35" s="168" t="str">
        <f>IFERROR(P35/_xlfn.XLOOKUP(_xlfn.XLOOKUP($F35,Clientes!$B$4:$B$39,Clientes!$C$4:$C$39),Cadastros!$L$6:$L$12,Cadastros!$M$6:$M$12)," ")</f>
        <v xml:space="preserve"> </v>
      </c>
      <c r="R35" s="28"/>
      <c r="S35" s="28"/>
      <c r="T35" s="255" t="str">
        <f>IF(R35="","",(_xlfn.XLOOKUP(R35,Cadastros!$D$6:$D$90,Cadastros!$E$6:$E$90))*(1-_xlfn.XLOOKUP(_xlfn.XLOOKUP($F35,Clientes!$B$4:$B$39,Clientes!$C$4:$C$39),Cadastros!$L$6:$L$12,Cadastros!$N$6:$N$12)))</f>
        <v/>
      </c>
      <c r="U35" s="168" t="str">
        <f t="shared" si="3"/>
        <v/>
      </c>
      <c r="V35" s="168" t="str">
        <f>IFERROR(U35/_xlfn.XLOOKUP(_xlfn.XLOOKUP($F35,Clientes!$B$4:$B$39,Clientes!$C$4:$C$39),Cadastros!$L$6:$L$12,Cadastros!$M$6:$M$12)," ")</f>
        <v xml:space="preserve"> </v>
      </c>
      <c r="W35" s="28"/>
      <c r="X35" s="28"/>
      <c r="Y35" s="255" t="str">
        <f>IF(W35="","",(_xlfn.XLOOKUP(W35,Cadastros!$D$6:$D$90,Cadastros!$E$6:$E$90))*(1-_xlfn.XLOOKUP(_xlfn.XLOOKUP($F35,Clientes!$B$4:$B$39,Clientes!$C$4:$C$39),Cadastros!$L$6:$L$12,Cadastros!$N$6:$N$12)))</f>
        <v/>
      </c>
      <c r="Z35" s="168" t="str">
        <f t="shared" si="4"/>
        <v/>
      </c>
      <c r="AA35" s="168" t="str">
        <f>IFERROR(Z35/_xlfn.XLOOKUP(_xlfn.XLOOKUP($F35,Clientes!$B$4:$B$39,Clientes!$C$4:$C$39),Cadastros!$L$6:$L$12,Cadastros!$M$6:$M$12)," ")</f>
        <v xml:space="preserve"> </v>
      </c>
      <c r="AB35" s="28"/>
      <c r="AC35" s="28"/>
      <c r="AD35" s="20" t="str">
        <f>IF(AB35="","",IF($F35="Bernardino Furlan",_xlfn.XLOOKUP(AB35,Cadastros!$G$6:$G$90,Cadastros!$H$6:$H$90)*(1-0.18),IF($F35="Mauro José Salanti",_xlfn.XLOOKUP(AB35,Cadastros!$G$6:$G$90,Cadastros!$H$6:$H$90)*(1-0.18),_xlfn.XLOOKUP(AB35,Cadastros!$G$6:$G$90,Cadastros!$H$6:$H$90))))</f>
        <v/>
      </c>
      <c r="AE35" s="168" t="str">
        <f t="shared" si="5"/>
        <v/>
      </c>
      <c r="AF35" s="168" t="str">
        <f t="shared" si="6"/>
        <v/>
      </c>
      <c r="AG35" s="28"/>
      <c r="AH35" s="28"/>
      <c r="AI35" s="20" t="str">
        <f>IF(AG35="","",IF($F35="Bernardino Furlan",_xlfn.XLOOKUP(AG35,Cadastros!$G$6:$G$90,Cadastros!$H$6:$H$90)*(1-0.18),IF($F35="Mauro José Salanti",_xlfn.XLOOKUP(AG35,Cadastros!$G$6:$G$90,Cadastros!$H$6:$H$90)*(1-0.18),_xlfn.XLOOKUP(AG35,Cadastros!$G$6:$G$90,Cadastros!$H$6:$H$90))))</f>
        <v/>
      </c>
      <c r="AJ35" s="168" t="str">
        <f t="shared" si="7"/>
        <v/>
      </c>
      <c r="AK35" s="168" t="str">
        <f t="shared" si="8"/>
        <v/>
      </c>
      <c r="AL35" s="28"/>
      <c r="AM35" s="28"/>
      <c r="AN35" s="20" t="str">
        <f>IF(AL35="","",IF($F35="Bernardino Furlan",_xlfn.XLOOKUP(AL35,Cadastros!$G$6:$G$90,Cadastros!$H$6:$H$90)*(1-0.18),IF($F35="Mauro José Salanti",_xlfn.XLOOKUP(AL35,Cadastros!$G$6:$G$90,Cadastros!$H$6:$H$90)*(1-0.18),_xlfn.XLOOKUP(AL35,Cadastros!$G$6:$G$90,Cadastros!$H$6:$H$90))))</f>
        <v/>
      </c>
      <c r="AO35" s="168" t="str">
        <f t="shared" si="9"/>
        <v/>
      </c>
      <c r="AP35" s="168" t="str">
        <f t="shared" si="10"/>
        <v/>
      </c>
      <c r="AQ35" s="28"/>
      <c r="AR35" s="28"/>
      <c r="AS35" s="20" t="str">
        <f>IF(AQ35="","",IF($F35="Bernardino Furlan",_xlfn.XLOOKUP(AQ35,Cadastros!$G$6:$G$90,Cadastros!$H$6:$H$90)*(1-0.18),IF($F35="Mauro José Salanti",_xlfn.XLOOKUP(AQ35,Cadastros!$G$6:$G$90,Cadastros!$H$6:$H$90)*(1-0.18),_xlfn.XLOOKUP(AQ35,Cadastros!$G$6:$G$90,Cadastros!$H$6:$H$90))))</f>
        <v/>
      </c>
      <c r="AT35" s="168" t="str">
        <f t="shared" si="11"/>
        <v/>
      </c>
      <c r="AU35" s="168" t="str">
        <f t="shared" si="12"/>
        <v/>
      </c>
      <c r="AV35" s="227"/>
      <c r="AW35" s="30"/>
      <c r="AX35" s="267"/>
      <c r="AY35" s="267"/>
      <c r="AZ35" s="29"/>
      <c r="BA35" s="30"/>
      <c r="BB35" s="23" t="str" cm="1">
        <f t="array" ref="BB35">_xlfn.IFS(AW35="SIM",SUM(K35,P35,U35,Z35,AE35,AJ35,AO35,AT35,AX35,AY35),F35&lt;&gt;"",SUM(K35,P35,U35,Z35,AE35,AJ35,,AO35,AT35),F35="","")</f>
        <v/>
      </c>
      <c r="BC35" s="211" t="str" cm="1">
        <f t="array" ref="BC35">_xlfn.IFS(E35="","",G35&lt;=E35,BB35*(1-0.03),G35&lt;(E35+8),BB35,AZ35="Boleto",BB35*(1+0.001)^DATEDIF(E35,G35,"D"),AZ35="Cheque",BB35,AZ35="Dinheiro","Alterar forma pgto")</f>
        <v/>
      </c>
      <c r="BD35" s="276" t="str" cm="1">
        <f t="array" ref="BD35">IF(F35=0," ",IF(BC35&lt;BB35,(_xlfn.IFS(AW35="SIM",SUM(L35,Q35,V35,AA35,AF35,AK35,AP35,AU35)+AX35/_xlfn.XLOOKUP(_xlfn.XLOOKUP($F35,Clientes!$B$4:$B$39,Clientes!$C$4:$C$39),Cadastros!$L$6:$L$12,Cadastros!$M$6:$M$12)+IF($F35="Bernardino Furlan",AY35/2751.92,IF($F35="Mauro José Salanti",AY35/2751.92,AY35/3356)),F35&lt;&gt;0,SUM(L35,Q35,V35,AA35,AF35,AK35,AP35,AU35)))*(1-0.03),_xlfn.IFS(AW35="SIM",SUM(L35,Q35,V35,AA35,AF35,AK35,AP35,AU35)+AX35/_xlfn.XLOOKUP(_xlfn.XLOOKUP($F35,Clientes!$B$4:$B$39,Clientes!$C$4:$C$39),Cadastros!$L$6:$L$12,Cadastros!$M$6:$M$12)+IF($F35="Bernardino Furlan",AY35/2751.92,IF($F35="Mauro José Salanti",AY35/2751.92,AY35/3356)),F35&lt;&gt;0,SUM(L35,Q35,V35,AA35,AF35,AK35,AP35,AU35))))</f>
        <v xml:space="preserve"> </v>
      </c>
      <c r="BE35" s="120"/>
      <c r="BF35" s="120"/>
      <c r="BG35" s="120"/>
      <c r="BH35" s="231" t="str">
        <f>IF(Clientes!B31="","",Clientes!B31)</f>
        <v/>
      </c>
      <c r="BL35" s="235" t="str">
        <f>IF(Cadastros!D32="","",Cadastros!D32)</f>
        <v>10116 - Colchonete Plenosono 138 X 188 X 009 cm MVQ</v>
      </c>
      <c r="BM35" s="234"/>
      <c r="BN35" s="235" t="str">
        <f>IF(Cadastros!G32="","",Cadastros!G32)</f>
        <v>249 - Pulseira Bioquântica Mhr</v>
      </c>
    </row>
    <row r="36" spans="1:66" s="3" customFormat="1" x14ac:dyDescent="0.3">
      <c r="A36" s="15" t="str">
        <f t="shared" si="0"/>
        <v/>
      </c>
      <c r="B36" s="25"/>
      <c r="C36" s="26"/>
      <c r="D36" s="279"/>
      <c r="E36" s="27"/>
      <c r="F36" s="28"/>
      <c r="G36" s="27"/>
      <c r="H36" s="28"/>
      <c r="I36" s="28"/>
      <c r="J36" s="255" t="str">
        <f>IF(H36="","",(_xlfn.XLOOKUP(H36,Cadastros!$D$6:$D$90,Cadastros!$E$6:$E$90))*(1-_xlfn.XLOOKUP(_xlfn.XLOOKUP($F36,Clientes!$B$4:$B$39,Clientes!$C$4:$C$39),Cadastros!$L$6:$L$12,Cadastros!$N$6:$N$12)))</f>
        <v/>
      </c>
      <c r="K36" s="168" t="str">
        <f t="shared" si="1"/>
        <v/>
      </c>
      <c r="L36" s="168" t="str">
        <f>IFERROR(K36/_xlfn.XLOOKUP(_xlfn.XLOOKUP($F36,Clientes!$B$4:$B$39,Clientes!$C$4:$C$39),Cadastros!$L$6:$L$12,Cadastros!$M$6:$M$12)," ")</f>
        <v xml:space="preserve"> </v>
      </c>
      <c r="M36" s="28"/>
      <c r="N36" s="28"/>
      <c r="O36" s="255" t="str">
        <f>IF(M36="","",(_xlfn.XLOOKUP(M36,Cadastros!$D$6:$D$90,Cadastros!$E$6:$E$90))*(1-_xlfn.XLOOKUP(_xlfn.XLOOKUP($F36,Clientes!$B$4:$B$39,Clientes!$C$4:$C$39),Cadastros!$L$6:$L$12,Cadastros!$N$6:$N$12)))</f>
        <v/>
      </c>
      <c r="P36" s="168" t="str">
        <f t="shared" si="2"/>
        <v/>
      </c>
      <c r="Q36" s="168" t="str">
        <f>IFERROR(P36/_xlfn.XLOOKUP(_xlfn.XLOOKUP($F36,Clientes!$B$4:$B$39,Clientes!$C$4:$C$39),Cadastros!$L$6:$L$12,Cadastros!$M$6:$M$12)," ")</f>
        <v xml:space="preserve"> </v>
      </c>
      <c r="R36" s="28"/>
      <c r="S36" s="28"/>
      <c r="T36" s="255" t="str">
        <f>IF(R36="","",(_xlfn.XLOOKUP(R36,Cadastros!$D$6:$D$90,Cadastros!$E$6:$E$90))*(1-_xlfn.XLOOKUP(_xlfn.XLOOKUP($F36,Clientes!$B$4:$B$39,Clientes!$C$4:$C$39),Cadastros!$L$6:$L$12,Cadastros!$N$6:$N$12)))</f>
        <v/>
      </c>
      <c r="U36" s="168" t="str">
        <f t="shared" si="3"/>
        <v/>
      </c>
      <c r="V36" s="168" t="str">
        <f>IFERROR(U36/_xlfn.XLOOKUP(_xlfn.XLOOKUP($F36,Clientes!$B$4:$B$39,Clientes!$C$4:$C$39),Cadastros!$L$6:$L$12,Cadastros!$M$6:$M$12)," ")</f>
        <v xml:space="preserve"> </v>
      </c>
      <c r="W36" s="28"/>
      <c r="X36" s="28"/>
      <c r="Y36" s="255" t="str">
        <f>IF(W36="","",(_xlfn.XLOOKUP(W36,Cadastros!$D$6:$D$90,Cadastros!$E$6:$E$90))*(1-_xlfn.XLOOKUP(_xlfn.XLOOKUP($F36,Clientes!$B$4:$B$39,Clientes!$C$4:$C$39),Cadastros!$L$6:$L$12,Cadastros!$N$6:$N$12)))</f>
        <v/>
      </c>
      <c r="Z36" s="168" t="str">
        <f t="shared" si="4"/>
        <v/>
      </c>
      <c r="AA36" s="168" t="str">
        <f>IFERROR(Z36/_xlfn.XLOOKUP(_xlfn.XLOOKUP($F36,Clientes!$B$4:$B$39,Clientes!$C$4:$C$39),Cadastros!$L$6:$L$12,Cadastros!$M$6:$M$12)," ")</f>
        <v xml:space="preserve"> </v>
      </c>
      <c r="AB36" s="28"/>
      <c r="AC36" s="28"/>
      <c r="AD36" s="20" t="str">
        <f>IF(AB36="","",IF($F36="Bernardino Furlan",_xlfn.XLOOKUP(AB36,Cadastros!$G$6:$G$90,Cadastros!$H$6:$H$90)*(1-0.18),IF($F36="Mauro José Salanti",_xlfn.XLOOKUP(AB36,Cadastros!$G$6:$G$90,Cadastros!$H$6:$H$90)*(1-0.18),_xlfn.XLOOKUP(AB36,Cadastros!$G$6:$G$90,Cadastros!$H$6:$H$90))))</f>
        <v/>
      </c>
      <c r="AE36" s="168" t="str">
        <f t="shared" si="5"/>
        <v/>
      </c>
      <c r="AF36" s="168" t="str">
        <f t="shared" si="6"/>
        <v/>
      </c>
      <c r="AG36" s="28"/>
      <c r="AH36" s="28"/>
      <c r="AI36" s="20" t="str">
        <f>IF(AG36="","",IF($F36="Bernardino Furlan",_xlfn.XLOOKUP(AG36,Cadastros!$G$6:$G$90,Cadastros!$H$6:$H$90)*(1-0.18),IF($F36="Mauro José Salanti",_xlfn.XLOOKUP(AG36,Cadastros!$G$6:$G$90,Cadastros!$H$6:$H$90)*(1-0.18),_xlfn.XLOOKUP(AG36,Cadastros!$G$6:$G$90,Cadastros!$H$6:$H$90))))</f>
        <v/>
      </c>
      <c r="AJ36" s="168" t="str">
        <f t="shared" si="7"/>
        <v/>
      </c>
      <c r="AK36" s="168" t="str">
        <f t="shared" si="8"/>
        <v/>
      </c>
      <c r="AL36" s="28"/>
      <c r="AM36" s="28"/>
      <c r="AN36" s="20" t="str">
        <f>IF(AL36="","",IF($F36="Bernardino Furlan",_xlfn.XLOOKUP(AL36,Cadastros!$G$6:$G$90,Cadastros!$H$6:$H$90)*(1-0.18),IF($F36="Mauro José Salanti",_xlfn.XLOOKUP(AL36,Cadastros!$G$6:$G$90,Cadastros!$H$6:$H$90)*(1-0.18),_xlfn.XLOOKUP(AL36,Cadastros!$G$6:$G$90,Cadastros!$H$6:$H$90))))</f>
        <v/>
      </c>
      <c r="AO36" s="168" t="str">
        <f t="shared" si="9"/>
        <v/>
      </c>
      <c r="AP36" s="168" t="str">
        <f t="shared" si="10"/>
        <v/>
      </c>
      <c r="AQ36" s="28"/>
      <c r="AR36" s="28"/>
      <c r="AS36" s="20" t="str">
        <f>IF(AQ36="","",IF($F36="Bernardino Furlan",_xlfn.XLOOKUP(AQ36,Cadastros!$G$6:$G$90,Cadastros!$H$6:$H$90)*(1-0.18),IF($F36="Mauro José Salanti",_xlfn.XLOOKUP(AQ36,Cadastros!$G$6:$G$90,Cadastros!$H$6:$H$90)*(1-0.18),_xlfn.XLOOKUP(AQ36,Cadastros!$G$6:$G$90,Cadastros!$H$6:$H$90))))</f>
        <v/>
      </c>
      <c r="AT36" s="168" t="str">
        <f t="shared" si="11"/>
        <v/>
      </c>
      <c r="AU36" s="168" t="str">
        <f t="shared" si="12"/>
        <v/>
      </c>
      <c r="AV36" s="227"/>
      <c r="AW36" s="30"/>
      <c r="AX36" s="267"/>
      <c r="AY36" s="267"/>
      <c r="AZ36" s="29"/>
      <c r="BA36" s="30"/>
      <c r="BB36" s="23" t="str" cm="1">
        <f t="array" ref="BB36">_xlfn.IFS(AW36="SIM",SUM(K36,P36,U36,Z36,AE36,AJ36,AO36,AT36,AX36,AY36),F36&lt;&gt;"",SUM(K36,P36,U36,Z36,AE36,AJ36,,AO36,AT36),F36="","")</f>
        <v/>
      </c>
      <c r="BC36" s="211" t="str" cm="1">
        <f t="array" ref="BC36">_xlfn.IFS(E36="","",G36&lt;=E36,BB36*(1-0.03),G36&lt;(E36+8),BB36,AZ36="Boleto",BB36*(1+0.001)^DATEDIF(E36,G36,"D"),AZ36="Cheque",BB36,AZ36="Dinheiro","Alterar forma pgto")</f>
        <v/>
      </c>
      <c r="BD36" s="276" t="str" cm="1">
        <f t="array" ref="BD36">IF(F36=0," ",IF(BC36&lt;BB36,(_xlfn.IFS(AW36="SIM",SUM(L36,Q36,V36,AA36,AF36,AK36,AP36,AU36)+AX36/_xlfn.XLOOKUP(_xlfn.XLOOKUP($F36,Clientes!$B$4:$B$39,Clientes!$C$4:$C$39),Cadastros!$L$6:$L$12,Cadastros!$M$6:$M$12)+IF($F36="Bernardino Furlan",AY36/2751.92,IF($F36="Mauro José Salanti",AY36/2751.92,AY36/3356)),F36&lt;&gt;0,SUM(L36,Q36,V36,AA36,AF36,AK36,AP36,AU36)))*(1-0.03),_xlfn.IFS(AW36="SIM",SUM(L36,Q36,V36,AA36,AF36,AK36,AP36,AU36)+AX36/_xlfn.XLOOKUP(_xlfn.XLOOKUP($F36,Clientes!$B$4:$B$39,Clientes!$C$4:$C$39),Cadastros!$L$6:$L$12,Cadastros!$M$6:$M$12)+IF($F36="Bernardino Furlan",AY36/2751.92,IF($F36="Mauro José Salanti",AY36/2751.92,AY36/3356)),F36&lt;&gt;0,SUM(L36,Q36,V36,AA36,AF36,AK36,AP36,AU36))))</f>
        <v xml:space="preserve"> </v>
      </c>
      <c r="BE36" s="120"/>
      <c r="BF36" s="120"/>
      <c r="BG36" s="120"/>
      <c r="BH36" s="231" t="str">
        <f>IF(Clientes!B32="","",Clientes!B32)</f>
        <v/>
      </c>
      <c r="BL36" s="235" t="str">
        <f>IF(Cadastros!D33="","",Cadastros!D33)</f>
        <v>10117 - Colchonete Plenosono 158 X 198 X 09 cm MVQ</v>
      </c>
      <c r="BM36" s="234"/>
      <c r="BN36" s="235" t="str">
        <f>IF(Cadastros!G33="","",Cadastros!G33)</f>
        <v>174 - Cobre-Leito Queem</v>
      </c>
    </row>
    <row r="37" spans="1:66" s="3" customFormat="1" x14ac:dyDescent="0.3">
      <c r="A37" s="15" t="str">
        <f t="shared" si="0"/>
        <v/>
      </c>
      <c r="B37" s="25"/>
      <c r="C37" s="26"/>
      <c r="D37" s="279"/>
      <c r="E37" s="27"/>
      <c r="F37" s="28"/>
      <c r="G37" s="27"/>
      <c r="H37" s="28"/>
      <c r="I37" s="28"/>
      <c r="J37" s="255" t="str">
        <f>IF(H37="","",(_xlfn.XLOOKUP(H37,Cadastros!$D$6:$D$90,Cadastros!$E$6:$E$90))*(1-_xlfn.XLOOKUP(_xlfn.XLOOKUP($F37,Clientes!$B$4:$B$39,Clientes!$C$4:$C$39),Cadastros!$L$6:$L$12,Cadastros!$N$6:$N$12)))</f>
        <v/>
      </c>
      <c r="K37" s="168" t="str">
        <f t="shared" si="1"/>
        <v/>
      </c>
      <c r="L37" s="168" t="str">
        <f>IFERROR(K37/_xlfn.XLOOKUP(_xlfn.XLOOKUP($F37,Clientes!$B$4:$B$39,Clientes!$C$4:$C$39),Cadastros!$L$6:$L$12,Cadastros!$M$6:$M$12)," ")</f>
        <v xml:space="preserve"> </v>
      </c>
      <c r="M37" s="28"/>
      <c r="N37" s="28"/>
      <c r="O37" s="255" t="str">
        <f>IF(M37="","",(_xlfn.XLOOKUP(M37,Cadastros!$D$6:$D$90,Cadastros!$E$6:$E$90))*(1-_xlfn.XLOOKUP(_xlfn.XLOOKUP($F37,Clientes!$B$4:$B$39,Clientes!$C$4:$C$39),Cadastros!$L$6:$L$12,Cadastros!$N$6:$N$12)))</f>
        <v/>
      </c>
      <c r="P37" s="168" t="str">
        <f t="shared" si="2"/>
        <v/>
      </c>
      <c r="Q37" s="168" t="str">
        <f>IFERROR(P37/_xlfn.XLOOKUP(_xlfn.XLOOKUP($F37,Clientes!$B$4:$B$39,Clientes!$C$4:$C$39),Cadastros!$L$6:$L$12,Cadastros!$M$6:$M$12)," ")</f>
        <v xml:space="preserve"> </v>
      </c>
      <c r="R37" s="28"/>
      <c r="S37" s="28"/>
      <c r="T37" s="255" t="str">
        <f>IF(R37="","",(_xlfn.XLOOKUP(R37,Cadastros!$D$6:$D$90,Cadastros!$E$6:$E$90))*(1-_xlfn.XLOOKUP(_xlfn.XLOOKUP($F37,Clientes!$B$4:$B$39,Clientes!$C$4:$C$39),Cadastros!$L$6:$L$12,Cadastros!$N$6:$N$12)))</f>
        <v/>
      </c>
      <c r="U37" s="168" t="str">
        <f t="shared" si="3"/>
        <v/>
      </c>
      <c r="V37" s="168" t="str">
        <f>IFERROR(U37/_xlfn.XLOOKUP(_xlfn.XLOOKUP($F37,Clientes!$B$4:$B$39,Clientes!$C$4:$C$39),Cadastros!$L$6:$L$12,Cadastros!$M$6:$M$12)," ")</f>
        <v xml:space="preserve"> </v>
      </c>
      <c r="W37" s="28"/>
      <c r="X37" s="28"/>
      <c r="Y37" s="255" t="str">
        <f>IF(W37="","",(_xlfn.XLOOKUP(W37,Cadastros!$D$6:$D$90,Cadastros!$E$6:$E$90))*(1-_xlfn.XLOOKUP(_xlfn.XLOOKUP($F37,Clientes!$B$4:$B$39,Clientes!$C$4:$C$39),Cadastros!$L$6:$L$12,Cadastros!$N$6:$N$12)))</f>
        <v/>
      </c>
      <c r="Z37" s="168" t="str">
        <f t="shared" si="4"/>
        <v/>
      </c>
      <c r="AA37" s="168" t="str">
        <f>IFERROR(Z37/_xlfn.XLOOKUP(_xlfn.XLOOKUP($F37,Clientes!$B$4:$B$39,Clientes!$C$4:$C$39),Cadastros!$L$6:$L$12,Cadastros!$M$6:$M$12)," ")</f>
        <v xml:space="preserve"> </v>
      </c>
      <c r="AB37" s="28"/>
      <c r="AC37" s="28"/>
      <c r="AD37" s="20" t="str">
        <f>IF(AB37="","",IF($F37="Bernardino Furlan",_xlfn.XLOOKUP(AB37,Cadastros!$G$6:$G$90,Cadastros!$H$6:$H$90)*(1-0.18),IF($F37="Mauro José Salanti",_xlfn.XLOOKUP(AB37,Cadastros!$G$6:$G$90,Cadastros!$H$6:$H$90)*(1-0.18),_xlfn.XLOOKUP(AB37,Cadastros!$G$6:$G$90,Cadastros!$H$6:$H$90))))</f>
        <v/>
      </c>
      <c r="AE37" s="168" t="str">
        <f t="shared" si="5"/>
        <v/>
      </c>
      <c r="AF37" s="168" t="str">
        <f t="shared" si="6"/>
        <v/>
      </c>
      <c r="AG37" s="28"/>
      <c r="AH37" s="28"/>
      <c r="AI37" s="20" t="str">
        <f>IF(AG37="","",IF($F37="Bernardino Furlan",_xlfn.XLOOKUP(AG37,Cadastros!$G$6:$G$90,Cadastros!$H$6:$H$90)*(1-0.18),IF($F37="Mauro José Salanti",_xlfn.XLOOKUP(AG37,Cadastros!$G$6:$G$90,Cadastros!$H$6:$H$90)*(1-0.18),_xlfn.XLOOKUP(AG37,Cadastros!$G$6:$G$90,Cadastros!$H$6:$H$90))))</f>
        <v/>
      </c>
      <c r="AJ37" s="168" t="str">
        <f t="shared" si="7"/>
        <v/>
      </c>
      <c r="AK37" s="168" t="str">
        <f t="shared" si="8"/>
        <v/>
      </c>
      <c r="AL37" s="28"/>
      <c r="AM37" s="28"/>
      <c r="AN37" s="20" t="str">
        <f>IF(AL37="","",IF($F37="Bernardino Furlan",_xlfn.XLOOKUP(AL37,Cadastros!$G$6:$G$90,Cadastros!$H$6:$H$90)*(1-0.18),IF($F37="Mauro José Salanti",_xlfn.XLOOKUP(AL37,Cadastros!$G$6:$G$90,Cadastros!$H$6:$H$90)*(1-0.18),_xlfn.XLOOKUP(AL37,Cadastros!$G$6:$G$90,Cadastros!$H$6:$H$90))))</f>
        <v/>
      </c>
      <c r="AO37" s="168" t="str">
        <f t="shared" si="9"/>
        <v/>
      </c>
      <c r="AP37" s="168" t="str">
        <f t="shared" si="10"/>
        <v/>
      </c>
      <c r="AQ37" s="28"/>
      <c r="AR37" s="28"/>
      <c r="AS37" s="20" t="str">
        <f>IF(AQ37="","",IF($F37="Bernardino Furlan",_xlfn.XLOOKUP(AQ37,Cadastros!$G$6:$G$90,Cadastros!$H$6:$H$90)*(1-0.18),IF($F37="Mauro José Salanti",_xlfn.XLOOKUP(AQ37,Cadastros!$G$6:$G$90,Cadastros!$H$6:$H$90)*(1-0.18),_xlfn.XLOOKUP(AQ37,Cadastros!$G$6:$G$90,Cadastros!$H$6:$H$90))))</f>
        <v/>
      </c>
      <c r="AT37" s="168" t="str">
        <f t="shared" si="11"/>
        <v/>
      </c>
      <c r="AU37" s="168" t="str">
        <f t="shared" si="12"/>
        <v/>
      </c>
      <c r="AV37" s="227"/>
      <c r="AW37" s="30"/>
      <c r="AX37" s="267"/>
      <c r="AY37" s="267"/>
      <c r="AZ37" s="29"/>
      <c r="BA37" s="30"/>
      <c r="BB37" s="23" t="str" cm="1">
        <f t="array" ref="BB37">_xlfn.IFS(AW37="SIM",SUM(K37,P37,U37,Z37,AE37,AJ37,AO37,AT37,AX37,AY37),F37&lt;&gt;"",SUM(K37,P37,U37,Z37,AE37,AJ37,,AO37,AT37),F37="","")</f>
        <v/>
      </c>
      <c r="BC37" s="211" t="str" cm="1">
        <f t="array" ref="BC37">_xlfn.IFS(E37="","",G37&lt;=E37,BB37*(1-0.03),G37&lt;(E37+8),BB37,AZ37="Boleto",BB37*(1+0.001)^DATEDIF(E37,G37,"D"),AZ37="Cheque",BB37,AZ37="Dinheiro","Alterar forma pgto")</f>
        <v/>
      </c>
      <c r="BD37" s="276" t="str" cm="1">
        <f t="array" ref="BD37">IF(F37=0," ",IF(BC37&lt;BB37,(_xlfn.IFS(AW37="SIM",SUM(L37,Q37,V37,AA37,AF37,AK37,AP37,AU37)+AX37/_xlfn.XLOOKUP(_xlfn.XLOOKUP($F37,Clientes!$B$4:$B$39,Clientes!$C$4:$C$39),Cadastros!$L$6:$L$12,Cadastros!$M$6:$M$12)+IF($F37="Bernardino Furlan",AY37/2751.92,IF($F37="Mauro José Salanti",AY37/2751.92,AY37/3356)),F37&lt;&gt;0,SUM(L37,Q37,V37,AA37,AF37,AK37,AP37,AU37)))*(1-0.03),_xlfn.IFS(AW37="SIM",SUM(L37,Q37,V37,AA37,AF37,AK37,AP37,AU37)+AX37/_xlfn.XLOOKUP(_xlfn.XLOOKUP($F37,Clientes!$B$4:$B$39,Clientes!$C$4:$C$39),Cadastros!$L$6:$L$12,Cadastros!$M$6:$M$12)+IF($F37="Bernardino Furlan",AY37/2751.92,IF($F37="Mauro José Salanti",AY37/2751.92,AY37/3356)),F37&lt;&gt;0,SUM(L37,Q37,V37,AA37,AF37,AK37,AP37,AU37))))</f>
        <v xml:space="preserve"> </v>
      </c>
      <c r="BE37" s="120"/>
      <c r="BF37" s="120"/>
      <c r="BG37" s="120"/>
      <c r="BH37" s="231" t="str">
        <f>IF(Clientes!B33="","",Clientes!B33)</f>
        <v/>
      </c>
      <c r="BL37" s="235" t="str">
        <f>IF(Cadastros!D34="","",Cadastros!D34)</f>
        <v>10118 - Colchonete Plenosono 193 X 203 X 09 cm MVQ</v>
      </c>
      <c r="BM37" s="234"/>
      <c r="BN37" s="235" t="str">
        <f>IF(Cadastros!G34="","",Cadastros!G34)</f>
        <v>176 - Cobre-Leito Casal</v>
      </c>
    </row>
    <row r="38" spans="1:66" s="3" customFormat="1" x14ac:dyDescent="0.3">
      <c r="A38" s="15" t="str">
        <f t="shared" si="0"/>
        <v/>
      </c>
      <c r="B38" s="25"/>
      <c r="C38" s="26"/>
      <c r="D38" s="279"/>
      <c r="E38" s="27"/>
      <c r="F38" s="28"/>
      <c r="G38" s="27"/>
      <c r="H38" s="28"/>
      <c r="I38" s="28"/>
      <c r="J38" s="255" t="str">
        <f>IF(H38="","",(_xlfn.XLOOKUP(H38,Cadastros!$D$6:$D$90,Cadastros!$E$6:$E$90))*(1-_xlfn.XLOOKUP(_xlfn.XLOOKUP($F38,Clientes!$B$4:$B$39,Clientes!$C$4:$C$39),Cadastros!$L$6:$L$12,Cadastros!$N$6:$N$12)))</f>
        <v/>
      </c>
      <c r="K38" s="168" t="str">
        <f t="shared" si="1"/>
        <v/>
      </c>
      <c r="L38" s="168" t="str">
        <f>IFERROR(K38/_xlfn.XLOOKUP(_xlfn.XLOOKUP($F38,Clientes!$B$4:$B$39,Clientes!$C$4:$C$39),Cadastros!$L$6:$L$12,Cadastros!$M$6:$M$12)," ")</f>
        <v xml:space="preserve"> </v>
      </c>
      <c r="M38" s="28"/>
      <c r="N38" s="28"/>
      <c r="O38" s="255" t="str">
        <f>IF(M38="","",(_xlfn.XLOOKUP(M38,Cadastros!$D$6:$D$90,Cadastros!$E$6:$E$90))*(1-_xlfn.XLOOKUP(_xlfn.XLOOKUP($F38,Clientes!$B$4:$B$39,Clientes!$C$4:$C$39),Cadastros!$L$6:$L$12,Cadastros!$N$6:$N$12)))</f>
        <v/>
      </c>
      <c r="P38" s="168" t="str">
        <f t="shared" si="2"/>
        <v/>
      </c>
      <c r="Q38" s="168" t="str">
        <f>IFERROR(P38/_xlfn.XLOOKUP(_xlfn.XLOOKUP($F38,Clientes!$B$4:$B$39,Clientes!$C$4:$C$39),Cadastros!$L$6:$L$12,Cadastros!$M$6:$M$12)," ")</f>
        <v xml:space="preserve"> </v>
      </c>
      <c r="R38" s="28"/>
      <c r="S38" s="28"/>
      <c r="T38" s="255" t="str">
        <f>IF(R38="","",(_xlfn.XLOOKUP(R38,Cadastros!$D$6:$D$90,Cadastros!$E$6:$E$90))*(1-_xlfn.XLOOKUP(_xlfn.XLOOKUP($F38,Clientes!$B$4:$B$39,Clientes!$C$4:$C$39),Cadastros!$L$6:$L$12,Cadastros!$N$6:$N$12)))</f>
        <v/>
      </c>
      <c r="U38" s="168" t="str">
        <f t="shared" si="3"/>
        <v/>
      </c>
      <c r="V38" s="168" t="str">
        <f>IFERROR(U38/_xlfn.XLOOKUP(_xlfn.XLOOKUP($F38,Clientes!$B$4:$B$39,Clientes!$C$4:$C$39),Cadastros!$L$6:$L$12,Cadastros!$M$6:$M$12)," ")</f>
        <v xml:space="preserve"> </v>
      </c>
      <c r="W38" s="28"/>
      <c r="X38" s="28"/>
      <c r="Y38" s="255" t="str">
        <f>IF(W38="","",(_xlfn.XLOOKUP(W38,Cadastros!$D$6:$D$90,Cadastros!$E$6:$E$90))*(1-_xlfn.XLOOKUP(_xlfn.XLOOKUP($F38,Clientes!$B$4:$B$39,Clientes!$C$4:$C$39),Cadastros!$L$6:$L$12,Cadastros!$N$6:$N$12)))</f>
        <v/>
      </c>
      <c r="Z38" s="168" t="str">
        <f t="shared" si="4"/>
        <v/>
      </c>
      <c r="AA38" s="168" t="str">
        <f>IFERROR(Z38/_xlfn.XLOOKUP(_xlfn.XLOOKUP($F38,Clientes!$B$4:$B$39,Clientes!$C$4:$C$39),Cadastros!$L$6:$L$12,Cadastros!$M$6:$M$12)," ")</f>
        <v xml:space="preserve"> </v>
      </c>
      <c r="AB38" s="28"/>
      <c r="AC38" s="28"/>
      <c r="AD38" s="20" t="str">
        <f>IF(AB38="","",IF($F38="Bernardino Furlan",_xlfn.XLOOKUP(AB38,Cadastros!$G$6:$G$90,Cadastros!$H$6:$H$90)*(1-0.18),IF($F38="Mauro José Salanti",_xlfn.XLOOKUP(AB38,Cadastros!$G$6:$G$90,Cadastros!$H$6:$H$90)*(1-0.18),_xlfn.XLOOKUP(AB38,Cadastros!$G$6:$G$90,Cadastros!$H$6:$H$90))))</f>
        <v/>
      </c>
      <c r="AE38" s="168" t="str">
        <f t="shared" si="5"/>
        <v/>
      </c>
      <c r="AF38" s="168" t="str">
        <f t="shared" si="6"/>
        <v/>
      </c>
      <c r="AG38" s="28"/>
      <c r="AH38" s="28"/>
      <c r="AI38" s="20" t="str">
        <f>IF(AG38="","",IF($F38="Bernardino Furlan",_xlfn.XLOOKUP(AG38,Cadastros!$G$6:$G$90,Cadastros!$H$6:$H$90)*(1-0.18),IF($F38="Mauro José Salanti",_xlfn.XLOOKUP(AG38,Cadastros!$G$6:$G$90,Cadastros!$H$6:$H$90)*(1-0.18),_xlfn.XLOOKUP(AG38,Cadastros!$G$6:$G$90,Cadastros!$H$6:$H$90))))</f>
        <v/>
      </c>
      <c r="AJ38" s="168" t="str">
        <f t="shared" si="7"/>
        <v/>
      </c>
      <c r="AK38" s="168" t="str">
        <f t="shared" si="8"/>
        <v/>
      </c>
      <c r="AL38" s="28"/>
      <c r="AM38" s="28"/>
      <c r="AN38" s="20" t="str">
        <f>IF(AL38="","",IF($F38="Bernardino Furlan",_xlfn.XLOOKUP(AL38,Cadastros!$G$6:$G$90,Cadastros!$H$6:$H$90)*(1-0.18),IF($F38="Mauro José Salanti",_xlfn.XLOOKUP(AL38,Cadastros!$G$6:$G$90,Cadastros!$H$6:$H$90)*(1-0.18),_xlfn.XLOOKUP(AL38,Cadastros!$G$6:$G$90,Cadastros!$H$6:$H$90))))</f>
        <v/>
      </c>
      <c r="AO38" s="168" t="str">
        <f t="shared" si="9"/>
        <v/>
      </c>
      <c r="AP38" s="168" t="str">
        <f t="shared" si="10"/>
        <v/>
      </c>
      <c r="AQ38" s="28"/>
      <c r="AR38" s="28"/>
      <c r="AS38" s="20" t="str">
        <f>IF(AQ38="","",IF($F38="Bernardino Furlan",_xlfn.XLOOKUP(AQ38,Cadastros!$G$6:$G$90,Cadastros!$H$6:$H$90)*(1-0.18),IF($F38="Mauro José Salanti",_xlfn.XLOOKUP(AQ38,Cadastros!$G$6:$G$90,Cadastros!$H$6:$H$90)*(1-0.18),_xlfn.XLOOKUP(AQ38,Cadastros!$G$6:$G$90,Cadastros!$H$6:$H$90))))</f>
        <v/>
      </c>
      <c r="AT38" s="168" t="str">
        <f t="shared" si="11"/>
        <v/>
      </c>
      <c r="AU38" s="168" t="str">
        <f t="shared" si="12"/>
        <v/>
      </c>
      <c r="AV38" s="227"/>
      <c r="AW38" s="30"/>
      <c r="AX38" s="267"/>
      <c r="AY38" s="267"/>
      <c r="AZ38" s="29"/>
      <c r="BA38" s="30"/>
      <c r="BB38" s="23" t="str" cm="1">
        <f t="array" ref="BB38">_xlfn.IFS(AW38="SIM",SUM(K38,P38,U38,Z38,AE38,AJ38,AO38,AT38,AX38,AY38),F38&lt;&gt;"",SUM(K38,P38,U38,Z38,AE38,AJ38,,AO38,AT38),F38="","")</f>
        <v/>
      </c>
      <c r="BC38" s="211" t="str" cm="1">
        <f t="array" ref="BC38">_xlfn.IFS(E38="","",G38&lt;=E38,BB38*(1-0.03),G38&lt;(E38+8),BB38,AZ38="Boleto",BB38*(1+0.001)^DATEDIF(E38,G38,"D"),AZ38="Cheque",BB38,AZ38="Dinheiro","Alterar forma pgto")</f>
        <v/>
      </c>
      <c r="BD38" s="276" t="str" cm="1">
        <f t="array" ref="BD38">IF(F38=0," ",IF(BC38&lt;BB38,(_xlfn.IFS(AW38="SIM",SUM(L38,Q38,V38,AA38,AF38,AK38,AP38,AU38)+AX38/_xlfn.XLOOKUP(_xlfn.XLOOKUP($F38,Clientes!$B$4:$B$39,Clientes!$C$4:$C$39),Cadastros!$L$6:$L$12,Cadastros!$M$6:$M$12)+IF($F38="Bernardino Furlan",AY38/2751.92,IF($F38="Mauro José Salanti",AY38/2751.92,AY38/3356)),F38&lt;&gt;0,SUM(L38,Q38,V38,AA38,AF38,AK38,AP38,AU38)))*(1-0.03),_xlfn.IFS(AW38="SIM",SUM(L38,Q38,V38,AA38,AF38,AK38,AP38,AU38)+AX38/_xlfn.XLOOKUP(_xlfn.XLOOKUP($F38,Clientes!$B$4:$B$39,Clientes!$C$4:$C$39),Cadastros!$L$6:$L$12,Cadastros!$M$6:$M$12)+IF($F38="Bernardino Furlan",AY38/2751.92,IF($F38="Mauro José Salanti",AY38/2751.92,AY38/3356)),F38&lt;&gt;0,SUM(L38,Q38,V38,AA38,AF38,AK38,AP38,AU38))))</f>
        <v xml:space="preserve"> </v>
      </c>
      <c r="BE38" s="120"/>
      <c r="BF38" s="120"/>
      <c r="BG38" s="120"/>
      <c r="BH38" s="231" t="str">
        <f>IF(Clientes!B34="","",Clientes!B34)</f>
        <v/>
      </c>
      <c r="BL38" s="235" t="str">
        <f>IF(Cadastros!D35="","",Cadastros!D35)</f>
        <v/>
      </c>
      <c r="BM38" s="234"/>
      <c r="BN38" s="235" t="str">
        <f>IF(Cadastros!G35="","",Cadastros!G35)</f>
        <v>175 - Cobre Leito Solteiro</v>
      </c>
    </row>
    <row r="39" spans="1:66" s="3" customFormat="1" x14ac:dyDescent="0.3">
      <c r="A39" s="15" t="str">
        <f t="shared" si="0"/>
        <v/>
      </c>
      <c r="B39" s="25"/>
      <c r="C39" s="26"/>
      <c r="D39" s="279"/>
      <c r="E39" s="27"/>
      <c r="F39" s="28"/>
      <c r="G39" s="27"/>
      <c r="H39" s="28"/>
      <c r="I39" s="28"/>
      <c r="J39" s="255" t="str">
        <f>IF(H39="","",(_xlfn.XLOOKUP(H39,Cadastros!$D$6:$D$90,Cadastros!$E$6:$E$90))*(1-_xlfn.XLOOKUP(_xlfn.XLOOKUP($F39,Clientes!$B$4:$B$39,Clientes!$C$4:$C$39),Cadastros!$L$6:$L$12,Cadastros!$N$6:$N$12)))</f>
        <v/>
      </c>
      <c r="K39" s="168" t="str">
        <f t="shared" si="1"/>
        <v/>
      </c>
      <c r="L39" s="168" t="str">
        <f>IFERROR(K39/_xlfn.XLOOKUP(_xlfn.XLOOKUP($F39,Clientes!$B$4:$B$39,Clientes!$C$4:$C$39),Cadastros!$L$6:$L$12,Cadastros!$M$6:$M$12)," ")</f>
        <v xml:space="preserve"> </v>
      </c>
      <c r="M39" s="28"/>
      <c r="N39" s="28"/>
      <c r="O39" s="255" t="str">
        <f>IF(M39="","",(_xlfn.XLOOKUP(M39,Cadastros!$D$6:$D$90,Cadastros!$E$6:$E$90))*(1-_xlfn.XLOOKUP(_xlfn.XLOOKUP($F39,Clientes!$B$4:$B$39,Clientes!$C$4:$C$39),Cadastros!$L$6:$L$12,Cadastros!$N$6:$N$12)))</f>
        <v/>
      </c>
      <c r="P39" s="168" t="str">
        <f t="shared" si="2"/>
        <v/>
      </c>
      <c r="Q39" s="168" t="str">
        <f>IFERROR(P39/_xlfn.XLOOKUP(_xlfn.XLOOKUP($F39,Clientes!$B$4:$B$39,Clientes!$C$4:$C$39),Cadastros!$L$6:$L$12,Cadastros!$M$6:$M$12)," ")</f>
        <v xml:space="preserve"> </v>
      </c>
      <c r="R39" s="28"/>
      <c r="S39" s="28"/>
      <c r="T39" s="255" t="str">
        <f>IF(R39="","",(_xlfn.XLOOKUP(R39,Cadastros!$D$6:$D$90,Cadastros!$E$6:$E$90))*(1-_xlfn.XLOOKUP(_xlfn.XLOOKUP($F39,Clientes!$B$4:$B$39,Clientes!$C$4:$C$39),Cadastros!$L$6:$L$12,Cadastros!$N$6:$N$12)))</f>
        <v/>
      </c>
      <c r="U39" s="168" t="str">
        <f t="shared" si="3"/>
        <v/>
      </c>
      <c r="V39" s="168" t="str">
        <f>IFERROR(U39/_xlfn.XLOOKUP(_xlfn.XLOOKUP($F39,Clientes!$B$4:$B$39,Clientes!$C$4:$C$39),Cadastros!$L$6:$L$12,Cadastros!$M$6:$M$12)," ")</f>
        <v xml:space="preserve"> </v>
      </c>
      <c r="W39" s="28"/>
      <c r="X39" s="28"/>
      <c r="Y39" s="255" t="str">
        <f>IF(W39="","",(_xlfn.XLOOKUP(W39,Cadastros!$D$6:$D$90,Cadastros!$E$6:$E$90))*(1-_xlfn.XLOOKUP(_xlfn.XLOOKUP($F39,Clientes!$B$4:$B$39,Clientes!$C$4:$C$39),Cadastros!$L$6:$L$12,Cadastros!$N$6:$N$12)))</f>
        <v/>
      </c>
      <c r="Z39" s="168" t="str">
        <f t="shared" si="4"/>
        <v/>
      </c>
      <c r="AA39" s="168" t="str">
        <f>IFERROR(Z39/_xlfn.XLOOKUP(_xlfn.XLOOKUP($F39,Clientes!$B$4:$B$39,Clientes!$C$4:$C$39),Cadastros!$L$6:$L$12,Cadastros!$M$6:$M$12)," ")</f>
        <v xml:space="preserve"> </v>
      </c>
      <c r="AB39" s="28"/>
      <c r="AC39" s="28"/>
      <c r="AD39" s="20" t="str">
        <f>IF(AB39="","",IF($F39="Bernardino Furlan",_xlfn.XLOOKUP(AB39,Cadastros!$G$6:$G$90,Cadastros!$H$6:$H$90)*(1-0.18),IF($F39="Mauro José Salanti",_xlfn.XLOOKUP(AB39,Cadastros!$G$6:$G$90,Cadastros!$H$6:$H$90)*(1-0.18),_xlfn.XLOOKUP(AB39,Cadastros!$G$6:$G$90,Cadastros!$H$6:$H$90))))</f>
        <v/>
      </c>
      <c r="AE39" s="168" t="str">
        <f t="shared" si="5"/>
        <v/>
      </c>
      <c r="AF39" s="168" t="str">
        <f t="shared" si="6"/>
        <v/>
      </c>
      <c r="AG39" s="28"/>
      <c r="AH39" s="28"/>
      <c r="AI39" s="20" t="str">
        <f>IF(AG39="","",IF($F39="Bernardino Furlan",_xlfn.XLOOKUP(AG39,Cadastros!$G$6:$G$90,Cadastros!$H$6:$H$90)*(1-0.18),IF($F39="Mauro José Salanti",_xlfn.XLOOKUP(AG39,Cadastros!$G$6:$G$90,Cadastros!$H$6:$H$90)*(1-0.18),_xlfn.XLOOKUP(AG39,Cadastros!$G$6:$G$90,Cadastros!$H$6:$H$90))))</f>
        <v/>
      </c>
      <c r="AJ39" s="168" t="str">
        <f t="shared" si="7"/>
        <v/>
      </c>
      <c r="AK39" s="168" t="str">
        <f t="shared" si="8"/>
        <v/>
      </c>
      <c r="AL39" s="28"/>
      <c r="AM39" s="28"/>
      <c r="AN39" s="20" t="str">
        <f>IF(AL39="","",IF($F39="Bernardino Furlan",_xlfn.XLOOKUP(AL39,Cadastros!$G$6:$G$90,Cadastros!$H$6:$H$90)*(1-0.18),IF($F39="Mauro José Salanti",_xlfn.XLOOKUP(AL39,Cadastros!$G$6:$G$90,Cadastros!$H$6:$H$90)*(1-0.18),_xlfn.XLOOKUP(AL39,Cadastros!$G$6:$G$90,Cadastros!$H$6:$H$90))))</f>
        <v/>
      </c>
      <c r="AO39" s="168" t="str">
        <f t="shared" si="9"/>
        <v/>
      </c>
      <c r="AP39" s="168" t="str">
        <f t="shared" si="10"/>
        <v/>
      </c>
      <c r="AQ39" s="28"/>
      <c r="AR39" s="28"/>
      <c r="AS39" s="20" t="str">
        <f>IF(AQ39="","",IF($F39="Bernardino Furlan",_xlfn.XLOOKUP(AQ39,Cadastros!$G$6:$G$90,Cadastros!$H$6:$H$90)*(1-0.18),IF($F39="Mauro José Salanti",_xlfn.XLOOKUP(AQ39,Cadastros!$G$6:$G$90,Cadastros!$H$6:$H$90)*(1-0.18),_xlfn.XLOOKUP(AQ39,Cadastros!$G$6:$G$90,Cadastros!$H$6:$H$90))))</f>
        <v/>
      </c>
      <c r="AT39" s="168" t="str">
        <f t="shared" si="11"/>
        <v/>
      </c>
      <c r="AU39" s="168" t="str">
        <f t="shared" si="12"/>
        <v/>
      </c>
      <c r="AV39" s="227"/>
      <c r="AW39" s="30"/>
      <c r="AX39" s="267"/>
      <c r="AY39" s="267"/>
      <c r="AZ39" s="29"/>
      <c r="BA39" s="30"/>
      <c r="BB39" s="23" t="str" cm="1">
        <f t="array" ref="BB39">_xlfn.IFS(AW39="SIM",SUM(K39,P39,U39,Z39,AE39,AJ39,AO39,AT39,AX39,AY39),F39&lt;&gt;"",SUM(K39,P39,U39,Z39,AE39,AJ39,,AO39,AT39),F39="","")</f>
        <v/>
      </c>
      <c r="BC39" s="211" t="str" cm="1">
        <f t="array" ref="BC39">_xlfn.IFS(E39="","",G39&lt;=E39,BB39*(1-0.03),G39&lt;(E39+8),BB39,AZ39="Boleto",BB39*(1+0.001)^DATEDIF(E39,G39,"D"),AZ39="Cheque",BB39,AZ39="Dinheiro","Alterar forma pgto")</f>
        <v/>
      </c>
      <c r="BD39" s="276" t="str" cm="1">
        <f t="array" ref="BD39">IF(F39=0," ",IF(BC39&lt;BB39,(_xlfn.IFS(AW39="SIM",SUM(L39,Q39,V39,AA39,AF39,AK39,AP39,AU39)+AX39/_xlfn.XLOOKUP(_xlfn.XLOOKUP($F39,Clientes!$B$4:$B$39,Clientes!$C$4:$C$39),Cadastros!$L$6:$L$12,Cadastros!$M$6:$M$12)+IF($F39="Bernardino Furlan",AY39/2751.92,IF($F39="Mauro José Salanti",AY39/2751.92,AY39/3356)),F39&lt;&gt;0,SUM(L39,Q39,V39,AA39,AF39,AK39,AP39,AU39)))*(1-0.03),_xlfn.IFS(AW39="SIM",SUM(L39,Q39,V39,AA39,AF39,AK39,AP39,AU39)+AX39/_xlfn.XLOOKUP(_xlfn.XLOOKUP($F39,Clientes!$B$4:$B$39,Clientes!$C$4:$C$39),Cadastros!$L$6:$L$12,Cadastros!$M$6:$M$12)+IF($F39="Bernardino Furlan",AY39/2751.92,IF($F39="Mauro José Salanti",AY39/2751.92,AY39/3356)),F39&lt;&gt;0,SUM(L39,Q39,V39,AA39,AF39,AK39,AP39,AU39))))</f>
        <v xml:space="preserve"> </v>
      </c>
      <c r="BE39" s="120"/>
      <c r="BF39" s="120"/>
      <c r="BG39" s="120"/>
      <c r="BH39" s="231" t="str">
        <f>IF(Clientes!B35="","",Clientes!B35)</f>
        <v/>
      </c>
      <c r="BL39" s="233" t="str">
        <f>IF(Cadastros!D36="","",Cadastros!D36)</f>
        <v>BEM ESTAR ANTIRREFLUXO</v>
      </c>
      <c r="BM39" s="234"/>
      <c r="BN39" s="235" t="str">
        <f>IF(Cadastros!G36="","",Cadastros!G36)</f>
        <v/>
      </c>
    </row>
    <row r="40" spans="1:66" s="3" customFormat="1" x14ac:dyDescent="0.3">
      <c r="A40" s="15" t="str">
        <f t="shared" si="0"/>
        <v/>
      </c>
      <c r="B40" s="25"/>
      <c r="C40" s="26"/>
      <c r="D40" s="279"/>
      <c r="E40" s="27"/>
      <c r="F40" s="28"/>
      <c r="G40" s="27"/>
      <c r="H40" s="28"/>
      <c r="I40" s="28"/>
      <c r="J40" s="255" t="str">
        <f>IF(H40="","",(_xlfn.XLOOKUP(H40,Cadastros!$D$6:$D$90,Cadastros!$E$6:$E$90))*(1-_xlfn.XLOOKUP(_xlfn.XLOOKUP($F40,Clientes!$B$4:$B$39,Clientes!$C$4:$C$39),Cadastros!$L$6:$L$12,Cadastros!$N$6:$N$12)))</f>
        <v/>
      </c>
      <c r="K40" s="168" t="str">
        <f t="shared" si="1"/>
        <v/>
      </c>
      <c r="L40" s="168" t="str">
        <f>IFERROR(K40/_xlfn.XLOOKUP(_xlfn.XLOOKUP($F40,Clientes!$B$4:$B$39,Clientes!$C$4:$C$39),Cadastros!$L$6:$L$12,Cadastros!$M$6:$M$12)," ")</f>
        <v xml:space="preserve"> </v>
      </c>
      <c r="M40" s="28"/>
      <c r="N40" s="28"/>
      <c r="O40" s="255" t="str">
        <f>IF(M40="","",(_xlfn.XLOOKUP(M40,Cadastros!$D$6:$D$90,Cadastros!$E$6:$E$90))*(1-_xlfn.XLOOKUP(_xlfn.XLOOKUP($F40,Clientes!$B$4:$B$39,Clientes!$C$4:$C$39),Cadastros!$L$6:$L$12,Cadastros!$N$6:$N$12)))</f>
        <v/>
      </c>
      <c r="P40" s="168" t="str">
        <f t="shared" si="2"/>
        <v/>
      </c>
      <c r="Q40" s="168" t="str">
        <f>IFERROR(P40/_xlfn.XLOOKUP(_xlfn.XLOOKUP($F40,Clientes!$B$4:$B$39,Clientes!$C$4:$C$39),Cadastros!$L$6:$L$12,Cadastros!$M$6:$M$12)," ")</f>
        <v xml:space="preserve"> </v>
      </c>
      <c r="R40" s="28"/>
      <c r="S40" s="28"/>
      <c r="T40" s="255" t="str">
        <f>IF(R40="","",(_xlfn.XLOOKUP(R40,Cadastros!$D$6:$D$90,Cadastros!$E$6:$E$90))*(1-_xlfn.XLOOKUP(_xlfn.XLOOKUP($F40,Clientes!$B$4:$B$39,Clientes!$C$4:$C$39),Cadastros!$L$6:$L$12,Cadastros!$N$6:$N$12)))</f>
        <v/>
      </c>
      <c r="U40" s="168" t="str">
        <f t="shared" si="3"/>
        <v/>
      </c>
      <c r="V40" s="168" t="str">
        <f>IFERROR(U40/_xlfn.XLOOKUP(_xlfn.XLOOKUP($F40,Clientes!$B$4:$B$39,Clientes!$C$4:$C$39),Cadastros!$L$6:$L$12,Cadastros!$M$6:$M$12)," ")</f>
        <v xml:space="preserve"> </v>
      </c>
      <c r="W40" s="28"/>
      <c r="X40" s="28"/>
      <c r="Y40" s="255" t="str">
        <f>IF(W40="","",(_xlfn.XLOOKUP(W40,Cadastros!$D$6:$D$90,Cadastros!$E$6:$E$90))*(1-_xlfn.XLOOKUP(_xlfn.XLOOKUP($F40,Clientes!$B$4:$B$39,Clientes!$C$4:$C$39),Cadastros!$L$6:$L$12,Cadastros!$N$6:$N$12)))</f>
        <v/>
      </c>
      <c r="Z40" s="168" t="str">
        <f t="shared" si="4"/>
        <v/>
      </c>
      <c r="AA40" s="168" t="str">
        <f>IFERROR(Z40/_xlfn.XLOOKUP(_xlfn.XLOOKUP($F40,Clientes!$B$4:$B$39,Clientes!$C$4:$C$39),Cadastros!$L$6:$L$12,Cadastros!$M$6:$M$12)," ")</f>
        <v xml:space="preserve"> </v>
      </c>
      <c r="AB40" s="28"/>
      <c r="AC40" s="28"/>
      <c r="AD40" s="20" t="str">
        <f>IF(AB40="","",IF($F40="Bernardino Furlan",_xlfn.XLOOKUP(AB40,Cadastros!$G$6:$G$90,Cadastros!$H$6:$H$90)*(1-0.18),IF($F40="Mauro José Salanti",_xlfn.XLOOKUP(AB40,Cadastros!$G$6:$G$90,Cadastros!$H$6:$H$90)*(1-0.18),_xlfn.XLOOKUP(AB40,Cadastros!$G$6:$G$90,Cadastros!$H$6:$H$90))))</f>
        <v/>
      </c>
      <c r="AE40" s="168" t="str">
        <f t="shared" si="5"/>
        <v/>
      </c>
      <c r="AF40" s="168" t="str">
        <f t="shared" si="6"/>
        <v/>
      </c>
      <c r="AG40" s="28"/>
      <c r="AH40" s="28"/>
      <c r="AI40" s="20" t="str">
        <f>IF(AG40="","",IF($F40="Bernardino Furlan",_xlfn.XLOOKUP(AG40,Cadastros!$G$6:$G$90,Cadastros!$H$6:$H$90)*(1-0.18),IF($F40="Mauro José Salanti",_xlfn.XLOOKUP(AG40,Cadastros!$G$6:$G$90,Cadastros!$H$6:$H$90)*(1-0.18),_xlfn.XLOOKUP(AG40,Cadastros!$G$6:$G$90,Cadastros!$H$6:$H$90))))</f>
        <v/>
      </c>
      <c r="AJ40" s="168" t="str">
        <f t="shared" si="7"/>
        <v/>
      </c>
      <c r="AK40" s="168" t="str">
        <f t="shared" si="8"/>
        <v/>
      </c>
      <c r="AL40" s="28"/>
      <c r="AM40" s="28"/>
      <c r="AN40" s="20" t="str">
        <f>IF(AL40="","",IF($F40="Bernardino Furlan",_xlfn.XLOOKUP(AL40,Cadastros!$G$6:$G$90,Cadastros!$H$6:$H$90)*(1-0.18),IF($F40="Mauro José Salanti",_xlfn.XLOOKUP(AL40,Cadastros!$G$6:$G$90,Cadastros!$H$6:$H$90)*(1-0.18),_xlfn.XLOOKUP(AL40,Cadastros!$G$6:$G$90,Cadastros!$H$6:$H$90))))</f>
        <v/>
      </c>
      <c r="AO40" s="168" t="str">
        <f t="shared" si="9"/>
        <v/>
      </c>
      <c r="AP40" s="168" t="str">
        <f t="shared" si="10"/>
        <v/>
      </c>
      <c r="AQ40" s="28"/>
      <c r="AR40" s="28"/>
      <c r="AS40" s="20" t="str">
        <f>IF(AQ40="","",IF($F40="Bernardino Furlan",_xlfn.XLOOKUP(AQ40,Cadastros!$G$6:$G$90,Cadastros!$H$6:$H$90)*(1-0.18),IF($F40="Mauro José Salanti",_xlfn.XLOOKUP(AQ40,Cadastros!$G$6:$G$90,Cadastros!$H$6:$H$90)*(1-0.18),_xlfn.XLOOKUP(AQ40,Cadastros!$G$6:$G$90,Cadastros!$H$6:$H$90))))</f>
        <v/>
      </c>
      <c r="AT40" s="168" t="str">
        <f t="shared" si="11"/>
        <v/>
      </c>
      <c r="AU40" s="168" t="str">
        <f t="shared" si="12"/>
        <v/>
      </c>
      <c r="AV40" s="227"/>
      <c r="AW40" s="30"/>
      <c r="AX40" s="267"/>
      <c r="AY40" s="267"/>
      <c r="AZ40" s="29"/>
      <c r="BA40" s="30"/>
      <c r="BB40" s="23" t="str" cm="1">
        <f t="array" ref="BB40">_xlfn.IFS(AW40="SIM",SUM(K40,P40,U40,Z40,AE40,AJ40,AO40,AT40,AX40,AY40),F40&lt;&gt;"",SUM(K40,P40,U40,Z40,AE40,AJ40,,AO40,AT40),F40="","")</f>
        <v/>
      </c>
      <c r="BC40" s="211" t="str" cm="1">
        <f t="array" ref="BC40">_xlfn.IFS(E40="","",G40&lt;=E40,BB40*(1-0.03),G40&lt;(E40+8),BB40,AZ40="Boleto",BB40*(1+0.001)^DATEDIF(E40,G40,"D"),AZ40="Cheque",BB40,AZ40="Dinheiro","Alterar forma pgto")</f>
        <v/>
      </c>
      <c r="BD40" s="276" t="str" cm="1">
        <f t="array" ref="BD40">IF(F40=0," ",IF(BC40&lt;BB40,(_xlfn.IFS(AW40="SIM",SUM(L40,Q40,V40,AA40,AF40,AK40,AP40,AU40)+AX40/_xlfn.XLOOKUP(_xlfn.XLOOKUP($F40,Clientes!$B$4:$B$39,Clientes!$C$4:$C$39),Cadastros!$L$6:$L$12,Cadastros!$M$6:$M$12)+IF($F40="Bernardino Furlan",AY40/2751.92,IF($F40="Mauro José Salanti",AY40/2751.92,AY40/3356)),F40&lt;&gt;0,SUM(L40,Q40,V40,AA40,AF40,AK40,AP40,AU40)))*(1-0.03),_xlfn.IFS(AW40="SIM",SUM(L40,Q40,V40,AA40,AF40,AK40,AP40,AU40)+AX40/_xlfn.XLOOKUP(_xlfn.XLOOKUP($F40,Clientes!$B$4:$B$39,Clientes!$C$4:$C$39),Cadastros!$L$6:$L$12,Cadastros!$M$6:$M$12)+IF($F40="Bernardino Furlan",AY40/2751.92,IF($F40="Mauro José Salanti",AY40/2751.92,AY40/3356)),F40&lt;&gt;0,SUM(L40,Q40,V40,AA40,AF40,AK40,AP40,AU40))))</f>
        <v xml:space="preserve"> </v>
      </c>
      <c r="BE40" s="120"/>
      <c r="BF40" s="120"/>
      <c r="BG40" s="120"/>
      <c r="BH40" s="231" t="str">
        <f>IF(Clientes!B36="","",Clientes!B36)</f>
        <v/>
      </c>
      <c r="BL40" s="235" t="str">
        <f>IF(Cadastros!D37="","",Cadastros!D37)</f>
        <v>10119 - Colchão Bem Estar A.R. 138 X 188 X 31/21 cm MVQ</v>
      </c>
      <c r="BM40" s="234"/>
      <c r="BN40" s="233" t="str">
        <f>IF(Cadastros!G37="","",Cadastros!G37)</f>
        <v>ORTOPÉDICOS</v>
      </c>
    </row>
    <row r="41" spans="1:66" s="3" customFormat="1" x14ac:dyDescent="0.3">
      <c r="A41" s="15" t="str">
        <f t="shared" si="0"/>
        <v/>
      </c>
      <c r="B41" s="25"/>
      <c r="C41" s="26"/>
      <c r="D41" s="279"/>
      <c r="E41" s="27"/>
      <c r="F41" s="28"/>
      <c r="G41" s="27"/>
      <c r="H41" s="28"/>
      <c r="I41" s="28"/>
      <c r="J41" s="255" t="str">
        <f>IF(H41="","",(_xlfn.XLOOKUP(H41,Cadastros!$D$6:$D$90,Cadastros!$E$6:$E$90))*(1-_xlfn.XLOOKUP(_xlfn.XLOOKUP($F41,Clientes!$B$4:$B$39,Clientes!$C$4:$C$39),Cadastros!$L$6:$L$12,Cadastros!$N$6:$N$12)))</f>
        <v/>
      </c>
      <c r="K41" s="168" t="str">
        <f t="shared" si="1"/>
        <v/>
      </c>
      <c r="L41" s="168" t="str">
        <f>IFERROR(K41/_xlfn.XLOOKUP(_xlfn.XLOOKUP($F41,Clientes!$B$4:$B$39,Clientes!$C$4:$C$39),Cadastros!$L$6:$L$12,Cadastros!$M$6:$M$12)," ")</f>
        <v xml:space="preserve"> </v>
      </c>
      <c r="M41" s="28"/>
      <c r="N41" s="28"/>
      <c r="O41" s="255" t="str">
        <f>IF(M41="","",(_xlfn.XLOOKUP(M41,Cadastros!$D$6:$D$90,Cadastros!$E$6:$E$90))*(1-_xlfn.XLOOKUP(_xlfn.XLOOKUP($F41,Clientes!$B$4:$B$39,Clientes!$C$4:$C$39),Cadastros!$L$6:$L$12,Cadastros!$N$6:$N$12)))</f>
        <v/>
      </c>
      <c r="P41" s="168" t="str">
        <f t="shared" si="2"/>
        <v/>
      </c>
      <c r="Q41" s="168" t="str">
        <f>IFERROR(P41/_xlfn.XLOOKUP(_xlfn.XLOOKUP($F41,Clientes!$B$4:$B$39,Clientes!$C$4:$C$39),Cadastros!$L$6:$L$12,Cadastros!$M$6:$M$12)," ")</f>
        <v xml:space="preserve"> </v>
      </c>
      <c r="R41" s="28"/>
      <c r="S41" s="28"/>
      <c r="T41" s="255" t="str">
        <f>IF(R41="","",(_xlfn.XLOOKUP(R41,Cadastros!$D$6:$D$90,Cadastros!$E$6:$E$90))*(1-_xlfn.XLOOKUP(_xlfn.XLOOKUP($F41,Clientes!$B$4:$B$39,Clientes!$C$4:$C$39),Cadastros!$L$6:$L$12,Cadastros!$N$6:$N$12)))</f>
        <v/>
      </c>
      <c r="U41" s="168" t="str">
        <f t="shared" si="3"/>
        <v/>
      </c>
      <c r="V41" s="168" t="str">
        <f>IFERROR(U41/_xlfn.XLOOKUP(_xlfn.XLOOKUP($F41,Clientes!$B$4:$B$39,Clientes!$C$4:$C$39),Cadastros!$L$6:$L$12,Cadastros!$M$6:$M$12)," ")</f>
        <v xml:space="preserve"> </v>
      </c>
      <c r="W41" s="28"/>
      <c r="X41" s="28"/>
      <c r="Y41" s="255" t="str">
        <f>IF(W41="","",(_xlfn.XLOOKUP(W41,Cadastros!$D$6:$D$90,Cadastros!$E$6:$E$90))*(1-_xlfn.XLOOKUP(_xlfn.XLOOKUP($F41,Clientes!$B$4:$B$39,Clientes!$C$4:$C$39),Cadastros!$L$6:$L$12,Cadastros!$N$6:$N$12)))</f>
        <v/>
      </c>
      <c r="Z41" s="168" t="str">
        <f t="shared" si="4"/>
        <v/>
      </c>
      <c r="AA41" s="168" t="str">
        <f>IFERROR(Z41/_xlfn.XLOOKUP(_xlfn.XLOOKUP($F41,Clientes!$B$4:$B$39,Clientes!$C$4:$C$39),Cadastros!$L$6:$L$12,Cadastros!$M$6:$M$12)," ")</f>
        <v xml:space="preserve"> </v>
      </c>
      <c r="AB41" s="28"/>
      <c r="AC41" s="28"/>
      <c r="AD41" s="20" t="str">
        <f>IF(AB41="","",IF($F41="Bernardino Furlan",_xlfn.XLOOKUP(AB41,Cadastros!$G$6:$G$90,Cadastros!$H$6:$H$90)*(1-0.18),IF($F41="Mauro José Salanti",_xlfn.XLOOKUP(AB41,Cadastros!$G$6:$G$90,Cadastros!$H$6:$H$90)*(1-0.18),_xlfn.XLOOKUP(AB41,Cadastros!$G$6:$G$90,Cadastros!$H$6:$H$90))))</f>
        <v/>
      </c>
      <c r="AE41" s="168" t="str">
        <f t="shared" si="5"/>
        <v/>
      </c>
      <c r="AF41" s="168" t="str">
        <f t="shared" si="6"/>
        <v/>
      </c>
      <c r="AG41" s="28"/>
      <c r="AH41" s="28"/>
      <c r="AI41" s="20" t="str">
        <f>IF(AG41="","",IF($F41="Bernardino Furlan",_xlfn.XLOOKUP(AG41,Cadastros!$G$6:$G$90,Cadastros!$H$6:$H$90)*(1-0.18),IF($F41="Mauro José Salanti",_xlfn.XLOOKUP(AG41,Cadastros!$G$6:$G$90,Cadastros!$H$6:$H$90)*(1-0.18),_xlfn.XLOOKUP(AG41,Cadastros!$G$6:$G$90,Cadastros!$H$6:$H$90))))</f>
        <v/>
      </c>
      <c r="AJ41" s="168" t="str">
        <f t="shared" si="7"/>
        <v/>
      </c>
      <c r="AK41" s="168" t="str">
        <f t="shared" si="8"/>
        <v/>
      </c>
      <c r="AL41" s="28"/>
      <c r="AM41" s="28"/>
      <c r="AN41" s="20" t="str">
        <f>IF(AL41="","",IF($F41="Bernardino Furlan",_xlfn.XLOOKUP(AL41,Cadastros!$G$6:$G$90,Cadastros!$H$6:$H$90)*(1-0.18),IF($F41="Mauro José Salanti",_xlfn.XLOOKUP(AL41,Cadastros!$G$6:$G$90,Cadastros!$H$6:$H$90)*(1-0.18),_xlfn.XLOOKUP(AL41,Cadastros!$G$6:$G$90,Cadastros!$H$6:$H$90))))</f>
        <v/>
      </c>
      <c r="AO41" s="168" t="str">
        <f t="shared" si="9"/>
        <v/>
      </c>
      <c r="AP41" s="168" t="str">
        <f t="shared" si="10"/>
        <v/>
      </c>
      <c r="AQ41" s="28"/>
      <c r="AR41" s="28"/>
      <c r="AS41" s="20" t="str">
        <f>IF(AQ41="","",IF($F41="Bernardino Furlan",_xlfn.XLOOKUP(AQ41,Cadastros!$G$6:$G$90,Cadastros!$H$6:$H$90)*(1-0.18),IF($F41="Mauro José Salanti",_xlfn.XLOOKUP(AQ41,Cadastros!$G$6:$G$90,Cadastros!$H$6:$H$90)*(1-0.18),_xlfn.XLOOKUP(AQ41,Cadastros!$G$6:$G$90,Cadastros!$H$6:$H$90))))</f>
        <v/>
      </c>
      <c r="AT41" s="168" t="str">
        <f t="shared" si="11"/>
        <v/>
      </c>
      <c r="AU41" s="168" t="str">
        <f t="shared" si="12"/>
        <v/>
      </c>
      <c r="AV41" s="227"/>
      <c r="AW41" s="30"/>
      <c r="AX41" s="267"/>
      <c r="AY41" s="267"/>
      <c r="AZ41" s="29"/>
      <c r="BA41" s="30"/>
      <c r="BB41" s="23" t="str" cm="1">
        <f t="array" ref="BB41">_xlfn.IFS(AW41="SIM",SUM(K41,P41,U41,Z41,AE41,AJ41,AO41,AT41,AX41,AY41),F41&lt;&gt;"",SUM(K41,P41,U41,Z41,AE41,AJ41,,AO41,AT41),F41="","")</f>
        <v/>
      </c>
      <c r="BC41" s="211" t="str" cm="1">
        <f t="array" ref="BC41">_xlfn.IFS(E41="","",G41&lt;=E41,BB41*(1-0.03),G41&lt;(E41+8),BB41,AZ41="Boleto",BB41*(1+0.001)^DATEDIF(E41,G41,"D"),AZ41="Cheque",BB41,AZ41="Dinheiro","Alterar forma pgto")</f>
        <v/>
      </c>
      <c r="BD41" s="276" t="str" cm="1">
        <f t="array" ref="BD41">IF(F41=0," ",IF(BC41&lt;BB41,(_xlfn.IFS(AW41="SIM",SUM(L41,Q41,V41,AA41,AF41,AK41,AP41,AU41)+AX41/_xlfn.XLOOKUP(_xlfn.XLOOKUP($F41,Clientes!$B$4:$B$39,Clientes!$C$4:$C$39),Cadastros!$L$6:$L$12,Cadastros!$M$6:$M$12)+IF($F41="Bernardino Furlan",AY41/2751.92,IF($F41="Mauro José Salanti",AY41/2751.92,AY41/3356)),F41&lt;&gt;0,SUM(L41,Q41,V41,AA41,AF41,AK41,AP41,AU41)))*(1-0.03),_xlfn.IFS(AW41="SIM",SUM(L41,Q41,V41,AA41,AF41,AK41,AP41,AU41)+AX41/_xlfn.XLOOKUP(_xlfn.XLOOKUP($F41,Clientes!$B$4:$B$39,Clientes!$C$4:$C$39),Cadastros!$L$6:$L$12,Cadastros!$M$6:$M$12)+IF($F41="Bernardino Furlan",AY41/2751.92,IF($F41="Mauro José Salanti",AY41/2751.92,AY41/3356)),F41&lt;&gt;0,SUM(L41,Q41,V41,AA41,AF41,AK41,AP41,AU41))))</f>
        <v xml:space="preserve"> </v>
      </c>
      <c r="BE41" s="120"/>
      <c r="BF41" s="120"/>
      <c r="BG41" s="120"/>
      <c r="BH41" s="231" t="str">
        <f>IF(Clientes!B37="","",Clientes!B37)</f>
        <v/>
      </c>
      <c r="BL41" s="235" t="str">
        <f>IF(Cadastros!D38="","",Cadastros!D38)</f>
        <v xml:space="preserve">10120 - Colchão Bem Estar A.R. 158 X 198 X 31/21 cm MVQ </v>
      </c>
      <c r="BM41" s="234"/>
      <c r="BN41" s="235" t="str">
        <f>IF(Cadastros!G38="","",Cadastros!G38)</f>
        <v>185 - Rolo Postural Cervical</v>
      </c>
    </row>
    <row r="42" spans="1:66" s="3" customFormat="1" x14ac:dyDescent="0.3">
      <c r="A42" s="15" t="str">
        <f t="shared" si="0"/>
        <v/>
      </c>
      <c r="B42" s="25"/>
      <c r="C42" s="26"/>
      <c r="D42" s="279"/>
      <c r="E42" s="27"/>
      <c r="F42" s="28"/>
      <c r="G42" s="27"/>
      <c r="H42" s="28"/>
      <c r="I42" s="28"/>
      <c r="J42" s="255" t="str">
        <f>IF(H42="","",(_xlfn.XLOOKUP(H42,Cadastros!$D$6:$D$90,Cadastros!$E$6:$E$90))*(1-_xlfn.XLOOKUP(_xlfn.XLOOKUP($F42,Clientes!$B$4:$B$39,Clientes!$C$4:$C$39),Cadastros!$L$6:$L$12,Cadastros!$N$6:$N$12)))</f>
        <v/>
      </c>
      <c r="K42" s="168" t="str">
        <f t="shared" si="1"/>
        <v/>
      </c>
      <c r="L42" s="168" t="str">
        <f>IFERROR(K42/_xlfn.XLOOKUP(_xlfn.XLOOKUP($F42,Clientes!$B$4:$B$39,Clientes!$C$4:$C$39),Cadastros!$L$6:$L$12,Cadastros!$M$6:$M$12)," ")</f>
        <v xml:space="preserve"> </v>
      </c>
      <c r="M42" s="28"/>
      <c r="N42" s="28"/>
      <c r="O42" s="255" t="str">
        <f>IF(M42="","",(_xlfn.XLOOKUP(M42,Cadastros!$D$6:$D$90,Cadastros!$E$6:$E$90))*(1-_xlfn.XLOOKUP(_xlfn.XLOOKUP($F42,Clientes!$B$4:$B$39,Clientes!$C$4:$C$39),Cadastros!$L$6:$L$12,Cadastros!$N$6:$N$12)))</f>
        <v/>
      </c>
      <c r="P42" s="168" t="str">
        <f t="shared" si="2"/>
        <v/>
      </c>
      <c r="Q42" s="168" t="str">
        <f>IFERROR(P42/_xlfn.XLOOKUP(_xlfn.XLOOKUP($F42,Clientes!$B$4:$B$39,Clientes!$C$4:$C$39),Cadastros!$L$6:$L$12,Cadastros!$M$6:$M$12)," ")</f>
        <v xml:space="preserve"> </v>
      </c>
      <c r="R42" s="28"/>
      <c r="S42" s="28"/>
      <c r="T42" s="255" t="str">
        <f>IF(R42="","",(_xlfn.XLOOKUP(R42,Cadastros!$D$6:$D$90,Cadastros!$E$6:$E$90))*(1-_xlfn.XLOOKUP(_xlfn.XLOOKUP($F42,Clientes!$B$4:$B$39,Clientes!$C$4:$C$39),Cadastros!$L$6:$L$12,Cadastros!$N$6:$N$12)))</f>
        <v/>
      </c>
      <c r="U42" s="168" t="str">
        <f t="shared" si="3"/>
        <v/>
      </c>
      <c r="V42" s="168" t="str">
        <f>IFERROR(U42/_xlfn.XLOOKUP(_xlfn.XLOOKUP($F42,Clientes!$B$4:$B$39,Clientes!$C$4:$C$39),Cadastros!$L$6:$L$12,Cadastros!$M$6:$M$12)," ")</f>
        <v xml:space="preserve"> </v>
      </c>
      <c r="W42" s="28"/>
      <c r="X42" s="28"/>
      <c r="Y42" s="255" t="str">
        <f>IF(W42="","",(_xlfn.XLOOKUP(W42,Cadastros!$D$6:$D$90,Cadastros!$E$6:$E$90))*(1-_xlfn.XLOOKUP(_xlfn.XLOOKUP($F42,Clientes!$B$4:$B$39,Clientes!$C$4:$C$39),Cadastros!$L$6:$L$12,Cadastros!$N$6:$N$12)))</f>
        <v/>
      </c>
      <c r="Z42" s="168" t="str">
        <f t="shared" si="4"/>
        <v/>
      </c>
      <c r="AA42" s="168" t="str">
        <f>IFERROR(Z42/_xlfn.XLOOKUP(_xlfn.XLOOKUP($F42,Clientes!$B$4:$B$39,Clientes!$C$4:$C$39),Cadastros!$L$6:$L$12,Cadastros!$M$6:$M$12)," ")</f>
        <v xml:space="preserve"> </v>
      </c>
      <c r="AB42" s="28"/>
      <c r="AC42" s="28"/>
      <c r="AD42" s="20" t="str">
        <f>IF(AB42="","",IF($F42="Bernardino Furlan",_xlfn.XLOOKUP(AB42,Cadastros!$G$6:$G$90,Cadastros!$H$6:$H$90)*(1-0.18),IF($F42="Mauro José Salanti",_xlfn.XLOOKUP(AB42,Cadastros!$G$6:$G$90,Cadastros!$H$6:$H$90)*(1-0.18),_xlfn.XLOOKUP(AB42,Cadastros!$G$6:$G$90,Cadastros!$H$6:$H$90))))</f>
        <v/>
      </c>
      <c r="AE42" s="168" t="str">
        <f t="shared" si="5"/>
        <v/>
      </c>
      <c r="AF42" s="168" t="str">
        <f t="shared" si="6"/>
        <v/>
      </c>
      <c r="AG42" s="28"/>
      <c r="AH42" s="28"/>
      <c r="AI42" s="20" t="str">
        <f>IF(AG42="","",IF($F42="Bernardino Furlan",_xlfn.XLOOKUP(AG42,Cadastros!$G$6:$G$90,Cadastros!$H$6:$H$90)*(1-0.18),IF($F42="Mauro José Salanti",_xlfn.XLOOKUP(AG42,Cadastros!$G$6:$G$90,Cadastros!$H$6:$H$90)*(1-0.18),_xlfn.XLOOKUP(AG42,Cadastros!$G$6:$G$90,Cadastros!$H$6:$H$90))))</f>
        <v/>
      </c>
      <c r="AJ42" s="168" t="str">
        <f t="shared" si="7"/>
        <v/>
      </c>
      <c r="AK42" s="168" t="str">
        <f t="shared" si="8"/>
        <v/>
      </c>
      <c r="AL42" s="28"/>
      <c r="AM42" s="28"/>
      <c r="AN42" s="20" t="str">
        <f>IF(AL42="","",IF($F42="Bernardino Furlan",_xlfn.XLOOKUP(AL42,Cadastros!$G$6:$G$90,Cadastros!$H$6:$H$90)*(1-0.18),IF($F42="Mauro José Salanti",_xlfn.XLOOKUP(AL42,Cadastros!$G$6:$G$90,Cadastros!$H$6:$H$90)*(1-0.18),_xlfn.XLOOKUP(AL42,Cadastros!$G$6:$G$90,Cadastros!$H$6:$H$90))))</f>
        <v/>
      </c>
      <c r="AO42" s="168" t="str">
        <f t="shared" si="9"/>
        <v/>
      </c>
      <c r="AP42" s="168" t="str">
        <f t="shared" si="10"/>
        <v/>
      </c>
      <c r="AQ42" s="28"/>
      <c r="AR42" s="28"/>
      <c r="AS42" s="20" t="str">
        <f>IF(AQ42="","",IF($F42="Bernardino Furlan",_xlfn.XLOOKUP(AQ42,Cadastros!$G$6:$G$90,Cadastros!$H$6:$H$90)*(1-0.18),IF($F42="Mauro José Salanti",_xlfn.XLOOKUP(AQ42,Cadastros!$G$6:$G$90,Cadastros!$H$6:$H$90)*(1-0.18),_xlfn.XLOOKUP(AQ42,Cadastros!$G$6:$G$90,Cadastros!$H$6:$H$90))))</f>
        <v/>
      </c>
      <c r="AT42" s="168" t="str">
        <f t="shared" si="11"/>
        <v/>
      </c>
      <c r="AU42" s="168" t="str">
        <f t="shared" si="12"/>
        <v/>
      </c>
      <c r="AV42" s="227"/>
      <c r="AW42" s="30"/>
      <c r="AX42" s="267"/>
      <c r="AY42" s="267"/>
      <c r="AZ42" s="29"/>
      <c r="BA42" s="30"/>
      <c r="BB42" s="23" t="str" cm="1">
        <f t="array" ref="BB42">_xlfn.IFS(AW42="SIM",SUM(K42,P42,U42,Z42,AE42,AJ42,AO42,AT42,AX42,AY42),F42&lt;&gt;"",SUM(K42,P42,U42,Z42,AE42,AJ42,,AO42,AT42),F42="","")</f>
        <v/>
      </c>
      <c r="BC42" s="211" t="str" cm="1">
        <f t="array" ref="BC42">_xlfn.IFS(E42="","",G42&lt;=E42,BB42*(1-0.03),G42&lt;(E42+8),BB42,AZ42="Boleto",BB42*(1+0.001)^DATEDIF(E42,G42,"D"),AZ42="Cheque",BB42,AZ42="Dinheiro","Alterar forma pgto")</f>
        <v/>
      </c>
      <c r="BD42" s="276" t="str" cm="1">
        <f t="array" ref="BD42">IF(F42=0," ",IF(BC42&lt;BB42,(_xlfn.IFS(AW42="SIM",SUM(L42,Q42,V42,AA42,AF42,AK42,AP42,AU42)+AX42/_xlfn.XLOOKUP(_xlfn.XLOOKUP($F42,Clientes!$B$4:$B$39,Clientes!$C$4:$C$39),Cadastros!$L$6:$L$12,Cadastros!$M$6:$M$12)+IF($F42="Bernardino Furlan",AY42/2751.92,IF($F42="Mauro José Salanti",AY42/2751.92,AY42/3356)),F42&lt;&gt;0,SUM(L42,Q42,V42,AA42,AF42,AK42,AP42,AU42)))*(1-0.03),_xlfn.IFS(AW42="SIM",SUM(L42,Q42,V42,AA42,AF42,AK42,AP42,AU42)+AX42/_xlfn.XLOOKUP(_xlfn.XLOOKUP($F42,Clientes!$B$4:$B$39,Clientes!$C$4:$C$39),Cadastros!$L$6:$L$12,Cadastros!$M$6:$M$12)+IF($F42="Bernardino Furlan",AY42/2751.92,IF($F42="Mauro José Salanti",AY42/2751.92,AY42/3356)),F42&lt;&gt;0,SUM(L42,Q42,V42,AA42,AF42,AK42,AP42,AU42))))</f>
        <v xml:space="preserve"> </v>
      </c>
      <c r="BE42" s="120"/>
      <c r="BF42" s="120"/>
      <c r="BG42" s="120"/>
      <c r="BH42" s="32"/>
      <c r="BL42" s="235" t="str">
        <f>IF(Cadastros!D39="","",Cadastros!D39)</f>
        <v>10121 - Colchão Bem Estar A.R. 193 X 203 X 31/21 cm MVQ</v>
      </c>
      <c r="BM42" s="234"/>
      <c r="BN42" s="235" t="str">
        <f>IF(Cadastros!G39="","",Cadastros!G39)</f>
        <v>186 - Rolo Postural Lombar</v>
      </c>
    </row>
    <row r="43" spans="1:66" s="3" customFormat="1" x14ac:dyDescent="0.3">
      <c r="A43" s="15" t="str">
        <f t="shared" si="0"/>
        <v/>
      </c>
      <c r="B43" s="25"/>
      <c r="C43" s="26"/>
      <c r="D43" s="279"/>
      <c r="E43" s="27"/>
      <c r="F43" s="28"/>
      <c r="G43" s="27"/>
      <c r="H43" s="28"/>
      <c r="I43" s="28"/>
      <c r="J43" s="255" t="str">
        <f>IF(H43="","",(_xlfn.XLOOKUP(H43,Cadastros!$D$6:$D$90,Cadastros!$E$6:$E$90))*(1-_xlfn.XLOOKUP(_xlfn.XLOOKUP($F43,Clientes!$B$4:$B$39,Clientes!$C$4:$C$39),Cadastros!$L$6:$L$12,Cadastros!$N$6:$N$12)))</f>
        <v/>
      </c>
      <c r="K43" s="168" t="str">
        <f t="shared" si="1"/>
        <v/>
      </c>
      <c r="L43" s="168" t="str">
        <f>IFERROR(K43/_xlfn.XLOOKUP(_xlfn.XLOOKUP($F43,Clientes!$B$4:$B$39,Clientes!$C$4:$C$39),Cadastros!$L$6:$L$12,Cadastros!$M$6:$M$12)," ")</f>
        <v xml:space="preserve"> </v>
      </c>
      <c r="M43" s="28"/>
      <c r="N43" s="28"/>
      <c r="O43" s="255" t="str">
        <f>IF(M43="","",(_xlfn.XLOOKUP(M43,Cadastros!$D$6:$D$90,Cadastros!$E$6:$E$90))*(1-_xlfn.XLOOKUP(_xlfn.XLOOKUP($F43,Clientes!$B$4:$B$39,Clientes!$C$4:$C$39),Cadastros!$L$6:$L$12,Cadastros!$N$6:$N$12)))</f>
        <v/>
      </c>
      <c r="P43" s="168" t="str">
        <f t="shared" si="2"/>
        <v/>
      </c>
      <c r="Q43" s="168" t="str">
        <f>IFERROR(P43/_xlfn.XLOOKUP(_xlfn.XLOOKUP($F43,Clientes!$B$4:$B$39,Clientes!$C$4:$C$39),Cadastros!$L$6:$L$12,Cadastros!$M$6:$M$12)," ")</f>
        <v xml:space="preserve"> </v>
      </c>
      <c r="R43" s="28"/>
      <c r="S43" s="28"/>
      <c r="T43" s="255" t="str">
        <f>IF(R43="","",(_xlfn.XLOOKUP(R43,Cadastros!$D$6:$D$90,Cadastros!$E$6:$E$90))*(1-_xlfn.XLOOKUP(_xlfn.XLOOKUP($F43,Clientes!$B$4:$B$39,Clientes!$C$4:$C$39),Cadastros!$L$6:$L$12,Cadastros!$N$6:$N$12)))</f>
        <v/>
      </c>
      <c r="U43" s="168" t="str">
        <f t="shared" si="3"/>
        <v/>
      </c>
      <c r="V43" s="168" t="str">
        <f>IFERROR(U43/_xlfn.XLOOKUP(_xlfn.XLOOKUP($F43,Clientes!$B$4:$B$39,Clientes!$C$4:$C$39),Cadastros!$L$6:$L$12,Cadastros!$M$6:$M$12)," ")</f>
        <v xml:space="preserve"> </v>
      </c>
      <c r="W43" s="28"/>
      <c r="X43" s="28"/>
      <c r="Y43" s="255" t="str">
        <f>IF(W43="","",(_xlfn.XLOOKUP(W43,Cadastros!$D$6:$D$90,Cadastros!$E$6:$E$90))*(1-_xlfn.XLOOKUP(_xlfn.XLOOKUP($F43,Clientes!$B$4:$B$39,Clientes!$C$4:$C$39),Cadastros!$L$6:$L$12,Cadastros!$N$6:$N$12)))</f>
        <v/>
      </c>
      <c r="Z43" s="168" t="str">
        <f t="shared" si="4"/>
        <v/>
      </c>
      <c r="AA43" s="168" t="str">
        <f>IFERROR(Z43/_xlfn.XLOOKUP(_xlfn.XLOOKUP($F43,Clientes!$B$4:$B$39,Clientes!$C$4:$C$39),Cadastros!$L$6:$L$12,Cadastros!$M$6:$M$12)," ")</f>
        <v xml:space="preserve"> </v>
      </c>
      <c r="AB43" s="28"/>
      <c r="AC43" s="28"/>
      <c r="AD43" s="20" t="str">
        <f>IF(AB43="","",IF($F43="Bernardino Furlan",_xlfn.XLOOKUP(AB43,Cadastros!$G$6:$G$90,Cadastros!$H$6:$H$90)*(1-0.18),IF($F43="Mauro José Salanti",_xlfn.XLOOKUP(AB43,Cadastros!$G$6:$G$90,Cadastros!$H$6:$H$90)*(1-0.18),_xlfn.XLOOKUP(AB43,Cadastros!$G$6:$G$90,Cadastros!$H$6:$H$90))))</f>
        <v/>
      </c>
      <c r="AE43" s="168" t="str">
        <f t="shared" si="5"/>
        <v/>
      </c>
      <c r="AF43" s="168" t="str">
        <f t="shared" si="6"/>
        <v/>
      </c>
      <c r="AG43" s="28"/>
      <c r="AH43" s="28"/>
      <c r="AI43" s="20" t="str">
        <f>IF(AG43="","",IF($F43="Bernardino Furlan",_xlfn.XLOOKUP(AG43,Cadastros!$G$6:$G$90,Cadastros!$H$6:$H$90)*(1-0.18),IF($F43="Mauro José Salanti",_xlfn.XLOOKUP(AG43,Cadastros!$G$6:$G$90,Cadastros!$H$6:$H$90)*(1-0.18),_xlfn.XLOOKUP(AG43,Cadastros!$G$6:$G$90,Cadastros!$H$6:$H$90))))</f>
        <v/>
      </c>
      <c r="AJ43" s="168" t="str">
        <f t="shared" si="7"/>
        <v/>
      </c>
      <c r="AK43" s="168" t="str">
        <f t="shared" si="8"/>
        <v/>
      </c>
      <c r="AL43" s="28"/>
      <c r="AM43" s="28"/>
      <c r="AN43" s="20" t="str">
        <f>IF(AL43="","",IF($F43="Bernardino Furlan",_xlfn.XLOOKUP(AL43,Cadastros!$G$6:$G$90,Cadastros!$H$6:$H$90)*(1-0.18),IF($F43="Mauro José Salanti",_xlfn.XLOOKUP(AL43,Cadastros!$G$6:$G$90,Cadastros!$H$6:$H$90)*(1-0.18),_xlfn.XLOOKUP(AL43,Cadastros!$G$6:$G$90,Cadastros!$H$6:$H$90))))</f>
        <v/>
      </c>
      <c r="AO43" s="168" t="str">
        <f t="shared" si="9"/>
        <v/>
      </c>
      <c r="AP43" s="168" t="str">
        <f t="shared" si="10"/>
        <v/>
      </c>
      <c r="AQ43" s="28"/>
      <c r="AR43" s="28"/>
      <c r="AS43" s="20" t="str">
        <f>IF(AQ43="","",IF($F43="Bernardino Furlan",_xlfn.XLOOKUP(AQ43,Cadastros!$G$6:$G$90,Cadastros!$H$6:$H$90)*(1-0.18),IF($F43="Mauro José Salanti",_xlfn.XLOOKUP(AQ43,Cadastros!$G$6:$G$90,Cadastros!$H$6:$H$90)*(1-0.18),_xlfn.XLOOKUP(AQ43,Cadastros!$G$6:$G$90,Cadastros!$H$6:$H$90))))</f>
        <v/>
      </c>
      <c r="AT43" s="168" t="str">
        <f t="shared" si="11"/>
        <v/>
      </c>
      <c r="AU43" s="168" t="str">
        <f t="shared" si="12"/>
        <v/>
      </c>
      <c r="AV43" s="227"/>
      <c r="AW43" s="30"/>
      <c r="AX43" s="267"/>
      <c r="AY43" s="267"/>
      <c r="AZ43" s="29"/>
      <c r="BA43" s="30"/>
      <c r="BB43" s="23" t="str" cm="1">
        <f t="array" ref="BB43">_xlfn.IFS(AW43="SIM",SUM(K43,P43,U43,Z43,AE43,AJ43,AO43,AT43,AX43,AY43),F43&lt;&gt;"",SUM(K43,P43,U43,Z43,AE43,AJ43,,AO43,AT43),F43="","")</f>
        <v/>
      </c>
      <c r="BC43" s="211" t="str" cm="1">
        <f t="array" ref="BC43">_xlfn.IFS(E43="","",G43&lt;=E43,BB43*(1-0.03),G43&lt;(E43+8),BB43,AZ43="Boleto",BB43*(1+0.001)^DATEDIF(E43,G43,"D"),AZ43="Cheque",BB43,AZ43="Dinheiro","Alterar forma pgto")</f>
        <v/>
      </c>
      <c r="BD43" s="276" t="str" cm="1">
        <f t="array" ref="BD43">IF(F43=0," ",IF(BC43&lt;BB43,(_xlfn.IFS(AW43="SIM",SUM(L43,Q43,V43,AA43,AF43,AK43,AP43,AU43)+AX43/_xlfn.XLOOKUP(_xlfn.XLOOKUP($F43,Clientes!$B$4:$B$39,Clientes!$C$4:$C$39),Cadastros!$L$6:$L$12,Cadastros!$M$6:$M$12)+IF($F43="Bernardino Furlan",AY43/2751.92,IF($F43="Mauro José Salanti",AY43/2751.92,AY43/3356)),F43&lt;&gt;0,SUM(L43,Q43,V43,AA43,AF43,AK43,AP43,AU43)))*(1-0.03),_xlfn.IFS(AW43="SIM",SUM(L43,Q43,V43,AA43,AF43,AK43,AP43,AU43)+AX43/_xlfn.XLOOKUP(_xlfn.XLOOKUP($F43,Clientes!$B$4:$B$39,Clientes!$C$4:$C$39),Cadastros!$L$6:$L$12,Cadastros!$M$6:$M$12)+IF($F43="Bernardino Furlan",AY43/2751.92,IF($F43="Mauro José Salanti",AY43/2751.92,AY43/3356)),F43&lt;&gt;0,SUM(L43,Q43,V43,AA43,AF43,AK43,AP43,AU43))))</f>
        <v xml:space="preserve"> </v>
      </c>
      <c r="BE43" s="120"/>
      <c r="BF43" s="120"/>
      <c r="BG43" s="120"/>
      <c r="BH43" s="32"/>
      <c r="BL43" s="235" t="str">
        <f>IF(Cadastros!D40="","",Cadastros!D40)</f>
        <v>10122 - Colchão Bem Estar A.R. 088 X 188 X 31/21 cm MVQ</v>
      </c>
      <c r="BM43" s="234"/>
      <c r="BN43" s="235" t="str">
        <f>IF(Cadastros!G40="","",Cadastros!G40)</f>
        <v>187 - Rolo Postural Grande</v>
      </c>
    </row>
    <row r="44" spans="1:66" s="3" customFormat="1" x14ac:dyDescent="0.3">
      <c r="A44" s="15" t="str">
        <f t="shared" si="0"/>
        <v/>
      </c>
      <c r="B44" s="25"/>
      <c r="C44" s="26"/>
      <c r="D44" s="279"/>
      <c r="E44" s="27"/>
      <c r="F44" s="28"/>
      <c r="G44" s="27"/>
      <c r="H44" s="28"/>
      <c r="I44" s="28"/>
      <c r="J44" s="255" t="str">
        <f>IF(H44="","",(_xlfn.XLOOKUP(H44,Cadastros!$D$6:$D$90,Cadastros!$E$6:$E$90))*(1-_xlfn.XLOOKUP(_xlfn.XLOOKUP($F44,Clientes!$B$4:$B$39,Clientes!$C$4:$C$39),Cadastros!$L$6:$L$12,Cadastros!$N$6:$N$12)))</f>
        <v/>
      </c>
      <c r="K44" s="168" t="str">
        <f t="shared" si="1"/>
        <v/>
      </c>
      <c r="L44" s="168" t="str">
        <f>IFERROR(K44/_xlfn.XLOOKUP(_xlfn.XLOOKUP($F44,Clientes!$B$4:$B$39,Clientes!$C$4:$C$39),Cadastros!$L$6:$L$12,Cadastros!$M$6:$M$12)," ")</f>
        <v xml:space="preserve"> </v>
      </c>
      <c r="M44" s="28"/>
      <c r="N44" s="28"/>
      <c r="O44" s="255" t="str">
        <f>IF(M44="","",(_xlfn.XLOOKUP(M44,Cadastros!$D$6:$D$90,Cadastros!$E$6:$E$90))*(1-_xlfn.XLOOKUP(_xlfn.XLOOKUP($F44,Clientes!$B$4:$B$39,Clientes!$C$4:$C$39),Cadastros!$L$6:$L$12,Cadastros!$N$6:$N$12)))</f>
        <v/>
      </c>
      <c r="P44" s="168" t="str">
        <f t="shared" si="2"/>
        <v/>
      </c>
      <c r="Q44" s="168" t="str">
        <f>IFERROR(P44/_xlfn.XLOOKUP(_xlfn.XLOOKUP($F44,Clientes!$B$4:$B$39,Clientes!$C$4:$C$39),Cadastros!$L$6:$L$12,Cadastros!$M$6:$M$12)," ")</f>
        <v xml:space="preserve"> </v>
      </c>
      <c r="R44" s="28"/>
      <c r="S44" s="28"/>
      <c r="T44" s="255" t="str">
        <f>IF(R44="","",(_xlfn.XLOOKUP(R44,Cadastros!$D$6:$D$90,Cadastros!$E$6:$E$90))*(1-_xlfn.XLOOKUP(_xlfn.XLOOKUP($F44,Clientes!$B$4:$B$39,Clientes!$C$4:$C$39),Cadastros!$L$6:$L$12,Cadastros!$N$6:$N$12)))</f>
        <v/>
      </c>
      <c r="U44" s="168" t="str">
        <f t="shared" si="3"/>
        <v/>
      </c>
      <c r="V44" s="168" t="str">
        <f>IFERROR(U44/_xlfn.XLOOKUP(_xlfn.XLOOKUP($F44,Clientes!$B$4:$B$39,Clientes!$C$4:$C$39),Cadastros!$L$6:$L$12,Cadastros!$M$6:$M$12)," ")</f>
        <v xml:space="preserve"> </v>
      </c>
      <c r="W44" s="28"/>
      <c r="X44" s="28"/>
      <c r="Y44" s="255" t="str">
        <f>IF(W44="","",(_xlfn.XLOOKUP(W44,Cadastros!$D$6:$D$90,Cadastros!$E$6:$E$90))*(1-_xlfn.XLOOKUP(_xlfn.XLOOKUP($F44,Clientes!$B$4:$B$39,Clientes!$C$4:$C$39),Cadastros!$L$6:$L$12,Cadastros!$N$6:$N$12)))</f>
        <v/>
      </c>
      <c r="Z44" s="168" t="str">
        <f t="shared" si="4"/>
        <v/>
      </c>
      <c r="AA44" s="168" t="str">
        <f>IFERROR(Z44/_xlfn.XLOOKUP(_xlfn.XLOOKUP($F44,Clientes!$B$4:$B$39,Clientes!$C$4:$C$39),Cadastros!$L$6:$L$12,Cadastros!$M$6:$M$12)," ")</f>
        <v xml:space="preserve"> </v>
      </c>
      <c r="AB44" s="28"/>
      <c r="AC44" s="28"/>
      <c r="AD44" s="20" t="str">
        <f>IF(AB44="","",IF($F44="Bernardino Furlan",_xlfn.XLOOKUP(AB44,Cadastros!$G$6:$G$90,Cadastros!$H$6:$H$90)*(1-0.18),IF($F44="Mauro José Salanti",_xlfn.XLOOKUP(AB44,Cadastros!$G$6:$G$90,Cadastros!$H$6:$H$90)*(1-0.18),_xlfn.XLOOKUP(AB44,Cadastros!$G$6:$G$90,Cadastros!$H$6:$H$90))))</f>
        <v/>
      </c>
      <c r="AE44" s="168" t="str">
        <f t="shared" si="5"/>
        <v/>
      </c>
      <c r="AF44" s="168" t="str">
        <f t="shared" si="6"/>
        <v/>
      </c>
      <c r="AG44" s="28"/>
      <c r="AH44" s="28"/>
      <c r="AI44" s="20" t="str">
        <f>IF(AG44="","",IF($F44="Bernardino Furlan",_xlfn.XLOOKUP(AG44,Cadastros!$G$6:$G$90,Cadastros!$H$6:$H$90)*(1-0.18),IF($F44="Mauro José Salanti",_xlfn.XLOOKUP(AG44,Cadastros!$G$6:$G$90,Cadastros!$H$6:$H$90)*(1-0.18),_xlfn.XLOOKUP(AG44,Cadastros!$G$6:$G$90,Cadastros!$H$6:$H$90))))</f>
        <v/>
      </c>
      <c r="AJ44" s="168" t="str">
        <f t="shared" si="7"/>
        <v/>
      </c>
      <c r="AK44" s="168" t="str">
        <f t="shared" si="8"/>
        <v/>
      </c>
      <c r="AL44" s="28"/>
      <c r="AM44" s="28"/>
      <c r="AN44" s="20" t="str">
        <f>IF(AL44="","",IF($F44="Bernardino Furlan",_xlfn.XLOOKUP(AL44,Cadastros!$G$6:$G$90,Cadastros!$H$6:$H$90)*(1-0.18),IF($F44="Mauro José Salanti",_xlfn.XLOOKUP(AL44,Cadastros!$G$6:$G$90,Cadastros!$H$6:$H$90)*(1-0.18),_xlfn.XLOOKUP(AL44,Cadastros!$G$6:$G$90,Cadastros!$H$6:$H$90))))</f>
        <v/>
      </c>
      <c r="AO44" s="168" t="str">
        <f t="shared" si="9"/>
        <v/>
      </c>
      <c r="AP44" s="168" t="str">
        <f t="shared" si="10"/>
        <v/>
      </c>
      <c r="AQ44" s="28"/>
      <c r="AR44" s="28"/>
      <c r="AS44" s="20" t="str">
        <f>IF(AQ44="","",IF($F44="Bernardino Furlan",_xlfn.XLOOKUP(AQ44,Cadastros!$G$6:$G$90,Cadastros!$H$6:$H$90)*(1-0.18),IF($F44="Mauro José Salanti",_xlfn.XLOOKUP(AQ44,Cadastros!$G$6:$G$90,Cadastros!$H$6:$H$90)*(1-0.18),_xlfn.XLOOKUP(AQ44,Cadastros!$G$6:$G$90,Cadastros!$H$6:$H$90))))</f>
        <v/>
      </c>
      <c r="AT44" s="168" t="str">
        <f t="shared" si="11"/>
        <v/>
      </c>
      <c r="AU44" s="168" t="str">
        <f t="shared" si="12"/>
        <v/>
      </c>
      <c r="AV44" s="227"/>
      <c r="AW44" s="30"/>
      <c r="AX44" s="267"/>
      <c r="AY44" s="267"/>
      <c r="AZ44" s="29"/>
      <c r="BA44" s="30"/>
      <c r="BB44" s="23" t="str" cm="1">
        <f t="array" ref="BB44">_xlfn.IFS(AW44="SIM",SUM(K44,P44,U44,Z44,AE44,AJ44,AO44,AT44,AX44,AY44),F44&lt;&gt;"",SUM(K44,P44,U44,Z44,AE44,AJ44,,AO44,AT44),F44="","")</f>
        <v/>
      </c>
      <c r="BC44" s="211" t="str" cm="1">
        <f t="array" ref="BC44">_xlfn.IFS(E44="","",G44&lt;=E44,BB44*(1-0.03),G44&lt;(E44+8),BB44,AZ44="Boleto",BB44*(1+0.001)^DATEDIF(E44,G44,"D"),AZ44="Cheque",BB44,AZ44="Dinheiro","Alterar forma pgto")</f>
        <v/>
      </c>
      <c r="BD44" s="276" t="str" cm="1">
        <f t="array" ref="BD44">IF(F44=0," ",IF(BC44&lt;BB44,(_xlfn.IFS(AW44="SIM",SUM(L44,Q44,V44,AA44,AF44,AK44,AP44,AU44)+AX44/_xlfn.XLOOKUP(_xlfn.XLOOKUP($F44,Clientes!$B$4:$B$39,Clientes!$C$4:$C$39),Cadastros!$L$6:$L$12,Cadastros!$M$6:$M$12)+IF($F44="Bernardino Furlan",AY44/2751.92,IF($F44="Mauro José Salanti",AY44/2751.92,AY44/3356)),F44&lt;&gt;0,SUM(L44,Q44,V44,AA44,AF44,AK44,AP44,AU44)))*(1-0.03),_xlfn.IFS(AW44="SIM",SUM(L44,Q44,V44,AA44,AF44,AK44,AP44,AU44)+AX44/_xlfn.XLOOKUP(_xlfn.XLOOKUP($F44,Clientes!$B$4:$B$39,Clientes!$C$4:$C$39),Cadastros!$L$6:$L$12,Cadastros!$M$6:$M$12)+IF($F44="Bernardino Furlan",AY44/2751.92,IF($F44="Mauro José Salanti",AY44/2751.92,AY44/3356)),F44&lt;&gt;0,SUM(L44,Q44,V44,AA44,AF44,AK44,AP44,AU44))))</f>
        <v xml:space="preserve"> </v>
      </c>
      <c r="BE44" s="120"/>
      <c r="BF44" s="120"/>
      <c r="BG44" s="120"/>
      <c r="BH44" s="32"/>
      <c r="BL44" s="235" t="str">
        <f>IF(Cadastros!D41="","",Cadastros!D41)</f>
        <v/>
      </c>
      <c r="BM44" s="234"/>
      <c r="BN44" s="235" t="str">
        <f>IF(Cadastros!G41="","",Cadastros!G41)</f>
        <v>188 - Cunha Postural</v>
      </c>
    </row>
    <row r="45" spans="1:66" s="3" customFormat="1" x14ac:dyDescent="0.3">
      <c r="A45" s="15" t="str">
        <f t="shared" si="0"/>
        <v/>
      </c>
      <c r="B45" s="25"/>
      <c r="C45" s="26"/>
      <c r="D45" s="279"/>
      <c r="E45" s="27"/>
      <c r="F45" s="28"/>
      <c r="G45" s="27"/>
      <c r="H45" s="28"/>
      <c r="I45" s="28"/>
      <c r="J45" s="255" t="str">
        <f>IF(H45="","",(_xlfn.XLOOKUP(H45,Cadastros!$D$6:$D$90,Cadastros!$E$6:$E$90))*(1-_xlfn.XLOOKUP(_xlfn.XLOOKUP($F45,Clientes!$B$4:$B$39,Clientes!$C$4:$C$39),Cadastros!$L$6:$L$12,Cadastros!$N$6:$N$12)))</f>
        <v/>
      </c>
      <c r="K45" s="168" t="str">
        <f t="shared" si="1"/>
        <v/>
      </c>
      <c r="L45" s="168" t="str">
        <f>IFERROR(K45/_xlfn.XLOOKUP(_xlfn.XLOOKUP($F45,Clientes!$B$4:$B$39,Clientes!$C$4:$C$39),Cadastros!$L$6:$L$12,Cadastros!$M$6:$M$12)," ")</f>
        <v xml:space="preserve"> </v>
      </c>
      <c r="M45" s="28"/>
      <c r="N45" s="28"/>
      <c r="O45" s="255" t="str">
        <f>IF(M45="","",(_xlfn.XLOOKUP(M45,Cadastros!$D$6:$D$90,Cadastros!$E$6:$E$90))*(1-_xlfn.XLOOKUP(_xlfn.XLOOKUP($F45,Clientes!$B$4:$B$39,Clientes!$C$4:$C$39),Cadastros!$L$6:$L$12,Cadastros!$N$6:$N$12)))</f>
        <v/>
      </c>
      <c r="P45" s="168" t="str">
        <f t="shared" si="2"/>
        <v/>
      </c>
      <c r="Q45" s="168" t="str">
        <f>IFERROR(P45/_xlfn.XLOOKUP(_xlfn.XLOOKUP($F45,Clientes!$B$4:$B$39,Clientes!$C$4:$C$39),Cadastros!$L$6:$L$12,Cadastros!$M$6:$M$12)," ")</f>
        <v xml:space="preserve"> </v>
      </c>
      <c r="R45" s="28"/>
      <c r="S45" s="28"/>
      <c r="T45" s="255" t="str">
        <f>IF(R45="","",(_xlfn.XLOOKUP(R45,Cadastros!$D$6:$D$90,Cadastros!$E$6:$E$90))*(1-_xlfn.XLOOKUP(_xlfn.XLOOKUP($F45,Clientes!$B$4:$B$39,Clientes!$C$4:$C$39),Cadastros!$L$6:$L$12,Cadastros!$N$6:$N$12)))</f>
        <v/>
      </c>
      <c r="U45" s="168" t="str">
        <f t="shared" si="3"/>
        <v/>
      </c>
      <c r="V45" s="168" t="str">
        <f>IFERROR(U45/_xlfn.XLOOKUP(_xlfn.XLOOKUP($F45,Clientes!$B$4:$B$39,Clientes!$C$4:$C$39),Cadastros!$L$6:$L$12,Cadastros!$M$6:$M$12)," ")</f>
        <v xml:space="preserve"> </v>
      </c>
      <c r="W45" s="28"/>
      <c r="X45" s="28"/>
      <c r="Y45" s="255" t="str">
        <f>IF(W45="","",(_xlfn.XLOOKUP(W45,Cadastros!$D$6:$D$90,Cadastros!$E$6:$E$90))*(1-_xlfn.XLOOKUP(_xlfn.XLOOKUP($F45,Clientes!$B$4:$B$39,Clientes!$C$4:$C$39),Cadastros!$L$6:$L$12,Cadastros!$N$6:$N$12)))</f>
        <v/>
      </c>
      <c r="Z45" s="168" t="str">
        <f t="shared" si="4"/>
        <v/>
      </c>
      <c r="AA45" s="168" t="str">
        <f>IFERROR(Z45/_xlfn.XLOOKUP(_xlfn.XLOOKUP($F45,Clientes!$B$4:$B$39,Clientes!$C$4:$C$39),Cadastros!$L$6:$L$12,Cadastros!$M$6:$M$12)," ")</f>
        <v xml:space="preserve"> </v>
      </c>
      <c r="AB45" s="28"/>
      <c r="AC45" s="28"/>
      <c r="AD45" s="20" t="str">
        <f>IF(AB45="","",IF($F45="Bernardino Furlan",_xlfn.XLOOKUP(AB45,Cadastros!$G$6:$G$90,Cadastros!$H$6:$H$90)*(1-0.18),IF($F45="Mauro José Salanti",_xlfn.XLOOKUP(AB45,Cadastros!$G$6:$G$90,Cadastros!$H$6:$H$90)*(1-0.18),_xlfn.XLOOKUP(AB45,Cadastros!$G$6:$G$90,Cadastros!$H$6:$H$90))))</f>
        <v/>
      </c>
      <c r="AE45" s="168" t="str">
        <f t="shared" si="5"/>
        <v/>
      </c>
      <c r="AF45" s="168" t="str">
        <f t="shared" si="6"/>
        <v/>
      </c>
      <c r="AG45" s="28"/>
      <c r="AH45" s="28"/>
      <c r="AI45" s="20" t="str">
        <f>IF(AG45="","",IF($F45="Bernardino Furlan",_xlfn.XLOOKUP(AG45,Cadastros!$G$6:$G$90,Cadastros!$H$6:$H$90)*(1-0.18),IF($F45="Mauro José Salanti",_xlfn.XLOOKUP(AG45,Cadastros!$G$6:$G$90,Cadastros!$H$6:$H$90)*(1-0.18),_xlfn.XLOOKUP(AG45,Cadastros!$G$6:$G$90,Cadastros!$H$6:$H$90))))</f>
        <v/>
      </c>
      <c r="AJ45" s="168" t="str">
        <f t="shared" si="7"/>
        <v/>
      </c>
      <c r="AK45" s="168" t="str">
        <f t="shared" si="8"/>
        <v/>
      </c>
      <c r="AL45" s="28"/>
      <c r="AM45" s="28"/>
      <c r="AN45" s="20" t="str">
        <f>IF(AL45="","",IF($F45="Bernardino Furlan",_xlfn.XLOOKUP(AL45,Cadastros!$G$6:$G$90,Cadastros!$H$6:$H$90)*(1-0.18),IF($F45="Mauro José Salanti",_xlfn.XLOOKUP(AL45,Cadastros!$G$6:$G$90,Cadastros!$H$6:$H$90)*(1-0.18),_xlfn.XLOOKUP(AL45,Cadastros!$G$6:$G$90,Cadastros!$H$6:$H$90))))</f>
        <v/>
      </c>
      <c r="AO45" s="168" t="str">
        <f t="shared" si="9"/>
        <v/>
      </c>
      <c r="AP45" s="168" t="str">
        <f t="shared" si="10"/>
        <v/>
      </c>
      <c r="AQ45" s="28"/>
      <c r="AR45" s="28"/>
      <c r="AS45" s="20" t="str">
        <f>IF(AQ45="","",IF($F45="Bernardino Furlan",_xlfn.XLOOKUP(AQ45,Cadastros!$G$6:$G$90,Cadastros!$H$6:$H$90)*(1-0.18),IF($F45="Mauro José Salanti",_xlfn.XLOOKUP(AQ45,Cadastros!$G$6:$G$90,Cadastros!$H$6:$H$90)*(1-0.18),_xlfn.XLOOKUP(AQ45,Cadastros!$G$6:$G$90,Cadastros!$H$6:$H$90))))</f>
        <v/>
      </c>
      <c r="AT45" s="168" t="str">
        <f t="shared" si="11"/>
        <v/>
      </c>
      <c r="AU45" s="168" t="str">
        <f t="shared" si="12"/>
        <v/>
      </c>
      <c r="AV45" s="227"/>
      <c r="AW45" s="30"/>
      <c r="AX45" s="267"/>
      <c r="AY45" s="267"/>
      <c r="AZ45" s="29"/>
      <c r="BA45" s="30"/>
      <c r="BB45" s="23" t="str" cm="1">
        <f t="array" ref="BB45">_xlfn.IFS(AW45="SIM",SUM(K45,P45,U45,Z45,AE45,AJ45,AO45,AT45,AX45,AY45),F45&lt;&gt;"",SUM(K45,P45,U45,Z45,AE45,AJ45,,AO45,AT45),F45="","")</f>
        <v/>
      </c>
      <c r="BC45" s="211" t="str" cm="1">
        <f t="array" ref="BC45">_xlfn.IFS(E45="","",G45&lt;=E45,BB45*(1-0.03),G45&lt;(E45+8),BB45,AZ45="Boleto",BB45*(1+0.001)^DATEDIF(E45,G45,"D"),AZ45="Cheque",BB45,AZ45="Dinheiro","Alterar forma pgto")</f>
        <v/>
      </c>
      <c r="BD45" s="276" t="str" cm="1">
        <f t="array" ref="BD45">IF(F45=0," ",IF(BC45&lt;BB45,(_xlfn.IFS(AW45="SIM",SUM(L45,Q45,V45,AA45,AF45,AK45,AP45,AU45)+AX45/_xlfn.XLOOKUP(_xlfn.XLOOKUP($F45,Clientes!$B$4:$B$39,Clientes!$C$4:$C$39),Cadastros!$L$6:$L$12,Cadastros!$M$6:$M$12)+IF($F45="Bernardino Furlan",AY45/2751.92,IF($F45="Mauro José Salanti",AY45/2751.92,AY45/3356)),F45&lt;&gt;0,SUM(L45,Q45,V45,AA45,AF45,AK45,AP45,AU45)))*(1-0.03),_xlfn.IFS(AW45="SIM",SUM(L45,Q45,V45,AA45,AF45,AK45,AP45,AU45)+AX45/_xlfn.XLOOKUP(_xlfn.XLOOKUP($F45,Clientes!$B$4:$B$39,Clientes!$C$4:$C$39),Cadastros!$L$6:$L$12,Cadastros!$M$6:$M$12)+IF($F45="Bernardino Furlan",AY45/2751.92,IF($F45="Mauro José Salanti",AY45/2751.92,AY45/3356)),F45&lt;&gt;0,SUM(L45,Q45,V45,AA45,AF45,AK45,AP45,AU45))))</f>
        <v xml:space="preserve"> </v>
      </c>
      <c r="BE45" s="120"/>
      <c r="BF45" s="120"/>
      <c r="BG45" s="120"/>
      <c r="BH45" s="32"/>
      <c r="BL45" s="233" t="str">
        <f>IF(Cadastros!D42="","",Cadastros!D42)</f>
        <v>LONHA ORTOPÉDICO</v>
      </c>
      <c r="BM45" s="234"/>
      <c r="BN45" s="235" t="str">
        <f>IF(Cadastros!G42="","",Cadastros!G42)</f>
        <v>230 - Almofada Com Infravermelho</v>
      </c>
    </row>
    <row r="46" spans="1:66" s="3" customFormat="1" x14ac:dyDescent="0.3">
      <c r="A46" s="15" t="str">
        <f t="shared" si="0"/>
        <v/>
      </c>
      <c r="B46" s="25"/>
      <c r="C46" s="26"/>
      <c r="D46" s="279"/>
      <c r="E46" s="27"/>
      <c r="F46" s="28"/>
      <c r="G46" s="27"/>
      <c r="H46" s="28"/>
      <c r="I46" s="28"/>
      <c r="J46" s="255" t="str">
        <f>IF(H46="","",(_xlfn.XLOOKUP(H46,Cadastros!$D$6:$D$90,Cadastros!$E$6:$E$90))*(1-_xlfn.XLOOKUP(_xlfn.XLOOKUP($F46,Clientes!$B$4:$B$39,Clientes!$C$4:$C$39),Cadastros!$L$6:$L$12,Cadastros!$N$6:$N$12)))</f>
        <v/>
      </c>
      <c r="K46" s="168" t="str">
        <f t="shared" si="1"/>
        <v/>
      </c>
      <c r="L46" s="168" t="str">
        <f>IFERROR(K46/_xlfn.XLOOKUP(_xlfn.XLOOKUP($F46,Clientes!$B$4:$B$39,Clientes!$C$4:$C$39),Cadastros!$L$6:$L$12,Cadastros!$M$6:$M$12)," ")</f>
        <v xml:space="preserve"> </v>
      </c>
      <c r="M46" s="28"/>
      <c r="N46" s="28"/>
      <c r="O46" s="255" t="str">
        <f>IF(M46="","",(_xlfn.XLOOKUP(M46,Cadastros!$D$6:$D$90,Cadastros!$E$6:$E$90))*(1-_xlfn.XLOOKUP(_xlfn.XLOOKUP($F46,Clientes!$B$4:$B$39,Clientes!$C$4:$C$39),Cadastros!$L$6:$L$12,Cadastros!$N$6:$N$12)))</f>
        <v/>
      </c>
      <c r="P46" s="168" t="str">
        <f t="shared" si="2"/>
        <v/>
      </c>
      <c r="Q46" s="168" t="str">
        <f>IFERROR(P46/_xlfn.XLOOKUP(_xlfn.XLOOKUP($F46,Clientes!$B$4:$B$39,Clientes!$C$4:$C$39),Cadastros!$L$6:$L$12,Cadastros!$M$6:$M$12)," ")</f>
        <v xml:space="preserve"> </v>
      </c>
      <c r="R46" s="28"/>
      <c r="S46" s="28"/>
      <c r="T46" s="255" t="str">
        <f>IF(R46="","",(_xlfn.XLOOKUP(R46,Cadastros!$D$6:$D$90,Cadastros!$E$6:$E$90))*(1-_xlfn.XLOOKUP(_xlfn.XLOOKUP($F46,Clientes!$B$4:$B$39,Clientes!$C$4:$C$39),Cadastros!$L$6:$L$12,Cadastros!$N$6:$N$12)))</f>
        <v/>
      </c>
      <c r="U46" s="168" t="str">
        <f t="shared" si="3"/>
        <v/>
      </c>
      <c r="V46" s="168" t="str">
        <f>IFERROR(U46/_xlfn.XLOOKUP(_xlfn.XLOOKUP($F46,Clientes!$B$4:$B$39,Clientes!$C$4:$C$39),Cadastros!$L$6:$L$12,Cadastros!$M$6:$M$12)," ")</f>
        <v xml:space="preserve"> </v>
      </c>
      <c r="W46" s="28"/>
      <c r="X46" s="28"/>
      <c r="Y46" s="255" t="str">
        <f>IF(W46="","",(_xlfn.XLOOKUP(W46,Cadastros!$D$6:$D$90,Cadastros!$E$6:$E$90))*(1-_xlfn.XLOOKUP(_xlfn.XLOOKUP($F46,Clientes!$B$4:$B$39,Clientes!$C$4:$C$39),Cadastros!$L$6:$L$12,Cadastros!$N$6:$N$12)))</f>
        <v/>
      </c>
      <c r="Z46" s="168" t="str">
        <f t="shared" si="4"/>
        <v/>
      </c>
      <c r="AA46" s="168" t="str">
        <f>IFERROR(Z46/_xlfn.XLOOKUP(_xlfn.XLOOKUP($F46,Clientes!$B$4:$B$39,Clientes!$C$4:$C$39),Cadastros!$L$6:$L$12,Cadastros!$M$6:$M$12)," ")</f>
        <v xml:space="preserve"> </v>
      </c>
      <c r="AB46" s="28"/>
      <c r="AC46" s="28"/>
      <c r="AD46" s="20" t="str">
        <f>IF(AB46="","",IF($F46="Bernardino Furlan",_xlfn.XLOOKUP(AB46,Cadastros!$G$6:$G$90,Cadastros!$H$6:$H$90)*(1-0.18),IF($F46="Mauro José Salanti",_xlfn.XLOOKUP(AB46,Cadastros!$G$6:$G$90,Cadastros!$H$6:$H$90)*(1-0.18),_xlfn.XLOOKUP(AB46,Cadastros!$G$6:$G$90,Cadastros!$H$6:$H$90))))</f>
        <v/>
      </c>
      <c r="AE46" s="168" t="str">
        <f t="shared" si="5"/>
        <v/>
      </c>
      <c r="AF46" s="168" t="str">
        <f t="shared" si="6"/>
        <v/>
      </c>
      <c r="AG46" s="28"/>
      <c r="AH46" s="28"/>
      <c r="AI46" s="20" t="str">
        <f>IF(AG46="","",IF($F46="Bernardino Furlan",_xlfn.XLOOKUP(AG46,Cadastros!$G$6:$G$90,Cadastros!$H$6:$H$90)*(1-0.18),IF($F46="Mauro José Salanti",_xlfn.XLOOKUP(AG46,Cadastros!$G$6:$G$90,Cadastros!$H$6:$H$90)*(1-0.18),_xlfn.XLOOKUP(AG46,Cadastros!$G$6:$G$90,Cadastros!$H$6:$H$90))))</f>
        <v/>
      </c>
      <c r="AJ46" s="168" t="str">
        <f t="shared" si="7"/>
        <v/>
      </c>
      <c r="AK46" s="168" t="str">
        <f t="shared" si="8"/>
        <v/>
      </c>
      <c r="AL46" s="28"/>
      <c r="AM46" s="28"/>
      <c r="AN46" s="20" t="str">
        <f>IF(AL46="","",IF($F46="Bernardino Furlan",_xlfn.XLOOKUP(AL46,Cadastros!$G$6:$G$90,Cadastros!$H$6:$H$90)*(1-0.18),IF($F46="Mauro José Salanti",_xlfn.XLOOKUP(AL46,Cadastros!$G$6:$G$90,Cadastros!$H$6:$H$90)*(1-0.18),_xlfn.XLOOKUP(AL46,Cadastros!$G$6:$G$90,Cadastros!$H$6:$H$90))))</f>
        <v/>
      </c>
      <c r="AO46" s="168" t="str">
        <f t="shared" si="9"/>
        <v/>
      </c>
      <c r="AP46" s="168" t="str">
        <f t="shared" si="10"/>
        <v/>
      </c>
      <c r="AQ46" s="28"/>
      <c r="AR46" s="28"/>
      <c r="AS46" s="20" t="str">
        <f>IF(AQ46="","",IF($F46="Bernardino Furlan",_xlfn.XLOOKUP(AQ46,Cadastros!$G$6:$G$90,Cadastros!$H$6:$H$90)*(1-0.18),IF($F46="Mauro José Salanti",_xlfn.XLOOKUP(AQ46,Cadastros!$G$6:$G$90,Cadastros!$H$6:$H$90)*(1-0.18),_xlfn.XLOOKUP(AQ46,Cadastros!$G$6:$G$90,Cadastros!$H$6:$H$90))))</f>
        <v/>
      </c>
      <c r="AT46" s="168" t="str">
        <f t="shared" si="11"/>
        <v/>
      </c>
      <c r="AU46" s="168" t="str">
        <f t="shared" si="12"/>
        <v/>
      </c>
      <c r="AV46" s="227"/>
      <c r="AW46" s="30"/>
      <c r="AX46" s="267"/>
      <c r="AY46" s="267"/>
      <c r="AZ46" s="29"/>
      <c r="BA46" s="30"/>
      <c r="BB46" s="23" t="str" cm="1">
        <f t="array" ref="BB46">_xlfn.IFS(AW46="SIM",SUM(K46,P46,U46,Z46,AE46,AJ46,AO46,AT46,AX46,AY46),F46&lt;&gt;"",SUM(K46,P46,U46,Z46,AE46,AJ46,,AO46,AT46),F46="","")</f>
        <v/>
      </c>
      <c r="BC46" s="211" t="str" cm="1">
        <f t="array" ref="BC46">_xlfn.IFS(E46="","",G46&lt;=E46,BB46*(1-0.03),G46&lt;(E46+8),BB46,AZ46="Boleto",BB46*(1+0.001)^DATEDIF(E46,G46,"D"),AZ46="Cheque",BB46,AZ46="Dinheiro","Alterar forma pgto")</f>
        <v/>
      </c>
      <c r="BD46" s="276" t="str" cm="1">
        <f t="array" ref="BD46">IF(F46=0," ",IF(BC46&lt;BB46,(_xlfn.IFS(AW46="SIM",SUM(L46,Q46,V46,AA46,AF46,AK46,AP46,AU46)+AX46/_xlfn.XLOOKUP(_xlfn.XLOOKUP($F46,Clientes!$B$4:$B$39,Clientes!$C$4:$C$39),Cadastros!$L$6:$L$12,Cadastros!$M$6:$M$12)+IF($F46="Bernardino Furlan",AY46/2751.92,IF($F46="Mauro José Salanti",AY46/2751.92,AY46/3356)),F46&lt;&gt;0,SUM(L46,Q46,V46,AA46,AF46,AK46,AP46,AU46)))*(1-0.03),_xlfn.IFS(AW46="SIM",SUM(L46,Q46,V46,AA46,AF46,AK46,AP46,AU46)+AX46/_xlfn.XLOOKUP(_xlfn.XLOOKUP($F46,Clientes!$B$4:$B$39,Clientes!$C$4:$C$39),Cadastros!$L$6:$L$12,Cadastros!$M$6:$M$12)+IF($F46="Bernardino Furlan",AY46/2751.92,IF($F46="Mauro José Salanti",AY46/2751.92,AY46/3356)),F46&lt;&gt;0,SUM(L46,Q46,V46,AA46,AF46,AK46,AP46,AU46))))</f>
        <v xml:space="preserve"> </v>
      </c>
      <c r="BE46" s="120"/>
      <c r="BF46" s="120"/>
      <c r="BG46" s="120"/>
      <c r="BH46" s="32"/>
      <c r="BL46" s="235" t="str">
        <f>IF(Cadastros!D43="","",Cadastros!D43)</f>
        <v xml:space="preserve">20101 - Colchão Aconchego 088 X 188 X 019 cm </v>
      </c>
      <c r="BM46" s="234"/>
      <c r="BN46" s="235" t="str">
        <f>IF(Cadastros!G43="","",Cadastros!G43)</f>
        <v>184 - Almofada Terapêutica</v>
      </c>
    </row>
    <row r="47" spans="1:66" s="3" customFormat="1" x14ac:dyDescent="0.3">
      <c r="A47" s="15" t="str">
        <f t="shared" si="0"/>
        <v/>
      </c>
      <c r="B47" s="25"/>
      <c r="C47" s="26"/>
      <c r="D47" s="279"/>
      <c r="E47" s="27"/>
      <c r="F47" s="28"/>
      <c r="G47" s="27"/>
      <c r="H47" s="28"/>
      <c r="I47" s="28"/>
      <c r="J47" s="255" t="str">
        <f>IF(H47="","",(_xlfn.XLOOKUP(H47,Cadastros!$D$6:$D$90,Cadastros!$E$6:$E$90))*(1-_xlfn.XLOOKUP(_xlfn.XLOOKUP($F47,Clientes!$B$4:$B$39,Clientes!$C$4:$C$39),Cadastros!$L$6:$L$12,Cadastros!$N$6:$N$12)))</f>
        <v/>
      </c>
      <c r="K47" s="168" t="str">
        <f t="shared" si="1"/>
        <v/>
      </c>
      <c r="L47" s="168" t="str">
        <f>IFERROR(K47/_xlfn.XLOOKUP(_xlfn.XLOOKUP($F47,Clientes!$B$4:$B$39,Clientes!$C$4:$C$39),Cadastros!$L$6:$L$12,Cadastros!$M$6:$M$12)," ")</f>
        <v xml:space="preserve"> </v>
      </c>
      <c r="M47" s="28"/>
      <c r="N47" s="28"/>
      <c r="O47" s="255" t="str">
        <f>IF(M47="","",(_xlfn.XLOOKUP(M47,Cadastros!$D$6:$D$90,Cadastros!$E$6:$E$90))*(1-_xlfn.XLOOKUP(_xlfn.XLOOKUP($F47,Clientes!$B$4:$B$39,Clientes!$C$4:$C$39),Cadastros!$L$6:$L$12,Cadastros!$N$6:$N$12)))</f>
        <v/>
      </c>
      <c r="P47" s="168" t="str">
        <f t="shared" si="2"/>
        <v/>
      </c>
      <c r="Q47" s="168" t="str">
        <f>IFERROR(P47/_xlfn.XLOOKUP(_xlfn.XLOOKUP($F47,Clientes!$B$4:$B$39,Clientes!$C$4:$C$39),Cadastros!$L$6:$L$12,Cadastros!$M$6:$M$12)," ")</f>
        <v xml:space="preserve"> </v>
      </c>
      <c r="R47" s="28"/>
      <c r="S47" s="28"/>
      <c r="T47" s="255" t="str">
        <f>IF(R47="","",(_xlfn.XLOOKUP(R47,Cadastros!$D$6:$D$90,Cadastros!$E$6:$E$90))*(1-_xlfn.XLOOKUP(_xlfn.XLOOKUP($F47,Clientes!$B$4:$B$39,Clientes!$C$4:$C$39),Cadastros!$L$6:$L$12,Cadastros!$N$6:$N$12)))</f>
        <v/>
      </c>
      <c r="U47" s="168" t="str">
        <f t="shared" si="3"/>
        <v/>
      </c>
      <c r="V47" s="168" t="str">
        <f>IFERROR(U47/_xlfn.XLOOKUP(_xlfn.XLOOKUP($F47,Clientes!$B$4:$B$39,Clientes!$C$4:$C$39),Cadastros!$L$6:$L$12,Cadastros!$M$6:$M$12)," ")</f>
        <v xml:space="preserve"> </v>
      </c>
      <c r="W47" s="28"/>
      <c r="X47" s="28"/>
      <c r="Y47" s="255" t="str">
        <f>IF(W47="","",(_xlfn.XLOOKUP(W47,Cadastros!$D$6:$D$90,Cadastros!$E$6:$E$90))*(1-_xlfn.XLOOKUP(_xlfn.XLOOKUP($F47,Clientes!$B$4:$B$39,Clientes!$C$4:$C$39),Cadastros!$L$6:$L$12,Cadastros!$N$6:$N$12)))</f>
        <v/>
      </c>
      <c r="Z47" s="168" t="str">
        <f t="shared" si="4"/>
        <v/>
      </c>
      <c r="AA47" s="168" t="str">
        <f>IFERROR(Z47/_xlfn.XLOOKUP(_xlfn.XLOOKUP($F47,Clientes!$B$4:$B$39,Clientes!$C$4:$C$39),Cadastros!$L$6:$L$12,Cadastros!$M$6:$M$12)," ")</f>
        <v xml:space="preserve"> </v>
      </c>
      <c r="AB47" s="28"/>
      <c r="AC47" s="28"/>
      <c r="AD47" s="20" t="str">
        <f>IF(AB47="","",IF($F47="Bernardino Furlan",_xlfn.XLOOKUP(AB47,Cadastros!$G$6:$G$90,Cadastros!$H$6:$H$90)*(1-0.18),IF($F47="Mauro José Salanti",_xlfn.XLOOKUP(AB47,Cadastros!$G$6:$G$90,Cadastros!$H$6:$H$90)*(1-0.18),_xlfn.XLOOKUP(AB47,Cadastros!$G$6:$G$90,Cadastros!$H$6:$H$90))))</f>
        <v/>
      </c>
      <c r="AE47" s="168" t="str">
        <f t="shared" si="5"/>
        <v/>
      </c>
      <c r="AF47" s="168" t="str">
        <f t="shared" si="6"/>
        <v/>
      </c>
      <c r="AG47" s="28"/>
      <c r="AH47" s="28"/>
      <c r="AI47" s="20" t="str">
        <f>IF(AG47="","",IF($F47="Bernardino Furlan",_xlfn.XLOOKUP(AG47,Cadastros!$G$6:$G$90,Cadastros!$H$6:$H$90)*(1-0.18),IF($F47="Mauro José Salanti",_xlfn.XLOOKUP(AG47,Cadastros!$G$6:$G$90,Cadastros!$H$6:$H$90)*(1-0.18),_xlfn.XLOOKUP(AG47,Cadastros!$G$6:$G$90,Cadastros!$H$6:$H$90))))</f>
        <v/>
      </c>
      <c r="AJ47" s="168" t="str">
        <f t="shared" si="7"/>
        <v/>
      </c>
      <c r="AK47" s="168" t="str">
        <f t="shared" si="8"/>
        <v/>
      </c>
      <c r="AL47" s="28"/>
      <c r="AM47" s="28"/>
      <c r="AN47" s="20" t="str">
        <f>IF(AL47="","",IF($F47="Bernardino Furlan",_xlfn.XLOOKUP(AL47,Cadastros!$G$6:$G$90,Cadastros!$H$6:$H$90)*(1-0.18),IF($F47="Mauro José Salanti",_xlfn.XLOOKUP(AL47,Cadastros!$G$6:$G$90,Cadastros!$H$6:$H$90)*(1-0.18),_xlfn.XLOOKUP(AL47,Cadastros!$G$6:$G$90,Cadastros!$H$6:$H$90))))</f>
        <v/>
      </c>
      <c r="AO47" s="168" t="str">
        <f t="shared" si="9"/>
        <v/>
      </c>
      <c r="AP47" s="168" t="str">
        <f t="shared" si="10"/>
        <v/>
      </c>
      <c r="AQ47" s="28"/>
      <c r="AR47" s="28"/>
      <c r="AS47" s="20" t="str">
        <f>IF(AQ47="","",IF($F47="Bernardino Furlan",_xlfn.XLOOKUP(AQ47,Cadastros!$G$6:$G$90,Cadastros!$H$6:$H$90)*(1-0.18),IF($F47="Mauro José Salanti",_xlfn.XLOOKUP(AQ47,Cadastros!$G$6:$G$90,Cadastros!$H$6:$H$90)*(1-0.18),_xlfn.XLOOKUP(AQ47,Cadastros!$G$6:$G$90,Cadastros!$H$6:$H$90))))</f>
        <v/>
      </c>
      <c r="AT47" s="168" t="str">
        <f t="shared" si="11"/>
        <v/>
      </c>
      <c r="AU47" s="168" t="str">
        <f t="shared" si="12"/>
        <v/>
      </c>
      <c r="AV47" s="227"/>
      <c r="AW47" s="30"/>
      <c r="AX47" s="267"/>
      <c r="AY47" s="267"/>
      <c r="AZ47" s="29"/>
      <c r="BA47" s="30"/>
      <c r="BB47" s="23" t="str" cm="1">
        <f t="array" ref="BB47">_xlfn.IFS(AW47="SIM",SUM(K47,P47,U47,Z47,AE47,AJ47,AO47,AT47,AX47,AY47),F47&lt;&gt;"",SUM(K47,P47,U47,Z47,AE47,AJ47,,AO47,AT47),F47="","")</f>
        <v/>
      </c>
      <c r="BC47" s="211" t="str" cm="1">
        <f t="array" ref="BC47">_xlfn.IFS(E47="","",G47&lt;=E47,BB47*(1-0.03),G47&lt;(E47+8),BB47,AZ47="Boleto",BB47*(1+0.001)^DATEDIF(E47,G47,"D"),AZ47="Cheque",BB47,AZ47="Dinheiro","Alterar forma pgto")</f>
        <v/>
      </c>
      <c r="BD47" s="276" t="str" cm="1">
        <f t="array" ref="BD47">IF(F47=0," ",IF(BC47&lt;BB47,(_xlfn.IFS(AW47="SIM",SUM(L47,Q47,V47,AA47,AF47,AK47,AP47,AU47)+AX47/_xlfn.XLOOKUP(_xlfn.XLOOKUP($F47,Clientes!$B$4:$B$39,Clientes!$C$4:$C$39),Cadastros!$L$6:$L$12,Cadastros!$M$6:$M$12)+IF($F47="Bernardino Furlan",AY47/2751.92,IF($F47="Mauro José Salanti",AY47/2751.92,AY47/3356)),F47&lt;&gt;0,SUM(L47,Q47,V47,AA47,AF47,AK47,AP47,AU47)))*(1-0.03),_xlfn.IFS(AW47="SIM",SUM(L47,Q47,V47,AA47,AF47,AK47,AP47,AU47)+AX47/_xlfn.XLOOKUP(_xlfn.XLOOKUP($F47,Clientes!$B$4:$B$39,Clientes!$C$4:$C$39),Cadastros!$L$6:$L$12,Cadastros!$M$6:$M$12)+IF($F47="Bernardino Furlan",AY47/2751.92,IF($F47="Mauro José Salanti",AY47/2751.92,AY47/3356)),F47&lt;&gt;0,SUM(L47,Q47,V47,AA47,AF47,AK47,AP47,AU47))))</f>
        <v xml:space="preserve"> </v>
      </c>
      <c r="BE47" s="120"/>
      <c r="BF47" s="120"/>
      <c r="BG47" s="120"/>
      <c r="BH47" s="32"/>
      <c r="BL47" s="235" t="str">
        <f>IF(Cadastros!D44="","",Cadastros!D44)</f>
        <v xml:space="preserve">20102 - Colchão Aconchego 138 X 188 X 019 cm </v>
      </c>
      <c r="BM47" s="234"/>
      <c r="BN47" s="235" t="str">
        <f>IF(Cadastros!G44="","",Cadastros!G44)</f>
        <v>232 - Assento De Carro 98 X 45</v>
      </c>
    </row>
    <row r="48" spans="1:66" s="3" customFormat="1" x14ac:dyDescent="0.3">
      <c r="A48" s="15" t="str">
        <f t="shared" si="0"/>
        <v/>
      </c>
      <c r="B48" s="25"/>
      <c r="C48" s="26"/>
      <c r="D48" s="279"/>
      <c r="E48" s="27"/>
      <c r="F48" s="28"/>
      <c r="G48" s="27"/>
      <c r="H48" s="28"/>
      <c r="I48" s="28"/>
      <c r="J48" s="255" t="str">
        <f>IF(H48="","",(_xlfn.XLOOKUP(H48,Cadastros!$D$6:$D$90,Cadastros!$E$6:$E$90))*(1-_xlfn.XLOOKUP(_xlfn.XLOOKUP($F48,Clientes!$B$4:$B$39,Clientes!$C$4:$C$39),Cadastros!$L$6:$L$12,Cadastros!$N$6:$N$12)))</f>
        <v/>
      </c>
      <c r="K48" s="168" t="str">
        <f t="shared" si="1"/>
        <v/>
      </c>
      <c r="L48" s="168" t="str">
        <f>IFERROR(K48/_xlfn.XLOOKUP(_xlfn.XLOOKUP($F48,Clientes!$B$4:$B$39,Clientes!$C$4:$C$39),Cadastros!$L$6:$L$12,Cadastros!$M$6:$M$12)," ")</f>
        <v xml:space="preserve"> </v>
      </c>
      <c r="M48" s="28"/>
      <c r="N48" s="28"/>
      <c r="O48" s="255" t="str">
        <f>IF(M48="","",(_xlfn.XLOOKUP(M48,Cadastros!$D$6:$D$90,Cadastros!$E$6:$E$90))*(1-_xlfn.XLOOKUP(_xlfn.XLOOKUP($F48,Clientes!$B$4:$B$39,Clientes!$C$4:$C$39),Cadastros!$L$6:$L$12,Cadastros!$N$6:$N$12)))</f>
        <v/>
      </c>
      <c r="P48" s="168" t="str">
        <f t="shared" si="2"/>
        <v/>
      </c>
      <c r="Q48" s="168" t="str">
        <f>IFERROR(P48/_xlfn.XLOOKUP(_xlfn.XLOOKUP($F48,Clientes!$B$4:$B$39,Clientes!$C$4:$C$39),Cadastros!$L$6:$L$12,Cadastros!$M$6:$M$12)," ")</f>
        <v xml:space="preserve"> </v>
      </c>
      <c r="R48" s="28"/>
      <c r="S48" s="28"/>
      <c r="T48" s="255" t="str">
        <f>IF(R48="","",(_xlfn.XLOOKUP(R48,Cadastros!$D$6:$D$90,Cadastros!$E$6:$E$90))*(1-_xlfn.XLOOKUP(_xlfn.XLOOKUP($F48,Clientes!$B$4:$B$39,Clientes!$C$4:$C$39),Cadastros!$L$6:$L$12,Cadastros!$N$6:$N$12)))</f>
        <v/>
      </c>
      <c r="U48" s="168" t="str">
        <f t="shared" si="3"/>
        <v/>
      </c>
      <c r="V48" s="168" t="str">
        <f>IFERROR(U48/_xlfn.XLOOKUP(_xlfn.XLOOKUP($F48,Clientes!$B$4:$B$39,Clientes!$C$4:$C$39),Cadastros!$L$6:$L$12,Cadastros!$M$6:$M$12)," ")</f>
        <v xml:space="preserve"> </v>
      </c>
      <c r="W48" s="28"/>
      <c r="X48" s="28"/>
      <c r="Y48" s="255" t="str">
        <f>IF(W48="","",(_xlfn.XLOOKUP(W48,Cadastros!$D$6:$D$90,Cadastros!$E$6:$E$90))*(1-_xlfn.XLOOKUP(_xlfn.XLOOKUP($F48,Clientes!$B$4:$B$39,Clientes!$C$4:$C$39),Cadastros!$L$6:$L$12,Cadastros!$N$6:$N$12)))</f>
        <v/>
      </c>
      <c r="Z48" s="168" t="str">
        <f t="shared" si="4"/>
        <v/>
      </c>
      <c r="AA48" s="168" t="str">
        <f>IFERROR(Z48/_xlfn.XLOOKUP(_xlfn.XLOOKUP($F48,Clientes!$B$4:$B$39,Clientes!$C$4:$C$39),Cadastros!$L$6:$L$12,Cadastros!$M$6:$M$12)," ")</f>
        <v xml:space="preserve"> </v>
      </c>
      <c r="AB48" s="28"/>
      <c r="AC48" s="28"/>
      <c r="AD48" s="20" t="str">
        <f>IF(AB48="","",IF($F48="Bernardino Furlan",_xlfn.XLOOKUP(AB48,Cadastros!$G$6:$G$90,Cadastros!$H$6:$H$90)*(1-0.18),IF($F48="Mauro José Salanti",_xlfn.XLOOKUP(AB48,Cadastros!$G$6:$G$90,Cadastros!$H$6:$H$90)*(1-0.18),_xlfn.XLOOKUP(AB48,Cadastros!$G$6:$G$90,Cadastros!$H$6:$H$90))))</f>
        <v/>
      </c>
      <c r="AE48" s="168" t="str">
        <f t="shared" si="5"/>
        <v/>
      </c>
      <c r="AF48" s="168" t="str">
        <f t="shared" si="6"/>
        <v/>
      </c>
      <c r="AG48" s="28"/>
      <c r="AH48" s="28"/>
      <c r="AI48" s="20" t="str">
        <f>IF(AG48="","",IF($F48="Bernardino Furlan",_xlfn.XLOOKUP(AG48,Cadastros!$G$6:$G$90,Cadastros!$H$6:$H$90)*(1-0.18),IF($F48="Mauro José Salanti",_xlfn.XLOOKUP(AG48,Cadastros!$G$6:$G$90,Cadastros!$H$6:$H$90)*(1-0.18),_xlfn.XLOOKUP(AG48,Cadastros!$G$6:$G$90,Cadastros!$H$6:$H$90))))</f>
        <v/>
      </c>
      <c r="AJ48" s="168" t="str">
        <f t="shared" si="7"/>
        <v/>
      </c>
      <c r="AK48" s="168" t="str">
        <f t="shared" si="8"/>
        <v/>
      </c>
      <c r="AL48" s="28"/>
      <c r="AM48" s="28"/>
      <c r="AN48" s="20" t="str">
        <f>IF(AL48="","",IF($F48="Bernardino Furlan",_xlfn.XLOOKUP(AL48,Cadastros!$G$6:$G$90,Cadastros!$H$6:$H$90)*(1-0.18),IF($F48="Mauro José Salanti",_xlfn.XLOOKUP(AL48,Cadastros!$G$6:$G$90,Cadastros!$H$6:$H$90)*(1-0.18),_xlfn.XLOOKUP(AL48,Cadastros!$G$6:$G$90,Cadastros!$H$6:$H$90))))</f>
        <v/>
      </c>
      <c r="AO48" s="168" t="str">
        <f t="shared" si="9"/>
        <v/>
      </c>
      <c r="AP48" s="168" t="str">
        <f t="shared" si="10"/>
        <v/>
      </c>
      <c r="AQ48" s="28"/>
      <c r="AR48" s="28"/>
      <c r="AS48" s="20" t="str">
        <f>IF(AQ48="","",IF($F48="Bernardino Furlan",_xlfn.XLOOKUP(AQ48,Cadastros!$G$6:$G$90,Cadastros!$H$6:$H$90)*(1-0.18),IF($F48="Mauro José Salanti",_xlfn.XLOOKUP(AQ48,Cadastros!$G$6:$G$90,Cadastros!$H$6:$H$90)*(1-0.18),_xlfn.XLOOKUP(AQ48,Cadastros!$G$6:$G$90,Cadastros!$H$6:$H$90))))</f>
        <v/>
      </c>
      <c r="AT48" s="168" t="str">
        <f t="shared" si="11"/>
        <v/>
      </c>
      <c r="AU48" s="168" t="str">
        <f t="shared" si="12"/>
        <v/>
      </c>
      <c r="AV48" s="227"/>
      <c r="AW48" s="30"/>
      <c r="AX48" s="267"/>
      <c r="AY48" s="267"/>
      <c r="AZ48" s="29"/>
      <c r="BA48" s="30"/>
      <c r="BB48" s="23" t="str" cm="1">
        <f t="array" ref="BB48">_xlfn.IFS(AW48="SIM",SUM(K48,P48,U48,Z48,AE48,AJ48,AO48,AT48,AX48,AY48),F48&lt;&gt;"",SUM(K48,P48,U48,Z48,AE48,AJ48,,AO48,AT48),F48="","")</f>
        <v/>
      </c>
      <c r="BC48" s="211" t="str" cm="1">
        <f t="array" ref="BC48">_xlfn.IFS(E48="","",G48&lt;=E48,BB48*(1-0.03),G48&lt;(E48+8),BB48,AZ48="Boleto",BB48*(1+0.001)^DATEDIF(E48,G48,"D"),AZ48="Cheque",BB48,AZ48="Dinheiro","Alterar forma pgto")</f>
        <v/>
      </c>
      <c r="BD48" s="276" t="str" cm="1">
        <f t="array" ref="BD48">IF(F48=0," ",IF(BC48&lt;BB48,(_xlfn.IFS(AW48="SIM",SUM(L48,Q48,V48,AA48,AF48,AK48,AP48,AU48)+AX48/_xlfn.XLOOKUP(_xlfn.XLOOKUP($F48,Clientes!$B$4:$B$39,Clientes!$C$4:$C$39),Cadastros!$L$6:$L$12,Cadastros!$M$6:$M$12)+IF($F48="Bernardino Furlan",AY48/2751.92,IF($F48="Mauro José Salanti",AY48/2751.92,AY48/3356)),F48&lt;&gt;0,SUM(L48,Q48,V48,AA48,AF48,AK48,AP48,AU48)))*(1-0.03),_xlfn.IFS(AW48="SIM",SUM(L48,Q48,V48,AA48,AF48,AK48,AP48,AU48)+AX48/_xlfn.XLOOKUP(_xlfn.XLOOKUP($F48,Clientes!$B$4:$B$39,Clientes!$C$4:$C$39),Cadastros!$L$6:$L$12,Cadastros!$M$6:$M$12)+IF($F48="Bernardino Furlan",AY48/2751.92,IF($F48="Mauro José Salanti",AY48/2751.92,AY48/3356)),F48&lt;&gt;0,SUM(L48,Q48,V48,AA48,AF48,AK48,AP48,AU48))))</f>
        <v xml:space="preserve"> </v>
      </c>
      <c r="BE48" s="120"/>
      <c r="BF48" s="120"/>
      <c r="BG48" s="120"/>
      <c r="BH48" s="32"/>
      <c r="BL48" s="235" t="str">
        <f>IF(Cadastros!D45="","",Cadastros!D45)</f>
        <v xml:space="preserve">20103 - Colchão Aconchego 158 X 198 X 019 cm </v>
      </c>
      <c r="BM48" s="234"/>
      <c r="BN48" s="235" t="str">
        <f>IF(Cadastros!G45="","",Cadastros!G45)</f>
        <v xml:space="preserve">00152 - Palmilha Magnética </v>
      </c>
    </row>
    <row r="49" spans="1:66" s="3" customFormat="1" x14ac:dyDescent="0.3">
      <c r="A49" s="15" t="str">
        <f t="shared" si="0"/>
        <v/>
      </c>
      <c r="B49" s="25"/>
      <c r="C49" s="26"/>
      <c r="D49" s="279"/>
      <c r="E49" s="27"/>
      <c r="F49" s="28"/>
      <c r="G49" s="27"/>
      <c r="H49" s="28"/>
      <c r="I49" s="28"/>
      <c r="J49" s="255" t="str">
        <f>IF(H49="","",(_xlfn.XLOOKUP(H49,Cadastros!$D$6:$D$90,Cadastros!$E$6:$E$90))*(1-_xlfn.XLOOKUP(_xlfn.XLOOKUP($F49,Clientes!$B$4:$B$39,Clientes!$C$4:$C$39),Cadastros!$L$6:$L$12,Cadastros!$N$6:$N$12)))</f>
        <v/>
      </c>
      <c r="K49" s="168" t="str">
        <f t="shared" si="1"/>
        <v/>
      </c>
      <c r="L49" s="168" t="str">
        <f>IFERROR(K49/_xlfn.XLOOKUP(_xlfn.XLOOKUP($F49,Clientes!$B$4:$B$39,Clientes!$C$4:$C$39),Cadastros!$L$6:$L$12,Cadastros!$M$6:$M$12)," ")</f>
        <v xml:space="preserve"> </v>
      </c>
      <c r="M49" s="28"/>
      <c r="N49" s="28"/>
      <c r="O49" s="255" t="str">
        <f>IF(M49="","",(_xlfn.XLOOKUP(M49,Cadastros!$D$6:$D$90,Cadastros!$E$6:$E$90))*(1-_xlfn.XLOOKUP(_xlfn.XLOOKUP($F49,Clientes!$B$4:$B$39,Clientes!$C$4:$C$39),Cadastros!$L$6:$L$12,Cadastros!$N$6:$N$12)))</f>
        <v/>
      </c>
      <c r="P49" s="168" t="str">
        <f t="shared" si="2"/>
        <v/>
      </c>
      <c r="Q49" s="168" t="str">
        <f>IFERROR(P49/_xlfn.XLOOKUP(_xlfn.XLOOKUP($F49,Clientes!$B$4:$B$39,Clientes!$C$4:$C$39),Cadastros!$L$6:$L$12,Cadastros!$M$6:$M$12)," ")</f>
        <v xml:space="preserve"> </v>
      </c>
      <c r="R49" s="28"/>
      <c r="S49" s="28"/>
      <c r="T49" s="255" t="str">
        <f>IF(R49="","",(_xlfn.XLOOKUP(R49,Cadastros!$D$6:$D$90,Cadastros!$E$6:$E$90))*(1-_xlfn.XLOOKUP(_xlfn.XLOOKUP($F49,Clientes!$B$4:$B$39,Clientes!$C$4:$C$39),Cadastros!$L$6:$L$12,Cadastros!$N$6:$N$12)))</f>
        <v/>
      </c>
      <c r="U49" s="168" t="str">
        <f t="shared" si="3"/>
        <v/>
      </c>
      <c r="V49" s="168" t="str">
        <f>IFERROR(U49/_xlfn.XLOOKUP(_xlfn.XLOOKUP($F49,Clientes!$B$4:$B$39,Clientes!$C$4:$C$39),Cadastros!$L$6:$L$12,Cadastros!$M$6:$M$12)," ")</f>
        <v xml:space="preserve"> </v>
      </c>
      <c r="W49" s="28"/>
      <c r="X49" s="28"/>
      <c r="Y49" s="255" t="str">
        <f>IF(W49="","",(_xlfn.XLOOKUP(W49,Cadastros!$D$6:$D$90,Cadastros!$E$6:$E$90))*(1-_xlfn.XLOOKUP(_xlfn.XLOOKUP($F49,Clientes!$B$4:$B$39,Clientes!$C$4:$C$39),Cadastros!$L$6:$L$12,Cadastros!$N$6:$N$12)))</f>
        <v/>
      </c>
      <c r="Z49" s="168" t="str">
        <f t="shared" si="4"/>
        <v/>
      </c>
      <c r="AA49" s="168" t="str">
        <f>IFERROR(Z49/_xlfn.XLOOKUP(_xlfn.XLOOKUP($F49,Clientes!$B$4:$B$39,Clientes!$C$4:$C$39),Cadastros!$L$6:$L$12,Cadastros!$M$6:$M$12)," ")</f>
        <v xml:space="preserve"> </v>
      </c>
      <c r="AB49" s="28"/>
      <c r="AC49" s="28"/>
      <c r="AD49" s="20" t="str">
        <f>IF(AB49="","",IF($F49="Bernardino Furlan",_xlfn.XLOOKUP(AB49,Cadastros!$G$6:$G$90,Cadastros!$H$6:$H$90)*(1-0.18),IF($F49="Mauro José Salanti",_xlfn.XLOOKUP(AB49,Cadastros!$G$6:$G$90,Cadastros!$H$6:$H$90)*(1-0.18),_xlfn.XLOOKUP(AB49,Cadastros!$G$6:$G$90,Cadastros!$H$6:$H$90))))</f>
        <v/>
      </c>
      <c r="AE49" s="168" t="str">
        <f t="shared" si="5"/>
        <v/>
      </c>
      <c r="AF49" s="168" t="str">
        <f t="shared" si="6"/>
        <v/>
      </c>
      <c r="AG49" s="28"/>
      <c r="AH49" s="28"/>
      <c r="AI49" s="20" t="str">
        <f>IF(AG49="","",IF($F49="Bernardino Furlan",_xlfn.XLOOKUP(AG49,Cadastros!$G$6:$G$90,Cadastros!$H$6:$H$90)*(1-0.18),IF($F49="Mauro José Salanti",_xlfn.XLOOKUP(AG49,Cadastros!$G$6:$G$90,Cadastros!$H$6:$H$90)*(1-0.18),_xlfn.XLOOKUP(AG49,Cadastros!$G$6:$G$90,Cadastros!$H$6:$H$90))))</f>
        <v/>
      </c>
      <c r="AJ49" s="168" t="str">
        <f t="shared" si="7"/>
        <v/>
      </c>
      <c r="AK49" s="168" t="str">
        <f t="shared" si="8"/>
        <v/>
      </c>
      <c r="AL49" s="28"/>
      <c r="AM49" s="28"/>
      <c r="AN49" s="20" t="str">
        <f>IF(AL49="","",IF($F49="Bernardino Furlan",_xlfn.XLOOKUP(AL49,Cadastros!$G$6:$G$90,Cadastros!$H$6:$H$90)*(1-0.18),IF($F49="Mauro José Salanti",_xlfn.XLOOKUP(AL49,Cadastros!$G$6:$G$90,Cadastros!$H$6:$H$90)*(1-0.18),_xlfn.XLOOKUP(AL49,Cadastros!$G$6:$G$90,Cadastros!$H$6:$H$90))))</f>
        <v/>
      </c>
      <c r="AO49" s="168" t="str">
        <f t="shared" si="9"/>
        <v/>
      </c>
      <c r="AP49" s="168" t="str">
        <f t="shared" si="10"/>
        <v/>
      </c>
      <c r="AQ49" s="28"/>
      <c r="AR49" s="28"/>
      <c r="AS49" s="20" t="str">
        <f>IF(AQ49="","",IF($F49="Bernardino Furlan",_xlfn.XLOOKUP(AQ49,Cadastros!$G$6:$G$90,Cadastros!$H$6:$H$90)*(1-0.18),IF($F49="Mauro José Salanti",_xlfn.XLOOKUP(AQ49,Cadastros!$G$6:$G$90,Cadastros!$H$6:$H$90)*(1-0.18),_xlfn.XLOOKUP(AQ49,Cadastros!$G$6:$G$90,Cadastros!$H$6:$H$90))))</f>
        <v/>
      </c>
      <c r="AT49" s="168" t="str">
        <f t="shared" si="11"/>
        <v/>
      </c>
      <c r="AU49" s="168" t="str">
        <f t="shared" si="12"/>
        <v/>
      </c>
      <c r="AV49" s="227"/>
      <c r="AW49" s="30"/>
      <c r="AX49" s="267"/>
      <c r="AY49" s="267"/>
      <c r="AZ49" s="29"/>
      <c r="BA49" s="30"/>
      <c r="BB49" s="23" t="str" cm="1">
        <f t="array" ref="BB49">_xlfn.IFS(AW49="SIM",SUM(K49,P49,U49,Z49,AE49,AJ49,AO49,AT49,AX49,AY49),F49&lt;&gt;"",SUM(K49,P49,U49,Z49,AE49,AJ49,,AO49,AT49),F49="","")</f>
        <v/>
      </c>
      <c r="BC49" s="211" t="str" cm="1">
        <f t="array" ref="BC49">_xlfn.IFS(E49="","",G49&lt;=E49,BB49*(1-0.03),G49&lt;(E49+8),BB49,AZ49="Boleto",BB49*(1+0.001)^DATEDIF(E49,G49,"D"),AZ49="Cheque",BB49,AZ49="Dinheiro","Alterar forma pgto")</f>
        <v/>
      </c>
      <c r="BD49" s="276" t="str" cm="1">
        <f t="array" ref="BD49">IF(F49=0," ",IF(BC49&lt;BB49,(_xlfn.IFS(AW49="SIM",SUM(L49,Q49,V49,AA49,AF49,AK49,AP49,AU49)+AX49/_xlfn.XLOOKUP(_xlfn.XLOOKUP($F49,Clientes!$B$4:$B$39,Clientes!$C$4:$C$39),Cadastros!$L$6:$L$12,Cadastros!$M$6:$M$12)+IF($F49="Bernardino Furlan",AY49/2751.92,IF($F49="Mauro José Salanti",AY49/2751.92,AY49/3356)),F49&lt;&gt;0,SUM(L49,Q49,V49,AA49,AF49,AK49,AP49,AU49)))*(1-0.03),_xlfn.IFS(AW49="SIM",SUM(L49,Q49,V49,AA49,AF49,AK49,AP49,AU49)+AX49/_xlfn.XLOOKUP(_xlfn.XLOOKUP($F49,Clientes!$B$4:$B$39,Clientes!$C$4:$C$39),Cadastros!$L$6:$L$12,Cadastros!$M$6:$M$12)+IF($F49="Bernardino Furlan",AY49/2751.92,IF($F49="Mauro José Salanti",AY49/2751.92,AY49/3356)),F49&lt;&gt;0,SUM(L49,Q49,V49,AA49,AF49,AK49,AP49,AU49))))</f>
        <v xml:space="preserve"> </v>
      </c>
      <c r="BE49" s="120"/>
      <c r="BF49" s="120"/>
      <c r="BG49" s="120"/>
      <c r="BL49" s="235" t="str">
        <f>IF(Cadastros!D46="","",Cadastros!D46)</f>
        <v xml:space="preserve">20104 - Colchão Aconchego 193 X 203 X 019 cm </v>
      </c>
      <c r="BM49" s="234"/>
      <c r="BN49" s="235" t="str">
        <f>IF(Cadastros!G46="","",Cadastros!G46)</f>
        <v/>
      </c>
    </row>
    <row r="50" spans="1:66" s="3" customFormat="1" x14ac:dyDescent="0.3">
      <c r="A50" s="15" t="str">
        <f t="shared" si="0"/>
        <v/>
      </c>
      <c r="B50" s="25"/>
      <c r="C50" s="26"/>
      <c r="D50" s="279"/>
      <c r="E50" s="27"/>
      <c r="F50" s="28"/>
      <c r="G50" s="27"/>
      <c r="H50" s="28"/>
      <c r="I50" s="28"/>
      <c r="J50" s="255" t="str">
        <f>IF(H50="","",(_xlfn.XLOOKUP(H50,Cadastros!$D$6:$D$90,Cadastros!$E$6:$E$90))*(1-_xlfn.XLOOKUP(_xlfn.XLOOKUP($F50,Clientes!$B$4:$B$39,Clientes!$C$4:$C$39),Cadastros!$L$6:$L$12,Cadastros!$N$6:$N$12)))</f>
        <v/>
      </c>
      <c r="K50" s="168" t="str">
        <f t="shared" si="1"/>
        <v/>
      </c>
      <c r="L50" s="168" t="str">
        <f>IFERROR(K50/_xlfn.XLOOKUP(_xlfn.XLOOKUP($F50,Clientes!$B$4:$B$39,Clientes!$C$4:$C$39),Cadastros!$L$6:$L$12,Cadastros!$M$6:$M$12)," ")</f>
        <v xml:space="preserve"> </v>
      </c>
      <c r="M50" s="28"/>
      <c r="N50" s="28"/>
      <c r="O50" s="255" t="str">
        <f>IF(M50="","",(_xlfn.XLOOKUP(M50,Cadastros!$D$6:$D$90,Cadastros!$E$6:$E$90))*(1-_xlfn.XLOOKUP(_xlfn.XLOOKUP($F50,Clientes!$B$4:$B$39,Clientes!$C$4:$C$39),Cadastros!$L$6:$L$12,Cadastros!$N$6:$N$12)))</f>
        <v/>
      </c>
      <c r="P50" s="168" t="str">
        <f t="shared" si="2"/>
        <v/>
      </c>
      <c r="Q50" s="168" t="str">
        <f>IFERROR(P50/_xlfn.XLOOKUP(_xlfn.XLOOKUP($F50,Clientes!$B$4:$B$39,Clientes!$C$4:$C$39),Cadastros!$L$6:$L$12,Cadastros!$M$6:$M$12)," ")</f>
        <v xml:space="preserve"> </v>
      </c>
      <c r="R50" s="28"/>
      <c r="S50" s="28"/>
      <c r="T50" s="255" t="str">
        <f>IF(R50="","",(_xlfn.XLOOKUP(R50,Cadastros!$D$6:$D$90,Cadastros!$E$6:$E$90))*(1-_xlfn.XLOOKUP(_xlfn.XLOOKUP($F50,Clientes!$B$4:$B$39,Clientes!$C$4:$C$39),Cadastros!$L$6:$L$12,Cadastros!$N$6:$N$12)))</f>
        <v/>
      </c>
      <c r="U50" s="168" t="str">
        <f t="shared" si="3"/>
        <v/>
      </c>
      <c r="V50" s="168" t="str">
        <f>IFERROR(U50/_xlfn.XLOOKUP(_xlfn.XLOOKUP($F50,Clientes!$B$4:$B$39,Clientes!$C$4:$C$39),Cadastros!$L$6:$L$12,Cadastros!$M$6:$M$12)," ")</f>
        <v xml:space="preserve"> </v>
      </c>
      <c r="W50" s="28"/>
      <c r="X50" s="28"/>
      <c r="Y50" s="255" t="str">
        <f>IF(W50="","",(_xlfn.XLOOKUP(W50,Cadastros!$D$6:$D$90,Cadastros!$E$6:$E$90))*(1-_xlfn.XLOOKUP(_xlfn.XLOOKUP($F50,Clientes!$B$4:$B$39,Clientes!$C$4:$C$39),Cadastros!$L$6:$L$12,Cadastros!$N$6:$N$12)))</f>
        <v/>
      </c>
      <c r="Z50" s="168" t="str">
        <f t="shared" si="4"/>
        <v/>
      </c>
      <c r="AA50" s="168" t="str">
        <f>IFERROR(Z50/_xlfn.XLOOKUP(_xlfn.XLOOKUP($F50,Clientes!$B$4:$B$39,Clientes!$C$4:$C$39),Cadastros!$L$6:$L$12,Cadastros!$M$6:$M$12)," ")</f>
        <v xml:space="preserve"> </v>
      </c>
      <c r="AB50" s="28"/>
      <c r="AC50" s="28"/>
      <c r="AD50" s="20" t="str">
        <f>IF(AB50="","",IF($F50="Bernardino Furlan",_xlfn.XLOOKUP(AB50,Cadastros!$G$6:$G$90,Cadastros!$H$6:$H$90)*(1-0.18),IF($F50="Mauro José Salanti",_xlfn.XLOOKUP(AB50,Cadastros!$G$6:$G$90,Cadastros!$H$6:$H$90)*(1-0.18),_xlfn.XLOOKUP(AB50,Cadastros!$G$6:$G$90,Cadastros!$H$6:$H$90))))</f>
        <v/>
      </c>
      <c r="AE50" s="168" t="str">
        <f t="shared" si="5"/>
        <v/>
      </c>
      <c r="AF50" s="168" t="str">
        <f t="shared" si="6"/>
        <v/>
      </c>
      <c r="AG50" s="28"/>
      <c r="AH50" s="28"/>
      <c r="AI50" s="20" t="str">
        <f>IF(AG50="","",IF($F50="Bernardino Furlan",_xlfn.XLOOKUP(AG50,Cadastros!$G$6:$G$90,Cadastros!$H$6:$H$90)*(1-0.18),IF($F50="Mauro José Salanti",_xlfn.XLOOKUP(AG50,Cadastros!$G$6:$G$90,Cadastros!$H$6:$H$90)*(1-0.18),_xlfn.XLOOKUP(AG50,Cadastros!$G$6:$G$90,Cadastros!$H$6:$H$90))))</f>
        <v/>
      </c>
      <c r="AJ50" s="168" t="str">
        <f t="shared" si="7"/>
        <v/>
      </c>
      <c r="AK50" s="168" t="str">
        <f t="shared" si="8"/>
        <v/>
      </c>
      <c r="AL50" s="28"/>
      <c r="AM50" s="28"/>
      <c r="AN50" s="20" t="str">
        <f>IF(AL50="","",IF($F50="Bernardino Furlan",_xlfn.XLOOKUP(AL50,Cadastros!$G$6:$G$90,Cadastros!$H$6:$H$90)*(1-0.18),IF($F50="Mauro José Salanti",_xlfn.XLOOKUP(AL50,Cadastros!$G$6:$G$90,Cadastros!$H$6:$H$90)*(1-0.18),_xlfn.XLOOKUP(AL50,Cadastros!$G$6:$G$90,Cadastros!$H$6:$H$90))))</f>
        <v/>
      </c>
      <c r="AO50" s="168" t="str">
        <f t="shared" si="9"/>
        <v/>
      </c>
      <c r="AP50" s="168" t="str">
        <f t="shared" si="10"/>
        <v/>
      </c>
      <c r="AQ50" s="28"/>
      <c r="AR50" s="28"/>
      <c r="AS50" s="20" t="str">
        <f>IF(AQ50="","",IF($F50="Bernardino Furlan",_xlfn.XLOOKUP(AQ50,Cadastros!$G$6:$G$90,Cadastros!$H$6:$H$90)*(1-0.18),IF($F50="Mauro José Salanti",_xlfn.XLOOKUP(AQ50,Cadastros!$G$6:$G$90,Cadastros!$H$6:$H$90)*(1-0.18),_xlfn.XLOOKUP(AQ50,Cadastros!$G$6:$G$90,Cadastros!$H$6:$H$90))))</f>
        <v/>
      </c>
      <c r="AT50" s="168" t="str">
        <f t="shared" si="11"/>
        <v/>
      </c>
      <c r="AU50" s="168" t="str">
        <f t="shared" si="12"/>
        <v/>
      </c>
      <c r="AV50" s="227"/>
      <c r="AW50" s="30"/>
      <c r="AX50" s="267"/>
      <c r="AY50" s="267"/>
      <c r="AZ50" s="29"/>
      <c r="BA50" s="30"/>
      <c r="BB50" s="23" t="str" cm="1">
        <f t="array" ref="BB50">_xlfn.IFS(AW50="SIM",SUM(K50,P50,U50,Z50,AE50,AJ50,AO50,AT50,AX50,AY50),F50&lt;&gt;"",SUM(K50,P50,U50,Z50,AE50,AJ50,,AO50,AT50),F50="","")</f>
        <v/>
      </c>
      <c r="BC50" s="211" t="str" cm="1">
        <f t="array" ref="BC50">_xlfn.IFS(E50="","",G50&lt;=E50,BB50*(1-0.03),G50&lt;(E50+8),BB50,AZ50="Boleto",BB50*(1+0.001)^DATEDIF(E50,G50,"D"),AZ50="Cheque",BB50,AZ50="Dinheiro","Alterar forma pgto")</f>
        <v/>
      </c>
      <c r="BD50" s="276" t="str" cm="1">
        <f t="array" ref="BD50">IF(F50=0," ",IF(BC50&lt;BB50,(_xlfn.IFS(AW50="SIM",SUM(L50,Q50,V50,AA50,AF50,AK50,AP50,AU50)+AX50/_xlfn.XLOOKUP(_xlfn.XLOOKUP($F50,Clientes!$B$4:$B$39,Clientes!$C$4:$C$39),Cadastros!$L$6:$L$12,Cadastros!$M$6:$M$12)+IF($F50="Bernardino Furlan",AY50/2751.92,IF($F50="Mauro José Salanti",AY50/2751.92,AY50/3356)),F50&lt;&gt;0,SUM(L50,Q50,V50,AA50,AF50,AK50,AP50,AU50)))*(1-0.03),_xlfn.IFS(AW50="SIM",SUM(L50,Q50,V50,AA50,AF50,AK50,AP50,AU50)+AX50/_xlfn.XLOOKUP(_xlfn.XLOOKUP($F50,Clientes!$B$4:$B$39,Clientes!$C$4:$C$39),Cadastros!$L$6:$L$12,Cadastros!$M$6:$M$12)+IF($F50="Bernardino Furlan",AY50/2751.92,IF($F50="Mauro José Salanti",AY50/2751.92,AY50/3356)),F50&lt;&gt;0,SUM(L50,Q50,V50,AA50,AF50,AK50,AP50,AU50))))</f>
        <v xml:space="preserve"> </v>
      </c>
      <c r="BE50" s="120"/>
      <c r="BF50" s="120"/>
      <c r="BG50" s="120"/>
      <c r="BL50" s="235" t="str">
        <f>IF(Cadastros!D47="","",Cadastros!D47)</f>
        <v/>
      </c>
      <c r="BM50" s="234"/>
      <c r="BN50" s="233" t="str">
        <f>IF(Cadastros!G47="","",Cadastros!G47)</f>
        <v>CABECEIRA</v>
      </c>
    </row>
    <row r="51" spans="1:66" s="3" customFormat="1" x14ac:dyDescent="0.3">
      <c r="A51" s="15" t="str">
        <f t="shared" si="0"/>
        <v/>
      </c>
      <c r="B51" s="25"/>
      <c r="C51" s="26"/>
      <c r="D51" s="279"/>
      <c r="E51" s="27"/>
      <c r="F51" s="28"/>
      <c r="G51" s="27"/>
      <c r="H51" s="28"/>
      <c r="I51" s="28"/>
      <c r="J51" s="255" t="str">
        <f>IF(H51="","",(_xlfn.XLOOKUP(H51,Cadastros!$D$6:$D$90,Cadastros!$E$6:$E$90))*(1-_xlfn.XLOOKUP(_xlfn.XLOOKUP($F51,Clientes!$B$4:$B$39,Clientes!$C$4:$C$39),Cadastros!$L$6:$L$12,Cadastros!$N$6:$N$12)))</f>
        <v/>
      </c>
      <c r="K51" s="168" t="str">
        <f t="shared" si="1"/>
        <v/>
      </c>
      <c r="L51" s="168" t="str">
        <f>IFERROR(K51/_xlfn.XLOOKUP(_xlfn.XLOOKUP($F51,Clientes!$B$4:$B$39,Clientes!$C$4:$C$39),Cadastros!$L$6:$L$12,Cadastros!$M$6:$M$12)," ")</f>
        <v xml:space="preserve"> </v>
      </c>
      <c r="M51" s="28"/>
      <c r="N51" s="28"/>
      <c r="O51" s="255" t="str">
        <f>IF(M51="","",(_xlfn.XLOOKUP(M51,Cadastros!$D$6:$D$90,Cadastros!$E$6:$E$90))*(1-_xlfn.XLOOKUP(_xlfn.XLOOKUP($F51,Clientes!$B$4:$B$39,Clientes!$C$4:$C$39),Cadastros!$L$6:$L$12,Cadastros!$N$6:$N$12)))</f>
        <v/>
      </c>
      <c r="P51" s="168" t="str">
        <f t="shared" si="2"/>
        <v/>
      </c>
      <c r="Q51" s="168" t="str">
        <f>IFERROR(P51/_xlfn.XLOOKUP(_xlfn.XLOOKUP($F51,Clientes!$B$4:$B$39,Clientes!$C$4:$C$39),Cadastros!$L$6:$L$12,Cadastros!$M$6:$M$12)," ")</f>
        <v xml:space="preserve"> </v>
      </c>
      <c r="R51" s="28"/>
      <c r="S51" s="28"/>
      <c r="T51" s="255" t="str">
        <f>IF(R51="","",(_xlfn.XLOOKUP(R51,Cadastros!$D$6:$D$90,Cadastros!$E$6:$E$90))*(1-_xlfn.XLOOKUP(_xlfn.XLOOKUP($F51,Clientes!$B$4:$B$39,Clientes!$C$4:$C$39),Cadastros!$L$6:$L$12,Cadastros!$N$6:$N$12)))</f>
        <v/>
      </c>
      <c r="U51" s="168" t="str">
        <f t="shared" si="3"/>
        <v/>
      </c>
      <c r="V51" s="168" t="str">
        <f>IFERROR(U51/_xlfn.XLOOKUP(_xlfn.XLOOKUP($F51,Clientes!$B$4:$B$39,Clientes!$C$4:$C$39),Cadastros!$L$6:$L$12,Cadastros!$M$6:$M$12)," ")</f>
        <v xml:space="preserve"> </v>
      </c>
      <c r="W51" s="28"/>
      <c r="X51" s="28"/>
      <c r="Y51" s="255" t="str">
        <f>IF(W51="","",(_xlfn.XLOOKUP(W51,Cadastros!$D$6:$D$90,Cadastros!$E$6:$E$90))*(1-_xlfn.XLOOKUP(_xlfn.XLOOKUP($F51,Clientes!$B$4:$B$39,Clientes!$C$4:$C$39),Cadastros!$L$6:$L$12,Cadastros!$N$6:$N$12)))</f>
        <v/>
      </c>
      <c r="Z51" s="168" t="str">
        <f t="shared" si="4"/>
        <v/>
      </c>
      <c r="AA51" s="168" t="str">
        <f>IFERROR(Z51/_xlfn.XLOOKUP(_xlfn.XLOOKUP($F51,Clientes!$B$4:$B$39,Clientes!$C$4:$C$39),Cadastros!$L$6:$L$12,Cadastros!$M$6:$M$12)," ")</f>
        <v xml:space="preserve"> </v>
      </c>
      <c r="AB51" s="28"/>
      <c r="AC51" s="28"/>
      <c r="AD51" s="20" t="str">
        <f>IF(AB51="","",IF($F51="Bernardino Furlan",_xlfn.XLOOKUP(AB51,Cadastros!$G$6:$G$90,Cadastros!$H$6:$H$90)*(1-0.18),IF($F51="Mauro José Salanti",_xlfn.XLOOKUP(AB51,Cadastros!$G$6:$G$90,Cadastros!$H$6:$H$90)*(1-0.18),_xlfn.XLOOKUP(AB51,Cadastros!$G$6:$G$90,Cadastros!$H$6:$H$90))))</f>
        <v/>
      </c>
      <c r="AE51" s="168" t="str">
        <f t="shared" si="5"/>
        <v/>
      </c>
      <c r="AF51" s="168" t="str">
        <f t="shared" si="6"/>
        <v/>
      </c>
      <c r="AG51" s="28"/>
      <c r="AH51" s="28"/>
      <c r="AI51" s="20" t="str">
        <f>IF(AG51="","",IF($F51="Bernardino Furlan",_xlfn.XLOOKUP(AG51,Cadastros!$G$6:$G$90,Cadastros!$H$6:$H$90)*(1-0.18),IF($F51="Mauro José Salanti",_xlfn.XLOOKUP(AG51,Cadastros!$G$6:$G$90,Cadastros!$H$6:$H$90)*(1-0.18),_xlfn.XLOOKUP(AG51,Cadastros!$G$6:$G$90,Cadastros!$H$6:$H$90))))</f>
        <v/>
      </c>
      <c r="AJ51" s="168" t="str">
        <f t="shared" si="7"/>
        <v/>
      </c>
      <c r="AK51" s="168" t="str">
        <f t="shared" si="8"/>
        <v/>
      </c>
      <c r="AL51" s="28"/>
      <c r="AM51" s="28"/>
      <c r="AN51" s="20" t="str">
        <f>IF(AL51="","",IF($F51="Bernardino Furlan",_xlfn.XLOOKUP(AL51,Cadastros!$G$6:$G$90,Cadastros!$H$6:$H$90)*(1-0.18),IF($F51="Mauro José Salanti",_xlfn.XLOOKUP(AL51,Cadastros!$G$6:$G$90,Cadastros!$H$6:$H$90)*(1-0.18),_xlfn.XLOOKUP(AL51,Cadastros!$G$6:$G$90,Cadastros!$H$6:$H$90))))</f>
        <v/>
      </c>
      <c r="AO51" s="168" t="str">
        <f t="shared" si="9"/>
        <v/>
      </c>
      <c r="AP51" s="168" t="str">
        <f t="shared" si="10"/>
        <v/>
      </c>
      <c r="AQ51" s="28"/>
      <c r="AR51" s="28"/>
      <c r="AS51" s="20" t="str">
        <f>IF(AQ51="","",IF($F51="Bernardino Furlan",_xlfn.XLOOKUP(AQ51,Cadastros!$G$6:$G$90,Cadastros!$H$6:$H$90)*(1-0.18),IF($F51="Mauro José Salanti",_xlfn.XLOOKUP(AQ51,Cadastros!$G$6:$G$90,Cadastros!$H$6:$H$90)*(1-0.18),_xlfn.XLOOKUP(AQ51,Cadastros!$G$6:$G$90,Cadastros!$H$6:$H$90))))</f>
        <v/>
      </c>
      <c r="AT51" s="168" t="str">
        <f t="shared" si="11"/>
        <v/>
      </c>
      <c r="AU51" s="168" t="str">
        <f t="shared" si="12"/>
        <v/>
      </c>
      <c r="AV51" s="227"/>
      <c r="AW51" s="30"/>
      <c r="AX51" s="267"/>
      <c r="AY51" s="267"/>
      <c r="AZ51" s="29"/>
      <c r="BA51" s="30"/>
      <c r="BB51" s="23" t="str" cm="1">
        <f t="array" ref="BB51">_xlfn.IFS(AW51="SIM",SUM(K51,P51,U51,Z51,AE51,AJ51,AO51,AT51,AX51,AY51),F51&lt;&gt;"",SUM(K51,P51,U51,Z51,AE51,AJ51,,AO51,AT51),F51="","")</f>
        <v/>
      </c>
      <c r="BC51" s="211" t="str" cm="1">
        <f t="array" ref="BC51">_xlfn.IFS(E51="","",G51&lt;=E51,BB51*(1-0.03),G51&lt;(E51+8),BB51,AZ51="Boleto",BB51*(1+0.001)^DATEDIF(E51,G51,"D"),AZ51="Cheque",BB51,AZ51="Dinheiro","Alterar forma pgto")</f>
        <v/>
      </c>
      <c r="BD51" s="276" t="str" cm="1">
        <f t="array" ref="BD51">IF(F51=0," ",IF(BC51&lt;BB51,(_xlfn.IFS(AW51="SIM",SUM(L51,Q51,V51,AA51,AF51,AK51,AP51,AU51)+AX51/_xlfn.XLOOKUP(_xlfn.XLOOKUP($F51,Clientes!$B$4:$B$39,Clientes!$C$4:$C$39),Cadastros!$L$6:$L$12,Cadastros!$M$6:$M$12)+IF($F51="Bernardino Furlan",AY51/2751.92,IF($F51="Mauro José Salanti",AY51/2751.92,AY51/3356)),F51&lt;&gt;0,SUM(L51,Q51,V51,AA51,AF51,AK51,AP51,AU51)))*(1-0.03),_xlfn.IFS(AW51="SIM",SUM(L51,Q51,V51,AA51,AF51,AK51,AP51,AU51)+AX51/_xlfn.XLOOKUP(_xlfn.XLOOKUP($F51,Clientes!$B$4:$B$39,Clientes!$C$4:$C$39),Cadastros!$L$6:$L$12,Cadastros!$M$6:$M$12)+IF($F51="Bernardino Furlan",AY51/2751.92,IF($F51="Mauro José Salanti",AY51/2751.92,AY51/3356)),F51&lt;&gt;0,SUM(L51,Q51,V51,AA51,AF51,AK51,AP51,AU51))))</f>
        <v xml:space="preserve"> </v>
      </c>
      <c r="BE51" s="120"/>
      <c r="BF51" s="120"/>
      <c r="BG51" s="120"/>
      <c r="BL51" s="233" t="str">
        <f>IF(Cadastros!D48="","",Cadastros!D48)</f>
        <v>LINHA BEM ESTAR SEM MASSAGEM</v>
      </c>
      <c r="BM51" s="234"/>
      <c r="BN51" s="235" t="str">
        <f>IF(Cadastros!G48="","",Cadastros!G48)</f>
        <v xml:space="preserve">190 - Cabeceira 2 Retângulos Borda Lisa 160 X 130 </v>
      </c>
    </row>
    <row r="52" spans="1:66" s="3" customFormat="1" x14ac:dyDescent="0.3">
      <c r="A52" s="15" t="str">
        <f t="shared" si="0"/>
        <v/>
      </c>
      <c r="B52" s="25"/>
      <c r="C52" s="26"/>
      <c r="D52" s="279"/>
      <c r="E52" s="27"/>
      <c r="F52" s="28"/>
      <c r="G52" s="27"/>
      <c r="H52" s="28"/>
      <c r="I52" s="28"/>
      <c r="J52" s="255" t="str">
        <f>IF(H52="","",(_xlfn.XLOOKUP(H52,Cadastros!$D$6:$D$90,Cadastros!$E$6:$E$90))*(1-_xlfn.XLOOKUP(_xlfn.XLOOKUP($F52,Clientes!$B$4:$B$39,Clientes!$C$4:$C$39),Cadastros!$L$6:$L$12,Cadastros!$N$6:$N$12)))</f>
        <v/>
      </c>
      <c r="K52" s="168" t="str">
        <f t="shared" si="1"/>
        <v/>
      </c>
      <c r="L52" s="168" t="str">
        <f>IFERROR(K52/_xlfn.XLOOKUP(_xlfn.XLOOKUP($F52,Clientes!$B$4:$B$39,Clientes!$C$4:$C$39),Cadastros!$L$6:$L$12,Cadastros!$M$6:$M$12)," ")</f>
        <v xml:space="preserve"> </v>
      </c>
      <c r="M52" s="28"/>
      <c r="N52" s="28"/>
      <c r="O52" s="255" t="str">
        <f>IF(M52="","",(_xlfn.XLOOKUP(M52,Cadastros!$D$6:$D$90,Cadastros!$E$6:$E$90))*(1-_xlfn.XLOOKUP(_xlfn.XLOOKUP($F52,Clientes!$B$4:$B$39,Clientes!$C$4:$C$39),Cadastros!$L$6:$L$12,Cadastros!$N$6:$N$12)))</f>
        <v/>
      </c>
      <c r="P52" s="168" t="str">
        <f t="shared" si="2"/>
        <v/>
      </c>
      <c r="Q52" s="168" t="str">
        <f>IFERROR(P52/_xlfn.XLOOKUP(_xlfn.XLOOKUP($F52,Clientes!$B$4:$B$39,Clientes!$C$4:$C$39),Cadastros!$L$6:$L$12,Cadastros!$M$6:$M$12)," ")</f>
        <v xml:space="preserve"> </v>
      </c>
      <c r="R52" s="28"/>
      <c r="S52" s="28"/>
      <c r="T52" s="255" t="str">
        <f>IF(R52="","",(_xlfn.XLOOKUP(R52,Cadastros!$D$6:$D$90,Cadastros!$E$6:$E$90))*(1-_xlfn.XLOOKUP(_xlfn.XLOOKUP($F52,Clientes!$B$4:$B$39,Clientes!$C$4:$C$39),Cadastros!$L$6:$L$12,Cadastros!$N$6:$N$12)))</f>
        <v/>
      </c>
      <c r="U52" s="168" t="str">
        <f t="shared" si="3"/>
        <v/>
      </c>
      <c r="V52" s="168" t="str">
        <f>IFERROR(U52/_xlfn.XLOOKUP(_xlfn.XLOOKUP($F52,Clientes!$B$4:$B$39,Clientes!$C$4:$C$39),Cadastros!$L$6:$L$12,Cadastros!$M$6:$M$12)," ")</f>
        <v xml:space="preserve"> </v>
      </c>
      <c r="W52" s="28"/>
      <c r="X52" s="28"/>
      <c r="Y52" s="255" t="str">
        <f>IF(W52="","",(_xlfn.XLOOKUP(W52,Cadastros!$D$6:$D$90,Cadastros!$E$6:$E$90))*(1-_xlfn.XLOOKUP(_xlfn.XLOOKUP($F52,Clientes!$B$4:$B$39,Clientes!$C$4:$C$39),Cadastros!$L$6:$L$12,Cadastros!$N$6:$N$12)))</f>
        <v/>
      </c>
      <c r="Z52" s="168" t="str">
        <f t="shared" si="4"/>
        <v/>
      </c>
      <c r="AA52" s="168" t="str">
        <f>IFERROR(Z52/_xlfn.XLOOKUP(_xlfn.XLOOKUP($F52,Clientes!$B$4:$B$39,Clientes!$C$4:$C$39),Cadastros!$L$6:$L$12,Cadastros!$M$6:$M$12)," ")</f>
        <v xml:space="preserve"> </v>
      </c>
      <c r="AB52" s="28"/>
      <c r="AC52" s="28"/>
      <c r="AD52" s="20" t="str">
        <f>IF(AB52="","",IF($F52="Bernardino Furlan",_xlfn.XLOOKUP(AB52,Cadastros!$G$6:$G$90,Cadastros!$H$6:$H$90)*(1-0.18),IF($F52="Mauro José Salanti",_xlfn.XLOOKUP(AB52,Cadastros!$G$6:$G$90,Cadastros!$H$6:$H$90)*(1-0.18),_xlfn.XLOOKUP(AB52,Cadastros!$G$6:$G$90,Cadastros!$H$6:$H$90))))</f>
        <v/>
      </c>
      <c r="AE52" s="168" t="str">
        <f t="shared" si="5"/>
        <v/>
      </c>
      <c r="AF52" s="168" t="str">
        <f t="shared" si="6"/>
        <v/>
      </c>
      <c r="AG52" s="28"/>
      <c r="AH52" s="28"/>
      <c r="AI52" s="20" t="str">
        <f>IF(AG52="","",IF($F52="Bernardino Furlan",_xlfn.XLOOKUP(AG52,Cadastros!$G$6:$G$90,Cadastros!$H$6:$H$90)*(1-0.18),IF($F52="Mauro José Salanti",_xlfn.XLOOKUP(AG52,Cadastros!$G$6:$G$90,Cadastros!$H$6:$H$90)*(1-0.18),_xlfn.XLOOKUP(AG52,Cadastros!$G$6:$G$90,Cadastros!$H$6:$H$90))))</f>
        <v/>
      </c>
      <c r="AJ52" s="168" t="str">
        <f t="shared" si="7"/>
        <v/>
      </c>
      <c r="AK52" s="168" t="str">
        <f t="shared" si="8"/>
        <v/>
      </c>
      <c r="AL52" s="28"/>
      <c r="AM52" s="28"/>
      <c r="AN52" s="20" t="str">
        <f>IF(AL52="","",IF($F52="Bernardino Furlan",_xlfn.XLOOKUP(AL52,Cadastros!$G$6:$G$90,Cadastros!$H$6:$H$90)*(1-0.18),IF($F52="Mauro José Salanti",_xlfn.XLOOKUP(AL52,Cadastros!$G$6:$G$90,Cadastros!$H$6:$H$90)*(1-0.18),_xlfn.XLOOKUP(AL52,Cadastros!$G$6:$G$90,Cadastros!$H$6:$H$90))))</f>
        <v/>
      </c>
      <c r="AO52" s="168" t="str">
        <f t="shared" si="9"/>
        <v/>
      </c>
      <c r="AP52" s="168" t="str">
        <f t="shared" si="10"/>
        <v/>
      </c>
      <c r="AQ52" s="28"/>
      <c r="AR52" s="28"/>
      <c r="AS52" s="20" t="str">
        <f>IF(AQ52="","",IF($F52="Bernardino Furlan",_xlfn.XLOOKUP(AQ52,Cadastros!$G$6:$G$90,Cadastros!$H$6:$H$90)*(1-0.18),IF($F52="Mauro José Salanti",_xlfn.XLOOKUP(AQ52,Cadastros!$G$6:$G$90,Cadastros!$H$6:$H$90)*(1-0.18),_xlfn.XLOOKUP(AQ52,Cadastros!$G$6:$G$90,Cadastros!$H$6:$H$90))))</f>
        <v/>
      </c>
      <c r="AT52" s="168" t="str">
        <f t="shared" si="11"/>
        <v/>
      </c>
      <c r="AU52" s="168" t="str">
        <f t="shared" si="12"/>
        <v/>
      </c>
      <c r="AV52" s="227"/>
      <c r="AW52" s="30"/>
      <c r="AX52" s="267"/>
      <c r="AY52" s="267"/>
      <c r="AZ52" s="29"/>
      <c r="BA52" s="30"/>
      <c r="BB52" s="23" t="str" cm="1">
        <f t="array" ref="BB52">_xlfn.IFS(AW52="SIM",SUM(K52,P52,U52,Z52,AE52,AJ52,AO52,AT52,AX52,AY52),F52&lt;&gt;"",SUM(K52,P52,U52,Z52,AE52,AJ52,,AO52,AT52),F52="","")</f>
        <v/>
      </c>
      <c r="BC52" s="211" t="str" cm="1">
        <f t="array" ref="BC52">_xlfn.IFS(E52="","",G52&lt;=E52,BB52*(1-0.03),G52&lt;(E52+8),BB52,AZ52="Boleto",BB52*(1+0.001)^DATEDIF(E52,G52,"D"),AZ52="Cheque",BB52,AZ52="Dinheiro","Alterar forma pgto")</f>
        <v/>
      </c>
      <c r="BD52" s="276" t="str" cm="1">
        <f t="array" ref="BD52">IF(F52=0," ",IF(BC52&lt;BB52,(_xlfn.IFS(AW52="SIM",SUM(L52,Q52,V52,AA52,AF52,AK52,AP52,AU52)+AX52/_xlfn.XLOOKUP(_xlfn.XLOOKUP($F52,Clientes!$B$4:$B$39,Clientes!$C$4:$C$39),Cadastros!$L$6:$L$12,Cadastros!$M$6:$M$12)+IF($F52="Bernardino Furlan",AY52/2751.92,IF($F52="Mauro José Salanti",AY52/2751.92,AY52/3356)),F52&lt;&gt;0,SUM(L52,Q52,V52,AA52,AF52,AK52,AP52,AU52)))*(1-0.03),_xlfn.IFS(AW52="SIM",SUM(L52,Q52,V52,AA52,AF52,AK52,AP52,AU52)+AX52/_xlfn.XLOOKUP(_xlfn.XLOOKUP($F52,Clientes!$B$4:$B$39,Clientes!$C$4:$C$39),Cadastros!$L$6:$L$12,Cadastros!$M$6:$M$12)+IF($F52="Bernardino Furlan",AY52/2751.92,IF($F52="Mauro José Salanti",AY52/2751.92,AY52/3356)),F52&lt;&gt;0,SUM(L52,Q52,V52,AA52,AF52,AK52,AP52,AU52))))</f>
        <v xml:space="preserve"> </v>
      </c>
      <c r="BE52" s="120"/>
      <c r="BF52" s="120"/>
      <c r="BG52" s="120"/>
      <c r="BL52" s="235" t="str">
        <f>IF(Cadastros!D49="","",Cadastros!D49)</f>
        <v>40101 - Colchão Léctus 088 X 188 X 021 cm S/VQ</v>
      </c>
      <c r="BM52" s="234"/>
      <c r="BN52" s="235" t="str">
        <f>IF(Cadastros!G49="","",Cadastros!G49)</f>
        <v xml:space="preserve">189 - Cabeceira 2 Retângulos Borda Lisa 180 X 130 </v>
      </c>
    </row>
    <row r="53" spans="1:66" s="3" customFormat="1" x14ac:dyDescent="0.3">
      <c r="A53" s="15" t="str">
        <f t="shared" si="0"/>
        <v/>
      </c>
      <c r="B53" s="25"/>
      <c r="C53" s="26"/>
      <c r="D53" s="279"/>
      <c r="E53" s="27"/>
      <c r="F53" s="28"/>
      <c r="G53" s="27"/>
      <c r="H53" s="28"/>
      <c r="I53" s="28"/>
      <c r="J53" s="255" t="str">
        <f>IF(H53="","",(_xlfn.XLOOKUP(H53,Cadastros!$D$6:$D$90,Cadastros!$E$6:$E$90))*(1-_xlfn.XLOOKUP(_xlfn.XLOOKUP($F53,Clientes!$B$4:$B$39,Clientes!$C$4:$C$39),Cadastros!$L$6:$L$12,Cadastros!$N$6:$N$12)))</f>
        <v/>
      </c>
      <c r="K53" s="168" t="str">
        <f t="shared" si="1"/>
        <v/>
      </c>
      <c r="L53" s="168" t="str">
        <f>IFERROR(K53/_xlfn.XLOOKUP(_xlfn.XLOOKUP($F53,Clientes!$B$4:$B$39,Clientes!$C$4:$C$39),Cadastros!$L$6:$L$12,Cadastros!$M$6:$M$12)," ")</f>
        <v xml:space="preserve"> </v>
      </c>
      <c r="M53" s="28"/>
      <c r="N53" s="28"/>
      <c r="O53" s="255" t="str">
        <f>IF(M53="","",(_xlfn.XLOOKUP(M53,Cadastros!$D$6:$D$90,Cadastros!$E$6:$E$90))*(1-_xlfn.XLOOKUP(_xlfn.XLOOKUP($F53,Clientes!$B$4:$B$39,Clientes!$C$4:$C$39),Cadastros!$L$6:$L$12,Cadastros!$N$6:$N$12)))</f>
        <v/>
      </c>
      <c r="P53" s="168" t="str">
        <f t="shared" si="2"/>
        <v/>
      </c>
      <c r="Q53" s="168" t="str">
        <f>IFERROR(P53/_xlfn.XLOOKUP(_xlfn.XLOOKUP($F53,Clientes!$B$4:$B$39,Clientes!$C$4:$C$39),Cadastros!$L$6:$L$12,Cadastros!$M$6:$M$12)," ")</f>
        <v xml:space="preserve"> </v>
      </c>
      <c r="R53" s="28"/>
      <c r="S53" s="28"/>
      <c r="T53" s="255" t="str">
        <f>IF(R53="","",(_xlfn.XLOOKUP(R53,Cadastros!$D$6:$D$90,Cadastros!$E$6:$E$90))*(1-_xlfn.XLOOKUP(_xlfn.XLOOKUP($F53,Clientes!$B$4:$B$39,Clientes!$C$4:$C$39),Cadastros!$L$6:$L$12,Cadastros!$N$6:$N$12)))</f>
        <v/>
      </c>
      <c r="U53" s="168" t="str">
        <f t="shared" si="3"/>
        <v/>
      </c>
      <c r="V53" s="168" t="str">
        <f>IFERROR(U53/_xlfn.XLOOKUP(_xlfn.XLOOKUP($F53,Clientes!$B$4:$B$39,Clientes!$C$4:$C$39),Cadastros!$L$6:$L$12,Cadastros!$M$6:$M$12)," ")</f>
        <v xml:space="preserve"> </v>
      </c>
      <c r="W53" s="28"/>
      <c r="X53" s="28"/>
      <c r="Y53" s="255" t="str">
        <f>IF(W53="","",(_xlfn.XLOOKUP(W53,Cadastros!$D$6:$D$90,Cadastros!$E$6:$E$90))*(1-_xlfn.XLOOKUP(_xlfn.XLOOKUP($F53,Clientes!$B$4:$B$39,Clientes!$C$4:$C$39),Cadastros!$L$6:$L$12,Cadastros!$N$6:$N$12)))</f>
        <v/>
      </c>
      <c r="Z53" s="168" t="str">
        <f t="shared" si="4"/>
        <v/>
      </c>
      <c r="AA53" s="168" t="str">
        <f>IFERROR(Z53/_xlfn.XLOOKUP(_xlfn.XLOOKUP($F53,Clientes!$B$4:$B$39,Clientes!$C$4:$C$39),Cadastros!$L$6:$L$12,Cadastros!$M$6:$M$12)," ")</f>
        <v xml:space="preserve"> </v>
      </c>
      <c r="AB53" s="28"/>
      <c r="AC53" s="28"/>
      <c r="AD53" s="20" t="str">
        <f>IF(AB53="","",IF($F53="Bernardino Furlan",_xlfn.XLOOKUP(AB53,Cadastros!$G$6:$G$90,Cadastros!$H$6:$H$90)*(1-0.18),IF($F53="Mauro José Salanti",_xlfn.XLOOKUP(AB53,Cadastros!$G$6:$G$90,Cadastros!$H$6:$H$90)*(1-0.18),_xlfn.XLOOKUP(AB53,Cadastros!$G$6:$G$90,Cadastros!$H$6:$H$90))))</f>
        <v/>
      </c>
      <c r="AE53" s="168" t="str">
        <f t="shared" si="5"/>
        <v/>
      </c>
      <c r="AF53" s="168" t="str">
        <f t="shared" si="6"/>
        <v/>
      </c>
      <c r="AG53" s="28"/>
      <c r="AH53" s="28"/>
      <c r="AI53" s="20" t="str">
        <f>IF(AG53="","",IF($F53="Bernardino Furlan",_xlfn.XLOOKUP(AG53,Cadastros!$G$6:$G$90,Cadastros!$H$6:$H$90)*(1-0.18),IF($F53="Mauro José Salanti",_xlfn.XLOOKUP(AG53,Cadastros!$G$6:$G$90,Cadastros!$H$6:$H$90)*(1-0.18),_xlfn.XLOOKUP(AG53,Cadastros!$G$6:$G$90,Cadastros!$H$6:$H$90))))</f>
        <v/>
      </c>
      <c r="AJ53" s="168" t="str">
        <f t="shared" si="7"/>
        <v/>
      </c>
      <c r="AK53" s="168" t="str">
        <f t="shared" si="8"/>
        <v/>
      </c>
      <c r="AL53" s="28"/>
      <c r="AM53" s="28"/>
      <c r="AN53" s="20" t="str">
        <f>IF(AL53="","",IF($F53="Bernardino Furlan",_xlfn.XLOOKUP(AL53,Cadastros!$G$6:$G$90,Cadastros!$H$6:$H$90)*(1-0.18),IF($F53="Mauro José Salanti",_xlfn.XLOOKUP(AL53,Cadastros!$G$6:$G$90,Cadastros!$H$6:$H$90)*(1-0.18),_xlfn.XLOOKUP(AL53,Cadastros!$G$6:$G$90,Cadastros!$H$6:$H$90))))</f>
        <v/>
      </c>
      <c r="AO53" s="168" t="str">
        <f t="shared" si="9"/>
        <v/>
      </c>
      <c r="AP53" s="168" t="str">
        <f t="shared" si="10"/>
        <v/>
      </c>
      <c r="AQ53" s="28"/>
      <c r="AR53" s="28"/>
      <c r="AS53" s="20" t="str">
        <f>IF(AQ53="","",IF($F53="Bernardino Furlan",_xlfn.XLOOKUP(AQ53,Cadastros!$G$6:$G$90,Cadastros!$H$6:$H$90)*(1-0.18),IF($F53="Mauro José Salanti",_xlfn.XLOOKUP(AQ53,Cadastros!$G$6:$G$90,Cadastros!$H$6:$H$90)*(1-0.18),_xlfn.XLOOKUP(AQ53,Cadastros!$G$6:$G$90,Cadastros!$H$6:$H$90))))</f>
        <v/>
      </c>
      <c r="AT53" s="168" t="str">
        <f t="shared" si="11"/>
        <v/>
      </c>
      <c r="AU53" s="168" t="str">
        <f t="shared" si="12"/>
        <v/>
      </c>
      <c r="AV53" s="227"/>
      <c r="AW53" s="30"/>
      <c r="AX53" s="267"/>
      <c r="AY53" s="267"/>
      <c r="AZ53" s="29"/>
      <c r="BA53" s="30"/>
      <c r="BB53" s="23" t="str" cm="1">
        <f t="array" ref="BB53">_xlfn.IFS(AW53="SIM",SUM(K53,P53,U53,Z53,AE53,AJ53,AO53,AT53,AX53,AY53),F53&lt;&gt;"",SUM(K53,P53,U53,Z53,AE53,AJ53,,AO53,AT53),F53="","")</f>
        <v/>
      </c>
      <c r="BC53" s="211" t="str" cm="1">
        <f t="array" ref="BC53">_xlfn.IFS(E53="","",G53&lt;=E53,BB53*(1-0.03),G53&lt;(E53+8),BB53,AZ53="Boleto",BB53*(1+0.001)^DATEDIF(E53,G53,"D"),AZ53="Cheque",BB53,AZ53="Dinheiro","Alterar forma pgto")</f>
        <v/>
      </c>
      <c r="BD53" s="276" t="str" cm="1">
        <f t="array" ref="BD53">IF(F53=0," ",IF(BC53&lt;BB53,(_xlfn.IFS(AW53="SIM",SUM(L53,Q53,V53,AA53,AF53,AK53,AP53,AU53)+AX53/_xlfn.XLOOKUP(_xlfn.XLOOKUP($F53,Clientes!$B$4:$B$39,Clientes!$C$4:$C$39),Cadastros!$L$6:$L$12,Cadastros!$M$6:$M$12)+IF($F53="Bernardino Furlan",AY53/2751.92,IF($F53="Mauro José Salanti",AY53/2751.92,AY53/3356)),F53&lt;&gt;0,SUM(L53,Q53,V53,AA53,AF53,AK53,AP53,AU53)))*(1-0.03),_xlfn.IFS(AW53="SIM",SUM(L53,Q53,V53,AA53,AF53,AK53,AP53,AU53)+AX53/_xlfn.XLOOKUP(_xlfn.XLOOKUP($F53,Clientes!$B$4:$B$39,Clientes!$C$4:$C$39),Cadastros!$L$6:$L$12,Cadastros!$M$6:$M$12)+IF($F53="Bernardino Furlan",AY53/2751.92,IF($F53="Mauro José Salanti",AY53/2751.92,AY53/3356)),F53&lt;&gt;0,SUM(L53,Q53,V53,AA53,AF53,AK53,AP53,AU53))))</f>
        <v xml:space="preserve"> </v>
      </c>
      <c r="BE53" s="120"/>
      <c r="BF53" s="120"/>
      <c r="BG53" s="120"/>
      <c r="BL53" s="235" t="str">
        <f>IF(Cadastros!D50="","",Cadastros!D50)</f>
        <v>40102 - Colchão Vivace 088 X 188 X 024 cm S/VQ</v>
      </c>
      <c r="BM53" s="234"/>
      <c r="BN53" s="235" t="str">
        <f>IF(Cadastros!G50="","",Cadastros!G50)</f>
        <v>171 - Cabeceira 2 Retângulos Borda Lisa 213 X 130</v>
      </c>
    </row>
    <row r="54" spans="1:66" s="3" customFormat="1" x14ac:dyDescent="0.3">
      <c r="A54" s="15" t="str">
        <f t="shared" si="0"/>
        <v/>
      </c>
      <c r="B54" s="25"/>
      <c r="C54" s="26"/>
      <c r="D54" s="279"/>
      <c r="E54" s="27"/>
      <c r="F54" s="28"/>
      <c r="G54" s="27"/>
      <c r="H54" s="28"/>
      <c r="I54" s="28"/>
      <c r="J54" s="255" t="str">
        <f>IF(H54="","",(_xlfn.XLOOKUP(H54,Cadastros!$D$6:$D$90,Cadastros!$E$6:$E$90))*(1-_xlfn.XLOOKUP(_xlfn.XLOOKUP($F54,Clientes!$B$4:$B$39,Clientes!$C$4:$C$39),Cadastros!$L$6:$L$12,Cadastros!$N$6:$N$12)))</f>
        <v/>
      </c>
      <c r="K54" s="168" t="str">
        <f t="shared" si="1"/>
        <v/>
      </c>
      <c r="L54" s="168" t="str">
        <f>IFERROR(K54/_xlfn.XLOOKUP(_xlfn.XLOOKUP($F54,Clientes!$B$4:$B$39,Clientes!$C$4:$C$39),Cadastros!$L$6:$L$12,Cadastros!$M$6:$M$12)," ")</f>
        <v xml:space="preserve"> </v>
      </c>
      <c r="M54" s="28"/>
      <c r="N54" s="28"/>
      <c r="O54" s="255" t="str">
        <f>IF(M54="","",(_xlfn.XLOOKUP(M54,Cadastros!$D$6:$D$90,Cadastros!$E$6:$E$90))*(1-_xlfn.XLOOKUP(_xlfn.XLOOKUP($F54,Clientes!$B$4:$B$39,Clientes!$C$4:$C$39),Cadastros!$L$6:$L$12,Cadastros!$N$6:$N$12)))</f>
        <v/>
      </c>
      <c r="P54" s="168" t="str">
        <f t="shared" si="2"/>
        <v/>
      </c>
      <c r="Q54" s="168" t="str">
        <f>IFERROR(P54/_xlfn.XLOOKUP(_xlfn.XLOOKUP($F54,Clientes!$B$4:$B$39,Clientes!$C$4:$C$39),Cadastros!$L$6:$L$12,Cadastros!$M$6:$M$12)," ")</f>
        <v xml:space="preserve"> </v>
      </c>
      <c r="R54" s="28"/>
      <c r="S54" s="28"/>
      <c r="T54" s="255" t="str">
        <f>IF(R54="","",(_xlfn.XLOOKUP(R54,Cadastros!$D$6:$D$90,Cadastros!$E$6:$E$90))*(1-_xlfn.XLOOKUP(_xlfn.XLOOKUP($F54,Clientes!$B$4:$B$39,Clientes!$C$4:$C$39),Cadastros!$L$6:$L$12,Cadastros!$N$6:$N$12)))</f>
        <v/>
      </c>
      <c r="U54" s="168" t="str">
        <f t="shared" si="3"/>
        <v/>
      </c>
      <c r="V54" s="168" t="str">
        <f>IFERROR(U54/_xlfn.XLOOKUP(_xlfn.XLOOKUP($F54,Clientes!$B$4:$B$39,Clientes!$C$4:$C$39),Cadastros!$L$6:$L$12,Cadastros!$M$6:$M$12)," ")</f>
        <v xml:space="preserve"> </v>
      </c>
      <c r="W54" s="28"/>
      <c r="X54" s="28"/>
      <c r="Y54" s="255" t="str">
        <f>IF(W54="","",(_xlfn.XLOOKUP(W54,Cadastros!$D$6:$D$90,Cadastros!$E$6:$E$90))*(1-_xlfn.XLOOKUP(_xlfn.XLOOKUP($F54,Clientes!$B$4:$B$39,Clientes!$C$4:$C$39),Cadastros!$L$6:$L$12,Cadastros!$N$6:$N$12)))</f>
        <v/>
      </c>
      <c r="Z54" s="168" t="str">
        <f t="shared" si="4"/>
        <v/>
      </c>
      <c r="AA54" s="168" t="str">
        <f>IFERROR(Z54/_xlfn.XLOOKUP(_xlfn.XLOOKUP($F54,Clientes!$B$4:$B$39,Clientes!$C$4:$C$39),Cadastros!$L$6:$L$12,Cadastros!$M$6:$M$12)," ")</f>
        <v xml:space="preserve"> </v>
      </c>
      <c r="AB54" s="28"/>
      <c r="AC54" s="28"/>
      <c r="AD54" s="20" t="str">
        <f>IF(AB54="","",IF($F54="Bernardino Furlan",_xlfn.XLOOKUP(AB54,Cadastros!$G$6:$G$90,Cadastros!$H$6:$H$90)*(1-0.18),IF($F54="Mauro José Salanti",_xlfn.XLOOKUP(AB54,Cadastros!$G$6:$G$90,Cadastros!$H$6:$H$90)*(1-0.18),_xlfn.XLOOKUP(AB54,Cadastros!$G$6:$G$90,Cadastros!$H$6:$H$90))))</f>
        <v/>
      </c>
      <c r="AE54" s="168" t="str">
        <f t="shared" si="5"/>
        <v/>
      </c>
      <c r="AF54" s="168" t="str">
        <f t="shared" si="6"/>
        <v/>
      </c>
      <c r="AG54" s="28"/>
      <c r="AH54" s="28"/>
      <c r="AI54" s="20" t="str">
        <f>IF(AG54="","",IF($F54="Bernardino Furlan",_xlfn.XLOOKUP(AG54,Cadastros!$G$6:$G$90,Cadastros!$H$6:$H$90)*(1-0.18),IF($F54="Mauro José Salanti",_xlfn.XLOOKUP(AG54,Cadastros!$G$6:$G$90,Cadastros!$H$6:$H$90)*(1-0.18),_xlfn.XLOOKUP(AG54,Cadastros!$G$6:$G$90,Cadastros!$H$6:$H$90))))</f>
        <v/>
      </c>
      <c r="AJ54" s="168" t="str">
        <f t="shared" si="7"/>
        <v/>
      </c>
      <c r="AK54" s="168" t="str">
        <f t="shared" si="8"/>
        <v/>
      </c>
      <c r="AL54" s="28"/>
      <c r="AM54" s="28"/>
      <c r="AN54" s="20" t="str">
        <f>IF(AL54="","",IF($F54="Bernardino Furlan",_xlfn.XLOOKUP(AL54,Cadastros!$G$6:$G$90,Cadastros!$H$6:$H$90)*(1-0.18),IF($F54="Mauro José Salanti",_xlfn.XLOOKUP(AL54,Cadastros!$G$6:$G$90,Cadastros!$H$6:$H$90)*(1-0.18),_xlfn.XLOOKUP(AL54,Cadastros!$G$6:$G$90,Cadastros!$H$6:$H$90))))</f>
        <v/>
      </c>
      <c r="AO54" s="168" t="str">
        <f t="shared" si="9"/>
        <v/>
      </c>
      <c r="AP54" s="168" t="str">
        <f t="shared" si="10"/>
        <v/>
      </c>
      <c r="AQ54" s="28"/>
      <c r="AR54" s="28"/>
      <c r="AS54" s="20" t="str">
        <f>IF(AQ54="","",IF($F54="Bernardino Furlan",_xlfn.XLOOKUP(AQ54,Cadastros!$G$6:$G$90,Cadastros!$H$6:$H$90)*(1-0.18),IF($F54="Mauro José Salanti",_xlfn.XLOOKUP(AQ54,Cadastros!$G$6:$G$90,Cadastros!$H$6:$H$90)*(1-0.18),_xlfn.XLOOKUP(AQ54,Cadastros!$G$6:$G$90,Cadastros!$H$6:$H$90))))</f>
        <v/>
      </c>
      <c r="AT54" s="168" t="str">
        <f t="shared" si="11"/>
        <v/>
      </c>
      <c r="AU54" s="168" t="str">
        <f t="shared" si="12"/>
        <v/>
      </c>
      <c r="AV54" s="227"/>
      <c r="AW54" s="30"/>
      <c r="AX54" s="267"/>
      <c r="AY54" s="267"/>
      <c r="AZ54" s="29"/>
      <c r="BA54" s="30"/>
      <c r="BB54" s="23" t="str" cm="1">
        <f t="array" ref="BB54">_xlfn.IFS(AW54="SIM",SUM(K54,P54,U54,Z54,AE54,AJ54,AO54,AT54,AX54,AY54),F54&lt;&gt;"",SUM(K54,P54,U54,Z54,AE54,AJ54,,AO54,AT54),F54="","")</f>
        <v/>
      </c>
      <c r="BC54" s="211" t="str" cm="1">
        <f t="array" ref="BC54">_xlfn.IFS(E54="","",G54&lt;=E54,BB54*(1-0.03),G54&lt;(E54+8),BB54,AZ54="Boleto",BB54*(1+0.001)^DATEDIF(E54,G54,"D"),AZ54="Cheque",BB54,AZ54="Dinheiro","Alterar forma pgto")</f>
        <v/>
      </c>
      <c r="BD54" s="276" t="str" cm="1">
        <f t="array" ref="BD54">IF(F54=0," ",IF(BC54&lt;BB54,(_xlfn.IFS(AW54="SIM",SUM(L54,Q54,V54,AA54,AF54,AK54,AP54,AU54)+AX54/_xlfn.XLOOKUP(_xlfn.XLOOKUP($F54,Clientes!$B$4:$B$39,Clientes!$C$4:$C$39),Cadastros!$L$6:$L$12,Cadastros!$M$6:$M$12)+IF($F54="Bernardino Furlan",AY54/2751.92,IF($F54="Mauro José Salanti",AY54/2751.92,AY54/3356)),F54&lt;&gt;0,SUM(L54,Q54,V54,AA54,AF54,AK54,AP54,AU54)))*(1-0.03),_xlfn.IFS(AW54="SIM",SUM(L54,Q54,V54,AA54,AF54,AK54,AP54,AU54)+AX54/_xlfn.XLOOKUP(_xlfn.XLOOKUP($F54,Clientes!$B$4:$B$39,Clientes!$C$4:$C$39),Cadastros!$L$6:$L$12,Cadastros!$M$6:$M$12)+IF($F54="Bernardino Furlan",AY54/2751.92,IF($F54="Mauro José Salanti",AY54/2751.92,AY54/3356)),F54&lt;&gt;0,SUM(L54,Q54,V54,AA54,AF54,AK54,AP54,AU54))))</f>
        <v xml:space="preserve"> </v>
      </c>
      <c r="BE54" s="120"/>
      <c r="BF54" s="120"/>
      <c r="BG54" s="120"/>
      <c r="BL54" s="235" t="str">
        <f>IF(Cadastros!D51="","",Cadastros!D51)</f>
        <v>40103 - Colchão Supremo 088 X 188 X 027 cm S/VQ</v>
      </c>
      <c r="BM54" s="234"/>
      <c r="BN54" s="235" t="str">
        <f>IF(Cadastros!G51="","",Cadastros!G51)</f>
        <v>153 - Cabeceira Capitone Borda 140 cm</v>
      </c>
    </row>
    <row r="55" spans="1:66" s="3" customFormat="1" x14ac:dyDescent="0.3">
      <c r="A55" s="15" t="str">
        <f t="shared" si="0"/>
        <v/>
      </c>
      <c r="B55" s="25"/>
      <c r="C55" s="26"/>
      <c r="D55" s="279"/>
      <c r="E55" s="27"/>
      <c r="F55" s="28"/>
      <c r="G55" s="27"/>
      <c r="H55" s="28"/>
      <c r="I55" s="28"/>
      <c r="J55" s="255" t="str">
        <f>IF(H55="","",(_xlfn.XLOOKUP(H55,Cadastros!$D$6:$D$90,Cadastros!$E$6:$E$90))*(1-_xlfn.XLOOKUP(_xlfn.XLOOKUP($F55,Clientes!$B$4:$B$39,Clientes!$C$4:$C$39),Cadastros!$L$6:$L$12,Cadastros!$N$6:$N$12)))</f>
        <v/>
      </c>
      <c r="K55" s="168" t="str">
        <f t="shared" si="1"/>
        <v/>
      </c>
      <c r="L55" s="168" t="str">
        <f>IFERROR(K55/_xlfn.XLOOKUP(_xlfn.XLOOKUP($F55,Clientes!$B$4:$B$39,Clientes!$C$4:$C$39),Cadastros!$L$6:$L$12,Cadastros!$M$6:$M$12)," ")</f>
        <v xml:space="preserve"> </v>
      </c>
      <c r="M55" s="28"/>
      <c r="N55" s="28"/>
      <c r="O55" s="255" t="str">
        <f>IF(M55="","",(_xlfn.XLOOKUP(M55,Cadastros!$D$6:$D$90,Cadastros!$E$6:$E$90))*(1-_xlfn.XLOOKUP(_xlfn.XLOOKUP($F55,Clientes!$B$4:$B$39,Clientes!$C$4:$C$39),Cadastros!$L$6:$L$12,Cadastros!$N$6:$N$12)))</f>
        <v/>
      </c>
      <c r="P55" s="168" t="str">
        <f t="shared" si="2"/>
        <v/>
      </c>
      <c r="Q55" s="168" t="str">
        <f>IFERROR(P55/_xlfn.XLOOKUP(_xlfn.XLOOKUP($F55,Clientes!$B$4:$B$39,Clientes!$C$4:$C$39),Cadastros!$L$6:$L$12,Cadastros!$M$6:$M$12)," ")</f>
        <v xml:space="preserve"> </v>
      </c>
      <c r="R55" s="28"/>
      <c r="S55" s="28"/>
      <c r="T55" s="255" t="str">
        <f>IF(R55="","",(_xlfn.XLOOKUP(R55,Cadastros!$D$6:$D$90,Cadastros!$E$6:$E$90))*(1-_xlfn.XLOOKUP(_xlfn.XLOOKUP($F55,Clientes!$B$4:$B$39,Clientes!$C$4:$C$39),Cadastros!$L$6:$L$12,Cadastros!$N$6:$N$12)))</f>
        <v/>
      </c>
      <c r="U55" s="168" t="str">
        <f t="shared" si="3"/>
        <v/>
      </c>
      <c r="V55" s="168" t="str">
        <f>IFERROR(U55/_xlfn.XLOOKUP(_xlfn.XLOOKUP($F55,Clientes!$B$4:$B$39,Clientes!$C$4:$C$39),Cadastros!$L$6:$L$12,Cadastros!$M$6:$M$12)," ")</f>
        <v xml:space="preserve"> </v>
      </c>
      <c r="W55" s="28"/>
      <c r="X55" s="28"/>
      <c r="Y55" s="255" t="str">
        <f>IF(W55="","",(_xlfn.XLOOKUP(W55,Cadastros!$D$6:$D$90,Cadastros!$E$6:$E$90))*(1-_xlfn.XLOOKUP(_xlfn.XLOOKUP($F55,Clientes!$B$4:$B$39,Clientes!$C$4:$C$39),Cadastros!$L$6:$L$12,Cadastros!$N$6:$N$12)))</f>
        <v/>
      </c>
      <c r="Z55" s="168" t="str">
        <f t="shared" si="4"/>
        <v/>
      </c>
      <c r="AA55" s="168" t="str">
        <f>IFERROR(Z55/_xlfn.XLOOKUP(_xlfn.XLOOKUP($F55,Clientes!$B$4:$B$39,Clientes!$C$4:$C$39),Cadastros!$L$6:$L$12,Cadastros!$M$6:$M$12)," ")</f>
        <v xml:space="preserve"> </v>
      </c>
      <c r="AB55" s="28"/>
      <c r="AC55" s="28"/>
      <c r="AD55" s="20" t="str">
        <f>IF(AB55="","",IF($F55="Bernardino Furlan",_xlfn.XLOOKUP(AB55,Cadastros!$G$6:$G$90,Cadastros!$H$6:$H$90)*(1-0.18),IF($F55="Mauro José Salanti",_xlfn.XLOOKUP(AB55,Cadastros!$G$6:$G$90,Cadastros!$H$6:$H$90)*(1-0.18),_xlfn.XLOOKUP(AB55,Cadastros!$G$6:$G$90,Cadastros!$H$6:$H$90))))</f>
        <v/>
      </c>
      <c r="AE55" s="168" t="str">
        <f t="shared" si="5"/>
        <v/>
      </c>
      <c r="AF55" s="168" t="str">
        <f t="shared" si="6"/>
        <v/>
      </c>
      <c r="AG55" s="28"/>
      <c r="AH55" s="28"/>
      <c r="AI55" s="20" t="str">
        <f>IF(AG55="","",IF($F55="Bernardino Furlan",_xlfn.XLOOKUP(AG55,Cadastros!$G$6:$G$90,Cadastros!$H$6:$H$90)*(1-0.18),IF($F55="Mauro José Salanti",_xlfn.XLOOKUP(AG55,Cadastros!$G$6:$G$90,Cadastros!$H$6:$H$90)*(1-0.18),_xlfn.XLOOKUP(AG55,Cadastros!$G$6:$G$90,Cadastros!$H$6:$H$90))))</f>
        <v/>
      </c>
      <c r="AJ55" s="168" t="str">
        <f t="shared" si="7"/>
        <v/>
      </c>
      <c r="AK55" s="168" t="str">
        <f t="shared" si="8"/>
        <v/>
      </c>
      <c r="AL55" s="28"/>
      <c r="AM55" s="28"/>
      <c r="AN55" s="20" t="str">
        <f>IF(AL55="","",IF($F55="Bernardino Furlan",_xlfn.XLOOKUP(AL55,Cadastros!$G$6:$G$90,Cadastros!$H$6:$H$90)*(1-0.18),IF($F55="Mauro José Salanti",_xlfn.XLOOKUP(AL55,Cadastros!$G$6:$G$90,Cadastros!$H$6:$H$90)*(1-0.18),_xlfn.XLOOKUP(AL55,Cadastros!$G$6:$G$90,Cadastros!$H$6:$H$90))))</f>
        <v/>
      </c>
      <c r="AO55" s="168" t="str">
        <f t="shared" si="9"/>
        <v/>
      </c>
      <c r="AP55" s="168" t="str">
        <f t="shared" si="10"/>
        <v/>
      </c>
      <c r="AQ55" s="28"/>
      <c r="AR55" s="28"/>
      <c r="AS55" s="20" t="str">
        <f>IF(AQ55="","",IF($F55="Bernardino Furlan",_xlfn.XLOOKUP(AQ55,Cadastros!$G$6:$G$90,Cadastros!$H$6:$H$90)*(1-0.18),IF($F55="Mauro José Salanti",_xlfn.XLOOKUP(AQ55,Cadastros!$G$6:$G$90,Cadastros!$H$6:$H$90)*(1-0.18),_xlfn.XLOOKUP(AQ55,Cadastros!$G$6:$G$90,Cadastros!$H$6:$H$90))))</f>
        <v/>
      </c>
      <c r="AT55" s="168" t="str">
        <f t="shared" si="11"/>
        <v/>
      </c>
      <c r="AU55" s="168" t="str">
        <f t="shared" si="12"/>
        <v/>
      </c>
      <c r="AV55" s="227"/>
      <c r="AW55" s="30"/>
      <c r="AX55" s="267"/>
      <c r="AY55" s="267"/>
      <c r="AZ55" s="29"/>
      <c r="BA55" s="30"/>
      <c r="BB55" s="23" t="str" cm="1">
        <f t="array" ref="BB55">_xlfn.IFS(AW55="SIM",SUM(K55,P55,U55,Z55,AE55,AJ55,AO55,AT55,AX55,AY55),F55&lt;&gt;"",SUM(K55,P55,U55,Z55,AE55,AJ55,,AO55,AT55),F55="","")</f>
        <v/>
      </c>
      <c r="BC55" s="211" t="str" cm="1">
        <f t="array" ref="BC55">_xlfn.IFS(E55="","",G55&lt;=E55,BB55*(1-0.03),G55&lt;(E55+8),BB55,AZ55="Boleto",BB55*(1+0.001)^DATEDIF(E55,G55,"D"),AZ55="Cheque",BB55,AZ55="Dinheiro","Alterar forma pgto")</f>
        <v/>
      </c>
      <c r="BD55" s="276" t="str" cm="1">
        <f t="array" ref="BD55">IF(F55=0," ",IF(BC55&lt;BB55,(_xlfn.IFS(AW55="SIM",SUM(L55,Q55,V55,AA55,AF55,AK55,AP55,AU55)+AX55/_xlfn.XLOOKUP(_xlfn.XLOOKUP($F55,Clientes!$B$4:$B$39,Clientes!$C$4:$C$39),Cadastros!$L$6:$L$12,Cadastros!$M$6:$M$12)+IF($F55="Bernardino Furlan",AY55/2751.92,IF($F55="Mauro José Salanti",AY55/2751.92,AY55/3356)),F55&lt;&gt;0,SUM(L55,Q55,V55,AA55,AF55,AK55,AP55,AU55)))*(1-0.03),_xlfn.IFS(AW55="SIM",SUM(L55,Q55,V55,AA55,AF55,AK55,AP55,AU55)+AX55/_xlfn.XLOOKUP(_xlfn.XLOOKUP($F55,Clientes!$B$4:$B$39,Clientes!$C$4:$C$39),Cadastros!$L$6:$L$12,Cadastros!$M$6:$M$12)+IF($F55="Bernardino Furlan",AY55/2751.92,IF($F55="Mauro José Salanti",AY55/2751.92,AY55/3356)),F55&lt;&gt;0,SUM(L55,Q55,V55,AA55,AF55,AK55,AP55,AU55))))</f>
        <v xml:space="preserve"> </v>
      </c>
      <c r="BE55" s="120"/>
      <c r="BF55" s="120"/>
      <c r="BG55" s="120"/>
      <c r="BL55" s="235" t="str">
        <f>IF(Cadastros!D52="","",Cadastros!D52)</f>
        <v>40104 - Colchão Léctus 138 X 188 X 021 cm S/VQ</v>
      </c>
      <c r="BM55" s="234"/>
      <c r="BN55" s="235" t="str">
        <f>IF(Cadastros!G52="","",Cadastros!G52)</f>
        <v>148 - Cabeceira Capitone Borda 160 cm</v>
      </c>
    </row>
    <row r="56" spans="1:66" s="3" customFormat="1" x14ac:dyDescent="0.3">
      <c r="A56" s="15" t="str">
        <f t="shared" si="0"/>
        <v/>
      </c>
      <c r="B56" s="25"/>
      <c r="C56" s="26"/>
      <c r="D56" s="279"/>
      <c r="E56" s="27"/>
      <c r="F56" s="28"/>
      <c r="G56" s="27"/>
      <c r="H56" s="28"/>
      <c r="I56" s="28"/>
      <c r="J56" s="255" t="str">
        <f>IF(H56="","",(_xlfn.XLOOKUP(H56,Cadastros!$D$6:$D$90,Cadastros!$E$6:$E$90))*(1-_xlfn.XLOOKUP(_xlfn.XLOOKUP($F56,Clientes!$B$4:$B$39,Clientes!$C$4:$C$39),Cadastros!$L$6:$L$12,Cadastros!$N$6:$N$12)))</f>
        <v/>
      </c>
      <c r="K56" s="168" t="str">
        <f t="shared" si="1"/>
        <v/>
      </c>
      <c r="L56" s="168" t="str">
        <f>IFERROR(K56/_xlfn.XLOOKUP(_xlfn.XLOOKUP($F56,Clientes!$B$4:$B$39,Clientes!$C$4:$C$39),Cadastros!$L$6:$L$12,Cadastros!$M$6:$M$12)," ")</f>
        <v xml:space="preserve"> </v>
      </c>
      <c r="M56" s="28"/>
      <c r="N56" s="28"/>
      <c r="O56" s="255" t="str">
        <f>IF(M56="","",(_xlfn.XLOOKUP(M56,Cadastros!$D$6:$D$90,Cadastros!$E$6:$E$90))*(1-_xlfn.XLOOKUP(_xlfn.XLOOKUP($F56,Clientes!$B$4:$B$39,Clientes!$C$4:$C$39),Cadastros!$L$6:$L$12,Cadastros!$N$6:$N$12)))</f>
        <v/>
      </c>
      <c r="P56" s="168" t="str">
        <f t="shared" si="2"/>
        <v/>
      </c>
      <c r="Q56" s="168" t="str">
        <f>IFERROR(P56/_xlfn.XLOOKUP(_xlfn.XLOOKUP($F56,Clientes!$B$4:$B$39,Clientes!$C$4:$C$39),Cadastros!$L$6:$L$12,Cadastros!$M$6:$M$12)," ")</f>
        <v xml:space="preserve"> </v>
      </c>
      <c r="R56" s="28"/>
      <c r="S56" s="28"/>
      <c r="T56" s="255" t="str">
        <f>IF(R56="","",(_xlfn.XLOOKUP(R56,Cadastros!$D$6:$D$90,Cadastros!$E$6:$E$90))*(1-_xlfn.XLOOKUP(_xlfn.XLOOKUP($F56,Clientes!$B$4:$B$39,Clientes!$C$4:$C$39),Cadastros!$L$6:$L$12,Cadastros!$N$6:$N$12)))</f>
        <v/>
      </c>
      <c r="U56" s="168" t="str">
        <f t="shared" si="3"/>
        <v/>
      </c>
      <c r="V56" s="168" t="str">
        <f>IFERROR(U56/_xlfn.XLOOKUP(_xlfn.XLOOKUP($F56,Clientes!$B$4:$B$39,Clientes!$C$4:$C$39),Cadastros!$L$6:$L$12,Cadastros!$M$6:$M$12)," ")</f>
        <v xml:space="preserve"> </v>
      </c>
      <c r="W56" s="28"/>
      <c r="X56" s="28"/>
      <c r="Y56" s="255" t="str">
        <f>IF(W56="","",(_xlfn.XLOOKUP(W56,Cadastros!$D$6:$D$90,Cadastros!$E$6:$E$90))*(1-_xlfn.XLOOKUP(_xlfn.XLOOKUP($F56,Clientes!$B$4:$B$39,Clientes!$C$4:$C$39),Cadastros!$L$6:$L$12,Cadastros!$N$6:$N$12)))</f>
        <v/>
      </c>
      <c r="Z56" s="168" t="str">
        <f t="shared" si="4"/>
        <v/>
      </c>
      <c r="AA56" s="168" t="str">
        <f>IFERROR(Z56/_xlfn.XLOOKUP(_xlfn.XLOOKUP($F56,Clientes!$B$4:$B$39,Clientes!$C$4:$C$39),Cadastros!$L$6:$L$12,Cadastros!$M$6:$M$12)," ")</f>
        <v xml:space="preserve"> </v>
      </c>
      <c r="AB56" s="28"/>
      <c r="AC56" s="28"/>
      <c r="AD56" s="20" t="str">
        <f>IF(AB56="","",IF($F56="Bernardino Furlan",_xlfn.XLOOKUP(AB56,Cadastros!$G$6:$G$90,Cadastros!$H$6:$H$90)*(1-0.18),IF($F56="Mauro José Salanti",_xlfn.XLOOKUP(AB56,Cadastros!$G$6:$G$90,Cadastros!$H$6:$H$90)*(1-0.18),_xlfn.XLOOKUP(AB56,Cadastros!$G$6:$G$90,Cadastros!$H$6:$H$90))))</f>
        <v/>
      </c>
      <c r="AE56" s="168" t="str">
        <f t="shared" si="5"/>
        <v/>
      </c>
      <c r="AF56" s="168" t="str">
        <f t="shared" si="6"/>
        <v/>
      </c>
      <c r="AG56" s="28"/>
      <c r="AH56" s="28"/>
      <c r="AI56" s="20" t="str">
        <f>IF(AG56="","",IF($F56="Bernardino Furlan",_xlfn.XLOOKUP(AG56,Cadastros!$G$6:$G$90,Cadastros!$H$6:$H$90)*(1-0.18),IF($F56="Mauro José Salanti",_xlfn.XLOOKUP(AG56,Cadastros!$G$6:$G$90,Cadastros!$H$6:$H$90)*(1-0.18),_xlfn.XLOOKUP(AG56,Cadastros!$G$6:$G$90,Cadastros!$H$6:$H$90))))</f>
        <v/>
      </c>
      <c r="AJ56" s="168" t="str">
        <f t="shared" si="7"/>
        <v/>
      </c>
      <c r="AK56" s="168" t="str">
        <f t="shared" si="8"/>
        <v/>
      </c>
      <c r="AL56" s="28"/>
      <c r="AM56" s="28"/>
      <c r="AN56" s="20" t="str">
        <f>IF(AL56="","",IF($F56="Bernardino Furlan",_xlfn.XLOOKUP(AL56,Cadastros!$G$6:$G$90,Cadastros!$H$6:$H$90)*(1-0.18),IF($F56="Mauro José Salanti",_xlfn.XLOOKUP(AL56,Cadastros!$G$6:$G$90,Cadastros!$H$6:$H$90)*(1-0.18),_xlfn.XLOOKUP(AL56,Cadastros!$G$6:$G$90,Cadastros!$H$6:$H$90))))</f>
        <v/>
      </c>
      <c r="AO56" s="168" t="str">
        <f t="shared" si="9"/>
        <v/>
      </c>
      <c r="AP56" s="168" t="str">
        <f t="shared" si="10"/>
        <v/>
      </c>
      <c r="AQ56" s="28"/>
      <c r="AR56" s="28"/>
      <c r="AS56" s="20" t="str">
        <f>IF(AQ56="","",IF($F56="Bernardino Furlan",_xlfn.XLOOKUP(AQ56,Cadastros!$G$6:$G$90,Cadastros!$H$6:$H$90)*(1-0.18),IF($F56="Mauro José Salanti",_xlfn.XLOOKUP(AQ56,Cadastros!$G$6:$G$90,Cadastros!$H$6:$H$90)*(1-0.18),_xlfn.XLOOKUP(AQ56,Cadastros!$G$6:$G$90,Cadastros!$H$6:$H$90))))</f>
        <v/>
      </c>
      <c r="AT56" s="168" t="str">
        <f t="shared" si="11"/>
        <v/>
      </c>
      <c r="AU56" s="168" t="str">
        <f t="shared" si="12"/>
        <v/>
      </c>
      <c r="AV56" s="227"/>
      <c r="AW56" s="30"/>
      <c r="AX56" s="267"/>
      <c r="AY56" s="267"/>
      <c r="AZ56" s="29"/>
      <c r="BA56" s="30"/>
      <c r="BB56" s="23" t="str" cm="1">
        <f t="array" ref="BB56">_xlfn.IFS(AW56="SIM",SUM(K56,P56,U56,Z56,AE56,AJ56,AO56,AT56,AX56,AY56),F56&lt;&gt;"",SUM(K56,P56,U56,Z56,AE56,AJ56,,AO56,AT56),F56="","")</f>
        <v/>
      </c>
      <c r="BC56" s="211" t="str" cm="1">
        <f t="array" ref="BC56">_xlfn.IFS(E56="","",G56&lt;=E56,BB56*(1-0.03),G56&lt;(E56+8),BB56,AZ56="Boleto",BB56*(1+0.001)^DATEDIF(E56,G56,"D"),AZ56="Cheque",BB56,AZ56="Dinheiro","Alterar forma pgto")</f>
        <v/>
      </c>
      <c r="BD56" s="276" t="str" cm="1">
        <f t="array" ref="BD56">IF(F56=0," ",IF(BC56&lt;BB56,(_xlfn.IFS(AW56="SIM",SUM(L56,Q56,V56,AA56,AF56,AK56,AP56,AU56)+AX56/_xlfn.XLOOKUP(_xlfn.XLOOKUP($F56,Clientes!$B$4:$B$39,Clientes!$C$4:$C$39),Cadastros!$L$6:$L$12,Cadastros!$M$6:$M$12)+IF($F56="Bernardino Furlan",AY56/2751.92,IF($F56="Mauro José Salanti",AY56/2751.92,AY56/3356)),F56&lt;&gt;0,SUM(L56,Q56,V56,AA56,AF56,AK56,AP56,AU56)))*(1-0.03),_xlfn.IFS(AW56="SIM",SUM(L56,Q56,V56,AA56,AF56,AK56,AP56,AU56)+AX56/_xlfn.XLOOKUP(_xlfn.XLOOKUP($F56,Clientes!$B$4:$B$39,Clientes!$C$4:$C$39),Cadastros!$L$6:$L$12,Cadastros!$M$6:$M$12)+IF($F56="Bernardino Furlan",AY56/2751.92,IF($F56="Mauro José Salanti",AY56/2751.92,AY56/3356)),F56&lt;&gt;0,SUM(L56,Q56,V56,AA56,AF56,AK56,AP56,AU56))))</f>
        <v xml:space="preserve"> </v>
      </c>
      <c r="BE56" s="120"/>
      <c r="BF56" s="120"/>
      <c r="BG56" s="120"/>
      <c r="BL56" s="235" t="str">
        <f>IF(Cadastros!D53="","",Cadastros!D53)</f>
        <v>40105 - Colchão Vivace 138 X 188 X 024 cm S/VQ</v>
      </c>
      <c r="BM56" s="234"/>
      <c r="BN56" s="235" t="str">
        <f>IF(Cadastros!G53="","",Cadastros!G53)</f>
        <v>154 - Cabeceira Capitone Borda 193 cm</v>
      </c>
    </row>
    <row r="57" spans="1:66" s="3" customFormat="1" x14ac:dyDescent="0.3">
      <c r="A57" s="15" t="str">
        <f t="shared" si="0"/>
        <v/>
      </c>
      <c r="B57" s="25"/>
      <c r="C57" s="26"/>
      <c r="D57" s="279"/>
      <c r="E57" s="27"/>
      <c r="F57" s="28"/>
      <c r="G57" s="27"/>
      <c r="H57" s="28"/>
      <c r="I57" s="28"/>
      <c r="J57" s="255" t="str">
        <f>IF(H57="","",(_xlfn.XLOOKUP(H57,Cadastros!$D$6:$D$90,Cadastros!$E$6:$E$90))*(1-_xlfn.XLOOKUP(_xlfn.XLOOKUP($F57,Clientes!$B$4:$B$39,Clientes!$C$4:$C$39),Cadastros!$L$6:$L$12,Cadastros!$N$6:$N$12)))</f>
        <v/>
      </c>
      <c r="K57" s="168" t="str">
        <f t="shared" si="1"/>
        <v/>
      </c>
      <c r="L57" s="168" t="str">
        <f>IFERROR(K57/_xlfn.XLOOKUP(_xlfn.XLOOKUP($F57,Clientes!$B$4:$B$39,Clientes!$C$4:$C$39),Cadastros!$L$6:$L$12,Cadastros!$M$6:$M$12)," ")</f>
        <v xml:space="preserve"> </v>
      </c>
      <c r="M57" s="28"/>
      <c r="N57" s="28"/>
      <c r="O57" s="255" t="str">
        <f>IF(M57="","",(_xlfn.XLOOKUP(M57,Cadastros!$D$6:$D$90,Cadastros!$E$6:$E$90))*(1-_xlfn.XLOOKUP(_xlfn.XLOOKUP($F57,Clientes!$B$4:$B$39,Clientes!$C$4:$C$39),Cadastros!$L$6:$L$12,Cadastros!$N$6:$N$12)))</f>
        <v/>
      </c>
      <c r="P57" s="168" t="str">
        <f t="shared" si="2"/>
        <v/>
      </c>
      <c r="Q57" s="168" t="str">
        <f>IFERROR(P57/_xlfn.XLOOKUP(_xlfn.XLOOKUP($F57,Clientes!$B$4:$B$39,Clientes!$C$4:$C$39),Cadastros!$L$6:$L$12,Cadastros!$M$6:$M$12)," ")</f>
        <v xml:space="preserve"> </v>
      </c>
      <c r="R57" s="28"/>
      <c r="S57" s="28"/>
      <c r="T57" s="255" t="str">
        <f>IF(R57="","",(_xlfn.XLOOKUP(R57,Cadastros!$D$6:$D$90,Cadastros!$E$6:$E$90))*(1-_xlfn.XLOOKUP(_xlfn.XLOOKUP($F57,Clientes!$B$4:$B$39,Clientes!$C$4:$C$39),Cadastros!$L$6:$L$12,Cadastros!$N$6:$N$12)))</f>
        <v/>
      </c>
      <c r="U57" s="168" t="str">
        <f t="shared" si="3"/>
        <v/>
      </c>
      <c r="V57" s="168" t="str">
        <f>IFERROR(U57/_xlfn.XLOOKUP(_xlfn.XLOOKUP($F57,Clientes!$B$4:$B$39,Clientes!$C$4:$C$39),Cadastros!$L$6:$L$12,Cadastros!$M$6:$M$12)," ")</f>
        <v xml:space="preserve"> </v>
      </c>
      <c r="W57" s="28"/>
      <c r="X57" s="28"/>
      <c r="Y57" s="255" t="str">
        <f>IF(W57="","",(_xlfn.XLOOKUP(W57,Cadastros!$D$6:$D$90,Cadastros!$E$6:$E$90))*(1-_xlfn.XLOOKUP(_xlfn.XLOOKUP($F57,Clientes!$B$4:$B$39,Clientes!$C$4:$C$39),Cadastros!$L$6:$L$12,Cadastros!$N$6:$N$12)))</f>
        <v/>
      </c>
      <c r="Z57" s="168" t="str">
        <f t="shared" si="4"/>
        <v/>
      </c>
      <c r="AA57" s="168" t="str">
        <f>IFERROR(Z57/_xlfn.XLOOKUP(_xlfn.XLOOKUP($F57,Clientes!$B$4:$B$39,Clientes!$C$4:$C$39),Cadastros!$L$6:$L$12,Cadastros!$M$6:$M$12)," ")</f>
        <v xml:space="preserve"> </v>
      </c>
      <c r="AB57" s="28"/>
      <c r="AC57" s="28"/>
      <c r="AD57" s="20" t="str">
        <f>IF(AB57="","",IF($F57="Bernardino Furlan",_xlfn.XLOOKUP(AB57,Cadastros!$G$6:$G$90,Cadastros!$H$6:$H$90)*(1-0.18),IF($F57="Mauro José Salanti",_xlfn.XLOOKUP(AB57,Cadastros!$G$6:$G$90,Cadastros!$H$6:$H$90)*(1-0.18),_xlfn.XLOOKUP(AB57,Cadastros!$G$6:$G$90,Cadastros!$H$6:$H$90))))</f>
        <v/>
      </c>
      <c r="AE57" s="168" t="str">
        <f t="shared" si="5"/>
        <v/>
      </c>
      <c r="AF57" s="168" t="str">
        <f t="shared" si="6"/>
        <v/>
      </c>
      <c r="AG57" s="28"/>
      <c r="AH57" s="28"/>
      <c r="AI57" s="20" t="str">
        <f>IF(AG57="","",IF($F57="Bernardino Furlan",_xlfn.XLOOKUP(AG57,Cadastros!$G$6:$G$90,Cadastros!$H$6:$H$90)*(1-0.18),IF($F57="Mauro José Salanti",_xlfn.XLOOKUP(AG57,Cadastros!$G$6:$G$90,Cadastros!$H$6:$H$90)*(1-0.18),_xlfn.XLOOKUP(AG57,Cadastros!$G$6:$G$90,Cadastros!$H$6:$H$90))))</f>
        <v/>
      </c>
      <c r="AJ57" s="168" t="str">
        <f t="shared" si="7"/>
        <v/>
      </c>
      <c r="AK57" s="168" t="str">
        <f t="shared" si="8"/>
        <v/>
      </c>
      <c r="AL57" s="28"/>
      <c r="AM57" s="28"/>
      <c r="AN57" s="20" t="str">
        <f>IF(AL57="","",IF($F57="Bernardino Furlan",_xlfn.XLOOKUP(AL57,Cadastros!$G$6:$G$90,Cadastros!$H$6:$H$90)*(1-0.18),IF($F57="Mauro José Salanti",_xlfn.XLOOKUP(AL57,Cadastros!$G$6:$G$90,Cadastros!$H$6:$H$90)*(1-0.18),_xlfn.XLOOKUP(AL57,Cadastros!$G$6:$G$90,Cadastros!$H$6:$H$90))))</f>
        <v/>
      </c>
      <c r="AO57" s="168" t="str">
        <f t="shared" si="9"/>
        <v/>
      </c>
      <c r="AP57" s="168" t="str">
        <f t="shared" si="10"/>
        <v/>
      </c>
      <c r="AQ57" s="28"/>
      <c r="AR57" s="28"/>
      <c r="AS57" s="20" t="str">
        <f>IF(AQ57="","",IF($F57="Bernardino Furlan",_xlfn.XLOOKUP(AQ57,Cadastros!$G$6:$G$90,Cadastros!$H$6:$H$90)*(1-0.18),IF($F57="Mauro José Salanti",_xlfn.XLOOKUP(AQ57,Cadastros!$G$6:$G$90,Cadastros!$H$6:$H$90)*(1-0.18),_xlfn.XLOOKUP(AQ57,Cadastros!$G$6:$G$90,Cadastros!$H$6:$H$90))))</f>
        <v/>
      </c>
      <c r="AT57" s="168" t="str">
        <f t="shared" si="11"/>
        <v/>
      </c>
      <c r="AU57" s="168" t="str">
        <f t="shared" si="12"/>
        <v/>
      </c>
      <c r="AV57" s="227"/>
      <c r="AW57" s="30"/>
      <c r="AX57" s="267"/>
      <c r="AY57" s="267"/>
      <c r="AZ57" s="29"/>
      <c r="BA57" s="30"/>
      <c r="BB57" s="23" t="str" cm="1">
        <f t="array" ref="BB57">_xlfn.IFS(AW57="SIM",SUM(K57,P57,U57,Z57,AE57,AJ57,AO57,AT57,AX57,AY57),F57&lt;&gt;"",SUM(K57,P57,U57,Z57,AE57,AJ57,,AO57,AT57),F57="","")</f>
        <v/>
      </c>
      <c r="BC57" s="211" t="str" cm="1">
        <f t="array" ref="BC57">_xlfn.IFS(E57="","",G57&lt;=E57,BB57*(1-0.03),G57&lt;(E57+8),BB57,AZ57="Boleto",BB57*(1+0.001)^DATEDIF(E57,G57,"D"),AZ57="Cheque",BB57,AZ57="Dinheiro","Alterar forma pgto")</f>
        <v/>
      </c>
      <c r="BD57" s="276" t="str" cm="1">
        <f t="array" ref="BD57">IF(F57=0," ",IF(BC57&lt;BB57,(_xlfn.IFS(AW57="SIM",SUM(L57,Q57,V57,AA57,AF57,AK57,AP57,AU57)+AX57/_xlfn.XLOOKUP(_xlfn.XLOOKUP($F57,Clientes!$B$4:$B$39,Clientes!$C$4:$C$39),Cadastros!$L$6:$L$12,Cadastros!$M$6:$M$12)+IF($F57="Bernardino Furlan",AY57/2751.92,IF($F57="Mauro José Salanti",AY57/2751.92,AY57/3356)),F57&lt;&gt;0,SUM(L57,Q57,V57,AA57,AF57,AK57,AP57,AU57)))*(1-0.03),_xlfn.IFS(AW57="SIM",SUM(L57,Q57,V57,AA57,AF57,AK57,AP57,AU57)+AX57/_xlfn.XLOOKUP(_xlfn.XLOOKUP($F57,Clientes!$B$4:$B$39,Clientes!$C$4:$C$39),Cadastros!$L$6:$L$12,Cadastros!$M$6:$M$12)+IF($F57="Bernardino Furlan",AY57/2751.92,IF($F57="Mauro José Salanti",AY57/2751.92,AY57/3356)),F57&lt;&gt;0,SUM(L57,Q57,V57,AA57,AF57,AK57,AP57,AU57))))</f>
        <v xml:space="preserve"> </v>
      </c>
      <c r="BE57" s="120"/>
      <c r="BF57" s="120"/>
      <c r="BG57" s="120"/>
      <c r="BL57" s="235" t="str">
        <f>IF(Cadastros!D54="","",Cadastros!D54)</f>
        <v>40106 - Colchão Supremo 138 X 188 X 027 cm S/VQ</v>
      </c>
      <c r="BM57" s="234"/>
      <c r="BN57" s="235" t="str">
        <f>IF(Cadastros!G54="","",Cadastros!G54)</f>
        <v>127 - Cabeceira Quadros S/ Borda 140 cm</v>
      </c>
    </row>
    <row r="58" spans="1:66" s="3" customFormat="1" x14ac:dyDescent="0.3">
      <c r="A58" s="15" t="str">
        <f t="shared" si="0"/>
        <v/>
      </c>
      <c r="B58" s="25"/>
      <c r="C58" s="26"/>
      <c r="D58" s="279"/>
      <c r="E58" s="27"/>
      <c r="F58" s="28"/>
      <c r="G58" s="27"/>
      <c r="H58" s="28"/>
      <c r="I58" s="28"/>
      <c r="J58" s="255" t="str">
        <f>IF(H58="","",(_xlfn.XLOOKUP(H58,Cadastros!$D$6:$D$90,Cadastros!$E$6:$E$90))*(1-_xlfn.XLOOKUP(_xlfn.XLOOKUP($F58,Clientes!$B$4:$B$39,Clientes!$C$4:$C$39),Cadastros!$L$6:$L$12,Cadastros!$N$6:$N$12)))</f>
        <v/>
      </c>
      <c r="K58" s="168" t="str">
        <f t="shared" si="1"/>
        <v/>
      </c>
      <c r="L58" s="168" t="str">
        <f>IFERROR(K58/_xlfn.XLOOKUP(_xlfn.XLOOKUP($F58,Clientes!$B$4:$B$39,Clientes!$C$4:$C$39),Cadastros!$L$6:$L$12,Cadastros!$M$6:$M$12)," ")</f>
        <v xml:space="preserve"> </v>
      </c>
      <c r="M58" s="28"/>
      <c r="N58" s="28"/>
      <c r="O58" s="255" t="str">
        <f>IF(M58="","",(_xlfn.XLOOKUP(M58,Cadastros!$D$6:$D$90,Cadastros!$E$6:$E$90))*(1-_xlfn.XLOOKUP(_xlfn.XLOOKUP($F58,Clientes!$B$4:$B$39,Clientes!$C$4:$C$39),Cadastros!$L$6:$L$12,Cadastros!$N$6:$N$12)))</f>
        <v/>
      </c>
      <c r="P58" s="168" t="str">
        <f t="shared" si="2"/>
        <v/>
      </c>
      <c r="Q58" s="168" t="str">
        <f>IFERROR(P58/_xlfn.XLOOKUP(_xlfn.XLOOKUP($F58,Clientes!$B$4:$B$39,Clientes!$C$4:$C$39),Cadastros!$L$6:$L$12,Cadastros!$M$6:$M$12)," ")</f>
        <v xml:space="preserve"> </v>
      </c>
      <c r="R58" s="28"/>
      <c r="S58" s="28"/>
      <c r="T58" s="255" t="str">
        <f>IF(R58="","",(_xlfn.XLOOKUP(R58,Cadastros!$D$6:$D$90,Cadastros!$E$6:$E$90))*(1-_xlfn.XLOOKUP(_xlfn.XLOOKUP($F58,Clientes!$B$4:$B$39,Clientes!$C$4:$C$39),Cadastros!$L$6:$L$12,Cadastros!$N$6:$N$12)))</f>
        <v/>
      </c>
      <c r="U58" s="168" t="str">
        <f t="shared" si="3"/>
        <v/>
      </c>
      <c r="V58" s="168" t="str">
        <f>IFERROR(U58/_xlfn.XLOOKUP(_xlfn.XLOOKUP($F58,Clientes!$B$4:$B$39,Clientes!$C$4:$C$39),Cadastros!$L$6:$L$12,Cadastros!$M$6:$M$12)," ")</f>
        <v xml:space="preserve"> </v>
      </c>
      <c r="W58" s="28"/>
      <c r="X58" s="28"/>
      <c r="Y58" s="255" t="str">
        <f>IF(W58="","",(_xlfn.XLOOKUP(W58,Cadastros!$D$6:$D$90,Cadastros!$E$6:$E$90))*(1-_xlfn.XLOOKUP(_xlfn.XLOOKUP($F58,Clientes!$B$4:$B$39,Clientes!$C$4:$C$39),Cadastros!$L$6:$L$12,Cadastros!$N$6:$N$12)))</f>
        <v/>
      </c>
      <c r="Z58" s="168" t="str">
        <f t="shared" si="4"/>
        <v/>
      </c>
      <c r="AA58" s="168" t="str">
        <f>IFERROR(Z58/_xlfn.XLOOKUP(_xlfn.XLOOKUP($F58,Clientes!$B$4:$B$39,Clientes!$C$4:$C$39),Cadastros!$L$6:$L$12,Cadastros!$M$6:$M$12)," ")</f>
        <v xml:space="preserve"> </v>
      </c>
      <c r="AB58" s="28"/>
      <c r="AC58" s="28"/>
      <c r="AD58" s="20" t="str">
        <f>IF(AB58="","",IF($F58="Bernardino Furlan",_xlfn.XLOOKUP(AB58,Cadastros!$G$6:$G$90,Cadastros!$H$6:$H$90)*(1-0.18),IF($F58="Mauro José Salanti",_xlfn.XLOOKUP(AB58,Cadastros!$G$6:$G$90,Cadastros!$H$6:$H$90)*(1-0.18),_xlfn.XLOOKUP(AB58,Cadastros!$G$6:$G$90,Cadastros!$H$6:$H$90))))</f>
        <v/>
      </c>
      <c r="AE58" s="168" t="str">
        <f t="shared" si="5"/>
        <v/>
      </c>
      <c r="AF58" s="168" t="str">
        <f t="shared" si="6"/>
        <v/>
      </c>
      <c r="AG58" s="28"/>
      <c r="AH58" s="28"/>
      <c r="AI58" s="20" t="str">
        <f>IF(AG58="","",IF($F58="Bernardino Furlan",_xlfn.XLOOKUP(AG58,Cadastros!$G$6:$G$90,Cadastros!$H$6:$H$90)*(1-0.18),IF($F58="Mauro José Salanti",_xlfn.XLOOKUP(AG58,Cadastros!$G$6:$G$90,Cadastros!$H$6:$H$90)*(1-0.18),_xlfn.XLOOKUP(AG58,Cadastros!$G$6:$G$90,Cadastros!$H$6:$H$90))))</f>
        <v/>
      </c>
      <c r="AJ58" s="168" t="str">
        <f t="shared" si="7"/>
        <v/>
      </c>
      <c r="AK58" s="168" t="str">
        <f t="shared" si="8"/>
        <v/>
      </c>
      <c r="AL58" s="28"/>
      <c r="AM58" s="28"/>
      <c r="AN58" s="20" t="str">
        <f>IF(AL58="","",IF($F58="Bernardino Furlan",_xlfn.XLOOKUP(AL58,Cadastros!$G$6:$G$90,Cadastros!$H$6:$H$90)*(1-0.18),IF($F58="Mauro José Salanti",_xlfn.XLOOKUP(AL58,Cadastros!$G$6:$G$90,Cadastros!$H$6:$H$90)*(1-0.18),_xlfn.XLOOKUP(AL58,Cadastros!$G$6:$G$90,Cadastros!$H$6:$H$90))))</f>
        <v/>
      </c>
      <c r="AO58" s="168" t="str">
        <f t="shared" si="9"/>
        <v/>
      </c>
      <c r="AP58" s="168" t="str">
        <f t="shared" si="10"/>
        <v/>
      </c>
      <c r="AQ58" s="28"/>
      <c r="AR58" s="28"/>
      <c r="AS58" s="20" t="str">
        <f>IF(AQ58="","",IF($F58="Bernardino Furlan",_xlfn.XLOOKUP(AQ58,Cadastros!$G$6:$G$90,Cadastros!$H$6:$H$90)*(1-0.18),IF($F58="Mauro José Salanti",_xlfn.XLOOKUP(AQ58,Cadastros!$G$6:$G$90,Cadastros!$H$6:$H$90)*(1-0.18),_xlfn.XLOOKUP(AQ58,Cadastros!$G$6:$G$90,Cadastros!$H$6:$H$90))))</f>
        <v/>
      </c>
      <c r="AT58" s="168" t="str">
        <f t="shared" si="11"/>
        <v/>
      </c>
      <c r="AU58" s="168" t="str">
        <f t="shared" si="12"/>
        <v/>
      </c>
      <c r="AV58" s="227"/>
      <c r="AW58" s="30"/>
      <c r="AX58" s="267"/>
      <c r="AY58" s="267"/>
      <c r="AZ58" s="29"/>
      <c r="BA58" s="30"/>
      <c r="BB58" s="23" t="str" cm="1">
        <f t="array" ref="BB58">_xlfn.IFS(AW58="SIM",SUM(K58,P58,U58,Z58,AE58,AJ58,AO58,AT58,AX58,AY58),F58&lt;&gt;"",SUM(K58,P58,U58,Z58,AE58,AJ58,,AO58,AT58),F58="","")</f>
        <v/>
      </c>
      <c r="BC58" s="211" t="str" cm="1">
        <f t="array" ref="BC58">_xlfn.IFS(E58="","",G58&lt;=E58,BB58*(1-0.03),G58&lt;(E58+8),BB58,AZ58="Boleto",BB58*(1+0.001)^DATEDIF(E58,G58,"D"),AZ58="Cheque",BB58,AZ58="Dinheiro","Alterar forma pgto")</f>
        <v/>
      </c>
      <c r="BD58" s="276" t="str" cm="1">
        <f t="array" ref="BD58">IF(F58=0," ",IF(BC58&lt;BB58,(_xlfn.IFS(AW58="SIM",SUM(L58,Q58,V58,AA58,AF58,AK58,AP58,AU58)+AX58/_xlfn.XLOOKUP(_xlfn.XLOOKUP($F58,Clientes!$B$4:$B$39,Clientes!$C$4:$C$39),Cadastros!$L$6:$L$12,Cadastros!$M$6:$M$12)+IF($F58="Bernardino Furlan",AY58/2751.92,IF($F58="Mauro José Salanti",AY58/2751.92,AY58/3356)),F58&lt;&gt;0,SUM(L58,Q58,V58,AA58,AF58,AK58,AP58,AU58)))*(1-0.03),_xlfn.IFS(AW58="SIM",SUM(L58,Q58,V58,AA58,AF58,AK58,AP58,AU58)+AX58/_xlfn.XLOOKUP(_xlfn.XLOOKUP($F58,Clientes!$B$4:$B$39,Clientes!$C$4:$C$39),Cadastros!$L$6:$L$12,Cadastros!$M$6:$M$12)+IF($F58="Bernardino Furlan",AY58/2751.92,IF($F58="Mauro José Salanti",AY58/2751.92,AY58/3356)),F58&lt;&gt;0,SUM(L58,Q58,V58,AA58,AF58,AK58,AP58,AU58))))</f>
        <v xml:space="preserve"> </v>
      </c>
      <c r="BE58" s="120"/>
      <c r="BF58" s="120"/>
      <c r="BG58" s="120"/>
      <c r="BL58" s="235" t="str">
        <f>IF(Cadastros!D55="","",Cadastros!D55)</f>
        <v>40107 - Colchão Léctus 158 X 198 X 021 cm S/VQ</v>
      </c>
      <c r="BM58" s="234"/>
      <c r="BN58" s="235" t="str">
        <f>IF(Cadastros!G55="","",Cadastros!G55)</f>
        <v>155 - Cabeceira Quadros S/ Borda 160 cm</v>
      </c>
    </row>
    <row r="59" spans="1:66" s="3" customFormat="1" x14ac:dyDescent="0.3">
      <c r="A59" s="15" t="str">
        <f t="shared" si="0"/>
        <v/>
      </c>
      <c r="B59" s="25"/>
      <c r="C59" s="26"/>
      <c r="D59" s="279"/>
      <c r="E59" s="27"/>
      <c r="F59" s="28"/>
      <c r="G59" s="27"/>
      <c r="H59" s="28"/>
      <c r="I59" s="28"/>
      <c r="J59" s="255" t="str">
        <f>IF(H59="","",(_xlfn.XLOOKUP(H59,Cadastros!$D$6:$D$90,Cadastros!$E$6:$E$90))*(1-_xlfn.XLOOKUP(_xlfn.XLOOKUP($F59,Clientes!$B$4:$B$39,Clientes!$C$4:$C$39),Cadastros!$L$6:$L$12,Cadastros!$N$6:$N$12)))</f>
        <v/>
      </c>
      <c r="K59" s="168" t="str">
        <f t="shared" si="1"/>
        <v/>
      </c>
      <c r="L59" s="168" t="str">
        <f>IFERROR(K59/_xlfn.XLOOKUP(_xlfn.XLOOKUP($F59,Clientes!$B$4:$B$39,Clientes!$C$4:$C$39),Cadastros!$L$6:$L$12,Cadastros!$M$6:$M$12)," ")</f>
        <v xml:space="preserve"> </v>
      </c>
      <c r="M59" s="28"/>
      <c r="N59" s="28"/>
      <c r="O59" s="255" t="str">
        <f>IF(M59="","",(_xlfn.XLOOKUP(M59,Cadastros!$D$6:$D$90,Cadastros!$E$6:$E$90))*(1-_xlfn.XLOOKUP(_xlfn.XLOOKUP($F59,Clientes!$B$4:$B$39,Clientes!$C$4:$C$39),Cadastros!$L$6:$L$12,Cadastros!$N$6:$N$12)))</f>
        <v/>
      </c>
      <c r="P59" s="168" t="str">
        <f t="shared" si="2"/>
        <v/>
      </c>
      <c r="Q59" s="168" t="str">
        <f>IFERROR(P59/_xlfn.XLOOKUP(_xlfn.XLOOKUP($F59,Clientes!$B$4:$B$39,Clientes!$C$4:$C$39),Cadastros!$L$6:$L$12,Cadastros!$M$6:$M$12)," ")</f>
        <v xml:space="preserve"> </v>
      </c>
      <c r="R59" s="28"/>
      <c r="S59" s="28"/>
      <c r="T59" s="255" t="str">
        <f>IF(R59="","",(_xlfn.XLOOKUP(R59,Cadastros!$D$6:$D$90,Cadastros!$E$6:$E$90))*(1-_xlfn.XLOOKUP(_xlfn.XLOOKUP($F59,Clientes!$B$4:$B$39,Clientes!$C$4:$C$39),Cadastros!$L$6:$L$12,Cadastros!$N$6:$N$12)))</f>
        <v/>
      </c>
      <c r="U59" s="168" t="str">
        <f t="shared" si="3"/>
        <v/>
      </c>
      <c r="V59" s="168" t="str">
        <f>IFERROR(U59/_xlfn.XLOOKUP(_xlfn.XLOOKUP($F59,Clientes!$B$4:$B$39,Clientes!$C$4:$C$39),Cadastros!$L$6:$L$12,Cadastros!$M$6:$M$12)," ")</f>
        <v xml:space="preserve"> </v>
      </c>
      <c r="W59" s="28"/>
      <c r="X59" s="28"/>
      <c r="Y59" s="255" t="str">
        <f>IF(W59="","",(_xlfn.XLOOKUP(W59,Cadastros!$D$6:$D$90,Cadastros!$E$6:$E$90))*(1-_xlfn.XLOOKUP(_xlfn.XLOOKUP($F59,Clientes!$B$4:$B$39,Clientes!$C$4:$C$39),Cadastros!$L$6:$L$12,Cadastros!$N$6:$N$12)))</f>
        <v/>
      </c>
      <c r="Z59" s="168" t="str">
        <f t="shared" si="4"/>
        <v/>
      </c>
      <c r="AA59" s="168" t="str">
        <f>IFERROR(Z59/_xlfn.XLOOKUP(_xlfn.XLOOKUP($F59,Clientes!$B$4:$B$39,Clientes!$C$4:$C$39),Cadastros!$L$6:$L$12,Cadastros!$M$6:$M$12)," ")</f>
        <v xml:space="preserve"> </v>
      </c>
      <c r="AB59" s="28"/>
      <c r="AC59" s="28"/>
      <c r="AD59" s="20" t="str">
        <f>IF(AB59="","",IF($F59="Bernardino Furlan",_xlfn.XLOOKUP(AB59,Cadastros!$G$6:$G$90,Cadastros!$H$6:$H$90)*(1-0.18),IF($F59="Mauro José Salanti",_xlfn.XLOOKUP(AB59,Cadastros!$G$6:$G$90,Cadastros!$H$6:$H$90)*(1-0.18),_xlfn.XLOOKUP(AB59,Cadastros!$G$6:$G$90,Cadastros!$H$6:$H$90))))</f>
        <v/>
      </c>
      <c r="AE59" s="168" t="str">
        <f t="shared" si="5"/>
        <v/>
      </c>
      <c r="AF59" s="168" t="str">
        <f t="shared" si="6"/>
        <v/>
      </c>
      <c r="AG59" s="28"/>
      <c r="AH59" s="28"/>
      <c r="AI59" s="20" t="str">
        <f>IF(AG59="","",IF($F59="Bernardino Furlan",_xlfn.XLOOKUP(AG59,Cadastros!$G$6:$G$90,Cadastros!$H$6:$H$90)*(1-0.18),IF($F59="Mauro José Salanti",_xlfn.XLOOKUP(AG59,Cadastros!$G$6:$G$90,Cadastros!$H$6:$H$90)*(1-0.18),_xlfn.XLOOKUP(AG59,Cadastros!$G$6:$G$90,Cadastros!$H$6:$H$90))))</f>
        <v/>
      </c>
      <c r="AJ59" s="168" t="str">
        <f t="shared" si="7"/>
        <v/>
      </c>
      <c r="AK59" s="168" t="str">
        <f t="shared" si="8"/>
        <v/>
      </c>
      <c r="AL59" s="28"/>
      <c r="AM59" s="28"/>
      <c r="AN59" s="20" t="str">
        <f>IF(AL59="","",IF($F59="Bernardino Furlan",_xlfn.XLOOKUP(AL59,Cadastros!$G$6:$G$90,Cadastros!$H$6:$H$90)*(1-0.18),IF($F59="Mauro José Salanti",_xlfn.XLOOKUP(AL59,Cadastros!$G$6:$G$90,Cadastros!$H$6:$H$90)*(1-0.18),_xlfn.XLOOKUP(AL59,Cadastros!$G$6:$G$90,Cadastros!$H$6:$H$90))))</f>
        <v/>
      </c>
      <c r="AO59" s="168" t="str">
        <f t="shared" si="9"/>
        <v/>
      </c>
      <c r="AP59" s="168" t="str">
        <f t="shared" si="10"/>
        <v/>
      </c>
      <c r="AQ59" s="28"/>
      <c r="AR59" s="28"/>
      <c r="AS59" s="20" t="str">
        <f>IF(AQ59="","",IF($F59="Bernardino Furlan",_xlfn.XLOOKUP(AQ59,Cadastros!$G$6:$G$90,Cadastros!$H$6:$H$90)*(1-0.18),IF($F59="Mauro José Salanti",_xlfn.XLOOKUP(AQ59,Cadastros!$G$6:$G$90,Cadastros!$H$6:$H$90)*(1-0.18),_xlfn.XLOOKUP(AQ59,Cadastros!$G$6:$G$90,Cadastros!$H$6:$H$90))))</f>
        <v/>
      </c>
      <c r="AT59" s="168" t="str">
        <f t="shared" si="11"/>
        <v/>
      </c>
      <c r="AU59" s="168" t="str">
        <f t="shared" si="12"/>
        <v/>
      </c>
      <c r="AV59" s="227"/>
      <c r="AW59" s="30"/>
      <c r="AX59" s="267"/>
      <c r="AY59" s="267"/>
      <c r="AZ59" s="29"/>
      <c r="BA59" s="30"/>
      <c r="BB59" s="23" t="str" cm="1">
        <f t="array" ref="BB59">_xlfn.IFS(AW59="SIM",SUM(K59,P59,U59,Z59,AE59,AJ59,AO59,AT59,AX59,AY59),F59&lt;&gt;"",SUM(K59,P59,U59,Z59,AE59,AJ59,,AO59,AT59),F59="","")</f>
        <v/>
      </c>
      <c r="BC59" s="211" t="str" cm="1">
        <f t="array" ref="BC59">_xlfn.IFS(E59="","",G59&lt;=E59,BB59*(1-0.03),G59&lt;(E59+8),BB59,AZ59="Boleto",BB59*(1+0.001)^DATEDIF(E59,G59,"D"),AZ59="Cheque",BB59,AZ59="Dinheiro","Alterar forma pgto")</f>
        <v/>
      </c>
      <c r="BD59" s="276" t="str" cm="1">
        <f t="array" ref="BD59">IF(F59=0," ",IF(BC59&lt;BB59,(_xlfn.IFS(AW59="SIM",SUM(L59,Q59,V59,AA59,AF59,AK59,AP59,AU59)+AX59/_xlfn.XLOOKUP(_xlfn.XLOOKUP($F59,Clientes!$B$4:$B$39,Clientes!$C$4:$C$39),Cadastros!$L$6:$L$12,Cadastros!$M$6:$M$12)+IF($F59="Bernardino Furlan",AY59/2751.92,IF($F59="Mauro José Salanti",AY59/2751.92,AY59/3356)),F59&lt;&gt;0,SUM(L59,Q59,V59,AA59,AF59,AK59,AP59,AU59)))*(1-0.03),_xlfn.IFS(AW59="SIM",SUM(L59,Q59,V59,AA59,AF59,AK59,AP59,AU59)+AX59/_xlfn.XLOOKUP(_xlfn.XLOOKUP($F59,Clientes!$B$4:$B$39,Clientes!$C$4:$C$39),Cadastros!$L$6:$L$12,Cadastros!$M$6:$M$12)+IF($F59="Bernardino Furlan",AY59/2751.92,IF($F59="Mauro José Salanti",AY59/2751.92,AY59/3356)),F59&lt;&gt;0,SUM(L59,Q59,V59,AA59,AF59,AK59,AP59,AU59))))</f>
        <v xml:space="preserve"> </v>
      </c>
      <c r="BE59" s="120"/>
      <c r="BF59" s="120"/>
      <c r="BG59" s="120"/>
      <c r="BL59" s="235" t="str">
        <f>IF(Cadastros!D56="","",Cadastros!D56)</f>
        <v>40108 - Colchão Vivace 158 X 198 X 024 cm S/VQ</v>
      </c>
      <c r="BM59" s="234"/>
      <c r="BN59" s="235" t="str">
        <f>IF(Cadastros!G56="","",Cadastros!G56)</f>
        <v>156 - Cabeceira Quadros S/ Borda 193 cm</v>
      </c>
    </row>
    <row r="60" spans="1:66" s="3" customFormat="1" x14ac:dyDescent="0.3">
      <c r="A60" s="15" t="str">
        <f t="shared" si="0"/>
        <v/>
      </c>
      <c r="B60" s="25"/>
      <c r="C60" s="26"/>
      <c r="D60" s="279"/>
      <c r="E60" s="27"/>
      <c r="F60" s="28"/>
      <c r="G60" s="27"/>
      <c r="H60" s="28"/>
      <c r="I60" s="28"/>
      <c r="J60" s="255" t="str">
        <f>IF(H60="","",(_xlfn.XLOOKUP(H60,Cadastros!$D$6:$D$90,Cadastros!$E$6:$E$90))*(1-_xlfn.XLOOKUP(_xlfn.XLOOKUP($F60,Clientes!$B$4:$B$39,Clientes!$C$4:$C$39),Cadastros!$L$6:$L$12,Cadastros!$N$6:$N$12)))</f>
        <v/>
      </c>
      <c r="K60" s="168" t="str">
        <f t="shared" si="1"/>
        <v/>
      </c>
      <c r="L60" s="168" t="str">
        <f>IFERROR(K60/_xlfn.XLOOKUP(_xlfn.XLOOKUP($F60,Clientes!$B$4:$B$39,Clientes!$C$4:$C$39),Cadastros!$L$6:$L$12,Cadastros!$M$6:$M$12)," ")</f>
        <v xml:space="preserve"> </v>
      </c>
      <c r="M60" s="28"/>
      <c r="N60" s="28"/>
      <c r="O60" s="255" t="str">
        <f>IF(M60="","",(_xlfn.XLOOKUP(M60,Cadastros!$D$6:$D$90,Cadastros!$E$6:$E$90))*(1-_xlfn.XLOOKUP(_xlfn.XLOOKUP($F60,Clientes!$B$4:$B$39,Clientes!$C$4:$C$39),Cadastros!$L$6:$L$12,Cadastros!$N$6:$N$12)))</f>
        <v/>
      </c>
      <c r="P60" s="168" t="str">
        <f t="shared" si="2"/>
        <v/>
      </c>
      <c r="Q60" s="168" t="str">
        <f>IFERROR(P60/_xlfn.XLOOKUP(_xlfn.XLOOKUP($F60,Clientes!$B$4:$B$39,Clientes!$C$4:$C$39),Cadastros!$L$6:$L$12,Cadastros!$M$6:$M$12)," ")</f>
        <v xml:space="preserve"> </v>
      </c>
      <c r="R60" s="28"/>
      <c r="S60" s="28"/>
      <c r="T60" s="255" t="str">
        <f>IF(R60="","",(_xlfn.XLOOKUP(R60,Cadastros!$D$6:$D$90,Cadastros!$E$6:$E$90))*(1-_xlfn.XLOOKUP(_xlfn.XLOOKUP($F60,Clientes!$B$4:$B$39,Clientes!$C$4:$C$39),Cadastros!$L$6:$L$12,Cadastros!$N$6:$N$12)))</f>
        <v/>
      </c>
      <c r="U60" s="168" t="str">
        <f t="shared" si="3"/>
        <v/>
      </c>
      <c r="V60" s="168" t="str">
        <f>IFERROR(U60/_xlfn.XLOOKUP(_xlfn.XLOOKUP($F60,Clientes!$B$4:$B$39,Clientes!$C$4:$C$39),Cadastros!$L$6:$L$12,Cadastros!$M$6:$M$12)," ")</f>
        <v xml:space="preserve"> </v>
      </c>
      <c r="W60" s="28"/>
      <c r="X60" s="28"/>
      <c r="Y60" s="255" t="str">
        <f>IF(W60="","",(_xlfn.XLOOKUP(W60,Cadastros!$D$6:$D$90,Cadastros!$E$6:$E$90))*(1-_xlfn.XLOOKUP(_xlfn.XLOOKUP($F60,Clientes!$B$4:$B$39,Clientes!$C$4:$C$39),Cadastros!$L$6:$L$12,Cadastros!$N$6:$N$12)))</f>
        <v/>
      </c>
      <c r="Z60" s="168" t="str">
        <f t="shared" si="4"/>
        <v/>
      </c>
      <c r="AA60" s="168" t="str">
        <f>IFERROR(Z60/_xlfn.XLOOKUP(_xlfn.XLOOKUP($F60,Clientes!$B$4:$B$39,Clientes!$C$4:$C$39),Cadastros!$L$6:$L$12,Cadastros!$M$6:$M$12)," ")</f>
        <v xml:space="preserve"> </v>
      </c>
      <c r="AB60" s="28"/>
      <c r="AC60" s="28"/>
      <c r="AD60" s="20" t="str">
        <f>IF(AB60="","",IF($F60="Bernardino Furlan",_xlfn.XLOOKUP(AB60,Cadastros!$G$6:$G$90,Cadastros!$H$6:$H$90)*(1-0.18),IF($F60="Mauro José Salanti",_xlfn.XLOOKUP(AB60,Cadastros!$G$6:$G$90,Cadastros!$H$6:$H$90)*(1-0.18),_xlfn.XLOOKUP(AB60,Cadastros!$G$6:$G$90,Cadastros!$H$6:$H$90))))</f>
        <v/>
      </c>
      <c r="AE60" s="168" t="str">
        <f t="shared" si="5"/>
        <v/>
      </c>
      <c r="AF60" s="168" t="str">
        <f t="shared" si="6"/>
        <v/>
      </c>
      <c r="AG60" s="28"/>
      <c r="AH60" s="28"/>
      <c r="AI60" s="20" t="str">
        <f>IF(AG60="","",IF($F60="Bernardino Furlan",_xlfn.XLOOKUP(AG60,Cadastros!$G$6:$G$90,Cadastros!$H$6:$H$90)*(1-0.18),IF($F60="Mauro José Salanti",_xlfn.XLOOKUP(AG60,Cadastros!$G$6:$G$90,Cadastros!$H$6:$H$90)*(1-0.18),_xlfn.XLOOKUP(AG60,Cadastros!$G$6:$G$90,Cadastros!$H$6:$H$90))))</f>
        <v/>
      </c>
      <c r="AJ60" s="168" t="str">
        <f t="shared" si="7"/>
        <v/>
      </c>
      <c r="AK60" s="168" t="str">
        <f t="shared" si="8"/>
        <v/>
      </c>
      <c r="AL60" s="28"/>
      <c r="AM60" s="28"/>
      <c r="AN60" s="20" t="str">
        <f>IF(AL60="","",IF($F60="Bernardino Furlan",_xlfn.XLOOKUP(AL60,Cadastros!$G$6:$G$90,Cadastros!$H$6:$H$90)*(1-0.18),IF($F60="Mauro José Salanti",_xlfn.XLOOKUP(AL60,Cadastros!$G$6:$G$90,Cadastros!$H$6:$H$90)*(1-0.18),_xlfn.XLOOKUP(AL60,Cadastros!$G$6:$G$90,Cadastros!$H$6:$H$90))))</f>
        <v/>
      </c>
      <c r="AO60" s="168" t="str">
        <f t="shared" si="9"/>
        <v/>
      </c>
      <c r="AP60" s="168" t="str">
        <f t="shared" si="10"/>
        <v/>
      </c>
      <c r="AQ60" s="28"/>
      <c r="AR60" s="28"/>
      <c r="AS60" s="20" t="str">
        <f>IF(AQ60="","",IF($F60="Bernardino Furlan",_xlfn.XLOOKUP(AQ60,Cadastros!$G$6:$G$90,Cadastros!$H$6:$H$90)*(1-0.18),IF($F60="Mauro José Salanti",_xlfn.XLOOKUP(AQ60,Cadastros!$G$6:$G$90,Cadastros!$H$6:$H$90)*(1-0.18),_xlfn.XLOOKUP(AQ60,Cadastros!$G$6:$G$90,Cadastros!$H$6:$H$90))))</f>
        <v/>
      </c>
      <c r="AT60" s="168" t="str">
        <f t="shared" si="11"/>
        <v/>
      </c>
      <c r="AU60" s="168" t="str">
        <f t="shared" si="12"/>
        <v/>
      </c>
      <c r="AV60" s="227"/>
      <c r="AW60" s="30"/>
      <c r="AX60" s="267"/>
      <c r="AY60" s="267"/>
      <c r="AZ60" s="29"/>
      <c r="BA60" s="30"/>
      <c r="BB60" s="23" t="str" cm="1">
        <f t="array" ref="BB60">_xlfn.IFS(AW60="SIM",SUM(K60,P60,U60,Z60,AE60,AJ60,AO60,AT60,AX60,AY60),F60&lt;&gt;"",SUM(K60,P60,U60,Z60,AE60,AJ60,,AO60,AT60),F60="","")</f>
        <v/>
      </c>
      <c r="BC60" s="211" t="str" cm="1">
        <f t="array" ref="BC60">_xlfn.IFS(E60="","",G60&lt;=E60,BB60*(1-0.03),G60&lt;(E60+8),BB60,AZ60="Boleto",BB60*(1+0.001)^DATEDIF(E60,G60,"D"),AZ60="Cheque",BB60,AZ60="Dinheiro","Alterar forma pgto")</f>
        <v/>
      </c>
      <c r="BD60" s="276" t="str" cm="1">
        <f t="array" ref="BD60">IF(F60=0," ",IF(BC60&lt;BB60,(_xlfn.IFS(AW60="SIM",SUM(L60,Q60,V60,AA60,AF60,AK60,AP60,AU60)+AX60/_xlfn.XLOOKUP(_xlfn.XLOOKUP($F60,Clientes!$B$4:$B$39,Clientes!$C$4:$C$39),Cadastros!$L$6:$L$12,Cadastros!$M$6:$M$12)+IF($F60="Bernardino Furlan",AY60/2751.92,IF($F60="Mauro José Salanti",AY60/2751.92,AY60/3356)),F60&lt;&gt;0,SUM(L60,Q60,V60,AA60,AF60,AK60,AP60,AU60)))*(1-0.03),_xlfn.IFS(AW60="SIM",SUM(L60,Q60,V60,AA60,AF60,AK60,AP60,AU60)+AX60/_xlfn.XLOOKUP(_xlfn.XLOOKUP($F60,Clientes!$B$4:$B$39,Clientes!$C$4:$C$39),Cadastros!$L$6:$L$12,Cadastros!$M$6:$M$12)+IF($F60="Bernardino Furlan",AY60/2751.92,IF($F60="Mauro José Salanti",AY60/2751.92,AY60/3356)),F60&lt;&gt;0,SUM(L60,Q60,V60,AA60,AF60,AK60,AP60,AU60))))</f>
        <v xml:space="preserve"> </v>
      </c>
      <c r="BE60" s="120"/>
      <c r="BF60" s="120"/>
      <c r="BG60" s="120"/>
      <c r="BL60" s="235" t="str">
        <f>IF(Cadastros!D57="","",Cadastros!D57)</f>
        <v>40109 - Colchão Supremo 158 X 198 X 027 cm S/VQ</v>
      </c>
      <c r="BM60" s="234"/>
      <c r="BN60" s="235" t="str">
        <f>IF(Cadastros!G57="","",Cadastros!G57)</f>
        <v>151 - Cabeceira Quadros S/ Borda 88 cm</v>
      </c>
    </row>
    <row r="61" spans="1:66" s="3" customFormat="1" x14ac:dyDescent="0.3">
      <c r="A61" s="15" t="str">
        <f t="shared" si="0"/>
        <v/>
      </c>
      <c r="B61" s="25"/>
      <c r="C61" s="26"/>
      <c r="D61" s="279"/>
      <c r="E61" s="27"/>
      <c r="F61" s="28"/>
      <c r="G61" s="27"/>
      <c r="H61" s="28"/>
      <c r="I61" s="28"/>
      <c r="J61" s="255" t="str">
        <f>IF(H61="","",(_xlfn.XLOOKUP(H61,Cadastros!$D$6:$D$90,Cadastros!$E$6:$E$90))*(1-_xlfn.XLOOKUP(_xlfn.XLOOKUP($F61,Clientes!$B$4:$B$39,Clientes!$C$4:$C$39),Cadastros!$L$6:$L$12,Cadastros!$N$6:$N$12)))</f>
        <v/>
      </c>
      <c r="K61" s="168" t="str">
        <f t="shared" si="1"/>
        <v/>
      </c>
      <c r="L61" s="168" t="str">
        <f>IFERROR(K61/_xlfn.XLOOKUP(_xlfn.XLOOKUP($F61,Clientes!$B$4:$B$39,Clientes!$C$4:$C$39),Cadastros!$L$6:$L$12,Cadastros!$M$6:$M$12)," ")</f>
        <v xml:space="preserve"> </v>
      </c>
      <c r="M61" s="28"/>
      <c r="N61" s="28"/>
      <c r="O61" s="255" t="str">
        <f>IF(M61="","",(_xlfn.XLOOKUP(M61,Cadastros!$D$6:$D$90,Cadastros!$E$6:$E$90))*(1-_xlfn.XLOOKUP(_xlfn.XLOOKUP($F61,Clientes!$B$4:$B$39,Clientes!$C$4:$C$39),Cadastros!$L$6:$L$12,Cadastros!$N$6:$N$12)))</f>
        <v/>
      </c>
      <c r="P61" s="168" t="str">
        <f t="shared" si="2"/>
        <v/>
      </c>
      <c r="Q61" s="168" t="str">
        <f>IFERROR(P61/_xlfn.XLOOKUP(_xlfn.XLOOKUP($F61,Clientes!$B$4:$B$39,Clientes!$C$4:$C$39),Cadastros!$L$6:$L$12,Cadastros!$M$6:$M$12)," ")</f>
        <v xml:space="preserve"> </v>
      </c>
      <c r="R61" s="28"/>
      <c r="S61" s="28"/>
      <c r="T61" s="255" t="str">
        <f>IF(R61="","",(_xlfn.XLOOKUP(R61,Cadastros!$D$6:$D$90,Cadastros!$E$6:$E$90))*(1-_xlfn.XLOOKUP(_xlfn.XLOOKUP($F61,Clientes!$B$4:$B$39,Clientes!$C$4:$C$39),Cadastros!$L$6:$L$12,Cadastros!$N$6:$N$12)))</f>
        <v/>
      </c>
      <c r="U61" s="168" t="str">
        <f t="shared" si="3"/>
        <v/>
      </c>
      <c r="V61" s="168" t="str">
        <f>IFERROR(U61/_xlfn.XLOOKUP(_xlfn.XLOOKUP($F61,Clientes!$B$4:$B$39,Clientes!$C$4:$C$39),Cadastros!$L$6:$L$12,Cadastros!$M$6:$M$12)," ")</f>
        <v xml:space="preserve"> </v>
      </c>
      <c r="W61" s="28"/>
      <c r="X61" s="28"/>
      <c r="Y61" s="255" t="str">
        <f>IF(W61="","",(_xlfn.XLOOKUP(W61,Cadastros!$D$6:$D$90,Cadastros!$E$6:$E$90))*(1-_xlfn.XLOOKUP(_xlfn.XLOOKUP($F61,Clientes!$B$4:$B$39,Clientes!$C$4:$C$39),Cadastros!$L$6:$L$12,Cadastros!$N$6:$N$12)))</f>
        <v/>
      </c>
      <c r="Z61" s="168" t="str">
        <f t="shared" si="4"/>
        <v/>
      </c>
      <c r="AA61" s="168" t="str">
        <f>IFERROR(Z61/_xlfn.XLOOKUP(_xlfn.XLOOKUP($F61,Clientes!$B$4:$B$39,Clientes!$C$4:$C$39),Cadastros!$L$6:$L$12,Cadastros!$M$6:$M$12)," ")</f>
        <v xml:space="preserve"> </v>
      </c>
      <c r="AB61" s="28"/>
      <c r="AC61" s="28"/>
      <c r="AD61" s="20" t="str">
        <f>IF(AB61="","",IF($F61="Bernardino Furlan",_xlfn.XLOOKUP(AB61,Cadastros!$G$6:$G$90,Cadastros!$H$6:$H$90)*(1-0.18),IF($F61="Mauro José Salanti",_xlfn.XLOOKUP(AB61,Cadastros!$G$6:$G$90,Cadastros!$H$6:$H$90)*(1-0.18),_xlfn.XLOOKUP(AB61,Cadastros!$G$6:$G$90,Cadastros!$H$6:$H$90))))</f>
        <v/>
      </c>
      <c r="AE61" s="168" t="str">
        <f t="shared" si="5"/>
        <v/>
      </c>
      <c r="AF61" s="168" t="str">
        <f t="shared" si="6"/>
        <v/>
      </c>
      <c r="AG61" s="28"/>
      <c r="AH61" s="28"/>
      <c r="AI61" s="20" t="str">
        <f>IF(AG61="","",IF($F61="Bernardino Furlan",_xlfn.XLOOKUP(AG61,Cadastros!$G$6:$G$90,Cadastros!$H$6:$H$90)*(1-0.18),IF($F61="Mauro José Salanti",_xlfn.XLOOKUP(AG61,Cadastros!$G$6:$G$90,Cadastros!$H$6:$H$90)*(1-0.18),_xlfn.XLOOKUP(AG61,Cadastros!$G$6:$G$90,Cadastros!$H$6:$H$90))))</f>
        <v/>
      </c>
      <c r="AJ61" s="168" t="str">
        <f t="shared" si="7"/>
        <v/>
      </c>
      <c r="AK61" s="168" t="str">
        <f t="shared" si="8"/>
        <v/>
      </c>
      <c r="AL61" s="28"/>
      <c r="AM61" s="28"/>
      <c r="AN61" s="20" t="str">
        <f>IF(AL61="","",IF($F61="Bernardino Furlan",_xlfn.XLOOKUP(AL61,Cadastros!$G$6:$G$90,Cadastros!$H$6:$H$90)*(1-0.18),IF($F61="Mauro José Salanti",_xlfn.XLOOKUP(AL61,Cadastros!$G$6:$G$90,Cadastros!$H$6:$H$90)*(1-0.18),_xlfn.XLOOKUP(AL61,Cadastros!$G$6:$G$90,Cadastros!$H$6:$H$90))))</f>
        <v/>
      </c>
      <c r="AO61" s="168" t="str">
        <f t="shared" si="9"/>
        <v/>
      </c>
      <c r="AP61" s="168" t="str">
        <f t="shared" si="10"/>
        <v/>
      </c>
      <c r="AQ61" s="28"/>
      <c r="AR61" s="28"/>
      <c r="AS61" s="20" t="str">
        <f>IF(AQ61="","",IF($F61="Bernardino Furlan",_xlfn.XLOOKUP(AQ61,Cadastros!$G$6:$G$90,Cadastros!$H$6:$H$90)*(1-0.18),IF($F61="Mauro José Salanti",_xlfn.XLOOKUP(AQ61,Cadastros!$G$6:$G$90,Cadastros!$H$6:$H$90)*(1-0.18),_xlfn.XLOOKUP(AQ61,Cadastros!$G$6:$G$90,Cadastros!$H$6:$H$90))))</f>
        <v/>
      </c>
      <c r="AT61" s="168" t="str">
        <f t="shared" si="11"/>
        <v/>
      </c>
      <c r="AU61" s="168" t="str">
        <f t="shared" si="12"/>
        <v/>
      </c>
      <c r="AV61" s="227"/>
      <c r="AW61" s="30"/>
      <c r="AX61" s="267"/>
      <c r="AY61" s="267"/>
      <c r="AZ61" s="29"/>
      <c r="BA61" s="30"/>
      <c r="BB61" s="23" t="str" cm="1">
        <f t="array" ref="BB61">_xlfn.IFS(AW61="SIM",SUM(K61,P61,U61,Z61,AE61,AJ61,AO61,AT61,AX61,AY61),F61&lt;&gt;"",SUM(K61,P61,U61,Z61,AE61,AJ61,,AO61,AT61),F61="","")</f>
        <v/>
      </c>
      <c r="BC61" s="211" t="str" cm="1">
        <f t="array" ref="BC61">_xlfn.IFS(E61="","",G61&lt;=E61,BB61*(1-0.03),G61&lt;(E61+8),BB61,AZ61="Boleto",BB61*(1+0.001)^DATEDIF(E61,G61,"D"),AZ61="Cheque",BB61,AZ61="Dinheiro","Alterar forma pgto")</f>
        <v/>
      </c>
      <c r="BD61" s="276" t="str" cm="1">
        <f t="array" ref="BD61">IF(F61=0," ",IF(BC61&lt;BB61,(_xlfn.IFS(AW61="SIM",SUM(L61,Q61,V61,AA61,AF61,AK61,AP61,AU61)+AX61/_xlfn.XLOOKUP(_xlfn.XLOOKUP($F61,Clientes!$B$4:$B$39,Clientes!$C$4:$C$39),Cadastros!$L$6:$L$12,Cadastros!$M$6:$M$12)+IF($F61="Bernardino Furlan",AY61/2751.92,IF($F61="Mauro José Salanti",AY61/2751.92,AY61/3356)),F61&lt;&gt;0,SUM(L61,Q61,V61,AA61,AF61,AK61,AP61,AU61)))*(1-0.03),_xlfn.IFS(AW61="SIM",SUM(L61,Q61,V61,AA61,AF61,AK61,AP61,AU61)+AX61/_xlfn.XLOOKUP(_xlfn.XLOOKUP($F61,Clientes!$B$4:$B$39,Clientes!$C$4:$C$39),Cadastros!$L$6:$L$12,Cadastros!$M$6:$M$12)+IF($F61="Bernardino Furlan",AY61/2751.92,IF($F61="Mauro José Salanti",AY61/2751.92,AY61/3356)),F61&lt;&gt;0,SUM(L61,Q61,V61,AA61,AF61,AK61,AP61,AU61))))</f>
        <v xml:space="preserve"> </v>
      </c>
      <c r="BE61" s="120"/>
      <c r="BF61" s="120"/>
      <c r="BG61" s="120"/>
      <c r="BL61" s="235" t="str">
        <f>IF(Cadastros!D58="","",Cadastros!D58)</f>
        <v>40110 - Colchão Léctus 193 X 203 X 021 cm S/VQ</v>
      </c>
      <c r="BM61" s="234"/>
      <c r="BN61" s="235" t="str">
        <f>IF(Cadastros!G58="","",Cadastros!G58)</f>
        <v>144 - Cabeceira Retângulos 160 X 130</v>
      </c>
    </row>
    <row r="62" spans="1:66" s="3" customFormat="1" x14ac:dyDescent="0.3">
      <c r="A62" s="15" t="str">
        <f t="shared" si="0"/>
        <v/>
      </c>
      <c r="B62" s="25"/>
      <c r="C62" s="26"/>
      <c r="D62" s="279"/>
      <c r="E62" s="27"/>
      <c r="F62" s="28"/>
      <c r="G62" s="27"/>
      <c r="H62" s="28"/>
      <c r="I62" s="28"/>
      <c r="J62" s="255" t="str">
        <f>IF(H62="","",(_xlfn.XLOOKUP(H62,Cadastros!$D$6:$D$90,Cadastros!$E$6:$E$90))*(1-_xlfn.XLOOKUP(_xlfn.XLOOKUP($F62,Clientes!$B$4:$B$39,Clientes!$C$4:$C$39),Cadastros!$L$6:$L$12,Cadastros!$N$6:$N$12)))</f>
        <v/>
      </c>
      <c r="K62" s="168" t="str">
        <f t="shared" si="1"/>
        <v/>
      </c>
      <c r="L62" s="168" t="str">
        <f>IFERROR(K62/_xlfn.XLOOKUP(_xlfn.XLOOKUP($F62,Clientes!$B$4:$B$39,Clientes!$C$4:$C$39),Cadastros!$L$6:$L$12,Cadastros!$M$6:$M$12)," ")</f>
        <v xml:space="preserve"> </v>
      </c>
      <c r="M62" s="28"/>
      <c r="N62" s="28"/>
      <c r="O62" s="255" t="str">
        <f>IF(M62="","",(_xlfn.XLOOKUP(M62,Cadastros!$D$6:$D$90,Cadastros!$E$6:$E$90))*(1-_xlfn.XLOOKUP(_xlfn.XLOOKUP($F62,Clientes!$B$4:$B$39,Clientes!$C$4:$C$39),Cadastros!$L$6:$L$12,Cadastros!$N$6:$N$12)))</f>
        <v/>
      </c>
      <c r="P62" s="168" t="str">
        <f t="shared" si="2"/>
        <v/>
      </c>
      <c r="Q62" s="168" t="str">
        <f>IFERROR(P62/_xlfn.XLOOKUP(_xlfn.XLOOKUP($F62,Clientes!$B$4:$B$39,Clientes!$C$4:$C$39),Cadastros!$L$6:$L$12,Cadastros!$M$6:$M$12)," ")</f>
        <v xml:space="preserve"> </v>
      </c>
      <c r="R62" s="28"/>
      <c r="S62" s="28"/>
      <c r="T62" s="255" t="str">
        <f>IF(R62="","",(_xlfn.XLOOKUP(R62,Cadastros!$D$6:$D$90,Cadastros!$E$6:$E$90))*(1-_xlfn.XLOOKUP(_xlfn.XLOOKUP($F62,Clientes!$B$4:$B$39,Clientes!$C$4:$C$39),Cadastros!$L$6:$L$12,Cadastros!$N$6:$N$12)))</f>
        <v/>
      </c>
      <c r="U62" s="168" t="str">
        <f t="shared" si="3"/>
        <v/>
      </c>
      <c r="V62" s="168" t="str">
        <f>IFERROR(U62/_xlfn.XLOOKUP(_xlfn.XLOOKUP($F62,Clientes!$B$4:$B$39,Clientes!$C$4:$C$39),Cadastros!$L$6:$L$12,Cadastros!$M$6:$M$12)," ")</f>
        <v xml:space="preserve"> </v>
      </c>
      <c r="W62" s="28"/>
      <c r="X62" s="28"/>
      <c r="Y62" s="255" t="str">
        <f>IF(W62="","",(_xlfn.XLOOKUP(W62,Cadastros!$D$6:$D$90,Cadastros!$E$6:$E$90))*(1-_xlfn.XLOOKUP(_xlfn.XLOOKUP($F62,Clientes!$B$4:$B$39,Clientes!$C$4:$C$39),Cadastros!$L$6:$L$12,Cadastros!$N$6:$N$12)))</f>
        <v/>
      </c>
      <c r="Z62" s="168" t="str">
        <f t="shared" si="4"/>
        <v/>
      </c>
      <c r="AA62" s="168" t="str">
        <f>IFERROR(Z62/_xlfn.XLOOKUP(_xlfn.XLOOKUP($F62,Clientes!$B$4:$B$39,Clientes!$C$4:$C$39),Cadastros!$L$6:$L$12,Cadastros!$M$6:$M$12)," ")</f>
        <v xml:space="preserve"> </v>
      </c>
      <c r="AB62" s="28"/>
      <c r="AC62" s="28"/>
      <c r="AD62" s="20" t="str">
        <f>IF(AB62="","",IF($F62="Bernardino Furlan",_xlfn.XLOOKUP(AB62,Cadastros!$G$6:$G$90,Cadastros!$H$6:$H$90)*(1-0.18),IF($F62="Mauro José Salanti",_xlfn.XLOOKUP(AB62,Cadastros!$G$6:$G$90,Cadastros!$H$6:$H$90)*(1-0.18),_xlfn.XLOOKUP(AB62,Cadastros!$G$6:$G$90,Cadastros!$H$6:$H$90))))</f>
        <v/>
      </c>
      <c r="AE62" s="168" t="str">
        <f t="shared" si="5"/>
        <v/>
      </c>
      <c r="AF62" s="168" t="str">
        <f t="shared" si="6"/>
        <v/>
      </c>
      <c r="AG62" s="28"/>
      <c r="AH62" s="28"/>
      <c r="AI62" s="20" t="str">
        <f>IF(AG62="","",IF($F62="Bernardino Furlan",_xlfn.XLOOKUP(AG62,Cadastros!$G$6:$G$90,Cadastros!$H$6:$H$90)*(1-0.18),IF($F62="Mauro José Salanti",_xlfn.XLOOKUP(AG62,Cadastros!$G$6:$G$90,Cadastros!$H$6:$H$90)*(1-0.18),_xlfn.XLOOKUP(AG62,Cadastros!$G$6:$G$90,Cadastros!$H$6:$H$90))))</f>
        <v/>
      </c>
      <c r="AJ62" s="168" t="str">
        <f t="shared" si="7"/>
        <v/>
      </c>
      <c r="AK62" s="168" t="str">
        <f t="shared" si="8"/>
        <v/>
      </c>
      <c r="AL62" s="28"/>
      <c r="AM62" s="28"/>
      <c r="AN62" s="20" t="str">
        <f>IF(AL62="","",IF($F62="Bernardino Furlan",_xlfn.XLOOKUP(AL62,Cadastros!$G$6:$G$90,Cadastros!$H$6:$H$90)*(1-0.18),IF($F62="Mauro José Salanti",_xlfn.XLOOKUP(AL62,Cadastros!$G$6:$G$90,Cadastros!$H$6:$H$90)*(1-0.18),_xlfn.XLOOKUP(AL62,Cadastros!$G$6:$G$90,Cadastros!$H$6:$H$90))))</f>
        <v/>
      </c>
      <c r="AO62" s="168" t="str">
        <f t="shared" si="9"/>
        <v/>
      </c>
      <c r="AP62" s="168" t="str">
        <f t="shared" si="10"/>
        <v/>
      </c>
      <c r="AQ62" s="28"/>
      <c r="AR62" s="28"/>
      <c r="AS62" s="20" t="str">
        <f>IF(AQ62="","",IF($F62="Bernardino Furlan",_xlfn.XLOOKUP(AQ62,Cadastros!$G$6:$G$90,Cadastros!$H$6:$H$90)*(1-0.18),IF($F62="Mauro José Salanti",_xlfn.XLOOKUP(AQ62,Cadastros!$G$6:$G$90,Cadastros!$H$6:$H$90)*(1-0.18),_xlfn.XLOOKUP(AQ62,Cadastros!$G$6:$G$90,Cadastros!$H$6:$H$90))))</f>
        <v/>
      </c>
      <c r="AT62" s="168" t="str">
        <f t="shared" si="11"/>
        <v/>
      </c>
      <c r="AU62" s="168" t="str">
        <f t="shared" si="12"/>
        <v/>
      </c>
      <c r="AV62" s="227"/>
      <c r="AW62" s="30"/>
      <c r="AX62" s="267"/>
      <c r="AY62" s="267"/>
      <c r="AZ62" s="29"/>
      <c r="BA62" s="30"/>
      <c r="BB62" s="23" t="str" cm="1">
        <f t="array" ref="BB62">_xlfn.IFS(AW62="SIM",SUM(K62,P62,U62,Z62,AE62,AJ62,AO62,AT62,AX62,AY62),F62&lt;&gt;"",SUM(K62,P62,U62,Z62,AE62,AJ62,,AO62,AT62),F62="","")</f>
        <v/>
      </c>
      <c r="BC62" s="211" t="str" cm="1">
        <f t="array" ref="BC62">_xlfn.IFS(E62="","",G62&lt;=E62,BB62*(1-0.03),G62&lt;(E62+8),BB62,AZ62="Boleto",BB62*(1+0.001)^DATEDIF(E62,G62,"D"),AZ62="Cheque",BB62,AZ62="Dinheiro","Alterar forma pgto")</f>
        <v/>
      </c>
      <c r="BD62" s="276" t="str" cm="1">
        <f t="array" ref="BD62">IF(F62=0," ",IF(BC62&lt;BB62,(_xlfn.IFS(AW62="SIM",SUM(L62,Q62,V62,AA62,AF62,AK62,AP62,AU62)+AX62/_xlfn.XLOOKUP(_xlfn.XLOOKUP($F62,Clientes!$B$4:$B$39,Clientes!$C$4:$C$39),Cadastros!$L$6:$L$12,Cadastros!$M$6:$M$12)+IF($F62="Bernardino Furlan",AY62/2751.92,IF($F62="Mauro José Salanti",AY62/2751.92,AY62/3356)),F62&lt;&gt;0,SUM(L62,Q62,V62,AA62,AF62,AK62,AP62,AU62)))*(1-0.03),_xlfn.IFS(AW62="SIM",SUM(L62,Q62,V62,AA62,AF62,AK62,AP62,AU62)+AX62/_xlfn.XLOOKUP(_xlfn.XLOOKUP($F62,Clientes!$B$4:$B$39,Clientes!$C$4:$C$39),Cadastros!$L$6:$L$12,Cadastros!$M$6:$M$12)+IF($F62="Bernardino Furlan",AY62/2751.92,IF($F62="Mauro José Salanti",AY62/2751.92,AY62/3356)),F62&lt;&gt;0,SUM(L62,Q62,V62,AA62,AF62,AK62,AP62,AU62))))</f>
        <v xml:space="preserve"> </v>
      </c>
      <c r="BE62" s="120"/>
      <c r="BF62" s="120"/>
      <c r="BG62" s="120"/>
      <c r="BL62" s="235" t="str">
        <f>IF(Cadastros!D59="","",Cadastros!D59)</f>
        <v>40111 - Colchão Vivace 193 X 203 X 024 cm S/VQ</v>
      </c>
      <c r="BM62" s="234"/>
      <c r="BN62" s="235" t="str">
        <f>IF(Cadastros!G59="","",Cadastros!G59)</f>
        <v>172 - Cabeceira Retângulos 193 X 130</v>
      </c>
    </row>
    <row r="63" spans="1:66" s="3" customFormat="1" x14ac:dyDescent="0.3">
      <c r="A63" s="15" t="str">
        <f t="shared" si="0"/>
        <v/>
      </c>
      <c r="B63" s="25"/>
      <c r="C63" s="26"/>
      <c r="D63" s="279"/>
      <c r="E63" s="27"/>
      <c r="F63" s="28"/>
      <c r="G63" s="27"/>
      <c r="H63" s="28"/>
      <c r="I63" s="28"/>
      <c r="J63" s="255" t="str">
        <f>IF(H63="","",(_xlfn.XLOOKUP(H63,Cadastros!$D$6:$D$90,Cadastros!$E$6:$E$90))*(1-_xlfn.XLOOKUP(_xlfn.XLOOKUP($F63,Clientes!$B$4:$B$39,Clientes!$C$4:$C$39),Cadastros!$L$6:$L$12,Cadastros!$N$6:$N$12)))</f>
        <v/>
      </c>
      <c r="K63" s="168" t="str">
        <f t="shared" si="1"/>
        <v/>
      </c>
      <c r="L63" s="168" t="str">
        <f>IFERROR(K63/_xlfn.XLOOKUP(_xlfn.XLOOKUP($F63,Clientes!$B$4:$B$39,Clientes!$C$4:$C$39),Cadastros!$L$6:$L$12,Cadastros!$M$6:$M$12)," ")</f>
        <v xml:space="preserve"> </v>
      </c>
      <c r="M63" s="28"/>
      <c r="N63" s="28"/>
      <c r="O63" s="255" t="str">
        <f>IF(M63="","",(_xlfn.XLOOKUP(M63,Cadastros!$D$6:$D$90,Cadastros!$E$6:$E$90))*(1-_xlfn.XLOOKUP(_xlfn.XLOOKUP($F63,Clientes!$B$4:$B$39,Clientes!$C$4:$C$39),Cadastros!$L$6:$L$12,Cadastros!$N$6:$N$12)))</f>
        <v/>
      </c>
      <c r="P63" s="168" t="str">
        <f t="shared" si="2"/>
        <v/>
      </c>
      <c r="Q63" s="168" t="str">
        <f>IFERROR(P63/_xlfn.XLOOKUP(_xlfn.XLOOKUP($F63,Clientes!$B$4:$B$39,Clientes!$C$4:$C$39),Cadastros!$L$6:$L$12,Cadastros!$M$6:$M$12)," ")</f>
        <v xml:space="preserve"> </v>
      </c>
      <c r="R63" s="28"/>
      <c r="S63" s="28"/>
      <c r="T63" s="255" t="str">
        <f>IF(R63="","",(_xlfn.XLOOKUP(R63,Cadastros!$D$6:$D$90,Cadastros!$E$6:$E$90))*(1-_xlfn.XLOOKUP(_xlfn.XLOOKUP($F63,Clientes!$B$4:$B$39,Clientes!$C$4:$C$39),Cadastros!$L$6:$L$12,Cadastros!$N$6:$N$12)))</f>
        <v/>
      </c>
      <c r="U63" s="168" t="str">
        <f t="shared" si="3"/>
        <v/>
      </c>
      <c r="V63" s="168" t="str">
        <f>IFERROR(U63/_xlfn.XLOOKUP(_xlfn.XLOOKUP($F63,Clientes!$B$4:$B$39,Clientes!$C$4:$C$39),Cadastros!$L$6:$L$12,Cadastros!$M$6:$M$12)," ")</f>
        <v xml:space="preserve"> </v>
      </c>
      <c r="W63" s="28"/>
      <c r="X63" s="28"/>
      <c r="Y63" s="255" t="str">
        <f>IF(W63="","",(_xlfn.XLOOKUP(W63,Cadastros!$D$6:$D$90,Cadastros!$E$6:$E$90))*(1-_xlfn.XLOOKUP(_xlfn.XLOOKUP($F63,Clientes!$B$4:$B$39,Clientes!$C$4:$C$39),Cadastros!$L$6:$L$12,Cadastros!$N$6:$N$12)))</f>
        <v/>
      </c>
      <c r="Z63" s="168" t="str">
        <f t="shared" si="4"/>
        <v/>
      </c>
      <c r="AA63" s="168" t="str">
        <f>IFERROR(Z63/_xlfn.XLOOKUP(_xlfn.XLOOKUP($F63,Clientes!$B$4:$B$39,Clientes!$C$4:$C$39),Cadastros!$L$6:$L$12,Cadastros!$M$6:$M$12)," ")</f>
        <v xml:space="preserve"> </v>
      </c>
      <c r="AB63" s="28"/>
      <c r="AC63" s="28"/>
      <c r="AD63" s="20" t="str">
        <f>IF(AB63="","",IF($F63="Bernardino Furlan",_xlfn.XLOOKUP(AB63,Cadastros!$G$6:$G$90,Cadastros!$H$6:$H$90)*(1-0.18),IF($F63="Mauro José Salanti",_xlfn.XLOOKUP(AB63,Cadastros!$G$6:$G$90,Cadastros!$H$6:$H$90)*(1-0.18),_xlfn.XLOOKUP(AB63,Cadastros!$G$6:$G$90,Cadastros!$H$6:$H$90))))</f>
        <v/>
      </c>
      <c r="AE63" s="168" t="str">
        <f t="shared" si="5"/>
        <v/>
      </c>
      <c r="AF63" s="168" t="str">
        <f t="shared" si="6"/>
        <v/>
      </c>
      <c r="AG63" s="28"/>
      <c r="AH63" s="28"/>
      <c r="AI63" s="20" t="str">
        <f>IF(AG63="","",IF($F63="Bernardino Furlan",_xlfn.XLOOKUP(AG63,Cadastros!$G$6:$G$90,Cadastros!$H$6:$H$90)*(1-0.18),IF($F63="Mauro José Salanti",_xlfn.XLOOKUP(AG63,Cadastros!$G$6:$G$90,Cadastros!$H$6:$H$90)*(1-0.18),_xlfn.XLOOKUP(AG63,Cadastros!$G$6:$G$90,Cadastros!$H$6:$H$90))))</f>
        <v/>
      </c>
      <c r="AJ63" s="168" t="str">
        <f t="shared" si="7"/>
        <v/>
      </c>
      <c r="AK63" s="168" t="str">
        <f t="shared" si="8"/>
        <v/>
      </c>
      <c r="AL63" s="28"/>
      <c r="AM63" s="28"/>
      <c r="AN63" s="20" t="str">
        <f>IF(AL63="","",IF($F63="Bernardino Furlan",_xlfn.XLOOKUP(AL63,Cadastros!$G$6:$G$90,Cadastros!$H$6:$H$90)*(1-0.18),IF($F63="Mauro José Salanti",_xlfn.XLOOKUP(AL63,Cadastros!$G$6:$G$90,Cadastros!$H$6:$H$90)*(1-0.18),_xlfn.XLOOKUP(AL63,Cadastros!$G$6:$G$90,Cadastros!$H$6:$H$90))))</f>
        <v/>
      </c>
      <c r="AO63" s="168" t="str">
        <f t="shared" si="9"/>
        <v/>
      </c>
      <c r="AP63" s="168" t="str">
        <f t="shared" si="10"/>
        <v/>
      </c>
      <c r="AQ63" s="28"/>
      <c r="AR63" s="28"/>
      <c r="AS63" s="20" t="str">
        <f>IF(AQ63="","",IF($F63="Bernardino Furlan",_xlfn.XLOOKUP(AQ63,Cadastros!$G$6:$G$90,Cadastros!$H$6:$H$90)*(1-0.18),IF($F63="Mauro José Salanti",_xlfn.XLOOKUP(AQ63,Cadastros!$G$6:$G$90,Cadastros!$H$6:$H$90)*(1-0.18),_xlfn.XLOOKUP(AQ63,Cadastros!$G$6:$G$90,Cadastros!$H$6:$H$90))))</f>
        <v/>
      </c>
      <c r="AT63" s="168" t="str">
        <f t="shared" si="11"/>
        <v/>
      </c>
      <c r="AU63" s="168" t="str">
        <f t="shared" si="12"/>
        <v/>
      </c>
      <c r="AV63" s="227"/>
      <c r="AW63" s="30"/>
      <c r="AX63" s="267"/>
      <c r="AY63" s="267"/>
      <c r="AZ63" s="29"/>
      <c r="BA63" s="30"/>
      <c r="BB63" s="23" t="str" cm="1">
        <f t="array" ref="BB63">_xlfn.IFS(AW63="SIM",SUM(K63,P63,U63,Z63,AE63,AJ63,AO63,AT63,AX63,AY63),F63&lt;&gt;"",SUM(K63,P63,U63,Z63,AE63,AJ63,,AO63,AT63),F63="","")</f>
        <v/>
      </c>
      <c r="BC63" s="211" t="str" cm="1">
        <f t="array" ref="BC63">_xlfn.IFS(E63="","",G63&lt;=E63,BB63*(1-0.03),G63&lt;(E63+8),BB63,AZ63="Boleto",BB63*(1+0.001)^DATEDIF(E63,G63,"D"),AZ63="Cheque",BB63,AZ63="Dinheiro","Alterar forma pgto")</f>
        <v/>
      </c>
      <c r="BD63" s="276" t="str" cm="1">
        <f t="array" ref="BD63">IF(F63=0," ",IF(BC63&lt;BB63,(_xlfn.IFS(AW63="SIM",SUM(L63,Q63,V63,AA63,AF63,AK63,AP63,AU63)+AX63/_xlfn.XLOOKUP(_xlfn.XLOOKUP($F63,Clientes!$B$4:$B$39,Clientes!$C$4:$C$39),Cadastros!$L$6:$L$12,Cadastros!$M$6:$M$12)+IF($F63="Bernardino Furlan",AY63/2751.92,IF($F63="Mauro José Salanti",AY63/2751.92,AY63/3356)),F63&lt;&gt;0,SUM(L63,Q63,V63,AA63,AF63,AK63,AP63,AU63)))*(1-0.03),_xlfn.IFS(AW63="SIM",SUM(L63,Q63,V63,AA63,AF63,AK63,AP63,AU63)+AX63/_xlfn.XLOOKUP(_xlfn.XLOOKUP($F63,Clientes!$B$4:$B$39,Clientes!$C$4:$C$39),Cadastros!$L$6:$L$12,Cadastros!$M$6:$M$12)+IF($F63="Bernardino Furlan",AY63/2751.92,IF($F63="Mauro José Salanti",AY63/2751.92,AY63/3356)),F63&lt;&gt;0,SUM(L63,Q63,V63,AA63,AF63,AK63,AP63,AU63))))</f>
        <v xml:space="preserve"> </v>
      </c>
      <c r="BE63" s="120"/>
      <c r="BF63" s="120"/>
      <c r="BG63" s="120"/>
      <c r="BL63" s="235" t="str">
        <f>IF(Cadastros!D60="","",Cadastros!D60)</f>
        <v>40112 - Colchão Supremo 193 X 203 X 027 cm S/VQ</v>
      </c>
      <c r="BM63" s="234"/>
      <c r="BN63" s="235" t="str">
        <f>IF(Cadastros!G60="","",Cadastros!G60)</f>
        <v/>
      </c>
    </row>
    <row r="64" spans="1:66" s="3" customFormat="1" x14ac:dyDescent="0.3">
      <c r="A64" s="15" t="str">
        <f t="shared" si="0"/>
        <v/>
      </c>
      <c r="B64" s="25"/>
      <c r="C64" s="26"/>
      <c r="D64" s="279"/>
      <c r="E64" s="27"/>
      <c r="F64" s="28"/>
      <c r="G64" s="27"/>
      <c r="H64" s="28"/>
      <c r="I64" s="28"/>
      <c r="J64" s="255" t="str">
        <f>IF(H64="","",(_xlfn.XLOOKUP(H64,Cadastros!$D$6:$D$90,Cadastros!$E$6:$E$90))*(1-_xlfn.XLOOKUP(_xlfn.XLOOKUP($F64,Clientes!$B$4:$B$39,Clientes!$C$4:$C$39),Cadastros!$L$6:$L$12,Cadastros!$N$6:$N$12)))</f>
        <v/>
      </c>
      <c r="K64" s="168" t="str">
        <f t="shared" si="1"/>
        <v/>
      </c>
      <c r="L64" s="168" t="str">
        <f>IFERROR(K64/_xlfn.XLOOKUP(_xlfn.XLOOKUP($F64,Clientes!$B$4:$B$39,Clientes!$C$4:$C$39),Cadastros!$L$6:$L$12,Cadastros!$M$6:$M$12)," ")</f>
        <v xml:space="preserve"> </v>
      </c>
      <c r="M64" s="28"/>
      <c r="N64" s="28"/>
      <c r="O64" s="255" t="str">
        <f>IF(M64="","",(_xlfn.XLOOKUP(M64,Cadastros!$D$6:$D$90,Cadastros!$E$6:$E$90))*(1-_xlfn.XLOOKUP(_xlfn.XLOOKUP($F64,Clientes!$B$4:$B$39,Clientes!$C$4:$C$39),Cadastros!$L$6:$L$12,Cadastros!$N$6:$N$12)))</f>
        <v/>
      </c>
      <c r="P64" s="168" t="str">
        <f t="shared" si="2"/>
        <v/>
      </c>
      <c r="Q64" s="168" t="str">
        <f>IFERROR(P64/_xlfn.XLOOKUP(_xlfn.XLOOKUP($F64,Clientes!$B$4:$B$39,Clientes!$C$4:$C$39),Cadastros!$L$6:$L$12,Cadastros!$M$6:$M$12)," ")</f>
        <v xml:space="preserve"> </v>
      </c>
      <c r="R64" s="28"/>
      <c r="S64" s="28"/>
      <c r="T64" s="255" t="str">
        <f>IF(R64="","",(_xlfn.XLOOKUP(R64,Cadastros!$D$6:$D$90,Cadastros!$E$6:$E$90))*(1-_xlfn.XLOOKUP(_xlfn.XLOOKUP($F64,Clientes!$B$4:$B$39,Clientes!$C$4:$C$39),Cadastros!$L$6:$L$12,Cadastros!$N$6:$N$12)))</f>
        <v/>
      </c>
      <c r="U64" s="168" t="str">
        <f t="shared" si="3"/>
        <v/>
      </c>
      <c r="V64" s="168" t="str">
        <f>IFERROR(U64/_xlfn.XLOOKUP(_xlfn.XLOOKUP($F64,Clientes!$B$4:$B$39,Clientes!$C$4:$C$39),Cadastros!$L$6:$L$12,Cadastros!$M$6:$M$12)," ")</f>
        <v xml:space="preserve"> </v>
      </c>
      <c r="W64" s="28"/>
      <c r="X64" s="28"/>
      <c r="Y64" s="255" t="str">
        <f>IF(W64="","",(_xlfn.XLOOKUP(W64,Cadastros!$D$6:$D$90,Cadastros!$E$6:$E$90))*(1-_xlfn.XLOOKUP(_xlfn.XLOOKUP($F64,Clientes!$B$4:$B$39,Clientes!$C$4:$C$39),Cadastros!$L$6:$L$12,Cadastros!$N$6:$N$12)))</f>
        <v/>
      </c>
      <c r="Z64" s="168" t="str">
        <f t="shared" si="4"/>
        <v/>
      </c>
      <c r="AA64" s="168" t="str">
        <f>IFERROR(Z64/_xlfn.XLOOKUP(_xlfn.XLOOKUP($F64,Clientes!$B$4:$B$39,Clientes!$C$4:$C$39),Cadastros!$L$6:$L$12,Cadastros!$M$6:$M$12)," ")</f>
        <v xml:space="preserve"> </v>
      </c>
      <c r="AB64" s="28"/>
      <c r="AC64" s="28"/>
      <c r="AD64" s="20" t="str">
        <f>IF(AB64="","",IF($F64="Bernardino Furlan",_xlfn.XLOOKUP(AB64,Cadastros!$G$6:$G$90,Cadastros!$H$6:$H$90)*(1-0.18),IF($F64="Mauro José Salanti",_xlfn.XLOOKUP(AB64,Cadastros!$G$6:$G$90,Cadastros!$H$6:$H$90)*(1-0.18),_xlfn.XLOOKUP(AB64,Cadastros!$G$6:$G$90,Cadastros!$H$6:$H$90))))</f>
        <v/>
      </c>
      <c r="AE64" s="168" t="str">
        <f t="shared" si="5"/>
        <v/>
      </c>
      <c r="AF64" s="168" t="str">
        <f t="shared" si="6"/>
        <v/>
      </c>
      <c r="AG64" s="28"/>
      <c r="AH64" s="28"/>
      <c r="AI64" s="20" t="str">
        <f>IF(AG64="","",IF($F64="Bernardino Furlan",_xlfn.XLOOKUP(AG64,Cadastros!$G$6:$G$90,Cadastros!$H$6:$H$90)*(1-0.18),IF($F64="Mauro José Salanti",_xlfn.XLOOKUP(AG64,Cadastros!$G$6:$G$90,Cadastros!$H$6:$H$90)*(1-0.18),_xlfn.XLOOKUP(AG64,Cadastros!$G$6:$G$90,Cadastros!$H$6:$H$90))))</f>
        <v/>
      </c>
      <c r="AJ64" s="168" t="str">
        <f t="shared" si="7"/>
        <v/>
      </c>
      <c r="AK64" s="168" t="str">
        <f t="shared" si="8"/>
        <v/>
      </c>
      <c r="AL64" s="28"/>
      <c r="AM64" s="28"/>
      <c r="AN64" s="20" t="str">
        <f>IF(AL64="","",IF($F64="Bernardino Furlan",_xlfn.XLOOKUP(AL64,Cadastros!$G$6:$G$90,Cadastros!$H$6:$H$90)*(1-0.18),IF($F64="Mauro José Salanti",_xlfn.XLOOKUP(AL64,Cadastros!$G$6:$G$90,Cadastros!$H$6:$H$90)*(1-0.18),_xlfn.XLOOKUP(AL64,Cadastros!$G$6:$G$90,Cadastros!$H$6:$H$90))))</f>
        <v/>
      </c>
      <c r="AO64" s="168" t="str">
        <f t="shared" si="9"/>
        <v/>
      </c>
      <c r="AP64" s="168" t="str">
        <f t="shared" si="10"/>
        <v/>
      </c>
      <c r="AQ64" s="28"/>
      <c r="AR64" s="28"/>
      <c r="AS64" s="20" t="str">
        <f>IF(AQ64="","",IF($F64="Bernardino Furlan",_xlfn.XLOOKUP(AQ64,Cadastros!$G$6:$G$90,Cadastros!$H$6:$H$90)*(1-0.18),IF($F64="Mauro José Salanti",_xlfn.XLOOKUP(AQ64,Cadastros!$G$6:$G$90,Cadastros!$H$6:$H$90)*(1-0.18),_xlfn.XLOOKUP(AQ64,Cadastros!$G$6:$G$90,Cadastros!$H$6:$H$90))))</f>
        <v/>
      </c>
      <c r="AT64" s="168" t="str">
        <f t="shared" si="11"/>
        <v/>
      </c>
      <c r="AU64" s="168" t="str">
        <f t="shared" si="12"/>
        <v/>
      </c>
      <c r="AV64" s="227"/>
      <c r="AW64" s="30"/>
      <c r="AX64" s="267"/>
      <c r="AY64" s="267"/>
      <c r="AZ64" s="29"/>
      <c r="BA64" s="30"/>
      <c r="BB64" s="23" t="str" cm="1">
        <f t="array" ref="BB64">_xlfn.IFS(AW64="SIM",SUM(K64,P64,U64,Z64,AE64,AJ64,AO64,AT64,AX64,AY64),F64&lt;&gt;"",SUM(K64,P64,U64,Z64,AE64,AJ64,,AO64,AT64),F64="","")</f>
        <v/>
      </c>
      <c r="BC64" s="211" t="str" cm="1">
        <f t="array" ref="BC64">_xlfn.IFS(E64="","",G64&lt;=E64,BB64*(1-0.03),G64&lt;(E64+8),BB64,AZ64="Boleto",BB64*(1+0.001)^DATEDIF(E64,G64,"D"),AZ64="Cheque",BB64,AZ64="Dinheiro","Alterar forma pgto")</f>
        <v/>
      </c>
      <c r="BD64" s="276" t="str" cm="1">
        <f t="array" ref="BD64">IF(F64=0," ",IF(BC64&lt;BB64,(_xlfn.IFS(AW64="SIM",SUM(L64,Q64,V64,AA64,AF64,AK64,AP64,AU64)+AX64/_xlfn.XLOOKUP(_xlfn.XLOOKUP($F64,Clientes!$B$4:$B$39,Clientes!$C$4:$C$39),Cadastros!$L$6:$L$12,Cadastros!$M$6:$M$12)+IF($F64="Bernardino Furlan",AY64/2751.92,IF($F64="Mauro José Salanti",AY64/2751.92,AY64/3356)),F64&lt;&gt;0,SUM(L64,Q64,V64,AA64,AF64,AK64,AP64,AU64)))*(1-0.03),_xlfn.IFS(AW64="SIM",SUM(L64,Q64,V64,AA64,AF64,AK64,AP64,AU64)+AX64/_xlfn.XLOOKUP(_xlfn.XLOOKUP($F64,Clientes!$B$4:$B$39,Clientes!$C$4:$C$39),Cadastros!$L$6:$L$12,Cadastros!$M$6:$M$12)+IF($F64="Bernardino Furlan",AY64/2751.92,IF($F64="Mauro José Salanti",AY64/2751.92,AY64/3356)),F64&lt;&gt;0,SUM(L64,Q64,V64,AA64,AF64,AK64,AP64,AU64))))</f>
        <v xml:space="preserve"> </v>
      </c>
      <c r="BE64" s="120"/>
      <c r="BF64" s="120"/>
      <c r="BG64" s="120"/>
      <c r="BL64" s="235" t="str">
        <f>IF(Cadastros!D61="","",Cadastros!D61)</f>
        <v/>
      </c>
      <c r="BM64" s="234"/>
      <c r="BN64" s="233" t="str">
        <f>IF(Cadastros!G61="","",Cadastros!G61)</f>
        <v>FILTRO DE ÁGUA</v>
      </c>
    </row>
    <row r="65" spans="1:66" s="3" customFormat="1" x14ac:dyDescent="0.3">
      <c r="A65" s="15" t="str">
        <f t="shared" si="0"/>
        <v/>
      </c>
      <c r="B65" s="25"/>
      <c r="C65" s="26"/>
      <c r="D65" s="279"/>
      <c r="E65" s="27"/>
      <c r="F65" s="28"/>
      <c r="G65" s="27"/>
      <c r="H65" s="28"/>
      <c r="I65" s="28"/>
      <c r="J65" s="255" t="str">
        <f>IF(H65="","",(_xlfn.XLOOKUP(H65,Cadastros!$D$6:$D$90,Cadastros!$E$6:$E$90))*(1-_xlfn.XLOOKUP(_xlfn.XLOOKUP($F65,Clientes!$B$4:$B$39,Clientes!$C$4:$C$39),Cadastros!$L$6:$L$12,Cadastros!$N$6:$N$12)))</f>
        <v/>
      </c>
      <c r="K65" s="168" t="str">
        <f t="shared" si="1"/>
        <v/>
      </c>
      <c r="L65" s="168" t="str">
        <f>IFERROR(K65/_xlfn.XLOOKUP(_xlfn.XLOOKUP($F65,Clientes!$B$4:$B$39,Clientes!$C$4:$C$39),Cadastros!$L$6:$L$12,Cadastros!$M$6:$M$12)," ")</f>
        <v xml:space="preserve"> </v>
      </c>
      <c r="M65" s="28"/>
      <c r="N65" s="28"/>
      <c r="O65" s="255" t="str">
        <f>IF(M65="","",(_xlfn.XLOOKUP(M65,Cadastros!$D$6:$D$90,Cadastros!$E$6:$E$90))*(1-_xlfn.XLOOKUP(_xlfn.XLOOKUP($F65,Clientes!$B$4:$B$39,Clientes!$C$4:$C$39),Cadastros!$L$6:$L$12,Cadastros!$N$6:$N$12)))</f>
        <v/>
      </c>
      <c r="P65" s="168" t="str">
        <f t="shared" si="2"/>
        <v/>
      </c>
      <c r="Q65" s="168" t="str">
        <f>IFERROR(P65/_xlfn.XLOOKUP(_xlfn.XLOOKUP($F65,Clientes!$B$4:$B$39,Clientes!$C$4:$C$39),Cadastros!$L$6:$L$12,Cadastros!$M$6:$M$12)," ")</f>
        <v xml:space="preserve"> </v>
      </c>
      <c r="R65" s="28"/>
      <c r="S65" s="28"/>
      <c r="T65" s="255" t="str">
        <f>IF(R65="","",(_xlfn.XLOOKUP(R65,Cadastros!$D$6:$D$90,Cadastros!$E$6:$E$90))*(1-_xlfn.XLOOKUP(_xlfn.XLOOKUP($F65,Clientes!$B$4:$B$39,Clientes!$C$4:$C$39),Cadastros!$L$6:$L$12,Cadastros!$N$6:$N$12)))</f>
        <v/>
      </c>
      <c r="U65" s="168" t="str">
        <f t="shared" si="3"/>
        <v/>
      </c>
      <c r="V65" s="168" t="str">
        <f>IFERROR(U65/_xlfn.XLOOKUP(_xlfn.XLOOKUP($F65,Clientes!$B$4:$B$39,Clientes!$C$4:$C$39),Cadastros!$L$6:$L$12,Cadastros!$M$6:$M$12)," ")</f>
        <v xml:space="preserve"> </v>
      </c>
      <c r="W65" s="28"/>
      <c r="X65" s="28"/>
      <c r="Y65" s="255" t="str">
        <f>IF(W65="","",(_xlfn.XLOOKUP(W65,Cadastros!$D$6:$D$90,Cadastros!$E$6:$E$90))*(1-_xlfn.XLOOKUP(_xlfn.XLOOKUP($F65,Clientes!$B$4:$B$39,Clientes!$C$4:$C$39),Cadastros!$L$6:$L$12,Cadastros!$N$6:$N$12)))</f>
        <v/>
      </c>
      <c r="Z65" s="168" t="str">
        <f t="shared" si="4"/>
        <v/>
      </c>
      <c r="AA65" s="168" t="str">
        <f>IFERROR(Z65/_xlfn.XLOOKUP(_xlfn.XLOOKUP($F65,Clientes!$B$4:$B$39,Clientes!$C$4:$C$39),Cadastros!$L$6:$L$12,Cadastros!$M$6:$M$12)," ")</f>
        <v xml:space="preserve"> </v>
      </c>
      <c r="AB65" s="28"/>
      <c r="AC65" s="28"/>
      <c r="AD65" s="20" t="str">
        <f>IF(AB65="","",IF($F65="Bernardino Furlan",_xlfn.XLOOKUP(AB65,Cadastros!$G$6:$G$90,Cadastros!$H$6:$H$90)*(1-0.18),IF($F65="Mauro José Salanti",_xlfn.XLOOKUP(AB65,Cadastros!$G$6:$G$90,Cadastros!$H$6:$H$90)*(1-0.18),_xlfn.XLOOKUP(AB65,Cadastros!$G$6:$G$90,Cadastros!$H$6:$H$90))))</f>
        <v/>
      </c>
      <c r="AE65" s="168" t="str">
        <f t="shared" si="5"/>
        <v/>
      </c>
      <c r="AF65" s="168" t="str">
        <f t="shared" si="6"/>
        <v/>
      </c>
      <c r="AG65" s="28"/>
      <c r="AH65" s="28"/>
      <c r="AI65" s="20" t="str">
        <f>IF(AG65="","",IF($F65="Bernardino Furlan",_xlfn.XLOOKUP(AG65,Cadastros!$G$6:$G$90,Cadastros!$H$6:$H$90)*(1-0.18),IF($F65="Mauro José Salanti",_xlfn.XLOOKUP(AG65,Cadastros!$G$6:$G$90,Cadastros!$H$6:$H$90)*(1-0.18),_xlfn.XLOOKUP(AG65,Cadastros!$G$6:$G$90,Cadastros!$H$6:$H$90))))</f>
        <v/>
      </c>
      <c r="AJ65" s="168" t="str">
        <f t="shared" si="7"/>
        <v/>
      </c>
      <c r="AK65" s="168" t="str">
        <f t="shared" si="8"/>
        <v/>
      </c>
      <c r="AL65" s="28"/>
      <c r="AM65" s="28"/>
      <c r="AN65" s="20" t="str">
        <f>IF(AL65="","",IF($F65="Bernardino Furlan",_xlfn.XLOOKUP(AL65,Cadastros!$G$6:$G$90,Cadastros!$H$6:$H$90)*(1-0.18),IF($F65="Mauro José Salanti",_xlfn.XLOOKUP(AL65,Cadastros!$G$6:$G$90,Cadastros!$H$6:$H$90)*(1-0.18),_xlfn.XLOOKUP(AL65,Cadastros!$G$6:$G$90,Cadastros!$H$6:$H$90))))</f>
        <v/>
      </c>
      <c r="AO65" s="168" t="str">
        <f t="shared" si="9"/>
        <v/>
      </c>
      <c r="AP65" s="168" t="str">
        <f t="shared" si="10"/>
        <v/>
      </c>
      <c r="AQ65" s="28"/>
      <c r="AR65" s="28"/>
      <c r="AS65" s="20" t="str">
        <f>IF(AQ65="","",IF($F65="Bernardino Furlan",_xlfn.XLOOKUP(AQ65,Cadastros!$G$6:$G$90,Cadastros!$H$6:$H$90)*(1-0.18),IF($F65="Mauro José Salanti",_xlfn.XLOOKUP(AQ65,Cadastros!$G$6:$G$90,Cadastros!$H$6:$H$90)*(1-0.18),_xlfn.XLOOKUP(AQ65,Cadastros!$G$6:$G$90,Cadastros!$H$6:$H$90))))</f>
        <v/>
      </c>
      <c r="AT65" s="168" t="str">
        <f t="shared" si="11"/>
        <v/>
      </c>
      <c r="AU65" s="168" t="str">
        <f t="shared" si="12"/>
        <v/>
      </c>
      <c r="AV65" s="227"/>
      <c r="AW65" s="30"/>
      <c r="AX65" s="267"/>
      <c r="AY65" s="267"/>
      <c r="AZ65" s="29"/>
      <c r="BA65" s="30"/>
      <c r="BB65" s="23" t="str" cm="1">
        <f t="array" ref="BB65">_xlfn.IFS(AW65="SIM",SUM(K65,P65,U65,Z65,AE65,AJ65,AO65,AT65,AX65,AY65),F65&lt;&gt;"",SUM(K65,P65,U65,Z65,AE65,AJ65,,AO65,AT65),F65="","")</f>
        <v/>
      </c>
      <c r="BC65" s="211" t="str" cm="1">
        <f t="array" ref="BC65">_xlfn.IFS(E65="","",G65&lt;=E65,BB65*(1-0.03),G65&lt;(E65+8),BB65,AZ65="Boleto",BB65*(1+0.001)^DATEDIF(E65,G65,"D"),AZ65="Cheque",BB65,AZ65="Dinheiro","Alterar forma pgto")</f>
        <v/>
      </c>
      <c r="BD65" s="276" t="str" cm="1">
        <f t="array" ref="BD65">IF(F65=0," ",IF(BC65&lt;BB65,(_xlfn.IFS(AW65="SIM",SUM(L65,Q65,V65,AA65,AF65,AK65,AP65,AU65)+AX65/_xlfn.XLOOKUP(_xlfn.XLOOKUP($F65,Clientes!$B$4:$B$39,Clientes!$C$4:$C$39),Cadastros!$L$6:$L$12,Cadastros!$M$6:$M$12)+IF($F65="Bernardino Furlan",AY65/2751.92,IF($F65="Mauro José Salanti",AY65/2751.92,AY65/3356)),F65&lt;&gt;0,SUM(L65,Q65,V65,AA65,AF65,AK65,AP65,AU65)))*(1-0.03),_xlfn.IFS(AW65="SIM",SUM(L65,Q65,V65,AA65,AF65,AK65,AP65,AU65)+AX65/_xlfn.XLOOKUP(_xlfn.XLOOKUP($F65,Clientes!$B$4:$B$39,Clientes!$C$4:$C$39),Cadastros!$L$6:$L$12,Cadastros!$M$6:$M$12)+IF($F65="Bernardino Furlan",AY65/2751.92,IF($F65="Mauro José Salanti",AY65/2751.92,AY65/3356)),F65&lt;&gt;0,SUM(L65,Q65,V65,AA65,AF65,AK65,AP65,AU65))))</f>
        <v xml:space="preserve"> </v>
      </c>
      <c r="BE65" s="120"/>
      <c r="BF65" s="120"/>
      <c r="BG65" s="120"/>
      <c r="BL65" s="235" t="str">
        <f>IF(Cadastros!D62="","",Cadastros!D62)</f>
        <v xml:space="preserve">40115 - Colchonete Plenosono 088 X 188 X 009 cm S/VQ </v>
      </c>
      <c r="BM65" s="234"/>
      <c r="BN65" s="235" t="str">
        <f>IF(Cadastros!G62="","",Cadastros!G62)</f>
        <v>27 - Filtro De Água SAP Completo</v>
      </c>
    </row>
    <row r="66" spans="1:66" s="3" customFormat="1" x14ac:dyDescent="0.3">
      <c r="A66" s="15" t="str">
        <f t="shared" si="0"/>
        <v/>
      </c>
      <c r="B66" s="25"/>
      <c r="C66" s="26"/>
      <c r="D66" s="279"/>
      <c r="E66" s="27"/>
      <c r="F66" s="28"/>
      <c r="G66" s="27"/>
      <c r="H66" s="28"/>
      <c r="I66" s="28"/>
      <c r="J66" s="255" t="str">
        <f>IF(H66="","",(_xlfn.XLOOKUP(H66,Cadastros!$D$6:$D$90,Cadastros!$E$6:$E$90))*(1-_xlfn.XLOOKUP(_xlfn.XLOOKUP($F66,Clientes!$B$4:$B$39,Clientes!$C$4:$C$39),Cadastros!$L$6:$L$12,Cadastros!$N$6:$N$12)))</f>
        <v/>
      </c>
      <c r="K66" s="168" t="str">
        <f t="shared" si="1"/>
        <v/>
      </c>
      <c r="L66" s="168" t="str">
        <f>IFERROR(K66/_xlfn.XLOOKUP(_xlfn.XLOOKUP($F66,Clientes!$B$4:$B$39,Clientes!$C$4:$C$39),Cadastros!$L$6:$L$12,Cadastros!$M$6:$M$12)," ")</f>
        <v xml:space="preserve"> </v>
      </c>
      <c r="M66" s="28"/>
      <c r="N66" s="28"/>
      <c r="O66" s="255" t="str">
        <f>IF(M66="","",(_xlfn.XLOOKUP(M66,Cadastros!$D$6:$D$90,Cadastros!$E$6:$E$90))*(1-_xlfn.XLOOKUP(_xlfn.XLOOKUP($F66,Clientes!$B$4:$B$39,Clientes!$C$4:$C$39),Cadastros!$L$6:$L$12,Cadastros!$N$6:$N$12)))</f>
        <v/>
      </c>
      <c r="P66" s="168" t="str">
        <f t="shared" si="2"/>
        <v/>
      </c>
      <c r="Q66" s="168" t="str">
        <f>IFERROR(P66/_xlfn.XLOOKUP(_xlfn.XLOOKUP($F66,Clientes!$B$4:$B$39,Clientes!$C$4:$C$39),Cadastros!$L$6:$L$12,Cadastros!$M$6:$M$12)," ")</f>
        <v xml:space="preserve"> </v>
      </c>
      <c r="R66" s="28"/>
      <c r="S66" s="28"/>
      <c r="T66" s="255" t="str">
        <f>IF(R66="","",(_xlfn.XLOOKUP(R66,Cadastros!$D$6:$D$90,Cadastros!$E$6:$E$90))*(1-_xlfn.XLOOKUP(_xlfn.XLOOKUP($F66,Clientes!$B$4:$B$39,Clientes!$C$4:$C$39),Cadastros!$L$6:$L$12,Cadastros!$N$6:$N$12)))</f>
        <v/>
      </c>
      <c r="U66" s="168" t="str">
        <f t="shared" si="3"/>
        <v/>
      </c>
      <c r="V66" s="168" t="str">
        <f>IFERROR(U66/_xlfn.XLOOKUP(_xlfn.XLOOKUP($F66,Clientes!$B$4:$B$39,Clientes!$C$4:$C$39),Cadastros!$L$6:$L$12,Cadastros!$M$6:$M$12)," ")</f>
        <v xml:space="preserve"> </v>
      </c>
      <c r="W66" s="28"/>
      <c r="X66" s="28"/>
      <c r="Y66" s="255" t="str">
        <f>IF(W66="","",(_xlfn.XLOOKUP(W66,Cadastros!$D$6:$D$90,Cadastros!$E$6:$E$90))*(1-_xlfn.XLOOKUP(_xlfn.XLOOKUP($F66,Clientes!$B$4:$B$39,Clientes!$C$4:$C$39),Cadastros!$L$6:$L$12,Cadastros!$N$6:$N$12)))</f>
        <v/>
      </c>
      <c r="Z66" s="168" t="str">
        <f t="shared" si="4"/>
        <v/>
      </c>
      <c r="AA66" s="168" t="str">
        <f>IFERROR(Z66/_xlfn.XLOOKUP(_xlfn.XLOOKUP($F66,Clientes!$B$4:$B$39,Clientes!$C$4:$C$39),Cadastros!$L$6:$L$12,Cadastros!$M$6:$M$12)," ")</f>
        <v xml:space="preserve"> </v>
      </c>
      <c r="AB66" s="28"/>
      <c r="AC66" s="28"/>
      <c r="AD66" s="20" t="str">
        <f>IF(AB66="","",IF($F66="Bernardino Furlan",_xlfn.XLOOKUP(AB66,Cadastros!$G$6:$G$90,Cadastros!$H$6:$H$90)*(1-0.18),IF($F66="Mauro José Salanti",_xlfn.XLOOKUP(AB66,Cadastros!$G$6:$G$90,Cadastros!$H$6:$H$90)*(1-0.18),_xlfn.XLOOKUP(AB66,Cadastros!$G$6:$G$90,Cadastros!$H$6:$H$90))))</f>
        <v/>
      </c>
      <c r="AE66" s="168" t="str">
        <f t="shared" si="5"/>
        <v/>
      </c>
      <c r="AF66" s="168" t="str">
        <f t="shared" si="6"/>
        <v/>
      </c>
      <c r="AG66" s="28"/>
      <c r="AH66" s="28"/>
      <c r="AI66" s="20" t="str">
        <f>IF(AG66="","",IF($F66="Bernardino Furlan",_xlfn.XLOOKUP(AG66,Cadastros!$G$6:$G$90,Cadastros!$H$6:$H$90)*(1-0.18),IF($F66="Mauro José Salanti",_xlfn.XLOOKUP(AG66,Cadastros!$G$6:$G$90,Cadastros!$H$6:$H$90)*(1-0.18),_xlfn.XLOOKUP(AG66,Cadastros!$G$6:$G$90,Cadastros!$H$6:$H$90))))</f>
        <v/>
      </c>
      <c r="AJ66" s="168" t="str">
        <f t="shared" si="7"/>
        <v/>
      </c>
      <c r="AK66" s="168" t="str">
        <f t="shared" si="8"/>
        <v/>
      </c>
      <c r="AL66" s="28"/>
      <c r="AM66" s="28"/>
      <c r="AN66" s="20" t="str">
        <f>IF(AL66="","",IF($F66="Bernardino Furlan",_xlfn.XLOOKUP(AL66,Cadastros!$G$6:$G$90,Cadastros!$H$6:$H$90)*(1-0.18),IF($F66="Mauro José Salanti",_xlfn.XLOOKUP(AL66,Cadastros!$G$6:$G$90,Cadastros!$H$6:$H$90)*(1-0.18),_xlfn.XLOOKUP(AL66,Cadastros!$G$6:$G$90,Cadastros!$H$6:$H$90))))</f>
        <v/>
      </c>
      <c r="AO66" s="168" t="str">
        <f t="shared" si="9"/>
        <v/>
      </c>
      <c r="AP66" s="168" t="str">
        <f t="shared" si="10"/>
        <v/>
      </c>
      <c r="AQ66" s="28"/>
      <c r="AR66" s="28"/>
      <c r="AS66" s="20" t="str">
        <f>IF(AQ66="","",IF($F66="Bernardino Furlan",_xlfn.XLOOKUP(AQ66,Cadastros!$G$6:$G$90,Cadastros!$H$6:$H$90)*(1-0.18),IF($F66="Mauro José Salanti",_xlfn.XLOOKUP(AQ66,Cadastros!$G$6:$G$90,Cadastros!$H$6:$H$90)*(1-0.18),_xlfn.XLOOKUP(AQ66,Cadastros!$G$6:$G$90,Cadastros!$H$6:$H$90))))</f>
        <v/>
      </c>
      <c r="AT66" s="168" t="str">
        <f t="shared" si="11"/>
        <v/>
      </c>
      <c r="AU66" s="168" t="str">
        <f t="shared" si="12"/>
        <v/>
      </c>
      <c r="AV66" s="227"/>
      <c r="AW66" s="30"/>
      <c r="AX66" s="267"/>
      <c r="AY66" s="267"/>
      <c r="AZ66" s="29"/>
      <c r="BA66" s="30"/>
      <c r="BB66" s="23" t="str" cm="1">
        <f t="array" ref="BB66">_xlfn.IFS(AW66="SIM",SUM(K66,P66,U66,Z66,AE66,AJ66,AO66,AT66,AX66,AY66),F66&lt;&gt;"",SUM(K66,P66,U66,Z66,AE66,AJ66,,AO66,AT66),F66="","")</f>
        <v/>
      </c>
      <c r="BC66" s="211" t="str" cm="1">
        <f t="array" ref="BC66">_xlfn.IFS(E66="","",G66&lt;=E66,BB66*(1-0.03),G66&lt;(E66+8),BB66,AZ66="Boleto",BB66*(1+0.001)^DATEDIF(E66,G66,"D"),AZ66="Cheque",BB66,AZ66="Dinheiro","Alterar forma pgto")</f>
        <v/>
      </c>
      <c r="BD66" s="276" t="str" cm="1">
        <f t="array" ref="BD66">IF(F66=0," ",IF(BC66&lt;BB66,(_xlfn.IFS(AW66="SIM",SUM(L66,Q66,V66,AA66,AF66,AK66,AP66,AU66)+AX66/_xlfn.XLOOKUP(_xlfn.XLOOKUP($F66,Clientes!$B$4:$B$39,Clientes!$C$4:$C$39),Cadastros!$L$6:$L$12,Cadastros!$M$6:$M$12)+IF($F66="Bernardino Furlan",AY66/2751.92,IF($F66="Mauro José Salanti",AY66/2751.92,AY66/3356)),F66&lt;&gt;0,SUM(L66,Q66,V66,AA66,AF66,AK66,AP66,AU66)))*(1-0.03),_xlfn.IFS(AW66="SIM",SUM(L66,Q66,V66,AA66,AF66,AK66,AP66,AU66)+AX66/_xlfn.XLOOKUP(_xlfn.XLOOKUP($F66,Clientes!$B$4:$B$39,Clientes!$C$4:$C$39),Cadastros!$L$6:$L$12,Cadastros!$M$6:$M$12)+IF($F66="Bernardino Furlan",AY66/2751.92,IF($F66="Mauro José Salanti",AY66/2751.92,AY66/3356)),F66&lt;&gt;0,SUM(L66,Q66,V66,AA66,AF66,AK66,AP66,AU66))))</f>
        <v xml:space="preserve"> </v>
      </c>
      <c r="BE66" s="120"/>
      <c r="BF66" s="120"/>
      <c r="BG66" s="120"/>
      <c r="BL66" s="235" t="str">
        <f>IF(Cadastros!D63="","",Cadastros!D63)</f>
        <v xml:space="preserve">40116 - Colchonete Plenosono 138 X 188 X 009 cm S/VQ </v>
      </c>
      <c r="BM66" s="234"/>
      <c r="BN66" s="235" t="str">
        <f>IF(Cadastros!G63="","",Cadastros!G63)</f>
        <v>25 - Garrafão 10 L</v>
      </c>
    </row>
    <row r="67" spans="1:66" s="3" customFormat="1" x14ac:dyDescent="0.3">
      <c r="A67" s="15" t="str">
        <f t="shared" si="0"/>
        <v/>
      </c>
      <c r="B67" s="25"/>
      <c r="C67" s="26"/>
      <c r="D67" s="279"/>
      <c r="E67" s="27"/>
      <c r="F67" s="28"/>
      <c r="G67" s="27"/>
      <c r="H67" s="28"/>
      <c r="I67" s="28"/>
      <c r="J67" s="255" t="str">
        <f>IF(H67="","",(_xlfn.XLOOKUP(H67,Cadastros!$D$6:$D$90,Cadastros!$E$6:$E$90))*(1-_xlfn.XLOOKUP(_xlfn.XLOOKUP($F67,Clientes!$B$4:$B$39,Clientes!$C$4:$C$39),Cadastros!$L$6:$L$12,Cadastros!$N$6:$N$12)))</f>
        <v/>
      </c>
      <c r="K67" s="168" t="str">
        <f t="shared" si="1"/>
        <v/>
      </c>
      <c r="L67" s="168" t="str">
        <f>IFERROR(K67/_xlfn.XLOOKUP(_xlfn.XLOOKUP($F67,Clientes!$B$4:$B$39,Clientes!$C$4:$C$39),Cadastros!$L$6:$L$12,Cadastros!$M$6:$M$12)," ")</f>
        <v xml:space="preserve"> </v>
      </c>
      <c r="M67" s="28"/>
      <c r="N67" s="28"/>
      <c r="O67" s="255" t="str">
        <f>IF(M67="","",(_xlfn.XLOOKUP(M67,Cadastros!$D$6:$D$90,Cadastros!$E$6:$E$90))*(1-_xlfn.XLOOKUP(_xlfn.XLOOKUP($F67,Clientes!$B$4:$B$39,Clientes!$C$4:$C$39),Cadastros!$L$6:$L$12,Cadastros!$N$6:$N$12)))</f>
        <v/>
      </c>
      <c r="P67" s="168" t="str">
        <f t="shared" si="2"/>
        <v/>
      </c>
      <c r="Q67" s="168" t="str">
        <f>IFERROR(P67/_xlfn.XLOOKUP(_xlfn.XLOOKUP($F67,Clientes!$B$4:$B$39,Clientes!$C$4:$C$39),Cadastros!$L$6:$L$12,Cadastros!$M$6:$M$12)," ")</f>
        <v xml:space="preserve"> </v>
      </c>
      <c r="R67" s="28"/>
      <c r="S67" s="28"/>
      <c r="T67" s="255" t="str">
        <f>IF(R67="","",(_xlfn.XLOOKUP(R67,Cadastros!$D$6:$D$90,Cadastros!$E$6:$E$90))*(1-_xlfn.XLOOKUP(_xlfn.XLOOKUP($F67,Clientes!$B$4:$B$39,Clientes!$C$4:$C$39),Cadastros!$L$6:$L$12,Cadastros!$N$6:$N$12)))</f>
        <v/>
      </c>
      <c r="U67" s="168" t="str">
        <f t="shared" si="3"/>
        <v/>
      </c>
      <c r="V67" s="168" t="str">
        <f>IFERROR(U67/_xlfn.XLOOKUP(_xlfn.XLOOKUP($F67,Clientes!$B$4:$B$39,Clientes!$C$4:$C$39),Cadastros!$L$6:$L$12,Cadastros!$M$6:$M$12)," ")</f>
        <v xml:space="preserve"> </v>
      </c>
      <c r="W67" s="28"/>
      <c r="X67" s="28"/>
      <c r="Y67" s="255" t="str">
        <f>IF(W67="","",(_xlfn.XLOOKUP(W67,Cadastros!$D$6:$D$90,Cadastros!$E$6:$E$90))*(1-_xlfn.XLOOKUP(_xlfn.XLOOKUP($F67,Clientes!$B$4:$B$39,Clientes!$C$4:$C$39),Cadastros!$L$6:$L$12,Cadastros!$N$6:$N$12)))</f>
        <v/>
      </c>
      <c r="Z67" s="168" t="str">
        <f t="shared" si="4"/>
        <v/>
      </c>
      <c r="AA67" s="168" t="str">
        <f>IFERROR(Z67/_xlfn.XLOOKUP(_xlfn.XLOOKUP($F67,Clientes!$B$4:$B$39,Clientes!$C$4:$C$39),Cadastros!$L$6:$L$12,Cadastros!$M$6:$M$12)," ")</f>
        <v xml:space="preserve"> </v>
      </c>
      <c r="AB67" s="28"/>
      <c r="AC67" s="28"/>
      <c r="AD67" s="20" t="str">
        <f>IF(AB67="","",IF($F67="Bernardino Furlan",_xlfn.XLOOKUP(AB67,Cadastros!$G$6:$G$90,Cadastros!$H$6:$H$90)*(1-0.18),IF($F67="Mauro José Salanti",_xlfn.XLOOKUP(AB67,Cadastros!$G$6:$G$90,Cadastros!$H$6:$H$90)*(1-0.18),_xlfn.XLOOKUP(AB67,Cadastros!$G$6:$G$90,Cadastros!$H$6:$H$90))))</f>
        <v/>
      </c>
      <c r="AE67" s="168" t="str">
        <f t="shared" si="5"/>
        <v/>
      </c>
      <c r="AF67" s="168" t="str">
        <f t="shared" si="6"/>
        <v/>
      </c>
      <c r="AG67" s="28"/>
      <c r="AH67" s="28"/>
      <c r="AI67" s="20" t="str">
        <f>IF(AG67="","",IF($F67="Bernardino Furlan",_xlfn.XLOOKUP(AG67,Cadastros!$G$6:$G$90,Cadastros!$H$6:$H$90)*(1-0.18),IF($F67="Mauro José Salanti",_xlfn.XLOOKUP(AG67,Cadastros!$G$6:$G$90,Cadastros!$H$6:$H$90)*(1-0.18),_xlfn.XLOOKUP(AG67,Cadastros!$G$6:$G$90,Cadastros!$H$6:$H$90))))</f>
        <v/>
      </c>
      <c r="AJ67" s="168" t="str">
        <f t="shared" si="7"/>
        <v/>
      </c>
      <c r="AK67" s="168" t="str">
        <f t="shared" si="8"/>
        <v/>
      </c>
      <c r="AL67" s="28"/>
      <c r="AM67" s="28"/>
      <c r="AN67" s="20" t="str">
        <f>IF(AL67="","",IF($F67="Bernardino Furlan",_xlfn.XLOOKUP(AL67,Cadastros!$G$6:$G$90,Cadastros!$H$6:$H$90)*(1-0.18),IF($F67="Mauro José Salanti",_xlfn.XLOOKUP(AL67,Cadastros!$G$6:$G$90,Cadastros!$H$6:$H$90)*(1-0.18),_xlfn.XLOOKUP(AL67,Cadastros!$G$6:$G$90,Cadastros!$H$6:$H$90))))</f>
        <v/>
      </c>
      <c r="AO67" s="168" t="str">
        <f t="shared" si="9"/>
        <v/>
      </c>
      <c r="AP67" s="168" t="str">
        <f t="shared" si="10"/>
        <v/>
      </c>
      <c r="AQ67" s="28"/>
      <c r="AR67" s="28"/>
      <c r="AS67" s="20" t="str">
        <f>IF(AQ67="","",IF($F67="Bernardino Furlan",_xlfn.XLOOKUP(AQ67,Cadastros!$G$6:$G$90,Cadastros!$H$6:$H$90)*(1-0.18),IF($F67="Mauro José Salanti",_xlfn.XLOOKUP(AQ67,Cadastros!$G$6:$G$90,Cadastros!$H$6:$H$90)*(1-0.18),_xlfn.XLOOKUP(AQ67,Cadastros!$G$6:$G$90,Cadastros!$H$6:$H$90))))</f>
        <v/>
      </c>
      <c r="AT67" s="168" t="str">
        <f t="shared" si="11"/>
        <v/>
      </c>
      <c r="AU67" s="168" t="str">
        <f t="shared" si="12"/>
        <v/>
      </c>
      <c r="AV67" s="227"/>
      <c r="AW67" s="30"/>
      <c r="AX67" s="267"/>
      <c r="AY67" s="267"/>
      <c r="AZ67" s="29"/>
      <c r="BA67" s="30"/>
      <c r="BB67" s="23" t="str" cm="1">
        <f t="array" ref="BB67">_xlfn.IFS(AW67="SIM",SUM(K67,P67,U67,Z67,AE67,AJ67,AO67,AT67,AX67,AY67),F67&lt;&gt;"",SUM(K67,P67,U67,Z67,AE67,AJ67,,AO67,AT67),F67="","")</f>
        <v/>
      </c>
      <c r="BC67" s="211" t="str" cm="1">
        <f t="array" ref="BC67">_xlfn.IFS(E67="","",G67&lt;=E67,BB67*(1-0.03),G67&lt;(E67+8),BB67,AZ67="Boleto",BB67*(1+0.001)^DATEDIF(E67,G67,"D"),AZ67="Cheque",BB67,AZ67="Dinheiro","Alterar forma pgto")</f>
        <v/>
      </c>
      <c r="BD67" s="276" t="str" cm="1">
        <f t="array" ref="BD67">IF(F67=0," ",IF(BC67&lt;BB67,(_xlfn.IFS(AW67="SIM",SUM(L67,Q67,V67,AA67,AF67,AK67,AP67,AU67)+AX67/_xlfn.XLOOKUP(_xlfn.XLOOKUP($F67,Clientes!$B$4:$B$39,Clientes!$C$4:$C$39),Cadastros!$L$6:$L$12,Cadastros!$M$6:$M$12)+IF($F67="Bernardino Furlan",AY67/2751.92,IF($F67="Mauro José Salanti",AY67/2751.92,AY67/3356)),F67&lt;&gt;0,SUM(L67,Q67,V67,AA67,AF67,AK67,AP67,AU67)))*(1-0.03),_xlfn.IFS(AW67="SIM",SUM(L67,Q67,V67,AA67,AF67,AK67,AP67,AU67)+AX67/_xlfn.XLOOKUP(_xlfn.XLOOKUP($F67,Clientes!$B$4:$B$39,Clientes!$C$4:$C$39),Cadastros!$L$6:$L$12,Cadastros!$M$6:$M$12)+IF($F67="Bernardino Furlan",AY67/2751.92,IF($F67="Mauro José Salanti",AY67/2751.92,AY67/3356)),F67&lt;&gt;0,SUM(L67,Q67,V67,AA67,AF67,AK67,AP67,AU67))))</f>
        <v xml:space="preserve"> </v>
      </c>
      <c r="BE67" s="120"/>
      <c r="BF67" s="120"/>
      <c r="BG67" s="120"/>
      <c r="BL67" s="235" t="str">
        <f>IF(Cadastros!D64="","",Cadastros!D64)</f>
        <v>40117 - Colchonete Plenosono 158 X 198 X 009 cm S/VQ</v>
      </c>
      <c r="BM67" s="234"/>
      <c r="BN67" s="235" t="str">
        <f>IF(Cadastros!G64="","",Cadastros!G64)</f>
        <v xml:space="preserve">24 - Refil Sap Control </v>
      </c>
    </row>
    <row r="68" spans="1:66" s="3" customFormat="1" x14ac:dyDescent="0.3">
      <c r="A68" s="15" t="str">
        <f t="shared" si="0"/>
        <v/>
      </c>
      <c r="B68" s="25"/>
      <c r="C68" s="26"/>
      <c r="D68" s="279"/>
      <c r="E68" s="27"/>
      <c r="F68" s="28"/>
      <c r="G68" s="27"/>
      <c r="H68" s="28"/>
      <c r="I68" s="28"/>
      <c r="J68" s="255" t="str">
        <f>IF(H68="","",(_xlfn.XLOOKUP(H68,Cadastros!$D$6:$D$90,Cadastros!$E$6:$E$90))*(1-_xlfn.XLOOKUP(_xlfn.XLOOKUP($F68,Clientes!$B$4:$B$39,Clientes!$C$4:$C$39),Cadastros!$L$6:$L$12,Cadastros!$N$6:$N$12)))</f>
        <v/>
      </c>
      <c r="K68" s="168" t="str">
        <f t="shared" si="1"/>
        <v/>
      </c>
      <c r="L68" s="168" t="str">
        <f>IFERROR(K68/_xlfn.XLOOKUP(_xlfn.XLOOKUP($F68,Clientes!$B$4:$B$39,Clientes!$C$4:$C$39),Cadastros!$L$6:$L$12,Cadastros!$M$6:$M$12)," ")</f>
        <v xml:space="preserve"> </v>
      </c>
      <c r="M68" s="28"/>
      <c r="N68" s="28"/>
      <c r="O68" s="255" t="str">
        <f>IF(M68="","",(_xlfn.XLOOKUP(M68,Cadastros!$D$6:$D$90,Cadastros!$E$6:$E$90))*(1-_xlfn.XLOOKUP(_xlfn.XLOOKUP($F68,Clientes!$B$4:$B$39,Clientes!$C$4:$C$39),Cadastros!$L$6:$L$12,Cadastros!$N$6:$N$12)))</f>
        <v/>
      </c>
      <c r="P68" s="168" t="str">
        <f t="shared" si="2"/>
        <v/>
      </c>
      <c r="Q68" s="168" t="str">
        <f>IFERROR(P68/_xlfn.XLOOKUP(_xlfn.XLOOKUP($F68,Clientes!$B$4:$B$39,Clientes!$C$4:$C$39),Cadastros!$L$6:$L$12,Cadastros!$M$6:$M$12)," ")</f>
        <v xml:space="preserve"> </v>
      </c>
      <c r="R68" s="28"/>
      <c r="S68" s="28"/>
      <c r="T68" s="255" t="str">
        <f>IF(R68="","",(_xlfn.XLOOKUP(R68,Cadastros!$D$6:$D$90,Cadastros!$E$6:$E$90))*(1-_xlfn.XLOOKUP(_xlfn.XLOOKUP($F68,Clientes!$B$4:$B$39,Clientes!$C$4:$C$39),Cadastros!$L$6:$L$12,Cadastros!$N$6:$N$12)))</f>
        <v/>
      </c>
      <c r="U68" s="168" t="str">
        <f t="shared" si="3"/>
        <v/>
      </c>
      <c r="V68" s="168" t="str">
        <f>IFERROR(U68/_xlfn.XLOOKUP(_xlfn.XLOOKUP($F68,Clientes!$B$4:$B$39,Clientes!$C$4:$C$39),Cadastros!$L$6:$L$12,Cadastros!$M$6:$M$12)," ")</f>
        <v xml:space="preserve"> </v>
      </c>
      <c r="W68" s="28"/>
      <c r="X68" s="28"/>
      <c r="Y68" s="255" t="str">
        <f>IF(W68="","",(_xlfn.XLOOKUP(W68,Cadastros!$D$6:$D$90,Cadastros!$E$6:$E$90))*(1-_xlfn.XLOOKUP(_xlfn.XLOOKUP($F68,Clientes!$B$4:$B$39,Clientes!$C$4:$C$39),Cadastros!$L$6:$L$12,Cadastros!$N$6:$N$12)))</f>
        <v/>
      </c>
      <c r="Z68" s="168" t="str">
        <f t="shared" si="4"/>
        <v/>
      </c>
      <c r="AA68" s="168" t="str">
        <f>IFERROR(Z68/_xlfn.XLOOKUP(_xlfn.XLOOKUP($F68,Clientes!$B$4:$B$39,Clientes!$C$4:$C$39),Cadastros!$L$6:$L$12,Cadastros!$M$6:$M$12)," ")</f>
        <v xml:space="preserve"> </v>
      </c>
      <c r="AB68" s="28"/>
      <c r="AC68" s="28"/>
      <c r="AD68" s="20" t="str">
        <f>IF(AB68="","",IF($F68="Bernardino Furlan",_xlfn.XLOOKUP(AB68,Cadastros!$G$6:$G$90,Cadastros!$H$6:$H$90)*(1-0.18),IF($F68="Mauro José Salanti",_xlfn.XLOOKUP(AB68,Cadastros!$G$6:$G$90,Cadastros!$H$6:$H$90)*(1-0.18),_xlfn.XLOOKUP(AB68,Cadastros!$G$6:$G$90,Cadastros!$H$6:$H$90))))</f>
        <v/>
      </c>
      <c r="AE68" s="168" t="str">
        <f t="shared" si="5"/>
        <v/>
      </c>
      <c r="AF68" s="168" t="str">
        <f t="shared" si="6"/>
        <v/>
      </c>
      <c r="AG68" s="28"/>
      <c r="AH68" s="28"/>
      <c r="AI68" s="20" t="str">
        <f>IF(AG68="","",IF($F68="Bernardino Furlan",_xlfn.XLOOKUP(AG68,Cadastros!$G$6:$G$90,Cadastros!$H$6:$H$90)*(1-0.18),IF($F68="Mauro José Salanti",_xlfn.XLOOKUP(AG68,Cadastros!$G$6:$G$90,Cadastros!$H$6:$H$90)*(1-0.18),_xlfn.XLOOKUP(AG68,Cadastros!$G$6:$G$90,Cadastros!$H$6:$H$90))))</f>
        <v/>
      </c>
      <c r="AJ68" s="168" t="str">
        <f t="shared" si="7"/>
        <v/>
      </c>
      <c r="AK68" s="168" t="str">
        <f t="shared" si="8"/>
        <v/>
      </c>
      <c r="AL68" s="28"/>
      <c r="AM68" s="28"/>
      <c r="AN68" s="20" t="str">
        <f>IF(AL68="","",IF($F68="Bernardino Furlan",_xlfn.XLOOKUP(AL68,Cadastros!$G$6:$G$90,Cadastros!$H$6:$H$90)*(1-0.18),IF($F68="Mauro José Salanti",_xlfn.XLOOKUP(AL68,Cadastros!$G$6:$G$90,Cadastros!$H$6:$H$90)*(1-0.18),_xlfn.XLOOKUP(AL68,Cadastros!$G$6:$G$90,Cadastros!$H$6:$H$90))))</f>
        <v/>
      </c>
      <c r="AO68" s="168" t="str">
        <f t="shared" si="9"/>
        <v/>
      </c>
      <c r="AP68" s="168" t="str">
        <f t="shared" si="10"/>
        <v/>
      </c>
      <c r="AQ68" s="28"/>
      <c r="AR68" s="28"/>
      <c r="AS68" s="20" t="str">
        <f>IF(AQ68="","",IF($F68="Bernardino Furlan",_xlfn.XLOOKUP(AQ68,Cadastros!$G$6:$G$90,Cadastros!$H$6:$H$90)*(1-0.18),IF($F68="Mauro José Salanti",_xlfn.XLOOKUP(AQ68,Cadastros!$G$6:$G$90,Cadastros!$H$6:$H$90)*(1-0.18),_xlfn.XLOOKUP(AQ68,Cadastros!$G$6:$G$90,Cadastros!$H$6:$H$90))))</f>
        <v/>
      </c>
      <c r="AT68" s="168" t="str">
        <f t="shared" si="11"/>
        <v/>
      </c>
      <c r="AU68" s="168" t="str">
        <f t="shared" si="12"/>
        <v/>
      </c>
      <c r="AV68" s="227"/>
      <c r="AW68" s="30"/>
      <c r="AX68" s="267"/>
      <c r="AY68" s="267"/>
      <c r="AZ68" s="29"/>
      <c r="BA68" s="30"/>
      <c r="BB68" s="23" t="str" cm="1">
        <f t="array" ref="BB68">_xlfn.IFS(AW68="SIM",SUM(K68,P68,U68,Z68,AE68,AJ68,AO68,AT68,AX68,AY68),F68&lt;&gt;"",SUM(K68,P68,U68,Z68,AE68,AJ68,,AO68,AT68),F68="","")</f>
        <v/>
      </c>
      <c r="BC68" s="211" t="str" cm="1">
        <f t="array" ref="BC68">_xlfn.IFS(E68="","",G68&lt;=E68,BB68*(1-0.03),G68&lt;(E68+8),BB68,AZ68="Boleto",BB68*(1+0.001)^DATEDIF(E68,G68,"D"),AZ68="Cheque",BB68,AZ68="Dinheiro","Alterar forma pgto")</f>
        <v/>
      </c>
      <c r="BD68" s="276" t="str" cm="1">
        <f t="array" ref="BD68">IF(F68=0," ",IF(BC68&lt;BB68,(_xlfn.IFS(AW68="SIM",SUM(L68,Q68,V68,AA68,AF68,AK68,AP68,AU68)+AX68/_xlfn.XLOOKUP(_xlfn.XLOOKUP($F68,Clientes!$B$4:$B$39,Clientes!$C$4:$C$39),Cadastros!$L$6:$L$12,Cadastros!$M$6:$M$12)+IF($F68="Bernardino Furlan",AY68/2751.92,IF($F68="Mauro José Salanti",AY68/2751.92,AY68/3356)),F68&lt;&gt;0,SUM(L68,Q68,V68,AA68,AF68,AK68,AP68,AU68)))*(1-0.03),_xlfn.IFS(AW68="SIM",SUM(L68,Q68,V68,AA68,AF68,AK68,AP68,AU68)+AX68/_xlfn.XLOOKUP(_xlfn.XLOOKUP($F68,Clientes!$B$4:$B$39,Clientes!$C$4:$C$39),Cadastros!$L$6:$L$12,Cadastros!$M$6:$M$12)+IF($F68="Bernardino Furlan",AY68/2751.92,IF($F68="Mauro José Salanti",AY68/2751.92,AY68/3356)),F68&lt;&gt;0,SUM(L68,Q68,V68,AA68,AF68,AK68,AP68,AU68))))</f>
        <v xml:space="preserve"> </v>
      </c>
      <c r="BE68" s="120"/>
      <c r="BF68" s="120"/>
      <c r="BG68" s="120"/>
      <c r="BL68" s="235" t="str">
        <f>IF(Cadastros!D65="","",Cadastros!D65)</f>
        <v>40118 - Colchonete Plenosono 193 X 203 X 009 cm S/VQ</v>
      </c>
      <c r="BM68" s="234"/>
      <c r="BN68" s="235" t="str">
        <f>IF(Cadastros!G65="","",Cadastros!G65)</f>
        <v>26 - Torneira Plástica MCM</v>
      </c>
    </row>
    <row r="69" spans="1:66" s="3" customFormat="1" x14ac:dyDescent="0.3">
      <c r="A69" s="15" t="str">
        <f t="shared" si="0"/>
        <v/>
      </c>
      <c r="B69" s="25"/>
      <c r="C69" s="26"/>
      <c r="D69" s="279"/>
      <c r="E69" s="27"/>
      <c r="F69" s="28"/>
      <c r="G69" s="27"/>
      <c r="H69" s="28"/>
      <c r="I69" s="28"/>
      <c r="J69" s="255" t="str">
        <f>IF(H69="","",(_xlfn.XLOOKUP(H69,Cadastros!$D$6:$D$90,Cadastros!$E$6:$E$90))*(1-_xlfn.XLOOKUP(_xlfn.XLOOKUP($F69,Clientes!$B$4:$B$39,Clientes!$C$4:$C$39),Cadastros!$L$6:$L$12,Cadastros!$N$6:$N$12)))</f>
        <v/>
      </c>
      <c r="K69" s="168" t="str">
        <f t="shared" si="1"/>
        <v/>
      </c>
      <c r="L69" s="168" t="str">
        <f>IFERROR(K69/_xlfn.XLOOKUP(_xlfn.XLOOKUP($F69,Clientes!$B$4:$B$39,Clientes!$C$4:$C$39),Cadastros!$L$6:$L$12,Cadastros!$M$6:$M$12)," ")</f>
        <v xml:space="preserve"> </v>
      </c>
      <c r="M69" s="28"/>
      <c r="N69" s="28"/>
      <c r="O69" s="255" t="str">
        <f>IF(M69="","",(_xlfn.XLOOKUP(M69,Cadastros!$D$6:$D$90,Cadastros!$E$6:$E$90))*(1-_xlfn.XLOOKUP(_xlfn.XLOOKUP($F69,Clientes!$B$4:$B$39,Clientes!$C$4:$C$39),Cadastros!$L$6:$L$12,Cadastros!$N$6:$N$12)))</f>
        <v/>
      </c>
      <c r="P69" s="168" t="str">
        <f t="shared" si="2"/>
        <v/>
      </c>
      <c r="Q69" s="168" t="str">
        <f>IFERROR(P69/_xlfn.XLOOKUP(_xlfn.XLOOKUP($F69,Clientes!$B$4:$B$39,Clientes!$C$4:$C$39),Cadastros!$L$6:$L$12,Cadastros!$M$6:$M$12)," ")</f>
        <v xml:space="preserve"> </v>
      </c>
      <c r="R69" s="28"/>
      <c r="S69" s="28"/>
      <c r="T69" s="255" t="str">
        <f>IF(R69="","",(_xlfn.XLOOKUP(R69,Cadastros!$D$6:$D$90,Cadastros!$E$6:$E$90))*(1-_xlfn.XLOOKUP(_xlfn.XLOOKUP($F69,Clientes!$B$4:$B$39,Clientes!$C$4:$C$39),Cadastros!$L$6:$L$12,Cadastros!$N$6:$N$12)))</f>
        <v/>
      </c>
      <c r="U69" s="168" t="str">
        <f t="shared" si="3"/>
        <v/>
      </c>
      <c r="V69" s="168" t="str">
        <f>IFERROR(U69/_xlfn.XLOOKUP(_xlfn.XLOOKUP($F69,Clientes!$B$4:$B$39,Clientes!$C$4:$C$39),Cadastros!$L$6:$L$12,Cadastros!$M$6:$M$12)," ")</f>
        <v xml:space="preserve"> </v>
      </c>
      <c r="W69" s="28"/>
      <c r="X69" s="28"/>
      <c r="Y69" s="255" t="str">
        <f>IF(W69="","",(_xlfn.XLOOKUP(W69,Cadastros!$D$6:$D$90,Cadastros!$E$6:$E$90))*(1-_xlfn.XLOOKUP(_xlfn.XLOOKUP($F69,Clientes!$B$4:$B$39,Clientes!$C$4:$C$39),Cadastros!$L$6:$L$12,Cadastros!$N$6:$N$12)))</f>
        <v/>
      </c>
      <c r="Z69" s="168" t="str">
        <f t="shared" si="4"/>
        <v/>
      </c>
      <c r="AA69" s="168" t="str">
        <f>IFERROR(Z69/_xlfn.XLOOKUP(_xlfn.XLOOKUP($F69,Clientes!$B$4:$B$39,Clientes!$C$4:$C$39),Cadastros!$L$6:$L$12,Cadastros!$M$6:$M$12)," ")</f>
        <v xml:space="preserve"> </v>
      </c>
      <c r="AB69" s="28"/>
      <c r="AC69" s="28"/>
      <c r="AD69" s="20" t="str">
        <f>IF(AB69="","",IF($F69="Bernardino Furlan",_xlfn.XLOOKUP(AB69,Cadastros!$G$6:$G$90,Cadastros!$H$6:$H$90)*(1-0.18),IF($F69="Mauro José Salanti",_xlfn.XLOOKUP(AB69,Cadastros!$G$6:$G$90,Cadastros!$H$6:$H$90)*(1-0.18),_xlfn.XLOOKUP(AB69,Cadastros!$G$6:$G$90,Cadastros!$H$6:$H$90))))</f>
        <v/>
      </c>
      <c r="AE69" s="168" t="str">
        <f t="shared" si="5"/>
        <v/>
      </c>
      <c r="AF69" s="168" t="str">
        <f t="shared" si="6"/>
        <v/>
      </c>
      <c r="AG69" s="28"/>
      <c r="AH69" s="28"/>
      <c r="AI69" s="20" t="str">
        <f>IF(AG69="","",IF($F69="Bernardino Furlan",_xlfn.XLOOKUP(AG69,Cadastros!$G$6:$G$90,Cadastros!$H$6:$H$90)*(1-0.18),IF($F69="Mauro José Salanti",_xlfn.XLOOKUP(AG69,Cadastros!$G$6:$G$90,Cadastros!$H$6:$H$90)*(1-0.18),_xlfn.XLOOKUP(AG69,Cadastros!$G$6:$G$90,Cadastros!$H$6:$H$90))))</f>
        <v/>
      </c>
      <c r="AJ69" s="168" t="str">
        <f t="shared" si="7"/>
        <v/>
      </c>
      <c r="AK69" s="168" t="str">
        <f t="shared" si="8"/>
        <v/>
      </c>
      <c r="AL69" s="28"/>
      <c r="AM69" s="28"/>
      <c r="AN69" s="20" t="str">
        <f>IF(AL69="","",IF($F69="Bernardino Furlan",_xlfn.XLOOKUP(AL69,Cadastros!$G$6:$G$90,Cadastros!$H$6:$H$90)*(1-0.18),IF($F69="Mauro José Salanti",_xlfn.XLOOKUP(AL69,Cadastros!$G$6:$G$90,Cadastros!$H$6:$H$90)*(1-0.18),_xlfn.XLOOKUP(AL69,Cadastros!$G$6:$G$90,Cadastros!$H$6:$H$90))))</f>
        <v/>
      </c>
      <c r="AO69" s="168" t="str">
        <f t="shared" si="9"/>
        <v/>
      </c>
      <c r="AP69" s="168" t="str">
        <f t="shared" si="10"/>
        <v/>
      </c>
      <c r="AQ69" s="28"/>
      <c r="AR69" s="28"/>
      <c r="AS69" s="20" t="str">
        <f>IF(AQ69="","",IF($F69="Bernardino Furlan",_xlfn.XLOOKUP(AQ69,Cadastros!$G$6:$G$90,Cadastros!$H$6:$H$90)*(1-0.18),IF($F69="Mauro José Salanti",_xlfn.XLOOKUP(AQ69,Cadastros!$G$6:$G$90,Cadastros!$H$6:$H$90)*(1-0.18),_xlfn.XLOOKUP(AQ69,Cadastros!$G$6:$G$90,Cadastros!$H$6:$H$90))))</f>
        <v/>
      </c>
      <c r="AT69" s="168" t="str">
        <f t="shared" si="11"/>
        <v/>
      </c>
      <c r="AU69" s="168" t="str">
        <f t="shared" si="12"/>
        <v/>
      </c>
      <c r="AV69" s="227"/>
      <c r="AW69" s="30"/>
      <c r="AX69" s="267"/>
      <c r="AY69" s="267"/>
      <c r="AZ69" s="29"/>
      <c r="BA69" s="30"/>
      <c r="BB69" s="23" t="str" cm="1">
        <f t="array" ref="BB69">_xlfn.IFS(AW69="SIM",SUM(K69,P69,U69,Z69,AE69,AJ69,AO69,AT69,AX69,AY69),F69&lt;&gt;"",SUM(K69,P69,U69,Z69,AE69,AJ69,,AO69,AT69),F69="","")</f>
        <v/>
      </c>
      <c r="BC69" s="211" t="str" cm="1">
        <f t="array" ref="BC69">_xlfn.IFS(E69="","",G69&lt;=E69,BB69*(1-0.03),G69&lt;(E69+8),BB69,AZ69="Boleto",BB69*(1+0.001)^DATEDIF(E69,G69,"D"),AZ69="Cheque",BB69,AZ69="Dinheiro","Alterar forma pgto")</f>
        <v/>
      </c>
      <c r="BD69" s="276" t="str" cm="1">
        <f t="array" ref="BD69">IF(F69=0," ",IF(BC69&lt;BB69,(_xlfn.IFS(AW69="SIM",SUM(L69,Q69,V69,AA69,AF69,AK69,AP69,AU69)+AX69/_xlfn.XLOOKUP(_xlfn.XLOOKUP($F69,Clientes!$B$4:$B$39,Clientes!$C$4:$C$39),Cadastros!$L$6:$L$12,Cadastros!$M$6:$M$12)+IF($F69="Bernardino Furlan",AY69/2751.92,IF($F69="Mauro José Salanti",AY69/2751.92,AY69/3356)),F69&lt;&gt;0,SUM(L69,Q69,V69,AA69,AF69,AK69,AP69,AU69)))*(1-0.03),_xlfn.IFS(AW69="SIM",SUM(L69,Q69,V69,AA69,AF69,AK69,AP69,AU69)+AX69/_xlfn.XLOOKUP(_xlfn.XLOOKUP($F69,Clientes!$B$4:$B$39,Clientes!$C$4:$C$39),Cadastros!$L$6:$L$12,Cadastros!$M$6:$M$12)+IF($F69="Bernardino Furlan",AY69/2751.92,IF($F69="Mauro José Salanti",AY69/2751.92,AY69/3356)),F69&lt;&gt;0,SUM(L69,Q69,V69,AA69,AF69,AK69,AP69,AU69))))</f>
        <v xml:space="preserve"> </v>
      </c>
      <c r="BE69" s="120"/>
      <c r="BF69" s="120"/>
      <c r="BG69" s="120"/>
      <c r="BL69" s="235" t="str">
        <f>IF(Cadastros!D66="","",Cadastros!D66)</f>
        <v/>
      </c>
      <c r="BM69" s="234"/>
      <c r="BN69" s="235" t="str">
        <f>IF(Cadastros!G66="","",Cadastros!G66)</f>
        <v/>
      </c>
    </row>
    <row r="70" spans="1:66" s="3" customFormat="1" x14ac:dyDescent="0.3">
      <c r="A70" s="15" t="str">
        <f t="shared" si="0"/>
        <v/>
      </c>
      <c r="B70" s="25"/>
      <c r="C70" s="26"/>
      <c r="D70" s="279"/>
      <c r="E70" s="27"/>
      <c r="F70" s="28"/>
      <c r="G70" s="27"/>
      <c r="H70" s="28"/>
      <c r="I70" s="28"/>
      <c r="J70" s="255" t="str">
        <f>IF(H70="","",(_xlfn.XLOOKUP(H70,Cadastros!$D$6:$D$90,Cadastros!$E$6:$E$90))*(1-_xlfn.XLOOKUP(_xlfn.XLOOKUP($F70,Clientes!$B$4:$B$39,Clientes!$C$4:$C$39),Cadastros!$L$6:$L$12,Cadastros!$N$6:$N$12)))</f>
        <v/>
      </c>
      <c r="K70" s="168" t="str">
        <f t="shared" si="1"/>
        <v/>
      </c>
      <c r="L70" s="168" t="str">
        <f>IFERROR(K70/_xlfn.XLOOKUP(_xlfn.XLOOKUP($F70,Clientes!$B$4:$B$39,Clientes!$C$4:$C$39),Cadastros!$L$6:$L$12,Cadastros!$M$6:$M$12)," ")</f>
        <v xml:space="preserve"> </v>
      </c>
      <c r="M70" s="28"/>
      <c r="N70" s="28"/>
      <c r="O70" s="255" t="str">
        <f>IF(M70="","",(_xlfn.XLOOKUP(M70,Cadastros!$D$6:$D$90,Cadastros!$E$6:$E$90))*(1-_xlfn.XLOOKUP(_xlfn.XLOOKUP($F70,Clientes!$B$4:$B$39,Clientes!$C$4:$C$39),Cadastros!$L$6:$L$12,Cadastros!$N$6:$N$12)))</f>
        <v/>
      </c>
      <c r="P70" s="168" t="str">
        <f t="shared" si="2"/>
        <v/>
      </c>
      <c r="Q70" s="168" t="str">
        <f>IFERROR(P70/_xlfn.XLOOKUP(_xlfn.XLOOKUP($F70,Clientes!$B$4:$B$39,Clientes!$C$4:$C$39),Cadastros!$L$6:$L$12,Cadastros!$M$6:$M$12)," ")</f>
        <v xml:space="preserve"> </v>
      </c>
      <c r="R70" s="28"/>
      <c r="S70" s="28"/>
      <c r="T70" s="255" t="str">
        <f>IF(R70="","",(_xlfn.XLOOKUP(R70,Cadastros!$D$6:$D$90,Cadastros!$E$6:$E$90))*(1-_xlfn.XLOOKUP(_xlfn.XLOOKUP($F70,Clientes!$B$4:$B$39,Clientes!$C$4:$C$39),Cadastros!$L$6:$L$12,Cadastros!$N$6:$N$12)))</f>
        <v/>
      </c>
      <c r="U70" s="168" t="str">
        <f t="shared" si="3"/>
        <v/>
      </c>
      <c r="V70" s="168" t="str">
        <f>IFERROR(U70/_xlfn.XLOOKUP(_xlfn.XLOOKUP($F70,Clientes!$B$4:$B$39,Clientes!$C$4:$C$39),Cadastros!$L$6:$L$12,Cadastros!$M$6:$M$12)," ")</f>
        <v xml:space="preserve"> </v>
      </c>
      <c r="W70" s="28"/>
      <c r="X70" s="28"/>
      <c r="Y70" s="255" t="str">
        <f>IF(W70="","",(_xlfn.XLOOKUP(W70,Cadastros!$D$6:$D$90,Cadastros!$E$6:$E$90))*(1-_xlfn.XLOOKUP(_xlfn.XLOOKUP($F70,Clientes!$B$4:$B$39,Clientes!$C$4:$C$39),Cadastros!$L$6:$L$12,Cadastros!$N$6:$N$12)))</f>
        <v/>
      </c>
      <c r="Z70" s="168" t="str">
        <f t="shared" si="4"/>
        <v/>
      </c>
      <c r="AA70" s="168" t="str">
        <f>IFERROR(Z70/_xlfn.XLOOKUP(_xlfn.XLOOKUP($F70,Clientes!$B$4:$B$39,Clientes!$C$4:$C$39),Cadastros!$L$6:$L$12,Cadastros!$M$6:$M$12)," ")</f>
        <v xml:space="preserve"> </v>
      </c>
      <c r="AB70" s="28"/>
      <c r="AC70" s="28"/>
      <c r="AD70" s="20" t="str">
        <f>IF(AB70="","",IF($F70="Bernardino Furlan",_xlfn.XLOOKUP(AB70,Cadastros!$G$6:$G$90,Cadastros!$H$6:$H$90)*(1-0.18),IF($F70="Mauro José Salanti",_xlfn.XLOOKUP(AB70,Cadastros!$G$6:$G$90,Cadastros!$H$6:$H$90)*(1-0.18),_xlfn.XLOOKUP(AB70,Cadastros!$G$6:$G$90,Cadastros!$H$6:$H$90))))</f>
        <v/>
      </c>
      <c r="AE70" s="168" t="str">
        <f t="shared" si="5"/>
        <v/>
      </c>
      <c r="AF70" s="168" t="str">
        <f t="shared" si="6"/>
        <v/>
      </c>
      <c r="AG70" s="28"/>
      <c r="AH70" s="28"/>
      <c r="AI70" s="20" t="str">
        <f>IF(AG70="","",IF($F70="Bernardino Furlan",_xlfn.XLOOKUP(AG70,Cadastros!$G$6:$G$90,Cadastros!$H$6:$H$90)*(1-0.18),IF($F70="Mauro José Salanti",_xlfn.XLOOKUP(AG70,Cadastros!$G$6:$G$90,Cadastros!$H$6:$H$90)*(1-0.18),_xlfn.XLOOKUP(AG70,Cadastros!$G$6:$G$90,Cadastros!$H$6:$H$90))))</f>
        <v/>
      </c>
      <c r="AJ70" s="168" t="str">
        <f t="shared" si="7"/>
        <v/>
      </c>
      <c r="AK70" s="168" t="str">
        <f t="shared" si="8"/>
        <v/>
      </c>
      <c r="AL70" s="28"/>
      <c r="AM70" s="28"/>
      <c r="AN70" s="20" t="str">
        <f>IF(AL70="","",IF($F70="Bernardino Furlan",_xlfn.XLOOKUP(AL70,Cadastros!$G$6:$G$90,Cadastros!$H$6:$H$90)*(1-0.18),IF($F70="Mauro José Salanti",_xlfn.XLOOKUP(AL70,Cadastros!$G$6:$G$90,Cadastros!$H$6:$H$90)*(1-0.18),_xlfn.XLOOKUP(AL70,Cadastros!$G$6:$G$90,Cadastros!$H$6:$H$90))))</f>
        <v/>
      </c>
      <c r="AO70" s="168" t="str">
        <f t="shared" si="9"/>
        <v/>
      </c>
      <c r="AP70" s="168" t="str">
        <f t="shared" si="10"/>
        <v/>
      </c>
      <c r="AQ70" s="28"/>
      <c r="AR70" s="28"/>
      <c r="AS70" s="20" t="str">
        <f>IF(AQ70="","",IF($F70="Bernardino Furlan",_xlfn.XLOOKUP(AQ70,Cadastros!$G$6:$G$90,Cadastros!$H$6:$H$90)*(1-0.18),IF($F70="Mauro José Salanti",_xlfn.XLOOKUP(AQ70,Cadastros!$G$6:$G$90,Cadastros!$H$6:$H$90)*(1-0.18),_xlfn.XLOOKUP(AQ70,Cadastros!$G$6:$G$90,Cadastros!$H$6:$H$90))))</f>
        <v/>
      </c>
      <c r="AT70" s="168" t="str">
        <f t="shared" si="11"/>
        <v/>
      </c>
      <c r="AU70" s="168" t="str">
        <f t="shared" si="12"/>
        <v/>
      </c>
      <c r="AV70" s="227"/>
      <c r="AW70" s="30"/>
      <c r="AX70" s="267"/>
      <c r="AY70" s="267"/>
      <c r="AZ70" s="29"/>
      <c r="BA70" s="30"/>
      <c r="BB70" s="23" t="str" cm="1">
        <f t="array" ref="BB70">_xlfn.IFS(AW70="SIM",SUM(K70,P70,U70,Z70,AE70,AJ70,AO70,AT70,AX70,AY70),F70&lt;&gt;"",SUM(K70,P70,U70,Z70,AE70,AJ70,,AO70,AT70),F70="","")</f>
        <v/>
      </c>
      <c r="BC70" s="211" t="str" cm="1">
        <f t="array" ref="BC70">_xlfn.IFS(E70="","",G70&lt;=E70,BB70*(1-0.03),G70&lt;(E70+8),BB70,AZ70="Boleto",BB70*(1+0.001)^DATEDIF(E70,G70,"D"),AZ70="Cheque",BB70,AZ70="Dinheiro","Alterar forma pgto")</f>
        <v/>
      </c>
      <c r="BD70" s="276" t="str" cm="1">
        <f t="array" ref="BD70">IF(F70=0," ",IF(BC70&lt;BB70,(_xlfn.IFS(AW70="SIM",SUM(L70,Q70,V70,AA70,AF70,AK70,AP70,AU70)+AX70/_xlfn.XLOOKUP(_xlfn.XLOOKUP($F70,Clientes!$B$4:$B$39,Clientes!$C$4:$C$39),Cadastros!$L$6:$L$12,Cadastros!$M$6:$M$12)+IF($F70="Bernardino Furlan",AY70/2751.92,IF($F70="Mauro José Salanti",AY70/2751.92,AY70/3356)),F70&lt;&gt;0,SUM(L70,Q70,V70,AA70,AF70,AK70,AP70,AU70)))*(1-0.03),_xlfn.IFS(AW70="SIM",SUM(L70,Q70,V70,AA70,AF70,AK70,AP70,AU70)+AX70/_xlfn.XLOOKUP(_xlfn.XLOOKUP($F70,Clientes!$B$4:$B$39,Clientes!$C$4:$C$39),Cadastros!$L$6:$L$12,Cadastros!$M$6:$M$12)+IF($F70="Bernardino Furlan",AY70/2751.92,IF($F70="Mauro José Salanti",AY70/2751.92,AY70/3356)),F70&lt;&gt;0,SUM(L70,Q70,V70,AA70,AF70,AK70,AP70,AU70))))</f>
        <v xml:space="preserve"> </v>
      </c>
      <c r="BE70" s="120"/>
      <c r="BF70" s="120"/>
      <c r="BG70" s="120"/>
      <c r="BL70" s="233" t="str">
        <f>IF(Cadastros!D67="","",Cadastros!D67)</f>
        <v>LINHA INFANTIL</v>
      </c>
      <c r="BM70" s="234"/>
      <c r="BN70" s="233" t="str">
        <f>IF(Cadastros!G67="","",Cadastros!G67)</f>
        <v xml:space="preserve">CONTROLADORES </v>
      </c>
    </row>
    <row r="71" spans="1:66" s="3" customFormat="1" x14ac:dyDescent="0.3">
      <c r="A71" s="15" t="str">
        <f t="shared" si="0"/>
        <v/>
      </c>
      <c r="B71" s="25"/>
      <c r="C71" s="26"/>
      <c r="D71" s="279"/>
      <c r="E71" s="27"/>
      <c r="F71" s="28"/>
      <c r="G71" s="27"/>
      <c r="H71" s="28"/>
      <c r="I71" s="28"/>
      <c r="J71" s="255" t="str">
        <f>IF(H71="","",(_xlfn.XLOOKUP(H71,Cadastros!$D$6:$D$90,Cadastros!$E$6:$E$90))*(1-_xlfn.XLOOKUP(_xlfn.XLOOKUP($F71,Clientes!$B$4:$B$39,Clientes!$C$4:$C$39),Cadastros!$L$6:$L$12,Cadastros!$N$6:$N$12)))</f>
        <v/>
      </c>
      <c r="K71" s="168" t="str">
        <f t="shared" si="1"/>
        <v/>
      </c>
      <c r="L71" s="168" t="str">
        <f>IFERROR(K71/_xlfn.XLOOKUP(_xlfn.XLOOKUP($F71,Clientes!$B$4:$B$39,Clientes!$C$4:$C$39),Cadastros!$L$6:$L$12,Cadastros!$M$6:$M$12)," ")</f>
        <v xml:space="preserve"> </v>
      </c>
      <c r="M71" s="28"/>
      <c r="N71" s="31"/>
      <c r="O71" s="255" t="str">
        <f>IF(M71="","",(_xlfn.XLOOKUP(M71,Cadastros!$D$6:$D$90,Cadastros!$E$6:$E$90))*(1-_xlfn.XLOOKUP(_xlfn.XLOOKUP($F71,Clientes!$B$4:$B$39,Clientes!$C$4:$C$39),Cadastros!$L$6:$L$12,Cadastros!$N$6:$N$12)))</f>
        <v/>
      </c>
      <c r="P71" s="168" t="str">
        <f t="shared" si="2"/>
        <v/>
      </c>
      <c r="Q71" s="168" t="str">
        <f>IFERROR(P71/_xlfn.XLOOKUP(_xlfn.XLOOKUP($F71,Clientes!$B$4:$B$39,Clientes!$C$4:$C$39),Cadastros!$L$6:$L$12,Cadastros!$M$6:$M$12)," ")</f>
        <v xml:space="preserve"> </v>
      </c>
      <c r="R71" s="28"/>
      <c r="S71" s="31"/>
      <c r="T71" s="255" t="str">
        <f>IF(R71="","",(_xlfn.XLOOKUP(R71,Cadastros!$D$6:$D$90,Cadastros!$E$6:$E$90))*(1-_xlfn.XLOOKUP(_xlfn.XLOOKUP($F71,Clientes!$B$4:$B$39,Clientes!$C$4:$C$39),Cadastros!$L$6:$L$12,Cadastros!$N$6:$N$12)))</f>
        <v/>
      </c>
      <c r="U71" s="168" t="str">
        <f t="shared" si="3"/>
        <v/>
      </c>
      <c r="V71" s="168" t="str">
        <f>IFERROR(U71/_xlfn.XLOOKUP(_xlfn.XLOOKUP($F71,Clientes!$B$4:$B$39,Clientes!$C$4:$C$39),Cadastros!$L$6:$L$12,Cadastros!$M$6:$M$12)," ")</f>
        <v xml:space="preserve"> </v>
      </c>
      <c r="W71" s="28"/>
      <c r="X71" s="31"/>
      <c r="Y71" s="255" t="str">
        <f>IF(W71="","",(_xlfn.XLOOKUP(W71,Cadastros!$D$6:$D$90,Cadastros!$E$6:$E$90))*(1-_xlfn.XLOOKUP(_xlfn.XLOOKUP($F71,Clientes!$B$4:$B$39,Clientes!$C$4:$C$39),Cadastros!$L$6:$L$12,Cadastros!$N$6:$N$12)))</f>
        <v/>
      </c>
      <c r="Z71" s="168" t="str">
        <f t="shared" si="4"/>
        <v/>
      </c>
      <c r="AA71" s="168" t="str">
        <f>IFERROR(Z71/_xlfn.XLOOKUP(_xlfn.XLOOKUP($F71,Clientes!$B$4:$B$39,Clientes!$C$4:$C$39),Cadastros!$L$6:$L$12,Cadastros!$M$6:$M$12)," ")</f>
        <v xml:space="preserve"> </v>
      </c>
      <c r="AB71" s="28"/>
      <c r="AC71" s="31"/>
      <c r="AD71" s="20" t="str">
        <f>IF(AB71="","",IF($F71="Bernardino Furlan",_xlfn.XLOOKUP(AB71,Cadastros!$G$6:$G$90,Cadastros!$H$6:$H$90)*(1-0.18),IF($F71="Mauro José Salanti",_xlfn.XLOOKUP(AB71,Cadastros!$G$6:$G$90,Cadastros!$H$6:$H$90)*(1-0.18),_xlfn.XLOOKUP(AB71,Cadastros!$G$6:$G$90,Cadastros!$H$6:$H$90))))</f>
        <v/>
      </c>
      <c r="AE71" s="168" t="str">
        <f t="shared" si="5"/>
        <v/>
      </c>
      <c r="AF71" s="168" t="str">
        <f t="shared" si="6"/>
        <v/>
      </c>
      <c r="AG71" s="28"/>
      <c r="AH71" s="31"/>
      <c r="AI71" s="20" t="str">
        <f>IF(AG71="","",IF($F71="Bernardino Furlan",_xlfn.XLOOKUP(AG71,Cadastros!$G$6:$G$90,Cadastros!$H$6:$H$90)*(1-0.18),IF($F71="Mauro José Salanti",_xlfn.XLOOKUP(AG71,Cadastros!$G$6:$G$90,Cadastros!$H$6:$H$90)*(1-0.18),_xlfn.XLOOKUP(AG71,Cadastros!$G$6:$G$90,Cadastros!$H$6:$H$90))))</f>
        <v/>
      </c>
      <c r="AJ71" s="168" t="str">
        <f t="shared" si="7"/>
        <v/>
      </c>
      <c r="AK71" s="168" t="str">
        <f t="shared" si="8"/>
        <v/>
      </c>
      <c r="AL71" s="28"/>
      <c r="AM71" s="31"/>
      <c r="AN71" s="20" t="str">
        <f>IF(AL71="","",IF($F71="Bernardino Furlan",_xlfn.XLOOKUP(AL71,Cadastros!$G$6:$G$90,Cadastros!$H$6:$H$90)*(1-0.18),IF($F71="Mauro José Salanti",_xlfn.XLOOKUP(AL71,Cadastros!$G$6:$G$90,Cadastros!$H$6:$H$90)*(1-0.18),_xlfn.XLOOKUP(AL71,Cadastros!$G$6:$G$90,Cadastros!$H$6:$H$90))))</f>
        <v/>
      </c>
      <c r="AO71" s="168" t="str">
        <f t="shared" si="9"/>
        <v/>
      </c>
      <c r="AP71" s="168" t="str">
        <f t="shared" si="10"/>
        <v/>
      </c>
      <c r="AQ71" s="28"/>
      <c r="AR71" s="31"/>
      <c r="AS71" s="20" t="str">
        <f>IF(AQ71="","",IF($F71="Bernardino Furlan",_xlfn.XLOOKUP(AQ71,Cadastros!$G$6:$G$90,Cadastros!$H$6:$H$90)*(1-0.18),IF($F71="Mauro José Salanti",_xlfn.XLOOKUP(AQ71,Cadastros!$G$6:$G$90,Cadastros!$H$6:$H$90)*(1-0.18),_xlfn.XLOOKUP(AQ71,Cadastros!$G$6:$G$90,Cadastros!$H$6:$H$90))))</f>
        <v/>
      </c>
      <c r="AT71" s="168" t="str">
        <f t="shared" si="11"/>
        <v/>
      </c>
      <c r="AU71" s="168" t="str">
        <f t="shared" si="12"/>
        <v/>
      </c>
      <c r="AV71" s="227"/>
      <c r="AW71" s="30"/>
      <c r="AX71" s="267"/>
      <c r="AY71" s="267"/>
      <c r="AZ71" s="29"/>
      <c r="BA71" s="30"/>
      <c r="BB71" s="23" t="str" cm="1">
        <f t="array" ref="BB71">_xlfn.IFS(AW71="SIM",SUM(K71,P71,U71,Z71,AE71,AJ71,AO71,AT71,AX71,AY71),F71&lt;&gt;"",SUM(K71,P71,U71,Z71,AE71,AJ71,,AO71,AT71),F71="","")</f>
        <v/>
      </c>
      <c r="BC71" s="211" t="str" cm="1">
        <f t="array" ref="BC71">_xlfn.IFS(E71="","",G71&lt;=E71,BB71*(1-0.03),G71&lt;(E71+8),BB71,AZ71="Boleto",BB71*(1+0.001)^DATEDIF(E71,G71,"D"),AZ71="Cheque",BB71,AZ71="Dinheiro","Alterar forma pgto")</f>
        <v/>
      </c>
      <c r="BD71" s="276" t="str" cm="1">
        <f t="array" ref="BD71">IF(F71=0," ",IF(BC71&lt;BB71,(_xlfn.IFS(AW71="SIM",SUM(L71,Q71,V71,AA71,AF71,AK71,AP71,AU71)+AX71/_xlfn.XLOOKUP(_xlfn.XLOOKUP($F71,Clientes!$B$4:$B$39,Clientes!$C$4:$C$39),Cadastros!$L$6:$L$12,Cadastros!$M$6:$M$12)+IF($F71="Bernardino Furlan",AY71/2751.92,IF($F71="Mauro José Salanti",AY71/2751.92,AY71/3356)),F71&lt;&gt;0,SUM(L71,Q71,V71,AA71,AF71,AK71,AP71,AU71)))*(1-0.03),_xlfn.IFS(AW71="SIM",SUM(L71,Q71,V71,AA71,AF71,AK71,AP71,AU71)+AX71/_xlfn.XLOOKUP(_xlfn.XLOOKUP($F71,Clientes!$B$4:$B$39,Clientes!$C$4:$C$39),Cadastros!$L$6:$L$12,Cadastros!$M$6:$M$12)+IF($F71="Bernardino Furlan",AY71/2751.92,IF($F71="Mauro José Salanti",AY71/2751.92,AY71/3356)),F71&lt;&gt;0,SUM(L71,Q71,V71,AA71,AF71,AK71,AP71,AU71))))</f>
        <v xml:space="preserve"> </v>
      </c>
      <c r="BE71" s="120"/>
      <c r="BF71" s="120"/>
      <c r="BG71" s="120"/>
      <c r="BL71" s="235" t="str">
        <f>IF(Cadastros!D68="","",Cadastros!D68)</f>
        <v>10129 - Colchão Infantil 70 X 130 X 12 MVQ</v>
      </c>
      <c r="BM71" s="234"/>
      <c r="BN71" s="235" t="str">
        <f>IF(Cadastros!G68="","",Cadastros!G68)</f>
        <v>Sistema CROMOTERAPIA</v>
      </c>
    </row>
    <row r="72" spans="1:66" s="3" customFormat="1" x14ac:dyDescent="0.3">
      <c r="A72" s="15" t="str">
        <f t="shared" ref="A72:A135" si="13">IF(C72="orçamento",25%,IF(C72="aprovado",50%,IF(C72="entregue",100%,IF(C72="não aceito",0%,""))))</f>
        <v/>
      </c>
      <c r="B72" s="25"/>
      <c r="C72" s="26"/>
      <c r="D72" s="279"/>
      <c r="E72" s="27"/>
      <c r="F72" s="28"/>
      <c r="G72" s="27"/>
      <c r="H72" s="28"/>
      <c r="I72" s="28"/>
      <c r="J72" s="255" t="str">
        <f>IF(H72="","",(_xlfn.XLOOKUP(H72,Cadastros!$D$6:$D$90,Cadastros!$E$6:$E$90))*(1-_xlfn.XLOOKUP(_xlfn.XLOOKUP($F72,Clientes!$B$4:$B$39,Clientes!$C$4:$C$39),Cadastros!$L$6:$L$12,Cadastros!$N$6:$N$12)))</f>
        <v/>
      </c>
      <c r="K72" s="168" t="str">
        <f t="shared" ref="K72:K135" si="14">IF(J72="","",I72*J72)</f>
        <v/>
      </c>
      <c r="L72" s="168" t="str">
        <f>IFERROR(K72/_xlfn.XLOOKUP(_xlfn.XLOOKUP($F72,Clientes!$B$4:$B$39,Clientes!$C$4:$C$39),Cadastros!$L$6:$L$12,Cadastros!$M$6:$M$12)," ")</f>
        <v xml:space="preserve"> </v>
      </c>
      <c r="M72" s="28"/>
      <c r="N72" s="28"/>
      <c r="O72" s="255" t="str">
        <f>IF(M72="","",(_xlfn.XLOOKUP(M72,Cadastros!$D$6:$D$90,Cadastros!$E$6:$E$90))*(1-_xlfn.XLOOKUP(_xlfn.XLOOKUP($F72,Clientes!$B$4:$B$39,Clientes!$C$4:$C$39),Cadastros!$L$6:$L$12,Cadastros!$N$6:$N$12)))</f>
        <v/>
      </c>
      <c r="P72" s="168" t="str">
        <f t="shared" ref="P72:P135" si="15">IF(O72="","",N72*O72)</f>
        <v/>
      </c>
      <c r="Q72" s="168" t="str">
        <f>IFERROR(P72/_xlfn.XLOOKUP(_xlfn.XLOOKUP($F72,Clientes!$B$4:$B$39,Clientes!$C$4:$C$39),Cadastros!$L$6:$L$12,Cadastros!$M$6:$M$12)," ")</f>
        <v xml:space="preserve"> </v>
      </c>
      <c r="R72" s="28"/>
      <c r="S72" s="28"/>
      <c r="T72" s="255" t="str">
        <f>IF(R72="","",(_xlfn.XLOOKUP(R72,Cadastros!$D$6:$D$90,Cadastros!$E$6:$E$90))*(1-_xlfn.XLOOKUP(_xlfn.XLOOKUP($F72,Clientes!$B$4:$B$39,Clientes!$C$4:$C$39),Cadastros!$L$6:$L$12,Cadastros!$N$6:$N$12)))</f>
        <v/>
      </c>
      <c r="U72" s="168" t="str">
        <f t="shared" ref="U72:U135" si="16">IF(T72="","",S72*T72)</f>
        <v/>
      </c>
      <c r="V72" s="168" t="str">
        <f>IFERROR(U72/_xlfn.XLOOKUP(_xlfn.XLOOKUP($F72,Clientes!$B$4:$B$39,Clientes!$C$4:$C$39),Cadastros!$L$6:$L$12,Cadastros!$M$6:$M$12)," ")</f>
        <v xml:space="preserve"> </v>
      </c>
      <c r="W72" s="28"/>
      <c r="X72" s="28"/>
      <c r="Y72" s="255" t="str">
        <f>IF(W72="","",(_xlfn.XLOOKUP(W72,Cadastros!$D$6:$D$90,Cadastros!$E$6:$E$90))*(1-_xlfn.XLOOKUP(_xlfn.XLOOKUP($F72,Clientes!$B$4:$B$39,Clientes!$C$4:$C$39),Cadastros!$L$6:$L$12,Cadastros!$N$6:$N$12)))</f>
        <v/>
      </c>
      <c r="Z72" s="168" t="str">
        <f t="shared" ref="Z72:Z135" si="17">IF(Y72="","",X72*Y72)</f>
        <v/>
      </c>
      <c r="AA72" s="168" t="str">
        <f>IFERROR(Z72/_xlfn.XLOOKUP(_xlfn.XLOOKUP($F72,Clientes!$B$4:$B$39,Clientes!$C$4:$C$39),Cadastros!$L$6:$L$12,Cadastros!$M$6:$M$12)," ")</f>
        <v xml:space="preserve"> </v>
      </c>
      <c r="AB72" s="28"/>
      <c r="AC72" s="28"/>
      <c r="AD72" s="20" t="str">
        <f>IF(AB72="","",IF($F72="Bernardino Furlan",_xlfn.XLOOKUP(AB72,Cadastros!$G$6:$G$90,Cadastros!$H$6:$H$90)*(1-0.18),IF($F72="Mauro José Salanti",_xlfn.XLOOKUP(AB72,Cadastros!$G$6:$G$90,Cadastros!$H$6:$H$90)*(1-0.18),_xlfn.XLOOKUP(AB72,Cadastros!$G$6:$G$90,Cadastros!$H$6:$H$90))))</f>
        <v/>
      </c>
      <c r="AE72" s="168" t="str">
        <f t="shared" ref="AE72:AE135" si="18">IF(AD72="","",AC72*AD72)</f>
        <v/>
      </c>
      <c r="AF72" s="168" t="str">
        <f t="shared" ref="AF72:AF135" si="19">IFERROR(IF($F72="Bernardino Furlan",AE72/2751.92,IF($F72="Mauro José Salanti",AE72/2751.92,AE72/3356)),"")</f>
        <v/>
      </c>
      <c r="AG72" s="28"/>
      <c r="AH72" s="28"/>
      <c r="AI72" s="20" t="str">
        <f>IF(AG72="","",IF($F72="Bernardino Furlan",_xlfn.XLOOKUP(AG72,Cadastros!$G$6:$G$90,Cadastros!$H$6:$H$90)*(1-0.18),IF($F72="Mauro José Salanti",_xlfn.XLOOKUP(AG72,Cadastros!$G$6:$G$90,Cadastros!$H$6:$H$90)*(1-0.18),_xlfn.XLOOKUP(AG72,Cadastros!$G$6:$G$90,Cadastros!$H$6:$H$90))))</f>
        <v/>
      </c>
      <c r="AJ72" s="168" t="str">
        <f t="shared" ref="AJ72:AJ135" si="20">IF(AI72="","",AH72*AI72)</f>
        <v/>
      </c>
      <c r="AK72" s="168" t="str">
        <f t="shared" ref="AK72:AK135" si="21">IFERROR(IF($F72="Bernardino Furlan",AJ72/2751.92,IF($F72="Mauro José Salanti",AJ72/2751.92,AJ72/3356)),"")</f>
        <v/>
      </c>
      <c r="AL72" s="28"/>
      <c r="AM72" s="28"/>
      <c r="AN72" s="20" t="str">
        <f>IF(AL72="","",IF($F72="Bernardino Furlan",_xlfn.XLOOKUP(AL72,Cadastros!$G$6:$G$90,Cadastros!$H$6:$H$90)*(1-0.18),IF($F72="Mauro José Salanti",_xlfn.XLOOKUP(AL72,Cadastros!$G$6:$G$90,Cadastros!$H$6:$H$90)*(1-0.18),_xlfn.XLOOKUP(AL72,Cadastros!$G$6:$G$90,Cadastros!$H$6:$H$90))))</f>
        <v/>
      </c>
      <c r="AO72" s="168" t="str">
        <f t="shared" ref="AO72:AO135" si="22">IF(AN72="","",AM72*AN72)</f>
        <v/>
      </c>
      <c r="AP72" s="168" t="str">
        <f t="shared" ref="AP72:AP135" si="23">IFERROR(IF($F72="Bernardino Furlan",AO72/2751.92,IF($F72="Mauro José Salanti",AO72/2751.92,AO72/3356)),"")</f>
        <v/>
      </c>
      <c r="AQ72" s="28"/>
      <c r="AR72" s="28"/>
      <c r="AS72" s="20" t="str">
        <f>IF(AQ72="","",IF($F72="Bernardino Furlan",_xlfn.XLOOKUP(AQ72,Cadastros!$G$6:$G$90,Cadastros!$H$6:$H$90)*(1-0.18),IF($F72="Mauro José Salanti",_xlfn.XLOOKUP(AQ72,Cadastros!$G$6:$G$90,Cadastros!$H$6:$H$90)*(1-0.18),_xlfn.XLOOKUP(AQ72,Cadastros!$G$6:$G$90,Cadastros!$H$6:$H$90))))</f>
        <v/>
      </c>
      <c r="AT72" s="168" t="str">
        <f t="shared" ref="AT72:AT135" si="24">IF(AS72="","",AR72*AS72)</f>
        <v/>
      </c>
      <c r="AU72" s="168" t="str">
        <f t="shared" ref="AU72:AU135" si="25">IFERROR(IF($F72="Bernardino Furlan",AT72/2751.92,IF($F72="Mauro José Salanti",AT72/2751.92,AT72/3356)),"")</f>
        <v/>
      </c>
      <c r="AV72" s="227"/>
      <c r="AW72" s="30"/>
      <c r="AX72" s="267"/>
      <c r="AY72" s="267"/>
      <c r="AZ72" s="29"/>
      <c r="BA72" s="30"/>
      <c r="BB72" s="23" t="str" cm="1">
        <f t="array" ref="BB72">_xlfn.IFS(AW72="SIM",SUM(K72,P72,U72,Z72,AE72,AJ72,AO72,AT72,AX72,AY72),F72&lt;&gt;"",SUM(K72,P72,U72,Z72,AE72,AJ72,,AO72,AT72),F72="","")</f>
        <v/>
      </c>
      <c r="BC72" s="211" t="str" cm="1">
        <f t="array" ref="BC72">_xlfn.IFS(E72="","",G72&lt;=E72,BB72*(1-0.03),G72&lt;(E72+8),BB72,AZ72="Boleto",BB72*(1+0.001)^DATEDIF(E72,G72,"D"),AZ72="Cheque",BB72,AZ72="Dinheiro","Alterar forma pgto")</f>
        <v/>
      </c>
      <c r="BD72" s="276" t="str" cm="1">
        <f t="array" ref="BD72">IF(F72=0," ",IF(BC72&lt;BB72,(_xlfn.IFS(AW72="SIM",SUM(L72,Q72,V72,AA72,AF72,AK72,AP72,AU72)+AX72/_xlfn.XLOOKUP(_xlfn.XLOOKUP($F72,Clientes!$B$4:$B$39,Clientes!$C$4:$C$39),Cadastros!$L$6:$L$12,Cadastros!$M$6:$M$12)+IF($F72="Bernardino Furlan",AY72/2751.92,IF($F72="Mauro José Salanti",AY72/2751.92,AY72/3356)),F72&lt;&gt;0,SUM(L72,Q72,V72,AA72,AF72,AK72,AP72,AU72)))*(1-0.03),_xlfn.IFS(AW72="SIM",SUM(L72,Q72,V72,AA72,AF72,AK72,AP72,AU72)+AX72/_xlfn.XLOOKUP(_xlfn.XLOOKUP($F72,Clientes!$B$4:$B$39,Clientes!$C$4:$C$39),Cadastros!$L$6:$L$12,Cadastros!$M$6:$M$12)+IF($F72="Bernardino Furlan",AY72/2751.92,IF($F72="Mauro José Salanti",AY72/2751.92,AY72/3356)),F72&lt;&gt;0,SUM(L72,Q72,V72,AA72,AF72,AK72,AP72,AU72))))</f>
        <v xml:space="preserve"> </v>
      </c>
      <c r="BE72" s="120"/>
      <c r="BF72" s="120"/>
      <c r="BG72" s="120"/>
      <c r="BL72" s="235" t="str">
        <f>IF(Cadastros!D69="","",Cadastros!D69)</f>
        <v>40129 - Colchão Infantil 70 X 130 X 12 S/VQ</v>
      </c>
      <c r="BM72" s="234"/>
      <c r="BN72" s="235" t="str">
        <f>IF(Cadastros!G69="","",Cadastros!G69)</f>
        <v>Sistema AUDIO VIBE 4D</v>
      </c>
    </row>
    <row r="73" spans="1:66" s="3" customFormat="1" x14ac:dyDescent="0.3">
      <c r="A73" s="15" t="str">
        <f t="shared" si="13"/>
        <v/>
      </c>
      <c r="B73" s="25"/>
      <c r="C73" s="26"/>
      <c r="D73" s="279"/>
      <c r="E73" s="27"/>
      <c r="F73" s="28"/>
      <c r="G73" s="27"/>
      <c r="H73" s="28"/>
      <c r="I73" s="28"/>
      <c r="J73" s="255" t="str">
        <f>IF(H73="","",(_xlfn.XLOOKUP(H73,Cadastros!$D$6:$D$90,Cadastros!$E$6:$E$90))*(1-_xlfn.XLOOKUP(_xlfn.XLOOKUP($F73,Clientes!$B$4:$B$39,Clientes!$C$4:$C$39),Cadastros!$L$6:$L$12,Cadastros!$N$6:$N$12)))</f>
        <v/>
      </c>
      <c r="K73" s="168" t="str">
        <f t="shared" si="14"/>
        <v/>
      </c>
      <c r="L73" s="168" t="str">
        <f>IFERROR(K73/_xlfn.XLOOKUP(_xlfn.XLOOKUP($F73,Clientes!$B$4:$B$39,Clientes!$C$4:$C$39),Cadastros!$L$6:$L$12,Cadastros!$M$6:$M$12)," ")</f>
        <v xml:space="preserve"> </v>
      </c>
      <c r="M73" s="28"/>
      <c r="N73" s="28"/>
      <c r="O73" s="255" t="str">
        <f>IF(M73="","",(_xlfn.XLOOKUP(M73,Cadastros!$D$6:$D$90,Cadastros!$E$6:$E$90))*(1-_xlfn.XLOOKUP(_xlfn.XLOOKUP($F73,Clientes!$B$4:$B$39,Clientes!$C$4:$C$39),Cadastros!$L$6:$L$12,Cadastros!$N$6:$N$12)))</f>
        <v/>
      </c>
      <c r="P73" s="168" t="str">
        <f t="shared" si="15"/>
        <v/>
      </c>
      <c r="Q73" s="168" t="str">
        <f>IFERROR(P73/_xlfn.XLOOKUP(_xlfn.XLOOKUP($F73,Clientes!$B$4:$B$39,Clientes!$C$4:$C$39),Cadastros!$L$6:$L$12,Cadastros!$M$6:$M$12)," ")</f>
        <v xml:space="preserve"> </v>
      </c>
      <c r="R73" s="28"/>
      <c r="S73" s="28"/>
      <c r="T73" s="255" t="str">
        <f>IF(R73="","",(_xlfn.XLOOKUP(R73,Cadastros!$D$6:$D$90,Cadastros!$E$6:$E$90))*(1-_xlfn.XLOOKUP(_xlfn.XLOOKUP($F73,Clientes!$B$4:$B$39,Clientes!$C$4:$C$39),Cadastros!$L$6:$L$12,Cadastros!$N$6:$N$12)))</f>
        <v/>
      </c>
      <c r="U73" s="168" t="str">
        <f t="shared" si="16"/>
        <v/>
      </c>
      <c r="V73" s="168" t="str">
        <f>IFERROR(U73/_xlfn.XLOOKUP(_xlfn.XLOOKUP($F73,Clientes!$B$4:$B$39,Clientes!$C$4:$C$39),Cadastros!$L$6:$L$12,Cadastros!$M$6:$M$12)," ")</f>
        <v xml:space="preserve"> </v>
      </c>
      <c r="W73" s="28"/>
      <c r="X73" s="28"/>
      <c r="Y73" s="255" t="str">
        <f>IF(W73="","",(_xlfn.XLOOKUP(W73,Cadastros!$D$6:$D$90,Cadastros!$E$6:$E$90))*(1-_xlfn.XLOOKUP(_xlfn.XLOOKUP($F73,Clientes!$B$4:$B$39,Clientes!$C$4:$C$39),Cadastros!$L$6:$L$12,Cadastros!$N$6:$N$12)))</f>
        <v/>
      </c>
      <c r="Z73" s="168" t="str">
        <f t="shared" si="17"/>
        <v/>
      </c>
      <c r="AA73" s="168" t="str">
        <f>IFERROR(Z73/_xlfn.XLOOKUP(_xlfn.XLOOKUP($F73,Clientes!$B$4:$B$39,Clientes!$C$4:$C$39),Cadastros!$L$6:$L$12,Cadastros!$M$6:$M$12)," ")</f>
        <v xml:space="preserve"> </v>
      </c>
      <c r="AB73" s="28"/>
      <c r="AC73" s="28"/>
      <c r="AD73" s="20" t="str">
        <f>IF(AB73="","",IF($F73="Bernardino Furlan",_xlfn.XLOOKUP(AB73,Cadastros!$G$6:$G$90,Cadastros!$H$6:$H$90)*(1-0.18),IF($F73="Mauro José Salanti",_xlfn.XLOOKUP(AB73,Cadastros!$G$6:$G$90,Cadastros!$H$6:$H$90)*(1-0.18),_xlfn.XLOOKUP(AB73,Cadastros!$G$6:$G$90,Cadastros!$H$6:$H$90))))</f>
        <v/>
      </c>
      <c r="AE73" s="168" t="str">
        <f t="shared" si="18"/>
        <v/>
      </c>
      <c r="AF73" s="168" t="str">
        <f t="shared" si="19"/>
        <v/>
      </c>
      <c r="AG73" s="28"/>
      <c r="AH73" s="28"/>
      <c r="AI73" s="20" t="str">
        <f>IF(AG73="","",IF($F73="Bernardino Furlan",_xlfn.XLOOKUP(AG73,Cadastros!$G$6:$G$90,Cadastros!$H$6:$H$90)*(1-0.18),IF($F73="Mauro José Salanti",_xlfn.XLOOKUP(AG73,Cadastros!$G$6:$G$90,Cadastros!$H$6:$H$90)*(1-0.18),_xlfn.XLOOKUP(AG73,Cadastros!$G$6:$G$90,Cadastros!$H$6:$H$90))))</f>
        <v/>
      </c>
      <c r="AJ73" s="168" t="str">
        <f t="shared" si="20"/>
        <v/>
      </c>
      <c r="AK73" s="168" t="str">
        <f t="shared" si="21"/>
        <v/>
      </c>
      <c r="AL73" s="28"/>
      <c r="AM73" s="28"/>
      <c r="AN73" s="20" t="str">
        <f>IF(AL73="","",IF($F73="Bernardino Furlan",_xlfn.XLOOKUP(AL73,Cadastros!$G$6:$G$90,Cadastros!$H$6:$H$90)*(1-0.18),IF($F73="Mauro José Salanti",_xlfn.XLOOKUP(AL73,Cadastros!$G$6:$G$90,Cadastros!$H$6:$H$90)*(1-0.18),_xlfn.XLOOKUP(AL73,Cadastros!$G$6:$G$90,Cadastros!$H$6:$H$90))))</f>
        <v/>
      </c>
      <c r="AO73" s="168" t="str">
        <f t="shared" si="22"/>
        <v/>
      </c>
      <c r="AP73" s="168" t="str">
        <f t="shared" si="23"/>
        <v/>
      </c>
      <c r="AQ73" s="28"/>
      <c r="AR73" s="28"/>
      <c r="AS73" s="20" t="str">
        <f>IF(AQ73="","",IF($F73="Bernardino Furlan",_xlfn.XLOOKUP(AQ73,Cadastros!$G$6:$G$90,Cadastros!$H$6:$H$90)*(1-0.18),IF($F73="Mauro José Salanti",_xlfn.XLOOKUP(AQ73,Cadastros!$G$6:$G$90,Cadastros!$H$6:$H$90)*(1-0.18),_xlfn.XLOOKUP(AQ73,Cadastros!$G$6:$G$90,Cadastros!$H$6:$H$90))))</f>
        <v/>
      </c>
      <c r="AT73" s="168" t="str">
        <f t="shared" si="24"/>
        <v/>
      </c>
      <c r="AU73" s="168" t="str">
        <f t="shared" si="25"/>
        <v/>
      </c>
      <c r="AV73" s="227"/>
      <c r="AW73" s="30"/>
      <c r="AX73" s="267"/>
      <c r="AY73" s="267"/>
      <c r="AZ73" s="29"/>
      <c r="BA73" s="30"/>
      <c r="BB73" s="23" t="str" cm="1">
        <f t="array" ref="BB73">_xlfn.IFS(AW73="SIM",SUM(K73,P73,U73,Z73,AE73,AJ73,AO73,AT73,AX73,AY73),F73&lt;&gt;"",SUM(K73,P73,U73,Z73,AE73,AJ73,,AO73,AT73),F73="","")</f>
        <v/>
      </c>
      <c r="BC73" s="211" t="str" cm="1">
        <f t="array" ref="BC73">_xlfn.IFS(E73="","",G73&lt;=E73,BB73*(1-0.03),G73&lt;(E73+8),BB73,AZ73="Boleto",BB73*(1+0.001)^DATEDIF(E73,G73,"D"),AZ73="Cheque",BB73,AZ73="Dinheiro","Alterar forma pgto")</f>
        <v/>
      </c>
      <c r="BD73" s="276" t="str" cm="1">
        <f t="array" ref="BD73">IF(F73=0," ",IF(BC73&lt;BB73,(_xlfn.IFS(AW73="SIM",SUM(L73,Q73,V73,AA73,AF73,AK73,AP73,AU73)+AX73/_xlfn.XLOOKUP(_xlfn.XLOOKUP($F73,Clientes!$B$4:$B$39,Clientes!$C$4:$C$39),Cadastros!$L$6:$L$12,Cadastros!$M$6:$M$12)+IF($F73="Bernardino Furlan",AY73/2751.92,IF($F73="Mauro José Salanti",AY73/2751.92,AY73/3356)),F73&lt;&gt;0,SUM(L73,Q73,V73,AA73,AF73,AK73,AP73,AU73)))*(1-0.03),_xlfn.IFS(AW73="SIM",SUM(L73,Q73,V73,AA73,AF73,AK73,AP73,AU73)+AX73/_xlfn.XLOOKUP(_xlfn.XLOOKUP($F73,Clientes!$B$4:$B$39,Clientes!$C$4:$C$39),Cadastros!$L$6:$L$12,Cadastros!$M$6:$M$12)+IF($F73="Bernardino Furlan",AY73/2751.92,IF($F73="Mauro José Salanti",AY73/2751.92,AY73/3356)),F73&lt;&gt;0,SUM(L73,Q73,V73,AA73,AF73,AK73,AP73,AU73))))</f>
        <v xml:space="preserve"> </v>
      </c>
      <c r="BE73" s="120"/>
      <c r="BF73" s="120"/>
      <c r="BG73" s="120"/>
      <c r="BL73" s="235" t="str">
        <f>IF(Cadastros!D70="","",Cadastros!D70)</f>
        <v/>
      </c>
      <c r="BM73" s="234"/>
      <c r="BN73" s="235" t="str">
        <f>IF(Cadastros!G70="","",Cadastros!G70)</f>
        <v/>
      </c>
    </row>
    <row r="74" spans="1:66" s="3" customFormat="1" x14ac:dyDescent="0.3">
      <c r="A74" s="15" t="str">
        <f t="shared" si="13"/>
        <v/>
      </c>
      <c r="B74" s="25"/>
      <c r="C74" s="26"/>
      <c r="D74" s="279"/>
      <c r="E74" s="27"/>
      <c r="F74" s="28"/>
      <c r="G74" s="27"/>
      <c r="H74" s="28"/>
      <c r="I74" s="28"/>
      <c r="J74" s="255" t="str">
        <f>IF(H74="","",(_xlfn.XLOOKUP(H74,Cadastros!$D$6:$D$90,Cadastros!$E$6:$E$90))*(1-_xlfn.XLOOKUP(_xlfn.XLOOKUP($F74,Clientes!$B$4:$B$39,Clientes!$C$4:$C$39),Cadastros!$L$6:$L$12,Cadastros!$N$6:$N$12)))</f>
        <v/>
      </c>
      <c r="K74" s="168" t="str">
        <f t="shared" si="14"/>
        <v/>
      </c>
      <c r="L74" s="168" t="str">
        <f>IFERROR(K74/_xlfn.XLOOKUP(_xlfn.XLOOKUP($F74,Clientes!$B$4:$B$39,Clientes!$C$4:$C$39),Cadastros!$L$6:$L$12,Cadastros!$M$6:$M$12)," ")</f>
        <v xml:space="preserve"> </v>
      </c>
      <c r="M74" s="28"/>
      <c r="N74" s="28"/>
      <c r="O74" s="255" t="str">
        <f>IF(M74="","",(_xlfn.XLOOKUP(M74,Cadastros!$D$6:$D$90,Cadastros!$E$6:$E$90))*(1-_xlfn.XLOOKUP(_xlfn.XLOOKUP($F74,Clientes!$B$4:$B$39,Clientes!$C$4:$C$39),Cadastros!$L$6:$L$12,Cadastros!$N$6:$N$12)))</f>
        <v/>
      </c>
      <c r="P74" s="168" t="str">
        <f t="shared" si="15"/>
        <v/>
      </c>
      <c r="Q74" s="168" t="str">
        <f>IFERROR(P74/_xlfn.XLOOKUP(_xlfn.XLOOKUP($F74,Clientes!$B$4:$B$39,Clientes!$C$4:$C$39),Cadastros!$L$6:$L$12,Cadastros!$M$6:$M$12)," ")</f>
        <v xml:space="preserve"> </v>
      </c>
      <c r="R74" s="28"/>
      <c r="S74" s="28"/>
      <c r="T74" s="255" t="str">
        <f>IF(R74="","",(_xlfn.XLOOKUP(R74,Cadastros!$D$6:$D$90,Cadastros!$E$6:$E$90))*(1-_xlfn.XLOOKUP(_xlfn.XLOOKUP($F74,Clientes!$B$4:$B$39,Clientes!$C$4:$C$39),Cadastros!$L$6:$L$12,Cadastros!$N$6:$N$12)))</f>
        <v/>
      </c>
      <c r="U74" s="168" t="str">
        <f t="shared" si="16"/>
        <v/>
      </c>
      <c r="V74" s="168" t="str">
        <f>IFERROR(U74/_xlfn.XLOOKUP(_xlfn.XLOOKUP($F74,Clientes!$B$4:$B$39,Clientes!$C$4:$C$39),Cadastros!$L$6:$L$12,Cadastros!$M$6:$M$12)," ")</f>
        <v xml:space="preserve"> </v>
      </c>
      <c r="W74" s="28"/>
      <c r="X74" s="28"/>
      <c r="Y74" s="255" t="str">
        <f>IF(W74="","",(_xlfn.XLOOKUP(W74,Cadastros!$D$6:$D$90,Cadastros!$E$6:$E$90))*(1-_xlfn.XLOOKUP(_xlfn.XLOOKUP($F74,Clientes!$B$4:$B$39,Clientes!$C$4:$C$39),Cadastros!$L$6:$L$12,Cadastros!$N$6:$N$12)))</f>
        <v/>
      </c>
      <c r="Z74" s="168" t="str">
        <f t="shared" si="17"/>
        <v/>
      </c>
      <c r="AA74" s="168" t="str">
        <f>IFERROR(Z74/_xlfn.XLOOKUP(_xlfn.XLOOKUP($F74,Clientes!$B$4:$B$39,Clientes!$C$4:$C$39),Cadastros!$L$6:$L$12,Cadastros!$M$6:$M$12)," ")</f>
        <v xml:space="preserve"> </v>
      </c>
      <c r="AB74" s="28"/>
      <c r="AC74" s="28"/>
      <c r="AD74" s="20" t="str">
        <f>IF(AB74="","",IF($F74="Bernardino Furlan",_xlfn.XLOOKUP(AB74,Cadastros!$G$6:$G$90,Cadastros!$H$6:$H$90)*(1-0.18),IF($F74="Mauro José Salanti",_xlfn.XLOOKUP(AB74,Cadastros!$G$6:$G$90,Cadastros!$H$6:$H$90)*(1-0.18),_xlfn.XLOOKUP(AB74,Cadastros!$G$6:$G$90,Cadastros!$H$6:$H$90))))</f>
        <v/>
      </c>
      <c r="AE74" s="168" t="str">
        <f t="shared" si="18"/>
        <v/>
      </c>
      <c r="AF74" s="168" t="str">
        <f t="shared" si="19"/>
        <v/>
      </c>
      <c r="AG74" s="28"/>
      <c r="AH74" s="28"/>
      <c r="AI74" s="20" t="str">
        <f>IF(AG74="","",IF($F74="Bernardino Furlan",_xlfn.XLOOKUP(AG74,Cadastros!$G$6:$G$90,Cadastros!$H$6:$H$90)*(1-0.18),IF($F74="Mauro José Salanti",_xlfn.XLOOKUP(AG74,Cadastros!$G$6:$G$90,Cadastros!$H$6:$H$90)*(1-0.18),_xlfn.XLOOKUP(AG74,Cadastros!$G$6:$G$90,Cadastros!$H$6:$H$90))))</f>
        <v/>
      </c>
      <c r="AJ74" s="168" t="str">
        <f t="shared" si="20"/>
        <v/>
      </c>
      <c r="AK74" s="168" t="str">
        <f t="shared" si="21"/>
        <v/>
      </c>
      <c r="AL74" s="28"/>
      <c r="AM74" s="28"/>
      <c r="AN74" s="20" t="str">
        <f>IF(AL74="","",IF($F74="Bernardino Furlan",_xlfn.XLOOKUP(AL74,Cadastros!$G$6:$G$90,Cadastros!$H$6:$H$90)*(1-0.18),IF($F74="Mauro José Salanti",_xlfn.XLOOKUP(AL74,Cadastros!$G$6:$G$90,Cadastros!$H$6:$H$90)*(1-0.18),_xlfn.XLOOKUP(AL74,Cadastros!$G$6:$G$90,Cadastros!$H$6:$H$90))))</f>
        <v/>
      </c>
      <c r="AO74" s="168" t="str">
        <f t="shared" si="22"/>
        <v/>
      </c>
      <c r="AP74" s="168" t="str">
        <f t="shared" si="23"/>
        <v/>
      </c>
      <c r="AQ74" s="28"/>
      <c r="AR74" s="28"/>
      <c r="AS74" s="20" t="str">
        <f>IF(AQ74="","",IF($F74="Bernardino Furlan",_xlfn.XLOOKUP(AQ74,Cadastros!$G$6:$G$90,Cadastros!$H$6:$H$90)*(1-0.18),IF($F74="Mauro José Salanti",_xlfn.XLOOKUP(AQ74,Cadastros!$G$6:$G$90,Cadastros!$H$6:$H$90)*(1-0.18),_xlfn.XLOOKUP(AQ74,Cadastros!$G$6:$G$90,Cadastros!$H$6:$H$90))))</f>
        <v/>
      </c>
      <c r="AT74" s="168" t="str">
        <f t="shared" si="24"/>
        <v/>
      </c>
      <c r="AU74" s="168" t="str">
        <f t="shared" si="25"/>
        <v/>
      </c>
      <c r="AV74" s="227"/>
      <c r="AW74" s="30"/>
      <c r="AX74" s="267"/>
      <c r="AY74" s="267"/>
      <c r="AZ74" s="29"/>
      <c r="BA74" s="30"/>
      <c r="BB74" s="23" t="str" cm="1">
        <f t="array" ref="BB74">_xlfn.IFS(AW74="SIM",SUM(K74,P74,U74,Z74,AE74,AJ74,AO74,AT74,AX74,AY74),F74&lt;&gt;"",SUM(K74,P74,U74,Z74,AE74,AJ74,,AO74,AT74),F74="","")</f>
        <v/>
      </c>
      <c r="BC74" s="211" t="str" cm="1">
        <f t="array" ref="BC74">_xlfn.IFS(E74="","",G74&lt;=E74,BB74*(1-0.03),G74&lt;(E74+8),BB74,AZ74="Boleto",BB74*(1+0.001)^DATEDIF(E74,G74,"D"),AZ74="Cheque",BB74,AZ74="Dinheiro","Alterar forma pgto")</f>
        <v/>
      </c>
      <c r="BD74" s="276" t="str" cm="1">
        <f t="array" ref="BD74">IF(F74=0," ",IF(BC74&lt;BB74,(_xlfn.IFS(AW74="SIM",SUM(L74,Q74,V74,AA74,AF74,AK74,AP74,AU74)+AX74/_xlfn.XLOOKUP(_xlfn.XLOOKUP($F74,Clientes!$B$4:$B$39,Clientes!$C$4:$C$39),Cadastros!$L$6:$L$12,Cadastros!$M$6:$M$12)+IF($F74="Bernardino Furlan",AY74/2751.92,IF($F74="Mauro José Salanti",AY74/2751.92,AY74/3356)),F74&lt;&gt;0,SUM(L74,Q74,V74,AA74,AF74,AK74,AP74,AU74)))*(1-0.03),_xlfn.IFS(AW74="SIM",SUM(L74,Q74,V74,AA74,AF74,AK74,AP74,AU74)+AX74/_xlfn.XLOOKUP(_xlfn.XLOOKUP($F74,Clientes!$B$4:$B$39,Clientes!$C$4:$C$39),Cadastros!$L$6:$L$12,Cadastros!$M$6:$M$12)+IF($F74="Bernardino Furlan",AY74/2751.92,IF($F74="Mauro José Salanti",AY74/2751.92,AY74/3356)),F74&lt;&gt;0,SUM(L74,Q74,V74,AA74,AF74,AK74,AP74,AU74))))</f>
        <v xml:space="preserve"> </v>
      </c>
      <c r="BE74" s="120"/>
      <c r="BF74" s="120"/>
      <c r="BG74" s="120"/>
      <c r="BL74" s="235" t="str">
        <f>IF(Cadastros!D71="","",Cadastros!D71)</f>
        <v>T005 - Travesseiro Junior 035 X 060 cm</v>
      </c>
      <c r="BM74" s="234"/>
      <c r="BN74" s="235" t="str">
        <f>IF(Cadastros!G71="","",Cadastros!G71)</f>
        <v>152 - Detector De Ondas E Magnétos 2 Em 1</v>
      </c>
    </row>
    <row r="75" spans="1:66" s="3" customFormat="1" x14ac:dyDescent="0.3">
      <c r="A75" s="15" t="str">
        <f t="shared" si="13"/>
        <v/>
      </c>
      <c r="B75" s="25"/>
      <c r="C75" s="26"/>
      <c r="D75" s="279"/>
      <c r="E75" s="27"/>
      <c r="F75" s="28"/>
      <c r="G75" s="27"/>
      <c r="H75" s="28"/>
      <c r="I75" s="28"/>
      <c r="J75" s="255" t="str">
        <f>IF(H75="","",(_xlfn.XLOOKUP(H75,Cadastros!$D$6:$D$90,Cadastros!$E$6:$E$90))*(1-_xlfn.XLOOKUP(_xlfn.XLOOKUP($F75,Clientes!$B$4:$B$39,Clientes!$C$4:$C$39),Cadastros!$L$6:$L$12,Cadastros!$N$6:$N$12)))</f>
        <v/>
      </c>
      <c r="K75" s="168" t="str">
        <f t="shared" si="14"/>
        <v/>
      </c>
      <c r="L75" s="168" t="str">
        <f>IFERROR(K75/_xlfn.XLOOKUP(_xlfn.XLOOKUP($F75,Clientes!$B$4:$B$39,Clientes!$C$4:$C$39),Cadastros!$L$6:$L$12,Cadastros!$M$6:$M$12)," ")</f>
        <v xml:space="preserve"> </v>
      </c>
      <c r="M75" s="28"/>
      <c r="N75" s="28"/>
      <c r="O75" s="255" t="str">
        <f>IF(M75="","",(_xlfn.XLOOKUP(M75,Cadastros!$D$6:$D$90,Cadastros!$E$6:$E$90))*(1-_xlfn.XLOOKUP(_xlfn.XLOOKUP($F75,Clientes!$B$4:$B$39,Clientes!$C$4:$C$39),Cadastros!$L$6:$L$12,Cadastros!$N$6:$N$12)))</f>
        <v/>
      </c>
      <c r="P75" s="168" t="str">
        <f t="shared" si="15"/>
        <v/>
      </c>
      <c r="Q75" s="168" t="str">
        <f>IFERROR(P75/_xlfn.XLOOKUP(_xlfn.XLOOKUP($F75,Clientes!$B$4:$B$39,Clientes!$C$4:$C$39),Cadastros!$L$6:$L$12,Cadastros!$M$6:$M$12)," ")</f>
        <v xml:space="preserve"> </v>
      </c>
      <c r="R75" s="28"/>
      <c r="S75" s="28"/>
      <c r="T75" s="255" t="str">
        <f>IF(R75="","",(_xlfn.XLOOKUP(R75,Cadastros!$D$6:$D$90,Cadastros!$E$6:$E$90))*(1-_xlfn.XLOOKUP(_xlfn.XLOOKUP($F75,Clientes!$B$4:$B$39,Clientes!$C$4:$C$39),Cadastros!$L$6:$L$12,Cadastros!$N$6:$N$12)))</f>
        <v/>
      </c>
      <c r="U75" s="168" t="str">
        <f t="shared" si="16"/>
        <v/>
      </c>
      <c r="V75" s="168" t="str">
        <f>IFERROR(U75/_xlfn.XLOOKUP(_xlfn.XLOOKUP($F75,Clientes!$B$4:$B$39,Clientes!$C$4:$C$39),Cadastros!$L$6:$L$12,Cadastros!$M$6:$M$12)," ")</f>
        <v xml:space="preserve"> </v>
      </c>
      <c r="W75" s="28"/>
      <c r="X75" s="28"/>
      <c r="Y75" s="255" t="str">
        <f>IF(W75="","",(_xlfn.XLOOKUP(W75,Cadastros!$D$6:$D$90,Cadastros!$E$6:$E$90))*(1-_xlfn.XLOOKUP(_xlfn.XLOOKUP($F75,Clientes!$B$4:$B$39,Clientes!$C$4:$C$39),Cadastros!$L$6:$L$12,Cadastros!$N$6:$N$12)))</f>
        <v/>
      </c>
      <c r="Z75" s="168" t="str">
        <f t="shared" si="17"/>
        <v/>
      </c>
      <c r="AA75" s="168" t="str">
        <f>IFERROR(Z75/_xlfn.XLOOKUP(_xlfn.XLOOKUP($F75,Clientes!$B$4:$B$39,Clientes!$C$4:$C$39),Cadastros!$L$6:$L$12,Cadastros!$M$6:$M$12)," ")</f>
        <v xml:space="preserve"> </v>
      </c>
      <c r="AB75" s="28"/>
      <c r="AC75" s="28"/>
      <c r="AD75" s="20" t="str">
        <f>IF(AB75="","",IF($F75="Bernardino Furlan",_xlfn.XLOOKUP(AB75,Cadastros!$G$6:$G$90,Cadastros!$H$6:$H$90)*(1-0.18),IF($F75="Mauro José Salanti",_xlfn.XLOOKUP(AB75,Cadastros!$G$6:$G$90,Cadastros!$H$6:$H$90)*(1-0.18),_xlfn.XLOOKUP(AB75,Cadastros!$G$6:$G$90,Cadastros!$H$6:$H$90))))</f>
        <v/>
      </c>
      <c r="AE75" s="168" t="str">
        <f t="shared" si="18"/>
        <v/>
      </c>
      <c r="AF75" s="168" t="str">
        <f t="shared" si="19"/>
        <v/>
      </c>
      <c r="AG75" s="28"/>
      <c r="AH75" s="28"/>
      <c r="AI75" s="20" t="str">
        <f>IF(AG75="","",IF($F75="Bernardino Furlan",_xlfn.XLOOKUP(AG75,Cadastros!$G$6:$G$90,Cadastros!$H$6:$H$90)*(1-0.18),IF($F75="Mauro José Salanti",_xlfn.XLOOKUP(AG75,Cadastros!$G$6:$G$90,Cadastros!$H$6:$H$90)*(1-0.18),_xlfn.XLOOKUP(AG75,Cadastros!$G$6:$G$90,Cadastros!$H$6:$H$90))))</f>
        <v/>
      </c>
      <c r="AJ75" s="168" t="str">
        <f t="shared" si="20"/>
        <v/>
      </c>
      <c r="AK75" s="168" t="str">
        <f t="shared" si="21"/>
        <v/>
      </c>
      <c r="AL75" s="28"/>
      <c r="AM75" s="28"/>
      <c r="AN75" s="20" t="str">
        <f>IF(AL75="","",IF($F75="Bernardino Furlan",_xlfn.XLOOKUP(AL75,Cadastros!$G$6:$G$90,Cadastros!$H$6:$H$90)*(1-0.18),IF($F75="Mauro José Salanti",_xlfn.XLOOKUP(AL75,Cadastros!$G$6:$G$90,Cadastros!$H$6:$H$90)*(1-0.18),_xlfn.XLOOKUP(AL75,Cadastros!$G$6:$G$90,Cadastros!$H$6:$H$90))))</f>
        <v/>
      </c>
      <c r="AO75" s="168" t="str">
        <f t="shared" si="22"/>
        <v/>
      </c>
      <c r="AP75" s="168" t="str">
        <f t="shared" si="23"/>
        <v/>
      </c>
      <c r="AQ75" s="28"/>
      <c r="AR75" s="28"/>
      <c r="AS75" s="20" t="str">
        <f>IF(AQ75="","",IF($F75="Bernardino Furlan",_xlfn.XLOOKUP(AQ75,Cadastros!$G$6:$G$90,Cadastros!$H$6:$H$90)*(1-0.18),IF($F75="Mauro José Salanti",_xlfn.XLOOKUP(AQ75,Cadastros!$G$6:$G$90,Cadastros!$H$6:$H$90)*(1-0.18),_xlfn.XLOOKUP(AQ75,Cadastros!$G$6:$G$90,Cadastros!$H$6:$H$90))))</f>
        <v/>
      </c>
      <c r="AT75" s="168" t="str">
        <f t="shared" si="24"/>
        <v/>
      </c>
      <c r="AU75" s="168" t="str">
        <f t="shared" si="25"/>
        <v/>
      </c>
      <c r="AV75" s="227"/>
      <c r="AW75" s="30"/>
      <c r="AX75" s="267"/>
      <c r="AY75" s="267"/>
      <c r="AZ75" s="29"/>
      <c r="BA75" s="30"/>
      <c r="BB75" s="23" t="str" cm="1">
        <f t="array" ref="BB75">_xlfn.IFS(AW75="SIM",SUM(K75,P75,U75,Z75,AE75,AJ75,AO75,AT75,AX75,AY75),F75&lt;&gt;"",SUM(K75,P75,U75,Z75,AE75,AJ75,,AO75,AT75),F75="","")</f>
        <v/>
      </c>
      <c r="BC75" s="211" t="str" cm="1">
        <f t="array" ref="BC75">_xlfn.IFS(E75="","",G75&lt;=E75,BB75*(1-0.03),G75&lt;(E75+8),BB75,AZ75="Boleto",BB75*(1+0.001)^DATEDIF(E75,G75,"D"),AZ75="Cheque",BB75,AZ75="Dinheiro","Alterar forma pgto")</f>
        <v/>
      </c>
      <c r="BD75" s="276" t="str" cm="1">
        <f t="array" ref="BD75">IF(F75=0," ",IF(BC75&lt;BB75,(_xlfn.IFS(AW75="SIM",SUM(L75,Q75,V75,AA75,AF75,AK75,AP75,AU75)+AX75/_xlfn.XLOOKUP(_xlfn.XLOOKUP($F75,Clientes!$B$4:$B$39,Clientes!$C$4:$C$39),Cadastros!$L$6:$L$12,Cadastros!$M$6:$M$12)+IF($F75="Bernardino Furlan",AY75/2751.92,IF($F75="Mauro José Salanti",AY75/2751.92,AY75/3356)),F75&lt;&gt;0,SUM(L75,Q75,V75,AA75,AF75,AK75,AP75,AU75)))*(1-0.03),_xlfn.IFS(AW75="SIM",SUM(L75,Q75,V75,AA75,AF75,AK75,AP75,AU75)+AX75/_xlfn.XLOOKUP(_xlfn.XLOOKUP($F75,Clientes!$B$4:$B$39,Clientes!$C$4:$C$39),Cadastros!$L$6:$L$12,Cadastros!$M$6:$M$12)+IF($F75="Bernardino Furlan",AY75/2751.92,IF($F75="Mauro José Salanti",AY75/2751.92,AY75/3356)),F75&lt;&gt;0,SUM(L75,Q75,V75,AA75,AF75,AK75,AP75,AU75))))</f>
        <v xml:space="preserve"> </v>
      </c>
      <c r="BE75" s="120"/>
      <c r="BF75" s="120"/>
      <c r="BG75" s="120"/>
      <c r="BL75" s="235" t="str">
        <f>IF(Cadastros!D72="","",Cadastros!D72)</f>
        <v xml:space="preserve">T006 - Travesseiro Colo De Mãe Jr Mag Inf 035 X 060 </v>
      </c>
      <c r="BM75" s="234"/>
      <c r="BN75" s="235" t="str">
        <f>IF(Cadastros!G72="","",Cadastros!G72)</f>
        <v>154 - Detector De Ondas E Magnétos 3 Em 1</v>
      </c>
    </row>
    <row r="76" spans="1:66" s="3" customFormat="1" x14ac:dyDescent="0.3">
      <c r="A76" s="15" t="str">
        <f t="shared" si="13"/>
        <v/>
      </c>
      <c r="B76" s="25"/>
      <c r="C76" s="26"/>
      <c r="D76" s="279"/>
      <c r="E76" s="27"/>
      <c r="F76" s="28"/>
      <c r="G76" s="27"/>
      <c r="H76" s="28"/>
      <c r="I76" s="28"/>
      <c r="J76" s="255" t="str">
        <f>IF(H76="","",(_xlfn.XLOOKUP(H76,Cadastros!$D$6:$D$90,Cadastros!$E$6:$E$90))*(1-_xlfn.XLOOKUP(_xlfn.XLOOKUP($F76,Clientes!$B$4:$B$39,Clientes!$C$4:$C$39),Cadastros!$L$6:$L$12,Cadastros!$N$6:$N$12)))</f>
        <v/>
      </c>
      <c r="K76" s="168" t="str">
        <f t="shared" si="14"/>
        <v/>
      </c>
      <c r="L76" s="168" t="str">
        <f>IFERROR(K76/_xlfn.XLOOKUP(_xlfn.XLOOKUP($F76,Clientes!$B$4:$B$39,Clientes!$C$4:$C$39),Cadastros!$L$6:$L$12,Cadastros!$M$6:$M$12)," ")</f>
        <v xml:space="preserve"> </v>
      </c>
      <c r="M76" s="28"/>
      <c r="N76" s="28"/>
      <c r="O76" s="255" t="str">
        <f>IF(M76="","",(_xlfn.XLOOKUP(M76,Cadastros!$D$6:$D$90,Cadastros!$E$6:$E$90))*(1-_xlfn.XLOOKUP(_xlfn.XLOOKUP($F76,Clientes!$B$4:$B$39,Clientes!$C$4:$C$39),Cadastros!$L$6:$L$12,Cadastros!$N$6:$N$12)))</f>
        <v/>
      </c>
      <c r="P76" s="168" t="str">
        <f t="shared" si="15"/>
        <v/>
      </c>
      <c r="Q76" s="168" t="str">
        <f>IFERROR(P76/_xlfn.XLOOKUP(_xlfn.XLOOKUP($F76,Clientes!$B$4:$B$39,Clientes!$C$4:$C$39),Cadastros!$L$6:$L$12,Cadastros!$M$6:$M$12)," ")</f>
        <v xml:space="preserve"> </v>
      </c>
      <c r="R76" s="28"/>
      <c r="S76" s="28"/>
      <c r="T76" s="255" t="str">
        <f>IF(R76="","",(_xlfn.XLOOKUP(R76,Cadastros!$D$6:$D$90,Cadastros!$E$6:$E$90))*(1-_xlfn.XLOOKUP(_xlfn.XLOOKUP($F76,Clientes!$B$4:$B$39,Clientes!$C$4:$C$39),Cadastros!$L$6:$L$12,Cadastros!$N$6:$N$12)))</f>
        <v/>
      </c>
      <c r="U76" s="168" t="str">
        <f t="shared" si="16"/>
        <v/>
      </c>
      <c r="V76" s="168" t="str">
        <f>IFERROR(U76/_xlfn.XLOOKUP(_xlfn.XLOOKUP($F76,Clientes!$B$4:$B$39,Clientes!$C$4:$C$39),Cadastros!$L$6:$L$12,Cadastros!$M$6:$M$12)," ")</f>
        <v xml:space="preserve"> </v>
      </c>
      <c r="W76" s="28"/>
      <c r="X76" s="28"/>
      <c r="Y76" s="255" t="str">
        <f>IF(W76="","",(_xlfn.XLOOKUP(W76,Cadastros!$D$6:$D$90,Cadastros!$E$6:$E$90))*(1-_xlfn.XLOOKUP(_xlfn.XLOOKUP($F76,Clientes!$B$4:$B$39,Clientes!$C$4:$C$39),Cadastros!$L$6:$L$12,Cadastros!$N$6:$N$12)))</f>
        <v/>
      </c>
      <c r="Z76" s="168" t="str">
        <f t="shared" si="17"/>
        <v/>
      </c>
      <c r="AA76" s="168" t="str">
        <f>IFERROR(Z76/_xlfn.XLOOKUP(_xlfn.XLOOKUP($F76,Clientes!$B$4:$B$39,Clientes!$C$4:$C$39),Cadastros!$L$6:$L$12,Cadastros!$M$6:$M$12)," ")</f>
        <v xml:space="preserve"> </v>
      </c>
      <c r="AB76" s="28"/>
      <c r="AC76" s="28"/>
      <c r="AD76" s="20" t="str">
        <f>IF(AB76="","",IF($F76="Bernardino Furlan",_xlfn.XLOOKUP(AB76,Cadastros!$G$6:$G$90,Cadastros!$H$6:$H$90)*(1-0.18),IF($F76="Mauro José Salanti",_xlfn.XLOOKUP(AB76,Cadastros!$G$6:$G$90,Cadastros!$H$6:$H$90)*(1-0.18),_xlfn.XLOOKUP(AB76,Cadastros!$G$6:$G$90,Cadastros!$H$6:$H$90))))</f>
        <v/>
      </c>
      <c r="AE76" s="168" t="str">
        <f t="shared" si="18"/>
        <v/>
      </c>
      <c r="AF76" s="168" t="str">
        <f t="shared" si="19"/>
        <v/>
      </c>
      <c r="AG76" s="28"/>
      <c r="AH76" s="28"/>
      <c r="AI76" s="20" t="str">
        <f>IF(AG76="","",IF($F76="Bernardino Furlan",_xlfn.XLOOKUP(AG76,Cadastros!$G$6:$G$90,Cadastros!$H$6:$H$90)*(1-0.18),IF($F76="Mauro José Salanti",_xlfn.XLOOKUP(AG76,Cadastros!$G$6:$G$90,Cadastros!$H$6:$H$90)*(1-0.18),_xlfn.XLOOKUP(AG76,Cadastros!$G$6:$G$90,Cadastros!$H$6:$H$90))))</f>
        <v/>
      </c>
      <c r="AJ76" s="168" t="str">
        <f t="shared" si="20"/>
        <v/>
      </c>
      <c r="AK76" s="168" t="str">
        <f t="shared" si="21"/>
        <v/>
      </c>
      <c r="AL76" s="28"/>
      <c r="AM76" s="28"/>
      <c r="AN76" s="20" t="str">
        <f>IF(AL76="","",IF($F76="Bernardino Furlan",_xlfn.XLOOKUP(AL76,Cadastros!$G$6:$G$90,Cadastros!$H$6:$H$90)*(1-0.18),IF($F76="Mauro José Salanti",_xlfn.XLOOKUP(AL76,Cadastros!$G$6:$G$90,Cadastros!$H$6:$H$90)*(1-0.18),_xlfn.XLOOKUP(AL76,Cadastros!$G$6:$G$90,Cadastros!$H$6:$H$90))))</f>
        <v/>
      </c>
      <c r="AO76" s="168" t="str">
        <f t="shared" si="22"/>
        <v/>
      </c>
      <c r="AP76" s="168" t="str">
        <f t="shared" si="23"/>
        <v/>
      </c>
      <c r="AQ76" s="28"/>
      <c r="AR76" s="28"/>
      <c r="AS76" s="20" t="str">
        <f>IF(AQ76="","",IF($F76="Bernardino Furlan",_xlfn.XLOOKUP(AQ76,Cadastros!$G$6:$G$90,Cadastros!$H$6:$H$90)*(1-0.18),IF($F76="Mauro José Salanti",_xlfn.XLOOKUP(AQ76,Cadastros!$G$6:$G$90,Cadastros!$H$6:$H$90)*(1-0.18),_xlfn.XLOOKUP(AQ76,Cadastros!$G$6:$G$90,Cadastros!$H$6:$H$90))))</f>
        <v/>
      </c>
      <c r="AT76" s="168" t="str">
        <f t="shared" si="24"/>
        <v/>
      </c>
      <c r="AU76" s="168" t="str">
        <f t="shared" si="25"/>
        <v/>
      </c>
      <c r="AV76" s="227"/>
      <c r="AW76" s="30"/>
      <c r="AX76" s="267"/>
      <c r="AY76" s="267"/>
      <c r="AZ76" s="29"/>
      <c r="BA76" s="30"/>
      <c r="BB76" s="23" t="str" cm="1">
        <f t="array" ref="BB76">_xlfn.IFS(AW76="SIM",SUM(K76,P76,U76,Z76,AE76,AJ76,AO76,AT76,AX76,AY76),F76&lt;&gt;"",SUM(K76,P76,U76,Z76,AE76,AJ76,,AO76,AT76),F76="","")</f>
        <v/>
      </c>
      <c r="BC76" s="211" t="str" cm="1">
        <f t="array" ref="BC76">_xlfn.IFS(E76="","",G76&lt;=E76,BB76*(1-0.03),G76&lt;(E76+8),BB76,AZ76="Boleto",BB76*(1+0.001)^DATEDIF(E76,G76,"D"),AZ76="Cheque",BB76,AZ76="Dinheiro","Alterar forma pgto")</f>
        <v/>
      </c>
      <c r="BD76" s="276" t="str" cm="1">
        <f t="array" ref="BD76">IF(F76=0," ",IF(BC76&lt;BB76,(_xlfn.IFS(AW76="SIM",SUM(L76,Q76,V76,AA76,AF76,AK76,AP76,AU76)+AX76/_xlfn.XLOOKUP(_xlfn.XLOOKUP($F76,Clientes!$B$4:$B$39,Clientes!$C$4:$C$39),Cadastros!$L$6:$L$12,Cadastros!$M$6:$M$12)+IF($F76="Bernardino Furlan",AY76/2751.92,IF($F76="Mauro José Salanti",AY76/2751.92,AY76/3356)),F76&lt;&gt;0,SUM(L76,Q76,V76,AA76,AF76,AK76,AP76,AU76)))*(1-0.03),_xlfn.IFS(AW76="SIM",SUM(L76,Q76,V76,AA76,AF76,AK76,AP76,AU76)+AX76/_xlfn.XLOOKUP(_xlfn.XLOOKUP($F76,Clientes!$B$4:$B$39,Clientes!$C$4:$C$39),Cadastros!$L$6:$L$12,Cadastros!$M$6:$M$12)+IF($F76="Bernardino Furlan",AY76/2751.92,IF($F76="Mauro José Salanti",AY76/2751.92,AY76/3356)),F76&lt;&gt;0,SUM(L76,Q76,V76,AA76,AF76,AK76,AP76,AU76))))</f>
        <v xml:space="preserve"> </v>
      </c>
      <c r="BE76" s="120"/>
      <c r="BF76" s="120"/>
      <c r="BG76" s="120"/>
      <c r="BL76" s="235" t="str">
        <f>IF(Cadastros!D73="","",Cadastros!D73)</f>
        <v>T007 - Travesseiro Infantil</v>
      </c>
      <c r="BM76" s="234"/>
      <c r="BN76" s="235" t="str">
        <f>IF(Cadastros!G73="","",Cadastros!G73)</f>
        <v/>
      </c>
    </row>
    <row r="77" spans="1:66" s="3" customFormat="1" x14ac:dyDescent="0.3">
      <c r="A77" s="15" t="str">
        <f t="shared" si="13"/>
        <v/>
      </c>
      <c r="B77" s="25"/>
      <c r="C77" s="26"/>
      <c r="D77" s="279"/>
      <c r="E77" s="27"/>
      <c r="F77" s="28"/>
      <c r="G77" s="27"/>
      <c r="H77" s="28"/>
      <c r="I77" s="28"/>
      <c r="J77" s="255" t="str">
        <f>IF(H77="","",(_xlfn.XLOOKUP(H77,Cadastros!$D$6:$D$90,Cadastros!$E$6:$E$90))*(1-_xlfn.XLOOKUP(_xlfn.XLOOKUP($F77,Clientes!$B$4:$B$39,Clientes!$C$4:$C$39),Cadastros!$L$6:$L$12,Cadastros!$N$6:$N$12)))</f>
        <v/>
      </c>
      <c r="K77" s="168" t="str">
        <f t="shared" si="14"/>
        <v/>
      </c>
      <c r="L77" s="168" t="str">
        <f>IFERROR(K77/_xlfn.XLOOKUP(_xlfn.XLOOKUP($F77,Clientes!$B$4:$B$39,Clientes!$C$4:$C$39),Cadastros!$L$6:$L$12,Cadastros!$M$6:$M$12)," ")</f>
        <v xml:space="preserve"> </v>
      </c>
      <c r="M77" s="28"/>
      <c r="N77" s="28"/>
      <c r="O77" s="255" t="str">
        <f>IF(M77="","",(_xlfn.XLOOKUP(M77,Cadastros!$D$6:$D$90,Cadastros!$E$6:$E$90))*(1-_xlfn.XLOOKUP(_xlfn.XLOOKUP($F77,Clientes!$B$4:$B$39,Clientes!$C$4:$C$39),Cadastros!$L$6:$L$12,Cadastros!$N$6:$N$12)))</f>
        <v/>
      </c>
      <c r="P77" s="168" t="str">
        <f t="shared" si="15"/>
        <v/>
      </c>
      <c r="Q77" s="168" t="str">
        <f>IFERROR(P77/_xlfn.XLOOKUP(_xlfn.XLOOKUP($F77,Clientes!$B$4:$B$39,Clientes!$C$4:$C$39),Cadastros!$L$6:$L$12,Cadastros!$M$6:$M$12)," ")</f>
        <v xml:space="preserve"> </v>
      </c>
      <c r="R77" s="28"/>
      <c r="S77" s="28"/>
      <c r="T77" s="255" t="str">
        <f>IF(R77="","",(_xlfn.XLOOKUP(R77,Cadastros!$D$6:$D$90,Cadastros!$E$6:$E$90))*(1-_xlfn.XLOOKUP(_xlfn.XLOOKUP($F77,Clientes!$B$4:$B$39,Clientes!$C$4:$C$39),Cadastros!$L$6:$L$12,Cadastros!$N$6:$N$12)))</f>
        <v/>
      </c>
      <c r="U77" s="168" t="str">
        <f t="shared" si="16"/>
        <v/>
      </c>
      <c r="V77" s="168" t="str">
        <f>IFERROR(U77/_xlfn.XLOOKUP(_xlfn.XLOOKUP($F77,Clientes!$B$4:$B$39,Clientes!$C$4:$C$39),Cadastros!$L$6:$L$12,Cadastros!$M$6:$M$12)," ")</f>
        <v xml:space="preserve"> </v>
      </c>
      <c r="W77" s="28"/>
      <c r="X77" s="28"/>
      <c r="Y77" s="255" t="str">
        <f>IF(W77="","",(_xlfn.XLOOKUP(W77,Cadastros!$D$6:$D$90,Cadastros!$E$6:$E$90))*(1-_xlfn.XLOOKUP(_xlfn.XLOOKUP($F77,Clientes!$B$4:$B$39,Clientes!$C$4:$C$39),Cadastros!$L$6:$L$12,Cadastros!$N$6:$N$12)))</f>
        <v/>
      </c>
      <c r="Z77" s="168" t="str">
        <f t="shared" si="17"/>
        <v/>
      </c>
      <c r="AA77" s="168" t="str">
        <f>IFERROR(Z77/_xlfn.XLOOKUP(_xlfn.XLOOKUP($F77,Clientes!$B$4:$B$39,Clientes!$C$4:$C$39),Cadastros!$L$6:$L$12,Cadastros!$M$6:$M$12)," ")</f>
        <v xml:space="preserve"> </v>
      </c>
      <c r="AB77" s="28"/>
      <c r="AC77" s="28"/>
      <c r="AD77" s="20" t="str">
        <f>IF(AB77="","",IF($F77="Bernardino Furlan",_xlfn.XLOOKUP(AB77,Cadastros!$G$6:$G$90,Cadastros!$H$6:$H$90)*(1-0.18),IF($F77="Mauro José Salanti",_xlfn.XLOOKUP(AB77,Cadastros!$G$6:$G$90,Cadastros!$H$6:$H$90)*(1-0.18),_xlfn.XLOOKUP(AB77,Cadastros!$G$6:$G$90,Cadastros!$H$6:$H$90))))</f>
        <v/>
      </c>
      <c r="AE77" s="168" t="str">
        <f t="shared" si="18"/>
        <v/>
      </c>
      <c r="AF77" s="168" t="str">
        <f t="shared" si="19"/>
        <v/>
      </c>
      <c r="AG77" s="28"/>
      <c r="AH77" s="28"/>
      <c r="AI77" s="20" t="str">
        <f>IF(AG77="","",IF($F77="Bernardino Furlan",_xlfn.XLOOKUP(AG77,Cadastros!$G$6:$G$90,Cadastros!$H$6:$H$90)*(1-0.18),IF($F77="Mauro José Salanti",_xlfn.XLOOKUP(AG77,Cadastros!$G$6:$G$90,Cadastros!$H$6:$H$90)*(1-0.18),_xlfn.XLOOKUP(AG77,Cadastros!$G$6:$G$90,Cadastros!$H$6:$H$90))))</f>
        <v/>
      </c>
      <c r="AJ77" s="168" t="str">
        <f t="shared" si="20"/>
        <v/>
      </c>
      <c r="AK77" s="168" t="str">
        <f t="shared" si="21"/>
        <v/>
      </c>
      <c r="AL77" s="28"/>
      <c r="AM77" s="28"/>
      <c r="AN77" s="20" t="str">
        <f>IF(AL77="","",IF($F77="Bernardino Furlan",_xlfn.XLOOKUP(AL77,Cadastros!$G$6:$G$90,Cadastros!$H$6:$H$90)*(1-0.18),IF($F77="Mauro José Salanti",_xlfn.XLOOKUP(AL77,Cadastros!$G$6:$G$90,Cadastros!$H$6:$H$90)*(1-0.18),_xlfn.XLOOKUP(AL77,Cadastros!$G$6:$G$90,Cadastros!$H$6:$H$90))))</f>
        <v/>
      </c>
      <c r="AO77" s="168" t="str">
        <f t="shared" si="22"/>
        <v/>
      </c>
      <c r="AP77" s="168" t="str">
        <f t="shared" si="23"/>
        <v/>
      </c>
      <c r="AQ77" s="28"/>
      <c r="AR77" s="28"/>
      <c r="AS77" s="20" t="str">
        <f>IF(AQ77="","",IF($F77="Bernardino Furlan",_xlfn.XLOOKUP(AQ77,Cadastros!$G$6:$G$90,Cadastros!$H$6:$H$90)*(1-0.18),IF($F77="Mauro José Salanti",_xlfn.XLOOKUP(AQ77,Cadastros!$G$6:$G$90,Cadastros!$H$6:$H$90)*(1-0.18),_xlfn.XLOOKUP(AQ77,Cadastros!$G$6:$G$90,Cadastros!$H$6:$H$90))))</f>
        <v/>
      </c>
      <c r="AT77" s="168" t="str">
        <f t="shared" si="24"/>
        <v/>
      </c>
      <c r="AU77" s="168" t="str">
        <f t="shared" si="25"/>
        <v/>
      </c>
      <c r="AV77" s="227"/>
      <c r="AW77" s="30"/>
      <c r="AX77" s="267"/>
      <c r="AY77" s="267"/>
      <c r="AZ77" s="29"/>
      <c r="BA77" s="30"/>
      <c r="BB77" s="23" t="str" cm="1">
        <f t="array" ref="BB77">_xlfn.IFS(AW77="SIM",SUM(K77,P77,U77,Z77,AE77,AJ77,AO77,AT77,AX77,AY77),F77&lt;&gt;"",SUM(K77,P77,U77,Z77,AE77,AJ77,,AO77,AT77),F77="","")</f>
        <v/>
      </c>
      <c r="BC77" s="211" t="str" cm="1">
        <f t="array" ref="BC77">_xlfn.IFS(E77="","",G77&lt;=E77,BB77*(1-0.03),G77&lt;(E77+8),BB77,AZ77="Boleto",BB77*(1+0.001)^DATEDIF(E77,G77,"D"),AZ77="Cheque",BB77,AZ77="Dinheiro","Alterar forma pgto")</f>
        <v/>
      </c>
      <c r="BD77" s="276" t="str" cm="1">
        <f t="array" ref="BD77">IF(F77=0," ",IF(BC77&lt;BB77,(_xlfn.IFS(AW77="SIM",SUM(L77,Q77,V77,AA77,AF77,AK77,AP77,AU77)+AX77/_xlfn.XLOOKUP(_xlfn.XLOOKUP($F77,Clientes!$B$4:$B$39,Clientes!$C$4:$C$39),Cadastros!$L$6:$L$12,Cadastros!$M$6:$M$12)+IF($F77="Bernardino Furlan",AY77/2751.92,IF($F77="Mauro José Salanti",AY77/2751.92,AY77/3356)),F77&lt;&gt;0,SUM(L77,Q77,V77,AA77,AF77,AK77,AP77,AU77)))*(1-0.03),_xlfn.IFS(AW77="SIM",SUM(L77,Q77,V77,AA77,AF77,AK77,AP77,AU77)+AX77/_xlfn.XLOOKUP(_xlfn.XLOOKUP($F77,Clientes!$B$4:$B$39,Clientes!$C$4:$C$39),Cadastros!$L$6:$L$12,Cadastros!$M$6:$M$12)+IF($F77="Bernardino Furlan",AY77/2751.92,IF($F77="Mauro José Salanti",AY77/2751.92,AY77/3356)),F77&lt;&gt;0,SUM(L77,Q77,V77,AA77,AF77,AK77,AP77,AU77))))</f>
        <v xml:space="preserve"> </v>
      </c>
      <c r="BE77" s="120"/>
      <c r="BF77" s="120"/>
      <c r="BG77" s="120"/>
      <c r="BL77" s="235" t="str">
        <f>IF(Cadastros!D74="","",Cadastros!D74)</f>
        <v/>
      </c>
      <c r="BM77" s="234"/>
      <c r="BN77" s="233" t="str">
        <f>IF(Cadastros!G74="","",Cadastros!G74)</f>
        <v>MANTA QUÂNTICA</v>
      </c>
    </row>
    <row r="78" spans="1:66" s="3" customFormat="1" x14ac:dyDescent="0.3">
      <c r="A78" s="15" t="str">
        <f t="shared" si="13"/>
        <v/>
      </c>
      <c r="B78" s="25"/>
      <c r="C78" s="26"/>
      <c r="D78" s="279"/>
      <c r="E78" s="27"/>
      <c r="F78" s="28"/>
      <c r="G78" s="27"/>
      <c r="H78" s="28"/>
      <c r="I78" s="28"/>
      <c r="J78" s="255" t="str">
        <f>IF(H78="","",(_xlfn.XLOOKUP(H78,Cadastros!$D$6:$D$90,Cadastros!$E$6:$E$90))*(1-_xlfn.XLOOKUP(_xlfn.XLOOKUP($F78,Clientes!$B$4:$B$39,Clientes!$C$4:$C$39),Cadastros!$L$6:$L$12,Cadastros!$N$6:$N$12)))</f>
        <v/>
      </c>
      <c r="K78" s="168" t="str">
        <f t="shared" si="14"/>
        <v/>
      </c>
      <c r="L78" s="168" t="str">
        <f>IFERROR(K78/_xlfn.XLOOKUP(_xlfn.XLOOKUP($F78,Clientes!$B$4:$B$39,Clientes!$C$4:$C$39),Cadastros!$L$6:$L$12,Cadastros!$M$6:$M$12)," ")</f>
        <v xml:space="preserve"> </v>
      </c>
      <c r="M78" s="28"/>
      <c r="N78" s="28"/>
      <c r="O78" s="255" t="str">
        <f>IF(M78="","",(_xlfn.XLOOKUP(M78,Cadastros!$D$6:$D$90,Cadastros!$E$6:$E$90))*(1-_xlfn.XLOOKUP(_xlfn.XLOOKUP($F78,Clientes!$B$4:$B$39,Clientes!$C$4:$C$39),Cadastros!$L$6:$L$12,Cadastros!$N$6:$N$12)))</f>
        <v/>
      </c>
      <c r="P78" s="168" t="str">
        <f t="shared" si="15"/>
        <v/>
      </c>
      <c r="Q78" s="168" t="str">
        <f>IFERROR(P78/_xlfn.XLOOKUP(_xlfn.XLOOKUP($F78,Clientes!$B$4:$B$39,Clientes!$C$4:$C$39),Cadastros!$L$6:$L$12,Cadastros!$M$6:$M$12)," ")</f>
        <v xml:space="preserve"> </v>
      </c>
      <c r="R78" s="28"/>
      <c r="S78" s="28"/>
      <c r="T78" s="255" t="str">
        <f>IF(R78="","",(_xlfn.XLOOKUP(R78,Cadastros!$D$6:$D$90,Cadastros!$E$6:$E$90))*(1-_xlfn.XLOOKUP(_xlfn.XLOOKUP($F78,Clientes!$B$4:$B$39,Clientes!$C$4:$C$39),Cadastros!$L$6:$L$12,Cadastros!$N$6:$N$12)))</f>
        <v/>
      </c>
      <c r="U78" s="168" t="str">
        <f t="shared" si="16"/>
        <v/>
      </c>
      <c r="V78" s="168" t="str">
        <f>IFERROR(U78/_xlfn.XLOOKUP(_xlfn.XLOOKUP($F78,Clientes!$B$4:$B$39,Clientes!$C$4:$C$39),Cadastros!$L$6:$L$12,Cadastros!$M$6:$M$12)," ")</f>
        <v xml:space="preserve"> </v>
      </c>
      <c r="W78" s="28"/>
      <c r="X78" s="28"/>
      <c r="Y78" s="255" t="str">
        <f>IF(W78="","",(_xlfn.XLOOKUP(W78,Cadastros!$D$6:$D$90,Cadastros!$E$6:$E$90))*(1-_xlfn.XLOOKUP(_xlfn.XLOOKUP($F78,Clientes!$B$4:$B$39,Clientes!$C$4:$C$39),Cadastros!$L$6:$L$12,Cadastros!$N$6:$N$12)))</f>
        <v/>
      </c>
      <c r="Z78" s="168" t="str">
        <f t="shared" si="17"/>
        <v/>
      </c>
      <c r="AA78" s="168" t="str">
        <f>IFERROR(Z78/_xlfn.XLOOKUP(_xlfn.XLOOKUP($F78,Clientes!$B$4:$B$39,Clientes!$C$4:$C$39),Cadastros!$L$6:$L$12,Cadastros!$M$6:$M$12)," ")</f>
        <v xml:space="preserve"> </v>
      </c>
      <c r="AB78" s="28"/>
      <c r="AC78" s="28"/>
      <c r="AD78" s="20" t="str">
        <f>IF(AB78="","",IF($F78="Bernardino Furlan",_xlfn.XLOOKUP(AB78,Cadastros!$G$6:$G$90,Cadastros!$H$6:$H$90)*(1-0.18),IF($F78="Mauro José Salanti",_xlfn.XLOOKUP(AB78,Cadastros!$G$6:$G$90,Cadastros!$H$6:$H$90)*(1-0.18),_xlfn.XLOOKUP(AB78,Cadastros!$G$6:$G$90,Cadastros!$H$6:$H$90))))</f>
        <v/>
      </c>
      <c r="AE78" s="168" t="str">
        <f t="shared" si="18"/>
        <v/>
      </c>
      <c r="AF78" s="168" t="str">
        <f t="shared" si="19"/>
        <v/>
      </c>
      <c r="AG78" s="28"/>
      <c r="AH78" s="28"/>
      <c r="AI78" s="20" t="str">
        <f>IF(AG78="","",IF($F78="Bernardino Furlan",_xlfn.XLOOKUP(AG78,Cadastros!$G$6:$G$90,Cadastros!$H$6:$H$90)*(1-0.18),IF($F78="Mauro José Salanti",_xlfn.XLOOKUP(AG78,Cadastros!$G$6:$G$90,Cadastros!$H$6:$H$90)*(1-0.18),_xlfn.XLOOKUP(AG78,Cadastros!$G$6:$G$90,Cadastros!$H$6:$H$90))))</f>
        <v/>
      </c>
      <c r="AJ78" s="168" t="str">
        <f t="shared" si="20"/>
        <v/>
      </c>
      <c r="AK78" s="168" t="str">
        <f t="shared" si="21"/>
        <v/>
      </c>
      <c r="AL78" s="28"/>
      <c r="AM78" s="28"/>
      <c r="AN78" s="20" t="str">
        <f>IF(AL78="","",IF($F78="Bernardino Furlan",_xlfn.XLOOKUP(AL78,Cadastros!$G$6:$G$90,Cadastros!$H$6:$H$90)*(1-0.18),IF($F78="Mauro José Salanti",_xlfn.XLOOKUP(AL78,Cadastros!$G$6:$G$90,Cadastros!$H$6:$H$90)*(1-0.18),_xlfn.XLOOKUP(AL78,Cadastros!$G$6:$G$90,Cadastros!$H$6:$H$90))))</f>
        <v/>
      </c>
      <c r="AO78" s="168" t="str">
        <f t="shared" si="22"/>
        <v/>
      </c>
      <c r="AP78" s="168" t="str">
        <f t="shared" si="23"/>
        <v/>
      </c>
      <c r="AQ78" s="28"/>
      <c r="AR78" s="28"/>
      <c r="AS78" s="20" t="str">
        <f>IF(AQ78="","",IF($F78="Bernardino Furlan",_xlfn.XLOOKUP(AQ78,Cadastros!$G$6:$G$90,Cadastros!$H$6:$H$90)*(1-0.18),IF($F78="Mauro José Salanti",_xlfn.XLOOKUP(AQ78,Cadastros!$G$6:$G$90,Cadastros!$H$6:$H$90)*(1-0.18),_xlfn.XLOOKUP(AQ78,Cadastros!$G$6:$G$90,Cadastros!$H$6:$H$90))))</f>
        <v/>
      </c>
      <c r="AT78" s="168" t="str">
        <f t="shared" si="24"/>
        <v/>
      </c>
      <c r="AU78" s="168" t="str">
        <f t="shared" si="25"/>
        <v/>
      </c>
      <c r="AV78" s="227"/>
      <c r="AW78" s="30"/>
      <c r="AX78" s="267"/>
      <c r="AY78" s="267"/>
      <c r="AZ78" s="29"/>
      <c r="BA78" s="30"/>
      <c r="BB78" s="23" t="str" cm="1">
        <f t="array" ref="BB78">_xlfn.IFS(AW78="SIM",SUM(K78,P78,U78,Z78,AE78,AJ78,AO78,AT78,AX78,AY78),F78&lt;&gt;"",SUM(K78,P78,U78,Z78,AE78,AJ78,,AO78,AT78),F78="","")</f>
        <v/>
      </c>
      <c r="BC78" s="211" t="str" cm="1">
        <f t="array" ref="BC78">_xlfn.IFS(E78="","",G78&lt;=E78,BB78*(1-0.03),G78&lt;(E78+8),BB78,AZ78="Boleto",BB78*(1+0.001)^DATEDIF(E78,G78,"D"),AZ78="Cheque",BB78,AZ78="Dinheiro","Alterar forma pgto")</f>
        <v/>
      </c>
      <c r="BD78" s="276" t="str" cm="1">
        <f t="array" ref="BD78">IF(F78=0," ",IF(BC78&lt;BB78,(_xlfn.IFS(AW78="SIM",SUM(L78,Q78,V78,AA78,AF78,AK78,AP78,AU78)+AX78/_xlfn.XLOOKUP(_xlfn.XLOOKUP($F78,Clientes!$B$4:$B$39,Clientes!$C$4:$C$39),Cadastros!$L$6:$L$12,Cadastros!$M$6:$M$12)+IF($F78="Bernardino Furlan",AY78/2751.92,IF($F78="Mauro José Salanti",AY78/2751.92,AY78/3356)),F78&lt;&gt;0,SUM(L78,Q78,V78,AA78,AF78,AK78,AP78,AU78)))*(1-0.03),_xlfn.IFS(AW78="SIM",SUM(L78,Q78,V78,AA78,AF78,AK78,AP78,AU78)+AX78/_xlfn.XLOOKUP(_xlfn.XLOOKUP($F78,Clientes!$B$4:$B$39,Clientes!$C$4:$C$39),Cadastros!$L$6:$L$12,Cadastros!$M$6:$M$12)+IF($F78="Bernardino Furlan",AY78/2751.92,IF($F78="Mauro José Salanti",AY78/2751.92,AY78/3356)),F78&lt;&gt;0,SUM(L78,Q78,V78,AA78,AF78,AK78,AP78,AU78))))</f>
        <v xml:space="preserve"> </v>
      </c>
      <c r="BE78" s="120"/>
      <c r="BF78" s="120"/>
      <c r="BG78" s="120"/>
      <c r="BL78" s="235" t="str">
        <f>IF(Cadastros!D75="","",Cadastros!D75)</f>
        <v/>
      </c>
      <c r="BM78" s="234"/>
      <c r="BN78" s="235" t="str">
        <f>IF(Cadastros!G75="","",Cadastros!G75)</f>
        <v>000 - Manta Quântica 088 x 188</v>
      </c>
    </row>
    <row r="79" spans="1:66" s="3" customFormat="1" x14ac:dyDescent="0.3">
      <c r="A79" s="15" t="str">
        <f t="shared" si="13"/>
        <v/>
      </c>
      <c r="B79" s="25"/>
      <c r="C79" s="26"/>
      <c r="D79" s="279"/>
      <c r="E79" s="27"/>
      <c r="F79" s="28"/>
      <c r="G79" s="27"/>
      <c r="H79" s="28"/>
      <c r="I79" s="28"/>
      <c r="J79" s="255" t="str">
        <f>IF(H79="","",(_xlfn.XLOOKUP(H79,Cadastros!$D$6:$D$90,Cadastros!$E$6:$E$90))*(1-_xlfn.XLOOKUP(_xlfn.XLOOKUP($F79,Clientes!$B$4:$B$39,Clientes!$C$4:$C$39),Cadastros!$L$6:$L$12,Cadastros!$N$6:$N$12)))</f>
        <v/>
      </c>
      <c r="K79" s="168" t="str">
        <f t="shared" si="14"/>
        <v/>
      </c>
      <c r="L79" s="168" t="str">
        <f>IFERROR(K79/_xlfn.XLOOKUP(_xlfn.XLOOKUP($F79,Clientes!$B$4:$B$39,Clientes!$C$4:$C$39),Cadastros!$L$6:$L$12,Cadastros!$M$6:$M$12)," ")</f>
        <v xml:space="preserve"> </v>
      </c>
      <c r="M79" s="28"/>
      <c r="N79" s="28"/>
      <c r="O79" s="255" t="str">
        <f>IF(M79="","",(_xlfn.XLOOKUP(M79,Cadastros!$D$6:$D$90,Cadastros!$E$6:$E$90))*(1-_xlfn.XLOOKUP(_xlfn.XLOOKUP($F79,Clientes!$B$4:$B$39,Clientes!$C$4:$C$39),Cadastros!$L$6:$L$12,Cadastros!$N$6:$N$12)))</f>
        <v/>
      </c>
      <c r="P79" s="168" t="str">
        <f t="shared" si="15"/>
        <v/>
      </c>
      <c r="Q79" s="168" t="str">
        <f>IFERROR(P79/_xlfn.XLOOKUP(_xlfn.XLOOKUP($F79,Clientes!$B$4:$B$39,Clientes!$C$4:$C$39),Cadastros!$L$6:$L$12,Cadastros!$M$6:$M$12)," ")</f>
        <v xml:space="preserve"> </v>
      </c>
      <c r="R79" s="28"/>
      <c r="S79" s="28"/>
      <c r="T79" s="255" t="str">
        <f>IF(R79="","",(_xlfn.XLOOKUP(R79,Cadastros!$D$6:$D$90,Cadastros!$E$6:$E$90))*(1-_xlfn.XLOOKUP(_xlfn.XLOOKUP($F79,Clientes!$B$4:$B$39,Clientes!$C$4:$C$39),Cadastros!$L$6:$L$12,Cadastros!$N$6:$N$12)))</f>
        <v/>
      </c>
      <c r="U79" s="168" t="str">
        <f t="shared" si="16"/>
        <v/>
      </c>
      <c r="V79" s="168" t="str">
        <f>IFERROR(U79/_xlfn.XLOOKUP(_xlfn.XLOOKUP($F79,Clientes!$B$4:$B$39,Clientes!$C$4:$C$39),Cadastros!$L$6:$L$12,Cadastros!$M$6:$M$12)," ")</f>
        <v xml:space="preserve"> </v>
      </c>
      <c r="W79" s="28"/>
      <c r="X79" s="28"/>
      <c r="Y79" s="255" t="str">
        <f>IF(W79="","",(_xlfn.XLOOKUP(W79,Cadastros!$D$6:$D$90,Cadastros!$E$6:$E$90))*(1-_xlfn.XLOOKUP(_xlfn.XLOOKUP($F79,Clientes!$B$4:$B$39,Clientes!$C$4:$C$39),Cadastros!$L$6:$L$12,Cadastros!$N$6:$N$12)))</f>
        <v/>
      </c>
      <c r="Z79" s="168" t="str">
        <f t="shared" si="17"/>
        <v/>
      </c>
      <c r="AA79" s="168" t="str">
        <f>IFERROR(Z79/_xlfn.XLOOKUP(_xlfn.XLOOKUP($F79,Clientes!$B$4:$B$39,Clientes!$C$4:$C$39),Cadastros!$L$6:$L$12,Cadastros!$M$6:$M$12)," ")</f>
        <v xml:space="preserve"> </v>
      </c>
      <c r="AB79" s="28"/>
      <c r="AC79" s="28"/>
      <c r="AD79" s="20" t="str">
        <f>IF(AB79="","",IF($F79="Bernardino Furlan",_xlfn.XLOOKUP(AB79,Cadastros!$G$6:$G$90,Cadastros!$H$6:$H$90)*(1-0.18),IF($F79="Mauro José Salanti",_xlfn.XLOOKUP(AB79,Cadastros!$G$6:$G$90,Cadastros!$H$6:$H$90)*(1-0.18),_xlfn.XLOOKUP(AB79,Cadastros!$G$6:$G$90,Cadastros!$H$6:$H$90))))</f>
        <v/>
      </c>
      <c r="AE79" s="168" t="str">
        <f t="shared" si="18"/>
        <v/>
      </c>
      <c r="AF79" s="168" t="str">
        <f t="shared" si="19"/>
        <v/>
      </c>
      <c r="AG79" s="28"/>
      <c r="AH79" s="28"/>
      <c r="AI79" s="20" t="str">
        <f>IF(AG79="","",IF($F79="Bernardino Furlan",_xlfn.XLOOKUP(AG79,Cadastros!$G$6:$G$90,Cadastros!$H$6:$H$90)*(1-0.18),IF($F79="Mauro José Salanti",_xlfn.XLOOKUP(AG79,Cadastros!$G$6:$G$90,Cadastros!$H$6:$H$90)*(1-0.18),_xlfn.XLOOKUP(AG79,Cadastros!$G$6:$G$90,Cadastros!$H$6:$H$90))))</f>
        <v/>
      </c>
      <c r="AJ79" s="168" t="str">
        <f t="shared" si="20"/>
        <v/>
      </c>
      <c r="AK79" s="168" t="str">
        <f t="shared" si="21"/>
        <v/>
      </c>
      <c r="AL79" s="28"/>
      <c r="AM79" s="28"/>
      <c r="AN79" s="20" t="str">
        <f>IF(AL79="","",IF($F79="Bernardino Furlan",_xlfn.XLOOKUP(AL79,Cadastros!$G$6:$G$90,Cadastros!$H$6:$H$90)*(1-0.18),IF($F79="Mauro José Salanti",_xlfn.XLOOKUP(AL79,Cadastros!$G$6:$G$90,Cadastros!$H$6:$H$90)*(1-0.18),_xlfn.XLOOKUP(AL79,Cadastros!$G$6:$G$90,Cadastros!$H$6:$H$90))))</f>
        <v/>
      </c>
      <c r="AO79" s="168" t="str">
        <f t="shared" si="22"/>
        <v/>
      </c>
      <c r="AP79" s="168" t="str">
        <f t="shared" si="23"/>
        <v/>
      </c>
      <c r="AQ79" s="28"/>
      <c r="AR79" s="28"/>
      <c r="AS79" s="20" t="str">
        <f>IF(AQ79="","",IF($F79="Bernardino Furlan",_xlfn.XLOOKUP(AQ79,Cadastros!$G$6:$G$90,Cadastros!$H$6:$H$90)*(1-0.18),IF($F79="Mauro José Salanti",_xlfn.XLOOKUP(AQ79,Cadastros!$G$6:$G$90,Cadastros!$H$6:$H$90)*(1-0.18),_xlfn.XLOOKUP(AQ79,Cadastros!$G$6:$G$90,Cadastros!$H$6:$H$90))))</f>
        <v/>
      </c>
      <c r="AT79" s="168" t="str">
        <f t="shared" si="24"/>
        <v/>
      </c>
      <c r="AU79" s="168" t="str">
        <f t="shared" si="25"/>
        <v/>
      </c>
      <c r="AV79" s="227"/>
      <c r="AW79" s="30"/>
      <c r="AX79" s="267"/>
      <c r="AY79" s="267"/>
      <c r="AZ79" s="29"/>
      <c r="BA79" s="30"/>
      <c r="BB79" s="23" t="str" cm="1">
        <f t="array" ref="BB79">_xlfn.IFS(AW79="SIM",SUM(K79,P79,U79,Z79,AE79,AJ79,AO79,AT79,AX79,AY79),F79&lt;&gt;"",SUM(K79,P79,U79,Z79,AE79,AJ79,,AO79,AT79),F79="","")</f>
        <v/>
      </c>
      <c r="BC79" s="211" t="str" cm="1">
        <f t="array" ref="BC79">_xlfn.IFS(E79="","",G79&lt;=E79,BB79*(1-0.03),G79&lt;(E79+8),BB79,AZ79="Boleto",BB79*(1+0.001)^DATEDIF(E79,G79,"D"),AZ79="Cheque",BB79,AZ79="Dinheiro","Alterar forma pgto")</f>
        <v/>
      </c>
      <c r="BD79" s="276" t="str" cm="1">
        <f t="array" ref="BD79">IF(F79=0," ",IF(BC79&lt;BB79,(_xlfn.IFS(AW79="SIM",SUM(L79,Q79,V79,AA79,AF79,AK79,AP79,AU79)+AX79/_xlfn.XLOOKUP(_xlfn.XLOOKUP($F79,Clientes!$B$4:$B$39,Clientes!$C$4:$C$39),Cadastros!$L$6:$L$12,Cadastros!$M$6:$M$12)+IF($F79="Bernardino Furlan",AY79/2751.92,IF($F79="Mauro José Salanti",AY79/2751.92,AY79/3356)),F79&lt;&gt;0,SUM(L79,Q79,V79,AA79,AF79,AK79,AP79,AU79)))*(1-0.03),_xlfn.IFS(AW79="SIM",SUM(L79,Q79,V79,AA79,AF79,AK79,AP79,AU79)+AX79/_xlfn.XLOOKUP(_xlfn.XLOOKUP($F79,Clientes!$B$4:$B$39,Clientes!$C$4:$C$39),Cadastros!$L$6:$L$12,Cadastros!$M$6:$M$12)+IF($F79="Bernardino Furlan",AY79/2751.92,IF($F79="Mauro José Salanti",AY79/2751.92,AY79/3356)),F79&lt;&gt;0,SUM(L79,Q79,V79,AA79,AF79,AK79,AP79,AU79))))</f>
        <v xml:space="preserve"> </v>
      </c>
      <c r="BE79" s="120"/>
      <c r="BF79" s="120"/>
      <c r="BG79" s="120"/>
      <c r="BL79" s="233" t="str">
        <f>IF(Cadastros!D76="","",Cadastros!D76)</f>
        <v>ESPECIAIS</v>
      </c>
      <c r="BM79" s="234"/>
      <c r="BN79" s="235" t="str">
        <f>IF(Cadastros!G76="","",Cadastros!G76)</f>
        <v>140 - Manta Quântica 138 x 188</v>
      </c>
    </row>
    <row r="80" spans="1:66" s="3" customFormat="1" x14ac:dyDescent="0.3">
      <c r="A80" s="15" t="str">
        <f t="shared" si="13"/>
        <v/>
      </c>
      <c r="B80" s="25"/>
      <c r="C80" s="26"/>
      <c r="D80" s="279"/>
      <c r="E80" s="27"/>
      <c r="F80" s="28"/>
      <c r="G80" s="27"/>
      <c r="H80" s="28"/>
      <c r="I80" s="28"/>
      <c r="J80" s="255" t="str">
        <f>IF(H80="","",(_xlfn.XLOOKUP(H80,Cadastros!$D$6:$D$90,Cadastros!$E$6:$E$90))*(1-_xlfn.XLOOKUP(_xlfn.XLOOKUP($F80,Clientes!$B$4:$B$39,Clientes!$C$4:$C$39),Cadastros!$L$6:$L$12,Cadastros!$N$6:$N$12)))</f>
        <v/>
      </c>
      <c r="K80" s="168" t="str">
        <f t="shared" si="14"/>
        <v/>
      </c>
      <c r="L80" s="168" t="str">
        <f>IFERROR(K80/_xlfn.XLOOKUP(_xlfn.XLOOKUP($F80,Clientes!$B$4:$B$39,Clientes!$C$4:$C$39),Cadastros!$L$6:$L$12,Cadastros!$M$6:$M$12)," ")</f>
        <v xml:space="preserve"> </v>
      </c>
      <c r="M80" s="28"/>
      <c r="N80" s="28"/>
      <c r="O80" s="255" t="str">
        <f>IF(M80="","",(_xlfn.XLOOKUP(M80,Cadastros!$D$6:$D$90,Cadastros!$E$6:$E$90))*(1-_xlfn.XLOOKUP(_xlfn.XLOOKUP($F80,Clientes!$B$4:$B$39,Clientes!$C$4:$C$39),Cadastros!$L$6:$L$12,Cadastros!$N$6:$N$12)))</f>
        <v/>
      </c>
      <c r="P80" s="168" t="str">
        <f t="shared" si="15"/>
        <v/>
      </c>
      <c r="Q80" s="168" t="str">
        <f>IFERROR(P80/_xlfn.XLOOKUP(_xlfn.XLOOKUP($F80,Clientes!$B$4:$B$39,Clientes!$C$4:$C$39),Cadastros!$L$6:$L$12,Cadastros!$M$6:$M$12)," ")</f>
        <v xml:space="preserve"> </v>
      </c>
      <c r="R80" s="28"/>
      <c r="S80" s="28"/>
      <c r="T80" s="255" t="str">
        <f>IF(R80="","",(_xlfn.XLOOKUP(R80,Cadastros!$D$6:$D$90,Cadastros!$E$6:$E$90))*(1-_xlfn.XLOOKUP(_xlfn.XLOOKUP($F80,Clientes!$B$4:$B$39,Clientes!$C$4:$C$39),Cadastros!$L$6:$L$12,Cadastros!$N$6:$N$12)))</f>
        <v/>
      </c>
      <c r="U80" s="168" t="str">
        <f t="shared" si="16"/>
        <v/>
      </c>
      <c r="V80" s="168" t="str">
        <f>IFERROR(U80/_xlfn.XLOOKUP(_xlfn.XLOOKUP($F80,Clientes!$B$4:$B$39,Clientes!$C$4:$C$39),Cadastros!$L$6:$L$12,Cadastros!$M$6:$M$12)," ")</f>
        <v xml:space="preserve"> </v>
      </c>
      <c r="W80" s="28"/>
      <c r="X80" s="28"/>
      <c r="Y80" s="255" t="str">
        <f>IF(W80="","",(_xlfn.XLOOKUP(W80,Cadastros!$D$6:$D$90,Cadastros!$E$6:$E$90))*(1-_xlfn.XLOOKUP(_xlfn.XLOOKUP($F80,Clientes!$B$4:$B$39,Clientes!$C$4:$C$39),Cadastros!$L$6:$L$12,Cadastros!$N$6:$N$12)))</f>
        <v/>
      </c>
      <c r="Z80" s="168" t="str">
        <f t="shared" si="17"/>
        <v/>
      </c>
      <c r="AA80" s="168" t="str">
        <f>IFERROR(Z80/_xlfn.XLOOKUP(_xlfn.XLOOKUP($F80,Clientes!$B$4:$B$39,Clientes!$C$4:$C$39),Cadastros!$L$6:$L$12,Cadastros!$M$6:$M$12)," ")</f>
        <v xml:space="preserve"> </v>
      </c>
      <c r="AB80" s="28"/>
      <c r="AC80" s="28"/>
      <c r="AD80" s="20" t="str">
        <f>IF(AB80="","",IF($F80="Bernardino Furlan",_xlfn.XLOOKUP(AB80,Cadastros!$G$6:$G$90,Cadastros!$H$6:$H$90)*(1-0.18),IF($F80="Mauro José Salanti",_xlfn.XLOOKUP(AB80,Cadastros!$G$6:$G$90,Cadastros!$H$6:$H$90)*(1-0.18),_xlfn.XLOOKUP(AB80,Cadastros!$G$6:$G$90,Cadastros!$H$6:$H$90))))</f>
        <v/>
      </c>
      <c r="AE80" s="168" t="str">
        <f t="shared" si="18"/>
        <v/>
      </c>
      <c r="AF80" s="168" t="str">
        <f t="shared" si="19"/>
        <v/>
      </c>
      <c r="AG80" s="28"/>
      <c r="AH80" s="28"/>
      <c r="AI80" s="20" t="str">
        <f>IF(AG80="","",IF($F80="Bernardino Furlan",_xlfn.XLOOKUP(AG80,Cadastros!$G$6:$G$90,Cadastros!$H$6:$H$90)*(1-0.18),IF($F80="Mauro José Salanti",_xlfn.XLOOKUP(AG80,Cadastros!$G$6:$G$90,Cadastros!$H$6:$H$90)*(1-0.18),_xlfn.XLOOKUP(AG80,Cadastros!$G$6:$G$90,Cadastros!$H$6:$H$90))))</f>
        <v/>
      </c>
      <c r="AJ80" s="168" t="str">
        <f t="shared" si="20"/>
        <v/>
      </c>
      <c r="AK80" s="168" t="str">
        <f t="shared" si="21"/>
        <v/>
      </c>
      <c r="AL80" s="28"/>
      <c r="AM80" s="28"/>
      <c r="AN80" s="20" t="str">
        <f>IF(AL80="","",IF($F80="Bernardino Furlan",_xlfn.XLOOKUP(AL80,Cadastros!$G$6:$G$90,Cadastros!$H$6:$H$90)*(1-0.18),IF($F80="Mauro José Salanti",_xlfn.XLOOKUP(AL80,Cadastros!$G$6:$G$90,Cadastros!$H$6:$H$90)*(1-0.18),_xlfn.XLOOKUP(AL80,Cadastros!$G$6:$G$90,Cadastros!$H$6:$H$90))))</f>
        <v/>
      </c>
      <c r="AO80" s="168" t="str">
        <f t="shared" si="22"/>
        <v/>
      </c>
      <c r="AP80" s="168" t="str">
        <f t="shared" si="23"/>
        <v/>
      </c>
      <c r="AQ80" s="28"/>
      <c r="AR80" s="28"/>
      <c r="AS80" s="20" t="str">
        <f>IF(AQ80="","",IF($F80="Bernardino Furlan",_xlfn.XLOOKUP(AQ80,Cadastros!$G$6:$G$90,Cadastros!$H$6:$H$90)*(1-0.18),IF($F80="Mauro José Salanti",_xlfn.XLOOKUP(AQ80,Cadastros!$G$6:$G$90,Cadastros!$H$6:$H$90)*(1-0.18),_xlfn.XLOOKUP(AQ80,Cadastros!$G$6:$G$90,Cadastros!$H$6:$H$90))))</f>
        <v/>
      </c>
      <c r="AT80" s="168" t="str">
        <f t="shared" si="24"/>
        <v/>
      </c>
      <c r="AU80" s="168" t="str">
        <f t="shared" si="25"/>
        <v/>
      </c>
      <c r="AV80" s="227"/>
      <c r="AW80" s="30"/>
      <c r="AX80" s="267"/>
      <c r="AY80" s="267"/>
      <c r="AZ80" s="29"/>
      <c r="BA80" s="30"/>
      <c r="BB80" s="23" t="str" cm="1">
        <f t="array" ref="BB80">_xlfn.IFS(AW80="SIM",SUM(K80,P80,U80,Z80,AE80,AJ80,AO80,AT80,AX80,AY80),F80&lt;&gt;"",SUM(K80,P80,U80,Z80,AE80,AJ80,,AO80,AT80),F80="","")</f>
        <v/>
      </c>
      <c r="BC80" s="211" t="str" cm="1">
        <f t="array" ref="BC80">_xlfn.IFS(E80="","",G80&lt;=E80,BB80*(1-0.03),G80&lt;(E80+8),BB80,AZ80="Boleto",BB80*(1+0.001)^DATEDIF(E80,G80,"D"),AZ80="Cheque",BB80,AZ80="Dinheiro","Alterar forma pgto")</f>
        <v/>
      </c>
      <c r="BD80" s="276" t="str" cm="1">
        <f t="array" ref="BD80">IF(F80=0," ",IF(BC80&lt;BB80,(_xlfn.IFS(AW80="SIM",SUM(L80,Q80,V80,AA80,AF80,AK80,AP80,AU80)+AX80/_xlfn.XLOOKUP(_xlfn.XLOOKUP($F80,Clientes!$B$4:$B$39,Clientes!$C$4:$C$39),Cadastros!$L$6:$L$12,Cadastros!$M$6:$M$12)+IF($F80="Bernardino Furlan",AY80/2751.92,IF($F80="Mauro José Salanti",AY80/2751.92,AY80/3356)),F80&lt;&gt;0,SUM(L80,Q80,V80,AA80,AF80,AK80,AP80,AU80)))*(1-0.03),_xlfn.IFS(AW80="SIM",SUM(L80,Q80,V80,AA80,AF80,AK80,AP80,AU80)+AX80/_xlfn.XLOOKUP(_xlfn.XLOOKUP($F80,Clientes!$B$4:$B$39,Clientes!$C$4:$C$39),Cadastros!$L$6:$L$12,Cadastros!$M$6:$M$12)+IF($F80="Bernardino Furlan",AY80/2751.92,IF($F80="Mauro José Salanti",AY80/2751.92,AY80/3356)),F80&lt;&gt;0,SUM(L80,Q80,V80,AA80,AF80,AK80,AP80,AU80))))</f>
        <v xml:space="preserve"> </v>
      </c>
      <c r="BE80" s="120"/>
      <c r="BF80" s="120"/>
      <c r="BG80" s="120"/>
      <c r="BL80" s="235" t="str">
        <f>IF(Cadastros!D77="","",Cadastros!D77)</f>
        <v>Colchão 138 x 188</v>
      </c>
      <c r="BM80" s="234"/>
      <c r="BN80" s="235" t="str">
        <f>IF(Cadastros!G77="","",Cadastros!G77)</f>
        <v>000 - Manta Quântica 158 x 198</v>
      </c>
    </row>
    <row r="81" spans="1:66" s="3" customFormat="1" x14ac:dyDescent="0.3">
      <c r="A81" s="15" t="str">
        <f t="shared" si="13"/>
        <v/>
      </c>
      <c r="B81" s="25"/>
      <c r="C81" s="26"/>
      <c r="D81" s="279"/>
      <c r="E81" s="27"/>
      <c r="F81" s="28"/>
      <c r="G81" s="27"/>
      <c r="H81" s="28"/>
      <c r="I81" s="28"/>
      <c r="J81" s="255" t="str">
        <f>IF(H81="","",(_xlfn.XLOOKUP(H81,Cadastros!$D$6:$D$90,Cadastros!$E$6:$E$90))*(1-_xlfn.XLOOKUP(_xlfn.XLOOKUP($F81,Clientes!$B$4:$B$39,Clientes!$C$4:$C$39),Cadastros!$L$6:$L$12,Cadastros!$N$6:$N$12)))</f>
        <v/>
      </c>
      <c r="K81" s="168" t="str">
        <f t="shared" si="14"/>
        <v/>
      </c>
      <c r="L81" s="168" t="str">
        <f>IFERROR(K81/_xlfn.XLOOKUP(_xlfn.XLOOKUP($F81,Clientes!$B$4:$B$39,Clientes!$C$4:$C$39),Cadastros!$L$6:$L$12,Cadastros!$M$6:$M$12)," ")</f>
        <v xml:space="preserve"> </v>
      </c>
      <c r="M81" s="28"/>
      <c r="N81" s="28"/>
      <c r="O81" s="255" t="str">
        <f>IF(M81="","",(_xlfn.XLOOKUP(M81,Cadastros!$D$6:$D$90,Cadastros!$E$6:$E$90))*(1-_xlfn.XLOOKUP(_xlfn.XLOOKUP($F81,Clientes!$B$4:$B$39,Clientes!$C$4:$C$39),Cadastros!$L$6:$L$12,Cadastros!$N$6:$N$12)))</f>
        <v/>
      </c>
      <c r="P81" s="168" t="str">
        <f t="shared" si="15"/>
        <v/>
      </c>
      <c r="Q81" s="168" t="str">
        <f>IFERROR(P81/_xlfn.XLOOKUP(_xlfn.XLOOKUP($F81,Clientes!$B$4:$B$39,Clientes!$C$4:$C$39),Cadastros!$L$6:$L$12,Cadastros!$M$6:$M$12)," ")</f>
        <v xml:space="preserve"> </v>
      </c>
      <c r="R81" s="28"/>
      <c r="S81" s="28"/>
      <c r="T81" s="255" t="str">
        <f>IF(R81="","",(_xlfn.XLOOKUP(R81,Cadastros!$D$6:$D$90,Cadastros!$E$6:$E$90))*(1-_xlfn.XLOOKUP(_xlfn.XLOOKUP($F81,Clientes!$B$4:$B$39,Clientes!$C$4:$C$39),Cadastros!$L$6:$L$12,Cadastros!$N$6:$N$12)))</f>
        <v/>
      </c>
      <c r="U81" s="168" t="str">
        <f t="shared" si="16"/>
        <v/>
      </c>
      <c r="V81" s="168" t="str">
        <f>IFERROR(U81/_xlfn.XLOOKUP(_xlfn.XLOOKUP($F81,Clientes!$B$4:$B$39,Clientes!$C$4:$C$39),Cadastros!$L$6:$L$12,Cadastros!$M$6:$M$12)," ")</f>
        <v xml:space="preserve"> </v>
      </c>
      <c r="W81" s="28"/>
      <c r="X81" s="28"/>
      <c r="Y81" s="255" t="str">
        <f>IF(W81="","",(_xlfn.XLOOKUP(W81,Cadastros!$D$6:$D$90,Cadastros!$E$6:$E$90))*(1-_xlfn.XLOOKUP(_xlfn.XLOOKUP($F81,Clientes!$B$4:$B$39,Clientes!$C$4:$C$39),Cadastros!$L$6:$L$12,Cadastros!$N$6:$N$12)))</f>
        <v/>
      </c>
      <c r="Z81" s="168" t="str">
        <f t="shared" si="17"/>
        <v/>
      </c>
      <c r="AA81" s="168" t="str">
        <f>IFERROR(Z81/_xlfn.XLOOKUP(_xlfn.XLOOKUP($F81,Clientes!$B$4:$B$39,Clientes!$C$4:$C$39),Cadastros!$L$6:$L$12,Cadastros!$M$6:$M$12)," ")</f>
        <v xml:space="preserve"> </v>
      </c>
      <c r="AB81" s="28"/>
      <c r="AC81" s="28"/>
      <c r="AD81" s="20" t="str">
        <f>IF(AB81="","",IF($F81="Bernardino Furlan",_xlfn.XLOOKUP(AB81,Cadastros!$G$6:$G$90,Cadastros!$H$6:$H$90)*(1-0.18),IF($F81="Mauro José Salanti",_xlfn.XLOOKUP(AB81,Cadastros!$G$6:$G$90,Cadastros!$H$6:$H$90)*(1-0.18),_xlfn.XLOOKUP(AB81,Cadastros!$G$6:$G$90,Cadastros!$H$6:$H$90))))</f>
        <v/>
      </c>
      <c r="AE81" s="168" t="str">
        <f t="shared" si="18"/>
        <v/>
      </c>
      <c r="AF81" s="168" t="str">
        <f t="shared" si="19"/>
        <v/>
      </c>
      <c r="AG81" s="28"/>
      <c r="AH81" s="28"/>
      <c r="AI81" s="20" t="str">
        <f>IF(AG81="","",IF($F81="Bernardino Furlan",_xlfn.XLOOKUP(AG81,Cadastros!$G$6:$G$90,Cadastros!$H$6:$H$90)*(1-0.18),IF($F81="Mauro José Salanti",_xlfn.XLOOKUP(AG81,Cadastros!$G$6:$G$90,Cadastros!$H$6:$H$90)*(1-0.18),_xlfn.XLOOKUP(AG81,Cadastros!$G$6:$G$90,Cadastros!$H$6:$H$90))))</f>
        <v/>
      </c>
      <c r="AJ81" s="168" t="str">
        <f t="shared" si="20"/>
        <v/>
      </c>
      <c r="AK81" s="168" t="str">
        <f t="shared" si="21"/>
        <v/>
      </c>
      <c r="AL81" s="28"/>
      <c r="AM81" s="28"/>
      <c r="AN81" s="20" t="str">
        <f>IF(AL81="","",IF($F81="Bernardino Furlan",_xlfn.XLOOKUP(AL81,Cadastros!$G$6:$G$90,Cadastros!$H$6:$H$90)*(1-0.18),IF($F81="Mauro José Salanti",_xlfn.XLOOKUP(AL81,Cadastros!$G$6:$G$90,Cadastros!$H$6:$H$90)*(1-0.18),_xlfn.XLOOKUP(AL81,Cadastros!$G$6:$G$90,Cadastros!$H$6:$H$90))))</f>
        <v/>
      </c>
      <c r="AO81" s="168" t="str">
        <f t="shared" si="22"/>
        <v/>
      </c>
      <c r="AP81" s="168" t="str">
        <f t="shared" si="23"/>
        <v/>
      </c>
      <c r="AQ81" s="28"/>
      <c r="AR81" s="28"/>
      <c r="AS81" s="20" t="str">
        <f>IF(AQ81="","",IF($F81="Bernardino Furlan",_xlfn.XLOOKUP(AQ81,Cadastros!$G$6:$G$90,Cadastros!$H$6:$H$90)*(1-0.18),IF($F81="Mauro José Salanti",_xlfn.XLOOKUP(AQ81,Cadastros!$G$6:$G$90,Cadastros!$H$6:$H$90)*(1-0.18),_xlfn.XLOOKUP(AQ81,Cadastros!$G$6:$G$90,Cadastros!$H$6:$H$90))))</f>
        <v/>
      </c>
      <c r="AT81" s="168" t="str">
        <f t="shared" si="24"/>
        <v/>
      </c>
      <c r="AU81" s="168" t="str">
        <f t="shared" si="25"/>
        <v/>
      </c>
      <c r="AV81" s="227"/>
      <c r="AW81" s="30"/>
      <c r="AX81" s="267"/>
      <c r="AY81" s="267"/>
      <c r="AZ81" s="29"/>
      <c r="BA81" s="30"/>
      <c r="BB81" s="23" t="str" cm="1">
        <f t="array" ref="BB81">_xlfn.IFS(AW81="SIM",SUM(K81,P81,U81,Z81,AE81,AJ81,AO81,AT81,AX81,AY81),F81&lt;&gt;"",SUM(K81,P81,U81,Z81,AE81,AJ81,,AO81,AT81),F81="","")</f>
        <v/>
      </c>
      <c r="BC81" s="211" t="str" cm="1">
        <f t="array" ref="BC81">_xlfn.IFS(E81="","",G81&lt;=E81,BB81*(1-0.03),G81&lt;(E81+8),BB81,AZ81="Boleto",BB81*(1+0.001)^DATEDIF(E81,G81,"D"),AZ81="Cheque",BB81,AZ81="Dinheiro","Alterar forma pgto")</f>
        <v/>
      </c>
      <c r="BD81" s="276" t="str" cm="1">
        <f t="array" ref="BD81">IF(F81=0," ",IF(BC81&lt;BB81,(_xlfn.IFS(AW81="SIM",SUM(L81,Q81,V81,AA81,AF81,AK81,AP81,AU81)+AX81/_xlfn.XLOOKUP(_xlfn.XLOOKUP($F81,Clientes!$B$4:$B$39,Clientes!$C$4:$C$39),Cadastros!$L$6:$L$12,Cadastros!$M$6:$M$12)+IF($F81="Bernardino Furlan",AY81/2751.92,IF($F81="Mauro José Salanti",AY81/2751.92,AY81/3356)),F81&lt;&gt;0,SUM(L81,Q81,V81,AA81,AF81,AK81,AP81,AU81)))*(1-0.03),_xlfn.IFS(AW81="SIM",SUM(L81,Q81,V81,AA81,AF81,AK81,AP81,AU81)+AX81/_xlfn.XLOOKUP(_xlfn.XLOOKUP($F81,Clientes!$B$4:$B$39,Clientes!$C$4:$C$39),Cadastros!$L$6:$L$12,Cadastros!$M$6:$M$12)+IF($F81="Bernardino Furlan",AY81/2751.92,IF($F81="Mauro José Salanti",AY81/2751.92,AY81/3356)),F81&lt;&gt;0,SUM(L81,Q81,V81,AA81,AF81,AK81,AP81,AU81))))</f>
        <v xml:space="preserve"> </v>
      </c>
      <c r="BE81" s="120"/>
      <c r="BF81" s="120"/>
      <c r="BG81" s="120"/>
      <c r="BL81" s="235" t="str">
        <f>IF(Cadastros!D78="","",Cadastros!D78)</f>
        <v>Colchão 158 x 198</v>
      </c>
      <c r="BM81" s="234"/>
      <c r="BN81" s="235" t="str">
        <f>IF(Cadastros!G78="","",Cadastros!G78)</f>
        <v>000 - Manta Quântica 193 x 203</v>
      </c>
    </row>
    <row r="82" spans="1:66" s="3" customFormat="1" x14ac:dyDescent="0.3">
      <c r="A82" s="15" t="str">
        <f t="shared" si="13"/>
        <v/>
      </c>
      <c r="B82" s="25"/>
      <c r="C82" s="26"/>
      <c r="D82" s="279"/>
      <c r="E82" s="27"/>
      <c r="F82" s="28"/>
      <c r="G82" s="27"/>
      <c r="H82" s="28"/>
      <c r="I82" s="28"/>
      <c r="J82" s="255" t="str">
        <f>IF(H82="","",(_xlfn.XLOOKUP(H82,Cadastros!$D$6:$D$90,Cadastros!$E$6:$E$90))*(1-_xlfn.XLOOKUP(_xlfn.XLOOKUP($F82,Clientes!$B$4:$B$39,Clientes!$C$4:$C$39),Cadastros!$L$6:$L$12,Cadastros!$N$6:$N$12)))</f>
        <v/>
      </c>
      <c r="K82" s="168" t="str">
        <f t="shared" si="14"/>
        <v/>
      </c>
      <c r="L82" s="168" t="str">
        <f>IFERROR(K82/_xlfn.XLOOKUP(_xlfn.XLOOKUP($F82,Clientes!$B$4:$B$39,Clientes!$C$4:$C$39),Cadastros!$L$6:$L$12,Cadastros!$M$6:$M$12)," ")</f>
        <v xml:space="preserve"> </v>
      </c>
      <c r="M82" s="28"/>
      <c r="N82" s="28"/>
      <c r="O82" s="255" t="str">
        <f>IF(M82="","",(_xlfn.XLOOKUP(M82,Cadastros!$D$6:$D$90,Cadastros!$E$6:$E$90))*(1-_xlfn.XLOOKUP(_xlfn.XLOOKUP($F82,Clientes!$B$4:$B$39,Clientes!$C$4:$C$39),Cadastros!$L$6:$L$12,Cadastros!$N$6:$N$12)))</f>
        <v/>
      </c>
      <c r="P82" s="168" t="str">
        <f t="shared" si="15"/>
        <v/>
      </c>
      <c r="Q82" s="168" t="str">
        <f>IFERROR(P82/_xlfn.XLOOKUP(_xlfn.XLOOKUP($F82,Clientes!$B$4:$B$39,Clientes!$C$4:$C$39),Cadastros!$L$6:$L$12,Cadastros!$M$6:$M$12)," ")</f>
        <v xml:space="preserve"> </v>
      </c>
      <c r="R82" s="28"/>
      <c r="S82" s="28"/>
      <c r="T82" s="255" t="str">
        <f>IF(R82="","",(_xlfn.XLOOKUP(R82,Cadastros!$D$6:$D$90,Cadastros!$E$6:$E$90))*(1-_xlfn.XLOOKUP(_xlfn.XLOOKUP($F82,Clientes!$B$4:$B$39,Clientes!$C$4:$C$39),Cadastros!$L$6:$L$12,Cadastros!$N$6:$N$12)))</f>
        <v/>
      </c>
      <c r="U82" s="168" t="str">
        <f t="shared" si="16"/>
        <v/>
      </c>
      <c r="V82" s="168" t="str">
        <f>IFERROR(U82/_xlfn.XLOOKUP(_xlfn.XLOOKUP($F82,Clientes!$B$4:$B$39,Clientes!$C$4:$C$39),Cadastros!$L$6:$L$12,Cadastros!$M$6:$M$12)," ")</f>
        <v xml:space="preserve"> </v>
      </c>
      <c r="W82" s="28"/>
      <c r="X82" s="28"/>
      <c r="Y82" s="255" t="str">
        <f>IF(W82="","",(_xlfn.XLOOKUP(W82,Cadastros!$D$6:$D$90,Cadastros!$E$6:$E$90))*(1-_xlfn.XLOOKUP(_xlfn.XLOOKUP($F82,Clientes!$B$4:$B$39,Clientes!$C$4:$C$39),Cadastros!$L$6:$L$12,Cadastros!$N$6:$N$12)))</f>
        <v/>
      </c>
      <c r="Z82" s="168" t="str">
        <f t="shared" si="17"/>
        <v/>
      </c>
      <c r="AA82" s="168" t="str">
        <f>IFERROR(Z82/_xlfn.XLOOKUP(_xlfn.XLOOKUP($F82,Clientes!$B$4:$B$39,Clientes!$C$4:$C$39),Cadastros!$L$6:$L$12,Cadastros!$M$6:$M$12)," ")</f>
        <v xml:space="preserve"> </v>
      </c>
      <c r="AB82" s="28"/>
      <c r="AC82" s="28"/>
      <c r="AD82" s="20" t="str">
        <f>IF(AB82="","",IF($F82="Bernardino Furlan",_xlfn.XLOOKUP(AB82,Cadastros!$G$6:$G$90,Cadastros!$H$6:$H$90)*(1-0.18),IF($F82="Mauro José Salanti",_xlfn.XLOOKUP(AB82,Cadastros!$G$6:$G$90,Cadastros!$H$6:$H$90)*(1-0.18),_xlfn.XLOOKUP(AB82,Cadastros!$G$6:$G$90,Cadastros!$H$6:$H$90))))</f>
        <v/>
      </c>
      <c r="AE82" s="168" t="str">
        <f t="shared" si="18"/>
        <v/>
      </c>
      <c r="AF82" s="168" t="str">
        <f t="shared" si="19"/>
        <v/>
      </c>
      <c r="AG82" s="28"/>
      <c r="AH82" s="28"/>
      <c r="AI82" s="20" t="str">
        <f>IF(AG82="","",IF($F82="Bernardino Furlan",_xlfn.XLOOKUP(AG82,Cadastros!$G$6:$G$90,Cadastros!$H$6:$H$90)*(1-0.18),IF($F82="Mauro José Salanti",_xlfn.XLOOKUP(AG82,Cadastros!$G$6:$G$90,Cadastros!$H$6:$H$90)*(1-0.18),_xlfn.XLOOKUP(AG82,Cadastros!$G$6:$G$90,Cadastros!$H$6:$H$90))))</f>
        <v/>
      </c>
      <c r="AJ82" s="168" t="str">
        <f t="shared" si="20"/>
        <v/>
      </c>
      <c r="AK82" s="168" t="str">
        <f t="shared" si="21"/>
        <v/>
      </c>
      <c r="AL82" s="28"/>
      <c r="AM82" s="28"/>
      <c r="AN82" s="20" t="str">
        <f>IF(AL82="","",IF($F82="Bernardino Furlan",_xlfn.XLOOKUP(AL82,Cadastros!$G$6:$G$90,Cadastros!$H$6:$H$90)*(1-0.18),IF($F82="Mauro José Salanti",_xlfn.XLOOKUP(AL82,Cadastros!$G$6:$G$90,Cadastros!$H$6:$H$90)*(1-0.18),_xlfn.XLOOKUP(AL82,Cadastros!$G$6:$G$90,Cadastros!$H$6:$H$90))))</f>
        <v/>
      </c>
      <c r="AO82" s="168" t="str">
        <f t="shared" si="22"/>
        <v/>
      </c>
      <c r="AP82" s="168" t="str">
        <f t="shared" si="23"/>
        <v/>
      </c>
      <c r="AQ82" s="28"/>
      <c r="AR82" s="28"/>
      <c r="AS82" s="20" t="str">
        <f>IF(AQ82="","",IF($F82="Bernardino Furlan",_xlfn.XLOOKUP(AQ82,Cadastros!$G$6:$G$90,Cadastros!$H$6:$H$90)*(1-0.18),IF($F82="Mauro José Salanti",_xlfn.XLOOKUP(AQ82,Cadastros!$G$6:$G$90,Cadastros!$H$6:$H$90)*(1-0.18),_xlfn.XLOOKUP(AQ82,Cadastros!$G$6:$G$90,Cadastros!$H$6:$H$90))))</f>
        <v/>
      </c>
      <c r="AT82" s="168" t="str">
        <f t="shared" si="24"/>
        <v/>
      </c>
      <c r="AU82" s="168" t="str">
        <f t="shared" si="25"/>
        <v/>
      </c>
      <c r="AV82" s="227"/>
      <c r="AW82" s="30"/>
      <c r="AX82" s="267"/>
      <c r="AY82" s="267"/>
      <c r="AZ82" s="29"/>
      <c r="BA82" s="30"/>
      <c r="BB82" s="23" t="str" cm="1">
        <f t="array" ref="BB82">_xlfn.IFS(AW82="SIM",SUM(K82,P82,U82,Z82,AE82,AJ82,AO82,AT82,AX82,AY82),F82&lt;&gt;"",SUM(K82,P82,U82,Z82,AE82,AJ82,,AO82,AT82),F82="","")</f>
        <v/>
      </c>
      <c r="BC82" s="211" t="str" cm="1">
        <f t="array" ref="BC82">_xlfn.IFS(E82="","",G82&lt;=E82,BB82*(1-0.03),G82&lt;(E82+8),BB82,AZ82="Boleto",BB82*(1+0.001)^DATEDIF(E82,G82,"D"),AZ82="Cheque",BB82,AZ82="Dinheiro","Alterar forma pgto")</f>
        <v/>
      </c>
      <c r="BD82" s="276" t="str" cm="1">
        <f t="array" ref="BD82">IF(F82=0," ",IF(BC82&lt;BB82,(_xlfn.IFS(AW82="SIM",SUM(L82,Q82,V82,AA82,AF82,AK82,AP82,AU82)+AX82/_xlfn.XLOOKUP(_xlfn.XLOOKUP($F82,Clientes!$B$4:$B$39,Clientes!$C$4:$C$39),Cadastros!$L$6:$L$12,Cadastros!$M$6:$M$12)+IF($F82="Bernardino Furlan",AY82/2751.92,IF($F82="Mauro José Salanti",AY82/2751.92,AY82/3356)),F82&lt;&gt;0,SUM(L82,Q82,V82,AA82,AF82,AK82,AP82,AU82)))*(1-0.03),_xlfn.IFS(AW82="SIM",SUM(L82,Q82,V82,AA82,AF82,AK82,AP82,AU82)+AX82/_xlfn.XLOOKUP(_xlfn.XLOOKUP($F82,Clientes!$B$4:$B$39,Clientes!$C$4:$C$39),Cadastros!$L$6:$L$12,Cadastros!$M$6:$M$12)+IF($F82="Bernardino Furlan",AY82/2751.92,IF($F82="Mauro José Salanti",AY82/2751.92,AY82/3356)),F82&lt;&gt;0,SUM(L82,Q82,V82,AA82,AF82,AK82,AP82,AU82))))</f>
        <v xml:space="preserve"> </v>
      </c>
      <c r="BE82" s="120"/>
      <c r="BF82" s="120"/>
      <c r="BG82" s="120"/>
      <c r="BL82" s="235" t="str">
        <f>IF(Cadastros!D79="","",Cadastros!D79)</f>
        <v>Colchão 193 x 203</v>
      </c>
      <c r="BM82" s="234"/>
      <c r="BN82" s="235" t="str">
        <f>IF(Cadastros!G79="","",Cadastros!G79)</f>
        <v/>
      </c>
    </row>
    <row r="83" spans="1:66" s="3" customFormat="1" x14ac:dyDescent="0.3">
      <c r="A83" s="15" t="str">
        <f t="shared" si="13"/>
        <v/>
      </c>
      <c r="B83" s="25"/>
      <c r="C83" s="26"/>
      <c r="D83" s="279"/>
      <c r="E83" s="27"/>
      <c r="F83" s="28"/>
      <c r="G83" s="27"/>
      <c r="H83" s="28"/>
      <c r="I83" s="28"/>
      <c r="J83" s="255" t="str">
        <f>IF(H83="","",(_xlfn.XLOOKUP(H83,Cadastros!$D$6:$D$90,Cadastros!$E$6:$E$90))*(1-_xlfn.XLOOKUP(_xlfn.XLOOKUP($F83,Clientes!$B$4:$B$39,Clientes!$C$4:$C$39),Cadastros!$L$6:$L$12,Cadastros!$N$6:$N$12)))</f>
        <v/>
      </c>
      <c r="K83" s="168" t="str">
        <f t="shared" si="14"/>
        <v/>
      </c>
      <c r="L83" s="168" t="str">
        <f>IFERROR(K83/_xlfn.XLOOKUP(_xlfn.XLOOKUP($F83,Clientes!$B$4:$B$39,Clientes!$C$4:$C$39),Cadastros!$L$6:$L$12,Cadastros!$M$6:$M$12)," ")</f>
        <v xml:space="preserve"> </v>
      </c>
      <c r="M83" s="28"/>
      <c r="N83" s="28"/>
      <c r="O83" s="255" t="str">
        <f>IF(M83="","",(_xlfn.XLOOKUP(M83,Cadastros!$D$6:$D$90,Cadastros!$E$6:$E$90))*(1-_xlfn.XLOOKUP(_xlfn.XLOOKUP($F83,Clientes!$B$4:$B$39,Clientes!$C$4:$C$39),Cadastros!$L$6:$L$12,Cadastros!$N$6:$N$12)))</f>
        <v/>
      </c>
      <c r="P83" s="168" t="str">
        <f t="shared" si="15"/>
        <v/>
      </c>
      <c r="Q83" s="168" t="str">
        <f>IFERROR(P83/_xlfn.XLOOKUP(_xlfn.XLOOKUP($F83,Clientes!$B$4:$B$39,Clientes!$C$4:$C$39),Cadastros!$L$6:$L$12,Cadastros!$M$6:$M$12)," ")</f>
        <v xml:space="preserve"> </v>
      </c>
      <c r="R83" s="28"/>
      <c r="S83" s="28"/>
      <c r="T83" s="255" t="str">
        <f>IF(R83="","",(_xlfn.XLOOKUP(R83,Cadastros!$D$6:$D$90,Cadastros!$E$6:$E$90))*(1-_xlfn.XLOOKUP(_xlfn.XLOOKUP($F83,Clientes!$B$4:$B$39,Clientes!$C$4:$C$39),Cadastros!$L$6:$L$12,Cadastros!$N$6:$N$12)))</f>
        <v/>
      </c>
      <c r="U83" s="168" t="str">
        <f t="shared" si="16"/>
        <v/>
      </c>
      <c r="V83" s="168" t="str">
        <f>IFERROR(U83/_xlfn.XLOOKUP(_xlfn.XLOOKUP($F83,Clientes!$B$4:$B$39,Clientes!$C$4:$C$39),Cadastros!$L$6:$L$12,Cadastros!$M$6:$M$12)," ")</f>
        <v xml:space="preserve"> </v>
      </c>
      <c r="W83" s="28"/>
      <c r="X83" s="28"/>
      <c r="Y83" s="255" t="str">
        <f>IF(W83="","",(_xlfn.XLOOKUP(W83,Cadastros!$D$6:$D$90,Cadastros!$E$6:$E$90))*(1-_xlfn.XLOOKUP(_xlfn.XLOOKUP($F83,Clientes!$B$4:$B$39,Clientes!$C$4:$C$39),Cadastros!$L$6:$L$12,Cadastros!$N$6:$N$12)))</f>
        <v/>
      </c>
      <c r="Z83" s="168" t="str">
        <f t="shared" si="17"/>
        <v/>
      </c>
      <c r="AA83" s="168" t="str">
        <f>IFERROR(Z83/_xlfn.XLOOKUP(_xlfn.XLOOKUP($F83,Clientes!$B$4:$B$39,Clientes!$C$4:$C$39),Cadastros!$L$6:$L$12,Cadastros!$M$6:$M$12)," ")</f>
        <v xml:space="preserve"> </v>
      </c>
      <c r="AB83" s="28"/>
      <c r="AC83" s="28"/>
      <c r="AD83" s="20" t="str">
        <f>IF(AB83="","",IF($F83="Bernardino Furlan",_xlfn.XLOOKUP(AB83,Cadastros!$G$6:$G$90,Cadastros!$H$6:$H$90)*(1-0.18),IF($F83="Mauro José Salanti",_xlfn.XLOOKUP(AB83,Cadastros!$G$6:$G$90,Cadastros!$H$6:$H$90)*(1-0.18),_xlfn.XLOOKUP(AB83,Cadastros!$G$6:$G$90,Cadastros!$H$6:$H$90))))</f>
        <v/>
      </c>
      <c r="AE83" s="168" t="str">
        <f t="shared" si="18"/>
        <v/>
      </c>
      <c r="AF83" s="168" t="str">
        <f t="shared" si="19"/>
        <v/>
      </c>
      <c r="AG83" s="28"/>
      <c r="AH83" s="28"/>
      <c r="AI83" s="20" t="str">
        <f>IF(AG83="","",IF($F83="Bernardino Furlan",_xlfn.XLOOKUP(AG83,Cadastros!$G$6:$G$90,Cadastros!$H$6:$H$90)*(1-0.18),IF($F83="Mauro José Salanti",_xlfn.XLOOKUP(AG83,Cadastros!$G$6:$G$90,Cadastros!$H$6:$H$90)*(1-0.18),_xlfn.XLOOKUP(AG83,Cadastros!$G$6:$G$90,Cadastros!$H$6:$H$90))))</f>
        <v/>
      </c>
      <c r="AJ83" s="168" t="str">
        <f t="shared" si="20"/>
        <v/>
      </c>
      <c r="AK83" s="168" t="str">
        <f t="shared" si="21"/>
        <v/>
      </c>
      <c r="AL83" s="28"/>
      <c r="AM83" s="28"/>
      <c r="AN83" s="20" t="str">
        <f>IF(AL83="","",IF($F83="Bernardino Furlan",_xlfn.XLOOKUP(AL83,Cadastros!$G$6:$G$90,Cadastros!$H$6:$H$90)*(1-0.18),IF($F83="Mauro José Salanti",_xlfn.XLOOKUP(AL83,Cadastros!$G$6:$G$90,Cadastros!$H$6:$H$90)*(1-0.18),_xlfn.XLOOKUP(AL83,Cadastros!$G$6:$G$90,Cadastros!$H$6:$H$90))))</f>
        <v/>
      </c>
      <c r="AO83" s="168" t="str">
        <f t="shared" si="22"/>
        <v/>
      </c>
      <c r="AP83" s="168" t="str">
        <f t="shared" si="23"/>
        <v/>
      </c>
      <c r="AQ83" s="28"/>
      <c r="AR83" s="28"/>
      <c r="AS83" s="20" t="str">
        <f>IF(AQ83="","",IF($F83="Bernardino Furlan",_xlfn.XLOOKUP(AQ83,Cadastros!$G$6:$G$90,Cadastros!$H$6:$H$90)*(1-0.18),IF($F83="Mauro José Salanti",_xlfn.XLOOKUP(AQ83,Cadastros!$G$6:$G$90,Cadastros!$H$6:$H$90)*(1-0.18),_xlfn.XLOOKUP(AQ83,Cadastros!$G$6:$G$90,Cadastros!$H$6:$H$90))))</f>
        <v/>
      </c>
      <c r="AT83" s="168" t="str">
        <f t="shared" si="24"/>
        <v/>
      </c>
      <c r="AU83" s="168" t="str">
        <f t="shared" si="25"/>
        <v/>
      </c>
      <c r="AV83" s="227"/>
      <c r="AW83" s="30"/>
      <c r="AX83" s="267"/>
      <c r="AY83" s="267"/>
      <c r="AZ83" s="29"/>
      <c r="BA83" s="30"/>
      <c r="BB83" s="23" t="str" cm="1">
        <f t="array" ref="BB83">_xlfn.IFS(AW83="SIM",SUM(K83,P83,U83,Z83,AE83,AJ83,AO83,AT83,AX83,AY83),F83&lt;&gt;"",SUM(K83,P83,U83,Z83,AE83,AJ83,,AO83,AT83),F83="","")</f>
        <v/>
      </c>
      <c r="BC83" s="211" t="str" cm="1">
        <f t="array" ref="BC83">_xlfn.IFS(E83="","",G83&lt;=E83,BB83*(1-0.03),G83&lt;(E83+8),BB83,AZ83="Boleto",BB83*(1+0.001)^DATEDIF(E83,G83,"D"),AZ83="Cheque",BB83,AZ83="Dinheiro","Alterar forma pgto")</f>
        <v/>
      </c>
      <c r="BD83" s="276" t="str" cm="1">
        <f t="array" ref="BD83">IF(F83=0," ",IF(BC83&lt;BB83,(_xlfn.IFS(AW83="SIM",SUM(L83,Q83,V83,AA83,AF83,AK83,AP83,AU83)+AX83/_xlfn.XLOOKUP(_xlfn.XLOOKUP($F83,Clientes!$B$4:$B$39,Clientes!$C$4:$C$39),Cadastros!$L$6:$L$12,Cadastros!$M$6:$M$12)+IF($F83="Bernardino Furlan",AY83/2751.92,IF($F83="Mauro José Salanti",AY83/2751.92,AY83/3356)),F83&lt;&gt;0,SUM(L83,Q83,V83,AA83,AF83,AK83,AP83,AU83)))*(1-0.03),_xlfn.IFS(AW83="SIM",SUM(L83,Q83,V83,AA83,AF83,AK83,AP83,AU83)+AX83/_xlfn.XLOOKUP(_xlfn.XLOOKUP($F83,Clientes!$B$4:$B$39,Clientes!$C$4:$C$39),Cadastros!$L$6:$L$12,Cadastros!$M$6:$M$12)+IF($F83="Bernardino Furlan",AY83/2751.92,IF($F83="Mauro José Salanti",AY83/2751.92,AY83/3356)),F83&lt;&gt;0,SUM(L83,Q83,V83,AA83,AF83,AK83,AP83,AU83))))</f>
        <v xml:space="preserve"> </v>
      </c>
      <c r="BE83" s="120"/>
      <c r="BF83" s="120"/>
      <c r="BG83" s="120"/>
      <c r="BL83" s="235" t="str">
        <f>IF(Cadastros!D80="","",Cadastros!D80)</f>
        <v>Colchão 088 x 188</v>
      </c>
      <c r="BM83" s="234"/>
      <c r="BN83" s="233" t="str">
        <f>IF(Cadastros!G80="","",Cadastros!G80)</f>
        <v>LINHA ORTOPÉDICO INFANTIL</v>
      </c>
    </row>
    <row r="84" spans="1:66" s="3" customFormat="1" x14ac:dyDescent="0.3">
      <c r="A84" s="15" t="str">
        <f t="shared" si="13"/>
        <v/>
      </c>
      <c r="B84" s="25"/>
      <c r="C84" s="26"/>
      <c r="D84" s="279"/>
      <c r="E84" s="27"/>
      <c r="F84" s="28"/>
      <c r="G84" s="27"/>
      <c r="H84" s="28"/>
      <c r="I84" s="28"/>
      <c r="J84" s="255" t="str">
        <f>IF(H84="","",(_xlfn.XLOOKUP(H84,Cadastros!$D$6:$D$90,Cadastros!$E$6:$E$90))*(1-_xlfn.XLOOKUP(_xlfn.XLOOKUP($F84,Clientes!$B$4:$B$39,Clientes!$C$4:$C$39),Cadastros!$L$6:$L$12,Cadastros!$N$6:$N$12)))</f>
        <v/>
      </c>
      <c r="K84" s="168" t="str">
        <f t="shared" si="14"/>
        <v/>
      </c>
      <c r="L84" s="168" t="str">
        <f>IFERROR(K84/_xlfn.XLOOKUP(_xlfn.XLOOKUP($F84,Clientes!$B$4:$B$39,Clientes!$C$4:$C$39),Cadastros!$L$6:$L$12,Cadastros!$M$6:$M$12)," ")</f>
        <v xml:space="preserve"> </v>
      </c>
      <c r="M84" s="28"/>
      <c r="N84" s="28"/>
      <c r="O84" s="255" t="str">
        <f>IF(M84="","",(_xlfn.XLOOKUP(M84,Cadastros!$D$6:$D$90,Cadastros!$E$6:$E$90))*(1-_xlfn.XLOOKUP(_xlfn.XLOOKUP($F84,Clientes!$B$4:$B$39,Clientes!$C$4:$C$39),Cadastros!$L$6:$L$12,Cadastros!$N$6:$N$12)))</f>
        <v/>
      </c>
      <c r="P84" s="168" t="str">
        <f t="shared" si="15"/>
        <v/>
      </c>
      <c r="Q84" s="168" t="str">
        <f>IFERROR(P84/_xlfn.XLOOKUP(_xlfn.XLOOKUP($F84,Clientes!$B$4:$B$39,Clientes!$C$4:$C$39),Cadastros!$L$6:$L$12,Cadastros!$M$6:$M$12)," ")</f>
        <v xml:space="preserve"> </v>
      </c>
      <c r="R84" s="28"/>
      <c r="S84" s="28"/>
      <c r="T84" s="255" t="str">
        <f>IF(R84="","",(_xlfn.XLOOKUP(R84,Cadastros!$D$6:$D$90,Cadastros!$E$6:$E$90))*(1-_xlfn.XLOOKUP(_xlfn.XLOOKUP($F84,Clientes!$B$4:$B$39,Clientes!$C$4:$C$39),Cadastros!$L$6:$L$12,Cadastros!$N$6:$N$12)))</f>
        <v/>
      </c>
      <c r="U84" s="168" t="str">
        <f t="shared" si="16"/>
        <v/>
      </c>
      <c r="V84" s="168" t="str">
        <f>IFERROR(U84/_xlfn.XLOOKUP(_xlfn.XLOOKUP($F84,Clientes!$B$4:$B$39,Clientes!$C$4:$C$39),Cadastros!$L$6:$L$12,Cadastros!$M$6:$M$12)," ")</f>
        <v xml:space="preserve"> </v>
      </c>
      <c r="W84" s="28"/>
      <c r="X84" s="28"/>
      <c r="Y84" s="255" t="str">
        <f>IF(W84="","",(_xlfn.XLOOKUP(W84,Cadastros!$D$6:$D$90,Cadastros!$E$6:$E$90))*(1-_xlfn.XLOOKUP(_xlfn.XLOOKUP($F84,Clientes!$B$4:$B$39,Clientes!$C$4:$C$39),Cadastros!$L$6:$L$12,Cadastros!$N$6:$N$12)))</f>
        <v/>
      </c>
      <c r="Z84" s="168" t="str">
        <f t="shared" si="17"/>
        <v/>
      </c>
      <c r="AA84" s="168" t="str">
        <f>IFERROR(Z84/_xlfn.XLOOKUP(_xlfn.XLOOKUP($F84,Clientes!$B$4:$B$39,Clientes!$C$4:$C$39),Cadastros!$L$6:$L$12,Cadastros!$M$6:$M$12)," ")</f>
        <v xml:space="preserve"> </v>
      </c>
      <c r="AB84" s="28"/>
      <c r="AC84" s="28"/>
      <c r="AD84" s="20" t="str">
        <f>IF(AB84="","",IF($F84="Bernardino Furlan",_xlfn.XLOOKUP(AB84,Cadastros!$G$6:$G$90,Cadastros!$H$6:$H$90)*(1-0.18),IF($F84="Mauro José Salanti",_xlfn.XLOOKUP(AB84,Cadastros!$G$6:$G$90,Cadastros!$H$6:$H$90)*(1-0.18),_xlfn.XLOOKUP(AB84,Cadastros!$G$6:$G$90,Cadastros!$H$6:$H$90))))</f>
        <v/>
      </c>
      <c r="AE84" s="168" t="str">
        <f t="shared" si="18"/>
        <v/>
      </c>
      <c r="AF84" s="168" t="str">
        <f t="shared" si="19"/>
        <v/>
      </c>
      <c r="AG84" s="28"/>
      <c r="AH84" s="28"/>
      <c r="AI84" s="20" t="str">
        <f>IF(AG84="","",IF($F84="Bernardino Furlan",_xlfn.XLOOKUP(AG84,Cadastros!$G$6:$G$90,Cadastros!$H$6:$H$90)*(1-0.18),IF($F84="Mauro José Salanti",_xlfn.XLOOKUP(AG84,Cadastros!$G$6:$G$90,Cadastros!$H$6:$H$90)*(1-0.18),_xlfn.XLOOKUP(AG84,Cadastros!$G$6:$G$90,Cadastros!$H$6:$H$90))))</f>
        <v/>
      </c>
      <c r="AJ84" s="168" t="str">
        <f t="shared" si="20"/>
        <v/>
      </c>
      <c r="AK84" s="168" t="str">
        <f t="shared" si="21"/>
        <v/>
      </c>
      <c r="AL84" s="28"/>
      <c r="AM84" s="28"/>
      <c r="AN84" s="20" t="str">
        <f>IF(AL84="","",IF($F84="Bernardino Furlan",_xlfn.XLOOKUP(AL84,Cadastros!$G$6:$G$90,Cadastros!$H$6:$H$90)*(1-0.18),IF($F84="Mauro José Salanti",_xlfn.XLOOKUP(AL84,Cadastros!$G$6:$G$90,Cadastros!$H$6:$H$90)*(1-0.18),_xlfn.XLOOKUP(AL84,Cadastros!$G$6:$G$90,Cadastros!$H$6:$H$90))))</f>
        <v/>
      </c>
      <c r="AO84" s="168" t="str">
        <f t="shared" si="22"/>
        <v/>
      </c>
      <c r="AP84" s="168" t="str">
        <f t="shared" si="23"/>
        <v/>
      </c>
      <c r="AQ84" s="28"/>
      <c r="AR84" s="28"/>
      <c r="AS84" s="20" t="str">
        <f>IF(AQ84="","",IF($F84="Bernardino Furlan",_xlfn.XLOOKUP(AQ84,Cadastros!$G$6:$G$90,Cadastros!$H$6:$H$90)*(1-0.18),IF($F84="Mauro José Salanti",_xlfn.XLOOKUP(AQ84,Cadastros!$G$6:$G$90,Cadastros!$H$6:$H$90)*(1-0.18),_xlfn.XLOOKUP(AQ84,Cadastros!$G$6:$G$90,Cadastros!$H$6:$H$90))))</f>
        <v/>
      </c>
      <c r="AT84" s="168" t="str">
        <f t="shared" si="24"/>
        <v/>
      </c>
      <c r="AU84" s="168" t="str">
        <f t="shared" si="25"/>
        <v/>
      </c>
      <c r="AV84" s="227"/>
      <c r="AW84" s="30"/>
      <c r="AX84" s="267"/>
      <c r="AY84" s="267"/>
      <c r="AZ84" s="29"/>
      <c r="BA84" s="30"/>
      <c r="BB84" s="23" t="str" cm="1">
        <f t="array" ref="BB84">_xlfn.IFS(AW84="SIM",SUM(K84,P84,U84,Z84,AE84,AJ84,AO84,AT84,AX84,AY84),F84&lt;&gt;"",SUM(K84,P84,U84,Z84,AE84,AJ84,,AO84,AT84),F84="","")</f>
        <v/>
      </c>
      <c r="BC84" s="211" t="str" cm="1">
        <f t="array" ref="BC84">_xlfn.IFS(E84="","",G84&lt;=E84,BB84*(1-0.03),G84&lt;(E84+8),BB84,AZ84="Boleto",BB84*(1+0.001)^DATEDIF(E84,G84,"D"),AZ84="Cheque",BB84,AZ84="Dinheiro","Alterar forma pgto")</f>
        <v/>
      </c>
      <c r="BD84" s="276" t="str" cm="1">
        <f t="array" ref="BD84">IF(F84=0," ",IF(BC84&lt;BB84,(_xlfn.IFS(AW84="SIM",SUM(L84,Q84,V84,AA84,AF84,AK84,AP84,AU84)+AX84/_xlfn.XLOOKUP(_xlfn.XLOOKUP($F84,Clientes!$B$4:$B$39,Clientes!$C$4:$C$39),Cadastros!$L$6:$L$12,Cadastros!$M$6:$M$12)+IF($F84="Bernardino Furlan",AY84/2751.92,IF($F84="Mauro José Salanti",AY84/2751.92,AY84/3356)),F84&lt;&gt;0,SUM(L84,Q84,V84,AA84,AF84,AK84,AP84,AU84)))*(1-0.03),_xlfn.IFS(AW84="SIM",SUM(L84,Q84,V84,AA84,AF84,AK84,AP84,AU84)+AX84/_xlfn.XLOOKUP(_xlfn.XLOOKUP($F84,Clientes!$B$4:$B$39,Clientes!$C$4:$C$39),Cadastros!$L$6:$L$12,Cadastros!$M$6:$M$12)+IF($F84="Bernardino Furlan",AY84/2751.92,IF($F84="Mauro José Salanti",AY84/2751.92,AY84/3356)),F84&lt;&gt;0,SUM(L84,Q84,V84,AA84,AF84,AK84,AP84,AU84))))</f>
        <v xml:space="preserve"> </v>
      </c>
      <c r="BE84" s="120"/>
      <c r="BF84" s="120"/>
      <c r="BG84" s="120"/>
      <c r="BL84" s="235" t="str">
        <f>IF(Cadastros!D81="","",Cadastros!D81)</f>
        <v/>
      </c>
      <c r="BN84" s="235" t="str">
        <f>IF(Cadastros!G81="","",Cadastros!G81)</f>
        <v>20129 - Colchão Infantil Ortopédico 70 X 130 X 12</v>
      </c>
    </row>
    <row r="85" spans="1:66" s="3" customFormat="1" x14ac:dyDescent="0.3">
      <c r="A85" s="15" t="str">
        <f t="shared" si="13"/>
        <v/>
      </c>
      <c r="B85" s="25"/>
      <c r="C85" s="26"/>
      <c r="D85" s="279"/>
      <c r="E85" s="27"/>
      <c r="F85" s="28"/>
      <c r="G85" s="27"/>
      <c r="H85" s="28"/>
      <c r="I85" s="28"/>
      <c r="J85" s="255" t="str">
        <f>IF(H85="","",(_xlfn.XLOOKUP(H85,Cadastros!$D$6:$D$90,Cadastros!$E$6:$E$90))*(1-_xlfn.XLOOKUP(_xlfn.XLOOKUP($F85,Clientes!$B$4:$B$39,Clientes!$C$4:$C$39),Cadastros!$L$6:$L$12,Cadastros!$N$6:$N$12)))</f>
        <v/>
      </c>
      <c r="K85" s="168" t="str">
        <f t="shared" si="14"/>
        <v/>
      </c>
      <c r="L85" s="168" t="str">
        <f>IFERROR(K85/_xlfn.XLOOKUP(_xlfn.XLOOKUP($F85,Clientes!$B$4:$B$39,Clientes!$C$4:$C$39),Cadastros!$L$6:$L$12,Cadastros!$M$6:$M$12)," ")</f>
        <v xml:space="preserve"> </v>
      </c>
      <c r="M85" s="28"/>
      <c r="N85" s="28"/>
      <c r="O85" s="255" t="str">
        <f>IF(M85="","",(_xlfn.XLOOKUP(M85,Cadastros!$D$6:$D$90,Cadastros!$E$6:$E$90))*(1-_xlfn.XLOOKUP(_xlfn.XLOOKUP($F85,Clientes!$B$4:$B$39,Clientes!$C$4:$C$39),Cadastros!$L$6:$L$12,Cadastros!$N$6:$N$12)))</f>
        <v/>
      </c>
      <c r="P85" s="168" t="str">
        <f t="shared" si="15"/>
        <v/>
      </c>
      <c r="Q85" s="168" t="str">
        <f>IFERROR(P85/_xlfn.XLOOKUP(_xlfn.XLOOKUP($F85,Clientes!$B$4:$B$39,Clientes!$C$4:$C$39),Cadastros!$L$6:$L$12,Cadastros!$M$6:$M$12)," ")</f>
        <v xml:space="preserve"> </v>
      </c>
      <c r="R85" s="28"/>
      <c r="S85" s="28"/>
      <c r="T85" s="255" t="str">
        <f>IF(R85="","",(_xlfn.XLOOKUP(R85,Cadastros!$D$6:$D$90,Cadastros!$E$6:$E$90))*(1-_xlfn.XLOOKUP(_xlfn.XLOOKUP($F85,Clientes!$B$4:$B$39,Clientes!$C$4:$C$39),Cadastros!$L$6:$L$12,Cadastros!$N$6:$N$12)))</f>
        <v/>
      </c>
      <c r="U85" s="168" t="str">
        <f t="shared" si="16"/>
        <v/>
      </c>
      <c r="V85" s="168" t="str">
        <f>IFERROR(U85/_xlfn.XLOOKUP(_xlfn.XLOOKUP($F85,Clientes!$B$4:$B$39,Clientes!$C$4:$C$39),Cadastros!$L$6:$L$12,Cadastros!$M$6:$M$12)," ")</f>
        <v xml:space="preserve"> </v>
      </c>
      <c r="W85" s="28"/>
      <c r="X85" s="28"/>
      <c r="Y85" s="255" t="str">
        <f>IF(W85="","",(_xlfn.XLOOKUP(W85,Cadastros!$D$6:$D$90,Cadastros!$E$6:$E$90))*(1-_xlfn.XLOOKUP(_xlfn.XLOOKUP($F85,Clientes!$B$4:$B$39,Clientes!$C$4:$C$39),Cadastros!$L$6:$L$12,Cadastros!$N$6:$N$12)))</f>
        <v/>
      </c>
      <c r="Z85" s="168" t="str">
        <f t="shared" si="17"/>
        <v/>
      </c>
      <c r="AA85" s="168" t="str">
        <f>IFERROR(Z85/_xlfn.XLOOKUP(_xlfn.XLOOKUP($F85,Clientes!$B$4:$B$39,Clientes!$C$4:$C$39),Cadastros!$L$6:$L$12,Cadastros!$M$6:$M$12)," ")</f>
        <v xml:space="preserve"> </v>
      </c>
      <c r="AB85" s="28"/>
      <c r="AC85" s="28"/>
      <c r="AD85" s="20" t="str">
        <f>IF(AB85="","",IF($F85="Bernardino Furlan",_xlfn.XLOOKUP(AB85,Cadastros!$G$6:$G$90,Cadastros!$H$6:$H$90)*(1-0.18),IF($F85="Mauro José Salanti",_xlfn.XLOOKUP(AB85,Cadastros!$G$6:$G$90,Cadastros!$H$6:$H$90)*(1-0.18),_xlfn.XLOOKUP(AB85,Cadastros!$G$6:$G$90,Cadastros!$H$6:$H$90))))</f>
        <v/>
      </c>
      <c r="AE85" s="168" t="str">
        <f t="shared" si="18"/>
        <v/>
      </c>
      <c r="AF85" s="168" t="str">
        <f t="shared" si="19"/>
        <v/>
      </c>
      <c r="AG85" s="28"/>
      <c r="AH85" s="28"/>
      <c r="AI85" s="20" t="str">
        <f>IF(AG85="","",IF($F85="Bernardino Furlan",_xlfn.XLOOKUP(AG85,Cadastros!$G$6:$G$90,Cadastros!$H$6:$H$90)*(1-0.18),IF($F85="Mauro José Salanti",_xlfn.XLOOKUP(AG85,Cadastros!$G$6:$G$90,Cadastros!$H$6:$H$90)*(1-0.18),_xlfn.XLOOKUP(AG85,Cadastros!$G$6:$G$90,Cadastros!$H$6:$H$90))))</f>
        <v/>
      </c>
      <c r="AJ85" s="168" t="str">
        <f t="shared" si="20"/>
        <v/>
      </c>
      <c r="AK85" s="168" t="str">
        <f t="shared" si="21"/>
        <v/>
      </c>
      <c r="AL85" s="28"/>
      <c r="AM85" s="28"/>
      <c r="AN85" s="20" t="str">
        <f>IF(AL85="","",IF($F85="Bernardino Furlan",_xlfn.XLOOKUP(AL85,Cadastros!$G$6:$G$90,Cadastros!$H$6:$H$90)*(1-0.18),IF($F85="Mauro José Salanti",_xlfn.XLOOKUP(AL85,Cadastros!$G$6:$G$90,Cadastros!$H$6:$H$90)*(1-0.18),_xlfn.XLOOKUP(AL85,Cadastros!$G$6:$G$90,Cadastros!$H$6:$H$90))))</f>
        <v/>
      </c>
      <c r="AO85" s="168" t="str">
        <f t="shared" si="22"/>
        <v/>
      </c>
      <c r="AP85" s="168" t="str">
        <f t="shared" si="23"/>
        <v/>
      </c>
      <c r="AQ85" s="28"/>
      <c r="AR85" s="28"/>
      <c r="AS85" s="20" t="str">
        <f>IF(AQ85="","",IF($F85="Bernardino Furlan",_xlfn.XLOOKUP(AQ85,Cadastros!$G$6:$G$90,Cadastros!$H$6:$H$90)*(1-0.18),IF($F85="Mauro José Salanti",_xlfn.XLOOKUP(AQ85,Cadastros!$G$6:$G$90,Cadastros!$H$6:$H$90)*(1-0.18),_xlfn.XLOOKUP(AQ85,Cadastros!$G$6:$G$90,Cadastros!$H$6:$H$90))))</f>
        <v/>
      </c>
      <c r="AT85" s="168" t="str">
        <f t="shared" si="24"/>
        <v/>
      </c>
      <c r="AU85" s="168" t="str">
        <f t="shared" si="25"/>
        <v/>
      </c>
      <c r="AV85" s="227"/>
      <c r="AW85" s="30"/>
      <c r="AX85" s="267"/>
      <c r="AY85" s="267"/>
      <c r="AZ85" s="29"/>
      <c r="BA85" s="30"/>
      <c r="BB85" s="23" t="str" cm="1">
        <f t="array" ref="BB85">_xlfn.IFS(AW85="SIM",SUM(K85,P85,U85,Z85,AE85,AJ85,AO85,AT85,AX85,AY85),F85&lt;&gt;"",SUM(K85,P85,U85,Z85,AE85,AJ85,,AO85,AT85),F85="","")</f>
        <v/>
      </c>
      <c r="BC85" s="211" t="str" cm="1">
        <f t="array" ref="BC85">_xlfn.IFS(E85="","",G85&lt;=E85,BB85*(1-0.03),G85&lt;(E85+8),BB85,AZ85="Boleto",BB85*(1+0.001)^DATEDIF(E85,G85,"D"),AZ85="Cheque",BB85,AZ85="Dinheiro","Alterar forma pgto")</f>
        <v/>
      </c>
      <c r="BD85" s="276" t="str" cm="1">
        <f t="array" ref="BD85">IF(F85=0," ",IF(BC85&lt;BB85,(_xlfn.IFS(AW85="SIM",SUM(L85,Q85,V85,AA85,AF85,AK85,AP85,AU85)+AX85/_xlfn.XLOOKUP(_xlfn.XLOOKUP($F85,Clientes!$B$4:$B$39,Clientes!$C$4:$C$39),Cadastros!$L$6:$L$12,Cadastros!$M$6:$M$12)+IF($F85="Bernardino Furlan",AY85/2751.92,IF($F85="Mauro José Salanti",AY85/2751.92,AY85/3356)),F85&lt;&gt;0,SUM(L85,Q85,V85,AA85,AF85,AK85,AP85,AU85)))*(1-0.03),_xlfn.IFS(AW85="SIM",SUM(L85,Q85,V85,AA85,AF85,AK85,AP85,AU85)+AX85/_xlfn.XLOOKUP(_xlfn.XLOOKUP($F85,Clientes!$B$4:$B$39,Clientes!$C$4:$C$39),Cadastros!$L$6:$L$12,Cadastros!$M$6:$M$12)+IF($F85="Bernardino Furlan",AY85/2751.92,IF($F85="Mauro José Salanti",AY85/2751.92,AY85/3356)),F85&lt;&gt;0,SUM(L85,Q85,V85,AA85,AF85,AK85,AP85,AU85))))</f>
        <v xml:space="preserve"> </v>
      </c>
      <c r="BE85" s="120"/>
      <c r="BF85" s="120"/>
      <c r="BG85" s="120"/>
      <c r="BL85" s="235" t="str">
        <f>IF(Cadastros!D82="","",Cadastros!D82)</f>
        <v/>
      </c>
      <c r="BN85" s="235" t="str">
        <f>IF(Cadastros!G82="","",Cadastros!G82)</f>
        <v>T008 - Travesseiro Infantil Ortopédico</v>
      </c>
    </row>
    <row r="86" spans="1:66" s="3" customFormat="1" x14ac:dyDescent="0.3">
      <c r="A86" s="15" t="str">
        <f t="shared" si="13"/>
        <v/>
      </c>
      <c r="B86" s="25"/>
      <c r="C86" s="26"/>
      <c r="D86" s="279"/>
      <c r="E86" s="27"/>
      <c r="F86" s="28"/>
      <c r="G86" s="27"/>
      <c r="H86" s="28"/>
      <c r="I86" s="28"/>
      <c r="J86" s="255" t="str">
        <f>IF(H86="","",(_xlfn.XLOOKUP(H86,Cadastros!$D$6:$D$90,Cadastros!$E$6:$E$90))*(1-_xlfn.XLOOKUP(_xlfn.XLOOKUP($F86,Clientes!$B$4:$B$39,Clientes!$C$4:$C$39),Cadastros!$L$6:$L$12,Cadastros!$N$6:$N$12)))</f>
        <v/>
      </c>
      <c r="K86" s="168" t="str">
        <f t="shared" si="14"/>
        <v/>
      </c>
      <c r="L86" s="168" t="str">
        <f>IFERROR(K86/_xlfn.XLOOKUP(_xlfn.XLOOKUP($F86,Clientes!$B$4:$B$39,Clientes!$C$4:$C$39),Cadastros!$L$6:$L$12,Cadastros!$M$6:$M$12)," ")</f>
        <v xml:space="preserve"> </v>
      </c>
      <c r="M86" s="28"/>
      <c r="N86" s="28"/>
      <c r="O86" s="255" t="str">
        <f>IF(M86="","",(_xlfn.XLOOKUP(M86,Cadastros!$D$6:$D$90,Cadastros!$E$6:$E$90))*(1-_xlfn.XLOOKUP(_xlfn.XLOOKUP($F86,Clientes!$B$4:$B$39,Clientes!$C$4:$C$39),Cadastros!$L$6:$L$12,Cadastros!$N$6:$N$12)))</f>
        <v/>
      </c>
      <c r="P86" s="168" t="str">
        <f t="shared" si="15"/>
        <v/>
      </c>
      <c r="Q86" s="168" t="str">
        <f>IFERROR(P86/_xlfn.XLOOKUP(_xlfn.XLOOKUP($F86,Clientes!$B$4:$B$39,Clientes!$C$4:$C$39),Cadastros!$L$6:$L$12,Cadastros!$M$6:$M$12)," ")</f>
        <v xml:space="preserve"> </v>
      </c>
      <c r="R86" s="28"/>
      <c r="S86" s="28"/>
      <c r="T86" s="255" t="str">
        <f>IF(R86="","",(_xlfn.XLOOKUP(R86,Cadastros!$D$6:$D$90,Cadastros!$E$6:$E$90))*(1-_xlfn.XLOOKUP(_xlfn.XLOOKUP($F86,Clientes!$B$4:$B$39,Clientes!$C$4:$C$39),Cadastros!$L$6:$L$12,Cadastros!$N$6:$N$12)))</f>
        <v/>
      </c>
      <c r="U86" s="168" t="str">
        <f t="shared" si="16"/>
        <v/>
      </c>
      <c r="V86" s="168" t="str">
        <f>IFERROR(U86/_xlfn.XLOOKUP(_xlfn.XLOOKUP($F86,Clientes!$B$4:$B$39,Clientes!$C$4:$C$39),Cadastros!$L$6:$L$12,Cadastros!$M$6:$M$12)," ")</f>
        <v xml:space="preserve"> </v>
      </c>
      <c r="W86" s="28"/>
      <c r="X86" s="28"/>
      <c r="Y86" s="255" t="str">
        <f>IF(W86="","",(_xlfn.XLOOKUP(W86,Cadastros!$D$6:$D$90,Cadastros!$E$6:$E$90))*(1-_xlfn.XLOOKUP(_xlfn.XLOOKUP($F86,Clientes!$B$4:$B$39,Clientes!$C$4:$C$39),Cadastros!$L$6:$L$12,Cadastros!$N$6:$N$12)))</f>
        <v/>
      </c>
      <c r="Z86" s="168" t="str">
        <f t="shared" si="17"/>
        <v/>
      </c>
      <c r="AA86" s="168" t="str">
        <f>IFERROR(Z86/_xlfn.XLOOKUP(_xlfn.XLOOKUP($F86,Clientes!$B$4:$B$39,Clientes!$C$4:$C$39),Cadastros!$L$6:$L$12,Cadastros!$M$6:$M$12)," ")</f>
        <v xml:space="preserve"> </v>
      </c>
      <c r="AB86" s="28"/>
      <c r="AC86" s="28"/>
      <c r="AD86" s="20" t="str">
        <f>IF(AB86="","",IF($F86="Bernardino Furlan",_xlfn.XLOOKUP(AB86,Cadastros!$G$6:$G$90,Cadastros!$H$6:$H$90)*(1-0.18),IF($F86="Mauro José Salanti",_xlfn.XLOOKUP(AB86,Cadastros!$G$6:$G$90,Cadastros!$H$6:$H$90)*(1-0.18),_xlfn.XLOOKUP(AB86,Cadastros!$G$6:$G$90,Cadastros!$H$6:$H$90))))</f>
        <v/>
      </c>
      <c r="AE86" s="168" t="str">
        <f t="shared" si="18"/>
        <v/>
      </c>
      <c r="AF86" s="168" t="str">
        <f t="shared" si="19"/>
        <v/>
      </c>
      <c r="AG86" s="28"/>
      <c r="AH86" s="28"/>
      <c r="AI86" s="20" t="str">
        <f>IF(AG86="","",IF($F86="Bernardino Furlan",_xlfn.XLOOKUP(AG86,Cadastros!$G$6:$G$90,Cadastros!$H$6:$H$90)*(1-0.18),IF($F86="Mauro José Salanti",_xlfn.XLOOKUP(AG86,Cadastros!$G$6:$G$90,Cadastros!$H$6:$H$90)*(1-0.18),_xlfn.XLOOKUP(AG86,Cadastros!$G$6:$G$90,Cadastros!$H$6:$H$90))))</f>
        <v/>
      </c>
      <c r="AJ86" s="168" t="str">
        <f t="shared" si="20"/>
        <v/>
      </c>
      <c r="AK86" s="168" t="str">
        <f t="shared" si="21"/>
        <v/>
      </c>
      <c r="AL86" s="28"/>
      <c r="AM86" s="28"/>
      <c r="AN86" s="20" t="str">
        <f>IF(AL86="","",IF($F86="Bernardino Furlan",_xlfn.XLOOKUP(AL86,Cadastros!$G$6:$G$90,Cadastros!$H$6:$H$90)*(1-0.18),IF($F86="Mauro José Salanti",_xlfn.XLOOKUP(AL86,Cadastros!$G$6:$G$90,Cadastros!$H$6:$H$90)*(1-0.18),_xlfn.XLOOKUP(AL86,Cadastros!$G$6:$G$90,Cadastros!$H$6:$H$90))))</f>
        <v/>
      </c>
      <c r="AO86" s="168" t="str">
        <f t="shared" si="22"/>
        <v/>
      </c>
      <c r="AP86" s="168" t="str">
        <f t="shared" si="23"/>
        <v/>
      </c>
      <c r="AQ86" s="28"/>
      <c r="AR86" s="28"/>
      <c r="AS86" s="20" t="str">
        <f>IF(AQ86="","",IF($F86="Bernardino Furlan",_xlfn.XLOOKUP(AQ86,Cadastros!$G$6:$G$90,Cadastros!$H$6:$H$90)*(1-0.18),IF($F86="Mauro José Salanti",_xlfn.XLOOKUP(AQ86,Cadastros!$G$6:$G$90,Cadastros!$H$6:$H$90)*(1-0.18),_xlfn.XLOOKUP(AQ86,Cadastros!$G$6:$G$90,Cadastros!$H$6:$H$90))))</f>
        <v/>
      </c>
      <c r="AT86" s="168" t="str">
        <f t="shared" si="24"/>
        <v/>
      </c>
      <c r="AU86" s="168" t="str">
        <f t="shared" si="25"/>
        <v/>
      </c>
      <c r="AV86" s="227"/>
      <c r="AW86" s="30"/>
      <c r="AX86" s="267"/>
      <c r="AY86" s="267"/>
      <c r="AZ86" s="29"/>
      <c r="BA86" s="30"/>
      <c r="BB86" s="23" t="str" cm="1">
        <f t="array" ref="BB86">_xlfn.IFS(AW86="SIM",SUM(K86,P86,U86,Z86,AE86,AJ86,AO86,AT86,AX86,AY86),F86&lt;&gt;"",SUM(K86,P86,U86,Z86,AE86,AJ86,,AO86,AT86),F86="","")</f>
        <v/>
      </c>
      <c r="BC86" s="211" t="str" cm="1">
        <f t="array" ref="BC86">_xlfn.IFS(E86="","",G86&lt;=E86,BB86*(1-0.03),G86&lt;(E86+8),BB86,AZ86="Boleto",BB86*(1+0.001)^DATEDIF(E86,G86,"D"),AZ86="Cheque",BB86,AZ86="Dinheiro","Alterar forma pgto")</f>
        <v/>
      </c>
      <c r="BD86" s="276" t="str" cm="1">
        <f t="array" ref="BD86">IF(F86=0," ",IF(BC86&lt;BB86,(_xlfn.IFS(AW86="SIM",SUM(L86,Q86,V86,AA86,AF86,AK86,AP86,AU86)+AX86/_xlfn.XLOOKUP(_xlfn.XLOOKUP($F86,Clientes!$B$4:$B$39,Clientes!$C$4:$C$39),Cadastros!$L$6:$L$12,Cadastros!$M$6:$M$12)+IF($F86="Bernardino Furlan",AY86/2751.92,IF($F86="Mauro José Salanti",AY86/2751.92,AY86/3356)),F86&lt;&gt;0,SUM(L86,Q86,V86,AA86,AF86,AK86,AP86,AU86)))*(1-0.03),_xlfn.IFS(AW86="SIM",SUM(L86,Q86,V86,AA86,AF86,AK86,AP86,AU86)+AX86/_xlfn.XLOOKUP(_xlfn.XLOOKUP($F86,Clientes!$B$4:$B$39,Clientes!$C$4:$C$39),Cadastros!$L$6:$L$12,Cadastros!$M$6:$M$12)+IF($F86="Bernardino Furlan",AY86/2751.92,IF($F86="Mauro José Salanti",AY86/2751.92,AY86/3356)),F86&lt;&gt;0,SUM(L86,Q86,V86,AA86,AF86,AK86,AP86,AU86))))</f>
        <v xml:space="preserve"> </v>
      </c>
      <c r="BE86" s="120"/>
      <c r="BF86" s="120"/>
      <c r="BG86" s="120"/>
      <c r="BL86" s="235" t="str">
        <f>IF(Cadastros!D83="","",Cadastros!D83)</f>
        <v/>
      </c>
      <c r="BN86" s="235" t="str">
        <f>IF(Cadastros!G83="","",Cadastros!G83)</f>
        <v/>
      </c>
    </row>
    <row r="87" spans="1:66" s="3" customFormat="1" x14ac:dyDescent="0.3">
      <c r="A87" s="15" t="str">
        <f t="shared" si="13"/>
        <v/>
      </c>
      <c r="B87" s="25"/>
      <c r="C87" s="26"/>
      <c r="D87" s="279"/>
      <c r="E87" s="27"/>
      <c r="F87" s="28"/>
      <c r="G87" s="27"/>
      <c r="H87" s="28"/>
      <c r="I87" s="28"/>
      <c r="J87" s="255" t="str">
        <f>IF(H87="","",(_xlfn.XLOOKUP(H87,Cadastros!$D$6:$D$90,Cadastros!$E$6:$E$90))*(1-_xlfn.XLOOKUP(_xlfn.XLOOKUP($F87,Clientes!$B$4:$B$39,Clientes!$C$4:$C$39),Cadastros!$L$6:$L$12,Cadastros!$N$6:$N$12)))</f>
        <v/>
      </c>
      <c r="K87" s="168" t="str">
        <f t="shared" si="14"/>
        <v/>
      </c>
      <c r="L87" s="168" t="str">
        <f>IFERROR(K87/_xlfn.XLOOKUP(_xlfn.XLOOKUP($F87,Clientes!$B$4:$B$39,Clientes!$C$4:$C$39),Cadastros!$L$6:$L$12,Cadastros!$M$6:$M$12)," ")</f>
        <v xml:space="preserve"> </v>
      </c>
      <c r="M87" s="28"/>
      <c r="N87" s="28"/>
      <c r="O87" s="255" t="str">
        <f>IF(M87="","",(_xlfn.XLOOKUP(M87,Cadastros!$D$6:$D$90,Cadastros!$E$6:$E$90))*(1-_xlfn.XLOOKUP(_xlfn.XLOOKUP($F87,Clientes!$B$4:$B$39,Clientes!$C$4:$C$39),Cadastros!$L$6:$L$12,Cadastros!$N$6:$N$12)))</f>
        <v/>
      </c>
      <c r="P87" s="168" t="str">
        <f t="shared" si="15"/>
        <v/>
      </c>
      <c r="Q87" s="168" t="str">
        <f>IFERROR(P87/_xlfn.XLOOKUP(_xlfn.XLOOKUP($F87,Clientes!$B$4:$B$39,Clientes!$C$4:$C$39),Cadastros!$L$6:$L$12,Cadastros!$M$6:$M$12)," ")</f>
        <v xml:space="preserve"> </v>
      </c>
      <c r="R87" s="28"/>
      <c r="S87" s="28"/>
      <c r="T87" s="255" t="str">
        <f>IF(R87="","",(_xlfn.XLOOKUP(R87,Cadastros!$D$6:$D$90,Cadastros!$E$6:$E$90))*(1-_xlfn.XLOOKUP(_xlfn.XLOOKUP($F87,Clientes!$B$4:$B$39,Clientes!$C$4:$C$39),Cadastros!$L$6:$L$12,Cadastros!$N$6:$N$12)))</f>
        <v/>
      </c>
      <c r="U87" s="168" t="str">
        <f t="shared" si="16"/>
        <v/>
      </c>
      <c r="V87" s="168" t="str">
        <f>IFERROR(U87/_xlfn.XLOOKUP(_xlfn.XLOOKUP($F87,Clientes!$B$4:$B$39,Clientes!$C$4:$C$39),Cadastros!$L$6:$L$12,Cadastros!$M$6:$M$12)," ")</f>
        <v xml:space="preserve"> </v>
      </c>
      <c r="W87" s="28"/>
      <c r="X87" s="28"/>
      <c r="Y87" s="255" t="str">
        <f>IF(W87="","",(_xlfn.XLOOKUP(W87,Cadastros!$D$6:$D$90,Cadastros!$E$6:$E$90))*(1-_xlfn.XLOOKUP(_xlfn.XLOOKUP($F87,Clientes!$B$4:$B$39,Clientes!$C$4:$C$39),Cadastros!$L$6:$L$12,Cadastros!$N$6:$N$12)))</f>
        <v/>
      </c>
      <c r="Z87" s="168" t="str">
        <f t="shared" si="17"/>
        <v/>
      </c>
      <c r="AA87" s="168" t="str">
        <f>IFERROR(Z87/_xlfn.XLOOKUP(_xlfn.XLOOKUP($F87,Clientes!$B$4:$B$39,Clientes!$C$4:$C$39),Cadastros!$L$6:$L$12,Cadastros!$M$6:$M$12)," ")</f>
        <v xml:space="preserve"> </v>
      </c>
      <c r="AB87" s="28"/>
      <c r="AC87" s="28"/>
      <c r="AD87" s="20" t="str">
        <f>IF(AB87="","",IF($F87="Bernardino Furlan",_xlfn.XLOOKUP(AB87,Cadastros!$G$6:$G$90,Cadastros!$H$6:$H$90)*(1-0.18),IF($F87="Mauro José Salanti",_xlfn.XLOOKUP(AB87,Cadastros!$G$6:$G$90,Cadastros!$H$6:$H$90)*(1-0.18),_xlfn.XLOOKUP(AB87,Cadastros!$G$6:$G$90,Cadastros!$H$6:$H$90))))</f>
        <v/>
      </c>
      <c r="AE87" s="168" t="str">
        <f t="shared" si="18"/>
        <v/>
      </c>
      <c r="AF87" s="168" t="str">
        <f t="shared" si="19"/>
        <v/>
      </c>
      <c r="AG87" s="28"/>
      <c r="AH87" s="28"/>
      <c r="AI87" s="20" t="str">
        <f>IF(AG87="","",IF($F87="Bernardino Furlan",_xlfn.XLOOKUP(AG87,Cadastros!$G$6:$G$90,Cadastros!$H$6:$H$90)*(1-0.18),IF($F87="Mauro José Salanti",_xlfn.XLOOKUP(AG87,Cadastros!$G$6:$G$90,Cadastros!$H$6:$H$90)*(1-0.18),_xlfn.XLOOKUP(AG87,Cadastros!$G$6:$G$90,Cadastros!$H$6:$H$90))))</f>
        <v/>
      </c>
      <c r="AJ87" s="168" t="str">
        <f t="shared" si="20"/>
        <v/>
      </c>
      <c r="AK87" s="168" t="str">
        <f t="shared" si="21"/>
        <v/>
      </c>
      <c r="AL87" s="28"/>
      <c r="AM87" s="28"/>
      <c r="AN87" s="20" t="str">
        <f>IF(AL87="","",IF($F87="Bernardino Furlan",_xlfn.XLOOKUP(AL87,Cadastros!$G$6:$G$90,Cadastros!$H$6:$H$90)*(1-0.18),IF($F87="Mauro José Salanti",_xlfn.XLOOKUP(AL87,Cadastros!$G$6:$G$90,Cadastros!$H$6:$H$90)*(1-0.18),_xlfn.XLOOKUP(AL87,Cadastros!$G$6:$G$90,Cadastros!$H$6:$H$90))))</f>
        <v/>
      </c>
      <c r="AO87" s="168" t="str">
        <f t="shared" si="22"/>
        <v/>
      </c>
      <c r="AP87" s="168" t="str">
        <f t="shared" si="23"/>
        <v/>
      </c>
      <c r="AQ87" s="28"/>
      <c r="AR87" s="28"/>
      <c r="AS87" s="20" t="str">
        <f>IF(AQ87="","",IF($F87="Bernardino Furlan",_xlfn.XLOOKUP(AQ87,Cadastros!$G$6:$G$90,Cadastros!$H$6:$H$90)*(1-0.18),IF($F87="Mauro José Salanti",_xlfn.XLOOKUP(AQ87,Cadastros!$G$6:$G$90,Cadastros!$H$6:$H$90)*(1-0.18),_xlfn.XLOOKUP(AQ87,Cadastros!$G$6:$G$90,Cadastros!$H$6:$H$90))))</f>
        <v/>
      </c>
      <c r="AT87" s="168" t="str">
        <f t="shared" si="24"/>
        <v/>
      </c>
      <c r="AU87" s="168" t="str">
        <f t="shared" si="25"/>
        <v/>
      </c>
      <c r="AV87" s="227"/>
      <c r="AW87" s="30"/>
      <c r="AX87" s="267"/>
      <c r="AY87" s="267"/>
      <c r="AZ87" s="29"/>
      <c r="BA87" s="30"/>
      <c r="BB87" s="23" t="str" cm="1">
        <f t="array" ref="BB87">_xlfn.IFS(AW87="SIM",SUM(K87,P87,U87,Z87,AE87,AJ87,AO87,AT87,AX87,AY87),F87&lt;&gt;"",SUM(K87,P87,U87,Z87,AE87,AJ87,,AO87,AT87),F87="","")</f>
        <v/>
      </c>
      <c r="BC87" s="211" t="str" cm="1">
        <f t="array" ref="BC87">_xlfn.IFS(E87="","",G87&lt;=E87,BB87*(1-0.03),G87&lt;(E87+8),BB87,AZ87="Boleto",BB87*(1+0.001)^DATEDIF(E87,G87,"D"),AZ87="Cheque",BB87,AZ87="Dinheiro","Alterar forma pgto")</f>
        <v/>
      </c>
      <c r="BD87" s="276" t="str" cm="1">
        <f t="array" ref="BD87">IF(F87=0," ",IF(BC87&lt;BB87,(_xlfn.IFS(AW87="SIM",SUM(L87,Q87,V87,AA87,AF87,AK87,AP87,AU87)+AX87/_xlfn.XLOOKUP(_xlfn.XLOOKUP($F87,Clientes!$B$4:$B$39,Clientes!$C$4:$C$39),Cadastros!$L$6:$L$12,Cadastros!$M$6:$M$12)+IF($F87="Bernardino Furlan",AY87/2751.92,IF($F87="Mauro José Salanti",AY87/2751.92,AY87/3356)),F87&lt;&gt;0,SUM(L87,Q87,V87,AA87,AF87,AK87,AP87,AU87)))*(1-0.03),_xlfn.IFS(AW87="SIM",SUM(L87,Q87,V87,AA87,AF87,AK87,AP87,AU87)+AX87/_xlfn.XLOOKUP(_xlfn.XLOOKUP($F87,Clientes!$B$4:$B$39,Clientes!$C$4:$C$39),Cadastros!$L$6:$L$12,Cadastros!$M$6:$M$12)+IF($F87="Bernardino Furlan",AY87/2751.92,IF($F87="Mauro José Salanti",AY87/2751.92,AY87/3356)),F87&lt;&gt;0,SUM(L87,Q87,V87,AA87,AF87,AK87,AP87,AU87))))</f>
        <v xml:space="preserve"> </v>
      </c>
      <c r="BE87" s="120"/>
      <c r="BF87" s="120"/>
      <c r="BG87" s="120"/>
      <c r="BL87" s="235" t="str">
        <f>IF(Cadastros!D84="","",Cadastros!D84)</f>
        <v/>
      </c>
      <c r="BN87" s="235" t="str">
        <f>IF(Cadastros!G84="","",Cadastros!G84)</f>
        <v/>
      </c>
    </row>
    <row r="88" spans="1:66" s="3" customFormat="1" x14ac:dyDescent="0.3">
      <c r="A88" s="15" t="str">
        <f t="shared" si="13"/>
        <v/>
      </c>
      <c r="B88" s="25"/>
      <c r="C88" s="26"/>
      <c r="D88" s="279"/>
      <c r="E88" s="27"/>
      <c r="F88" s="28"/>
      <c r="G88" s="27"/>
      <c r="H88" s="28"/>
      <c r="I88" s="28"/>
      <c r="J88" s="255" t="str">
        <f>IF(H88="","",(_xlfn.XLOOKUP(H88,Cadastros!$D$6:$D$90,Cadastros!$E$6:$E$90))*(1-_xlfn.XLOOKUP(_xlfn.XLOOKUP($F88,Clientes!$B$4:$B$39,Clientes!$C$4:$C$39),Cadastros!$L$6:$L$12,Cadastros!$N$6:$N$12)))</f>
        <v/>
      </c>
      <c r="K88" s="168" t="str">
        <f t="shared" si="14"/>
        <v/>
      </c>
      <c r="L88" s="168" t="str">
        <f>IFERROR(K88/_xlfn.XLOOKUP(_xlfn.XLOOKUP($F88,Clientes!$B$4:$B$39,Clientes!$C$4:$C$39),Cadastros!$L$6:$L$12,Cadastros!$M$6:$M$12)," ")</f>
        <v xml:space="preserve"> </v>
      </c>
      <c r="M88" s="28"/>
      <c r="N88" s="28"/>
      <c r="O88" s="255" t="str">
        <f>IF(M88="","",(_xlfn.XLOOKUP(M88,Cadastros!$D$6:$D$90,Cadastros!$E$6:$E$90))*(1-_xlfn.XLOOKUP(_xlfn.XLOOKUP($F88,Clientes!$B$4:$B$39,Clientes!$C$4:$C$39),Cadastros!$L$6:$L$12,Cadastros!$N$6:$N$12)))</f>
        <v/>
      </c>
      <c r="P88" s="168" t="str">
        <f t="shared" si="15"/>
        <v/>
      </c>
      <c r="Q88" s="168" t="str">
        <f>IFERROR(P88/_xlfn.XLOOKUP(_xlfn.XLOOKUP($F88,Clientes!$B$4:$B$39,Clientes!$C$4:$C$39),Cadastros!$L$6:$L$12,Cadastros!$M$6:$M$12)," ")</f>
        <v xml:space="preserve"> </v>
      </c>
      <c r="R88" s="28"/>
      <c r="S88" s="28"/>
      <c r="T88" s="255" t="str">
        <f>IF(R88="","",(_xlfn.XLOOKUP(R88,Cadastros!$D$6:$D$90,Cadastros!$E$6:$E$90))*(1-_xlfn.XLOOKUP(_xlfn.XLOOKUP($F88,Clientes!$B$4:$B$39,Clientes!$C$4:$C$39),Cadastros!$L$6:$L$12,Cadastros!$N$6:$N$12)))</f>
        <v/>
      </c>
      <c r="U88" s="168" t="str">
        <f t="shared" si="16"/>
        <v/>
      </c>
      <c r="V88" s="168" t="str">
        <f>IFERROR(U88/_xlfn.XLOOKUP(_xlfn.XLOOKUP($F88,Clientes!$B$4:$B$39,Clientes!$C$4:$C$39),Cadastros!$L$6:$L$12,Cadastros!$M$6:$M$12)," ")</f>
        <v xml:space="preserve"> </v>
      </c>
      <c r="W88" s="28"/>
      <c r="X88" s="28"/>
      <c r="Y88" s="255" t="str">
        <f>IF(W88="","",(_xlfn.XLOOKUP(W88,Cadastros!$D$6:$D$90,Cadastros!$E$6:$E$90))*(1-_xlfn.XLOOKUP(_xlfn.XLOOKUP($F88,Clientes!$B$4:$B$39,Clientes!$C$4:$C$39),Cadastros!$L$6:$L$12,Cadastros!$N$6:$N$12)))</f>
        <v/>
      </c>
      <c r="Z88" s="168" t="str">
        <f t="shared" si="17"/>
        <v/>
      </c>
      <c r="AA88" s="168" t="str">
        <f>IFERROR(Z88/_xlfn.XLOOKUP(_xlfn.XLOOKUP($F88,Clientes!$B$4:$B$39,Clientes!$C$4:$C$39),Cadastros!$L$6:$L$12,Cadastros!$M$6:$M$12)," ")</f>
        <v xml:space="preserve"> </v>
      </c>
      <c r="AB88" s="28"/>
      <c r="AC88" s="28"/>
      <c r="AD88" s="20" t="str">
        <f>IF(AB88="","",IF($F88="Bernardino Furlan",_xlfn.XLOOKUP(AB88,Cadastros!$G$6:$G$90,Cadastros!$H$6:$H$90)*(1-0.18),IF($F88="Mauro José Salanti",_xlfn.XLOOKUP(AB88,Cadastros!$G$6:$G$90,Cadastros!$H$6:$H$90)*(1-0.18),_xlfn.XLOOKUP(AB88,Cadastros!$G$6:$G$90,Cadastros!$H$6:$H$90))))</f>
        <v/>
      </c>
      <c r="AE88" s="168" t="str">
        <f t="shared" si="18"/>
        <v/>
      </c>
      <c r="AF88" s="168" t="str">
        <f t="shared" si="19"/>
        <v/>
      </c>
      <c r="AG88" s="28"/>
      <c r="AH88" s="28"/>
      <c r="AI88" s="20" t="str">
        <f>IF(AG88="","",IF($F88="Bernardino Furlan",_xlfn.XLOOKUP(AG88,Cadastros!$G$6:$G$90,Cadastros!$H$6:$H$90)*(1-0.18),IF($F88="Mauro José Salanti",_xlfn.XLOOKUP(AG88,Cadastros!$G$6:$G$90,Cadastros!$H$6:$H$90)*(1-0.18),_xlfn.XLOOKUP(AG88,Cadastros!$G$6:$G$90,Cadastros!$H$6:$H$90))))</f>
        <v/>
      </c>
      <c r="AJ88" s="168" t="str">
        <f t="shared" si="20"/>
        <v/>
      </c>
      <c r="AK88" s="168" t="str">
        <f t="shared" si="21"/>
        <v/>
      </c>
      <c r="AL88" s="28"/>
      <c r="AM88" s="28"/>
      <c r="AN88" s="20" t="str">
        <f>IF(AL88="","",IF($F88="Bernardino Furlan",_xlfn.XLOOKUP(AL88,Cadastros!$G$6:$G$90,Cadastros!$H$6:$H$90)*(1-0.18),IF($F88="Mauro José Salanti",_xlfn.XLOOKUP(AL88,Cadastros!$G$6:$G$90,Cadastros!$H$6:$H$90)*(1-0.18),_xlfn.XLOOKUP(AL88,Cadastros!$G$6:$G$90,Cadastros!$H$6:$H$90))))</f>
        <v/>
      </c>
      <c r="AO88" s="168" t="str">
        <f t="shared" si="22"/>
        <v/>
      </c>
      <c r="AP88" s="168" t="str">
        <f t="shared" si="23"/>
        <v/>
      </c>
      <c r="AQ88" s="28"/>
      <c r="AR88" s="28"/>
      <c r="AS88" s="20" t="str">
        <f>IF(AQ88="","",IF($F88="Bernardino Furlan",_xlfn.XLOOKUP(AQ88,Cadastros!$G$6:$G$90,Cadastros!$H$6:$H$90)*(1-0.18),IF($F88="Mauro José Salanti",_xlfn.XLOOKUP(AQ88,Cadastros!$G$6:$G$90,Cadastros!$H$6:$H$90)*(1-0.18),_xlfn.XLOOKUP(AQ88,Cadastros!$G$6:$G$90,Cadastros!$H$6:$H$90))))</f>
        <v/>
      </c>
      <c r="AT88" s="168" t="str">
        <f t="shared" si="24"/>
        <v/>
      </c>
      <c r="AU88" s="168" t="str">
        <f t="shared" si="25"/>
        <v/>
      </c>
      <c r="AV88" s="227"/>
      <c r="AW88" s="30"/>
      <c r="AX88" s="267"/>
      <c r="AY88" s="267"/>
      <c r="AZ88" s="29"/>
      <c r="BA88" s="30"/>
      <c r="BB88" s="23" t="str" cm="1">
        <f t="array" ref="BB88">_xlfn.IFS(AW88="SIM",SUM(K88,P88,U88,Z88,AE88,AJ88,AO88,AT88,AX88,AY88),F88&lt;&gt;"",SUM(K88,P88,U88,Z88,AE88,AJ88,,AO88,AT88),F88="","")</f>
        <v/>
      </c>
      <c r="BC88" s="211" t="str" cm="1">
        <f t="array" ref="BC88">_xlfn.IFS(E88="","",G88&lt;=E88,BB88*(1-0.03),G88&lt;(E88+8),BB88,AZ88="Boleto",BB88*(1+0.001)^DATEDIF(E88,G88,"D"),AZ88="Cheque",BB88,AZ88="Dinheiro","Alterar forma pgto")</f>
        <v/>
      </c>
      <c r="BD88" s="276" t="str" cm="1">
        <f t="array" ref="BD88">IF(F88=0," ",IF(BC88&lt;BB88,(_xlfn.IFS(AW88="SIM",SUM(L88,Q88,V88,AA88,AF88,AK88,AP88,AU88)+AX88/_xlfn.XLOOKUP(_xlfn.XLOOKUP($F88,Clientes!$B$4:$B$39,Clientes!$C$4:$C$39),Cadastros!$L$6:$L$12,Cadastros!$M$6:$M$12)+IF($F88="Bernardino Furlan",AY88/2751.92,IF($F88="Mauro José Salanti",AY88/2751.92,AY88/3356)),F88&lt;&gt;0,SUM(L88,Q88,V88,AA88,AF88,AK88,AP88,AU88)))*(1-0.03),_xlfn.IFS(AW88="SIM",SUM(L88,Q88,V88,AA88,AF88,AK88,AP88,AU88)+AX88/_xlfn.XLOOKUP(_xlfn.XLOOKUP($F88,Clientes!$B$4:$B$39,Clientes!$C$4:$C$39),Cadastros!$L$6:$L$12,Cadastros!$M$6:$M$12)+IF($F88="Bernardino Furlan",AY88/2751.92,IF($F88="Mauro José Salanti",AY88/2751.92,AY88/3356)),F88&lt;&gt;0,SUM(L88,Q88,V88,AA88,AF88,AK88,AP88,AU88))))</f>
        <v xml:space="preserve"> </v>
      </c>
      <c r="BE88" s="120"/>
      <c r="BF88" s="120"/>
      <c r="BG88" s="120"/>
      <c r="BL88" s="235" t="str">
        <f>IF(Cadastros!D85="","",Cadastros!D85)</f>
        <v/>
      </c>
      <c r="BN88" s="235" t="str">
        <f>IF(Cadastros!G85="","",Cadastros!G85)</f>
        <v/>
      </c>
    </row>
    <row r="89" spans="1:66" s="3" customFormat="1" x14ac:dyDescent="0.3">
      <c r="A89" s="15" t="str">
        <f t="shared" si="13"/>
        <v/>
      </c>
      <c r="B89" s="25"/>
      <c r="C89" s="26"/>
      <c r="D89" s="279"/>
      <c r="E89" s="27"/>
      <c r="F89" s="28"/>
      <c r="G89" s="27"/>
      <c r="H89" s="28"/>
      <c r="I89" s="28"/>
      <c r="J89" s="255" t="str">
        <f>IF(H89="","",(_xlfn.XLOOKUP(H89,Cadastros!$D$6:$D$90,Cadastros!$E$6:$E$90))*(1-_xlfn.XLOOKUP(_xlfn.XLOOKUP($F89,Clientes!$B$4:$B$39,Clientes!$C$4:$C$39),Cadastros!$L$6:$L$12,Cadastros!$N$6:$N$12)))</f>
        <v/>
      </c>
      <c r="K89" s="168" t="str">
        <f t="shared" si="14"/>
        <v/>
      </c>
      <c r="L89" s="168" t="str">
        <f>IFERROR(K89/_xlfn.XLOOKUP(_xlfn.XLOOKUP($F89,Clientes!$B$4:$B$39,Clientes!$C$4:$C$39),Cadastros!$L$6:$L$12,Cadastros!$M$6:$M$12)," ")</f>
        <v xml:space="preserve"> </v>
      </c>
      <c r="M89" s="28"/>
      <c r="N89" s="28"/>
      <c r="O89" s="255" t="str">
        <f>IF(M89="","",(_xlfn.XLOOKUP(M89,Cadastros!$D$6:$D$90,Cadastros!$E$6:$E$90))*(1-_xlfn.XLOOKUP(_xlfn.XLOOKUP($F89,Clientes!$B$4:$B$39,Clientes!$C$4:$C$39),Cadastros!$L$6:$L$12,Cadastros!$N$6:$N$12)))</f>
        <v/>
      </c>
      <c r="P89" s="168" t="str">
        <f t="shared" si="15"/>
        <v/>
      </c>
      <c r="Q89" s="168" t="str">
        <f>IFERROR(P89/_xlfn.XLOOKUP(_xlfn.XLOOKUP($F89,Clientes!$B$4:$B$39,Clientes!$C$4:$C$39),Cadastros!$L$6:$L$12,Cadastros!$M$6:$M$12)," ")</f>
        <v xml:space="preserve"> </v>
      </c>
      <c r="R89" s="28"/>
      <c r="S89" s="28"/>
      <c r="T89" s="255" t="str">
        <f>IF(R89="","",(_xlfn.XLOOKUP(R89,Cadastros!$D$6:$D$90,Cadastros!$E$6:$E$90))*(1-_xlfn.XLOOKUP(_xlfn.XLOOKUP($F89,Clientes!$B$4:$B$39,Clientes!$C$4:$C$39),Cadastros!$L$6:$L$12,Cadastros!$N$6:$N$12)))</f>
        <v/>
      </c>
      <c r="U89" s="168" t="str">
        <f t="shared" si="16"/>
        <v/>
      </c>
      <c r="V89" s="168" t="str">
        <f>IFERROR(U89/_xlfn.XLOOKUP(_xlfn.XLOOKUP($F89,Clientes!$B$4:$B$39,Clientes!$C$4:$C$39),Cadastros!$L$6:$L$12,Cadastros!$M$6:$M$12)," ")</f>
        <v xml:space="preserve"> </v>
      </c>
      <c r="W89" s="28"/>
      <c r="X89" s="28"/>
      <c r="Y89" s="255" t="str">
        <f>IF(W89="","",(_xlfn.XLOOKUP(W89,Cadastros!$D$6:$D$90,Cadastros!$E$6:$E$90))*(1-_xlfn.XLOOKUP(_xlfn.XLOOKUP($F89,Clientes!$B$4:$B$39,Clientes!$C$4:$C$39),Cadastros!$L$6:$L$12,Cadastros!$N$6:$N$12)))</f>
        <v/>
      </c>
      <c r="Z89" s="168" t="str">
        <f t="shared" si="17"/>
        <v/>
      </c>
      <c r="AA89" s="168" t="str">
        <f>IFERROR(Z89/_xlfn.XLOOKUP(_xlfn.XLOOKUP($F89,Clientes!$B$4:$B$39,Clientes!$C$4:$C$39),Cadastros!$L$6:$L$12,Cadastros!$M$6:$M$12)," ")</f>
        <v xml:space="preserve"> </v>
      </c>
      <c r="AB89" s="28"/>
      <c r="AC89" s="28"/>
      <c r="AD89" s="20" t="str">
        <f>IF(AB89="","",IF($F89="Bernardino Furlan",_xlfn.XLOOKUP(AB89,Cadastros!$G$6:$G$90,Cadastros!$H$6:$H$90)*(1-0.18),IF($F89="Mauro José Salanti",_xlfn.XLOOKUP(AB89,Cadastros!$G$6:$G$90,Cadastros!$H$6:$H$90)*(1-0.18),_xlfn.XLOOKUP(AB89,Cadastros!$G$6:$G$90,Cadastros!$H$6:$H$90))))</f>
        <v/>
      </c>
      <c r="AE89" s="168" t="str">
        <f t="shared" si="18"/>
        <v/>
      </c>
      <c r="AF89" s="168" t="str">
        <f t="shared" si="19"/>
        <v/>
      </c>
      <c r="AG89" s="28"/>
      <c r="AH89" s="28"/>
      <c r="AI89" s="20" t="str">
        <f>IF(AG89="","",IF($F89="Bernardino Furlan",_xlfn.XLOOKUP(AG89,Cadastros!$G$6:$G$90,Cadastros!$H$6:$H$90)*(1-0.18),IF($F89="Mauro José Salanti",_xlfn.XLOOKUP(AG89,Cadastros!$G$6:$G$90,Cadastros!$H$6:$H$90)*(1-0.18),_xlfn.XLOOKUP(AG89,Cadastros!$G$6:$G$90,Cadastros!$H$6:$H$90))))</f>
        <v/>
      </c>
      <c r="AJ89" s="168" t="str">
        <f t="shared" si="20"/>
        <v/>
      </c>
      <c r="AK89" s="168" t="str">
        <f t="shared" si="21"/>
        <v/>
      </c>
      <c r="AL89" s="28"/>
      <c r="AM89" s="28"/>
      <c r="AN89" s="20" t="str">
        <f>IF(AL89="","",IF($F89="Bernardino Furlan",_xlfn.XLOOKUP(AL89,Cadastros!$G$6:$G$90,Cadastros!$H$6:$H$90)*(1-0.18),IF($F89="Mauro José Salanti",_xlfn.XLOOKUP(AL89,Cadastros!$G$6:$G$90,Cadastros!$H$6:$H$90)*(1-0.18),_xlfn.XLOOKUP(AL89,Cadastros!$G$6:$G$90,Cadastros!$H$6:$H$90))))</f>
        <v/>
      </c>
      <c r="AO89" s="168" t="str">
        <f t="shared" si="22"/>
        <v/>
      </c>
      <c r="AP89" s="168" t="str">
        <f t="shared" si="23"/>
        <v/>
      </c>
      <c r="AQ89" s="28"/>
      <c r="AR89" s="28"/>
      <c r="AS89" s="20" t="str">
        <f>IF(AQ89="","",IF($F89="Bernardino Furlan",_xlfn.XLOOKUP(AQ89,Cadastros!$G$6:$G$90,Cadastros!$H$6:$H$90)*(1-0.18),IF($F89="Mauro José Salanti",_xlfn.XLOOKUP(AQ89,Cadastros!$G$6:$G$90,Cadastros!$H$6:$H$90)*(1-0.18),_xlfn.XLOOKUP(AQ89,Cadastros!$G$6:$G$90,Cadastros!$H$6:$H$90))))</f>
        <v/>
      </c>
      <c r="AT89" s="168" t="str">
        <f t="shared" si="24"/>
        <v/>
      </c>
      <c r="AU89" s="168" t="str">
        <f t="shared" si="25"/>
        <v/>
      </c>
      <c r="AV89" s="227"/>
      <c r="AW89" s="30"/>
      <c r="AX89" s="267"/>
      <c r="AY89" s="267"/>
      <c r="AZ89" s="29"/>
      <c r="BA89" s="30"/>
      <c r="BB89" s="23" t="str" cm="1">
        <f t="array" ref="BB89">_xlfn.IFS(AW89="SIM",SUM(K89,P89,U89,Z89,AE89,AJ89,AO89,AT89,AX89,AY89),F89&lt;&gt;"",SUM(K89,P89,U89,Z89,AE89,AJ89,,AO89,AT89),F89="","")</f>
        <v/>
      </c>
      <c r="BC89" s="211" t="str" cm="1">
        <f t="array" ref="BC89">_xlfn.IFS(E89="","",G89&lt;=E89,BB89*(1-0.03),G89&lt;(E89+8),BB89,AZ89="Boleto",BB89*(1+0.001)^DATEDIF(E89,G89,"D"),AZ89="Cheque",BB89,AZ89="Dinheiro","Alterar forma pgto")</f>
        <v/>
      </c>
      <c r="BD89" s="276" t="str" cm="1">
        <f t="array" ref="BD89">IF(F89=0," ",IF(BC89&lt;BB89,(_xlfn.IFS(AW89="SIM",SUM(L89,Q89,V89,AA89,AF89,AK89,AP89,AU89)+AX89/_xlfn.XLOOKUP(_xlfn.XLOOKUP($F89,Clientes!$B$4:$B$39,Clientes!$C$4:$C$39),Cadastros!$L$6:$L$12,Cadastros!$M$6:$M$12)+IF($F89="Bernardino Furlan",AY89/2751.92,IF($F89="Mauro José Salanti",AY89/2751.92,AY89/3356)),F89&lt;&gt;0,SUM(L89,Q89,V89,AA89,AF89,AK89,AP89,AU89)))*(1-0.03),_xlfn.IFS(AW89="SIM",SUM(L89,Q89,V89,AA89,AF89,AK89,AP89,AU89)+AX89/_xlfn.XLOOKUP(_xlfn.XLOOKUP($F89,Clientes!$B$4:$B$39,Clientes!$C$4:$C$39),Cadastros!$L$6:$L$12,Cadastros!$M$6:$M$12)+IF($F89="Bernardino Furlan",AY89/2751.92,IF($F89="Mauro José Salanti",AY89/2751.92,AY89/3356)),F89&lt;&gt;0,SUM(L89,Q89,V89,AA89,AF89,AK89,AP89,AU89))))</f>
        <v xml:space="preserve"> </v>
      </c>
      <c r="BE89" s="120"/>
      <c r="BF89" s="120"/>
      <c r="BG89" s="120"/>
      <c r="BL89" s="235" t="str">
        <f>IF(Cadastros!D86="","",Cadastros!D86)</f>
        <v/>
      </c>
      <c r="BN89" s="235" t="str">
        <f>IF(Cadastros!G86="","",Cadastros!G86)</f>
        <v/>
      </c>
    </row>
    <row r="90" spans="1:66" s="3" customFormat="1" x14ac:dyDescent="0.3">
      <c r="A90" s="15" t="str">
        <f t="shared" si="13"/>
        <v/>
      </c>
      <c r="B90" s="25"/>
      <c r="C90" s="26"/>
      <c r="D90" s="279"/>
      <c r="E90" s="27"/>
      <c r="F90" s="28"/>
      <c r="G90" s="27"/>
      <c r="H90" s="28"/>
      <c r="I90" s="28"/>
      <c r="J90" s="255" t="str">
        <f>IF(H90="","",(_xlfn.XLOOKUP(H90,Cadastros!$D$6:$D$90,Cadastros!$E$6:$E$90))*(1-_xlfn.XLOOKUP(_xlfn.XLOOKUP($F90,Clientes!$B$4:$B$39,Clientes!$C$4:$C$39),Cadastros!$L$6:$L$12,Cadastros!$N$6:$N$12)))</f>
        <v/>
      </c>
      <c r="K90" s="168" t="str">
        <f t="shared" si="14"/>
        <v/>
      </c>
      <c r="L90" s="168" t="str">
        <f>IFERROR(K90/_xlfn.XLOOKUP(_xlfn.XLOOKUP($F90,Clientes!$B$4:$B$39,Clientes!$C$4:$C$39),Cadastros!$L$6:$L$12,Cadastros!$M$6:$M$12)," ")</f>
        <v xml:space="preserve"> </v>
      </c>
      <c r="M90" s="28"/>
      <c r="N90" s="28"/>
      <c r="O90" s="255" t="str">
        <f>IF(M90="","",(_xlfn.XLOOKUP(M90,Cadastros!$D$6:$D$90,Cadastros!$E$6:$E$90))*(1-_xlfn.XLOOKUP(_xlfn.XLOOKUP($F90,Clientes!$B$4:$B$39,Clientes!$C$4:$C$39),Cadastros!$L$6:$L$12,Cadastros!$N$6:$N$12)))</f>
        <v/>
      </c>
      <c r="P90" s="168" t="str">
        <f t="shared" si="15"/>
        <v/>
      </c>
      <c r="Q90" s="168" t="str">
        <f>IFERROR(P90/_xlfn.XLOOKUP(_xlfn.XLOOKUP($F90,Clientes!$B$4:$B$39,Clientes!$C$4:$C$39),Cadastros!$L$6:$L$12,Cadastros!$M$6:$M$12)," ")</f>
        <v xml:space="preserve"> </v>
      </c>
      <c r="R90" s="28"/>
      <c r="S90" s="28"/>
      <c r="T90" s="255" t="str">
        <f>IF(R90="","",(_xlfn.XLOOKUP(R90,Cadastros!$D$6:$D$90,Cadastros!$E$6:$E$90))*(1-_xlfn.XLOOKUP(_xlfn.XLOOKUP($F90,Clientes!$B$4:$B$39,Clientes!$C$4:$C$39),Cadastros!$L$6:$L$12,Cadastros!$N$6:$N$12)))</f>
        <v/>
      </c>
      <c r="U90" s="168" t="str">
        <f t="shared" si="16"/>
        <v/>
      </c>
      <c r="V90" s="168" t="str">
        <f>IFERROR(U90/_xlfn.XLOOKUP(_xlfn.XLOOKUP($F90,Clientes!$B$4:$B$39,Clientes!$C$4:$C$39),Cadastros!$L$6:$L$12,Cadastros!$M$6:$M$12)," ")</f>
        <v xml:space="preserve"> </v>
      </c>
      <c r="W90" s="28"/>
      <c r="X90" s="28"/>
      <c r="Y90" s="255" t="str">
        <f>IF(W90="","",(_xlfn.XLOOKUP(W90,Cadastros!$D$6:$D$90,Cadastros!$E$6:$E$90))*(1-_xlfn.XLOOKUP(_xlfn.XLOOKUP($F90,Clientes!$B$4:$B$39,Clientes!$C$4:$C$39),Cadastros!$L$6:$L$12,Cadastros!$N$6:$N$12)))</f>
        <v/>
      </c>
      <c r="Z90" s="168" t="str">
        <f t="shared" si="17"/>
        <v/>
      </c>
      <c r="AA90" s="168" t="str">
        <f>IFERROR(Z90/_xlfn.XLOOKUP(_xlfn.XLOOKUP($F90,Clientes!$B$4:$B$39,Clientes!$C$4:$C$39),Cadastros!$L$6:$L$12,Cadastros!$M$6:$M$12)," ")</f>
        <v xml:space="preserve"> </v>
      </c>
      <c r="AB90" s="28"/>
      <c r="AC90" s="28"/>
      <c r="AD90" s="20" t="str">
        <f>IF(AB90="","",IF($F90="Bernardino Furlan",_xlfn.XLOOKUP(AB90,Cadastros!$G$6:$G$90,Cadastros!$H$6:$H$90)*(1-0.18),IF($F90="Mauro José Salanti",_xlfn.XLOOKUP(AB90,Cadastros!$G$6:$G$90,Cadastros!$H$6:$H$90)*(1-0.18),_xlfn.XLOOKUP(AB90,Cadastros!$G$6:$G$90,Cadastros!$H$6:$H$90))))</f>
        <v/>
      </c>
      <c r="AE90" s="168" t="str">
        <f t="shared" si="18"/>
        <v/>
      </c>
      <c r="AF90" s="168" t="str">
        <f t="shared" si="19"/>
        <v/>
      </c>
      <c r="AG90" s="28"/>
      <c r="AH90" s="28"/>
      <c r="AI90" s="20" t="str">
        <f>IF(AG90="","",IF($F90="Bernardino Furlan",_xlfn.XLOOKUP(AG90,Cadastros!$G$6:$G$90,Cadastros!$H$6:$H$90)*(1-0.18),IF($F90="Mauro José Salanti",_xlfn.XLOOKUP(AG90,Cadastros!$G$6:$G$90,Cadastros!$H$6:$H$90)*(1-0.18),_xlfn.XLOOKUP(AG90,Cadastros!$G$6:$G$90,Cadastros!$H$6:$H$90))))</f>
        <v/>
      </c>
      <c r="AJ90" s="168" t="str">
        <f t="shared" si="20"/>
        <v/>
      </c>
      <c r="AK90" s="168" t="str">
        <f t="shared" si="21"/>
        <v/>
      </c>
      <c r="AL90" s="28"/>
      <c r="AM90" s="28"/>
      <c r="AN90" s="20" t="str">
        <f>IF(AL90="","",IF($F90="Bernardino Furlan",_xlfn.XLOOKUP(AL90,Cadastros!$G$6:$G$90,Cadastros!$H$6:$H$90)*(1-0.18),IF($F90="Mauro José Salanti",_xlfn.XLOOKUP(AL90,Cadastros!$G$6:$G$90,Cadastros!$H$6:$H$90)*(1-0.18),_xlfn.XLOOKUP(AL90,Cadastros!$G$6:$G$90,Cadastros!$H$6:$H$90))))</f>
        <v/>
      </c>
      <c r="AO90" s="168" t="str">
        <f t="shared" si="22"/>
        <v/>
      </c>
      <c r="AP90" s="168" t="str">
        <f t="shared" si="23"/>
        <v/>
      </c>
      <c r="AQ90" s="28"/>
      <c r="AR90" s="28"/>
      <c r="AS90" s="20" t="str">
        <f>IF(AQ90="","",IF($F90="Bernardino Furlan",_xlfn.XLOOKUP(AQ90,Cadastros!$G$6:$G$90,Cadastros!$H$6:$H$90)*(1-0.18),IF($F90="Mauro José Salanti",_xlfn.XLOOKUP(AQ90,Cadastros!$G$6:$G$90,Cadastros!$H$6:$H$90)*(1-0.18),_xlfn.XLOOKUP(AQ90,Cadastros!$G$6:$G$90,Cadastros!$H$6:$H$90))))</f>
        <v/>
      </c>
      <c r="AT90" s="168" t="str">
        <f t="shared" si="24"/>
        <v/>
      </c>
      <c r="AU90" s="168" t="str">
        <f t="shared" si="25"/>
        <v/>
      </c>
      <c r="AV90" s="227"/>
      <c r="AW90" s="30"/>
      <c r="AX90" s="267"/>
      <c r="AY90" s="267"/>
      <c r="AZ90" s="29"/>
      <c r="BA90" s="30"/>
      <c r="BB90" s="23" t="str" cm="1">
        <f t="array" ref="BB90">_xlfn.IFS(AW90="SIM",SUM(K90,P90,U90,Z90,AE90,AJ90,AO90,AT90,AX90,AY90),F90&lt;&gt;"",SUM(K90,P90,U90,Z90,AE90,AJ90,,AO90,AT90),F90="","")</f>
        <v/>
      </c>
      <c r="BC90" s="211" t="str" cm="1">
        <f t="array" ref="BC90">_xlfn.IFS(E90="","",G90&lt;=E90,BB90*(1-0.03),G90&lt;(E90+8),BB90,AZ90="Boleto",BB90*(1+0.001)^DATEDIF(E90,G90,"D"),AZ90="Cheque",BB90,AZ90="Dinheiro","Alterar forma pgto")</f>
        <v/>
      </c>
      <c r="BD90" s="276" t="str" cm="1">
        <f t="array" ref="BD90">IF(F90=0," ",IF(BC90&lt;BB90,(_xlfn.IFS(AW90="SIM",SUM(L90,Q90,V90,AA90,AF90,AK90,AP90,AU90)+AX90/_xlfn.XLOOKUP(_xlfn.XLOOKUP($F90,Clientes!$B$4:$B$39,Clientes!$C$4:$C$39),Cadastros!$L$6:$L$12,Cadastros!$M$6:$M$12)+IF($F90="Bernardino Furlan",AY90/2751.92,IF($F90="Mauro José Salanti",AY90/2751.92,AY90/3356)),F90&lt;&gt;0,SUM(L90,Q90,V90,AA90,AF90,AK90,AP90,AU90)))*(1-0.03),_xlfn.IFS(AW90="SIM",SUM(L90,Q90,V90,AA90,AF90,AK90,AP90,AU90)+AX90/_xlfn.XLOOKUP(_xlfn.XLOOKUP($F90,Clientes!$B$4:$B$39,Clientes!$C$4:$C$39),Cadastros!$L$6:$L$12,Cadastros!$M$6:$M$12)+IF($F90="Bernardino Furlan",AY90/2751.92,IF($F90="Mauro José Salanti",AY90/2751.92,AY90/3356)),F90&lt;&gt;0,SUM(L90,Q90,V90,AA90,AF90,AK90,AP90,AU90))))</f>
        <v xml:space="preserve"> </v>
      </c>
      <c r="BE90" s="120"/>
      <c r="BF90" s="120"/>
      <c r="BG90" s="120"/>
      <c r="BL90" s="235" t="str">
        <f>IF(Cadastros!D87="","",Cadastros!D87)</f>
        <v/>
      </c>
      <c r="BN90" s="235" t="str">
        <f>IF(Cadastros!G87="","",Cadastros!G87)</f>
        <v/>
      </c>
    </row>
    <row r="91" spans="1:66" s="3" customFormat="1" x14ac:dyDescent="0.3">
      <c r="A91" s="15" t="str">
        <f t="shared" si="13"/>
        <v/>
      </c>
      <c r="B91" s="25"/>
      <c r="C91" s="26"/>
      <c r="D91" s="279"/>
      <c r="E91" s="27"/>
      <c r="F91" s="28"/>
      <c r="G91" s="27"/>
      <c r="H91" s="28"/>
      <c r="I91" s="28"/>
      <c r="J91" s="255" t="str">
        <f>IF(H91="","",(_xlfn.XLOOKUP(H91,Cadastros!$D$6:$D$90,Cadastros!$E$6:$E$90))*(1-_xlfn.XLOOKUP(_xlfn.XLOOKUP($F91,Clientes!$B$4:$B$39,Clientes!$C$4:$C$39),Cadastros!$L$6:$L$12,Cadastros!$N$6:$N$12)))</f>
        <v/>
      </c>
      <c r="K91" s="168" t="str">
        <f t="shared" si="14"/>
        <v/>
      </c>
      <c r="L91" s="168" t="str">
        <f>IFERROR(K91/_xlfn.XLOOKUP(_xlfn.XLOOKUP($F91,Clientes!$B$4:$B$39,Clientes!$C$4:$C$39),Cadastros!$L$6:$L$12,Cadastros!$M$6:$M$12)," ")</f>
        <v xml:space="preserve"> </v>
      </c>
      <c r="M91" s="28"/>
      <c r="N91" s="28"/>
      <c r="O91" s="255" t="str">
        <f>IF(M91="","",(_xlfn.XLOOKUP(M91,Cadastros!$D$6:$D$90,Cadastros!$E$6:$E$90))*(1-_xlfn.XLOOKUP(_xlfn.XLOOKUP($F91,Clientes!$B$4:$B$39,Clientes!$C$4:$C$39),Cadastros!$L$6:$L$12,Cadastros!$N$6:$N$12)))</f>
        <v/>
      </c>
      <c r="P91" s="168" t="str">
        <f t="shared" si="15"/>
        <v/>
      </c>
      <c r="Q91" s="168" t="str">
        <f>IFERROR(P91/_xlfn.XLOOKUP(_xlfn.XLOOKUP($F91,Clientes!$B$4:$B$39,Clientes!$C$4:$C$39),Cadastros!$L$6:$L$12,Cadastros!$M$6:$M$12)," ")</f>
        <v xml:space="preserve"> </v>
      </c>
      <c r="R91" s="28"/>
      <c r="S91" s="28"/>
      <c r="T91" s="255" t="str">
        <f>IF(R91="","",(_xlfn.XLOOKUP(R91,Cadastros!$D$6:$D$90,Cadastros!$E$6:$E$90))*(1-_xlfn.XLOOKUP(_xlfn.XLOOKUP($F91,Clientes!$B$4:$B$39,Clientes!$C$4:$C$39),Cadastros!$L$6:$L$12,Cadastros!$N$6:$N$12)))</f>
        <v/>
      </c>
      <c r="U91" s="168" t="str">
        <f t="shared" si="16"/>
        <v/>
      </c>
      <c r="V91" s="168" t="str">
        <f>IFERROR(U91/_xlfn.XLOOKUP(_xlfn.XLOOKUP($F91,Clientes!$B$4:$B$39,Clientes!$C$4:$C$39),Cadastros!$L$6:$L$12,Cadastros!$M$6:$M$12)," ")</f>
        <v xml:space="preserve"> </v>
      </c>
      <c r="W91" s="28"/>
      <c r="X91" s="28"/>
      <c r="Y91" s="255" t="str">
        <f>IF(W91="","",(_xlfn.XLOOKUP(W91,Cadastros!$D$6:$D$90,Cadastros!$E$6:$E$90))*(1-_xlfn.XLOOKUP(_xlfn.XLOOKUP($F91,Clientes!$B$4:$B$39,Clientes!$C$4:$C$39),Cadastros!$L$6:$L$12,Cadastros!$N$6:$N$12)))</f>
        <v/>
      </c>
      <c r="Z91" s="168" t="str">
        <f t="shared" si="17"/>
        <v/>
      </c>
      <c r="AA91" s="168" t="str">
        <f>IFERROR(Z91/_xlfn.XLOOKUP(_xlfn.XLOOKUP($F91,Clientes!$B$4:$B$39,Clientes!$C$4:$C$39),Cadastros!$L$6:$L$12,Cadastros!$M$6:$M$12)," ")</f>
        <v xml:space="preserve"> </v>
      </c>
      <c r="AB91" s="28"/>
      <c r="AC91" s="28"/>
      <c r="AD91" s="20" t="str">
        <f>IF(AB91="","",IF($F91="Bernardino Furlan",_xlfn.XLOOKUP(AB91,Cadastros!$G$6:$G$90,Cadastros!$H$6:$H$90)*(1-0.18),IF($F91="Mauro José Salanti",_xlfn.XLOOKUP(AB91,Cadastros!$G$6:$G$90,Cadastros!$H$6:$H$90)*(1-0.18),_xlfn.XLOOKUP(AB91,Cadastros!$G$6:$G$90,Cadastros!$H$6:$H$90))))</f>
        <v/>
      </c>
      <c r="AE91" s="168" t="str">
        <f t="shared" si="18"/>
        <v/>
      </c>
      <c r="AF91" s="168" t="str">
        <f t="shared" si="19"/>
        <v/>
      </c>
      <c r="AG91" s="28"/>
      <c r="AH91" s="28"/>
      <c r="AI91" s="20" t="str">
        <f>IF(AG91="","",IF($F91="Bernardino Furlan",_xlfn.XLOOKUP(AG91,Cadastros!$G$6:$G$90,Cadastros!$H$6:$H$90)*(1-0.18),IF($F91="Mauro José Salanti",_xlfn.XLOOKUP(AG91,Cadastros!$G$6:$G$90,Cadastros!$H$6:$H$90)*(1-0.18),_xlfn.XLOOKUP(AG91,Cadastros!$G$6:$G$90,Cadastros!$H$6:$H$90))))</f>
        <v/>
      </c>
      <c r="AJ91" s="168" t="str">
        <f t="shared" si="20"/>
        <v/>
      </c>
      <c r="AK91" s="168" t="str">
        <f t="shared" si="21"/>
        <v/>
      </c>
      <c r="AL91" s="28"/>
      <c r="AM91" s="28"/>
      <c r="AN91" s="20" t="str">
        <f>IF(AL91="","",IF($F91="Bernardino Furlan",_xlfn.XLOOKUP(AL91,Cadastros!$G$6:$G$90,Cadastros!$H$6:$H$90)*(1-0.18),IF($F91="Mauro José Salanti",_xlfn.XLOOKUP(AL91,Cadastros!$G$6:$G$90,Cadastros!$H$6:$H$90)*(1-0.18),_xlfn.XLOOKUP(AL91,Cadastros!$G$6:$G$90,Cadastros!$H$6:$H$90))))</f>
        <v/>
      </c>
      <c r="AO91" s="168" t="str">
        <f t="shared" si="22"/>
        <v/>
      </c>
      <c r="AP91" s="168" t="str">
        <f t="shared" si="23"/>
        <v/>
      </c>
      <c r="AQ91" s="28"/>
      <c r="AR91" s="28"/>
      <c r="AS91" s="20" t="str">
        <f>IF(AQ91="","",IF($F91="Bernardino Furlan",_xlfn.XLOOKUP(AQ91,Cadastros!$G$6:$G$90,Cadastros!$H$6:$H$90)*(1-0.18),IF($F91="Mauro José Salanti",_xlfn.XLOOKUP(AQ91,Cadastros!$G$6:$G$90,Cadastros!$H$6:$H$90)*(1-0.18),_xlfn.XLOOKUP(AQ91,Cadastros!$G$6:$G$90,Cadastros!$H$6:$H$90))))</f>
        <v/>
      </c>
      <c r="AT91" s="168" t="str">
        <f t="shared" si="24"/>
        <v/>
      </c>
      <c r="AU91" s="168" t="str">
        <f t="shared" si="25"/>
        <v/>
      </c>
      <c r="AV91" s="227"/>
      <c r="AW91" s="30"/>
      <c r="AX91" s="267"/>
      <c r="AY91" s="267"/>
      <c r="AZ91" s="29"/>
      <c r="BA91" s="30"/>
      <c r="BB91" s="23" t="str" cm="1">
        <f t="array" ref="BB91">_xlfn.IFS(AW91="SIM",SUM(K91,P91,U91,Z91,AE91,AJ91,AO91,AT91,AX91,AY91),F91&lt;&gt;"",SUM(K91,P91,U91,Z91,AE91,AJ91,,AO91,AT91),F91="","")</f>
        <v/>
      </c>
      <c r="BC91" s="211" t="str" cm="1">
        <f t="array" ref="BC91">_xlfn.IFS(E91="","",G91&lt;=E91,BB91*(1-0.03),G91&lt;(E91+8),BB91,AZ91="Boleto",BB91*(1+0.001)^DATEDIF(E91,G91,"D"),AZ91="Cheque",BB91,AZ91="Dinheiro","Alterar forma pgto")</f>
        <v/>
      </c>
      <c r="BD91" s="276" t="str" cm="1">
        <f t="array" ref="BD91">IF(F91=0," ",IF(BC91&lt;BB91,(_xlfn.IFS(AW91="SIM",SUM(L91,Q91,V91,AA91,AF91,AK91,AP91,AU91)+AX91/_xlfn.XLOOKUP(_xlfn.XLOOKUP($F91,Clientes!$B$4:$B$39,Clientes!$C$4:$C$39),Cadastros!$L$6:$L$12,Cadastros!$M$6:$M$12)+IF($F91="Bernardino Furlan",AY91/2751.92,IF($F91="Mauro José Salanti",AY91/2751.92,AY91/3356)),F91&lt;&gt;0,SUM(L91,Q91,V91,AA91,AF91,AK91,AP91,AU91)))*(1-0.03),_xlfn.IFS(AW91="SIM",SUM(L91,Q91,V91,AA91,AF91,AK91,AP91,AU91)+AX91/_xlfn.XLOOKUP(_xlfn.XLOOKUP($F91,Clientes!$B$4:$B$39,Clientes!$C$4:$C$39),Cadastros!$L$6:$L$12,Cadastros!$M$6:$M$12)+IF($F91="Bernardino Furlan",AY91/2751.92,IF($F91="Mauro José Salanti",AY91/2751.92,AY91/3356)),F91&lt;&gt;0,SUM(L91,Q91,V91,AA91,AF91,AK91,AP91,AU91))))</f>
        <v xml:space="preserve"> </v>
      </c>
      <c r="BE91" s="120"/>
      <c r="BF91" s="120"/>
      <c r="BG91" s="120"/>
      <c r="BL91" s="235" t="str">
        <f>IF(Cadastros!D88="","",Cadastros!D88)</f>
        <v/>
      </c>
      <c r="BN91" s="235" t="str">
        <f>IF(Cadastros!G88="","",Cadastros!G88)</f>
        <v/>
      </c>
    </row>
    <row r="92" spans="1:66" s="3" customFormat="1" x14ac:dyDescent="0.3">
      <c r="A92" s="15" t="str">
        <f t="shared" si="13"/>
        <v/>
      </c>
      <c r="B92" s="25"/>
      <c r="C92" s="26"/>
      <c r="D92" s="279"/>
      <c r="E92" s="27"/>
      <c r="F92" s="28"/>
      <c r="G92" s="27"/>
      <c r="H92" s="28"/>
      <c r="I92" s="28"/>
      <c r="J92" s="255" t="str">
        <f>IF(H92="","",(_xlfn.XLOOKUP(H92,Cadastros!$D$6:$D$90,Cadastros!$E$6:$E$90))*(1-_xlfn.XLOOKUP(_xlfn.XLOOKUP($F92,Clientes!$B$4:$B$39,Clientes!$C$4:$C$39),Cadastros!$L$6:$L$12,Cadastros!$N$6:$N$12)))</f>
        <v/>
      </c>
      <c r="K92" s="168" t="str">
        <f t="shared" si="14"/>
        <v/>
      </c>
      <c r="L92" s="168" t="str">
        <f>IFERROR(K92/_xlfn.XLOOKUP(_xlfn.XLOOKUP($F92,Clientes!$B$4:$B$39,Clientes!$C$4:$C$39),Cadastros!$L$6:$L$12,Cadastros!$M$6:$M$12)," ")</f>
        <v xml:space="preserve"> </v>
      </c>
      <c r="M92" s="28"/>
      <c r="N92" s="28"/>
      <c r="O92" s="255" t="str">
        <f>IF(M92="","",(_xlfn.XLOOKUP(M92,Cadastros!$D$6:$D$90,Cadastros!$E$6:$E$90))*(1-_xlfn.XLOOKUP(_xlfn.XLOOKUP($F92,Clientes!$B$4:$B$39,Clientes!$C$4:$C$39),Cadastros!$L$6:$L$12,Cadastros!$N$6:$N$12)))</f>
        <v/>
      </c>
      <c r="P92" s="168" t="str">
        <f t="shared" si="15"/>
        <v/>
      </c>
      <c r="Q92" s="168" t="str">
        <f>IFERROR(P92/_xlfn.XLOOKUP(_xlfn.XLOOKUP($F92,Clientes!$B$4:$B$39,Clientes!$C$4:$C$39),Cadastros!$L$6:$L$12,Cadastros!$M$6:$M$12)," ")</f>
        <v xml:space="preserve"> </v>
      </c>
      <c r="R92" s="28"/>
      <c r="S92" s="28"/>
      <c r="T92" s="255" t="str">
        <f>IF(R92="","",(_xlfn.XLOOKUP(R92,Cadastros!$D$6:$D$90,Cadastros!$E$6:$E$90))*(1-_xlfn.XLOOKUP(_xlfn.XLOOKUP($F92,Clientes!$B$4:$B$39,Clientes!$C$4:$C$39),Cadastros!$L$6:$L$12,Cadastros!$N$6:$N$12)))</f>
        <v/>
      </c>
      <c r="U92" s="168" t="str">
        <f t="shared" si="16"/>
        <v/>
      </c>
      <c r="V92" s="168" t="str">
        <f>IFERROR(U92/_xlfn.XLOOKUP(_xlfn.XLOOKUP($F92,Clientes!$B$4:$B$39,Clientes!$C$4:$C$39),Cadastros!$L$6:$L$12,Cadastros!$M$6:$M$12)," ")</f>
        <v xml:space="preserve"> </v>
      </c>
      <c r="W92" s="28"/>
      <c r="X92" s="28"/>
      <c r="Y92" s="255" t="str">
        <f>IF(W92="","",(_xlfn.XLOOKUP(W92,Cadastros!$D$6:$D$90,Cadastros!$E$6:$E$90))*(1-_xlfn.XLOOKUP(_xlfn.XLOOKUP($F92,Clientes!$B$4:$B$39,Clientes!$C$4:$C$39),Cadastros!$L$6:$L$12,Cadastros!$N$6:$N$12)))</f>
        <v/>
      </c>
      <c r="Z92" s="168" t="str">
        <f t="shared" si="17"/>
        <v/>
      </c>
      <c r="AA92" s="168" t="str">
        <f>IFERROR(Z92/_xlfn.XLOOKUP(_xlfn.XLOOKUP($F92,Clientes!$B$4:$B$39,Clientes!$C$4:$C$39),Cadastros!$L$6:$L$12,Cadastros!$M$6:$M$12)," ")</f>
        <v xml:space="preserve"> </v>
      </c>
      <c r="AB92" s="28"/>
      <c r="AC92" s="28"/>
      <c r="AD92" s="20" t="str">
        <f>IF(AB92="","",IF($F92="Bernardino Furlan",_xlfn.XLOOKUP(AB92,Cadastros!$G$6:$G$90,Cadastros!$H$6:$H$90)*(1-0.18),IF($F92="Mauro José Salanti",_xlfn.XLOOKUP(AB92,Cadastros!$G$6:$G$90,Cadastros!$H$6:$H$90)*(1-0.18),_xlfn.XLOOKUP(AB92,Cadastros!$G$6:$G$90,Cadastros!$H$6:$H$90))))</f>
        <v/>
      </c>
      <c r="AE92" s="168" t="str">
        <f t="shared" si="18"/>
        <v/>
      </c>
      <c r="AF92" s="168" t="str">
        <f t="shared" si="19"/>
        <v/>
      </c>
      <c r="AG92" s="28"/>
      <c r="AH92" s="28"/>
      <c r="AI92" s="20" t="str">
        <f>IF(AG92="","",IF($F92="Bernardino Furlan",_xlfn.XLOOKUP(AG92,Cadastros!$G$6:$G$90,Cadastros!$H$6:$H$90)*(1-0.18),IF($F92="Mauro José Salanti",_xlfn.XLOOKUP(AG92,Cadastros!$G$6:$G$90,Cadastros!$H$6:$H$90)*(1-0.18),_xlfn.XLOOKUP(AG92,Cadastros!$G$6:$G$90,Cadastros!$H$6:$H$90))))</f>
        <v/>
      </c>
      <c r="AJ92" s="168" t="str">
        <f t="shared" si="20"/>
        <v/>
      </c>
      <c r="AK92" s="168" t="str">
        <f t="shared" si="21"/>
        <v/>
      </c>
      <c r="AL92" s="28"/>
      <c r="AM92" s="28"/>
      <c r="AN92" s="20" t="str">
        <f>IF(AL92="","",IF($F92="Bernardino Furlan",_xlfn.XLOOKUP(AL92,Cadastros!$G$6:$G$90,Cadastros!$H$6:$H$90)*(1-0.18),IF($F92="Mauro José Salanti",_xlfn.XLOOKUP(AL92,Cadastros!$G$6:$G$90,Cadastros!$H$6:$H$90)*(1-0.18),_xlfn.XLOOKUP(AL92,Cadastros!$G$6:$G$90,Cadastros!$H$6:$H$90))))</f>
        <v/>
      </c>
      <c r="AO92" s="168" t="str">
        <f t="shared" si="22"/>
        <v/>
      </c>
      <c r="AP92" s="168" t="str">
        <f t="shared" si="23"/>
        <v/>
      </c>
      <c r="AQ92" s="28"/>
      <c r="AR92" s="28"/>
      <c r="AS92" s="20" t="str">
        <f>IF(AQ92="","",IF($F92="Bernardino Furlan",_xlfn.XLOOKUP(AQ92,Cadastros!$G$6:$G$90,Cadastros!$H$6:$H$90)*(1-0.18),IF($F92="Mauro José Salanti",_xlfn.XLOOKUP(AQ92,Cadastros!$G$6:$G$90,Cadastros!$H$6:$H$90)*(1-0.18),_xlfn.XLOOKUP(AQ92,Cadastros!$G$6:$G$90,Cadastros!$H$6:$H$90))))</f>
        <v/>
      </c>
      <c r="AT92" s="168" t="str">
        <f t="shared" si="24"/>
        <v/>
      </c>
      <c r="AU92" s="168" t="str">
        <f t="shared" si="25"/>
        <v/>
      </c>
      <c r="AV92" s="227"/>
      <c r="AW92" s="30"/>
      <c r="AX92" s="267"/>
      <c r="AY92" s="267"/>
      <c r="AZ92" s="29"/>
      <c r="BA92" s="30"/>
      <c r="BB92" s="23" t="str" cm="1">
        <f t="array" ref="BB92">_xlfn.IFS(AW92="SIM",SUM(K92,P92,U92,Z92,AE92,AJ92,AO92,AT92,AX92,AY92),F92&lt;&gt;"",SUM(K92,P92,U92,Z92,AE92,AJ92,,AO92,AT92),F92="","")</f>
        <v/>
      </c>
      <c r="BC92" s="211" t="str" cm="1">
        <f t="array" ref="BC92">_xlfn.IFS(E92="","",G92&lt;=E92,BB92*(1-0.03),G92&lt;(E92+8),BB92,AZ92="Boleto",BB92*(1+0.001)^DATEDIF(E92,G92,"D"),AZ92="Cheque",BB92,AZ92="Dinheiro","Alterar forma pgto")</f>
        <v/>
      </c>
      <c r="BD92" s="276" t="str" cm="1">
        <f t="array" ref="BD92">IF(F92=0," ",IF(BC92&lt;BB92,(_xlfn.IFS(AW92="SIM",SUM(L92,Q92,V92,AA92,AF92,AK92,AP92,AU92)+AX92/_xlfn.XLOOKUP(_xlfn.XLOOKUP($F92,Clientes!$B$4:$B$39,Clientes!$C$4:$C$39),Cadastros!$L$6:$L$12,Cadastros!$M$6:$M$12)+IF($F92="Bernardino Furlan",AY92/2751.92,IF($F92="Mauro José Salanti",AY92/2751.92,AY92/3356)),F92&lt;&gt;0,SUM(L92,Q92,V92,AA92,AF92,AK92,AP92,AU92)))*(1-0.03),_xlfn.IFS(AW92="SIM",SUM(L92,Q92,V92,AA92,AF92,AK92,AP92,AU92)+AX92/_xlfn.XLOOKUP(_xlfn.XLOOKUP($F92,Clientes!$B$4:$B$39,Clientes!$C$4:$C$39),Cadastros!$L$6:$L$12,Cadastros!$M$6:$M$12)+IF($F92="Bernardino Furlan",AY92/2751.92,IF($F92="Mauro José Salanti",AY92/2751.92,AY92/3356)),F92&lt;&gt;0,SUM(L92,Q92,V92,AA92,AF92,AK92,AP92,AU92))))</f>
        <v xml:space="preserve"> </v>
      </c>
      <c r="BE92" s="120"/>
      <c r="BF92" s="120"/>
      <c r="BG92" s="120"/>
      <c r="BL92" s="235" t="str">
        <f>IF(Cadastros!D89="","",Cadastros!D89)</f>
        <v/>
      </c>
      <c r="BN92" s="235" t="str">
        <f>IF(Cadastros!G89="","",Cadastros!G89)</f>
        <v/>
      </c>
    </row>
    <row r="93" spans="1:66" s="3" customFormat="1" x14ac:dyDescent="0.3">
      <c r="A93" s="15" t="str">
        <f t="shared" si="13"/>
        <v/>
      </c>
      <c r="B93" s="25"/>
      <c r="C93" s="26"/>
      <c r="D93" s="279"/>
      <c r="E93" s="27"/>
      <c r="F93" s="28"/>
      <c r="G93" s="27"/>
      <c r="H93" s="28"/>
      <c r="I93" s="28"/>
      <c r="J93" s="255" t="str">
        <f>IF(H93="","",(_xlfn.XLOOKUP(H93,Cadastros!$D$6:$D$90,Cadastros!$E$6:$E$90))*(1-_xlfn.XLOOKUP(_xlfn.XLOOKUP($F93,Clientes!$B$4:$B$39,Clientes!$C$4:$C$39),Cadastros!$L$6:$L$12,Cadastros!$N$6:$N$12)))</f>
        <v/>
      </c>
      <c r="K93" s="168" t="str">
        <f t="shared" si="14"/>
        <v/>
      </c>
      <c r="L93" s="168" t="str">
        <f>IFERROR(K93/_xlfn.XLOOKUP(_xlfn.XLOOKUP($F93,Clientes!$B$4:$B$39,Clientes!$C$4:$C$39),Cadastros!$L$6:$L$12,Cadastros!$M$6:$M$12)," ")</f>
        <v xml:space="preserve"> </v>
      </c>
      <c r="M93" s="28"/>
      <c r="N93" s="28"/>
      <c r="O93" s="255" t="str">
        <f>IF(M93="","",(_xlfn.XLOOKUP(M93,Cadastros!$D$6:$D$90,Cadastros!$E$6:$E$90))*(1-_xlfn.XLOOKUP(_xlfn.XLOOKUP($F93,Clientes!$B$4:$B$39,Clientes!$C$4:$C$39),Cadastros!$L$6:$L$12,Cadastros!$N$6:$N$12)))</f>
        <v/>
      </c>
      <c r="P93" s="168" t="str">
        <f t="shared" si="15"/>
        <v/>
      </c>
      <c r="Q93" s="168" t="str">
        <f>IFERROR(P93/_xlfn.XLOOKUP(_xlfn.XLOOKUP($F93,Clientes!$B$4:$B$39,Clientes!$C$4:$C$39),Cadastros!$L$6:$L$12,Cadastros!$M$6:$M$12)," ")</f>
        <v xml:space="preserve"> </v>
      </c>
      <c r="R93" s="28"/>
      <c r="S93" s="28"/>
      <c r="T93" s="255" t="str">
        <f>IF(R93="","",(_xlfn.XLOOKUP(R93,Cadastros!$D$6:$D$90,Cadastros!$E$6:$E$90))*(1-_xlfn.XLOOKUP(_xlfn.XLOOKUP($F93,Clientes!$B$4:$B$39,Clientes!$C$4:$C$39),Cadastros!$L$6:$L$12,Cadastros!$N$6:$N$12)))</f>
        <v/>
      </c>
      <c r="U93" s="168" t="str">
        <f t="shared" si="16"/>
        <v/>
      </c>
      <c r="V93" s="168" t="str">
        <f>IFERROR(U93/_xlfn.XLOOKUP(_xlfn.XLOOKUP($F93,Clientes!$B$4:$B$39,Clientes!$C$4:$C$39),Cadastros!$L$6:$L$12,Cadastros!$M$6:$M$12)," ")</f>
        <v xml:space="preserve"> </v>
      </c>
      <c r="W93" s="28"/>
      <c r="X93" s="28"/>
      <c r="Y93" s="255" t="str">
        <f>IF(W93="","",(_xlfn.XLOOKUP(W93,Cadastros!$D$6:$D$90,Cadastros!$E$6:$E$90))*(1-_xlfn.XLOOKUP(_xlfn.XLOOKUP($F93,Clientes!$B$4:$B$39,Clientes!$C$4:$C$39),Cadastros!$L$6:$L$12,Cadastros!$N$6:$N$12)))</f>
        <v/>
      </c>
      <c r="Z93" s="168" t="str">
        <f t="shared" si="17"/>
        <v/>
      </c>
      <c r="AA93" s="168" t="str">
        <f>IFERROR(Z93/_xlfn.XLOOKUP(_xlfn.XLOOKUP($F93,Clientes!$B$4:$B$39,Clientes!$C$4:$C$39),Cadastros!$L$6:$L$12,Cadastros!$M$6:$M$12)," ")</f>
        <v xml:space="preserve"> </v>
      </c>
      <c r="AB93" s="28"/>
      <c r="AC93" s="28"/>
      <c r="AD93" s="20" t="str">
        <f>IF(AB93="","",IF($F93="Bernardino Furlan",_xlfn.XLOOKUP(AB93,Cadastros!$G$6:$G$90,Cadastros!$H$6:$H$90)*(1-0.18),IF($F93="Mauro José Salanti",_xlfn.XLOOKUP(AB93,Cadastros!$G$6:$G$90,Cadastros!$H$6:$H$90)*(1-0.18),_xlfn.XLOOKUP(AB93,Cadastros!$G$6:$G$90,Cadastros!$H$6:$H$90))))</f>
        <v/>
      </c>
      <c r="AE93" s="168" t="str">
        <f t="shared" si="18"/>
        <v/>
      </c>
      <c r="AF93" s="168" t="str">
        <f t="shared" si="19"/>
        <v/>
      </c>
      <c r="AG93" s="28"/>
      <c r="AH93" s="28"/>
      <c r="AI93" s="20" t="str">
        <f>IF(AG93="","",IF($F93="Bernardino Furlan",_xlfn.XLOOKUP(AG93,Cadastros!$G$6:$G$90,Cadastros!$H$6:$H$90)*(1-0.18),IF($F93="Mauro José Salanti",_xlfn.XLOOKUP(AG93,Cadastros!$G$6:$G$90,Cadastros!$H$6:$H$90)*(1-0.18),_xlfn.XLOOKUP(AG93,Cadastros!$G$6:$G$90,Cadastros!$H$6:$H$90))))</f>
        <v/>
      </c>
      <c r="AJ93" s="168" t="str">
        <f t="shared" si="20"/>
        <v/>
      </c>
      <c r="AK93" s="168" t="str">
        <f t="shared" si="21"/>
        <v/>
      </c>
      <c r="AL93" s="28"/>
      <c r="AM93" s="28"/>
      <c r="AN93" s="20" t="str">
        <f>IF(AL93="","",IF($F93="Bernardino Furlan",_xlfn.XLOOKUP(AL93,Cadastros!$G$6:$G$90,Cadastros!$H$6:$H$90)*(1-0.18),IF($F93="Mauro José Salanti",_xlfn.XLOOKUP(AL93,Cadastros!$G$6:$G$90,Cadastros!$H$6:$H$90)*(1-0.18),_xlfn.XLOOKUP(AL93,Cadastros!$G$6:$G$90,Cadastros!$H$6:$H$90))))</f>
        <v/>
      </c>
      <c r="AO93" s="168" t="str">
        <f t="shared" si="22"/>
        <v/>
      </c>
      <c r="AP93" s="168" t="str">
        <f t="shared" si="23"/>
        <v/>
      </c>
      <c r="AQ93" s="28"/>
      <c r="AR93" s="28"/>
      <c r="AS93" s="20" t="str">
        <f>IF(AQ93="","",IF($F93="Bernardino Furlan",_xlfn.XLOOKUP(AQ93,Cadastros!$G$6:$G$90,Cadastros!$H$6:$H$90)*(1-0.18),IF($F93="Mauro José Salanti",_xlfn.XLOOKUP(AQ93,Cadastros!$G$6:$G$90,Cadastros!$H$6:$H$90)*(1-0.18),_xlfn.XLOOKUP(AQ93,Cadastros!$G$6:$G$90,Cadastros!$H$6:$H$90))))</f>
        <v/>
      </c>
      <c r="AT93" s="168" t="str">
        <f t="shared" si="24"/>
        <v/>
      </c>
      <c r="AU93" s="168" t="str">
        <f t="shared" si="25"/>
        <v/>
      </c>
      <c r="AV93" s="227"/>
      <c r="AW93" s="30"/>
      <c r="AX93" s="267"/>
      <c r="AY93" s="267"/>
      <c r="AZ93" s="29"/>
      <c r="BA93" s="30"/>
      <c r="BB93" s="23" t="str" cm="1">
        <f t="array" ref="BB93">_xlfn.IFS(AW93="SIM",SUM(K93,P93,U93,Z93,AE93,AJ93,AO93,AT93,AX93,AY93),F93&lt;&gt;"",SUM(K93,P93,U93,Z93,AE93,AJ93,,AO93,AT93),F93="","")</f>
        <v/>
      </c>
      <c r="BC93" s="211" t="str" cm="1">
        <f t="array" ref="BC93">_xlfn.IFS(E93="","",G93&lt;=E93,BB93*(1-0.03),G93&lt;(E93+8),BB93,AZ93="Boleto",BB93*(1+0.001)^DATEDIF(E93,G93,"D"),AZ93="Cheque",BB93,AZ93="Dinheiro","Alterar forma pgto")</f>
        <v/>
      </c>
      <c r="BD93" s="276" t="str" cm="1">
        <f t="array" ref="BD93">IF(F93=0," ",IF(BC93&lt;BB93,(_xlfn.IFS(AW93="SIM",SUM(L93,Q93,V93,AA93,AF93,AK93,AP93,AU93)+AX93/_xlfn.XLOOKUP(_xlfn.XLOOKUP($F93,Clientes!$B$4:$B$39,Clientes!$C$4:$C$39),Cadastros!$L$6:$L$12,Cadastros!$M$6:$M$12)+IF($F93="Bernardino Furlan",AY93/2751.92,IF($F93="Mauro José Salanti",AY93/2751.92,AY93/3356)),F93&lt;&gt;0,SUM(L93,Q93,V93,AA93,AF93,AK93,AP93,AU93)))*(1-0.03),_xlfn.IFS(AW93="SIM",SUM(L93,Q93,V93,AA93,AF93,AK93,AP93,AU93)+AX93/_xlfn.XLOOKUP(_xlfn.XLOOKUP($F93,Clientes!$B$4:$B$39,Clientes!$C$4:$C$39),Cadastros!$L$6:$L$12,Cadastros!$M$6:$M$12)+IF($F93="Bernardino Furlan",AY93/2751.92,IF($F93="Mauro José Salanti",AY93/2751.92,AY93/3356)),F93&lt;&gt;0,SUM(L93,Q93,V93,AA93,AF93,AK93,AP93,AU93))))</f>
        <v xml:space="preserve"> </v>
      </c>
      <c r="BE93" s="120"/>
      <c r="BF93" s="120"/>
      <c r="BG93" s="120"/>
      <c r="BL93" s="235" t="str">
        <f>IF(Cadastros!D90="","",Cadastros!D90)</f>
        <v/>
      </c>
      <c r="BN93" s="235" t="str">
        <f>IF(Cadastros!G90="","",Cadastros!G90)</f>
        <v/>
      </c>
    </row>
    <row r="94" spans="1:66" s="3" customFormat="1" x14ac:dyDescent="0.3">
      <c r="A94" s="15" t="str">
        <f t="shared" si="13"/>
        <v/>
      </c>
      <c r="B94" s="25"/>
      <c r="C94" s="26"/>
      <c r="D94" s="279"/>
      <c r="E94" s="27"/>
      <c r="F94" s="28"/>
      <c r="G94" s="27"/>
      <c r="H94" s="28"/>
      <c r="I94" s="28"/>
      <c r="J94" s="255" t="str">
        <f>IF(H94="","",(_xlfn.XLOOKUP(H94,Cadastros!$D$6:$D$90,Cadastros!$E$6:$E$90))*(1-_xlfn.XLOOKUP(_xlfn.XLOOKUP($F94,Clientes!$B$4:$B$39,Clientes!$C$4:$C$39),Cadastros!$L$6:$L$12,Cadastros!$N$6:$N$12)))</f>
        <v/>
      </c>
      <c r="K94" s="168" t="str">
        <f t="shared" si="14"/>
        <v/>
      </c>
      <c r="L94" s="168" t="str">
        <f>IFERROR(K94/_xlfn.XLOOKUP(_xlfn.XLOOKUP($F94,Clientes!$B$4:$B$39,Clientes!$C$4:$C$39),Cadastros!$L$6:$L$12,Cadastros!$M$6:$M$12)," ")</f>
        <v xml:space="preserve"> </v>
      </c>
      <c r="M94" s="28"/>
      <c r="N94" s="28"/>
      <c r="O94" s="255" t="str">
        <f>IF(M94="","",(_xlfn.XLOOKUP(M94,Cadastros!$D$6:$D$90,Cadastros!$E$6:$E$90))*(1-_xlfn.XLOOKUP(_xlfn.XLOOKUP($F94,Clientes!$B$4:$B$39,Clientes!$C$4:$C$39),Cadastros!$L$6:$L$12,Cadastros!$N$6:$N$12)))</f>
        <v/>
      </c>
      <c r="P94" s="168" t="str">
        <f t="shared" si="15"/>
        <v/>
      </c>
      <c r="Q94" s="168" t="str">
        <f>IFERROR(P94/_xlfn.XLOOKUP(_xlfn.XLOOKUP($F94,Clientes!$B$4:$B$39,Clientes!$C$4:$C$39),Cadastros!$L$6:$L$12,Cadastros!$M$6:$M$12)," ")</f>
        <v xml:space="preserve"> </v>
      </c>
      <c r="R94" s="28"/>
      <c r="S94" s="28"/>
      <c r="T94" s="255" t="str">
        <f>IF(R94="","",(_xlfn.XLOOKUP(R94,Cadastros!$D$6:$D$90,Cadastros!$E$6:$E$90))*(1-_xlfn.XLOOKUP(_xlfn.XLOOKUP($F94,Clientes!$B$4:$B$39,Clientes!$C$4:$C$39),Cadastros!$L$6:$L$12,Cadastros!$N$6:$N$12)))</f>
        <v/>
      </c>
      <c r="U94" s="168" t="str">
        <f t="shared" si="16"/>
        <v/>
      </c>
      <c r="V94" s="168" t="str">
        <f>IFERROR(U94/_xlfn.XLOOKUP(_xlfn.XLOOKUP($F94,Clientes!$B$4:$B$39,Clientes!$C$4:$C$39),Cadastros!$L$6:$L$12,Cadastros!$M$6:$M$12)," ")</f>
        <v xml:space="preserve"> </v>
      </c>
      <c r="W94" s="28"/>
      <c r="X94" s="28"/>
      <c r="Y94" s="255" t="str">
        <f>IF(W94="","",(_xlfn.XLOOKUP(W94,Cadastros!$D$6:$D$90,Cadastros!$E$6:$E$90))*(1-_xlfn.XLOOKUP(_xlfn.XLOOKUP($F94,Clientes!$B$4:$B$39,Clientes!$C$4:$C$39),Cadastros!$L$6:$L$12,Cadastros!$N$6:$N$12)))</f>
        <v/>
      </c>
      <c r="Z94" s="168" t="str">
        <f t="shared" si="17"/>
        <v/>
      </c>
      <c r="AA94" s="168" t="str">
        <f>IFERROR(Z94/_xlfn.XLOOKUP(_xlfn.XLOOKUP($F94,Clientes!$B$4:$B$39,Clientes!$C$4:$C$39),Cadastros!$L$6:$L$12,Cadastros!$M$6:$M$12)," ")</f>
        <v xml:space="preserve"> </v>
      </c>
      <c r="AB94" s="28"/>
      <c r="AC94" s="28"/>
      <c r="AD94" s="20" t="str">
        <f>IF(AB94="","",IF($F94="Bernardino Furlan",_xlfn.XLOOKUP(AB94,Cadastros!$G$6:$G$90,Cadastros!$H$6:$H$90)*(1-0.18),IF($F94="Mauro José Salanti",_xlfn.XLOOKUP(AB94,Cadastros!$G$6:$G$90,Cadastros!$H$6:$H$90)*(1-0.18),_xlfn.XLOOKUP(AB94,Cadastros!$G$6:$G$90,Cadastros!$H$6:$H$90))))</f>
        <v/>
      </c>
      <c r="AE94" s="168" t="str">
        <f t="shared" si="18"/>
        <v/>
      </c>
      <c r="AF94" s="168" t="str">
        <f t="shared" si="19"/>
        <v/>
      </c>
      <c r="AG94" s="28"/>
      <c r="AH94" s="28"/>
      <c r="AI94" s="20" t="str">
        <f>IF(AG94="","",IF($F94="Bernardino Furlan",_xlfn.XLOOKUP(AG94,Cadastros!$G$6:$G$90,Cadastros!$H$6:$H$90)*(1-0.18),IF($F94="Mauro José Salanti",_xlfn.XLOOKUP(AG94,Cadastros!$G$6:$G$90,Cadastros!$H$6:$H$90)*(1-0.18),_xlfn.XLOOKUP(AG94,Cadastros!$G$6:$G$90,Cadastros!$H$6:$H$90))))</f>
        <v/>
      </c>
      <c r="AJ94" s="168" t="str">
        <f t="shared" si="20"/>
        <v/>
      </c>
      <c r="AK94" s="168" t="str">
        <f t="shared" si="21"/>
        <v/>
      </c>
      <c r="AL94" s="28"/>
      <c r="AM94" s="28"/>
      <c r="AN94" s="20" t="str">
        <f>IF(AL94="","",IF($F94="Bernardino Furlan",_xlfn.XLOOKUP(AL94,Cadastros!$G$6:$G$90,Cadastros!$H$6:$H$90)*(1-0.18),IF($F94="Mauro José Salanti",_xlfn.XLOOKUP(AL94,Cadastros!$G$6:$G$90,Cadastros!$H$6:$H$90)*(1-0.18),_xlfn.XLOOKUP(AL94,Cadastros!$G$6:$G$90,Cadastros!$H$6:$H$90))))</f>
        <v/>
      </c>
      <c r="AO94" s="168" t="str">
        <f t="shared" si="22"/>
        <v/>
      </c>
      <c r="AP94" s="168" t="str">
        <f t="shared" si="23"/>
        <v/>
      </c>
      <c r="AQ94" s="28"/>
      <c r="AR94" s="28"/>
      <c r="AS94" s="20" t="str">
        <f>IF(AQ94="","",IF($F94="Bernardino Furlan",_xlfn.XLOOKUP(AQ94,Cadastros!$G$6:$G$90,Cadastros!$H$6:$H$90)*(1-0.18),IF($F94="Mauro José Salanti",_xlfn.XLOOKUP(AQ94,Cadastros!$G$6:$G$90,Cadastros!$H$6:$H$90)*(1-0.18),_xlfn.XLOOKUP(AQ94,Cadastros!$G$6:$G$90,Cadastros!$H$6:$H$90))))</f>
        <v/>
      </c>
      <c r="AT94" s="168" t="str">
        <f t="shared" si="24"/>
        <v/>
      </c>
      <c r="AU94" s="168" t="str">
        <f t="shared" si="25"/>
        <v/>
      </c>
      <c r="AV94" s="227"/>
      <c r="AW94" s="30"/>
      <c r="AX94" s="267"/>
      <c r="AY94" s="267"/>
      <c r="AZ94" s="29"/>
      <c r="BA94" s="30"/>
      <c r="BB94" s="23" t="str" cm="1">
        <f t="array" ref="BB94">_xlfn.IFS(AW94="SIM",SUM(K94,P94,U94,Z94,AE94,AJ94,AO94,AT94,AX94,AY94),F94&lt;&gt;"",SUM(K94,P94,U94,Z94,AE94,AJ94,,AO94,AT94),F94="","")</f>
        <v/>
      </c>
      <c r="BC94" s="211" t="str" cm="1">
        <f t="array" ref="BC94">_xlfn.IFS(E94="","",G94&lt;=E94,BB94*(1-0.03),G94&lt;(E94+8),BB94,AZ94="Boleto",BB94*(1+0.001)^DATEDIF(E94,G94,"D"),AZ94="Cheque",BB94,AZ94="Dinheiro","Alterar forma pgto")</f>
        <v/>
      </c>
      <c r="BD94" s="276" t="str" cm="1">
        <f t="array" ref="BD94">IF(F94=0," ",IF(BC94&lt;BB94,(_xlfn.IFS(AW94="SIM",SUM(L94,Q94,V94,AA94,AF94,AK94,AP94,AU94)+AX94/_xlfn.XLOOKUP(_xlfn.XLOOKUP($F94,Clientes!$B$4:$B$39,Clientes!$C$4:$C$39),Cadastros!$L$6:$L$12,Cadastros!$M$6:$M$12)+IF($F94="Bernardino Furlan",AY94/2751.92,IF($F94="Mauro José Salanti",AY94/2751.92,AY94/3356)),F94&lt;&gt;0,SUM(L94,Q94,V94,AA94,AF94,AK94,AP94,AU94)))*(1-0.03),_xlfn.IFS(AW94="SIM",SUM(L94,Q94,V94,AA94,AF94,AK94,AP94,AU94)+AX94/_xlfn.XLOOKUP(_xlfn.XLOOKUP($F94,Clientes!$B$4:$B$39,Clientes!$C$4:$C$39),Cadastros!$L$6:$L$12,Cadastros!$M$6:$M$12)+IF($F94="Bernardino Furlan",AY94/2751.92,IF($F94="Mauro José Salanti",AY94/2751.92,AY94/3356)),F94&lt;&gt;0,SUM(L94,Q94,V94,AA94,AF94,AK94,AP94,AU94))))</f>
        <v xml:space="preserve"> </v>
      </c>
      <c r="BE94" s="120"/>
      <c r="BF94" s="120"/>
      <c r="BG94" s="120"/>
    </row>
    <row r="95" spans="1:66" s="3" customFormat="1" x14ac:dyDescent="0.3">
      <c r="A95" s="15" t="str">
        <f t="shared" si="13"/>
        <v/>
      </c>
      <c r="B95" s="25"/>
      <c r="C95" s="26"/>
      <c r="D95" s="279"/>
      <c r="E95" s="27"/>
      <c r="F95" s="28"/>
      <c r="G95" s="27"/>
      <c r="H95" s="28"/>
      <c r="I95" s="28"/>
      <c r="J95" s="255" t="str">
        <f>IF(H95="","",(_xlfn.XLOOKUP(H95,Cadastros!$D$6:$D$90,Cadastros!$E$6:$E$90))*(1-_xlfn.XLOOKUP(_xlfn.XLOOKUP($F95,Clientes!$B$4:$B$39,Clientes!$C$4:$C$39),Cadastros!$L$6:$L$12,Cadastros!$N$6:$N$12)))</f>
        <v/>
      </c>
      <c r="K95" s="168" t="str">
        <f t="shared" si="14"/>
        <v/>
      </c>
      <c r="L95" s="168" t="str">
        <f>IFERROR(K95/_xlfn.XLOOKUP(_xlfn.XLOOKUP($F95,Clientes!$B$4:$B$39,Clientes!$C$4:$C$39),Cadastros!$L$6:$L$12,Cadastros!$M$6:$M$12)," ")</f>
        <v xml:space="preserve"> </v>
      </c>
      <c r="M95" s="28"/>
      <c r="N95" s="28"/>
      <c r="O95" s="255" t="str">
        <f>IF(M95="","",(_xlfn.XLOOKUP(M95,Cadastros!$D$6:$D$90,Cadastros!$E$6:$E$90))*(1-_xlfn.XLOOKUP(_xlfn.XLOOKUP($F95,Clientes!$B$4:$B$39,Clientes!$C$4:$C$39),Cadastros!$L$6:$L$12,Cadastros!$N$6:$N$12)))</f>
        <v/>
      </c>
      <c r="P95" s="168" t="str">
        <f t="shared" si="15"/>
        <v/>
      </c>
      <c r="Q95" s="168" t="str">
        <f>IFERROR(P95/_xlfn.XLOOKUP(_xlfn.XLOOKUP($F95,Clientes!$B$4:$B$39,Clientes!$C$4:$C$39),Cadastros!$L$6:$L$12,Cadastros!$M$6:$M$12)," ")</f>
        <v xml:space="preserve"> </v>
      </c>
      <c r="R95" s="28"/>
      <c r="S95" s="28"/>
      <c r="T95" s="255" t="str">
        <f>IF(R95="","",(_xlfn.XLOOKUP(R95,Cadastros!$D$6:$D$90,Cadastros!$E$6:$E$90))*(1-_xlfn.XLOOKUP(_xlfn.XLOOKUP($F95,Clientes!$B$4:$B$39,Clientes!$C$4:$C$39),Cadastros!$L$6:$L$12,Cadastros!$N$6:$N$12)))</f>
        <v/>
      </c>
      <c r="U95" s="168" t="str">
        <f t="shared" si="16"/>
        <v/>
      </c>
      <c r="V95" s="168" t="str">
        <f>IFERROR(U95/_xlfn.XLOOKUP(_xlfn.XLOOKUP($F95,Clientes!$B$4:$B$39,Clientes!$C$4:$C$39),Cadastros!$L$6:$L$12,Cadastros!$M$6:$M$12)," ")</f>
        <v xml:space="preserve"> </v>
      </c>
      <c r="W95" s="28"/>
      <c r="X95" s="28"/>
      <c r="Y95" s="255" t="str">
        <f>IF(W95="","",(_xlfn.XLOOKUP(W95,Cadastros!$D$6:$D$90,Cadastros!$E$6:$E$90))*(1-_xlfn.XLOOKUP(_xlfn.XLOOKUP($F95,Clientes!$B$4:$B$39,Clientes!$C$4:$C$39),Cadastros!$L$6:$L$12,Cadastros!$N$6:$N$12)))</f>
        <v/>
      </c>
      <c r="Z95" s="168" t="str">
        <f t="shared" si="17"/>
        <v/>
      </c>
      <c r="AA95" s="168" t="str">
        <f>IFERROR(Z95/_xlfn.XLOOKUP(_xlfn.XLOOKUP($F95,Clientes!$B$4:$B$39,Clientes!$C$4:$C$39),Cadastros!$L$6:$L$12,Cadastros!$M$6:$M$12)," ")</f>
        <v xml:space="preserve"> </v>
      </c>
      <c r="AB95" s="28"/>
      <c r="AC95" s="28"/>
      <c r="AD95" s="20" t="str">
        <f>IF(AB95="","",IF($F95="Bernardino Furlan",_xlfn.XLOOKUP(AB95,Cadastros!$G$6:$G$90,Cadastros!$H$6:$H$90)*(1-0.18),IF($F95="Mauro José Salanti",_xlfn.XLOOKUP(AB95,Cadastros!$G$6:$G$90,Cadastros!$H$6:$H$90)*(1-0.18),_xlfn.XLOOKUP(AB95,Cadastros!$G$6:$G$90,Cadastros!$H$6:$H$90))))</f>
        <v/>
      </c>
      <c r="AE95" s="168" t="str">
        <f t="shared" si="18"/>
        <v/>
      </c>
      <c r="AF95" s="168" t="str">
        <f t="shared" si="19"/>
        <v/>
      </c>
      <c r="AG95" s="28"/>
      <c r="AH95" s="28"/>
      <c r="AI95" s="20" t="str">
        <f>IF(AG95="","",IF($F95="Bernardino Furlan",_xlfn.XLOOKUP(AG95,Cadastros!$G$6:$G$90,Cadastros!$H$6:$H$90)*(1-0.18),IF($F95="Mauro José Salanti",_xlfn.XLOOKUP(AG95,Cadastros!$G$6:$G$90,Cadastros!$H$6:$H$90)*(1-0.18),_xlfn.XLOOKUP(AG95,Cadastros!$G$6:$G$90,Cadastros!$H$6:$H$90))))</f>
        <v/>
      </c>
      <c r="AJ95" s="168" t="str">
        <f t="shared" si="20"/>
        <v/>
      </c>
      <c r="AK95" s="168" t="str">
        <f t="shared" si="21"/>
        <v/>
      </c>
      <c r="AL95" s="28"/>
      <c r="AM95" s="28"/>
      <c r="AN95" s="20" t="str">
        <f>IF(AL95="","",IF($F95="Bernardino Furlan",_xlfn.XLOOKUP(AL95,Cadastros!$G$6:$G$90,Cadastros!$H$6:$H$90)*(1-0.18),IF($F95="Mauro José Salanti",_xlfn.XLOOKUP(AL95,Cadastros!$G$6:$G$90,Cadastros!$H$6:$H$90)*(1-0.18),_xlfn.XLOOKUP(AL95,Cadastros!$G$6:$G$90,Cadastros!$H$6:$H$90))))</f>
        <v/>
      </c>
      <c r="AO95" s="168" t="str">
        <f t="shared" si="22"/>
        <v/>
      </c>
      <c r="AP95" s="168" t="str">
        <f t="shared" si="23"/>
        <v/>
      </c>
      <c r="AQ95" s="28"/>
      <c r="AR95" s="28"/>
      <c r="AS95" s="20" t="str">
        <f>IF(AQ95="","",IF($F95="Bernardino Furlan",_xlfn.XLOOKUP(AQ95,Cadastros!$G$6:$G$90,Cadastros!$H$6:$H$90)*(1-0.18),IF($F95="Mauro José Salanti",_xlfn.XLOOKUP(AQ95,Cadastros!$G$6:$G$90,Cadastros!$H$6:$H$90)*(1-0.18),_xlfn.XLOOKUP(AQ95,Cadastros!$G$6:$G$90,Cadastros!$H$6:$H$90))))</f>
        <v/>
      </c>
      <c r="AT95" s="168" t="str">
        <f t="shared" si="24"/>
        <v/>
      </c>
      <c r="AU95" s="168" t="str">
        <f t="shared" si="25"/>
        <v/>
      </c>
      <c r="AV95" s="227"/>
      <c r="AW95" s="30"/>
      <c r="AX95" s="267"/>
      <c r="AY95" s="267"/>
      <c r="AZ95" s="29"/>
      <c r="BA95" s="30"/>
      <c r="BB95" s="23" t="str" cm="1">
        <f t="array" ref="BB95">_xlfn.IFS(AW95="SIM",SUM(K95,P95,U95,Z95,AE95,AJ95,AO95,AT95,AX95,AY95),F95&lt;&gt;"",SUM(K95,P95,U95,Z95,AE95,AJ95,,AO95,AT95),F95="","")</f>
        <v/>
      </c>
      <c r="BC95" s="211" t="str" cm="1">
        <f t="array" ref="BC95">_xlfn.IFS(E95="","",G95&lt;=E95,BB95*(1-0.03),G95&lt;(E95+8),BB95,AZ95="Boleto",BB95*(1+0.001)^DATEDIF(E95,G95,"D"),AZ95="Cheque",BB95,AZ95="Dinheiro","Alterar forma pgto")</f>
        <v/>
      </c>
      <c r="BD95" s="276" t="str" cm="1">
        <f t="array" ref="BD95">IF(F95=0," ",IF(BC95&lt;BB95,(_xlfn.IFS(AW95="SIM",SUM(L95,Q95,V95,AA95,AF95,AK95,AP95,AU95)+AX95/_xlfn.XLOOKUP(_xlfn.XLOOKUP($F95,Clientes!$B$4:$B$39,Clientes!$C$4:$C$39),Cadastros!$L$6:$L$12,Cadastros!$M$6:$M$12)+IF($F95="Bernardino Furlan",AY95/2751.92,IF($F95="Mauro José Salanti",AY95/2751.92,AY95/3356)),F95&lt;&gt;0,SUM(L95,Q95,V95,AA95,AF95,AK95,AP95,AU95)))*(1-0.03),_xlfn.IFS(AW95="SIM",SUM(L95,Q95,V95,AA95,AF95,AK95,AP95,AU95)+AX95/_xlfn.XLOOKUP(_xlfn.XLOOKUP($F95,Clientes!$B$4:$B$39,Clientes!$C$4:$C$39),Cadastros!$L$6:$L$12,Cadastros!$M$6:$M$12)+IF($F95="Bernardino Furlan",AY95/2751.92,IF($F95="Mauro José Salanti",AY95/2751.92,AY95/3356)),F95&lt;&gt;0,SUM(L95,Q95,V95,AA95,AF95,AK95,AP95,AU95))))</f>
        <v xml:space="preserve"> </v>
      </c>
      <c r="BE95" s="120"/>
      <c r="BF95" s="120"/>
      <c r="BG95" s="120"/>
    </row>
    <row r="96" spans="1:66" s="3" customFormat="1" x14ac:dyDescent="0.3">
      <c r="A96" s="15" t="str">
        <f t="shared" si="13"/>
        <v/>
      </c>
      <c r="B96" s="25"/>
      <c r="C96" s="26"/>
      <c r="D96" s="279"/>
      <c r="E96" s="27"/>
      <c r="F96" s="28"/>
      <c r="G96" s="27"/>
      <c r="H96" s="28"/>
      <c r="I96" s="28"/>
      <c r="J96" s="255" t="str">
        <f>IF(H96="","",(_xlfn.XLOOKUP(H96,Cadastros!$D$6:$D$90,Cadastros!$E$6:$E$90))*(1-_xlfn.XLOOKUP(_xlfn.XLOOKUP($F96,Clientes!$B$4:$B$39,Clientes!$C$4:$C$39),Cadastros!$L$6:$L$12,Cadastros!$N$6:$N$12)))</f>
        <v/>
      </c>
      <c r="K96" s="168" t="str">
        <f t="shared" si="14"/>
        <v/>
      </c>
      <c r="L96" s="168" t="str">
        <f>IFERROR(K96/_xlfn.XLOOKUP(_xlfn.XLOOKUP($F96,Clientes!$B$4:$B$39,Clientes!$C$4:$C$39),Cadastros!$L$6:$L$12,Cadastros!$M$6:$M$12)," ")</f>
        <v xml:space="preserve"> </v>
      </c>
      <c r="M96" s="28"/>
      <c r="N96" s="28"/>
      <c r="O96" s="255" t="str">
        <f>IF(M96="","",(_xlfn.XLOOKUP(M96,Cadastros!$D$6:$D$90,Cadastros!$E$6:$E$90))*(1-_xlfn.XLOOKUP(_xlfn.XLOOKUP($F96,Clientes!$B$4:$B$39,Clientes!$C$4:$C$39),Cadastros!$L$6:$L$12,Cadastros!$N$6:$N$12)))</f>
        <v/>
      </c>
      <c r="P96" s="168" t="str">
        <f t="shared" si="15"/>
        <v/>
      </c>
      <c r="Q96" s="168" t="str">
        <f>IFERROR(P96/_xlfn.XLOOKUP(_xlfn.XLOOKUP($F96,Clientes!$B$4:$B$39,Clientes!$C$4:$C$39),Cadastros!$L$6:$L$12,Cadastros!$M$6:$M$12)," ")</f>
        <v xml:space="preserve"> </v>
      </c>
      <c r="R96" s="28"/>
      <c r="S96" s="28"/>
      <c r="T96" s="255" t="str">
        <f>IF(R96="","",(_xlfn.XLOOKUP(R96,Cadastros!$D$6:$D$90,Cadastros!$E$6:$E$90))*(1-_xlfn.XLOOKUP(_xlfn.XLOOKUP($F96,Clientes!$B$4:$B$39,Clientes!$C$4:$C$39),Cadastros!$L$6:$L$12,Cadastros!$N$6:$N$12)))</f>
        <v/>
      </c>
      <c r="U96" s="168" t="str">
        <f t="shared" si="16"/>
        <v/>
      </c>
      <c r="V96" s="168" t="str">
        <f>IFERROR(U96/_xlfn.XLOOKUP(_xlfn.XLOOKUP($F96,Clientes!$B$4:$B$39,Clientes!$C$4:$C$39),Cadastros!$L$6:$L$12,Cadastros!$M$6:$M$12)," ")</f>
        <v xml:space="preserve"> </v>
      </c>
      <c r="W96" s="28"/>
      <c r="X96" s="28"/>
      <c r="Y96" s="255" t="str">
        <f>IF(W96="","",(_xlfn.XLOOKUP(W96,Cadastros!$D$6:$D$90,Cadastros!$E$6:$E$90))*(1-_xlfn.XLOOKUP(_xlfn.XLOOKUP($F96,Clientes!$B$4:$B$39,Clientes!$C$4:$C$39),Cadastros!$L$6:$L$12,Cadastros!$N$6:$N$12)))</f>
        <v/>
      </c>
      <c r="Z96" s="168" t="str">
        <f t="shared" si="17"/>
        <v/>
      </c>
      <c r="AA96" s="168" t="str">
        <f>IFERROR(Z96/_xlfn.XLOOKUP(_xlfn.XLOOKUP($F96,Clientes!$B$4:$B$39,Clientes!$C$4:$C$39),Cadastros!$L$6:$L$12,Cadastros!$M$6:$M$12)," ")</f>
        <v xml:space="preserve"> </v>
      </c>
      <c r="AB96" s="28"/>
      <c r="AC96" s="28"/>
      <c r="AD96" s="20" t="str">
        <f>IF(AB96="","",IF($F96="Bernardino Furlan",_xlfn.XLOOKUP(AB96,Cadastros!$G$6:$G$90,Cadastros!$H$6:$H$90)*(1-0.18),IF($F96="Mauro José Salanti",_xlfn.XLOOKUP(AB96,Cadastros!$G$6:$G$90,Cadastros!$H$6:$H$90)*(1-0.18),_xlfn.XLOOKUP(AB96,Cadastros!$G$6:$G$90,Cadastros!$H$6:$H$90))))</f>
        <v/>
      </c>
      <c r="AE96" s="168" t="str">
        <f t="shared" si="18"/>
        <v/>
      </c>
      <c r="AF96" s="168" t="str">
        <f t="shared" si="19"/>
        <v/>
      </c>
      <c r="AG96" s="28"/>
      <c r="AH96" s="28"/>
      <c r="AI96" s="20" t="str">
        <f>IF(AG96="","",IF($F96="Bernardino Furlan",_xlfn.XLOOKUP(AG96,Cadastros!$G$6:$G$90,Cadastros!$H$6:$H$90)*(1-0.18),IF($F96="Mauro José Salanti",_xlfn.XLOOKUP(AG96,Cadastros!$G$6:$G$90,Cadastros!$H$6:$H$90)*(1-0.18),_xlfn.XLOOKUP(AG96,Cadastros!$G$6:$G$90,Cadastros!$H$6:$H$90))))</f>
        <v/>
      </c>
      <c r="AJ96" s="168" t="str">
        <f t="shared" si="20"/>
        <v/>
      </c>
      <c r="AK96" s="168" t="str">
        <f t="shared" si="21"/>
        <v/>
      </c>
      <c r="AL96" s="28"/>
      <c r="AM96" s="28"/>
      <c r="AN96" s="20" t="str">
        <f>IF(AL96="","",IF($F96="Bernardino Furlan",_xlfn.XLOOKUP(AL96,Cadastros!$G$6:$G$90,Cadastros!$H$6:$H$90)*(1-0.18),IF($F96="Mauro José Salanti",_xlfn.XLOOKUP(AL96,Cadastros!$G$6:$G$90,Cadastros!$H$6:$H$90)*(1-0.18),_xlfn.XLOOKUP(AL96,Cadastros!$G$6:$G$90,Cadastros!$H$6:$H$90))))</f>
        <v/>
      </c>
      <c r="AO96" s="168" t="str">
        <f t="shared" si="22"/>
        <v/>
      </c>
      <c r="AP96" s="168" t="str">
        <f t="shared" si="23"/>
        <v/>
      </c>
      <c r="AQ96" s="28"/>
      <c r="AR96" s="28"/>
      <c r="AS96" s="20" t="str">
        <f>IF(AQ96="","",IF($F96="Bernardino Furlan",_xlfn.XLOOKUP(AQ96,Cadastros!$G$6:$G$90,Cadastros!$H$6:$H$90)*(1-0.18),IF($F96="Mauro José Salanti",_xlfn.XLOOKUP(AQ96,Cadastros!$G$6:$G$90,Cadastros!$H$6:$H$90)*(1-0.18),_xlfn.XLOOKUP(AQ96,Cadastros!$G$6:$G$90,Cadastros!$H$6:$H$90))))</f>
        <v/>
      </c>
      <c r="AT96" s="168" t="str">
        <f t="shared" si="24"/>
        <v/>
      </c>
      <c r="AU96" s="168" t="str">
        <f t="shared" si="25"/>
        <v/>
      </c>
      <c r="AV96" s="227"/>
      <c r="AW96" s="30"/>
      <c r="AX96" s="267"/>
      <c r="AY96" s="267"/>
      <c r="AZ96" s="29"/>
      <c r="BA96" s="30"/>
      <c r="BB96" s="23" t="str" cm="1">
        <f t="array" ref="BB96">_xlfn.IFS(AW96="SIM",SUM(K96,P96,U96,Z96,AE96,AJ96,AO96,AT96,AX96,AY96),F96&lt;&gt;"",SUM(K96,P96,U96,Z96,AE96,AJ96,,AO96,AT96),F96="","")</f>
        <v/>
      </c>
      <c r="BC96" s="211" t="str" cm="1">
        <f t="array" ref="BC96">_xlfn.IFS(E96="","",G96&lt;=E96,BB96*(1-0.03),G96&lt;(E96+8),BB96,AZ96="Boleto",BB96*(1+0.001)^DATEDIF(E96,G96,"D"),AZ96="Cheque",BB96,AZ96="Dinheiro","Alterar forma pgto")</f>
        <v/>
      </c>
      <c r="BD96" s="276" t="str" cm="1">
        <f t="array" ref="BD96">IF(F96=0," ",IF(BC96&lt;BB96,(_xlfn.IFS(AW96="SIM",SUM(L96,Q96,V96,AA96,AF96,AK96,AP96,AU96)+AX96/_xlfn.XLOOKUP(_xlfn.XLOOKUP($F96,Clientes!$B$4:$B$39,Clientes!$C$4:$C$39),Cadastros!$L$6:$L$12,Cadastros!$M$6:$M$12)+IF($F96="Bernardino Furlan",AY96/2751.92,IF($F96="Mauro José Salanti",AY96/2751.92,AY96/3356)),F96&lt;&gt;0,SUM(L96,Q96,V96,AA96,AF96,AK96,AP96,AU96)))*(1-0.03),_xlfn.IFS(AW96="SIM",SUM(L96,Q96,V96,AA96,AF96,AK96,AP96,AU96)+AX96/_xlfn.XLOOKUP(_xlfn.XLOOKUP($F96,Clientes!$B$4:$B$39,Clientes!$C$4:$C$39),Cadastros!$L$6:$L$12,Cadastros!$M$6:$M$12)+IF($F96="Bernardino Furlan",AY96/2751.92,IF($F96="Mauro José Salanti",AY96/2751.92,AY96/3356)),F96&lt;&gt;0,SUM(L96,Q96,V96,AA96,AF96,AK96,AP96,AU96))))</f>
        <v xml:space="preserve"> </v>
      </c>
      <c r="BE96" s="120"/>
      <c r="BF96" s="120"/>
      <c r="BG96" s="120"/>
    </row>
    <row r="97" spans="1:59" s="3" customFormat="1" x14ac:dyDescent="0.3">
      <c r="A97" s="15" t="str">
        <f t="shared" si="13"/>
        <v/>
      </c>
      <c r="B97" s="25"/>
      <c r="C97" s="26"/>
      <c r="D97" s="279"/>
      <c r="E97" s="27"/>
      <c r="F97" s="28"/>
      <c r="G97" s="27"/>
      <c r="H97" s="28"/>
      <c r="I97" s="28"/>
      <c r="J97" s="255" t="str">
        <f>IF(H97="","",(_xlfn.XLOOKUP(H97,Cadastros!$D$6:$D$90,Cadastros!$E$6:$E$90))*(1-_xlfn.XLOOKUP(_xlfn.XLOOKUP($F97,Clientes!$B$4:$B$39,Clientes!$C$4:$C$39),Cadastros!$L$6:$L$12,Cadastros!$N$6:$N$12)))</f>
        <v/>
      </c>
      <c r="K97" s="168" t="str">
        <f t="shared" si="14"/>
        <v/>
      </c>
      <c r="L97" s="168" t="str">
        <f>IFERROR(K97/_xlfn.XLOOKUP(_xlfn.XLOOKUP($F97,Clientes!$B$4:$B$39,Clientes!$C$4:$C$39),Cadastros!$L$6:$L$12,Cadastros!$M$6:$M$12)," ")</f>
        <v xml:space="preserve"> </v>
      </c>
      <c r="M97" s="28"/>
      <c r="N97" s="28"/>
      <c r="O97" s="255" t="str">
        <f>IF(M97="","",(_xlfn.XLOOKUP(M97,Cadastros!$D$6:$D$90,Cadastros!$E$6:$E$90))*(1-_xlfn.XLOOKUP(_xlfn.XLOOKUP($F97,Clientes!$B$4:$B$39,Clientes!$C$4:$C$39),Cadastros!$L$6:$L$12,Cadastros!$N$6:$N$12)))</f>
        <v/>
      </c>
      <c r="P97" s="168" t="str">
        <f t="shared" si="15"/>
        <v/>
      </c>
      <c r="Q97" s="168" t="str">
        <f>IFERROR(P97/_xlfn.XLOOKUP(_xlfn.XLOOKUP($F97,Clientes!$B$4:$B$39,Clientes!$C$4:$C$39),Cadastros!$L$6:$L$12,Cadastros!$M$6:$M$12)," ")</f>
        <v xml:space="preserve"> </v>
      </c>
      <c r="R97" s="28"/>
      <c r="S97" s="28"/>
      <c r="T97" s="255" t="str">
        <f>IF(R97="","",(_xlfn.XLOOKUP(R97,Cadastros!$D$6:$D$90,Cadastros!$E$6:$E$90))*(1-_xlfn.XLOOKUP(_xlfn.XLOOKUP($F97,Clientes!$B$4:$B$39,Clientes!$C$4:$C$39),Cadastros!$L$6:$L$12,Cadastros!$N$6:$N$12)))</f>
        <v/>
      </c>
      <c r="U97" s="168" t="str">
        <f t="shared" si="16"/>
        <v/>
      </c>
      <c r="V97" s="168" t="str">
        <f>IFERROR(U97/_xlfn.XLOOKUP(_xlfn.XLOOKUP($F97,Clientes!$B$4:$B$39,Clientes!$C$4:$C$39),Cadastros!$L$6:$L$12,Cadastros!$M$6:$M$12)," ")</f>
        <v xml:space="preserve"> </v>
      </c>
      <c r="W97" s="28"/>
      <c r="X97" s="28"/>
      <c r="Y97" s="255" t="str">
        <f>IF(W97="","",(_xlfn.XLOOKUP(W97,Cadastros!$D$6:$D$90,Cadastros!$E$6:$E$90))*(1-_xlfn.XLOOKUP(_xlfn.XLOOKUP($F97,Clientes!$B$4:$B$39,Clientes!$C$4:$C$39),Cadastros!$L$6:$L$12,Cadastros!$N$6:$N$12)))</f>
        <v/>
      </c>
      <c r="Z97" s="168" t="str">
        <f t="shared" si="17"/>
        <v/>
      </c>
      <c r="AA97" s="168" t="str">
        <f>IFERROR(Z97/_xlfn.XLOOKUP(_xlfn.XLOOKUP($F97,Clientes!$B$4:$B$39,Clientes!$C$4:$C$39),Cadastros!$L$6:$L$12,Cadastros!$M$6:$M$12)," ")</f>
        <v xml:space="preserve"> </v>
      </c>
      <c r="AB97" s="28"/>
      <c r="AC97" s="28"/>
      <c r="AD97" s="20" t="str">
        <f>IF(AB97="","",IF($F97="Bernardino Furlan",_xlfn.XLOOKUP(AB97,Cadastros!$G$6:$G$90,Cadastros!$H$6:$H$90)*(1-0.18),IF($F97="Mauro José Salanti",_xlfn.XLOOKUP(AB97,Cadastros!$G$6:$G$90,Cadastros!$H$6:$H$90)*(1-0.18),_xlfn.XLOOKUP(AB97,Cadastros!$G$6:$G$90,Cadastros!$H$6:$H$90))))</f>
        <v/>
      </c>
      <c r="AE97" s="168" t="str">
        <f t="shared" si="18"/>
        <v/>
      </c>
      <c r="AF97" s="168" t="str">
        <f t="shared" si="19"/>
        <v/>
      </c>
      <c r="AG97" s="28"/>
      <c r="AH97" s="28"/>
      <c r="AI97" s="20" t="str">
        <f>IF(AG97="","",IF($F97="Bernardino Furlan",_xlfn.XLOOKUP(AG97,Cadastros!$G$6:$G$90,Cadastros!$H$6:$H$90)*(1-0.18),IF($F97="Mauro José Salanti",_xlfn.XLOOKUP(AG97,Cadastros!$G$6:$G$90,Cadastros!$H$6:$H$90)*(1-0.18),_xlfn.XLOOKUP(AG97,Cadastros!$G$6:$G$90,Cadastros!$H$6:$H$90))))</f>
        <v/>
      </c>
      <c r="AJ97" s="168" t="str">
        <f t="shared" si="20"/>
        <v/>
      </c>
      <c r="AK97" s="168" t="str">
        <f t="shared" si="21"/>
        <v/>
      </c>
      <c r="AL97" s="28"/>
      <c r="AM97" s="28"/>
      <c r="AN97" s="20" t="str">
        <f>IF(AL97="","",IF($F97="Bernardino Furlan",_xlfn.XLOOKUP(AL97,Cadastros!$G$6:$G$90,Cadastros!$H$6:$H$90)*(1-0.18),IF($F97="Mauro José Salanti",_xlfn.XLOOKUP(AL97,Cadastros!$G$6:$G$90,Cadastros!$H$6:$H$90)*(1-0.18),_xlfn.XLOOKUP(AL97,Cadastros!$G$6:$G$90,Cadastros!$H$6:$H$90))))</f>
        <v/>
      </c>
      <c r="AO97" s="168" t="str">
        <f t="shared" si="22"/>
        <v/>
      </c>
      <c r="AP97" s="168" t="str">
        <f t="shared" si="23"/>
        <v/>
      </c>
      <c r="AQ97" s="28"/>
      <c r="AR97" s="28"/>
      <c r="AS97" s="20" t="str">
        <f>IF(AQ97="","",IF($F97="Bernardino Furlan",_xlfn.XLOOKUP(AQ97,Cadastros!$G$6:$G$90,Cadastros!$H$6:$H$90)*(1-0.18),IF($F97="Mauro José Salanti",_xlfn.XLOOKUP(AQ97,Cadastros!$G$6:$G$90,Cadastros!$H$6:$H$90)*(1-0.18),_xlfn.XLOOKUP(AQ97,Cadastros!$G$6:$G$90,Cadastros!$H$6:$H$90))))</f>
        <v/>
      </c>
      <c r="AT97" s="168" t="str">
        <f t="shared" si="24"/>
        <v/>
      </c>
      <c r="AU97" s="168" t="str">
        <f t="shared" si="25"/>
        <v/>
      </c>
      <c r="AV97" s="227"/>
      <c r="AW97" s="30"/>
      <c r="AX97" s="267"/>
      <c r="AY97" s="267"/>
      <c r="AZ97" s="29"/>
      <c r="BA97" s="30"/>
      <c r="BB97" s="23" t="str" cm="1">
        <f t="array" ref="BB97">_xlfn.IFS(AW97="SIM",SUM(K97,P97,U97,Z97,AE97,AJ97,AO97,AT97,AX97,AY97),F97&lt;&gt;"",SUM(K97,P97,U97,Z97,AE97,AJ97,,AO97,AT97),F97="","")</f>
        <v/>
      </c>
      <c r="BC97" s="211" t="str" cm="1">
        <f t="array" ref="BC97">_xlfn.IFS(E97="","",G97&lt;=E97,BB97*(1-0.03),G97&lt;(E97+8),BB97,AZ97="Boleto",BB97*(1+0.001)^DATEDIF(E97,G97,"D"),AZ97="Cheque",BB97,AZ97="Dinheiro","Alterar forma pgto")</f>
        <v/>
      </c>
      <c r="BD97" s="276" t="str" cm="1">
        <f t="array" ref="BD97">IF(F97=0," ",IF(BC97&lt;BB97,(_xlfn.IFS(AW97="SIM",SUM(L97,Q97,V97,AA97,AF97,AK97,AP97,AU97)+AX97/_xlfn.XLOOKUP(_xlfn.XLOOKUP($F97,Clientes!$B$4:$B$39,Clientes!$C$4:$C$39),Cadastros!$L$6:$L$12,Cadastros!$M$6:$M$12)+IF($F97="Bernardino Furlan",AY97/2751.92,IF($F97="Mauro José Salanti",AY97/2751.92,AY97/3356)),F97&lt;&gt;0,SUM(L97,Q97,V97,AA97,AF97,AK97,AP97,AU97)))*(1-0.03),_xlfn.IFS(AW97="SIM",SUM(L97,Q97,V97,AA97,AF97,AK97,AP97,AU97)+AX97/_xlfn.XLOOKUP(_xlfn.XLOOKUP($F97,Clientes!$B$4:$B$39,Clientes!$C$4:$C$39),Cadastros!$L$6:$L$12,Cadastros!$M$6:$M$12)+IF($F97="Bernardino Furlan",AY97/2751.92,IF($F97="Mauro José Salanti",AY97/2751.92,AY97/3356)),F97&lt;&gt;0,SUM(L97,Q97,V97,AA97,AF97,AK97,AP97,AU97))))</f>
        <v xml:space="preserve"> </v>
      </c>
      <c r="BE97" s="120"/>
      <c r="BF97" s="120"/>
      <c r="BG97" s="120"/>
    </row>
    <row r="98" spans="1:59" s="3" customFormat="1" x14ac:dyDescent="0.3">
      <c r="A98" s="15" t="str">
        <f t="shared" si="13"/>
        <v/>
      </c>
      <c r="B98" s="25"/>
      <c r="C98" s="26"/>
      <c r="D98" s="279"/>
      <c r="E98" s="27"/>
      <c r="F98" s="28"/>
      <c r="G98" s="27"/>
      <c r="H98" s="28"/>
      <c r="I98" s="28"/>
      <c r="J98" s="255" t="str">
        <f>IF(H98="","",(_xlfn.XLOOKUP(H98,Cadastros!$D$6:$D$90,Cadastros!$E$6:$E$90))*(1-_xlfn.XLOOKUP(_xlfn.XLOOKUP($F98,Clientes!$B$4:$B$39,Clientes!$C$4:$C$39),Cadastros!$L$6:$L$12,Cadastros!$N$6:$N$12)))</f>
        <v/>
      </c>
      <c r="K98" s="168" t="str">
        <f t="shared" si="14"/>
        <v/>
      </c>
      <c r="L98" s="168" t="str">
        <f>IFERROR(K98/_xlfn.XLOOKUP(_xlfn.XLOOKUP($F98,Clientes!$B$4:$B$39,Clientes!$C$4:$C$39),Cadastros!$L$6:$L$12,Cadastros!$M$6:$M$12)," ")</f>
        <v xml:space="preserve"> </v>
      </c>
      <c r="M98" s="28"/>
      <c r="N98" s="28"/>
      <c r="O98" s="255" t="str">
        <f>IF(M98="","",(_xlfn.XLOOKUP(M98,Cadastros!$D$6:$D$90,Cadastros!$E$6:$E$90))*(1-_xlfn.XLOOKUP(_xlfn.XLOOKUP($F98,Clientes!$B$4:$B$39,Clientes!$C$4:$C$39),Cadastros!$L$6:$L$12,Cadastros!$N$6:$N$12)))</f>
        <v/>
      </c>
      <c r="P98" s="168" t="str">
        <f t="shared" si="15"/>
        <v/>
      </c>
      <c r="Q98" s="168" t="str">
        <f>IFERROR(P98/_xlfn.XLOOKUP(_xlfn.XLOOKUP($F98,Clientes!$B$4:$B$39,Clientes!$C$4:$C$39),Cadastros!$L$6:$L$12,Cadastros!$M$6:$M$12)," ")</f>
        <v xml:space="preserve"> </v>
      </c>
      <c r="R98" s="28"/>
      <c r="S98" s="28"/>
      <c r="T98" s="255" t="str">
        <f>IF(R98="","",(_xlfn.XLOOKUP(R98,Cadastros!$D$6:$D$90,Cadastros!$E$6:$E$90))*(1-_xlfn.XLOOKUP(_xlfn.XLOOKUP($F98,Clientes!$B$4:$B$39,Clientes!$C$4:$C$39),Cadastros!$L$6:$L$12,Cadastros!$N$6:$N$12)))</f>
        <v/>
      </c>
      <c r="U98" s="168" t="str">
        <f t="shared" si="16"/>
        <v/>
      </c>
      <c r="V98" s="168" t="str">
        <f>IFERROR(U98/_xlfn.XLOOKUP(_xlfn.XLOOKUP($F98,Clientes!$B$4:$B$39,Clientes!$C$4:$C$39),Cadastros!$L$6:$L$12,Cadastros!$M$6:$M$12)," ")</f>
        <v xml:space="preserve"> </v>
      </c>
      <c r="W98" s="28"/>
      <c r="X98" s="28"/>
      <c r="Y98" s="255" t="str">
        <f>IF(W98="","",(_xlfn.XLOOKUP(W98,Cadastros!$D$6:$D$90,Cadastros!$E$6:$E$90))*(1-_xlfn.XLOOKUP(_xlfn.XLOOKUP($F98,Clientes!$B$4:$B$39,Clientes!$C$4:$C$39),Cadastros!$L$6:$L$12,Cadastros!$N$6:$N$12)))</f>
        <v/>
      </c>
      <c r="Z98" s="168" t="str">
        <f t="shared" si="17"/>
        <v/>
      </c>
      <c r="AA98" s="168" t="str">
        <f>IFERROR(Z98/_xlfn.XLOOKUP(_xlfn.XLOOKUP($F98,Clientes!$B$4:$B$39,Clientes!$C$4:$C$39),Cadastros!$L$6:$L$12,Cadastros!$M$6:$M$12)," ")</f>
        <v xml:space="preserve"> </v>
      </c>
      <c r="AB98" s="28"/>
      <c r="AC98" s="28"/>
      <c r="AD98" s="20" t="str">
        <f>IF(AB98="","",IF($F98="Bernardino Furlan",_xlfn.XLOOKUP(AB98,Cadastros!$G$6:$G$90,Cadastros!$H$6:$H$90)*(1-0.18),IF($F98="Mauro José Salanti",_xlfn.XLOOKUP(AB98,Cadastros!$G$6:$G$90,Cadastros!$H$6:$H$90)*(1-0.18),_xlfn.XLOOKUP(AB98,Cadastros!$G$6:$G$90,Cadastros!$H$6:$H$90))))</f>
        <v/>
      </c>
      <c r="AE98" s="168" t="str">
        <f t="shared" si="18"/>
        <v/>
      </c>
      <c r="AF98" s="168" t="str">
        <f t="shared" si="19"/>
        <v/>
      </c>
      <c r="AG98" s="28"/>
      <c r="AH98" s="28"/>
      <c r="AI98" s="20" t="str">
        <f>IF(AG98="","",IF($F98="Bernardino Furlan",_xlfn.XLOOKUP(AG98,Cadastros!$G$6:$G$90,Cadastros!$H$6:$H$90)*(1-0.18),IF($F98="Mauro José Salanti",_xlfn.XLOOKUP(AG98,Cadastros!$G$6:$G$90,Cadastros!$H$6:$H$90)*(1-0.18),_xlfn.XLOOKUP(AG98,Cadastros!$G$6:$G$90,Cadastros!$H$6:$H$90))))</f>
        <v/>
      </c>
      <c r="AJ98" s="168" t="str">
        <f t="shared" si="20"/>
        <v/>
      </c>
      <c r="AK98" s="168" t="str">
        <f t="shared" si="21"/>
        <v/>
      </c>
      <c r="AL98" s="28"/>
      <c r="AM98" s="28"/>
      <c r="AN98" s="20" t="str">
        <f>IF(AL98="","",IF($F98="Bernardino Furlan",_xlfn.XLOOKUP(AL98,Cadastros!$G$6:$G$90,Cadastros!$H$6:$H$90)*(1-0.18),IF($F98="Mauro José Salanti",_xlfn.XLOOKUP(AL98,Cadastros!$G$6:$G$90,Cadastros!$H$6:$H$90)*(1-0.18),_xlfn.XLOOKUP(AL98,Cadastros!$G$6:$G$90,Cadastros!$H$6:$H$90))))</f>
        <v/>
      </c>
      <c r="AO98" s="168" t="str">
        <f t="shared" si="22"/>
        <v/>
      </c>
      <c r="AP98" s="168" t="str">
        <f t="shared" si="23"/>
        <v/>
      </c>
      <c r="AQ98" s="28"/>
      <c r="AR98" s="28"/>
      <c r="AS98" s="20" t="str">
        <f>IF(AQ98="","",IF($F98="Bernardino Furlan",_xlfn.XLOOKUP(AQ98,Cadastros!$G$6:$G$90,Cadastros!$H$6:$H$90)*(1-0.18),IF($F98="Mauro José Salanti",_xlfn.XLOOKUP(AQ98,Cadastros!$G$6:$G$90,Cadastros!$H$6:$H$90)*(1-0.18),_xlfn.XLOOKUP(AQ98,Cadastros!$G$6:$G$90,Cadastros!$H$6:$H$90))))</f>
        <v/>
      </c>
      <c r="AT98" s="168" t="str">
        <f t="shared" si="24"/>
        <v/>
      </c>
      <c r="AU98" s="168" t="str">
        <f t="shared" si="25"/>
        <v/>
      </c>
      <c r="AV98" s="227"/>
      <c r="AW98" s="30"/>
      <c r="AX98" s="267"/>
      <c r="AY98" s="267"/>
      <c r="AZ98" s="29"/>
      <c r="BA98" s="30"/>
      <c r="BB98" s="23" t="str" cm="1">
        <f t="array" ref="BB98">_xlfn.IFS(AW98="SIM",SUM(K98,P98,U98,Z98,AE98,AJ98,AO98,AT98,AX98,AY98),F98&lt;&gt;"",SUM(K98,P98,U98,Z98,AE98,AJ98,,AO98,AT98),F98="","")</f>
        <v/>
      </c>
      <c r="BC98" s="211" t="str" cm="1">
        <f t="array" ref="BC98">_xlfn.IFS(E98="","",G98&lt;=E98,BB98*(1-0.03),G98&lt;(E98+8),BB98,AZ98="Boleto",BB98*(1+0.001)^DATEDIF(E98,G98,"D"),AZ98="Cheque",BB98,AZ98="Dinheiro","Alterar forma pgto")</f>
        <v/>
      </c>
      <c r="BD98" s="276" t="str" cm="1">
        <f t="array" ref="BD98">IF(F98=0," ",IF(BC98&lt;BB98,(_xlfn.IFS(AW98="SIM",SUM(L98,Q98,V98,AA98,AF98,AK98,AP98,AU98)+AX98/_xlfn.XLOOKUP(_xlfn.XLOOKUP($F98,Clientes!$B$4:$B$39,Clientes!$C$4:$C$39),Cadastros!$L$6:$L$12,Cadastros!$M$6:$M$12)+IF($F98="Bernardino Furlan",AY98/2751.92,IF($F98="Mauro José Salanti",AY98/2751.92,AY98/3356)),F98&lt;&gt;0,SUM(L98,Q98,V98,AA98,AF98,AK98,AP98,AU98)))*(1-0.03),_xlfn.IFS(AW98="SIM",SUM(L98,Q98,V98,AA98,AF98,AK98,AP98,AU98)+AX98/_xlfn.XLOOKUP(_xlfn.XLOOKUP($F98,Clientes!$B$4:$B$39,Clientes!$C$4:$C$39),Cadastros!$L$6:$L$12,Cadastros!$M$6:$M$12)+IF($F98="Bernardino Furlan",AY98/2751.92,IF($F98="Mauro José Salanti",AY98/2751.92,AY98/3356)),F98&lt;&gt;0,SUM(L98,Q98,V98,AA98,AF98,AK98,AP98,AU98))))</f>
        <v xml:space="preserve"> </v>
      </c>
      <c r="BE98" s="120"/>
      <c r="BF98" s="120"/>
      <c r="BG98" s="120"/>
    </row>
    <row r="99" spans="1:59" s="3" customFormat="1" x14ac:dyDescent="0.3">
      <c r="A99" s="15" t="str">
        <f t="shared" si="13"/>
        <v/>
      </c>
      <c r="B99" s="25"/>
      <c r="C99" s="26"/>
      <c r="D99" s="279"/>
      <c r="E99" s="27"/>
      <c r="F99" s="28"/>
      <c r="G99" s="27"/>
      <c r="H99" s="28"/>
      <c r="I99" s="28"/>
      <c r="J99" s="255" t="str">
        <f>IF(H99="","",(_xlfn.XLOOKUP(H99,Cadastros!$D$6:$D$90,Cadastros!$E$6:$E$90))*(1-_xlfn.XLOOKUP(_xlfn.XLOOKUP($F99,Clientes!$B$4:$B$39,Clientes!$C$4:$C$39),Cadastros!$L$6:$L$12,Cadastros!$N$6:$N$12)))</f>
        <v/>
      </c>
      <c r="K99" s="168" t="str">
        <f t="shared" si="14"/>
        <v/>
      </c>
      <c r="L99" s="168" t="str">
        <f>IFERROR(K99/_xlfn.XLOOKUP(_xlfn.XLOOKUP($F99,Clientes!$B$4:$B$39,Clientes!$C$4:$C$39),Cadastros!$L$6:$L$12,Cadastros!$M$6:$M$12)," ")</f>
        <v xml:space="preserve"> </v>
      </c>
      <c r="M99" s="28"/>
      <c r="N99" s="28"/>
      <c r="O99" s="255" t="str">
        <f>IF(M99="","",(_xlfn.XLOOKUP(M99,Cadastros!$D$6:$D$90,Cadastros!$E$6:$E$90))*(1-_xlfn.XLOOKUP(_xlfn.XLOOKUP($F99,Clientes!$B$4:$B$39,Clientes!$C$4:$C$39),Cadastros!$L$6:$L$12,Cadastros!$N$6:$N$12)))</f>
        <v/>
      </c>
      <c r="P99" s="168" t="str">
        <f t="shared" si="15"/>
        <v/>
      </c>
      <c r="Q99" s="168" t="str">
        <f>IFERROR(P99/_xlfn.XLOOKUP(_xlfn.XLOOKUP($F99,Clientes!$B$4:$B$39,Clientes!$C$4:$C$39),Cadastros!$L$6:$L$12,Cadastros!$M$6:$M$12)," ")</f>
        <v xml:space="preserve"> </v>
      </c>
      <c r="R99" s="28"/>
      <c r="S99" s="28"/>
      <c r="T99" s="255" t="str">
        <f>IF(R99="","",(_xlfn.XLOOKUP(R99,Cadastros!$D$6:$D$90,Cadastros!$E$6:$E$90))*(1-_xlfn.XLOOKUP(_xlfn.XLOOKUP($F99,Clientes!$B$4:$B$39,Clientes!$C$4:$C$39),Cadastros!$L$6:$L$12,Cadastros!$N$6:$N$12)))</f>
        <v/>
      </c>
      <c r="U99" s="168" t="str">
        <f t="shared" si="16"/>
        <v/>
      </c>
      <c r="V99" s="168" t="str">
        <f>IFERROR(U99/_xlfn.XLOOKUP(_xlfn.XLOOKUP($F99,Clientes!$B$4:$B$39,Clientes!$C$4:$C$39),Cadastros!$L$6:$L$12,Cadastros!$M$6:$M$12)," ")</f>
        <v xml:space="preserve"> </v>
      </c>
      <c r="W99" s="28"/>
      <c r="X99" s="28"/>
      <c r="Y99" s="255" t="str">
        <f>IF(W99="","",(_xlfn.XLOOKUP(W99,Cadastros!$D$6:$D$90,Cadastros!$E$6:$E$90))*(1-_xlfn.XLOOKUP(_xlfn.XLOOKUP($F99,Clientes!$B$4:$B$39,Clientes!$C$4:$C$39),Cadastros!$L$6:$L$12,Cadastros!$N$6:$N$12)))</f>
        <v/>
      </c>
      <c r="Z99" s="168" t="str">
        <f t="shared" si="17"/>
        <v/>
      </c>
      <c r="AA99" s="168" t="str">
        <f>IFERROR(Z99/_xlfn.XLOOKUP(_xlfn.XLOOKUP($F99,Clientes!$B$4:$B$39,Clientes!$C$4:$C$39),Cadastros!$L$6:$L$12,Cadastros!$M$6:$M$12)," ")</f>
        <v xml:space="preserve"> </v>
      </c>
      <c r="AB99" s="28"/>
      <c r="AC99" s="28"/>
      <c r="AD99" s="20" t="str">
        <f>IF(AB99="","",IF($F99="Bernardino Furlan",_xlfn.XLOOKUP(AB99,Cadastros!$G$6:$G$90,Cadastros!$H$6:$H$90)*(1-0.18),IF($F99="Mauro José Salanti",_xlfn.XLOOKUP(AB99,Cadastros!$G$6:$G$90,Cadastros!$H$6:$H$90)*(1-0.18),_xlfn.XLOOKUP(AB99,Cadastros!$G$6:$G$90,Cadastros!$H$6:$H$90))))</f>
        <v/>
      </c>
      <c r="AE99" s="168" t="str">
        <f t="shared" si="18"/>
        <v/>
      </c>
      <c r="AF99" s="168" t="str">
        <f t="shared" si="19"/>
        <v/>
      </c>
      <c r="AG99" s="28"/>
      <c r="AH99" s="28"/>
      <c r="AI99" s="20" t="str">
        <f>IF(AG99="","",IF($F99="Bernardino Furlan",_xlfn.XLOOKUP(AG99,Cadastros!$G$6:$G$90,Cadastros!$H$6:$H$90)*(1-0.18),IF($F99="Mauro José Salanti",_xlfn.XLOOKUP(AG99,Cadastros!$G$6:$G$90,Cadastros!$H$6:$H$90)*(1-0.18),_xlfn.XLOOKUP(AG99,Cadastros!$G$6:$G$90,Cadastros!$H$6:$H$90))))</f>
        <v/>
      </c>
      <c r="AJ99" s="168" t="str">
        <f t="shared" si="20"/>
        <v/>
      </c>
      <c r="AK99" s="168" t="str">
        <f t="shared" si="21"/>
        <v/>
      </c>
      <c r="AL99" s="28"/>
      <c r="AM99" s="28"/>
      <c r="AN99" s="20" t="str">
        <f>IF(AL99="","",IF($F99="Bernardino Furlan",_xlfn.XLOOKUP(AL99,Cadastros!$G$6:$G$90,Cadastros!$H$6:$H$90)*(1-0.18),IF($F99="Mauro José Salanti",_xlfn.XLOOKUP(AL99,Cadastros!$G$6:$G$90,Cadastros!$H$6:$H$90)*(1-0.18),_xlfn.XLOOKUP(AL99,Cadastros!$G$6:$G$90,Cadastros!$H$6:$H$90))))</f>
        <v/>
      </c>
      <c r="AO99" s="168" t="str">
        <f t="shared" si="22"/>
        <v/>
      </c>
      <c r="AP99" s="168" t="str">
        <f t="shared" si="23"/>
        <v/>
      </c>
      <c r="AQ99" s="28"/>
      <c r="AR99" s="28"/>
      <c r="AS99" s="20" t="str">
        <f>IF(AQ99="","",IF($F99="Bernardino Furlan",_xlfn.XLOOKUP(AQ99,Cadastros!$G$6:$G$90,Cadastros!$H$6:$H$90)*(1-0.18),IF($F99="Mauro José Salanti",_xlfn.XLOOKUP(AQ99,Cadastros!$G$6:$G$90,Cadastros!$H$6:$H$90)*(1-0.18),_xlfn.XLOOKUP(AQ99,Cadastros!$G$6:$G$90,Cadastros!$H$6:$H$90))))</f>
        <v/>
      </c>
      <c r="AT99" s="168" t="str">
        <f t="shared" si="24"/>
        <v/>
      </c>
      <c r="AU99" s="168" t="str">
        <f t="shared" si="25"/>
        <v/>
      </c>
      <c r="AV99" s="227"/>
      <c r="AW99" s="30"/>
      <c r="AX99" s="267"/>
      <c r="AY99" s="267"/>
      <c r="AZ99" s="29"/>
      <c r="BA99" s="30"/>
      <c r="BB99" s="23" t="str" cm="1">
        <f t="array" ref="BB99">_xlfn.IFS(AW99="SIM",SUM(K99,P99,U99,Z99,AE99,AJ99,AO99,AT99,AX99,AY99),F99&lt;&gt;"",SUM(K99,P99,U99,Z99,AE99,AJ99,,AO99,AT99),F99="","")</f>
        <v/>
      </c>
      <c r="BC99" s="211" t="str" cm="1">
        <f t="array" ref="BC99">_xlfn.IFS(E99="","",G99&lt;=E99,BB99*(1-0.03),G99&lt;(E99+8),BB99,AZ99="Boleto",BB99*(1+0.001)^DATEDIF(E99,G99,"D"),AZ99="Cheque",BB99,AZ99="Dinheiro","Alterar forma pgto")</f>
        <v/>
      </c>
      <c r="BD99" s="276" t="str" cm="1">
        <f t="array" ref="BD99">IF(F99=0," ",IF(BC99&lt;BB99,(_xlfn.IFS(AW99="SIM",SUM(L99,Q99,V99,AA99,AF99,AK99,AP99,AU99)+AX99/_xlfn.XLOOKUP(_xlfn.XLOOKUP($F99,Clientes!$B$4:$B$39,Clientes!$C$4:$C$39),Cadastros!$L$6:$L$12,Cadastros!$M$6:$M$12)+IF($F99="Bernardino Furlan",AY99/2751.92,IF($F99="Mauro José Salanti",AY99/2751.92,AY99/3356)),F99&lt;&gt;0,SUM(L99,Q99,V99,AA99,AF99,AK99,AP99,AU99)))*(1-0.03),_xlfn.IFS(AW99="SIM",SUM(L99,Q99,V99,AA99,AF99,AK99,AP99,AU99)+AX99/_xlfn.XLOOKUP(_xlfn.XLOOKUP($F99,Clientes!$B$4:$B$39,Clientes!$C$4:$C$39),Cadastros!$L$6:$L$12,Cadastros!$M$6:$M$12)+IF($F99="Bernardino Furlan",AY99/2751.92,IF($F99="Mauro José Salanti",AY99/2751.92,AY99/3356)),F99&lt;&gt;0,SUM(L99,Q99,V99,AA99,AF99,AK99,AP99,AU99))))</f>
        <v xml:space="preserve"> </v>
      </c>
      <c r="BE99" s="120"/>
      <c r="BF99" s="120"/>
      <c r="BG99" s="120"/>
    </row>
    <row r="100" spans="1:59" s="3" customFormat="1" x14ac:dyDescent="0.3">
      <c r="A100" s="15" t="str">
        <f t="shared" si="13"/>
        <v/>
      </c>
      <c r="B100" s="25"/>
      <c r="C100" s="26"/>
      <c r="D100" s="279"/>
      <c r="E100" s="27"/>
      <c r="F100" s="28"/>
      <c r="G100" s="27"/>
      <c r="H100" s="28"/>
      <c r="I100" s="28"/>
      <c r="J100" s="255" t="str">
        <f>IF(H100="","",(_xlfn.XLOOKUP(H100,Cadastros!$D$6:$D$90,Cadastros!$E$6:$E$90))*(1-_xlfn.XLOOKUP(_xlfn.XLOOKUP($F100,Clientes!$B$4:$B$39,Clientes!$C$4:$C$39),Cadastros!$L$6:$L$12,Cadastros!$N$6:$N$12)))</f>
        <v/>
      </c>
      <c r="K100" s="168" t="str">
        <f t="shared" si="14"/>
        <v/>
      </c>
      <c r="L100" s="168" t="str">
        <f>IFERROR(K100/_xlfn.XLOOKUP(_xlfn.XLOOKUP($F100,Clientes!$B$4:$B$39,Clientes!$C$4:$C$39),Cadastros!$L$6:$L$12,Cadastros!$M$6:$M$12)," ")</f>
        <v xml:space="preserve"> </v>
      </c>
      <c r="M100" s="28"/>
      <c r="N100" s="28"/>
      <c r="O100" s="255" t="str">
        <f>IF(M100="","",(_xlfn.XLOOKUP(M100,Cadastros!$D$6:$D$90,Cadastros!$E$6:$E$90))*(1-_xlfn.XLOOKUP(_xlfn.XLOOKUP($F100,Clientes!$B$4:$B$39,Clientes!$C$4:$C$39),Cadastros!$L$6:$L$12,Cadastros!$N$6:$N$12)))</f>
        <v/>
      </c>
      <c r="P100" s="168" t="str">
        <f t="shared" si="15"/>
        <v/>
      </c>
      <c r="Q100" s="168" t="str">
        <f>IFERROR(P100/_xlfn.XLOOKUP(_xlfn.XLOOKUP($F100,Clientes!$B$4:$B$39,Clientes!$C$4:$C$39),Cadastros!$L$6:$L$12,Cadastros!$M$6:$M$12)," ")</f>
        <v xml:space="preserve"> </v>
      </c>
      <c r="R100" s="28"/>
      <c r="S100" s="28"/>
      <c r="T100" s="255" t="str">
        <f>IF(R100="","",(_xlfn.XLOOKUP(R100,Cadastros!$D$6:$D$90,Cadastros!$E$6:$E$90))*(1-_xlfn.XLOOKUP(_xlfn.XLOOKUP($F100,Clientes!$B$4:$B$39,Clientes!$C$4:$C$39),Cadastros!$L$6:$L$12,Cadastros!$N$6:$N$12)))</f>
        <v/>
      </c>
      <c r="U100" s="168" t="str">
        <f t="shared" si="16"/>
        <v/>
      </c>
      <c r="V100" s="168" t="str">
        <f>IFERROR(U100/_xlfn.XLOOKUP(_xlfn.XLOOKUP($F100,Clientes!$B$4:$B$39,Clientes!$C$4:$C$39),Cadastros!$L$6:$L$12,Cadastros!$M$6:$M$12)," ")</f>
        <v xml:space="preserve"> </v>
      </c>
      <c r="W100" s="28"/>
      <c r="X100" s="28"/>
      <c r="Y100" s="255" t="str">
        <f>IF(W100="","",(_xlfn.XLOOKUP(W100,Cadastros!$D$6:$D$90,Cadastros!$E$6:$E$90))*(1-_xlfn.XLOOKUP(_xlfn.XLOOKUP($F100,Clientes!$B$4:$B$39,Clientes!$C$4:$C$39),Cadastros!$L$6:$L$12,Cadastros!$N$6:$N$12)))</f>
        <v/>
      </c>
      <c r="Z100" s="168" t="str">
        <f t="shared" si="17"/>
        <v/>
      </c>
      <c r="AA100" s="168" t="str">
        <f>IFERROR(Z100/_xlfn.XLOOKUP(_xlfn.XLOOKUP($F100,Clientes!$B$4:$B$39,Clientes!$C$4:$C$39),Cadastros!$L$6:$L$12,Cadastros!$M$6:$M$12)," ")</f>
        <v xml:space="preserve"> </v>
      </c>
      <c r="AB100" s="28"/>
      <c r="AC100" s="28"/>
      <c r="AD100" s="20" t="str">
        <f>IF(AB100="","",IF($F100="Bernardino Furlan",_xlfn.XLOOKUP(AB100,Cadastros!$G$6:$G$90,Cadastros!$H$6:$H$90)*(1-0.18),IF($F100="Mauro José Salanti",_xlfn.XLOOKUP(AB100,Cadastros!$G$6:$G$90,Cadastros!$H$6:$H$90)*(1-0.18),_xlfn.XLOOKUP(AB100,Cadastros!$G$6:$G$90,Cadastros!$H$6:$H$90))))</f>
        <v/>
      </c>
      <c r="AE100" s="168" t="str">
        <f t="shared" si="18"/>
        <v/>
      </c>
      <c r="AF100" s="168" t="str">
        <f t="shared" si="19"/>
        <v/>
      </c>
      <c r="AG100" s="28"/>
      <c r="AH100" s="28"/>
      <c r="AI100" s="20" t="str">
        <f>IF(AG100="","",IF($F100="Bernardino Furlan",_xlfn.XLOOKUP(AG100,Cadastros!$G$6:$G$90,Cadastros!$H$6:$H$90)*(1-0.18),IF($F100="Mauro José Salanti",_xlfn.XLOOKUP(AG100,Cadastros!$G$6:$G$90,Cadastros!$H$6:$H$90)*(1-0.18),_xlfn.XLOOKUP(AG100,Cadastros!$G$6:$G$90,Cadastros!$H$6:$H$90))))</f>
        <v/>
      </c>
      <c r="AJ100" s="168" t="str">
        <f t="shared" si="20"/>
        <v/>
      </c>
      <c r="AK100" s="168" t="str">
        <f t="shared" si="21"/>
        <v/>
      </c>
      <c r="AL100" s="28"/>
      <c r="AM100" s="28"/>
      <c r="AN100" s="20" t="str">
        <f>IF(AL100="","",IF($F100="Bernardino Furlan",_xlfn.XLOOKUP(AL100,Cadastros!$G$6:$G$90,Cadastros!$H$6:$H$90)*(1-0.18),IF($F100="Mauro José Salanti",_xlfn.XLOOKUP(AL100,Cadastros!$G$6:$G$90,Cadastros!$H$6:$H$90)*(1-0.18),_xlfn.XLOOKUP(AL100,Cadastros!$G$6:$G$90,Cadastros!$H$6:$H$90))))</f>
        <v/>
      </c>
      <c r="AO100" s="168" t="str">
        <f t="shared" si="22"/>
        <v/>
      </c>
      <c r="AP100" s="168" t="str">
        <f t="shared" si="23"/>
        <v/>
      </c>
      <c r="AQ100" s="28"/>
      <c r="AR100" s="28"/>
      <c r="AS100" s="20" t="str">
        <f>IF(AQ100="","",IF($F100="Bernardino Furlan",_xlfn.XLOOKUP(AQ100,Cadastros!$G$6:$G$90,Cadastros!$H$6:$H$90)*(1-0.18),IF($F100="Mauro José Salanti",_xlfn.XLOOKUP(AQ100,Cadastros!$G$6:$G$90,Cadastros!$H$6:$H$90)*(1-0.18),_xlfn.XLOOKUP(AQ100,Cadastros!$G$6:$G$90,Cadastros!$H$6:$H$90))))</f>
        <v/>
      </c>
      <c r="AT100" s="168" t="str">
        <f t="shared" si="24"/>
        <v/>
      </c>
      <c r="AU100" s="168" t="str">
        <f t="shared" si="25"/>
        <v/>
      </c>
      <c r="AV100" s="227"/>
      <c r="AW100" s="30"/>
      <c r="AX100" s="267"/>
      <c r="AY100" s="267"/>
      <c r="AZ100" s="29"/>
      <c r="BA100" s="30"/>
      <c r="BB100" s="23" t="str" cm="1">
        <f t="array" ref="BB100">_xlfn.IFS(AW100="SIM",SUM(K100,P100,U100,Z100,AE100,AJ100,AO100,AT100,AX100,AY100),F100&lt;&gt;"",SUM(K100,P100,U100,Z100,AE100,AJ100,,AO100,AT100),F100="","")</f>
        <v/>
      </c>
      <c r="BC100" s="211" t="str" cm="1">
        <f t="array" ref="BC100">_xlfn.IFS(E100="","",G100&lt;=E100,BB100*(1-0.03),G100&lt;(E100+8),BB100,AZ100="Boleto",BB100*(1+0.001)^DATEDIF(E100,G100,"D"),AZ100="Cheque",BB100,AZ100="Dinheiro","Alterar forma pgto")</f>
        <v/>
      </c>
      <c r="BD100" s="276" t="str" cm="1">
        <f t="array" ref="BD100">IF(F100=0," ",IF(BC100&lt;BB100,(_xlfn.IFS(AW100="SIM",SUM(L100,Q100,V100,AA100,AF100,AK100,AP100,AU100)+AX100/_xlfn.XLOOKUP(_xlfn.XLOOKUP($F100,Clientes!$B$4:$B$39,Clientes!$C$4:$C$39),Cadastros!$L$6:$L$12,Cadastros!$M$6:$M$12)+IF($F100="Bernardino Furlan",AY100/2751.92,IF($F100="Mauro José Salanti",AY100/2751.92,AY100/3356)),F100&lt;&gt;0,SUM(L100,Q100,V100,AA100,AF100,AK100,AP100,AU100)))*(1-0.03),_xlfn.IFS(AW100="SIM",SUM(L100,Q100,V100,AA100,AF100,AK100,AP100,AU100)+AX100/_xlfn.XLOOKUP(_xlfn.XLOOKUP($F100,Clientes!$B$4:$B$39,Clientes!$C$4:$C$39),Cadastros!$L$6:$L$12,Cadastros!$M$6:$M$12)+IF($F100="Bernardino Furlan",AY100/2751.92,IF($F100="Mauro José Salanti",AY100/2751.92,AY100/3356)),F100&lt;&gt;0,SUM(L100,Q100,V100,AA100,AF100,AK100,AP100,AU100))))</f>
        <v xml:space="preserve"> </v>
      </c>
      <c r="BE100" s="120"/>
      <c r="BF100" s="120"/>
      <c r="BG100" s="120"/>
    </row>
    <row r="101" spans="1:59" s="3" customFormat="1" x14ac:dyDescent="0.3">
      <c r="A101" s="15" t="str">
        <f t="shared" si="13"/>
        <v/>
      </c>
      <c r="B101" s="25"/>
      <c r="C101" s="26"/>
      <c r="D101" s="279"/>
      <c r="E101" s="27"/>
      <c r="F101" s="28"/>
      <c r="G101" s="27"/>
      <c r="H101" s="28"/>
      <c r="I101" s="28"/>
      <c r="J101" s="255" t="str">
        <f>IF(H101="","",(_xlfn.XLOOKUP(H101,Cadastros!$D$6:$D$90,Cadastros!$E$6:$E$90))*(1-_xlfn.XLOOKUP(_xlfn.XLOOKUP($F101,Clientes!$B$4:$B$39,Clientes!$C$4:$C$39),Cadastros!$L$6:$L$12,Cadastros!$N$6:$N$12)))</f>
        <v/>
      </c>
      <c r="K101" s="168" t="str">
        <f t="shared" si="14"/>
        <v/>
      </c>
      <c r="L101" s="168" t="str">
        <f>IFERROR(K101/_xlfn.XLOOKUP(_xlfn.XLOOKUP($F101,Clientes!$B$4:$B$39,Clientes!$C$4:$C$39),Cadastros!$L$6:$L$12,Cadastros!$M$6:$M$12)," ")</f>
        <v xml:space="preserve"> </v>
      </c>
      <c r="M101" s="28"/>
      <c r="N101" s="28"/>
      <c r="O101" s="255" t="str">
        <f>IF(M101="","",(_xlfn.XLOOKUP(M101,Cadastros!$D$6:$D$90,Cadastros!$E$6:$E$90))*(1-_xlfn.XLOOKUP(_xlfn.XLOOKUP($F101,Clientes!$B$4:$B$39,Clientes!$C$4:$C$39),Cadastros!$L$6:$L$12,Cadastros!$N$6:$N$12)))</f>
        <v/>
      </c>
      <c r="P101" s="168" t="str">
        <f t="shared" si="15"/>
        <v/>
      </c>
      <c r="Q101" s="168" t="str">
        <f>IFERROR(P101/_xlfn.XLOOKUP(_xlfn.XLOOKUP($F101,Clientes!$B$4:$B$39,Clientes!$C$4:$C$39),Cadastros!$L$6:$L$12,Cadastros!$M$6:$M$12)," ")</f>
        <v xml:space="preserve"> </v>
      </c>
      <c r="R101" s="28"/>
      <c r="S101" s="28"/>
      <c r="T101" s="255" t="str">
        <f>IF(R101="","",(_xlfn.XLOOKUP(R101,Cadastros!$D$6:$D$90,Cadastros!$E$6:$E$90))*(1-_xlfn.XLOOKUP(_xlfn.XLOOKUP($F101,Clientes!$B$4:$B$39,Clientes!$C$4:$C$39),Cadastros!$L$6:$L$12,Cadastros!$N$6:$N$12)))</f>
        <v/>
      </c>
      <c r="U101" s="168" t="str">
        <f t="shared" si="16"/>
        <v/>
      </c>
      <c r="V101" s="168" t="str">
        <f>IFERROR(U101/_xlfn.XLOOKUP(_xlfn.XLOOKUP($F101,Clientes!$B$4:$B$39,Clientes!$C$4:$C$39),Cadastros!$L$6:$L$12,Cadastros!$M$6:$M$12)," ")</f>
        <v xml:space="preserve"> </v>
      </c>
      <c r="W101" s="28"/>
      <c r="X101" s="28"/>
      <c r="Y101" s="255" t="str">
        <f>IF(W101="","",(_xlfn.XLOOKUP(W101,Cadastros!$D$6:$D$90,Cadastros!$E$6:$E$90))*(1-_xlfn.XLOOKUP(_xlfn.XLOOKUP($F101,Clientes!$B$4:$B$39,Clientes!$C$4:$C$39),Cadastros!$L$6:$L$12,Cadastros!$N$6:$N$12)))</f>
        <v/>
      </c>
      <c r="Z101" s="168" t="str">
        <f t="shared" si="17"/>
        <v/>
      </c>
      <c r="AA101" s="168" t="str">
        <f>IFERROR(Z101/_xlfn.XLOOKUP(_xlfn.XLOOKUP($F101,Clientes!$B$4:$B$39,Clientes!$C$4:$C$39),Cadastros!$L$6:$L$12,Cadastros!$M$6:$M$12)," ")</f>
        <v xml:space="preserve"> </v>
      </c>
      <c r="AB101" s="28"/>
      <c r="AC101" s="28"/>
      <c r="AD101" s="20" t="str">
        <f>IF(AB101="","",IF($F101="Bernardino Furlan",_xlfn.XLOOKUP(AB101,Cadastros!$G$6:$G$90,Cadastros!$H$6:$H$90)*(1-0.18),IF($F101="Mauro José Salanti",_xlfn.XLOOKUP(AB101,Cadastros!$G$6:$G$90,Cadastros!$H$6:$H$90)*(1-0.18),_xlfn.XLOOKUP(AB101,Cadastros!$G$6:$G$90,Cadastros!$H$6:$H$90))))</f>
        <v/>
      </c>
      <c r="AE101" s="168" t="str">
        <f t="shared" si="18"/>
        <v/>
      </c>
      <c r="AF101" s="168" t="str">
        <f t="shared" si="19"/>
        <v/>
      </c>
      <c r="AG101" s="28"/>
      <c r="AH101" s="28"/>
      <c r="AI101" s="20" t="str">
        <f>IF(AG101="","",IF($F101="Bernardino Furlan",_xlfn.XLOOKUP(AG101,Cadastros!$G$6:$G$90,Cadastros!$H$6:$H$90)*(1-0.18),IF($F101="Mauro José Salanti",_xlfn.XLOOKUP(AG101,Cadastros!$G$6:$G$90,Cadastros!$H$6:$H$90)*(1-0.18),_xlfn.XLOOKUP(AG101,Cadastros!$G$6:$G$90,Cadastros!$H$6:$H$90))))</f>
        <v/>
      </c>
      <c r="AJ101" s="168" t="str">
        <f t="shared" si="20"/>
        <v/>
      </c>
      <c r="AK101" s="168" t="str">
        <f t="shared" si="21"/>
        <v/>
      </c>
      <c r="AL101" s="28"/>
      <c r="AM101" s="28"/>
      <c r="AN101" s="20" t="str">
        <f>IF(AL101="","",IF($F101="Bernardino Furlan",_xlfn.XLOOKUP(AL101,Cadastros!$G$6:$G$90,Cadastros!$H$6:$H$90)*(1-0.18),IF($F101="Mauro José Salanti",_xlfn.XLOOKUP(AL101,Cadastros!$G$6:$G$90,Cadastros!$H$6:$H$90)*(1-0.18),_xlfn.XLOOKUP(AL101,Cadastros!$G$6:$G$90,Cadastros!$H$6:$H$90))))</f>
        <v/>
      </c>
      <c r="AO101" s="168" t="str">
        <f t="shared" si="22"/>
        <v/>
      </c>
      <c r="AP101" s="168" t="str">
        <f t="shared" si="23"/>
        <v/>
      </c>
      <c r="AQ101" s="28"/>
      <c r="AR101" s="28"/>
      <c r="AS101" s="20" t="str">
        <f>IF(AQ101="","",IF($F101="Bernardino Furlan",_xlfn.XLOOKUP(AQ101,Cadastros!$G$6:$G$90,Cadastros!$H$6:$H$90)*(1-0.18),IF($F101="Mauro José Salanti",_xlfn.XLOOKUP(AQ101,Cadastros!$G$6:$G$90,Cadastros!$H$6:$H$90)*(1-0.18),_xlfn.XLOOKUP(AQ101,Cadastros!$G$6:$G$90,Cadastros!$H$6:$H$90))))</f>
        <v/>
      </c>
      <c r="AT101" s="168" t="str">
        <f t="shared" si="24"/>
        <v/>
      </c>
      <c r="AU101" s="168" t="str">
        <f t="shared" si="25"/>
        <v/>
      </c>
      <c r="AV101" s="227"/>
      <c r="AW101" s="30"/>
      <c r="AX101" s="267"/>
      <c r="AY101" s="267"/>
      <c r="AZ101" s="29"/>
      <c r="BA101" s="30"/>
      <c r="BB101" s="23" t="str" cm="1">
        <f t="array" ref="BB101">_xlfn.IFS(AW101="SIM",SUM(K101,P101,U101,Z101,AE101,AJ101,AO101,AT101,AX101,AY101),F101&lt;&gt;"",SUM(K101,P101,U101,Z101,AE101,AJ101,,AO101,AT101),F101="","")</f>
        <v/>
      </c>
      <c r="BC101" s="211" t="str" cm="1">
        <f t="array" ref="BC101">_xlfn.IFS(E101="","",G101&lt;=E101,BB101*(1-0.03),G101&lt;(E101+8),BB101,AZ101="Boleto",BB101*(1+0.001)^DATEDIF(E101,G101,"D"),AZ101="Cheque",BB101,AZ101="Dinheiro","Alterar forma pgto")</f>
        <v/>
      </c>
      <c r="BD101" s="276" t="str" cm="1">
        <f t="array" ref="BD101">IF(F101=0," ",IF(BC101&lt;BB101,(_xlfn.IFS(AW101="SIM",SUM(L101,Q101,V101,AA101,AF101,AK101,AP101,AU101)+AX101/_xlfn.XLOOKUP(_xlfn.XLOOKUP($F101,Clientes!$B$4:$B$39,Clientes!$C$4:$C$39),Cadastros!$L$6:$L$12,Cadastros!$M$6:$M$12)+IF($F101="Bernardino Furlan",AY101/2751.92,IF($F101="Mauro José Salanti",AY101/2751.92,AY101/3356)),F101&lt;&gt;0,SUM(L101,Q101,V101,AA101,AF101,AK101,AP101,AU101)))*(1-0.03),_xlfn.IFS(AW101="SIM",SUM(L101,Q101,V101,AA101,AF101,AK101,AP101,AU101)+AX101/_xlfn.XLOOKUP(_xlfn.XLOOKUP($F101,Clientes!$B$4:$B$39,Clientes!$C$4:$C$39),Cadastros!$L$6:$L$12,Cadastros!$M$6:$M$12)+IF($F101="Bernardino Furlan",AY101/2751.92,IF($F101="Mauro José Salanti",AY101/2751.92,AY101/3356)),F101&lt;&gt;0,SUM(L101,Q101,V101,AA101,AF101,AK101,AP101,AU101))))</f>
        <v xml:space="preserve"> </v>
      </c>
      <c r="BE101" s="120"/>
      <c r="BF101" s="120"/>
      <c r="BG101" s="120"/>
    </row>
    <row r="102" spans="1:59" s="3" customFormat="1" x14ac:dyDescent="0.3">
      <c r="A102" s="15" t="str">
        <f t="shared" si="13"/>
        <v/>
      </c>
      <c r="B102" s="25"/>
      <c r="C102" s="26"/>
      <c r="D102" s="279"/>
      <c r="E102" s="27"/>
      <c r="F102" s="28"/>
      <c r="G102" s="27"/>
      <c r="H102" s="28"/>
      <c r="I102" s="28"/>
      <c r="J102" s="255" t="str">
        <f>IF(H102="","",(_xlfn.XLOOKUP(H102,Cadastros!$D$6:$D$90,Cadastros!$E$6:$E$90))*(1-_xlfn.XLOOKUP(_xlfn.XLOOKUP($F102,Clientes!$B$4:$B$39,Clientes!$C$4:$C$39),Cadastros!$L$6:$L$12,Cadastros!$N$6:$N$12)))</f>
        <v/>
      </c>
      <c r="K102" s="168" t="str">
        <f t="shared" si="14"/>
        <v/>
      </c>
      <c r="L102" s="168" t="str">
        <f>IFERROR(K102/_xlfn.XLOOKUP(_xlfn.XLOOKUP($F102,Clientes!$B$4:$B$39,Clientes!$C$4:$C$39),Cadastros!$L$6:$L$12,Cadastros!$M$6:$M$12)," ")</f>
        <v xml:space="preserve"> </v>
      </c>
      <c r="M102" s="28"/>
      <c r="N102" s="28"/>
      <c r="O102" s="255" t="str">
        <f>IF(M102="","",(_xlfn.XLOOKUP(M102,Cadastros!$D$6:$D$90,Cadastros!$E$6:$E$90))*(1-_xlfn.XLOOKUP(_xlfn.XLOOKUP($F102,Clientes!$B$4:$B$39,Clientes!$C$4:$C$39),Cadastros!$L$6:$L$12,Cadastros!$N$6:$N$12)))</f>
        <v/>
      </c>
      <c r="P102" s="168" t="str">
        <f t="shared" si="15"/>
        <v/>
      </c>
      <c r="Q102" s="168" t="str">
        <f>IFERROR(P102/_xlfn.XLOOKUP(_xlfn.XLOOKUP($F102,Clientes!$B$4:$B$39,Clientes!$C$4:$C$39),Cadastros!$L$6:$L$12,Cadastros!$M$6:$M$12)," ")</f>
        <v xml:space="preserve"> </v>
      </c>
      <c r="R102" s="28"/>
      <c r="S102" s="28"/>
      <c r="T102" s="255" t="str">
        <f>IF(R102="","",(_xlfn.XLOOKUP(R102,Cadastros!$D$6:$D$90,Cadastros!$E$6:$E$90))*(1-_xlfn.XLOOKUP(_xlfn.XLOOKUP($F102,Clientes!$B$4:$B$39,Clientes!$C$4:$C$39),Cadastros!$L$6:$L$12,Cadastros!$N$6:$N$12)))</f>
        <v/>
      </c>
      <c r="U102" s="168" t="str">
        <f t="shared" si="16"/>
        <v/>
      </c>
      <c r="V102" s="168" t="str">
        <f>IFERROR(U102/_xlfn.XLOOKUP(_xlfn.XLOOKUP($F102,Clientes!$B$4:$B$39,Clientes!$C$4:$C$39),Cadastros!$L$6:$L$12,Cadastros!$M$6:$M$12)," ")</f>
        <v xml:space="preserve"> </v>
      </c>
      <c r="W102" s="28"/>
      <c r="X102" s="28"/>
      <c r="Y102" s="255" t="str">
        <f>IF(W102="","",(_xlfn.XLOOKUP(W102,Cadastros!$D$6:$D$90,Cadastros!$E$6:$E$90))*(1-_xlfn.XLOOKUP(_xlfn.XLOOKUP($F102,Clientes!$B$4:$B$39,Clientes!$C$4:$C$39),Cadastros!$L$6:$L$12,Cadastros!$N$6:$N$12)))</f>
        <v/>
      </c>
      <c r="Z102" s="168" t="str">
        <f t="shared" si="17"/>
        <v/>
      </c>
      <c r="AA102" s="168" t="str">
        <f>IFERROR(Z102/_xlfn.XLOOKUP(_xlfn.XLOOKUP($F102,Clientes!$B$4:$B$39,Clientes!$C$4:$C$39),Cadastros!$L$6:$L$12,Cadastros!$M$6:$M$12)," ")</f>
        <v xml:space="preserve"> </v>
      </c>
      <c r="AB102" s="28"/>
      <c r="AC102" s="28"/>
      <c r="AD102" s="20" t="str">
        <f>IF(AB102="","",IF($F102="Bernardino Furlan",_xlfn.XLOOKUP(AB102,Cadastros!$G$6:$G$90,Cadastros!$H$6:$H$90)*(1-0.18),IF($F102="Mauro José Salanti",_xlfn.XLOOKUP(AB102,Cadastros!$G$6:$G$90,Cadastros!$H$6:$H$90)*(1-0.18),_xlfn.XLOOKUP(AB102,Cadastros!$G$6:$G$90,Cadastros!$H$6:$H$90))))</f>
        <v/>
      </c>
      <c r="AE102" s="168" t="str">
        <f t="shared" si="18"/>
        <v/>
      </c>
      <c r="AF102" s="168" t="str">
        <f t="shared" si="19"/>
        <v/>
      </c>
      <c r="AG102" s="28"/>
      <c r="AH102" s="28"/>
      <c r="AI102" s="20" t="str">
        <f>IF(AG102="","",IF($F102="Bernardino Furlan",_xlfn.XLOOKUP(AG102,Cadastros!$G$6:$G$90,Cadastros!$H$6:$H$90)*(1-0.18),IF($F102="Mauro José Salanti",_xlfn.XLOOKUP(AG102,Cadastros!$G$6:$G$90,Cadastros!$H$6:$H$90)*(1-0.18),_xlfn.XLOOKUP(AG102,Cadastros!$G$6:$G$90,Cadastros!$H$6:$H$90))))</f>
        <v/>
      </c>
      <c r="AJ102" s="168" t="str">
        <f t="shared" si="20"/>
        <v/>
      </c>
      <c r="AK102" s="168" t="str">
        <f t="shared" si="21"/>
        <v/>
      </c>
      <c r="AL102" s="28"/>
      <c r="AM102" s="28"/>
      <c r="AN102" s="20" t="str">
        <f>IF(AL102="","",IF($F102="Bernardino Furlan",_xlfn.XLOOKUP(AL102,Cadastros!$G$6:$G$90,Cadastros!$H$6:$H$90)*(1-0.18),IF($F102="Mauro José Salanti",_xlfn.XLOOKUP(AL102,Cadastros!$G$6:$G$90,Cadastros!$H$6:$H$90)*(1-0.18),_xlfn.XLOOKUP(AL102,Cadastros!$G$6:$G$90,Cadastros!$H$6:$H$90))))</f>
        <v/>
      </c>
      <c r="AO102" s="168" t="str">
        <f t="shared" si="22"/>
        <v/>
      </c>
      <c r="AP102" s="168" t="str">
        <f t="shared" si="23"/>
        <v/>
      </c>
      <c r="AQ102" s="28"/>
      <c r="AR102" s="28"/>
      <c r="AS102" s="20" t="str">
        <f>IF(AQ102="","",IF($F102="Bernardino Furlan",_xlfn.XLOOKUP(AQ102,Cadastros!$G$6:$G$90,Cadastros!$H$6:$H$90)*(1-0.18),IF($F102="Mauro José Salanti",_xlfn.XLOOKUP(AQ102,Cadastros!$G$6:$G$90,Cadastros!$H$6:$H$90)*(1-0.18),_xlfn.XLOOKUP(AQ102,Cadastros!$G$6:$G$90,Cadastros!$H$6:$H$90))))</f>
        <v/>
      </c>
      <c r="AT102" s="168" t="str">
        <f t="shared" si="24"/>
        <v/>
      </c>
      <c r="AU102" s="168" t="str">
        <f t="shared" si="25"/>
        <v/>
      </c>
      <c r="AV102" s="227"/>
      <c r="AW102" s="30"/>
      <c r="AX102" s="267"/>
      <c r="AY102" s="267"/>
      <c r="AZ102" s="29"/>
      <c r="BA102" s="30"/>
      <c r="BB102" s="23" t="str" cm="1">
        <f t="array" ref="BB102">_xlfn.IFS(AW102="SIM",SUM(K102,P102,U102,Z102,AE102,AJ102,AO102,AT102,AX102,AY102),F102&lt;&gt;"",SUM(K102,P102,U102,Z102,AE102,AJ102,,AO102,AT102),F102="","")</f>
        <v/>
      </c>
      <c r="BC102" s="211" t="str" cm="1">
        <f t="array" ref="BC102">_xlfn.IFS(E102="","",G102&lt;=E102,BB102*(1-0.03),G102&lt;(E102+8),BB102,AZ102="Boleto",BB102*(1+0.001)^DATEDIF(E102,G102,"D"),AZ102="Cheque",BB102,AZ102="Dinheiro","Alterar forma pgto")</f>
        <v/>
      </c>
      <c r="BD102" s="276" t="str" cm="1">
        <f t="array" ref="BD102">IF(F102=0," ",IF(BC102&lt;BB102,(_xlfn.IFS(AW102="SIM",SUM(L102,Q102,V102,AA102,AF102,AK102,AP102,AU102)+AX102/_xlfn.XLOOKUP(_xlfn.XLOOKUP($F102,Clientes!$B$4:$B$39,Clientes!$C$4:$C$39),Cadastros!$L$6:$L$12,Cadastros!$M$6:$M$12)+IF($F102="Bernardino Furlan",AY102/2751.92,IF($F102="Mauro José Salanti",AY102/2751.92,AY102/3356)),F102&lt;&gt;0,SUM(L102,Q102,V102,AA102,AF102,AK102,AP102,AU102)))*(1-0.03),_xlfn.IFS(AW102="SIM",SUM(L102,Q102,V102,AA102,AF102,AK102,AP102,AU102)+AX102/_xlfn.XLOOKUP(_xlfn.XLOOKUP($F102,Clientes!$B$4:$B$39,Clientes!$C$4:$C$39),Cadastros!$L$6:$L$12,Cadastros!$M$6:$M$12)+IF($F102="Bernardino Furlan",AY102/2751.92,IF($F102="Mauro José Salanti",AY102/2751.92,AY102/3356)),F102&lt;&gt;0,SUM(L102,Q102,V102,AA102,AF102,AK102,AP102,AU102))))</f>
        <v xml:space="preserve"> </v>
      </c>
      <c r="BE102" s="120"/>
      <c r="BF102" s="120"/>
      <c r="BG102" s="120"/>
    </row>
    <row r="103" spans="1:59" s="3" customFormat="1" x14ac:dyDescent="0.3">
      <c r="A103" s="15" t="str">
        <f t="shared" si="13"/>
        <v/>
      </c>
      <c r="B103" s="25"/>
      <c r="C103" s="26"/>
      <c r="D103" s="279"/>
      <c r="E103" s="27"/>
      <c r="F103" s="28"/>
      <c r="G103" s="27"/>
      <c r="H103" s="28"/>
      <c r="I103" s="28"/>
      <c r="J103" s="255" t="str">
        <f>IF(H103="","",(_xlfn.XLOOKUP(H103,Cadastros!$D$6:$D$90,Cadastros!$E$6:$E$90))*(1-_xlfn.XLOOKUP(_xlfn.XLOOKUP($F103,Clientes!$B$4:$B$39,Clientes!$C$4:$C$39),Cadastros!$L$6:$L$12,Cadastros!$N$6:$N$12)))</f>
        <v/>
      </c>
      <c r="K103" s="168" t="str">
        <f t="shared" si="14"/>
        <v/>
      </c>
      <c r="L103" s="168" t="str">
        <f>IFERROR(K103/_xlfn.XLOOKUP(_xlfn.XLOOKUP($F103,Clientes!$B$4:$B$39,Clientes!$C$4:$C$39),Cadastros!$L$6:$L$12,Cadastros!$M$6:$M$12)," ")</f>
        <v xml:space="preserve"> </v>
      </c>
      <c r="M103" s="28"/>
      <c r="N103" s="28"/>
      <c r="O103" s="255" t="str">
        <f>IF(M103="","",(_xlfn.XLOOKUP(M103,Cadastros!$D$6:$D$90,Cadastros!$E$6:$E$90))*(1-_xlfn.XLOOKUP(_xlfn.XLOOKUP($F103,Clientes!$B$4:$B$39,Clientes!$C$4:$C$39),Cadastros!$L$6:$L$12,Cadastros!$N$6:$N$12)))</f>
        <v/>
      </c>
      <c r="P103" s="168" t="str">
        <f t="shared" si="15"/>
        <v/>
      </c>
      <c r="Q103" s="168" t="str">
        <f>IFERROR(P103/_xlfn.XLOOKUP(_xlfn.XLOOKUP($F103,Clientes!$B$4:$B$39,Clientes!$C$4:$C$39),Cadastros!$L$6:$L$12,Cadastros!$M$6:$M$12)," ")</f>
        <v xml:space="preserve"> </v>
      </c>
      <c r="R103" s="28"/>
      <c r="S103" s="28"/>
      <c r="T103" s="255" t="str">
        <f>IF(R103="","",(_xlfn.XLOOKUP(R103,Cadastros!$D$6:$D$90,Cadastros!$E$6:$E$90))*(1-_xlfn.XLOOKUP(_xlfn.XLOOKUP($F103,Clientes!$B$4:$B$39,Clientes!$C$4:$C$39),Cadastros!$L$6:$L$12,Cadastros!$N$6:$N$12)))</f>
        <v/>
      </c>
      <c r="U103" s="168" t="str">
        <f t="shared" si="16"/>
        <v/>
      </c>
      <c r="V103" s="168" t="str">
        <f>IFERROR(U103/_xlfn.XLOOKUP(_xlfn.XLOOKUP($F103,Clientes!$B$4:$B$39,Clientes!$C$4:$C$39),Cadastros!$L$6:$L$12,Cadastros!$M$6:$M$12)," ")</f>
        <v xml:space="preserve"> </v>
      </c>
      <c r="W103" s="28"/>
      <c r="X103" s="28"/>
      <c r="Y103" s="255" t="str">
        <f>IF(W103="","",(_xlfn.XLOOKUP(W103,Cadastros!$D$6:$D$90,Cadastros!$E$6:$E$90))*(1-_xlfn.XLOOKUP(_xlfn.XLOOKUP($F103,Clientes!$B$4:$B$39,Clientes!$C$4:$C$39),Cadastros!$L$6:$L$12,Cadastros!$N$6:$N$12)))</f>
        <v/>
      </c>
      <c r="Z103" s="168" t="str">
        <f t="shared" si="17"/>
        <v/>
      </c>
      <c r="AA103" s="168" t="str">
        <f>IFERROR(Z103/_xlfn.XLOOKUP(_xlfn.XLOOKUP($F103,Clientes!$B$4:$B$39,Clientes!$C$4:$C$39),Cadastros!$L$6:$L$12,Cadastros!$M$6:$M$12)," ")</f>
        <v xml:space="preserve"> </v>
      </c>
      <c r="AB103" s="28"/>
      <c r="AC103" s="28"/>
      <c r="AD103" s="20" t="str">
        <f>IF(AB103="","",IF($F103="Bernardino Furlan",_xlfn.XLOOKUP(AB103,Cadastros!$G$6:$G$90,Cadastros!$H$6:$H$90)*(1-0.18),IF($F103="Mauro José Salanti",_xlfn.XLOOKUP(AB103,Cadastros!$G$6:$G$90,Cadastros!$H$6:$H$90)*(1-0.18),_xlfn.XLOOKUP(AB103,Cadastros!$G$6:$G$90,Cadastros!$H$6:$H$90))))</f>
        <v/>
      </c>
      <c r="AE103" s="168" t="str">
        <f t="shared" si="18"/>
        <v/>
      </c>
      <c r="AF103" s="168" t="str">
        <f t="shared" si="19"/>
        <v/>
      </c>
      <c r="AG103" s="28"/>
      <c r="AH103" s="28"/>
      <c r="AI103" s="20" t="str">
        <f>IF(AG103="","",IF($F103="Bernardino Furlan",_xlfn.XLOOKUP(AG103,Cadastros!$G$6:$G$90,Cadastros!$H$6:$H$90)*(1-0.18),IF($F103="Mauro José Salanti",_xlfn.XLOOKUP(AG103,Cadastros!$G$6:$G$90,Cadastros!$H$6:$H$90)*(1-0.18),_xlfn.XLOOKUP(AG103,Cadastros!$G$6:$G$90,Cadastros!$H$6:$H$90))))</f>
        <v/>
      </c>
      <c r="AJ103" s="168" t="str">
        <f t="shared" si="20"/>
        <v/>
      </c>
      <c r="AK103" s="168" t="str">
        <f t="shared" si="21"/>
        <v/>
      </c>
      <c r="AL103" s="28"/>
      <c r="AM103" s="28"/>
      <c r="AN103" s="20" t="str">
        <f>IF(AL103="","",IF($F103="Bernardino Furlan",_xlfn.XLOOKUP(AL103,Cadastros!$G$6:$G$90,Cadastros!$H$6:$H$90)*(1-0.18),IF($F103="Mauro José Salanti",_xlfn.XLOOKUP(AL103,Cadastros!$G$6:$G$90,Cadastros!$H$6:$H$90)*(1-0.18),_xlfn.XLOOKUP(AL103,Cadastros!$G$6:$G$90,Cadastros!$H$6:$H$90))))</f>
        <v/>
      </c>
      <c r="AO103" s="168" t="str">
        <f t="shared" si="22"/>
        <v/>
      </c>
      <c r="AP103" s="168" t="str">
        <f t="shared" si="23"/>
        <v/>
      </c>
      <c r="AQ103" s="28"/>
      <c r="AR103" s="28"/>
      <c r="AS103" s="20" t="str">
        <f>IF(AQ103="","",IF($F103="Bernardino Furlan",_xlfn.XLOOKUP(AQ103,Cadastros!$G$6:$G$90,Cadastros!$H$6:$H$90)*(1-0.18),IF($F103="Mauro José Salanti",_xlfn.XLOOKUP(AQ103,Cadastros!$G$6:$G$90,Cadastros!$H$6:$H$90)*(1-0.18),_xlfn.XLOOKUP(AQ103,Cadastros!$G$6:$G$90,Cadastros!$H$6:$H$90))))</f>
        <v/>
      </c>
      <c r="AT103" s="168" t="str">
        <f t="shared" si="24"/>
        <v/>
      </c>
      <c r="AU103" s="168" t="str">
        <f t="shared" si="25"/>
        <v/>
      </c>
      <c r="AV103" s="227"/>
      <c r="AW103" s="30"/>
      <c r="AX103" s="267"/>
      <c r="AY103" s="267"/>
      <c r="AZ103" s="29"/>
      <c r="BA103" s="30"/>
      <c r="BB103" s="23" t="str" cm="1">
        <f t="array" ref="BB103">_xlfn.IFS(AW103="SIM",SUM(K103,P103,U103,Z103,AE103,AJ103,AO103,AT103,AX103,AY103),F103&lt;&gt;"",SUM(K103,P103,U103,Z103,AE103,AJ103,,AO103,AT103),F103="","")</f>
        <v/>
      </c>
      <c r="BC103" s="211" t="str" cm="1">
        <f t="array" ref="BC103">_xlfn.IFS(E103="","",G103&lt;=E103,BB103*(1-0.03),G103&lt;(E103+8),BB103,AZ103="Boleto",BB103*(1+0.001)^DATEDIF(E103,G103,"D"),AZ103="Cheque",BB103,AZ103="Dinheiro","Alterar forma pgto")</f>
        <v/>
      </c>
      <c r="BD103" s="276" t="str" cm="1">
        <f t="array" ref="BD103">IF(F103=0," ",IF(BC103&lt;BB103,(_xlfn.IFS(AW103="SIM",SUM(L103,Q103,V103,AA103,AF103,AK103,AP103,AU103)+AX103/_xlfn.XLOOKUP(_xlfn.XLOOKUP($F103,Clientes!$B$4:$B$39,Clientes!$C$4:$C$39),Cadastros!$L$6:$L$12,Cadastros!$M$6:$M$12)+IF($F103="Bernardino Furlan",AY103/2751.92,IF($F103="Mauro José Salanti",AY103/2751.92,AY103/3356)),F103&lt;&gt;0,SUM(L103,Q103,V103,AA103,AF103,AK103,AP103,AU103)))*(1-0.03),_xlfn.IFS(AW103="SIM",SUM(L103,Q103,V103,AA103,AF103,AK103,AP103,AU103)+AX103/_xlfn.XLOOKUP(_xlfn.XLOOKUP($F103,Clientes!$B$4:$B$39,Clientes!$C$4:$C$39),Cadastros!$L$6:$L$12,Cadastros!$M$6:$M$12)+IF($F103="Bernardino Furlan",AY103/2751.92,IF($F103="Mauro José Salanti",AY103/2751.92,AY103/3356)),F103&lt;&gt;0,SUM(L103,Q103,V103,AA103,AF103,AK103,AP103,AU103))))</f>
        <v xml:space="preserve"> </v>
      </c>
      <c r="BE103" s="120"/>
      <c r="BF103" s="120"/>
      <c r="BG103" s="120"/>
    </row>
    <row r="104" spans="1:59" s="3" customFormat="1" x14ac:dyDescent="0.3">
      <c r="A104" s="15" t="str">
        <f t="shared" si="13"/>
        <v/>
      </c>
      <c r="B104" s="25"/>
      <c r="C104" s="26"/>
      <c r="D104" s="279"/>
      <c r="E104" s="27"/>
      <c r="F104" s="28"/>
      <c r="G104" s="27"/>
      <c r="H104" s="28"/>
      <c r="I104" s="28"/>
      <c r="J104" s="255" t="str">
        <f>IF(H104="","",(_xlfn.XLOOKUP(H104,Cadastros!$D$6:$D$90,Cadastros!$E$6:$E$90))*(1-_xlfn.XLOOKUP(_xlfn.XLOOKUP($F104,Clientes!$B$4:$B$39,Clientes!$C$4:$C$39),Cadastros!$L$6:$L$12,Cadastros!$N$6:$N$12)))</f>
        <v/>
      </c>
      <c r="K104" s="168" t="str">
        <f t="shared" si="14"/>
        <v/>
      </c>
      <c r="L104" s="168" t="str">
        <f>IFERROR(K104/_xlfn.XLOOKUP(_xlfn.XLOOKUP($F104,Clientes!$B$4:$B$39,Clientes!$C$4:$C$39),Cadastros!$L$6:$L$12,Cadastros!$M$6:$M$12)," ")</f>
        <v xml:space="preserve"> </v>
      </c>
      <c r="M104" s="28"/>
      <c r="N104" s="28"/>
      <c r="O104" s="255" t="str">
        <f>IF(M104="","",(_xlfn.XLOOKUP(M104,Cadastros!$D$6:$D$90,Cadastros!$E$6:$E$90))*(1-_xlfn.XLOOKUP(_xlfn.XLOOKUP($F104,Clientes!$B$4:$B$39,Clientes!$C$4:$C$39),Cadastros!$L$6:$L$12,Cadastros!$N$6:$N$12)))</f>
        <v/>
      </c>
      <c r="P104" s="168" t="str">
        <f t="shared" si="15"/>
        <v/>
      </c>
      <c r="Q104" s="168" t="str">
        <f>IFERROR(P104/_xlfn.XLOOKUP(_xlfn.XLOOKUP($F104,Clientes!$B$4:$B$39,Clientes!$C$4:$C$39),Cadastros!$L$6:$L$12,Cadastros!$M$6:$M$12)," ")</f>
        <v xml:space="preserve"> </v>
      </c>
      <c r="R104" s="28"/>
      <c r="S104" s="28"/>
      <c r="T104" s="255" t="str">
        <f>IF(R104="","",(_xlfn.XLOOKUP(R104,Cadastros!$D$6:$D$90,Cadastros!$E$6:$E$90))*(1-_xlfn.XLOOKUP(_xlfn.XLOOKUP($F104,Clientes!$B$4:$B$39,Clientes!$C$4:$C$39),Cadastros!$L$6:$L$12,Cadastros!$N$6:$N$12)))</f>
        <v/>
      </c>
      <c r="U104" s="168" t="str">
        <f t="shared" si="16"/>
        <v/>
      </c>
      <c r="V104" s="168" t="str">
        <f>IFERROR(U104/_xlfn.XLOOKUP(_xlfn.XLOOKUP($F104,Clientes!$B$4:$B$39,Clientes!$C$4:$C$39),Cadastros!$L$6:$L$12,Cadastros!$M$6:$M$12)," ")</f>
        <v xml:space="preserve"> </v>
      </c>
      <c r="W104" s="28"/>
      <c r="X104" s="28"/>
      <c r="Y104" s="255" t="str">
        <f>IF(W104="","",(_xlfn.XLOOKUP(W104,Cadastros!$D$6:$D$90,Cadastros!$E$6:$E$90))*(1-_xlfn.XLOOKUP(_xlfn.XLOOKUP($F104,Clientes!$B$4:$B$39,Clientes!$C$4:$C$39),Cadastros!$L$6:$L$12,Cadastros!$N$6:$N$12)))</f>
        <v/>
      </c>
      <c r="Z104" s="168" t="str">
        <f t="shared" si="17"/>
        <v/>
      </c>
      <c r="AA104" s="168" t="str">
        <f>IFERROR(Z104/_xlfn.XLOOKUP(_xlfn.XLOOKUP($F104,Clientes!$B$4:$B$39,Clientes!$C$4:$C$39),Cadastros!$L$6:$L$12,Cadastros!$M$6:$M$12)," ")</f>
        <v xml:space="preserve"> </v>
      </c>
      <c r="AB104" s="28"/>
      <c r="AC104" s="28"/>
      <c r="AD104" s="20" t="str">
        <f>IF(AB104="","",IF($F104="Bernardino Furlan",_xlfn.XLOOKUP(AB104,Cadastros!$G$6:$G$90,Cadastros!$H$6:$H$90)*(1-0.18),IF($F104="Mauro José Salanti",_xlfn.XLOOKUP(AB104,Cadastros!$G$6:$G$90,Cadastros!$H$6:$H$90)*(1-0.18),_xlfn.XLOOKUP(AB104,Cadastros!$G$6:$G$90,Cadastros!$H$6:$H$90))))</f>
        <v/>
      </c>
      <c r="AE104" s="168" t="str">
        <f t="shared" si="18"/>
        <v/>
      </c>
      <c r="AF104" s="168" t="str">
        <f t="shared" si="19"/>
        <v/>
      </c>
      <c r="AG104" s="28"/>
      <c r="AH104" s="28"/>
      <c r="AI104" s="20" t="str">
        <f>IF(AG104="","",IF($F104="Bernardino Furlan",_xlfn.XLOOKUP(AG104,Cadastros!$G$6:$G$90,Cadastros!$H$6:$H$90)*(1-0.18),IF($F104="Mauro José Salanti",_xlfn.XLOOKUP(AG104,Cadastros!$G$6:$G$90,Cadastros!$H$6:$H$90)*(1-0.18),_xlfn.XLOOKUP(AG104,Cadastros!$G$6:$G$90,Cadastros!$H$6:$H$90))))</f>
        <v/>
      </c>
      <c r="AJ104" s="168" t="str">
        <f t="shared" si="20"/>
        <v/>
      </c>
      <c r="AK104" s="168" t="str">
        <f t="shared" si="21"/>
        <v/>
      </c>
      <c r="AL104" s="28"/>
      <c r="AM104" s="28"/>
      <c r="AN104" s="20" t="str">
        <f>IF(AL104="","",IF($F104="Bernardino Furlan",_xlfn.XLOOKUP(AL104,Cadastros!$G$6:$G$90,Cadastros!$H$6:$H$90)*(1-0.18),IF($F104="Mauro José Salanti",_xlfn.XLOOKUP(AL104,Cadastros!$G$6:$G$90,Cadastros!$H$6:$H$90)*(1-0.18),_xlfn.XLOOKUP(AL104,Cadastros!$G$6:$G$90,Cadastros!$H$6:$H$90))))</f>
        <v/>
      </c>
      <c r="AO104" s="168" t="str">
        <f t="shared" si="22"/>
        <v/>
      </c>
      <c r="AP104" s="168" t="str">
        <f t="shared" si="23"/>
        <v/>
      </c>
      <c r="AQ104" s="28"/>
      <c r="AR104" s="28"/>
      <c r="AS104" s="20" t="str">
        <f>IF(AQ104="","",IF($F104="Bernardino Furlan",_xlfn.XLOOKUP(AQ104,Cadastros!$G$6:$G$90,Cadastros!$H$6:$H$90)*(1-0.18),IF($F104="Mauro José Salanti",_xlfn.XLOOKUP(AQ104,Cadastros!$G$6:$G$90,Cadastros!$H$6:$H$90)*(1-0.18),_xlfn.XLOOKUP(AQ104,Cadastros!$G$6:$G$90,Cadastros!$H$6:$H$90))))</f>
        <v/>
      </c>
      <c r="AT104" s="168" t="str">
        <f t="shared" si="24"/>
        <v/>
      </c>
      <c r="AU104" s="168" t="str">
        <f t="shared" si="25"/>
        <v/>
      </c>
      <c r="AV104" s="227"/>
      <c r="AW104" s="30"/>
      <c r="AX104" s="267"/>
      <c r="AY104" s="267"/>
      <c r="AZ104" s="29"/>
      <c r="BA104" s="30"/>
      <c r="BB104" s="23" t="str" cm="1">
        <f t="array" ref="BB104">_xlfn.IFS(AW104="SIM",SUM(K104,P104,U104,Z104,AE104,AJ104,AO104,AT104,AX104,AY104),F104&lt;&gt;"",SUM(K104,P104,U104,Z104,AE104,AJ104,,AO104,AT104),F104="","")</f>
        <v/>
      </c>
      <c r="BC104" s="211" t="str" cm="1">
        <f t="array" ref="BC104">_xlfn.IFS(E104="","",G104&lt;=E104,BB104*(1-0.03),G104&lt;(E104+8),BB104,AZ104="Boleto",BB104*(1+0.001)^DATEDIF(E104,G104,"D"),AZ104="Cheque",BB104,AZ104="Dinheiro","Alterar forma pgto")</f>
        <v/>
      </c>
      <c r="BD104" s="276" t="str" cm="1">
        <f t="array" ref="BD104">IF(F104=0," ",IF(BC104&lt;BB104,(_xlfn.IFS(AW104="SIM",SUM(L104,Q104,V104,AA104,AF104,AK104,AP104,AU104)+AX104/_xlfn.XLOOKUP(_xlfn.XLOOKUP($F104,Clientes!$B$4:$B$39,Clientes!$C$4:$C$39),Cadastros!$L$6:$L$12,Cadastros!$M$6:$M$12)+IF($F104="Bernardino Furlan",AY104/2751.92,IF($F104="Mauro José Salanti",AY104/2751.92,AY104/3356)),F104&lt;&gt;0,SUM(L104,Q104,V104,AA104,AF104,AK104,AP104,AU104)))*(1-0.03),_xlfn.IFS(AW104="SIM",SUM(L104,Q104,V104,AA104,AF104,AK104,AP104,AU104)+AX104/_xlfn.XLOOKUP(_xlfn.XLOOKUP($F104,Clientes!$B$4:$B$39,Clientes!$C$4:$C$39),Cadastros!$L$6:$L$12,Cadastros!$M$6:$M$12)+IF($F104="Bernardino Furlan",AY104/2751.92,IF($F104="Mauro José Salanti",AY104/2751.92,AY104/3356)),F104&lt;&gt;0,SUM(L104,Q104,V104,AA104,AF104,AK104,AP104,AU104))))</f>
        <v xml:space="preserve"> </v>
      </c>
      <c r="BE104" s="120"/>
      <c r="BF104" s="120"/>
      <c r="BG104" s="120"/>
    </row>
    <row r="105" spans="1:59" s="3" customFormat="1" x14ac:dyDescent="0.3">
      <c r="A105" s="15" t="str">
        <f t="shared" si="13"/>
        <v/>
      </c>
      <c r="B105" s="25"/>
      <c r="C105" s="26"/>
      <c r="D105" s="279"/>
      <c r="E105" s="27"/>
      <c r="F105" s="28"/>
      <c r="G105" s="27"/>
      <c r="H105" s="28"/>
      <c r="I105" s="28"/>
      <c r="J105" s="255" t="str">
        <f>IF(H105="","",(_xlfn.XLOOKUP(H105,Cadastros!$D$6:$D$90,Cadastros!$E$6:$E$90))*(1-_xlfn.XLOOKUP(_xlfn.XLOOKUP($F105,Clientes!$B$4:$B$39,Clientes!$C$4:$C$39),Cadastros!$L$6:$L$12,Cadastros!$N$6:$N$12)))</f>
        <v/>
      </c>
      <c r="K105" s="168" t="str">
        <f t="shared" si="14"/>
        <v/>
      </c>
      <c r="L105" s="168" t="str">
        <f>IFERROR(K105/_xlfn.XLOOKUP(_xlfn.XLOOKUP($F105,Clientes!$B$4:$B$39,Clientes!$C$4:$C$39),Cadastros!$L$6:$L$12,Cadastros!$M$6:$M$12)," ")</f>
        <v xml:space="preserve"> </v>
      </c>
      <c r="M105" s="28"/>
      <c r="N105" s="28"/>
      <c r="O105" s="255" t="str">
        <f>IF(M105="","",(_xlfn.XLOOKUP(M105,Cadastros!$D$6:$D$90,Cadastros!$E$6:$E$90))*(1-_xlfn.XLOOKUP(_xlfn.XLOOKUP($F105,Clientes!$B$4:$B$39,Clientes!$C$4:$C$39),Cadastros!$L$6:$L$12,Cadastros!$N$6:$N$12)))</f>
        <v/>
      </c>
      <c r="P105" s="168" t="str">
        <f t="shared" si="15"/>
        <v/>
      </c>
      <c r="Q105" s="168" t="str">
        <f>IFERROR(P105/_xlfn.XLOOKUP(_xlfn.XLOOKUP($F105,Clientes!$B$4:$B$39,Clientes!$C$4:$C$39),Cadastros!$L$6:$L$12,Cadastros!$M$6:$M$12)," ")</f>
        <v xml:space="preserve"> </v>
      </c>
      <c r="R105" s="28"/>
      <c r="S105" s="28"/>
      <c r="T105" s="255" t="str">
        <f>IF(R105="","",(_xlfn.XLOOKUP(R105,Cadastros!$D$6:$D$90,Cadastros!$E$6:$E$90))*(1-_xlfn.XLOOKUP(_xlfn.XLOOKUP($F105,Clientes!$B$4:$B$39,Clientes!$C$4:$C$39),Cadastros!$L$6:$L$12,Cadastros!$N$6:$N$12)))</f>
        <v/>
      </c>
      <c r="U105" s="168" t="str">
        <f t="shared" si="16"/>
        <v/>
      </c>
      <c r="V105" s="168" t="str">
        <f>IFERROR(U105/_xlfn.XLOOKUP(_xlfn.XLOOKUP($F105,Clientes!$B$4:$B$39,Clientes!$C$4:$C$39),Cadastros!$L$6:$L$12,Cadastros!$M$6:$M$12)," ")</f>
        <v xml:space="preserve"> </v>
      </c>
      <c r="W105" s="28"/>
      <c r="X105" s="28"/>
      <c r="Y105" s="255" t="str">
        <f>IF(W105="","",(_xlfn.XLOOKUP(W105,Cadastros!$D$6:$D$90,Cadastros!$E$6:$E$90))*(1-_xlfn.XLOOKUP(_xlfn.XLOOKUP($F105,Clientes!$B$4:$B$39,Clientes!$C$4:$C$39),Cadastros!$L$6:$L$12,Cadastros!$N$6:$N$12)))</f>
        <v/>
      </c>
      <c r="Z105" s="168" t="str">
        <f t="shared" si="17"/>
        <v/>
      </c>
      <c r="AA105" s="168" t="str">
        <f>IFERROR(Z105/_xlfn.XLOOKUP(_xlfn.XLOOKUP($F105,Clientes!$B$4:$B$39,Clientes!$C$4:$C$39),Cadastros!$L$6:$L$12,Cadastros!$M$6:$M$12)," ")</f>
        <v xml:space="preserve"> </v>
      </c>
      <c r="AB105" s="28"/>
      <c r="AC105" s="28"/>
      <c r="AD105" s="20" t="str">
        <f>IF(AB105="","",IF($F105="Bernardino Furlan",_xlfn.XLOOKUP(AB105,Cadastros!$G$6:$G$90,Cadastros!$H$6:$H$90)*(1-0.18),IF($F105="Mauro José Salanti",_xlfn.XLOOKUP(AB105,Cadastros!$G$6:$G$90,Cadastros!$H$6:$H$90)*(1-0.18),_xlfn.XLOOKUP(AB105,Cadastros!$G$6:$G$90,Cadastros!$H$6:$H$90))))</f>
        <v/>
      </c>
      <c r="AE105" s="168" t="str">
        <f t="shared" si="18"/>
        <v/>
      </c>
      <c r="AF105" s="168" t="str">
        <f t="shared" si="19"/>
        <v/>
      </c>
      <c r="AG105" s="28"/>
      <c r="AH105" s="28"/>
      <c r="AI105" s="20" t="str">
        <f>IF(AG105="","",IF($F105="Bernardino Furlan",_xlfn.XLOOKUP(AG105,Cadastros!$G$6:$G$90,Cadastros!$H$6:$H$90)*(1-0.18),IF($F105="Mauro José Salanti",_xlfn.XLOOKUP(AG105,Cadastros!$G$6:$G$90,Cadastros!$H$6:$H$90)*(1-0.18),_xlfn.XLOOKUP(AG105,Cadastros!$G$6:$G$90,Cadastros!$H$6:$H$90))))</f>
        <v/>
      </c>
      <c r="AJ105" s="168" t="str">
        <f t="shared" si="20"/>
        <v/>
      </c>
      <c r="AK105" s="168" t="str">
        <f t="shared" si="21"/>
        <v/>
      </c>
      <c r="AL105" s="28"/>
      <c r="AM105" s="28"/>
      <c r="AN105" s="20" t="str">
        <f>IF(AL105="","",IF($F105="Bernardino Furlan",_xlfn.XLOOKUP(AL105,Cadastros!$G$6:$G$90,Cadastros!$H$6:$H$90)*(1-0.18),IF($F105="Mauro José Salanti",_xlfn.XLOOKUP(AL105,Cadastros!$G$6:$G$90,Cadastros!$H$6:$H$90)*(1-0.18),_xlfn.XLOOKUP(AL105,Cadastros!$G$6:$G$90,Cadastros!$H$6:$H$90))))</f>
        <v/>
      </c>
      <c r="AO105" s="168" t="str">
        <f t="shared" si="22"/>
        <v/>
      </c>
      <c r="AP105" s="168" t="str">
        <f t="shared" si="23"/>
        <v/>
      </c>
      <c r="AQ105" s="28"/>
      <c r="AR105" s="28"/>
      <c r="AS105" s="20" t="str">
        <f>IF(AQ105="","",IF($F105="Bernardino Furlan",_xlfn.XLOOKUP(AQ105,Cadastros!$G$6:$G$90,Cadastros!$H$6:$H$90)*(1-0.18),IF($F105="Mauro José Salanti",_xlfn.XLOOKUP(AQ105,Cadastros!$G$6:$G$90,Cadastros!$H$6:$H$90)*(1-0.18),_xlfn.XLOOKUP(AQ105,Cadastros!$G$6:$G$90,Cadastros!$H$6:$H$90))))</f>
        <v/>
      </c>
      <c r="AT105" s="168" t="str">
        <f t="shared" si="24"/>
        <v/>
      </c>
      <c r="AU105" s="168" t="str">
        <f t="shared" si="25"/>
        <v/>
      </c>
      <c r="AV105" s="227"/>
      <c r="AW105" s="30"/>
      <c r="AX105" s="267"/>
      <c r="AY105" s="267"/>
      <c r="AZ105" s="29"/>
      <c r="BA105" s="30"/>
      <c r="BB105" s="23" t="str" cm="1">
        <f t="array" ref="BB105">_xlfn.IFS(AW105="SIM",SUM(K105,P105,U105,Z105,AE105,AJ105,AO105,AT105,AX105,AY105),F105&lt;&gt;"",SUM(K105,P105,U105,Z105,AE105,AJ105,,AO105,AT105),F105="","")</f>
        <v/>
      </c>
      <c r="BC105" s="211" t="str" cm="1">
        <f t="array" ref="BC105">_xlfn.IFS(E105="","",G105&lt;=E105,BB105*(1-0.03),G105&lt;(E105+8),BB105,AZ105="Boleto",BB105*(1+0.001)^DATEDIF(E105,G105,"D"),AZ105="Cheque",BB105,AZ105="Dinheiro","Alterar forma pgto")</f>
        <v/>
      </c>
      <c r="BD105" s="276" t="str" cm="1">
        <f t="array" ref="BD105">IF(F105=0," ",IF(BC105&lt;BB105,(_xlfn.IFS(AW105="SIM",SUM(L105,Q105,V105,AA105,AF105,AK105,AP105,AU105)+AX105/_xlfn.XLOOKUP(_xlfn.XLOOKUP($F105,Clientes!$B$4:$B$39,Clientes!$C$4:$C$39),Cadastros!$L$6:$L$12,Cadastros!$M$6:$M$12)+IF($F105="Bernardino Furlan",AY105/2751.92,IF($F105="Mauro José Salanti",AY105/2751.92,AY105/3356)),F105&lt;&gt;0,SUM(L105,Q105,V105,AA105,AF105,AK105,AP105,AU105)))*(1-0.03),_xlfn.IFS(AW105="SIM",SUM(L105,Q105,V105,AA105,AF105,AK105,AP105,AU105)+AX105/_xlfn.XLOOKUP(_xlfn.XLOOKUP($F105,Clientes!$B$4:$B$39,Clientes!$C$4:$C$39),Cadastros!$L$6:$L$12,Cadastros!$M$6:$M$12)+IF($F105="Bernardino Furlan",AY105/2751.92,IF($F105="Mauro José Salanti",AY105/2751.92,AY105/3356)),F105&lt;&gt;0,SUM(L105,Q105,V105,AA105,AF105,AK105,AP105,AU105))))</f>
        <v xml:space="preserve"> </v>
      </c>
      <c r="BE105" s="120"/>
      <c r="BF105" s="120"/>
      <c r="BG105" s="120"/>
    </row>
    <row r="106" spans="1:59" s="3" customFormat="1" x14ac:dyDescent="0.3">
      <c r="A106" s="15" t="str">
        <f t="shared" si="13"/>
        <v/>
      </c>
      <c r="B106" s="25"/>
      <c r="C106" s="26"/>
      <c r="D106" s="279"/>
      <c r="E106" s="27"/>
      <c r="F106" s="28"/>
      <c r="G106" s="27"/>
      <c r="H106" s="28"/>
      <c r="I106" s="28"/>
      <c r="J106" s="255" t="str">
        <f>IF(H106="","",(_xlfn.XLOOKUP(H106,Cadastros!$D$6:$D$90,Cadastros!$E$6:$E$90))*(1-_xlfn.XLOOKUP(_xlfn.XLOOKUP($F106,Clientes!$B$4:$B$39,Clientes!$C$4:$C$39),Cadastros!$L$6:$L$12,Cadastros!$N$6:$N$12)))</f>
        <v/>
      </c>
      <c r="K106" s="168" t="str">
        <f t="shared" si="14"/>
        <v/>
      </c>
      <c r="L106" s="168" t="str">
        <f>IFERROR(K106/_xlfn.XLOOKUP(_xlfn.XLOOKUP($F106,Clientes!$B$4:$B$39,Clientes!$C$4:$C$39),Cadastros!$L$6:$L$12,Cadastros!$M$6:$M$12)," ")</f>
        <v xml:space="preserve"> </v>
      </c>
      <c r="M106" s="28"/>
      <c r="N106" s="28"/>
      <c r="O106" s="255" t="str">
        <f>IF(M106="","",(_xlfn.XLOOKUP(M106,Cadastros!$D$6:$D$90,Cadastros!$E$6:$E$90))*(1-_xlfn.XLOOKUP(_xlfn.XLOOKUP($F106,Clientes!$B$4:$B$39,Clientes!$C$4:$C$39),Cadastros!$L$6:$L$12,Cadastros!$N$6:$N$12)))</f>
        <v/>
      </c>
      <c r="P106" s="168" t="str">
        <f t="shared" si="15"/>
        <v/>
      </c>
      <c r="Q106" s="168" t="str">
        <f>IFERROR(P106/_xlfn.XLOOKUP(_xlfn.XLOOKUP($F106,Clientes!$B$4:$B$39,Clientes!$C$4:$C$39),Cadastros!$L$6:$L$12,Cadastros!$M$6:$M$12)," ")</f>
        <v xml:space="preserve"> </v>
      </c>
      <c r="R106" s="28"/>
      <c r="S106" s="28"/>
      <c r="T106" s="255" t="str">
        <f>IF(R106="","",(_xlfn.XLOOKUP(R106,Cadastros!$D$6:$D$90,Cadastros!$E$6:$E$90))*(1-_xlfn.XLOOKUP(_xlfn.XLOOKUP($F106,Clientes!$B$4:$B$39,Clientes!$C$4:$C$39),Cadastros!$L$6:$L$12,Cadastros!$N$6:$N$12)))</f>
        <v/>
      </c>
      <c r="U106" s="168" t="str">
        <f t="shared" si="16"/>
        <v/>
      </c>
      <c r="V106" s="168" t="str">
        <f>IFERROR(U106/_xlfn.XLOOKUP(_xlfn.XLOOKUP($F106,Clientes!$B$4:$B$39,Clientes!$C$4:$C$39),Cadastros!$L$6:$L$12,Cadastros!$M$6:$M$12)," ")</f>
        <v xml:space="preserve"> </v>
      </c>
      <c r="W106" s="28"/>
      <c r="X106" s="28"/>
      <c r="Y106" s="255" t="str">
        <f>IF(W106="","",(_xlfn.XLOOKUP(W106,Cadastros!$D$6:$D$90,Cadastros!$E$6:$E$90))*(1-_xlfn.XLOOKUP(_xlfn.XLOOKUP($F106,Clientes!$B$4:$B$39,Clientes!$C$4:$C$39),Cadastros!$L$6:$L$12,Cadastros!$N$6:$N$12)))</f>
        <v/>
      </c>
      <c r="Z106" s="168" t="str">
        <f t="shared" si="17"/>
        <v/>
      </c>
      <c r="AA106" s="168" t="str">
        <f>IFERROR(Z106/_xlfn.XLOOKUP(_xlfn.XLOOKUP($F106,Clientes!$B$4:$B$39,Clientes!$C$4:$C$39),Cadastros!$L$6:$L$12,Cadastros!$M$6:$M$12)," ")</f>
        <v xml:space="preserve"> </v>
      </c>
      <c r="AB106" s="28"/>
      <c r="AC106" s="28"/>
      <c r="AD106" s="20" t="str">
        <f>IF(AB106="","",IF($F106="Bernardino Furlan",_xlfn.XLOOKUP(AB106,Cadastros!$G$6:$G$90,Cadastros!$H$6:$H$90)*(1-0.18),IF($F106="Mauro José Salanti",_xlfn.XLOOKUP(AB106,Cadastros!$G$6:$G$90,Cadastros!$H$6:$H$90)*(1-0.18),_xlfn.XLOOKUP(AB106,Cadastros!$G$6:$G$90,Cadastros!$H$6:$H$90))))</f>
        <v/>
      </c>
      <c r="AE106" s="168" t="str">
        <f t="shared" si="18"/>
        <v/>
      </c>
      <c r="AF106" s="168" t="str">
        <f t="shared" si="19"/>
        <v/>
      </c>
      <c r="AG106" s="28"/>
      <c r="AH106" s="28"/>
      <c r="AI106" s="20" t="str">
        <f>IF(AG106="","",IF($F106="Bernardino Furlan",_xlfn.XLOOKUP(AG106,Cadastros!$G$6:$G$90,Cadastros!$H$6:$H$90)*(1-0.18),IF($F106="Mauro José Salanti",_xlfn.XLOOKUP(AG106,Cadastros!$G$6:$G$90,Cadastros!$H$6:$H$90)*(1-0.18),_xlfn.XLOOKUP(AG106,Cadastros!$G$6:$G$90,Cadastros!$H$6:$H$90))))</f>
        <v/>
      </c>
      <c r="AJ106" s="168" t="str">
        <f t="shared" si="20"/>
        <v/>
      </c>
      <c r="AK106" s="168" t="str">
        <f t="shared" si="21"/>
        <v/>
      </c>
      <c r="AL106" s="28"/>
      <c r="AM106" s="28"/>
      <c r="AN106" s="20" t="str">
        <f>IF(AL106="","",IF($F106="Bernardino Furlan",_xlfn.XLOOKUP(AL106,Cadastros!$G$6:$G$90,Cadastros!$H$6:$H$90)*(1-0.18),IF($F106="Mauro José Salanti",_xlfn.XLOOKUP(AL106,Cadastros!$G$6:$G$90,Cadastros!$H$6:$H$90)*(1-0.18),_xlfn.XLOOKUP(AL106,Cadastros!$G$6:$G$90,Cadastros!$H$6:$H$90))))</f>
        <v/>
      </c>
      <c r="AO106" s="168" t="str">
        <f t="shared" si="22"/>
        <v/>
      </c>
      <c r="AP106" s="168" t="str">
        <f t="shared" si="23"/>
        <v/>
      </c>
      <c r="AQ106" s="28"/>
      <c r="AR106" s="28"/>
      <c r="AS106" s="20" t="str">
        <f>IF(AQ106="","",IF($F106="Bernardino Furlan",_xlfn.XLOOKUP(AQ106,Cadastros!$G$6:$G$90,Cadastros!$H$6:$H$90)*(1-0.18),IF($F106="Mauro José Salanti",_xlfn.XLOOKUP(AQ106,Cadastros!$G$6:$G$90,Cadastros!$H$6:$H$90)*(1-0.18),_xlfn.XLOOKUP(AQ106,Cadastros!$G$6:$G$90,Cadastros!$H$6:$H$90))))</f>
        <v/>
      </c>
      <c r="AT106" s="168" t="str">
        <f t="shared" si="24"/>
        <v/>
      </c>
      <c r="AU106" s="168" t="str">
        <f t="shared" si="25"/>
        <v/>
      </c>
      <c r="AV106" s="227"/>
      <c r="AW106" s="30"/>
      <c r="AX106" s="267"/>
      <c r="AY106" s="267"/>
      <c r="AZ106" s="29"/>
      <c r="BA106" s="30"/>
      <c r="BB106" s="23" t="str" cm="1">
        <f t="array" ref="BB106">_xlfn.IFS(AW106="SIM",SUM(K106,P106,U106,Z106,AE106,AJ106,AO106,AT106,AX106,AY106),F106&lt;&gt;"",SUM(K106,P106,U106,Z106,AE106,AJ106,,AO106,AT106),F106="","")</f>
        <v/>
      </c>
      <c r="BC106" s="211" t="str" cm="1">
        <f t="array" ref="BC106">_xlfn.IFS(E106="","",G106&lt;=E106,BB106*(1-0.03),G106&lt;(E106+8),BB106,AZ106="Boleto",BB106*(1+0.001)^DATEDIF(E106,G106,"D"),AZ106="Cheque",BB106,AZ106="Dinheiro","Alterar forma pgto")</f>
        <v/>
      </c>
      <c r="BD106" s="276" t="str" cm="1">
        <f t="array" ref="BD106">IF(F106=0," ",IF(BC106&lt;BB106,(_xlfn.IFS(AW106="SIM",SUM(L106,Q106,V106,AA106,AF106,AK106,AP106,AU106)+AX106/_xlfn.XLOOKUP(_xlfn.XLOOKUP($F106,Clientes!$B$4:$B$39,Clientes!$C$4:$C$39),Cadastros!$L$6:$L$12,Cadastros!$M$6:$M$12)+IF($F106="Bernardino Furlan",AY106/2751.92,IF($F106="Mauro José Salanti",AY106/2751.92,AY106/3356)),F106&lt;&gt;0,SUM(L106,Q106,V106,AA106,AF106,AK106,AP106,AU106)))*(1-0.03),_xlfn.IFS(AW106="SIM",SUM(L106,Q106,V106,AA106,AF106,AK106,AP106,AU106)+AX106/_xlfn.XLOOKUP(_xlfn.XLOOKUP($F106,Clientes!$B$4:$B$39,Clientes!$C$4:$C$39),Cadastros!$L$6:$L$12,Cadastros!$M$6:$M$12)+IF($F106="Bernardino Furlan",AY106/2751.92,IF($F106="Mauro José Salanti",AY106/2751.92,AY106/3356)),F106&lt;&gt;0,SUM(L106,Q106,V106,AA106,AF106,AK106,AP106,AU106))))</f>
        <v xml:space="preserve"> </v>
      </c>
      <c r="BE106" s="120"/>
      <c r="BF106" s="120"/>
      <c r="BG106" s="120"/>
    </row>
    <row r="107" spans="1:59" s="3" customFormat="1" x14ac:dyDescent="0.3">
      <c r="A107" s="15" t="str">
        <f t="shared" si="13"/>
        <v/>
      </c>
      <c r="B107" s="25"/>
      <c r="C107" s="26"/>
      <c r="D107" s="279"/>
      <c r="E107" s="27"/>
      <c r="F107" s="28"/>
      <c r="G107" s="27"/>
      <c r="H107" s="28"/>
      <c r="I107" s="28"/>
      <c r="J107" s="255" t="str">
        <f>IF(H107="","",(_xlfn.XLOOKUP(H107,Cadastros!$D$6:$D$90,Cadastros!$E$6:$E$90))*(1-_xlfn.XLOOKUP(_xlfn.XLOOKUP($F107,Clientes!$B$4:$B$39,Clientes!$C$4:$C$39),Cadastros!$L$6:$L$12,Cadastros!$N$6:$N$12)))</f>
        <v/>
      </c>
      <c r="K107" s="168" t="str">
        <f t="shared" si="14"/>
        <v/>
      </c>
      <c r="L107" s="168" t="str">
        <f>IFERROR(K107/_xlfn.XLOOKUP(_xlfn.XLOOKUP($F107,Clientes!$B$4:$B$39,Clientes!$C$4:$C$39),Cadastros!$L$6:$L$12,Cadastros!$M$6:$M$12)," ")</f>
        <v xml:space="preserve"> </v>
      </c>
      <c r="M107" s="28"/>
      <c r="N107" s="28"/>
      <c r="O107" s="255" t="str">
        <f>IF(M107="","",(_xlfn.XLOOKUP(M107,Cadastros!$D$6:$D$90,Cadastros!$E$6:$E$90))*(1-_xlfn.XLOOKUP(_xlfn.XLOOKUP($F107,Clientes!$B$4:$B$39,Clientes!$C$4:$C$39),Cadastros!$L$6:$L$12,Cadastros!$N$6:$N$12)))</f>
        <v/>
      </c>
      <c r="P107" s="168" t="str">
        <f t="shared" si="15"/>
        <v/>
      </c>
      <c r="Q107" s="168" t="str">
        <f>IFERROR(P107/_xlfn.XLOOKUP(_xlfn.XLOOKUP($F107,Clientes!$B$4:$B$39,Clientes!$C$4:$C$39),Cadastros!$L$6:$L$12,Cadastros!$M$6:$M$12)," ")</f>
        <v xml:space="preserve"> </v>
      </c>
      <c r="R107" s="28"/>
      <c r="S107" s="28"/>
      <c r="T107" s="255" t="str">
        <f>IF(R107="","",(_xlfn.XLOOKUP(R107,Cadastros!$D$6:$D$90,Cadastros!$E$6:$E$90))*(1-_xlfn.XLOOKUP(_xlfn.XLOOKUP($F107,Clientes!$B$4:$B$39,Clientes!$C$4:$C$39),Cadastros!$L$6:$L$12,Cadastros!$N$6:$N$12)))</f>
        <v/>
      </c>
      <c r="U107" s="168" t="str">
        <f t="shared" si="16"/>
        <v/>
      </c>
      <c r="V107" s="168" t="str">
        <f>IFERROR(U107/_xlfn.XLOOKUP(_xlfn.XLOOKUP($F107,Clientes!$B$4:$B$39,Clientes!$C$4:$C$39),Cadastros!$L$6:$L$12,Cadastros!$M$6:$M$12)," ")</f>
        <v xml:space="preserve"> </v>
      </c>
      <c r="W107" s="28"/>
      <c r="X107" s="28"/>
      <c r="Y107" s="255" t="str">
        <f>IF(W107="","",(_xlfn.XLOOKUP(W107,Cadastros!$D$6:$D$90,Cadastros!$E$6:$E$90))*(1-_xlfn.XLOOKUP(_xlfn.XLOOKUP($F107,Clientes!$B$4:$B$39,Clientes!$C$4:$C$39),Cadastros!$L$6:$L$12,Cadastros!$N$6:$N$12)))</f>
        <v/>
      </c>
      <c r="Z107" s="168" t="str">
        <f t="shared" si="17"/>
        <v/>
      </c>
      <c r="AA107" s="168" t="str">
        <f>IFERROR(Z107/_xlfn.XLOOKUP(_xlfn.XLOOKUP($F107,Clientes!$B$4:$B$39,Clientes!$C$4:$C$39),Cadastros!$L$6:$L$12,Cadastros!$M$6:$M$12)," ")</f>
        <v xml:space="preserve"> </v>
      </c>
      <c r="AB107" s="28"/>
      <c r="AC107" s="28"/>
      <c r="AD107" s="20" t="str">
        <f>IF(AB107="","",IF($F107="Bernardino Furlan",_xlfn.XLOOKUP(AB107,Cadastros!$G$6:$G$90,Cadastros!$H$6:$H$90)*(1-0.18),IF($F107="Mauro José Salanti",_xlfn.XLOOKUP(AB107,Cadastros!$G$6:$G$90,Cadastros!$H$6:$H$90)*(1-0.18),_xlfn.XLOOKUP(AB107,Cadastros!$G$6:$G$90,Cadastros!$H$6:$H$90))))</f>
        <v/>
      </c>
      <c r="AE107" s="168" t="str">
        <f t="shared" si="18"/>
        <v/>
      </c>
      <c r="AF107" s="168" t="str">
        <f t="shared" si="19"/>
        <v/>
      </c>
      <c r="AG107" s="28"/>
      <c r="AH107" s="28"/>
      <c r="AI107" s="20" t="str">
        <f>IF(AG107="","",IF($F107="Bernardino Furlan",_xlfn.XLOOKUP(AG107,Cadastros!$G$6:$G$90,Cadastros!$H$6:$H$90)*(1-0.18),IF($F107="Mauro José Salanti",_xlfn.XLOOKUP(AG107,Cadastros!$G$6:$G$90,Cadastros!$H$6:$H$90)*(1-0.18),_xlfn.XLOOKUP(AG107,Cadastros!$G$6:$G$90,Cadastros!$H$6:$H$90))))</f>
        <v/>
      </c>
      <c r="AJ107" s="168" t="str">
        <f t="shared" si="20"/>
        <v/>
      </c>
      <c r="AK107" s="168" t="str">
        <f t="shared" si="21"/>
        <v/>
      </c>
      <c r="AL107" s="28"/>
      <c r="AM107" s="28"/>
      <c r="AN107" s="20" t="str">
        <f>IF(AL107="","",IF($F107="Bernardino Furlan",_xlfn.XLOOKUP(AL107,Cadastros!$G$6:$G$90,Cadastros!$H$6:$H$90)*(1-0.18),IF($F107="Mauro José Salanti",_xlfn.XLOOKUP(AL107,Cadastros!$G$6:$G$90,Cadastros!$H$6:$H$90)*(1-0.18),_xlfn.XLOOKUP(AL107,Cadastros!$G$6:$G$90,Cadastros!$H$6:$H$90))))</f>
        <v/>
      </c>
      <c r="AO107" s="168" t="str">
        <f t="shared" si="22"/>
        <v/>
      </c>
      <c r="AP107" s="168" t="str">
        <f t="shared" si="23"/>
        <v/>
      </c>
      <c r="AQ107" s="28"/>
      <c r="AR107" s="28"/>
      <c r="AS107" s="20" t="str">
        <f>IF(AQ107="","",IF($F107="Bernardino Furlan",_xlfn.XLOOKUP(AQ107,Cadastros!$G$6:$G$90,Cadastros!$H$6:$H$90)*(1-0.18),IF($F107="Mauro José Salanti",_xlfn.XLOOKUP(AQ107,Cadastros!$G$6:$G$90,Cadastros!$H$6:$H$90)*(1-0.18),_xlfn.XLOOKUP(AQ107,Cadastros!$G$6:$G$90,Cadastros!$H$6:$H$90))))</f>
        <v/>
      </c>
      <c r="AT107" s="168" t="str">
        <f t="shared" si="24"/>
        <v/>
      </c>
      <c r="AU107" s="168" t="str">
        <f t="shared" si="25"/>
        <v/>
      </c>
      <c r="AV107" s="227"/>
      <c r="AW107" s="30"/>
      <c r="AX107" s="267"/>
      <c r="AY107" s="267"/>
      <c r="AZ107" s="29"/>
      <c r="BA107" s="30"/>
      <c r="BB107" s="23" t="str" cm="1">
        <f t="array" ref="BB107">_xlfn.IFS(AW107="SIM",SUM(K107,P107,U107,Z107,AE107,AJ107,AO107,AT107,AX107,AY107),F107&lt;&gt;"",SUM(K107,P107,U107,Z107,AE107,AJ107,,AO107,AT107),F107="","")</f>
        <v/>
      </c>
      <c r="BC107" s="211" t="str" cm="1">
        <f t="array" ref="BC107">_xlfn.IFS(E107="","",G107&lt;=E107,BB107*(1-0.03),G107&lt;(E107+8),BB107,AZ107="Boleto",BB107*(1+0.001)^DATEDIF(E107,G107,"D"),AZ107="Cheque",BB107,AZ107="Dinheiro","Alterar forma pgto")</f>
        <v/>
      </c>
      <c r="BD107" s="276" t="str" cm="1">
        <f t="array" ref="BD107">IF(F107=0," ",IF(BC107&lt;BB107,(_xlfn.IFS(AW107="SIM",SUM(L107,Q107,V107,AA107,AF107,AK107,AP107,AU107)+AX107/_xlfn.XLOOKUP(_xlfn.XLOOKUP($F107,Clientes!$B$4:$B$39,Clientes!$C$4:$C$39),Cadastros!$L$6:$L$12,Cadastros!$M$6:$M$12)+IF($F107="Bernardino Furlan",AY107/2751.92,IF($F107="Mauro José Salanti",AY107/2751.92,AY107/3356)),F107&lt;&gt;0,SUM(L107,Q107,V107,AA107,AF107,AK107,AP107,AU107)))*(1-0.03),_xlfn.IFS(AW107="SIM",SUM(L107,Q107,V107,AA107,AF107,AK107,AP107,AU107)+AX107/_xlfn.XLOOKUP(_xlfn.XLOOKUP($F107,Clientes!$B$4:$B$39,Clientes!$C$4:$C$39),Cadastros!$L$6:$L$12,Cadastros!$M$6:$M$12)+IF($F107="Bernardino Furlan",AY107/2751.92,IF($F107="Mauro José Salanti",AY107/2751.92,AY107/3356)),F107&lt;&gt;0,SUM(L107,Q107,V107,AA107,AF107,AK107,AP107,AU107))))</f>
        <v xml:space="preserve"> </v>
      </c>
      <c r="BE107" s="120"/>
      <c r="BF107" s="120"/>
      <c r="BG107" s="120"/>
    </row>
    <row r="108" spans="1:59" s="3" customFormat="1" x14ac:dyDescent="0.3">
      <c r="A108" s="15" t="str">
        <f t="shared" si="13"/>
        <v/>
      </c>
      <c r="B108" s="25"/>
      <c r="C108" s="26"/>
      <c r="D108" s="279"/>
      <c r="E108" s="27"/>
      <c r="F108" s="28"/>
      <c r="G108" s="27"/>
      <c r="H108" s="28"/>
      <c r="I108" s="28"/>
      <c r="J108" s="255" t="str">
        <f>IF(H108="","",(_xlfn.XLOOKUP(H108,Cadastros!$D$6:$D$90,Cadastros!$E$6:$E$90))*(1-_xlfn.XLOOKUP(_xlfn.XLOOKUP($F108,Clientes!$B$4:$B$39,Clientes!$C$4:$C$39),Cadastros!$L$6:$L$12,Cadastros!$N$6:$N$12)))</f>
        <v/>
      </c>
      <c r="K108" s="168" t="str">
        <f t="shared" si="14"/>
        <v/>
      </c>
      <c r="L108" s="168" t="str">
        <f>IFERROR(K108/_xlfn.XLOOKUP(_xlfn.XLOOKUP($F108,Clientes!$B$4:$B$39,Clientes!$C$4:$C$39),Cadastros!$L$6:$L$12,Cadastros!$M$6:$M$12)," ")</f>
        <v xml:space="preserve"> </v>
      </c>
      <c r="M108" s="28"/>
      <c r="N108" s="28"/>
      <c r="O108" s="255" t="str">
        <f>IF(M108="","",(_xlfn.XLOOKUP(M108,Cadastros!$D$6:$D$90,Cadastros!$E$6:$E$90))*(1-_xlfn.XLOOKUP(_xlfn.XLOOKUP($F108,Clientes!$B$4:$B$39,Clientes!$C$4:$C$39),Cadastros!$L$6:$L$12,Cadastros!$N$6:$N$12)))</f>
        <v/>
      </c>
      <c r="P108" s="168" t="str">
        <f t="shared" si="15"/>
        <v/>
      </c>
      <c r="Q108" s="168" t="str">
        <f>IFERROR(P108/_xlfn.XLOOKUP(_xlfn.XLOOKUP($F108,Clientes!$B$4:$B$39,Clientes!$C$4:$C$39),Cadastros!$L$6:$L$12,Cadastros!$M$6:$M$12)," ")</f>
        <v xml:space="preserve"> </v>
      </c>
      <c r="R108" s="28"/>
      <c r="S108" s="28"/>
      <c r="T108" s="255" t="str">
        <f>IF(R108="","",(_xlfn.XLOOKUP(R108,Cadastros!$D$6:$D$90,Cadastros!$E$6:$E$90))*(1-_xlfn.XLOOKUP(_xlfn.XLOOKUP($F108,Clientes!$B$4:$B$39,Clientes!$C$4:$C$39),Cadastros!$L$6:$L$12,Cadastros!$N$6:$N$12)))</f>
        <v/>
      </c>
      <c r="U108" s="168" t="str">
        <f t="shared" si="16"/>
        <v/>
      </c>
      <c r="V108" s="168" t="str">
        <f>IFERROR(U108/_xlfn.XLOOKUP(_xlfn.XLOOKUP($F108,Clientes!$B$4:$B$39,Clientes!$C$4:$C$39),Cadastros!$L$6:$L$12,Cadastros!$M$6:$M$12)," ")</f>
        <v xml:space="preserve"> </v>
      </c>
      <c r="W108" s="28"/>
      <c r="X108" s="28"/>
      <c r="Y108" s="255" t="str">
        <f>IF(W108="","",(_xlfn.XLOOKUP(W108,Cadastros!$D$6:$D$90,Cadastros!$E$6:$E$90))*(1-_xlfn.XLOOKUP(_xlfn.XLOOKUP($F108,Clientes!$B$4:$B$39,Clientes!$C$4:$C$39),Cadastros!$L$6:$L$12,Cadastros!$N$6:$N$12)))</f>
        <v/>
      </c>
      <c r="Z108" s="168" t="str">
        <f t="shared" si="17"/>
        <v/>
      </c>
      <c r="AA108" s="168" t="str">
        <f>IFERROR(Z108/_xlfn.XLOOKUP(_xlfn.XLOOKUP($F108,Clientes!$B$4:$B$39,Clientes!$C$4:$C$39),Cadastros!$L$6:$L$12,Cadastros!$M$6:$M$12)," ")</f>
        <v xml:space="preserve"> </v>
      </c>
      <c r="AB108" s="28"/>
      <c r="AC108" s="28"/>
      <c r="AD108" s="20" t="str">
        <f>IF(AB108="","",IF($F108="Bernardino Furlan",_xlfn.XLOOKUP(AB108,Cadastros!$G$6:$G$90,Cadastros!$H$6:$H$90)*(1-0.18),IF($F108="Mauro José Salanti",_xlfn.XLOOKUP(AB108,Cadastros!$G$6:$G$90,Cadastros!$H$6:$H$90)*(1-0.18),_xlfn.XLOOKUP(AB108,Cadastros!$G$6:$G$90,Cadastros!$H$6:$H$90))))</f>
        <v/>
      </c>
      <c r="AE108" s="168" t="str">
        <f t="shared" si="18"/>
        <v/>
      </c>
      <c r="AF108" s="168" t="str">
        <f t="shared" si="19"/>
        <v/>
      </c>
      <c r="AG108" s="28"/>
      <c r="AH108" s="28"/>
      <c r="AI108" s="20" t="str">
        <f>IF(AG108="","",IF($F108="Bernardino Furlan",_xlfn.XLOOKUP(AG108,Cadastros!$G$6:$G$90,Cadastros!$H$6:$H$90)*(1-0.18),IF($F108="Mauro José Salanti",_xlfn.XLOOKUP(AG108,Cadastros!$G$6:$G$90,Cadastros!$H$6:$H$90)*(1-0.18),_xlfn.XLOOKUP(AG108,Cadastros!$G$6:$G$90,Cadastros!$H$6:$H$90))))</f>
        <v/>
      </c>
      <c r="AJ108" s="168" t="str">
        <f t="shared" si="20"/>
        <v/>
      </c>
      <c r="AK108" s="168" t="str">
        <f t="shared" si="21"/>
        <v/>
      </c>
      <c r="AL108" s="28"/>
      <c r="AM108" s="28"/>
      <c r="AN108" s="20" t="str">
        <f>IF(AL108="","",IF($F108="Bernardino Furlan",_xlfn.XLOOKUP(AL108,Cadastros!$G$6:$G$90,Cadastros!$H$6:$H$90)*(1-0.18),IF($F108="Mauro José Salanti",_xlfn.XLOOKUP(AL108,Cadastros!$G$6:$G$90,Cadastros!$H$6:$H$90)*(1-0.18),_xlfn.XLOOKUP(AL108,Cadastros!$G$6:$G$90,Cadastros!$H$6:$H$90))))</f>
        <v/>
      </c>
      <c r="AO108" s="168" t="str">
        <f t="shared" si="22"/>
        <v/>
      </c>
      <c r="AP108" s="168" t="str">
        <f t="shared" si="23"/>
        <v/>
      </c>
      <c r="AQ108" s="28"/>
      <c r="AR108" s="28"/>
      <c r="AS108" s="20" t="str">
        <f>IF(AQ108="","",IF($F108="Bernardino Furlan",_xlfn.XLOOKUP(AQ108,Cadastros!$G$6:$G$90,Cadastros!$H$6:$H$90)*(1-0.18),IF($F108="Mauro José Salanti",_xlfn.XLOOKUP(AQ108,Cadastros!$G$6:$G$90,Cadastros!$H$6:$H$90)*(1-0.18),_xlfn.XLOOKUP(AQ108,Cadastros!$G$6:$G$90,Cadastros!$H$6:$H$90))))</f>
        <v/>
      </c>
      <c r="AT108" s="168" t="str">
        <f t="shared" si="24"/>
        <v/>
      </c>
      <c r="AU108" s="168" t="str">
        <f t="shared" si="25"/>
        <v/>
      </c>
      <c r="AV108" s="227"/>
      <c r="AW108" s="30"/>
      <c r="AX108" s="267"/>
      <c r="AY108" s="267"/>
      <c r="AZ108" s="29"/>
      <c r="BA108" s="30"/>
      <c r="BB108" s="23" t="str" cm="1">
        <f t="array" ref="BB108">_xlfn.IFS(AW108="SIM",SUM(K108,P108,U108,Z108,AE108,AJ108,AO108,AT108,AX108,AY108),F108&lt;&gt;"",SUM(K108,P108,U108,Z108,AE108,AJ108,,AO108,AT108),F108="","")</f>
        <v/>
      </c>
      <c r="BC108" s="211" t="str" cm="1">
        <f t="array" ref="BC108">_xlfn.IFS(E108="","",G108&lt;=E108,BB108*(1-0.03),G108&lt;(E108+8),BB108,AZ108="Boleto",BB108*(1+0.001)^DATEDIF(E108,G108,"D"),AZ108="Cheque",BB108,AZ108="Dinheiro","Alterar forma pgto")</f>
        <v/>
      </c>
      <c r="BD108" s="276" t="str" cm="1">
        <f t="array" ref="BD108">IF(F108=0," ",IF(BC108&lt;BB108,(_xlfn.IFS(AW108="SIM",SUM(L108,Q108,V108,AA108,AF108,AK108,AP108,AU108)+AX108/_xlfn.XLOOKUP(_xlfn.XLOOKUP($F108,Clientes!$B$4:$B$39,Clientes!$C$4:$C$39),Cadastros!$L$6:$L$12,Cadastros!$M$6:$M$12)+IF($F108="Bernardino Furlan",AY108/2751.92,IF($F108="Mauro José Salanti",AY108/2751.92,AY108/3356)),F108&lt;&gt;0,SUM(L108,Q108,V108,AA108,AF108,AK108,AP108,AU108)))*(1-0.03),_xlfn.IFS(AW108="SIM",SUM(L108,Q108,V108,AA108,AF108,AK108,AP108,AU108)+AX108/_xlfn.XLOOKUP(_xlfn.XLOOKUP($F108,Clientes!$B$4:$B$39,Clientes!$C$4:$C$39),Cadastros!$L$6:$L$12,Cadastros!$M$6:$M$12)+IF($F108="Bernardino Furlan",AY108/2751.92,IF($F108="Mauro José Salanti",AY108/2751.92,AY108/3356)),F108&lt;&gt;0,SUM(L108,Q108,V108,AA108,AF108,AK108,AP108,AU108))))</f>
        <v xml:space="preserve"> </v>
      </c>
      <c r="BE108" s="120"/>
      <c r="BF108" s="120"/>
      <c r="BG108" s="120"/>
    </row>
    <row r="109" spans="1:59" s="3" customFormat="1" x14ac:dyDescent="0.3">
      <c r="A109" s="15" t="str">
        <f t="shared" si="13"/>
        <v/>
      </c>
      <c r="B109" s="25"/>
      <c r="C109" s="26"/>
      <c r="D109" s="279"/>
      <c r="E109" s="27"/>
      <c r="F109" s="28"/>
      <c r="G109" s="27"/>
      <c r="H109" s="28"/>
      <c r="I109" s="28"/>
      <c r="J109" s="255" t="str">
        <f>IF(H109="","",(_xlfn.XLOOKUP(H109,Cadastros!$D$6:$D$90,Cadastros!$E$6:$E$90))*(1-_xlfn.XLOOKUP(_xlfn.XLOOKUP($F109,Clientes!$B$4:$B$39,Clientes!$C$4:$C$39),Cadastros!$L$6:$L$12,Cadastros!$N$6:$N$12)))</f>
        <v/>
      </c>
      <c r="K109" s="168" t="str">
        <f t="shared" si="14"/>
        <v/>
      </c>
      <c r="L109" s="168" t="str">
        <f>IFERROR(K109/_xlfn.XLOOKUP(_xlfn.XLOOKUP($F109,Clientes!$B$4:$B$39,Clientes!$C$4:$C$39),Cadastros!$L$6:$L$12,Cadastros!$M$6:$M$12)," ")</f>
        <v xml:space="preserve"> </v>
      </c>
      <c r="M109" s="28"/>
      <c r="N109" s="28"/>
      <c r="O109" s="255" t="str">
        <f>IF(M109="","",(_xlfn.XLOOKUP(M109,Cadastros!$D$6:$D$90,Cadastros!$E$6:$E$90))*(1-_xlfn.XLOOKUP(_xlfn.XLOOKUP($F109,Clientes!$B$4:$B$39,Clientes!$C$4:$C$39),Cadastros!$L$6:$L$12,Cadastros!$N$6:$N$12)))</f>
        <v/>
      </c>
      <c r="P109" s="168" t="str">
        <f t="shared" si="15"/>
        <v/>
      </c>
      <c r="Q109" s="168" t="str">
        <f>IFERROR(P109/_xlfn.XLOOKUP(_xlfn.XLOOKUP($F109,Clientes!$B$4:$B$39,Clientes!$C$4:$C$39),Cadastros!$L$6:$L$12,Cadastros!$M$6:$M$12)," ")</f>
        <v xml:space="preserve"> </v>
      </c>
      <c r="R109" s="28"/>
      <c r="S109" s="28"/>
      <c r="T109" s="255" t="str">
        <f>IF(R109="","",(_xlfn.XLOOKUP(R109,Cadastros!$D$6:$D$90,Cadastros!$E$6:$E$90))*(1-_xlfn.XLOOKUP(_xlfn.XLOOKUP($F109,Clientes!$B$4:$B$39,Clientes!$C$4:$C$39),Cadastros!$L$6:$L$12,Cadastros!$N$6:$N$12)))</f>
        <v/>
      </c>
      <c r="U109" s="168" t="str">
        <f t="shared" si="16"/>
        <v/>
      </c>
      <c r="V109" s="168" t="str">
        <f>IFERROR(U109/_xlfn.XLOOKUP(_xlfn.XLOOKUP($F109,Clientes!$B$4:$B$39,Clientes!$C$4:$C$39),Cadastros!$L$6:$L$12,Cadastros!$M$6:$M$12)," ")</f>
        <v xml:space="preserve"> </v>
      </c>
      <c r="W109" s="28"/>
      <c r="X109" s="28"/>
      <c r="Y109" s="255" t="str">
        <f>IF(W109="","",(_xlfn.XLOOKUP(W109,Cadastros!$D$6:$D$90,Cadastros!$E$6:$E$90))*(1-_xlfn.XLOOKUP(_xlfn.XLOOKUP($F109,Clientes!$B$4:$B$39,Clientes!$C$4:$C$39),Cadastros!$L$6:$L$12,Cadastros!$N$6:$N$12)))</f>
        <v/>
      </c>
      <c r="Z109" s="168" t="str">
        <f t="shared" si="17"/>
        <v/>
      </c>
      <c r="AA109" s="168" t="str">
        <f>IFERROR(Z109/_xlfn.XLOOKUP(_xlfn.XLOOKUP($F109,Clientes!$B$4:$B$39,Clientes!$C$4:$C$39),Cadastros!$L$6:$L$12,Cadastros!$M$6:$M$12)," ")</f>
        <v xml:space="preserve"> </v>
      </c>
      <c r="AB109" s="28"/>
      <c r="AC109" s="28"/>
      <c r="AD109" s="20" t="str">
        <f>IF(AB109="","",IF($F109="Bernardino Furlan",_xlfn.XLOOKUP(AB109,Cadastros!$G$6:$G$90,Cadastros!$H$6:$H$90)*(1-0.18),IF($F109="Mauro José Salanti",_xlfn.XLOOKUP(AB109,Cadastros!$G$6:$G$90,Cadastros!$H$6:$H$90)*(1-0.18),_xlfn.XLOOKUP(AB109,Cadastros!$G$6:$G$90,Cadastros!$H$6:$H$90))))</f>
        <v/>
      </c>
      <c r="AE109" s="168" t="str">
        <f t="shared" si="18"/>
        <v/>
      </c>
      <c r="AF109" s="168" t="str">
        <f t="shared" si="19"/>
        <v/>
      </c>
      <c r="AG109" s="28"/>
      <c r="AH109" s="28"/>
      <c r="AI109" s="20" t="str">
        <f>IF(AG109="","",IF($F109="Bernardino Furlan",_xlfn.XLOOKUP(AG109,Cadastros!$G$6:$G$90,Cadastros!$H$6:$H$90)*(1-0.18),IF($F109="Mauro José Salanti",_xlfn.XLOOKUP(AG109,Cadastros!$G$6:$G$90,Cadastros!$H$6:$H$90)*(1-0.18),_xlfn.XLOOKUP(AG109,Cadastros!$G$6:$G$90,Cadastros!$H$6:$H$90))))</f>
        <v/>
      </c>
      <c r="AJ109" s="168" t="str">
        <f t="shared" si="20"/>
        <v/>
      </c>
      <c r="AK109" s="168" t="str">
        <f t="shared" si="21"/>
        <v/>
      </c>
      <c r="AL109" s="28"/>
      <c r="AM109" s="28"/>
      <c r="AN109" s="20" t="str">
        <f>IF(AL109="","",IF($F109="Bernardino Furlan",_xlfn.XLOOKUP(AL109,Cadastros!$G$6:$G$90,Cadastros!$H$6:$H$90)*(1-0.18),IF($F109="Mauro José Salanti",_xlfn.XLOOKUP(AL109,Cadastros!$G$6:$G$90,Cadastros!$H$6:$H$90)*(1-0.18),_xlfn.XLOOKUP(AL109,Cadastros!$G$6:$G$90,Cadastros!$H$6:$H$90))))</f>
        <v/>
      </c>
      <c r="AO109" s="168" t="str">
        <f t="shared" si="22"/>
        <v/>
      </c>
      <c r="AP109" s="168" t="str">
        <f t="shared" si="23"/>
        <v/>
      </c>
      <c r="AQ109" s="28"/>
      <c r="AR109" s="28"/>
      <c r="AS109" s="20" t="str">
        <f>IF(AQ109="","",IF($F109="Bernardino Furlan",_xlfn.XLOOKUP(AQ109,Cadastros!$G$6:$G$90,Cadastros!$H$6:$H$90)*(1-0.18),IF($F109="Mauro José Salanti",_xlfn.XLOOKUP(AQ109,Cadastros!$G$6:$G$90,Cadastros!$H$6:$H$90)*(1-0.18),_xlfn.XLOOKUP(AQ109,Cadastros!$G$6:$G$90,Cadastros!$H$6:$H$90))))</f>
        <v/>
      </c>
      <c r="AT109" s="168" t="str">
        <f t="shared" si="24"/>
        <v/>
      </c>
      <c r="AU109" s="168" t="str">
        <f t="shared" si="25"/>
        <v/>
      </c>
      <c r="AV109" s="227"/>
      <c r="AW109" s="30"/>
      <c r="AX109" s="267"/>
      <c r="AY109" s="267"/>
      <c r="AZ109" s="29"/>
      <c r="BA109" s="30"/>
      <c r="BB109" s="23" t="str" cm="1">
        <f t="array" ref="BB109">_xlfn.IFS(AW109="SIM",SUM(K109,P109,U109,Z109,AE109,AJ109,AO109,AT109,AX109,AY109),F109&lt;&gt;"",SUM(K109,P109,U109,Z109,AE109,AJ109,,AO109,AT109),F109="","")</f>
        <v/>
      </c>
      <c r="BC109" s="211" t="str" cm="1">
        <f t="array" ref="BC109">_xlfn.IFS(E109="","",G109&lt;=E109,BB109*(1-0.03),G109&lt;(E109+8),BB109,AZ109="Boleto",BB109*(1+0.001)^DATEDIF(E109,G109,"D"),AZ109="Cheque",BB109,AZ109="Dinheiro","Alterar forma pgto")</f>
        <v/>
      </c>
      <c r="BD109" s="276" t="str" cm="1">
        <f t="array" ref="BD109">IF(F109=0," ",IF(BC109&lt;BB109,(_xlfn.IFS(AW109="SIM",SUM(L109,Q109,V109,AA109,AF109,AK109,AP109,AU109)+AX109/_xlfn.XLOOKUP(_xlfn.XLOOKUP($F109,Clientes!$B$4:$B$39,Clientes!$C$4:$C$39),Cadastros!$L$6:$L$12,Cadastros!$M$6:$M$12)+IF($F109="Bernardino Furlan",AY109/2751.92,IF($F109="Mauro José Salanti",AY109/2751.92,AY109/3356)),F109&lt;&gt;0,SUM(L109,Q109,V109,AA109,AF109,AK109,AP109,AU109)))*(1-0.03),_xlfn.IFS(AW109="SIM",SUM(L109,Q109,V109,AA109,AF109,AK109,AP109,AU109)+AX109/_xlfn.XLOOKUP(_xlfn.XLOOKUP($F109,Clientes!$B$4:$B$39,Clientes!$C$4:$C$39),Cadastros!$L$6:$L$12,Cadastros!$M$6:$M$12)+IF($F109="Bernardino Furlan",AY109/2751.92,IF($F109="Mauro José Salanti",AY109/2751.92,AY109/3356)),F109&lt;&gt;0,SUM(L109,Q109,V109,AA109,AF109,AK109,AP109,AU109))))</f>
        <v xml:space="preserve"> </v>
      </c>
      <c r="BE109" s="120"/>
      <c r="BF109" s="120"/>
      <c r="BG109" s="120"/>
    </row>
    <row r="110" spans="1:59" s="3" customFormat="1" x14ac:dyDescent="0.3">
      <c r="A110" s="15" t="str">
        <f t="shared" si="13"/>
        <v/>
      </c>
      <c r="B110" s="25"/>
      <c r="C110" s="26"/>
      <c r="D110" s="279"/>
      <c r="E110" s="27"/>
      <c r="F110" s="28"/>
      <c r="G110" s="27"/>
      <c r="H110" s="28"/>
      <c r="I110" s="28"/>
      <c r="J110" s="255" t="str">
        <f>IF(H110="","",(_xlfn.XLOOKUP(H110,Cadastros!$D$6:$D$90,Cadastros!$E$6:$E$90))*(1-_xlfn.XLOOKUP(_xlfn.XLOOKUP($F110,Clientes!$B$4:$B$39,Clientes!$C$4:$C$39),Cadastros!$L$6:$L$12,Cadastros!$N$6:$N$12)))</f>
        <v/>
      </c>
      <c r="K110" s="168" t="str">
        <f t="shared" si="14"/>
        <v/>
      </c>
      <c r="L110" s="168" t="str">
        <f>IFERROR(K110/_xlfn.XLOOKUP(_xlfn.XLOOKUP($F110,Clientes!$B$4:$B$39,Clientes!$C$4:$C$39),Cadastros!$L$6:$L$12,Cadastros!$M$6:$M$12)," ")</f>
        <v xml:space="preserve"> </v>
      </c>
      <c r="M110" s="28"/>
      <c r="N110" s="28"/>
      <c r="O110" s="255" t="str">
        <f>IF(M110="","",(_xlfn.XLOOKUP(M110,Cadastros!$D$6:$D$90,Cadastros!$E$6:$E$90))*(1-_xlfn.XLOOKUP(_xlfn.XLOOKUP($F110,Clientes!$B$4:$B$39,Clientes!$C$4:$C$39),Cadastros!$L$6:$L$12,Cadastros!$N$6:$N$12)))</f>
        <v/>
      </c>
      <c r="P110" s="168" t="str">
        <f t="shared" si="15"/>
        <v/>
      </c>
      <c r="Q110" s="168" t="str">
        <f>IFERROR(P110/_xlfn.XLOOKUP(_xlfn.XLOOKUP($F110,Clientes!$B$4:$B$39,Clientes!$C$4:$C$39),Cadastros!$L$6:$L$12,Cadastros!$M$6:$M$12)," ")</f>
        <v xml:space="preserve"> </v>
      </c>
      <c r="R110" s="28"/>
      <c r="S110" s="28"/>
      <c r="T110" s="255" t="str">
        <f>IF(R110="","",(_xlfn.XLOOKUP(R110,Cadastros!$D$6:$D$90,Cadastros!$E$6:$E$90))*(1-_xlfn.XLOOKUP(_xlfn.XLOOKUP($F110,Clientes!$B$4:$B$39,Clientes!$C$4:$C$39),Cadastros!$L$6:$L$12,Cadastros!$N$6:$N$12)))</f>
        <v/>
      </c>
      <c r="U110" s="168" t="str">
        <f t="shared" si="16"/>
        <v/>
      </c>
      <c r="V110" s="168" t="str">
        <f>IFERROR(U110/_xlfn.XLOOKUP(_xlfn.XLOOKUP($F110,Clientes!$B$4:$B$39,Clientes!$C$4:$C$39),Cadastros!$L$6:$L$12,Cadastros!$M$6:$M$12)," ")</f>
        <v xml:space="preserve"> </v>
      </c>
      <c r="W110" s="28"/>
      <c r="X110" s="28"/>
      <c r="Y110" s="255" t="str">
        <f>IF(W110="","",(_xlfn.XLOOKUP(W110,Cadastros!$D$6:$D$90,Cadastros!$E$6:$E$90))*(1-_xlfn.XLOOKUP(_xlfn.XLOOKUP($F110,Clientes!$B$4:$B$39,Clientes!$C$4:$C$39),Cadastros!$L$6:$L$12,Cadastros!$N$6:$N$12)))</f>
        <v/>
      </c>
      <c r="Z110" s="168" t="str">
        <f t="shared" si="17"/>
        <v/>
      </c>
      <c r="AA110" s="168" t="str">
        <f>IFERROR(Z110/_xlfn.XLOOKUP(_xlfn.XLOOKUP($F110,Clientes!$B$4:$B$39,Clientes!$C$4:$C$39),Cadastros!$L$6:$L$12,Cadastros!$M$6:$M$12)," ")</f>
        <v xml:space="preserve"> </v>
      </c>
      <c r="AB110" s="28"/>
      <c r="AC110" s="28"/>
      <c r="AD110" s="20" t="str">
        <f>IF(AB110="","",IF($F110="Bernardino Furlan",_xlfn.XLOOKUP(AB110,Cadastros!$G$6:$G$90,Cadastros!$H$6:$H$90)*(1-0.18),IF($F110="Mauro José Salanti",_xlfn.XLOOKUP(AB110,Cadastros!$G$6:$G$90,Cadastros!$H$6:$H$90)*(1-0.18),_xlfn.XLOOKUP(AB110,Cadastros!$G$6:$G$90,Cadastros!$H$6:$H$90))))</f>
        <v/>
      </c>
      <c r="AE110" s="168" t="str">
        <f t="shared" si="18"/>
        <v/>
      </c>
      <c r="AF110" s="168" t="str">
        <f t="shared" si="19"/>
        <v/>
      </c>
      <c r="AG110" s="28"/>
      <c r="AH110" s="28"/>
      <c r="AI110" s="20" t="str">
        <f>IF(AG110="","",IF($F110="Bernardino Furlan",_xlfn.XLOOKUP(AG110,Cadastros!$G$6:$G$90,Cadastros!$H$6:$H$90)*(1-0.18),IF($F110="Mauro José Salanti",_xlfn.XLOOKUP(AG110,Cadastros!$G$6:$G$90,Cadastros!$H$6:$H$90)*(1-0.18),_xlfn.XLOOKUP(AG110,Cadastros!$G$6:$G$90,Cadastros!$H$6:$H$90))))</f>
        <v/>
      </c>
      <c r="AJ110" s="168" t="str">
        <f t="shared" si="20"/>
        <v/>
      </c>
      <c r="AK110" s="168" t="str">
        <f t="shared" si="21"/>
        <v/>
      </c>
      <c r="AL110" s="28"/>
      <c r="AM110" s="28"/>
      <c r="AN110" s="20" t="str">
        <f>IF(AL110="","",IF($F110="Bernardino Furlan",_xlfn.XLOOKUP(AL110,Cadastros!$G$6:$G$90,Cadastros!$H$6:$H$90)*(1-0.18),IF($F110="Mauro José Salanti",_xlfn.XLOOKUP(AL110,Cadastros!$G$6:$G$90,Cadastros!$H$6:$H$90)*(1-0.18),_xlfn.XLOOKUP(AL110,Cadastros!$G$6:$G$90,Cadastros!$H$6:$H$90))))</f>
        <v/>
      </c>
      <c r="AO110" s="168" t="str">
        <f t="shared" si="22"/>
        <v/>
      </c>
      <c r="AP110" s="168" t="str">
        <f t="shared" si="23"/>
        <v/>
      </c>
      <c r="AQ110" s="28"/>
      <c r="AR110" s="28"/>
      <c r="AS110" s="20" t="str">
        <f>IF(AQ110="","",IF($F110="Bernardino Furlan",_xlfn.XLOOKUP(AQ110,Cadastros!$G$6:$G$90,Cadastros!$H$6:$H$90)*(1-0.18),IF($F110="Mauro José Salanti",_xlfn.XLOOKUP(AQ110,Cadastros!$G$6:$G$90,Cadastros!$H$6:$H$90)*(1-0.18),_xlfn.XLOOKUP(AQ110,Cadastros!$G$6:$G$90,Cadastros!$H$6:$H$90))))</f>
        <v/>
      </c>
      <c r="AT110" s="168" t="str">
        <f t="shared" si="24"/>
        <v/>
      </c>
      <c r="AU110" s="168" t="str">
        <f t="shared" si="25"/>
        <v/>
      </c>
      <c r="AV110" s="227"/>
      <c r="AW110" s="30"/>
      <c r="AX110" s="267"/>
      <c r="AY110" s="267"/>
      <c r="AZ110" s="29"/>
      <c r="BA110" s="30"/>
      <c r="BB110" s="23" t="str" cm="1">
        <f t="array" ref="BB110">_xlfn.IFS(AW110="SIM",SUM(K110,P110,U110,Z110,AE110,AJ110,AO110,AT110,AX110,AY110),F110&lt;&gt;"",SUM(K110,P110,U110,Z110,AE110,AJ110,,AO110,AT110),F110="","")</f>
        <v/>
      </c>
      <c r="BC110" s="211" t="str" cm="1">
        <f t="array" ref="BC110">_xlfn.IFS(E110="","",G110&lt;=E110,BB110*(1-0.03),G110&lt;(E110+8),BB110,AZ110="Boleto",BB110*(1+0.001)^DATEDIF(E110,G110,"D"),AZ110="Cheque",BB110,AZ110="Dinheiro","Alterar forma pgto")</f>
        <v/>
      </c>
      <c r="BD110" s="276" t="str" cm="1">
        <f t="array" ref="BD110">IF(F110=0," ",IF(BC110&lt;BB110,(_xlfn.IFS(AW110="SIM",SUM(L110,Q110,V110,AA110,AF110,AK110,AP110,AU110)+AX110/_xlfn.XLOOKUP(_xlfn.XLOOKUP($F110,Clientes!$B$4:$B$39,Clientes!$C$4:$C$39),Cadastros!$L$6:$L$12,Cadastros!$M$6:$M$12)+IF($F110="Bernardino Furlan",AY110/2751.92,IF($F110="Mauro José Salanti",AY110/2751.92,AY110/3356)),F110&lt;&gt;0,SUM(L110,Q110,V110,AA110,AF110,AK110,AP110,AU110)))*(1-0.03),_xlfn.IFS(AW110="SIM",SUM(L110,Q110,V110,AA110,AF110,AK110,AP110,AU110)+AX110/_xlfn.XLOOKUP(_xlfn.XLOOKUP($F110,Clientes!$B$4:$B$39,Clientes!$C$4:$C$39),Cadastros!$L$6:$L$12,Cadastros!$M$6:$M$12)+IF($F110="Bernardino Furlan",AY110/2751.92,IF($F110="Mauro José Salanti",AY110/2751.92,AY110/3356)),F110&lt;&gt;0,SUM(L110,Q110,V110,AA110,AF110,AK110,AP110,AU110))))</f>
        <v xml:space="preserve"> </v>
      </c>
      <c r="BE110" s="120"/>
      <c r="BF110" s="120"/>
      <c r="BG110" s="120"/>
    </row>
    <row r="111" spans="1:59" s="3" customFormat="1" x14ac:dyDescent="0.3">
      <c r="A111" s="15" t="str">
        <f t="shared" si="13"/>
        <v/>
      </c>
      <c r="B111" s="25"/>
      <c r="C111" s="26"/>
      <c r="D111" s="279"/>
      <c r="E111" s="27"/>
      <c r="F111" s="28"/>
      <c r="G111" s="27"/>
      <c r="H111" s="28"/>
      <c r="I111" s="28"/>
      <c r="J111" s="255" t="str">
        <f>IF(H111="","",(_xlfn.XLOOKUP(H111,Cadastros!$D$6:$D$90,Cadastros!$E$6:$E$90))*(1-_xlfn.XLOOKUP(_xlfn.XLOOKUP($F111,Clientes!$B$4:$B$39,Clientes!$C$4:$C$39),Cadastros!$L$6:$L$12,Cadastros!$N$6:$N$12)))</f>
        <v/>
      </c>
      <c r="K111" s="168" t="str">
        <f t="shared" si="14"/>
        <v/>
      </c>
      <c r="L111" s="168" t="str">
        <f>IFERROR(K111/_xlfn.XLOOKUP(_xlfn.XLOOKUP($F111,Clientes!$B$4:$B$39,Clientes!$C$4:$C$39),Cadastros!$L$6:$L$12,Cadastros!$M$6:$M$12)," ")</f>
        <v xml:space="preserve"> </v>
      </c>
      <c r="M111" s="28"/>
      <c r="N111" s="28"/>
      <c r="O111" s="255" t="str">
        <f>IF(M111="","",(_xlfn.XLOOKUP(M111,Cadastros!$D$6:$D$90,Cadastros!$E$6:$E$90))*(1-_xlfn.XLOOKUP(_xlfn.XLOOKUP($F111,Clientes!$B$4:$B$39,Clientes!$C$4:$C$39),Cadastros!$L$6:$L$12,Cadastros!$N$6:$N$12)))</f>
        <v/>
      </c>
      <c r="P111" s="168" t="str">
        <f t="shared" si="15"/>
        <v/>
      </c>
      <c r="Q111" s="168" t="str">
        <f>IFERROR(P111/_xlfn.XLOOKUP(_xlfn.XLOOKUP($F111,Clientes!$B$4:$B$39,Clientes!$C$4:$C$39),Cadastros!$L$6:$L$12,Cadastros!$M$6:$M$12)," ")</f>
        <v xml:space="preserve"> </v>
      </c>
      <c r="R111" s="28"/>
      <c r="S111" s="28"/>
      <c r="T111" s="255" t="str">
        <f>IF(R111="","",(_xlfn.XLOOKUP(R111,Cadastros!$D$6:$D$90,Cadastros!$E$6:$E$90))*(1-_xlfn.XLOOKUP(_xlfn.XLOOKUP($F111,Clientes!$B$4:$B$39,Clientes!$C$4:$C$39),Cadastros!$L$6:$L$12,Cadastros!$N$6:$N$12)))</f>
        <v/>
      </c>
      <c r="U111" s="168" t="str">
        <f t="shared" si="16"/>
        <v/>
      </c>
      <c r="V111" s="168" t="str">
        <f>IFERROR(U111/_xlfn.XLOOKUP(_xlfn.XLOOKUP($F111,Clientes!$B$4:$B$39,Clientes!$C$4:$C$39),Cadastros!$L$6:$L$12,Cadastros!$M$6:$M$12)," ")</f>
        <v xml:space="preserve"> </v>
      </c>
      <c r="W111" s="28"/>
      <c r="X111" s="28"/>
      <c r="Y111" s="255" t="str">
        <f>IF(W111="","",(_xlfn.XLOOKUP(W111,Cadastros!$D$6:$D$90,Cadastros!$E$6:$E$90))*(1-_xlfn.XLOOKUP(_xlfn.XLOOKUP($F111,Clientes!$B$4:$B$39,Clientes!$C$4:$C$39),Cadastros!$L$6:$L$12,Cadastros!$N$6:$N$12)))</f>
        <v/>
      </c>
      <c r="Z111" s="168" t="str">
        <f t="shared" si="17"/>
        <v/>
      </c>
      <c r="AA111" s="168" t="str">
        <f>IFERROR(Z111/_xlfn.XLOOKUP(_xlfn.XLOOKUP($F111,Clientes!$B$4:$B$39,Clientes!$C$4:$C$39),Cadastros!$L$6:$L$12,Cadastros!$M$6:$M$12)," ")</f>
        <v xml:space="preserve"> </v>
      </c>
      <c r="AB111" s="28"/>
      <c r="AC111" s="28"/>
      <c r="AD111" s="20" t="str">
        <f>IF(AB111="","",IF($F111="Bernardino Furlan",_xlfn.XLOOKUP(AB111,Cadastros!$G$6:$G$90,Cadastros!$H$6:$H$90)*(1-0.18),IF($F111="Mauro José Salanti",_xlfn.XLOOKUP(AB111,Cadastros!$G$6:$G$90,Cadastros!$H$6:$H$90)*(1-0.18),_xlfn.XLOOKUP(AB111,Cadastros!$G$6:$G$90,Cadastros!$H$6:$H$90))))</f>
        <v/>
      </c>
      <c r="AE111" s="168" t="str">
        <f t="shared" si="18"/>
        <v/>
      </c>
      <c r="AF111" s="168" t="str">
        <f t="shared" si="19"/>
        <v/>
      </c>
      <c r="AG111" s="28"/>
      <c r="AH111" s="28"/>
      <c r="AI111" s="20" t="str">
        <f>IF(AG111="","",IF($F111="Bernardino Furlan",_xlfn.XLOOKUP(AG111,Cadastros!$G$6:$G$90,Cadastros!$H$6:$H$90)*(1-0.18),IF($F111="Mauro José Salanti",_xlfn.XLOOKUP(AG111,Cadastros!$G$6:$G$90,Cadastros!$H$6:$H$90)*(1-0.18),_xlfn.XLOOKUP(AG111,Cadastros!$G$6:$G$90,Cadastros!$H$6:$H$90))))</f>
        <v/>
      </c>
      <c r="AJ111" s="168" t="str">
        <f t="shared" si="20"/>
        <v/>
      </c>
      <c r="AK111" s="168" t="str">
        <f t="shared" si="21"/>
        <v/>
      </c>
      <c r="AL111" s="28"/>
      <c r="AM111" s="28"/>
      <c r="AN111" s="20" t="str">
        <f>IF(AL111="","",IF($F111="Bernardino Furlan",_xlfn.XLOOKUP(AL111,Cadastros!$G$6:$G$90,Cadastros!$H$6:$H$90)*(1-0.18),IF($F111="Mauro José Salanti",_xlfn.XLOOKUP(AL111,Cadastros!$G$6:$G$90,Cadastros!$H$6:$H$90)*(1-0.18),_xlfn.XLOOKUP(AL111,Cadastros!$G$6:$G$90,Cadastros!$H$6:$H$90))))</f>
        <v/>
      </c>
      <c r="AO111" s="168" t="str">
        <f t="shared" si="22"/>
        <v/>
      </c>
      <c r="AP111" s="168" t="str">
        <f t="shared" si="23"/>
        <v/>
      </c>
      <c r="AQ111" s="28"/>
      <c r="AR111" s="28"/>
      <c r="AS111" s="20" t="str">
        <f>IF(AQ111="","",IF($F111="Bernardino Furlan",_xlfn.XLOOKUP(AQ111,Cadastros!$G$6:$G$90,Cadastros!$H$6:$H$90)*(1-0.18),IF($F111="Mauro José Salanti",_xlfn.XLOOKUP(AQ111,Cadastros!$G$6:$G$90,Cadastros!$H$6:$H$90)*(1-0.18),_xlfn.XLOOKUP(AQ111,Cadastros!$G$6:$G$90,Cadastros!$H$6:$H$90))))</f>
        <v/>
      </c>
      <c r="AT111" s="168" t="str">
        <f t="shared" si="24"/>
        <v/>
      </c>
      <c r="AU111" s="168" t="str">
        <f t="shared" si="25"/>
        <v/>
      </c>
      <c r="AV111" s="227"/>
      <c r="AW111" s="30"/>
      <c r="AX111" s="267"/>
      <c r="AY111" s="267"/>
      <c r="AZ111" s="29"/>
      <c r="BA111" s="30"/>
      <c r="BB111" s="23" t="str" cm="1">
        <f t="array" ref="BB111">_xlfn.IFS(AW111="SIM",SUM(K111,P111,U111,Z111,AE111,AJ111,AO111,AT111,AX111,AY111),F111&lt;&gt;"",SUM(K111,P111,U111,Z111,AE111,AJ111,,AO111,AT111),F111="","")</f>
        <v/>
      </c>
      <c r="BC111" s="211" t="str" cm="1">
        <f t="array" ref="BC111">_xlfn.IFS(E111="","",G111&lt;=E111,BB111*(1-0.03),G111&lt;(E111+8),BB111,AZ111="Boleto",BB111*(1+0.001)^DATEDIF(E111,G111,"D"),AZ111="Cheque",BB111,AZ111="Dinheiro","Alterar forma pgto")</f>
        <v/>
      </c>
      <c r="BD111" s="276" t="str" cm="1">
        <f t="array" ref="BD111">IF(F111=0," ",IF(BC111&lt;BB111,(_xlfn.IFS(AW111="SIM",SUM(L111,Q111,V111,AA111,AF111,AK111,AP111,AU111)+AX111/_xlfn.XLOOKUP(_xlfn.XLOOKUP($F111,Clientes!$B$4:$B$39,Clientes!$C$4:$C$39),Cadastros!$L$6:$L$12,Cadastros!$M$6:$M$12)+IF($F111="Bernardino Furlan",AY111/2751.92,IF($F111="Mauro José Salanti",AY111/2751.92,AY111/3356)),F111&lt;&gt;0,SUM(L111,Q111,V111,AA111,AF111,AK111,AP111,AU111)))*(1-0.03),_xlfn.IFS(AW111="SIM",SUM(L111,Q111,V111,AA111,AF111,AK111,AP111,AU111)+AX111/_xlfn.XLOOKUP(_xlfn.XLOOKUP($F111,Clientes!$B$4:$B$39,Clientes!$C$4:$C$39),Cadastros!$L$6:$L$12,Cadastros!$M$6:$M$12)+IF($F111="Bernardino Furlan",AY111/2751.92,IF($F111="Mauro José Salanti",AY111/2751.92,AY111/3356)),F111&lt;&gt;0,SUM(L111,Q111,V111,AA111,AF111,AK111,AP111,AU111))))</f>
        <v xml:space="preserve"> </v>
      </c>
      <c r="BE111" s="120"/>
      <c r="BF111" s="120"/>
      <c r="BG111" s="120"/>
    </row>
    <row r="112" spans="1:59" s="3" customFormat="1" x14ac:dyDescent="0.3">
      <c r="A112" s="15" t="str">
        <f t="shared" si="13"/>
        <v/>
      </c>
      <c r="B112" s="25"/>
      <c r="C112" s="26"/>
      <c r="D112" s="279"/>
      <c r="E112" s="27"/>
      <c r="F112" s="28"/>
      <c r="G112" s="27"/>
      <c r="H112" s="28"/>
      <c r="I112" s="28"/>
      <c r="J112" s="255" t="str">
        <f>IF(H112="","",(_xlfn.XLOOKUP(H112,Cadastros!$D$6:$D$90,Cadastros!$E$6:$E$90))*(1-_xlfn.XLOOKUP(_xlfn.XLOOKUP($F112,Clientes!$B$4:$B$39,Clientes!$C$4:$C$39),Cadastros!$L$6:$L$12,Cadastros!$N$6:$N$12)))</f>
        <v/>
      </c>
      <c r="K112" s="168" t="str">
        <f t="shared" si="14"/>
        <v/>
      </c>
      <c r="L112" s="168" t="str">
        <f>IFERROR(K112/_xlfn.XLOOKUP(_xlfn.XLOOKUP($F112,Clientes!$B$4:$B$39,Clientes!$C$4:$C$39),Cadastros!$L$6:$L$12,Cadastros!$M$6:$M$12)," ")</f>
        <v xml:space="preserve"> </v>
      </c>
      <c r="M112" s="28"/>
      <c r="N112" s="28"/>
      <c r="O112" s="255" t="str">
        <f>IF(M112="","",(_xlfn.XLOOKUP(M112,Cadastros!$D$6:$D$90,Cadastros!$E$6:$E$90))*(1-_xlfn.XLOOKUP(_xlfn.XLOOKUP($F112,Clientes!$B$4:$B$39,Clientes!$C$4:$C$39),Cadastros!$L$6:$L$12,Cadastros!$N$6:$N$12)))</f>
        <v/>
      </c>
      <c r="P112" s="168" t="str">
        <f t="shared" si="15"/>
        <v/>
      </c>
      <c r="Q112" s="168" t="str">
        <f>IFERROR(P112/_xlfn.XLOOKUP(_xlfn.XLOOKUP($F112,Clientes!$B$4:$B$39,Clientes!$C$4:$C$39),Cadastros!$L$6:$L$12,Cadastros!$M$6:$M$12)," ")</f>
        <v xml:space="preserve"> </v>
      </c>
      <c r="R112" s="28"/>
      <c r="S112" s="28"/>
      <c r="T112" s="255" t="str">
        <f>IF(R112="","",(_xlfn.XLOOKUP(R112,Cadastros!$D$6:$D$90,Cadastros!$E$6:$E$90))*(1-_xlfn.XLOOKUP(_xlfn.XLOOKUP($F112,Clientes!$B$4:$B$39,Clientes!$C$4:$C$39),Cadastros!$L$6:$L$12,Cadastros!$N$6:$N$12)))</f>
        <v/>
      </c>
      <c r="U112" s="168" t="str">
        <f t="shared" si="16"/>
        <v/>
      </c>
      <c r="V112" s="168" t="str">
        <f>IFERROR(U112/_xlfn.XLOOKUP(_xlfn.XLOOKUP($F112,Clientes!$B$4:$B$39,Clientes!$C$4:$C$39),Cadastros!$L$6:$L$12,Cadastros!$M$6:$M$12)," ")</f>
        <v xml:space="preserve"> </v>
      </c>
      <c r="W112" s="28"/>
      <c r="X112" s="28"/>
      <c r="Y112" s="255" t="str">
        <f>IF(W112="","",(_xlfn.XLOOKUP(W112,Cadastros!$D$6:$D$90,Cadastros!$E$6:$E$90))*(1-_xlfn.XLOOKUP(_xlfn.XLOOKUP($F112,Clientes!$B$4:$B$39,Clientes!$C$4:$C$39),Cadastros!$L$6:$L$12,Cadastros!$N$6:$N$12)))</f>
        <v/>
      </c>
      <c r="Z112" s="168" t="str">
        <f t="shared" si="17"/>
        <v/>
      </c>
      <c r="AA112" s="168" t="str">
        <f>IFERROR(Z112/_xlfn.XLOOKUP(_xlfn.XLOOKUP($F112,Clientes!$B$4:$B$39,Clientes!$C$4:$C$39),Cadastros!$L$6:$L$12,Cadastros!$M$6:$M$12)," ")</f>
        <v xml:space="preserve"> </v>
      </c>
      <c r="AB112" s="28"/>
      <c r="AC112" s="28"/>
      <c r="AD112" s="20" t="str">
        <f>IF(AB112="","",IF($F112="Bernardino Furlan",_xlfn.XLOOKUP(AB112,Cadastros!$G$6:$G$90,Cadastros!$H$6:$H$90)*(1-0.18),IF($F112="Mauro José Salanti",_xlfn.XLOOKUP(AB112,Cadastros!$G$6:$G$90,Cadastros!$H$6:$H$90)*(1-0.18),_xlfn.XLOOKUP(AB112,Cadastros!$G$6:$G$90,Cadastros!$H$6:$H$90))))</f>
        <v/>
      </c>
      <c r="AE112" s="168" t="str">
        <f t="shared" si="18"/>
        <v/>
      </c>
      <c r="AF112" s="168" t="str">
        <f t="shared" si="19"/>
        <v/>
      </c>
      <c r="AG112" s="28"/>
      <c r="AH112" s="28"/>
      <c r="AI112" s="20" t="str">
        <f>IF(AG112="","",IF($F112="Bernardino Furlan",_xlfn.XLOOKUP(AG112,Cadastros!$G$6:$G$90,Cadastros!$H$6:$H$90)*(1-0.18),IF($F112="Mauro José Salanti",_xlfn.XLOOKUP(AG112,Cadastros!$G$6:$G$90,Cadastros!$H$6:$H$90)*(1-0.18),_xlfn.XLOOKUP(AG112,Cadastros!$G$6:$G$90,Cadastros!$H$6:$H$90))))</f>
        <v/>
      </c>
      <c r="AJ112" s="168" t="str">
        <f t="shared" si="20"/>
        <v/>
      </c>
      <c r="AK112" s="168" t="str">
        <f t="shared" si="21"/>
        <v/>
      </c>
      <c r="AL112" s="28"/>
      <c r="AM112" s="28"/>
      <c r="AN112" s="20" t="str">
        <f>IF(AL112="","",IF($F112="Bernardino Furlan",_xlfn.XLOOKUP(AL112,Cadastros!$G$6:$G$90,Cadastros!$H$6:$H$90)*(1-0.18),IF($F112="Mauro José Salanti",_xlfn.XLOOKUP(AL112,Cadastros!$G$6:$G$90,Cadastros!$H$6:$H$90)*(1-0.18),_xlfn.XLOOKUP(AL112,Cadastros!$G$6:$G$90,Cadastros!$H$6:$H$90))))</f>
        <v/>
      </c>
      <c r="AO112" s="168" t="str">
        <f t="shared" si="22"/>
        <v/>
      </c>
      <c r="AP112" s="168" t="str">
        <f t="shared" si="23"/>
        <v/>
      </c>
      <c r="AQ112" s="28"/>
      <c r="AR112" s="28"/>
      <c r="AS112" s="20" t="str">
        <f>IF(AQ112="","",IF($F112="Bernardino Furlan",_xlfn.XLOOKUP(AQ112,Cadastros!$G$6:$G$90,Cadastros!$H$6:$H$90)*(1-0.18),IF($F112="Mauro José Salanti",_xlfn.XLOOKUP(AQ112,Cadastros!$G$6:$G$90,Cadastros!$H$6:$H$90)*(1-0.18),_xlfn.XLOOKUP(AQ112,Cadastros!$G$6:$G$90,Cadastros!$H$6:$H$90))))</f>
        <v/>
      </c>
      <c r="AT112" s="168" t="str">
        <f t="shared" si="24"/>
        <v/>
      </c>
      <c r="AU112" s="168" t="str">
        <f t="shared" si="25"/>
        <v/>
      </c>
      <c r="AV112" s="227"/>
      <c r="AW112" s="30"/>
      <c r="AX112" s="267"/>
      <c r="AY112" s="267"/>
      <c r="AZ112" s="29"/>
      <c r="BA112" s="30"/>
      <c r="BB112" s="23" t="str" cm="1">
        <f t="array" ref="BB112">_xlfn.IFS(AW112="SIM",SUM(K112,P112,U112,Z112,AE112,AJ112,AO112,AT112,AX112,AY112),F112&lt;&gt;"",SUM(K112,P112,U112,Z112,AE112,AJ112,,AO112,AT112),F112="","")</f>
        <v/>
      </c>
      <c r="BC112" s="211" t="str" cm="1">
        <f t="array" ref="BC112">_xlfn.IFS(E112="","",G112&lt;=E112,BB112*(1-0.03),G112&lt;(E112+8),BB112,AZ112="Boleto",BB112*(1+0.001)^DATEDIF(E112,G112,"D"),AZ112="Cheque",BB112,AZ112="Dinheiro","Alterar forma pgto")</f>
        <v/>
      </c>
      <c r="BD112" s="276" t="str" cm="1">
        <f t="array" ref="BD112">IF(F112=0," ",IF(BC112&lt;BB112,(_xlfn.IFS(AW112="SIM",SUM(L112,Q112,V112,AA112,AF112,AK112,AP112,AU112)+AX112/_xlfn.XLOOKUP(_xlfn.XLOOKUP($F112,Clientes!$B$4:$B$39,Clientes!$C$4:$C$39),Cadastros!$L$6:$L$12,Cadastros!$M$6:$M$12)+IF($F112="Bernardino Furlan",AY112/2751.92,IF($F112="Mauro José Salanti",AY112/2751.92,AY112/3356)),F112&lt;&gt;0,SUM(L112,Q112,V112,AA112,AF112,AK112,AP112,AU112)))*(1-0.03),_xlfn.IFS(AW112="SIM",SUM(L112,Q112,V112,AA112,AF112,AK112,AP112,AU112)+AX112/_xlfn.XLOOKUP(_xlfn.XLOOKUP($F112,Clientes!$B$4:$B$39,Clientes!$C$4:$C$39),Cadastros!$L$6:$L$12,Cadastros!$M$6:$M$12)+IF($F112="Bernardino Furlan",AY112/2751.92,IF($F112="Mauro José Salanti",AY112/2751.92,AY112/3356)),F112&lt;&gt;0,SUM(L112,Q112,V112,AA112,AF112,AK112,AP112,AU112))))</f>
        <v xml:space="preserve"> </v>
      </c>
      <c r="BE112" s="120"/>
      <c r="BF112" s="120"/>
      <c r="BG112" s="120"/>
    </row>
    <row r="113" spans="1:59" s="3" customFormat="1" x14ac:dyDescent="0.3">
      <c r="A113" s="15" t="str">
        <f t="shared" si="13"/>
        <v/>
      </c>
      <c r="B113" s="25"/>
      <c r="C113" s="26"/>
      <c r="D113" s="279"/>
      <c r="E113" s="27"/>
      <c r="F113" s="28"/>
      <c r="G113" s="27"/>
      <c r="H113" s="28"/>
      <c r="I113" s="28"/>
      <c r="J113" s="255" t="str">
        <f>IF(H113="","",(_xlfn.XLOOKUP(H113,Cadastros!$D$6:$D$90,Cadastros!$E$6:$E$90))*(1-_xlfn.XLOOKUP(_xlfn.XLOOKUP($F113,Clientes!$B$4:$B$39,Clientes!$C$4:$C$39),Cadastros!$L$6:$L$12,Cadastros!$N$6:$N$12)))</f>
        <v/>
      </c>
      <c r="K113" s="168" t="str">
        <f t="shared" si="14"/>
        <v/>
      </c>
      <c r="L113" s="168" t="str">
        <f>IFERROR(K113/_xlfn.XLOOKUP(_xlfn.XLOOKUP($F113,Clientes!$B$4:$B$39,Clientes!$C$4:$C$39),Cadastros!$L$6:$L$12,Cadastros!$M$6:$M$12)," ")</f>
        <v xml:space="preserve"> </v>
      </c>
      <c r="M113" s="28"/>
      <c r="N113" s="28"/>
      <c r="O113" s="255" t="str">
        <f>IF(M113="","",(_xlfn.XLOOKUP(M113,Cadastros!$D$6:$D$90,Cadastros!$E$6:$E$90))*(1-_xlfn.XLOOKUP(_xlfn.XLOOKUP($F113,Clientes!$B$4:$B$39,Clientes!$C$4:$C$39),Cadastros!$L$6:$L$12,Cadastros!$N$6:$N$12)))</f>
        <v/>
      </c>
      <c r="P113" s="168" t="str">
        <f t="shared" si="15"/>
        <v/>
      </c>
      <c r="Q113" s="168" t="str">
        <f>IFERROR(P113/_xlfn.XLOOKUP(_xlfn.XLOOKUP($F113,Clientes!$B$4:$B$39,Clientes!$C$4:$C$39),Cadastros!$L$6:$L$12,Cadastros!$M$6:$M$12)," ")</f>
        <v xml:space="preserve"> </v>
      </c>
      <c r="R113" s="28"/>
      <c r="S113" s="28"/>
      <c r="T113" s="255" t="str">
        <f>IF(R113="","",(_xlfn.XLOOKUP(R113,Cadastros!$D$6:$D$90,Cadastros!$E$6:$E$90))*(1-_xlfn.XLOOKUP(_xlfn.XLOOKUP($F113,Clientes!$B$4:$B$39,Clientes!$C$4:$C$39),Cadastros!$L$6:$L$12,Cadastros!$N$6:$N$12)))</f>
        <v/>
      </c>
      <c r="U113" s="168" t="str">
        <f t="shared" si="16"/>
        <v/>
      </c>
      <c r="V113" s="168" t="str">
        <f>IFERROR(U113/_xlfn.XLOOKUP(_xlfn.XLOOKUP($F113,Clientes!$B$4:$B$39,Clientes!$C$4:$C$39),Cadastros!$L$6:$L$12,Cadastros!$M$6:$M$12)," ")</f>
        <v xml:space="preserve"> </v>
      </c>
      <c r="W113" s="28"/>
      <c r="X113" s="28"/>
      <c r="Y113" s="255" t="str">
        <f>IF(W113="","",(_xlfn.XLOOKUP(W113,Cadastros!$D$6:$D$90,Cadastros!$E$6:$E$90))*(1-_xlfn.XLOOKUP(_xlfn.XLOOKUP($F113,Clientes!$B$4:$B$39,Clientes!$C$4:$C$39),Cadastros!$L$6:$L$12,Cadastros!$N$6:$N$12)))</f>
        <v/>
      </c>
      <c r="Z113" s="168" t="str">
        <f t="shared" si="17"/>
        <v/>
      </c>
      <c r="AA113" s="168" t="str">
        <f>IFERROR(Z113/_xlfn.XLOOKUP(_xlfn.XLOOKUP($F113,Clientes!$B$4:$B$39,Clientes!$C$4:$C$39),Cadastros!$L$6:$L$12,Cadastros!$M$6:$M$12)," ")</f>
        <v xml:space="preserve"> </v>
      </c>
      <c r="AB113" s="28"/>
      <c r="AC113" s="28"/>
      <c r="AD113" s="20" t="str">
        <f>IF(AB113="","",IF($F113="Bernardino Furlan",_xlfn.XLOOKUP(AB113,Cadastros!$G$6:$G$90,Cadastros!$H$6:$H$90)*(1-0.18),IF($F113="Mauro José Salanti",_xlfn.XLOOKUP(AB113,Cadastros!$G$6:$G$90,Cadastros!$H$6:$H$90)*(1-0.18),_xlfn.XLOOKUP(AB113,Cadastros!$G$6:$G$90,Cadastros!$H$6:$H$90))))</f>
        <v/>
      </c>
      <c r="AE113" s="168" t="str">
        <f t="shared" si="18"/>
        <v/>
      </c>
      <c r="AF113" s="168" t="str">
        <f t="shared" si="19"/>
        <v/>
      </c>
      <c r="AG113" s="28"/>
      <c r="AH113" s="28"/>
      <c r="AI113" s="20" t="str">
        <f>IF(AG113="","",IF($F113="Bernardino Furlan",_xlfn.XLOOKUP(AG113,Cadastros!$G$6:$G$90,Cadastros!$H$6:$H$90)*(1-0.18),IF($F113="Mauro José Salanti",_xlfn.XLOOKUP(AG113,Cadastros!$G$6:$G$90,Cadastros!$H$6:$H$90)*(1-0.18),_xlfn.XLOOKUP(AG113,Cadastros!$G$6:$G$90,Cadastros!$H$6:$H$90))))</f>
        <v/>
      </c>
      <c r="AJ113" s="168" t="str">
        <f t="shared" si="20"/>
        <v/>
      </c>
      <c r="AK113" s="168" t="str">
        <f t="shared" si="21"/>
        <v/>
      </c>
      <c r="AL113" s="28"/>
      <c r="AM113" s="28"/>
      <c r="AN113" s="20" t="str">
        <f>IF(AL113="","",IF($F113="Bernardino Furlan",_xlfn.XLOOKUP(AL113,Cadastros!$G$6:$G$90,Cadastros!$H$6:$H$90)*(1-0.18),IF($F113="Mauro José Salanti",_xlfn.XLOOKUP(AL113,Cadastros!$G$6:$G$90,Cadastros!$H$6:$H$90)*(1-0.18),_xlfn.XLOOKUP(AL113,Cadastros!$G$6:$G$90,Cadastros!$H$6:$H$90))))</f>
        <v/>
      </c>
      <c r="AO113" s="168" t="str">
        <f t="shared" si="22"/>
        <v/>
      </c>
      <c r="AP113" s="168" t="str">
        <f t="shared" si="23"/>
        <v/>
      </c>
      <c r="AQ113" s="28"/>
      <c r="AR113" s="28"/>
      <c r="AS113" s="20" t="str">
        <f>IF(AQ113="","",IF($F113="Bernardino Furlan",_xlfn.XLOOKUP(AQ113,Cadastros!$G$6:$G$90,Cadastros!$H$6:$H$90)*(1-0.18),IF($F113="Mauro José Salanti",_xlfn.XLOOKUP(AQ113,Cadastros!$G$6:$G$90,Cadastros!$H$6:$H$90)*(1-0.18),_xlfn.XLOOKUP(AQ113,Cadastros!$G$6:$G$90,Cadastros!$H$6:$H$90))))</f>
        <v/>
      </c>
      <c r="AT113" s="168" t="str">
        <f t="shared" si="24"/>
        <v/>
      </c>
      <c r="AU113" s="168" t="str">
        <f t="shared" si="25"/>
        <v/>
      </c>
      <c r="AV113" s="227"/>
      <c r="AW113" s="30"/>
      <c r="AX113" s="267"/>
      <c r="AY113" s="267"/>
      <c r="AZ113" s="29"/>
      <c r="BA113" s="30"/>
      <c r="BB113" s="23" t="str" cm="1">
        <f t="array" ref="BB113">_xlfn.IFS(AW113="SIM",SUM(K113,P113,U113,Z113,AE113,AJ113,AO113,AT113,AX113,AY113),F113&lt;&gt;"",SUM(K113,P113,U113,Z113,AE113,AJ113,,AO113,AT113),F113="","")</f>
        <v/>
      </c>
      <c r="BC113" s="211" t="str" cm="1">
        <f t="array" ref="BC113">_xlfn.IFS(E113="","",G113&lt;=E113,BB113*(1-0.03),G113&lt;(E113+8),BB113,AZ113="Boleto",BB113*(1+0.001)^DATEDIF(E113,G113,"D"),AZ113="Cheque",BB113,AZ113="Dinheiro","Alterar forma pgto")</f>
        <v/>
      </c>
      <c r="BD113" s="276" t="str" cm="1">
        <f t="array" ref="BD113">IF(F113=0," ",IF(BC113&lt;BB113,(_xlfn.IFS(AW113="SIM",SUM(L113,Q113,V113,AA113,AF113,AK113,AP113,AU113)+AX113/_xlfn.XLOOKUP(_xlfn.XLOOKUP($F113,Clientes!$B$4:$B$39,Clientes!$C$4:$C$39),Cadastros!$L$6:$L$12,Cadastros!$M$6:$M$12)+IF($F113="Bernardino Furlan",AY113/2751.92,IF($F113="Mauro José Salanti",AY113/2751.92,AY113/3356)),F113&lt;&gt;0,SUM(L113,Q113,V113,AA113,AF113,AK113,AP113,AU113)))*(1-0.03),_xlfn.IFS(AW113="SIM",SUM(L113,Q113,V113,AA113,AF113,AK113,AP113,AU113)+AX113/_xlfn.XLOOKUP(_xlfn.XLOOKUP($F113,Clientes!$B$4:$B$39,Clientes!$C$4:$C$39),Cadastros!$L$6:$L$12,Cadastros!$M$6:$M$12)+IF($F113="Bernardino Furlan",AY113/2751.92,IF($F113="Mauro José Salanti",AY113/2751.92,AY113/3356)),F113&lt;&gt;0,SUM(L113,Q113,V113,AA113,AF113,AK113,AP113,AU113))))</f>
        <v xml:space="preserve"> </v>
      </c>
      <c r="BE113" s="120"/>
      <c r="BF113" s="120"/>
      <c r="BG113" s="120"/>
    </row>
    <row r="114" spans="1:59" s="3" customFormat="1" x14ac:dyDescent="0.3">
      <c r="A114" s="15" t="str">
        <f t="shared" si="13"/>
        <v/>
      </c>
      <c r="B114" s="25"/>
      <c r="C114" s="26"/>
      <c r="D114" s="279"/>
      <c r="E114" s="27"/>
      <c r="F114" s="28"/>
      <c r="G114" s="27"/>
      <c r="H114" s="28"/>
      <c r="I114" s="28"/>
      <c r="J114" s="255" t="str">
        <f>IF(H114="","",(_xlfn.XLOOKUP(H114,Cadastros!$D$6:$D$90,Cadastros!$E$6:$E$90))*(1-_xlfn.XLOOKUP(_xlfn.XLOOKUP($F114,Clientes!$B$4:$B$39,Clientes!$C$4:$C$39),Cadastros!$L$6:$L$12,Cadastros!$N$6:$N$12)))</f>
        <v/>
      </c>
      <c r="K114" s="168" t="str">
        <f t="shared" si="14"/>
        <v/>
      </c>
      <c r="L114" s="168" t="str">
        <f>IFERROR(K114/_xlfn.XLOOKUP(_xlfn.XLOOKUP($F114,Clientes!$B$4:$B$39,Clientes!$C$4:$C$39),Cadastros!$L$6:$L$12,Cadastros!$M$6:$M$12)," ")</f>
        <v xml:space="preserve"> </v>
      </c>
      <c r="M114" s="28"/>
      <c r="N114" s="28"/>
      <c r="O114" s="255" t="str">
        <f>IF(M114="","",(_xlfn.XLOOKUP(M114,Cadastros!$D$6:$D$90,Cadastros!$E$6:$E$90))*(1-_xlfn.XLOOKUP(_xlfn.XLOOKUP($F114,Clientes!$B$4:$B$39,Clientes!$C$4:$C$39),Cadastros!$L$6:$L$12,Cadastros!$N$6:$N$12)))</f>
        <v/>
      </c>
      <c r="P114" s="168" t="str">
        <f t="shared" si="15"/>
        <v/>
      </c>
      <c r="Q114" s="168" t="str">
        <f>IFERROR(P114/_xlfn.XLOOKUP(_xlfn.XLOOKUP($F114,Clientes!$B$4:$B$39,Clientes!$C$4:$C$39),Cadastros!$L$6:$L$12,Cadastros!$M$6:$M$12)," ")</f>
        <v xml:space="preserve"> </v>
      </c>
      <c r="R114" s="28"/>
      <c r="S114" s="28"/>
      <c r="T114" s="255" t="str">
        <f>IF(R114="","",(_xlfn.XLOOKUP(R114,Cadastros!$D$6:$D$90,Cadastros!$E$6:$E$90))*(1-_xlfn.XLOOKUP(_xlfn.XLOOKUP($F114,Clientes!$B$4:$B$39,Clientes!$C$4:$C$39),Cadastros!$L$6:$L$12,Cadastros!$N$6:$N$12)))</f>
        <v/>
      </c>
      <c r="U114" s="168" t="str">
        <f t="shared" si="16"/>
        <v/>
      </c>
      <c r="V114" s="168" t="str">
        <f>IFERROR(U114/_xlfn.XLOOKUP(_xlfn.XLOOKUP($F114,Clientes!$B$4:$B$39,Clientes!$C$4:$C$39),Cadastros!$L$6:$L$12,Cadastros!$M$6:$M$12)," ")</f>
        <v xml:space="preserve"> </v>
      </c>
      <c r="W114" s="28"/>
      <c r="X114" s="28"/>
      <c r="Y114" s="255" t="str">
        <f>IF(W114="","",(_xlfn.XLOOKUP(W114,Cadastros!$D$6:$D$90,Cadastros!$E$6:$E$90))*(1-_xlfn.XLOOKUP(_xlfn.XLOOKUP($F114,Clientes!$B$4:$B$39,Clientes!$C$4:$C$39),Cadastros!$L$6:$L$12,Cadastros!$N$6:$N$12)))</f>
        <v/>
      </c>
      <c r="Z114" s="168" t="str">
        <f t="shared" si="17"/>
        <v/>
      </c>
      <c r="AA114" s="168" t="str">
        <f>IFERROR(Z114/_xlfn.XLOOKUP(_xlfn.XLOOKUP($F114,Clientes!$B$4:$B$39,Clientes!$C$4:$C$39),Cadastros!$L$6:$L$12,Cadastros!$M$6:$M$12)," ")</f>
        <v xml:space="preserve"> </v>
      </c>
      <c r="AB114" s="28"/>
      <c r="AC114" s="28"/>
      <c r="AD114" s="20" t="str">
        <f>IF(AB114="","",IF($F114="Bernardino Furlan",_xlfn.XLOOKUP(AB114,Cadastros!$G$6:$G$90,Cadastros!$H$6:$H$90)*(1-0.18),IF($F114="Mauro José Salanti",_xlfn.XLOOKUP(AB114,Cadastros!$G$6:$G$90,Cadastros!$H$6:$H$90)*(1-0.18),_xlfn.XLOOKUP(AB114,Cadastros!$G$6:$G$90,Cadastros!$H$6:$H$90))))</f>
        <v/>
      </c>
      <c r="AE114" s="168" t="str">
        <f t="shared" si="18"/>
        <v/>
      </c>
      <c r="AF114" s="168" t="str">
        <f t="shared" si="19"/>
        <v/>
      </c>
      <c r="AG114" s="28"/>
      <c r="AH114" s="28"/>
      <c r="AI114" s="20" t="str">
        <f>IF(AG114="","",IF($F114="Bernardino Furlan",_xlfn.XLOOKUP(AG114,Cadastros!$G$6:$G$90,Cadastros!$H$6:$H$90)*(1-0.18),IF($F114="Mauro José Salanti",_xlfn.XLOOKUP(AG114,Cadastros!$G$6:$G$90,Cadastros!$H$6:$H$90)*(1-0.18),_xlfn.XLOOKUP(AG114,Cadastros!$G$6:$G$90,Cadastros!$H$6:$H$90))))</f>
        <v/>
      </c>
      <c r="AJ114" s="168" t="str">
        <f t="shared" si="20"/>
        <v/>
      </c>
      <c r="AK114" s="168" t="str">
        <f t="shared" si="21"/>
        <v/>
      </c>
      <c r="AL114" s="28"/>
      <c r="AM114" s="28"/>
      <c r="AN114" s="20" t="str">
        <f>IF(AL114="","",IF($F114="Bernardino Furlan",_xlfn.XLOOKUP(AL114,Cadastros!$G$6:$G$90,Cadastros!$H$6:$H$90)*(1-0.18),IF($F114="Mauro José Salanti",_xlfn.XLOOKUP(AL114,Cadastros!$G$6:$G$90,Cadastros!$H$6:$H$90)*(1-0.18),_xlfn.XLOOKUP(AL114,Cadastros!$G$6:$G$90,Cadastros!$H$6:$H$90))))</f>
        <v/>
      </c>
      <c r="AO114" s="168" t="str">
        <f t="shared" si="22"/>
        <v/>
      </c>
      <c r="AP114" s="168" t="str">
        <f t="shared" si="23"/>
        <v/>
      </c>
      <c r="AQ114" s="28"/>
      <c r="AR114" s="28"/>
      <c r="AS114" s="20" t="str">
        <f>IF(AQ114="","",IF($F114="Bernardino Furlan",_xlfn.XLOOKUP(AQ114,Cadastros!$G$6:$G$90,Cadastros!$H$6:$H$90)*(1-0.18),IF($F114="Mauro José Salanti",_xlfn.XLOOKUP(AQ114,Cadastros!$G$6:$G$90,Cadastros!$H$6:$H$90)*(1-0.18),_xlfn.XLOOKUP(AQ114,Cadastros!$G$6:$G$90,Cadastros!$H$6:$H$90))))</f>
        <v/>
      </c>
      <c r="AT114" s="168" t="str">
        <f t="shared" si="24"/>
        <v/>
      </c>
      <c r="AU114" s="168" t="str">
        <f t="shared" si="25"/>
        <v/>
      </c>
      <c r="AV114" s="227"/>
      <c r="AW114" s="30"/>
      <c r="AX114" s="267"/>
      <c r="AY114" s="267"/>
      <c r="AZ114" s="29"/>
      <c r="BA114" s="30"/>
      <c r="BB114" s="23" t="str" cm="1">
        <f t="array" ref="BB114">_xlfn.IFS(AW114="SIM",SUM(K114,P114,U114,Z114,AE114,AJ114,AO114,AT114,AX114,AY114),F114&lt;&gt;"",SUM(K114,P114,U114,Z114,AE114,AJ114,,AO114,AT114),F114="","")</f>
        <v/>
      </c>
      <c r="BC114" s="211" t="str" cm="1">
        <f t="array" ref="BC114">_xlfn.IFS(E114="","",G114&lt;=E114,BB114*(1-0.03),G114&lt;(E114+8),BB114,AZ114="Boleto",BB114*(1+0.001)^DATEDIF(E114,G114,"D"),AZ114="Cheque",BB114,AZ114="Dinheiro","Alterar forma pgto")</f>
        <v/>
      </c>
      <c r="BD114" s="276" t="str" cm="1">
        <f t="array" ref="BD114">IF(F114=0," ",IF(BC114&lt;BB114,(_xlfn.IFS(AW114="SIM",SUM(L114,Q114,V114,AA114,AF114,AK114,AP114,AU114)+AX114/_xlfn.XLOOKUP(_xlfn.XLOOKUP($F114,Clientes!$B$4:$B$39,Clientes!$C$4:$C$39),Cadastros!$L$6:$L$12,Cadastros!$M$6:$M$12)+IF($F114="Bernardino Furlan",AY114/2751.92,IF($F114="Mauro José Salanti",AY114/2751.92,AY114/3356)),F114&lt;&gt;0,SUM(L114,Q114,V114,AA114,AF114,AK114,AP114,AU114)))*(1-0.03),_xlfn.IFS(AW114="SIM",SUM(L114,Q114,V114,AA114,AF114,AK114,AP114,AU114)+AX114/_xlfn.XLOOKUP(_xlfn.XLOOKUP($F114,Clientes!$B$4:$B$39,Clientes!$C$4:$C$39),Cadastros!$L$6:$L$12,Cadastros!$M$6:$M$12)+IF($F114="Bernardino Furlan",AY114/2751.92,IF($F114="Mauro José Salanti",AY114/2751.92,AY114/3356)),F114&lt;&gt;0,SUM(L114,Q114,V114,AA114,AF114,AK114,AP114,AU114))))</f>
        <v xml:space="preserve"> </v>
      </c>
      <c r="BE114" s="120"/>
      <c r="BF114" s="120"/>
      <c r="BG114" s="120"/>
    </row>
    <row r="115" spans="1:59" s="3" customFormat="1" x14ac:dyDescent="0.3">
      <c r="A115" s="15" t="str">
        <f t="shared" si="13"/>
        <v/>
      </c>
      <c r="B115" s="25"/>
      <c r="C115" s="26"/>
      <c r="D115" s="279"/>
      <c r="E115" s="27"/>
      <c r="F115" s="28"/>
      <c r="G115" s="27"/>
      <c r="H115" s="28"/>
      <c r="I115" s="28"/>
      <c r="J115" s="255" t="str">
        <f>IF(H115="","",(_xlfn.XLOOKUP(H115,Cadastros!$D$6:$D$90,Cadastros!$E$6:$E$90))*(1-_xlfn.XLOOKUP(_xlfn.XLOOKUP($F115,Clientes!$B$4:$B$39,Clientes!$C$4:$C$39),Cadastros!$L$6:$L$12,Cadastros!$N$6:$N$12)))</f>
        <v/>
      </c>
      <c r="K115" s="168" t="str">
        <f t="shared" si="14"/>
        <v/>
      </c>
      <c r="L115" s="168" t="str">
        <f>IFERROR(K115/_xlfn.XLOOKUP(_xlfn.XLOOKUP($F115,Clientes!$B$4:$B$39,Clientes!$C$4:$C$39),Cadastros!$L$6:$L$12,Cadastros!$M$6:$M$12)," ")</f>
        <v xml:space="preserve"> </v>
      </c>
      <c r="M115" s="28"/>
      <c r="N115" s="28"/>
      <c r="O115" s="255" t="str">
        <f>IF(M115="","",(_xlfn.XLOOKUP(M115,Cadastros!$D$6:$D$90,Cadastros!$E$6:$E$90))*(1-_xlfn.XLOOKUP(_xlfn.XLOOKUP($F115,Clientes!$B$4:$B$39,Clientes!$C$4:$C$39),Cadastros!$L$6:$L$12,Cadastros!$N$6:$N$12)))</f>
        <v/>
      </c>
      <c r="P115" s="168" t="str">
        <f t="shared" si="15"/>
        <v/>
      </c>
      <c r="Q115" s="168" t="str">
        <f>IFERROR(P115/_xlfn.XLOOKUP(_xlfn.XLOOKUP($F115,Clientes!$B$4:$B$39,Clientes!$C$4:$C$39),Cadastros!$L$6:$L$12,Cadastros!$M$6:$M$12)," ")</f>
        <v xml:space="preserve"> </v>
      </c>
      <c r="R115" s="28"/>
      <c r="S115" s="28"/>
      <c r="T115" s="255" t="str">
        <f>IF(R115="","",(_xlfn.XLOOKUP(R115,Cadastros!$D$6:$D$90,Cadastros!$E$6:$E$90))*(1-_xlfn.XLOOKUP(_xlfn.XLOOKUP($F115,Clientes!$B$4:$B$39,Clientes!$C$4:$C$39),Cadastros!$L$6:$L$12,Cadastros!$N$6:$N$12)))</f>
        <v/>
      </c>
      <c r="U115" s="168" t="str">
        <f t="shared" si="16"/>
        <v/>
      </c>
      <c r="V115" s="168" t="str">
        <f>IFERROR(U115/_xlfn.XLOOKUP(_xlfn.XLOOKUP($F115,Clientes!$B$4:$B$39,Clientes!$C$4:$C$39),Cadastros!$L$6:$L$12,Cadastros!$M$6:$M$12)," ")</f>
        <v xml:space="preserve"> </v>
      </c>
      <c r="W115" s="28"/>
      <c r="X115" s="28"/>
      <c r="Y115" s="255" t="str">
        <f>IF(W115="","",(_xlfn.XLOOKUP(W115,Cadastros!$D$6:$D$90,Cadastros!$E$6:$E$90))*(1-_xlfn.XLOOKUP(_xlfn.XLOOKUP($F115,Clientes!$B$4:$B$39,Clientes!$C$4:$C$39),Cadastros!$L$6:$L$12,Cadastros!$N$6:$N$12)))</f>
        <v/>
      </c>
      <c r="Z115" s="168" t="str">
        <f t="shared" si="17"/>
        <v/>
      </c>
      <c r="AA115" s="168" t="str">
        <f>IFERROR(Z115/_xlfn.XLOOKUP(_xlfn.XLOOKUP($F115,Clientes!$B$4:$B$39,Clientes!$C$4:$C$39),Cadastros!$L$6:$L$12,Cadastros!$M$6:$M$12)," ")</f>
        <v xml:space="preserve"> </v>
      </c>
      <c r="AB115" s="28"/>
      <c r="AC115" s="28"/>
      <c r="AD115" s="20" t="str">
        <f>IF(AB115="","",IF($F115="Bernardino Furlan",_xlfn.XLOOKUP(AB115,Cadastros!$G$6:$G$90,Cadastros!$H$6:$H$90)*(1-0.18),IF($F115="Mauro José Salanti",_xlfn.XLOOKUP(AB115,Cadastros!$G$6:$G$90,Cadastros!$H$6:$H$90)*(1-0.18),_xlfn.XLOOKUP(AB115,Cadastros!$G$6:$G$90,Cadastros!$H$6:$H$90))))</f>
        <v/>
      </c>
      <c r="AE115" s="168" t="str">
        <f t="shared" si="18"/>
        <v/>
      </c>
      <c r="AF115" s="168" t="str">
        <f t="shared" si="19"/>
        <v/>
      </c>
      <c r="AG115" s="28"/>
      <c r="AH115" s="28"/>
      <c r="AI115" s="20" t="str">
        <f>IF(AG115="","",IF($F115="Bernardino Furlan",_xlfn.XLOOKUP(AG115,Cadastros!$G$6:$G$90,Cadastros!$H$6:$H$90)*(1-0.18),IF($F115="Mauro José Salanti",_xlfn.XLOOKUP(AG115,Cadastros!$G$6:$G$90,Cadastros!$H$6:$H$90)*(1-0.18),_xlfn.XLOOKUP(AG115,Cadastros!$G$6:$G$90,Cadastros!$H$6:$H$90))))</f>
        <v/>
      </c>
      <c r="AJ115" s="168" t="str">
        <f t="shared" si="20"/>
        <v/>
      </c>
      <c r="AK115" s="168" t="str">
        <f t="shared" si="21"/>
        <v/>
      </c>
      <c r="AL115" s="28"/>
      <c r="AM115" s="28"/>
      <c r="AN115" s="20" t="str">
        <f>IF(AL115="","",IF($F115="Bernardino Furlan",_xlfn.XLOOKUP(AL115,Cadastros!$G$6:$G$90,Cadastros!$H$6:$H$90)*(1-0.18),IF($F115="Mauro José Salanti",_xlfn.XLOOKUP(AL115,Cadastros!$G$6:$G$90,Cadastros!$H$6:$H$90)*(1-0.18),_xlfn.XLOOKUP(AL115,Cadastros!$G$6:$G$90,Cadastros!$H$6:$H$90))))</f>
        <v/>
      </c>
      <c r="AO115" s="168" t="str">
        <f t="shared" si="22"/>
        <v/>
      </c>
      <c r="AP115" s="168" t="str">
        <f t="shared" si="23"/>
        <v/>
      </c>
      <c r="AQ115" s="28"/>
      <c r="AR115" s="28"/>
      <c r="AS115" s="20" t="str">
        <f>IF(AQ115="","",IF($F115="Bernardino Furlan",_xlfn.XLOOKUP(AQ115,Cadastros!$G$6:$G$90,Cadastros!$H$6:$H$90)*(1-0.18),IF($F115="Mauro José Salanti",_xlfn.XLOOKUP(AQ115,Cadastros!$G$6:$G$90,Cadastros!$H$6:$H$90)*(1-0.18),_xlfn.XLOOKUP(AQ115,Cadastros!$G$6:$G$90,Cadastros!$H$6:$H$90))))</f>
        <v/>
      </c>
      <c r="AT115" s="168" t="str">
        <f t="shared" si="24"/>
        <v/>
      </c>
      <c r="AU115" s="168" t="str">
        <f t="shared" si="25"/>
        <v/>
      </c>
      <c r="AV115" s="227"/>
      <c r="AW115" s="30"/>
      <c r="AX115" s="267"/>
      <c r="AY115" s="267"/>
      <c r="AZ115" s="29"/>
      <c r="BA115" s="30"/>
      <c r="BB115" s="23" t="str" cm="1">
        <f t="array" ref="BB115">_xlfn.IFS(AW115="SIM",SUM(K115,P115,U115,Z115,AE115,AJ115,AO115,AT115,AX115,AY115),F115&lt;&gt;"",SUM(K115,P115,U115,Z115,AE115,AJ115,,AO115,AT115),F115="","")</f>
        <v/>
      </c>
      <c r="BC115" s="211" t="str" cm="1">
        <f t="array" ref="BC115">_xlfn.IFS(E115="","",G115&lt;=E115,BB115*(1-0.03),G115&lt;(E115+8),BB115,AZ115="Boleto",BB115*(1+0.001)^DATEDIF(E115,G115,"D"),AZ115="Cheque",BB115,AZ115="Dinheiro","Alterar forma pgto")</f>
        <v/>
      </c>
      <c r="BD115" s="276" t="str" cm="1">
        <f t="array" ref="BD115">IF(F115=0," ",IF(BC115&lt;BB115,(_xlfn.IFS(AW115="SIM",SUM(L115,Q115,V115,AA115,AF115,AK115,AP115,AU115)+AX115/_xlfn.XLOOKUP(_xlfn.XLOOKUP($F115,Clientes!$B$4:$B$39,Clientes!$C$4:$C$39),Cadastros!$L$6:$L$12,Cadastros!$M$6:$M$12)+IF($F115="Bernardino Furlan",AY115/2751.92,IF($F115="Mauro José Salanti",AY115/2751.92,AY115/3356)),F115&lt;&gt;0,SUM(L115,Q115,V115,AA115,AF115,AK115,AP115,AU115)))*(1-0.03),_xlfn.IFS(AW115="SIM",SUM(L115,Q115,V115,AA115,AF115,AK115,AP115,AU115)+AX115/_xlfn.XLOOKUP(_xlfn.XLOOKUP($F115,Clientes!$B$4:$B$39,Clientes!$C$4:$C$39),Cadastros!$L$6:$L$12,Cadastros!$M$6:$M$12)+IF($F115="Bernardino Furlan",AY115/2751.92,IF($F115="Mauro José Salanti",AY115/2751.92,AY115/3356)),F115&lt;&gt;0,SUM(L115,Q115,V115,AA115,AF115,AK115,AP115,AU115))))</f>
        <v xml:space="preserve"> </v>
      </c>
      <c r="BE115" s="120"/>
      <c r="BF115" s="120"/>
      <c r="BG115" s="120"/>
    </row>
    <row r="116" spans="1:59" s="3" customFormat="1" x14ac:dyDescent="0.3">
      <c r="A116" s="15" t="str">
        <f t="shared" si="13"/>
        <v/>
      </c>
      <c r="B116" s="25"/>
      <c r="C116" s="26"/>
      <c r="D116" s="279"/>
      <c r="E116" s="27"/>
      <c r="F116" s="28"/>
      <c r="G116" s="27"/>
      <c r="H116" s="28"/>
      <c r="I116" s="28"/>
      <c r="J116" s="255" t="str">
        <f>IF(H116="","",(_xlfn.XLOOKUP(H116,Cadastros!$D$6:$D$90,Cadastros!$E$6:$E$90))*(1-_xlfn.XLOOKUP(_xlfn.XLOOKUP($F116,Clientes!$B$4:$B$39,Clientes!$C$4:$C$39),Cadastros!$L$6:$L$12,Cadastros!$N$6:$N$12)))</f>
        <v/>
      </c>
      <c r="K116" s="168" t="str">
        <f t="shared" si="14"/>
        <v/>
      </c>
      <c r="L116" s="168" t="str">
        <f>IFERROR(K116/_xlfn.XLOOKUP(_xlfn.XLOOKUP($F116,Clientes!$B$4:$B$39,Clientes!$C$4:$C$39),Cadastros!$L$6:$L$12,Cadastros!$M$6:$M$12)," ")</f>
        <v xml:space="preserve"> </v>
      </c>
      <c r="M116" s="28"/>
      <c r="N116" s="28"/>
      <c r="O116" s="255" t="str">
        <f>IF(M116="","",(_xlfn.XLOOKUP(M116,Cadastros!$D$6:$D$90,Cadastros!$E$6:$E$90))*(1-_xlfn.XLOOKUP(_xlfn.XLOOKUP($F116,Clientes!$B$4:$B$39,Clientes!$C$4:$C$39),Cadastros!$L$6:$L$12,Cadastros!$N$6:$N$12)))</f>
        <v/>
      </c>
      <c r="P116" s="168" t="str">
        <f t="shared" si="15"/>
        <v/>
      </c>
      <c r="Q116" s="168" t="str">
        <f>IFERROR(P116/_xlfn.XLOOKUP(_xlfn.XLOOKUP($F116,Clientes!$B$4:$B$39,Clientes!$C$4:$C$39),Cadastros!$L$6:$L$12,Cadastros!$M$6:$M$12)," ")</f>
        <v xml:space="preserve"> </v>
      </c>
      <c r="R116" s="28"/>
      <c r="S116" s="28"/>
      <c r="T116" s="255" t="str">
        <f>IF(R116="","",(_xlfn.XLOOKUP(R116,Cadastros!$D$6:$D$90,Cadastros!$E$6:$E$90))*(1-_xlfn.XLOOKUP(_xlfn.XLOOKUP($F116,Clientes!$B$4:$B$39,Clientes!$C$4:$C$39),Cadastros!$L$6:$L$12,Cadastros!$N$6:$N$12)))</f>
        <v/>
      </c>
      <c r="U116" s="168" t="str">
        <f t="shared" si="16"/>
        <v/>
      </c>
      <c r="V116" s="168" t="str">
        <f>IFERROR(U116/_xlfn.XLOOKUP(_xlfn.XLOOKUP($F116,Clientes!$B$4:$B$39,Clientes!$C$4:$C$39),Cadastros!$L$6:$L$12,Cadastros!$M$6:$M$12)," ")</f>
        <v xml:space="preserve"> </v>
      </c>
      <c r="W116" s="28"/>
      <c r="X116" s="28"/>
      <c r="Y116" s="255" t="str">
        <f>IF(W116="","",(_xlfn.XLOOKUP(W116,Cadastros!$D$6:$D$90,Cadastros!$E$6:$E$90))*(1-_xlfn.XLOOKUP(_xlfn.XLOOKUP($F116,Clientes!$B$4:$B$39,Clientes!$C$4:$C$39),Cadastros!$L$6:$L$12,Cadastros!$N$6:$N$12)))</f>
        <v/>
      </c>
      <c r="Z116" s="168" t="str">
        <f t="shared" si="17"/>
        <v/>
      </c>
      <c r="AA116" s="168" t="str">
        <f>IFERROR(Z116/_xlfn.XLOOKUP(_xlfn.XLOOKUP($F116,Clientes!$B$4:$B$39,Clientes!$C$4:$C$39),Cadastros!$L$6:$L$12,Cadastros!$M$6:$M$12)," ")</f>
        <v xml:space="preserve"> </v>
      </c>
      <c r="AB116" s="28"/>
      <c r="AC116" s="28"/>
      <c r="AD116" s="20" t="str">
        <f>IF(AB116="","",IF($F116="Bernardino Furlan",_xlfn.XLOOKUP(AB116,Cadastros!$G$6:$G$90,Cadastros!$H$6:$H$90)*(1-0.18),IF($F116="Mauro José Salanti",_xlfn.XLOOKUP(AB116,Cadastros!$G$6:$G$90,Cadastros!$H$6:$H$90)*(1-0.18),_xlfn.XLOOKUP(AB116,Cadastros!$G$6:$G$90,Cadastros!$H$6:$H$90))))</f>
        <v/>
      </c>
      <c r="AE116" s="168" t="str">
        <f t="shared" si="18"/>
        <v/>
      </c>
      <c r="AF116" s="168" t="str">
        <f t="shared" si="19"/>
        <v/>
      </c>
      <c r="AG116" s="28"/>
      <c r="AH116" s="28"/>
      <c r="AI116" s="20" t="str">
        <f>IF(AG116="","",IF($F116="Bernardino Furlan",_xlfn.XLOOKUP(AG116,Cadastros!$G$6:$G$90,Cadastros!$H$6:$H$90)*(1-0.18),IF($F116="Mauro José Salanti",_xlfn.XLOOKUP(AG116,Cadastros!$G$6:$G$90,Cadastros!$H$6:$H$90)*(1-0.18),_xlfn.XLOOKUP(AG116,Cadastros!$G$6:$G$90,Cadastros!$H$6:$H$90))))</f>
        <v/>
      </c>
      <c r="AJ116" s="168" t="str">
        <f t="shared" si="20"/>
        <v/>
      </c>
      <c r="AK116" s="168" t="str">
        <f t="shared" si="21"/>
        <v/>
      </c>
      <c r="AL116" s="28"/>
      <c r="AM116" s="28"/>
      <c r="AN116" s="20" t="str">
        <f>IF(AL116="","",IF($F116="Bernardino Furlan",_xlfn.XLOOKUP(AL116,Cadastros!$G$6:$G$90,Cadastros!$H$6:$H$90)*(1-0.18),IF($F116="Mauro José Salanti",_xlfn.XLOOKUP(AL116,Cadastros!$G$6:$G$90,Cadastros!$H$6:$H$90)*(1-0.18),_xlfn.XLOOKUP(AL116,Cadastros!$G$6:$G$90,Cadastros!$H$6:$H$90))))</f>
        <v/>
      </c>
      <c r="AO116" s="168" t="str">
        <f t="shared" si="22"/>
        <v/>
      </c>
      <c r="AP116" s="168" t="str">
        <f t="shared" si="23"/>
        <v/>
      </c>
      <c r="AQ116" s="28"/>
      <c r="AR116" s="28"/>
      <c r="AS116" s="20" t="str">
        <f>IF(AQ116="","",IF($F116="Bernardino Furlan",_xlfn.XLOOKUP(AQ116,Cadastros!$G$6:$G$90,Cadastros!$H$6:$H$90)*(1-0.18),IF($F116="Mauro José Salanti",_xlfn.XLOOKUP(AQ116,Cadastros!$G$6:$G$90,Cadastros!$H$6:$H$90)*(1-0.18),_xlfn.XLOOKUP(AQ116,Cadastros!$G$6:$G$90,Cadastros!$H$6:$H$90))))</f>
        <v/>
      </c>
      <c r="AT116" s="168" t="str">
        <f t="shared" si="24"/>
        <v/>
      </c>
      <c r="AU116" s="168" t="str">
        <f t="shared" si="25"/>
        <v/>
      </c>
      <c r="AV116" s="227"/>
      <c r="AW116" s="30"/>
      <c r="AX116" s="267"/>
      <c r="AY116" s="267"/>
      <c r="AZ116" s="29"/>
      <c r="BA116" s="30"/>
      <c r="BB116" s="23" t="str" cm="1">
        <f t="array" ref="BB116">_xlfn.IFS(AW116="SIM",SUM(K116,P116,U116,Z116,AE116,AJ116,AO116,AT116,AX116,AY116),F116&lt;&gt;"",SUM(K116,P116,U116,Z116,AE116,AJ116,,AO116,AT116),F116="","")</f>
        <v/>
      </c>
      <c r="BC116" s="211" t="str" cm="1">
        <f t="array" ref="BC116">_xlfn.IFS(E116="","",G116&lt;=E116,BB116*(1-0.03),G116&lt;(E116+8),BB116,AZ116="Boleto",BB116*(1+0.001)^DATEDIF(E116,G116,"D"),AZ116="Cheque",BB116,AZ116="Dinheiro","Alterar forma pgto")</f>
        <v/>
      </c>
      <c r="BD116" s="276" t="str" cm="1">
        <f t="array" ref="BD116">IF(F116=0," ",IF(BC116&lt;BB116,(_xlfn.IFS(AW116="SIM",SUM(L116,Q116,V116,AA116,AF116,AK116,AP116,AU116)+AX116/_xlfn.XLOOKUP(_xlfn.XLOOKUP($F116,Clientes!$B$4:$B$39,Clientes!$C$4:$C$39),Cadastros!$L$6:$L$12,Cadastros!$M$6:$M$12)+IF($F116="Bernardino Furlan",AY116/2751.92,IF($F116="Mauro José Salanti",AY116/2751.92,AY116/3356)),F116&lt;&gt;0,SUM(L116,Q116,V116,AA116,AF116,AK116,AP116,AU116)))*(1-0.03),_xlfn.IFS(AW116="SIM",SUM(L116,Q116,V116,AA116,AF116,AK116,AP116,AU116)+AX116/_xlfn.XLOOKUP(_xlfn.XLOOKUP($F116,Clientes!$B$4:$B$39,Clientes!$C$4:$C$39),Cadastros!$L$6:$L$12,Cadastros!$M$6:$M$12)+IF($F116="Bernardino Furlan",AY116/2751.92,IF($F116="Mauro José Salanti",AY116/2751.92,AY116/3356)),F116&lt;&gt;0,SUM(L116,Q116,V116,AA116,AF116,AK116,AP116,AU116))))</f>
        <v xml:space="preserve"> </v>
      </c>
      <c r="BE116" s="120"/>
      <c r="BF116" s="120"/>
      <c r="BG116" s="120"/>
    </row>
    <row r="117" spans="1:59" s="3" customFormat="1" x14ac:dyDescent="0.3">
      <c r="A117" s="15" t="str">
        <f t="shared" si="13"/>
        <v/>
      </c>
      <c r="B117" s="25"/>
      <c r="C117" s="26"/>
      <c r="D117" s="279"/>
      <c r="E117" s="27"/>
      <c r="F117" s="28"/>
      <c r="G117" s="27"/>
      <c r="H117" s="28"/>
      <c r="I117" s="28"/>
      <c r="J117" s="255" t="str">
        <f>IF(H117="","",(_xlfn.XLOOKUP(H117,Cadastros!$D$6:$D$90,Cadastros!$E$6:$E$90))*(1-_xlfn.XLOOKUP(_xlfn.XLOOKUP($F117,Clientes!$B$4:$B$39,Clientes!$C$4:$C$39),Cadastros!$L$6:$L$12,Cadastros!$N$6:$N$12)))</f>
        <v/>
      </c>
      <c r="K117" s="168" t="str">
        <f t="shared" si="14"/>
        <v/>
      </c>
      <c r="L117" s="168" t="str">
        <f>IFERROR(K117/_xlfn.XLOOKUP(_xlfn.XLOOKUP($F117,Clientes!$B$4:$B$39,Clientes!$C$4:$C$39),Cadastros!$L$6:$L$12,Cadastros!$M$6:$M$12)," ")</f>
        <v xml:space="preserve"> </v>
      </c>
      <c r="M117" s="28"/>
      <c r="N117" s="28"/>
      <c r="O117" s="255" t="str">
        <f>IF(M117="","",(_xlfn.XLOOKUP(M117,Cadastros!$D$6:$D$90,Cadastros!$E$6:$E$90))*(1-_xlfn.XLOOKUP(_xlfn.XLOOKUP($F117,Clientes!$B$4:$B$39,Clientes!$C$4:$C$39),Cadastros!$L$6:$L$12,Cadastros!$N$6:$N$12)))</f>
        <v/>
      </c>
      <c r="P117" s="168" t="str">
        <f t="shared" si="15"/>
        <v/>
      </c>
      <c r="Q117" s="168" t="str">
        <f>IFERROR(P117/_xlfn.XLOOKUP(_xlfn.XLOOKUP($F117,Clientes!$B$4:$B$39,Clientes!$C$4:$C$39),Cadastros!$L$6:$L$12,Cadastros!$M$6:$M$12)," ")</f>
        <v xml:space="preserve"> </v>
      </c>
      <c r="R117" s="28"/>
      <c r="S117" s="28"/>
      <c r="T117" s="255" t="str">
        <f>IF(R117="","",(_xlfn.XLOOKUP(R117,Cadastros!$D$6:$D$90,Cadastros!$E$6:$E$90))*(1-_xlfn.XLOOKUP(_xlfn.XLOOKUP($F117,Clientes!$B$4:$B$39,Clientes!$C$4:$C$39),Cadastros!$L$6:$L$12,Cadastros!$N$6:$N$12)))</f>
        <v/>
      </c>
      <c r="U117" s="168" t="str">
        <f t="shared" si="16"/>
        <v/>
      </c>
      <c r="V117" s="168" t="str">
        <f>IFERROR(U117/_xlfn.XLOOKUP(_xlfn.XLOOKUP($F117,Clientes!$B$4:$B$39,Clientes!$C$4:$C$39),Cadastros!$L$6:$L$12,Cadastros!$M$6:$M$12)," ")</f>
        <v xml:space="preserve"> </v>
      </c>
      <c r="W117" s="28"/>
      <c r="X117" s="28"/>
      <c r="Y117" s="255" t="str">
        <f>IF(W117="","",(_xlfn.XLOOKUP(W117,Cadastros!$D$6:$D$90,Cadastros!$E$6:$E$90))*(1-_xlfn.XLOOKUP(_xlfn.XLOOKUP($F117,Clientes!$B$4:$B$39,Clientes!$C$4:$C$39),Cadastros!$L$6:$L$12,Cadastros!$N$6:$N$12)))</f>
        <v/>
      </c>
      <c r="Z117" s="168" t="str">
        <f t="shared" si="17"/>
        <v/>
      </c>
      <c r="AA117" s="168" t="str">
        <f>IFERROR(Z117/_xlfn.XLOOKUP(_xlfn.XLOOKUP($F117,Clientes!$B$4:$B$39,Clientes!$C$4:$C$39),Cadastros!$L$6:$L$12,Cadastros!$M$6:$M$12)," ")</f>
        <v xml:space="preserve"> </v>
      </c>
      <c r="AB117" s="28"/>
      <c r="AC117" s="28"/>
      <c r="AD117" s="20" t="str">
        <f>IF(AB117="","",IF($F117="Bernardino Furlan",_xlfn.XLOOKUP(AB117,Cadastros!$G$6:$G$90,Cadastros!$H$6:$H$90)*(1-0.18),IF($F117="Mauro José Salanti",_xlfn.XLOOKUP(AB117,Cadastros!$G$6:$G$90,Cadastros!$H$6:$H$90)*(1-0.18),_xlfn.XLOOKUP(AB117,Cadastros!$G$6:$G$90,Cadastros!$H$6:$H$90))))</f>
        <v/>
      </c>
      <c r="AE117" s="168" t="str">
        <f t="shared" si="18"/>
        <v/>
      </c>
      <c r="AF117" s="168" t="str">
        <f t="shared" si="19"/>
        <v/>
      </c>
      <c r="AG117" s="28"/>
      <c r="AH117" s="28"/>
      <c r="AI117" s="20" t="str">
        <f>IF(AG117="","",IF($F117="Bernardino Furlan",_xlfn.XLOOKUP(AG117,Cadastros!$G$6:$G$90,Cadastros!$H$6:$H$90)*(1-0.18),IF($F117="Mauro José Salanti",_xlfn.XLOOKUP(AG117,Cadastros!$G$6:$G$90,Cadastros!$H$6:$H$90)*(1-0.18),_xlfn.XLOOKUP(AG117,Cadastros!$G$6:$G$90,Cadastros!$H$6:$H$90))))</f>
        <v/>
      </c>
      <c r="AJ117" s="168" t="str">
        <f t="shared" si="20"/>
        <v/>
      </c>
      <c r="AK117" s="168" t="str">
        <f t="shared" si="21"/>
        <v/>
      </c>
      <c r="AL117" s="28"/>
      <c r="AM117" s="28"/>
      <c r="AN117" s="20" t="str">
        <f>IF(AL117="","",IF($F117="Bernardino Furlan",_xlfn.XLOOKUP(AL117,Cadastros!$G$6:$G$90,Cadastros!$H$6:$H$90)*(1-0.18),IF($F117="Mauro José Salanti",_xlfn.XLOOKUP(AL117,Cadastros!$G$6:$G$90,Cadastros!$H$6:$H$90)*(1-0.18),_xlfn.XLOOKUP(AL117,Cadastros!$G$6:$G$90,Cadastros!$H$6:$H$90))))</f>
        <v/>
      </c>
      <c r="AO117" s="168" t="str">
        <f t="shared" si="22"/>
        <v/>
      </c>
      <c r="AP117" s="168" t="str">
        <f t="shared" si="23"/>
        <v/>
      </c>
      <c r="AQ117" s="28"/>
      <c r="AR117" s="28"/>
      <c r="AS117" s="20" t="str">
        <f>IF(AQ117="","",IF($F117="Bernardino Furlan",_xlfn.XLOOKUP(AQ117,Cadastros!$G$6:$G$90,Cadastros!$H$6:$H$90)*(1-0.18),IF($F117="Mauro José Salanti",_xlfn.XLOOKUP(AQ117,Cadastros!$G$6:$G$90,Cadastros!$H$6:$H$90)*(1-0.18),_xlfn.XLOOKUP(AQ117,Cadastros!$G$6:$G$90,Cadastros!$H$6:$H$90))))</f>
        <v/>
      </c>
      <c r="AT117" s="168" t="str">
        <f t="shared" si="24"/>
        <v/>
      </c>
      <c r="AU117" s="168" t="str">
        <f t="shared" si="25"/>
        <v/>
      </c>
      <c r="AV117" s="227"/>
      <c r="AW117" s="30"/>
      <c r="AX117" s="267"/>
      <c r="AY117" s="267"/>
      <c r="AZ117" s="29"/>
      <c r="BA117" s="30"/>
      <c r="BB117" s="23" t="str" cm="1">
        <f t="array" ref="BB117">_xlfn.IFS(AW117="SIM",SUM(K117,P117,U117,Z117,AE117,AJ117,AO117,AT117,AX117,AY117),F117&lt;&gt;"",SUM(K117,P117,U117,Z117,AE117,AJ117,,AO117,AT117),F117="","")</f>
        <v/>
      </c>
      <c r="BC117" s="211" t="str" cm="1">
        <f t="array" ref="BC117">_xlfn.IFS(E117="","",G117&lt;=E117,BB117*(1-0.03),G117&lt;(E117+8),BB117,AZ117="Boleto",BB117*(1+0.001)^DATEDIF(E117,G117,"D"),AZ117="Cheque",BB117,AZ117="Dinheiro","Alterar forma pgto")</f>
        <v/>
      </c>
      <c r="BD117" s="276" t="str" cm="1">
        <f t="array" ref="BD117">IF(F117=0," ",IF(BC117&lt;BB117,(_xlfn.IFS(AW117="SIM",SUM(L117,Q117,V117,AA117,AF117,AK117,AP117,AU117)+AX117/_xlfn.XLOOKUP(_xlfn.XLOOKUP($F117,Clientes!$B$4:$B$39,Clientes!$C$4:$C$39),Cadastros!$L$6:$L$12,Cadastros!$M$6:$M$12)+IF($F117="Bernardino Furlan",AY117/2751.92,IF($F117="Mauro José Salanti",AY117/2751.92,AY117/3356)),F117&lt;&gt;0,SUM(L117,Q117,V117,AA117,AF117,AK117,AP117,AU117)))*(1-0.03),_xlfn.IFS(AW117="SIM",SUM(L117,Q117,V117,AA117,AF117,AK117,AP117,AU117)+AX117/_xlfn.XLOOKUP(_xlfn.XLOOKUP($F117,Clientes!$B$4:$B$39,Clientes!$C$4:$C$39),Cadastros!$L$6:$L$12,Cadastros!$M$6:$M$12)+IF($F117="Bernardino Furlan",AY117/2751.92,IF($F117="Mauro José Salanti",AY117/2751.92,AY117/3356)),F117&lt;&gt;0,SUM(L117,Q117,V117,AA117,AF117,AK117,AP117,AU117))))</f>
        <v xml:space="preserve"> </v>
      </c>
      <c r="BE117" s="120"/>
      <c r="BF117" s="120"/>
      <c r="BG117" s="120"/>
    </row>
    <row r="118" spans="1:59" s="3" customFormat="1" x14ac:dyDescent="0.3">
      <c r="A118" s="15" t="str">
        <f t="shared" si="13"/>
        <v/>
      </c>
      <c r="B118" s="25"/>
      <c r="C118" s="26"/>
      <c r="D118" s="279"/>
      <c r="E118" s="27"/>
      <c r="F118" s="28"/>
      <c r="G118" s="27"/>
      <c r="H118" s="28"/>
      <c r="I118" s="28"/>
      <c r="J118" s="255" t="str">
        <f>IF(H118="","",(_xlfn.XLOOKUP(H118,Cadastros!$D$6:$D$90,Cadastros!$E$6:$E$90))*(1-_xlfn.XLOOKUP(_xlfn.XLOOKUP($F118,Clientes!$B$4:$B$39,Clientes!$C$4:$C$39),Cadastros!$L$6:$L$12,Cadastros!$N$6:$N$12)))</f>
        <v/>
      </c>
      <c r="K118" s="168" t="str">
        <f t="shared" si="14"/>
        <v/>
      </c>
      <c r="L118" s="168" t="str">
        <f>IFERROR(K118/_xlfn.XLOOKUP(_xlfn.XLOOKUP($F118,Clientes!$B$4:$B$39,Clientes!$C$4:$C$39),Cadastros!$L$6:$L$12,Cadastros!$M$6:$M$12)," ")</f>
        <v xml:space="preserve"> </v>
      </c>
      <c r="M118" s="28"/>
      <c r="N118" s="28"/>
      <c r="O118" s="255" t="str">
        <f>IF(M118="","",(_xlfn.XLOOKUP(M118,Cadastros!$D$6:$D$90,Cadastros!$E$6:$E$90))*(1-_xlfn.XLOOKUP(_xlfn.XLOOKUP($F118,Clientes!$B$4:$B$39,Clientes!$C$4:$C$39),Cadastros!$L$6:$L$12,Cadastros!$N$6:$N$12)))</f>
        <v/>
      </c>
      <c r="P118" s="168" t="str">
        <f t="shared" si="15"/>
        <v/>
      </c>
      <c r="Q118" s="168" t="str">
        <f>IFERROR(P118/_xlfn.XLOOKUP(_xlfn.XLOOKUP($F118,Clientes!$B$4:$B$39,Clientes!$C$4:$C$39),Cadastros!$L$6:$L$12,Cadastros!$M$6:$M$12)," ")</f>
        <v xml:space="preserve"> </v>
      </c>
      <c r="R118" s="28"/>
      <c r="S118" s="28"/>
      <c r="T118" s="255" t="str">
        <f>IF(R118="","",(_xlfn.XLOOKUP(R118,Cadastros!$D$6:$D$90,Cadastros!$E$6:$E$90))*(1-_xlfn.XLOOKUP(_xlfn.XLOOKUP($F118,Clientes!$B$4:$B$39,Clientes!$C$4:$C$39),Cadastros!$L$6:$L$12,Cadastros!$N$6:$N$12)))</f>
        <v/>
      </c>
      <c r="U118" s="168" t="str">
        <f t="shared" si="16"/>
        <v/>
      </c>
      <c r="V118" s="168" t="str">
        <f>IFERROR(U118/_xlfn.XLOOKUP(_xlfn.XLOOKUP($F118,Clientes!$B$4:$B$39,Clientes!$C$4:$C$39),Cadastros!$L$6:$L$12,Cadastros!$M$6:$M$12)," ")</f>
        <v xml:space="preserve"> </v>
      </c>
      <c r="W118" s="28"/>
      <c r="X118" s="28"/>
      <c r="Y118" s="255" t="str">
        <f>IF(W118="","",(_xlfn.XLOOKUP(W118,Cadastros!$D$6:$D$90,Cadastros!$E$6:$E$90))*(1-_xlfn.XLOOKUP(_xlfn.XLOOKUP($F118,Clientes!$B$4:$B$39,Clientes!$C$4:$C$39),Cadastros!$L$6:$L$12,Cadastros!$N$6:$N$12)))</f>
        <v/>
      </c>
      <c r="Z118" s="168" t="str">
        <f t="shared" si="17"/>
        <v/>
      </c>
      <c r="AA118" s="168" t="str">
        <f>IFERROR(Z118/_xlfn.XLOOKUP(_xlfn.XLOOKUP($F118,Clientes!$B$4:$B$39,Clientes!$C$4:$C$39),Cadastros!$L$6:$L$12,Cadastros!$M$6:$M$12)," ")</f>
        <v xml:space="preserve"> </v>
      </c>
      <c r="AB118" s="28"/>
      <c r="AC118" s="28"/>
      <c r="AD118" s="20" t="str">
        <f>IF(AB118="","",IF($F118="Bernardino Furlan",_xlfn.XLOOKUP(AB118,Cadastros!$G$6:$G$90,Cadastros!$H$6:$H$90)*(1-0.18),IF($F118="Mauro José Salanti",_xlfn.XLOOKUP(AB118,Cadastros!$G$6:$G$90,Cadastros!$H$6:$H$90)*(1-0.18),_xlfn.XLOOKUP(AB118,Cadastros!$G$6:$G$90,Cadastros!$H$6:$H$90))))</f>
        <v/>
      </c>
      <c r="AE118" s="168" t="str">
        <f t="shared" si="18"/>
        <v/>
      </c>
      <c r="AF118" s="168" t="str">
        <f t="shared" si="19"/>
        <v/>
      </c>
      <c r="AG118" s="28"/>
      <c r="AH118" s="28"/>
      <c r="AI118" s="20" t="str">
        <f>IF(AG118="","",IF($F118="Bernardino Furlan",_xlfn.XLOOKUP(AG118,Cadastros!$G$6:$G$90,Cadastros!$H$6:$H$90)*(1-0.18),IF($F118="Mauro José Salanti",_xlfn.XLOOKUP(AG118,Cadastros!$G$6:$G$90,Cadastros!$H$6:$H$90)*(1-0.18),_xlfn.XLOOKUP(AG118,Cadastros!$G$6:$G$90,Cadastros!$H$6:$H$90))))</f>
        <v/>
      </c>
      <c r="AJ118" s="168" t="str">
        <f t="shared" si="20"/>
        <v/>
      </c>
      <c r="AK118" s="168" t="str">
        <f t="shared" si="21"/>
        <v/>
      </c>
      <c r="AL118" s="28"/>
      <c r="AM118" s="28"/>
      <c r="AN118" s="20" t="str">
        <f>IF(AL118="","",IF($F118="Bernardino Furlan",_xlfn.XLOOKUP(AL118,Cadastros!$G$6:$G$90,Cadastros!$H$6:$H$90)*(1-0.18),IF($F118="Mauro José Salanti",_xlfn.XLOOKUP(AL118,Cadastros!$G$6:$G$90,Cadastros!$H$6:$H$90)*(1-0.18),_xlfn.XLOOKUP(AL118,Cadastros!$G$6:$G$90,Cadastros!$H$6:$H$90))))</f>
        <v/>
      </c>
      <c r="AO118" s="168" t="str">
        <f t="shared" si="22"/>
        <v/>
      </c>
      <c r="AP118" s="168" t="str">
        <f t="shared" si="23"/>
        <v/>
      </c>
      <c r="AQ118" s="28"/>
      <c r="AR118" s="28"/>
      <c r="AS118" s="20" t="str">
        <f>IF(AQ118="","",IF($F118="Bernardino Furlan",_xlfn.XLOOKUP(AQ118,Cadastros!$G$6:$G$90,Cadastros!$H$6:$H$90)*(1-0.18),IF($F118="Mauro José Salanti",_xlfn.XLOOKUP(AQ118,Cadastros!$G$6:$G$90,Cadastros!$H$6:$H$90)*(1-0.18),_xlfn.XLOOKUP(AQ118,Cadastros!$G$6:$G$90,Cadastros!$H$6:$H$90))))</f>
        <v/>
      </c>
      <c r="AT118" s="168" t="str">
        <f t="shared" si="24"/>
        <v/>
      </c>
      <c r="AU118" s="168" t="str">
        <f t="shared" si="25"/>
        <v/>
      </c>
      <c r="AV118" s="227"/>
      <c r="AW118" s="30"/>
      <c r="AX118" s="267"/>
      <c r="AY118" s="267"/>
      <c r="AZ118" s="29"/>
      <c r="BA118" s="30"/>
      <c r="BB118" s="23" t="str" cm="1">
        <f t="array" ref="BB118">_xlfn.IFS(AW118="SIM",SUM(K118,P118,U118,Z118,AE118,AJ118,AO118,AT118,AX118,AY118),F118&lt;&gt;"",SUM(K118,P118,U118,Z118,AE118,AJ118,,AO118,AT118),F118="","")</f>
        <v/>
      </c>
      <c r="BC118" s="211" t="str" cm="1">
        <f t="array" ref="BC118">_xlfn.IFS(E118="","",G118&lt;=E118,BB118*(1-0.03),G118&lt;(E118+8),BB118,AZ118="Boleto",BB118*(1+0.001)^DATEDIF(E118,G118,"D"),AZ118="Cheque",BB118,AZ118="Dinheiro","Alterar forma pgto")</f>
        <v/>
      </c>
      <c r="BD118" s="276" t="str" cm="1">
        <f t="array" ref="BD118">IF(F118=0," ",IF(BC118&lt;BB118,(_xlfn.IFS(AW118="SIM",SUM(L118,Q118,V118,AA118,AF118,AK118,AP118,AU118)+AX118/_xlfn.XLOOKUP(_xlfn.XLOOKUP($F118,Clientes!$B$4:$B$39,Clientes!$C$4:$C$39),Cadastros!$L$6:$L$12,Cadastros!$M$6:$M$12)+IF($F118="Bernardino Furlan",AY118/2751.92,IF($F118="Mauro José Salanti",AY118/2751.92,AY118/3356)),F118&lt;&gt;0,SUM(L118,Q118,V118,AA118,AF118,AK118,AP118,AU118)))*(1-0.03),_xlfn.IFS(AW118="SIM",SUM(L118,Q118,V118,AA118,AF118,AK118,AP118,AU118)+AX118/_xlfn.XLOOKUP(_xlfn.XLOOKUP($F118,Clientes!$B$4:$B$39,Clientes!$C$4:$C$39),Cadastros!$L$6:$L$12,Cadastros!$M$6:$M$12)+IF($F118="Bernardino Furlan",AY118/2751.92,IF($F118="Mauro José Salanti",AY118/2751.92,AY118/3356)),F118&lt;&gt;0,SUM(L118,Q118,V118,AA118,AF118,AK118,AP118,AU118))))</f>
        <v xml:space="preserve"> </v>
      </c>
      <c r="BE118" s="120"/>
      <c r="BF118" s="120"/>
      <c r="BG118" s="120"/>
    </row>
    <row r="119" spans="1:59" s="3" customFormat="1" x14ac:dyDescent="0.3">
      <c r="A119" s="15" t="str">
        <f t="shared" si="13"/>
        <v/>
      </c>
      <c r="B119" s="25"/>
      <c r="C119" s="26"/>
      <c r="D119" s="279"/>
      <c r="E119" s="27"/>
      <c r="F119" s="28"/>
      <c r="G119" s="27"/>
      <c r="H119" s="28"/>
      <c r="I119" s="28"/>
      <c r="J119" s="255" t="str">
        <f>IF(H119="","",(_xlfn.XLOOKUP(H119,Cadastros!$D$6:$D$90,Cadastros!$E$6:$E$90))*(1-_xlfn.XLOOKUP(_xlfn.XLOOKUP($F119,Clientes!$B$4:$B$39,Clientes!$C$4:$C$39),Cadastros!$L$6:$L$12,Cadastros!$N$6:$N$12)))</f>
        <v/>
      </c>
      <c r="K119" s="168" t="str">
        <f t="shared" si="14"/>
        <v/>
      </c>
      <c r="L119" s="168" t="str">
        <f>IFERROR(K119/_xlfn.XLOOKUP(_xlfn.XLOOKUP($F119,Clientes!$B$4:$B$39,Clientes!$C$4:$C$39),Cadastros!$L$6:$L$12,Cadastros!$M$6:$M$12)," ")</f>
        <v xml:space="preserve"> </v>
      </c>
      <c r="M119" s="28"/>
      <c r="N119" s="28"/>
      <c r="O119" s="255" t="str">
        <f>IF(M119="","",(_xlfn.XLOOKUP(M119,Cadastros!$D$6:$D$90,Cadastros!$E$6:$E$90))*(1-_xlfn.XLOOKUP(_xlfn.XLOOKUP($F119,Clientes!$B$4:$B$39,Clientes!$C$4:$C$39),Cadastros!$L$6:$L$12,Cadastros!$N$6:$N$12)))</f>
        <v/>
      </c>
      <c r="P119" s="168" t="str">
        <f t="shared" si="15"/>
        <v/>
      </c>
      <c r="Q119" s="168" t="str">
        <f>IFERROR(P119/_xlfn.XLOOKUP(_xlfn.XLOOKUP($F119,Clientes!$B$4:$B$39,Clientes!$C$4:$C$39),Cadastros!$L$6:$L$12,Cadastros!$M$6:$M$12)," ")</f>
        <v xml:space="preserve"> </v>
      </c>
      <c r="R119" s="28"/>
      <c r="S119" s="28"/>
      <c r="T119" s="255" t="str">
        <f>IF(R119="","",(_xlfn.XLOOKUP(R119,Cadastros!$D$6:$D$90,Cadastros!$E$6:$E$90))*(1-_xlfn.XLOOKUP(_xlfn.XLOOKUP($F119,Clientes!$B$4:$B$39,Clientes!$C$4:$C$39),Cadastros!$L$6:$L$12,Cadastros!$N$6:$N$12)))</f>
        <v/>
      </c>
      <c r="U119" s="168" t="str">
        <f t="shared" si="16"/>
        <v/>
      </c>
      <c r="V119" s="168" t="str">
        <f>IFERROR(U119/_xlfn.XLOOKUP(_xlfn.XLOOKUP($F119,Clientes!$B$4:$B$39,Clientes!$C$4:$C$39),Cadastros!$L$6:$L$12,Cadastros!$M$6:$M$12)," ")</f>
        <v xml:space="preserve"> </v>
      </c>
      <c r="W119" s="28"/>
      <c r="X119" s="28"/>
      <c r="Y119" s="255" t="str">
        <f>IF(W119="","",(_xlfn.XLOOKUP(W119,Cadastros!$D$6:$D$90,Cadastros!$E$6:$E$90))*(1-_xlfn.XLOOKUP(_xlfn.XLOOKUP($F119,Clientes!$B$4:$B$39,Clientes!$C$4:$C$39),Cadastros!$L$6:$L$12,Cadastros!$N$6:$N$12)))</f>
        <v/>
      </c>
      <c r="Z119" s="168" t="str">
        <f t="shared" si="17"/>
        <v/>
      </c>
      <c r="AA119" s="168" t="str">
        <f>IFERROR(Z119/_xlfn.XLOOKUP(_xlfn.XLOOKUP($F119,Clientes!$B$4:$B$39,Clientes!$C$4:$C$39),Cadastros!$L$6:$L$12,Cadastros!$M$6:$M$12)," ")</f>
        <v xml:space="preserve"> </v>
      </c>
      <c r="AB119" s="28"/>
      <c r="AC119" s="28"/>
      <c r="AD119" s="20" t="str">
        <f>IF(AB119="","",IF($F119="Bernardino Furlan",_xlfn.XLOOKUP(AB119,Cadastros!$G$6:$G$90,Cadastros!$H$6:$H$90)*(1-0.18),IF($F119="Mauro José Salanti",_xlfn.XLOOKUP(AB119,Cadastros!$G$6:$G$90,Cadastros!$H$6:$H$90)*(1-0.18),_xlfn.XLOOKUP(AB119,Cadastros!$G$6:$G$90,Cadastros!$H$6:$H$90))))</f>
        <v/>
      </c>
      <c r="AE119" s="168" t="str">
        <f t="shared" si="18"/>
        <v/>
      </c>
      <c r="AF119" s="168" t="str">
        <f t="shared" si="19"/>
        <v/>
      </c>
      <c r="AG119" s="28"/>
      <c r="AH119" s="28"/>
      <c r="AI119" s="20" t="str">
        <f>IF(AG119="","",IF($F119="Bernardino Furlan",_xlfn.XLOOKUP(AG119,Cadastros!$G$6:$G$90,Cadastros!$H$6:$H$90)*(1-0.18),IF($F119="Mauro José Salanti",_xlfn.XLOOKUP(AG119,Cadastros!$G$6:$G$90,Cadastros!$H$6:$H$90)*(1-0.18),_xlfn.XLOOKUP(AG119,Cadastros!$G$6:$G$90,Cadastros!$H$6:$H$90))))</f>
        <v/>
      </c>
      <c r="AJ119" s="168" t="str">
        <f t="shared" si="20"/>
        <v/>
      </c>
      <c r="AK119" s="168" t="str">
        <f t="shared" si="21"/>
        <v/>
      </c>
      <c r="AL119" s="28"/>
      <c r="AM119" s="28"/>
      <c r="AN119" s="20" t="str">
        <f>IF(AL119="","",IF($F119="Bernardino Furlan",_xlfn.XLOOKUP(AL119,Cadastros!$G$6:$G$90,Cadastros!$H$6:$H$90)*(1-0.18),IF($F119="Mauro José Salanti",_xlfn.XLOOKUP(AL119,Cadastros!$G$6:$G$90,Cadastros!$H$6:$H$90)*(1-0.18),_xlfn.XLOOKUP(AL119,Cadastros!$G$6:$G$90,Cadastros!$H$6:$H$90))))</f>
        <v/>
      </c>
      <c r="AO119" s="168" t="str">
        <f t="shared" si="22"/>
        <v/>
      </c>
      <c r="AP119" s="168" t="str">
        <f t="shared" si="23"/>
        <v/>
      </c>
      <c r="AQ119" s="28"/>
      <c r="AR119" s="28"/>
      <c r="AS119" s="20" t="str">
        <f>IF(AQ119="","",IF($F119="Bernardino Furlan",_xlfn.XLOOKUP(AQ119,Cadastros!$G$6:$G$90,Cadastros!$H$6:$H$90)*(1-0.18),IF($F119="Mauro José Salanti",_xlfn.XLOOKUP(AQ119,Cadastros!$G$6:$G$90,Cadastros!$H$6:$H$90)*(1-0.18),_xlfn.XLOOKUP(AQ119,Cadastros!$G$6:$G$90,Cadastros!$H$6:$H$90))))</f>
        <v/>
      </c>
      <c r="AT119" s="168" t="str">
        <f t="shared" si="24"/>
        <v/>
      </c>
      <c r="AU119" s="168" t="str">
        <f t="shared" si="25"/>
        <v/>
      </c>
      <c r="AV119" s="227"/>
      <c r="AW119" s="30"/>
      <c r="AX119" s="267"/>
      <c r="AY119" s="267"/>
      <c r="AZ119" s="29"/>
      <c r="BA119" s="30"/>
      <c r="BB119" s="23" t="str" cm="1">
        <f t="array" ref="BB119">_xlfn.IFS(AW119="SIM",SUM(K119,P119,U119,Z119,AE119,AJ119,AO119,AT119,AX119,AY119),F119&lt;&gt;"",SUM(K119,P119,U119,Z119,AE119,AJ119,,AO119,AT119),F119="","")</f>
        <v/>
      </c>
      <c r="BC119" s="211" t="str" cm="1">
        <f t="array" ref="BC119">_xlfn.IFS(E119="","",G119&lt;=E119,BB119*(1-0.03),G119&lt;(E119+8),BB119,AZ119="Boleto",BB119*(1+0.001)^DATEDIF(E119,G119,"D"),AZ119="Cheque",BB119,AZ119="Dinheiro","Alterar forma pgto")</f>
        <v/>
      </c>
      <c r="BD119" s="276" t="str" cm="1">
        <f t="array" ref="BD119">IF(F119=0," ",IF(BC119&lt;BB119,(_xlfn.IFS(AW119="SIM",SUM(L119,Q119,V119,AA119,AF119,AK119,AP119,AU119)+AX119/_xlfn.XLOOKUP(_xlfn.XLOOKUP($F119,Clientes!$B$4:$B$39,Clientes!$C$4:$C$39),Cadastros!$L$6:$L$12,Cadastros!$M$6:$M$12)+IF($F119="Bernardino Furlan",AY119/2751.92,IF($F119="Mauro José Salanti",AY119/2751.92,AY119/3356)),F119&lt;&gt;0,SUM(L119,Q119,V119,AA119,AF119,AK119,AP119,AU119)))*(1-0.03),_xlfn.IFS(AW119="SIM",SUM(L119,Q119,V119,AA119,AF119,AK119,AP119,AU119)+AX119/_xlfn.XLOOKUP(_xlfn.XLOOKUP($F119,Clientes!$B$4:$B$39,Clientes!$C$4:$C$39),Cadastros!$L$6:$L$12,Cadastros!$M$6:$M$12)+IF($F119="Bernardino Furlan",AY119/2751.92,IF($F119="Mauro José Salanti",AY119/2751.92,AY119/3356)),F119&lt;&gt;0,SUM(L119,Q119,V119,AA119,AF119,AK119,AP119,AU119))))</f>
        <v xml:space="preserve"> </v>
      </c>
      <c r="BE119" s="120"/>
      <c r="BF119" s="120"/>
      <c r="BG119" s="120"/>
    </row>
    <row r="120" spans="1:59" s="3" customFormat="1" x14ac:dyDescent="0.3">
      <c r="A120" s="15" t="str">
        <f t="shared" si="13"/>
        <v/>
      </c>
      <c r="B120" s="25"/>
      <c r="C120" s="26"/>
      <c r="D120" s="279"/>
      <c r="E120" s="27"/>
      <c r="F120" s="28"/>
      <c r="G120" s="27"/>
      <c r="H120" s="28"/>
      <c r="I120" s="28"/>
      <c r="J120" s="255" t="str">
        <f>IF(H120="","",(_xlfn.XLOOKUP(H120,Cadastros!$D$6:$D$90,Cadastros!$E$6:$E$90))*(1-_xlfn.XLOOKUP(_xlfn.XLOOKUP($F120,Clientes!$B$4:$B$39,Clientes!$C$4:$C$39),Cadastros!$L$6:$L$12,Cadastros!$N$6:$N$12)))</f>
        <v/>
      </c>
      <c r="K120" s="168" t="str">
        <f t="shared" si="14"/>
        <v/>
      </c>
      <c r="L120" s="168" t="str">
        <f>IFERROR(K120/_xlfn.XLOOKUP(_xlfn.XLOOKUP($F120,Clientes!$B$4:$B$39,Clientes!$C$4:$C$39),Cadastros!$L$6:$L$12,Cadastros!$M$6:$M$12)," ")</f>
        <v xml:space="preserve"> </v>
      </c>
      <c r="M120" s="28"/>
      <c r="N120" s="28"/>
      <c r="O120" s="255" t="str">
        <f>IF(M120="","",(_xlfn.XLOOKUP(M120,Cadastros!$D$6:$D$90,Cadastros!$E$6:$E$90))*(1-_xlfn.XLOOKUP(_xlfn.XLOOKUP($F120,Clientes!$B$4:$B$39,Clientes!$C$4:$C$39),Cadastros!$L$6:$L$12,Cadastros!$N$6:$N$12)))</f>
        <v/>
      </c>
      <c r="P120" s="168" t="str">
        <f t="shared" si="15"/>
        <v/>
      </c>
      <c r="Q120" s="168" t="str">
        <f>IFERROR(P120/_xlfn.XLOOKUP(_xlfn.XLOOKUP($F120,Clientes!$B$4:$B$39,Clientes!$C$4:$C$39),Cadastros!$L$6:$L$12,Cadastros!$M$6:$M$12)," ")</f>
        <v xml:space="preserve"> </v>
      </c>
      <c r="R120" s="28"/>
      <c r="S120" s="28"/>
      <c r="T120" s="255" t="str">
        <f>IF(R120="","",(_xlfn.XLOOKUP(R120,Cadastros!$D$6:$D$90,Cadastros!$E$6:$E$90))*(1-_xlfn.XLOOKUP(_xlfn.XLOOKUP($F120,Clientes!$B$4:$B$39,Clientes!$C$4:$C$39),Cadastros!$L$6:$L$12,Cadastros!$N$6:$N$12)))</f>
        <v/>
      </c>
      <c r="U120" s="168" t="str">
        <f t="shared" si="16"/>
        <v/>
      </c>
      <c r="V120" s="168" t="str">
        <f>IFERROR(U120/_xlfn.XLOOKUP(_xlfn.XLOOKUP($F120,Clientes!$B$4:$B$39,Clientes!$C$4:$C$39),Cadastros!$L$6:$L$12,Cadastros!$M$6:$M$12)," ")</f>
        <v xml:space="preserve"> </v>
      </c>
      <c r="W120" s="28"/>
      <c r="X120" s="28"/>
      <c r="Y120" s="255" t="str">
        <f>IF(W120="","",(_xlfn.XLOOKUP(W120,Cadastros!$D$6:$D$90,Cadastros!$E$6:$E$90))*(1-_xlfn.XLOOKUP(_xlfn.XLOOKUP($F120,Clientes!$B$4:$B$39,Clientes!$C$4:$C$39),Cadastros!$L$6:$L$12,Cadastros!$N$6:$N$12)))</f>
        <v/>
      </c>
      <c r="Z120" s="168" t="str">
        <f t="shared" si="17"/>
        <v/>
      </c>
      <c r="AA120" s="168" t="str">
        <f>IFERROR(Z120/_xlfn.XLOOKUP(_xlfn.XLOOKUP($F120,Clientes!$B$4:$B$39,Clientes!$C$4:$C$39),Cadastros!$L$6:$L$12,Cadastros!$M$6:$M$12)," ")</f>
        <v xml:space="preserve"> </v>
      </c>
      <c r="AB120" s="28"/>
      <c r="AC120" s="28"/>
      <c r="AD120" s="20" t="str">
        <f>IF(AB120="","",IF($F120="Bernardino Furlan",_xlfn.XLOOKUP(AB120,Cadastros!$G$6:$G$90,Cadastros!$H$6:$H$90)*(1-0.18),IF($F120="Mauro José Salanti",_xlfn.XLOOKUP(AB120,Cadastros!$G$6:$G$90,Cadastros!$H$6:$H$90)*(1-0.18),_xlfn.XLOOKUP(AB120,Cadastros!$G$6:$G$90,Cadastros!$H$6:$H$90))))</f>
        <v/>
      </c>
      <c r="AE120" s="168" t="str">
        <f t="shared" si="18"/>
        <v/>
      </c>
      <c r="AF120" s="168" t="str">
        <f t="shared" si="19"/>
        <v/>
      </c>
      <c r="AG120" s="28"/>
      <c r="AH120" s="28"/>
      <c r="AI120" s="20" t="str">
        <f>IF(AG120="","",IF($F120="Bernardino Furlan",_xlfn.XLOOKUP(AG120,Cadastros!$G$6:$G$90,Cadastros!$H$6:$H$90)*(1-0.18),IF($F120="Mauro José Salanti",_xlfn.XLOOKUP(AG120,Cadastros!$G$6:$G$90,Cadastros!$H$6:$H$90)*(1-0.18),_xlfn.XLOOKUP(AG120,Cadastros!$G$6:$G$90,Cadastros!$H$6:$H$90))))</f>
        <v/>
      </c>
      <c r="AJ120" s="168" t="str">
        <f t="shared" si="20"/>
        <v/>
      </c>
      <c r="AK120" s="168" t="str">
        <f t="shared" si="21"/>
        <v/>
      </c>
      <c r="AL120" s="28"/>
      <c r="AM120" s="28"/>
      <c r="AN120" s="20" t="str">
        <f>IF(AL120="","",IF($F120="Bernardino Furlan",_xlfn.XLOOKUP(AL120,Cadastros!$G$6:$G$90,Cadastros!$H$6:$H$90)*(1-0.18),IF($F120="Mauro José Salanti",_xlfn.XLOOKUP(AL120,Cadastros!$G$6:$G$90,Cadastros!$H$6:$H$90)*(1-0.18),_xlfn.XLOOKUP(AL120,Cadastros!$G$6:$G$90,Cadastros!$H$6:$H$90))))</f>
        <v/>
      </c>
      <c r="AO120" s="168" t="str">
        <f t="shared" si="22"/>
        <v/>
      </c>
      <c r="AP120" s="168" t="str">
        <f t="shared" si="23"/>
        <v/>
      </c>
      <c r="AQ120" s="28"/>
      <c r="AR120" s="28"/>
      <c r="AS120" s="20" t="str">
        <f>IF(AQ120="","",IF($F120="Bernardino Furlan",_xlfn.XLOOKUP(AQ120,Cadastros!$G$6:$G$90,Cadastros!$H$6:$H$90)*(1-0.18),IF($F120="Mauro José Salanti",_xlfn.XLOOKUP(AQ120,Cadastros!$G$6:$G$90,Cadastros!$H$6:$H$90)*(1-0.18),_xlfn.XLOOKUP(AQ120,Cadastros!$G$6:$G$90,Cadastros!$H$6:$H$90))))</f>
        <v/>
      </c>
      <c r="AT120" s="168" t="str">
        <f t="shared" si="24"/>
        <v/>
      </c>
      <c r="AU120" s="168" t="str">
        <f t="shared" si="25"/>
        <v/>
      </c>
      <c r="AV120" s="227"/>
      <c r="AW120" s="30"/>
      <c r="AX120" s="267"/>
      <c r="AY120" s="267"/>
      <c r="AZ120" s="29"/>
      <c r="BA120" s="30"/>
      <c r="BB120" s="23" t="str" cm="1">
        <f t="array" ref="BB120">_xlfn.IFS(AW120="SIM",SUM(K120,P120,U120,Z120,AE120,AJ120,AO120,AT120,AX120,AY120),F120&lt;&gt;"",SUM(K120,P120,U120,Z120,AE120,AJ120,,AO120,AT120),F120="","")</f>
        <v/>
      </c>
      <c r="BC120" s="211" t="str" cm="1">
        <f t="array" ref="BC120">_xlfn.IFS(E120="","",G120&lt;=E120,BB120*(1-0.03),G120&lt;(E120+8),BB120,AZ120="Boleto",BB120*(1+0.001)^DATEDIF(E120,G120,"D"),AZ120="Cheque",BB120,AZ120="Dinheiro","Alterar forma pgto")</f>
        <v/>
      </c>
      <c r="BD120" s="276" t="str" cm="1">
        <f t="array" ref="BD120">IF(F120=0," ",IF(BC120&lt;BB120,(_xlfn.IFS(AW120="SIM",SUM(L120,Q120,V120,AA120,AF120,AK120,AP120,AU120)+AX120/_xlfn.XLOOKUP(_xlfn.XLOOKUP($F120,Clientes!$B$4:$B$39,Clientes!$C$4:$C$39),Cadastros!$L$6:$L$12,Cadastros!$M$6:$M$12)+IF($F120="Bernardino Furlan",AY120/2751.92,IF($F120="Mauro José Salanti",AY120/2751.92,AY120/3356)),F120&lt;&gt;0,SUM(L120,Q120,V120,AA120,AF120,AK120,AP120,AU120)))*(1-0.03),_xlfn.IFS(AW120="SIM",SUM(L120,Q120,V120,AA120,AF120,AK120,AP120,AU120)+AX120/_xlfn.XLOOKUP(_xlfn.XLOOKUP($F120,Clientes!$B$4:$B$39,Clientes!$C$4:$C$39),Cadastros!$L$6:$L$12,Cadastros!$M$6:$M$12)+IF($F120="Bernardino Furlan",AY120/2751.92,IF($F120="Mauro José Salanti",AY120/2751.92,AY120/3356)),F120&lt;&gt;0,SUM(L120,Q120,V120,AA120,AF120,AK120,AP120,AU120))))</f>
        <v xml:space="preserve"> </v>
      </c>
      <c r="BE120" s="120"/>
      <c r="BF120" s="120"/>
      <c r="BG120" s="120"/>
    </row>
    <row r="121" spans="1:59" s="3" customFormat="1" x14ac:dyDescent="0.3">
      <c r="A121" s="15" t="str">
        <f t="shared" si="13"/>
        <v/>
      </c>
      <c r="B121" s="25"/>
      <c r="C121" s="26"/>
      <c r="D121" s="279"/>
      <c r="E121" s="27"/>
      <c r="F121" s="28"/>
      <c r="G121" s="27"/>
      <c r="H121" s="28"/>
      <c r="I121" s="28"/>
      <c r="J121" s="255" t="str">
        <f>IF(H121="","",(_xlfn.XLOOKUP(H121,Cadastros!$D$6:$D$90,Cadastros!$E$6:$E$90))*(1-_xlfn.XLOOKUP(_xlfn.XLOOKUP($F121,Clientes!$B$4:$B$39,Clientes!$C$4:$C$39),Cadastros!$L$6:$L$12,Cadastros!$N$6:$N$12)))</f>
        <v/>
      </c>
      <c r="K121" s="168" t="str">
        <f t="shared" si="14"/>
        <v/>
      </c>
      <c r="L121" s="168" t="str">
        <f>IFERROR(K121/_xlfn.XLOOKUP(_xlfn.XLOOKUP($F121,Clientes!$B$4:$B$39,Clientes!$C$4:$C$39),Cadastros!$L$6:$L$12,Cadastros!$M$6:$M$12)," ")</f>
        <v xml:space="preserve"> </v>
      </c>
      <c r="M121" s="28"/>
      <c r="N121" s="28"/>
      <c r="O121" s="255" t="str">
        <f>IF(M121="","",(_xlfn.XLOOKUP(M121,Cadastros!$D$6:$D$90,Cadastros!$E$6:$E$90))*(1-_xlfn.XLOOKUP(_xlfn.XLOOKUP($F121,Clientes!$B$4:$B$39,Clientes!$C$4:$C$39),Cadastros!$L$6:$L$12,Cadastros!$N$6:$N$12)))</f>
        <v/>
      </c>
      <c r="P121" s="168" t="str">
        <f t="shared" si="15"/>
        <v/>
      </c>
      <c r="Q121" s="168" t="str">
        <f>IFERROR(P121/_xlfn.XLOOKUP(_xlfn.XLOOKUP($F121,Clientes!$B$4:$B$39,Clientes!$C$4:$C$39),Cadastros!$L$6:$L$12,Cadastros!$M$6:$M$12)," ")</f>
        <v xml:space="preserve"> </v>
      </c>
      <c r="R121" s="28"/>
      <c r="S121" s="28"/>
      <c r="T121" s="255" t="str">
        <f>IF(R121="","",(_xlfn.XLOOKUP(R121,Cadastros!$D$6:$D$90,Cadastros!$E$6:$E$90))*(1-_xlfn.XLOOKUP(_xlfn.XLOOKUP($F121,Clientes!$B$4:$B$39,Clientes!$C$4:$C$39),Cadastros!$L$6:$L$12,Cadastros!$N$6:$N$12)))</f>
        <v/>
      </c>
      <c r="U121" s="168" t="str">
        <f t="shared" si="16"/>
        <v/>
      </c>
      <c r="V121" s="168" t="str">
        <f>IFERROR(U121/_xlfn.XLOOKUP(_xlfn.XLOOKUP($F121,Clientes!$B$4:$B$39,Clientes!$C$4:$C$39),Cadastros!$L$6:$L$12,Cadastros!$M$6:$M$12)," ")</f>
        <v xml:space="preserve"> </v>
      </c>
      <c r="W121" s="28"/>
      <c r="X121" s="28"/>
      <c r="Y121" s="255" t="str">
        <f>IF(W121="","",(_xlfn.XLOOKUP(W121,Cadastros!$D$6:$D$90,Cadastros!$E$6:$E$90))*(1-_xlfn.XLOOKUP(_xlfn.XLOOKUP($F121,Clientes!$B$4:$B$39,Clientes!$C$4:$C$39),Cadastros!$L$6:$L$12,Cadastros!$N$6:$N$12)))</f>
        <v/>
      </c>
      <c r="Z121" s="168" t="str">
        <f t="shared" si="17"/>
        <v/>
      </c>
      <c r="AA121" s="168" t="str">
        <f>IFERROR(Z121/_xlfn.XLOOKUP(_xlfn.XLOOKUP($F121,Clientes!$B$4:$B$39,Clientes!$C$4:$C$39),Cadastros!$L$6:$L$12,Cadastros!$M$6:$M$12)," ")</f>
        <v xml:space="preserve"> </v>
      </c>
      <c r="AB121" s="28"/>
      <c r="AC121" s="28"/>
      <c r="AD121" s="20" t="str">
        <f>IF(AB121="","",IF($F121="Bernardino Furlan",_xlfn.XLOOKUP(AB121,Cadastros!$G$6:$G$90,Cadastros!$H$6:$H$90)*(1-0.18),IF($F121="Mauro José Salanti",_xlfn.XLOOKUP(AB121,Cadastros!$G$6:$G$90,Cadastros!$H$6:$H$90)*(1-0.18),_xlfn.XLOOKUP(AB121,Cadastros!$G$6:$G$90,Cadastros!$H$6:$H$90))))</f>
        <v/>
      </c>
      <c r="AE121" s="168" t="str">
        <f t="shared" si="18"/>
        <v/>
      </c>
      <c r="AF121" s="168" t="str">
        <f t="shared" si="19"/>
        <v/>
      </c>
      <c r="AG121" s="28"/>
      <c r="AH121" s="28"/>
      <c r="AI121" s="20" t="str">
        <f>IF(AG121="","",IF($F121="Bernardino Furlan",_xlfn.XLOOKUP(AG121,Cadastros!$G$6:$G$90,Cadastros!$H$6:$H$90)*(1-0.18),IF($F121="Mauro José Salanti",_xlfn.XLOOKUP(AG121,Cadastros!$G$6:$G$90,Cadastros!$H$6:$H$90)*(1-0.18),_xlfn.XLOOKUP(AG121,Cadastros!$G$6:$G$90,Cadastros!$H$6:$H$90))))</f>
        <v/>
      </c>
      <c r="AJ121" s="168" t="str">
        <f t="shared" si="20"/>
        <v/>
      </c>
      <c r="AK121" s="168" t="str">
        <f t="shared" si="21"/>
        <v/>
      </c>
      <c r="AL121" s="28"/>
      <c r="AM121" s="28"/>
      <c r="AN121" s="20" t="str">
        <f>IF(AL121="","",IF($F121="Bernardino Furlan",_xlfn.XLOOKUP(AL121,Cadastros!$G$6:$G$90,Cadastros!$H$6:$H$90)*(1-0.18),IF($F121="Mauro José Salanti",_xlfn.XLOOKUP(AL121,Cadastros!$G$6:$G$90,Cadastros!$H$6:$H$90)*(1-0.18),_xlfn.XLOOKUP(AL121,Cadastros!$G$6:$G$90,Cadastros!$H$6:$H$90))))</f>
        <v/>
      </c>
      <c r="AO121" s="168" t="str">
        <f t="shared" si="22"/>
        <v/>
      </c>
      <c r="AP121" s="168" t="str">
        <f t="shared" si="23"/>
        <v/>
      </c>
      <c r="AQ121" s="28"/>
      <c r="AR121" s="28"/>
      <c r="AS121" s="20" t="str">
        <f>IF(AQ121="","",IF($F121="Bernardino Furlan",_xlfn.XLOOKUP(AQ121,Cadastros!$G$6:$G$90,Cadastros!$H$6:$H$90)*(1-0.18),IF($F121="Mauro José Salanti",_xlfn.XLOOKUP(AQ121,Cadastros!$G$6:$G$90,Cadastros!$H$6:$H$90)*(1-0.18),_xlfn.XLOOKUP(AQ121,Cadastros!$G$6:$G$90,Cadastros!$H$6:$H$90))))</f>
        <v/>
      </c>
      <c r="AT121" s="168" t="str">
        <f t="shared" si="24"/>
        <v/>
      </c>
      <c r="AU121" s="168" t="str">
        <f t="shared" si="25"/>
        <v/>
      </c>
      <c r="AV121" s="227"/>
      <c r="AW121" s="30"/>
      <c r="AX121" s="267"/>
      <c r="AY121" s="267"/>
      <c r="AZ121" s="29"/>
      <c r="BA121" s="30"/>
      <c r="BB121" s="23" t="str" cm="1">
        <f t="array" ref="BB121">_xlfn.IFS(AW121="SIM",SUM(K121,P121,U121,Z121,AE121,AJ121,AO121,AT121,AX121,AY121),F121&lt;&gt;"",SUM(K121,P121,U121,Z121,AE121,AJ121,,AO121,AT121),F121="","")</f>
        <v/>
      </c>
      <c r="BC121" s="211" t="str" cm="1">
        <f t="array" ref="BC121">_xlfn.IFS(E121="","",G121&lt;=E121,BB121*(1-0.03),G121&lt;(E121+8),BB121,AZ121="Boleto",BB121*(1+0.001)^DATEDIF(E121,G121,"D"),AZ121="Cheque",BB121,AZ121="Dinheiro","Alterar forma pgto")</f>
        <v/>
      </c>
      <c r="BD121" s="276" t="str" cm="1">
        <f t="array" ref="BD121">IF(F121=0," ",IF(BC121&lt;BB121,(_xlfn.IFS(AW121="SIM",SUM(L121,Q121,V121,AA121,AF121,AK121,AP121,AU121)+AX121/_xlfn.XLOOKUP(_xlfn.XLOOKUP($F121,Clientes!$B$4:$B$39,Clientes!$C$4:$C$39),Cadastros!$L$6:$L$12,Cadastros!$M$6:$M$12)+IF($F121="Bernardino Furlan",AY121/2751.92,IF($F121="Mauro José Salanti",AY121/2751.92,AY121/3356)),F121&lt;&gt;0,SUM(L121,Q121,V121,AA121,AF121,AK121,AP121,AU121)))*(1-0.03),_xlfn.IFS(AW121="SIM",SUM(L121,Q121,V121,AA121,AF121,AK121,AP121,AU121)+AX121/_xlfn.XLOOKUP(_xlfn.XLOOKUP($F121,Clientes!$B$4:$B$39,Clientes!$C$4:$C$39),Cadastros!$L$6:$L$12,Cadastros!$M$6:$M$12)+IF($F121="Bernardino Furlan",AY121/2751.92,IF($F121="Mauro José Salanti",AY121/2751.92,AY121/3356)),F121&lt;&gt;0,SUM(L121,Q121,V121,AA121,AF121,AK121,AP121,AU121))))</f>
        <v xml:space="preserve"> </v>
      </c>
      <c r="BE121" s="120"/>
      <c r="BF121" s="120"/>
      <c r="BG121" s="120"/>
    </row>
    <row r="122" spans="1:59" s="3" customFormat="1" x14ac:dyDescent="0.3">
      <c r="A122" s="15" t="str">
        <f t="shared" si="13"/>
        <v/>
      </c>
      <c r="B122" s="25"/>
      <c r="C122" s="26"/>
      <c r="D122" s="279"/>
      <c r="E122" s="27"/>
      <c r="F122" s="28"/>
      <c r="G122" s="27"/>
      <c r="H122" s="28"/>
      <c r="I122" s="28"/>
      <c r="J122" s="255" t="str">
        <f>IF(H122="","",(_xlfn.XLOOKUP(H122,Cadastros!$D$6:$D$90,Cadastros!$E$6:$E$90))*(1-_xlfn.XLOOKUP(_xlfn.XLOOKUP($F122,Clientes!$B$4:$B$39,Clientes!$C$4:$C$39),Cadastros!$L$6:$L$12,Cadastros!$N$6:$N$12)))</f>
        <v/>
      </c>
      <c r="K122" s="168" t="str">
        <f t="shared" si="14"/>
        <v/>
      </c>
      <c r="L122" s="168" t="str">
        <f>IFERROR(K122/_xlfn.XLOOKUP(_xlfn.XLOOKUP($F122,Clientes!$B$4:$B$39,Clientes!$C$4:$C$39),Cadastros!$L$6:$L$12,Cadastros!$M$6:$M$12)," ")</f>
        <v xml:space="preserve"> </v>
      </c>
      <c r="M122" s="28"/>
      <c r="N122" s="28"/>
      <c r="O122" s="255" t="str">
        <f>IF(M122="","",(_xlfn.XLOOKUP(M122,Cadastros!$D$6:$D$90,Cadastros!$E$6:$E$90))*(1-_xlfn.XLOOKUP(_xlfn.XLOOKUP($F122,Clientes!$B$4:$B$39,Clientes!$C$4:$C$39),Cadastros!$L$6:$L$12,Cadastros!$N$6:$N$12)))</f>
        <v/>
      </c>
      <c r="P122" s="168" t="str">
        <f t="shared" si="15"/>
        <v/>
      </c>
      <c r="Q122" s="168" t="str">
        <f>IFERROR(P122/_xlfn.XLOOKUP(_xlfn.XLOOKUP($F122,Clientes!$B$4:$B$39,Clientes!$C$4:$C$39),Cadastros!$L$6:$L$12,Cadastros!$M$6:$M$12)," ")</f>
        <v xml:space="preserve"> </v>
      </c>
      <c r="R122" s="28"/>
      <c r="S122" s="28"/>
      <c r="T122" s="255" t="str">
        <f>IF(R122="","",(_xlfn.XLOOKUP(R122,Cadastros!$D$6:$D$90,Cadastros!$E$6:$E$90))*(1-_xlfn.XLOOKUP(_xlfn.XLOOKUP($F122,Clientes!$B$4:$B$39,Clientes!$C$4:$C$39),Cadastros!$L$6:$L$12,Cadastros!$N$6:$N$12)))</f>
        <v/>
      </c>
      <c r="U122" s="168" t="str">
        <f t="shared" si="16"/>
        <v/>
      </c>
      <c r="V122" s="168" t="str">
        <f>IFERROR(U122/_xlfn.XLOOKUP(_xlfn.XLOOKUP($F122,Clientes!$B$4:$B$39,Clientes!$C$4:$C$39),Cadastros!$L$6:$L$12,Cadastros!$M$6:$M$12)," ")</f>
        <v xml:space="preserve"> </v>
      </c>
      <c r="W122" s="28"/>
      <c r="X122" s="28"/>
      <c r="Y122" s="255" t="str">
        <f>IF(W122="","",(_xlfn.XLOOKUP(W122,Cadastros!$D$6:$D$90,Cadastros!$E$6:$E$90))*(1-_xlfn.XLOOKUP(_xlfn.XLOOKUP($F122,Clientes!$B$4:$B$39,Clientes!$C$4:$C$39),Cadastros!$L$6:$L$12,Cadastros!$N$6:$N$12)))</f>
        <v/>
      </c>
      <c r="Z122" s="168" t="str">
        <f t="shared" si="17"/>
        <v/>
      </c>
      <c r="AA122" s="168" t="str">
        <f>IFERROR(Z122/_xlfn.XLOOKUP(_xlfn.XLOOKUP($F122,Clientes!$B$4:$B$39,Clientes!$C$4:$C$39),Cadastros!$L$6:$L$12,Cadastros!$M$6:$M$12)," ")</f>
        <v xml:space="preserve"> </v>
      </c>
      <c r="AB122" s="28"/>
      <c r="AC122" s="28"/>
      <c r="AD122" s="20" t="str">
        <f>IF(AB122="","",IF($F122="Bernardino Furlan",_xlfn.XLOOKUP(AB122,Cadastros!$G$6:$G$90,Cadastros!$H$6:$H$90)*(1-0.18),IF($F122="Mauro José Salanti",_xlfn.XLOOKUP(AB122,Cadastros!$G$6:$G$90,Cadastros!$H$6:$H$90)*(1-0.18),_xlfn.XLOOKUP(AB122,Cadastros!$G$6:$G$90,Cadastros!$H$6:$H$90))))</f>
        <v/>
      </c>
      <c r="AE122" s="168" t="str">
        <f t="shared" si="18"/>
        <v/>
      </c>
      <c r="AF122" s="168" t="str">
        <f t="shared" si="19"/>
        <v/>
      </c>
      <c r="AG122" s="28"/>
      <c r="AH122" s="28"/>
      <c r="AI122" s="20" t="str">
        <f>IF(AG122="","",IF($F122="Bernardino Furlan",_xlfn.XLOOKUP(AG122,Cadastros!$G$6:$G$90,Cadastros!$H$6:$H$90)*(1-0.18),IF($F122="Mauro José Salanti",_xlfn.XLOOKUP(AG122,Cadastros!$G$6:$G$90,Cadastros!$H$6:$H$90)*(1-0.18),_xlfn.XLOOKUP(AG122,Cadastros!$G$6:$G$90,Cadastros!$H$6:$H$90))))</f>
        <v/>
      </c>
      <c r="AJ122" s="168" t="str">
        <f t="shared" si="20"/>
        <v/>
      </c>
      <c r="AK122" s="168" t="str">
        <f t="shared" si="21"/>
        <v/>
      </c>
      <c r="AL122" s="28"/>
      <c r="AM122" s="28"/>
      <c r="AN122" s="20" t="str">
        <f>IF(AL122="","",IF($F122="Bernardino Furlan",_xlfn.XLOOKUP(AL122,Cadastros!$G$6:$G$90,Cadastros!$H$6:$H$90)*(1-0.18),IF($F122="Mauro José Salanti",_xlfn.XLOOKUP(AL122,Cadastros!$G$6:$G$90,Cadastros!$H$6:$H$90)*(1-0.18),_xlfn.XLOOKUP(AL122,Cadastros!$G$6:$G$90,Cadastros!$H$6:$H$90))))</f>
        <v/>
      </c>
      <c r="AO122" s="168" t="str">
        <f t="shared" si="22"/>
        <v/>
      </c>
      <c r="AP122" s="168" t="str">
        <f t="shared" si="23"/>
        <v/>
      </c>
      <c r="AQ122" s="28"/>
      <c r="AR122" s="28"/>
      <c r="AS122" s="20" t="str">
        <f>IF(AQ122="","",IF($F122="Bernardino Furlan",_xlfn.XLOOKUP(AQ122,Cadastros!$G$6:$G$90,Cadastros!$H$6:$H$90)*(1-0.18),IF($F122="Mauro José Salanti",_xlfn.XLOOKUP(AQ122,Cadastros!$G$6:$G$90,Cadastros!$H$6:$H$90)*(1-0.18),_xlfn.XLOOKUP(AQ122,Cadastros!$G$6:$G$90,Cadastros!$H$6:$H$90))))</f>
        <v/>
      </c>
      <c r="AT122" s="168" t="str">
        <f t="shared" si="24"/>
        <v/>
      </c>
      <c r="AU122" s="168" t="str">
        <f t="shared" si="25"/>
        <v/>
      </c>
      <c r="AV122" s="227"/>
      <c r="AW122" s="30"/>
      <c r="AX122" s="267"/>
      <c r="AY122" s="267"/>
      <c r="AZ122" s="29"/>
      <c r="BA122" s="30"/>
      <c r="BB122" s="23" t="str" cm="1">
        <f t="array" ref="BB122">_xlfn.IFS(AW122="SIM",SUM(K122,P122,U122,Z122,AE122,AJ122,AO122,AT122,AX122,AY122),F122&lt;&gt;"",SUM(K122,P122,U122,Z122,AE122,AJ122,,AO122,AT122),F122="","")</f>
        <v/>
      </c>
      <c r="BC122" s="211" t="str" cm="1">
        <f t="array" ref="BC122">_xlfn.IFS(E122="","",G122&lt;=E122,BB122*(1-0.03),G122&lt;(E122+8),BB122,AZ122="Boleto",BB122*(1+0.001)^DATEDIF(E122,G122,"D"),AZ122="Cheque",BB122,AZ122="Dinheiro","Alterar forma pgto")</f>
        <v/>
      </c>
      <c r="BD122" s="276" t="str" cm="1">
        <f t="array" ref="BD122">IF(F122=0," ",IF(BC122&lt;BB122,(_xlfn.IFS(AW122="SIM",SUM(L122,Q122,V122,AA122,AF122,AK122,AP122,AU122)+AX122/_xlfn.XLOOKUP(_xlfn.XLOOKUP($F122,Clientes!$B$4:$B$39,Clientes!$C$4:$C$39),Cadastros!$L$6:$L$12,Cadastros!$M$6:$M$12)+IF($F122="Bernardino Furlan",AY122/2751.92,IF($F122="Mauro José Salanti",AY122/2751.92,AY122/3356)),F122&lt;&gt;0,SUM(L122,Q122,V122,AA122,AF122,AK122,AP122,AU122)))*(1-0.03),_xlfn.IFS(AW122="SIM",SUM(L122,Q122,V122,AA122,AF122,AK122,AP122,AU122)+AX122/_xlfn.XLOOKUP(_xlfn.XLOOKUP($F122,Clientes!$B$4:$B$39,Clientes!$C$4:$C$39),Cadastros!$L$6:$L$12,Cadastros!$M$6:$M$12)+IF($F122="Bernardino Furlan",AY122/2751.92,IF($F122="Mauro José Salanti",AY122/2751.92,AY122/3356)),F122&lt;&gt;0,SUM(L122,Q122,V122,AA122,AF122,AK122,AP122,AU122))))</f>
        <v xml:space="preserve"> </v>
      </c>
      <c r="BE122" s="120"/>
      <c r="BF122" s="120"/>
      <c r="BG122" s="120"/>
    </row>
    <row r="123" spans="1:59" s="3" customFormat="1" x14ac:dyDescent="0.3">
      <c r="A123" s="15" t="str">
        <f t="shared" si="13"/>
        <v/>
      </c>
      <c r="B123" s="25"/>
      <c r="C123" s="26"/>
      <c r="D123" s="279"/>
      <c r="E123" s="27"/>
      <c r="F123" s="28"/>
      <c r="G123" s="27"/>
      <c r="H123" s="28"/>
      <c r="I123" s="28"/>
      <c r="J123" s="255" t="str">
        <f>IF(H123="","",(_xlfn.XLOOKUP(H123,Cadastros!$D$6:$D$90,Cadastros!$E$6:$E$90))*(1-_xlfn.XLOOKUP(_xlfn.XLOOKUP($F123,Clientes!$B$4:$B$39,Clientes!$C$4:$C$39),Cadastros!$L$6:$L$12,Cadastros!$N$6:$N$12)))</f>
        <v/>
      </c>
      <c r="K123" s="168" t="str">
        <f t="shared" si="14"/>
        <v/>
      </c>
      <c r="L123" s="168" t="str">
        <f>IFERROR(K123/_xlfn.XLOOKUP(_xlfn.XLOOKUP($F123,Clientes!$B$4:$B$39,Clientes!$C$4:$C$39),Cadastros!$L$6:$L$12,Cadastros!$M$6:$M$12)," ")</f>
        <v xml:space="preserve"> </v>
      </c>
      <c r="M123" s="28"/>
      <c r="N123" s="28"/>
      <c r="O123" s="255" t="str">
        <f>IF(M123="","",(_xlfn.XLOOKUP(M123,Cadastros!$D$6:$D$90,Cadastros!$E$6:$E$90))*(1-_xlfn.XLOOKUP(_xlfn.XLOOKUP($F123,Clientes!$B$4:$B$39,Clientes!$C$4:$C$39),Cadastros!$L$6:$L$12,Cadastros!$N$6:$N$12)))</f>
        <v/>
      </c>
      <c r="P123" s="168" t="str">
        <f t="shared" si="15"/>
        <v/>
      </c>
      <c r="Q123" s="168" t="str">
        <f>IFERROR(P123/_xlfn.XLOOKUP(_xlfn.XLOOKUP($F123,Clientes!$B$4:$B$39,Clientes!$C$4:$C$39),Cadastros!$L$6:$L$12,Cadastros!$M$6:$M$12)," ")</f>
        <v xml:space="preserve"> </v>
      </c>
      <c r="R123" s="28"/>
      <c r="S123" s="28"/>
      <c r="T123" s="255" t="str">
        <f>IF(R123="","",(_xlfn.XLOOKUP(R123,Cadastros!$D$6:$D$90,Cadastros!$E$6:$E$90))*(1-_xlfn.XLOOKUP(_xlfn.XLOOKUP($F123,Clientes!$B$4:$B$39,Clientes!$C$4:$C$39),Cadastros!$L$6:$L$12,Cadastros!$N$6:$N$12)))</f>
        <v/>
      </c>
      <c r="U123" s="168" t="str">
        <f t="shared" si="16"/>
        <v/>
      </c>
      <c r="V123" s="168" t="str">
        <f>IFERROR(U123/_xlfn.XLOOKUP(_xlfn.XLOOKUP($F123,Clientes!$B$4:$B$39,Clientes!$C$4:$C$39),Cadastros!$L$6:$L$12,Cadastros!$M$6:$M$12)," ")</f>
        <v xml:space="preserve"> </v>
      </c>
      <c r="W123" s="28"/>
      <c r="X123" s="28"/>
      <c r="Y123" s="255" t="str">
        <f>IF(W123="","",(_xlfn.XLOOKUP(W123,Cadastros!$D$6:$D$90,Cadastros!$E$6:$E$90))*(1-_xlfn.XLOOKUP(_xlfn.XLOOKUP($F123,Clientes!$B$4:$B$39,Clientes!$C$4:$C$39),Cadastros!$L$6:$L$12,Cadastros!$N$6:$N$12)))</f>
        <v/>
      </c>
      <c r="Z123" s="168" t="str">
        <f t="shared" si="17"/>
        <v/>
      </c>
      <c r="AA123" s="168" t="str">
        <f>IFERROR(Z123/_xlfn.XLOOKUP(_xlfn.XLOOKUP($F123,Clientes!$B$4:$B$39,Clientes!$C$4:$C$39),Cadastros!$L$6:$L$12,Cadastros!$M$6:$M$12)," ")</f>
        <v xml:space="preserve"> </v>
      </c>
      <c r="AB123" s="28"/>
      <c r="AC123" s="28"/>
      <c r="AD123" s="20" t="str">
        <f>IF(AB123="","",IF($F123="Bernardino Furlan",_xlfn.XLOOKUP(AB123,Cadastros!$G$6:$G$90,Cadastros!$H$6:$H$90)*(1-0.18),IF($F123="Mauro José Salanti",_xlfn.XLOOKUP(AB123,Cadastros!$G$6:$G$90,Cadastros!$H$6:$H$90)*(1-0.18),_xlfn.XLOOKUP(AB123,Cadastros!$G$6:$G$90,Cadastros!$H$6:$H$90))))</f>
        <v/>
      </c>
      <c r="AE123" s="168" t="str">
        <f t="shared" si="18"/>
        <v/>
      </c>
      <c r="AF123" s="168" t="str">
        <f t="shared" si="19"/>
        <v/>
      </c>
      <c r="AG123" s="28"/>
      <c r="AH123" s="28"/>
      <c r="AI123" s="20" t="str">
        <f>IF(AG123="","",IF($F123="Bernardino Furlan",_xlfn.XLOOKUP(AG123,Cadastros!$G$6:$G$90,Cadastros!$H$6:$H$90)*(1-0.18),IF($F123="Mauro José Salanti",_xlfn.XLOOKUP(AG123,Cadastros!$G$6:$G$90,Cadastros!$H$6:$H$90)*(1-0.18),_xlfn.XLOOKUP(AG123,Cadastros!$G$6:$G$90,Cadastros!$H$6:$H$90))))</f>
        <v/>
      </c>
      <c r="AJ123" s="168" t="str">
        <f t="shared" si="20"/>
        <v/>
      </c>
      <c r="AK123" s="168" t="str">
        <f t="shared" si="21"/>
        <v/>
      </c>
      <c r="AL123" s="28"/>
      <c r="AM123" s="28"/>
      <c r="AN123" s="20" t="str">
        <f>IF(AL123="","",IF($F123="Bernardino Furlan",_xlfn.XLOOKUP(AL123,Cadastros!$G$6:$G$90,Cadastros!$H$6:$H$90)*(1-0.18),IF($F123="Mauro José Salanti",_xlfn.XLOOKUP(AL123,Cadastros!$G$6:$G$90,Cadastros!$H$6:$H$90)*(1-0.18),_xlfn.XLOOKUP(AL123,Cadastros!$G$6:$G$90,Cadastros!$H$6:$H$90))))</f>
        <v/>
      </c>
      <c r="AO123" s="168" t="str">
        <f t="shared" si="22"/>
        <v/>
      </c>
      <c r="AP123" s="168" t="str">
        <f t="shared" si="23"/>
        <v/>
      </c>
      <c r="AQ123" s="28"/>
      <c r="AR123" s="28"/>
      <c r="AS123" s="20" t="str">
        <f>IF(AQ123="","",IF($F123="Bernardino Furlan",_xlfn.XLOOKUP(AQ123,Cadastros!$G$6:$G$90,Cadastros!$H$6:$H$90)*(1-0.18),IF($F123="Mauro José Salanti",_xlfn.XLOOKUP(AQ123,Cadastros!$G$6:$G$90,Cadastros!$H$6:$H$90)*(1-0.18),_xlfn.XLOOKUP(AQ123,Cadastros!$G$6:$G$90,Cadastros!$H$6:$H$90))))</f>
        <v/>
      </c>
      <c r="AT123" s="168" t="str">
        <f t="shared" si="24"/>
        <v/>
      </c>
      <c r="AU123" s="168" t="str">
        <f t="shared" si="25"/>
        <v/>
      </c>
      <c r="AV123" s="227"/>
      <c r="AW123" s="30"/>
      <c r="AX123" s="267"/>
      <c r="AY123" s="267"/>
      <c r="AZ123" s="29"/>
      <c r="BA123" s="30"/>
      <c r="BB123" s="23" t="str" cm="1">
        <f t="array" ref="BB123">_xlfn.IFS(AW123="SIM",SUM(K123,P123,U123,Z123,AE123,AJ123,AO123,AT123,AX123,AY123),F123&lt;&gt;"",SUM(K123,P123,U123,Z123,AE123,AJ123,,AO123,AT123),F123="","")</f>
        <v/>
      </c>
      <c r="BC123" s="211" t="str" cm="1">
        <f t="array" ref="BC123">_xlfn.IFS(E123="","",G123&lt;=E123,BB123*(1-0.03),G123&lt;(E123+8),BB123,AZ123="Boleto",BB123*(1+0.001)^DATEDIF(E123,G123,"D"),AZ123="Cheque",BB123,AZ123="Dinheiro","Alterar forma pgto")</f>
        <v/>
      </c>
      <c r="BD123" s="276" t="str" cm="1">
        <f t="array" ref="BD123">IF(F123=0," ",IF(BC123&lt;BB123,(_xlfn.IFS(AW123="SIM",SUM(L123,Q123,V123,AA123,AF123,AK123,AP123,AU123)+AX123/_xlfn.XLOOKUP(_xlfn.XLOOKUP($F123,Clientes!$B$4:$B$39,Clientes!$C$4:$C$39),Cadastros!$L$6:$L$12,Cadastros!$M$6:$M$12)+IF($F123="Bernardino Furlan",AY123/2751.92,IF($F123="Mauro José Salanti",AY123/2751.92,AY123/3356)),F123&lt;&gt;0,SUM(L123,Q123,V123,AA123,AF123,AK123,AP123,AU123)))*(1-0.03),_xlfn.IFS(AW123="SIM",SUM(L123,Q123,V123,AA123,AF123,AK123,AP123,AU123)+AX123/_xlfn.XLOOKUP(_xlfn.XLOOKUP($F123,Clientes!$B$4:$B$39,Clientes!$C$4:$C$39),Cadastros!$L$6:$L$12,Cadastros!$M$6:$M$12)+IF($F123="Bernardino Furlan",AY123/2751.92,IF($F123="Mauro José Salanti",AY123/2751.92,AY123/3356)),F123&lt;&gt;0,SUM(L123,Q123,V123,AA123,AF123,AK123,AP123,AU123))))</f>
        <v xml:space="preserve"> </v>
      </c>
      <c r="BE123" s="120"/>
      <c r="BF123" s="120"/>
      <c r="BG123" s="120"/>
    </row>
    <row r="124" spans="1:59" s="3" customFormat="1" x14ac:dyDescent="0.3">
      <c r="A124" s="15" t="str">
        <f t="shared" si="13"/>
        <v/>
      </c>
      <c r="B124" s="25"/>
      <c r="C124" s="26"/>
      <c r="D124" s="279"/>
      <c r="E124" s="27"/>
      <c r="F124" s="28"/>
      <c r="G124" s="27"/>
      <c r="H124" s="28"/>
      <c r="I124" s="28"/>
      <c r="J124" s="255" t="str">
        <f>IF(H124="","",(_xlfn.XLOOKUP(H124,Cadastros!$D$6:$D$90,Cadastros!$E$6:$E$90))*(1-_xlfn.XLOOKUP(_xlfn.XLOOKUP($F124,Clientes!$B$4:$B$39,Clientes!$C$4:$C$39),Cadastros!$L$6:$L$12,Cadastros!$N$6:$N$12)))</f>
        <v/>
      </c>
      <c r="K124" s="168" t="str">
        <f t="shared" si="14"/>
        <v/>
      </c>
      <c r="L124" s="168" t="str">
        <f>IFERROR(K124/_xlfn.XLOOKUP(_xlfn.XLOOKUP($F124,Clientes!$B$4:$B$39,Clientes!$C$4:$C$39),Cadastros!$L$6:$L$12,Cadastros!$M$6:$M$12)," ")</f>
        <v xml:space="preserve"> </v>
      </c>
      <c r="M124" s="28"/>
      <c r="N124" s="28"/>
      <c r="O124" s="255" t="str">
        <f>IF(M124="","",(_xlfn.XLOOKUP(M124,Cadastros!$D$6:$D$90,Cadastros!$E$6:$E$90))*(1-_xlfn.XLOOKUP(_xlfn.XLOOKUP($F124,Clientes!$B$4:$B$39,Clientes!$C$4:$C$39),Cadastros!$L$6:$L$12,Cadastros!$N$6:$N$12)))</f>
        <v/>
      </c>
      <c r="P124" s="168" t="str">
        <f t="shared" si="15"/>
        <v/>
      </c>
      <c r="Q124" s="168" t="str">
        <f>IFERROR(P124/_xlfn.XLOOKUP(_xlfn.XLOOKUP($F124,Clientes!$B$4:$B$39,Clientes!$C$4:$C$39),Cadastros!$L$6:$L$12,Cadastros!$M$6:$M$12)," ")</f>
        <v xml:space="preserve"> </v>
      </c>
      <c r="R124" s="28"/>
      <c r="S124" s="28"/>
      <c r="T124" s="255" t="str">
        <f>IF(R124="","",(_xlfn.XLOOKUP(R124,Cadastros!$D$6:$D$90,Cadastros!$E$6:$E$90))*(1-_xlfn.XLOOKUP(_xlfn.XLOOKUP($F124,Clientes!$B$4:$B$39,Clientes!$C$4:$C$39),Cadastros!$L$6:$L$12,Cadastros!$N$6:$N$12)))</f>
        <v/>
      </c>
      <c r="U124" s="168" t="str">
        <f t="shared" si="16"/>
        <v/>
      </c>
      <c r="V124" s="168" t="str">
        <f>IFERROR(U124/_xlfn.XLOOKUP(_xlfn.XLOOKUP($F124,Clientes!$B$4:$B$39,Clientes!$C$4:$C$39),Cadastros!$L$6:$L$12,Cadastros!$M$6:$M$12)," ")</f>
        <v xml:space="preserve"> </v>
      </c>
      <c r="W124" s="28"/>
      <c r="X124" s="28"/>
      <c r="Y124" s="255" t="str">
        <f>IF(W124="","",(_xlfn.XLOOKUP(W124,Cadastros!$D$6:$D$90,Cadastros!$E$6:$E$90))*(1-_xlfn.XLOOKUP(_xlfn.XLOOKUP($F124,Clientes!$B$4:$B$39,Clientes!$C$4:$C$39),Cadastros!$L$6:$L$12,Cadastros!$N$6:$N$12)))</f>
        <v/>
      </c>
      <c r="Z124" s="168" t="str">
        <f t="shared" si="17"/>
        <v/>
      </c>
      <c r="AA124" s="168" t="str">
        <f>IFERROR(Z124/_xlfn.XLOOKUP(_xlfn.XLOOKUP($F124,Clientes!$B$4:$B$39,Clientes!$C$4:$C$39),Cadastros!$L$6:$L$12,Cadastros!$M$6:$M$12)," ")</f>
        <v xml:space="preserve"> </v>
      </c>
      <c r="AB124" s="28"/>
      <c r="AC124" s="28"/>
      <c r="AD124" s="20" t="str">
        <f>IF(AB124="","",IF($F124="Bernardino Furlan",_xlfn.XLOOKUP(AB124,Cadastros!$G$6:$G$90,Cadastros!$H$6:$H$90)*(1-0.18),IF($F124="Mauro José Salanti",_xlfn.XLOOKUP(AB124,Cadastros!$G$6:$G$90,Cadastros!$H$6:$H$90)*(1-0.18),_xlfn.XLOOKUP(AB124,Cadastros!$G$6:$G$90,Cadastros!$H$6:$H$90))))</f>
        <v/>
      </c>
      <c r="AE124" s="168" t="str">
        <f t="shared" si="18"/>
        <v/>
      </c>
      <c r="AF124" s="168" t="str">
        <f t="shared" si="19"/>
        <v/>
      </c>
      <c r="AG124" s="28"/>
      <c r="AH124" s="28"/>
      <c r="AI124" s="20" t="str">
        <f>IF(AG124="","",IF($F124="Bernardino Furlan",_xlfn.XLOOKUP(AG124,Cadastros!$G$6:$G$90,Cadastros!$H$6:$H$90)*(1-0.18),IF($F124="Mauro José Salanti",_xlfn.XLOOKUP(AG124,Cadastros!$G$6:$G$90,Cadastros!$H$6:$H$90)*(1-0.18),_xlfn.XLOOKUP(AG124,Cadastros!$G$6:$G$90,Cadastros!$H$6:$H$90))))</f>
        <v/>
      </c>
      <c r="AJ124" s="168" t="str">
        <f t="shared" si="20"/>
        <v/>
      </c>
      <c r="AK124" s="168" t="str">
        <f t="shared" si="21"/>
        <v/>
      </c>
      <c r="AL124" s="28"/>
      <c r="AM124" s="28"/>
      <c r="AN124" s="20" t="str">
        <f>IF(AL124="","",IF($F124="Bernardino Furlan",_xlfn.XLOOKUP(AL124,Cadastros!$G$6:$G$90,Cadastros!$H$6:$H$90)*(1-0.18),IF($F124="Mauro José Salanti",_xlfn.XLOOKUP(AL124,Cadastros!$G$6:$G$90,Cadastros!$H$6:$H$90)*(1-0.18),_xlfn.XLOOKUP(AL124,Cadastros!$G$6:$G$90,Cadastros!$H$6:$H$90))))</f>
        <v/>
      </c>
      <c r="AO124" s="168" t="str">
        <f t="shared" si="22"/>
        <v/>
      </c>
      <c r="AP124" s="168" t="str">
        <f t="shared" si="23"/>
        <v/>
      </c>
      <c r="AQ124" s="28"/>
      <c r="AR124" s="28"/>
      <c r="AS124" s="20" t="str">
        <f>IF(AQ124="","",IF($F124="Bernardino Furlan",_xlfn.XLOOKUP(AQ124,Cadastros!$G$6:$G$90,Cadastros!$H$6:$H$90)*(1-0.18),IF($F124="Mauro José Salanti",_xlfn.XLOOKUP(AQ124,Cadastros!$G$6:$G$90,Cadastros!$H$6:$H$90)*(1-0.18),_xlfn.XLOOKUP(AQ124,Cadastros!$G$6:$G$90,Cadastros!$H$6:$H$90))))</f>
        <v/>
      </c>
      <c r="AT124" s="168" t="str">
        <f t="shared" si="24"/>
        <v/>
      </c>
      <c r="AU124" s="168" t="str">
        <f t="shared" si="25"/>
        <v/>
      </c>
      <c r="AV124" s="227"/>
      <c r="AW124" s="30"/>
      <c r="AX124" s="267"/>
      <c r="AY124" s="267"/>
      <c r="AZ124" s="29"/>
      <c r="BA124" s="30"/>
      <c r="BB124" s="23" t="str" cm="1">
        <f t="array" ref="BB124">_xlfn.IFS(AW124="SIM",SUM(K124,P124,U124,Z124,AE124,AJ124,AO124,AT124,AX124,AY124),F124&lt;&gt;"",SUM(K124,P124,U124,Z124,AE124,AJ124,,AO124,AT124),F124="","")</f>
        <v/>
      </c>
      <c r="BC124" s="211" t="str" cm="1">
        <f t="array" ref="BC124">_xlfn.IFS(E124="","",G124&lt;=E124,BB124*(1-0.03),G124&lt;(E124+8),BB124,AZ124="Boleto",BB124*(1+0.001)^DATEDIF(E124,G124,"D"),AZ124="Cheque",BB124,AZ124="Dinheiro","Alterar forma pgto")</f>
        <v/>
      </c>
      <c r="BD124" s="276" t="str" cm="1">
        <f t="array" ref="BD124">IF(F124=0," ",IF(BC124&lt;BB124,(_xlfn.IFS(AW124="SIM",SUM(L124,Q124,V124,AA124,AF124,AK124,AP124,AU124)+AX124/_xlfn.XLOOKUP(_xlfn.XLOOKUP($F124,Clientes!$B$4:$B$39,Clientes!$C$4:$C$39),Cadastros!$L$6:$L$12,Cadastros!$M$6:$M$12)+IF($F124="Bernardino Furlan",AY124/2751.92,IF($F124="Mauro José Salanti",AY124/2751.92,AY124/3356)),F124&lt;&gt;0,SUM(L124,Q124,V124,AA124,AF124,AK124,AP124,AU124)))*(1-0.03),_xlfn.IFS(AW124="SIM",SUM(L124,Q124,V124,AA124,AF124,AK124,AP124,AU124)+AX124/_xlfn.XLOOKUP(_xlfn.XLOOKUP($F124,Clientes!$B$4:$B$39,Clientes!$C$4:$C$39),Cadastros!$L$6:$L$12,Cadastros!$M$6:$M$12)+IF($F124="Bernardino Furlan",AY124/2751.92,IF($F124="Mauro José Salanti",AY124/2751.92,AY124/3356)),F124&lt;&gt;0,SUM(L124,Q124,V124,AA124,AF124,AK124,AP124,AU124))))</f>
        <v xml:space="preserve"> </v>
      </c>
      <c r="BE124" s="120"/>
      <c r="BF124" s="120"/>
      <c r="BG124" s="120"/>
    </row>
    <row r="125" spans="1:59" s="3" customFormat="1" x14ac:dyDescent="0.3">
      <c r="A125" s="15" t="str">
        <f t="shared" si="13"/>
        <v/>
      </c>
      <c r="B125" s="25"/>
      <c r="C125" s="26"/>
      <c r="D125" s="279"/>
      <c r="E125" s="27"/>
      <c r="F125" s="28"/>
      <c r="G125" s="27"/>
      <c r="H125" s="28"/>
      <c r="I125" s="28"/>
      <c r="J125" s="255" t="str">
        <f>IF(H125="","",(_xlfn.XLOOKUP(H125,Cadastros!$D$6:$D$90,Cadastros!$E$6:$E$90))*(1-_xlfn.XLOOKUP(_xlfn.XLOOKUP($F125,Clientes!$B$4:$B$39,Clientes!$C$4:$C$39),Cadastros!$L$6:$L$12,Cadastros!$N$6:$N$12)))</f>
        <v/>
      </c>
      <c r="K125" s="168" t="str">
        <f t="shared" si="14"/>
        <v/>
      </c>
      <c r="L125" s="168" t="str">
        <f>IFERROR(K125/_xlfn.XLOOKUP(_xlfn.XLOOKUP($F125,Clientes!$B$4:$B$39,Clientes!$C$4:$C$39),Cadastros!$L$6:$L$12,Cadastros!$M$6:$M$12)," ")</f>
        <v xml:space="preserve"> </v>
      </c>
      <c r="M125" s="28"/>
      <c r="N125" s="28"/>
      <c r="O125" s="255" t="str">
        <f>IF(M125="","",(_xlfn.XLOOKUP(M125,Cadastros!$D$6:$D$90,Cadastros!$E$6:$E$90))*(1-_xlfn.XLOOKUP(_xlfn.XLOOKUP($F125,Clientes!$B$4:$B$39,Clientes!$C$4:$C$39),Cadastros!$L$6:$L$12,Cadastros!$N$6:$N$12)))</f>
        <v/>
      </c>
      <c r="P125" s="168" t="str">
        <f t="shared" si="15"/>
        <v/>
      </c>
      <c r="Q125" s="168" t="str">
        <f>IFERROR(P125/_xlfn.XLOOKUP(_xlfn.XLOOKUP($F125,Clientes!$B$4:$B$39,Clientes!$C$4:$C$39),Cadastros!$L$6:$L$12,Cadastros!$M$6:$M$12)," ")</f>
        <v xml:space="preserve"> </v>
      </c>
      <c r="R125" s="28"/>
      <c r="S125" s="28"/>
      <c r="T125" s="255" t="str">
        <f>IF(R125="","",(_xlfn.XLOOKUP(R125,Cadastros!$D$6:$D$90,Cadastros!$E$6:$E$90))*(1-_xlfn.XLOOKUP(_xlfn.XLOOKUP($F125,Clientes!$B$4:$B$39,Clientes!$C$4:$C$39),Cadastros!$L$6:$L$12,Cadastros!$N$6:$N$12)))</f>
        <v/>
      </c>
      <c r="U125" s="168" t="str">
        <f t="shared" si="16"/>
        <v/>
      </c>
      <c r="V125" s="168" t="str">
        <f>IFERROR(U125/_xlfn.XLOOKUP(_xlfn.XLOOKUP($F125,Clientes!$B$4:$B$39,Clientes!$C$4:$C$39),Cadastros!$L$6:$L$12,Cadastros!$M$6:$M$12)," ")</f>
        <v xml:space="preserve"> </v>
      </c>
      <c r="W125" s="28"/>
      <c r="X125" s="28"/>
      <c r="Y125" s="255" t="str">
        <f>IF(W125="","",(_xlfn.XLOOKUP(W125,Cadastros!$D$6:$D$90,Cadastros!$E$6:$E$90))*(1-_xlfn.XLOOKUP(_xlfn.XLOOKUP($F125,Clientes!$B$4:$B$39,Clientes!$C$4:$C$39),Cadastros!$L$6:$L$12,Cadastros!$N$6:$N$12)))</f>
        <v/>
      </c>
      <c r="Z125" s="168" t="str">
        <f t="shared" si="17"/>
        <v/>
      </c>
      <c r="AA125" s="168" t="str">
        <f>IFERROR(Z125/_xlfn.XLOOKUP(_xlfn.XLOOKUP($F125,Clientes!$B$4:$B$39,Clientes!$C$4:$C$39),Cadastros!$L$6:$L$12,Cadastros!$M$6:$M$12)," ")</f>
        <v xml:space="preserve"> </v>
      </c>
      <c r="AB125" s="28"/>
      <c r="AC125" s="28"/>
      <c r="AD125" s="20" t="str">
        <f>IF(AB125="","",IF($F125="Bernardino Furlan",_xlfn.XLOOKUP(AB125,Cadastros!$G$6:$G$90,Cadastros!$H$6:$H$90)*(1-0.18),IF($F125="Mauro José Salanti",_xlfn.XLOOKUP(AB125,Cadastros!$G$6:$G$90,Cadastros!$H$6:$H$90)*(1-0.18),_xlfn.XLOOKUP(AB125,Cadastros!$G$6:$G$90,Cadastros!$H$6:$H$90))))</f>
        <v/>
      </c>
      <c r="AE125" s="168" t="str">
        <f t="shared" si="18"/>
        <v/>
      </c>
      <c r="AF125" s="168" t="str">
        <f t="shared" si="19"/>
        <v/>
      </c>
      <c r="AG125" s="28"/>
      <c r="AH125" s="28"/>
      <c r="AI125" s="20" t="str">
        <f>IF(AG125="","",IF($F125="Bernardino Furlan",_xlfn.XLOOKUP(AG125,Cadastros!$G$6:$G$90,Cadastros!$H$6:$H$90)*(1-0.18),IF($F125="Mauro José Salanti",_xlfn.XLOOKUP(AG125,Cadastros!$G$6:$G$90,Cadastros!$H$6:$H$90)*(1-0.18),_xlfn.XLOOKUP(AG125,Cadastros!$G$6:$G$90,Cadastros!$H$6:$H$90))))</f>
        <v/>
      </c>
      <c r="AJ125" s="168" t="str">
        <f t="shared" si="20"/>
        <v/>
      </c>
      <c r="AK125" s="168" t="str">
        <f t="shared" si="21"/>
        <v/>
      </c>
      <c r="AL125" s="28"/>
      <c r="AM125" s="28"/>
      <c r="AN125" s="20" t="str">
        <f>IF(AL125="","",IF($F125="Bernardino Furlan",_xlfn.XLOOKUP(AL125,Cadastros!$G$6:$G$90,Cadastros!$H$6:$H$90)*(1-0.18),IF($F125="Mauro José Salanti",_xlfn.XLOOKUP(AL125,Cadastros!$G$6:$G$90,Cadastros!$H$6:$H$90)*(1-0.18),_xlfn.XLOOKUP(AL125,Cadastros!$G$6:$G$90,Cadastros!$H$6:$H$90))))</f>
        <v/>
      </c>
      <c r="AO125" s="168" t="str">
        <f t="shared" si="22"/>
        <v/>
      </c>
      <c r="AP125" s="168" t="str">
        <f t="shared" si="23"/>
        <v/>
      </c>
      <c r="AQ125" s="28"/>
      <c r="AR125" s="28"/>
      <c r="AS125" s="20" t="str">
        <f>IF(AQ125="","",IF($F125="Bernardino Furlan",_xlfn.XLOOKUP(AQ125,Cadastros!$G$6:$G$90,Cadastros!$H$6:$H$90)*(1-0.18),IF($F125="Mauro José Salanti",_xlfn.XLOOKUP(AQ125,Cadastros!$G$6:$G$90,Cadastros!$H$6:$H$90)*(1-0.18),_xlfn.XLOOKUP(AQ125,Cadastros!$G$6:$G$90,Cadastros!$H$6:$H$90))))</f>
        <v/>
      </c>
      <c r="AT125" s="168" t="str">
        <f t="shared" si="24"/>
        <v/>
      </c>
      <c r="AU125" s="168" t="str">
        <f t="shared" si="25"/>
        <v/>
      </c>
      <c r="AV125" s="227"/>
      <c r="AW125" s="30"/>
      <c r="AX125" s="267"/>
      <c r="AY125" s="267"/>
      <c r="AZ125" s="29"/>
      <c r="BA125" s="30"/>
      <c r="BB125" s="23" t="str" cm="1">
        <f t="array" ref="BB125">_xlfn.IFS(AW125="SIM",SUM(K125,P125,U125,Z125,AE125,AJ125,AO125,AT125,AX125,AY125),F125&lt;&gt;"",SUM(K125,P125,U125,Z125,AE125,AJ125,,AO125,AT125),F125="","")</f>
        <v/>
      </c>
      <c r="BC125" s="211" t="str" cm="1">
        <f t="array" ref="BC125">_xlfn.IFS(E125="","",G125&lt;=E125,BB125*(1-0.03),G125&lt;(E125+8),BB125,AZ125="Boleto",BB125*(1+0.001)^DATEDIF(E125,G125,"D"),AZ125="Cheque",BB125,AZ125="Dinheiro","Alterar forma pgto")</f>
        <v/>
      </c>
      <c r="BD125" s="276" t="str" cm="1">
        <f t="array" ref="BD125">IF(F125=0," ",IF(BC125&lt;BB125,(_xlfn.IFS(AW125="SIM",SUM(L125,Q125,V125,AA125,AF125,AK125,AP125,AU125)+AX125/_xlfn.XLOOKUP(_xlfn.XLOOKUP($F125,Clientes!$B$4:$B$39,Clientes!$C$4:$C$39),Cadastros!$L$6:$L$12,Cadastros!$M$6:$M$12)+IF($F125="Bernardino Furlan",AY125/2751.92,IF($F125="Mauro José Salanti",AY125/2751.92,AY125/3356)),F125&lt;&gt;0,SUM(L125,Q125,V125,AA125,AF125,AK125,AP125,AU125)))*(1-0.03),_xlfn.IFS(AW125="SIM",SUM(L125,Q125,V125,AA125,AF125,AK125,AP125,AU125)+AX125/_xlfn.XLOOKUP(_xlfn.XLOOKUP($F125,Clientes!$B$4:$B$39,Clientes!$C$4:$C$39),Cadastros!$L$6:$L$12,Cadastros!$M$6:$M$12)+IF($F125="Bernardino Furlan",AY125/2751.92,IF($F125="Mauro José Salanti",AY125/2751.92,AY125/3356)),F125&lt;&gt;0,SUM(L125,Q125,V125,AA125,AF125,AK125,AP125,AU125))))</f>
        <v xml:space="preserve"> </v>
      </c>
      <c r="BE125" s="120"/>
      <c r="BF125" s="120"/>
      <c r="BG125" s="120"/>
    </row>
    <row r="126" spans="1:59" s="3" customFormat="1" x14ac:dyDescent="0.3">
      <c r="A126" s="15" t="str">
        <f t="shared" si="13"/>
        <v/>
      </c>
      <c r="B126" s="25"/>
      <c r="C126" s="26"/>
      <c r="D126" s="279"/>
      <c r="E126" s="27"/>
      <c r="F126" s="28"/>
      <c r="G126" s="27"/>
      <c r="H126" s="28"/>
      <c r="I126" s="28"/>
      <c r="J126" s="255" t="str">
        <f>IF(H126="","",(_xlfn.XLOOKUP(H126,Cadastros!$D$6:$D$90,Cadastros!$E$6:$E$90))*(1-_xlfn.XLOOKUP(_xlfn.XLOOKUP($F126,Clientes!$B$4:$B$39,Clientes!$C$4:$C$39),Cadastros!$L$6:$L$12,Cadastros!$N$6:$N$12)))</f>
        <v/>
      </c>
      <c r="K126" s="168" t="str">
        <f t="shared" si="14"/>
        <v/>
      </c>
      <c r="L126" s="168" t="str">
        <f>IFERROR(K126/_xlfn.XLOOKUP(_xlfn.XLOOKUP($F126,Clientes!$B$4:$B$39,Clientes!$C$4:$C$39),Cadastros!$L$6:$L$12,Cadastros!$M$6:$M$12)," ")</f>
        <v xml:space="preserve"> </v>
      </c>
      <c r="M126" s="28"/>
      <c r="N126" s="28"/>
      <c r="O126" s="255" t="str">
        <f>IF(M126="","",(_xlfn.XLOOKUP(M126,Cadastros!$D$6:$D$90,Cadastros!$E$6:$E$90))*(1-_xlfn.XLOOKUP(_xlfn.XLOOKUP($F126,Clientes!$B$4:$B$39,Clientes!$C$4:$C$39),Cadastros!$L$6:$L$12,Cadastros!$N$6:$N$12)))</f>
        <v/>
      </c>
      <c r="P126" s="168" t="str">
        <f t="shared" si="15"/>
        <v/>
      </c>
      <c r="Q126" s="168" t="str">
        <f>IFERROR(P126/_xlfn.XLOOKUP(_xlfn.XLOOKUP($F126,Clientes!$B$4:$B$39,Clientes!$C$4:$C$39),Cadastros!$L$6:$L$12,Cadastros!$M$6:$M$12)," ")</f>
        <v xml:space="preserve"> </v>
      </c>
      <c r="R126" s="28"/>
      <c r="S126" s="28"/>
      <c r="T126" s="255" t="str">
        <f>IF(R126="","",(_xlfn.XLOOKUP(R126,Cadastros!$D$6:$D$90,Cadastros!$E$6:$E$90))*(1-_xlfn.XLOOKUP(_xlfn.XLOOKUP($F126,Clientes!$B$4:$B$39,Clientes!$C$4:$C$39),Cadastros!$L$6:$L$12,Cadastros!$N$6:$N$12)))</f>
        <v/>
      </c>
      <c r="U126" s="168" t="str">
        <f t="shared" si="16"/>
        <v/>
      </c>
      <c r="V126" s="168" t="str">
        <f>IFERROR(U126/_xlfn.XLOOKUP(_xlfn.XLOOKUP($F126,Clientes!$B$4:$B$39,Clientes!$C$4:$C$39),Cadastros!$L$6:$L$12,Cadastros!$M$6:$M$12)," ")</f>
        <v xml:space="preserve"> </v>
      </c>
      <c r="W126" s="28"/>
      <c r="X126" s="28"/>
      <c r="Y126" s="255" t="str">
        <f>IF(W126="","",(_xlfn.XLOOKUP(W126,Cadastros!$D$6:$D$90,Cadastros!$E$6:$E$90))*(1-_xlfn.XLOOKUP(_xlfn.XLOOKUP($F126,Clientes!$B$4:$B$39,Clientes!$C$4:$C$39),Cadastros!$L$6:$L$12,Cadastros!$N$6:$N$12)))</f>
        <v/>
      </c>
      <c r="Z126" s="168" t="str">
        <f t="shared" si="17"/>
        <v/>
      </c>
      <c r="AA126" s="168" t="str">
        <f>IFERROR(Z126/_xlfn.XLOOKUP(_xlfn.XLOOKUP($F126,Clientes!$B$4:$B$39,Clientes!$C$4:$C$39),Cadastros!$L$6:$L$12,Cadastros!$M$6:$M$12)," ")</f>
        <v xml:space="preserve"> </v>
      </c>
      <c r="AB126" s="28"/>
      <c r="AC126" s="28"/>
      <c r="AD126" s="20" t="str">
        <f>IF(AB126="","",IF($F126="Bernardino Furlan",_xlfn.XLOOKUP(AB126,Cadastros!$G$6:$G$90,Cadastros!$H$6:$H$90)*(1-0.18),IF($F126="Mauro José Salanti",_xlfn.XLOOKUP(AB126,Cadastros!$G$6:$G$90,Cadastros!$H$6:$H$90)*(1-0.18),_xlfn.XLOOKUP(AB126,Cadastros!$G$6:$G$90,Cadastros!$H$6:$H$90))))</f>
        <v/>
      </c>
      <c r="AE126" s="168" t="str">
        <f t="shared" si="18"/>
        <v/>
      </c>
      <c r="AF126" s="168" t="str">
        <f t="shared" si="19"/>
        <v/>
      </c>
      <c r="AG126" s="28"/>
      <c r="AH126" s="28"/>
      <c r="AI126" s="20" t="str">
        <f>IF(AG126="","",IF($F126="Bernardino Furlan",_xlfn.XLOOKUP(AG126,Cadastros!$G$6:$G$90,Cadastros!$H$6:$H$90)*(1-0.18),IF($F126="Mauro José Salanti",_xlfn.XLOOKUP(AG126,Cadastros!$G$6:$G$90,Cadastros!$H$6:$H$90)*(1-0.18),_xlfn.XLOOKUP(AG126,Cadastros!$G$6:$G$90,Cadastros!$H$6:$H$90))))</f>
        <v/>
      </c>
      <c r="AJ126" s="168" t="str">
        <f t="shared" si="20"/>
        <v/>
      </c>
      <c r="AK126" s="168" t="str">
        <f t="shared" si="21"/>
        <v/>
      </c>
      <c r="AL126" s="28"/>
      <c r="AM126" s="28"/>
      <c r="AN126" s="20" t="str">
        <f>IF(AL126="","",IF($F126="Bernardino Furlan",_xlfn.XLOOKUP(AL126,Cadastros!$G$6:$G$90,Cadastros!$H$6:$H$90)*(1-0.18),IF($F126="Mauro José Salanti",_xlfn.XLOOKUP(AL126,Cadastros!$G$6:$G$90,Cadastros!$H$6:$H$90)*(1-0.18),_xlfn.XLOOKUP(AL126,Cadastros!$G$6:$G$90,Cadastros!$H$6:$H$90))))</f>
        <v/>
      </c>
      <c r="AO126" s="168" t="str">
        <f t="shared" si="22"/>
        <v/>
      </c>
      <c r="AP126" s="168" t="str">
        <f t="shared" si="23"/>
        <v/>
      </c>
      <c r="AQ126" s="28"/>
      <c r="AR126" s="28"/>
      <c r="AS126" s="20" t="str">
        <f>IF(AQ126="","",IF($F126="Bernardino Furlan",_xlfn.XLOOKUP(AQ126,Cadastros!$G$6:$G$90,Cadastros!$H$6:$H$90)*(1-0.18),IF($F126="Mauro José Salanti",_xlfn.XLOOKUP(AQ126,Cadastros!$G$6:$G$90,Cadastros!$H$6:$H$90)*(1-0.18),_xlfn.XLOOKUP(AQ126,Cadastros!$G$6:$G$90,Cadastros!$H$6:$H$90))))</f>
        <v/>
      </c>
      <c r="AT126" s="168" t="str">
        <f t="shared" si="24"/>
        <v/>
      </c>
      <c r="AU126" s="168" t="str">
        <f t="shared" si="25"/>
        <v/>
      </c>
      <c r="AV126" s="227"/>
      <c r="AW126" s="30"/>
      <c r="AX126" s="267"/>
      <c r="AY126" s="267"/>
      <c r="AZ126" s="29"/>
      <c r="BA126" s="30"/>
      <c r="BB126" s="23" t="str" cm="1">
        <f t="array" ref="BB126">_xlfn.IFS(AW126="SIM",SUM(K126,P126,U126,Z126,AE126,AJ126,AO126,AT126,AX126,AY126),F126&lt;&gt;"",SUM(K126,P126,U126,Z126,AE126,AJ126,,AO126,AT126),F126="","")</f>
        <v/>
      </c>
      <c r="BC126" s="211" t="str" cm="1">
        <f t="array" ref="BC126">_xlfn.IFS(E126="","",G126&lt;=E126,BB126*(1-0.03),G126&lt;(E126+8),BB126,AZ126="Boleto",BB126*(1+0.001)^DATEDIF(E126,G126,"D"),AZ126="Cheque",BB126,AZ126="Dinheiro","Alterar forma pgto")</f>
        <v/>
      </c>
      <c r="BD126" s="276" t="str" cm="1">
        <f t="array" ref="BD126">IF(F126=0," ",IF(BC126&lt;BB126,(_xlfn.IFS(AW126="SIM",SUM(L126,Q126,V126,AA126,AF126,AK126,AP126,AU126)+AX126/_xlfn.XLOOKUP(_xlfn.XLOOKUP($F126,Clientes!$B$4:$B$39,Clientes!$C$4:$C$39),Cadastros!$L$6:$L$12,Cadastros!$M$6:$M$12)+IF($F126="Bernardino Furlan",AY126/2751.92,IF($F126="Mauro José Salanti",AY126/2751.92,AY126/3356)),F126&lt;&gt;0,SUM(L126,Q126,V126,AA126,AF126,AK126,AP126,AU126)))*(1-0.03),_xlfn.IFS(AW126="SIM",SUM(L126,Q126,V126,AA126,AF126,AK126,AP126,AU126)+AX126/_xlfn.XLOOKUP(_xlfn.XLOOKUP($F126,Clientes!$B$4:$B$39,Clientes!$C$4:$C$39),Cadastros!$L$6:$L$12,Cadastros!$M$6:$M$12)+IF($F126="Bernardino Furlan",AY126/2751.92,IF($F126="Mauro José Salanti",AY126/2751.92,AY126/3356)),F126&lt;&gt;0,SUM(L126,Q126,V126,AA126,AF126,AK126,AP126,AU126))))</f>
        <v xml:space="preserve"> </v>
      </c>
      <c r="BE126" s="120"/>
      <c r="BF126" s="120"/>
      <c r="BG126" s="120"/>
    </row>
    <row r="127" spans="1:59" s="3" customFormat="1" x14ac:dyDescent="0.3">
      <c r="A127" s="15" t="str">
        <f t="shared" si="13"/>
        <v/>
      </c>
      <c r="B127" s="25"/>
      <c r="C127" s="26"/>
      <c r="D127" s="279"/>
      <c r="E127" s="27"/>
      <c r="F127" s="28"/>
      <c r="G127" s="27"/>
      <c r="H127" s="28"/>
      <c r="I127" s="28"/>
      <c r="J127" s="255" t="str">
        <f>IF(H127="","",(_xlfn.XLOOKUP(H127,Cadastros!$D$6:$D$90,Cadastros!$E$6:$E$90))*(1-_xlfn.XLOOKUP(_xlfn.XLOOKUP($F127,Clientes!$B$4:$B$39,Clientes!$C$4:$C$39),Cadastros!$L$6:$L$12,Cadastros!$N$6:$N$12)))</f>
        <v/>
      </c>
      <c r="K127" s="168" t="str">
        <f t="shared" si="14"/>
        <v/>
      </c>
      <c r="L127" s="168" t="str">
        <f>IFERROR(K127/_xlfn.XLOOKUP(_xlfn.XLOOKUP($F127,Clientes!$B$4:$B$39,Clientes!$C$4:$C$39),Cadastros!$L$6:$L$12,Cadastros!$M$6:$M$12)," ")</f>
        <v xml:space="preserve"> </v>
      </c>
      <c r="M127" s="28"/>
      <c r="N127" s="28"/>
      <c r="O127" s="255" t="str">
        <f>IF(M127="","",(_xlfn.XLOOKUP(M127,Cadastros!$D$6:$D$90,Cadastros!$E$6:$E$90))*(1-_xlfn.XLOOKUP(_xlfn.XLOOKUP($F127,Clientes!$B$4:$B$39,Clientes!$C$4:$C$39),Cadastros!$L$6:$L$12,Cadastros!$N$6:$N$12)))</f>
        <v/>
      </c>
      <c r="P127" s="168" t="str">
        <f t="shared" si="15"/>
        <v/>
      </c>
      <c r="Q127" s="168" t="str">
        <f>IFERROR(P127/_xlfn.XLOOKUP(_xlfn.XLOOKUP($F127,Clientes!$B$4:$B$39,Clientes!$C$4:$C$39),Cadastros!$L$6:$L$12,Cadastros!$M$6:$M$12)," ")</f>
        <v xml:space="preserve"> </v>
      </c>
      <c r="R127" s="28"/>
      <c r="S127" s="28"/>
      <c r="T127" s="255" t="str">
        <f>IF(R127="","",(_xlfn.XLOOKUP(R127,Cadastros!$D$6:$D$90,Cadastros!$E$6:$E$90))*(1-_xlfn.XLOOKUP(_xlfn.XLOOKUP($F127,Clientes!$B$4:$B$39,Clientes!$C$4:$C$39),Cadastros!$L$6:$L$12,Cadastros!$N$6:$N$12)))</f>
        <v/>
      </c>
      <c r="U127" s="168" t="str">
        <f t="shared" si="16"/>
        <v/>
      </c>
      <c r="V127" s="168" t="str">
        <f>IFERROR(U127/_xlfn.XLOOKUP(_xlfn.XLOOKUP($F127,Clientes!$B$4:$B$39,Clientes!$C$4:$C$39),Cadastros!$L$6:$L$12,Cadastros!$M$6:$M$12)," ")</f>
        <v xml:space="preserve"> </v>
      </c>
      <c r="W127" s="28"/>
      <c r="X127" s="28"/>
      <c r="Y127" s="255" t="str">
        <f>IF(W127="","",(_xlfn.XLOOKUP(W127,Cadastros!$D$6:$D$90,Cadastros!$E$6:$E$90))*(1-_xlfn.XLOOKUP(_xlfn.XLOOKUP($F127,Clientes!$B$4:$B$39,Clientes!$C$4:$C$39),Cadastros!$L$6:$L$12,Cadastros!$N$6:$N$12)))</f>
        <v/>
      </c>
      <c r="Z127" s="168" t="str">
        <f t="shared" si="17"/>
        <v/>
      </c>
      <c r="AA127" s="168" t="str">
        <f>IFERROR(Z127/_xlfn.XLOOKUP(_xlfn.XLOOKUP($F127,Clientes!$B$4:$B$39,Clientes!$C$4:$C$39),Cadastros!$L$6:$L$12,Cadastros!$M$6:$M$12)," ")</f>
        <v xml:space="preserve"> </v>
      </c>
      <c r="AB127" s="28"/>
      <c r="AC127" s="28"/>
      <c r="AD127" s="20" t="str">
        <f>IF(AB127="","",IF($F127="Bernardino Furlan",_xlfn.XLOOKUP(AB127,Cadastros!$G$6:$G$90,Cadastros!$H$6:$H$90)*(1-0.18),IF($F127="Mauro José Salanti",_xlfn.XLOOKUP(AB127,Cadastros!$G$6:$G$90,Cadastros!$H$6:$H$90)*(1-0.18),_xlfn.XLOOKUP(AB127,Cadastros!$G$6:$G$90,Cadastros!$H$6:$H$90))))</f>
        <v/>
      </c>
      <c r="AE127" s="168" t="str">
        <f t="shared" si="18"/>
        <v/>
      </c>
      <c r="AF127" s="168" t="str">
        <f t="shared" si="19"/>
        <v/>
      </c>
      <c r="AG127" s="28"/>
      <c r="AH127" s="28"/>
      <c r="AI127" s="20" t="str">
        <f>IF(AG127="","",IF($F127="Bernardino Furlan",_xlfn.XLOOKUP(AG127,Cadastros!$G$6:$G$90,Cadastros!$H$6:$H$90)*(1-0.18),IF($F127="Mauro José Salanti",_xlfn.XLOOKUP(AG127,Cadastros!$G$6:$G$90,Cadastros!$H$6:$H$90)*(1-0.18),_xlfn.XLOOKUP(AG127,Cadastros!$G$6:$G$90,Cadastros!$H$6:$H$90))))</f>
        <v/>
      </c>
      <c r="AJ127" s="168" t="str">
        <f t="shared" si="20"/>
        <v/>
      </c>
      <c r="AK127" s="168" t="str">
        <f t="shared" si="21"/>
        <v/>
      </c>
      <c r="AL127" s="28"/>
      <c r="AM127" s="28"/>
      <c r="AN127" s="20" t="str">
        <f>IF(AL127="","",IF($F127="Bernardino Furlan",_xlfn.XLOOKUP(AL127,Cadastros!$G$6:$G$90,Cadastros!$H$6:$H$90)*(1-0.18),IF($F127="Mauro José Salanti",_xlfn.XLOOKUP(AL127,Cadastros!$G$6:$G$90,Cadastros!$H$6:$H$90)*(1-0.18),_xlfn.XLOOKUP(AL127,Cadastros!$G$6:$G$90,Cadastros!$H$6:$H$90))))</f>
        <v/>
      </c>
      <c r="AO127" s="168" t="str">
        <f t="shared" si="22"/>
        <v/>
      </c>
      <c r="AP127" s="168" t="str">
        <f t="shared" si="23"/>
        <v/>
      </c>
      <c r="AQ127" s="28"/>
      <c r="AR127" s="28"/>
      <c r="AS127" s="20" t="str">
        <f>IF(AQ127="","",IF($F127="Bernardino Furlan",_xlfn.XLOOKUP(AQ127,Cadastros!$G$6:$G$90,Cadastros!$H$6:$H$90)*(1-0.18),IF($F127="Mauro José Salanti",_xlfn.XLOOKUP(AQ127,Cadastros!$G$6:$G$90,Cadastros!$H$6:$H$90)*(1-0.18),_xlfn.XLOOKUP(AQ127,Cadastros!$G$6:$G$90,Cadastros!$H$6:$H$90))))</f>
        <v/>
      </c>
      <c r="AT127" s="168" t="str">
        <f t="shared" si="24"/>
        <v/>
      </c>
      <c r="AU127" s="168" t="str">
        <f t="shared" si="25"/>
        <v/>
      </c>
      <c r="AV127" s="227"/>
      <c r="AW127" s="30"/>
      <c r="AX127" s="267"/>
      <c r="AY127" s="267"/>
      <c r="AZ127" s="29"/>
      <c r="BA127" s="30"/>
      <c r="BB127" s="23" t="str" cm="1">
        <f t="array" ref="BB127">_xlfn.IFS(AW127="SIM",SUM(K127,P127,U127,Z127,AE127,AJ127,AO127,AT127,AX127,AY127),F127&lt;&gt;"",SUM(K127,P127,U127,Z127,AE127,AJ127,,AO127,AT127),F127="","")</f>
        <v/>
      </c>
      <c r="BC127" s="211" t="str" cm="1">
        <f t="array" ref="BC127">_xlfn.IFS(E127="","",G127&lt;=E127,BB127*(1-0.03),G127&lt;(E127+8),BB127,AZ127="Boleto",BB127*(1+0.001)^DATEDIF(E127,G127,"D"),AZ127="Cheque",BB127,AZ127="Dinheiro","Alterar forma pgto")</f>
        <v/>
      </c>
      <c r="BD127" s="276" t="str" cm="1">
        <f t="array" ref="BD127">IF(F127=0," ",IF(BC127&lt;BB127,(_xlfn.IFS(AW127="SIM",SUM(L127,Q127,V127,AA127,AF127,AK127,AP127,AU127)+AX127/_xlfn.XLOOKUP(_xlfn.XLOOKUP($F127,Clientes!$B$4:$B$39,Clientes!$C$4:$C$39),Cadastros!$L$6:$L$12,Cadastros!$M$6:$M$12)+IF($F127="Bernardino Furlan",AY127/2751.92,IF($F127="Mauro José Salanti",AY127/2751.92,AY127/3356)),F127&lt;&gt;0,SUM(L127,Q127,V127,AA127,AF127,AK127,AP127,AU127)))*(1-0.03),_xlfn.IFS(AW127="SIM",SUM(L127,Q127,V127,AA127,AF127,AK127,AP127,AU127)+AX127/_xlfn.XLOOKUP(_xlfn.XLOOKUP($F127,Clientes!$B$4:$B$39,Clientes!$C$4:$C$39),Cadastros!$L$6:$L$12,Cadastros!$M$6:$M$12)+IF($F127="Bernardino Furlan",AY127/2751.92,IF($F127="Mauro José Salanti",AY127/2751.92,AY127/3356)),F127&lt;&gt;0,SUM(L127,Q127,V127,AA127,AF127,AK127,AP127,AU127))))</f>
        <v xml:space="preserve"> </v>
      </c>
      <c r="BE127" s="120"/>
      <c r="BF127" s="120"/>
      <c r="BG127" s="120"/>
    </row>
    <row r="128" spans="1:59" s="3" customFormat="1" x14ac:dyDescent="0.3">
      <c r="A128" s="15" t="str">
        <f t="shared" si="13"/>
        <v/>
      </c>
      <c r="B128" s="25"/>
      <c r="C128" s="26"/>
      <c r="D128" s="279"/>
      <c r="E128" s="27"/>
      <c r="F128" s="28"/>
      <c r="G128" s="27"/>
      <c r="H128" s="28"/>
      <c r="I128" s="28"/>
      <c r="J128" s="255" t="str">
        <f>IF(H128="","",(_xlfn.XLOOKUP(H128,Cadastros!$D$6:$D$90,Cadastros!$E$6:$E$90))*(1-_xlfn.XLOOKUP(_xlfn.XLOOKUP($F128,Clientes!$B$4:$B$39,Clientes!$C$4:$C$39),Cadastros!$L$6:$L$12,Cadastros!$N$6:$N$12)))</f>
        <v/>
      </c>
      <c r="K128" s="168" t="str">
        <f t="shared" si="14"/>
        <v/>
      </c>
      <c r="L128" s="168" t="str">
        <f>IFERROR(K128/_xlfn.XLOOKUP(_xlfn.XLOOKUP($F128,Clientes!$B$4:$B$39,Clientes!$C$4:$C$39),Cadastros!$L$6:$L$12,Cadastros!$M$6:$M$12)," ")</f>
        <v xml:space="preserve"> </v>
      </c>
      <c r="M128" s="28"/>
      <c r="N128" s="28"/>
      <c r="O128" s="255" t="str">
        <f>IF(M128="","",(_xlfn.XLOOKUP(M128,Cadastros!$D$6:$D$90,Cadastros!$E$6:$E$90))*(1-_xlfn.XLOOKUP(_xlfn.XLOOKUP($F128,Clientes!$B$4:$B$39,Clientes!$C$4:$C$39),Cadastros!$L$6:$L$12,Cadastros!$N$6:$N$12)))</f>
        <v/>
      </c>
      <c r="P128" s="168" t="str">
        <f t="shared" si="15"/>
        <v/>
      </c>
      <c r="Q128" s="168" t="str">
        <f>IFERROR(P128/_xlfn.XLOOKUP(_xlfn.XLOOKUP($F128,Clientes!$B$4:$B$39,Clientes!$C$4:$C$39),Cadastros!$L$6:$L$12,Cadastros!$M$6:$M$12)," ")</f>
        <v xml:space="preserve"> </v>
      </c>
      <c r="R128" s="28"/>
      <c r="S128" s="28"/>
      <c r="T128" s="255" t="str">
        <f>IF(R128="","",(_xlfn.XLOOKUP(R128,Cadastros!$D$6:$D$90,Cadastros!$E$6:$E$90))*(1-_xlfn.XLOOKUP(_xlfn.XLOOKUP($F128,Clientes!$B$4:$B$39,Clientes!$C$4:$C$39),Cadastros!$L$6:$L$12,Cadastros!$N$6:$N$12)))</f>
        <v/>
      </c>
      <c r="U128" s="168" t="str">
        <f t="shared" si="16"/>
        <v/>
      </c>
      <c r="V128" s="168" t="str">
        <f>IFERROR(U128/_xlfn.XLOOKUP(_xlfn.XLOOKUP($F128,Clientes!$B$4:$B$39,Clientes!$C$4:$C$39),Cadastros!$L$6:$L$12,Cadastros!$M$6:$M$12)," ")</f>
        <v xml:space="preserve"> </v>
      </c>
      <c r="W128" s="28"/>
      <c r="X128" s="28"/>
      <c r="Y128" s="255" t="str">
        <f>IF(W128="","",(_xlfn.XLOOKUP(W128,Cadastros!$D$6:$D$90,Cadastros!$E$6:$E$90))*(1-_xlfn.XLOOKUP(_xlfn.XLOOKUP($F128,Clientes!$B$4:$B$39,Clientes!$C$4:$C$39),Cadastros!$L$6:$L$12,Cadastros!$N$6:$N$12)))</f>
        <v/>
      </c>
      <c r="Z128" s="168" t="str">
        <f t="shared" si="17"/>
        <v/>
      </c>
      <c r="AA128" s="168" t="str">
        <f>IFERROR(Z128/_xlfn.XLOOKUP(_xlfn.XLOOKUP($F128,Clientes!$B$4:$B$39,Clientes!$C$4:$C$39),Cadastros!$L$6:$L$12,Cadastros!$M$6:$M$12)," ")</f>
        <v xml:space="preserve"> </v>
      </c>
      <c r="AB128" s="28"/>
      <c r="AC128" s="28"/>
      <c r="AD128" s="20" t="str">
        <f>IF(AB128="","",IF($F128="Bernardino Furlan",_xlfn.XLOOKUP(AB128,Cadastros!$G$6:$G$90,Cadastros!$H$6:$H$90)*(1-0.18),IF($F128="Mauro José Salanti",_xlfn.XLOOKUP(AB128,Cadastros!$G$6:$G$90,Cadastros!$H$6:$H$90)*(1-0.18),_xlfn.XLOOKUP(AB128,Cadastros!$G$6:$G$90,Cadastros!$H$6:$H$90))))</f>
        <v/>
      </c>
      <c r="AE128" s="168" t="str">
        <f t="shared" si="18"/>
        <v/>
      </c>
      <c r="AF128" s="168" t="str">
        <f t="shared" si="19"/>
        <v/>
      </c>
      <c r="AG128" s="28"/>
      <c r="AH128" s="28"/>
      <c r="AI128" s="20" t="str">
        <f>IF(AG128="","",IF($F128="Bernardino Furlan",_xlfn.XLOOKUP(AG128,Cadastros!$G$6:$G$90,Cadastros!$H$6:$H$90)*(1-0.18),IF($F128="Mauro José Salanti",_xlfn.XLOOKUP(AG128,Cadastros!$G$6:$G$90,Cadastros!$H$6:$H$90)*(1-0.18),_xlfn.XLOOKUP(AG128,Cadastros!$G$6:$G$90,Cadastros!$H$6:$H$90))))</f>
        <v/>
      </c>
      <c r="AJ128" s="168" t="str">
        <f t="shared" si="20"/>
        <v/>
      </c>
      <c r="AK128" s="168" t="str">
        <f t="shared" si="21"/>
        <v/>
      </c>
      <c r="AL128" s="28"/>
      <c r="AM128" s="28"/>
      <c r="AN128" s="20" t="str">
        <f>IF(AL128="","",IF($F128="Bernardino Furlan",_xlfn.XLOOKUP(AL128,Cadastros!$G$6:$G$90,Cadastros!$H$6:$H$90)*(1-0.18),IF($F128="Mauro José Salanti",_xlfn.XLOOKUP(AL128,Cadastros!$G$6:$G$90,Cadastros!$H$6:$H$90)*(1-0.18),_xlfn.XLOOKUP(AL128,Cadastros!$G$6:$G$90,Cadastros!$H$6:$H$90))))</f>
        <v/>
      </c>
      <c r="AO128" s="168" t="str">
        <f t="shared" si="22"/>
        <v/>
      </c>
      <c r="AP128" s="168" t="str">
        <f t="shared" si="23"/>
        <v/>
      </c>
      <c r="AQ128" s="28"/>
      <c r="AR128" s="28"/>
      <c r="AS128" s="20" t="str">
        <f>IF(AQ128="","",IF($F128="Bernardino Furlan",_xlfn.XLOOKUP(AQ128,Cadastros!$G$6:$G$90,Cadastros!$H$6:$H$90)*(1-0.18),IF($F128="Mauro José Salanti",_xlfn.XLOOKUP(AQ128,Cadastros!$G$6:$G$90,Cadastros!$H$6:$H$90)*(1-0.18),_xlfn.XLOOKUP(AQ128,Cadastros!$G$6:$G$90,Cadastros!$H$6:$H$90))))</f>
        <v/>
      </c>
      <c r="AT128" s="168" t="str">
        <f t="shared" si="24"/>
        <v/>
      </c>
      <c r="AU128" s="168" t="str">
        <f t="shared" si="25"/>
        <v/>
      </c>
      <c r="AV128" s="227"/>
      <c r="AW128" s="30"/>
      <c r="AX128" s="267"/>
      <c r="AY128" s="267"/>
      <c r="AZ128" s="29"/>
      <c r="BA128" s="30"/>
      <c r="BB128" s="23" t="str" cm="1">
        <f t="array" ref="BB128">_xlfn.IFS(AW128="SIM",SUM(K128,P128,U128,Z128,AE128,AJ128,AO128,AT128,AX128,AY128),F128&lt;&gt;"",SUM(K128,P128,U128,Z128,AE128,AJ128,,AO128,AT128),F128="","")</f>
        <v/>
      </c>
      <c r="BC128" s="211" t="str" cm="1">
        <f t="array" ref="BC128">_xlfn.IFS(E128="","",G128&lt;=E128,BB128*(1-0.03),G128&lt;(E128+8),BB128,AZ128="Boleto",BB128*(1+0.001)^DATEDIF(E128,G128,"D"),AZ128="Cheque",BB128,AZ128="Dinheiro","Alterar forma pgto")</f>
        <v/>
      </c>
      <c r="BD128" s="276" t="str" cm="1">
        <f t="array" ref="BD128">IF(F128=0," ",IF(BC128&lt;BB128,(_xlfn.IFS(AW128="SIM",SUM(L128,Q128,V128,AA128,AF128,AK128,AP128,AU128)+AX128/_xlfn.XLOOKUP(_xlfn.XLOOKUP($F128,Clientes!$B$4:$B$39,Clientes!$C$4:$C$39),Cadastros!$L$6:$L$12,Cadastros!$M$6:$M$12)+IF($F128="Bernardino Furlan",AY128/2751.92,IF($F128="Mauro José Salanti",AY128/2751.92,AY128/3356)),F128&lt;&gt;0,SUM(L128,Q128,V128,AA128,AF128,AK128,AP128,AU128)))*(1-0.03),_xlfn.IFS(AW128="SIM",SUM(L128,Q128,V128,AA128,AF128,AK128,AP128,AU128)+AX128/_xlfn.XLOOKUP(_xlfn.XLOOKUP($F128,Clientes!$B$4:$B$39,Clientes!$C$4:$C$39),Cadastros!$L$6:$L$12,Cadastros!$M$6:$M$12)+IF($F128="Bernardino Furlan",AY128/2751.92,IF($F128="Mauro José Salanti",AY128/2751.92,AY128/3356)),F128&lt;&gt;0,SUM(L128,Q128,V128,AA128,AF128,AK128,AP128,AU128))))</f>
        <v xml:space="preserve"> </v>
      </c>
      <c r="BE128" s="120"/>
      <c r="BF128" s="120"/>
      <c r="BG128" s="120"/>
    </row>
    <row r="129" spans="1:59" s="3" customFormat="1" x14ac:dyDescent="0.3">
      <c r="A129" s="15" t="str">
        <f t="shared" si="13"/>
        <v/>
      </c>
      <c r="B129" s="25"/>
      <c r="C129" s="26"/>
      <c r="D129" s="279"/>
      <c r="E129" s="27"/>
      <c r="F129" s="28"/>
      <c r="G129" s="27"/>
      <c r="H129" s="28"/>
      <c r="I129" s="28"/>
      <c r="J129" s="255" t="str">
        <f>IF(H129="","",(_xlfn.XLOOKUP(H129,Cadastros!$D$6:$D$90,Cadastros!$E$6:$E$90))*(1-_xlfn.XLOOKUP(_xlfn.XLOOKUP($F129,Clientes!$B$4:$B$39,Clientes!$C$4:$C$39),Cadastros!$L$6:$L$12,Cadastros!$N$6:$N$12)))</f>
        <v/>
      </c>
      <c r="K129" s="168" t="str">
        <f t="shared" si="14"/>
        <v/>
      </c>
      <c r="L129" s="168" t="str">
        <f>IFERROR(K129/_xlfn.XLOOKUP(_xlfn.XLOOKUP($F129,Clientes!$B$4:$B$39,Clientes!$C$4:$C$39),Cadastros!$L$6:$L$12,Cadastros!$M$6:$M$12)," ")</f>
        <v xml:space="preserve"> </v>
      </c>
      <c r="M129" s="28"/>
      <c r="N129" s="28"/>
      <c r="O129" s="255" t="str">
        <f>IF(M129="","",(_xlfn.XLOOKUP(M129,Cadastros!$D$6:$D$90,Cadastros!$E$6:$E$90))*(1-_xlfn.XLOOKUP(_xlfn.XLOOKUP($F129,Clientes!$B$4:$B$39,Clientes!$C$4:$C$39),Cadastros!$L$6:$L$12,Cadastros!$N$6:$N$12)))</f>
        <v/>
      </c>
      <c r="P129" s="168" t="str">
        <f t="shared" si="15"/>
        <v/>
      </c>
      <c r="Q129" s="168" t="str">
        <f>IFERROR(P129/_xlfn.XLOOKUP(_xlfn.XLOOKUP($F129,Clientes!$B$4:$B$39,Clientes!$C$4:$C$39),Cadastros!$L$6:$L$12,Cadastros!$M$6:$M$12)," ")</f>
        <v xml:space="preserve"> </v>
      </c>
      <c r="R129" s="28"/>
      <c r="S129" s="28"/>
      <c r="T129" s="255" t="str">
        <f>IF(R129="","",(_xlfn.XLOOKUP(R129,Cadastros!$D$6:$D$90,Cadastros!$E$6:$E$90))*(1-_xlfn.XLOOKUP(_xlfn.XLOOKUP($F129,Clientes!$B$4:$B$39,Clientes!$C$4:$C$39),Cadastros!$L$6:$L$12,Cadastros!$N$6:$N$12)))</f>
        <v/>
      </c>
      <c r="U129" s="168" t="str">
        <f t="shared" si="16"/>
        <v/>
      </c>
      <c r="V129" s="168" t="str">
        <f>IFERROR(U129/_xlfn.XLOOKUP(_xlfn.XLOOKUP($F129,Clientes!$B$4:$B$39,Clientes!$C$4:$C$39),Cadastros!$L$6:$L$12,Cadastros!$M$6:$M$12)," ")</f>
        <v xml:space="preserve"> </v>
      </c>
      <c r="W129" s="28"/>
      <c r="X129" s="28"/>
      <c r="Y129" s="255" t="str">
        <f>IF(W129="","",(_xlfn.XLOOKUP(W129,Cadastros!$D$6:$D$90,Cadastros!$E$6:$E$90))*(1-_xlfn.XLOOKUP(_xlfn.XLOOKUP($F129,Clientes!$B$4:$B$39,Clientes!$C$4:$C$39),Cadastros!$L$6:$L$12,Cadastros!$N$6:$N$12)))</f>
        <v/>
      </c>
      <c r="Z129" s="168" t="str">
        <f t="shared" si="17"/>
        <v/>
      </c>
      <c r="AA129" s="168" t="str">
        <f>IFERROR(Z129/_xlfn.XLOOKUP(_xlfn.XLOOKUP($F129,Clientes!$B$4:$B$39,Clientes!$C$4:$C$39),Cadastros!$L$6:$L$12,Cadastros!$M$6:$M$12)," ")</f>
        <v xml:space="preserve"> </v>
      </c>
      <c r="AB129" s="28"/>
      <c r="AC129" s="28"/>
      <c r="AD129" s="20" t="str">
        <f>IF(AB129="","",IF($F129="Bernardino Furlan",_xlfn.XLOOKUP(AB129,Cadastros!$G$6:$G$90,Cadastros!$H$6:$H$90)*(1-0.18),IF($F129="Mauro José Salanti",_xlfn.XLOOKUP(AB129,Cadastros!$G$6:$G$90,Cadastros!$H$6:$H$90)*(1-0.18),_xlfn.XLOOKUP(AB129,Cadastros!$G$6:$G$90,Cadastros!$H$6:$H$90))))</f>
        <v/>
      </c>
      <c r="AE129" s="168" t="str">
        <f t="shared" si="18"/>
        <v/>
      </c>
      <c r="AF129" s="168" t="str">
        <f t="shared" si="19"/>
        <v/>
      </c>
      <c r="AG129" s="28"/>
      <c r="AH129" s="28"/>
      <c r="AI129" s="20" t="str">
        <f>IF(AG129="","",IF($F129="Bernardino Furlan",_xlfn.XLOOKUP(AG129,Cadastros!$G$6:$G$90,Cadastros!$H$6:$H$90)*(1-0.18),IF($F129="Mauro José Salanti",_xlfn.XLOOKUP(AG129,Cadastros!$G$6:$G$90,Cadastros!$H$6:$H$90)*(1-0.18),_xlfn.XLOOKUP(AG129,Cadastros!$G$6:$G$90,Cadastros!$H$6:$H$90))))</f>
        <v/>
      </c>
      <c r="AJ129" s="168" t="str">
        <f t="shared" si="20"/>
        <v/>
      </c>
      <c r="AK129" s="168" t="str">
        <f t="shared" si="21"/>
        <v/>
      </c>
      <c r="AL129" s="28"/>
      <c r="AM129" s="28"/>
      <c r="AN129" s="20" t="str">
        <f>IF(AL129="","",IF($F129="Bernardino Furlan",_xlfn.XLOOKUP(AL129,Cadastros!$G$6:$G$90,Cadastros!$H$6:$H$90)*(1-0.18),IF($F129="Mauro José Salanti",_xlfn.XLOOKUP(AL129,Cadastros!$G$6:$G$90,Cadastros!$H$6:$H$90)*(1-0.18),_xlfn.XLOOKUP(AL129,Cadastros!$G$6:$G$90,Cadastros!$H$6:$H$90))))</f>
        <v/>
      </c>
      <c r="AO129" s="168" t="str">
        <f t="shared" si="22"/>
        <v/>
      </c>
      <c r="AP129" s="168" t="str">
        <f t="shared" si="23"/>
        <v/>
      </c>
      <c r="AQ129" s="28"/>
      <c r="AR129" s="28"/>
      <c r="AS129" s="20" t="str">
        <f>IF(AQ129="","",IF($F129="Bernardino Furlan",_xlfn.XLOOKUP(AQ129,Cadastros!$G$6:$G$90,Cadastros!$H$6:$H$90)*(1-0.18),IF($F129="Mauro José Salanti",_xlfn.XLOOKUP(AQ129,Cadastros!$G$6:$G$90,Cadastros!$H$6:$H$90)*(1-0.18),_xlfn.XLOOKUP(AQ129,Cadastros!$G$6:$G$90,Cadastros!$H$6:$H$90))))</f>
        <v/>
      </c>
      <c r="AT129" s="168" t="str">
        <f t="shared" si="24"/>
        <v/>
      </c>
      <c r="AU129" s="168" t="str">
        <f t="shared" si="25"/>
        <v/>
      </c>
      <c r="AV129" s="227"/>
      <c r="AW129" s="30"/>
      <c r="AX129" s="267"/>
      <c r="AY129" s="267"/>
      <c r="AZ129" s="29"/>
      <c r="BA129" s="30"/>
      <c r="BB129" s="23" t="str" cm="1">
        <f t="array" ref="BB129">_xlfn.IFS(AW129="SIM",SUM(K129,P129,U129,Z129,AE129,AJ129,AO129,AT129,AX129,AY129),F129&lt;&gt;"",SUM(K129,P129,U129,Z129,AE129,AJ129,,AO129,AT129),F129="","")</f>
        <v/>
      </c>
      <c r="BC129" s="211" t="str" cm="1">
        <f t="array" ref="BC129">_xlfn.IFS(E129="","",G129&lt;=E129,BB129*(1-0.03),G129&lt;(E129+8),BB129,AZ129="Boleto",BB129*(1+0.001)^DATEDIF(E129,G129,"D"),AZ129="Cheque",BB129,AZ129="Dinheiro","Alterar forma pgto")</f>
        <v/>
      </c>
      <c r="BD129" s="276" t="str" cm="1">
        <f t="array" ref="BD129">IF(F129=0," ",IF(BC129&lt;BB129,(_xlfn.IFS(AW129="SIM",SUM(L129,Q129,V129,AA129,AF129,AK129,AP129,AU129)+AX129/_xlfn.XLOOKUP(_xlfn.XLOOKUP($F129,Clientes!$B$4:$B$39,Clientes!$C$4:$C$39),Cadastros!$L$6:$L$12,Cadastros!$M$6:$M$12)+IF($F129="Bernardino Furlan",AY129/2751.92,IF($F129="Mauro José Salanti",AY129/2751.92,AY129/3356)),F129&lt;&gt;0,SUM(L129,Q129,V129,AA129,AF129,AK129,AP129,AU129)))*(1-0.03),_xlfn.IFS(AW129="SIM",SUM(L129,Q129,V129,AA129,AF129,AK129,AP129,AU129)+AX129/_xlfn.XLOOKUP(_xlfn.XLOOKUP($F129,Clientes!$B$4:$B$39,Clientes!$C$4:$C$39),Cadastros!$L$6:$L$12,Cadastros!$M$6:$M$12)+IF($F129="Bernardino Furlan",AY129/2751.92,IF($F129="Mauro José Salanti",AY129/2751.92,AY129/3356)),F129&lt;&gt;0,SUM(L129,Q129,V129,AA129,AF129,AK129,AP129,AU129))))</f>
        <v xml:space="preserve"> </v>
      </c>
      <c r="BE129" s="120"/>
      <c r="BF129" s="120"/>
      <c r="BG129" s="120"/>
    </row>
    <row r="130" spans="1:59" s="3" customFormat="1" x14ac:dyDescent="0.3">
      <c r="A130" s="15" t="str">
        <f t="shared" si="13"/>
        <v/>
      </c>
      <c r="B130" s="25"/>
      <c r="C130" s="26"/>
      <c r="D130" s="279"/>
      <c r="E130" s="27"/>
      <c r="F130" s="28"/>
      <c r="G130" s="27"/>
      <c r="H130" s="28"/>
      <c r="I130" s="28"/>
      <c r="J130" s="255" t="str">
        <f>IF(H130="","",(_xlfn.XLOOKUP(H130,Cadastros!$D$6:$D$90,Cadastros!$E$6:$E$90))*(1-_xlfn.XLOOKUP(_xlfn.XLOOKUP($F130,Clientes!$B$4:$B$39,Clientes!$C$4:$C$39),Cadastros!$L$6:$L$12,Cadastros!$N$6:$N$12)))</f>
        <v/>
      </c>
      <c r="K130" s="168" t="str">
        <f t="shared" si="14"/>
        <v/>
      </c>
      <c r="L130" s="168" t="str">
        <f>IFERROR(K130/_xlfn.XLOOKUP(_xlfn.XLOOKUP($F130,Clientes!$B$4:$B$39,Clientes!$C$4:$C$39),Cadastros!$L$6:$L$12,Cadastros!$M$6:$M$12)," ")</f>
        <v xml:space="preserve"> </v>
      </c>
      <c r="M130" s="28"/>
      <c r="N130" s="28"/>
      <c r="O130" s="255" t="str">
        <f>IF(M130="","",(_xlfn.XLOOKUP(M130,Cadastros!$D$6:$D$90,Cadastros!$E$6:$E$90))*(1-_xlfn.XLOOKUP(_xlfn.XLOOKUP($F130,Clientes!$B$4:$B$39,Clientes!$C$4:$C$39),Cadastros!$L$6:$L$12,Cadastros!$N$6:$N$12)))</f>
        <v/>
      </c>
      <c r="P130" s="168" t="str">
        <f t="shared" si="15"/>
        <v/>
      </c>
      <c r="Q130" s="168" t="str">
        <f>IFERROR(P130/_xlfn.XLOOKUP(_xlfn.XLOOKUP($F130,Clientes!$B$4:$B$39,Clientes!$C$4:$C$39),Cadastros!$L$6:$L$12,Cadastros!$M$6:$M$12)," ")</f>
        <v xml:space="preserve"> </v>
      </c>
      <c r="R130" s="28"/>
      <c r="S130" s="28"/>
      <c r="T130" s="255" t="str">
        <f>IF(R130="","",(_xlfn.XLOOKUP(R130,Cadastros!$D$6:$D$90,Cadastros!$E$6:$E$90))*(1-_xlfn.XLOOKUP(_xlfn.XLOOKUP($F130,Clientes!$B$4:$B$39,Clientes!$C$4:$C$39),Cadastros!$L$6:$L$12,Cadastros!$N$6:$N$12)))</f>
        <v/>
      </c>
      <c r="U130" s="168" t="str">
        <f t="shared" si="16"/>
        <v/>
      </c>
      <c r="V130" s="168" t="str">
        <f>IFERROR(U130/_xlfn.XLOOKUP(_xlfn.XLOOKUP($F130,Clientes!$B$4:$B$39,Clientes!$C$4:$C$39),Cadastros!$L$6:$L$12,Cadastros!$M$6:$M$12)," ")</f>
        <v xml:space="preserve"> </v>
      </c>
      <c r="W130" s="28"/>
      <c r="X130" s="28"/>
      <c r="Y130" s="255" t="str">
        <f>IF(W130="","",(_xlfn.XLOOKUP(W130,Cadastros!$D$6:$D$90,Cadastros!$E$6:$E$90))*(1-_xlfn.XLOOKUP(_xlfn.XLOOKUP($F130,Clientes!$B$4:$B$39,Clientes!$C$4:$C$39),Cadastros!$L$6:$L$12,Cadastros!$N$6:$N$12)))</f>
        <v/>
      </c>
      <c r="Z130" s="168" t="str">
        <f t="shared" si="17"/>
        <v/>
      </c>
      <c r="AA130" s="168" t="str">
        <f>IFERROR(Z130/_xlfn.XLOOKUP(_xlfn.XLOOKUP($F130,Clientes!$B$4:$B$39,Clientes!$C$4:$C$39),Cadastros!$L$6:$L$12,Cadastros!$M$6:$M$12)," ")</f>
        <v xml:space="preserve"> </v>
      </c>
      <c r="AB130" s="28"/>
      <c r="AC130" s="28"/>
      <c r="AD130" s="20" t="str">
        <f>IF(AB130="","",IF($F130="Bernardino Furlan",_xlfn.XLOOKUP(AB130,Cadastros!$G$6:$G$90,Cadastros!$H$6:$H$90)*(1-0.18),IF($F130="Mauro José Salanti",_xlfn.XLOOKUP(AB130,Cadastros!$G$6:$G$90,Cadastros!$H$6:$H$90)*(1-0.18),_xlfn.XLOOKUP(AB130,Cadastros!$G$6:$G$90,Cadastros!$H$6:$H$90))))</f>
        <v/>
      </c>
      <c r="AE130" s="168" t="str">
        <f t="shared" si="18"/>
        <v/>
      </c>
      <c r="AF130" s="168" t="str">
        <f t="shared" si="19"/>
        <v/>
      </c>
      <c r="AG130" s="28"/>
      <c r="AH130" s="28"/>
      <c r="AI130" s="20" t="str">
        <f>IF(AG130="","",IF($F130="Bernardino Furlan",_xlfn.XLOOKUP(AG130,Cadastros!$G$6:$G$90,Cadastros!$H$6:$H$90)*(1-0.18),IF($F130="Mauro José Salanti",_xlfn.XLOOKUP(AG130,Cadastros!$G$6:$G$90,Cadastros!$H$6:$H$90)*(1-0.18),_xlfn.XLOOKUP(AG130,Cadastros!$G$6:$G$90,Cadastros!$H$6:$H$90))))</f>
        <v/>
      </c>
      <c r="AJ130" s="168" t="str">
        <f t="shared" si="20"/>
        <v/>
      </c>
      <c r="AK130" s="168" t="str">
        <f t="shared" si="21"/>
        <v/>
      </c>
      <c r="AL130" s="28"/>
      <c r="AM130" s="28"/>
      <c r="AN130" s="20" t="str">
        <f>IF(AL130="","",IF($F130="Bernardino Furlan",_xlfn.XLOOKUP(AL130,Cadastros!$G$6:$G$90,Cadastros!$H$6:$H$90)*(1-0.18),IF($F130="Mauro José Salanti",_xlfn.XLOOKUP(AL130,Cadastros!$G$6:$G$90,Cadastros!$H$6:$H$90)*(1-0.18),_xlfn.XLOOKUP(AL130,Cadastros!$G$6:$G$90,Cadastros!$H$6:$H$90))))</f>
        <v/>
      </c>
      <c r="AO130" s="168" t="str">
        <f t="shared" si="22"/>
        <v/>
      </c>
      <c r="AP130" s="168" t="str">
        <f t="shared" si="23"/>
        <v/>
      </c>
      <c r="AQ130" s="28"/>
      <c r="AR130" s="28"/>
      <c r="AS130" s="20" t="str">
        <f>IF(AQ130="","",IF($F130="Bernardino Furlan",_xlfn.XLOOKUP(AQ130,Cadastros!$G$6:$G$90,Cadastros!$H$6:$H$90)*(1-0.18),IF($F130="Mauro José Salanti",_xlfn.XLOOKUP(AQ130,Cadastros!$G$6:$G$90,Cadastros!$H$6:$H$90)*(1-0.18),_xlfn.XLOOKUP(AQ130,Cadastros!$G$6:$G$90,Cadastros!$H$6:$H$90))))</f>
        <v/>
      </c>
      <c r="AT130" s="168" t="str">
        <f t="shared" si="24"/>
        <v/>
      </c>
      <c r="AU130" s="168" t="str">
        <f t="shared" si="25"/>
        <v/>
      </c>
      <c r="AV130" s="227"/>
      <c r="AW130" s="30"/>
      <c r="AX130" s="267"/>
      <c r="AY130" s="267"/>
      <c r="AZ130" s="29"/>
      <c r="BA130" s="30"/>
      <c r="BB130" s="23" t="str" cm="1">
        <f t="array" ref="BB130">_xlfn.IFS(AW130="SIM",SUM(K130,P130,U130,Z130,AE130,AJ130,AO130,AT130,AX130,AY130),F130&lt;&gt;"",SUM(K130,P130,U130,Z130,AE130,AJ130,,AO130,AT130),F130="","")</f>
        <v/>
      </c>
      <c r="BC130" s="211" t="str" cm="1">
        <f t="array" ref="BC130">_xlfn.IFS(E130="","",G130&lt;=E130,BB130*(1-0.03),G130&lt;(E130+8),BB130,AZ130="Boleto",BB130*(1+0.001)^DATEDIF(E130,G130,"D"),AZ130="Cheque",BB130,AZ130="Dinheiro","Alterar forma pgto")</f>
        <v/>
      </c>
      <c r="BD130" s="276" t="str" cm="1">
        <f t="array" ref="BD130">IF(F130=0," ",IF(BC130&lt;BB130,(_xlfn.IFS(AW130="SIM",SUM(L130,Q130,V130,AA130,AF130,AK130,AP130,AU130)+AX130/_xlfn.XLOOKUP(_xlfn.XLOOKUP($F130,Clientes!$B$4:$B$39,Clientes!$C$4:$C$39),Cadastros!$L$6:$L$12,Cadastros!$M$6:$M$12)+IF($F130="Bernardino Furlan",AY130/2751.92,IF($F130="Mauro José Salanti",AY130/2751.92,AY130/3356)),F130&lt;&gt;0,SUM(L130,Q130,V130,AA130,AF130,AK130,AP130,AU130)))*(1-0.03),_xlfn.IFS(AW130="SIM",SUM(L130,Q130,V130,AA130,AF130,AK130,AP130,AU130)+AX130/_xlfn.XLOOKUP(_xlfn.XLOOKUP($F130,Clientes!$B$4:$B$39,Clientes!$C$4:$C$39),Cadastros!$L$6:$L$12,Cadastros!$M$6:$M$12)+IF($F130="Bernardino Furlan",AY130/2751.92,IF($F130="Mauro José Salanti",AY130/2751.92,AY130/3356)),F130&lt;&gt;0,SUM(L130,Q130,V130,AA130,AF130,AK130,AP130,AU130))))</f>
        <v xml:space="preserve"> </v>
      </c>
      <c r="BE130" s="120"/>
      <c r="BF130" s="120"/>
      <c r="BG130" s="120"/>
    </row>
    <row r="131" spans="1:59" s="3" customFormat="1" x14ac:dyDescent="0.3">
      <c r="A131" s="15" t="str">
        <f t="shared" si="13"/>
        <v/>
      </c>
      <c r="B131" s="25"/>
      <c r="C131" s="26"/>
      <c r="D131" s="279"/>
      <c r="E131" s="27"/>
      <c r="F131" s="28"/>
      <c r="G131" s="27"/>
      <c r="H131" s="28"/>
      <c r="I131" s="28"/>
      <c r="J131" s="255" t="str">
        <f>IF(H131="","",(_xlfn.XLOOKUP(H131,Cadastros!$D$6:$D$90,Cadastros!$E$6:$E$90))*(1-_xlfn.XLOOKUP(_xlfn.XLOOKUP($F131,Clientes!$B$4:$B$39,Clientes!$C$4:$C$39),Cadastros!$L$6:$L$12,Cadastros!$N$6:$N$12)))</f>
        <v/>
      </c>
      <c r="K131" s="168" t="str">
        <f t="shared" si="14"/>
        <v/>
      </c>
      <c r="L131" s="168" t="str">
        <f>IFERROR(K131/_xlfn.XLOOKUP(_xlfn.XLOOKUP($F131,Clientes!$B$4:$B$39,Clientes!$C$4:$C$39),Cadastros!$L$6:$L$12,Cadastros!$M$6:$M$12)," ")</f>
        <v xml:space="preserve"> </v>
      </c>
      <c r="M131" s="28"/>
      <c r="N131" s="28"/>
      <c r="O131" s="255" t="str">
        <f>IF(M131="","",(_xlfn.XLOOKUP(M131,Cadastros!$D$6:$D$90,Cadastros!$E$6:$E$90))*(1-_xlfn.XLOOKUP(_xlfn.XLOOKUP($F131,Clientes!$B$4:$B$39,Clientes!$C$4:$C$39),Cadastros!$L$6:$L$12,Cadastros!$N$6:$N$12)))</f>
        <v/>
      </c>
      <c r="P131" s="168" t="str">
        <f t="shared" si="15"/>
        <v/>
      </c>
      <c r="Q131" s="168" t="str">
        <f>IFERROR(P131/_xlfn.XLOOKUP(_xlfn.XLOOKUP($F131,Clientes!$B$4:$B$39,Clientes!$C$4:$C$39),Cadastros!$L$6:$L$12,Cadastros!$M$6:$M$12)," ")</f>
        <v xml:space="preserve"> </v>
      </c>
      <c r="R131" s="28"/>
      <c r="S131" s="28"/>
      <c r="T131" s="255" t="str">
        <f>IF(R131="","",(_xlfn.XLOOKUP(R131,Cadastros!$D$6:$D$90,Cadastros!$E$6:$E$90))*(1-_xlfn.XLOOKUP(_xlfn.XLOOKUP($F131,Clientes!$B$4:$B$39,Clientes!$C$4:$C$39),Cadastros!$L$6:$L$12,Cadastros!$N$6:$N$12)))</f>
        <v/>
      </c>
      <c r="U131" s="168" t="str">
        <f t="shared" si="16"/>
        <v/>
      </c>
      <c r="V131" s="168" t="str">
        <f>IFERROR(U131/_xlfn.XLOOKUP(_xlfn.XLOOKUP($F131,Clientes!$B$4:$B$39,Clientes!$C$4:$C$39),Cadastros!$L$6:$L$12,Cadastros!$M$6:$M$12)," ")</f>
        <v xml:space="preserve"> </v>
      </c>
      <c r="W131" s="28"/>
      <c r="X131" s="28"/>
      <c r="Y131" s="255" t="str">
        <f>IF(W131="","",(_xlfn.XLOOKUP(W131,Cadastros!$D$6:$D$90,Cadastros!$E$6:$E$90))*(1-_xlfn.XLOOKUP(_xlfn.XLOOKUP($F131,Clientes!$B$4:$B$39,Clientes!$C$4:$C$39),Cadastros!$L$6:$L$12,Cadastros!$N$6:$N$12)))</f>
        <v/>
      </c>
      <c r="Z131" s="168" t="str">
        <f t="shared" si="17"/>
        <v/>
      </c>
      <c r="AA131" s="168" t="str">
        <f>IFERROR(Z131/_xlfn.XLOOKUP(_xlfn.XLOOKUP($F131,Clientes!$B$4:$B$39,Clientes!$C$4:$C$39),Cadastros!$L$6:$L$12,Cadastros!$M$6:$M$12)," ")</f>
        <v xml:space="preserve"> </v>
      </c>
      <c r="AB131" s="28"/>
      <c r="AC131" s="28"/>
      <c r="AD131" s="20" t="str">
        <f>IF(AB131="","",IF($F131="Bernardino Furlan",_xlfn.XLOOKUP(AB131,Cadastros!$G$6:$G$90,Cadastros!$H$6:$H$90)*(1-0.18),IF($F131="Mauro José Salanti",_xlfn.XLOOKUP(AB131,Cadastros!$G$6:$G$90,Cadastros!$H$6:$H$90)*(1-0.18),_xlfn.XLOOKUP(AB131,Cadastros!$G$6:$G$90,Cadastros!$H$6:$H$90))))</f>
        <v/>
      </c>
      <c r="AE131" s="168" t="str">
        <f t="shared" si="18"/>
        <v/>
      </c>
      <c r="AF131" s="168" t="str">
        <f t="shared" si="19"/>
        <v/>
      </c>
      <c r="AG131" s="28"/>
      <c r="AH131" s="28"/>
      <c r="AI131" s="20" t="str">
        <f>IF(AG131="","",IF($F131="Bernardino Furlan",_xlfn.XLOOKUP(AG131,Cadastros!$G$6:$G$90,Cadastros!$H$6:$H$90)*(1-0.18),IF($F131="Mauro José Salanti",_xlfn.XLOOKUP(AG131,Cadastros!$G$6:$G$90,Cadastros!$H$6:$H$90)*(1-0.18),_xlfn.XLOOKUP(AG131,Cadastros!$G$6:$G$90,Cadastros!$H$6:$H$90))))</f>
        <v/>
      </c>
      <c r="AJ131" s="168" t="str">
        <f t="shared" si="20"/>
        <v/>
      </c>
      <c r="AK131" s="168" t="str">
        <f t="shared" si="21"/>
        <v/>
      </c>
      <c r="AL131" s="28"/>
      <c r="AM131" s="28"/>
      <c r="AN131" s="20" t="str">
        <f>IF(AL131="","",IF($F131="Bernardino Furlan",_xlfn.XLOOKUP(AL131,Cadastros!$G$6:$G$90,Cadastros!$H$6:$H$90)*(1-0.18),IF($F131="Mauro José Salanti",_xlfn.XLOOKUP(AL131,Cadastros!$G$6:$G$90,Cadastros!$H$6:$H$90)*(1-0.18),_xlfn.XLOOKUP(AL131,Cadastros!$G$6:$G$90,Cadastros!$H$6:$H$90))))</f>
        <v/>
      </c>
      <c r="AO131" s="168" t="str">
        <f t="shared" si="22"/>
        <v/>
      </c>
      <c r="AP131" s="168" t="str">
        <f t="shared" si="23"/>
        <v/>
      </c>
      <c r="AQ131" s="28"/>
      <c r="AR131" s="28"/>
      <c r="AS131" s="20" t="str">
        <f>IF(AQ131="","",IF($F131="Bernardino Furlan",_xlfn.XLOOKUP(AQ131,Cadastros!$G$6:$G$90,Cadastros!$H$6:$H$90)*(1-0.18),IF($F131="Mauro José Salanti",_xlfn.XLOOKUP(AQ131,Cadastros!$G$6:$G$90,Cadastros!$H$6:$H$90)*(1-0.18),_xlfn.XLOOKUP(AQ131,Cadastros!$G$6:$G$90,Cadastros!$H$6:$H$90))))</f>
        <v/>
      </c>
      <c r="AT131" s="168" t="str">
        <f t="shared" si="24"/>
        <v/>
      </c>
      <c r="AU131" s="168" t="str">
        <f t="shared" si="25"/>
        <v/>
      </c>
      <c r="AV131" s="227"/>
      <c r="AW131" s="30"/>
      <c r="AX131" s="267"/>
      <c r="AY131" s="267"/>
      <c r="AZ131" s="29"/>
      <c r="BA131" s="30"/>
      <c r="BB131" s="23" t="str" cm="1">
        <f t="array" ref="BB131">_xlfn.IFS(AW131="SIM",SUM(K131,P131,U131,Z131,AE131,AJ131,AO131,AT131,AX131,AY131),F131&lt;&gt;"",SUM(K131,P131,U131,Z131,AE131,AJ131,,AO131,AT131),F131="","")</f>
        <v/>
      </c>
      <c r="BC131" s="211" t="str" cm="1">
        <f t="array" ref="BC131">_xlfn.IFS(E131="","",G131&lt;=E131,BB131*(1-0.03),G131&lt;(E131+8),BB131,AZ131="Boleto",BB131*(1+0.001)^DATEDIF(E131,G131,"D"),AZ131="Cheque",BB131,AZ131="Dinheiro","Alterar forma pgto")</f>
        <v/>
      </c>
      <c r="BD131" s="276" t="str" cm="1">
        <f t="array" ref="BD131">IF(F131=0," ",IF(BC131&lt;BB131,(_xlfn.IFS(AW131="SIM",SUM(L131,Q131,V131,AA131,AF131,AK131,AP131,AU131)+AX131/_xlfn.XLOOKUP(_xlfn.XLOOKUP($F131,Clientes!$B$4:$B$39,Clientes!$C$4:$C$39),Cadastros!$L$6:$L$12,Cadastros!$M$6:$M$12)+IF($F131="Bernardino Furlan",AY131/2751.92,IF($F131="Mauro José Salanti",AY131/2751.92,AY131/3356)),F131&lt;&gt;0,SUM(L131,Q131,V131,AA131,AF131,AK131,AP131,AU131)))*(1-0.03),_xlfn.IFS(AW131="SIM",SUM(L131,Q131,V131,AA131,AF131,AK131,AP131,AU131)+AX131/_xlfn.XLOOKUP(_xlfn.XLOOKUP($F131,Clientes!$B$4:$B$39,Clientes!$C$4:$C$39),Cadastros!$L$6:$L$12,Cadastros!$M$6:$M$12)+IF($F131="Bernardino Furlan",AY131/2751.92,IF($F131="Mauro José Salanti",AY131/2751.92,AY131/3356)),F131&lt;&gt;0,SUM(L131,Q131,V131,AA131,AF131,AK131,AP131,AU131))))</f>
        <v xml:space="preserve"> </v>
      </c>
      <c r="BE131" s="120"/>
      <c r="BF131" s="120"/>
      <c r="BG131" s="120"/>
    </row>
    <row r="132" spans="1:59" s="3" customFormat="1" x14ac:dyDescent="0.3">
      <c r="A132" s="15" t="str">
        <f t="shared" si="13"/>
        <v/>
      </c>
      <c r="B132" s="25"/>
      <c r="C132" s="26"/>
      <c r="D132" s="279"/>
      <c r="E132" s="27"/>
      <c r="F132" s="28"/>
      <c r="G132" s="27"/>
      <c r="H132" s="28"/>
      <c r="I132" s="28"/>
      <c r="J132" s="255" t="str">
        <f>IF(H132="","",(_xlfn.XLOOKUP(H132,Cadastros!$D$6:$D$90,Cadastros!$E$6:$E$90))*(1-_xlfn.XLOOKUP(_xlfn.XLOOKUP($F132,Clientes!$B$4:$B$39,Clientes!$C$4:$C$39),Cadastros!$L$6:$L$12,Cadastros!$N$6:$N$12)))</f>
        <v/>
      </c>
      <c r="K132" s="168" t="str">
        <f t="shared" si="14"/>
        <v/>
      </c>
      <c r="L132" s="168" t="str">
        <f>IFERROR(K132/_xlfn.XLOOKUP(_xlfn.XLOOKUP($F132,Clientes!$B$4:$B$39,Clientes!$C$4:$C$39),Cadastros!$L$6:$L$12,Cadastros!$M$6:$M$12)," ")</f>
        <v xml:space="preserve"> </v>
      </c>
      <c r="M132" s="28"/>
      <c r="N132" s="28"/>
      <c r="O132" s="255" t="str">
        <f>IF(M132="","",(_xlfn.XLOOKUP(M132,Cadastros!$D$6:$D$90,Cadastros!$E$6:$E$90))*(1-_xlfn.XLOOKUP(_xlfn.XLOOKUP($F132,Clientes!$B$4:$B$39,Clientes!$C$4:$C$39),Cadastros!$L$6:$L$12,Cadastros!$N$6:$N$12)))</f>
        <v/>
      </c>
      <c r="P132" s="168" t="str">
        <f t="shared" si="15"/>
        <v/>
      </c>
      <c r="Q132" s="168" t="str">
        <f>IFERROR(P132/_xlfn.XLOOKUP(_xlfn.XLOOKUP($F132,Clientes!$B$4:$B$39,Clientes!$C$4:$C$39),Cadastros!$L$6:$L$12,Cadastros!$M$6:$M$12)," ")</f>
        <v xml:space="preserve"> </v>
      </c>
      <c r="R132" s="28"/>
      <c r="S132" s="28"/>
      <c r="T132" s="255" t="str">
        <f>IF(R132="","",(_xlfn.XLOOKUP(R132,Cadastros!$D$6:$D$90,Cadastros!$E$6:$E$90))*(1-_xlfn.XLOOKUP(_xlfn.XLOOKUP($F132,Clientes!$B$4:$B$39,Clientes!$C$4:$C$39),Cadastros!$L$6:$L$12,Cadastros!$N$6:$N$12)))</f>
        <v/>
      </c>
      <c r="U132" s="168" t="str">
        <f t="shared" si="16"/>
        <v/>
      </c>
      <c r="V132" s="168" t="str">
        <f>IFERROR(U132/_xlfn.XLOOKUP(_xlfn.XLOOKUP($F132,Clientes!$B$4:$B$39,Clientes!$C$4:$C$39),Cadastros!$L$6:$L$12,Cadastros!$M$6:$M$12)," ")</f>
        <v xml:space="preserve"> </v>
      </c>
      <c r="W132" s="28"/>
      <c r="X132" s="28"/>
      <c r="Y132" s="255" t="str">
        <f>IF(W132="","",(_xlfn.XLOOKUP(W132,Cadastros!$D$6:$D$90,Cadastros!$E$6:$E$90))*(1-_xlfn.XLOOKUP(_xlfn.XLOOKUP($F132,Clientes!$B$4:$B$39,Clientes!$C$4:$C$39),Cadastros!$L$6:$L$12,Cadastros!$N$6:$N$12)))</f>
        <v/>
      </c>
      <c r="Z132" s="168" t="str">
        <f t="shared" si="17"/>
        <v/>
      </c>
      <c r="AA132" s="168" t="str">
        <f>IFERROR(Z132/_xlfn.XLOOKUP(_xlfn.XLOOKUP($F132,Clientes!$B$4:$B$39,Clientes!$C$4:$C$39),Cadastros!$L$6:$L$12,Cadastros!$M$6:$M$12)," ")</f>
        <v xml:space="preserve"> </v>
      </c>
      <c r="AB132" s="28"/>
      <c r="AC132" s="28"/>
      <c r="AD132" s="20" t="str">
        <f>IF(AB132="","",IF($F132="Bernardino Furlan",_xlfn.XLOOKUP(AB132,Cadastros!$G$6:$G$90,Cadastros!$H$6:$H$90)*(1-0.18),IF($F132="Mauro José Salanti",_xlfn.XLOOKUP(AB132,Cadastros!$G$6:$G$90,Cadastros!$H$6:$H$90)*(1-0.18),_xlfn.XLOOKUP(AB132,Cadastros!$G$6:$G$90,Cadastros!$H$6:$H$90))))</f>
        <v/>
      </c>
      <c r="AE132" s="168" t="str">
        <f t="shared" si="18"/>
        <v/>
      </c>
      <c r="AF132" s="168" t="str">
        <f t="shared" si="19"/>
        <v/>
      </c>
      <c r="AG132" s="28"/>
      <c r="AH132" s="28"/>
      <c r="AI132" s="20" t="str">
        <f>IF(AG132="","",IF($F132="Bernardino Furlan",_xlfn.XLOOKUP(AG132,Cadastros!$G$6:$G$90,Cadastros!$H$6:$H$90)*(1-0.18),IF($F132="Mauro José Salanti",_xlfn.XLOOKUP(AG132,Cadastros!$G$6:$G$90,Cadastros!$H$6:$H$90)*(1-0.18),_xlfn.XLOOKUP(AG132,Cadastros!$G$6:$G$90,Cadastros!$H$6:$H$90))))</f>
        <v/>
      </c>
      <c r="AJ132" s="168" t="str">
        <f t="shared" si="20"/>
        <v/>
      </c>
      <c r="AK132" s="168" t="str">
        <f t="shared" si="21"/>
        <v/>
      </c>
      <c r="AL132" s="28"/>
      <c r="AM132" s="28"/>
      <c r="AN132" s="20" t="str">
        <f>IF(AL132="","",IF($F132="Bernardino Furlan",_xlfn.XLOOKUP(AL132,Cadastros!$G$6:$G$90,Cadastros!$H$6:$H$90)*(1-0.18),IF($F132="Mauro José Salanti",_xlfn.XLOOKUP(AL132,Cadastros!$G$6:$G$90,Cadastros!$H$6:$H$90)*(1-0.18),_xlfn.XLOOKUP(AL132,Cadastros!$G$6:$G$90,Cadastros!$H$6:$H$90))))</f>
        <v/>
      </c>
      <c r="AO132" s="168" t="str">
        <f t="shared" si="22"/>
        <v/>
      </c>
      <c r="AP132" s="168" t="str">
        <f t="shared" si="23"/>
        <v/>
      </c>
      <c r="AQ132" s="28"/>
      <c r="AR132" s="28"/>
      <c r="AS132" s="20" t="str">
        <f>IF(AQ132="","",IF($F132="Bernardino Furlan",_xlfn.XLOOKUP(AQ132,Cadastros!$G$6:$G$90,Cadastros!$H$6:$H$90)*(1-0.18),IF($F132="Mauro José Salanti",_xlfn.XLOOKUP(AQ132,Cadastros!$G$6:$G$90,Cadastros!$H$6:$H$90)*(1-0.18),_xlfn.XLOOKUP(AQ132,Cadastros!$G$6:$G$90,Cadastros!$H$6:$H$90))))</f>
        <v/>
      </c>
      <c r="AT132" s="168" t="str">
        <f t="shared" si="24"/>
        <v/>
      </c>
      <c r="AU132" s="168" t="str">
        <f t="shared" si="25"/>
        <v/>
      </c>
      <c r="AV132" s="227"/>
      <c r="AW132" s="30"/>
      <c r="AX132" s="267"/>
      <c r="AY132" s="267"/>
      <c r="AZ132" s="29"/>
      <c r="BA132" s="30"/>
      <c r="BB132" s="23" t="str" cm="1">
        <f t="array" ref="BB132">_xlfn.IFS(AW132="SIM",SUM(K132,P132,U132,Z132,AE132,AJ132,AO132,AT132,AX132,AY132),F132&lt;&gt;"",SUM(K132,P132,U132,Z132,AE132,AJ132,,AO132,AT132),F132="","")</f>
        <v/>
      </c>
      <c r="BC132" s="211" t="str" cm="1">
        <f t="array" ref="BC132">_xlfn.IFS(E132="","",G132&lt;=E132,BB132*(1-0.03),G132&lt;(E132+8),BB132,AZ132="Boleto",BB132*(1+0.001)^DATEDIF(E132,G132,"D"),AZ132="Cheque",BB132,AZ132="Dinheiro","Alterar forma pgto")</f>
        <v/>
      </c>
      <c r="BD132" s="276" t="str" cm="1">
        <f t="array" ref="BD132">IF(F132=0," ",IF(BC132&lt;BB132,(_xlfn.IFS(AW132="SIM",SUM(L132,Q132,V132,AA132,AF132,AK132,AP132,AU132)+AX132/_xlfn.XLOOKUP(_xlfn.XLOOKUP($F132,Clientes!$B$4:$B$39,Clientes!$C$4:$C$39),Cadastros!$L$6:$L$12,Cadastros!$M$6:$M$12)+IF($F132="Bernardino Furlan",AY132/2751.92,IF($F132="Mauro José Salanti",AY132/2751.92,AY132/3356)),F132&lt;&gt;0,SUM(L132,Q132,V132,AA132,AF132,AK132,AP132,AU132)))*(1-0.03),_xlfn.IFS(AW132="SIM",SUM(L132,Q132,V132,AA132,AF132,AK132,AP132,AU132)+AX132/_xlfn.XLOOKUP(_xlfn.XLOOKUP($F132,Clientes!$B$4:$B$39,Clientes!$C$4:$C$39),Cadastros!$L$6:$L$12,Cadastros!$M$6:$M$12)+IF($F132="Bernardino Furlan",AY132/2751.92,IF($F132="Mauro José Salanti",AY132/2751.92,AY132/3356)),F132&lt;&gt;0,SUM(L132,Q132,V132,AA132,AF132,AK132,AP132,AU132))))</f>
        <v xml:space="preserve"> </v>
      </c>
      <c r="BE132" s="120"/>
      <c r="BF132" s="120"/>
      <c r="BG132" s="120"/>
    </row>
    <row r="133" spans="1:59" s="3" customFormat="1" x14ac:dyDescent="0.3">
      <c r="A133" s="15" t="str">
        <f t="shared" si="13"/>
        <v/>
      </c>
      <c r="B133" s="25"/>
      <c r="C133" s="26"/>
      <c r="D133" s="279"/>
      <c r="E133" s="27"/>
      <c r="F133" s="28"/>
      <c r="G133" s="27"/>
      <c r="H133" s="28"/>
      <c r="I133" s="28"/>
      <c r="J133" s="255" t="str">
        <f>IF(H133="","",(_xlfn.XLOOKUP(H133,Cadastros!$D$6:$D$90,Cadastros!$E$6:$E$90))*(1-_xlfn.XLOOKUP(_xlfn.XLOOKUP($F133,Clientes!$B$4:$B$39,Clientes!$C$4:$C$39),Cadastros!$L$6:$L$12,Cadastros!$N$6:$N$12)))</f>
        <v/>
      </c>
      <c r="K133" s="168" t="str">
        <f t="shared" si="14"/>
        <v/>
      </c>
      <c r="L133" s="168" t="str">
        <f>IFERROR(K133/_xlfn.XLOOKUP(_xlfn.XLOOKUP($F133,Clientes!$B$4:$B$39,Clientes!$C$4:$C$39),Cadastros!$L$6:$L$12,Cadastros!$M$6:$M$12)," ")</f>
        <v xml:space="preserve"> </v>
      </c>
      <c r="M133" s="28"/>
      <c r="N133" s="28"/>
      <c r="O133" s="255" t="str">
        <f>IF(M133="","",(_xlfn.XLOOKUP(M133,Cadastros!$D$6:$D$90,Cadastros!$E$6:$E$90))*(1-_xlfn.XLOOKUP(_xlfn.XLOOKUP($F133,Clientes!$B$4:$B$39,Clientes!$C$4:$C$39),Cadastros!$L$6:$L$12,Cadastros!$N$6:$N$12)))</f>
        <v/>
      </c>
      <c r="P133" s="168" t="str">
        <f t="shared" si="15"/>
        <v/>
      </c>
      <c r="Q133" s="168" t="str">
        <f>IFERROR(P133/_xlfn.XLOOKUP(_xlfn.XLOOKUP($F133,Clientes!$B$4:$B$39,Clientes!$C$4:$C$39),Cadastros!$L$6:$L$12,Cadastros!$M$6:$M$12)," ")</f>
        <v xml:space="preserve"> </v>
      </c>
      <c r="R133" s="28"/>
      <c r="S133" s="28"/>
      <c r="T133" s="255" t="str">
        <f>IF(R133="","",(_xlfn.XLOOKUP(R133,Cadastros!$D$6:$D$90,Cadastros!$E$6:$E$90))*(1-_xlfn.XLOOKUP(_xlfn.XLOOKUP($F133,Clientes!$B$4:$B$39,Clientes!$C$4:$C$39),Cadastros!$L$6:$L$12,Cadastros!$N$6:$N$12)))</f>
        <v/>
      </c>
      <c r="U133" s="168" t="str">
        <f t="shared" si="16"/>
        <v/>
      </c>
      <c r="V133" s="168" t="str">
        <f>IFERROR(U133/_xlfn.XLOOKUP(_xlfn.XLOOKUP($F133,Clientes!$B$4:$B$39,Clientes!$C$4:$C$39),Cadastros!$L$6:$L$12,Cadastros!$M$6:$M$12)," ")</f>
        <v xml:space="preserve"> </v>
      </c>
      <c r="W133" s="28"/>
      <c r="X133" s="28"/>
      <c r="Y133" s="255" t="str">
        <f>IF(W133="","",(_xlfn.XLOOKUP(W133,Cadastros!$D$6:$D$90,Cadastros!$E$6:$E$90))*(1-_xlfn.XLOOKUP(_xlfn.XLOOKUP($F133,Clientes!$B$4:$B$39,Clientes!$C$4:$C$39),Cadastros!$L$6:$L$12,Cadastros!$N$6:$N$12)))</f>
        <v/>
      </c>
      <c r="Z133" s="168" t="str">
        <f t="shared" si="17"/>
        <v/>
      </c>
      <c r="AA133" s="168" t="str">
        <f>IFERROR(Z133/_xlfn.XLOOKUP(_xlfn.XLOOKUP($F133,Clientes!$B$4:$B$39,Clientes!$C$4:$C$39),Cadastros!$L$6:$L$12,Cadastros!$M$6:$M$12)," ")</f>
        <v xml:space="preserve"> </v>
      </c>
      <c r="AB133" s="28"/>
      <c r="AC133" s="28"/>
      <c r="AD133" s="20" t="str">
        <f>IF(AB133="","",IF($F133="Bernardino Furlan",_xlfn.XLOOKUP(AB133,Cadastros!$G$6:$G$90,Cadastros!$H$6:$H$90)*(1-0.18),IF($F133="Mauro José Salanti",_xlfn.XLOOKUP(AB133,Cadastros!$G$6:$G$90,Cadastros!$H$6:$H$90)*(1-0.18),_xlfn.XLOOKUP(AB133,Cadastros!$G$6:$G$90,Cadastros!$H$6:$H$90))))</f>
        <v/>
      </c>
      <c r="AE133" s="168" t="str">
        <f t="shared" si="18"/>
        <v/>
      </c>
      <c r="AF133" s="168" t="str">
        <f t="shared" si="19"/>
        <v/>
      </c>
      <c r="AG133" s="28"/>
      <c r="AH133" s="28"/>
      <c r="AI133" s="20" t="str">
        <f>IF(AG133="","",IF($F133="Bernardino Furlan",_xlfn.XLOOKUP(AG133,Cadastros!$G$6:$G$90,Cadastros!$H$6:$H$90)*(1-0.18),IF($F133="Mauro José Salanti",_xlfn.XLOOKUP(AG133,Cadastros!$G$6:$G$90,Cadastros!$H$6:$H$90)*(1-0.18),_xlfn.XLOOKUP(AG133,Cadastros!$G$6:$G$90,Cadastros!$H$6:$H$90))))</f>
        <v/>
      </c>
      <c r="AJ133" s="168" t="str">
        <f t="shared" si="20"/>
        <v/>
      </c>
      <c r="AK133" s="168" t="str">
        <f t="shared" si="21"/>
        <v/>
      </c>
      <c r="AL133" s="28"/>
      <c r="AM133" s="28"/>
      <c r="AN133" s="20" t="str">
        <f>IF(AL133="","",IF($F133="Bernardino Furlan",_xlfn.XLOOKUP(AL133,Cadastros!$G$6:$G$90,Cadastros!$H$6:$H$90)*(1-0.18),IF($F133="Mauro José Salanti",_xlfn.XLOOKUP(AL133,Cadastros!$G$6:$G$90,Cadastros!$H$6:$H$90)*(1-0.18),_xlfn.XLOOKUP(AL133,Cadastros!$G$6:$G$90,Cadastros!$H$6:$H$90))))</f>
        <v/>
      </c>
      <c r="AO133" s="168" t="str">
        <f t="shared" si="22"/>
        <v/>
      </c>
      <c r="AP133" s="168" t="str">
        <f t="shared" si="23"/>
        <v/>
      </c>
      <c r="AQ133" s="28"/>
      <c r="AR133" s="28"/>
      <c r="AS133" s="20" t="str">
        <f>IF(AQ133="","",IF($F133="Bernardino Furlan",_xlfn.XLOOKUP(AQ133,Cadastros!$G$6:$G$90,Cadastros!$H$6:$H$90)*(1-0.18),IF($F133="Mauro José Salanti",_xlfn.XLOOKUP(AQ133,Cadastros!$G$6:$G$90,Cadastros!$H$6:$H$90)*(1-0.18),_xlfn.XLOOKUP(AQ133,Cadastros!$G$6:$G$90,Cadastros!$H$6:$H$90))))</f>
        <v/>
      </c>
      <c r="AT133" s="168" t="str">
        <f t="shared" si="24"/>
        <v/>
      </c>
      <c r="AU133" s="168" t="str">
        <f t="shared" si="25"/>
        <v/>
      </c>
      <c r="AV133" s="227"/>
      <c r="AW133" s="30"/>
      <c r="AX133" s="267"/>
      <c r="AY133" s="267"/>
      <c r="AZ133" s="29"/>
      <c r="BA133" s="30"/>
      <c r="BB133" s="23" t="str" cm="1">
        <f t="array" ref="BB133">_xlfn.IFS(AW133="SIM",SUM(K133,P133,U133,Z133,AE133,AJ133,AO133,AT133,AX133,AY133),F133&lt;&gt;"",SUM(K133,P133,U133,Z133,AE133,AJ133,,AO133,AT133),F133="","")</f>
        <v/>
      </c>
      <c r="BC133" s="211" t="str" cm="1">
        <f t="array" ref="BC133">_xlfn.IFS(E133="","",G133&lt;=E133,BB133*(1-0.03),G133&lt;(E133+8),BB133,AZ133="Boleto",BB133*(1+0.001)^DATEDIF(E133,G133,"D"),AZ133="Cheque",BB133,AZ133="Dinheiro","Alterar forma pgto")</f>
        <v/>
      </c>
      <c r="BD133" s="276" t="str" cm="1">
        <f t="array" ref="BD133">IF(F133=0," ",IF(BC133&lt;BB133,(_xlfn.IFS(AW133="SIM",SUM(L133,Q133,V133,AA133,AF133,AK133,AP133,AU133)+AX133/_xlfn.XLOOKUP(_xlfn.XLOOKUP($F133,Clientes!$B$4:$B$39,Clientes!$C$4:$C$39),Cadastros!$L$6:$L$12,Cadastros!$M$6:$M$12)+IF($F133="Bernardino Furlan",AY133/2751.92,IF($F133="Mauro José Salanti",AY133/2751.92,AY133/3356)),F133&lt;&gt;0,SUM(L133,Q133,V133,AA133,AF133,AK133,AP133,AU133)))*(1-0.03),_xlfn.IFS(AW133="SIM",SUM(L133,Q133,V133,AA133,AF133,AK133,AP133,AU133)+AX133/_xlfn.XLOOKUP(_xlfn.XLOOKUP($F133,Clientes!$B$4:$B$39,Clientes!$C$4:$C$39),Cadastros!$L$6:$L$12,Cadastros!$M$6:$M$12)+IF($F133="Bernardino Furlan",AY133/2751.92,IF($F133="Mauro José Salanti",AY133/2751.92,AY133/3356)),F133&lt;&gt;0,SUM(L133,Q133,V133,AA133,AF133,AK133,AP133,AU133))))</f>
        <v xml:space="preserve"> </v>
      </c>
      <c r="BE133" s="120"/>
      <c r="BF133" s="120"/>
      <c r="BG133" s="120"/>
    </row>
    <row r="134" spans="1:59" s="3" customFormat="1" x14ac:dyDescent="0.3">
      <c r="A134" s="15" t="str">
        <f t="shared" si="13"/>
        <v/>
      </c>
      <c r="B134" s="25"/>
      <c r="C134" s="26"/>
      <c r="D134" s="279"/>
      <c r="E134" s="27"/>
      <c r="F134" s="28"/>
      <c r="G134" s="27"/>
      <c r="H134" s="28"/>
      <c r="I134" s="28"/>
      <c r="J134" s="255" t="str">
        <f>IF(H134="","",(_xlfn.XLOOKUP(H134,Cadastros!$D$6:$D$90,Cadastros!$E$6:$E$90))*(1-_xlfn.XLOOKUP(_xlfn.XLOOKUP($F134,Clientes!$B$4:$B$39,Clientes!$C$4:$C$39),Cadastros!$L$6:$L$12,Cadastros!$N$6:$N$12)))</f>
        <v/>
      </c>
      <c r="K134" s="168" t="str">
        <f t="shared" si="14"/>
        <v/>
      </c>
      <c r="L134" s="168" t="str">
        <f>IFERROR(K134/_xlfn.XLOOKUP(_xlfn.XLOOKUP($F134,Clientes!$B$4:$B$39,Clientes!$C$4:$C$39),Cadastros!$L$6:$L$12,Cadastros!$M$6:$M$12)," ")</f>
        <v xml:space="preserve"> </v>
      </c>
      <c r="M134" s="28"/>
      <c r="N134" s="28"/>
      <c r="O134" s="255" t="str">
        <f>IF(M134="","",(_xlfn.XLOOKUP(M134,Cadastros!$D$6:$D$90,Cadastros!$E$6:$E$90))*(1-_xlfn.XLOOKUP(_xlfn.XLOOKUP($F134,Clientes!$B$4:$B$39,Clientes!$C$4:$C$39),Cadastros!$L$6:$L$12,Cadastros!$N$6:$N$12)))</f>
        <v/>
      </c>
      <c r="P134" s="168" t="str">
        <f t="shared" si="15"/>
        <v/>
      </c>
      <c r="Q134" s="168" t="str">
        <f>IFERROR(P134/_xlfn.XLOOKUP(_xlfn.XLOOKUP($F134,Clientes!$B$4:$B$39,Clientes!$C$4:$C$39),Cadastros!$L$6:$L$12,Cadastros!$M$6:$M$12)," ")</f>
        <v xml:space="preserve"> </v>
      </c>
      <c r="R134" s="28"/>
      <c r="S134" s="28"/>
      <c r="T134" s="255" t="str">
        <f>IF(R134="","",(_xlfn.XLOOKUP(R134,Cadastros!$D$6:$D$90,Cadastros!$E$6:$E$90))*(1-_xlfn.XLOOKUP(_xlfn.XLOOKUP($F134,Clientes!$B$4:$B$39,Clientes!$C$4:$C$39),Cadastros!$L$6:$L$12,Cadastros!$N$6:$N$12)))</f>
        <v/>
      </c>
      <c r="U134" s="168" t="str">
        <f t="shared" si="16"/>
        <v/>
      </c>
      <c r="V134" s="168" t="str">
        <f>IFERROR(U134/_xlfn.XLOOKUP(_xlfn.XLOOKUP($F134,Clientes!$B$4:$B$39,Clientes!$C$4:$C$39),Cadastros!$L$6:$L$12,Cadastros!$M$6:$M$12)," ")</f>
        <v xml:space="preserve"> </v>
      </c>
      <c r="W134" s="28"/>
      <c r="X134" s="28"/>
      <c r="Y134" s="255" t="str">
        <f>IF(W134="","",(_xlfn.XLOOKUP(W134,Cadastros!$D$6:$D$90,Cadastros!$E$6:$E$90))*(1-_xlfn.XLOOKUP(_xlfn.XLOOKUP($F134,Clientes!$B$4:$B$39,Clientes!$C$4:$C$39),Cadastros!$L$6:$L$12,Cadastros!$N$6:$N$12)))</f>
        <v/>
      </c>
      <c r="Z134" s="168" t="str">
        <f t="shared" si="17"/>
        <v/>
      </c>
      <c r="AA134" s="168" t="str">
        <f>IFERROR(Z134/_xlfn.XLOOKUP(_xlfn.XLOOKUP($F134,Clientes!$B$4:$B$39,Clientes!$C$4:$C$39),Cadastros!$L$6:$L$12,Cadastros!$M$6:$M$12)," ")</f>
        <v xml:space="preserve"> </v>
      </c>
      <c r="AB134" s="28"/>
      <c r="AC134" s="28"/>
      <c r="AD134" s="20" t="str">
        <f>IF(AB134="","",IF($F134="Bernardino Furlan",_xlfn.XLOOKUP(AB134,Cadastros!$G$6:$G$90,Cadastros!$H$6:$H$90)*(1-0.18),IF($F134="Mauro José Salanti",_xlfn.XLOOKUP(AB134,Cadastros!$G$6:$G$90,Cadastros!$H$6:$H$90)*(1-0.18),_xlfn.XLOOKUP(AB134,Cadastros!$G$6:$G$90,Cadastros!$H$6:$H$90))))</f>
        <v/>
      </c>
      <c r="AE134" s="168" t="str">
        <f t="shared" si="18"/>
        <v/>
      </c>
      <c r="AF134" s="168" t="str">
        <f t="shared" si="19"/>
        <v/>
      </c>
      <c r="AG134" s="28"/>
      <c r="AH134" s="28"/>
      <c r="AI134" s="20" t="str">
        <f>IF(AG134="","",IF($F134="Bernardino Furlan",_xlfn.XLOOKUP(AG134,Cadastros!$G$6:$G$90,Cadastros!$H$6:$H$90)*(1-0.18),IF($F134="Mauro José Salanti",_xlfn.XLOOKUP(AG134,Cadastros!$G$6:$G$90,Cadastros!$H$6:$H$90)*(1-0.18),_xlfn.XLOOKUP(AG134,Cadastros!$G$6:$G$90,Cadastros!$H$6:$H$90))))</f>
        <v/>
      </c>
      <c r="AJ134" s="168" t="str">
        <f t="shared" si="20"/>
        <v/>
      </c>
      <c r="AK134" s="168" t="str">
        <f t="shared" si="21"/>
        <v/>
      </c>
      <c r="AL134" s="28"/>
      <c r="AM134" s="28"/>
      <c r="AN134" s="20" t="str">
        <f>IF(AL134="","",IF($F134="Bernardino Furlan",_xlfn.XLOOKUP(AL134,Cadastros!$G$6:$G$90,Cadastros!$H$6:$H$90)*(1-0.18),IF($F134="Mauro José Salanti",_xlfn.XLOOKUP(AL134,Cadastros!$G$6:$G$90,Cadastros!$H$6:$H$90)*(1-0.18),_xlfn.XLOOKUP(AL134,Cadastros!$G$6:$G$90,Cadastros!$H$6:$H$90))))</f>
        <v/>
      </c>
      <c r="AO134" s="168" t="str">
        <f t="shared" si="22"/>
        <v/>
      </c>
      <c r="AP134" s="168" t="str">
        <f t="shared" si="23"/>
        <v/>
      </c>
      <c r="AQ134" s="28"/>
      <c r="AR134" s="28"/>
      <c r="AS134" s="20" t="str">
        <f>IF(AQ134="","",IF($F134="Bernardino Furlan",_xlfn.XLOOKUP(AQ134,Cadastros!$G$6:$G$90,Cadastros!$H$6:$H$90)*(1-0.18),IF($F134="Mauro José Salanti",_xlfn.XLOOKUP(AQ134,Cadastros!$G$6:$G$90,Cadastros!$H$6:$H$90)*(1-0.18),_xlfn.XLOOKUP(AQ134,Cadastros!$G$6:$G$90,Cadastros!$H$6:$H$90))))</f>
        <v/>
      </c>
      <c r="AT134" s="168" t="str">
        <f t="shared" si="24"/>
        <v/>
      </c>
      <c r="AU134" s="168" t="str">
        <f t="shared" si="25"/>
        <v/>
      </c>
      <c r="AV134" s="227"/>
      <c r="AW134" s="30"/>
      <c r="AX134" s="267"/>
      <c r="AY134" s="267"/>
      <c r="AZ134" s="29"/>
      <c r="BA134" s="30"/>
      <c r="BB134" s="23" t="str" cm="1">
        <f t="array" ref="BB134">_xlfn.IFS(AW134="SIM",SUM(K134,P134,U134,Z134,AE134,AJ134,AO134,AT134,AX134,AY134),F134&lt;&gt;"",SUM(K134,P134,U134,Z134,AE134,AJ134,,AO134,AT134),F134="","")</f>
        <v/>
      </c>
      <c r="BC134" s="211" t="str" cm="1">
        <f t="array" ref="BC134">_xlfn.IFS(E134="","",G134&lt;=E134,BB134*(1-0.03),G134&lt;(E134+8),BB134,AZ134="Boleto",BB134*(1+0.001)^DATEDIF(E134,G134,"D"),AZ134="Cheque",BB134,AZ134="Dinheiro","Alterar forma pgto")</f>
        <v/>
      </c>
      <c r="BD134" s="276" t="str" cm="1">
        <f t="array" ref="BD134">IF(F134=0," ",IF(BC134&lt;BB134,(_xlfn.IFS(AW134="SIM",SUM(L134,Q134,V134,AA134,AF134,AK134,AP134,AU134)+AX134/_xlfn.XLOOKUP(_xlfn.XLOOKUP($F134,Clientes!$B$4:$B$39,Clientes!$C$4:$C$39),Cadastros!$L$6:$L$12,Cadastros!$M$6:$M$12)+IF($F134="Bernardino Furlan",AY134/2751.92,IF($F134="Mauro José Salanti",AY134/2751.92,AY134/3356)),F134&lt;&gt;0,SUM(L134,Q134,V134,AA134,AF134,AK134,AP134,AU134)))*(1-0.03),_xlfn.IFS(AW134="SIM",SUM(L134,Q134,V134,AA134,AF134,AK134,AP134,AU134)+AX134/_xlfn.XLOOKUP(_xlfn.XLOOKUP($F134,Clientes!$B$4:$B$39,Clientes!$C$4:$C$39),Cadastros!$L$6:$L$12,Cadastros!$M$6:$M$12)+IF($F134="Bernardino Furlan",AY134/2751.92,IF($F134="Mauro José Salanti",AY134/2751.92,AY134/3356)),F134&lt;&gt;0,SUM(L134,Q134,V134,AA134,AF134,AK134,AP134,AU134))))</f>
        <v xml:space="preserve"> </v>
      </c>
      <c r="BE134" s="120"/>
      <c r="BF134" s="120"/>
      <c r="BG134" s="120"/>
    </row>
    <row r="135" spans="1:59" s="3" customFormat="1" x14ac:dyDescent="0.3">
      <c r="A135" s="15" t="str">
        <f t="shared" si="13"/>
        <v/>
      </c>
      <c r="B135" s="25"/>
      <c r="C135" s="26"/>
      <c r="D135" s="279"/>
      <c r="E135" s="27"/>
      <c r="F135" s="28"/>
      <c r="G135" s="27"/>
      <c r="H135" s="28"/>
      <c r="I135" s="28"/>
      <c r="J135" s="255" t="str">
        <f>IF(H135="","",(_xlfn.XLOOKUP(H135,Cadastros!$D$6:$D$90,Cadastros!$E$6:$E$90))*(1-_xlfn.XLOOKUP(_xlfn.XLOOKUP($F135,Clientes!$B$4:$B$39,Clientes!$C$4:$C$39),Cadastros!$L$6:$L$12,Cadastros!$N$6:$N$12)))</f>
        <v/>
      </c>
      <c r="K135" s="168" t="str">
        <f t="shared" si="14"/>
        <v/>
      </c>
      <c r="L135" s="168" t="str">
        <f>IFERROR(K135/_xlfn.XLOOKUP(_xlfn.XLOOKUP($F135,Clientes!$B$4:$B$39,Clientes!$C$4:$C$39),Cadastros!$L$6:$L$12,Cadastros!$M$6:$M$12)," ")</f>
        <v xml:space="preserve"> </v>
      </c>
      <c r="M135" s="28"/>
      <c r="N135" s="28"/>
      <c r="O135" s="255" t="str">
        <f>IF(M135="","",(_xlfn.XLOOKUP(M135,Cadastros!$D$6:$D$90,Cadastros!$E$6:$E$90))*(1-_xlfn.XLOOKUP(_xlfn.XLOOKUP($F135,Clientes!$B$4:$B$39,Clientes!$C$4:$C$39),Cadastros!$L$6:$L$12,Cadastros!$N$6:$N$12)))</f>
        <v/>
      </c>
      <c r="P135" s="168" t="str">
        <f t="shared" si="15"/>
        <v/>
      </c>
      <c r="Q135" s="168" t="str">
        <f>IFERROR(P135/_xlfn.XLOOKUP(_xlfn.XLOOKUP($F135,Clientes!$B$4:$B$39,Clientes!$C$4:$C$39),Cadastros!$L$6:$L$12,Cadastros!$M$6:$M$12)," ")</f>
        <v xml:space="preserve"> </v>
      </c>
      <c r="R135" s="28"/>
      <c r="S135" s="28"/>
      <c r="T135" s="255" t="str">
        <f>IF(R135="","",(_xlfn.XLOOKUP(R135,Cadastros!$D$6:$D$90,Cadastros!$E$6:$E$90))*(1-_xlfn.XLOOKUP(_xlfn.XLOOKUP($F135,Clientes!$B$4:$B$39,Clientes!$C$4:$C$39),Cadastros!$L$6:$L$12,Cadastros!$N$6:$N$12)))</f>
        <v/>
      </c>
      <c r="U135" s="168" t="str">
        <f t="shared" si="16"/>
        <v/>
      </c>
      <c r="V135" s="168" t="str">
        <f>IFERROR(U135/_xlfn.XLOOKUP(_xlfn.XLOOKUP($F135,Clientes!$B$4:$B$39,Clientes!$C$4:$C$39),Cadastros!$L$6:$L$12,Cadastros!$M$6:$M$12)," ")</f>
        <v xml:space="preserve"> </v>
      </c>
      <c r="W135" s="28"/>
      <c r="X135" s="28"/>
      <c r="Y135" s="255" t="str">
        <f>IF(W135="","",(_xlfn.XLOOKUP(W135,Cadastros!$D$6:$D$90,Cadastros!$E$6:$E$90))*(1-_xlfn.XLOOKUP(_xlfn.XLOOKUP($F135,Clientes!$B$4:$B$39,Clientes!$C$4:$C$39),Cadastros!$L$6:$L$12,Cadastros!$N$6:$N$12)))</f>
        <v/>
      </c>
      <c r="Z135" s="168" t="str">
        <f t="shared" si="17"/>
        <v/>
      </c>
      <c r="AA135" s="168" t="str">
        <f>IFERROR(Z135/_xlfn.XLOOKUP(_xlfn.XLOOKUP($F135,Clientes!$B$4:$B$39,Clientes!$C$4:$C$39),Cadastros!$L$6:$L$12,Cadastros!$M$6:$M$12)," ")</f>
        <v xml:space="preserve"> </v>
      </c>
      <c r="AB135" s="28"/>
      <c r="AC135" s="28"/>
      <c r="AD135" s="20" t="str">
        <f>IF(AB135="","",IF($F135="Bernardino Furlan",_xlfn.XLOOKUP(AB135,Cadastros!$G$6:$G$90,Cadastros!$H$6:$H$90)*(1-0.18),IF($F135="Mauro José Salanti",_xlfn.XLOOKUP(AB135,Cadastros!$G$6:$G$90,Cadastros!$H$6:$H$90)*(1-0.18),_xlfn.XLOOKUP(AB135,Cadastros!$G$6:$G$90,Cadastros!$H$6:$H$90))))</f>
        <v/>
      </c>
      <c r="AE135" s="168" t="str">
        <f t="shared" si="18"/>
        <v/>
      </c>
      <c r="AF135" s="168" t="str">
        <f t="shared" si="19"/>
        <v/>
      </c>
      <c r="AG135" s="28"/>
      <c r="AH135" s="28"/>
      <c r="AI135" s="20" t="str">
        <f>IF(AG135="","",IF($F135="Bernardino Furlan",_xlfn.XLOOKUP(AG135,Cadastros!$G$6:$G$90,Cadastros!$H$6:$H$90)*(1-0.18),IF($F135="Mauro José Salanti",_xlfn.XLOOKUP(AG135,Cadastros!$G$6:$G$90,Cadastros!$H$6:$H$90)*(1-0.18),_xlfn.XLOOKUP(AG135,Cadastros!$G$6:$G$90,Cadastros!$H$6:$H$90))))</f>
        <v/>
      </c>
      <c r="AJ135" s="168" t="str">
        <f t="shared" si="20"/>
        <v/>
      </c>
      <c r="AK135" s="168" t="str">
        <f t="shared" si="21"/>
        <v/>
      </c>
      <c r="AL135" s="28"/>
      <c r="AM135" s="28"/>
      <c r="AN135" s="20" t="str">
        <f>IF(AL135="","",IF($F135="Bernardino Furlan",_xlfn.XLOOKUP(AL135,Cadastros!$G$6:$G$90,Cadastros!$H$6:$H$90)*(1-0.18),IF($F135="Mauro José Salanti",_xlfn.XLOOKUP(AL135,Cadastros!$G$6:$G$90,Cadastros!$H$6:$H$90)*(1-0.18),_xlfn.XLOOKUP(AL135,Cadastros!$G$6:$G$90,Cadastros!$H$6:$H$90))))</f>
        <v/>
      </c>
      <c r="AO135" s="168" t="str">
        <f t="shared" si="22"/>
        <v/>
      </c>
      <c r="AP135" s="168" t="str">
        <f t="shared" si="23"/>
        <v/>
      </c>
      <c r="AQ135" s="28"/>
      <c r="AR135" s="28"/>
      <c r="AS135" s="20" t="str">
        <f>IF(AQ135="","",IF($F135="Bernardino Furlan",_xlfn.XLOOKUP(AQ135,Cadastros!$G$6:$G$90,Cadastros!$H$6:$H$90)*(1-0.18),IF($F135="Mauro José Salanti",_xlfn.XLOOKUP(AQ135,Cadastros!$G$6:$G$90,Cadastros!$H$6:$H$90)*(1-0.18),_xlfn.XLOOKUP(AQ135,Cadastros!$G$6:$G$90,Cadastros!$H$6:$H$90))))</f>
        <v/>
      </c>
      <c r="AT135" s="168" t="str">
        <f t="shared" si="24"/>
        <v/>
      </c>
      <c r="AU135" s="168" t="str">
        <f t="shared" si="25"/>
        <v/>
      </c>
      <c r="AV135" s="227"/>
      <c r="AW135" s="30"/>
      <c r="AX135" s="267"/>
      <c r="AY135" s="267"/>
      <c r="AZ135" s="29"/>
      <c r="BA135" s="30"/>
      <c r="BB135" s="23" t="str" cm="1">
        <f t="array" ref="BB135">_xlfn.IFS(AW135="SIM",SUM(K135,P135,U135,Z135,AE135,AJ135,AO135,AT135,AX135,AY135),F135&lt;&gt;"",SUM(K135,P135,U135,Z135,AE135,AJ135,,AO135,AT135),F135="","")</f>
        <v/>
      </c>
      <c r="BC135" s="211" t="str" cm="1">
        <f t="array" ref="BC135">_xlfn.IFS(E135="","",G135&lt;=E135,BB135*(1-0.03),G135&lt;(E135+8),BB135,AZ135="Boleto",BB135*(1+0.001)^DATEDIF(E135,G135,"D"),AZ135="Cheque",BB135,AZ135="Dinheiro","Alterar forma pgto")</f>
        <v/>
      </c>
      <c r="BD135" s="276" t="str" cm="1">
        <f t="array" ref="BD135">IF(F135=0," ",IF(BC135&lt;BB135,(_xlfn.IFS(AW135="SIM",SUM(L135,Q135,V135,AA135,AF135,AK135,AP135,AU135)+AX135/_xlfn.XLOOKUP(_xlfn.XLOOKUP($F135,Clientes!$B$4:$B$39,Clientes!$C$4:$C$39),Cadastros!$L$6:$L$12,Cadastros!$M$6:$M$12)+IF($F135="Bernardino Furlan",AY135/2751.92,IF($F135="Mauro José Salanti",AY135/2751.92,AY135/3356)),F135&lt;&gt;0,SUM(L135,Q135,V135,AA135,AF135,AK135,AP135,AU135)))*(1-0.03),_xlfn.IFS(AW135="SIM",SUM(L135,Q135,V135,AA135,AF135,AK135,AP135,AU135)+AX135/_xlfn.XLOOKUP(_xlfn.XLOOKUP($F135,Clientes!$B$4:$B$39,Clientes!$C$4:$C$39),Cadastros!$L$6:$L$12,Cadastros!$M$6:$M$12)+IF($F135="Bernardino Furlan",AY135/2751.92,IF($F135="Mauro José Salanti",AY135/2751.92,AY135/3356)),F135&lt;&gt;0,SUM(L135,Q135,V135,AA135,AF135,AK135,AP135,AU135))))</f>
        <v xml:space="preserve"> </v>
      </c>
      <c r="BE135" s="120"/>
      <c r="BF135" s="120"/>
      <c r="BG135" s="120"/>
    </row>
    <row r="136" spans="1:59" s="3" customFormat="1" x14ac:dyDescent="0.3">
      <c r="A136" s="15" t="str">
        <f t="shared" ref="A136:A199" si="26">IF(C136="orçamento",25%,IF(C136="aprovado",50%,IF(C136="entregue",100%,IF(C136="não aceito",0%,""))))</f>
        <v/>
      </c>
      <c r="B136" s="25"/>
      <c r="C136" s="26"/>
      <c r="D136" s="279"/>
      <c r="E136" s="27"/>
      <c r="F136" s="28"/>
      <c r="G136" s="27"/>
      <c r="H136" s="28"/>
      <c r="I136" s="28"/>
      <c r="J136" s="255" t="str">
        <f>IF(H136="","",(_xlfn.XLOOKUP(H136,Cadastros!$D$6:$D$90,Cadastros!$E$6:$E$90))*(1-_xlfn.XLOOKUP(_xlfn.XLOOKUP($F136,Clientes!$B$4:$B$39,Clientes!$C$4:$C$39),Cadastros!$L$6:$L$12,Cadastros!$N$6:$N$12)))</f>
        <v/>
      </c>
      <c r="K136" s="168" t="str">
        <f t="shared" ref="K136:K199" si="27">IF(J136="","",I136*J136)</f>
        <v/>
      </c>
      <c r="L136" s="168" t="str">
        <f>IFERROR(K136/_xlfn.XLOOKUP(_xlfn.XLOOKUP($F136,Clientes!$B$4:$B$39,Clientes!$C$4:$C$39),Cadastros!$L$6:$L$12,Cadastros!$M$6:$M$12)," ")</f>
        <v xml:space="preserve"> </v>
      </c>
      <c r="M136" s="28"/>
      <c r="N136" s="28"/>
      <c r="O136" s="255" t="str">
        <f>IF(M136="","",(_xlfn.XLOOKUP(M136,Cadastros!$D$6:$D$90,Cadastros!$E$6:$E$90))*(1-_xlfn.XLOOKUP(_xlfn.XLOOKUP($F136,Clientes!$B$4:$B$39,Clientes!$C$4:$C$39),Cadastros!$L$6:$L$12,Cadastros!$N$6:$N$12)))</f>
        <v/>
      </c>
      <c r="P136" s="168" t="str">
        <f t="shared" ref="P136:P199" si="28">IF(O136="","",N136*O136)</f>
        <v/>
      </c>
      <c r="Q136" s="168" t="str">
        <f>IFERROR(P136/_xlfn.XLOOKUP(_xlfn.XLOOKUP($F136,Clientes!$B$4:$B$39,Clientes!$C$4:$C$39),Cadastros!$L$6:$L$12,Cadastros!$M$6:$M$12)," ")</f>
        <v xml:space="preserve"> </v>
      </c>
      <c r="R136" s="28"/>
      <c r="S136" s="28"/>
      <c r="T136" s="255" t="str">
        <f>IF(R136="","",(_xlfn.XLOOKUP(R136,Cadastros!$D$6:$D$90,Cadastros!$E$6:$E$90))*(1-_xlfn.XLOOKUP(_xlfn.XLOOKUP($F136,Clientes!$B$4:$B$39,Clientes!$C$4:$C$39),Cadastros!$L$6:$L$12,Cadastros!$N$6:$N$12)))</f>
        <v/>
      </c>
      <c r="U136" s="168" t="str">
        <f t="shared" ref="U136:U199" si="29">IF(T136="","",S136*T136)</f>
        <v/>
      </c>
      <c r="V136" s="168" t="str">
        <f>IFERROR(U136/_xlfn.XLOOKUP(_xlfn.XLOOKUP($F136,Clientes!$B$4:$B$39,Clientes!$C$4:$C$39),Cadastros!$L$6:$L$12,Cadastros!$M$6:$M$12)," ")</f>
        <v xml:space="preserve"> </v>
      </c>
      <c r="W136" s="28"/>
      <c r="X136" s="28"/>
      <c r="Y136" s="255" t="str">
        <f>IF(W136="","",(_xlfn.XLOOKUP(W136,Cadastros!$D$6:$D$90,Cadastros!$E$6:$E$90))*(1-_xlfn.XLOOKUP(_xlfn.XLOOKUP($F136,Clientes!$B$4:$B$39,Clientes!$C$4:$C$39),Cadastros!$L$6:$L$12,Cadastros!$N$6:$N$12)))</f>
        <v/>
      </c>
      <c r="Z136" s="168" t="str">
        <f t="shared" ref="Z136:Z199" si="30">IF(Y136="","",X136*Y136)</f>
        <v/>
      </c>
      <c r="AA136" s="168" t="str">
        <f>IFERROR(Z136/_xlfn.XLOOKUP(_xlfn.XLOOKUP($F136,Clientes!$B$4:$B$39,Clientes!$C$4:$C$39),Cadastros!$L$6:$L$12,Cadastros!$M$6:$M$12)," ")</f>
        <v xml:space="preserve"> </v>
      </c>
      <c r="AB136" s="28"/>
      <c r="AC136" s="28"/>
      <c r="AD136" s="20" t="str">
        <f>IF(AB136="","",IF($F136="Bernardino Furlan",_xlfn.XLOOKUP(AB136,Cadastros!$G$6:$G$90,Cadastros!$H$6:$H$90)*(1-0.18),IF($F136="Mauro José Salanti",_xlfn.XLOOKUP(AB136,Cadastros!$G$6:$G$90,Cadastros!$H$6:$H$90)*(1-0.18),_xlfn.XLOOKUP(AB136,Cadastros!$G$6:$G$90,Cadastros!$H$6:$H$90))))</f>
        <v/>
      </c>
      <c r="AE136" s="168" t="str">
        <f t="shared" ref="AE136:AE199" si="31">IF(AD136="","",AC136*AD136)</f>
        <v/>
      </c>
      <c r="AF136" s="168" t="str">
        <f t="shared" ref="AF136:AF199" si="32">IFERROR(IF($F136="Bernardino Furlan",AE136/2751.92,IF($F136="Mauro José Salanti",AE136/2751.92,AE136/3356)),"")</f>
        <v/>
      </c>
      <c r="AG136" s="28"/>
      <c r="AH136" s="28"/>
      <c r="AI136" s="20" t="str">
        <f>IF(AG136="","",IF($F136="Bernardino Furlan",_xlfn.XLOOKUP(AG136,Cadastros!$G$6:$G$90,Cadastros!$H$6:$H$90)*(1-0.18),IF($F136="Mauro José Salanti",_xlfn.XLOOKUP(AG136,Cadastros!$G$6:$G$90,Cadastros!$H$6:$H$90)*(1-0.18),_xlfn.XLOOKUP(AG136,Cadastros!$G$6:$G$90,Cadastros!$H$6:$H$90))))</f>
        <v/>
      </c>
      <c r="AJ136" s="168" t="str">
        <f t="shared" ref="AJ136:AJ199" si="33">IF(AI136="","",AH136*AI136)</f>
        <v/>
      </c>
      <c r="AK136" s="168" t="str">
        <f t="shared" ref="AK136:AK199" si="34">IFERROR(IF($F136="Bernardino Furlan",AJ136/2751.92,IF($F136="Mauro José Salanti",AJ136/2751.92,AJ136/3356)),"")</f>
        <v/>
      </c>
      <c r="AL136" s="28"/>
      <c r="AM136" s="28"/>
      <c r="AN136" s="20" t="str">
        <f>IF(AL136="","",IF($F136="Bernardino Furlan",_xlfn.XLOOKUP(AL136,Cadastros!$G$6:$G$90,Cadastros!$H$6:$H$90)*(1-0.18),IF($F136="Mauro José Salanti",_xlfn.XLOOKUP(AL136,Cadastros!$G$6:$G$90,Cadastros!$H$6:$H$90)*(1-0.18),_xlfn.XLOOKUP(AL136,Cadastros!$G$6:$G$90,Cadastros!$H$6:$H$90))))</f>
        <v/>
      </c>
      <c r="AO136" s="168" t="str">
        <f t="shared" ref="AO136:AO199" si="35">IF(AN136="","",AM136*AN136)</f>
        <v/>
      </c>
      <c r="AP136" s="168" t="str">
        <f t="shared" ref="AP136:AP199" si="36">IFERROR(IF($F136="Bernardino Furlan",AO136/2751.92,IF($F136="Mauro José Salanti",AO136/2751.92,AO136/3356)),"")</f>
        <v/>
      </c>
      <c r="AQ136" s="28"/>
      <c r="AR136" s="28"/>
      <c r="AS136" s="20" t="str">
        <f>IF(AQ136="","",IF($F136="Bernardino Furlan",_xlfn.XLOOKUP(AQ136,Cadastros!$G$6:$G$90,Cadastros!$H$6:$H$90)*(1-0.18),IF($F136="Mauro José Salanti",_xlfn.XLOOKUP(AQ136,Cadastros!$G$6:$G$90,Cadastros!$H$6:$H$90)*(1-0.18),_xlfn.XLOOKUP(AQ136,Cadastros!$G$6:$G$90,Cadastros!$H$6:$H$90))))</f>
        <v/>
      </c>
      <c r="AT136" s="168" t="str">
        <f t="shared" ref="AT136:AT199" si="37">IF(AS136="","",AR136*AS136)</f>
        <v/>
      </c>
      <c r="AU136" s="168" t="str">
        <f t="shared" ref="AU136:AU199" si="38">IFERROR(IF($F136="Bernardino Furlan",AT136/2751.92,IF($F136="Mauro José Salanti",AT136/2751.92,AT136/3356)),"")</f>
        <v/>
      </c>
      <c r="AV136" s="227"/>
      <c r="AW136" s="30"/>
      <c r="AX136" s="267"/>
      <c r="AY136" s="267"/>
      <c r="AZ136" s="29"/>
      <c r="BA136" s="30"/>
      <c r="BB136" s="23" t="str" cm="1">
        <f t="array" ref="BB136">_xlfn.IFS(AW136="SIM",SUM(K136,P136,U136,Z136,AE136,AJ136,AO136,AT136,AX136,AY136),F136&lt;&gt;"",SUM(K136,P136,U136,Z136,AE136,AJ136,,AO136,AT136),F136="","")</f>
        <v/>
      </c>
      <c r="BC136" s="211" t="str" cm="1">
        <f t="array" ref="BC136">_xlfn.IFS(E136="","",G136&lt;=E136,BB136*(1-0.03),G136&lt;(E136+8),BB136,AZ136="Boleto",BB136*(1+0.001)^DATEDIF(E136,G136,"D"),AZ136="Cheque",BB136,AZ136="Dinheiro","Alterar forma pgto")</f>
        <v/>
      </c>
      <c r="BD136" s="276" t="str" cm="1">
        <f t="array" ref="BD136">IF(F136=0," ",IF(BC136&lt;BB136,(_xlfn.IFS(AW136="SIM",SUM(L136,Q136,V136,AA136,AF136,AK136,AP136,AU136)+AX136/_xlfn.XLOOKUP(_xlfn.XLOOKUP($F136,Clientes!$B$4:$B$39,Clientes!$C$4:$C$39),Cadastros!$L$6:$L$12,Cadastros!$M$6:$M$12)+IF($F136="Bernardino Furlan",AY136/2751.92,IF($F136="Mauro José Salanti",AY136/2751.92,AY136/3356)),F136&lt;&gt;0,SUM(L136,Q136,V136,AA136,AF136,AK136,AP136,AU136)))*(1-0.03),_xlfn.IFS(AW136="SIM",SUM(L136,Q136,V136,AA136,AF136,AK136,AP136,AU136)+AX136/_xlfn.XLOOKUP(_xlfn.XLOOKUP($F136,Clientes!$B$4:$B$39,Clientes!$C$4:$C$39),Cadastros!$L$6:$L$12,Cadastros!$M$6:$M$12)+IF($F136="Bernardino Furlan",AY136/2751.92,IF($F136="Mauro José Salanti",AY136/2751.92,AY136/3356)),F136&lt;&gt;0,SUM(L136,Q136,V136,AA136,AF136,AK136,AP136,AU136))))</f>
        <v xml:space="preserve"> </v>
      </c>
      <c r="BE136" s="120"/>
      <c r="BF136" s="120"/>
      <c r="BG136" s="120"/>
    </row>
    <row r="137" spans="1:59" s="3" customFormat="1" x14ac:dyDescent="0.3">
      <c r="A137" s="15" t="str">
        <f t="shared" si="26"/>
        <v/>
      </c>
      <c r="B137" s="25"/>
      <c r="C137" s="26"/>
      <c r="D137" s="279"/>
      <c r="E137" s="27"/>
      <c r="F137" s="28"/>
      <c r="G137" s="27"/>
      <c r="H137" s="28"/>
      <c r="I137" s="28"/>
      <c r="J137" s="255" t="str">
        <f>IF(H137="","",(_xlfn.XLOOKUP(H137,Cadastros!$D$6:$D$90,Cadastros!$E$6:$E$90))*(1-_xlfn.XLOOKUP(_xlfn.XLOOKUP($F137,Clientes!$B$4:$B$39,Clientes!$C$4:$C$39),Cadastros!$L$6:$L$12,Cadastros!$N$6:$N$12)))</f>
        <v/>
      </c>
      <c r="K137" s="168" t="str">
        <f t="shared" si="27"/>
        <v/>
      </c>
      <c r="L137" s="168" t="str">
        <f>IFERROR(K137/_xlfn.XLOOKUP(_xlfn.XLOOKUP($F137,Clientes!$B$4:$B$39,Clientes!$C$4:$C$39),Cadastros!$L$6:$L$12,Cadastros!$M$6:$M$12)," ")</f>
        <v xml:space="preserve"> </v>
      </c>
      <c r="M137" s="28"/>
      <c r="N137" s="28"/>
      <c r="O137" s="255" t="str">
        <f>IF(M137="","",(_xlfn.XLOOKUP(M137,Cadastros!$D$6:$D$90,Cadastros!$E$6:$E$90))*(1-_xlfn.XLOOKUP(_xlfn.XLOOKUP($F137,Clientes!$B$4:$B$39,Clientes!$C$4:$C$39),Cadastros!$L$6:$L$12,Cadastros!$N$6:$N$12)))</f>
        <v/>
      </c>
      <c r="P137" s="168" t="str">
        <f t="shared" si="28"/>
        <v/>
      </c>
      <c r="Q137" s="168" t="str">
        <f>IFERROR(P137/_xlfn.XLOOKUP(_xlfn.XLOOKUP($F137,Clientes!$B$4:$B$39,Clientes!$C$4:$C$39),Cadastros!$L$6:$L$12,Cadastros!$M$6:$M$12)," ")</f>
        <v xml:space="preserve"> </v>
      </c>
      <c r="R137" s="28"/>
      <c r="S137" s="28"/>
      <c r="T137" s="255" t="str">
        <f>IF(R137="","",(_xlfn.XLOOKUP(R137,Cadastros!$D$6:$D$90,Cadastros!$E$6:$E$90))*(1-_xlfn.XLOOKUP(_xlfn.XLOOKUP($F137,Clientes!$B$4:$B$39,Clientes!$C$4:$C$39),Cadastros!$L$6:$L$12,Cadastros!$N$6:$N$12)))</f>
        <v/>
      </c>
      <c r="U137" s="168" t="str">
        <f t="shared" si="29"/>
        <v/>
      </c>
      <c r="V137" s="168" t="str">
        <f>IFERROR(U137/_xlfn.XLOOKUP(_xlfn.XLOOKUP($F137,Clientes!$B$4:$B$39,Clientes!$C$4:$C$39),Cadastros!$L$6:$L$12,Cadastros!$M$6:$M$12)," ")</f>
        <v xml:space="preserve"> </v>
      </c>
      <c r="W137" s="28"/>
      <c r="X137" s="28"/>
      <c r="Y137" s="255" t="str">
        <f>IF(W137="","",(_xlfn.XLOOKUP(W137,Cadastros!$D$6:$D$90,Cadastros!$E$6:$E$90))*(1-_xlfn.XLOOKUP(_xlfn.XLOOKUP($F137,Clientes!$B$4:$B$39,Clientes!$C$4:$C$39),Cadastros!$L$6:$L$12,Cadastros!$N$6:$N$12)))</f>
        <v/>
      </c>
      <c r="Z137" s="168" t="str">
        <f t="shared" si="30"/>
        <v/>
      </c>
      <c r="AA137" s="168" t="str">
        <f>IFERROR(Z137/_xlfn.XLOOKUP(_xlfn.XLOOKUP($F137,Clientes!$B$4:$B$39,Clientes!$C$4:$C$39),Cadastros!$L$6:$L$12,Cadastros!$M$6:$M$12)," ")</f>
        <v xml:space="preserve"> </v>
      </c>
      <c r="AB137" s="28"/>
      <c r="AC137" s="28"/>
      <c r="AD137" s="20" t="str">
        <f>IF(AB137="","",IF($F137="Bernardino Furlan",_xlfn.XLOOKUP(AB137,Cadastros!$G$6:$G$90,Cadastros!$H$6:$H$90)*(1-0.18),IF($F137="Mauro José Salanti",_xlfn.XLOOKUP(AB137,Cadastros!$G$6:$G$90,Cadastros!$H$6:$H$90)*(1-0.18),_xlfn.XLOOKUP(AB137,Cadastros!$G$6:$G$90,Cadastros!$H$6:$H$90))))</f>
        <v/>
      </c>
      <c r="AE137" s="168" t="str">
        <f t="shared" si="31"/>
        <v/>
      </c>
      <c r="AF137" s="168" t="str">
        <f t="shared" si="32"/>
        <v/>
      </c>
      <c r="AG137" s="28"/>
      <c r="AH137" s="28"/>
      <c r="AI137" s="20" t="str">
        <f>IF(AG137="","",IF($F137="Bernardino Furlan",_xlfn.XLOOKUP(AG137,Cadastros!$G$6:$G$90,Cadastros!$H$6:$H$90)*(1-0.18),IF($F137="Mauro José Salanti",_xlfn.XLOOKUP(AG137,Cadastros!$G$6:$G$90,Cadastros!$H$6:$H$90)*(1-0.18),_xlfn.XLOOKUP(AG137,Cadastros!$G$6:$G$90,Cadastros!$H$6:$H$90))))</f>
        <v/>
      </c>
      <c r="AJ137" s="168" t="str">
        <f t="shared" si="33"/>
        <v/>
      </c>
      <c r="AK137" s="168" t="str">
        <f t="shared" si="34"/>
        <v/>
      </c>
      <c r="AL137" s="28"/>
      <c r="AM137" s="28"/>
      <c r="AN137" s="20" t="str">
        <f>IF(AL137="","",IF($F137="Bernardino Furlan",_xlfn.XLOOKUP(AL137,Cadastros!$G$6:$G$90,Cadastros!$H$6:$H$90)*(1-0.18),IF($F137="Mauro José Salanti",_xlfn.XLOOKUP(AL137,Cadastros!$G$6:$G$90,Cadastros!$H$6:$H$90)*(1-0.18),_xlfn.XLOOKUP(AL137,Cadastros!$G$6:$G$90,Cadastros!$H$6:$H$90))))</f>
        <v/>
      </c>
      <c r="AO137" s="168" t="str">
        <f t="shared" si="35"/>
        <v/>
      </c>
      <c r="AP137" s="168" t="str">
        <f t="shared" si="36"/>
        <v/>
      </c>
      <c r="AQ137" s="28"/>
      <c r="AR137" s="28"/>
      <c r="AS137" s="20" t="str">
        <f>IF(AQ137="","",IF($F137="Bernardino Furlan",_xlfn.XLOOKUP(AQ137,Cadastros!$G$6:$G$90,Cadastros!$H$6:$H$90)*(1-0.18),IF($F137="Mauro José Salanti",_xlfn.XLOOKUP(AQ137,Cadastros!$G$6:$G$90,Cadastros!$H$6:$H$90)*(1-0.18),_xlfn.XLOOKUP(AQ137,Cadastros!$G$6:$G$90,Cadastros!$H$6:$H$90))))</f>
        <v/>
      </c>
      <c r="AT137" s="168" t="str">
        <f t="shared" si="37"/>
        <v/>
      </c>
      <c r="AU137" s="168" t="str">
        <f t="shared" si="38"/>
        <v/>
      </c>
      <c r="AV137" s="227"/>
      <c r="AW137" s="30"/>
      <c r="AX137" s="267"/>
      <c r="AY137" s="267"/>
      <c r="AZ137" s="29"/>
      <c r="BA137" s="30"/>
      <c r="BB137" s="23" t="str" cm="1">
        <f t="array" ref="BB137">_xlfn.IFS(AW137="SIM",SUM(K137,P137,U137,Z137,AE137,AJ137,AO137,AT137,AX137,AY137),F137&lt;&gt;"",SUM(K137,P137,U137,Z137,AE137,AJ137,,AO137,AT137),F137="","")</f>
        <v/>
      </c>
      <c r="BC137" s="211" t="str" cm="1">
        <f t="array" ref="BC137">_xlfn.IFS(E137="","",G137&lt;=E137,BB137*(1-0.03),G137&lt;(E137+8),BB137,AZ137="Boleto",BB137*(1+0.001)^DATEDIF(E137,G137,"D"),AZ137="Cheque",BB137,AZ137="Dinheiro","Alterar forma pgto")</f>
        <v/>
      </c>
      <c r="BD137" s="276" t="str" cm="1">
        <f t="array" ref="BD137">IF(F137=0," ",IF(BC137&lt;BB137,(_xlfn.IFS(AW137="SIM",SUM(L137,Q137,V137,AA137,AF137,AK137,AP137,AU137)+AX137/_xlfn.XLOOKUP(_xlfn.XLOOKUP($F137,Clientes!$B$4:$B$39,Clientes!$C$4:$C$39),Cadastros!$L$6:$L$12,Cadastros!$M$6:$M$12)+IF($F137="Bernardino Furlan",AY137/2751.92,IF($F137="Mauro José Salanti",AY137/2751.92,AY137/3356)),F137&lt;&gt;0,SUM(L137,Q137,V137,AA137,AF137,AK137,AP137,AU137)))*(1-0.03),_xlfn.IFS(AW137="SIM",SUM(L137,Q137,V137,AA137,AF137,AK137,AP137,AU137)+AX137/_xlfn.XLOOKUP(_xlfn.XLOOKUP($F137,Clientes!$B$4:$B$39,Clientes!$C$4:$C$39),Cadastros!$L$6:$L$12,Cadastros!$M$6:$M$12)+IF($F137="Bernardino Furlan",AY137/2751.92,IF($F137="Mauro José Salanti",AY137/2751.92,AY137/3356)),F137&lt;&gt;0,SUM(L137,Q137,V137,AA137,AF137,AK137,AP137,AU137))))</f>
        <v xml:space="preserve"> </v>
      </c>
      <c r="BE137" s="120"/>
      <c r="BF137" s="120"/>
      <c r="BG137" s="120"/>
    </row>
    <row r="138" spans="1:59" s="3" customFormat="1" x14ac:dyDescent="0.3">
      <c r="A138" s="15" t="str">
        <f t="shared" si="26"/>
        <v/>
      </c>
      <c r="B138" s="25"/>
      <c r="C138" s="26"/>
      <c r="D138" s="279"/>
      <c r="E138" s="27"/>
      <c r="F138" s="28"/>
      <c r="G138" s="27"/>
      <c r="H138" s="28"/>
      <c r="I138" s="28"/>
      <c r="J138" s="255" t="str">
        <f>IF(H138="","",(_xlfn.XLOOKUP(H138,Cadastros!$D$6:$D$90,Cadastros!$E$6:$E$90))*(1-_xlfn.XLOOKUP(_xlfn.XLOOKUP($F138,Clientes!$B$4:$B$39,Clientes!$C$4:$C$39),Cadastros!$L$6:$L$12,Cadastros!$N$6:$N$12)))</f>
        <v/>
      </c>
      <c r="K138" s="168" t="str">
        <f t="shared" si="27"/>
        <v/>
      </c>
      <c r="L138" s="168" t="str">
        <f>IFERROR(K138/_xlfn.XLOOKUP(_xlfn.XLOOKUP($F138,Clientes!$B$4:$B$39,Clientes!$C$4:$C$39),Cadastros!$L$6:$L$12,Cadastros!$M$6:$M$12)," ")</f>
        <v xml:space="preserve"> </v>
      </c>
      <c r="M138" s="28"/>
      <c r="N138" s="28"/>
      <c r="O138" s="255" t="str">
        <f>IF(M138="","",(_xlfn.XLOOKUP(M138,Cadastros!$D$6:$D$90,Cadastros!$E$6:$E$90))*(1-_xlfn.XLOOKUP(_xlfn.XLOOKUP($F138,Clientes!$B$4:$B$39,Clientes!$C$4:$C$39),Cadastros!$L$6:$L$12,Cadastros!$N$6:$N$12)))</f>
        <v/>
      </c>
      <c r="P138" s="168" t="str">
        <f t="shared" si="28"/>
        <v/>
      </c>
      <c r="Q138" s="168" t="str">
        <f>IFERROR(P138/_xlfn.XLOOKUP(_xlfn.XLOOKUP($F138,Clientes!$B$4:$B$39,Clientes!$C$4:$C$39),Cadastros!$L$6:$L$12,Cadastros!$M$6:$M$12)," ")</f>
        <v xml:space="preserve"> </v>
      </c>
      <c r="R138" s="28"/>
      <c r="S138" s="28"/>
      <c r="T138" s="255" t="str">
        <f>IF(R138="","",(_xlfn.XLOOKUP(R138,Cadastros!$D$6:$D$90,Cadastros!$E$6:$E$90))*(1-_xlfn.XLOOKUP(_xlfn.XLOOKUP($F138,Clientes!$B$4:$B$39,Clientes!$C$4:$C$39),Cadastros!$L$6:$L$12,Cadastros!$N$6:$N$12)))</f>
        <v/>
      </c>
      <c r="U138" s="168" t="str">
        <f t="shared" si="29"/>
        <v/>
      </c>
      <c r="V138" s="168" t="str">
        <f>IFERROR(U138/_xlfn.XLOOKUP(_xlfn.XLOOKUP($F138,Clientes!$B$4:$B$39,Clientes!$C$4:$C$39),Cadastros!$L$6:$L$12,Cadastros!$M$6:$M$12)," ")</f>
        <v xml:space="preserve"> </v>
      </c>
      <c r="W138" s="28"/>
      <c r="X138" s="28"/>
      <c r="Y138" s="255" t="str">
        <f>IF(W138="","",(_xlfn.XLOOKUP(W138,Cadastros!$D$6:$D$90,Cadastros!$E$6:$E$90))*(1-_xlfn.XLOOKUP(_xlfn.XLOOKUP($F138,Clientes!$B$4:$B$39,Clientes!$C$4:$C$39),Cadastros!$L$6:$L$12,Cadastros!$N$6:$N$12)))</f>
        <v/>
      </c>
      <c r="Z138" s="168" t="str">
        <f t="shared" si="30"/>
        <v/>
      </c>
      <c r="AA138" s="168" t="str">
        <f>IFERROR(Z138/_xlfn.XLOOKUP(_xlfn.XLOOKUP($F138,Clientes!$B$4:$B$39,Clientes!$C$4:$C$39),Cadastros!$L$6:$L$12,Cadastros!$M$6:$M$12)," ")</f>
        <v xml:space="preserve"> </v>
      </c>
      <c r="AB138" s="28"/>
      <c r="AC138" s="28"/>
      <c r="AD138" s="20" t="str">
        <f>IF(AB138="","",IF($F138="Bernardino Furlan",_xlfn.XLOOKUP(AB138,Cadastros!$G$6:$G$90,Cadastros!$H$6:$H$90)*(1-0.18),IF($F138="Mauro José Salanti",_xlfn.XLOOKUP(AB138,Cadastros!$G$6:$G$90,Cadastros!$H$6:$H$90)*(1-0.18),_xlfn.XLOOKUP(AB138,Cadastros!$G$6:$G$90,Cadastros!$H$6:$H$90))))</f>
        <v/>
      </c>
      <c r="AE138" s="168" t="str">
        <f t="shared" si="31"/>
        <v/>
      </c>
      <c r="AF138" s="168" t="str">
        <f t="shared" si="32"/>
        <v/>
      </c>
      <c r="AG138" s="28"/>
      <c r="AH138" s="28"/>
      <c r="AI138" s="20" t="str">
        <f>IF(AG138="","",IF($F138="Bernardino Furlan",_xlfn.XLOOKUP(AG138,Cadastros!$G$6:$G$90,Cadastros!$H$6:$H$90)*(1-0.18),IF($F138="Mauro José Salanti",_xlfn.XLOOKUP(AG138,Cadastros!$G$6:$G$90,Cadastros!$H$6:$H$90)*(1-0.18),_xlfn.XLOOKUP(AG138,Cadastros!$G$6:$G$90,Cadastros!$H$6:$H$90))))</f>
        <v/>
      </c>
      <c r="AJ138" s="168" t="str">
        <f t="shared" si="33"/>
        <v/>
      </c>
      <c r="AK138" s="168" t="str">
        <f t="shared" si="34"/>
        <v/>
      </c>
      <c r="AL138" s="28"/>
      <c r="AM138" s="28"/>
      <c r="AN138" s="20" t="str">
        <f>IF(AL138="","",IF($F138="Bernardino Furlan",_xlfn.XLOOKUP(AL138,Cadastros!$G$6:$G$90,Cadastros!$H$6:$H$90)*(1-0.18),IF($F138="Mauro José Salanti",_xlfn.XLOOKUP(AL138,Cadastros!$G$6:$G$90,Cadastros!$H$6:$H$90)*(1-0.18),_xlfn.XLOOKUP(AL138,Cadastros!$G$6:$G$90,Cadastros!$H$6:$H$90))))</f>
        <v/>
      </c>
      <c r="AO138" s="168" t="str">
        <f t="shared" si="35"/>
        <v/>
      </c>
      <c r="AP138" s="168" t="str">
        <f t="shared" si="36"/>
        <v/>
      </c>
      <c r="AQ138" s="28"/>
      <c r="AR138" s="28"/>
      <c r="AS138" s="20" t="str">
        <f>IF(AQ138="","",IF($F138="Bernardino Furlan",_xlfn.XLOOKUP(AQ138,Cadastros!$G$6:$G$90,Cadastros!$H$6:$H$90)*(1-0.18),IF($F138="Mauro José Salanti",_xlfn.XLOOKUP(AQ138,Cadastros!$G$6:$G$90,Cadastros!$H$6:$H$90)*(1-0.18),_xlfn.XLOOKUP(AQ138,Cadastros!$G$6:$G$90,Cadastros!$H$6:$H$90))))</f>
        <v/>
      </c>
      <c r="AT138" s="168" t="str">
        <f t="shared" si="37"/>
        <v/>
      </c>
      <c r="AU138" s="168" t="str">
        <f t="shared" si="38"/>
        <v/>
      </c>
      <c r="AV138" s="227"/>
      <c r="AW138" s="30"/>
      <c r="AX138" s="267"/>
      <c r="AY138" s="267"/>
      <c r="AZ138" s="29"/>
      <c r="BA138" s="30"/>
      <c r="BB138" s="23" t="str" cm="1">
        <f t="array" ref="BB138">_xlfn.IFS(AW138="SIM",SUM(K138,P138,U138,Z138,AE138,AJ138,AO138,AT138,AX138,AY138),F138&lt;&gt;"",SUM(K138,P138,U138,Z138,AE138,AJ138,,AO138,AT138),F138="","")</f>
        <v/>
      </c>
      <c r="BC138" s="211" t="str" cm="1">
        <f t="array" ref="BC138">_xlfn.IFS(E138="","",G138&lt;=E138,BB138*(1-0.03),G138&lt;(E138+8),BB138,AZ138="Boleto",BB138*(1+0.001)^DATEDIF(E138,G138,"D"),AZ138="Cheque",BB138,AZ138="Dinheiro","Alterar forma pgto")</f>
        <v/>
      </c>
      <c r="BD138" s="276" t="str" cm="1">
        <f t="array" ref="BD138">IF(F138=0," ",IF(BC138&lt;BB138,(_xlfn.IFS(AW138="SIM",SUM(L138,Q138,V138,AA138,AF138,AK138,AP138,AU138)+AX138/_xlfn.XLOOKUP(_xlfn.XLOOKUP($F138,Clientes!$B$4:$B$39,Clientes!$C$4:$C$39),Cadastros!$L$6:$L$12,Cadastros!$M$6:$M$12)+IF($F138="Bernardino Furlan",AY138/2751.92,IF($F138="Mauro José Salanti",AY138/2751.92,AY138/3356)),F138&lt;&gt;0,SUM(L138,Q138,V138,AA138,AF138,AK138,AP138,AU138)))*(1-0.03),_xlfn.IFS(AW138="SIM",SUM(L138,Q138,V138,AA138,AF138,AK138,AP138,AU138)+AX138/_xlfn.XLOOKUP(_xlfn.XLOOKUP($F138,Clientes!$B$4:$B$39,Clientes!$C$4:$C$39),Cadastros!$L$6:$L$12,Cadastros!$M$6:$M$12)+IF($F138="Bernardino Furlan",AY138/2751.92,IF($F138="Mauro José Salanti",AY138/2751.92,AY138/3356)),F138&lt;&gt;0,SUM(L138,Q138,V138,AA138,AF138,AK138,AP138,AU138))))</f>
        <v xml:space="preserve"> </v>
      </c>
      <c r="BE138" s="120"/>
      <c r="BF138" s="120"/>
      <c r="BG138" s="120"/>
    </row>
    <row r="139" spans="1:59" s="3" customFormat="1" x14ac:dyDescent="0.3">
      <c r="A139" s="15" t="str">
        <f t="shared" si="26"/>
        <v/>
      </c>
      <c r="B139" s="25"/>
      <c r="C139" s="26"/>
      <c r="D139" s="279"/>
      <c r="E139" s="27"/>
      <c r="F139" s="28"/>
      <c r="G139" s="27"/>
      <c r="H139" s="28"/>
      <c r="I139" s="28"/>
      <c r="J139" s="255" t="str">
        <f>IF(H139="","",(_xlfn.XLOOKUP(H139,Cadastros!$D$6:$D$90,Cadastros!$E$6:$E$90))*(1-_xlfn.XLOOKUP(_xlfn.XLOOKUP($F139,Clientes!$B$4:$B$39,Clientes!$C$4:$C$39),Cadastros!$L$6:$L$12,Cadastros!$N$6:$N$12)))</f>
        <v/>
      </c>
      <c r="K139" s="168" t="str">
        <f t="shared" si="27"/>
        <v/>
      </c>
      <c r="L139" s="168" t="str">
        <f>IFERROR(K139/_xlfn.XLOOKUP(_xlfn.XLOOKUP($F139,Clientes!$B$4:$B$39,Clientes!$C$4:$C$39),Cadastros!$L$6:$L$12,Cadastros!$M$6:$M$12)," ")</f>
        <v xml:space="preserve"> </v>
      </c>
      <c r="M139" s="28"/>
      <c r="N139" s="28"/>
      <c r="O139" s="255" t="str">
        <f>IF(M139="","",(_xlfn.XLOOKUP(M139,Cadastros!$D$6:$D$90,Cadastros!$E$6:$E$90))*(1-_xlfn.XLOOKUP(_xlfn.XLOOKUP($F139,Clientes!$B$4:$B$39,Clientes!$C$4:$C$39),Cadastros!$L$6:$L$12,Cadastros!$N$6:$N$12)))</f>
        <v/>
      </c>
      <c r="P139" s="168" t="str">
        <f t="shared" si="28"/>
        <v/>
      </c>
      <c r="Q139" s="168" t="str">
        <f>IFERROR(P139/_xlfn.XLOOKUP(_xlfn.XLOOKUP($F139,Clientes!$B$4:$B$39,Clientes!$C$4:$C$39),Cadastros!$L$6:$L$12,Cadastros!$M$6:$M$12)," ")</f>
        <v xml:space="preserve"> </v>
      </c>
      <c r="R139" s="28"/>
      <c r="S139" s="28"/>
      <c r="T139" s="255" t="str">
        <f>IF(R139="","",(_xlfn.XLOOKUP(R139,Cadastros!$D$6:$D$90,Cadastros!$E$6:$E$90))*(1-_xlfn.XLOOKUP(_xlfn.XLOOKUP($F139,Clientes!$B$4:$B$39,Clientes!$C$4:$C$39),Cadastros!$L$6:$L$12,Cadastros!$N$6:$N$12)))</f>
        <v/>
      </c>
      <c r="U139" s="168" t="str">
        <f t="shared" si="29"/>
        <v/>
      </c>
      <c r="V139" s="168" t="str">
        <f>IFERROR(U139/_xlfn.XLOOKUP(_xlfn.XLOOKUP($F139,Clientes!$B$4:$B$39,Clientes!$C$4:$C$39),Cadastros!$L$6:$L$12,Cadastros!$M$6:$M$12)," ")</f>
        <v xml:space="preserve"> </v>
      </c>
      <c r="W139" s="28"/>
      <c r="X139" s="28"/>
      <c r="Y139" s="255" t="str">
        <f>IF(W139="","",(_xlfn.XLOOKUP(W139,Cadastros!$D$6:$D$90,Cadastros!$E$6:$E$90))*(1-_xlfn.XLOOKUP(_xlfn.XLOOKUP($F139,Clientes!$B$4:$B$39,Clientes!$C$4:$C$39),Cadastros!$L$6:$L$12,Cadastros!$N$6:$N$12)))</f>
        <v/>
      </c>
      <c r="Z139" s="168" t="str">
        <f t="shared" si="30"/>
        <v/>
      </c>
      <c r="AA139" s="168" t="str">
        <f>IFERROR(Z139/_xlfn.XLOOKUP(_xlfn.XLOOKUP($F139,Clientes!$B$4:$B$39,Clientes!$C$4:$C$39),Cadastros!$L$6:$L$12,Cadastros!$M$6:$M$12)," ")</f>
        <v xml:space="preserve"> </v>
      </c>
      <c r="AB139" s="28"/>
      <c r="AC139" s="28"/>
      <c r="AD139" s="20" t="str">
        <f>IF(AB139="","",IF($F139="Bernardino Furlan",_xlfn.XLOOKUP(AB139,Cadastros!$G$6:$G$90,Cadastros!$H$6:$H$90)*(1-0.18),IF($F139="Mauro José Salanti",_xlfn.XLOOKUP(AB139,Cadastros!$G$6:$G$90,Cadastros!$H$6:$H$90)*(1-0.18),_xlfn.XLOOKUP(AB139,Cadastros!$G$6:$G$90,Cadastros!$H$6:$H$90))))</f>
        <v/>
      </c>
      <c r="AE139" s="168" t="str">
        <f t="shared" si="31"/>
        <v/>
      </c>
      <c r="AF139" s="168" t="str">
        <f t="shared" si="32"/>
        <v/>
      </c>
      <c r="AG139" s="28"/>
      <c r="AH139" s="28"/>
      <c r="AI139" s="20" t="str">
        <f>IF(AG139="","",IF($F139="Bernardino Furlan",_xlfn.XLOOKUP(AG139,Cadastros!$G$6:$G$90,Cadastros!$H$6:$H$90)*(1-0.18),IF($F139="Mauro José Salanti",_xlfn.XLOOKUP(AG139,Cadastros!$G$6:$G$90,Cadastros!$H$6:$H$90)*(1-0.18),_xlfn.XLOOKUP(AG139,Cadastros!$G$6:$G$90,Cadastros!$H$6:$H$90))))</f>
        <v/>
      </c>
      <c r="AJ139" s="168" t="str">
        <f t="shared" si="33"/>
        <v/>
      </c>
      <c r="AK139" s="168" t="str">
        <f t="shared" si="34"/>
        <v/>
      </c>
      <c r="AL139" s="28"/>
      <c r="AM139" s="28"/>
      <c r="AN139" s="20" t="str">
        <f>IF(AL139="","",IF($F139="Bernardino Furlan",_xlfn.XLOOKUP(AL139,Cadastros!$G$6:$G$90,Cadastros!$H$6:$H$90)*(1-0.18),IF($F139="Mauro José Salanti",_xlfn.XLOOKUP(AL139,Cadastros!$G$6:$G$90,Cadastros!$H$6:$H$90)*(1-0.18),_xlfn.XLOOKUP(AL139,Cadastros!$G$6:$G$90,Cadastros!$H$6:$H$90))))</f>
        <v/>
      </c>
      <c r="AO139" s="168" t="str">
        <f t="shared" si="35"/>
        <v/>
      </c>
      <c r="AP139" s="168" t="str">
        <f t="shared" si="36"/>
        <v/>
      </c>
      <c r="AQ139" s="28"/>
      <c r="AR139" s="28"/>
      <c r="AS139" s="20" t="str">
        <f>IF(AQ139="","",IF($F139="Bernardino Furlan",_xlfn.XLOOKUP(AQ139,Cadastros!$G$6:$G$90,Cadastros!$H$6:$H$90)*(1-0.18),IF($F139="Mauro José Salanti",_xlfn.XLOOKUP(AQ139,Cadastros!$G$6:$G$90,Cadastros!$H$6:$H$90)*(1-0.18),_xlfn.XLOOKUP(AQ139,Cadastros!$G$6:$G$90,Cadastros!$H$6:$H$90))))</f>
        <v/>
      </c>
      <c r="AT139" s="168" t="str">
        <f t="shared" si="37"/>
        <v/>
      </c>
      <c r="AU139" s="168" t="str">
        <f t="shared" si="38"/>
        <v/>
      </c>
      <c r="AV139" s="227"/>
      <c r="AW139" s="30"/>
      <c r="AX139" s="267"/>
      <c r="AY139" s="267"/>
      <c r="AZ139" s="29"/>
      <c r="BA139" s="30"/>
      <c r="BB139" s="23" t="str" cm="1">
        <f t="array" ref="BB139">_xlfn.IFS(AW139="SIM",SUM(K139,P139,U139,Z139,AE139,AJ139,AO139,AT139,AX139,AY139),F139&lt;&gt;"",SUM(K139,P139,U139,Z139,AE139,AJ139,,AO139,AT139),F139="","")</f>
        <v/>
      </c>
      <c r="BC139" s="211" t="str" cm="1">
        <f t="array" ref="BC139">_xlfn.IFS(E139="","",G139&lt;=E139,BB139*(1-0.03),G139&lt;(E139+8),BB139,AZ139="Boleto",BB139*(1+0.001)^DATEDIF(E139,G139,"D"),AZ139="Cheque",BB139,AZ139="Dinheiro","Alterar forma pgto")</f>
        <v/>
      </c>
      <c r="BD139" s="276" t="str" cm="1">
        <f t="array" ref="BD139">IF(F139=0," ",IF(BC139&lt;BB139,(_xlfn.IFS(AW139="SIM",SUM(L139,Q139,V139,AA139,AF139,AK139,AP139,AU139)+AX139/_xlfn.XLOOKUP(_xlfn.XLOOKUP($F139,Clientes!$B$4:$B$39,Clientes!$C$4:$C$39),Cadastros!$L$6:$L$12,Cadastros!$M$6:$M$12)+IF($F139="Bernardino Furlan",AY139/2751.92,IF($F139="Mauro José Salanti",AY139/2751.92,AY139/3356)),F139&lt;&gt;0,SUM(L139,Q139,V139,AA139,AF139,AK139,AP139,AU139)))*(1-0.03),_xlfn.IFS(AW139="SIM",SUM(L139,Q139,V139,AA139,AF139,AK139,AP139,AU139)+AX139/_xlfn.XLOOKUP(_xlfn.XLOOKUP($F139,Clientes!$B$4:$B$39,Clientes!$C$4:$C$39),Cadastros!$L$6:$L$12,Cadastros!$M$6:$M$12)+IF($F139="Bernardino Furlan",AY139/2751.92,IF($F139="Mauro José Salanti",AY139/2751.92,AY139/3356)),F139&lt;&gt;0,SUM(L139,Q139,V139,AA139,AF139,AK139,AP139,AU139))))</f>
        <v xml:space="preserve"> </v>
      </c>
      <c r="BE139" s="120"/>
      <c r="BF139" s="120"/>
      <c r="BG139" s="120"/>
    </row>
    <row r="140" spans="1:59" s="3" customFormat="1" x14ac:dyDescent="0.3">
      <c r="A140" s="15" t="str">
        <f t="shared" si="26"/>
        <v/>
      </c>
      <c r="B140" s="25"/>
      <c r="C140" s="26"/>
      <c r="D140" s="279"/>
      <c r="E140" s="27"/>
      <c r="F140" s="28"/>
      <c r="G140" s="27"/>
      <c r="H140" s="28"/>
      <c r="I140" s="28"/>
      <c r="J140" s="255" t="str">
        <f>IF(H140="","",(_xlfn.XLOOKUP(H140,Cadastros!$D$6:$D$90,Cadastros!$E$6:$E$90))*(1-_xlfn.XLOOKUP(_xlfn.XLOOKUP($F140,Clientes!$B$4:$B$39,Clientes!$C$4:$C$39),Cadastros!$L$6:$L$12,Cadastros!$N$6:$N$12)))</f>
        <v/>
      </c>
      <c r="K140" s="168" t="str">
        <f t="shared" si="27"/>
        <v/>
      </c>
      <c r="L140" s="168" t="str">
        <f>IFERROR(K140/_xlfn.XLOOKUP(_xlfn.XLOOKUP($F140,Clientes!$B$4:$B$39,Clientes!$C$4:$C$39),Cadastros!$L$6:$L$12,Cadastros!$M$6:$M$12)," ")</f>
        <v xml:space="preserve"> </v>
      </c>
      <c r="M140" s="28"/>
      <c r="N140" s="28"/>
      <c r="O140" s="255" t="str">
        <f>IF(M140="","",(_xlfn.XLOOKUP(M140,Cadastros!$D$6:$D$90,Cadastros!$E$6:$E$90))*(1-_xlfn.XLOOKUP(_xlfn.XLOOKUP($F140,Clientes!$B$4:$B$39,Clientes!$C$4:$C$39),Cadastros!$L$6:$L$12,Cadastros!$N$6:$N$12)))</f>
        <v/>
      </c>
      <c r="P140" s="168" t="str">
        <f t="shared" si="28"/>
        <v/>
      </c>
      <c r="Q140" s="168" t="str">
        <f>IFERROR(P140/_xlfn.XLOOKUP(_xlfn.XLOOKUP($F140,Clientes!$B$4:$B$39,Clientes!$C$4:$C$39),Cadastros!$L$6:$L$12,Cadastros!$M$6:$M$12)," ")</f>
        <v xml:space="preserve"> </v>
      </c>
      <c r="R140" s="28"/>
      <c r="S140" s="28"/>
      <c r="T140" s="255" t="str">
        <f>IF(R140="","",(_xlfn.XLOOKUP(R140,Cadastros!$D$6:$D$90,Cadastros!$E$6:$E$90))*(1-_xlfn.XLOOKUP(_xlfn.XLOOKUP($F140,Clientes!$B$4:$B$39,Clientes!$C$4:$C$39),Cadastros!$L$6:$L$12,Cadastros!$N$6:$N$12)))</f>
        <v/>
      </c>
      <c r="U140" s="168" t="str">
        <f t="shared" si="29"/>
        <v/>
      </c>
      <c r="V140" s="168" t="str">
        <f>IFERROR(U140/_xlfn.XLOOKUP(_xlfn.XLOOKUP($F140,Clientes!$B$4:$B$39,Clientes!$C$4:$C$39),Cadastros!$L$6:$L$12,Cadastros!$M$6:$M$12)," ")</f>
        <v xml:space="preserve"> </v>
      </c>
      <c r="W140" s="28"/>
      <c r="X140" s="28"/>
      <c r="Y140" s="255" t="str">
        <f>IF(W140="","",(_xlfn.XLOOKUP(W140,Cadastros!$D$6:$D$90,Cadastros!$E$6:$E$90))*(1-_xlfn.XLOOKUP(_xlfn.XLOOKUP($F140,Clientes!$B$4:$B$39,Clientes!$C$4:$C$39),Cadastros!$L$6:$L$12,Cadastros!$N$6:$N$12)))</f>
        <v/>
      </c>
      <c r="Z140" s="168" t="str">
        <f t="shared" si="30"/>
        <v/>
      </c>
      <c r="AA140" s="168" t="str">
        <f>IFERROR(Z140/_xlfn.XLOOKUP(_xlfn.XLOOKUP($F140,Clientes!$B$4:$B$39,Clientes!$C$4:$C$39),Cadastros!$L$6:$L$12,Cadastros!$M$6:$M$12)," ")</f>
        <v xml:space="preserve"> </v>
      </c>
      <c r="AB140" s="28"/>
      <c r="AC140" s="28"/>
      <c r="AD140" s="20" t="str">
        <f>IF(AB140="","",IF($F140="Bernardino Furlan",_xlfn.XLOOKUP(AB140,Cadastros!$G$6:$G$90,Cadastros!$H$6:$H$90)*(1-0.18),IF($F140="Mauro José Salanti",_xlfn.XLOOKUP(AB140,Cadastros!$G$6:$G$90,Cadastros!$H$6:$H$90)*(1-0.18),_xlfn.XLOOKUP(AB140,Cadastros!$G$6:$G$90,Cadastros!$H$6:$H$90))))</f>
        <v/>
      </c>
      <c r="AE140" s="168" t="str">
        <f t="shared" si="31"/>
        <v/>
      </c>
      <c r="AF140" s="168" t="str">
        <f t="shared" si="32"/>
        <v/>
      </c>
      <c r="AG140" s="28"/>
      <c r="AH140" s="28"/>
      <c r="AI140" s="20" t="str">
        <f>IF(AG140="","",IF($F140="Bernardino Furlan",_xlfn.XLOOKUP(AG140,Cadastros!$G$6:$G$90,Cadastros!$H$6:$H$90)*(1-0.18),IF($F140="Mauro José Salanti",_xlfn.XLOOKUP(AG140,Cadastros!$G$6:$G$90,Cadastros!$H$6:$H$90)*(1-0.18),_xlfn.XLOOKUP(AG140,Cadastros!$G$6:$G$90,Cadastros!$H$6:$H$90))))</f>
        <v/>
      </c>
      <c r="AJ140" s="168" t="str">
        <f t="shared" si="33"/>
        <v/>
      </c>
      <c r="AK140" s="168" t="str">
        <f t="shared" si="34"/>
        <v/>
      </c>
      <c r="AL140" s="28"/>
      <c r="AM140" s="28"/>
      <c r="AN140" s="20" t="str">
        <f>IF(AL140="","",IF($F140="Bernardino Furlan",_xlfn.XLOOKUP(AL140,Cadastros!$G$6:$G$90,Cadastros!$H$6:$H$90)*(1-0.18),IF($F140="Mauro José Salanti",_xlfn.XLOOKUP(AL140,Cadastros!$G$6:$G$90,Cadastros!$H$6:$H$90)*(1-0.18),_xlfn.XLOOKUP(AL140,Cadastros!$G$6:$G$90,Cadastros!$H$6:$H$90))))</f>
        <v/>
      </c>
      <c r="AO140" s="168" t="str">
        <f t="shared" si="35"/>
        <v/>
      </c>
      <c r="AP140" s="168" t="str">
        <f t="shared" si="36"/>
        <v/>
      </c>
      <c r="AQ140" s="28"/>
      <c r="AR140" s="28"/>
      <c r="AS140" s="20" t="str">
        <f>IF(AQ140="","",IF($F140="Bernardino Furlan",_xlfn.XLOOKUP(AQ140,Cadastros!$G$6:$G$90,Cadastros!$H$6:$H$90)*(1-0.18),IF($F140="Mauro José Salanti",_xlfn.XLOOKUP(AQ140,Cadastros!$G$6:$G$90,Cadastros!$H$6:$H$90)*(1-0.18),_xlfn.XLOOKUP(AQ140,Cadastros!$G$6:$G$90,Cadastros!$H$6:$H$90))))</f>
        <v/>
      </c>
      <c r="AT140" s="168" t="str">
        <f t="shared" si="37"/>
        <v/>
      </c>
      <c r="AU140" s="168" t="str">
        <f t="shared" si="38"/>
        <v/>
      </c>
      <c r="AV140" s="227"/>
      <c r="AW140" s="30"/>
      <c r="AX140" s="267"/>
      <c r="AY140" s="267"/>
      <c r="AZ140" s="29"/>
      <c r="BA140" s="30"/>
      <c r="BB140" s="23" t="str" cm="1">
        <f t="array" ref="BB140">_xlfn.IFS(AW140="SIM",SUM(K140,P140,U140,Z140,AE140,AJ140,AO140,AT140,AX140,AY140),F140&lt;&gt;"",SUM(K140,P140,U140,Z140,AE140,AJ140,,AO140,AT140),F140="","")</f>
        <v/>
      </c>
      <c r="BC140" s="211" t="str" cm="1">
        <f t="array" ref="BC140">_xlfn.IFS(E140="","",G140&lt;=E140,BB140*(1-0.03),G140&lt;(E140+8),BB140,AZ140="Boleto",BB140*(1+0.001)^DATEDIF(E140,G140,"D"),AZ140="Cheque",BB140,AZ140="Dinheiro","Alterar forma pgto")</f>
        <v/>
      </c>
      <c r="BD140" s="276" t="str" cm="1">
        <f t="array" ref="BD140">IF(F140=0," ",IF(BC140&lt;BB140,(_xlfn.IFS(AW140="SIM",SUM(L140,Q140,V140,AA140,AF140,AK140,AP140,AU140)+AX140/_xlfn.XLOOKUP(_xlfn.XLOOKUP($F140,Clientes!$B$4:$B$39,Clientes!$C$4:$C$39),Cadastros!$L$6:$L$12,Cadastros!$M$6:$M$12)+IF($F140="Bernardino Furlan",AY140/2751.92,IF($F140="Mauro José Salanti",AY140/2751.92,AY140/3356)),F140&lt;&gt;0,SUM(L140,Q140,V140,AA140,AF140,AK140,AP140,AU140)))*(1-0.03),_xlfn.IFS(AW140="SIM",SUM(L140,Q140,V140,AA140,AF140,AK140,AP140,AU140)+AX140/_xlfn.XLOOKUP(_xlfn.XLOOKUP($F140,Clientes!$B$4:$B$39,Clientes!$C$4:$C$39),Cadastros!$L$6:$L$12,Cadastros!$M$6:$M$12)+IF($F140="Bernardino Furlan",AY140/2751.92,IF($F140="Mauro José Salanti",AY140/2751.92,AY140/3356)),F140&lt;&gt;0,SUM(L140,Q140,V140,AA140,AF140,AK140,AP140,AU140))))</f>
        <v xml:space="preserve"> </v>
      </c>
      <c r="BE140" s="120"/>
      <c r="BF140" s="120"/>
      <c r="BG140" s="120"/>
    </row>
    <row r="141" spans="1:59" s="3" customFormat="1" x14ac:dyDescent="0.3">
      <c r="A141" s="15" t="str">
        <f t="shared" si="26"/>
        <v/>
      </c>
      <c r="B141" s="25"/>
      <c r="C141" s="26"/>
      <c r="D141" s="279"/>
      <c r="E141" s="27"/>
      <c r="F141" s="28"/>
      <c r="G141" s="27"/>
      <c r="H141" s="28"/>
      <c r="I141" s="28"/>
      <c r="J141" s="255" t="str">
        <f>IF(H141="","",(_xlfn.XLOOKUP(H141,Cadastros!$D$6:$D$90,Cadastros!$E$6:$E$90))*(1-_xlfn.XLOOKUP(_xlfn.XLOOKUP($F141,Clientes!$B$4:$B$39,Clientes!$C$4:$C$39),Cadastros!$L$6:$L$12,Cadastros!$N$6:$N$12)))</f>
        <v/>
      </c>
      <c r="K141" s="168" t="str">
        <f t="shared" si="27"/>
        <v/>
      </c>
      <c r="L141" s="168" t="str">
        <f>IFERROR(K141/_xlfn.XLOOKUP(_xlfn.XLOOKUP($F141,Clientes!$B$4:$B$39,Clientes!$C$4:$C$39),Cadastros!$L$6:$L$12,Cadastros!$M$6:$M$12)," ")</f>
        <v xml:space="preserve"> </v>
      </c>
      <c r="M141" s="28"/>
      <c r="N141" s="28"/>
      <c r="O141" s="255" t="str">
        <f>IF(M141="","",(_xlfn.XLOOKUP(M141,Cadastros!$D$6:$D$90,Cadastros!$E$6:$E$90))*(1-_xlfn.XLOOKUP(_xlfn.XLOOKUP($F141,Clientes!$B$4:$B$39,Clientes!$C$4:$C$39),Cadastros!$L$6:$L$12,Cadastros!$N$6:$N$12)))</f>
        <v/>
      </c>
      <c r="P141" s="168" t="str">
        <f t="shared" si="28"/>
        <v/>
      </c>
      <c r="Q141" s="168" t="str">
        <f>IFERROR(P141/_xlfn.XLOOKUP(_xlfn.XLOOKUP($F141,Clientes!$B$4:$B$39,Clientes!$C$4:$C$39),Cadastros!$L$6:$L$12,Cadastros!$M$6:$M$12)," ")</f>
        <v xml:space="preserve"> </v>
      </c>
      <c r="R141" s="28"/>
      <c r="S141" s="28"/>
      <c r="T141" s="255" t="str">
        <f>IF(R141="","",(_xlfn.XLOOKUP(R141,Cadastros!$D$6:$D$90,Cadastros!$E$6:$E$90))*(1-_xlfn.XLOOKUP(_xlfn.XLOOKUP($F141,Clientes!$B$4:$B$39,Clientes!$C$4:$C$39),Cadastros!$L$6:$L$12,Cadastros!$N$6:$N$12)))</f>
        <v/>
      </c>
      <c r="U141" s="168" t="str">
        <f t="shared" si="29"/>
        <v/>
      </c>
      <c r="V141" s="168" t="str">
        <f>IFERROR(U141/_xlfn.XLOOKUP(_xlfn.XLOOKUP($F141,Clientes!$B$4:$B$39,Clientes!$C$4:$C$39),Cadastros!$L$6:$L$12,Cadastros!$M$6:$M$12)," ")</f>
        <v xml:space="preserve"> </v>
      </c>
      <c r="W141" s="28"/>
      <c r="X141" s="28"/>
      <c r="Y141" s="255" t="str">
        <f>IF(W141="","",(_xlfn.XLOOKUP(W141,Cadastros!$D$6:$D$90,Cadastros!$E$6:$E$90))*(1-_xlfn.XLOOKUP(_xlfn.XLOOKUP($F141,Clientes!$B$4:$B$39,Clientes!$C$4:$C$39),Cadastros!$L$6:$L$12,Cadastros!$N$6:$N$12)))</f>
        <v/>
      </c>
      <c r="Z141" s="168" t="str">
        <f t="shared" si="30"/>
        <v/>
      </c>
      <c r="AA141" s="168" t="str">
        <f>IFERROR(Z141/_xlfn.XLOOKUP(_xlfn.XLOOKUP($F141,Clientes!$B$4:$B$39,Clientes!$C$4:$C$39),Cadastros!$L$6:$L$12,Cadastros!$M$6:$M$12)," ")</f>
        <v xml:space="preserve"> </v>
      </c>
      <c r="AB141" s="28"/>
      <c r="AC141" s="28"/>
      <c r="AD141" s="20" t="str">
        <f>IF(AB141="","",IF($F141="Bernardino Furlan",_xlfn.XLOOKUP(AB141,Cadastros!$G$6:$G$90,Cadastros!$H$6:$H$90)*(1-0.18),IF($F141="Mauro José Salanti",_xlfn.XLOOKUP(AB141,Cadastros!$G$6:$G$90,Cadastros!$H$6:$H$90)*(1-0.18),_xlfn.XLOOKUP(AB141,Cadastros!$G$6:$G$90,Cadastros!$H$6:$H$90))))</f>
        <v/>
      </c>
      <c r="AE141" s="168" t="str">
        <f t="shared" si="31"/>
        <v/>
      </c>
      <c r="AF141" s="168" t="str">
        <f t="shared" si="32"/>
        <v/>
      </c>
      <c r="AG141" s="28"/>
      <c r="AH141" s="28"/>
      <c r="AI141" s="20" t="str">
        <f>IF(AG141="","",IF($F141="Bernardino Furlan",_xlfn.XLOOKUP(AG141,Cadastros!$G$6:$G$90,Cadastros!$H$6:$H$90)*(1-0.18),IF($F141="Mauro José Salanti",_xlfn.XLOOKUP(AG141,Cadastros!$G$6:$G$90,Cadastros!$H$6:$H$90)*(1-0.18),_xlfn.XLOOKUP(AG141,Cadastros!$G$6:$G$90,Cadastros!$H$6:$H$90))))</f>
        <v/>
      </c>
      <c r="AJ141" s="168" t="str">
        <f t="shared" si="33"/>
        <v/>
      </c>
      <c r="AK141" s="168" t="str">
        <f t="shared" si="34"/>
        <v/>
      </c>
      <c r="AL141" s="28"/>
      <c r="AM141" s="28"/>
      <c r="AN141" s="20" t="str">
        <f>IF(AL141="","",IF($F141="Bernardino Furlan",_xlfn.XLOOKUP(AL141,Cadastros!$G$6:$G$90,Cadastros!$H$6:$H$90)*(1-0.18),IF($F141="Mauro José Salanti",_xlfn.XLOOKUP(AL141,Cadastros!$G$6:$G$90,Cadastros!$H$6:$H$90)*(1-0.18),_xlfn.XLOOKUP(AL141,Cadastros!$G$6:$G$90,Cadastros!$H$6:$H$90))))</f>
        <v/>
      </c>
      <c r="AO141" s="168" t="str">
        <f t="shared" si="35"/>
        <v/>
      </c>
      <c r="AP141" s="168" t="str">
        <f t="shared" si="36"/>
        <v/>
      </c>
      <c r="AQ141" s="28"/>
      <c r="AR141" s="28"/>
      <c r="AS141" s="20" t="str">
        <f>IF(AQ141="","",IF($F141="Bernardino Furlan",_xlfn.XLOOKUP(AQ141,Cadastros!$G$6:$G$90,Cadastros!$H$6:$H$90)*(1-0.18),IF($F141="Mauro José Salanti",_xlfn.XLOOKUP(AQ141,Cadastros!$G$6:$G$90,Cadastros!$H$6:$H$90)*(1-0.18),_xlfn.XLOOKUP(AQ141,Cadastros!$G$6:$G$90,Cadastros!$H$6:$H$90))))</f>
        <v/>
      </c>
      <c r="AT141" s="168" t="str">
        <f t="shared" si="37"/>
        <v/>
      </c>
      <c r="AU141" s="168" t="str">
        <f t="shared" si="38"/>
        <v/>
      </c>
      <c r="AV141" s="227"/>
      <c r="AW141" s="30"/>
      <c r="AX141" s="267"/>
      <c r="AY141" s="267"/>
      <c r="AZ141" s="29"/>
      <c r="BA141" s="30"/>
      <c r="BB141" s="23" t="str" cm="1">
        <f t="array" ref="BB141">_xlfn.IFS(AW141="SIM",SUM(K141,P141,U141,Z141,AE141,AJ141,AO141,AT141,AX141,AY141),F141&lt;&gt;"",SUM(K141,P141,U141,Z141,AE141,AJ141,,AO141,AT141),F141="","")</f>
        <v/>
      </c>
      <c r="BC141" s="211" t="str" cm="1">
        <f t="array" ref="BC141">_xlfn.IFS(E141="","",G141&lt;=E141,BB141*(1-0.03),G141&lt;(E141+8),BB141,AZ141="Boleto",BB141*(1+0.001)^DATEDIF(E141,G141,"D"),AZ141="Cheque",BB141,AZ141="Dinheiro","Alterar forma pgto")</f>
        <v/>
      </c>
      <c r="BD141" s="276" t="str" cm="1">
        <f t="array" ref="BD141">IF(F141=0," ",IF(BC141&lt;BB141,(_xlfn.IFS(AW141="SIM",SUM(L141,Q141,V141,AA141,AF141,AK141,AP141,AU141)+AX141/_xlfn.XLOOKUP(_xlfn.XLOOKUP($F141,Clientes!$B$4:$B$39,Clientes!$C$4:$C$39),Cadastros!$L$6:$L$12,Cadastros!$M$6:$M$12)+IF($F141="Bernardino Furlan",AY141/2751.92,IF($F141="Mauro José Salanti",AY141/2751.92,AY141/3356)),F141&lt;&gt;0,SUM(L141,Q141,V141,AA141,AF141,AK141,AP141,AU141)))*(1-0.03),_xlfn.IFS(AW141="SIM",SUM(L141,Q141,V141,AA141,AF141,AK141,AP141,AU141)+AX141/_xlfn.XLOOKUP(_xlfn.XLOOKUP($F141,Clientes!$B$4:$B$39,Clientes!$C$4:$C$39),Cadastros!$L$6:$L$12,Cadastros!$M$6:$M$12)+IF($F141="Bernardino Furlan",AY141/2751.92,IF($F141="Mauro José Salanti",AY141/2751.92,AY141/3356)),F141&lt;&gt;0,SUM(L141,Q141,V141,AA141,AF141,AK141,AP141,AU141))))</f>
        <v xml:space="preserve"> </v>
      </c>
      <c r="BE141" s="120"/>
      <c r="BF141" s="120"/>
      <c r="BG141" s="120"/>
    </row>
    <row r="142" spans="1:59" s="3" customFormat="1" x14ac:dyDescent="0.3">
      <c r="A142" s="15" t="str">
        <f t="shared" si="26"/>
        <v/>
      </c>
      <c r="B142" s="25"/>
      <c r="C142" s="26"/>
      <c r="D142" s="279"/>
      <c r="E142" s="27"/>
      <c r="F142" s="28"/>
      <c r="G142" s="27"/>
      <c r="H142" s="28"/>
      <c r="I142" s="28"/>
      <c r="J142" s="255" t="str">
        <f>IF(H142="","",(_xlfn.XLOOKUP(H142,Cadastros!$D$6:$D$90,Cadastros!$E$6:$E$90))*(1-_xlfn.XLOOKUP(_xlfn.XLOOKUP($F142,Clientes!$B$4:$B$39,Clientes!$C$4:$C$39),Cadastros!$L$6:$L$12,Cadastros!$N$6:$N$12)))</f>
        <v/>
      </c>
      <c r="K142" s="168" t="str">
        <f t="shared" si="27"/>
        <v/>
      </c>
      <c r="L142" s="168" t="str">
        <f>IFERROR(K142/_xlfn.XLOOKUP(_xlfn.XLOOKUP($F142,Clientes!$B$4:$B$39,Clientes!$C$4:$C$39),Cadastros!$L$6:$L$12,Cadastros!$M$6:$M$12)," ")</f>
        <v xml:space="preserve"> </v>
      </c>
      <c r="M142" s="28"/>
      <c r="N142" s="28"/>
      <c r="O142" s="255" t="str">
        <f>IF(M142="","",(_xlfn.XLOOKUP(M142,Cadastros!$D$6:$D$90,Cadastros!$E$6:$E$90))*(1-_xlfn.XLOOKUP(_xlfn.XLOOKUP($F142,Clientes!$B$4:$B$39,Clientes!$C$4:$C$39),Cadastros!$L$6:$L$12,Cadastros!$N$6:$N$12)))</f>
        <v/>
      </c>
      <c r="P142" s="168" t="str">
        <f t="shared" si="28"/>
        <v/>
      </c>
      <c r="Q142" s="168" t="str">
        <f>IFERROR(P142/_xlfn.XLOOKUP(_xlfn.XLOOKUP($F142,Clientes!$B$4:$B$39,Clientes!$C$4:$C$39),Cadastros!$L$6:$L$12,Cadastros!$M$6:$M$12)," ")</f>
        <v xml:space="preserve"> </v>
      </c>
      <c r="R142" s="28"/>
      <c r="S142" s="28"/>
      <c r="T142" s="255" t="str">
        <f>IF(R142="","",(_xlfn.XLOOKUP(R142,Cadastros!$D$6:$D$90,Cadastros!$E$6:$E$90))*(1-_xlfn.XLOOKUP(_xlfn.XLOOKUP($F142,Clientes!$B$4:$B$39,Clientes!$C$4:$C$39),Cadastros!$L$6:$L$12,Cadastros!$N$6:$N$12)))</f>
        <v/>
      </c>
      <c r="U142" s="168" t="str">
        <f t="shared" si="29"/>
        <v/>
      </c>
      <c r="V142" s="168" t="str">
        <f>IFERROR(U142/_xlfn.XLOOKUP(_xlfn.XLOOKUP($F142,Clientes!$B$4:$B$39,Clientes!$C$4:$C$39),Cadastros!$L$6:$L$12,Cadastros!$M$6:$M$12)," ")</f>
        <v xml:space="preserve"> </v>
      </c>
      <c r="W142" s="28"/>
      <c r="X142" s="28"/>
      <c r="Y142" s="255" t="str">
        <f>IF(W142="","",(_xlfn.XLOOKUP(W142,Cadastros!$D$6:$D$90,Cadastros!$E$6:$E$90))*(1-_xlfn.XLOOKUP(_xlfn.XLOOKUP($F142,Clientes!$B$4:$B$39,Clientes!$C$4:$C$39),Cadastros!$L$6:$L$12,Cadastros!$N$6:$N$12)))</f>
        <v/>
      </c>
      <c r="Z142" s="168" t="str">
        <f t="shared" si="30"/>
        <v/>
      </c>
      <c r="AA142" s="168" t="str">
        <f>IFERROR(Z142/_xlfn.XLOOKUP(_xlfn.XLOOKUP($F142,Clientes!$B$4:$B$39,Clientes!$C$4:$C$39),Cadastros!$L$6:$L$12,Cadastros!$M$6:$M$12)," ")</f>
        <v xml:space="preserve"> </v>
      </c>
      <c r="AB142" s="28"/>
      <c r="AC142" s="28"/>
      <c r="AD142" s="20" t="str">
        <f>IF(AB142="","",IF($F142="Bernardino Furlan",_xlfn.XLOOKUP(AB142,Cadastros!$G$6:$G$90,Cadastros!$H$6:$H$90)*(1-0.18),IF($F142="Mauro José Salanti",_xlfn.XLOOKUP(AB142,Cadastros!$G$6:$G$90,Cadastros!$H$6:$H$90)*(1-0.18),_xlfn.XLOOKUP(AB142,Cadastros!$G$6:$G$90,Cadastros!$H$6:$H$90))))</f>
        <v/>
      </c>
      <c r="AE142" s="168" t="str">
        <f t="shared" si="31"/>
        <v/>
      </c>
      <c r="AF142" s="168" t="str">
        <f t="shared" si="32"/>
        <v/>
      </c>
      <c r="AG142" s="28"/>
      <c r="AH142" s="28"/>
      <c r="AI142" s="20" t="str">
        <f>IF(AG142="","",IF($F142="Bernardino Furlan",_xlfn.XLOOKUP(AG142,Cadastros!$G$6:$G$90,Cadastros!$H$6:$H$90)*(1-0.18),IF($F142="Mauro José Salanti",_xlfn.XLOOKUP(AG142,Cadastros!$G$6:$G$90,Cadastros!$H$6:$H$90)*(1-0.18),_xlfn.XLOOKUP(AG142,Cadastros!$G$6:$G$90,Cadastros!$H$6:$H$90))))</f>
        <v/>
      </c>
      <c r="AJ142" s="168" t="str">
        <f t="shared" si="33"/>
        <v/>
      </c>
      <c r="AK142" s="168" t="str">
        <f t="shared" si="34"/>
        <v/>
      </c>
      <c r="AL142" s="28"/>
      <c r="AM142" s="28"/>
      <c r="AN142" s="20" t="str">
        <f>IF(AL142="","",IF($F142="Bernardino Furlan",_xlfn.XLOOKUP(AL142,Cadastros!$G$6:$G$90,Cadastros!$H$6:$H$90)*(1-0.18),IF($F142="Mauro José Salanti",_xlfn.XLOOKUP(AL142,Cadastros!$G$6:$G$90,Cadastros!$H$6:$H$90)*(1-0.18),_xlfn.XLOOKUP(AL142,Cadastros!$G$6:$G$90,Cadastros!$H$6:$H$90))))</f>
        <v/>
      </c>
      <c r="AO142" s="168" t="str">
        <f t="shared" si="35"/>
        <v/>
      </c>
      <c r="AP142" s="168" t="str">
        <f t="shared" si="36"/>
        <v/>
      </c>
      <c r="AQ142" s="28"/>
      <c r="AR142" s="28"/>
      <c r="AS142" s="20" t="str">
        <f>IF(AQ142="","",IF($F142="Bernardino Furlan",_xlfn.XLOOKUP(AQ142,Cadastros!$G$6:$G$90,Cadastros!$H$6:$H$90)*(1-0.18),IF($F142="Mauro José Salanti",_xlfn.XLOOKUP(AQ142,Cadastros!$G$6:$G$90,Cadastros!$H$6:$H$90)*(1-0.18),_xlfn.XLOOKUP(AQ142,Cadastros!$G$6:$G$90,Cadastros!$H$6:$H$90))))</f>
        <v/>
      </c>
      <c r="AT142" s="168" t="str">
        <f t="shared" si="37"/>
        <v/>
      </c>
      <c r="AU142" s="168" t="str">
        <f t="shared" si="38"/>
        <v/>
      </c>
      <c r="AV142" s="227"/>
      <c r="AW142" s="30"/>
      <c r="AX142" s="267"/>
      <c r="AY142" s="267"/>
      <c r="AZ142" s="29"/>
      <c r="BA142" s="30"/>
      <c r="BB142" s="23" t="str" cm="1">
        <f t="array" ref="BB142">_xlfn.IFS(AW142="SIM",SUM(K142,P142,U142,Z142,AE142,AJ142,AO142,AT142,AX142,AY142),F142&lt;&gt;"",SUM(K142,P142,U142,Z142,AE142,AJ142,,AO142,AT142),F142="","")</f>
        <v/>
      </c>
      <c r="BC142" s="211" t="str" cm="1">
        <f t="array" ref="BC142">_xlfn.IFS(E142="","",G142&lt;=E142,BB142*(1-0.03),G142&lt;(E142+8),BB142,AZ142="Boleto",BB142*(1+0.001)^DATEDIF(E142,G142,"D"),AZ142="Cheque",BB142,AZ142="Dinheiro","Alterar forma pgto")</f>
        <v/>
      </c>
      <c r="BD142" s="276" t="str" cm="1">
        <f t="array" ref="BD142">IF(F142=0," ",IF(BC142&lt;BB142,(_xlfn.IFS(AW142="SIM",SUM(L142,Q142,V142,AA142,AF142,AK142,AP142,AU142)+AX142/_xlfn.XLOOKUP(_xlfn.XLOOKUP($F142,Clientes!$B$4:$B$39,Clientes!$C$4:$C$39),Cadastros!$L$6:$L$12,Cadastros!$M$6:$M$12)+IF($F142="Bernardino Furlan",AY142/2751.92,IF($F142="Mauro José Salanti",AY142/2751.92,AY142/3356)),F142&lt;&gt;0,SUM(L142,Q142,V142,AA142,AF142,AK142,AP142,AU142)))*(1-0.03),_xlfn.IFS(AW142="SIM",SUM(L142,Q142,V142,AA142,AF142,AK142,AP142,AU142)+AX142/_xlfn.XLOOKUP(_xlfn.XLOOKUP($F142,Clientes!$B$4:$B$39,Clientes!$C$4:$C$39),Cadastros!$L$6:$L$12,Cadastros!$M$6:$M$12)+IF($F142="Bernardino Furlan",AY142/2751.92,IF($F142="Mauro José Salanti",AY142/2751.92,AY142/3356)),F142&lt;&gt;0,SUM(L142,Q142,V142,AA142,AF142,AK142,AP142,AU142))))</f>
        <v xml:space="preserve"> </v>
      </c>
      <c r="BE142" s="120"/>
      <c r="BF142" s="120"/>
      <c r="BG142" s="120"/>
    </row>
    <row r="143" spans="1:59" s="3" customFormat="1" x14ac:dyDescent="0.3">
      <c r="A143" s="15" t="str">
        <f t="shared" si="26"/>
        <v/>
      </c>
      <c r="B143" s="25"/>
      <c r="C143" s="26"/>
      <c r="D143" s="279"/>
      <c r="E143" s="27"/>
      <c r="F143" s="28"/>
      <c r="G143" s="27"/>
      <c r="H143" s="28"/>
      <c r="I143" s="28"/>
      <c r="J143" s="255" t="str">
        <f>IF(H143="","",(_xlfn.XLOOKUP(H143,Cadastros!$D$6:$D$90,Cadastros!$E$6:$E$90))*(1-_xlfn.XLOOKUP(_xlfn.XLOOKUP($F143,Clientes!$B$4:$B$39,Clientes!$C$4:$C$39),Cadastros!$L$6:$L$12,Cadastros!$N$6:$N$12)))</f>
        <v/>
      </c>
      <c r="K143" s="168" t="str">
        <f t="shared" si="27"/>
        <v/>
      </c>
      <c r="L143" s="168" t="str">
        <f>IFERROR(K143/_xlfn.XLOOKUP(_xlfn.XLOOKUP($F143,Clientes!$B$4:$B$39,Clientes!$C$4:$C$39),Cadastros!$L$6:$L$12,Cadastros!$M$6:$M$12)," ")</f>
        <v xml:space="preserve"> </v>
      </c>
      <c r="M143" s="28"/>
      <c r="N143" s="28"/>
      <c r="O143" s="255" t="str">
        <f>IF(M143="","",(_xlfn.XLOOKUP(M143,Cadastros!$D$6:$D$90,Cadastros!$E$6:$E$90))*(1-_xlfn.XLOOKUP(_xlfn.XLOOKUP($F143,Clientes!$B$4:$B$39,Clientes!$C$4:$C$39),Cadastros!$L$6:$L$12,Cadastros!$N$6:$N$12)))</f>
        <v/>
      </c>
      <c r="P143" s="168" t="str">
        <f t="shared" si="28"/>
        <v/>
      </c>
      <c r="Q143" s="168" t="str">
        <f>IFERROR(P143/_xlfn.XLOOKUP(_xlfn.XLOOKUP($F143,Clientes!$B$4:$B$39,Clientes!$C$4:$C$39),Cadastros!$L$6:$L$12,Cadastros!$M$6:$M$12)," ")</f>
        <v xml:space="preserve"> </v>
      </c>
      <c r="R143" s="28"/>
      <c r="S143" s="28"/>
      <c r="T143" s="255" t="str">
        <f>IF(R143="","",(_xlfn.XLOOKUP(R143,Cadastros!$D$6:$D$90,Cadastros!$E$6:$E$90))*(1-_xlfn.XLOOKUP(_xlfn.XLOOKUP($F143,Clientes!$B$4:$B$39,Clientes!$C$4:$C$39),Cadastros!$L$6:$L$12,Cadastros!$N$6:$N$12)))</f>
        <v/>
      </c>
      <c r="U143" s="168" t="str">
        <f t="shared" si="29"/>
        <v/>
      </c>
      <c r="V143" s="168" t="str">
        <f>IFERROR(U143/_xlfn.XLOOKUP(_xlfn.XLOOKUP($F143,Clientes!$B$4:$B$39,Clientes!$C$4:$C$39),Cadastros!$L$6:$L$12,Cadastros!$M$6:$M$12)," ")</f>
        <v xml:space="preserve"> </v>
      </c>
      <c r="W143" s="28"/>
      <c r="X143" s="28"/>
      <c r="Y143" s="255" t="str">
        <f>IF(W143="","",(_xlfn.XLOOKUP(W143,Cadastros!$D$6:$D$90,Cadastros!$E$6:$E$90))*(1-_xlfn.XLOOKUP(_xlfn.XLOOKUP($F143,Clientes!$B$4:$B$39,Clientes!$C$4:$C$39),Cadastros!$L$6:$L$12,Cadastros!$N$6:$N$12)))</f>
        <v/>
      </c>
      <c r="Z143" s="168" t="str">
        <f t="shared" si="30"/>
        <v/>
      </c>
      <c r="AA143" s="168" t="str">
        <f>IFERROR(Z143/_xlfn.XLOOKUP(_xlfn.XLOOKUP($F143,Clientes!$B$4:$B$39,Clientes!$C$4:$C$39),Cadastros!$L$6:$L$12,Cadastros!$M$6:$M$12)," ")</f>
        <v xml:space="preserve"> </v>
      </c>
      <c r="AB143" s="28"/>
      <c r="AC143" s="28"/>
      <c r="AD143" s="20" t="str">
        <f>IF(AB143="","",IF($F143="Bernardino Furlan",_xlfn.XLOOKUP(AB143,Cadastros!$G$6:$G$90,Cadastros!$H$6:$H$90)*(1-0.18),IF($F143="Mauro José Salanti",_xlfn.XLOOKUP(AB143,Cadastros!$G$6:$G$90,Cadastros!$H$6:$H$90)*(1-0.18),_xlfn.XLOOKUP(AB143,Cadastros!$G$6:$G$90,Cadastros!$H$6:$H$90))))</f>
        <v/>
      </c>
      <c r="AE143" s="168" t="str">
        <f t="shared" si="31"/>
        <v/>
      </c>
      <c r="AF143" s="168" t="str">
        <f t="shared" si="32"/>
        <v/>
      </c>
      <c r="AG143" s="28"/>
      <c r="AH143" s="28"/>
      <c r="AI143" s="20" t="str">
        <f>IF(AG143="","",IF($F143="Bernardino Furlan",_xlfn.XLOOKUP(AG143,Cadastros!$G$6:$G$90,Cadastros!$H$6:$H$90)*(1-0.18),IF($F143="Mauro José Salanti",_xlfn.XLOOKUP(AG143,Cadastros!$G$6:$G$90,Cadastros!$H$6:$H$90)*(1-0.18),_xlfn.XLOOKUP(AG143,Cadastros!$G$6:$G$90,Cadastros!$H$6:$H$90))))</f>
        <v/>
      </c>
      <c r="AJ143" s="168" t="str">
        <f t="shared" si="33"/>
        <v/>
      </c>
      <c r="AK143" s="168" t="str">
        <f t="shared" si="34"/>
        <v/>
      </c>
      <c r="AL143" s="28"/>
      <c r="AM143" s="28"/>
      <c r="AN143" s="20" t="str">
        <f>IF(AL143="","",IF($F143="Bernardino Furlan",_xlfn.XLOOKUP(AL143,Cadastros!$G$6:$G$90,Cadastros!$H$6:$H$90)*(1-0.18),IF($F143="Mauro José Salanti",_xlfn.XLOOKUP(AL143,Cadastros!$G$6:$G$90,Cadastros!$H$6:$H$90)*(1-0.18),_xlfn.XLOOKUP(AL143,Cadastros!$G$6:$G$90,Cadastros!$H$6:$H$90))))</f>
        <v/>
      </c>
      <c r="AO143" s="168" t="str">
        <f t="shared" si="35"/>
        <v/>
      </c>
      <c r="AP143" s="168" t="str">
        <f t="shared" si="36"/>
        <v/>
      </c>
      <c r="AQ143" s="28"/>
      <c r="AR143" s="28"/>
      <c r="AS143" s="20" t="str">
        <f>IF(AQ143="","",IF($F143="Bernardino Furlan",_xlfn.XLOOKUP(AQ143,Cadastros!$G$6:$G$90,Cadastros!$H$6:$H$90)*(1-0.18),IF($F143="Mauro José Salanti",_xlfn.XLOOKUP(AQ143,Cadastros!$G$6:$G$90,Cadastros!$H$6:$H$90)*(1-0.18),_xlfn.XLOOKUP(AQ143,Cadastros!$G$6:$G$90,Cadastros!$H$6:$H$90))))</f>
        <v/>
      </c>
      <c r="AT143" s="168" t="str">
        <f t="shared" si="37"/>
        <v/>
      </c>
      <c r="AU143" s="168" t="str">
        <f t="shared" si="38"/>
        <v/>
      </c>
      <c r="AV143" s="227"/>
      <c r="AW143" s="30"/>
      <c r="AX143" s="267"/>
      <c r="AY143" s="267"/>
      <c r="AZ143" s="29"/>
      <c r="BA143" s="30"/>
      <c r="BB143" s="23" t="str" cm="1">
        <f t="array" ref="BB143">_xlfn.IFS(AW143="SIM",SUM(K143,P143,U143,Z143,AE143,AJ143,AO143,AT143,AX143,AY143),F143&lt;&gt;"",SUM(K143,P143,U143,Z143,AE143,AJ143,,AO143,AT143),F143="","")</f>
        <v/>
      </c>
      <c r="BC143" s="211" t="str" cm="1">
        <f t="array" ref="BC143">_xlfn.IFS(E143="","",G143&lt;=E143,BB143*(1-0.03),G143&lt;(E143+8),BB143,AZ143="Boleto",BB143*(1+0.001)^DATEDIF(E143,G143,"D"),AZ143="Cheque",BB143,AZ143="Dinheiro","Alterar forma pgto")</f>
        <v/>
      </c>
      <c r="BD143" s="276" t="str" cm="1">
        <f t="array" ref="BD143">IF(F143=0," ",IF(BC143&lt;BB143,(_xlfn.IFS(AW143="SIM",SUM(L143,Q143,V143,AA143,AF143,AK143,AP143,AU143)+AX143/_xlfn.XLOOKUP(_xlfn.XLOOKUP($F143,Clientes!$B$4:$B$39,Clientes!$C$4:$C$39),Cadastros!$L$6:$L$12,Cadastros!$M$6:$M$12)+IF($F143="Bernardino Furlan",AY143/2751.92,IF($F143="Mauro José Salanti",AY143/2751.92,AY143/3356)),F143&lt;&gt;0,SUM(L143,Q143,V143,AA143,AF143,AK143,AP143,AU143)))*(1-0.03),_xlfn.IFS(AW143="SIM",SUM(L143,Q143,V143,AA143,AF143,AK143,AP143,AU143)+AX143/_xlfn.XLOOKUP(_xlfn.XLOOKUP($F143,Clientes!$B$4:$B$39,Clientes!$C$4:$C$39),Cadastros!$L$6:$L$12,Cadastros!$M$6:$M$12)+IF($F143="Bernardino Furlan",AY143/2751.92,IF($F143="Mauro José Salanti",AY143/2751.92,AY143/3356)),F143&lt;&gt;0,SUM(L143,Q143,V143,AA143,AF143,AK143,AP143,AU143))))</f>
        <v xml:space="preserve"> </v>
      </c>
      <c r="BE143" s="120"/>
      <c r="BF143" s="120"/>
      <c r="BG143" s="120"/>
    </row>
    <row r="144" spans="1:59" s="3" customFormat="1" x14ac:dyDescent="0.3">
      <c r="A144" s="15" t="str">
        <f t="shared" si="26"/>
        <v/>
      </c>
      <c r="B144" s="25"/>
      <c r="C144" s="26"/>
      <c r="D144" s="279"/>
      <c r="E144" s="27"/>
      <c r="F144" s="28"/>
      <c r="G144" s="27"/>
      <c r="H144" s="28"/>
      <c r="I144" s="28"/>
      <c r="J144" s="255" t="str">
        <f>IF(H144="","",(_xlfn.XLOOKUP(H144,Cadastros!$D$6:$D$90,Cadastros!$E$6:$E$90))*(1-_xlfn.XLOOKUP(_xlfn.XLOOKUP($F144,Clientes!$B$4:$B$39,Clientes!$C$4:$C$39),Cadastros!$L$6:$L$12,Cadastros!$N$6:$N$12)))</f>
        <v/>
      </c>
      <c r="K144" s="168" t="str">
        <f t="shared" si="27"/>
        <v/>
      </c>
      <c r="L144" s="168" t="str">
        <f>IFERROR(K144/_xlfn.XLOOKUP(_xlfn.XLOOKUP($F144,Clientes!$B$4:$B$39,Clientes!$C$4:$C$39),Cadastros!$L$6:$L$12,Cadastros!$M$6:$M$12)," ")</f>
        <v xml:space="preserve"> </v>
      </c>
      <c r="M144" s="28"/>
      <c r="N144" s="28"/>
      <c r="O144" s="255" t="str">
        <f>IF(M144="","",(_xlfn.XLOOKUP(M144,Cadastros!$D$6:$D$90,Cadastros!$E$6:$E$90))*(1-_xlfn.XLOOKUP(_xlfn.XLOOKUP($F144,Clientes!$B$4:$B$39,Clientes!$C$4:$C$39),Cadastros!$L$6:$L$12,Cadastros!$N$6:$N$12)))</f>
        <v/>
      </c>
      <c r="P144" s="168" t="str">
        <f t="shared" si="28"/>
        <v/>
      </c>
      <c r="Q144" s="168" t="str">
        <f>IFERROR(P144/_xlfn.XLOOKUP(_xlfn.XLOOKUP($F144,Clientes!$B$4:$B$39,Clientes!$C$4:$C$39),Cadastros!$L$6:$L$12,Cadastros!$M$6:$M$12)," ")</f>
        <v xml:space="preserve"> </v>
      </c>
      <c r="R144" s="28"/>
      <c r="S144" s="28"/>
      <c r="T144" s="255" t="str">
        <f>IF(R144="","",(_xlfn.XLOOKUP(R144,Cadastros!$D$6:$D$90,Cadastros!$E$6:$E$90))*(1-_xlfn.XLOOKUP(_xlfn.XLOOKUP($F144,Clientes!$B$4:$B$39,Clientes!$C$4:$C$39),Cadastros!$L$6:$L$12,Cadastros!$N$6:$N$12)))</f>
        <v/>
      </c>
      <c r="U144" s="168" t="str">
        <f t="shared" si="29"/>
        <v/>
      </c>
      <c r="V144" s="168" t="str">
        <f>IFERROR(U144/_xlfn.XLOOKUP(_xlfn.XLOOKUP($F144,Clientes!$B$4:$B$39,Clientes!$C$4:$C$39),Cadastros!$L$6:$L$12,Cadastros!$M$6:$M$12)," ")</f>
        <v xml:space="preserve"> </v>
      </c>
      <c r="W144" s="28"/>
      <c r="X144" s="28"/>
      <c r="Y144" s="255" t="str">
        <f>IF(W144="","",(_xlfn.XLOOKUP(W144,Cadastros!$D$6:$D$90,Cadastros!$E$6:$E$90))*(1-_xlfn.XLOOKUP(_xlfn.XLOOKUP($F144,Clientes!$B$4:$B$39,Clientes!$C$4:$C$39),Cadastros!$L$6:$L$12,Cadastros!$N$6:$N$12)))</f>
        <v/>
      </c>
      <c r="Z144" s="168" t="str">
        <f t="shared" si="30"/>
        <v/>
      </c>
      <c r="AA144" s="168" t="str">
        <f>IFERROR(Z144/_xlfn.XLOOKUP(_xlfn.XLOOKUP($F144,Clientes!$B$4:$B$39,Clientes!$C$4:$C$39),Cadastros!$L$6:$L$12,Cadastros!$M$6:$M$12)," ")</f>
        <v xml:space="preserve"> </v>
      </c>
      <c r="AB144" s="28"/>
      <c r="AC144" s="28"/>
      <c r="AD144" s="20" t="str">
        <f>IF(AB144="","",IF($F144="Bernardino Furlan",_xlfn.XLOOKUP(AB144,Cadastros!$G$6:$G$90,Cadastros!$H$6:$H$90)*(1-0.18),IF($F144="Mauro José Salanti",_xlfn.XLOOKUP(AB144,Cadastros!$G$6:$G$90,Cadastros!$H$6:$H$90)*(1-0.18),_xlfn.XLOOKUP(AB144,Cadastros!$G$6:$G$90,Cadastros!$H$6:$H$90))))</f>
        <v/>
      </c>
      <c r="AE144" s="168" t="str">
        <f t="shared" si="31"/>
        <v/>
      </c>
      <c r="AF144" s="168" t="str">
        <f t="shared" si="32"/>
        <v/>
      </c>
      <c r="AG144" s="28"/>
      <c r="AH144" s="28"/>
      <c r="AI144" s="20" t="str">
        <f>IF(AG144="","",IF($F144="Bernardino Furlan",_xlfn.XLOOKUP(AG144,Cadastros!$G$6:$G$90,Cadastros!$H$6:$H$90)*(1-0.18),IF($F144="Mauro José Salanti",_xlfn.XLOOKUP(AG144,Cadastros!$G$6:$G$90,Cadastros!$H$6:$H$90)*(1-0.18),_xlfn.XLOOKUP(AG144,Cadastros!$G$6:$G$90,Cadastros!$H$6:$H$90))))</f>
        <v/>
      </c>
      <c r="AJ144" s="168" t="str">
        <f t="shared" si="33"/>
        <v/>
      </c>
      <c r="AK144" s="168" t="str">
        <f t="shared" si="34"/>
        <v/>
      </c>
      <c r="AL144" s="28"/>
      <c r="AM144" s="28"/>
      <c r="AN144" s="20" t="str">
        <f>IF(AL144="","",IF($F144="Bernardino Furlan",_xlfn.XLOOKUP(AL144,Cadastros!$G$6:$G$90,Cadastros!$H$6:$H$90)*(1-0.18),IF($F144="Mauro José Salanti",_xlfn.XLOOKUP(AL144,Cadastros!$G$6:$G$90,Cadastros!$H$6:$H$90)*(1-0.18),_xlfn.XLOOKUP(AL144,Cadastros!$G$6:$G$90,Cadastros!$H$6:$H$90))))</f>
        <v/>
      </c>
      <c r="AO144" s="168" t="str">
        <f t="shared" si="35"/>
        <v/>
      </c>
      <c r="AP144" s="168" t="str">
        <f t="shared" si="36"/>
        <v/>
      </c>
      <c r="AQ144" s="28"/>
      <c r="AR144" s="28"/>
      <c r="AS144" s="20" t="str">
        <f>IF(AQ144="","",IF($F144="Bernardino Furlan",_xlfn.XLOOKUP(AQ144,Cadastros!$G$6:$G$90,Cadastros!$H$6:$H$90)*(1-0.18),IF($F144="Mauro José Salanti",_xlfn.XLOOKUP(AQ144,Cadastros!$G$6:$G$90,Cadastros!$H$6:$H$90)*(1-0.18),_xlfn.XLOOKUP(AQ144,Cadastros!$G$6:$G$90,Cadastros!$H$6:$H$90))))</f>
        <v/>
      </c>
      <c r="AT144" s="168" t="str">
        <f t="shared" si="37"/>
        <v/>
      </c>
      <c r="AU144" s="168" t="str">
        <f t="shared" si="38"/>
        <v/>
      </c>
      <c r="AV144" s="227"/>
      <c r="AW144" s="30"/>
      <c r="AX144" s="267"/>
      <c r="AY144" s="267"/>
      <c r="AZ144" s="29"/>
      <c r="BA144" s="30"/>
      <c r="BB144" s="23" t="str" cm="1">
        <f t="array" ref="BB144">_xlfn.IFS(AW144="SIM",SUM(K144,P144,U144,Z144,AE144,AJ144,AO144,AT144,AX144,AY144),F144&lt;&gt;"",SUM(K144,P144,U144,Z144,AE144,AJ144,,AO144,AT144),F144="","")</f>
        <v/>
      </c>
      <c r="BC144" s="211" t="str" cm="1">
        <f t="array" ref="BC144">_xlfn.IFS(E144="","",G144&lt;=E144,BB144*(1-0.03),G144&lt;(E144+8),BB144,AZ144="Boleto",BB144*(1+0.001)^DATEDIF(E144,G144,"D"),AZ144="Cheque",BB144,AZ144="Dinheiro","Alterar forma pgto")</f>
        <v/>
      </c>
      <c r="BD144" s="276" t="str" cm="1">
        <f t="array" ref="BD144">IF(F144=0," ",IF(BC144&lt;BB144,(_xlfn.IFS(AW144="SIM",SUM(L144,Q144,V144,AA144,AF144,AK144,AP144,AU144)+AX144/_xlfn.XLOOKUP(_xlfn.XLOOKUP($F144,Clientes!$B$4:$B$39,Clientes!$C$4:$C$39),Cadastros!$L$6:$L$12,Cadastros!$M$6:$M$12)+IF($F144="Bernardino Furlan",AY144/2751.92,IF($F144="Mauro José Salanti",AY144/2751.92,AY144/3356)),F144&lt;&gt;0,SUM(L144,Q144,V144,AA144,AF144,AK144,AP144,AU144)))*(1-0.03),_xlfn.IFS(AW144="SIM",SUM(L144,Q144,V144,AA144,AF144,AK144,AP144,AU144)+AX144/_xlfn.XLOOKUP(_xlfn.XLOOKUP($F144,Clientes!$B$4:$B$39,Clientes!$C$4:$C$39),Cadastros!$L$6:$L$12,Cadastros!$M$6:$M$12)+IF($F144="Bernardino Furlan",AY144/2751.92,IF($F144="Mauro José Salanti",AY144/2751.92,AY144/3356)),F144&lt;&gt;0,SUM(L144,Q144,V144,AA144,AF144,AK144,AP144,AU144))))</f>
        <v xml:space="preserve"> </v>
      </c>
      <c r="BE144" s="120"/>
      <c r="BF144" s="120"/>
      <c r="BG144" s="120"/>
    </row>
    <row r="145" spans="1:59" s="3" customFormat="1" x14ac:dyDescent="0.3">
      <c r="A145" s="15" t="str">
        <f t="shared" si="26"/>
        <v/>
      </c>
      <c r="B145" s="25"/>
      <c r="C145" s="26"/>
      <c r="D145" s="279"/>
      <c r="E145" s="27"/>
      <c r="F145" s="28"/>
      <c r="G145" s="27"/>
      <c r="H145" s="28"/>
      <c r="I145" s="28"/>
      <c r="J145" s="255" t="str">
        <f>IF(H145="","",(_xlfn.XLOOKUP(H145,Cadastros!$D$6:$D$90,Cadastros!$E$6:$E$90))*(1-_xlfn.XLOOKUP(_xlfn.XLOOKUP($F145,Clientes!$B$4:$B$39,Clientes!$C$4:$C$39),Cadastros!$L$6:$L$12,Cadastros!$N$6:$N$12)))</f>
        <v/>
      </c>
      <c r="K145" s="168" t="str">
        <f t="shared" si="27"/>
        <v/>
      </c>
      <c r="L145" s="168" t="str">
        <f>IFERROR(K145/_xlfn.XLOOKUP(_xlfn.XLOOKUP($F145,Clientes!$B$4:$B$39,Clientes!$C$4:$C$39),Cadastros!$L$6:$L$12,Cadastros!$M$6:$M$12)," ")</f>
        <v xml:space="preserve"> </v>
      </c>
      <c r="M145" s="28"/>
      <c r="N145" s="28"/>
      <c r="O145" s="255" t="str">
        <f>IF(M145="","",(_xlfn.XLOOKUP(M145,Cadastros!$D$6:$D$90,Cadastros!$E$6:$E$90))*(1-_xlfn.XLOOKUP(_xlfn.XLOOKUP($F145,Clientes!$B$4:$B$39,Clientes!$C$4:$C$39),Cadastros!$L$6:$L$12,Cadastros!$N$6:$N$12)))</f>
        <v/>
      </c>
      <c r="P145" s="168" t="str">
        <f t="shared" si="28"/>
        <v/>
      </c>
      <c r="Q145" s="168" t="str">
        <f>IFERROR(P145/_xlfn.XLOOKUP(_xlfn.XLOOKUP($F145,Clientes!$B$4:$B$39,Clientes!$C$4:$C$39),Cadastros!$L$6:$L$12,Cadastros!$M$6:$M$12)," ")</f>
        <v xml:space="preserve"> </v>
      </c>
      <c r="R145" s="28"/>
      <c r="S145" s="28"/>
      <c r="T145" s="255" t="str">
        <f>IF(R145="","",(_xlfn.XLOOKUP(R145,Cadastros!$D$6:$D$90,Cadastros!$E$6:$E$90))*(1-_xlfn.XLOOKUP(_xlfn.XLOOKUP($F145,Clientes!$B$4:$B$39,Clientes!$C$4:$C$39),Cadastros!$L$6:$L$12,Cadastros!$N$6:$N$12)))</f>
        <v/>
      </c>
      <c r="U145" s="168" t="str">
        <f t="shared" si="29"/>
        <v/>
      </c>
      <c r="V145" s="168" t="str">
        <f>IFERROR(U145/_xlfn.XLOOKUP(_xlfn.XLOOKUP($F145,Clientes!$B$4:$B$39,Clientes!$C$4:$C$39),Cadastros!$L$6:$L$12,Cadastros!$M$6:$M$12)," ")</f>
        <v xml:space="preserve"> </v>
      </c>
      <c r="W145" s="28"/>
      <c r="X145" s="28"/>
      <c r="Y145" s="255" t="str">
        <f>IF(W145="","",(_xlfn.XLOOKUP(W145,Cadastros!$D$6:$D$90,Cadastros!$E$6:$E$90))*(1-_xlfn.XLOOKUP(_xlfn.XLOOKUP($F145,Clientes!$B$4:$B$39,Clientes!$C$4:$C$39),Cadastros!$L$6:$L$12,Cadastros!$N$6:$N$12)))</f>
        <v/>
      </c>
      <c r="Z145" s="168" t="str">
        <f t="shared" si="30"/>
        <v/>
      </c>
      <c r="AA145" s="168" t="str">
        <f>IFERROR(Z145/_xlfn.XLOOKUP(_xlfn.XLOOKUP($F145,Clientes!$B$4:$B$39,Clientes!$C$4:$C$39),Cadastros!$L$6:$L$12,Cadastros!$M$6:$M$12)," ")</f>
        <v xml:space="preserve"> </v>
      </c>
      <c r="AB145" s="28"/>
      <c r="AC145" s="28"/>
      <c r="AD145" s="20" t="str">
        <f>IF(AB145="","",IF($F145="Bernardino Furlan",_xlfn.XLOOKUP(AB145,Cadastros!$G$6:$G$90,Cadastros!$H$6:$H$90)*(1-0.18),IF($F145="Mauro José Salanti",_xlfn.XLOOKUP(AB145,Cadastros!$G$6:$G$90,Cadastros!$H$6:$H$90)*(1-0.18),_xlfn.XLOOKUP(AB145,Cadastros!$G$6:$G$90,Cadastros!$H$6:$H$90))))</f>
        <v/>
      </c>
      <c r="AE145" s="168" t="str">
        <f t="shared" si="31"/>
        <v/>
      </c>
      <c r="AF145" s="168" t="str">
        <f t="shared" si="32"/>
        <v/>
      </c>
      <c r="AG145" s="28"/>
      <c r="AH145" s="28"/>
      <c r="AI145" s="20" t="str">
        <f>IF(AG145="","",IF($F145="Bernardino Furlan",_xlfn.XLOOKUP(AG145,Cadastros!$G$6:$G$90,Cadastros!$H$6:$H$90)*(1-0.18),IF($F145="Mauro José Salanti",_xlfn.XLOOKUP(AG145,Cadastros!$G$6:$G$90,Cadastros!$H$6:$H$90)*(1-0.18),_xlfn.XLOOKUP(AG145,Cadastros!$G$6:$G$90,Cadastros!$H$6:$H$90))))</f>
        <v/>
      </c>
      <c r="AJ145" s="168" t="str">
        <f t="shared" si="33"/>
        <v/>
      </c>
      <c r="AK145" s="168" t="str">
        <f t="shared" si="34"/>
        <v/>
      </c>
      <c r="AL145" s="28"/>
      <c r="AM145" s="28"/>
      <c r="AN145" s="20" t="str">
        <f>IF(AL145="","",IF($F145="Bernardino Furlan",_xlfn.XLOOKUP(AL145,Cadastros!$G$6:$G$90,Cadastros!$H$6:$H$90)*(1-0.18),IF($F145="Mauro José Salanti",_xlfn.XLOOKUP(AL145,Cadastros!$G$6:$G$90,Cadastros!$H$6:$H$90)*(1-0.18),_xlfn.XLOOKUP(AL145,Cadastros!$G$6:$G$90,Cadastros!$H$6:$H$90))))</f>
        <v/>
      </c>
      <c r="AO145" s="168" t="str">
        <f t="shared" si="35"/>
        <v/>
      </c>
      <c r="AP145" s="168" t="str">
        <f t="shared" si="36"/>
        <v/>
      </c>
      <c r="AQ145" s="28"/>
      <c r="AR145" s="28"/>
      <c r="AS145" s="20" t="str">
        <f>IF(AQ145="","",IF($F145="Bernardino Furlan",_xlfn.XLOOKUP(AQ145,Cadastros!$G$6:$G$90,Cadastros!$H$6:$H$90)*(1-0.18),IF($F145="Mauro José Salanti",_xlfn.XLOOKUP(AQ145,Cadastros!$G$6:$G$90,Cadastros!$H$6:$H$90)*(1-0.18),_xlfn.XLOOKUP(AQ145,Cadastros!$G$6:$G$90,Cadastros!$H$6:$H$90))))</f>
        <v/>
      </c>
      <c r="AT145" s="168" t="str">
        <f t="shared" si="37"/>
        <v/>
      </c>
      <c r="AU145" s="168" t="str">
        <f t="shared" si="38"/>
        <v/>
      </c>
      <c r="AV145" s="227"/>
      <c r="AW145" s="30"/>
      <c r="AX145" s="267"/>
      <c r="AY145" s="267"/>
      <c r="AZ145" s="29"/>
      <c r="BA145" s="30"/>
      <c r="BB145" s="23" t="str" cm="1">
        <f t="array" ref="BB145">_xlfn.IFS(AW145="SIM",SUM(K145,P145,U145,Z145,AE145,AJ145,AO145,AT145,AX145,AY145),F145&lt;&gt;"",SUM(K145,P145,U145,Z145,AE145,AJ145,,AO145,AT145),F145="","")</f>
        <v/>
      </c>
      <c r="BC145" s="211" t="str" cm="1">
        <f t="array" ref="BC145">_xlfn.IFS(E145="","",G145&lt;=E145,BB145*(1-0.03),G145&lt;(E145+8),BB145,AZ145="Boleto",BB145*(1+0.001)^DATEDIF(E145,G145,"D"),AZ145="Cheque",BB145,AZ145="Dinheiro","Alterar forma pgto")</f>
        <v/>
      </c>
      <c r="BD145" s="276" t="str" cm="1">
        <f t="array" ref="BD145">IF(F145=0," ",IF(BC145&lt;BB145,(_xlfn.IFS(AW145="SIM",SUM(L145,Q145,V145,AA145,AF145,AK145,AP145,AU145)+AX145/_xlfn.XLOOKUP(_xlfn.XLOOKUP($F145,Clientes!$B$4:$B$39,Clientes!$C$4:$C$39),Cadastros!$L$6:$L$12,Cadastros!$M$6:$M$12)+IF($F145="Bernardino Furlan",AY145/2751.92,IF($F145="Mauro José Salanti",AY145/2751.92,AY145/3356)),F145&lt;&gt;0,SUM(L145,Q145,V145,AA145,AF145,AK145,AP145,AU145)))*(1-0.03),_xlfn.IFS(AW145="SIM",SUM(L145,Q145,V145,AA145,AF145,AK145,AP145,AU145)+AX145/_xlfn.XLOOKUP(_xlfn.XLOOKUP($F145,Clientes!$B$4:$B$39,Clientes!$C$4:$C$39),Cadastros!$L$6:$L$12,Cadastros!$M$6:$M$12)+IF($F145="Bernardino Furlan",AY145/2751.92,IF($F145="Mauro José Salanti",AY145/2751.92,AY145/3356)),F145&lt;&gt;0,SUM(L145,Q145,V145,AA145,AF145,AK145,AP145,AU145))))</f>
        <v xml:space="preserve"> </v>
      </c>
      <c r="BE145" s="120"/>
      <c r="BF145" s="120"/>
      <c r="BG145" s="120"/>
    </row>
    <row r="146" spans="1:59" s="3" customFormat="1" x14ac:dyDescent="0.3">
      <c r="A146" s="15" t="str">
        <f t="shared" si="26"/>
        <v/>
      </c>
      <c r="B146" s="25"/>
      <c r="C146" s="26"/>
      <c r="D146" s="279"/>
      <c r="E146" s="27"/>
      <c r="F146" s="28"/>
      <c r="G146" s="27"/>
      <c r="H146" s="28"/>
      <c r="I146" s="28"/>
      <c r="J146" s="255" t="str">
        <f>IF(H146="","",(_xlfn.XLOOKUP(H146,Cadastros!$D$6:$D$90,Cadastros!$E$6:$E$90))*(1-_xlfn.XLOOKUP(_xlfn.XLOOKUP($F146,Clientes!$B$4:$B$39,Clientes!$C$4:$C$39),Cadastros!$L$6:$L$12,Cadastros!$N$6:$N$12)))</f>
        <v/>
      </c>
      <c r="K146" s="168" t="str">
        <f t="shared" si="27"/>
        <v/>
      </c>
      <c r="L146" s="168" t="str">
        <f>IFERROR(K146/_xlfn.XLOOKUP(_xlfn.XLOOKUP($F146,Clientes!$B$4:$B$39,Clientes!$C$4:$C$39),Cadastros!$L$6:$L$12,Cadastros!$M$6:$M$12)," ")</f>
        <v xml:space="preserve"> </v>
      </c>
      <c r="M146" s="28"/>
      <c r="N146" s="28"/>
      <c r="O146" s="255" t="str">
        <f>IF(M146="","",(_xlfn.XLOOKUP(M146,Cadastros!$D$6:$D$90,Cadastros!$E$6:$E$90))*(1-_xlfn.XLOOKUP(_xlfn.XLOOKUP($F146,Clientes!$B$4:$B$39,Clientes!$C$4:$C$39),Cadastros!$L$6:$L$12,Cadastros!$N$6:$N$12)))</f>
        <v/>
      </c>
      <c r="P146" s="168" t="str">
        <f t="shared" si="28"/>
        <v/>
      </c>
      <c r="Q146" s="168" t="str">
        <f>IFERROR(P146/_xlfn.XLOOKUP(_xlfn.XLOOKUP($F146,Clientes!$B$4:$B$39,Clientes!$C$4:$C$39),Cadastros!$L$6:$L$12,Cadastros!$M$6:$M$12)," ")</f>
        <v xml:space="preserve"> </v>
      </c>
      <c r="R146" s="28"/>
      <c r="S146" s="28"/>
      <c r="T146" s="255" t="str">
        <f>IF(R146="","",(_xlfn.XLOOKUP(R146,Cadastros!$D$6:$D$90,Cadastros!$E$6:$E$90))*(1-_xlfn.XLOOKUP(_xlfn.XLOOKUP($F146,Clientes!$B$4:$B$39,Clientes!$C$4:$C$39),Cadastros!$L$6:$L$12,Cadastros!$N$6:$N$12)))</f>
        <v/>
      </c>
      <c r="U146" s="168" t="str">
        <f t="shared" si="29"/>
        <v/>
      </c>
      <c r="V146" s="168" t="str">
        <f>IFERROR(U146/_xlfn.XLOOKUP(_xlfn.XLOOKUP($F146,Clientes!$B$4:$B$39,Clientes!$C$4:$C$39),Cadastros!$L$6:$L$12,Cadastros!$M$6:$M$12)," ")</f>
        <v xml:space="preserve"> </v>
      </c>
      <c r="W146" s="28"/>
      <c r="X146" s="28"/>
      <c r="Y146" s="255" t="str">
        <f>IF(W146="","",(_xlfn.XLOOKUP(W146,Cadastros!$D$6:$D$90,Cadastros!$E$6:$E$90))*(1-_xlfn.XLOOKUP(_xlfn.XLOOKUP($F146,Clientes!$B$4:$B$39,Clientes!$C$4:$C$39),Cadastros!$L$6:$L$12,Cadastros!$N$6:$N$12)))</f>
        <v/>
      </c>
      <c r="Z146" s="168" t="str">
        <f t="shared" si="30"/>
        <v/>
      </c>
      <c r="AA146" s="168" t="str">
        <f>IFERROR(Z146/_xlfn.XLOOKUP(_xlfn.XLOOKUP($F146,Clientes!$B$4:$B$39,Clientes!$C$4:$C$39),Cadastros!$L$6:$L$12,Cadastros!$M$6:$M$12)," ")</f>
        <v xml:space="preserve"> </v>
      </c>
      <c r="AB146" s="28"/>
      <c r="AC146" s="28"/>
      <c r="AD146" s="20" t="str">
        <f>IF(AB146="","",IF($F146="Bernardino Furlan",_xlfn.XLOOKUP(AB146,Cadastros!$G$6:$G$90,Cadastros!$H$6:$H$90)*(1-0.18),IF($F146="Mauro José Salanti",_xlfn.XLOOKUP(AB146,Cadastros!$G$6:$G$90,Cadastros!$H$6:$H$90)*(1-0.18),_xlfn.XLOOKUP(AB146,Cadastros!$G$6:$G$90,Cadastros!$H$6:$H$90))))</f>
        <v/>
      </c>
      <c r="AE146" s="168" t="str">
        <f t="shared" si="31"/>
        <v/>
      </c>
      <c r="AF146" s="168" t="str">
        <f t="shared" si="32"/>
        <v/>
      </c>
      <c r="AG146" s="28"/>
      <c r="AH146" s="28"/>
      <c r="AI146" s="20" t="str">
        <f>IF(AG146="","",IF($F146="Bernardino Furlan",_xlfn.XLOOKUP(AG146,Cadastros!$G$6:$G$90,Cadastros!$H$6:$H$90)*(1-0.18),IF($F146="Mauro José Salanti",_xlfn.XLOOKUP(AG146,Cadastros!$G$6:$G$90,Cadastros!$H$6:$H$90)*(1-0.18),_xlfn.XLOOKUP(AG146,Cadastros!$G$6:$G$90,Cadastros!$H$6:$H$90))))</f>
        <v/>
      </c>
      <c r="AJ146" s="168" t="str">
        <f t="shared" si="33"/>
        <v/>
      </c>
      <c r="AK146" s="168" t="str">
        <f t="shared" si="34"/>
        <v/>
      </c>
      <c r="AL146" s="28"/>
      <c r="AM146" s="28"/>
      <c r="AN146" s="20" t="str">
        <f>IF(AL146="","",IF($F146="Bernardino Furlan",_xlfn.XLOOKUP(AL146,Cadastros!$G$6:$G$90,Cadastros!$H$6:$H$90)*(1-0.18),IF($F146="Mauro José Salanti",_xlfn.XLOOKUP(AL146,Cadastros!$G$6:$G$90,Cadastros!$H$6:$H$90)*(1-0.18),_xlfn.XLOOKUP(AL146,Cadastros!$G$6:$G$90,Cadastros!$H$6:$H$90))))</f>
        <v/>
      </c>
      <c r="AO146" s="168" t="str">
        <f t="shared" si="35"/>
        <v/>
      </c>
      <c r="AP146" s="168" t="str">
        <f t="shared" si="36"/>
        <v/>
      </c>
      <c r="AQ146" s="28"/>
      <c r="AR146" s="28"/>
      <c r="AS146" s="20" t="str">
        <f>IF(AQ146="","",IF($F146="Bernardino Furlan",_xlfn.XLOOKUP(AQ146,Cadastros!$G$6:$G$90,Cadastros!$H$6:$H$90)*(1-0.18),IF($F146="Mauro José Salanti",_xlfn.XLOOKUP(AQ146,Cadastros!$G$6:$G$90,Cadastros!$H$6:$H$90)*(1-0.18),_xlfn.XLOOKUP(AQ146,Cadastros!$G$6:$G$90,Cadastros!$H$6:$H$90))))</f>
        <v/>
      </c>
      <c r="AT146" s="168" t="str">
        <f t="shared" si="37"/>
        <v/>
      </c>
      <c r="AU146" s="168" t="str">
        <f t="shared" si="38"/>
        <v/>
      </c>
      <c r="AV146" s="227"/>
      <c r="AW146" s="30"/>
      <c r="AX146" s="267"/>
      <c r="AY146" s="267"/>
      <c r="AZ146" s="29"/>
      <c r="BA146" s="30"/>
      <c r="BB146" s="23" t="str" cm="1">
        <f t="array" ref="BB146">_xlfn.IFS(AW146="SIM",SUM(K146,P146,U146,Z146,AE146,AJ146,AO146,AT146,AX146,AY146),F146&lt;&gt;"",SUM(K146,P146,U146,Z146,AE146,AJ146,,AO146,AT146),F146="","")</f>
        <v/>
      </c>
      <c r="BC146" s="211" t="str" cm="1">
        <f t="array" ref="BC146">_xlfn.IFS(E146="","",G146&lt;=E146,BB146*(1-0.03),G146&lt;(E146+8),BB146,AZ146="Boleto",BB146*(1+0.001)^DATEDIF(E146,G146,"D"),AZ146="Cheque",BB146,AZ146="Dinheiro","Alterar forma pgto")</f>
        <v/>
      </c>
      <c r="BD146" s="276" t="str" cm="1">
        <f t="array" ref="BD146">IF(F146=0," ",IF(BC146&lt;BB146,(_xlfn.IFS(AW146="SIM",SUM(L146,Q146,V146,AA146,AF146,AK146,AP146,AU146)+AX146/_xlfn.XLOOKUP(_xlfn.XLOOKUP($F146,Clientes!$B$4:$B$39,Clientes!$C$4:$C$39),Cadastros!$L$6:$L$12,Cadastros!$M$6:$M$12)+IF($F146="Bernardino Furlan",AY146/2751.92,IF($F146="Mauro José Salanti",AY146/2751.92,AY146/3356)),F146&lt;&gt;0,SUM(L146,Q146,V146,AA146,AF146,AK146,AP146,AU146)))*(1-0.03),_xlfn.IFS(AW146="SIM",SUM(L146,Q146,V146,AA146,AF146,AK146,AP146,AU146)+AX146/_xlfn.XLOOKUP(_xlfn.XLOOKUP($F146,Clientes!$B$4:$B$39,Clientes!$C$4:$C$39),Cadastros!$L$6:$L$12,Cadastros!$M$6:$M$12)+IF($F146="Bernardino Furlan",AY146/2751.92,IF($F146="Mauro José Salanti",AY146/2751.92,AY146/3356)),F146&lt;&gt;0,SUM(L146,Q146,V146,AA146,AF146,AK146,AP146,AU146))))</f>
        <v xml:space="preserve"> </v>
      </c>
      <c r="BE146" s="120"/>
      <c r="BF146" s="120"/>
      <c r="BG146" s="120"/>
    </row>
    <row r="147" spans="1:59" s="3" customFormat="1" x14ac:dyDescent="0.3">
      <c r="A147" s="15" t="str">
        <f t="shared" si="26"/>
        <v/>
      </c>
      <c r="B147" s="25"/>
      <c r="C147" s="26"/>
      <c r="D147" s="279"/>
      <c r="E147" s="27"/>
      <c r="F147" s="28"/>
      <c r="G147" s="27"/>
      <c r="H147" s="28"/>
      <c r="I147" s="28"/>
      <c r="J147" s="255" t="str">
        <f>IF(H147="","",(_xlfn.XLOOKUP(H147,Cadastros!$D$6:$D$90,Cadastros!$E$6:$E$90))*(1-_xlfn.XLOOKUP(_xlfn.XLOOKUP($F147,Clientes!$B$4:$B$39,Clientes!$C$4:$C$39),Cadastros!$L$6:$L$12,Cadastros!$N$6:$N$12)))</f>
        <v/>
      </c>
      <c r="K147" s="168" t="str">
        <f t="shared" si="27"/>
        <v/>
      </c>
      <c r="L147" s="168" t="str">
        <f>IFERROR(K147/_xlfn.XLOOKUP(_xlfn.XLOOKUP($F147,Clientes!$B$4:$B$39,Clientes!$C$4:$C$39),Cadastros!$L$6:$L$12,Cadastros!$M$6:$M$12)," ")</f>
        <v xml:space="preserve"> </v>
      </c>
      <c r="M147" s="28"/>
      <c r="N147" s="28"/>
      <c r="O147" s="255" t="str">
        <f>IF(M147="","",(_xlfn.XLOOKUP(M147,Cadastros!$D$6:$D$90,Cadastros!$E$6:$E$90))*(1-_xlfn.XLOOKUP(_xlfn.XLOOKUP($F147,Clientes!$B$4:$B$39,Clientes!$C$4:$C$39),Cadastros!$L$6:$L$12,Cadastros!$N$6:$N$12)))</f>
        <v/>
      </c>
      <c r="P147" s="168" t="str">
        <f t="shared" si="28"/>
        <v/>
      </c>
      <c r="Q147" s="168" t="str">
        <f>IFERROR(P147/_xlfn.XLOOKUP(_xlfn.XLOOKUP($F147,Clientes!$B$4:$B$39,Clientes!$C$4:$C$39),Cadastros!$L$6:$L$12,Cadastros!$M$6:$M$12)," ")</f>
        <v xml:space="preserve"> </v>
      </c>
      <c r="R147" s="28"/>
      <c r="S147" s="28"/>
      <c r="T147" s="255" t="str">
        <f>IF(R147="","",(_xlfn.XLOOKUP(R147,Cadastros!$D$6:$D$90,Cadastros!$E$6:$E$90))*(1-_xlfn.XLOOKUP(_xlfn.XLOOKUP($F147,Clientes!$B$4:$B$39,Clientes!$C$4:$C$39),Cadastros!$L$6:$L$12,Cadastros!$N$6:$N$12)))</f>
        <v/>
      </c>
      <c r="U147" s="168" t="str">
        <f t="shared" si="29"/>
        <v/>
      </c>
      <c r="V147" s="168" t="str">
        <f>IFERROR(U147/_xlfn.XLOOKUP(_xlfn.XLOOKUP($F147,Clientes!$B$4:$B$39,Clientes!$C$4:$C$39),Cadastros!$L$6:$L$12,Cadastros!$M$6:$M$12)," ")</f>
        <v xml:space="preserve"> </v>
      </c>
      <c r="W147" s="28"/>
      <c r="X147" s="28"/>
      <c r="Y147" s="255" t="str">
        <f>IF(W147="","",(_xlfn.XLOOKUP(W147,Cadastros!$D$6:$D$90,Cadastros!$E$6:$E$90))*(1-_xlfn.XLOOKUP(_xlfn.XLOOKUP($F147,Clientes!$B$4:$B$39,Clientes!$C$4:$C$39),Cadastros!$L$6:$L$12,Cadastros!$N$6:$N$12)))</f>
        <v/>
      </c>
      <c r="Z147" s="168" t="str">
        <f t="shared" si="30"/>
        <v/>
      </c>
      <c r="AA147" s="168" t="str">
        <f>IFERROR(Z147/_xlfn.XLOOKUP(_xlfn.XLOOKUP($F147,Clientes!$B$4:$B$39,Clientes!$C$4:$C$39),Cadastros!$L$6:$L$12,Cadastros!$M$6:$M$12)," ")</f>
        <v xml:space="preserve"> </v>
      </c>
      <c r="AB147" s="28"/>
      <c r="AC147" s="28"/>
      <c r="AD147" s="20" t="str">
        <f>IF(AB147="","",IF($F147="Bernardino Furlan",_xlfn.XLOOKUP(AB147,Cadastros!$G$6:$G$90,Cadastros!$H$6:$H$90)*(1-0.18),IF($F147="Mauro José Salanti",_xlfn.XLOOKUP(AB147,Cadastros!$G$6:$G$90,Cadastros!$H$6:$H$90)*(1-0.18),_xlfn.XLOOKUP(AB147,Cadastros!$G$6:$G$90,Cadastros!$H$6:$H$90))))</f>
        <v/>
      </c>
      <c r="AE147" s="168" t="str">
        <f t="shared" si="31"/>
        <v/>
      </c>
      <c r="AF147" s="168" t="str">
        <f t="shared" si="32"/>
        <v/>
      </c>
      <c r="AG147" s="28"/>
      <c r="AH147" s="28"/>
      <c r="AI147" s="20" t="str">
        <f>IF(AG147="","",IF($F147="Bernardino Furlan",_xlfn.XLOOKUP(AG147,Cadastros!$G$6:$G$90,Cadastros!$H$6:$H$90)*(1-0.18),IF($F147="Mauro José Salanti",_xlfn.XLOOKUP(AG147,Cadastros!$G$6:$G$90,Cadastros!$H$6:$H$90)*(1-0.18),_xlfn.XLOOKUP(AG147,Cadastros!$G$6:$G$90,Cadastros!$H$6:$H$90))))</f>
        <v/>
      </c>
      <c r="AJ147" s="168" t="str">
        <f t="shared" si="33"/>
        <v/>
      </c>
      <c r="AK147" s="168" t="str">
        <f t="shared" si="34"/>
        <v/>
      </c>
      <c r="AL147" s="28"/>
      <c r="AM147" s="28"/>
      <c r="AN147" s="20" t="str">
        <f>IF(AL147="","",IF($F147="Bernardino Furlan",_xlfn.XLOOKUP(AL147,Cadastros!$G$6:$G$90,Cadastros!$H$6:$H$90)*(1-0.18),IF($F147="Mauro José Salanti",_xlfn.XLOOKUP(AL147,Cadastros!$G$6:$G$90,Cadastros!$H$6:$H$90)*(1-0.18),_xlfn.XLOOKUP(AL147,Cadastros!$G$6:$G$90,Cadastros!$H$6:$H$90))))</f>
        <v/>
      </c>
      <c r="AO147" s="168" t="str">
        <f t="shared" si="35"/>
        <v/>
      </c>
      <c r="AP147" s="168" t="str">
        <f t="shared" si="36"/>
        <v/>
      </c>
      <c r="AQ147" s="28"/>
      <c r="AR147" s="28"/>
      <c r="AS147" s="20" t="str">
        <f>IF(AQ147="","",IF($F147="Bernardino Furlan",_xlfn.XLOOKUP(AQ147,Cadastros!$G$6:$G$90,Cadastros!$H$6:$H$90)*(1-0.18),IF($F147="Mauro José Salanti",_xlfn.XLOOKUP(AQ147,Cadastros!$G$6:$G$90,Cadastros!$H$6:$H$90)*(1-0.18),_xlfn.XLOOKUP(AQ147,Cadastros!$G$6:$G$90,Cadastros!$H$6:$H$90))))</f>
        <v/>
      </c>
      <c r="AT147" s="168" t="str">
        <f t="shared" si="37"/>
        <v/>
      </c>
      <c r="AU147" s="168" t="str">
        <f t="shared" si="38"/>
        <v/>
      </c>
      <c r="AV147" s="227"/>
      <c r="AW147" s="30"/>
      <c r="AX147" s="267"/>
      <c r="AY147" s="267"/>
      <c r="AZ147" s="29"/>
      <c r="BA147" s="30"/>
      <c r="BB147" s="23" t="str" cm="1">
        <f t="array" ref="BB147">_xlfn.IFS(AW147="SIM",SUM(K147,P147,U147,Z147,AE147,AJ147,AO147,AT147,AX147,AY147),F147&lt;&gt;"",SUM(K147,P147,U147,Z147,AE147,AJ147,,AO147,AT147),F147="","")</f>
        <v/>
      </c>
      <c r="BC147" s="211" t="str" cm="1">
        <f t="array" ref="BC147">_xlfn.IFS(E147="","",G147&lt;=E147,BB147*(1-0.03),G147&lt;(E147+8),BB147,AZ147="Boleto",BB147*(1+0.001)^DATEDIF(E147,G147,"D"),AZ147="Cheque",BB147,AZ147="Dinheiro","Alterar forma pgto")</f>
        <v/>
      </c>
      <c r="BD147" s="276" t="str" cm="1">
        <f t="array" ref="BD147">IF(F147=0," ",IF(BC147&lt;BB147,(_xlfn.IFS(AW147="SIM",SUM(L147,Q147,V147,AA147,AF147,AK147,AP147,AU147)+AX147/_xlfn.XLOOKUP(_xlfn.XLOOKUP($F147,Clientes!$B$4:$B$39,Clientes!$C$4:$C$39),Cadastros!$L$6:$L$12,Cadastros!$M$6:$M$12)+IF($F147="Bernardino Furlan",AY147/2751.92,IF($F147="Mauro José Salanti",AY147/2751.92,AY147/3356)),F147&lt;&gt;0,SUM(L147,Q147,V147,AA147,AF147,AK147,AP147,AU147)))*(1-0.03),_xlfn.IFS(AW147="SIM",SUM(L147,Q147,V147,AA147,AF147,AK147,AP147,AU147)+AX147/_xlfn.XLOOKUP(_xlfn.XLOOKUP($F147,Clientes!$B$4:$B$39,Clientes!$C$4:$C$39),Cadastros!$L$6:$L$12,Cadastros!$M$6:$M$12)+IF($F147="Bernardino Furlan",AY147/2751.92,IF($F147="Mauro José Salanti",AY147/2751.92,AY147/3356)),F147&lt;&gt;0,SUM(L147,Q147,V147,AA147,AF147,AK147,AP147,AU147))))</f>
        <v xml:space="preserve"> </v>
      </c>
      <c r="BE147" s="120"/>
      <c r="BF147" s="120"/>
      <c r="BG147" s="120"/>
    </row>
    <row r="148" spans="1:59" s="3" customFormat="1" x14ac:dyDescent="0.3">
      <c r="A148" s="15" t="str">
        <f t="shared" si="26"/>
        <v/>
      </c>
      <c r="B148" s="25"/>
      <c r="C148" s="26"/>
      <c r="D148" s="279"/>
      <c r="E148" s="27"/>
      <c r="F148" s="28"/>
      <c r="G148" s="27"/>
      <c r="H148" s="28"/>
      <c r="I148" s="28"/>
      <c r="J148" s="255" t="str">
        <f>IF(H148="","",(_xlfn.XLOOKUP(H148,Cadastros!$D$6:$D$90,Cadastros!$E$6:$E$90))*(1-_xlfn.XLOOKUP(_xlfn.XLOOKUP($F148,Clientes!$B$4:$B$39,Clientes!$C$4:$C$39),Cadastros!$L$6:$L$12,Cadastros!$N$6:$N$12)))</f>
        <v/>
      </c>
      <c r="K148" s="168" t="str">
        <f t="shared" si="27"/>
        <v/>
      </c>
      <c r="L148" s="168" t="str">
        <f>IFERROR(K148/_xlfn.XLOOKUP(_xlfn.XLOOKUP($F148,Clientes!$B$4:$B$39,Clientes!$C$4:$C$39),Cadastros!$L$6:$L$12,Cadastros!$M$6:$M$12)," ")</f>
        <v xml:space="preserve"> </v>
      </c>
      <c r="M148" s="28"/>
      <c r="N148" s="28"/>
      <c r="O148" s="255" t="str">
        <f>IF(M148="","",(_xlfn.XLOOKUP(M148,Cadastros!$D$6:$D$90,Cadastros!$E$6:$E$90))*(1-_xlfn.XLOOKUP(_xlfn.XLOOKUP($F148,Clientes!$B$4:$B$39,Clientes!$C$4:$C$39),Cadastros!$L$6:$L$12,Cadastros!$N$6:$N$12)))</f>
        <v/>
      </c>
      <c r="P148" s="168" t="str">
        <f t="shared" si="28"/>
        <v/>
      </c>
      <c r="Q148" s="168" t="str">
        <f>IFERROR(P148/_xlfn.XLOOKUP(_xlfn.XLOOKUP($F148,Clientes!$B$4:$B$39,Clientes!$C$4:$C$39),Cadastros!$L$6:$L$12,Cadastros!$M$6:$M$12)," ")</f>
        <v xml:space="preserve"> </v>
      </c>
      <c r="R148" s="28"/>
      <c r="S148" s="28"/>
      <c r="T148" s="255" t="str">
        <f>IF(R148="","",(_xlfn.XLOOKUP(R148,Cadastros!$D$6:$D$90,Cadastros!$E$6:$E$90))*(1-_xlfn.XLOOKUP(_xlfn.XLOOKUP($F148,Clientes!$B$4:$B$39,Clientes!$C$4:$C$39),Cadastros!$L$6:$L$12,Cadastros!$N$6:$N$12)))</f>
        <v/>
      </c>
      <c r="U148" s="168" t="str">
        <f t="shared" si="29"/>
        <v/>
      </c>
      <c r="V148" s="168" t="str">
        <f>IFERROR(U148/_xlfn.XLOOKUP(_xlfn.XLOOKUP($F148,Clientes!$B$4:$B$39,Clientes!$C$4:$C$39),Cadastros!$L$6:$L$12,Cadastros!$M$6:$M$12)," ")</f>
        <v xml:space="preserve"> </v>
      </c>
      <c r="W148" s="28"/>
      <c r="X148" s="28"/>
      <c r="Y148" s="255" t="str">
        <f>IF(W148="","",(_xlfn.XLOOKUP(W148,Cadastros!$D$6:$D$90,Cadastros!$E$6:$E$90))*(1-_xlfn.XLOOKUP(_xlfn.XLOOKUP($F148,Clientes!$B$4:$B$39,Clientes!$C$4:$C$39),Cadastros!$L$6:$L$12,Cadastros!$N$6:$N$12)))</f>
        <v/>
      </c>
      <c r="Z148" s="168" t="str">
        <f t="shared" si="30"/>
        <v/>
      </c>
      <c r="AA148" s="168" t="str">
        <f>IFERROR(Z148/_xlfn.XLOOKUP(_xlfn.XLOOKUP($F148,Clientes!$B$4:$B$39,Clientes!$C$4:$C$39),Cadastros!$L$6:$L$12,Cadastros!$M$6:$M$12)," ")</f>
        <v xml:space="preserve"> </v>
      </c>
      <c r="AB148" s="28"/>
      <c r="AC148" s="28"/>
      <c r="AD148" s="20" t="str">
        <f>IF(AB148="","",IF($F148="Bernardino Furlan",_xlfn.XLOOKUP(AB148,Cadastros!$G$6:$G$90,Cadastros!$H$6:$H$90)*(1-0.18),IF($F148="Mauro José Salanti",_xlfn.XLOOKUP(AB148,Cadastros!$G$6:$G$90,Cadastros!$H$6:$H$90)*(1-0.18),_xlfn.XLOOKUP(AB148,Cadastros!$G$6:$G$90,Cadastros!$H$6:$H$90))))</f>
        <v/>
      </c>
      <c r="AE148" s="168" t="str">
        <f t="shared" si="31"/>
        <v/>
      </c>
      <c r="AF148" s="168" t="str">
        <f t="shared" si="32"/>
        <v/>
      </c>
      <c r="AG148" s="28"/>
      <c r="AH148" s="28"/>
      <c r="AI148" s="20" t="str">
        <f>IF(AG148="","",IF($F148="Bernardino Furlan",_xlfn.XLOOKUP(AG148,Cadastros!$G$6:$G$90,Cadastros!$H$6:$H$90)*(1-0.18),IF($F148="Mauro José Salanti",_xlfn.XLOOKUP(AG148,Cadastros!$G$6:$G$90,Cadastros!$H$6:$H$90)*(1-0.18),_xlfn.XLOOKUP(AG148,Cadastros!$G$6:$G$90,Cadastros!$H$6:$H$90))))</f>
        <v/>
      </c>
      <c r="AJ148" s="168" t="str">
        <f t="shared" si="33"/>
        <v/>
      </c>
      <c r="AK148" s="168" t="str">
        <f t="shared" si="34"/>
        <v/>
      </c>
      <c r="AL148" s="28"/>
      <c r="AM148" s="28"/>
      <c r="AN148" s="20" t="str">
        <f>IF(AL148="","",IF($F148="Bernardino Furlan",_xlfn.XLOOKUP(AL148,Cadastros!$G$6:$G$90,Cadastros!$H$6:$H$90)*(1-0.18),IF($F148="Mauro José Salanti",_xlfn.XLOOKUP(AL148,Cadastros!$G$6:$G$90,Cadastros!$H$6:$H$90)*(1-0.18),_xlfn.XLOOKUP(AL148,Cadastros!$G$6:$G$90,Cadastros!$H$6:$H$90))))</f>
        <v/>
      </c>
      <c r="AO148" s="168" t="str">
        <f t="shared" si="35"/>
        <v/>
      </c>
      <c r="AP148" s="168" t="str">
        <f t="shared" si="36"/>
        <v/>
      </c>
      <c r="AQ148" s="28"/>
      <c r="AR148" s="28"/>
      <c r="AS148" s="20" t="str">
        <f>IF(AQ148="","",IF($F148="Bernardino Furlan",_xlfn.XLOOKUP(AQ148,Cadastros!$G$6:$G$90,Cadastros!$H$6:$H$90)*(1-0.18),IF($F148="Mauro José Salanti",_xlfn.XLOOKUP(AQ148,Cadastros!$G$6:$G$90,Cadastros!$H$6:$H$90)*(1-0.18),_xlfn.XLOOKUP(AQ148,Cadastros!$G$6:$G$90,Cadastros!$H$6:$H$90))))</f>
        <v/>
      </c>
      <c r="AT148" s="168" t="str">
        <f t="shared" si="37"/>
        <v/>
      </c>
      <c r="AU148" s="168" t="str">
        <f t="shared" si="38"/>
        <v/>
      </c>
      <c r="AV148" s="227"/>
      <c r="AW148" s="30"/>
      <c r="AX148" s="267"/>
      <c r="AY148" s="267"/>
      <c r="AZ148" s="29"/>
      <c r="BA148" s="30"/>
      <c r="BB148" s="23" t="str" cm="1">
        <f t="array" ref="BB148">_xlfn.IFS(AW148="SIM",SUM(K148,P148,U148,Z148,AE148,AJ148,AO148,AT148,AX148,AY148),F148&lt;&gt;"",SUM(K148,P148,U148,Z148,AE148,AJ148,,AO148,AT148),F148="","")</f>
        <v/>
      </c>
      <c r="BC148" s="211" t="str" cm="1">
        <f t="array" ref="BC148">_xlfn.IFS(E148="","",G148&lt;=E148,BB148*(1-0.03),G148&lt;(E148+8),BB148,AZ148="Boleto",BB148*(1+0.001)^DATEDIF(E148,G148,"D"),AZ148="Cheque",BB148,AZ148="Dinheiro","Alterar forma pgto")</f>
        <v/>
      </c>
      <c r="BD148" s="276" t="str" cm="1">
        <f t="array" ref="BD148">IF(F148=0," ",IF(BC148&lt;BB148,(_xlfn.IFS(AW148="SIM",SUM(L148,Q148,V148,AA148,AF148,AK148,AP148,AU148)+AX148/_xlfn.XLOOKUP(_xlfn.XLOOKUP($F148,Clientes!$B$4:$B$39,Clientes!$C$4:$C$39),Cadastros!$L$6:$L$12,Cadastros!$M$6:$M$12)+IF($F148="Bernardino Furlan",AY148/2751.92,IF($F148="Mauro José Salanti",AY148/2751.92,AY148/3356)),F148&lt;&gt;0,SUM(L148,Q148,V148,AA148,AF148,AK148,AP148,AU148)))*(1-0.03),_xlfn.IFS(AW148="SIM",SUM(L148,Q148,V148,AA148,AF148,AK148,AP148,AU148)+AX148/_xlfn.XLOOKUP(_xlfn.XLOOKUP($F148,Clientes!$B$4:$B$39,Clientes!$C$4:$C$39),Cadastros!$L$6:$L$12,Cadastros!$M$6:$M$12)+IF($F148="Bernardino Furlan",AY148/2751.92,IF($F148="Mauro José Salanti",AY148/2751.92,AY148/3356)),F148&lt;&gt;0,SUM(L148,Q148,V148,AA148,AF148,AK148,AP148,AU148))))</f>
        <v xml:space="preserve"> </v>
      </c>
      <c r="BE148" s="120"/>
      <c r="BF148" s="120"/>
      <c r="BG148" s="120"/>
    </row>
    <row r="149" spans="1:59" s="3" customFormat="1" x14ac:dyDescent="0.3">
      <c r="A149" s="15" t="str">
        <f t="shared" si="26"/>
        <v/>
      </c>
      <c r="B149" s="25"/>
      <c r="C149" s="26"/>
      <c r="D149" s="279"/>
      <c r="E149" s="27"/>
      <c r="F149" s="28"/>
      <c r="G149" s="27"/>
      <c r="H149" s="28"/>
      <c r="I149" s="28"/>
      <c r="J149" s="255" t="str">
        <f>IF(H149="","",(_xlfn.XLOOKUP(H149,Cadastros!$D$6:$D$90,Cadastros!$E$6:$E$90))*(1-_xlfn.XLOOKUP(_xlfn.XLOOKUP($F149,Clientes!$B$4:$B$39,Clientes!$C$4:$C$39),Cadastros!$L$6:$L$12,Cadastros!$N$6:$N$12)))</f>
        <v/>
      </c>
      <c r="K149" s="168" t="str">
        <f t="shared" si="27"/>
        <v/>
      </c>
      <c r="L149" s="168" t="str">
        <f>IFERROR(K149/_xlfn.XLOOKUP(_xlfn.XLOOKUP($F149,Clientes!$B$4:$B$39,Clientes!$C$4:$C$39),Cadastros!$L$6:$L$12,Cadastros!$M$6:$M$12)," ")</f>
        <v xml:space="preserve"> </v>
      </c>
      <c r="M149" s="28"/>
      <c r="N149" s="28"/>
      <c r="O149" s="255" t="str">
        <f>IF(M149="","",(_xlfn.XLOOKUP(M149,Cadastros!$D$6:$D$90,Cadastros!$E$6:$E$90))*(1-_xlfn.XLOOKUP(_xlfn.XLOOKUP($F149,Clientes!$B$4:$B$39,Clientes!$C$4:$C$39),Cadastros!$L$6:$L$12,Cadastros!$N$6:$N$12)))</f>
        <v/>
      </c>
      <c r="P149" s="168" t="str">
        <f t="shared" si="28"/>
        <v/>
      </c>
      <c r="Q149" s="168" t="str">
        <f>IFERROR(P149/_xlfn.XLOOKUP(_xlfn.XLOOKUP($F149,Clientes!$B$4:$B$39,Clientes!$C$4:$C$39),Cadastros!$L$6:$L$12,Cadastros!$M$6:$M$12)," ")</f>
        <v xml:space="preserve"> </v>
      </c>
      <c r="R149" s="28"/>
      <c r="S149" s="28"/>
      <c r="T149" s="255" t="str">
        <f>IF(R149="","",(_xlfn.XLOOKUP(R149,Cadastros!$D$6:$D$90,Cadastros!$E$6:$E$90))*(1-_xlfn.XLOOKUP(_xlfn.XLOOKUP($F149,Clientes!$B$4:$B$39,Clientes!$C$4:$C$39),Cadastros!$L$6:$L$12,Cadastros!$N$6:$N$12)))</f>
        <v/>
      </c>
      <c r="U149" s="168" t="str">
        <f t="shared" si="29"/>
        <v/>
      </c>
      <c r="V149" s="168" t="str">
        <f>IFERROR(U149/_xlfn.XLOOKUP(_xlfn.XLOOKUP($F149,Clientes!$B$4:$B$39,Clientes!$C$4:$C$39),Cadastros!$L$6:$L$12,Cadastros!$M$6:$M$12)," ")</f>
        <v xml:space="preserve"> </v>
      </c>
      <c r="W149" s="28"/>
      <c r="X149" s="28"/>
      <c r="Y149" s="255" t="str">
        <f>IF(W149="","",(_xlfn.XLOOKUP(W149,Cadastros!$D$6:$D$90,Cadastros!$E$6:$E$90))*(1-_xlfn.XLOOKUP(_xlfn.XLOOKUP($F149,Clientes!$B$4:$B$39,Clientes!$C$4:$C$39),Cadastros!$L$6:$L$12,Cadastros!$N$6:$N$12)))</f>
        <v/>
      </c>
      <c r="Z149" s="168" t="str">
        <f t="shared" si="30"/>
        <v/>
      </c>
      <c r="AA149" s="168" t="str">
        <f>IFERROR(Z149/_xlfn.XLOOKUP(_xlfn.XLOOKUP($F149,Clientes!$B$4:$B$39,Clientes!$C$4:$C$39),Cadastros!$L$6:$L$12,Cadastros!$M$6:$M$12)," ")</f>
        <v xml:space="preserve"> </v>
      </c>
      <c r="AB149" s="28"/>
      <c r="AC149" s="28"/>
      <c r="AD149" s="20" t="str">
        <f>IF(AB149="","",IF($F149="Bernardino Furlan",_xlfn.XLOOKUP(AB149,Cadastros!$G$6:$G$90,Cadastros!$H$6:$H$90)*(1-0.18),IF($F149="Mauro José Salanti",_xlfn.XLOOKUP(AB149,Cadastros!$G$6:$G$90,Cadastros!$H$6:$H$90)*(1-0.18),_xlfn.XLOOKUP(AB149,Cadastros!$G$6:$G$90,Cadastros!$H$6:$H$90))))</f>
        <v/>
      </c>
      <c r="AE149" s="168" t="str">
        <f t="shared" si="31"/>
        <v/>
      </c>
      <c r="AF149" s="168" t="str">
        <f t="shared" si="32"/>
        <v/>
      </c>
      <c r="AG149" s="28"/>
      <c r="AH149" s="28"/>
      <c r="AI149" s="20" t="str">
        <f>IF(AG149="","",IF($F149="Bernardino Furlan",_xlfn.XLOOKUP(AG149,Cadastros!$G$6:$G$90,Cadastros!$H$6:$H$90)*(1-0.18),IF($F149="Mauro José Salanti",_xlfn.XLOOKUP(AG149,Cadastros!$G$6:$G$90,Cadastros!$H$6:$H$90)*(1-0.18),_xlfn.XLOOKUP(AG149,Cadastros!$G$6:$G$90,Cadastros!$H$6:$H$90))))</f>
        <v/>
      </c>
      <c r="AJ149" s="168" t="str">
        <f t="shared" si="33"/>
        <v/>
      </c>
      <c r="AK149" s="168" t="str">
        <f t="shared" si="34"/>
        <v/>
      </c>
      <c r="AL149" s="28"/>
      <c r="AM149" s="28"/>
      <c r="AN149" s="20" t="str">
        <f>IF(AL149="","",IF($F149="Bernardino Furlan",_xlfn.XLOOKUP(AL149,Cadastros!$G$6:$G$90,Cadastros!$H$6:$H$90)*(1-0.18),IF($F149="Mauro José Salanti",_xlfn.XLOOKUP(AL149,Cadastros!$G$6:$G$90,Cadastros!$H$6:$H$90)*(1-0.18),_xlfn.XLOOKUP(AL149,Cadastros!$G$6:$G$90,Cadastros!$H$6:$H$90))))</f>
        <v/>
      </c>
      <c r="AO149" s="168" t="str">
        <f t="shared" si="35"/>
        <v/>
      </c>
      <c r="AP149" s="168" t="str">
        <f t="shared" si="36"/>
        <v/>
      </c>
      <c r="AQ149" s="28"/>
      <c r="AR149" s="28"/>
      <c r="AS149" s="20" t="str">
        <f>IF(AQ149="","",IF($F149="Bernardino Furlan",_xlfn.XLOOKUP(AQ149,Cadastros!$G$6:$G$90,Cadastros!$H$6:$H$90)*(1-0.18),IF($F149="Mauro José Salanti",_xlfn.XLOOKUP(AQ149,Cadastros!$G$6:$G$90,Cadastros!$H$6:$H$90)*(1-0.18),_xlfn.XLOOKUP(AQ149,Cadastros!$G$6:$G$90,Cadastros!$H$6:$H$90))))</f>
        <v/>
      </c>
      <c r="AT149" s="168" t="str">
        <f t="shared" si="37"/>
        <v/>
      </c>
      <c r="AU149" s="168" t="str">
        <f t="shared" si="38"/>
        <v/>
      </c>
      <c r="AV149" s="227"/>
      <c r="AW149" s="30"/>
      <c r="AX149" s="267"/>
      <c r="AY149" s="267"/>
      <c r="AZ149" s="29"/>
      <c r="BA149" s="30"/>
      <c r="BB149" s="23" t="str" cm="1">
        <f t="array" ref="BB149">_xlfn.IFS(AW149="SIM",SUM(K149,P149,U149,Z149,AE149,AJ149,AO149,AT149,AX149,AY149),F149&lt;&gt;"",SUM(K149,P149,U149,Z149,AE149,AJ149,,AO149,AT149),F149="","")</f>
        <v/>
      </c>
      <c r="BC149" s="211" t="str" cm="1">
        <f t="array" ref="BC149">_xlfn.IFS(E149="","",G149&lt;=E149,BB149*(1-0.03),G149&lt;(E149+8),BB149,AZ149="Boleto",BB149*(1+0.001)^DATEDIF(E149,G149,"D"),AZ149="Cheque",BB149,AZ149="Dinheiro","Alterar forma pgto")</f>
        <v/>
      </c>
      <c r="BD149" s="276" t="str" cm="1">
        <f t="array" ref="BD149">IF(F149=0," ",IF(BC149&lt;BB149,(_xlfn.IFS(AW149="SIM",SUM(L149,Q149,V149,AA149,AF149,AK149,AP149,AU149)+AX149/_xlfn.XLOOKUP(_xlfn.XLOOKUP($F149,Clientes!$B$4:$B$39,Clientes!$C$4:$C$39),Cadastros!$L$6:$L$12,Cadastros!$M$6:$M$12)+IF($F149="Bernardino Furlan",AY149/2751.92,IF($F149="Mauro José Salanti",AY149/2751.92,AY149/3356)),F149&lt;&gt;0,SUM(L149,Q149,V149,AA149,AF149,AK149,AP149,AU149)))*(1-0.03),_xlfn.IFS(AW149="SIM",SUM(L149,Q149,V149,AA149,AF149,AK149,AP149,AU149)+AX149/_xlfn.XLOOKUP(_xlfn.XLOOKUP($F149,Clientes!$B$4:$B$39,Clientes!$C$4:$C$39),Cadastros!$L$6:$L$12,Cadastros!$M$6:$M$12)+IF($F149="Bernardino Furlan",AY149/2751.92,IF($F149="Mauro José Salanti",AY149/2751.92,AY149/3356)),F149&lt;&gt;0,SUM(L149,Q149,V149,AA149,AF149,AK149,AP149,AU149))))</f>
        <v xml:space="preserve"> </v>
      </c>
      <c r="BE149" s="120"/>
      <c r="BF149" s="120"/>
      <c r="BG149" s="120"/>
    </row>
    <row r="150" spans="1:59" s="3" customFormat="1" x14ac:dyDescent="0.3">
      <c r="A150" s="15" t="str">
        <f t="shared" si="26"/>
        <v/>
      </c>
      <c r="B150" s="25"/>
      <c r="C150" s="26"/>
      <c r="D150" s="279"/>
      <c r="E150" s="27"/>
      <c r="F150" s="28"/>
      <c r="G150" s="27"/>
      <c r="H150" s="28"/>
      <c r="I150" s="28"/>
      <c r="J150" s="255" t="str">
        <f>IF(H150="","",(_xlfn.XLOOKUP(H150,Cadastros!$D$6:$D$90,Cadastros!$E$6:$E$90))*(1-_xlfn.XLOOKUP(_xlfn.XLOOKUP($F150,Clientes!$B$4:$B$39,Clientes!$C$4:$C$39),Cadastros!$L$6:$L$12,Cadastros!$N$6:$N$12)))</f>
        <v/>
      </c>
      <c r="K150" s="168" t="str">
        <f t="shared" si="27"/>
        <v/>
      </c>
      <c r="L150" s="168" t="str">
        <f>IFERROR(K150/_xlfn.XLOOKUP(_xlfn.XLOOKUP($F150,Clientes!$B$4:$B$39,Clientes!$C$4:$C$39),Cadastros!$L$6:$L$12,Cadastros!$M$6:$M$12)," ")</f>
        <v xml:space="preserve"> </v>
      </c>
      <c r="M150" s="28"/>
      <c r="N150" s="28"/>
      <c r="O150" s="255" t="str">
        <f>IF(M150="","",(_xlfn.XLOOKUP(M150,Cadastros!$D$6:$D$90,Cadastros!$E$6:$E$90))*(1-_xlfn.XLOOKUP(_xlfn.XLOOKUP($F150,Clientes!$B$4:$B$39,Clientes!$C$4:$C$39),Cadastros!$L$6:$L$12,Cadastros!$N$6:$N$12)))</f>
        <v/>
      </c>
      <c r="P150" s="168" t="str">
        <f t="shared" si="28"/>
        <v/>
      </c>
      <c r="Q150" s="168" t="str">
        <f>IFERROR(P150/_xlfn.XLOOKUP(_xlfn.XLOOKUP($F150,Clientes!$B$4:$B$39,Clientes!$C$4:$C$39),Cadastros!$L$6:$L$12,Cadastros!$M$6:$M$12)," ")</f>
        <v xml:space="preserve"> </v>
      </c>
      <c r="R150" s="28"/>
      <c r="S150" s="28"/>
      <c r="T150" s="255" t="str">
        <f>IF(R150="","",(_xlfn.XLOOKUP(R150,Cadastros!$D$6:$D$90,Cadastros!$E$6:$E$90))*(1-_xlfn.XLOOKUP(_xlfn.XLOOKUP($F150,Clientes!$B$4:$B$39,Clientes!$C$4:$C$39),Cadastros!$L$6:$L$12,Cadastros!$N$6:$N$12)))</f>
        <v/>
      </c>
      <c r="U150" s="168" t="str">
        <f t="shared" si="29"/>
        <v/>
      </c>
      <c r="V150" s="168" t="str">
        <f>IFERROR(U150/_xlfn.XLOOKUP(_xlfn.XLOOKUP($F150,Clientes!$B$4:$B$39,Clientes!$C$4:$C$39),Cadastros!$L$6:$L$12,Cadastros!$M$6:$M$12)," ")</f>
        <v xml:space="preserve"> </v>
      </c>
      <c r="W150" s="28"/>
      <c r="X150" s="28"/>
      <c r="Y150" s="255" t="str">
        <f>IF(W150="","",(_xlfn.XLOOKUP(W150,Cadastros!$D$6:$D$90,Cadastros!$E$6:$E$90))*(1-_xlfn.XLOOKUP(_xlfn.XLOOKUP($F150,Clientes!$B$4:$B$39,Clientes!$C$4:$C$39),Cadastros!$L$6:$L$12,Cadastros!$N$6:$N$12)))</f>
        <v/>
      </c>
      <c r="Z150" s="168" t="str">
        <f t="shared" si="30"/>
        <v/>
      </c>
      <c r="AA150" s="168" t="str">
        <f>IFERROR(Z150/_xlfn.XLOOKUP(_xlfn.XLOOKUP($F150,Clientes!$B$4:$B$39,Clientes!$C$4:$C$39),Cadastros!$L$6:$L$12,Cadastros!$M$6:$M$12)," ")</f>
        <v xml:space="preserve"> </v>
      </c>
      <c r="AB150" s="28"/>
      <c r="AC150" s="28"/>
      <c r="AD150" s="20" t="str">
        <f>IF(AB150="","",IF($F150="Bernardino Furlan",_xlfn.XLOOKUP(AB150,Cadastros!$G$6:$G$90,Cadastros!$H$6:$H$90)*(1-0.18),IF($F150="Mauro José Salanti",_xlfn.XLOOKUP(AB150,Cadastros!$G$6:$G$90,Cadastros!$H$6:$H$90)*(1-0.18),_xlfn.XLOOKUP(AB150,Cadastros!$G$6:$G$90,Cadastros!$H$6:$H$90))))</f>
        <v/>
      </c>
      <c r="AE150" s="168" t="str">
        <f t="shared" si="31"/>
        <v/>
      </c>
      <c r="AF150" s="168" t="str">
        <f t="shared" si="32"/>
        <v/>
      </c>
      <c r="AG150" s="28"/>
      <c r="AH150" s="28"/>
      <c r="AI150" s="20" t="str">
        <f>IF(AG150="","",IF($F150="Bernardino Furlan",_xlfn.XLOOKUP(AG150,Cadastros!$G$6:$G$90,Cadastros!$H$6:$H$90)*(1-0.18),IF($F150="Mauro José Salanti",_xlfn.XLOOKUP(AG150,Cadastros!$G$6:$G$90,Cadastros!$H$6:$H$90)*(1-0.18),_xlfn.XLOOKUP(AG150,Cadastros!$G$6:$G$90,Cadastros!$H$6:$H$90))))</f>
        <v/>
      </c>
      <c r="AJ150" s="168" t="str">
        <f t="shared" si="33"/>
        <v/>
      </c>
      <c r="AK150" s="168" t="str">
        <f t="shared" si="34"/>
        <v/>
      </c>
      <c r="AL150" s="28"/>
      <c r="AM150" s="28"/>
      <c r="AN150" s="20" t="str">
        <f>IF(AL150="","",IF($F150="Bernardino Furlan",_xlfn.XLOOKUP(AL150,Cadastros!$G$6:$G$90,Cadastros!$H$6:$H$90)*(1-0.18),IF($F150="Mauro José Salanti",_xlfn.XLOOKUP(AL150,Cadastros!$G$6:$G$90,Cadastros!$H$6:$H$90)*(1-0.18),_xlfn.XLOOKUP(AL150,Cadastros!$G$6:$G$90,Cadastros!$H$6:$H$90))))</f>
        <v/>
      </c>
      <c r="AO150" s="168" t="str">
        <f t="shared" si="35"/>
        <v/>
      </c>
      <c r="AP150" s="168" t="str">
        <f t="shared" si="36"/>
        <v/>
      </c>
      <c r="AQ150" s="28"/>
      <c r="AR150" s="28"/>
      <c r="AS150" s="20" t="str">
        <f>IF(AQ150="","",IF($F150="Bernardino Furlan",_xlfn.XLOOKUP(AQ150,Cadastros!$G$6:$G$90,Cadastros!$H$6:$H$90)*(1-0.18),IF($F150="Mauro José Salanti",_xlfn.XLOOKUP(AQ150,Cadastros!$G$6:$G$90,Cadastros!$H$6:$H$90)*(1-0.18),_xlfn.XLOOKUP(AQ150,Cadastros!$G$6:$G$90,Cadastros!$H$6:$H$90))))</f>
        <v/>
      </c>
      <c r="AT150" s="168" t="str">
        <f t="shared" si="37"/>
        <v/>
      </c>
      <c r="AU150" s="168" t="str">
        <f t="shared" si="38"/>
        <v/>
      </c>
      <c r="AV150" s="227"/>
      <c r="AW150" s="30"/>
      <c r="AX150" s="267"/>
      <c r="AY150" s="267"/>
      <c r="AZ150" s="29"/>
      <c r="BA150" s="30"/>
      <c r="BB150" s="23" t="str" cm="1">
        <f t="array" ref="BB150">_xlfn.IFS(AW150="SIM",SUM(K150,P150,U150,Z150,AE150,AJ150,AO150,AT150,AX150,AY150),F150&lt;&gt;"",SUM(K150,P150,U150,Z150,AE150,AJ150,,AO150,AT150),F150="","")</f>
        <v/>
      </c>
      <c r="BC150" s="211" t="str" cm="1">
        <f t="array" ref="BC150">_xlfn.IFS(E150="","",G150&lt;=E150,BB150*(1-0.03),G150&lt;(E150+8),BB150,AZ150="Boleto",BB150*(1+0.001)^DATEDIF(E150,G150,"D"),AZ150="Cheque",BB150,AZ150="Dinheiro","Alterar forma pgto")</f>
        <v/>
      </c>
      <c r="BD150" s="276" t="str" cm="1">
        <f t="array" ref="BD150">IF(F150=0," ",IF(BC150&lt;BB150,(_xlfn.IFS(AW150="SIM",SUM(L150,Q150,V150,AA150,AF150,AK150,AP150,AU150)+AX150/_xlfn.XLOOKUP(_xlfn.XLOOKUP($F150,Clientes!$B$4:$B$39,Clientes!$C$4:$C$39),Cadastros!$L$6:$L$12,Cadastros!$M$6:$M$12)+IF($F150="Bernardino Furlan",AY150/2751.92,IF($F150="Mauro José Salanti",AY150/2751.92,AY150/3356)),F150&lt;&gt;0,SUM(L150,Q150,V150,AA150,AF150,AK150,AP150,AU150)))*(1-0.03),_xlfn.IFS(AW150="SIM",SUM(L150,Q150,V150,AA150,AF150,AK150,AP150,AU150)+AX150/_xlfn.XLOOKUP(_xlfn.XLOOKUP($F150,Clientes!$B$4:$B$39,Clientes!$C$4:$C$39),Cadastros!$L$6:$L$12,Cadastros!$M$6:$M$12)+IF($F150="Bernardino Furlan",AY150/2751.92,IF($F150="Mauro José Salanti",AY150/2751.92,AY150/3356)),F150&lt;&gt;0,SUM(L150,Q150,V150,AA150,AF150,AK150,AP150,AU150))))</f>
        <v xml:space="preserve"> </v>
      </c>
      <c r="BE150" s="120"/>
      <c r="BF150" s="120"/>
      <c r="BG150" s="120"/>
    </row>
    <row r="151" spans="1:59" s="3" customFormat="1" x14ac:dyDescent="0.3">
      <c r="A151" s="15" t="str">
        <f t="shared" si="26"/>
        <v/>
      </c>
      <c r="B151" s="25"/>
      <c r="C151" s="26"/>
      <c r="D151" s="279"/>
      <c r="E151" s="27"/>
      <c r="F151" s="28"/>
      <c r="G151" s="27"/>
      <c r="H151" s="28"/>
      <c r="I151" s="28"/>
      <c r="J151" s="255" t="str">
        <f>IF(H151="","",(_xlfn.XLOOKUP(H151,Cadastros!$D$6:$D$90,Cadastros!$E$6:$E$90))*(1-_xlfn.XLOOKUP(_xlfn.XLOOKUP($F151,Clientes!$B$4:$B$39,Clientes!$C$4:$C$39),Cadastros!$L$6:$L$12,Cadastros!$N$6:$N$12)))</f>
        <v/>
      </c>
      <c r="K151" s="168" t="str">
        <f t="shared" si="27"/>
        <v/>
      </c>
      <c r="L151" s="168" t="str">
        <f>IFERROR(K151/_xlfn.XLOOKUP(_xlfn.XLOOKUP($F151,Clientes!$B$4:$B$39,Clientes!$C$4:$C$39),Cadastros!$L$6:$L$12,Cadastros!$M$6:$M$12)," ")</f>
        <v xml:space="preserve"> </v>
      </c>
      <c r="M151" s="28"/>
      <c r="N151" s="28"/>
      <c r="O151" s="255" t="str">
        <f>IF(M151="","",(_xlfn.XLOOKUP(M151,Cadastros!$D$6:$D$90,Cadastros!$E$6:$E$90))*(1-_xlfn.XLOOKUP(_xlfn.XLOOKUP($F151,Clientes!$B$4:$B$39,Clientes!$C$4:$C$39),Cadastros!$L$6:$L$12,Cadastros!$N$6:$N$12)))</f>
        <v/>
      </c>
      <c r="P151" s="168" t="str">
        <f t="shared" si="28"/>
        <v/>
      </c>
      <c r="Q151" s="168" t="str">
        <f>IFERROR(P151/_xlfn.XLOOKUP(_xlfn.XLOOKUP($F151,Clientes!$B$4:$B$39,Clientes!$C$4:$C$39),Cadastros!$L$6:$L$12,Cadastros!$M$6:$M$12)," ")</f>
        <v xml:space="preserve"> </v>
      </c>
      <c r="R151" s="28"/>
      <c r="S151" s="28"/>
      <c r="T151" s="255" t="str">
        <f>IF(R151="","",(_xlfn.XLOOKUP(R151,Cadastros!$D$6:$D$90,Cadastros!$E$6:$E$90))*(1-_xlfn.XLOOKUP(_xlfn.XLOOKUP($F151,Clientes!$B$4:$B$39,Clientes!$C$4:$C$39),Cadastros!$L$6:$L$12,Cadastros!$N$6:$N$12)))</f>
        <v/>
      </c>
      <c r="U151" s="168" t="str">
        <f t="shared" si="29"/>
        <v/>
      </c>
      <c r="V151" s="168" t="str">
        <f>IFERROR(U151/_xlfn.XLOOKUP(_xlfn.XLOOKUP($F151,Clientes!$B$4:$B$39,Clientes!$C$4:$C$39),Cadastros!$L$6:$L$12,Cadastros!$M$6:$M$12)," ")</f>
        <v xml:space="preserve"> </v>
      </c>
      <c r="W151" s="28"/>
      <c r="X151" s="28"/>
      <c r="Y151" s="255" t="str">
        <f>IF(W151="","",(_xlfn.XLOOKUP(W151,Cadastros!$D$6:$D$90,Cadastros!$E$6:$E$90))*(1-_xlfn.XLOOKUP(_xlfn.XLOOKUP($F151,Clientes!$B$4:$B$39,Clientes!$C$4:$C$39),Cadastros!$L$6:$L$12,Cadastros!$N$6:$N$12)))</f>
        <v/>
      </c>
      <c r="Z151" s="168" t="str">
        <f t="shared" si="30"/>
        <v/>
      </c>
      <c r="AA151" s="168" t="str">
        <f>IFERROR(Z151/_xlfn.XLOOKUP(_xlfn.XLOOKUP($F151,Clientes!$B$4:$B$39,Clientes!$C$4:$C$39),Cadastros!$L$6:$L$12,Cadastros!$M$6:$M$12)," ")</f>
        <v xml:space="preserve"> </v>
      </c>
      <c r="AB151" s="28"/>
      <c r="AC151" s="28"/>
      <c r="AD151" s="20" t="str">
        <f>IF(AB151="","",IF($F151="Bernardino Furlan",_xlfn.XLOOKUP(AB151,Cadastros!$G$6:$G$90,Cadastros!$H$6:$H$90)*(1-0.18),IF($F151="Mauro José Salanti",_xlfn.XLOOKUP(AB151,Cadastros!$G$6:$G$90,Cadastros!$H$6:$H$90)*(1-0.18),_xlfn.XLOOKUP(AB151,Cadastros!$G$6:$G$90,Cadastros!$H$6:$H$90))))</f>
        <v/>
      </c>
      <c r="AE151" s="168" t="str">
        <f t="shared" si="31"/>
        <v/>
      </c>
      <c r="AF151" s="168" t="str">
        <f t="shared" si="32"/>
        <v/>
      </c>
      <c r="AG151" s="28"/>
      <c r="AH151" s="28"/>
      <c r="AI151" s="20" t="str">
        <f>IF(AG151="","",IF($F151="Bernardino Furlan",_xlfn.XLOOKUP(AG151,Cadastros!$G$6:$G$90,Cadastros!$H$6:$H$90)*(1-0.18),IF($F151="Mauro José Salanti",_xlfn.XLOOKUP(AG151,Cadastros!$G$6:$G$90,Cadastros!$H$6:$H$90)*(1-0.18),_xlfn.XLOOKUP(AG151,Cadastros!$G$6:$G$90,Cadastros!$H$6:$H$90))))</f>
        <v/>
      </c>
      <c r="AJ151" s="168" t="str">
        <f t="shared" si="33"/>
        <v/>
      </c>
      <c r="AK151" s="168" t="str">
        <f t="shared" si="34"/>
        <v/>
      </c>
      <c r="AL151" s="28"/>
      <c r="AM151" s="28"/>
      <c r="AN151" s="20" t="str">
        <f>IF(AL151="","",IF($F151="Bernardino Furlan",_xlfn.XLOOKUP(AL151,Cadastros!$G$6:$G$90,Cadastros!$H$6:$H$90)*(1-0.18),IF($F151="Mauro José Salanti",_xlfn.XLOOKUP(AL151,Cadastros!$G$6:$G$90,Cadastros!$H$6:$H$90)*(1-0.18),_xlfn.XLOOKUP(AL151,Cadastros!$G$6:$G$90,Cadastros!$H$6:$H$90))))</f>
        <v/>
      </c>
      <c r="AO151" s="168" t="str">
        <f t="shared" si="35"/>
        <v/>
      </c>
      <c r="AP151" s="168" t="str">
        <f t="shared" si="36"/>
        <v/>
      </c>
      <c r="AQ151" s="28"/>
      <c r="AR151" s="28"/>
      <c r="AS151" s="20" t="str">
        <f>IF(AQ151="","",IF($F151="Bernardino Furlan",_xlfn.XLOOKUP(AQ151,Cadastros!$G$6:$G$90,Cadastros!$H$6:$H$90)*(1-0.18),IF($F151="Mauro José Salanti",_xlfn.XLOOKUP(AQ151,Cadastros!$G$6:$G$90,Cadastros!$H$6:$H$90)*(1-0.18),_xlfn.XLOOKUP(AQ151,Cadastros!$G$6:$G$90,Cadastros!$H$6:$H$90))))</f>
        <v/>
      </c>
      <c r="AT151" s="168" t="str">
        <f t="shared" si="37"/>
        <v/>
      </c>
      <c r="AU151" s="168" t="str">
        <f t="shared" si="38"/>
        <v/>
      </c>
      <c r="AV151" s="227"/>
      <c r="AW151" s="30"/>
      <c r="AX151" s="267"/>
      <c r="AY151" s="267"/>
      <c r="AZ151" s="29"/>
      <c r="BA151" s="30"/>
      <c r="BB151" s="23" t="str" cm="1">
        <f t="array" ref="BB151">_xlfn.IFS(AW151="SIM",SUM(K151,P151,U151,Z151,AE151,AJ151,AO151,AT151,AX151,AY151),F151&lt;&gt;"",SUM(K151,P151,U151,Z151,AE151,AJ151,,AO151,AT151),F151="","")</f>
        <v/>
      </c>
      <c r="BC151" s="211" t="str" cm="1">
        <f t="array" ref="BC151">_xlfn.IFS(E151="","",G151&lt;=E151,BB151*(1-0.03),G151&lt;(E151+8),BB151,AZ151="Boleto",BB151*(1+0.001)^DATEDIF(E151,G151,"D"),AZ151="Cheque",BB151,AZ151="Dinheiro","Alterar forma pgto")</f>
        <v/>
      </c>
      <c r="BD151" s="276" t="str" cm="1">
        <f t="array" ref="BD151">IF(F151=0," ",IF(BC151&lt;BB151,(_xlfn.IFS(AW151="SIM",SUM(L151,Q151,V151,AA151,AF151,AK151,AP151,AU151)+AX151/_xlfn.XLOOKUP(_xlfn.XLOOKUP($F151,Clientes!$B$4:$B$39,Clientes!$C$4:$C$39),Cadastros!$L$6:$L$12,Cadastros!$M$6:$M$12)+IF($F151="Bernardino Furlan",AY151/2751.92,IF($F151="Mauro José Salanti",AY151/2751.92,AY151/3356)),F151&lt;&gt;0,SUM(L151,Q151,V151,AA151,AF151,AK151,AP151,AU151)))*(1-0.03),_xlfn.IFS(AW151="SIM",SUM(L151,Q151,V151,AA151,AF151,AK151,AP151,AU151)+AX151/_xlfn.XLOOKUP(_xlfn.XLOOKUP($F151,Clientes!$B$4:$B$39,Clientes!$C$4:$C$39),Cadastros!$L$6:$L$12,Cadastros!$M$6:$M$12)+IF($F151="Bernardino Furlan",AY151/2751.92,IF($F151="Mauro José Salanti",AY151/2751.92,AY151/3356)),F151&lt;&gt;0,SUM(L151,Q151,V151,AA151,AF151,AK151,AP151,AU151))))</f>
        <v xml:space="preserve"> </v>
      </c>
      <c r="BE151" s="120"/>
      <c r="BF151" s="120"/>
      <c r="BG151" s="120"/>
    </row>
    <row r="152" spans="1:59" s="3" customFormat="1" x14ac:dyDescent="0.3">
      <c r="A152" s="15" t="str">
        <f t="shared" si="26"/>
        <v/>
      </c>
      <c r="B152" s="25"/>
      <c r="C152" s="26"/>
      <c r="D152" s="279"/>
      <c r="E152" s="27"/>
      <c r="F152" s="28"/>
      <c r="G152" s="27"/>
      <c r="H152" s="28"/>
      <c r="I152" s="28"/>
      <c r="J152" s="255" t="str">
        <f>IF(H152="","",(_xlfn.XLOOKUP(H152,Cadastros!$D$6:$D$90,Cadastros!$E$6:$E$90))*(1-_xlfn.XLOOKUP(_xlfn.XLOOKUP($F152,Clientes!$B$4:$B$39,Clientes!$C$4:$C$39),Cadastros!$L$6:$L$12,Cadastros!$N$6:$N$12)))</f>
        <v/>
      </c>
      <c r="K152" s="168" t="str">
        <f t="shared" si="27"/>
        <v/>
      </c>
      <c r="L152" s="168" t="str">
        <f>IFERROR(K152/_xlfn.XLOOKUP(_xlfn.XLOOKUP($F152,Clientes!$B$4:$B$39,Clientes!$C$4:$C$39),Cadastros!$L$6:$L$12,Cadastros!$M$6:$M$12)," ")</f>
        <v xml:space="preserve"> </v>
      </c>
      <c r="M152" s="28"/>
      <c r="N152" s="28"/>
      <c r="O152" s="255" t="str">
        <f>IF(M152="","",(_xlfn.XLOOKUP(M152,Cadastros!$D$6:$D$90,Cadastros!$E$6:$E$90))*(1-_xlfn.XLOOKUP(_xlfn.XLOOKUP($F152,Clientes!$B$4:$B$39,Clientes!$C$4:$C$39),Cadastros!$L$6:$L$12,Cadastros!$N$6:$N$12)))</f>
        <v/>
      </c>
      <c r="P152" s="168" t="str">
        <f t="shared" si="28"/>
        <v/>
      </c>
      <c r="Q152" s="168" t="str">
        <f>IFERROR(P152/_xlfn.XLOOKUP(_xlfn.XLOOKUP($F152,Clientes!$B$4:$B$39,Clientes!$C$4:$C$39),Cadastros!$L$6:$L$12,Cadastros!$M$6:$M$12)," ")</f>
        <v xml:space="preserve"> </v>
      </c>
      <c r="R152" s="28"/>
      <c r="S152" s="28"/>
      <c r="T152" s="255" t="str">
        <f>IF(R152="","",(_xlfn.XLOOKUP(R152,Cadastros!$D$6:$D$90,Cadastros!$E$6:$E$90))*(1-_xlfn.XLOOKUP(_xlfn.XLOOKUP($F152,Clientes!$B$4:$B$39,Clientes!$C$4:$C$39),Cadastros!$L$6:$L$12,Cadastros!$N$6:$N$12)))</f>
        <v/>
      </c>
      <c r="U152" s="168" t="str">
        <f t="shared" si="29"/>
        <v/>
      </c>
      <c r="V152" s="168" t="str">
        <f>IFERROR(U152/_xlfn.XLOOKUP(_xlfn.XLOOKUP($F152,Clientes!$B$4:$B$39,Clientes!$C$4:$C$39),Cadastros!$L$6:$L$12,Cadastros!$M$6:$M$12)," ")</f>
        <v xml:space="preserve"> </v>
      </c>
      <c r="W152" s="28"/>
      <c r="X152" s="28"/>
      <c r="Y152" s="255" t="str">
        <f>IF(W152="","",(_xlfn.XLOOKUP(W152,Cadastros!$D$6:$D$90,Cadastros!$E$6:$E$90))*(1-_xlfn.XLOOKUP(_xlfn.XLOOKUP($F152,Clientes!$B$4:$B$39,Clientes!$C$4:$C$39),Cadastros!$L$6:$L$12,Cadastros!$N$6:$N$12)))</f>
        <v/>
      </c>
      <c r="Z152" s="168" t="str">
        <f t="shared" si="30"/>
        <v/>
      </c>
      <c r="AA152" s="168" t="str">
        <f>IFERROR(Z152/_xlfn.XLOOKUP(_xlfn.XLOOKUP($F152,Clientes!$B$4:$B$39,Clientes!$C$4:$C$39),Cadastros!$L$6:$L$12,Cadastros!$M$6:$M$12)," ")</f>
        <v xml:space="preserve"> </v>
      </c>
      <c r="AB152" s="28"/>
      <c r="AC152" s="28"/>
      <c r="AD152" s="20" t="str">
        <f>IF(AB152="","",IF($F152="Bernardino Furlan",_xlfn.XLOOKUP(AB152,Cadastros!$G$6:$G$90,Cadastros!$H$6:$H$90)*(1-0.18),IF($F152="Mauro José Salanti",_xlfn.XLOOKUP(AB152,Cadastros!$G$6:$G$90,Cadastros!$H$6:$H$90)*(1-0.18),_xlfn.XLOOKUP(AB152,Cadastros!$G$6:$G$90,Cadastros!$H$6:$H$90))))</f>
        <v/>
      </c>
      <c r="AE152" s="168" t="str">
        <f t="shared" si="31"/>
        <v/>
      </c>
      <c r="AF152" s="168" t="str">
        <f t="shared" si="32"/>
        <v/>
      </c>
      <c r="AG152" s="28"/>
      <c r="AH152" s="28"/>
      <c r="AI152" s="20" t="str">
        <f>IF(AG152="","",IF($F152="Bernardino Furlan",_xlfn.XLOOKUP(AG152,Cadastros!$G$6:$G$90,Cadastros!$H$6:$H$90)*(1-0.18),IF($F152="Mauro José Salanti",_xlfn.XLOOKUP(AG152,Cadastros!$G$6:$G$90,Cadastros!$H$6:$H$90)*(1-0.18),_xlfn.XLOOKUP(AG152,Cadastros!$G$6:$G$90,Cadastros!$H$6:$H$90))))</f>
        <v/>
      </c>
      <c r="AJ152" s="168" t="str">
        <f t="shared" si="33"/>
        <v/>
      </c>
      <c r="AK152" s="168" t="str">
        <f t="shared" si="34"/>
        <v/>
      </c>
      <c r="AL152" s="28"/>
      <c r="AM152" s="28"/>
      <c r="AN152" s="20" t="str">
        <f>IF(AL152="","",IF($F152="Bernardino Furlan",_xlfn.XLOOKUP(AL152,Cadastros!$G$6:$G$90,Cadastros!$H$6:$H$90)*(1-0.18),IF($F152="Mauro José Salanti",_xlfn.XLOOKUP(AL152,Cadastros!$G$6:$G$90,Cadastros!$H$6:$H$90)*(1-0.18),_xlfn.XLOOKUP(AL152,Cadastros!$G$6:$G$90,Cadastros!$H$6:$H$90))))</f>
        <v/>
      </c>
      <c r="AO152" s="168" t="str">
        <f t="shared" si="35"/>
        <v/>
      </c>
      <c r="AP152" s="168" t="str">
        <f t="shared" si="36"/>
        <v/>
      </c>
      <c r="AQ152" s="28"/>
      <c r="AR152" s="28"/>
      <c r="AS152" s="20" t="str">
        <f>IF(AQ152="","",IF($F152="Bernardino Furlan",_xlfn.XLOOKUP(AQ152,Cadastros!$G$6:$G$90,Cadastros!$H$6:$H$90)*(1-0.18),IF($F152="Mauro José Salanti",_xlfn.XLOOKUP(AQ152,Cadastros!$G$6:$G$90,Cadastros!$H$6:$H$90)*(1-0.18),_xlfn.XLOOKUP(AQ152,Cadastros!$G$6:$G$90,Cadastros!$H$6:$H$90))))</f>
        <v/>
      </c>
      <c r="AT152" s="168" t="str">
        <f t="shared" si="37"/>
        <v/>
      </c>
      <c r="AU152" s="168" t="str">
        <f t="shared" si="38"/>
        <v/>
      </c>
      <c r="AV152" s="227"/>
      <c r="AW152" s="30"/>
      <c r="AX152" s="267"/>
      <c r="AY152" s="267"/>
      <c r="AZ152" s="29"/>
      <c r="BA152" s="30"/>
      <c r="BB152" s="23" t="str" cm="1">
        <f t="array" ref="BB152">_xlfn.IFS(AW152="SIM",SUM(K152,P152,U152,Z152,AE152,AJ152,AO152,AT152,AX152,AY152),F152&lt;&gt;"",SUM(K152,P152,U152,Z152,AE152,AJ152,,AO152,AT152),F152="","")</f>
        <v/>
      </c>
      <c r="BC152" s="211" t="str" cm="1">
        <f t="array" ref="BC152">_xlfn.IFS(E152="","",G152&lt;=E152,BB152*(1-0.03),G152&lt;(E152+8),BB152,AZ152="Boleto",BB152*(1+0.001)^DATEDIF(E152,G152,"D"),AZ152="Cheque",BB152,AZ152="Dinheiro","Alterar forma pgto")</f>
        <v/>
      </c>
      <c r="BD152" s="276" t="str" cm="1">
        <f t="array" ref="BD152">IF(F152=0," ",IF(BC152&lt;BB152,(_xlfn.IFS(AW152="SIM",SUM(L152,Q152,V152,AA152,AF152,AK152,AP152,AU152)+AX152/_xlfn.XLOOKUP(_xlfn.XLOOKUP($F152,Clientes!$B$4:$B$39,Clientes!$C$4:$C$39),Cadastros!$L$6:$L$12,Cadastros!$M$6:$M$12)+IF($F152="Bernardino Furlan",AY152/2751.92,IF($F152="Mauro José Salanti",AY152/2751.92,AY152/3356)),F152&lt;&gt;0,SUM(L152,Q152,V152,AA152,AF152,AK152,AP152,AU152)))*(1-0.03),_xlfn.IFS(AW152="SIM",SUM(L152,Q152,V152,AA152,AF152,AK152,AP152,AU152)+AX152/_xlfn.XLOOKUP(_xlfn.XLOOKUP($F152,Clientes!$B$4:$B$39,Clientes!$C$4:$C$39),Cadastros!$L$6:$L$12,Cadastros!$M$6:$M$12)+IF($F152="Bernardino Furlan",AY152/2751.92,IF($F152="Mauro José Salanti",AY152/2751.92,AY152/3356)),F152&lt;&gt;0,SUM(L152,Q152,V152,AA152,AF152,AK152,AP152,AU152))))</f>
        <v xml:space="preserve"> </v>
      </c>
      <c r="BE152" s="120"/>
      <c r="BF152" s="120"/>
      <c r="BG152" s="120"/>
    </row>
    <row r="153" spans="1:59" s="3" customFormat="1" x14ac:dyDescent="0.3">
      <c r="A153" s="15" t="str">
        <f t="shared" si="26"/>
        <v/>
      </c>
      <c r="B153" s="25"/>
      <c r="C153" s="26"/>
      <c r="D153" s="279"/>
      <c r="E153" s="27"/>
      <c r="F153" s="28"/>
      <c r="G153" s="27"/>
      <c r="H153" s="28"/>
      <c r="I153" s="28"/>
      <c r="J153" s="255" t="str">
        <f>IF(H153="","",(_xlfn.XLOOKUP(H153,Cadastros!$D$6:$D$90,Cadastros!$E$6:$E$90))*(1-_xlfn.XLOOKUP(_xlfn.XLOOKUP($F153,Clientes!$B$4:$B$39,Clientes!$C$4:$C$39),Cadastros!$L$6:$L$12,Cadastros!$N$6:$N$12)))</f>
        <v/>
      </c>
      <c r="K153" s="168" t="str">
        <f t="shared" si="27"/>
        <v/>
      </c>
      <c r="L153" s="168" t="str">
        <f>IFERROR(K153/_xlfn.XLOOKUP(_xlfn.XLOOKUP($F153,Clientes!$B$4:$B$39,Clientes!$C$4:$C$39),Cadastros!$L$6:$L$12,Cadastros!$M$6:$M$12)," ")</f>
        <v xml:space="preserve"> </v>
      </c>
      <c r="M153" s="28"/>
      <c r="N153" s="28"/>
      <c r="O153" s="255" t="str">
        <f>IF(M153="","",(_xlfn.XLOOKUP(M153,Cadastros!$D$6:$D$90,Cadastros!$E$6:$E$90))*(1-_xlfn.XLOOKUP(_xlfn.XLOOKUP($F153,Clientes!$B$4:$B$39,Clientes!$C$4:$C$39),Cadastros!$L$6:$L$12,Cadastros!$N$6:$N$12)))</f>
        <v/>
      </c>
      <c r="P153" s="168" t="str">
        <f t="shared" si="28"/>
        <v/>
      </c>
      <c r="Q153" s="168" t="str">
        <f>IFERROR(P153/_xlfn.XLOOKUP(_xlfn.XLOOKUP($F153,Clientes!$B$4:$B$39,Clientes!$C$4:$C$39),Cadastros!$L$6:$L$12,Cadastros!$M$6:$M$12)," ")</f>
        <v xml:space="preserve"> </v>
      </c>
      <c r="R153" s="28"/>
      <c r="S153" s="28"/>
      <c r="T153" s="255" t="str">
        <f>IF(R153="","",(_xlfn.XLOOKUP(R153,Cadastros!$D$6:$D$90,Cadastros!$E$6:$E$90))*(1-_xlfn.XLOOKUP(_xlfn.XLOOKUP($F153,Clientes!$B$4:$B$39,Clientes!$C$4:$C$39),Cadastros!$L$6:$L$12,Cadastros!$N$6:$N$12)))</f>
        <v/>
      </c>
      <c r="U153" s="168" t="str">
        <f t="shared" si="29"/>
        <v/>
      </c>
      <c r="V153" s="168" t="str">
        <f>IFERROR(U153/_xlfn.XLOOKUP(_xlfn.XLOOKUP($F153,Clientes!$B$4:$B$39,Clientes!$C$4:$C$39),Cadastros!$L$6:$L$12,Cadastros!$M$6:$M$12)," ")</f>
        <v xml:space="preserve"> </v>
      </c>
      <c r="W153" s="28"/>
      <c r="X153" s="28"/>
      <c r="Y153" s="255" t="str">
        <f>IF(W153="","",(_xlfn.XLOOKUP(W153,Cadastros!$D$6:$D$90,Cadastros!$E$6:$E$90))*(1-_xlfn.XLOOKUP(_xlfn.XLOOKUP($F153,Clientes!$B$4:$B$39,Clientes!$C$4:$C$39),Cadastros!$L$6:$L$12,Cadastros!$N$6:$N$12)))</f>
        <v/>
      </c>
      <c r="Z153" s="168" t="str">
        <f t="shared" si="30"/>
        <v/>
      </c>
      <c r="AA153" s="168" t="str">
        <f>IFERROR(Z153/_xlfn.XLOOKUP(_xlfn.XLOOKUP($F153,Clientes!$B$4:$B$39,Clientes!$C$4:$C$39),Cadastros!$L$6:$L$12,Cadastros!$M$6:$M$12)," ")</f>
        <v xml:space="preserve"> </v>
      </c>
      <c r="AB153" s="28"/>
      <c r="AC153" s="28"/>
      <c r="AD153" s="20" t="str">
        <f>IF(AB153="","",IF($F153="Bernardino Furlan",_xlfn.XLOOKUP(AB153,Cadastros!$G$6:$G$90,Cadastros!$H$6:$H$90)*(1-0.18),IF($F153="Mauro José Salanti",_xlfn.XLOOKUP(AB153,Cadastros!$G$6:$G$90,Cadastros!$H$6:$H$90)*(1-0.18),_xlfn.XLOOKUP(AB153,Cadastros!$G$6:$G$90,Cadastros!$H$6:$H$90))))</f>
        <v/>
      </c>
      <c r="AE153" s="168" t="str">
        <f t="shared" si="31"/>
        <v/>
      </c>
      <c r="AF153" s="168" t="str">
        <f t="shared" si="32"/>
        <v/>
      </c>
      <c r="AG153" s="28"/>
      <c r="AH153" s="28"/>
      <c r="AI153" s="20" t="str">
        <f>IF(AG153="","",IF($F153="Bernardino Furlan",_xlfn.XLOOKUP(AG153,Cadastros!$G$6:$G$90,Cadastros!$H$6:$H$90)*(1-0.18),IF($F153="Mauro José Salanti",_xlfn.XLOOKUP(AG153,Cadastros!$G$6:$G$90,Cadastros!$H$6:$H$90)*(1-0.18),_xlfn.XLOOKUP(AG153,Cadastros!$G$6:$G$90,Cadastros!$H$6:$H$90))))</f>
        <v/>
      </c>
      <c r="AJ153" s="168" t="str">
        <f t="shared" si="33"/>
        <v/>
      </c>
      <c r="AK153" s="168" t="str">
        <f t="shared" si="34"/>
        <v/>
      </c>
      <c r="AL153" s="28"/>
      <c r="AM153" s="28"/>
      <c r="AN153" s="20" t="str">
        <f>IF(AL153="","",IF($F153="Bernardino Furlan",_xlfn.XLOOKUP(AL153,Cadastros!$G$6:$G$90,Cadastros!$H$6:$H$90)*(1-0.18),IF($F153="Mauro José Salanti",_xlfn.XLOOKUP(AL153,Cadastros!$G$6:$G$90,Cadastros!$H$6:$H$90)*(1-0.18),_xlfn.XLOOKUP(AL153,Cadastros!$G$6:$G$90,Cadastros!$H$6:$H$90))))</f>
        <v/>
      </c>
      <c r="AO153" s="168" t="str">
        <f t="shared" si="35"/>
        <v/>
      </c>
      <c r="AP153" s="168" t="str">
        <f t="shared" si="36"/>
        <v/>
      </c>
      <c r="AQ153" s="28"/>
      <c r="AR153" s="28"/>
      <c r="AS153" s="20" t="str">
        <f>IF(AQ153="","",IF($F153="Bernardino Furlan",_xlfn.XLOOKUP(AQ153,Cadastros!$G$6:$G$90,Cadastros!$H$6:$H$90)*(1-0.18),IF($F153="Mauro José Salanti",_xlfn.XLOOKUP(AQ153,Cadastros!$G$6:$G$90,Cadastros!$H$6:$H$90)*(1-0.18),_xlfn.XLOOKUP(AQ153,Cadastros!$G$6:$G$90,Cadastros!$H$6:$H$90))))</f>
        <v/>
      </c>
      <c r="AT153" s="168" t="str">
        <f t="shared" si="37"/>
        <v/>
      </c>
      <c r="AU153" s="168" t="str">
        <f t="shared" si="38"/>
        <v/>
      </c>
      <c r="AV153" s="227"/>
      <c r="AW153" s="30"/>
      <c r="AX153" s="267"/>
      <c r="AY153" s="267"/>
      <c r="AZ153" s="29"/>
      <c r="BA153" s="30"/>
      <c r="BB153" s="23" t="str" cm="1">
        <f t="array" ref="BB153">_xlfn.IFS(AW153="SIM",SUM(K153,P153,U153,Z153,AE153,AJ153,AO153,AT153,AX153,AY153),F153&lt;&gt;"",SUM(K153,P153,U153,Z153,AE153,AJ153,,AO153,AT153),F153="","")</f>
        <v/>
      </c>
      <c r="BC153" s="211" t="str" cm="1">
        <f t="array" ref="BC153">_xlfn.IFS(E153="","",G153&lt;=E153,BB153*(1-0.03),G153&lt;(E153+8),BB153,AZ153="Boleto",BB153*(1+0.001)^DATEDIF(E153,G153,"D"),AZ153="Cheque",BB153,AZ153="Dinheiro","Alterar forma pgto")</f>
        <v/>
      </c>
      <c r="BD153" s="276" t="str" cm="1">
        <f t="array" ref="BD153">IF(F153=0," ",IF(BC153&lt;BB153,(_xlfn.IFS(AW153="SIM",SUM(L153,Q153,V153,AA153,AF153,AK153,AP153,AU153)+AX153/_xlfn.XLOOKUP(_xlfn.XLOOKUP($F153,Clientes!$B$4:$B$39,Clientes!$C$4:$C$39),Cadastros!$L$6:$L$12,Cadastros!$M$6:$M$12)+IF($F153="Bernardino Furlan",AY153/2751.92,IF($F153="Mauro José Salanti",AY153/2751.92,AY153/3356)),F153&lt;&gt;0,SUM(L153,Q153,V153,AA153,AF153,AK153,AP153,AU153)))*(1-0.03),_xlfn.IFS(AW153="SIM",SUM(L153,Q153,V153,AA153,AF153,AK153,AP153,AU153)+AX153/_xlfn.XLOOKUP(_xlfn.XLOOKUP($F153,Clientes!$B$4:$B$39,Clientes!$C$4:$C$39),Cadastros!$L$6:$L$12,Cadastros!$M$6:$M$12)+IF($F153="Bernardino Furlan",AY153/2751.92,IF($F153="Mauro José Salanti",AY153/2751.92,AY153/3356)),F153&lt;&gt;0,SUM(L153,Q153,V153,AA153,AF153,AK153,AP153,AU153))))</f>
        <v xml:space="preserve"> </v>
      </c>
      <c r="BE153" s="120"/>
      <c r="BF153" s="120"/>
      <c r="BG153" s="120"/>
    </row>
    <row r="154" spans="1:59" s="3" customFormat="1" x14ac:dyDescent="0.3">
      <c r="A154" s="15" t="str">
        <f t="shared" si="26"/>
        <v/>
      </c>
      <c r="B154" s="25"/>
      <c r="C154" s="26"/>
      <c r="D154" s="279"/>
      <c r="E154" s="27"/>
      <c r="F154" s="28"/>
      <c r="G154" s="27"/>
      <c r="H154" s="28"/>
      <c r="I154" s="28"/>
      <c r="J154" s="255" t="str">
        <f>IF(H154="","",(_xlfn.XLOOKUP(H154,Cadastros!$D$6:$D$90,Cadastros!$E$6:$E$90))*(1-_xlfn.XLOOKUP(_xlfn.XLOOKUP($F154,Clientes!$B$4:$B$39,Clientes!$C$4:$C$39),Cadastros!$L$6:$L$12,Cadastros!$N$6:$N$12)))</f>
        <v/>
      </c>
      <c r="K154" s="168" t="str">
        <f t="shared" si="27"/>
        <v/>
      </c>
      <c r="L154" s="168" t="str">
        <f>IFERROR(K154/_xlfn.XLOOKUP(_xlfn.XLOOKUP($F154,Clientes!$B$4:$B$39,Clientes!$C$4:$C$39),Cadastros!$L$6:$L$12,Cadastros!$M$6:$M$12)," ")</f>
        <v xml:space="preserve"> </v>
      </c>
      <c r="M154" s="28"/>
      <c r="N154" s="28"/>
      <c r="O154" s="255" t="str">
        <f>IF(M154="","",(_xlfn.XLOOKUP(M154,Cadastros!$D$6:$D$90,Cadastros!$E$6:$E$90))*(1-_xlfn.XLOOKUP(_xlfn.XLOOKUP($F154,Clientes!$B$4:$B$39,Clientes!$C$4:$C$39),Cadastros!$L$6:$L$12,Cadastros!$N$6:$N$12)))</f>
        <v/>
      </c>
      <c r="P154" s="168" t="str">
        <f t="shared" si="28"/>
        <v/>
      </c>
      <c r="Q154" s="168" t="str">
        <f>IFERROR(P154/_xlfn.XLOOKUP(_xlfn.XLOOKUP($F154,Clientes!$B$4:$B$39,Clientes!$C$4:$C$39),Cadastros!$L$6:$L$12,Cadastros!$M$6:$M$12)," ")</f>
        <v xml:space="preserve"> </v>
      </c>
      <c r="R154" s="28"/>
      <c r="S154" s="28"/>
      <c r="T154" s="255" t="str">
        <f>IF(R154="","",(_xlfn.XLOOKUP(R154,Cadastros!$D$6:$D$90,Cadastros!$E$6:$E$90))*(1-_xlfn.XLOOKUP(_xlfn.XLOOKUP($F154,Clientes!$B$4:$B$39,Clientes!$C$4:$C$39),Cadastros!$L$6:$L$12,Cadastros!$N$6:$N$12)))</f>
        <v/>
      </c>
      <c r="U154" s="168" t="str">
        <f t="shared" si="29"/>
        <v/>
      </c>
      <c r="V154" s="168" t="str">
        <f>IFERROR(U154/_xlfn.XLOOKUP(_xlfn.XLOOKUP($F154,Clientes!$B$4:$B$39,Clientes!$C$4:$C$39),Cadastros!$L$6:$L$12,Cadastros!$M$6:$M$12)," ")</f>
        <v xml:space="preserve"> </v>
      </c>
      <c r="W154" s="28"/>
      <c r="X154" s="28"/>
      <c r="Y154" s="255" t="str">
        <f>IF(W154="","",(_xlfn.XLOOKUP(W154,Cadastros!$D$6:$D$90,Cadastros!$E$6:$E$90))*(1-_xlfn.XLOOKUP(_xlfn.XLOOKUP($F154,Clientes!$B$4:$B$39,Clientes!$C$4:$C$39),Cadastros!$L$6:$L$12,Cadastros!$N$6:$N$12)))</f>
        <v/>
      </c>
      <c r="Z154" s="168" t="str">
        <f t="shared" si="30"/>
        <v/>
      </c>
      <c r="AA154" s="168" t="str">
        <f>IFERROR(Z154/_xlfn.XLOOKUP(_xlfn.XLOOKUP($F154,Clientes!$B$4:$B$39,Clientes!$C$4:$C$39),Cadastros!$L$6:$L$12,Cadastros!$M$6:$M$12)," ")</f>
        <v xml:space="preserve"> </v>
      </c>
      <c r="AB154" s="28"/>
      <c r="AC154" s="28"/>
      <c r="AD154" s="20" t="str">
        <f>IF(AB154="","",IF($F154="Bernardino Furlan",_xlfn.XLOOKUP(AB154,Cadastros!$G$6:$G$90,Cadastros!$H$6:$H$90)*(1-0.18),IF($F154="Mauro José Salanti",_xlfn.XLOOKUP(AB154,Cadastros!$G$6:$G$90,Cadastros!$H$6:$H$90)*(1-0.18),_xlfn.XLOOKUP(AB154,Cadastros!$G$6:$G$90,Cadastros!$H$6:$H$90))))</f>
        <v/>
      </c>
      <c r="AE154" s="168" t="str">
        <f t="shared" si="31"/>
        <v/>
      </c>
      <c r="AF154" s="168" t="str">
        <f t="shared" si="32"/>
        <v/>
      </c>
      <c r="AG154" s="28"/>
      <c r="AH154" s="28"/>
      <c r="AI154" s="20" t="str">
        <f>IF(AG154="","",IF($F154="Bernardino Furlan",_xlfn.XLOOKUP(AG154,Cadastros!$G$6:$G$90,Cadastros!$H$6:$H$90)*(1-0.18),IF($F154="Mauro José Salanti",_xlfn.XLOOKUP(AG154,Cadastros!$G$6:$G$90,Cadastros!$H$6:$H$90)*(1-0.18),_xlfn.XLOOKUP(AG154,Cadastros!$G$6:$G$90,Cadastros!$H$6:$H$90))))</f>
        <v/>
      </c>
      <c r="AJ154" s="168" t="str">
        <f t="shared" si="33"/>
        <v/>
      </c>
      <c r="AK154" s="168" t="str">
        <f t="shared" si="34"/>
        <v/>
      </c>
      <c r="AL154" s="28"/>
      <c r="AM154" s="28"/>
      <c r="AN154" s="20" t="str">
        <f>IF(AL154="","",IF($F154="Bernardino Furlan",_xlfn.XLOOKUP(AL154,Cadastros!$G$6:$G$90,Cadastros!$H$6:$H$90)*(1-0.18),IF($F154="Mauro José Salanti",_xlfn.XLOOKUP(AL154,Cadastros!$G$6:$G$90,Cadastros!$H$6:$H$90)*(1-0.18),_xlfn.XLOOKUP(AL154,Cadastros!$G$6:$G$90,Cadastros!$H$6:$H$90))))</f>
        <v/>
      </c>
      <c r="AO154" s="168" t="str">
        <f t="shared" si="35"/>
        <v/>
      </c>
      <c r="AP154" s="168" t="str">
        <f t="shared" si="36"/>
        <v/>
      </c>
      <c r="AQ154" s="28"/>
      <c r="AR154" s="28"/>
      <c r="AS154" s="20" t="str">
        <f>IF(AQ154="","",IF($F154="Bernardino Furlan",_xlfn.XLOOKUP(AQ154,Cadastros!$G$6:$G$90,Cadastros!$H$6:$H$90)*(1-0.18),IF($F154="Mauro José Salanti",_xlfn.XLOOKUP(AQ154,Cadastros!$G$6:$G$90,Cadastros!$H$6:$H$90)*(1-0.18),_xlfn.XLOOKUP(AQ154,Cadastros!$G$6:$G$90,Cadastros!$H$6:$H$90))))</f>
        <v/>
      </c>
      <c r="AT154" s="168" t="str">
        <f t="shared" si="37"/>
        <v/>
      </c>
      <c r="AU154" s="168" t="str">
        <f t="shared" si="38"/>
        <v/>
      </c>
      <c r="AV154" s="227"/>
      <c r="AW154" s="30"/>
      <c r="AX154" s="267"/>
      <c r="AY154" s="267"/>
      <c r="AZ154" s="29"/>
      <c r="BA154" s="30"/>
      <c r="BB154" s="23" t="str" cm="1">
        <f t="array" ref="BB154">_xlfn.IFS(AW154="SIM",SUM(K154,P154,U154,Z154,AE154,AJ154,AO154,AT154,AX154,AY154),F154&lt;&gt;"",SUM(K154,P154,U154,Z154,AE154,AJ154,,AO154,AT154),F154="","")</f>
        <v/>
      </c>
      <c r="BC154" s="211" t="str" cm="1">
        <f t="array" ref="BC154">_xlfn.IFS(E154="","",G154&lt;=E154,BB154*(1-0.03),G154&lt;(E154+8),BB154,AZ154="Boleto",BB154*(1+0.001)^DATEDIF(E154,G154,"D"),AZ154="Cheque",BB154,AZ154="Dinheiro","Alterar forma pgto")</f>
        <v/>
      </c>
      <c r="BD154" s="276" t="str" cm="1">
        <f t="array" ref="BD154">IF(F154=0," ",IF(BC154&lt;BB154,(_xlfn.IFS(AW154="SIM",SUM(L154,Q154,V154,AA154,AF154,AK154,AP154,AU154)+AX154/_xlfn.XLOOKUP(_xlfn.XLOOKUP($F154,Clientes!$B$4:$B$39,Clientes!$C$4:$C$39),Cadastros!$L$6:$L$12,Cadastros!$M$6:$M$12)+IF($F154="Bernardino Furlan",AY154/2751.92,IF($F154="Mauro José Salanti",AY154/2751.92,AY154/3356)),F154&lt;&gt;0,SUM(L154,Q154,V154,AA154,AF154,AK154,AP154,AU154)))*(1-0.03),_xlfn.IFS(AW154="SIM",SUM(L154,Q154,V154,AA154,AF154,AK154,AP154,AU154)+AX154/_xlfn.XLOOKUP(_xlfn.XLOOKUP($F154,Clientes!$B$4:$B$39,Clientes!$C$4:$C$39),Cadastros!$L$6:$L$12,Cadastros!$M$6:$M$12)+IF($F154="Bernardino Furlan",AY154/2751.92,IF($F154="Mauro José Salanti",AY154/2751.92,AY154/3356)),F154&lt;&gt;0,SUM(L154,Q154,V154,AA154,AF154,AK154,AP154,AU154))))</f>
        <v xml:space="preserve"> </v>
      </c>
      <c r="BE154" s="120"/>
      <c r="BF154" s="120"/>
      <c r="BG154" s="120"/>
    </row>
    <row r="155" spans="1:59" s="3" customFormat="1" x14ac:dyDescent="0.3">
      <c r="A155" s="15" t="str">
        <f t="shared" si="26"/>
        <v/>
      </c>
      <c r="B155" s="25"/>
      <c r="C155" s="26"/>
      <c r="D155" s="279"/>
      <c r="E155" s="27"/>
      <c r="F155" s="28"/>
      <c r="G155" s="27"/>
      <c r="H155" s="28"/>
      <c r="I155" s="28"/>
      <c r="J155" s="255" t="str">
        <f>IF(H155="","",(_xlfn.XLOOKUP(H155,Cadastros!$D$6:$D$90,Cadastros!$E$6:$E$90))*(1-_xlfn.XLOOKUP(_xlfn.XLOOKUP($F155,Clientes!$B$4:$B$39,Clientes!$C$4:$C$39),Cadastros!$L$6:$L$12,Cadastros!$N$6:$N$12)))</f>
        <v/>
      </c>
      <c r="K155" s="168" t="str">
        <f t="shared" si="27"/>
        <v/>
      </c>
      <c r="L155" s="168" t="str">
        <f>IFERROR(K155/_xlfn.XLOOKUP(_xlfn.XLOOKUP($F155,Clientes!$B$4:$B$39,Clientes!$C$4:$C$39),Cadastros!$L$6:$L$12,Cadastros!$M$6:$M$12)," ")</f>
        <v xml:space="preserve"> </v>
      </c>
      <c r="M155" s="28"/>
      <c r="N155" s="28"/>
      <c r="O155" s="255" t="str">
        <f>IF(M155="","",(_xlfn.XLOOKUP(M155,Cadastros!$D$6:$D$90,Cadastros!$E$6:$E$90))*(1-_xlfn.XLOOKUP(_xlfn.XLOOKUP($F155,Clientes!$B$4:$B$39,Clientes!$C$4:$C$39),Cadastros!$L$6:$L$12,Cadastros!$N$6:$N$12)))</f>
        <v/>
      </c>
      <c r="P155" s="168" t="str">
        <f t="shared" si="28"/>
        <v/>
      </c>
      <c r="Q155" s="168" t="str">
        <f>IFERROR(P155/_xlfn.XLOOKUP(_xlfn.XLOOKUP($F155,Clientes!$B$4:$B$39,Clientes!$C$4:$C$39),Cadastros!$L$6:$L$12,Cadastros!$M$6:$M$12)," ")</f>
        <v xml:space="preserve"> </v>
      </c>
      <c r="R155" s="28"/>
      <c r="S155" s="28"/>
      <c r="T155" s="255" t="str">
        <f>IF(R155="","",(_xlfn.XLOOKUP(R155,Cadastros!$D$6:$D$90,Cadastros!$E$6:$E$90))*(1-_xlfn.XLOOKUP(_xlfn.XLOOKUP($F155,Clientes!$B$4:$B$39,Clientes!$C$4:$C$39),Cadastros!$L$6:$L$12,Cadastros!$N$6:$N$12)))</f>
        <v/>
      </c>
      <c r="U155" s="168" t="str">
        <f t="shared" si="29"/>
        <v/>
      </c>
      <c r="V155" s="168" t="str">
        <f>IFERROR(U155/_xlfn.XLOOKUP(_xlfn.XLOOKUP($F155,Clientes!$B$4:$B$39,Clientes!$C$4:$C$39),Cadastros!$L$6:$L$12,Cadastros!$M$6:$M$12)," ")</f>
        <v xml:space="preserve"> </v>
      </c>
      <c r="W155" s="28"/>
      <c r="X155" s="28"/>
      <c r="Y155" s="255" t="str">
        <f>IF(W155="","",(_xlfn.XLOOKUP(W155,Cadastros!$D$6:$D$90,Cadastros!$E$6:$E$90))*(1-_xlfn.XLOOKUP(_xlfn.XLOOKUP($F155,Clientes!$B$4:$B$39,Clientes!$C$4:$C$39),Cadastros!$L$6:$L$12,Cadastros!$N$6:$N$12)))</f>
        <v/>
      </c>
      <c r="Z155" s="168" t="str">
        <f t="shared" si="30"/>
        <v/>
      </c>
      <c r="AA155" s="168" t="str">
        <f>IFERROR(Z155/_xlfn.XLOOKUP(_xlfn.XLOOKUP($F155,Clientes!$B$4:$B$39,Clientes!$C$4:$C$39),Cadastros!$L$6:$L$12,Cadastros!$M$6:$M$12)," ")</f>
        <v xml:space="preserve"> </v>
      </c>
      <c r="AB155" s="28"/>
      <c r="AC155" s="28"/>
      <c r="AD155" s="20" t="str">
        <f>IF(AB155="","",IF($F155="Bernardino Furlan",_xlfn.XLOOKUP(AB155,Cadastros!$G$6:$G$90,Cadastros!$H$6:$H$90)*(1-0.18),IF($F155="Mauro José Salanti",_xlfn.XLOOKUP(AB155,Cadastros!$G$6:$G$90,Cadastros!$H$6:$H$90)*(1-0.18),_xlfn.XLOOKUP(AB155,Cadastros!$G$6:$G$90,Cadastros!$H$6:$H$90))))</f>
        <v/>
      </c>
      <c r="AE155" s="168" t="str">
        <f t="shared" si="31"/>
        <v/>
      </c>
      <c r="AF155" s="168" t="str">
        <f t="shared" si="32"/>
        <v/>
      </c>
      <c r="AG155" s="28"/>
      <c r="AH155" s="28"/>
      <c r="AI155" s="20" t="str">
        <f>IF(AG155="","",IF($F155="Bernardino Furlan",_xlfn.XLOOKUP(AG155,Cadastros!$G$6:$G$90,Cadastros!$H$6:$H$90)*(1-0.18),IF($F155="Mauro José Salanti",_xlfn.XLOOKUP(AG155,Cadastros!$G$6:$G$90,Cadastros!$H$6:$H$90)*(1-0.18),_xlfn.XLOOKUP(AG155,Cadastros!$G$6:$G$90,Cadastros!$H$6:$H$90))))</f>
        <v/>
      </c>
      <c r="AJ155" s="168" t="str">
        <f t="shared" si="33"/>
        <v/>
      </c>
      <c r="AK155" s="168" t="str">
        <f t="shared" si="34"/>
        <v/>
      </c>
      <c r="AL155" s="28"/>
      <c r="AM155" s="28"/>
      <c r="AN155" s="20" t="str">
        <f>IF(AL155="","",IF($F155="Bernardino Furlan",_xlfn.XLOOKUP(AL155,Cadastros!$G$6:$G$90,Cadastros!$H$6:$H$90)*(1-0.18),IF($F155="Mauro José Salanti",_xlfn.XLOOKUP(AL155,Cadastros!$G$6:$G$90,Cadastros!$H$6:$H$90)*(1-0.18),_xlfn.XLOOKUP(AL155,Cadastros!$G$6:$G$90,Cadastros!$H$6:$H$90))))</f>
        <v/>
      </c>
      <c r="AO155" s="168" t="str">
        <f t="shared" si="35"/>
        <v/>
      </c>
      <c r="AP155" s="168" t="str">
        <f t="shared" si="36"/>
        <v/>
      </c>
      <c r="AQ155" s="28"/>
      <c r="AR155" s="28"/>
      <c r="AS155" s="20" t="str">
        <f>IF(AQ155="","",IF($F155="Bernardino Furlan",_xlfn.XLOOKUP(AQ155,Cadastros!$G$6:$G$90,Cadastros!$H$6:$H$90)*(1-0.18),IF($F155="Mauro José Salanti",_xlfn.XLOOKUP(AQ155,Cadastros!$G$6:$G$90,Cadastros!$H$6:$H$90)*(1-0.18),_xlfn.XLOOKUP(AQ155,Cadastros!$G$6:$G$90,Cadastros!$H$6:$H$90))))</f>
        <v/>
      </c>
      <c r="AT155" s="168" t="str">
        <f t="shared" si="37"/>
        <v/>
      </c>
      <c r="AU155" s="168" t="str">
        <f t="shared" si="38"/>
        <v/>
      </c>
      <c r="AV155" s="227"/>
      <c r="AW155" s="30"/>
      <c r="AX155" s="267"/>
      <c r="AY155" s="267"/>
      <c r="AZ155" s="29"/>
      <c r="BA155" s="30"/>
      <c r="BB155" s="23" t="str" cm="1">
        <f t="array" ref="BB155">_xlfn.IFS(AW155="SIM",SUM(K155,P155,U155,Z155,AE155,AJ155,AO155,AT155,AX155,AY155),F155&lt;&gt;"",SUM(K155,P155,U155,Z155,AE155,AJ155,,AO155,AT155),F155="","")</f>
        <v/>
      </c>
      <c r="BC155" s="211" t="str" cm="1">
        <f t="array" ref="BC155">_xlfn.IFS(E155="","",G155&lt;=E155,BB155*(1-0.03),G155&lt;(E155+8),BB155,AZ155="Boleto",BB155*(1+0.001)^DATEDIF(E155,G155,"D"),AZ155="Cheque",BB155,AZ155="Dinheiro","Alterar forma pgto")</f>
        <v/>
      </c>
      <c r="BD155" s="276" t="str" cm="1">
        <f t="array" ref="BD155">IF(F155=0," ",IF(BC155&lt;BB155,(_xlfn.IFS(AW155="SIM",SUM(L155,Q155,V155,AA155,AF155,AK155,AP155,AU155)+AX155/_xlfn.XLOOKUP(_xlfn.XLOOKUP($F155,Clientes!$B$4:$B$39,Clientes!$C$4:$C$39),Cadastros!$L$6:$L$12,Cadastros!$M$6:$M$12)+IF($F155="Bernardino Furlan",AY155/2751.92,IF($F155="Mauro José Salanti",AY155/2751.92,AY155/3356)),F155&lt;&gt;0,SUM(L155,Q155,V155,AA155,AF155,AK155,AP155,AU155)))*(1-0.03),_xlfn.IFS(AW155="SIM",SUM(L155,Q155,V155,AA155,AF155,AK155,AP155,AU155)+AX155/_xlfn.XLOOKUP(_xlfn.XLOOKUP($F155,Clientes!$B$4:$B$39,Clientes!$C$4:$C$39),Cadastros!$L$6:$L$12,Cadastros!$M$6:$M$12)+IF($F155="Bernardino Furlan",AY155/2751.92,IF($F155="Mauro José Salanti",AY155/2751.92,AY155/3356)),F155&lt;&gt;0,SUM(L155,Q155,V155,AA155,AF155,AK155,AP155,AU155))))</f>
        <v xml:space="preserve"> </v>
      </c>
      <c r="BE155" s="120"/>
      <c r="BF155" s="120"/>
      <c r="BG155" s="120"/>
    </row>
    <row r="156" spans="1:59" s="3" customFormat="1" x14ac:dyDescent="0.3">
      <c r="A156" s="15" t="str">
        <f t="shared" si="26"/>
        <v/>
      </c>
      <c r="B156" s="25"/>
      <c r="C156" s="26"/>
      <c r="D156" s="279"/>
      <c r="E156" s="27"/>
      <c r="F156" s="28"/>
      <c r="G156" s="27"/>
      <c r="H156" s="28"/>
      <c r="I156" s="28"/>
      <c r="J156" s="255" t="str">
        <f>IF(H156="","",(_xlfn.XLOOKUP(H156,Cadastros!$D$6:$D$90,Cadastros!$E$6:$E$90))*(1-_xlfn.XLOOKUP(_xlfn.XLOOKUP($F156,Clientes!$B$4:$B$39,Clientes!$C$4:$C$39),Cadastros!$L$6:$L$12,Cadastros!$N$6:$N$12)))</f>
        <v/>
      </c>
      <c r="K156" s="168" t="str">
        <f t="shared" si="27"/>
        <v/>
      </c>
      <c r="L156" s="168" t="str">
        <f>IFERROR(K156/_xlfn.XLOOKUP(_xlfn.XLOOKUP($F156,Clientes!$B$4:$B$39,Clientes!$C$4:$C$39),Cadastros!$L$6:$L$12,Cadastros!$M$6:$M$12)," ")</f>
        <v xml:space="preserve"> </v>
      </c>
      <c r="M156" s="28"/>
      <c r="N156" s="28"/>
      <c r="O156" s="255" t="str">
        <f>IF(M156="","",(_xlfn.XLOOKUP(M156,Cadastros!$D$6:$D$90,Cadastros!$E$6:$E$90))*(1-_xlfn.XLOOKUP(_xlfn.XLOOKUP($F156,Clientes!$B$4:$B$39,Clientes!$C$4:$C$39),Cadastros!$L$6:$L$12,Cadastros!$N$6:$N$12)))</f>
        <v/>
      </c>
      <c r="P156" s="168" t="str">
        <f t="shared" si="28"/>
        <v/>
      </c>
      <c r="Q156" s="168" t="str">
        <f>IFERROR(P156/_xlfn.XLOOKUP(_xlfn.XLOOKUP($F156,Clientes!$B$4:$B$39,Clientes!$C$4:$C$39),Cadastros!$L$6:$L$12,Cadastros!$M$6:$M$12)," ")</f>
        <v xml:space="preserve"> </v>
      </c>
      <c r="R156" s="28"/>
      <c r="S156" s="28"/>
      <c r="T156" s="255" t="str">
        <f>IF(R156="","",(_xlfn.XLOOKUP(R156,Cadastros!$D$6:$D$90,Cadastros!$E$6:$E$90))*(1-_xlfn.XLOOKUP(_xlfn.XLOOKUP($F156,Clientes!$B$4:$B$39,Clientes!$C$4:$C$39),Cadastros!$L$6:$L$12,Cadastros!$N$6:$N$12)))</f>
        <v/>
      </c>
      <c r="U156" s="168" t="str">
        <f t="shared" si="29"/>
        <v/>
      </c>
      <c r="V156" s="168" t="str">
        <f>IFERROR(U156/_xlfn.XLOOKUP(_xlfn.XLOOKUP($F156,Clientes!$B$4:$B$39,Clientes!$C$4:$C$39),Cadastros!$L$6:$L$12,Cadastros!$M$6:$M$12)," ")</f>
        <v xml:space="preserve"> </v>
      </c>
      <c r="W156" s="28"/>
      <c r="X156" s="28"/>
      <c r="Y156" s="255" t="str">
        <f>IF(W156="","",(_xlfn.XLOOKUP(W156,Cadastros!$D$6:$D$90,Cadastros!$E$6:$E$90))*(1-_xlfn.XLOOKUP(_xlfn.XLOOKUP($F156,Clientes!$B$4:$B$39,Clientes!$C$4:$C$39),Cadastros!$L$6:$L$12,Cadastros!$N$6:$N$12)))</f>
        <v/>
      </c>
      <c r="Z156" s="168" t="str">
        <f t="shared" si="30"/>
        <v/>
      </c>
      <c r="AA156" s="168" t="str">
        <f>IFERROR(Z156/_xlfn.XLOOKUP(_xlfn.XLOOKUP($F156,Clientes!$B$4:$B$39,Clientes!$C$4:$C$39),Cadastros!$L$6:$L$12,Cadastros!$M$6:$M$12)," ")</f>
        <v xml:space="preserve"> </v>
      </c>
      <c r="AB156" s="28"/>
      <c r="AC156" s="28"/>
      <c r="AD156" s="20" t="str">
        <f>IF(AB156="","",IF($F156="Bernardino Furlan",_xlfn.XLOOKUP(AB156,Cadastros!$G$6:$G$90,Cadastros!$H$6:$H$90)*(1-0.18),IF($F156="Mauro José Salanti",_xlfn.XLOOKUP(AB156,Cadastros!$G$6:$G$90,Cadastros!$H$6:$H$90)*(1-0.18),_xlfn.XLOOKUP(AB156,Cadastros!$G$6:$G$90,Cadastros!$H$6:$H$90))))</f>
        <v/>
      </c>
      <c r="AE156" s="168" t="str">
        <f t="shared" si="31"/>
        <v/>
      </c>
      <c r="AF156" s="168" t="str">
        <f t="shared" si="32"/>
        <v/>
      </c>
      <c r="AG156" s="28"/>
      <c r="AH156" s="28"/>
      <c r="AI156" s="20" t="str">
        <f>IF(AG156="","",IF($F156="Bernardino Furlan",_xlfn.XLOOKUP(AG156,Cadastros!$G$6:$G$90,Cadastros!$H$6:$H$90)*(1-0.18),IF($F156="Mauro José Salanti",_xlfn.XLOOKUP(AG156,Cadastros!$G$6:$G$90,Cadastros!$H$6:$H$90)*(1-0.18),_xlfn.XLOOKUP(AG156,Cadastros!$G$6:$G$90,Cadastros!$H$6:$H$90))))</f>
        <v/>
      </c>
      <c r="AJ156" s="168" t="str">
        <f t="shared" si="33"/>
        <v/>
      </c>
      <c r="AK156" s="168" t="str">
        <f t="shared" si="34"/>
        <v/>
      </c>
      <c r="AL156" s="28"/>
      <c r="AM156" s="28"/>
      <c r="AN156" s="20" t="str">
        <f>IF(AL156="","",IF($F156="Bernardino Furlan",_xlfn.XLOOKUP(AL156,Cadastros!$G$6:$G$90,Cadastros!$H$6:$H$90)*(1-0.18),IF($F156="Mauro José Salanti",_xlfn.XLOOKUP(AL156,Cadastros!$G$6:$G$90,Cadastros!$H$6:$H$90)*(1-0.18),_xlfn.XLOOKUP(AL156,Cadastros!$G$6:$G$90,Cadastros!$H$6:$H$90))))</f>
        <v/>
      </c>
      <c r="AO156" s="168" t="str">
        <f t="shared" si="35"/>
        <v/>
      </c>
      <c r="AP156" s="168" t="str">
        <f t="shared" si="36"/>
        <v/>
      </c>
      <c r="AQ156" s="28"/>
      <c r="AR156" s="28"/>
      <c r="AS156" s="20" t="str">
        <f>IF(AQ156="","",IF($F156="Bernardino Furlan",_xlfn.XLOOKUP(AQ156,Cadastros!$G$6:$G$90,Cadastros!$H$6:$H$90)*(1-0.18),IF($F156="Mauro José Salanti",_xlfn.XLOOKUP(AQ156,Cadastros!$G$6:$G$90,Cadastros!$H$6:$H$90)*(1-0.18),_xlfn.XLOOKUP(AQ156,Cadastros!$G$6:$G$90,Cadastros!$H$6:$H$90))))</f>
        <v/>
      </c>
      <c r="AT156" s="168" t="str">
        <f t="shared" si="37"/>
        <v/>
      </c>
      <c r="AU156" s="168" t="str">
        <f t="shared" si="38"/>
        <v/>
      </c>
      <c r="AV156" s="227"/>
      <c r="AW156" s="30"/>
      <c r="AX156" s="267"/>
      <c r="AY156" s="267"/>
      <c r="AZ156" s="29"/>
      <c r="BA156" s="30"/>
      <c r="BB156" s="23" t="str" cm="1">
        <f t="array" ref="BB156">_xlfn.IFS(AW156="SIM",SUM(K156,P156,U156,Z156,AE156,AJ156,AO156,AT156,AX156,AY156),F156&lt;&gt;"",SUM(K156,P156,U156,Z156,AE156,AJ156,,AO156,AT156),F156="","")</f>
        <v/>
      </c>
      <c r="BC156" s="211" t="str" cm="1">
        <f t="array" ref="BC156">_xlfn.IFS(E156="","",G156&lt;=E156,BB156*(1-0.03),G156&lt;(E156+8),BB156,AZ156="Boleto",BB156*(1+0.001)^DATEDIF(E156,G156,"D"),AZ156="Cheque",BB156,AZ156="Dinheiro","Alterar forma pgto")</f>
        <v/>
      </c>
      <c r="BD156" s="276" t="str" cm="1">
        <f t="array" ref="BD156">IF(F156=0," ",IF(BC156&lt;BB156,(_xlfn.IFS(AW156="SIM",SUM(L156,Q156,V156,AA156,AF156,AK156,AP156,AU156)+AX156/_xlfn.XLOOKUP(_xlfn.XLOOKUP($F156,Clientes!$B$4:$B$39,Clientes!$C$4:$C$39),Cadastros!$L$6:$L$12,Cadastros!$M$6:$M$12)+IF($F156="Bernardino Furlan",AY156/2751.92,IF($F156="Mauro José Salanti",AY156/2751.92,AY156/3356)),F156&lt;&gt;0,SUM(L156,Q156,V156,AA156,AF156,AK156,AP156,AU156)))*(1-0.03),_xlfn.IFS(AW156="SIM",SUM(L156,Q156,V156,AA156,AF156,AK156,AP156,AU156)+AX156/_xlfn.XLOOKUP(_xlfn.XLOOKUP($F156,Clientes!$B$4:$B$39,Clientes!$C$4:$C$39),Cadastros!$L$6:$L$12,Cadastros!$M$6:$M$12)+IF($F156="Bernardino Furlan",AY156/2751.92,IF($F156="Mauro José Salanti",AY156/2751.92,AY156/3356)),F156&lt;&gt;0,SUM(L156,Q156,V156,AA156,AF156,AK156,AP156,AU156))))</f>
        <v xml:space="preserve"> </v>
      </c>
      <c r="BE156" s="120"/>
      <c r="BF156" s="120"/>
      <c r="BG156" s="120"/>
    </row>
    <row r="157" spans="1:59" s="3" customFormat="1" x14ac:dyDescent="0.3">
      <c r="A157" s="15" t="str">
        <f t="shared" si="26"/>
        <v/>
      </c>
      <c r="B157" s="25"/>
      <c r="C157" s="26"/>
      <c r="D157" s="279"/>
      <c r="E157" s="27"/>
      <c r="F157" s="28"/>
      <c r="G157" s="27"/>
      <c r="H157" s="28"/>
      <c r="I157" s="28"/>
      <c r="J157" s="255" t="str">
        <f>IF(H157="","",(_xlfn.XLOOKUP(H157,Cadastros!$D$6:$D$90,Cadastros!$E$6:$E$90))*(1-_xlfn.XLOOKUP(_xlfn.XLOOKUP($F157,Clientes!$B$4:$B$39,Clientes!$C$4:$C$39),Cadastros!$L$6:$L$12,Cadastros!$N$6:$N$12)))</f>
        <v/>
      </c>
      <c r="K157" s="168" t="str">
        <f t="shared" si="27"/>
        <v/>
      </c>
      <c r="L157" s="168" t="str">
        <f>IFERROR(K157/_xlfn.XLOOKUP(_xlfn.XLOOKUP($F157,Clientes!$B$4:$B$39,Clientes!$C$4:$C$39),Cadastros!$L$6:$L$12,Cadastros!$M$6:$M$12)," ")</f>
        <v xml:space="preserve"> </v>
      </c>
      <c r="M157" s="28"/>
      <c r="N157" s="28"/>
      <c r="O157" s="255" t="str">
        <f>IF(M157="","",(_xlfn.XLOOKUP(M157,Cadastros!$D$6:$D$90,Cadastros!$E$6:$E$90))*(1-_xlfn.XLOOKUP(_xlfn.XLOOKUP($F157,Clientes!$B$4:$B$39,Clientes!$C$4:$C$39),Cadastros!$L$6:$L$12,Cadastros!$N$6:$N$12)))</f>
        <v/>
      </c>
      <c r="P157" s="168" t="str">
        <f t="shared" si="28"/>
        <v/>
      </c>
      <c r="Q157" s="168" t="str">
        <f>IFERROR(P157/_xlfn.XLOOKUP(_xlfn.XLOOKUP($F157,Clientes!$B$4:$B$39,Clientes!$C$4:$C$39),Cadastros!$L$6:$L$12,Cadastros!$M$6:$M$12)," ")</f>
        <v xml:space="preserve"> </v>
      </c>
      <c r="R157" s="28"/>
      <c r="S157" s="28"/>
      <c r="T157" s="255" t="str">
        <f>IF(R157="","",(_xlfn.XLOOKUP(R157,Cadastros!$D$6:$D$90,Cadastros!$E$6:$E$90))*(1-_xlfn.XLOOKUP(_xlfn.XLOOKUP($F157,Clientes!$B$4:$B$39,Clientes!$C$4:$C$39),Cadastros!$L$6:$L$12,Cadastros!$N$6:$N$12)))</f>
        <v/>
      </c>
      <c r="U157" s="168" t="str">
        <f t="shared" si="29"/>
        <v/>
      </c>
      <c r="V157" s="168" t="str">
        <f>IFERROR(U157/_xlfn.XLOOKUP(_xlfn.XLOOKUP($F157,Clientes!$B$4:$B$39,Clientes!$C$4:$C$39),Cadastros!$L$6:$L$12,Cadastros!$M$6:$M$12)," ")</f>
        <v xml:space="preserve"> </v>
      </c>
      <c r="W157" s="28"/>
      <c r="X157" s="28"/>
      <c r="Y157" s="255" t="str">
        <f>IF(W157="","",(_xlfn.XLOOKUP(W157,Cadastros!$D$6:$D$90,Cadastros!$E$6:$E$90))*(1-_xlfn.XLOOKUP(_xlfn.XLOOKUP($F157,Clientes!$B$4:$B$39,Clientes!$C$4:$C$39),Cadastros!$L$6:$L$12,Cadastros!$N$6:$N$12)))</f>
        <v/>
      </c>
      <c r="Z157" s="168" t="str">
        <f t="shared" si="30"/>
        <v/>
      </c>
      <c r="AA157" s="168" t="str">
        <f>IFERROR(Z157/_xlfn.XLOOKUP(_xlfn.XLOOKUP($F157,Clientes!$B$4:$B$39,Clientes!$C$4:$C$39),Cadastros!$L$6:$L$12,Cadastros!$M$6:$M$12)," ")</f>
        <v xml:space="preserve"> </v>
      </c>
      <c r="AB157" s="28"/>
      <c r="AC157" s="28"/>
      <c r="AD157" s="20" t="str">
        <f>IF(AB157="","",IF($F157="Bernardino Furlan",_xlfn.XLOOKUP(AB157,Cadastros!$G$6:$G$90,Cadastros!$H$6:$H$90)*(1-0.18),IF($F157="Mauro José Salanti",_xlfn.XLOOKUP(AB157,Cadastros!$G$6:$G$90,Cadastros!$H$6:$H$90)*(1-0.18),_xlfn.XLOOKUP(AB157,Cadastros!$G$6:$G$90,Cadastros!$H$6:$H$90))))</f>
        <v/>
      </c>
      <c r="AE157" s="168" t="str">
        <f t="shared" si="31"/>
        <v/>
      </c>
      <c r="AF157" s="168" t="str">
        <f t="shared" si="32"/>
        <v/>
      </c>
      <c r="AG157" s="28"/>
      <c r="AH157" s="28"/>
      <c r="AI157" s="20" t="str">
        <f>IF(AG157="","",IF($F157="Bernardino Furlan",_xlfn.XLOOKUP(AG157,Cadastros!$G$6:$G$90,Cadastros!$H$6:$H$90)*(1-0.18),IF($F157="Mauro José Salanti",_xlfn.XLOOKUP(AG157,Cadastros!$G$6:$G$90,Cadastros!$H$6:$H$90)*(1-0.18),_xlfn.XLOOKUP(AG157,Cadastros!$G$6:$G$90,Cadastros!$H$6:$H$90))))</f>
        <v/>
      </c>
      <c r="AJ157" s="168" t="str">
        <f t="shared" si="33"/>
        <v/>
      </c>
      <c r="AK157" s="168" t="str">
        <f t="shared" si="34"/>
        <v/>
      </c>
      <c r="AL157" s="28"/>
      <c r="AM157" s="28"/>
      <c r="AN157" s="20" t="str">
        <f>IF(AL157="","",IF($F157="Bernardino Furlan",_xlfn.XLOOKUP(AL157,Cadastros!$G$6:$G$90,Cadastros!$H$6:$H$90)*(1-0.18),IF($F157="Mauro José Salanti",_xlfn.XLOOKUP(AL157,Cadastros!$G$6:$G$90,Cadastros!$H$6:$H$90)*(1-0.18),_xlfn.XLOOKUP(AL157,Cadastros!$G$6:$G$90,Cadastros!$H$6:$H$90))))</f>
        <v/>
      </c>
      <c r="AO157" s="168" t="str">
        <f t="shared" si="35"/>
        <v/>
      </c>
      <c r="AP157" s="168" t="str">
        <f t="shared" si="36"/>
        <v/>
      </c>
      <c r="AQ157" s="28"/>
      <c r="AR157" s="28"/>
      <c r="AS157" s="20" t="str">
        <f>IF(AQ157="","",IF($F157="Bernardino Furlan",_xlfn.XLOOKUP(AQ157,Cadastros!$G$6:$G$90,Cadastros!$H$6:$H$90)*(1-0.18),IF($F157="Mauro José Salanti",_xlfn.XLOOKUP(AQ157,Cadastros!$G$6:$G$90,Cadastros!$H$6:$H$90)*(1-0.18),_xlfn.XLOOKUP(AQ157,Cadastros!$G$6:$G$90,Cadastros!$H$6:$H$90))))</f>
        <v/>
      </c>
      <c r="AT157" s="168" t="str">
        <f t="shared" si="37"/>
        <v/>
      </c>
      <c r="AU157" s="168" t="str">
        <f t="shared" si="38"/>
        <v/>
      </c>
      <c r="AV157" s="227"/>
      <c r="AW157" s="30"/>
      <c r="AX157" s="267"/>
      <c r="AY157" s="267"/>
      <c r="AZ157" s="29"/>
      <c r="BA157" s="30"/>
      <c r="BB157" s="23" t="str" cm="1">
        <f t="array" ref="BB157">_xlfn.IFS(AW157="SIM",SUM(K157,P157,U157,Z157,AE157,AJ157,AO157,AT157,AX157,AY157),F157&lt;&gt;"",SUM(K157,P157,U157,Z157,AE157,AJ157,,AO157,AT157),F157="","")</f>
        <v/>
      </c>
      <c r="BC157" s="211" t="str" cm="1">
        <f t="array" ref="BC157">_xlfn.IFS(E157="","",G157&lt;=E157,BB157*(1-0.03),G157&lt;(E157+8),BB157,AZ157="Boleto",BB157*(1+0.001)^DATEDIF(E157,G157,"D"),AZ157="Cheque",BB157,AZ157="Dinheiro","Alterar forma pgto")</f>
        <v/>
      </c>
      <c r="BD157" s="276" t="str" cm="1">
        <f t="array" ref="BD157">IF(F157=0," ",IF(BC157&lt;BB157,(_xlfn.IFS(AW157="SIM",SUM(L157,Q157,V157,AA157,AF157,AK157,AP157,AU157)+AX157/_xlfn.XLOOKUP(_xlfn.XLOOKUP($F157,Clientes!$B$4:$B$39,Clientes!$C$4:$C$39),Cadastros!$L$6:$L$12,Cadastros!$M$6:$M$12)+IF($F157="Bernardino Furlan",AY157/2751.92,IF($F157="Mauro José Salanti",AY157/2751.92,AY157/3356)),F157&lt;&gt;0,SUM(L157,Q157,V157,AA157,AF157,AK157,AP157,AU157)))*(1-0.03),_xlfn.IFS(AW157="SIM",SUM(L157,Q157,V157,AA157,AF157,AK157,AP157,AU157)+AX157/_xlfn.XLOOKUP(_xlfn.XLOOKUP($F157,Clientes!$B$4:$B$39,Clientes!$C$4:$C$39),Cadastros!$L$6:$L$12,Cadastros!$M$6:$M$12)+IF($F157="Bernardino Furlan",AY157/2751.92,IF($F157="Mauro José Salanti",AY157/2751.92,AY157/3356)),F157&lt;&gt;0,SUM(L157,Q157,V157,AA157,AF157,AK157,AP157,AU157))))</f>
        <v xml:space="preserve"> </v>
      </c>
      <c r="BE157" s="120"/>
      <c r="BF157" s="120"/>
      <c r="BG157" s="120"/>
    </row>
    <row r="158" spans="1:59" s="3" customFormat="1" x14ac:dyDescent="0.3">
      <c r="A158" s="15" t="str">
        <f t="shared" si="26"/>
        <v/>
      </c>
      <c r="B158" s="25"/>
      <c r="C158" s="26"/>
      <c r="D158" s="279"/>
      <c r="E158" s="27"/>
      <c r="F158" s="28"/>
      <c r="G158" s="27"/>
      <c r="H158" s="28"/>
      <c r="I158" s="28"/>
      <c r="J158" s="255" t="str">
        <f>IF(H158="","",(_xlfn.XLOOKUP(H158,Cadastros!$D$6:$D$90,Cadastros!$E$6:$E$90))*(1-_xlfn.XLOOKUP(_xlfn.XLOOKUP($F158,Clientes!$B$4:$B$39,Clientes!$C$4:$C$39),Cadastros!$L$6:$L$12,Cadastros!$N$6:$N$12)))</f>
        <v/>
      </c>
      <c r="K158" s="168" t="str">
        <f t="shared" si="27"/>
        <v/>
      </c>
      <c r="L158" s="168" t="str">
        <f>IFERROR(K158/_xlfn.XLOOKUP(_xlfn.XLOOKUP($F158,Clientes!$B$4:$B$39,Clientes!$C$4:$C$39),Cadastros!$L$6:$L$12,Cadastros!$M$6:$M$12)," ")</f>
        <v xml:space="preserve"> </v>
      </c>
      <c r="M158" s="28"/>
      <c r="N158" s="28"/>
      <c r="O158" s="255" t="str">
        <f>IF(M158="","",(_xlfn.XLOOKUP(M158,Cadastros!$D$6:$D$90,Cadastros!$E$6:$E$90))*(1-_xlfn.XLOOKUP(_xlfn.XLOOKUP($F158,Clientes!$B$4:$B$39,Clientes!$C$4:$C$39),Cadastros!$L$6:$L$12,Cadastros!$N$6:$N$12)))</f>
        <v/>
      </c>
      <c r="P158" s="168" t="str">
        <f t="shared" si="28"/>
        <v/>
      </c>
      <c r="Q158" s="168" t="str">
        <f>IFERROR(P158/_xlfn.XLOOKUP(_xlfn.XLOOKUP($F158,Clientes!$B$4:$B$39,Clientes!$C$4:$C$39),Cadastros!$L$6:$L$12,Cadastros!$M$6:$M$12)," ")</f>
        <v xml:space="preserve"> </v>
      </c>
      <c r="R158" s="28"/>
      <c r="S158" s="28"/>
      <c r="T158" s="255" t="str">
        <f>IF(R158="","",(_xlfn.XLOOKUP(R158,Cadastros!$D$6:$D$90,Cadastros!$E$6:$E$90))*(1-_xlfn.XLOOKUP(_xlfn.XLOOKUP($F158,Clientes!$B$4:$B$39,Clientes!$C$4:$C$39),Cadastros!$L$6:$L$12,Cadastros!$N$6:$N$12)))</f>
        <v/>
      </c>
      <c r="U158" s="168" t="str">
        <f t="shared" si="29"/>
        <v/>
      </c>
      <c r="V158" s="168" t="str">
        <f>IFERROR(U158/_xlfn.XLOOKUP(_xlfn.XLOOKUP($F158,Clientes!$B$4:$B$39,Clientes!$C$4:$C$39),Cadastros!$L$6:$L$12,Cadastros!$M$6:$M$12)," ")</f>
        <v xml:space="preserve"> </v>
      </c>
      <c r="W158" s="28"/>
      <c r="X158" s="28"/>
      <c r="Y158" s="255" t="str">
        <f>IF(W158="","",(_xlfn.XLOOKUP(W158,Cadastros!$D$6:$D$90,Cadastros!$E$6:$E$90))*(1-_xlfn.XLOOKUP(_xlfn.XLOOKUP($F158,Clientes!$B$4:$B$39,Clientes!$C$4:$C$39),Cadastros!$L$6:$L$12,Cadastros!$N$6:$N$12)))</f>
        <v/>
      </c>
      <c r="Z158" s="168" t="str">
        <f t="shared" si="30"/>
        <v/>
      </c>
      <c r="AA158" s="168" t="str">
        <f>IFERROR(Z158/_xlfn.XLOOKUP(_xlfn.XLOOKUP($F158,Clientes!$B$4:$B$39,Clientes!$C$4:$C$39),Cadastros!$L$6:$L$12,Cadastros!$M$6:$M$12)," ")</f>
        <v xml:space="preserve"> </v>
      </c>
      <c r="AB158" s="28"/>
      <c r="AC158" s="28"/>
      <c r="AD158" s="20" t="str">
        <f>IF(AB158="","",IF($F158="Bernardino Furlan",_xlfn.XLOOKUP(AB158,Cadastros!$G$6:$G$90,Cadastros!$H$6:$H$90)*(1-0.18),IF($F158="Mauro José Salanti",_xlfn.XLOOKUP(AB158,Cadastros!$G$6:$G$90,Cadastros!$H$6:$H$90)*(1-0.18),_xlfn.XLOOKUP(AB158,Cadastros!$G$6:$G$90,Cadastros!$H$6:$H$90))))</f>
        <v/>
      </c>
      <c r="AE158" s="168" t="str">
        <f t="shared" si="31"/>
        <v/>
      </c>
      <c r="AF158" s="168" t="str">
        <f t="shared" si="32"/>
        <v/>
      </c>
      <c r="AG158" s="28"/>
      <c r="AH158" s="28"/>
      <c r="AI158" s="20" t="str">
        <f>IF(AG158="","",IF($F158="Bernardino Furlan",_xlfn.XLOOKUP(AG158,Cadastros!$G$6:$G$90,Cadastros!$H$6:$H$90)*(1-0.18),IF($F158="Mauro José Salanti",_xlfn.XLOOKUP(AG158,Cadastros!$G$6:$G$90,Cadastros!$H$6:$H$90)*(1-0.18),_xlfn.XLOOKUP(AG158,Cadastros!$G$6:$G$90,Cadastros!$H$6:$H$90))))</f>
        <v/>
      </c>
      <c r="AJ158" s="168" t="str">
        <f t="shared" si="33"/>
        <v/>
      </c>
      <c r="AK158" s="168" t="str">
        <f t="shared" si="34"/>
        <v/>
      </c>
      <c r="AL158" s="28"/>
      <c r="AM158" s="28"/>
      <c r="AN158" s="20" t="str">
        <f>IF(AL158="","",IF($F158="Bernardino Furlan",_xlfn.XLOOKUP(AL158,Cadastros!$G$6:$G$90,Cadastros!$H$6:$H$90)*(1-0.18),IF($F158="Mauro José Salanti",_xlfn.XLOOKUP(AL158,Cadastros!$G$6:$G$90,Cadastros!$H$6:$H$90)*(1-0.18),_xlfn.XLOOKUP(AL158,Cadastros!$G$6:$G$90,Cadastros!$H$6:$H$90))))</f>
        <v/>
      </c>
      <c r="AO158" s="168" t="str">
        <f t="shared" si="35"/>
        <v/>
      </c>
      <c r="AP158" s="168" t="str">
        <f t="shared" si="36"/>
        <v/>
      </c>
      <c r="AQ158" s="28"/>
      <c r="AR158" s="28"/>
      <c r="AS158" s="20" t="str">
        <f>IF(AQ158="","",IF($F158="Bernardino Furlan",_xlfn.XLOOKUP(AQ158,Cadastros!$G$6:$G$90,Cadastros!$H$6:$H$90)*(1-0.18),IF($F158="Mauro José Salanti",_xlfn.XLOOKUP(AQ158,Cadastros!$G$6:$G$90,Cadastros!$H$6:$H$90)*(1-0.18),_xlfn.XLOOKUP(AQ158,Cadastros!$G$6:$G$90,Cadastros!$H$6:$H$90))))</f>
        <v/>
      </c>
      <c r="AT158" s="168" t="str">
        <f t="shared" si="37"/>
        <v/>
      </c>
      <c r="AU158" s="168" t="str">
        <f t="shared" si="38"/>
        <v/>
      </c>
      <c r="AV158" s="227"/>
      <c r="AW158" s="30"/>
      <c r="AX158" s="267"/>
      <c r="AY158" s="267"/>
      <c r="AZ158" s="29"/>
      <c r="BA158" s="30"/>
      <c r="BB158" s="23" t="str" cm="1">
        <f t="array" ref="BB158">_xlfn.IFS(AW158="SIM",SUM(K158,P158,U158,Z158,AE158,AJ158,AO158,AT158,AX158,AY158),F158&lt;&gt;"",SUM(K158,P158,U158,Z158,AE158,AJ158,,AO158,AT158),F158="","")</f>
        <v/>
      </c>
      <c r="BC158" s="211" t="str" cm="1">
        <f t="array" ref="BC158">_xlfn.IFS(E158="","",G158&lt;=E158,BB158*(1-0.03),G158&lt;(E158+8),BB158,AZ158="Boleto",BB158*(1+0.001)^DATEDIF(E158,G158,"D"),AZ158="Cheque",BB158,AZ158="Dinheiro","Alterar forma pgto")</f>
        <v/>
      </c>
      <c r="BD158" s="276" t="str" cm="1">
        <f t="array" ref="BD158">IF(F158=0," ",IF(BC158&lt;BB158,(_xlfn.IFS(AW158="SIM",SUM(L158,Q158,V158,AA158,AF158,AK158,AP158,AU158)+AX158/_xlfn.XLOOKUP(_xlfn.XLOOKUP($F158,Clientes!$B$4:$B$39,Clientes!$C$4:$C$39),Cadastros!$L$6:$L$12,Cadastros!$M$6:$M$12)+IF($F158="Bernardino Furlan",AY158/2751.92,IF($F158="Mauro José Salanti",AY158/2751.92,AY158/3356)),F158&lt;&gt;0,SUM(L158,Q158,V158,AA158,AF158,AK158,AP158,AU158)))*(1-0.03),_xlfn.IFS(AW158="SIM",SUM(L158,Q158,V158,AA158,AF158,AK158,AP158,AU158)+AX158/_xlfn.XLOOKUP(_xlfn.XLOOKUP($F158,Clientes!$B$4:$B$39,Clientes!$C$4:$C$39),Cadastros!$L$6:$L$12,Cadastros!$M$6:$M$12)+IF($F158="Bernardino Furlan",AY158/2751.92,IF($F158="Mauro José Salanti",AY158/2751.92,AY158/3356)),F158&lt;&gt;0,SUM(L158,Q158,V158,AA158,AF158,AK158,AP158,AU158))))</f>
        <v xml:space="preserve"> </v>
      </c>
      <c r="BE158" s="120"/>
      <c r="BF158" s="120"/>
      <c r="BG158" s="120"/>
    </row>
    <row r="159" spans="1:59" s="3" customFormat="1" x14ac:dyDescent="0.3">
      <c r="A159" s="15" t="str">
        <f t="shared" si="26"/>
        <v/>
      </c>
      <c r="B159" s="25"/>
      <c r="C159" s="26"/>
      <c r="D159" s="279"/>
      <c r="E159" s="27"/>
      <c r="F159" s="28"/>
      <c r="G159" s="27"/>
      <c r="H159" s="28"/>
      <c r="I159" s="28"/>
      <c r="J159" s="255" t="str">
        <f>IF(H159="","",(_xlfn.XLOOKUP(H159,Cadastros!$D$6:$D$90,Cadastros!$E$6:$E$90))*(1-_xlfn.XLOOKUP(_xlfn.XLOOKUP($F159,Clientes!$B$4:$B$39,Clientes!$C$4:$C$39),Cadastros!$L$6:$L$12,Cadastros!$N$6:$N$12)))</f>
        <v/>
      </c>
      <c r="K159" s="168" t="str">
        <f t="shared" si="27"/>
        <v/>
      </c>
      <c r="L159" s="168" t="str">
        <f>IFERROR(K159/_xlfn.XLOOKUP(_xlfn.XLOOKUP($F159,Clientes!$B$4:$B$39,Clientes!$C$4:$C$39),Cadastros!$L$6:$L$12,Cadastros!$M$6:$M$12)," ")</f>
        <v xml:space="preserve"> </v>
      </c>
      <c r="M159" s="28"/>
      <c r="N159" s="28"/>
      <c r="O159" s="255" t="str">
        <f>IF(M159="","",(_xlfn.XLOOKUP(M159,Cadastros!$D$6:$D$90,Cadastros!$E$6:$E$90))*(1-_xlfn.XLOOKUP(_xlfn.XLOOKUP($F159,Clientes!$B$4:$B$39,Clientes!$C$4:$C$39),Cadastros!$L$6:$L$12,Cadastros!$N$6:$N$12)))</f>
        <v/>
      </c>
      <c r="P159" s="168" t="str">
        <f t="shared" si="28"/>
        <v/>
      </c>
      <c r="Q159" s="168" t="str">
        <f>IFERROR(P159/_xlfn.XLOOKUP(_xlfn.XLOOKUP($F159,Clientes!$B$4:$B$39,Clientes!$C$4:$C$39),Cadastros!$L$6:$L$12,Cadastros!$M$6:$M$12)," ")</f>
        <v xml:space="preserve"> </v>
      </c>
      <c r="R159" s="28"/>
      <c r="S159" s="28"/>
      <c r="T159" s="255" t="str">
        <f>IF(R159="","",(_xlfn.XLOOKUP(R159,Cadastros!$D$6:$D$90,Cadastros!$E$6:$E$90))*(1-_xlfn.XLOOKUP(_xlfn.XLOOKUP($F159,Clientes!$B$4:$B$39,Clientes!$C$4:$C$39),Cadastros!$L$6:$L$12,Cadastros!$N$6:$N$12)))</f>
        <v/>
      </c>
      <c r="U159" s="168" t="str">
        <f t="shared" si="29"/>
        <v/>
      </c>
      <c r="V159" s="168" t="str">
        <f>IFERROR(U159/_xlfn.XLOOKUP(_xlfn.XLOOKUP($F159,Clientes!$B$4:$B$39,Clientes!$C$4:$C$39),Cadastros!$L$6:$L$12,Cadastros!$M$6:$M$12)," ")</f>
        <v xml:space="preserve"> </v>
      </c>
      <c r="W159" s="28"/>
      <c r="X159" s="28"/>
      <c r="Y159" s="255" t="str">
        <f>IF(W159="","",(_xlfn.XLOOKUP(W159,Cadastros!$D$6:$D$90,Cadastros!$E$6:$E$90))*(1-_xlfn.XLOOKUP(_xlfn.XLOOKUP($F159,Clientes!$B$4:$B$39,Clientes!$C$4:$C$39),Cadastros!$L$6:$L$12,Cadastros!$N$6:$N$12)))</f>
        <v/>
      </c>
      <c r="Z159" s="168" t="str">
        <f t="shared" si="30"/>
        <v/>
      </c>
      <c r="AA159" s="168" t="str">
        <f>IFERROR(Z159/_xlfn.XLOOKUP(_xlfn.XLOOKUP($F159,Clientes!$B$4:$B$39,Clientes!$C$4:$C$39),Cadastros!$L$6:$L$12,Cadastros!$M$6:$M$12)," ")</f>
        <v xml:space="preserve"> </v>
      </c>
      <c r="AB159" s="28"/>
      <c r="AC159" s="28"/>
      <c r="AD159" s="20" t="str">
        <f>IF(AB159="","",IF($F159="Bernardino Furlan",_xlfn.XLOOKUP(AB159,Cadastros!$G$6:$G$90,Cadastros!$H$6:$H$90)*(1-0.18),IF($F159="Mauro José Salanti",_xlfn.XLOOKUP(AB159,Cadastros!$G$6:$G$90,Cadastros!$H$6:$H$90)*(1-0.18),_xlfn.XLOOKUP(AB159,Cadastros!$G$6:$G$90,Cadastros!$H$6:$H$90))))</f>
        <v/>
      </c>
      <c r="AE159" s="168" t="str">
        <f t="shared" si="31"/>
        <v/>
      </c>
      <c r="AF159" s="168" t="str">
        <f t="shared" si="32"/>
        <v/>
      </c>
      <c r="AG159" s="28"/>
      <c r="AH159" s="28"/>
      <c r="AI159" s="20" t="str">
        <f>IF(AG159="","",IF($F159="Bernardino Furlan",_xlfn.XLOOKUP(AG159,Cadastros!$G$6:$G$90,Cadastros!$H$6:$H$90)*(1-0.18),IF($F159="Mauro José Salanti",_xlfn.XLOOKUP(AG159,Cadastros!$G$6:$G$90,Cadastros!$H$6:$H$90)*(1-0.18),_xlfn.XLOOKUP(AG159,Cadastros!$G$6:$G$90,Cadastros!$H$6:$H$90))))</f>
        <v/>
      </c>
      <c r="AJ159" s="168" t="str">
        <f t="shared" si="33"/>
        <v/>
      </c>
      <c r="AK159" s="168" t="str">
        <f t="shared" si="34"/>
        <v/>
      </c>
      <c r="AL159" s="28"/>
      <c r="AM159" s="28"/>
      <c r="AN159" s="20" t="str">
        <f>IF(AL159="","",IF($F159="Bernardino Furlan",_xlfn.XLOOKUP(AL159,Cadastros!$G$6:$G$90,Cadastros!$H$6:$H$90)*(1-0.18),IF($F159="Mauro José Salanti",_xlfn.XLOOKUP(AL159,Cadastros!$G$6:$G$90,Cadastros!$H$6:$H$90)*(1-0.18),_xlfn.XLOOKUP(AL159,Cadastros!$G$6:$G$90,Cadastros!$H$6:$H$90))))</f>
        <v/>
      </c>
      <c r="AO159" s="168" t="str">
        <f t="shared" si="35"/>
        <v/>
      </c>
      <c r="AP159" s="168" t="str">
        <f t="shared" si="36"/>
        <v/>
      </c>
      <c r="AQ159" s="28"/>
      <c r="AR159" s="28"/>
      <c r="AS159" s="20" t="str">
        <f>IF(AQ159="","",IF($F159="Bernardino Furlan",_xlfn.XLOOKUP(AQ159,Cadastros!$G$6:$G$90,Cadastros!$H$6:$H$90)*(1-0.18),IF($F159="Mauro José Salanti",_xlfn.XLOOKUP(AQ159,Cadastros!$G$6:$G$90,Cadastros!$H$6:$H$90)*(1-0.18),_xlfn.XLOOKUP(AQ159,Cadastros!$G$6:$G$90,Cadastros!$H$6:$H$90))))</f>
        <v/>
      </c>
      <c r="AT159" s="168" t="str">
        <f t="shared" si="37"/>
        <v/>
      </c>
      <c r="AU159" s="168" t="str">
        <f t="shared" si="38"/>
        <v/>
      </c>
      <c r="AV159" s="227"/>
      <c r="AW159" s="30"/>
      <c r="AX159" s="267"/>
      <c r="AY159" s="267"/>
      <c r="AZ159" s="29"/>
      <c r="BA159" s="30"/>
      <c r="BB159" s="23" t="str" cm="1">
        <f t="array" ref="BB159">_xlfn.IFS(AW159="SIM",SUM(K159,P159,U159,Z159,AE159,AJ159,AO159,AT159,AX159,AY159),F159&lt;&gt;"",SUM(K159,P159,U159,Z159,AE159,AJ159,,AO159,AT159),F159="","")</f>
        <v/>
      </c>
      <c r="BC159" s="211" t="str" cm="1">
        <f t="array" ref="BC159">_xlfn.IFS(E159="","",G159&lt;=E159,BB159*(1-0.03),G159&lt;(E159+8),BB159,AZ159="Boleto",BB159*(1+0.001)^DATEDIF(E159,G159,"D"),AZ159="Cheque",BB159,AZ159="Dinheiro","Alterar forma pgto")</f>
        <v/>
      </c>
      <c r="BD159" s="276" t="str" cm="1">
        <f t="array" ref="BD159">IF(F159=0," ",IF(BC159&lt;BB159,(_xlfn.IFS(AW159="SIM",SUM(L159,Q159,V159,AA159,AF159,AK159,AP159,AU159)+AX159/_xlfn.XLOOKUP(_xlfn.XLOOKUP($F159,Clientes!$B$4:$B$39,Clientes!$C$4:$C$39),Cadastros!$L$6:$L$12,Cadastros!$M$6:$M$12)+IF($F159="Bernardino Furlan",AY159/2751.92,IF($F159="Mauro José Salanti",AY159/2751.92,AY159/3356)),F159&lt;&gt;0,SUM(L159,Q159,V159,AA159,AF159,AK159,AP159,AU159)))*(1-0.03),_xlfn.IFS(AW159="SIM",SUM(L159,Q159,V159,AA159,AF159,AK159,AP159,AU159)+AX159/_xlfn.XLOOKUP(_xlfn.XLOOKUP($F159,Clientes!$B$4:$B$39,Clientes!$C$4:$C$39),Cadastros!$L$6:$L$12,Cadastros!$M$6:$M$12)+IF($F159="Bernardino Furlan",AY159/2751.92,IF($F159="Mauro José Salanti",AY159/2751.92,AY159/3356)),F159&lt;&gt;0,SUM(L159,Q159,V159,AA159,AF159,AK159,AP159,AU159))))</f>
        <v xml:space="preserve"> </v>
      </c>
      <c r="BE159" s="120"/>
      <c r="BF159" s="120"/>
      <c r="BG159" s="120"/>
    </row>
    <row r="160" spans="1:59" s="3" customFormat="1" x14ac:dyDescent="0.3">
      <c r="A160" s="15" t="str">
        <f t="shared" si="26"/>
        <v/>
      </c>
      <c r="B160" s="25"/>
      <c r="C160" s="26"/>
      <c r="D160" s="279"/>
      <c r="E160" s="27"/>
      <c r="F160" s="28"/>
      <c r="G160" s="27"/>
      <c r="H160" s="28"/>
      <c r="I160" s="28"/>
      <c r="J160" s="255" t="str">
        <f>IF(H160="","",(_xlfn.XLOOKUP(H160,Cadastros!$D$6:$D$90,Cadastros!$E$6:$E$90))*(1-_xlfn.XLOOKUP(_xlfn.XLOOKUP($F160,Clientes!$B$4:$B$39,Clientes!$C$4:$C$39),Cadastros!$L$6:$L$12,Cadastros!$N$6:$N$12)))</f>
        <v/>
      </c>
      <c r="K160" s="168" t="str">
        <f t="shared" si="27"/>
        <v/>
      </c>
      <c r="L160" s="168" t="str">
        <f>IFERROR(K160/_xlfn.XLOOKUP(_xlfn.XLOOKUP($F160,Clientes!$B$4:$B$39,Clientes!$C$4:$C$39),Cadastros!$L$6:$L$12,Cadastros!$M$6:$M$12)," ")</f>
        <v xml:space="preserve"> </v>
      </c>
      <c r="M160" s="28"/>
      <c r="N160" s="28"/>
      <c r="O160" s="255" t="str">
        <f>IF(M160="","",(_xlfn.XLOOKUP(M160,Cadastros!$D$6:$D$90,Cadastros!$E$6:$E$90))*(1-_xlfn.XLOOKUP(_xlfn.XLOOKUP($F160,Clientes!$B$4:$B$39,Clientes!$C$4:$C$39),Cadastros!$L$6:$L$12,Cadastros!$N$6:$N$12)))</f>
        <v/>
      </c>
      <c r="P160" s="168" t="str">
        <f t="shared" si="28"/>
        <v/>
      </c>
      <c r="Q160" s="168" t="str">
        <f>IFERROR(P160/_xlfn.XLOOKUP(_xlfn.XLOOKUP($F160,Clientes!$B$4:$B$39,Clientes!$C$4:$C$39),Cadastros!$L$6:$L$12,Cadastros!$M$6:$M$12)," ")</f>
        <v xml:space="preserve"> </v>
      </c>
      <c r="R160" s="28"/>
      <c r="S160" s="28"/>
      <c r="T160" s="255" t="str">
        <f>IF(R160="","",(_xlfn.XLOOKUP(R160,Cadastros!$D$6:$D$90,Cadastros!$E$6:$E$90))*(1-_xlfn.XLOOKUP(_xlfn.XLOOKUP($F160,Clientes!$B$4:$B$39,Clientes!$C$4:$C$39),Cadastros!$L$6:$L$12,Cadastros!$N$6:$N$12)))</f>
        <v/>
      </c>
      <c r="U160" s="168" t="str">
        <f t="shared" si="29"/>
        <v/>
      </c>
      <c r="V160" s="168" t="str">
        <f>IFERROR(U160/_xlfn.XLOOKUP(_xlfn.XLOOKUP($F160,Clientes!$B$4:$B$39,Clientes!$C$4:$C$39),Cadastros!$L$6:$L$12,Cadastros!$M$6:$M$12)," ")</f>
        <v xml:space="preserve"> </v>
      </c>
      <c r="W160" s="28"/>
      <c r="X160" s="28"/>
      <c r="Y160" s="255" t="str">
        <f>IF(W160="","",(_xlfn.XLOOKUP(W160,Cadastros!$D$6:$D$90,Cadastros!$E$6:$E$90))*(1-_xlfn.XLOOKUP(_xlfn.XLOOKUP($F160,Clientes!$B$4:$B$39,Clientes!$C$4:$C$39),Cadastros!$L$6:$L$12,Cadastros!$N$6:$N$12)))</f>
        <v/>
      </c>
      <c r="Z160" s="168" t="str">
        <f t="shared" si="30"/>
        <v/>
      </c>
      <c r="AA160" s="168" t="str">
        <f>IFERROR(Z160/_xlfn.XLOOKUP(_xlfn.XLOOKUP($F160,Clientes!$B$4:$B$39,Clientes!$C$4:$C$39),Cadastros!$L$6:$L$12,Cadastros!$M$6:$M$12)," ")</f>
        <v xml:space="preserve"> </v>
      </c>
      <c r="AB160" s="28"/>
      <c r="AC160" s="28"/>
      <c r="AD160" s="20" t="str">
        <f>IF(AB160="","",IF($F160="Bernardino Furlan",_xlfn.XLOOKUP(AB160,Cadastros!$G$6:$G$90,Cadastros!$H$6:$H$90)*(1-0.18),IF($F160="Mauro José Salanti",_xlfn.XLOOKUP(AB160,Cadastros!$G$6:$G$90,Cadastros!$H$6:$H$90)*(1-0.18),_xlfn.XLOOKUP(AB160,Cadastros!$G$6:$G$90,Cadastros!$H$6:$H$90))))</f>
        <v/>
      </c>
      <c r="AE160" s="168" t="str">
        <f t="shared" si="31"/>
        <v/>
      </c>
      <c r="AF160" s="168" t="str">
        <f t="shared" si="32"/>
        <v/>
      </c>
      <c r="AG160" s="28"/>
      <c r="AH160" s="28"/>
      <c r="AI160" s="20" t="str">
        <f>IF(AG160="","",IF($F160="Bernardino Furlan",_xlfn.XLOOKUP(AG160,Cadastros!$G$6:$G$90,Cadastros!$H$6:$H$90)*(1-0.18),IF($F160="Mauro José Salanti",_xlfn.XLOOKUP(AG160,Cadastros!$G$6:$G$90,Cadastros!$H$6:$H$90)*(1-0.18),_xlfn.XLOOKUP(AG160,Cadastros!$G$6:$G$90,Cadastros!$H$6:$H$90))))</f>
        <v/>
      </c>
      <c r="AJ160" s="168" t="str">
        <f t="shared" si="33"/>
        <v/>
      </c>
      <c r="AK160" s="168" t="str">
        <f t="shared" si="34"/>
        <v/>
      </c>
      <c r="AL160" s="28"/>
      <c r="AM160" s="28"/>
      <c r="AN160" s="20" t="str">
        <f>IF(AL160="","",IF($F160="Bernardino Furlan",_xlfn.XLOOKUP(AL160,Cadastros!$G$6:$G$90,Cadastros!$H$6:$H$90)*(1-0.18),IF($F160="Mauro José Salanti",_xlfn.XLOOKUP(AL160,Cadastros!$G$6:$G$90,Cadastros!$H$6:$H$90)*(1-0.18),_xlfn.XLOOKUP(AL160,Cadastros!$G$6:$G$90,Cadastros!$H$6:$H$90))))</f>
        <v/>
      </c>
      <c r="AO160" s="168" t="str">
        <f t="shared" si="35"/>
        <v/>
      </c>
      <c r="AP160" s="168" t="str">
        <f t="shared" si="36"/>
        <v/>
      </c>
      <c r="AQ160" s="28"/>
      <c r="AR160" s="28"/>
      <c r="AS160" s="20" t="str">
        <f>IF(AQ160="","",IF($F160="Bernardino Furlan",_xlfn.XLOOKUP(AQ160,Cadastros!$G$6:$G$90,Cadastros!$H$6:$H$90)*(1-0.18),IF($F160="Mauro José Salanti",_xlfn.XLOOKUP(AQ160,Cadastros!$G$6:$G$90,Cadastros!$H$6:$H$90)*(1-0.18),_xlfn.XLOOKUP(AQ160,Cadastros!$G$6:$G$90,Cadastros!$H$6:$H$90))))</f>
        <v/>
      </c>
      <c r="AT160" s="168" t="str">
        <f t="shared" si="37"/>
        <v/>
      </c>
      <c r="AU160" s="168" t="str">
        <f t="shared" si="38"/>
        <v/>
      </c>
      <c r="AV160" s="227"/>
      <c r="AW160" s="30"/>
      <c r="AX160" s="267"/>
      <c r="AY160" s="267"/>
      <c r="AZ160" s="29"/>
      <c r="BA160" s="30"/>
      <c r="BB160" s="23" t="str" cm="1">
        <f t="array" ref="BB160">_xlfn.IFS(AW160="SIM",SUM(K160,P160,U160,Z160,AE160,AJ160,AO160,AT160,AX160,AY160),F160&lt;&gt;"",SUM(K160,P160,U160,Z160,AE160,AJ160,,AO160,AT160),F160="","")</f>
        <v/>
      </c>
      <c r="BC160" s="211" t="str" cm="1">
        <f t="array" ref="BC160">_xlfn.IFS(E160="","",G160&lt;=E160,BB160*(1-0.03),G160&lt;(E160+8),BB160,AZ160="Boleto",BB160*(1+0.001)^DATEDIF(E160,G160,"D"),AZ160="Cheque",BB160,AZ160="Dinheiro","Alterar forma pgto")</f>
        <v/>
      </c>
      <c r="BD160" s="276" t="str" cm="1">
        <f t="array" ref="BD160">IF(F160=0," ",IF(BC160&lt;BB160,(_xlfn.IFS(AW160="SIM",SUM(L160,Q160,V160,AA160,AF160,AK160,AP160,AU160)+AX160/_xlfn.XLOOKUP(_xlfn.XLOOKUP($F160,Clientes!$B$4:$B$39,Clientes!$C$4:$C$39),Cadastros!$L$6:$L$12,Cadastros!$M$6:$M$12)+IF($F160="Bernardino Furlan",AY160/2751.92,IF($F160="Mauro José Salanti",AY160/2751.92,AY160/3356)),F160&lt;&gt;0,SUM(L160,Q160,V160,AA160,AF160,AK160,AP160,AU160)))*(1-0.03),_xlfn.IFS(AW160="SIM",SUM(L160,Q160,V160,AA160,AF160,AK160,AP160,AU160)+AX160/_xlfn.XLOOKUP(_xlfn.XLOOKUP($F160,Clientes!$B$4:$B$39,Clientes!$C$4:$C$39),Cadastros!$L$6:$L$12,Cadastros!$M$6:$M$12)+IF($F160="Bernardino Furlan",AY160/2751.92,IF($F160="Mauro José Salanti",AY160/2751.92,AY160/3356)),F160&lt;&gt;0,SUM(L160,Q160,V160,AA160,AF160,AK160,AP160,AU160))))</f>
        <v xml:space="preserve"> </v>
      </c>
      <c r="BE160" s="120"/>
      <c r="BF160" s="120"/>
      <c r="BG160" s="120"/>
    </row>
    <row r="161" spans="1:59" s="3" customFormat="1" x14ac:dyDescent="0.3">
      <c r="A161" s="15" t="str">
        <f t="shared" si="26"/>
        <v/>
      </c>
      <c r="B161" s="25"/>
      <c r="C161" s="26"/>
      <c r="D161" s="279"/>
      <c r="E161" s="27"/>
      <c r="F161" s="28"/>
      <c r="G161" s="27"/>
      <c r="H161" s="28"/>
      <c r="I161" s="28"/>
      <c r="J161" s="255" t="str">
        <f>IF(H161="","",(_xlfn.XLOOKUP(H161,Cadastros!$D$6:$D$90,Cadastros!$E$6:$E$90))*(1-_xlfn.XLOOKUP(_xlfn.XLOOKUP($F161,Clientes!$B$4:$B$39,Clientes!$C$4:$C$39),Cadastros!$L$6:$L$12,Cadastros!$N$6:$N$12)))</f>
        <v/>
      </c>
      <c r="K161" s="168" t="str">
        <f t="shared" si="27"/>
        <v/>
      </c>
      <c r="L161" s="168" t="str">
        <f>IFERROR(K161/_xlfn.XLOOKUP(_xlfn.XLOOKUP($F161,Clientes!$B$4:$B$39,Clientes!$C$4:$C$39),Cadastros!$L$6:$L$12,Cadastros!$M$6:$M$12)," ")</f>
        <v xml:space="preserve"> </v>
      </c>
      <c r="M161" s="28"/>
      <c r="N161" s="28"/>
      <c r="O161" s="255" t="str">
        <f>IF(M161="","",(_xlfn.XLOOKUP(M161,Cadastros!$D$6:$D$90,Cadastros!$E$6:$E$90))*(1-_xlfn.XLOOKUP(_xlfn.XLOOKUP($F161,Clientes!$B$4:$B$39,Clientes!$C$4:$C$39),Cadastros!$L$6:$L$12,Cadastros!$N$6:$N$12)))</f>
        <v/>
      </c>
      <c r="P161" s="168" t="str">
        <f t="shared" si="28"/>
        <v/>
      </c>
      <c r="Q161" s="168" t="str">
        <f>IFERROR(P161/_xlfn.XLOOKUP(_xlfn.XLOOKUP($F161,Clientes!$B$4:$B$39,Clientes!$C$4:$C$39),Cadastros!$L$6:$L$12,Cadastros!$M$6:$M$12)," ")</f>
        <v xml:space="preserve"> </v>
      </c>
      <c r="R161" s="28"/>
      <c r="S161" s="28"/>
      <c r="T161" s="255" t="str">
        <f>IF(R161="","",(_xlfn.XLOOKUP(R161,Cadastros!$D$6:$D$90,Cadastros!$E$6:$E$90))*(1-_xlfn.XLOOKUP(_xlfn.XLOOKUP($F161,Clientes!$B$4:$B$39,Clientes!$C$4:$C$39),Cadastros!$L$6:$L$12,Cadastros!$N$6:$N$12)))</f>
        <v/>
      </c>
      <c r="U161" s="168" t="str">
        <f t="shared" si="29"/>
        <v/>
      </c>
      <c r="V161" s="168" t="str">
        <f>IFERROR(U161/_xlfn.XLOOKUP(_xlfn.XLOOKUP($F161,Clientes!$B$4:$B$39,Clientes!$C$4:$C$39),Cadastros!$L$6:$L$12,Cadastros!$M$6:$M$12)," ")</f>
        <v xml:space="preserve"> </v>
      </c>
      <c r="W161" s="28"/>
      <c r="X161" s="28"/>
      <c r="Y161" s="255" t="str">
        <f>IF(W161="","",(_xlfn.XLOOKUP(W161,Cadastros!$D$6:$D$90,Cadastros!$E$6:$E$90))*(1-_xlfn.XLOOKUP(_xlfn.XLOOKUP($F161,Clientes!$B$4:$B$39,Clientes!$C$4:$C$39),Cadastros!$L$6:$L$12,Cadastros!$N$6:$N$12)))</f>
        <v/>
      </c>
      <c r="Z161" s="168" t="str">
        <f t="shared" si="30"/>
        <v/>
      </c>
      <c r="AA161" s="168" t="str">
        <f>IFERROR(Z161/_xlfn.XLOOKUP(_xlfn.XLOOKUP($F161,Clientes!$B$4:$B$39,Clientes!$C$4:$C$39),Cadastros!$L$6:$L$12,Cadastros!$M$6:$M$12)," ")</f>
        <v xml:space="preserve"> </v>
      </c>
      <c r="AB161" s="28"/>
      <c r="AC161" s="28"/>
      <c r="AD161" s="20" t="str">
        <f>IF(AB161="","",IF($F161="Bernardino Furlan",_xlfn.XLOOKUP(AB161,Cadastros!$G$6:$G$90,Cadastros!$H$6:$H$90)*(1-0.18),IF($F161="Mauro José Salanti",_xlfn.XLOOKUP(AB161,Cadastros!$G$6:$G$90,Cadastros!$H$6:$H$90)*(1-0.18),_xlfn.XLOOKUP(AB161,Cadastros!$G$6:$G$90,Cadastros!$H$6:$H$90))))</f>
        <v/>
      </c>
      <c r="AE161" s="168" t="str">
        <f t="shared" si="31"/>
        <v/>
      </c>
      <c r="AF161" s="168" t="str">
        <f t="shared" si="32"/>
        <v/>
      </c>
      <c r="AG161" s="28"/>
      <c r="AH161" s="28"/>
      <c r="AI161" s="20" t="str">
        <f>IF(AG161="","",IF($F161="Bernardino Furlan",_xlfn.XLOOKUP(AG161,Cadastros!$G$6:$G$90,Cadastros!$H$6:$H$90)*(1-0.18),IF($F161="Mauro José Salanti",_xlfn.XLOOKUP(AG161,Cadastros!$G$6:$G$90,Cadastros!$H$6:$H$90)*(1-0.18),_xlfn.XLOOKUP(AG161,Cadastros!$G$6:$G$90,Cadastros!$H$6:$H$90))))</f>
        <v/>
      </c>
      <c r="AJ161" s="168" t="str">
        <f t="shared" si="33"/>
        <v/>
      </c>
      <c r="AK161" s="168" t="str">
        <f t="shared" si="34"/>
        <v/>
      </c>
      <c r="AL161" s="28"/>
      <c r="AM161" s="28"/>
      <c r="AN161" s="20" t="str">
        <f>IF(AL161="","",IF($F161="Bernardino Furlan",_xlfn.XLOOKUP(AL161,Cadastros!$G$6:$G$90,Cadastros!$H$6:$H$90)*(1-0.18),IF($F161="Mauro José Salanti",_xlfn.XLOOKUP(AL161,Cadastros!$G$6:$G$90,Cadastros!$H$6:$H$90)*(1-0.18),_xlfn.XLOOKUP(AL161,Cadastros!$G$6:$G$90,Cadastros!$H$6:$H$90))))</f>
        <v/>
      </c>
      <c r="AO161" s="168" t="str">
        <f t="shared" si="35"/>
        <v/>
      </c>
      <c r="AP161" s="168" t="str">
        <f t="shared" si="36"/>
        <v/>
      </c>
      <c r="AQ161" s="28"/>
      <c r="AR161" s="28"/>
      <c r="AS161" s="20" t="str">
        <f>IF(AQ161="","",IF($F161="Bernardino Furlan",_xlfn.XLOOKUP(AQ161,Cadastros!$G$6:$G$90,Cadastros!$H$6:$H$90)*(1-0.18),IF($F161="Mauro José Salanti",_xlfn.XLOOKUP(AQ161,Cadastros!$G$6:$G$90,Cadastros!$H$6:$H$90)*(1-0.18),_xlfn.XLOOKUP(AQ161,Cadastros!$G$6:$G$90,Cadastros!$H$6:$H$90))))</f>
        <v/>
      </c>
      <c r="AT161" s="168" t="str">
        <f t="shared" si="37"/>
        <v/>
      </c>
      <c r="AU161" s="168" t="str">
        <f t="shared" si="38"/>
        <v/>
      </c>
      <c r="AV161" s="227"/>
      <c r="AW161" s="30"/>
      <c r="AX161" s="267"/>
      <c r="AY161" s="267"/>
      <c r="AZ161" s="29"/>
      <c r="BA161" s="30"/>
      <c r="BB161" s="23" t="str" cm="1">
        <f t="array" ref="BB161">_xlfn.IFS(AW161="SIM",SUM(K161,P161,U161,Z161,AE161,AJ161,AO161,AT161,AX161,AY161),F161&lt;&gt;"",SUM(K161,P161,U161,Z161,AE161,AJ161,,AO161,AT161),F161="","")</f>
        <v/>
      </c>
      <c r="BC161" s="211" t="str" cm="1">
        <f t="array" ref="BC161">_xlfn.IFS(E161="","",G161&lt;=E161,BB161*(1-0.03),G161&lt;(E161+8),BB161,AZ161="Boleto",BB161*(1+0.001)^DATEDIF(E161,G161,"D"),AZ161="Cheque",BB161,AZ161="Dinheiro","Alterar forma pgto")</f>
        <v/>
      </c>
      <c r="BD161" s="276" t="str" cm="1">
        <f t="array" ref="BD161">IF(F161=0," ",IF(BC161&lt;BB161,(_xlfn.IFS(AW161="SIM",SUM(L161,Q161,V161,AA161,AF161,AK161,AP161,AU161)+AX161/_xlfn.XLOOKUP(_xlfn.XLOOKUP($F161,Clientes!$B$4:$B$39,Clientes!$C$4:$C$39),Cadastros!$L$6:$L$12,Cadastros!$M$6:$M$12)+IF($F161="Bernardino Furlan",AY161/2751.92,IF($F161="Mauro José Salanti",AY161/2751.92,AY161/3356)),F161&lt;&gt;0,SUM(L161,Q161,V161,AA161,AF161,AK161,AP161,AU161)))*(1-0.03),_xlfn.IFS(AW161="SIM",SUM(L161,Q161,V161,AA161,AF161,AK161,AP161,AU161)+AX161/_xlfn.XLOOKUP(_xlfn.XLOOKUP($F161,Clientes!$B$4:$B$39,Clientes!$C$4:$C$39),Cadastros!$L$6:$L$12,Cadastros!$M$6:$M$12)+IF($F161="Bernardino Furlan",AY161/2751.92,IF($F161="Mauro José Salanti",AY161/2751.92,AY161/3356)),F161&lt;&gt;0,SUM(L161,Q161,V161,AA161,AF161,AK161,AP161,AU161))))</f>
        <v xml:space="preserve"> </v>
      </c>
      <c r="BE161" s="120"/>
      <c r="BF161" s="120"/>
      <c r="BG161" s="120"/>
    </row>
    <row r="162" spans="1:59" s="3" customFormat="1" x14ac:dyDescent="0.3">
      <c r="A162" s="15" t="str">
        <f t="shared" si="26"/>
        <v/>
      </c>
      <c r="B162" s="25"/>
      <c r="C162" s="26"/>
      <c r="D162" s="279"/>
      <c r="E162" s="27"/>
      <c r="F162" s="28"/>
      <c r="G162" s="27"/>
      <c r="H162" s="28"/>
      <c r="I162" s="28"/>
      <c r="J162" s="255" t="str">
        <f>IF(H162="","",(_xlfn.XLOOKUP(H162,Cadastros!$D$6:$D$90,Cadastros!$E$6:$E$90))*(1-_xlfn.XLOOKUP(_xlfn.XLOOKUP($F162,Clientes!$B$4:$B$39,Clientes!$C$4:$C$39),Cadastros!$L$6:$L$12,Cadastros!$N$6:$N$12)))</f>
        <v/>
      </c>
      <c r="K162" s="168" t="str">
        <f t="shared" si="27"/>
        <v/>
      </c>
      <c r="L162" s="168" t="str">
        <f>IFERROR(K162/_xlfn.XLOOKUP(_xlfn.XLOOKUP($F162,Clientes!$B$4:$B$39,Clientes!$C$4:$C$39),Cadastros!$L$6:$L$12,Cadastros!$M$6:$M$12)," ")</f>
        <v xml:space="preserve"> </v>
      </c>
      <c r="M162" s="28"/>
      <c r="N162" s="28"/>
      <c r="O162" s="255" t="str">
        <f>IF(M162="","",(_xlfn.XLOOKUP(M162,Cadastros!$D$6:$D$90,Cadastros!$E$6:$E$90))*(1-_xlfn.XLOOKUP(_xlfn.XLOOKUP($F162,Clientes!$B$4:$B$39,Clientes!$C$4:$C$39),Cadastros!$L$6:$L$12,Cadastros!$N$6:$N$12)))</f>
        <v/>
      </c>
      <c r="P162" s="168" t="str">
        <f t="shared" si="28"/>
        <v/>
      </c>
      <c r="Q162" s="168" t="str">
        <f>IFERROR(P162/_xlfn.XLOOKUP(_xlfn.XLOOKUP($F162,Clientes!$B$4:$B$39,Clientes!$C$4:$C$39),Cadastros!$L$6:$L$12,Cadastros!$M$6:$M$12)," ")</f>
        <v xml:space="preserve"> </v>
      </c>
      <c r="R162" s="28"/>
      <c r="S162" s="28"/>
      <c r="T162" s="255" t="str">
        <f>IF(R162="","",(_xlfn.XLOOKUP(R162,Cadastros!$D$6:$D$90,Cadastros!$E$6:$E$90))*(1-_xlfn.XLOOKUP(_xlfn.XLOOKUP($F162,Clientes!$B$4:$B$39,Clientes!$C$4:$C$39),Cadastros!$L$6:$L$12,Cadastros!$N$6:$N$12)))</f>
        <v/>
      </c>
      <c r="U162" s="168" t="str">
        <f t="shared" si="29"/>
        <v/>
      </c>
      <c r="V162" s="168" t="str">
        <f>IFERROR(U162/_xlfn.XLOOKUP(_xlfn.XLOOKUP($F162,Clientes!$B$4:$B$39,Clientes!$C$4:$C$39),Cadastros!$L$6:$L$12,Cadastros!$M$6:$M$12)," ")</f>
        <v xml:space="preserve"> </v>
      </c>
      <c r="W162" s="28"/>
      <c r="X162" s="28"/>
      <c r="Y162" s="255" t="str">
        <f>IF(W162="","",(_xlfn.XLOOKUP(W162,Cadastros!$D$6:$D$90,Cadastros!$E$6:$E$90))*(1-_xlfn.XLOOKUP(_xlfn.XLOOKUP($F162,Clientes!$B$4:$B$39,Clientes!$C$4:$C$39),Cadastros!$L$6:$L$12,Cadastros!$N$6:$N$12)))</f>
        <v/>
      </c>
      <c r="Z162" s="168" t="str">
        <f t="shared" si="30"/>
        <v/>
      </c>
      <c r="AA162" s="168" t="str">
        <f>IFERROR(Z162/_xlfn.XLOOKUP(_xlfn.XLOOKUP($F162,Clientes!$B$4:$B$39,Clientes!$C$4:$C$39),Cadastros!$L$6:$L$12,Cadastros!$M$6:$M$12)," ")</f>
        <v xml:space="preserve"> </v>
      </c>
      <c r="AB162" s="28"/>
      <c r="AC162" s="28"/>
      <c r="AD162" s="20" t="str">
        <f>IF(AB162="","",IF($F162="Bernardino Furlan",_xlfn.XLOOKUP(AB162,Cadastros!$G$6:$G$90,Cadastros!$H$6:$H$90)*(1-0.18),IF($F162="Mauro José Salanti",_xlfn.XLOOKUP(AB162,Cadastros!$G$6:$G$90,Cadastros!$H$6:$H$90)*(1-0.18),_xlfn.XLOOKUP(AB162,Cadastros!$G$6:$G$90,Cadastros!$H$6:$H$90))))</f>
        <v/>
      </c>
      <c r="AE162" s="168" t="str">
        <f t="shared" si="31"/>
        <v/>
      </c>
      <c r="AF162" s="168" t="str">
        <f t="shared" si="32"/>
        <v/>
      </c>
      <c r="AG162" s="28"/>
      <c r="AH162" s="28"/>
      <c r="AI162" s="20" t="str">
        <f>IF(AG162="","",IF($F162="Bernardino Furlan",_xlfn.XLOOKUP(AG162,Cadastros!$G$6:$G$90,Cadastros!$H$6:$H$90)*(1-0.18),IF($F162="Mauro José Salanti",_xlfn.XLOOKUP(AG162,Cadastros!$G$6:$G$90,Cadastros!$H$6:$H$90)*(1-0.18),_xlfn.XLOOKUP(AG162,Cadastros!$G$6:$G$90,Cadastros!$H$6:$H$90))))</f>
        <v/>
      </c>
      <c r="AJ162" s="168" t="str">
        <f t="shared" si="33"/>
        <v/>
      </c>
      <c r="AK162" s="168" t="str">
        <f t="shared" si="34"/>
        <v/>
      </c>
      <c r="AL162" s="28"/>
      <c r="AM162" s="28"/>
      <c r="AN162" s="20" t="str">
        <f>IF(AL162="","",IF($F162="Bernardino Furlan",_xlfn.XLOOKUP(AL162,Cadastros!$G$6:$G$90,Cadastros!$H$6:$H$90)*(1-0.18),IF($F162="Mauro José Salanti",_xlfn.XLOOKUP(AL162,Cadastros!$G$6:$G$90,Cadastros!$H$6:$H$90)*(1-0.18),_xlfn.XLOOKUP(AL162,Cadastros!$G$6:$G$90,Cadastros!$H$6:$H$90))))</f>
        <v/>
      </c>
      <c r="AO162" s="168" t="str">
        <f t="shared" si="35"/>
        <v/>
      </c>
      <c r="AP162" s="168" t="str">
        <f t="shared" si="36"/>
        <v/>
      </c>
      <c r="AQ162" s="28"/>
      <c r="AR162" s="28"/>
      <c r="AS162" s="20" t="str">
        <f>IF(AQ162="","",IF($F162="Bernardino Furlan",_xlfn.XLOOKUP(AQ162,Cadastros!$G$6:$G$90,Cadastros!$H$6:$H$90)*(1-0.18),IF($F162="Mauro José Salanti",_xlfn.XLOOKUP(AQ162,Cadastros!$G$6:$G$90,Cadastros!$H$6:$H$90)*(1-0.18),_xlfn.XLOOKUP(AQ162,Cadastros!$G$6:$G$90,Cadastros!$H$6:$H$90))))</f>
        <v/>
      </c>
      <c r="AT162" s="168" t="str">
        <f t="shared" si="37"/>
        <v/>
      </c>
      <c r="AU162" s="168" t="str">
        <f t="shared" si="38"/>
        <v/>
      </c>
      <c r="AV162" s="227"/>
      <c r="AW162" s="30"/>
      <c r="AX162" s="267"/>
      <c r="AY162" s="267"/>
      <c r="AZ162" s="29"/>
      <c r="BA162" s="30"/>
      <c r="BB162" s="23" t="str" cm="1">
        <f t="array" ref="BB162">_xlfn.IFS(AW162="SIM",SUM(K162,P162,U162,Z162,AE162,AJ162,AO162,AT162,AX162,AY162),F162&lt;&gt;"",SUM(K162,P162,U162,Z162,AE162,AJ162,,AO162,AT162),F162="","")</f>
        <v/>
      </c>
      <c r="BC162" s="211" t="str" cm="1">
        <f t="array" ref="BC162">_xlfn.IFS(E162="","",G162&lt;=E162,BB162*(1-0.03),G162&lt;(E162+8),BB162,AZ162="Boleto",BB162*(1+0.001)^DATEDIF(E162,G162,"D"),AZ162="Cheque",BB162,AZ162="Dinheiro","Alterar forma pgto")</f>
        <v/>
      </c>
      <c r="BD162" s="276" t="str" cm="1">
        <f t="array" ref="BD162">IF(F162=0," ",IF(BC162&lt;BB162,(_xlfn.IFS(AW162="SIM",SUM(L162,Q162,V162,AA162,AF162,AK162,AP162,AU162)+AX162/_xlfn.XLOOKUP(_xlfn.XLOOKUP($F162,Clientes!$B$4:$B$39,Clientes!$C$4:$C$39),Cadastros!$L$6:$L$12,Cadastros!$M$6:$M$12)+IF($F162="Bernardino Furlan",AY162/2751.92,IF($F162="Mauro José Salanti",AY162/2751.92,AY162/3356)),F162&lt;&gt;0,SUM(L162,Q162,V162,AA162,AF162,AK162,AP162,AU162)))*(1-0.03),_xlfn.IFS(AW162="SIM",SUM(L162,Q162,V162,AA162,AF162,AK162,AP162,AU162)+AX162/_xlfn.XLOOKUP(_xlfn.XLOOKUP($F162,Clientes!$B$4:$B$39,Clientes!$C$4:$C$39),Cadastros!$L$6:$L$12,Cadastros!$M$6:$M$12)+IF($F162="Bernardino Furlan",AY162/2751.92,IF($F162="Mauro José Salanti",AY162/2751.92,AY162/3356)),F162&lt;&gt;0,SUM(L162,Q162,V162,AA162,AF162,AK162,AP162,AU162))))</f>
        <v xml:space="preserve"> </v>
      </c>
      <c r="BE162" s="120"/>
      <c r="BF162" s="120"/>
      <c r="BG162" s="120"/>
    </row>
    <row r="163" spans="1:59" s="3" customFormat="1" x14ac:dyDescent="0.3">
      <c r="A163" s="15" t="str">
        <f t="shared" si="26"/>
        <v/>
      </c>
      <c r="B163" s="25"/>
      <c r="C163" s="26"/>
      <c r="D163" s="279"/>
      <c r="E163" s="27"/>
      <c r="F163" s="28"/>
      <c r="G163" s="27"/>
      <c r="H163" s="28"/>
      <c r="I163" s="28"/>
      <c r="J163" s="255" t="str">
        <f>IF(H163="","",(_xlfn.XLOOKUP(H163,Cadastros!$D$6:$D$90,Cadastros!$E$6:$E$90))*(1-_xlfn.XLOOKUP(_xlfn.XLOOKUP($F163,Clientes!$B$4:$B$39,Clientes!$C$4:$C$39),Cadastros!$L$6:$L$12,Cadastros!$N$6:$N$12)))</f>
        <v/>
      </c>
      <c r="K163" s="168" t="str">
        <f t="shared" si="27"/>
        <v/>
      </c>
      <c r="L163" s="168" t="str">
        <f>IFERROR(K163/_xlfn.XLOOKUP(_xlfn.XLOOKUP($F163,Clientes!$B$4:$B$39,Clientes!$C$4:$C$39),Cadastros!$L$6:$L$12,Cadastros!$M$6:$M$12)," ")</f>
        <v xml:space="preserve"> </v>
      </c>
      <c r="M163" s="28"/>
      <c r="N163" s="28"/>
      <c r="O163" s="255" t="str">
        <f>IF(M163="","",(_xlfn.XLOOKUP(M163,Cadastros!$D$6:$D$90,Cadastros!$E$6:$E$90))*(1-_xlfn.XLOOKUP(_xlfn.XLOOKUP($F163,Clientes!$B$4:$B$39,Clientes!$C$4:$C$39),Cadastros!$L$6:$L$12,Cadastros!$N$6:$N$12)))</f>
        <v/>
      </c>
      <c r="P163" s="168" t="str">
        <f t="shared" si="28"/>
        <v/>
      </c>
      <c r="Q163" s="168" t="str">
        <f>IFERROR(P163/_xlfn.XLOOKUP(_xlfn.XLOOKUP($F163,Clientes!$B$4:$B$39,Clientes!$C$4:$C$39),Cadastros!$L$6:$L$12,Cadastros!$M$6:$M$12)," ")</f>
        <v xml:space="preserve"> </v>
      </c>
      <c r="R163" s="28"/>
      <c r="S163" s="28"/>
      <c r="T163" s="255" t="str">
        <f>IF(R163="","",(_xlfn.XLOOKUP(R163,Cadastros!$D$6:$D$90,Cadastros!$E$6:$E$90))*(1-_xlfn.XLOOKUP(_xlfn.XLOOKUP($F163,Clientes!$B$4:$B$39,Clientes!$C$4:$C$39),Cadastros!$L$6:$L$12,Cadastros!$N$6:$N$12)))</f>
        <v/>
      </c>
      <c r="U163" s="168" t="str">
        <f t="shared" si="29"/>
        <v/>
      </c>
      <c r="V163" s="168" t="str">
        <f>IFERROR(U163/_xlfn.XLOOKUP(_xlfn.XLOOKUP($F163,Clientes!$B$4:$B$39,Clientes!$C$4:$C$39),Cadastros!$L$6:$L$12,Cadastros!$M$6:$M$12)," ")</f>
        <v xml:space="preserve"> </v>
      </c>
      <c r="W163" s="28"/>
      <c r="X163" s="28"/>
      <c r="Y163" s="255" t="str">
        <f>IF(W163="","",(_xlfn.XLOOKUP(W163,Cadastros!$D$6:$D$90,Cadastros!$E$6:$E$90))*(1-_xlfn.XLOOKUP(_xlfn.XLOOKUP($F163,Clientes!$B$4:$B$39,Clientes!$C$4:$C$39),Cadastros!$L$6:$L$12,Cadastros!$N$6:$N$12)))</f>
        <v/>
      </c>
      <c r="Z163" s="168" t="str">
        <f t="shared" si="30"/>
        <v/>
      </c>
      <c r="AA163" s="168" t="str">
        <f>IFERROR(Z163/_xlfn.XLOOKUP(_xlfn.XLOOKUP($F163,Clientes!$B$4:$B$39,Clientes!$C$4:$C$39),Cadastros!$L$6:$L$12,Cadastros!$M$6:$M$12)," ")</f>
        <v xml:space="preserve"> </v>
      </c>
      <c r="AB163" s="28"/>
      <c r="AC163" s="28"/>
      <c r="AD163" s="20" t="str">
        <f>IF(AB163="","",IF($F163="Bernardino Furlan",_xlfn.XLOOKUP(AB163,Cadastros!$G$6:$G$90,Cadastros!$H$6:$H$90)*(1-0.18),IF($F163="Mauro José Salanti",_xlfn.XLOOKUP(AB163,Cadastros!$G$6:$G$90,Cadastros!$H$6:$H$90)*(1-0.18),_xlfn.XLOOKUP(AB163,Cadastros!$G$6:$G$90,Cadastros!$H$6:$H$90))))</f>
        <v/>
      </c>
      <c r="AE163" s="168" t="str">
        <f t="shared" si="31"/>
        <v/>
      </c>
      <c r="AF163" s="168" t="str">
        <f t="shared" si="32"/>
        <v/>
      </c>
      <c r="AG163" s="28"/>
      <c r="AH163" s="28"/>
      <c r="AI163" s="20" t="str">
        <f>IF(AG163="","",IF($F163="Bernardino Furlan",_xlfn.XLOOKUP(AG163,Cadastros!$G$6:$G$90,Cadastros!$H$6:$H$90)*(1-0.18),IF($F163="Mauro José Salanti",_xlfn.XLOOKUP(AG163,Cadastros!$G$6:$G$90,Cadastros!$H$6:$H$90)*(1-0.18),_xlfn.XLOOKUP(AG163,Cadastros!$G$6:$G$90,Cadastros!$H$6:$H$90))))</f>
        <v/>
      </c>
      <c r="AJ163" s="168" t="str">
        <f t="shared" si="33"/>
        <v/>
      </c>
      <c r="AK163" s="168" t="str">
        <f t="shared" si="34"/>
        <v/>
      </c>
      <c r="AL163" s="28"/>
      <c r="AM163" s="28"/>
      <c r="AN163" s="20" t="str">
        <f>IF(AL163="","",IF($F163="Bernardino Furlan",_xlfn.XLOOKUP(AL163,Cadastros!$G$6:$G$90,Cadastros!$H$6:$H$90)*(1-0.18),IF($F163="Mauro José Salanti",_xlfn.XLOOKUP(AL163,Cadastros!$G$6:$G$90,Cadastros!$H$6:$H$90)*(1-0.18),_xlfn.XLOOKUP(AL163,Cadastros!$G$6:$G$90,Cadastros!$H$6:$H$90))))</f>
        <v/>
      </c>
      <c r="AO163" s="168" t="str">
        <f t="shared" si="35"/>
        <v/>
      </c>
      <c r="AP163" s="168" t="str">
        <f t="shared" si="36"/>
        <v/>
      </c>
      <c r="AQ163" s="28"/>
      <c r="AR163" s="28"/>
      <c r="AS163" s="20" t="str">
        <f>IF(AQ163="","",IF($F163="Bernardino Furlan",_xlfn.XLOOKUP(AQ163,Cadastros!$G$6:$G$90,Cadastros!$H$6:$H$90)*(1-0.18),IF($F163="Mauro José Salanti",_xlfn.XLOOKUP(AQ163,Cadastros!$G$6:$G$90,Cadastros!$H$6:$H$90)*(1-0.18),_xlfn.XLOOKUP(AQ163,Cadastros!$G$6:$G$90,Cadastros!$H$6:$H$90))))</f>
        <v/>
      </c>
      <c r="AT163" s="168" t="str">
        <f t="shared" si="37"/>
        <v/>
      </c>
      <c r="AU163" s="168" t="str">
        <f t="shared" si="38"/>
        <v/>
      </c>
      <c r="AV163" s="227"/>
      <c r="AW163" s="30"/>
      <c r="AX163" s="267"/>
      <c r="AY163" s="267"/>
      <c r="AZ163" s="29"/>
      <c r="BA163" s="30"/>
      <c r="BB163" s="23" t="str" cm="1">
        <f t="array" ref="BB163">_xlfn.IFS(AW163="SIM",SUM(K163,P163,U163,Z163,AE163,AJ163,AO163,AT163,AX163,AY163),F163&lt;&gt;"",SUM(K163,P163,U163,Z163,AE163,AJ163,,AO163,AT163),F163="","")</f>
        <v/>
      </c>
      <c r="BC163" s="211" t="str" cm="1">
        <f t="array" ref="BC163">_xlfn.IFS(E163="","",G163&lt;=E163,BB163*(1-0.03),G163&lt;(E163+8),BB163,AZ163="Boleto",BB163*(1+0.001)^DATEDIF(E163,G163,"D"),AZ163="Cheque",BB163,AZ163="Dinheiro","Alterar forma pgto")</f>
        <v/>
      </c>
      <c r="BD163" s="276" t="str" cm="1">
        <f t="array" ref="BD163">IF(F163=0," ",IF(BC163&lt;BB163,(_xlfn.IFS(AW163="SIM",SUM(L163,Q163,V163,AA163,AF163,AK163,AP163,AU163)+AX163/_xlfn.XLOOKUP(_xlfn.XLOOKUP($F163,Clientes!$B$4:$B$39,Clientes!$C$4:$C$39),Cadastros!$L$6:$L$12,Cadastros!$M$6:$M$12)+IF($F163="Bernardino Furlan",AY163/2751.92,IF($F163="Mauro José Salanti",AY163/2751.92,AY163/3356)),F163&lt;&gt;0,SUM(L163,Q163,V163,AA163,AF163,AK163,AP163,AU163)))*(1-0.03),_xlfn.IFS(AW163="SIM",SUM(L163,Q163,V163,AA163,AF163,AK163,AP163,AU163)+AX163/_xlfn.XLOOKUP(_xlfn.XLOOKUP($F163,Clientes!$B$4:$B$39,Clientes!$C$4:$C$39),Cadastros!$L$6:$L$12,Cadastros!$M$6:$M$12)+IF($F163="Bernardino Furlan",AY163/2751.92,IF($F163="Mauro José Salanti",AY163/2751.92,AY163/3356)),F163&lt;&gt;0,SUM(L163,Q163,V163,AA163,AF163,AK163,AP163,AU163))))</f>
        <v xml:space="preserve"> </v>
      </c>
      <c r="BE163" s="120"/>
      <c r="BF163" s="120"/>
      <c r="BG163" s="120"/>
    </row>
    <row r="164" spans="1:59" s="3" customFormat="1" x14ac:dyDescent="0.3">
      <c r="A164" s="15" t="str">
        <f t="shared" si="26"/>
        <v/>
      </c>
      <c r="B164" s="25"/>
      <c r="C164" s="26"/>
      <c r="D164" s="279"/>
      <c r="E164" s="27"/>
      <c r="F164" s="28"/>
      <c r="G164" s="27"/>
      <c r="H164" s="28"/>
      <c r="I164" s="28"/>
      <c r="J164" s="255" t="str">
        <f>IF(H164="","",(_xlfn.XLOOKUP(H164,Cadastros!$D$6:$D$90,Cadastros!$E$6:$E$90))*(1-_xlfn.XLOOKUP(_xlfn.XLOOKUP($F164,Clientes!$B$4:$B$39,Clientes!$C$4:$C$39),Cadastros!$L$6:$L$12,Cadastros!$N$6:$N$12)))</f>
        <v/>
      </c>
      <c r="K164" s="168" t="str">
        <f t="shared" si="27"/>
        <v/>
      </c>
      <c r="L164" s="168" t="str">
        <f>IFERROR(K164/_xlfn.XLOOKUP(_xlfn.XLOOKUP($F164,Clientes!$B$4:$B$39,Clientes!$C$4:$C$39),Cadastros!$L$6:$L$12,Cadastros!$M$6:$M$12)," ")</f>
        <v xml:space="preserve"> </v>
      </c>
      <c r="M164" s="28"/>
      <c r="N164" s="28"/>
      <c r="O164" s="255" t="str">
        <f>IF(M164="","",(_xlfn.XLOOKUP(M164,Cadastros!$D$6:$D$90,Cadastros!$E$6:$E$90))*(1-_xlfn.XLOOKUP(_xlfn.XLOOKUP($F164,Clientes!$B$4:$B$39,Clientes!$C$4:$C$39),Cadastros!$L$6:$L$12,Cadastros!$N$6:$N$12)))</f>
        <v/>
      </c>
      <c r="P164" s="168" t="str">
        <f t="shared" si="28"/>
        <v/>
      </c>
      <c r="Q164" s="168" t="str">
        <f>IFERROR(P164/_xlfn.XLOOKUP(_xlfn.XLOOKUP($F164,Clientes!$B$4:$B$39,Clientes!$C$4:$C$39),Cadastros!$L$6:$L$12,Cadastros!$M$6:$M$12)," ")</f>
        <v xml:space="preserve"> </v>
      </c>
      <c r="R164" s="28"/>
      <c r="S164" s="28"/>
      <c r="T164" s="255" t="str">
        <f>IF(R164="","",(_xlfn.XLOOKUP(R164,Cadastros!$D$6:$D$90,Cadastros!$E$6:$E$90))*(1-_xlfn.XLOOKUP(_xlfn.XLOOKUP($F164,Clientes!$B$4:$B$39,Clientes!$C$4:$C$39),Cadastros!$L$6:$L$12,Cadastros!$N$6:$N$12)))</f>
        <v/>
      </c>
      <c r="U164" s="168" t="str">
        <f t="shared" si="29"/>
        <v/>
      </c>
      <c r="V164" s="168" t="str">
        <f>IFERROR(U164/_xlfn.XLOOKUP(_xlfn.XLOOKUP($F164,Clientes!$B$4:$B$39,Clientes!$C$4:$C$39),Cadastros!$L$6:$L$12,Cadastros!$M$6:$M$12)," ")</f>
        <v xml:space="preserve"> </v>
      </c>
      <c r="W164" s="28"/>
      <c r="X164" s="28"/>
      <c r="Y164" s="255" t="str">
        <f>IF(W164="","",(_xlfn.XLOOKUP(W164,Cadastros!$D$6:$D$90,Cadastros!$E$6:$E$90))*(1-_xlfn.XLOOKUP(_xlfn.XLOOKUP($F164,Clientes!$B$4:$B$39,Clientes!$C$4:$C$39),Cadastros!$L$6:$L$12,Cadastros!$N$6:$N$12)))</f>
        <v/>
      </c>
      <c r="Z164" s="168" t="str">
        <f t="shared" si="30"/>
        <v/>
      </c>
      <c r="AA164" s="168" t="str">
        <f>IFERROR(Z164/_xlfn.XLOOKUP(_xlfn.XLOOKUP($F164,Clientes!$B$4:$B$39,Clientes!$C$4:$C$39),Cadastros!$L$6:$L$12,Cadastros!$M$6:$M$12)," ")</f>
        <v xml:space="preserve"> </v>
      </c>
      <c r="AB164" s="28"/>
      <c r="AC164" s="28"/>
      <c r="AD164" s="20" t="str">
        <f>IF(AB164="","",IF($F164="Bernardino Furlan",_xlfn.XLOOKUP(AB164,Cadastros!$G$6:$G$90,Cadastros!$H$6:$H$90)*(1-0.18),IF($F164="Mauro José Salanti",_xlfn.XLOOKUP(AB164,Cadastros!$G$6:$G$90,Cadastros!$H$6:$H$90)*(1-0.18),_xlfn.XLOOKUP(AB164,Cadastros!$G$6:$G$90,Cadastros!$H$6:$H$90))))</f>
        <v/>
      </c>
      <c r="AE164" s="168" t="str">
        <f t="shared" si="31"/>
        <v/>
      </c>
      <c r="AF164" s="168" t="str">
        <f t="shared" si="32"/>
        <v/>
      </c>
      <c r="AG164" s="28"/>
      <c r="AH164" s="28"/>
      <c r="AI164" s="20" t="str">
        <f>IF(AG164="","",IF($F164="Bernardino Furlan",_xlfn.XLOOKUP(AG164,Cadastros!$G$6:$G$90,Cadastros!$H$6:$H$90)*(1-0.18),IF($F164="Mauro José Salanti",_xlfn.XLOOKUP(AG164,Cadastros!$G$6:$G$90,Cadastros!$H$6:$H$90)*(1-0.18),_xlfn.XLOOKUP(AG164,Cadastros!$G$6:$G$90,Cadastros!$H$6:$H$90))))</f>
        <v/>
      </c>
      <c r="AJ164" s="168" t="str">
        <f t="shared" si="33"/>
        <v/>
      </c>
      <c r="AK164" s="168" t="str">
        <f t="shared" si="34"/>
        <v/>
      </c>
      <c r="AL164" s="28"/>
      <c r="AM164" s="28"/>
      <c r="AN164" s="20" t="str">
        <f>IF(AL164="","",IF($F164="Bernardino Furlan",_xlfn.XLOOKUP(AL164,Cadastros!$G$6:$G$90,Cadastros!$H$6:$H$90)*(1-0.18),IF($F164="Mauro José Salanti",_xlfn.XLOOKUP(AL164,Cadastros!$G$6:$G$90,Cadastros!$H$6:$H$90)*(1-0.18),_xlfn.XLOOKUP(AL164,Cadastros!$G$6:$G$90,Cadastros!$H$6:$H$90))))</f>
        <v/>
      </c>
      <c r="AO164" s="168" t="str">
        <f t="shared" si="35"/>
        <v/>
      </c>
      <c r="AP164" s="168" t="str">
        <f t="shared" si="36"/>
        <v/>
      </c>
      <c r="AQ164" s="28"/>
      <c r="AR164" s="28"/>
      <c r="AS164" s="20" t="str">
        <f>IF(AQ164="","",IF($F164="Bernardino Furlan",_xlfn.XLOOKUP(AQ164,Cadastros!$G$6:$G$90,Cadastros!$H$6:$H$90)*(1-0.18),IF($F164="Mauro José Salanti",_xlfn.XLOOKUP(AQ164,Cadastros!$G$6:$G$90,Cadastros!$H$6:$H$90)*(1-0.18),_xlfn.XLOOKUP(AQ164,Cadastros!$G$6:$G$90,Cadastros!$H$6:$H$90))))</f>
        <v/>
      </c>
      <c r="AT164" s="168" t="str">
        <f t="shared" si="37"/>
        <v/>
      </c>
      <c r="AU164" s="168" t="str">
        <f t="shared" si="38"/>
        <v/>
      </c>
      <c r="AV164" s="227"/>
      <c r="AW164" s="30"/>
      <c r="AX164" s="267"/>
      <c r="AY164" s="267"/>
      <c r="AZ164" s="29"/>
      <c r="BA164" s="30"/>
      <c r="BB164" s="23" t="str" cm="1">
        <f t="array" ref="BB164">_xlfn.IFS(AW164="SIM",SUM(K164,P164,U164,Z164,AE164,AJ164,AO164,AT164,AX164,AY164),F164&lt;&gt;"",SUM(K164,P164,U164,Z164,AE164,AJ164,,AO164,AT164),F164="","")</f>
        <v/>
      </c>
      <c r="BC164" s="211" t="str" cm="1">
        <f t="array" ref="BC164">_xlfn.IFS(E164="","",G164&lt;=E164,BB164*(1-0.03),G164&lt;(E164+8),BB164,AZ164="Boleto",BB164*(1+0.001)^DATEDIF(E164,G164,"D"),AZ164="Cheque",BB164,AZ164="Dinheiro","Alterar forma pgto")</f>
        <v/>
      </c>
      <c r="BD164" s="276" t="str" cm="1">
        <f t="array" ref="BD164">IF(F164=0," ",IF(BC164&lt;BB164,(_xlfn.IFS(AW164="SIM",SUM(L164,Q164,V164,AA164,AF164,AK164,AP164,AU164)+AX164/_xlfn.XLOOKUP(_xlfn.XLOOKUP($F164,Clientes!$B$4:$B$39,Clientes!$C$4:$C$39),Cadastros!$L$6:$L$12,Cadastros!$M$6:$M$12)+IF($F164="Bernardino Furlan",AY164/2751.92,IF($F164="Mauro José Salanti",AY164/2751.92,AY164/3356)),F164&lt;&gt;0,SUM(L164,Q164,V164,AA164,AF164,AK164,AP164,AU164)))*(1-0.03),_xlfn.IFS(AW164="SIM",SUM(L164,Q164,V164,AA164,AF164,AK164,AP164,AU164)+AX164/_xlfn.XLOOKUP(_xlfn.XLOOKUP($F164,Clientes!$B$4:$B$39,Clientes!$C$4:$C$39),Cadastros!$L$6:$L$12,Cadastros!$M$6:$M$12)+IF($F164="Bernardino Furlan",AY164/2751.92,IF($F164="Mauro José Salanti",AY164/2751.92,AY164/3356)),F164&lt;&gt;0,SUM(L164,Q164,V164,AA164,AF164,AK164,AP164,AU164))))</f>
        <v xml:space="preserve"> </v>
      </c>
      <c r="BE164" s="120"/>
      <c r="BF164" s="120"/>
      <c r="BG164" s="120"/>
    </row>
    <row r="165" spans="1:59" s="3" customFormat="1" x14ac:dyDescent="0.3">
      <c r="A165" s="15" t="str">
        <f t="shared" si="26"/>
        <v/>
      </c>
      <c r="B165" s="25"/>
      <c r="C165" s="26"/>
      <c r="D165" s="279"/>
      <c r="E165" s="27"/>
      <c r="F165" s="28"/>
      <c r="G165" s="27"/>
      <c r="H165" s="28"/>
      <c r="I165" s="28"/>
      <c r="J165" s="255" t="str">
        <f>IF(H165="","",(_xlfn.XLOOKUP(H165,Cadastros!$D$6:$D$90,Cadastros!$E$6:$E$90))*(1-_xlfn.XLOOKUP(_xlfn.XLOOKUP($F165,Clientes!$B$4:$B$39,Clientes!$C$4:$C$39),Cadastros!$L$6:$L$12,Cadastros!$N$6:$N$12)))</f>
        <v/>
      </c>
      <c r="K165" s="168" t="str">
        <f t="shared" si="27"/>
        <v/>
      </c>
      <c r="L165" s="168" t="str">
        <f>IFERROR(K165/_xlfn.XLOOKUP(_xlfn.XLOOKUP($F165,Clientes!$B$4:$B$39,Clientes!$C$4:$C$39),Cadastros!$L$6:$L$12,Cadastros!$M$6:$M$12)," ")</f>
        <v xml:space="preserve"> </v>
      </c>
      <c r="M165" s="28"/>
      <c r="N165" s="28"/>
      <c r="O165" s="255" t="str">
        <f>IF(M165="","",(_xlfn.XLOOKUP(M165,Cadastros!$D$6:$D$90,Cadastros!$E$6:$E$90))*(1-_xlfn.XLOOKUP(_xlfn.XLOOKUP($F165,Clientes!$B$4:$B$39,Clientes!$C$4:$C$39),Cadastros!$L$6:$L$12,Cadastros!$N$6:$N$12)))</f>
        <v/>
      </c>
      <c r="P165" s="168" t="str">
        <f t="shared" si="28"/>
        <v/>
      </c>
      <c r="Q165" s="168" t="str">
        <f>IFERROR(P165/_xlfn.XLOOKUP(_xlfn.XLOOKUP($F165,Clientes!$B$4:$B$39,Clientes!$C$4:$C$39),Cadastros!$L$6:$L$12,Cadastros!$M$6:$M$12)," ")</f>
        <v xml:space="preserve"> </v>
      </c>
      <c r="R165" s="28"/>
      <c r="S165" s="28"/>
      <c r="T165" s="255" t="str">
        <f>IF(R165="","",(_xlfn.XLOOKUP(R165,Cadastros!$D$6:$D$90,Cadastros!$E$6:$E$90))*(1-_xlfn.XLOOKUP(_xlfn.XLOOKUP($F165,Clientes!$B$4:$B$39,Clientes!$C$4:$C$39),Cadastros!$L$6:$L$12,Cadastros!$N$6:$N$12)))</f>
        <v/>
      </c>
      <c r="U165" s="168" t="str">
        <f t="shared" si="29"/>
        <v/>
      </c>
      <c r="V165" s="168" t="str">
        <f>IFERROR(U165/_xlfn.XLOOKUP(_xlfn.XLOOKUP($F165,Clientes!$B$4:$B$39,Clientes!$C$4:$C$39),Cadastros!$L$6:$L$12,Cadastros!$M$6:$M$12)," ")</f>
        <v xml:space="preserve"> </v>
      </c>
      <c r="W165" s="28"/>
      <c r="X165" s="28"/>
      <c r="Y165" s="255" t="str">
        <f>IF(W165="","",(_xlfn.XLOOKUP(W165,Cadastros!$D$6:$D$90,Cadastros!$E$6:$E$90))*(1-_xlfn.XLOOKUP(_xlfn.XLOOKUP($F165,Clientes!$B$4:$B$39,Clientes!$C$4:$C$39),Cadastros!$L$6:$L$12,Cadastros!$N$6:$N$12)))</f>
        <v/>
      </c>
      <c r="Z165" s="168" t="str">
        <f t="shared" si="30"/>
        <v/>
      </c>
      <c r="AA165" s="168" t="str">
        <f>IFERROR(Z165/_xlfn.XLOOKUP(_xlfn.XLOOKUP($F165,Clientes!$B$4:$B$39,Clientes!$C$4:$C$39),Cadastros!$L$6:$L$12,Cadastros!$M$6:$M$12)," ")</f>
        <v xml:space="preserve"> </v>
      </c>
      <c r="AB165" s="28"/>
      <c r="AC165" s="28"/>
      <c r="AD165" s="20" t="str">
        <f>IF(AB165="","",IF($F165="Bernardino Furlan",_xlfn.XLOOKUP(AB165,Cadastros!$G$6:$G$90,Cadastros!$H$6:$H$90)*(1-0.18),IF($F165="Mauro José Salanti",_xlfn.XLOOKUP(AB165,Cadastros!$G$6:$G$90,Cadastros!$H$6:$H$90)*(1-0.18),_xlfn.XLOOKUP(AB165,Cadastros!$G$6:$G$90,Cadastros!$H$6:$H$90))))</f>
        <v/>
      </c>
      <c r="AE165" s="168" t="str">
        <f t="shared" si="31"/>
        <v/>
      </c>
      <c r="AF165" s="168" t="str">
        <f t="shared" si="32"/>
        <v/>
      </c>
      <c r="AG165" s="28"/>
      <c r="AH165" s="28"/>
      <c r="AI165" s="20" t="str">
        <f>IF(AG165="","",IF($F165="Bernardino Furlan",_xlfn.XLOOKUP(AG165,Cadastros!$G$6:$G$90,Cadastros!$H$6:$H$90)*(1-0.18),IF($F165="Mauro José Salanti",_xlfn.XLOOKUP(AG165,Cadastros!$G$6:$G$90,Cadastros!$H$6:$H$90)*(1-0.18),_xlfn.XLOOKUP(AG165,Cadastros!$G$6:$G$90,Cadastros!$H$6:$H$90))))</f>
        <v/>
      </c>
      <c r="AJ165" s="168" t="str">
        <f t="shared" si="33"/>
        <v/>
      </c>
      <c r="AK165" s="168" t="str">
        <f t="shared" si="34"/>
        <v/>
      </c>
      <c r="AL165" s="28"/>
      <c r="AM165" s="28"/>
      <c r="AN165" s="20" t="str">
        <f>IF(AL165="","",IF($F165="Bernardino Furlan",_xlfn.XLOOKUP(AL165,Cadastros!$G$6:$G$90,Cadastros!$H$6:$H$90)*(1-0.18),IF($F165="Mauro José Salanti",_xlfn.XLOOKUP(AL165,Cadastros!$G$6:$G$90,Cadastros!$H$6:$H$90)*(1-0.18),_xlfn.XLOOKUP(AL165,Cadastros!$G$6:$G$90,Cadastros!$H$6:$H$90))))</f>
        <v/>
      </c>
      <c r="AO165" s="168" t="str">
        <f t="shared" si="35"/>
        <v/>
      </c>
      <c r="AP165" s="168" t="str">
        <f t="shared" si="36"/>
        <v/>
      </c>
      <c r="AQ165" s="28"/>
      <c r="AR165" s="28"/>
      <c r="AS165" s="20" t="str">
        <f>IF(AQ165="","",IF($F165="Bernardino Furlan",_xlfn.XLOOKUP(AQ165,Cadastros!$G$6:$G$90,Cadastros!$H$6:$H$90)*(1-0.18),IF($F165="Mauro José Salanti",_xlfn.XLOOKUP(AQ165,Cadastros!$G$6:$G$90,Cadastros!$H$6:$H$90)*(1-0.18),_xlfn.XLOOKUP(AQ165,Cadastros!$G$6:$G$90,Cadastros!$H$6:$H$90))))</f>
        <v/>
      </c>
      <c r="AT165" s="168" t="str">
        <f t="shared" si="37"/>
        <v/>
      </c>
      <c r="AU165" s="168" t="str">
        <f t="shared" si="38"/>
        <v/>
      </c>
      <c r="AV165" s="227"/>
      <c r="AW165" s="30"/>
      <c r="AX165" s="267"/>
      <c r="AY165" s="267"/>
      <c r="AZ165" s="29"/>
      <c r="BA165" s="30"/>
      <c r="BB165" s="23" t="str" cm="1">
        <f t="array" ref="BB165">_xlfn.IFS(AW165="SIM",SUM(K165,P165,U165,Z165,AE165,AJ165,AO165,AT165,AX165,AY165),F165&lt;&gt;"",SUM(K165,P165,U165,Z165,AE165,AJ165,,AO165,AT165),F165="","")</f>
        <v/>
      </c>
      <c r="BC165" s="211" t="str" cm="1">
        <f t="array" ref="BC165">_xlfn.IFS(E165="","",G165&lt;=E165,BB165*(1-0.03),G165&lt;(E165+8),BB165,AZ165="Boleto",BB165*(1+0.001)^DATEDIF(E165,G165,"D"),AZ165="Cheque",BB165,AZ165="Dinheiro","Alterar forma pgto")</f>
        <v/>
      </c>
      <c r="BD165" s="276" t="str" cm="1">
        <f t="array" ref="BD165">IF(F165=0," ",IF(BC165&lt;BB165,(_xlfn.IFS(AW165="SIM",SUM(L165,Q165,V165,AA165,AF165,AK165,AP165,AU165)+AX165/_xlfn.XLOOKUP(_xlfn.XLOOKUP($F165,Clientes!$B$4:$B$39,Clientes!$C$4:$C$39),Cadastros!$L$6:$L$12,Cadastros!$M$6:$M$12)+IF($F165="Bernardino Furlan",AY165/2751.92,IF($F165="Mauro José Salanti",AY165/2751.92,AY165/3356)),F165&lt;&gt;0,SUM(L165,Q165,V165,AA165,AF165,AK165,AP165,AU165)))*(1-0.03),_xlfn.IFS(AW165="SIM",SUM(L165,Q165,V165,AA165,AF165,AK165,AP165,AU165)+AX165/_xlfn.XLOOKUP(_xlfn.XLOOKUP($F165,Clientes!$B$4:$B$39,Clientes!$C$4:$C$39),Cadastros!$L$6:$L$12,Cadastros!$M$6:$M$12)+IF($F165="Bernardino Furlan",AY165/2751.92,IF($F165="Mauro José Salanti",AY165/2751.92,AY165/3356)),F165&lt;&gt;0,SUM(L165,Q165,V165,AA165,AF165,AK165,AP165,AU165))))</f>
        <v xml:space="preserve"> </v>
      </c>
      <c r="BE165" s="120"/>
      <c r="BF165" s="120"/>
      <c r="BG165" s="120"/>
    </row>
    <row r="166" spans="1:59" s="3" customFormat="1" x14ac:dyDescent="0.3">
      <c r="A166" s="15" t="str">
        <f t="shared" si="26"/>
        <v/>
      </c>
      <c r="B166" s="25"/>
      <c r="C166" s="26"/>
      <c r="D166" s="279"/>
      <c r="E166" s="27"/>
      <c r="F166" s="28"/>
      <c r="G166" s="27"/>
      <c r="H166" s="28"/>
      <c r="I166" s="28"/>
      <c r="J166" s="255" t="str">
        <f>IF(H166="","",(_xlfn.XLOOKUP(H166,Cadastros!$D$6:$D$90,Cadastros!$E$6:$E$90))*(1-_xlfn.XLOOKUP(_xlfn.XLOOKUP($F166,Clientes!$B$4:$B$39,Clientes!$C$4:$C$39),Cadastros!$L$6:$L$12,Cadastros!$N$6:$N$12)))</f>
        <v/>
      </c>
      <c r="K166" s="168" t="str">
        <f t="shared" si="27"/>
        <v/>
      </c>
      <c r="L166" s="168" t="str">
        <f>IFERROR(K166/_xlfn.XLOOKUP(_xlfn.XLOOKUP($F166,Clientes!$B$4:$B$39,Clientes!$C$4:$C$39),Cadastros!$L$6:$L$12,Cadastros!$M$6:$M$12)," ")</f>
        <v xml:space="preserve"> </v>
      </c>
      <c r="M166" s="28"/>
      <c r="N166" s="28"/>
      <c r="O166" s="255" t="str">
        <f>IF(M166="","",(_xlfn.XLOOKUP(M166,Cadastros!$D$6:$D$90,Cadastros!$E$6:$E$90))*(1-_xlfn.XLOOKUP(_xlfn.XLOOKUP($F166,Clientes!$B$4:$B$39,Clientes!$C$4:$C$39),Cadastros!$L$6:$L$12,Cadastros!$N$6:$N$12)))</f>
        <v/>
      </c>
      <c r="P166" s="168" t="str">
        <f t="shared" si="28"/>
        <v/>
      </c>
      <c r="Q166" s="168" t="str">
        <f>IFERROR(P166/_xlfn.XLOOKUP(_xlfn.XLOOKUP($F166,Clientes!$B$4:$B$39,Clientes!$C$4:$C$39),Cadastros!$L$6:$L$12,Cadastros!$M$6:$M$12)," ")</f>
        <v xml:space="preserve"> </v>
      </c>
      <c r="R166" s="28"/>
      <c r="S166" s="28"/>
      <c r="T166" s="255" t="str">
        <f>IF(R166="","",(_xlfn.XLOOKUP(R166,Cadastros!$D$6:$D$90,Cadastros!$E$6:$E$90))*(1-_xlfn.XLOOKUP(_xlfn.XLOOKUP($F166,Clientes!$B$4:$B$39,Clientes!$C$4:$C$39),Cadastros!$L$6:$L$12,Cadastros!$N$6:$N$12)))</f>
        <v/>
      </c>
      <c r="U166" s="168" t="str">
        <f t="shared" si="29"/>
        <v/>
      </c>
      <c r="V166" s="168" t="str">
        <f>IFERROR(U166/_xlfn.XLOOKUP(_xlfn.XLOOKUP($F166,Clientes!$B$4:$B$39,Clientes!$C$4:$C$39),Cadastros!$L$6:$L$12,Cadastros!$M$6:$M$12)," ")</f>
        <v xml:space="preserve"> </v>
      </c>
      <c r="W166" s="28"/>
      <c r="X166" s="28"/>
      <c r="Y166" s="255" t="str">
        <f>IF(W166="","",(_xlfn.XLOOKUP(W166,Cadastros!$D$6:$D$90,Cadastros!$E$6:$E$90))*(1-_xlfn.XLOOKUP(_xlfn.XLOOKUP($F166,Clientes!$B$4:$B$39,Clientes!$C$4:$C$39),Cadastros!$L$6:$L$12,Cadastros!$N$6:$N$12)))</f>
        <v/>
      </c>
      <c r="Z166" s="168" t="str">
        <f t="shared" si="30"/>
        <v/>
      </c>
      <c r="AA166" s="168" t="str">
        <f>IFERROR(Z166/_xlfn.XLOOKUP(_xlfn.XLOOKUP($F166,Clientes!$B$4:$B$39,Clientes!$C$4:$C$39),Cadastros!$L$6:$L$12,Cadastros!$M$6:$M$12)," ")</f>
        <v xml:space="preserve"> </v>
      </c>
      <c r="AB166" s="28"/>
      <c r="AC166" s="28"/>
      <c r="AD166" s="20" t="str">
        <f>IF(AB166="","",IF($F166="Bernardino Furlan",_xlfn.XLOOKUP(AB166,Cadastros!$G$6:$G$90,Cadastros!$H$6:$H$90)*(1-0.18),IF($F166="Mauro José Salanti",_xlfn.XLOOKUP(AB166,Cadastros!$G$6:$G$90,Cadastros!$H$6:$H$90)*(1-0.18),_xlfn.XLOOKUP(AB166,Cadastros!$G$6:$G$90,Cadastros!$H$6:$H$90))))</f>
        <v/>
      </c>
      <c r="AE166" s="168" t="str">
        <f t="shared" si="31"/>
        <v/>
      </c>
      <c r="AF166" s="168" t="str">
        <f t="shared" si="32"/>
        <v/>
      </c>
      <c r="AG166" s="28"/>
      <c r="AH166" s="28"/>
      <c r="AI166" s="20" t="str">
        <f>IF(AG166="","",IF($F166="Bernardino Furlan",_xlfn.XLOOKUP(AG166,Cadastros!$G$6:$G$90,Cadastros!$H$6:$H$90)*(1-0.18),IF($F166="Mauro José Salanti",_xlfn.XLOOKUP(AG166,Cadastros!$G$6:$G$90,Cadastros!$H$6:$H$90)*(1-0.18),_xlfn.XLOOKUP(AG166,Cadastros!$G$6:$G$90,Cadastros!$H$6:$H$90))))</f>
        <v/>
      </c>
      <c r="AJ166" s="168" t="str">
        <f t="shared" si="33"/>
        <v/>
      </c>
      <c r="AK166" s="168" t="str">
        <f t="shared" si="34"/>
        <v/>
      </c>
      <c r="AL166" s="28"/>
      <c r="AM166" s="28"/>
      <c r="AN166" s="20" t="str">
        <f>IF(AL166="","",IF($F166="Bernardino Furlan",_xlfn.XLOOKUP(AL166,Cadastros!$G$6:$G$90,Cadastros!$H$6:$H$90)*(1-0.18),IF($F166="Mauro José Salanti",_xlfn.XLOOKUP(AL166,Cadastros!$G$6:$G$90,Cadastros!$H$6:$H$90)*(1-0.18),_xlfn.XLOOKUP(AL166,Cadastros!$G$6:$G$90,Cadastros!$H$6:$H$90))))</f>
        <v/>
      </c>
      <c r="AO166" s="168" t="str">
        <f t="shared" si="35"/>
        <v/>
      </c>
      <c r="AP166" s="168" t="str">
        <f t="shared" si="36"/>
        <v/>
      </c>
      <c r="AQ166" s="28"/>
      <c r="AR166" s="28"/>
      <c r="AS166" s="20" t="str">
        <f>IF(AQ166="","",IF($F166="Bernardino Furlan",_xlfn.XLOOKUP(AQ166,Cadastros!$G$6:$G$90,Cadastros!$H$6:$H$90)*(1-0.18),IF($F166="Mauro José Salanti",_xlfn.XLOOKUP(AQ166,Cadastros!$G$6:$G$90,Cadastros!$H$6:$H$90)*(1-0.18),_xlfn.XLOOKUP(AQ166,Cadastros!$G$6:$G$90,Cadastros!$H$6:$H$90))))</f>
        <v/>
      </c>
      <c r="AT166" s="168" t="str">
        <f t="shared" si="37"/>
        <v/>
      </c>
      <c r="AU166" s="168" t="str">
        <f t="shared" si="38"/>
        <v/>
      </c>
      <c r="AV166" s="227"/>
      <c r="AW166" s="30"/>
      <c r="AX166" s="267"/>
      <c r="AY166" s="267"/>
      <c r="AZ166" s="29"/>
      <c r="BA166" s="30"/>
      <c r="BB166" s="23" t="str" cm="1">
        <f t="array" ref="BB166">_xlfn.IFS(AW166="SIM",SUM(K166,P166,U166,Z166,AE166,AJ166,AO166,AT166,AX166,AY166),F166&lt;&gt;"",SUM(K166,P166,U166,Z166,AE166,AJ166,,AO166,AT166),F166="","")</f>
        <v/>
      </c>
      <c r="BC166" s="211" t="str" cm="1">
        <f t="array" ref="BC166">_xlfn.IFS(E166="","",G166&lt;=E166,BB166*(1-0.03),G166&lt;(E166+8),BB166,AZ166="Boleto",BB166*(1+0.001)^DATEDIF(E166,G166,"D"),AZ166="Cheque",BB166,AZ166="Dinheiro","Alterar forma pgto")</f>
        <v/>
      </c>
      <c r="BD166" s="276" t="str" cm="1">
        <f t="array" ref="BD166">IF(F166=0," ",IF(BC166&lt;BB166,(_xlfn.IFS(AW166="SIM",SUM(L166,Q166,V166,AA166,AF166,AK166,AP166,AU166)+AX166/_xlfn.XLOOKUP(_xlfn.XLOOKUP($F166,Clientes!$B$4:$B$39,Clientes!$C$4:$C$39),Cadastros!$L$6:$L$12,Cadastros!$M$6:$M$12)+IF($F166="Bernardino Furlan",AY166/2751.92,IF($F166="Mauro José Salanti",AY166/2751.92,AY166/3356)),F166&lt;&gt;0,SUM(L166,Q166,V166,AA166,AF166,AK166,AP166,AU166)))*(1-0.03),_xlfn.IFS(AW166="SIM",SUM(L166,Q166,V166,AA166,AF166,AK166,AP166,AU166)+AX166/_xlfn.XLOOKUP(_xlfn.XLOOKUP($F166,Clientes!$B$4:$B$39,Clientes!$C$4:$C$39),Cadastros!$L$6:$L$12,Cadastros!$M$6:$M$12)+IF($F166="Bernardino Furlan",AY166/2751.92,IF($F166="Mauro José Salanti",AY166/2751.92,AY166/3356)),F166&lt;&gt;0,SUM(L166,Q166,V166,AA166,AF166,AK166,AP166,AU166))))</f>
        <v xml:space="preserve"> </v>
      </c>
      <c r="BE166" s="120"/>
      <c r="BF166" s="120"/>
      <c r="BG166" s="120"/>
    </row>
    <row r="167" spans="1:59" s="3" customFormat="1" x14ac:dyDescent="0.3">
      <c r="A167" s="15" t="str">
        <f t="shared" si="26"/>
        <v/>
      </c>
      <c r="B167" s="25"/>
      <c r="C167" s="26"/>
      <c r="D167" s="279"/>
      <c r="E167" s="27"/>
      <c r="F167" s="28"/>
      <c r="G167" s="27"/>
      <c r="H167" s="28"/>
      <c r="I167" s="28"/>
      <c r="J167" s="255" t="str">
        <f>IF(H167="","",(_xlfn.XLOOKUP(H167,Cadastros!$D$6:$D$90,Cadastros!$E$6:$E$90))*(1-_xlfn.XLOOKUP(_xlfn.XLOOKUP($F167,Clientes!$B$4:$B$39,Clientes!$C$4:$C$39),Cadastros!$L$6:$L$12,Cadastros!$N$6:$N$12)))</f>
        <v/>
      </c>
      <c r="K167" s="168" t="str">
        <f t="shared" si="27"/>
        <v/>
      </c>
      <c r="L167" s="168" t="str">
        <f>IFERROR(K167/_xlfn.XLOOKUP(_xlfn.XLOOKUP($F167,Clientes!$B$4:$B$39,Clientes!$C$4:$C$39),Cadastros!$L$6:$L$12,Cadastros!$M$6:$M$12)," ")</f>
        <v xml:space="preserve"> </v>
      </c>
      <c r="M167" s="28"/>
      <c r="N167" s="28"/>
      <c r="O167" s="255" t="str">
        <f>IF(M167="","",(_xlfn.XLOOKUP(M167,Cadastros!$D$6:$D$90,Cadastros!$E$6:$E$90))*(1-_xlfn.XLOOKUP(_xlfn.XLOOKUP($F167,Clientes!$B$4:$B$39,Clientes!$C$4:$C$39),Cadastros!$L$6:$L$12,Cadastros!$N$6:$N$12)))</f>
        <v/>
      </c>
      <c r="P167" s="168" t="str">
        <f t="shared" si="28"/>
        <v/>
      </c>
      <c r="Q167" s="168" t="str">
        <f>IFERROR(P167/_xlfn.XLOOKUP(_xlfn.XLOOKUP($F167,Clientes!$B$4:$B$39,Clientes!$C$4:$C$39),Cadastros!$L$6:$L$12,Cadastros!$M$6:$M$12)," ")</f>
        <v xml:space="preserve"> </v>
      </c>
      <c r="R167" s="28"/>
      <c r="S167" s="28"/>
      <c r="T167" s="255" t="str">
        <f>IF(R167="","",(_xlfn.XLOOKUP(R167,Cadastros!$D$6:$D$90,Cadastros!$E$6:$E$90))*(1-_xlfn.XLOOKUP(_xlfn.XLOOKUP($F167,Clientes!$B$4:$B$39,Clientes!$C$4:$C$39),Cadastros!$L$6:$L$12,Cadastros!$N$6:$N$12)))</f>
        <v/>
      </c>
      <c r="U167" s="168" t="str">
        <f t="shared" si="29"/>
        <v/>
      </c>
      <c r="V167" s="168" t="str">
        <f>IFERROR(U167/_xlfn.XLOOKUP(_xlfn.XLOOKUP($F167,Clientes!$B$4:$B$39,Clientes!$C$4:$C$39),Cadastros!$L$6:$L$12,Cadastros!$M$6:$M$12)," ")</f>
        <v xml:space="preserve"> </v>
      </c>
      <c r="W167" s="28"/>
      <c r="X167" s="28"/>
      <c r="Y167" s="255" t="str">
        <f>IF(W167="","",(_xlfn.XLOOKUP(W167,Cadastros!$D$6:$D$90,Cadastros!$E$6:$E$90))*(1-_xlfn.XLOOKUP(_xlfn.XLOOKUP($F167,Clientes!$B$4:$B$39,Clientes!$C$4:$C$39),Cadastros!$L$6:$L$12,Cadastros!$N$6:$N$12)))</f>
        <v/>
      </c>
      <c r="Z167" s="168" t="str">
        <f t="shared" si="30"/>
        <v/>
      </c>
      <c r="AA167" s="168" t="str">
        <f>IFERROR(Z167/_xlfn.XLOOKUP(_xlfn.XLOOKUP($F167,Clientes!$B$4:$B$39,Clientes!$C$4:$C$39),Cadastros!$L$6:$L$12,Cadastros!$M$6:$M$12)," ")</f>
        <v xml:space="preserve"> </v>
      </c>
      <c r="AB167" s="28"/>
      <c r="AC167" s="28"/>
      <c r="AD167" s="20" t="str">
        <f>IF(AB167="","",IF($F167="Bernardino Furlan",_xlfn.XLOOKUP(AB167,Cadastros!$G$6:$G$90,Cadastros!$H$6:$H$90)*(1-0.18),IF($F167="Mauro José Salanti",_xlfn.XLOOKUP(AB167,Cadastros!$G$6:$G$90,Cadastros!$H$6:$H$90)*(1-0.18),_xlfn.XLOOKUP(AB167,Cadastros!$G$6:$G$90,Cadastros!$H$6:$H$90))))</f>
        <v/>
      </c>
      <c r="AE167" s="168" t="str">
        <f t="shared" si="31"/>
        <v/>
      </c>
      <c r="AF167" s="168" t="str">
        <f t="shared" si="32"/>
        <v/>
      </c>
      <c r="AG167" s="28"/>
      <c r="AH167" s="28"/>
      <c r="AI167" s="20" t="str">
        <f>IF(AG167="","",IF($F167="Bernardino Furlan",_xlfn.XLOOKUP(AG167,Cadastros!$G$6:$G$90,Cadastros!$H$6:$H$90)*(1-0.18),IF($F167="Mauro José Salanti",_xlfn.XLOOKUP(AG167,Cadastros!$G$6:$G$90,Cadastros!$H$6:$H$90)*(1-0.18),_xlfn.XLOOKUP(AG167,Cadastros!$G$6:$G$90,Cadastros!$H$6:$H$90))))</f>
        <v/>
      </c>
      <c r="AJ167" s="168" t="str">
        <f t="shared" si="33"/>
        <v/>
      </c>
      <c r="AK167" s="168" t="str">
        <f t="shared" si="34"/>
        <v/>
      </c>
      <c r="AL167" s="28"/>
      <c r="AM167" s="28"/>
      <c r="AN167" s="20" t="str">
        <f>IF(AL167="","",IF($F167="Bernardino Furlan",_xlfn.XLOOKUP(AL167,Cadastros!$G$6:$G$90,Cadastros!$H$6:$H$90)*(1-0.18),IF($F167="Mauro José Salanti",_xlfn.XLOOKUP(AL167,Cadastros!$G$6:$G$90,Cadastros!$H$6:$H$90)*(1-0.18),_xlfn.XLOOKUP(AL167,Cadastros!$G$6:$G$90,Cadastros!$H$6:$H$90))))</f>
        <v/>
      </c>
      <c r="AO167" s="168" t="str">
        <f t="shared" si="35"/>
        <v/>
      </c>
      <c r="AP167" s="168" t="str">
        <f t="shared" si="36"/>
        <v/>
      </c>
      <c r="AQ167" s="28"/>
      <c r="AR167" s="28"/>
      <c r="AS167" s="20" t="str">
        <f>IF(AQ167="","",IF($F167="Bernardino Furlan",_xlfn.XLOOKUP(AQ167,Cadastros!$G$6:$G$90,Cadastros!$H$6:$H$90)*(1-0.18),IF($F167="Mauro José Salanti",_xlfn.XLOOKUP(AQ167,Cadastros!$G$6:$G$90,Cadastros!$H$6:$H$90)*(1-0.18),_xlfn.XLOOKUP(AQ167,Cadastros!$G$6:$G$90,Cadastros!$H$6:$H$90))))</f>
        <v/>
      </c>
      <c r="AT167" s="168" t="str">
        <f t="shared" si="37"/>
        <v/>
      </c>
      <c r="AU167" s="168" t="str">
        <f t="shared" si="38"/>
        <v/>
      </c>
      <c r="AV167" s="227"/>
      <c r="AW167" s="30"/>
      <c r="AX167" s="267"/>
      <c r="AY167" s="267"/>
      <c r="AZ167" s="29"/>
      <c r="BA167" s="30"/>
      <c r="BB167" s="23" t="str" cm="1">
        <f t="array" ref="BB167">_xlfn.IFS(AW167="SIM",SUM(K167,P167,U167,Z167,AE167,AJ167,AO167,AT167,AX167,AY167),F167&lt;&gt;"",SUM(K167,P167,U167,Z167,AE167,AJ167,,AO167,AT167),F167="","")</f>
        <v/>
      </c>
      <c r="BC167" s="211" t="str" cm="1">
        <f t="array" ref="BC167">_xlfn.IFS(E167="","",G167&lt;=E167,BB167*(1-0.03),G167&lt;(E167+8),BB167,AZ167="Boleto",BB167*(1+0.001)^DATEDIF(E167,G167,"D"),AZ167="Cheque",BB167,AZ167="Dinheiro","Alterar forma pgto")</f>
        <v/>
      </c>
      <c r="BD167" s="276" t="str" cm="1">
        <f t="array" ref="BD167">IF(F167=0," ",IF(BC167&lt;BB167,(_xlfn.IFS(AW167="SIM",SUM(L167,Q167,V167,AA167,AF167,AK167,AP167,AU167)+AX167/_xlfn.XLOOKUP(_xlfn.XLOOKUP($F167,Clientes!$B$4:$B$39,Clientes!$C$4:$C$39),Cadastros!$L$6:$L$12,Cadastros!$M$6:$M$12)+IF($F167="Bernardino Furlan",AY167/2751.92,IF($F167="Mauro José Salanti",AY167/2751.92,AY167/3356)),F167&lt;&gt;0,SUM(L167,Q167,V167,AA167,AF167,AK167,AP167,AU167)))*(1-0.03),_xlfn.IFS(AW167="SIM",SUM(L167,Q167,V167,AA167,AF167,AK167,AP167,AU167)+AX167/_xlfn.XLOOKUP(_xlfn.XLOOKUP($F167,Clientes!$B$4:$B$39,Clientes!$C$4:$C$39),Cadastros!$L$6:$L$12,Cadastros!$M$6:$M$12)+IF($F167="Bernardino Furlan",AY167/2751.92,IF($F167="Mauro José Salanti",AY167/2751.92,AY167/3356)),F167&lt;&gt;0,SUM(L167,Q167,V167,AA167,AF167,AK167,AP167,AU167))))</f>
        <v xml:space="preserve"> </v>
      </c>
      <c r="BE167" s="120"/>
      <c r="BF167" s="120"/>
      <c r="BG167" s="120"/>
    </row>
    <row r="168" spans="1:59" s="3" customFormat="1" x14ac:dyDescent="0.3">
      <c r="A168" s="15" t="str">
        <f t="shared" si="26"/>
        <v/>
      </c>
      <c r="B168" s="25"/>
      <c r="C168" s="26"/>
      <c r="D168" s="279"/>
      <c r="E168" s="27"/>
      <c r="F168" s="28"/>
      <c r="G168" s="27"/>
      <c r="H168" s="28"/>
      <c r="I168" s="28"/>
      <c r="J168" s="255" t="str">
        <f>IF(H168="","",(_xlfn.XLOOKUP(H168,Cadastros!$D$6:$D$90,Cadastros!$E$6:$E$90))*(1-_xlfn.XLOOKUP(_xlfn.XLOOKUP($F168,Clientes!$B$4:$B$39,Clientes!$C$4:$C$39),Cadastros!$L$6:$L$12,Cadastros!$N$6:$N$12)))</f>
        <v/>
      </c>
      <c r="K168" s="168" t="str">
        <f t="shared" si="27"/>
        <v/>
      </c>
      <c r="L168" s="168" t="str">
        <f>IFERROR(K168/_xlfn.XLOOKUP(_xlfn.XLOOKUP($F168,Clientes!$B$4:$B$39,Clientes!$C$4:$C$39),Cadastros!$L$6:$L$12,Cadastros!$M$6:$M$12)," ")</f>
        <v xml:space="preserve"> </v>
      </c>
      <c r="M168" s="28"/>
      <c r="N168" s="28"/>
      <c r="O168" s="255" t="str">
        <f>IF(M168="","",(_xlfn.XLOOKUP(M168,Cadastros!$D$6:$D$90,Cadastros!$E$6:$E$90))*(1-_xlfn.XLOOKUP(_xlfn.XLOOKUP($F168,Clientes!$B$4:$B$39,Clientes!$C$4:$C$39),Cadastros!$L$6:$L$12,Cadastros!$N$6:$N$12)))</f>
        <v/>
      </c>
      <c r="P168" s="168" t="str">
        <f t="shared" si="28"/>
        <v/>
      </c>
      <c r="Q168" s="168" t="str">
        <f>IFERROR(P168/_xlfn.XLOOKUP(_xlfn.XLOOKUP($F168,Clientes!$B$4:$B$39,Clientes!$C$4:$C$39),Cadastros!$L$6:$L$12,Cadastros!$M$6:$M$12)," ")</f>
        <v xml:space="preserve"> </v>
      </c>
      <c r="R168" s="28"/>
      <c r="S168" s="28"/>
      <c r="T168" s="255" t="str">
        <f>IF(R168="","",(_xlfn.XLOOKUP(R168,Cadastros!$D$6:$D$90,Cadastros!$E$6:$E$90))*(1-_xlfn.XLOOKUP(_xlfn.XLOOKUP($F168,Clientes!$B$4:$B$39,Clientes!$C$4:$C$39),Cadastros!$L$6:$L$12,Cadastros!$N$6:$N$12)))</f>
        <v/>
      </c>
      <c r="U168" s="168" t="str">
        <f t="shared" si="29"/>
        <v/>
      </c>
      <c r="V168" s="168" t="str">
        <f>IFERROR(U168/_xlfn.XLOOKUP(_xlfn.XLOOKUP($F168,Clientes!$B$4:$B$39,Clientes!$C$4:$C$39),Cadastros!$L$6:$L$12,Cadastros!$M$6:$M$12)," ")</f>
        <v xml:space="preserve"> </v>
      </c>
      <c r="W168" s="28"/>
      <c r="X168" s="28"/>
      <c r="Y168" s="255" t="str">
        <f>IF(W168="","",(_xlfn.XLOOKUP(W168,Cadastros!$D$6:$D$90,Cadastros!$E$6:$E$90))*(1-_xlfn.XLOOKUP(_xlfn.XLOOKUP($F168,Clientes!$B$4:$B$39,Clientes!$C$4:$C$39),Cadastros!$L$6:$L$12,Cadastros!$N$6:$N$12)))</f>
        <v/>
      </c>
      <c r="Z168" s="168" t="str">
        <f t="shared" si="30"/>
        <v/>
      </c>
      <c r="AA168" s="168" t="str">
        <f>IFERROR(Z168/_xlfn.XLOOKUP(_xlfn.XLOOKUP($F168,Clientes!$B$4:$B$39,Clientes!$C$4:$C$39),Cadastros!$L$6:$L$12,Cadastros!$M$6:$M$12)," ")</f>
        <v xml:space="preserve"> </v>
      </c>
      <c r="AB168" s="28"/>
      <c r="AC168" s="28"/>
      <c r="AD168" s="20" t="str">
        <f>IF(AB168="","",IF($F168="Bernardino Furlan",_xlfn.XLOOKUP(AB168,Cadastros!$G$6:$G$90,Cadastros!$H$6:$H$90)*(1-0.18),IF($F168="Mauro José Salanti",_xlfn.XLOOKUP(AB168,Cadastros!$G$6:$G$90,Cadastros!$H$6:$H$90)*(1-0.18),_xlfn.XLOOKUP(AB168,Cadastros!$G$6:$G$90,Cadastros!$H$6:$H$90))))</f>
        <v/>
      </c>
      <c r="AE168" s="168" t="str">
        <f t="shared" si="31"/>
        <v/>
      </c>
      <c r="AF168" s="168" t="str">
        <f t="shared" si="32"/>
        <v/>
      </c>
      <c r="AG168" s="28"/>
      <c r="AH168" s="28"/>
      <c r="AI168" s="20" t="str">
        <f>IF(AG168="","",IF($F168="Bernardino Furlan",_xlfn.XLOOKUP(AG168,Cadastros!$G$6:$G$90,Cadastros!$H$6:$H$90)*(1-0.18),IF($F168="Mauro José Salanti",_xlfn.XLOOKUP(AG168,Cadastros!$G$6:$G$90,Cadastros!$H$6:$H$90)*(1-0.18),_xlfn.XLOOKUP(AG168,Cadastros!$G$6:$G$90,Cadastros!$H$6:$H$90))))</f>
        <v/>
      </c>
      <c r="AJ168" s="168" t="str">
        <f t="shared" si="33"/>
        <v/>
      </c>
      <c r="AK168" s="168" t="str">
        <f t="shared" si="34"/>
        <v/>
      </c>
      <c r="AL168" s="28"/>
      <c r="AM168" s="28"/>
      <c r="AN168" s="20" t="str">
        <f>IF(AL168="","",IF($F168="Bernardino Furlan",_xlfn.XLOOKUP(AL168,Cadastros!$G$6:$G$90,Cadastros!$H$6:$H$90)*(1-0.18),IF($F168="Mauro José Salanti",_xlfn.XLOOKUP(AL168,Cadastros!$G$6:$G$90,Cadastros!$H$6:$H$90)*(1-0.18),_xlfn.XLOOKUP(AL168,Cadastros!$G$6:$G$90,Cadastros!$H$6:$H$90))))</f>
        <v/>
      </c>
      <c r="AO168" s="168" t="str">
        <f t="shared" si="35"/>
        <v/>
      </c>
      <c r="AP168" s="168" t="str">
        <f t="shared" si="36"/>
        <v/>
      </c>
      <c r="AQ168" s="28"/>
      <c r="AR168" s="28"/>
      <c r="AS168" s="20" t="str">
        <f>IF(AQ168="","",IF($F168="Bernardino Furlan",_xlfn.XLOOKUP(AQ168,Cadastros!$G$6:$G$90,Cadastros!$H$6:$H$90)*(1-0.18),IF($F168="Mauro José Salanti",_xlfn.XLOOKUP(AQ168,Cadastros!$G$6:$G$90,Cadastros!$H$6:$H$90)*(1-0.18),_xlfn.XLOOKUP(AQ168,Cadastros!$G$6:$G$90,Cadastros!$H$6:$H$90))))</f>
        <v/>
      </c>
      <c r="AT168" s="168" t="str">
        <f t="shared" si="37"/>
        <v/>
      </c>
      <c r="AU168" s="168" t="str">
        <f t="shared" si="38"/>
        <v/>
      </c>
      <c r="AV168" s="227"/>
      <c r="AW168" s="30"/>
      <c r="AX168" s="267"/>
      <c r="AY168" s="267"/>
      <c r="AZ168" s="29"/>
      <c r="BA168" s="30"/>
      <c r="BB168" s="23" t="str" cm="1">
        <f t="array" ref="BB168">_xlfn.IFS(AW168="SIM",SUM(K168,P168,U168,Z168,AE168,AJ168,AO168,AT168,AX168,AY168),F168&lt;&gt;"",SUM(K168,P168,U168,Z168,AE168,AJ168,,AO168,AT168),F168="","")</f>
        <v/>
      </c>
      <c r="BC168" s="211" t="str" cm="1">
        <f t="array" ref="BC168">_xlfn.IFS(E168="","",G168&lt;=E168,BB168*(1-0.03),G168&lt;(E168+8),BB168,AZ168="Boleto",BB168*(1+0.001)^DATEDIF(E168,G168,"D"),AZ168="Cheque",BB168,AZ168="Dinheiro","Alterar forma pgto")</f>
        <v/>
      </c>
      <c r="BD168" s="276" t="str" cm="1">
        <f t="array" ref="BD168">IF(F168=0," ",IF(BC168&lt;BB168,(_xlfn.IFS(AW168="SIM",SUM(L168,Q168,V168,AA168,AF168,AK168,AP168,AU168)+AX168/_xlfn.XLOOKUP(_xlfn.XLOOKUP($F168,Clientes!$B$4:$B$39,Clientes!$C$4:$C$39),Cadastros!$L$6:$L$12,Cadastros!$M$6:$M$12)+IF($F168="Bernardino Furlan",AY168/2751.92,IF($F168="Mauro José Salanti",AY168/2751.92,AY168/3356)),F168&lt;&gt;0,SUM(L168,Q168,V168,AA168,AF168,AK168,AP168,AU168)))*(1-0.03),_xlfn.IFS(AW168="SIM",SUM(L168,Q168,V168,AA168,AF168,AK168,AP168,AU168)+AX168/_xlfn.XLOOKUP(_xlfn.XLOOKUP($F168,Clientes!$B$4:$B$39,Clientes!$C$4:$C$39),Cadastros!$L$6:$L$12,Cadastros!$M$6:$M$12)+IF($F168="Bernardino Furlan",AY168/2751.92,IF($F168="Mauro José Salanti",AY168/2751.92,AY168/3356)),F168&lt;&gt;0,SUM(L168,Q168,V168,AA168,AF168,AK168,AP168,AU168))))</f>
        <v xml:space="preserve"> </v>
      </c>
      <c r="BE168" s="120"/>
      <c r="BF168" s="120"/>
      <c r="BG168" s="120"/>
    </row>
    <row r="169" spans="1:59" s="3" customFormat="1" x14ac:dyDescent="0.3">
      <c r="A169" s="15" t="str">
        <f t="shared" si="26"/>
        <v/>
      </c>
      <c r="B169" s="25"/>
      <c r="C169" s="26"/>
      <c r="D169" s="279"/>
      <c r="E169" s="27"/>
      <c r="F169" s="28"/>
      <c r="G169" s="27"/>
      <c r="H169" s="28"/>
      <c r="I169" s="28"/>
      <c r="J169" s="255" t="str">
        <f>IF(H169="","",(_xlfn.XLOOKUP(H169,Cadastros!$D$6:$D$90,Cadastros!$E$6:$E$90))*(1-_xlfn.XLOOKUP(_xlfn.XLOOKUP($F169,Clientes!$B$4:$B$39,Clientes!$C$4:$C$39),Cadastros!$L$6:$L$12,Cadastros!$N$6:$N$12)))</f>
        <v/>
      </c>
      <c r="K169" s="168" t="str">
        <f t="shared" si="27"/>
        <v/>
      </c>
      <c r="L169" s="168" t="str">
        <f>IFERROR(K169/_xlfn.XLOOKUP(_xlfn.XLOOKUP($F169,Clientes!$B$4:$B$39,Clientes!$C$4:$C$39),Cadastros!$L$6:$L$12,Cadastros!$M$6:$M$12)," ")</f>
        <v xml:space="preserve"> </v>
      </c>
      <c r="M169" s="28"/>
      <c r="N169" s="28"/>
      <c r="O169" s="255" t="str">
        <f>IF(M169="","",(_xlfn.XLOOKUP(M169,Cadastros!$D$6:$D$90,Cadastros!$E$6:$E$90))*(1-_xlfn.XLOOKUP(_xlfn.XLOOKUP($F169,Clientes!$B$4:$B$39,Clientes!$C$4:$C$39),Cadastros!$L$6:$L$12,Cadastros!$N$6:$N$12)))</f>
        <v/>
      </c>
      <c r="P169" s="168" t="str">
        <f t="shared" si="28"/>
        <v/>
      </c>
      <c r="Q169" s="168" t="str">
        <f>IFERROR(P169/_xlfn.XLOOKUP(_xlfn.XLOOKUP($F169,Clientes!$B$4:$B$39,Clientes!$C$4:$C$39),Cadastros!$L$6:$L$12,Cadastros!$M$6:$M$12)," ")</f>
        <v xml:space="preserve"> </v>
      </c>
      <c r="R169" s="28"/>
      <c r="S169" s="28"/>
      <c r="T169" s="255" t="str">
        <f>IF(R169="","",(_xlfn.XLOOKUP(R169,Cadastros!$D$6:$D$90,Cadastros!$E$6:$E$90))*(1-_xlfn.XLOOKUP(_xlfn.XLOOKUP($F169,Clientes!$B$4:$B$39,Clientes!$C$4:$C$39),Cadastros!$L$6:$L$12,Cadastros!$N$6:$N$12)))</f>
        <v/>
      </c>
      <c r="U169" s="168" t="str">
        <f t="shared" si="29"/>
        <v/>
      </c>
      <c r="V169" s="168" t="str">
        <f>IFERROR(U169/_xlfn.XLOOKUP(_xlfn.XLOOKUP($F169,Clientes!$B$4:$B$39,Clientes!$C$4:$C$39),Cadastros!$L$6:$L$12,Cadastros!$M$6:$M$12)," ")</f>
        <v xml:space="preserve"> </v>
      </c>
      <c r="W169" s="28"/>
      <c r="X169" s="28"/>
      <c r="Y169" s="255" t="str">
        <f>IF(W169="","",(_xlfn.XLOOKUP(W169,Cadastros!$D$6:$D$90,Cadastros!$E$6:$E$90))*(1-_xlfn.XLOOKUP(_xlfn.XLOOKUP($F169,Clientes!$B$4:$B$39,Clientes!$C$4:$C$39),Cadastros!$L$6:$L$12,Cadastros!$N$6:$N$12)))</f>
        <v/>
      </c>
      <c r="Z169" s="168" t="str">
        <f t="shared" si="30"/>
        <v/>
      </c>
      <c r="AA169" s="168" t="str">
        <f>IFERROR(Z169/_xlfn.XLOOKUP(_xlfn.XLOOKUP($F169,Clientes!$B$4:$B$39,Clientes!$C$4:$C$39),Cadastros!$L$6:$L$12,Cadastros!$M$6:$M$12)," ")</f>
        <v xml:space="preserve"> </v>
      </c>
      <c r="AB169" s="28"/>
      <c r="AC169" s="28"/>
      <c r="AD169" s="20" t="str">
        <f>IF(AB169="","",IF($F169="Bernardino Furlan",_xlfn.XLOOKUP(AB169,Cadastros!$G$6:$G$90,Cadastros!$H$6:$H$90)*(1-0.18),IF($F169="Mauro José Salanti",_xlfn.XLOOKUP(AB169,Cadastros!$G$6:$G$90,Cadastros!$H$6:$H$90)*(1-0.18),_xlfn.XLOOKUP(AB169,Cadastros!$G$6:$G$90,Cadastros!$H$6:$H$90))))</f>
        <v/>
      </c>
      <c r="AE169" s="168" t="str">
        <f t="shared" si="31"/>
        <v/>
      </c>
      <c r="AF169" s="168" t="str">
        <f t="shared" si="32"/>
        <v/>
      </c>
      <c r="AG169" s="28"/>
      <c r="AH169" s="28"/>
      <c r="AI169" s="20" t="str">
        <f>IF(AG169="","",IF($F169="Bernardino Furlan",_xlfn.XLOOKUP(AG169,Cadastros!$G$6:$G$90,Cadastros!$H$6:$H$90)*(1-0.18),IF($F169="Mauro José Salanti",_xlfn.XLOOKUP(AG169,Cadastros!$G$6:$G$90,Cadastros!$H$6:$H$90)*(1-0.18),_xlfn.XLOOKUP(AG169,Cadastros!$G$6:$G$90,Cadastros!$H$6:$H$90))))</f>
        <v/>
      </c>
      <c r="AJ169" s="168" t="str">
        <f t="shared" si="33"/>
        <v/>
      </c>
      <c r="AK169" s="168" t="str">
        <f t="shared" si="34"/>
        <v/>
      </c>
      <c r="AL169" s="28"/>
      <c r="AM169" s="28"/>
      <c r="AN169" s="20" t="str">
        <f>IF(AL169="","",IF($F169="Bernardino Furlan",_xlfn.XLOOKUP(AL169,Cadastros!$G$6:$G$90,Cadastros!$H$6:$H$90)*(1-0.18),IF($F169="Mauro José Salanti",_xlfn.XLOOKUP(AL169,Cadastros!$G$6:$G$90,Cadastros!$H$6:$H$90)*(1-0.18),_xlfn.XLOOKUP(AL169,Cadastros!$G$6:$G$90,Cadastros!$H$6:$H$90))))</f>
        <v/>
      </c>
      <c r="AO169" s="168" t="str">
        <f t="shared" si="35"/>
        <v/>
      </c>
      <c r="AP169" s="168" t="str">
        <f t="shared" si="36"/>
        <v/>
      </c>
      <c r="AQ169" s="28"/>
      <c r="AR169" s="28"/>
      <c r="AS169" s="20" t="str">
        <f>IF(AQ169="","",IF($F169="Bernardino Furlan",_xlfn.XLOOKUP(AQ169,Cadastros!$G$6:$G$90,Cadastros!$H$6:$H$90)*(1-0.18),IF($F169="Mauro José Salanti",_xlfn.XLOOKUP(AQ169,Cadastros!$G$6:$G$90,Cadastros!$H$6:$H$90)*(1-0.18),_xlfn.XLOOKUP(AQ169,Cadastros!$G$6:$G$90,Cadastros!$H$6:$H$90))))</f>
        <v/>
      </c>
      <c r="AT169" s="168" t="str">
        <f t="shared" si="37"/>
        <v/>
      </c>
      <c r="AU169" s="168" t="str">
        <f t="shared" si="38"/>
        <v/>
      </c>
      <c r="AV169" s="227"/>
      <c r="AW169" s="30"/>
      <c r="AX169" s="267"/>
      <c r="AY169" s="267"/>
      <c r="AZ169" s="29"/>
      <c r="BA169" s="30"/>
      <c r="BB169" s="23" t="str" cm="1">
        <f t="array" ref="BB169">_xlfn.IFS(AW169="SIM",SUM(K169,P169,U169,Z169,AE169,AJ169,AO169,AT169,AX169,AY169),F169&lt;&gt;"",SUM(K169,P169,U169,Z169,AE169,AJ169,,AO169,AT169),F169="","")</f>
        <v/>
      </c>
      <c r="BC169" s="211" t="str" cm="1">
        <f t="array" ref="BC169">_xlfn.IFS(E169="","",G169&lt;=E169,BB169*(1-0.03),G169&lt;(E169+8),BB169,AZ169="Boleto",BB169*(1+0.001)^DATEDIF(E169,G169,"D"),AZ169="Cheque",BB169,AZ169="Dinheiro","Alterar forma pgto")</f>
        <v/>
      </c>
      <c r="BD169" s="276" t="str" cm="1">
        <f t="array" ref="BD169">IF(F169=0," ",IF(BC169&lt;BB169,(_xlfn.IFS(AW169="SIM",SUM(L169,Q169,V169,AA169,AF169,AK169,AP169,AU169)+AX169/_xlfn.XLOOKUP(_xlfn.XLOOKUP($F169,Clientes!$B$4:$B$39,Clientes!$C$4:$C$39),Cadastros!$L$6:$L$12,Cadastros!$M$6:$M$12)+IF($F169="Bernardino Furlan",AY169/2751.92,IF($F169="Mauro José Salanti",AY169/2751.92,AY169/3356)),F169&lt;&gt;0,SUM(L169,Q169,V169,AA169,AF169,AK169,AP169,AU169)))*(1-0.03),_xlfn.IFS(AW169="SIM",SUM(L169,Q169,V169,AA169,AF169,AK169,AP169,AU169)+AX169/_xlfn.XLOOKUP(_xlfn.XLOOKUP($F169,Clientes!$B$4:$B$39,Clientes!$C$4:$C$39),Cadastros!$L$6:$L$12,Cadastros!$M$6:$M$12)+IF($F169="Bernardino Furlan",AY169/2751.92,IF($F169="Mauro José Salanti",AY169/2751.92,AY169/3356)),F169&lt;&gt;0,SUM(L169,Q169,V169,AA169,AF169,AK169,AP169,AU169))))</f>
        <v xml:space="preserve"> </v>
      </c>
      <c r="BE169" s="120"/>
      <c r="BF169" s="120"/>
      <c r="BG169" s="120"/>
    </row>
    <row r="170" spans="1:59" s="3" customFormat="1" x14ac:dyDescent="0.3">
      <c r="A170" s="15" t="str">
        <f t="shared" si="26"/>
        <v/>
      </c>
      <c r="B170" s="25"/>
      <c r="C170" s="26"/>
      <c r="D170" s="279"/>
      <c r="E170" s="27"/>
      <c r="F170" s="28"/>
      <c r="G170" s="27"/>
      <c r="H170" s="28"/>
      <c r="I170" s="28"/>
      <c r="J170" s="255" t="str">
        <f>IF(H170="","",(_xlfn.XLOOKUP(H170,Cadastros!$D$6:$D$90,Cadastros!$E$6:$E$90))*(1-_xlfn.XLOOKUP(_xlfn.XLOOKUP($F170,Clientes!$B$4:$B$39,Clientes!$C$4:$C$39),Cadastros!$L$6:$L$12,Cadastros!$N$6:$N$12)))</f>
        <v/>
      </c>
      <c r="K170" s="168" t="str">
        <f t="shared" si="27"/>
        <v/>
      </c>
      <c r="L170" s="168" t="str">
        <f>IFERROR(K170/_xlfn.XLOOKUP(_xlfn.XLOOKUP($F170,Clientes!$B$4:$B$39,Clientes!$C$4:$C$39),Cadastros!$L$6:$L$12,Cadastros!$M$6:$M$12)," ")</f>
        <v xml:space="preserve"> </v>
      </c>
      <c r="M170" s="28"/>
      <c r="N170" s="28"/>
      <c r="O170" s="255" t="str">
        <f>IF(M170="","",(_xlfn.XLOOKUP(M170,Cadastros!$D$6:$D$90,Cadastros!$E$6:$E$90))*(1-_xlfn.XLOOKUP(_xlfn.XLOOKUP($F170,Clientes!$B$4:$B$39,Clientes!$C$4:$C$39),Cadastros!$L$6:$L$12,Cadastros!$N$6:$N$12)))</f>
        <v/>
      </c>
      <c r="P170" s="168" t="str">
        <f t="shared" si="28"/>
        <v/>
      </c>
      <c r="Q170" s="168" t="str">
        <f>IFERROR(P170/_xlfn.XLOOKUP(_xlfn.XLOOKUP($F170,Clientes!$B$4:$B$39,Clientes!$C$4:$C$39),Cadastros!$L$6:$L$12,Cadastros!$M$6:$M$12)," ")</f>
        <v xml:space="preserve"> </v>
      </c>
      <c r="R170" s="28"/>
      <c r="S170" s="28"/>
      <c r="T170" s="255" t="str">
        <f>IF(R170="","",(_xlfn.XLOOKUP(R170,Cadastros!$D$6:$D$90,Cadastros!$E$6:$E$90))*(1-_xlfn.XLOOKUP(_xlfn.XLOOKUP($F170,Clientes!$B$4:$B$39,Clientes!$C$4:$C$39),Cadastros!$L$6:$L$12,Cadastros!$N$6:$N$12)))</f>
        <v/>
      </c>
      <c r="U170" s="168" t="str">
        <f t="shared" si="29"/>
        <v/>
      </c>
      <c r="V170" s="168" t="str">
        <f>IFERROR(U170/_xlfn.XLOOKUP(_xlfn.XLOOKUP($F170,Clientes!$B$4:$B$39,Clientes!$C$4:$C$39),Cadastros!$L$6:$L$12,Cadastros!$M$6:$M$12)," ")</f>
        <v xml:space="preserve"> </v>
      </c>
      <c r="W170" s="28"/>
      <c r="X170" s="28"/>
      <c r="Y170" s="255" t="str">
        <f>IF(W170="","",(_xlfn.XLOOKUP(W170,Cadastros!$D$6:$D$90,Cadastros!$E$6:$E$90))*(1-_xlfn.XLOOKUP(_xlfn.XLOOKUP($F170,Clientes!$B$4:$B$39,Clientes!$C$4:$C$39),Cadastros!$L$6:$L$12,Cadastros!$N$6:$N$12)))</f>
        <v/>
      </c>
      <c r="Z170" s="168" t="str">
        <f t="shared" si="30"/>
        <v/>
      </c>
      <c r="AA170" s="168" t="str">
        <f>IFERROR(Z170/_xlfn.XLOOKUP(_xlfn.XLOOKUP($F170,Clientes!$B$4:$B$39,Clientes!$C$4:$C$39),Cadastros!$L$6:$L$12,Cadastros!$M$6:$M$12)," ")</f>
        <v xml:space="preserve"> </v>
      </c>
      <c r="AB170" s="28"/>
      <c r="AC170" s="28"/>
      <c r="AD170" s="20" t="str">
        <f>IF(AB170="","",IF($F170="Bernardino Furlan",_xlfn.XLOOKUP(AB170,Cadastros!$G$6:$G$90,Cadastros!$H$6:$H$90)*(1-0.18),IF($F170="Mauro José Salanti",_xlfn.XLOOKUP(AB170,Cadastros!$G$6:$G$90,Cadastros!$H$6:$H$90)*(1-0.18),_xlfn.XLOOKUP(AB170,Cadastros!$G$6:$G$90,Cadastros!$H$6:$H$90))))</f>
        <v/>
      </c>
      <c r="AE170" s="168" t="str">
        <f t="shared" si="31"/>
        <v/>
      </c>
      <c r="AF170" s="168" t="str">
        <f t="shared" si="32"/>
        <v/>
      </c>
      <c r="AG170" s="28"/>
      <c r="AH170" s="28"/>
      <c r="AI170" s="20" t="str">
        <f>IF(AG170="","",IF($F170="Bernardino Furlan",_xlfn.XLOOKUP(AG170,Cadastros!$G$6:$G$90,Cadastros!$H$6:$H$90)*(1-0.18),IF($F170="Mauro José Salanti",_xlfn.XLOOKUP(AG170,Cadastros!$G$6:$G$90,Cadastros!$H$6:$H$90)*(1-0.18),_xlfn.XLOOKUP(AG170,Cadastros!$G$6:$G$90,Cadastros!$H$6:$H$90))))</f>
        <v/>
      </c>
      <c r="AJ170" s="168" t="str">
        <f t="shared" si="33"/>
        <v/>
      </c>
      <c r="AK170" s="168" t="str">
        <f t="shared" si="34"/>
        <v/>
      </c>
      <c r="AL170" s="28"/>
      <c r="AM170" s="28"/>
      <c r="AN170" s="20" t="str">
        <f>IF(AL170="","",IF($F170="Bernardino Furlan",_xlfn.XLOOKUP(AL170,Cadastros!$G$6:$G$90,Cadastros!$H$6:$H$90)*(1-0.18),IF($F170="Mauro José Salanti",_xlfn.XLOOKUP(AL170,Cadastros!$G$6:$G$90,Cadastros!$H$6:$H$90)*(1-0.18),_xlfn.XLOOKUP(AL170,Cadastros!$G$6:$G$90,Cadastros!$H$6:$H$90))))</f>
        <v/>
      </c>
      <c r="AO170" s="168" t="str">
        <f t="shared" si="35"/>
        <v/>
      </c>
      <c r="AP170" s="168" t="str">
        <f t="shared" si="36"/>
        <v/>
      </c>
      <c r="AQ170" s="28"/>
      <c r="AR170" s="28"/>
      <c r="AS170" s="20" t="str">
        <f>IF(AQ170="","",IF($F170="Bernardino Furlan",_xlfn.XLOOKUP(AQ170,Cadastros!$G$6:$G$90,Cadastros!$H$6:$H$90)*(1-0.18),IF($F170="Mauro José Salanti",_xlfn.XLOOKUP(AQ170,Cadastros!$G$6:$G$90,Cadastros!$H$6:$H$90)*(1-0.18),_xlfn.XLOOKUP(AQ170,Cadastros!$G$6:$G$90,Cadastros!$H$6:$H$90))))</f>
        <v/>
      </c>
      <c r="AT170" s="168" t="str">
        <f t="shared" si="37"/>
        <v/>
      </c>
      <c r="AU170" s="168" t="str">
        <f t="shared" si="38"/>
        <v/>
      </c>
      <c r="AV170" s="227"/>
      <c r="AW170" s="30"/>
      <c r="AX170" s="267"/>
      <c r="AY170" s="267"/>
      <c r="AZ170" s="29"/>
      <c r="BA170" s="30"/>
      <c r="BB170" s="23" t="str" cm="1">
        <f t="array" ref="BB170">_xlfn.IFS(AW170="SIM",SUM(K170,P170,U170,Z170,AE170,AJ170,AO170,AT170,AX170,AY170),F170&lt;&gt;"",SUM(K170,P170,U170,Z170,AE170,AJ170,,AO170,AT170),F170="","")</f>
        <v/>
      </c>
      <c r="BC170" s="211" t="str" cm="1">
        <f t="array" ref="BC170">_xlfn.IFS(E170="","",G170&lt;=E170,BB170*(1-0.03),G170&lt;(E170+8),BB170,AZ170="Boleto",BB170*(1+0.001)^DATEDIF(E170,G170,"D"),AZ170="Cheque",BB170,AZ170="Dinheiro","Alterar forma pgto")</f>
        <v/>
      </c>
      <c r="BD170" s="276" t="str" cm="1">
        <f t="array" ref="BD170">IF(F170=0," ",IF(BC170&lt;BB170,(_xlfn.IFS(AW170="SIM",SUM(L170,Q170,V170,AA170,AF170,AK170,AP170,AU170)+AX170/_xlfn.XLOOKUP(_xlfn.XLOOKUP($F170,Clientes!$B$4:$B$39,Clientes!$C$4:$C$39),Cadastros!$L$6:$L$12,Cadastros!$M$6:$M$12)+IF($F170="Bernardino Furlan",AY170/2751.92,IF($F170="Mauro José Salanti",AY170/2751.92,AY170/3356)),F170&lt;&gt;0,SUM(L170,Q170,V170,AA170,AF170,AK170,AP170,AU170)))*(1-0.03),_xlfn.IFS(AW170="SIM",SUM(L170,Q170,V170,AA170,AF170,AK170,AP170,AU170)+AX170/_xlfn.XLOOKUP(_xlfn.XLOOKUP($F170,Clientes!$B$4:$B$39,Clientes!$C$4:$C$39),Cadastros!$L$6:$L$12,Cadastros!$M$6:$M$12)+IF($F170="Bernardino Furlan",AY170/2751.92,IF($F170="Mauro José Salanti",AY170/2751.92,AY170/3356)),F170&lt;&gt;0,SUM(L170,Q170,V170,AA170,AF170,AK170,AP170,AU170))))</f>
        <v xml:space="preserve"> </v>
      </c>
      <c r="BE170" s="120"/>
      <c r="BF170" s="120"/>
      <c r="BG170" s="120"/>
    </row>
    <row r="171" spans="1:59" s="3" customFormat="1" x14ac:dyDescent="0.3">
      <c r="A171" s="15" t="str">
        <f t="shared" si="26"/>
        <v/>
      </c>
      <c r="B171" s="25"/>
      <c r="C171" s="26"/>
      <c r="D171" s="279"/>
      <c r="E171" s="27"/>
      <c r="F171" s="28"/>
      <c r="G171" s="27"/>
      <c r="H171" s="28"/>
      <c r="I171" s="28"/>
      <c r="J171" s="255" t="str">
        <f>IF(H171="","",(_xlfn.XLOOKUP(H171,Cadastros!$D$6:$D$90,Cadastros!$E$6:$E$90))*(1-_xlfn.XLOOKUP(_xlfn.XLOOKUP($F171,Clientes!$B$4:$B$39,Clientes!$C$4:$C$39),Cadastros!$L$6:$L$12,Cadastros!$N$6:$N$12)))</f>
        <v/>
      </c>
      <c r="K171" s="168" t="str">
        <f t="shared" si="27"/>
        <v/>
      </c>
      <c r="L171" s="168" t="str">
        <f>IFERROR(K171/_xlfn.XLOOKUP(_xlfn.XLOOKUP($F171,Clientes!$B$4:$B$39,Clientes!$C$4:$C$39),Cadastros!$L$6:$L$12,Cadastros!$M$6:$M$12)," ")</f>
        <v xml:space="preserve"> </v>
      </c>
      <c r="M171" s="28"/>
      <c r="N171" s="28"/>
      <c r="O171" s="255" t="str">
        <f>IF(M171="","",(_xlfn.XLOOKUP(M171,Cadastros!$D$6:$D$90,Cadastros!$E$6:$E$90))*(1-_xlfn.XLOOKUP(_xlfn.XLOOKUP($F171,Clientes!$B$4:$B$39,Clientes!$C$4:$C$39),Cadastros!$L$6:$L$12,Cadastros!$N$6:$N$12)))</f>
        <v/>
      </c>
      <c r="P171" s="168" t="str">
        <f t="shared" si="28"/>
        <v/>
      </c>
      <c r="Q171" s="168" t="str">
        <f>IFERROR(P171/_xlfn.XLOOKUP(_xlfn.XLOOKUP($F171,Clientes!$B$4:$B$39,Clientes!$C$4:$C$39),Cadastros!$L$6:$L$12,Cadastros!$M$6:$M$12)," ")</f>
        <v xml:space="preserve"> </v>
      </c>
      <c r="R171" s="28"/>
      <c r="S171" s="28"/>
      <c r="T171" s="255" t="str">
        <f>IF(R171="","",(_xlfn.XLOOKUP(R171,Cadastros!$D$6:$D$90,Cadastros!$E$6:$E$90))*(1-_xlfn.XLOOKUP(_xlfn.XLOOKUP($F171,Clientes!$B$4:$B$39,Clientes!$C$4:$C$39),Cadastros!$L$6:$L$12,Cadastros!$N$6:$N$12)))</f>
        <v/>
      </c>
      <c r="U171" s="168" t="str">
        <f t="shared" si="29"/>
        <v/>
      </c>
      <c r="V171" s="168" t="str">
        <f>IFERROR(U171/_xlfn.XLOOKUP(_xlfn.XLOOKUP($F171,Clientes!$B$4:$B$39,Clientes!$C$4:$C$39),Cadastros!$L$6:$L$12,Cadastros!$M$6:$M$12)," ")</f>
        <v xml:space="preserve"> </v>
      </c>
      <c r="W171" s="28"/>
      <c r="X171" s="28"/>
      <c r="Y171" s="255" t="str">
        <f>IF(W171="","",(_xlfn.XLOOKUP(W171,Cadastros!$D$6:$D$90,Cadastros!$E$6:$E$90))*(1-_xlfn.XLOOKUP(_xlfn.XLOOKUP($F171,Clientes!$B$4:$B$39,Clientes!$C$4:$C$39),Cadastros!$L$6:$L$12,Cadastros!$N$6:$N$12)))</f>
        <v/>
      </c>
      <c r="Z171" s="168" t="str">
        <f t="shared" si="30"/>
        <v/>
      </c>
      <c r="AA171" s="168" t="str">
        <f>IFERROR(Z171/_xlfn.XLOOKUP(_xlfn.XLOOKUP($F171,Clientes!$B$4:$B$39,Clientes!$C$4:$C$39),Cadastros!$L$6:$L$12,Cadastros!$M$6:$M$12)," ")</f>
        <v xml:space="preserve"> </v>
      </c>
      <c r="AB171" s="28"/>
      <c r="AC171" s="28"/>
      <c r="AD171" s="20" t="str">
        <f>IF(AB171="","",IF($F171="Bernardino Furlan",_xlfn.XLOOKUP(AB171,Cadastros!$G$6:$G$90,Cadastros!$H$6:$H$90)*(1-0.18),IF($F171="Mauro José Salanti",_xlfn.XLOOKUP(AB171,Cadastros!$G$6:$G$90,Cadastros!$H$6:$H$90)*(1-0.18),_xlfn.XLOOKUP(AB171,Cadastros!$G$6:$G$90,Cadastros!$H$6:$H$90))))</f>
        <v/>
      </c>
      <c r="AE171" s="168" t="str">
        <f t="shared" si="31"/>
        <v/>
      </c>
      <c r="AF171" s="168" t="str">
        <f t="shared" si="32"/>
        <v/>
      </c>
      <c r="AG171" s="28"/>
      <c r="AH171" s="28"/>
      <c r="AI171" s="20" t="str">
        <f>IF(AG171="","",IF($F171="Bernardino Furlan",_xlfn.XLOOKUP(AG171,Cadastros!$G$6:$G$90,Cadastros!$H$6:$H$90)*(1-0.18),IF($F171="Mauro José Salanti",_xlfn.XLOOKUP(AG171,Cadastros!$G$6:$G$90,Cadastros!$H$6:$H$90)*(1-0.18),_xlfn.XLOOKUP(AG171,Cadastros!$G$6:$G$90,Cadastros!$H$6:$H$90))))</f>
        <v/>
      </c>
      <c r="AJ171" s="168" t="str">
        <f t="shared" si="33"/>
        <v/>
      </c>
      <c r="AK171" s="168" t="str">
        <f t="shared" si="34"/>
        <v/>
      </c>
      <c r="AL171" s="28"/>
      <c r="AM171" s="28"/>
      <c r="AN171" s="20" t="str">
        <f>IF(AL171="","",IF($F171="Bernardino Furlan",_xlfn.XLOOKUP(AL171,Cadastros!$G$6:$G$90,Cadastros!$H$6:$H$90)*(1-0.18),IF($F171="Mauro José Salanti",_xlfn.XLOOKUP(AL171,Cadastros!$G$6:$G$90,Cadastros!$H$6:$H$90)*(1-0.18),_xlfn.XLOOKUP(AL171,Cadastros!$G$6:$G$90,Cadastros!$H$6:$H$90))))</f>
        <v/>
      </c>
      <c r="AO171" s="168" t="str">
        <f t="shared" si="35"/>
        <v/>
      </c>
      <c r="AP171" s="168" t="str">
        <f t="shared" si="36"/>
        <v/>
      </c>
      <c r="AQ171" s="28"/>
      <c r="AR171" s="28"/>
      <c r="AS171" s="20" t="str">
        <f>IF(AQ171="","",IF($F171="Bernardino Furlan",_xlfn.XLOOKUP(AQ171,Cadastros!$G$6:$G$90,Cadastros!$H$6:$H$90)*(1-0.18),IF($F171="Mauro José Salanti",_xlfn.XLOOKUP(AQ171,Cadastros!$G$6:$G$90,Cadastros!$H$6:$H$90)*(1-0.18),_xlfn.XLOOKUP(AQ171,Cadastros!$G$6:$G$90,Cadastros!$H$6:$H$90))))</f>
        <v/>
      </c>
      <c r="AT171" s="168" t="str">
        <f t="shared" si="37"/>
        <v/>
      </c>
      <c r="AU171" s="168" t="str">
        <f t="shared" si="38"/>
        <v/>
      </c>
      <c r="AV171" s="227"/>
      <c r="AW171" s="30"/>
      <c r="AX171" s="267"/>
      <c r="AY171" s="267"/>
      <c r="AZ171" s="29"/>
      <c r="BA171" s="30"/>
      <c r="BB171" s="23" t="str" cm="1">
        <f t="array" ref="BB171">_xlfn.IFS(AW171="SIM",SUM(K171,P171,U171,Z171,AE171,AJ171,AO171,AT171,AX171,AY171),F171&lt;&gt;"",SUM(K171,P171,U171,Z171,AE171,AJ171,,AO171,AT171),F171="","")</f>
        <v/>
      </c>
      <c r="BC171" s="211" t="str" cm="1">
        <f t="array" ref="BC171">_xlfn.IFS(E171="","",G171&lt;=E171,BB171*(1-0.03),G171&lt;(E171+8),BB171,AZ171="Boleto",BB171*(1+0.001)^DATEDIF(E171,G171,"D"),AZ171="Cheque",BB171,AZ171="Dinheiro","Alterar forma pgto")</f>
        <v/>
      </c>
      <c r="BD171" s="276" t="str" cm="1">
        <f t="array" ref="BD171">IF(F171=0," ",IF(BC171&lt;BB171,(_xlfn.IFS(AW171="SIM",SUM(L171,Q171,V171,AA171,AF171,AK171,AP171,AU171)+AX171/_xlfn.XLOOKUP(_xlfn.XLOOKUP($F171,Clientes!$B$4:$B$39,Clientes!$C$4:$C$39),Cadastros!$L$6:$L$12,Cadastros!$M$6:$M$12)+IF($F171="Bernardino Furlan",AY171/2751.92,IF($F171="Mauro José Salanti",AY171/2751.92,AY171/3356)),F171&lt;&gt;0,SUM(L171,Q171,V171,AA171,AF171,AK171,AP171,AU171)))*(1-0.03),_xlfn.IFS(AW171="SIM",SUM(L171,Q171,V171,AA171,AF171,AK171,AP171,AU171)+AX171/_xlfn.XLOOKUP(_xlfn.XLOOKUP($F171,Clientes!$B$4:$B$39,Clientes!$C$4:$C$39),Cadastros!$L$6:$L$12,Cadastros!$M$6:$M$12)+IF($F171="Bernardino Furlan",AY171/2751.92,IF($F171="Mauro José Salanti",AY171/2751.92,AY171/3356)),F171&lt;&gt;0,SUM(L171,Q171,V171,AA171,AF171,AK171,AP171,AU171))))</f>
        <v xml:space="preserve"> </v>
      </c>
      <c r="BE171" s="120"/>
      <c r="BF171" s="120"/>
      <c r="BG171" s="120"/>
    </row>
    <row r="172" spans="1:59" s="3" customFormat="1" x14ac:dyDescent="0.3">
      <c r="A172" s="15" t="str">
        <f t="shared" si="26"/>
        <v/>
      </c>
      <c r="B172" s="25"/>
      <c r="C172" s="26"/>
      <c r="D172" s="279"/>
      <c r="E172" s="27"/>
      <c r="F172" s="28"/>
      <c r="G172" s="27"/>
      <c r="H172" s="28"/>
      <c r="I172" s="28"/>
      <c r="J172" s="255" t="str">
        <f>IF(H172="","",(_xlfn.XLOOKUP(H172,Cadastros!$D$6:$D$90,Cadastros!$E$6:$E$90))*(1-_xlfn.XLOOKUP(_xlfn.XLOOKUP($F172,Clientes!$B$4:$B$39,Clientes!$C$4:$C$39),Cadastros!$L$6:$L$12,Cadastros!$N$6:$N$12)))</f>
        <v/>
      </c>
      <c r="K172" s="168" t="str">
        <f t="shared" si="27"/>
        <v/>
      </c>
      <c r="L172" s="168" t="str">
        <f>IFERROR(K172/_xlfn.XLOOKUP(_xlfn.XLOOKUP($F172,Clientes!$B$4:$B$39,Clientes!$C$4:$C$39),Cadastros!$L$6:$L$12,Cadastros!$M$6:$M$12)," ")</f>
        <v xml:space="preserve"> </v>
      </c>
      <c r="M172" s="28"/>
      <c r="N172" s="28"/>
      <c r="O172" s="255" t="str">
        <f>IF(M172="","",(_xlfn.XLOOKUP(M172,Cadastros!$D$6:$D$90,Cadastros!$E$6:$E$90))*(1-_xlfn.XLOOKUP(_xlfn.XLOOKUP($F172,Clientes!$B$4:$B$39,Clientes!$C$4:$C$39),Cadastros!$L$6:$L$12,Cadastros!$N$6:$N$12)))</f>
        <v/>
      </c>
      <c r="P172" s="168" t="str">
        <f t="shared" si="28"/>
        <v/>
      </c>
      <c r="Q172" s="168" t="str">
        <f>IFERROR(P172/_xlfn.XLOOKUP(_xlfn.XLOOKUP($F172,Clientes!$B$4:$B$39,Clientes!$C$4:$C$39),Cadastros!$L$6:$L$12,Cadastros!$M$6:$M$12)," ")</f>
        <v xml:space="preserve"> </v>
      </c>
      <c r="R172" s="28"/>
      <c r="S172" s="28"/>
      <c r="T172" s="255" t="str">
        <f>IF(R172="","",(_xlfn.XLOOKUP(R172,Cadastros!$D$6:$D$90,Cadastros!$E$6:$E$90))*(1-_xlfn.XLOOKUP(_xlfn.XLOOKUP($F172,Clientes!$B$4:$B$39,Clientes!$C$4:$C$39),Cadastros!$L$6:$L$12,Cadastros!$N$6:$N$12)))</f>
        <v/>
      </c>
      <c r="U172" s="168" t="str">
        <f t="shared" si="29"/>
        <v/>
      </c>
      <c r="V172" s="168" t="str">
        <f>IFERROR(U172/_xlfn.XLOOKUP(_xlfn.XLOOKUP($F172,Clientes!$B$4:$B$39,Clientes!$C$4:$C$39),Cadastros!$L$6:$L$12,Cadastros!$M$6:$M$12)," ")</f>
        <v xml:space="preserve"> </v>
      </c>
      <c r="W172" s="28"/>
      <c r="X172" s="28"/>
      <c r="Y172" s="255" t="str">
        <f>IF(W172="","",(_xlfn.XLOOKUP(W172,Cadastros!$D$6:$D$90,Cadastros!$E$6:$E$90))*(1-_xlfn.XLOOKUP(_xlfn.XLOOKUP($F172,Clientes!$B$4:$B$39,Clientes!$C$4:$C$39),Cadastros!$L$6:$L$12,Cadastros!$N$6:$N$12)))</f>
        <v/>
      </c>
      <c r="Z172" s="168" t="str">
        <f t="shared" si="30"/>
        <v/>
      </c>
      <c r="AA172" s="168" t="str">
        <f>IFERROR(Z172/_xlfn.XLOOKUP(_xlfn.XLOOKUP($F172,Clientes!$B$4:$B$39,Clientes!$C$4:$C$39),Cadastros!$L$6:$L$12,Cadastros!$M$6:$M$12)," ")</f>
        <v xml:space="preserve"> </v>
      </c>
      <c r="AB172" s="28"/>
      <c r="AC172" s="28"/>
      <c r="AD172" s="20" t="str">
        <f>IF(AB172="","",IF($F172="Bernardino Furlan",_xlfn.XLOOKUP(AB172,Cadastros!$G$6:$G$90,Cadastros!$H$6:$H$90)*(1-0.18),IF($F172="Mauro José Salanti",_xlfn.XLOOKUP(AB172,Cadastros!$G$6:$G$90,Cadastros!$H$6:$H$90)*(1-0.18),_xlfn.XLOOKUP(AB172,Cadastros!$G$6:$G$90,Cadastros!$H$6:$H$90))))</f>
        <v/>
      </c>
      <c r="AE172" s="168" t="str">
        <f t="shared" si="31"/>
        <v/>
      </c>
      <c r="AF172" s="168" t="str">
        <f t="shared" si="32"/>
        <v/>
      </c>
      <c r="AG172" s="28"/>
      <c r="AH172" s="28"/>
      <c r="AI172" s="20" t="str">
        <f>IF(AG172="","",IF($F172="Bernardino Furlan",_xlfn.XLOOKUP(AG172,Cadastros!$G$6:$G$90,Cadastros!$H$6:$H$90)*(1-0.18),IF($F172="Mauro José Salanti",_xlfn.XLOOKUP(AG172,Cadastros!$G$6:$G$90,Cadastros!$H$6:$H$90)*(1-0.18),_xlfn.XLOOKUP(AG172,Cadastros!$G$6:$G$90,Cadastros!$H$6:$H$90))))</f>
        <v/>
      </c>
      <c r="AJ172" s="168" t="str">
        <f t="shared" si="33"/>
        <v/>
      </c>
      <c r="AK172" s="168" t="str">
        <f t="shared" si="34"/>
        <v/>
      </c>
      <c r="AL172" s="28"/>
      <c r="AM172" s="28"/>
      <c r="AN172" s="20" t="str">
        <f>IF(AL172="","",IF($F172="Bernardino Furlan",_xlfn.XLOOKUP(AL172,Cadastros!$G$6:$G$90,Cadastros!$H$6:$H$90)*(1-0.18),IF($F172="Mauro José Salanti",_xlfn.XLOOKUP(AL172,Cadastros!$G$6:$G$90,Cadastros!$H$6:$H$90)*(1-0.18),_xlfn.XLOOKUP(AL172,Cadastros!$G$6:$G$90,Cadastros!$H$6:$H$90))))</f>
        <v/>
      </c>
      <c r="AO172" s="168" t="str">
        <f t="shared" si="35"/>
        <v/>
      </c>
      <c r="AP172" s="168" t="str">
        <f t="shared" si="36"/>
        <v/>
      </c>
      <c r="AQ172" s="28"/>
      <c r="AR172" s="28"/>
      <c r="AS172" s="20" t="str">
        <f>IF(AQ172="","",IF($F172="Bernardino Furlan",_xlfn.XLOOKUP(AQ172,Cadastros!$G$6:$G$90,Cadastros!$H$6:$H$90)*(1-0.18),IF($F172="Mauro José Salanti",_xlfn.XLOOKUP(AQ172,Cadastros!$G$6:$G$90,Cadastros!$H$6:$H$90)*(1-0.18),_xlfn.XLOOKUP(AQ172,Cadastros!$G$6:$G$90,Cadastros!$H$6:$H$90))))</f>
        <v/>
      </c>
      <c r="AT172" s="168" t="str">
        <f t="shared" si="37"/>
        <v/>
      </c>
      <c r="AU172" s="168" t="str">
        <f t="shared" si="38"/>
        <v/>
      </c>
      <c r="AV172" s="227"/>
      <c r="AW172" s="30"/>
      <c r="AX172" s="267"/>
      <c r="AY172" s="267"/>
      <c r="AZ172" s="29"/>
      <c r="BA172" s="30"/>
      <c r="BB172" s="23" t="str" cm="1">
        <f t="array" ref="BB172">_xlfn.IFS(AW172="SIM",SUM(K172,P172,U172,Z172,AE172,AJ172,AO172,AT172,AX172,AY172),F172&lt;&gt;"",SUM(K172,P172,U172,Z172,AE172,AJ172,,AO172,AT172),F172="","")</f>
        <v/>
      </c>
      <c r="BC172" s="211" t="str" cm="1">
        <f t="array" ref="BC172">_xlfn.IFS(E172="","",G172&lt;=E172,BB172*(1-0.03),G172&lt;(E172+8),BB172,AZ172="Boleto",BB172*(1+0.001)^DATEDIF(E172,G172,"D"),AZ172="Cheque",BB172,AZ172="Dinheiro","Alterar forma pgto")</f>
        <v/>
      </c>
      <c r="BD172" s="276" t="str" cm="1">
        <f t="array" ref="BD172">IF(F172=0," ",IF(BC172&lt;BB172,(_xlfn.IFS(AW172="SIM",SUM(L172,Q172,V172,AA172,AF172,AK172,AP172,AU172)+AX172/_xlfn.XLOOKUP(_xlfn.XLOOKUP($F172,Clientes!$B$4:$B$39,Clientes!$C$4:$C$39),Cadastros!$L$6:$L$12,Cadastros!$M$6:$M$12)+IF($F172="Bernardino Furlan",AY172/2751.92,IF($F172="Mauro José Salanti",AY172/2751.92,AY172/3356)),F172&lt;&gt;0,SUM(L172,Q172,V172,AA172,AF172,AK172,AP172,AU172)))*(1-0.03),_xlfn.IFS(AW172="SIM",SUM(L172,Q172,V172,AA172,AF172,AK172,AP172,AU172)+AX172/_xlfn.XLOOKUP(_xlfn.XLOOKUP($F172,Clientes!$B$4:$B$39,Clientes!$C$4:$C$39),Cadastros!$L$6:$L$12,Cadastros!$M$6:$M$12)+IF($F172="Bernardino Furlan",AY172/2751.92,IF($F172="Mauro José Salanti",AY172/2751.92,AY172/3356)),F172&lt;&gt;0,SUM(L172,Q172,V172,AA172,AF172,AK172,AP172,AU172))))</f>
        <v xml:space="preserve"> </v>
      </c>
      <c r="BE172" s="120"/>
      <c r="BF172" s="120"/>
      <c r="BG172" s="120"/>
    </row>
    <row r="173" spans="1:59" s="3" customFormat="1" x14ac:dyDescent="0.3">
      <c r="A173" s="15" t="str">
        <f t="shared" si="26"/>
        <v/>
      </c>
      <c r="B173" s="25"/>
      <c r="C173" s="26"/>
      <c r="D173" s="279"/>
      <c r="E173" s="27"/>
      <c r="F173" s="28"/>
      <c r="G173" s="27"/>
      <c r="H173" s="28"/>
      <c r="I173" s="28"/>
      <c r="J173" s="255" t="str">
        <f>IF(H173="","",(_xlfn.XLOOKUP(H173,Cadastros!$D$6:$D$90,Cadastros!$E$6:$E$90))*(1-_xlfn.XLOOKUP(_xlfn.XLOOKUP($F173,Clientes!$B$4:$B$39,Clientes!$C$4:$C$39),Cadastros!$L$6:$L$12,Cadastros!$N$6:$N$12)))</f>
        <v/>
      </c>
      <c r="K173" s="168" t="str">
        <f t="shared" si="27"/>
        <v/>
      </c>
      <c r="L173" s="168" t="str">
        <f>IFERROR(K173/_xlfn.XLOOKUP(_xlfn.XLOOKUP($F173,Clientes!$B$4:$B$39,Clientes!$C$4:$C$39),Cadastros!$L$6:$L$12,Cadastros!$M$6:$M$12)," ")</f>
        <v xml:space="preserve"> </v>
      </c>
      <c r="M173" s="28"/>
      <c r="N173" s="28"/>
      <c r="O173" s="255" t="str">
        <f>IF(M173="","",(_xlfn.XLOOKUP(M173,Cadastros!$D$6:$D$90,Cadastros!$E$6:$E$90))*(1-_xlfn.XLOOKUP(_xlfn.XLOOKUP($F173,Clientes!$B$4:$B$39,Clientes!$C$4:$C$39),Cadastros!$L$6:$L$12,Cadastros!$N$6:$N$12)))</f>
        <v/>
      </c>
      <c r="P173" s="168" t="str">
        <f t="shared" si="28"/>
        <v/>
      </c>
      <c r="Q173" s="168" t="str">
        <f>IFERROR(P173/_xlfn.XLOOKUP(_xlfn.XLOOKUP($F173,Clientes!$B$4:$B$39,Clientes!$C$4:$C$39),Cadastros!$L$6:$L$12,Cadastros!$M$6:$M$12)," ")</f>
        <v xml:space="preserve"> </v>
      </c>
      <c r="R173" s="28"/>
      <c r="S173" s="28"/>
      <c r="T173" s="255" t="str">
        <f>IF(R173="","",(_xlfn.XLOOKUP(R173,Cadastros!$D$6:$D$90,Cadastros!$E$6:$E$90))*(1-_xlfn.XLOOKUP(_xlfn.XLOOKUP($F173,Clientes!$B$4:$B$39,Clientes!$C$4:$C$39),Cadastros!$L$6:$L$12,Cadastros!$N$6:$N$12)))</f>
        <v/>
      </c>
      <c r="U173" s="168" t="str">
        <f t="shared" si="29"/>
        <v/>
      </c>
      <c r="V173" s="168" t="str">
        <f>IFERROR(U173/_xlfn.XLOOKUP(_xlfn.XLOOKUP($F173,Clientes!$B$4:$B$39,Clientes!$C$4:$C$39),Cadastros!$L$6:$L$12,Cadastros!$M$6:$M$12)," ")</f>
        <v xml:space="preserve"> </v>
      </c>
      <c r="W173" s="28"/>
      <c r="X173" s="28"/>
      <c r="Y173" s="255" t="str">
        <f>IF(W173="","",(_xlfn.XLOOKUP(W173,Cadastros!$D$6:$D$90,Cadastros!$E$6:$E$90))*(1-_xlfn.XLOOKUP(_xlfn.XLOOKUP($F173,Clientes!$B$4:$B$39,Clientes!$C$4:$C$39),Cadastros!$L$6:$L$12,Cadastros!$N$6:$N$12)))</f>
        <v/>
      </c>
      <c r="Z173" s="168" t="str">
        <f t="shared" si="30"/>
        <v/>
      </c>
      <c r="AA173" s="168" t="str">
        <f>IFERROR(Z173/_xlfn.XLOOKUP(_xlfn.XLOOKUP($F173,Clientes!$B$4:$B$39,Clientes!$C$4:$C$39),Cadastros!$L$6:$L$12,Cadastros!$M$6:$M$12)," ")</f>
        <v xml:space="preserve"> </v>
      </c>
      <c r="AB173" s="28"/>
      <c r="AC173" s="28"/>
      <c r="AD173" s="20" t="str">
        <f>IF(AB173="","",IF($F173="Bernardino Furlan",_xlfn.XLOOKUP(AB173,Cadastros!$G$6:$G$90,Cadastros!$H$6:$H$90)*(1-0.18),IF($F173="Mauro José Salanti",_xlfn.XLOOKUP(AB173,Cadastros!$G$6:$G$90,Cadastros!$H$6:$H$90)*(1-0.18),_xlfn.XLOOKUP(AB173,Cadastros!$G$6:$G$90,Cadastros!$H$6:$H$90))))</f>
        <v/>
      </c>
      <c r="AE173" s="168" t="str">
        <f t="shared" si="31"/>
        <v/>
      </c>
      <c r="AF173" s="168" t="str">
        <f t="shared" si="32"/>
        <v/>
      </c>
      <c r="AG173" s="28"/>
      <c r="AH173" s="28"/>
      <c r="AI173" s="20" t="str">
        <f>IF(AG173="","",IF($F173="Bernardino Furlan",_xlfn.XLOOKUP(AG173,Cadastros!$G$6:$G$90,Cadastros!$H$6:$H$90)*(1-0.18),IF($F173="Mauro José Salanti",_xlfn.XLOOKUP(AG173,Cadastros!$G$6:$G$90,Cadastros!$H$6:$H$90)*(1-0.18),_xlfn.XLOOKUP(AG173,Cadastros!$G$6:$G$90,Cadastros!$H$6:$H$90))))</f>
        <v/>
      </c>
      <c r="AJ173" s="168" t="str">
        <f t="shared" si="33"/>
        <v/>
      </c>
      <c r="AK173" s="168" t="str">
        <f t="shared" si="34"/>
        <v/>
      </c>
      <c r="AL173" s="28"/>
      <c r="AM173" s="28"/>
      <c r="AN173" s="20" t="str">
        <f>IF(AL173="","",IF($F173="Bernardino Furlan",_xlfn.XLOOKUP(AL173,Cadastros!$G$6:$G$90,Cadastros!$H$6:$H$90)*(1-0.18),IF($F173="Mauro José Salanti",_xlfn.XLOOKUP(AL173,Cadastros!$G$6:$G$90,Cadastros!$H$6:$H$90)*(1-0.18),_xlfn.XLOOKUP(AL173,Cadastros!$G$6:$G$90,Cadastros!$H$6:$H$90))))</f>
        <v/>
      </c>
      <c r="AO173" s="168" t="str">
        <f t="shared" si="35"/>
        <v/>
      </c>
      <c r="AP173" s="168" t="str">
        <f t="shared" si="36"/>
        <v/>
      </c>
      <c r="AQ173" s="28"/>
      <c r="AR173" s="28"/>
      <c r="AS173" s="20" t="str">
        <f>IF(AQ173="","",IF($F173="Bernardino Furlan",_xlfn.XLOOKUP(AQ173,Cadastros!$G$6:$G$90,Cadastros!$H$6:$H$90)*(1-0.18),IF($F173="Mauro José Salanti",_xlfn.XLOOKUP(AQ173,Cadastros!$G$6:$G$90,Cadastros!$H$6:$H$90)*(1-0.18),_xlfn.XLOOKUP(AQ173,Cadastros!$G$6:$G$90,Cadastros!$H$6:$H$90))))</f>
        <v/>
      </c>
      <c r="AT173" s="168" t="str">
        <f t="shared" si="37"/>
        <v/>
      </c>
      <c r="AU173" s="168" t="str">
        <f t="shared" si="38"/>
        <v/>
      </c>
      <c r="AV173" s="227"/>
      <c r="AW173" s="30"/>
      <c r="AX173" s="267"/>
      <c r="AY173" s="267"/>
      <c r="AZ173" s="29"/>
      <c r="BA173" s="30"/>
      <c r="BB173" s="23" t="str" cm="1">
        <f t="array" ref="BB173">_xlfn.IFS(AW173="SIM",SUM(K173,P173,U173,Z173,AE173,AJ173,AO173,AT173,AX173,AY173),F173&lt;&gt;"",SUM(K173,P173,U173,Z173,AE173,AJ173,,AO173,AT173),F173="","")</f>
        <v/>
      </c>
      <c r="BC173" s="211" t="str" cm="1">
        <f t="array" ref="BC173">_xlfn.IFS(E173="","",G173&lt;=E173,BB173*(1-0.03),G173&lt;(E173+8),BB173,AZ173="Boleto",BB173*(1+0.001)^DATEDIF(E173,G173,"D"),AZ173="Cheque",BB173,AZ173="Dinheiro","Alterar forma pgto")</f>
        <v/>
      </c>
      <c r="BD173" s="276" t="str" cm="1">
        <f t="array" ref="BD173">IF(F173=0," ",IF(BC173&lt;BB173,(_xlfn.IFS(AW173="SIM",SUM(L173,Q173,V173,AA173,AF173,AK173,AP173,AU173)+AX173/_xlfn.XLOOKUP(_xlfn.XLOOKUP($F173,Clientes!$B$4:$B$39,Clientes!$C$4:$C$39),Cadastros!$L$6:$L$12,Cadastros!$M$6:$M$12)+IF($F173="Bernardino Furlan",AY173/2751.92,IF($F173="Mauro José Salanti",AY173/2751.92,AY173/3356)),F173&lt;&gt;0,SUM(L173,Q173,V173,AA173,AF173,AK173,AP173,AU173)))*(1-0.03),_xlfn.IFS(AW173="SIM",SUM(L173,Q173,V173,AA173,AF173,AK173,AP173,AU173)+AX173/_xlfn.XLOOKUP(_xlfn.XLOOKUP($F173,Clientes!$B$4:$B$39,Clientes!$C$4:$C$39),Cadastros!$L$6:$L$12,Cadastros!$M$6:$M$12)+IF($F173="Bernardino Furlan",AY173/2751.92,IF($F173="Mauro José Salanti",AY173/2751.92,AY173/3356)),F173&lt;&gt;0,SUM(L173,Q173,V173,AA173,AF173,AK173,AP173,AU173))))</f>
        <v xml:space="preserve"> </v>
      </c>
      <c r="BE173" s="120"/>
      <c r="BF173" s="120"/>
      <c r="BG173" s="120"/>
    </row>
    <row r="174" spans="1:59" s="3" customFormat="1" x14ac:dyDescent="0.3">
      <c r="A174" s="15" t="str">
        <f t="shared" si="26"/>
        <v/>
      </c>
      <c r="B174" s="25"/>
      <c r="C174" s="26"/>
      <c r="D174" s="279"/>
      <c r="E174" s="27"/>
      <c r="F174" s="28"/>
      <c r="G174" s="27"/>
      <c r="H174" s="28"/>
      <c r="I174" s="28"/>
      <c r="J174" s="255" t="str">
        <f>IF(H174="","",(_xlfn.XLOOKUP(H174,Cadastros!$D$6:$D$90,Cadastros!$E$6:$E$90))*(1-_xlfn.XLOOKUP(_xlfn.XLOOKUP($F174,Clientes!$B$4:$B$39,Clientes!$C$4:$C$39),Cadastros!$L$6:$L$12,Cadastros!$N$6:$N$12)))</f>
        <v/>
      </c>
      <c r="K174" s="168" t="str">
        <f t="shared" si="27"/>
        <v/>
      </c>
      <c r="L174" s="168" t="str">
        <f>IFERROR(K174/_xlfn.XLOOKUP(_xlfn.XLOOKUP($F174,Clientes!$B$4:$B$39,Clientes!$C$4:$C$39),Cadastros!$L$6:$L$12,Cadastros!$M$6:$M$12)," ")</f>
        <v xml:space="preserve"> </v>
      </c>
      <c r="M174" s="28"/>
      <c r="N174" s="28"/>
      <c r="O174" s="255" t="str">
        <f>IF(M174="","",(_xlfn.XLOOKUP(M174,Cadastros!$D$6:$D$90,Cadastros!$E$6:$E$90))*(1-_xlfn.XLOOKUP(_xlfn.XLOOKUP($F174,Clientes!$B$4:$B$39,Clientes!$C$4:$C$39),Cadastros!$L$6:$L$12,Cadastros!$N$6:$N$12)))</f>
        <v/>
      </c>
      <c r="P174" s="168" t="str">
        <f t="shared" si="28"/>
        <v/>
      </c>
      <c r="Q174" s="168" t="str">
        <f>IFERROR(P174/_xlfn.XLOOKUP(_xlfn.XLOOKUP($F174,Clientes!$B$4:$B$39,Clientes!$C$4:$C$39),Cadastros!$L$6:$L$12,Cadastros!$M$6:$M$12)," ")</f>
        <v xml:space="preserve"> </v>
      </c>
      <c r="R174" s="28"/>
      <c r="S174" s="28"/>
      <c r="T174" s="255" t="str">
        <f>IF(R174="","",(_xlfn.XLOOKUP(R174,Cadastros!$D$6:$D$90,Cadastros!$E$6:$E$90))*(1-_xlfn.XLOOKUP(_xlfn.XLOOKUP($F174,Clientes!$B$4:$B$39,Clientes!$C$4:$C$39),Cadastros!$L$6:$L$12,Cadastros!$N$6:$N$12)))</f>
        <v/>
      </c>
      <c r="U174" s="168" t="str">
        <f t="shared" si="29"/>
        <v/>
      </c>
      <c r="V174" s="168" t="str">
        <f>IFERROR(U174/_xlfn.XLOOKUP(_xlfn.XLOOKUP($F174,Clientes!$B$4:$B$39,Clientes!$C$4:$C$39),Cadastros!$L$6:$L$12,Cadastros!$M$6:$M$12)," ")</f>
        <v xml:space="preserve"> </v>
      </c>
      <c r="W174" s="28"/>
      <c r="X174" s="28"/>
      <c r="Y174" s="255" t="str">
        <f>IF(W174="","",(_xlfn.XLOOKUP(W174,Cadastros!$D$6:$D$90,Cadastros!$E$6:$E$90))*(1-_xlfn.XLOOKUP(_xlfn.XLOOKUP($F174,Clientes!$B$4:$B$39,Clientes!$C$4:$C$39),Cadastros!$L$6:$L$12,Cadastros!$N$6:$N$12)))</f>
        <v/>
      </c>
      <c r="Z174" s="168" t="str">
        <f t="shared" si="30"/>
        <v/>
      </c>
      <c r="AA174" s="168" t="str">
        <f>IFERROR(Z174/_xlfn.XLOOKUP(_xlfn.XLOOKUP($F174,Clientes!$B$4:$B$39,Clientes!$C$4:$C$39),Cadastros!$L$6:$L$12,Cadastros!$M$6:$M$12)," ")</f>
        <v xml:space="preserve"> </v>
      </c>
      <c r="AB174" s="28"/>
      <c r="AC174" s="28"/>
      <c r="AD174" s="20" t="str">
        <f>IF(AB174="","",IF($F174="Bernardino Furlan",_xlfn.XLOOKUP(AB174,Cadastros!$G$6:$G$90,Cadastros!$H$6:$H$90)*(1-0.18),IF($F174="Mauro José Salanti",_xlfn.XLOOKUP(AB174,Cadastros!$G$6:$G$90,Cadastros!$H$6:$H$90)*(1-0.18),_xlfn.XLOOKUP(AB174,Cadastros!$G$6:$G$90,Cadastros!$H$6:$H$90))))</f>
        <v/>
      </c>
      <c r="AE174" s="168" t="str">
        <f t="shared" si="31"/>
        <v/>
      </c>
      <c r="AF174" s="168" t="str">
        <f t="shared" si="32"/>
        <v/>
      </c>
      <c r="AG174" s="28"/>
      <c r="AH174" s="28"/>
      <c r="AI174" s="20" t="str">
        <f>IF(AG174="","",IF($F174="Bernardino Furlan",_xlfn.XLOOKUP(AG174,Cadastros!$G$6:$G$90,Cadastros!$H$6:$H$90)*(1-0.18),IF($F174="Mauro José Salanti",_xlfn.XLOOKUP(AG174,Cadastros!$G$6:$G$90,Cadastros!$H$6:$H$90)*(1-0.18),_xlfn.XLOOKUP(AG174,Cadastros!$G$6:$G$90,Cadastros!$H$6:$H$90))))</f>
        <v/>
      </c>
      <c r="AJ174" s="168" t="str">
        <f t="shared" si="33"/>
        <v/>
      </c>
      <c r="AK174" s="168" t="str">
        <f t="shared" si="34"/>
        <v/>
      </c>
      <c r="AL174" s="28"/>
      <c r="AM174" s="28"/>
      <c r="AN174" s="20" t="str">
        <f>IF(AL174="","",IF($F174="Bernardino Furlan",_xlfn.XLOOKUP(AL174,Cadastros!$G$6:$G$90,Cadastros!$H$6:$H$90)*(1-0.18),IF($F174="Mauro José Salanti",_xlfn.XLOOKUP(AL174,Cadastros!$G$6:$G$90,Cadastros!$H$6:$H$90)*(1-0.18),_xlfn.XLOOKUP(AL174,Cadastros!$G$6:$G$90,Cadastros!$H$6:$H$90))))</f>
        <v/>
      </c>
      <c r="AO174" s="168" t="str">
        <f t="shared" si="35"/>
        <v/>
      </c>
      <c r="AP174" s="168" t="str">
        <f t="shared" si="36"/>
        <v/>
      </c>
      <c r="AQ174" s="28"/>
      <c r="AR174" s="28"/>
      <c r="AS174" s="20" t="str">
        <f>IF(AQ174="","",IF($F174="Bernardino Furlan",_xlfn.XLOOKUP(AQ174,Cadastros!$G$6:$G$90,Cadastros!$H$6:$H$90)*(1-0.18),IF($F174="Mauro José Salanti",_xlfn.XLOOKUP(AQ174,Cadastros!$G$6:$G$90,Cadastros!$H$6:$H$90)*(1-0.18),_xlfn.XLOOKUP(AQ174,Cadastros!$G$6:$G$90,Cadastros!$H$6:$H$90))))</f>
        <v/>
      </c>
      <c r="AT174" s="168" t="str">
        <f t="shared" si="37"/>
        <v/>
      </c>
      <c r="AU174" s="168" t="str">
        <f t="shared" si="38"/>
        <v/>
      </c>
      <c r="AV174" s="227"/>
      <c r="AW174" s="30"/>
      <c r="AX174" s="267"/>
      <c r="AY174" s="267"/>
      <c r="AZ174" s="29"/>
      <c r="BA174" s="30"/>
      <c r="BB174" s="23" t="str" cm="1">
        <f t="array" ref="BB174">_xlfn.IFS(AW174="SIM",SUM(K174,P174,U174,Z174,AE174,AJ174,AO174,AT174,AX174,AY174),F174&lt;&gt;"",SUM(K174,P174,U174,Z174,AE174,AJ174,,AO174,AT174),F174="","")</f>
        <v/>
      </c>
      <c r="BC174" s="211" t="str" cm="1">
        <f t="array" ref="BC174">_xlfn.IFS(E174="","",G174&lt;=E174,BB174*(1-0.03),G174&lt;(E174+8),BB174,AZ174="Boleto",BB174*(1+0.001)^DATEDIF(E174,G174,"D"),AZ174="Cheque",BB174,AZ174="Dinheiro","Alterar forma pgto")</f>
        <v/>
      </c>
      <c r="BD174" s="276" t="str" cm="1">
        <f t="array" ref="BD174">IF(F174=0," ",IF(BC174&lt;BB174,(_xlfn.IFS(AW174="SIM",SUM(L174,Q174,V174,AA174,AF174,AK174,AP174,AU174)+AX174/_xlfn.XLOOKUP(_xlfn.XLOOKUP($F174,Clientes!$B$4:$B$39,Clientes!$C$4:$C$39),Cadastros!$L$6:$L$12,Cadastros!$M$6:$M$12)+IF($F174="Bernardino Furlan",AY174/2751.92,IF($F174="Mauro José Salanti",AY174/2751.92,AY174/3356)),F174&lt;&gt;0,SUM(L174,Q174,V174,AA174,AF174,AK174,AP174,AU174)))*(1-0.03),_xlfn.IFS(AW174="SIM",SUM(L174,Q174,V174,AA174,AF174,AK174,AP174,AU174)+AX174/_xlfn.XLOOKUP(_xlfn.XLOOKUP($F174,Clientes!$B$4:$B$39,Clientes!$C$4:$C$39),Cadastros!$L$6:$L$12,Cadastros!$M$6:$M$12)+IF($F174="Bernardino Furlan",AY174/2751.92,IF($F174="Mauro José Salanti",AY174/2751.92,AY174/3356)),F174&lt;&gt;0,SUM(L174,Q174,V174,AA174,AF174,AK174,AP174,AU174))))</f>
        <v xml:space="preserve"> </v>
      </c>
      <c r="BE174" s="120"/>
      <c r="BF174" s="120"/>
      <c r="BG174" s="120"/>
    </row>
    <row r="175" spans="1:59" s="3" customFormat="1" x14ac:dyDescent="0.3">
      <c r="A175" s="15" t="str">
        <f t="shared" si="26"/>
        <v/>
      </c>
      <c r="B175" s="25"/>
      <c r="C175" s="26"/>
      <c r="D175" s="279"/>
      <c r="E175" s="27"/>
      <c r="F175" s="28"/>
      <c r="G175" s="27"/>
      <c r="H175" s="28"/>
      <c r="I175" s="28"/>
      <c r="J175" s="255" t="str">
        <f>IF(H175="","",(_xlfn.XLOOKUP(H175,Cadastros!$D$6:$D$90,Cadastros!$E$6:$E$90))*(1-_xlfn.XLOOKUP(_xlfn.XLOOKUP($F175,Clientes!$B$4:$B$39,Clientes!$C$4:$C$39),Cadastros!$L$6:$L$12,Cadastros!$N$6:$N$12)))</f>
        <v/>
      </c>
      <c r="K175" s="168" t="str">
        <f t="shared" si="27"/>
        <v/>
      </c>
      <c r="L175" s="168" t="str">
        <f>IFERROR(K175/_xlfn.XLOOKUP(_xlfn.XLOOKUP($F175,Clientes!$B$4:$B$39,Clientes!$C$4:$C$39),Cadastros!$L$6:$L$12,Cadastros!$M$6:$M$12)," ")</f>
        <v xml:space="preserve"> </v>
      </c>
      <c r="M175" s="28"/>
      <c r="N175" s="28"/>
      <c r="O175" s="255" t="str">
        <f>IF(M175="","",(_xlfn.XLOOKUP(M175,Cadastros!$D$6:$D$90,Cadastros!$E$6:$E$90))*(1-_xlfn.XLOOKUP(_xlfn.XLOOKUP($F175,Clientes!$B$4:$B$39,Clientes!$C$4:$C$39),Cadastros!$L$6:$L$12,Cadastros!$N$6:$N$12)))</f>
        <v/>
      </c>
      <c r="P175" s="168" t="str">
        <f t="shared" si="28"/>
        <v/>
      </c>
      <c r="Q175" s="168" t="str">
        <f>IFERROR(P175/_xlfn.XLOOKUP(_xlfn.XLOOKUP($F175,Clientes!$B$4:$B$39,Clientes!$C$4:$C$39),Cadastros!$L$6:$L$12,Cadastros!$M$6:$M$12)," ")</f>
        <v xml:space="preserve"> </v>
      </c>
      <c r="R175" s="28"/>
      <c r="S175" s="28"/>
      <c r="T175" s="255" t="str">
        <f>IF(R175="","",(_xlfn.XLOOKUP(R175,Cadastros!$D$6:$D$90,Cadastros!$E$6:$E$90))*(1-_xlfn.XLOOKUP(_xlfn.XLOOKUP($F175,Clientes!$B$4:$B$39,Clientes!$C$4:$C$39),Cadastros!$L$6:$L$12,Cadastros!$N$6:$N$12)))</f>
        <v/>
      </c>
      <c r="U175" s="168" t="str">
        <f t="shared" si="29"/>
        <v/>
      </c>
      <c r="V175" s="168" t="str">
        <f>IFERROR(U175/_xlfn.XLOOKUP(_xlfn.XLOOKUP($F175,Clientes!$B$4:$B$39,Clientes!$C$4:$C$39),Cadastros!$L$6:$L$12,Cadastros!$M$6:$M$12)," ")</f>
        <v xml:space="preserve"> </v>
      </c>
      <c r="W175" s="28"/>
      <c r="X175" s="28"/>
      <c r="Y175" s="255" t="str">
        <f>IF(W175="","",(_xlfn.XLOOKUP(W175,Cadastros!$D$6:$D$90,Cadastros!$E$6:$E$90))*(1-_xlfn.XLOOKUP(_xlfn.XLOOKUP($F175,Clientes!$B$4:$B$39,Clientes!$C$4:$C$39),Cadastros!$L$6:$L$12,Cadastros!$N$6:$N$12)))</f>
        <v/>
      </c>
      <c r="Z175" s="168" t="str">
        <f t="shared" si="30"/>
        <v/>
      </c>
      <c r="AA175" s="168" t="str">
        <f>IFERROR(Z175/_xlfn.XLOOKUP(_xlfn.XLOOKUP($F175,Clientes!$B$4:$B$39,Clientes!$C$4:$C$39),Cadastros!$L$6:$L$12,Cadastros!$M$6:$M$12)," ")</f>
        <v xml:space="preserve"> </v>
      </c>
      <c r="AB175" s="28"/>
      <c r="AC175" s="28"/>
      <c r="AD175" s="20" t="str">
        <f>IF(AB175="","",IF($F175="Bernardino Furlan",_xlfn.XLOOKUP(AB175,Cadastros!$G$6:$G$90,Cadastros!$H$6:$H$90)*(1-0.18),IF($F175="Mauro José Salanti",_xlfn.XLOOKUP(AB175,Cadastros!$G$6:$G$90,Cadastros!$H$6:$H$90)*(1-0.18),_xlfn.XLOOKUP(AB175,Cadastros!$G$6:$G$90,Cadastros!$H$6:$H$90))))</f>
        <v/>
      </c>
      <c r="AE175" s="168" t="str">
        <f t="shared" si="31"/>
        <v/>
      </c>
      <c r="AF175" s="168" t="str">
        <f t="shared" si="32"/>
        <v/>
      </c>
      <c r="AG175" s="28"/>
      <c r="AH175" s="28"/>
      <c r="AI175" s="20" t="str">
        <f>IF(AG175="","",IF($F175="Bernardino Furlan",_xlfn.XLOOKUP(AG175,Cadastros!$G$6:$G$90,Cadastros!$H$6:$H$90)*(1-0.18),IF($F175="Mauro José Salanti",_xlfn.XLOOKUP(AG175,Cadastros!$G$6:$G$90,Cadastros!$H$6:$H$90)*(1-0.18),_xlfn.XLOOKUP(AG175,Cadastros!$G$6:$G$90,Cadastros!$H$6:$H$90))))</f>
        <v/>
      </c>
      <c r="AJ175" s="168" t="str">
        <f t="shared" si="33"/>
        <v/>
      </c>
      <c r="AK175" s="168" t="str">
        <f t="shared" si="34"/>
        <v/>
      </c>
      <c r="AL175" s="28"/>
      <c r="AM175" s="28"/>
      <c r="AN175" s="20" t="str">
        <f>IF(AL175="","",IF($F175="Bernardino Furlan",_xlfn.XLOOKUP(AL175,Cadastros!$G$6:$G$90,Cadastros!$H$6:$H$90)*(1-0.18),IF($F175="Mauro José Salanti",_xlfn.XLOOKUP(AL175,Cadastros!$G$6:$G$90,Cadastros!$H$6:$H$90)*(1-0.18),_xlfn.XLOOKUP(AL175,Cadastros!$G$6:$G$90,Cadastros!$H$6:$H$90))))</f>
        <v/>
      </c>
      <c r="AO175" s="168" t="str">
        <f t="shared" si="35"/>
        <v/>
      </c>
      <c r="AP175" s="168" t="str">
        <f t="shared" si="36"/>
        <v/>
      </c>
      <c r="AQ175" s="28"/>
      <c r="AR175" s="28"/>
      <c r="AS175" s="20" t="str">
        <f>IF(AQ175="","",IF($F175="Bernardino Furlan",_xlfn.XLOOKUP(AQ175,Cadastros!$G$6:$G$90,Cadastros!$H$6:$H$90)*(1-0.18),IF($F175="Mauro José Salanti",_xlfn.XLOOKUP(AQ175,Cadastros!$G$6:$G$90,Cadastros!$H$6:$H$90)*(1-0.18),_xlfn.XLOOKUP(AQ175,Cadastros!$G$6:$G$90,Cadastros!$H$6:$H$90))))</f>
        <v/>
      </c>
      <c r="AT175" s="168" t="str">
        <f t="shared" si="37"/>
        <v/>
      </c>
      <c r="AU175" s="168" t="str">
        <f t="shared" si="38"/>
        <v/>
      </c>
      <c r="AV175" s="227"/>
      <c r="AW175" s="30"/>
      <c r="AX175" s="267"/>
      <c r="AY175" s="267"/>
      <c r="AZ175" s="29"/>
      <c r="BA175" s="30"/>
      <c r="BB175" s="23" t="str" cm="1">
        <f t="array" ref="BB175">_xlfn.IFS(AW175="SIM",SUM(K175,P175,U175,Z175,AE175,AJ175,AO175,AT175,AX175,AY175),F175&lt;&gt;"",SUM(K175,P175,U175,Z175,AE175,AJ175,,AO175,AT175),F175="","")</f>
        <v/>
      </c>
      <c r="BC175" s="211" t="str" cm="1">
        <f t="array" ref="BC175">_xlfn.IFS(E175="","",G175&lt;=E175,BB175*(1-0.03),G175&lt;(E175+8),BB175,AZ175="Boleto",BB175*(1+0.001)^DATEDIF(E175,G175,"D"),AZ175="Cheque",BB175,AZ175="Dinheiro","Alterar forma pgto")</f>
        <v/>
      </c>
      <c r="BD175" s="276" t="str" cm="1">
        <f t="array" ref="BD175">IF(F175=0," ",IF(BC175&lt;BB175,(_xlfn.IFS(AW175="SIM",SUM(L175,Q175,V175,AA175,AF175,AK175,AP175,AU175)+AX175/_xlfn.XLOOKUP(_xlfn.XLOOKUP($F175,Clientes!$B$4:$B$39,Clientes!$C$4:$C$39),Cadastros!$L$6:$L$12,Cadastros!$M$6:$M$12)+IF($F175="Bernardino Furlan",AY175/2751.92,IF($F175="Mauro José Salanti",AY175/2751.92,AY175/3356)),F175&lt;&gt;0,SUM(L175,Q175,V175,AA175,AF175,AK175,AP175,AU175)))*(1-0.03),_xlfn.IFS(AW175="SIM",SUM(L175,Q175,V175,AA175,AF175,AK175,AP175,AU175)+AX175/_xlfn.XLOOKUP(_xlfn.XLOOKUP($F175,Clientes!$B$4:$B$39,Clientes!$C$4:$C$39),Cadastros!$L$6:$L$12,Cadastros!$M$6:$M$12)+IF($F175="Bernardino Furlan",AY175/2751.92,IF($F175="Mauro José Salanti",AY175/2751.92,AY175/3356)),F175&lt;&gt;0,SUM(L175,Q175,V175,AA175,AF175,AK175,AP175,AU175))))</f>
        <v xml:space="preserve"> </v>
      </c>
      <c r="BE175" s="120"/>
      <c r="BF175" s="120"/>
      <c r="BG175" s="120"/>
    </row>
    <row r="176" spans="1:59" s="3" customFormat="1" x14ac:dyDescent="0.3">
      <c r="A176" s="15" t="str">
        <f t="shared" si="26"/>
        <v/>
      </c>
      <c r="B176" s="25"/>
      <c r="C176" s="26"/>
      <c r="D176" s="279"/>
      <c r="E176" s="27"/>
      <c r="F176" s="28"/>
      <c r="G176" s="27"/>
      <c r="H176" s="28"/>
      <c r="I176" s="28"/>
      <c r="J176" s="255" t="str">
        <f>IF(H176="","",(_xlfn.XLOOKUP(H176,Cadastros!$D$6:$D$90,Cadastros!$E$6:$E$90))*(1-_xlfn.XLOOKUP(_xlfn.XLOOKUP($F176,Clientes!$B$4:$B$39,Clientes!$C$4:$C$39),Cadastros!$L$6:$L$12,Cadastros!$N$6:$N$12)))</f>
        <v/>
      </c>
      <c r="K176" s="168" t="str">
        <f t="shared" si="27"/>
        <v/>
      </c>
      <c r="L176" s="168" t="str">
        <f>IFERROR(K176/_xlfn.XLOOKUP(_xlfn.XLOOKUP($F176,Clientes!$B$4:$B$39,Clientes!$C$4:$C$39),Cadastros!$L$6:$L$12,Cadastros!$M$6:$M$12)," ")</f>
        <v xml:space="preserve"> </v>
      </c>
      <c r="M176" s="28"/>
      <c r="N176" s="28"/>
      <c r="O176" s="255" t="str">
        <f>IF(M176="","",(_xlfn.XLOOKUP(M176,Cadastros!$D$6:$D$90,Cadastros!$E$6:$E$90))*(1-_xlfn.XLOOKUP(_xlfn.XLOOKUP($F176,Clientes!$B$4:$B$39,Clientes!$C$4:$C$39),Cadastros!$L$6:$L$12,Cadastros!$N$6:$N$12)))</f>
        <v/>
      </c>
      <c r="P176" s="168" t="str">
        <f t="shared" si="28"/>
        <v/>
      </c>
      <c r="Q176" s="168" t="str">
        <f>IFERROR(P176/_xlfn.XLOOKUP(_xlfn.XLOOKUP($F176,Clientes!$B$4:$B$39,Clientes!$C$4:$C$39),Cadastros!$L$6:$L$12,Cadastros!$M$6:$M$12)," ")</f>
        <v xml:space="preserve"> </v>
      </c>
      <c r="R176" s="28"/>
      <c r="S176" s="28"/>
      <c r="T176" s="255" t="str">
        <f>IF(R176="","",(_xlfn.XLOOKUP(R176,Cadastros!$D$6:$D$90,Cadastros!$E$6:$E$90))*(1-_xlfn.XLOOKUP(_xlfn.XLOOKUP($F176,Clientes!$B$4:$B$39,Clientes!$C$4:$C$39),Cadastros!$L$6:$L$12,Cadastros!$N$6:$N$12)))</f>
        <v/>
      </c>
      <c r="U176" s="168" t="str">
        <f t="shared" si="29"/>
        <v/>
      </c>
      <c r="V176" s="168" t="str">
        <f>IFERROR(U176/_xlfn.XLOOKUP(_xlfn.XLOOKUP($F176,Clientes!$B$4:$B$39,Clientes!$C$4:$C$39),Cadastros!$L$6:$L$12,Cadastros!$M$6:$M$12)," ")</f>
        <v xml:space="preserve"> </v>
      </c>
      <c r="W176" s="28"/>
      <c r="X176" s="28"/>
      <c r="Y176" s="255" t="str">
        <f>IF(W176="","",(_xlfn.XLOOKUP(W176,Cadastros!$D$6:$D$90,Cadastros!$E$6:$E$90))*(1-_xlfn.XLOOKUP(_xlfn.XLOOKUP($F176,Clientes!$B$4:$B$39,Clientes!$C$4:$C$39),Cadastros!$L$6:$L$12,Cadastros!$N$6:$N$12)))</f>
        <v/>
      </c>
      <c r="Z176" s="168" t="str">
        <f t="shared" si="30"/>
        <v/>
      </c>
      <c r="AA176" s="168" t="str">
        <f>IFERROR(Z176/_xlfn.XLOOKUP(_xlfn.XLOOKUP($F176,Clientes!$B$4:$B$39,Clientes!$C$4:$C$39),Cadastros!$L$6:$L$12,Cadastros!$M$6:$M$12)," ")</f>
        <v xml:space="preserve"> </v>
      </c>
      <c r="AB176" s="28"/>
      <c r="AC176" s="28"/>
      <c r="AD176" s="20" t="str">
        <f>IF(AB176="","",IF($F176="Bernardino Furlan",_xlfn.XLOOKUP(AB176,Cadastros!$G$6:$G$90,Cadastros!$H$6:$H$90)*(1-0.18),IF($F176="Mauro José Salanti",_xlfn.XLOOKUP(AB176,Cadastros!$G$6:$G$90,Cadastros!$H$6:$H$90)*(1-0.18),_xlfn.XLOOKUP(AB176,Cadastros!$G$6:$G$90,Cadastros!$H$6:$H$90))))</f>
        <v/>
      </c>
      <c r="AE176" s="168" t="str">
        <f t="shared" si="31"/>
        <v/>
      </c>
      <c r="AF176" s="168" t="str">
        <f t="shared" si="32"/>
        <v/>
      </c>
      <c r="AG176" s="28"/>
      <c r="AH176" s="28"/>
      <c r="AI176" s="20" t="str">
        <f>IF(AG176="","",IF($F176="Bernardino Furlan",_xlfn.XLOOKUP(AG176,Cadastros!$G$6:$G$90,Cadastros!$H$6:$H$90)*(1-0.18),IF($F176="Mauro José Salanti",_xlfn.XLOOKUP(AG176,Cadastros!$G$6:$G$90,Cadastros!$H$6:$H$90)*(1-0.18),_xlfn.XLOOKUP(AG176,Cadastros!$G$6:$G$90,Cadastros!$H$6:$H$90))))</f>
        <v/>
      </c>
      <c r="AJ176" s="168" t="str">
        <f t="shared" si="33"/>
        <v/>
      </c>
      <c r="AK176" s="168" t="str">
        <f t="shared" si="34"/>
        <v/>
      </c>
      <c r="AL176" s="28"/>
      <c r="AM176" s="28"/>
      <c r="AN176" s="20" t="str">
        <f>IF(AL176="","",IF($F176="Bernardino Furlan",_xlfn.XLOOKUP(AL176,Cadastros!$G$6:$G$90,Cadastros!$H$6:$H$90)*(1-0.18),IF($F176="Mauro José Salanti",_xlfn.XLOOKUP(AL176,Cadastros!$G$6:$G$90,Cadastros!$H$6:$H$90)*(1-0.18),_xlfn.XLOOKUP(AL176,Cadastros!$G$6:$G$90,Cadastros!$H$6:$H$90))))</f>
        <v/>
      </c>
      <c r="AO176" s="168" t="str">
        <f t="shared" si="35"/>
        <v/>
      </c>
      <c r="AP176" s="168" t="str">
        <f t="shared" si="36"/>
        <v/>
      </c>
      <c r="AQ176" s="28"/>
      <c r="AR176" s="28"/>
      <c r="AS176" s="20" t="str">
        <f>IF(AQ176="","",IF($F176="Bernardino Furlan",_xlfn.XLOOKUP(AQ176,Cadastros!$G$6:$G$90,Cadastros!$H$6:$H$90)*(1-0.18),IF($F176="Mauro José Salanti",_xlfn.XLOOKUP(AQ176,Cadastros!$G$6:$G$90,Cadastros!$H$6:$H$90)*(1-0.18),_xlfn.XLOOKUP(AQ176,Cadastros!$G$6:$G$90,Cadastros!$H$6:$H$90))))</f>
        <v/>
      </c>
      <c r="AT176" s="168" t="str">
        <f t="shared" si="37"/>
        <v/>
      </c>
      <c r="AU176" s="168" t="str">
        <f t="shared" si="38"/>
        <v/>
      </c>
      <c r="AV176" s="227"/>
      <c r="AW176" s="30"/>
      <c r="AX176" s="267"/>
      <c r="AY176" s="267"/>
      <c r="AZ176" s="29"/>
      <c r="BA176" s="30"/>
      <c r="BB176" s="23" t="str" cm="1">
        <f t="array" ref="BB176">_xlfn.IFS(AW176="SIM",SUM(K176,P176,U176,Z176,AE176,AJ176,AO176,AT176,AX176,AY176),F176&lt;&gt;"",SUM(K176,P176,U176,Z176,AE176,AJ176,,AO176,AT176),F176="","")</f>
        <v/>
      </c>
      <c r="BC176" s="211" t="str" cm="1">
        <f t="array" ref="BC176">_xlfn.IFS(E176="","",G176&lt;=E176,BB176*(1-0.03),G176&lt;(E176+8),BB176,AZ176="Boleto",BB176*(1+0.001)^DATEDIF(E176,G176,"D"),AZ176="Cheque",BB176,AZ176="Dinheiro","Alterar forma pgto")</f>
        <v/>
      </c>
      <c r="BD176" s="276" t="str" cm="1">
        <f t="array" ref="BD176">IF(F176=0," ",IF(BC176&lt;BB176,(_xlfn.IFS(AW176="SIM",SUM(L176,Q176,V176,AA176,AF176,AK176,AP176,AU176)+AX176/_xlfn.XLOOKUP(_xlfn.XLOOKUP($F176,Clientes!$B$4:$B$39,Clientes!$C$4:$C$39),Cadastros!$L$6:$L$12,Cadastros!$M$6:$M$12)+IF($F176="Bernardino Furlan",AY176/2751.92,IF($F176="Mauro José Salanti",AY176/2751.92,AY176/3356)),F176&lt;&gt;0,SUM(L176,Q176,V176,AA176,AF176,AK176,AP176,AU176)))*(1-0.03),_xlfn.IFS(AW176="SIM",SUM(L176,Q176,V176,AA176,AF176,AK176,AP176,AU176)+AX176/_xlfn.XLOOKUP(_xlfn.XLOOKUP($F176,Clientes!$B$4:$B$39,Clientes!$C$4:$C$39),Cadastros!$L$6:$L$12,Cadastros!$M$6:$M$12)+IF($F176="Bernardino Furlan",AY176/2751.92,IF($F176="Mauro José Salanti",AY176/2751.92,AY176/3356)),F176&lt;&gt;0,SUM(L176,Q176,V176,AA176,AF176,AK176,AP176,AU176))))</f>
        <v xml:space="preserve"> </v>
      </c>
      <c r="BE176" s="120"/>
      <c r="BF176" s="120"/>
      <c r="BG176" s="120"/>
    </row>
    <row r="177" spans="1:59" s="3" customFormat="1" x14ac:dyDescent="0.3">
      <c r="A177" s="15" t="str">
        <f t="shared" si="26"/>
        <v/>
      </c>
      <c r="B177" s="25"/>
      <c r="C177" s="26"/>
      <c r="D177" s="279"/>
      <c r="E177" s="27"/>
      <c r="F177" s="28"/>
      <c r="G177" s="27"/>
      <c r="H177" s="28"/>
      <c r="I177" s="28"/>
      <c r="J177" s="255" t="str">
        <f>IF(H177="","",(_xlfn.XLOOKUP(H177,Cadastros!$D$6:$D$90,Cadastros!$E$6:$E$90))*(1-_xlfn.XLOOKUP(_xlfn.XLOOKUP($F177,Clientes!$B$4:$B$39,Clientes!$C$4:$C$39),Cadastros!$L$6:$L$12,Cadastros!$N$6:$N$12)))</f>
        <v/>
      </c>
      <c r="K177" s="168" t="str">
        <f t="shared" si="27"/>
        <v/>
      </c>
      <c r="L177" s="168" t="str">
        <f>IFERROR(K177/_xlfn.XLOOKUP(_xlfn.XLOOKUP($F177,Clientes!$B$4:$B$39,Clientes!$C$4:$C$39),Cadastros!$L$6:$L$12,Cadastros!$M$6:$M$12)," ")</f>
        <v xml:space="preserve"> </v>
      </c>
      <c r="M177" s="28"/>
      <c r="N177" s="28"/>
      <c r="O177" s="255" t="str">
        <f>IF(M177="","",(_xlfn.XLOOKUP(M177,Cadastros!$D$6:$D$90,Cadastros!$E$6:$E$90))*(1-_xlfn.XLOOKUP(_xlfn.XLOOKUP($F177,Clientes!$B$4:$B$39,Clientes!$C$4:$C$39),Cadastros!$L$6:$L$12,Cadastros!$N$6:$N$12)))</f>
        <v/>
      </c>
      <c r="P177" s="168" t="str">
        <f t="shared" si="28"/>
        <v/>
      </c>
      <c r="Q177" s="168" t="str">
        <f>IFERROR(P177/_xlfn.XLOOKUP(_xlfn.XLOOKUP($F177,Clientes!$B$4:$B$39,Clientes!$C$4:$C$39),Cadastros!$L$6:$L$12,Cadastros!$M$6:$M$12)," ")</f>
        <v xml:space="preserve"> </v>
      </c>
      <c r="R177" s="28"/>
      <c r="S177" s="28"/>
      <c r="T177" s="255" t="str">
        <f>IF(R177="","",(_xlfn.XLOOKUP(R177,Cadastros!$D$6:$D$90,Cadastros!$E$6:$E$90))*(1-_xlfn.XLOOKUP(_xlfn.XLOOKUP($F177,Clientes!$B$4:$B$39,Clientes!$C$4:$C$39),Cadastros!$L$6:$L$12,Cadastros!$N$6:$N$12)))</f>
        <v/>
      </c>
      <c r="U177" s="168" t="str">
        <f t="shared" si="29"/>
        <v/>
      </c>
      <c r="V177" s="168" t="str">
        <f>IFERROR(U177/_xlfn.XLOOKUP(_xlfn.XLOOKUP($F177,Clientes!$B$4:$B$39,Clientes!$C$4:$C$39),Cadastros!$L$6:$L$12,Cadastros!$M$6:$M$12)," ")</f>
        <v xml:space="preserve"> </v>
      </c>
      <c r="W177" s="28"/>
      <c r="X177" s="28"/>
      <c r="Y177" s="255" t="str">
        <f>IF(W177="","",(_xlfn.XLOOKUP(W177,Cadastros!$D$6:$D$90,Cadastros!$E$6:$E$90))*(1-_xlfn.XLOOKUP(_xlfn.XLOOKUP($F177,Clientes!$B$4:$B$39,Clientes!$C$4:$C$39),Cadastros!$L$6:$L$12,Cadastros!$N$6:$N$12)))</f>
        <v/>
      </c>
      <c r="Z177" s="168" t="str">
        <f t="shared" si="30"/>
        <v/>
      </c>
      <c r="AA177" s="168" t="str">
        <f>IFERROR(Z177/_xlfn.XLOOKUP(_xlfn.XLOOKUP($F177,Clientes!$B$4:$B$39,Clientes!$C$4:$C$39),Cadastros!$L$6:$L$12,Cadastros!$M$6:$M$12)," ")</f>
        <v xml:space="preserve"> </v>
      </c>
      <c r="AB177" s="28"/>
      <c r="AC177" s="28"/>
      <c r="AD177" s="20" t="str">
        <f>IF(AB177="","",IF($F177="Bernardino Furlan",_xlfn.XLOOKUP(AB177,Cadastros!$G$6:$G$90,Cadastros!$H$6:$H$90)*(1-0.18),IF($F177="Mauro José Salanti",_xlfn.XLOOKUP(AB177,Cadastros!$G$6:$G$90,Cadastros!$H$6:$H$90)*(1-0.18),_xlfn.XLOOKUP(AB177,Cadastros!$G$6:$G$90,Cadastros!$H$6:$H$90))))</f>
        <v/>
      </c>
      <c r="AE177" s="168" t="str">
        <f t="shared" si="31"/>
        <v/>
      </c>
      <c r="AF177" s="168" t="str">
        <f t="shared" si="32"/>
        <v/>
      </c>
      <c r="AG177" s="28"/>
      <c r="AH177" s="28"/>
      <c r="AI177" s="20" t="str">
        <f>IF(AG177="","",IF($F177="Bernardino Furlan",_xlfn.XLOOKUP(AG177,Cadastros!$G$6:$G$90,Cadastros!$H$6:$H$90)*(1-0.18),IF($F177="Mauro José Salanti",_xlfn.XLOOKUP(AG177,Cadastros!$G$6:$G$90,Cadastros!$H$6:$H$90)*(1-0.18),_xlfn.XLOOKUP(AG177,Cadastros!$G$6:$G$90,Cadastros!$H$6:$H$90))))</f>
        <v/>
      </c>
      <c r="AJ177" s="168" t="str">
        <f t="shared" si="33"/>
        <v/>
      </c>
      <c r="AK177" s="168" t="str">
        <f t="shared" si="34"/>
        <v/>
      </c>
      <c r="AL177" s="28"/>
      <c r="AM177" s="28"/>
      <c r="AN177" s="20" t="str">
        <f>IF(AL177="","",IF($F177="Bernardino Furlan",_xlfn.XLOOKUP(AL177,Cadastros!$G$6:$G$90,Cadastros!$H$6:$H$90)*(1-0.18),IF($F177="Mauro José Salanti",_xlfn.XLOOKUP(AL177,Cadastros!$G$6:$G$90,Cadastros!$H$6:$H$90)*(1-0.18),_xlfn.XLOOKUP(AL177,Cadastros!$G$6:$G$90,Cadastros!$H$6:$H$90))))</f>
        <v/>
      </c>
      <c r="AO177" s="168" t="str">
        <f t="shared" si="35"/>
        <v/>
      </c>
      <c r="AP177" s="168" t="str">
        <f t="shared" si="36"/>
        <v/>
      </c>
      <c r="AQ177" s="28"/>
      <c r="AR177" s="28"/>
      <c r="AS177" s="20" t="str">
        <f>IF(AQ177="","",IF($F177="Bernardino Furlan",_xlfn.XLOOKUP(AQ177,Cadastros!$G$6:$G$90,Cadastros!$H$6:$H$90)*(1-0.18),IF($F177="Mauro José Salanti",_xlfn.XLOOKUP(AQ177,Cadastros!$G$6:$G$90,Cadastros!$H$6:$H$90)*(1-0.18),_xlfn.XLOOKUP(AQ177,Cadastros!$G$6:$G$90,Cadastros!$H$6:$H$90))))</f>
        <v/>
      </c>
      <c r="AT177" s="168" t="str">
        <f t="shared" si="37"/>
        <v/>
      </c>
      <c r="AU177" s="168" t="str">
        <f t="shared" si="38"/>
        <v/>
      </c>
      <c r="AV177" s="227"/>
      <c r="AW177" s="30"/>
      <c r="AX177" s="267"/>
      <c r="AY177" s="267"/>
      <c r="AZ177" s="29"/>
      <c r="BA177" s="30"/>
      <c r="BB177" s="23" t="str" cm="1">
        <f t="array" ref="BB177">_xlfn.IFS(AW177="SIM",SUM(K177,P177,U177,Z177,AE177,AJ177,AO177,AT177,AX177,AY177),F177&lt;&gt;"",SUM(K177,P177,U177,Z177,AE177,AJ177,,AO177,AT177),F177="","")</f>
        <v/>
      </c>
      <c r="BC177" s="211" t="str" cm="1">
        <f t="array" ref="BC177">_xlfn.IFS(E177="","",G177&lt;=E177,BB177*(1-0.03),G177&lt;(E177+8),BB177,AZ177="Boleto",BB177*(1+0.001)^DATEDIF(E177,G177,"D"),AZ177="Cheque",BB177,AZ177="Dinheiro","Alterar forma pgto")</f>
        <v/>
      </c>
      <c r="BD177" s="276" t="str" cm="1">
        <f t="array" ref="BD177">IF(F177=0," ",IF(BC177&lt;BB177,(_xlfn.IFS(AW177="SIM",SUM(L177,Q177,V177,AA177,AF177,AK177,AP177,AU177)+AX177/_xlfn.XLOOKUP(_xlfn.XLOOKUP($F177,Clientes!$B$4:$B$39,Clientes!$C$4:$C$39),Cadastros!$L$6:$L$12,Cadastros!$M$6:$M$12)+IF($F177="Bernardino Furlan",AY177/2751.92,IF($F177="Mauro José Salanti",AY177/2751.92,AY177/3356)),F177&lt;&gt;0,SUM(L177,Q177,V177,AA177,AF177,AK177,AP177,AU177)))*(1-0.03),_xlfn.IFS(AW177="SIM",SUM(L177,Q177,V177,AA177,AF177,AK177,AP177,AU177)+AX177/_xlfn.XLOOKUP(_xlfn.XLOOKUP($F177,Clientes!$B$4:$B$39,Clientes!$C$4:$C$39),Cadastros!$L$6:$L$12,Cadastros!$M$6:$M$12)+IF($F177="Bernardino Furlan",AY177/2751.92,IF($F177="Mauro José Salanti",AY177/2751.92,AY177/3356)),F177&lt;&gt;0,SUM(L177,Q177,V177,AA177,AF177,AK177,AP177,AU177))))</f>
        <v xml:space="preserve"> </v>
      </c>
      <c r="BE177" s="120"/>
      <c r="BF177" s="120"/>
      <c r="BG177" s="120"/>
    </row>
    <row r="178" spans="1:59" s="3" customFormat="1" x14ac:dyDescent="0.3">
      <c r="A178" s="15" t="str">
        <f t="shared" si="26"/>
        <v/>
      </c>
      <c r="B178" s="25"/>
      <c r="C178" s="26"/>
      <c r="D178" s="279"/>
      <c r="E178" s="27"/>
      <c r="F178" s="28"/>
      <c r="G178" s="27"/>
      <c r="H178" s="28"/>
      <c r="I178" s="28"/>
      <c r="J178" s="255" t="str">
        <f>IF(H178="","",(_xlfn.XLOOKUP(H178,Cadastros!$D$6:$D$90,Cadastros!$E$6:$E$90))*(1-_xlfn.XLOOKUP(_xlfn.XLOOKUP($F178,Clientes!$B$4:$B$39,Clientes!$C$4:$C$39),Cadastros!$L$6:$L$12,Cadastros!$N$6:$N$12)))</f>
        <v/>
      </c>
      <c r="K178" s="168" t="str">
        <f t="shared" si="27"/>
        <v/>
      </c>
      <c r="L178" s="168" t="str">
        <f>IFERROR(K178/_xlfn.XLOOKUP(_xlfn.XLOOKUP($F178,Clientes!$B$4:$B$39,Clientes!$C$4:$C$39),Cadastros!$L$6:$L$12,Cadastros!$M$6:$M$12)," ")</f>
        <v xml:space="preserve"> </v>
      </c>
      <c r="M178" s="28"/>
      <c r="N178" s="28"/>
      <c r="O178" s="255" t="str">
        <f>IF(M178="","",(_xlfn.XLOOKUP(M178,Cadastros!$D$6:$D$90,Cadastros!$E$6:$E$90))*(1-_xlfn.XLOOKUP(_xlfn.XLOOKUP($F178,Clientes!$B$4:$B$39,Clientes!$C$4:$C$39),Cadastros!$L$6:$L$12,Cadastros!$N$6:$N$12)))</f>
        <v/>
      </c>
      <c r="P178" s="168" t="str">
        <f t="shared" si="28"/>
        <v/>
      </c>
      <c r="Q178" s="168" t="str">
        <f>IFERROR(P178/_xlfn.XLOOKUP(_xlfn.XLOOKUP($F178,Clientes!$B$4:$B$39,Clientes!$C$4:$C$39),Cadastros!$L$6:$L$12,Cadastros!$M$6:$M$12)," ")</f>
        <v xml:space="preserve"> </v>
      </c>
      <c r="R178" s="28"/>
      <c r="S178" s="28"/>
      <c r="T178" s="255" t="str">
        <f>IF(R178="","",(_xlfn.XLOOKUP(R178,Cadastros!$D$6:$D$90,Cadastros!$E$6:$E$90))*(1-_xlfn.XLOOKUP(_xlfn.XLOOKUP($F178,Clientes!$B$4:$B$39,Clientes!$C$4:$C$39),Cadastros!$L$6:$L$12,Cadastros!$N$6:$N$12)))</f>
        <v/>
      </c>
      <c r="U178" s="168" t="str">
        <f t="shared" si="29"/>
        <v/>
      </c>
      <c r="V178" s="168" t="str">
        <f>IFERROR(U178/_xlfn.XLOOKUP(_xlfn.XLOOKUP($F178,Clientes!$B$4:$B$39,Clientes!$C$4:$C$39),Cadastros!$L$6:$L$12,Cadastros!$M$6:$M$12)," ")</f>
        <v xml:space="preserve"> </v>
      </c>
      <c r="W178" s="28"/>
      <c r="X178" s="28"/>
      <c r="Y178" s="255" t="str">
        <f>IF(W178="","",(_xlfn.XLOOKUP(W178,Cadastros!$D$6:$D$90,Cadastros!$E$6:$E$90))*(1-_xlfn.XLOOKUP(_xlfn.XLOOKUP($F178,Clientes!$B$4:$B$39,Clientes!$C$4:$C$39),Cadastros!$L$6:$L$12,Cadastros!$N$6:$N$12)))</f>
        <v/>
      </c>
      <c r="Z178" s="168" t="str">
        <f t="shared" si="30"/>
        <v/>
      </c>
      <c r="AA178" s="168" t="str">
        <f>IFERROR(Z178/_xlfn.XLOOKUP(_xlfn.XLOOKUP($F178,Clientes!$B$4:$B$39,Clientes!$C$4:$C$39),Cadastros!$L$6:$L$12,Cadastros!$M$6:$M$12)," ")</f>
        <v xml:space="preserve"> </v>
      </c>
      <c r="AB178" s="28"/>
      <c r="AC178" s="28"/>
      <c r="AD178" s="20" t="str">
        <f>IF(AB178="","",IF($F178="Bernardino Furlan",_xlfn.XLOOKUP(AB178,Cadastros!$G$6:$G$90,Cadastros!$H$6:$H$90)*(1-0.18),IF($F178="Mauro José Salanti",_xlfn.XLOOKUP(AB178,Cadastros!$G$6:$G$90,Cadastros!$H$6:$H$90)*(1-0.18),_xlfn.XLOOKUP(AB178,Cadastros!$G$6:$G$90,Cadastros!$H$6:$H$90))))</f>
        <v/>
      </c>
      <c r="AE178" s="168" t="str">
        <f t="shared" si="31"/>
        <v/>
      </c>
      <c r="AF178" s="168" t="str">
        <f t="shared" si="32"/>
        <v/>
      </c>
      <c r="AG178" s="28"/>
      <c r="AH178" s="28"/>
      <c r="AI178" s="20" t="str">
        <f>IF(AG178="","",IF($F178="Bernardino Furlan",_xlfn.XLOOKUP(AG178,Cadastros!$G$6:$G$90,Cadastros!$H$6:$H$90)*(1-0.18),IF($F178="Mauro José Salanti",_xlfn.XLOOKUP(AG178,Cadastros!$G$6:$G$90,Cadastros!$H$6:$H$90)*(1-0.18),_xlfn.XLOOKUP(AG178,Cadastros!$G$6:$G$90,Cadastros!$H$6:$H$90))))</f>
        <v/>
      </c>
      <c r="AJ178" s="168" t="str">
        <f t="shared" si="33"/>
        <v/>
      </c>
      <c r="AK178" s="168" t="str">
        <f t="shared" si="34"/>
        <v/>
      </c>
      <c r="AL178" s="28"/>
      <c r="AM178" s="28"/>
      <c r="AN178" s="20" t="str">
        <f>IF(AL178="","",IF($F178="Bernardino Furlan",_xlfn.XLOOKUP(AL178,Cadastros!$G$6:$G$90,Cadastros!$H$6:$H$90)*(1-0.18),IF($F178="Mauro José Salanti",_xlfn.XLOOKUP(AL178,Cadastros!$G$6:$G$90,Cadastros!$H$6:$H$90)*(1-0.18),_xlfn.XLOOKUP(AL178,Cadastros!$G$6:$G$90,Cadastros!$H$6:$H$90))))</f>
        <v/>
      </c>
      <c r="AO178" s="168" t="str">
        <f t="shared" si="35"/>
        <v/>
      </c>
      <c r="AP178" s="168" t="str">
        <f t="shared" si="36"/>
        <v/>
      </c>
      <c r="AQ178" s="28"/>
      <c r="AR178" s="28"/>
      <c r="AS178" s="20" t="str">
        <f>IF(AQ178="","",IF($F178="Bernardino Furlan",_xlfn.XLOOKUP(AQ178,Cadastros!$G$6:$G$90,Cadastros!$H$6:$H$90)*(1-0.18),IF($F178="Mauro José Salanti",_xlfn.XLOOKUP(AQ178,Cadastros!$G$6:$G$90,Cadastros!$H$6:$H$90)*(1-0.18),_xlfn.XLOOKUP(AQ178,Cadastros!$G$6:$G$90,Cadastros!$H$6:$H$90))))</f>
        <v/>
      </c>
      <c r="AT178" s="168" t="str">
        <f t="shared" si="37"/>
        <v/>
      </c>
      <c r="AU178" s="168" t="str">
        <f t="shared" si="38"/>
        <v/>
      </c>
      <c r="AV178" s="227"/>
      <c r="AW178" s="30"/>
      <c r="AX178" s="267"/>
      <c r="AY178" s="267"/>
      <c r="AZ178" s="33"/>
      <c r="BA178" s="30"/>
      <c r="BB178" s="23" t="str" cm="1">
        <f t="array" ref="BB178">_xlfn.IFS(AW178="SIM",SUM(K178,P178,U178,Z178,AE178,AJ178,AO178,AT178,AX178,AY178),F178&lt;&gt;"",SUM(K178,P178,U178,Z178,AE178,AJ178,,AO178,AT178),F178="","")</f>
        <v/>
      </c>
      <c r="BC178" s="211" t="str" cm="1">
        <f t="array" ref="BC178">_xlfn.IFS(E178="","",G178&lt;=E178,BB178*(1-0.03),G178&lt;(E178+8),BB178,AZ178="Boleto",BB178*(1+0.001)^DATEDIF(E178,G178,"D"),AZ178="Cheque",BB178,AZ178="Dinheiro","Alterar forma pgto")</f>
        <v/>
      </c>
      <c r="BD178" s="276" t="str" cm="1">
        <f t="array" ref="BD178">IF(F178=0," ",IF(BC178&lt;BB178,(_xlfn.IFS(AW178="SIM",SUM(L178,Q178,V178,AA178,AF178,AK178,AP178,AU178)+AX178/_xlfn.XLOOKUP(_xlfn.XLOOKUP($F178,Clientes!$B$4:$B$39,Clientes!$C$4:$C$39),Cadastros!$L$6:$L$12,Cadastros!$M$6:$M$12)+IF($F178="Bernardino Furlan",AY178/2751.92,IF($F178="Mauro José Salanti",AY178/2751.92,AY178/3356)),F178&lt;&gt;0,SUM(L178,Q178,V178,AA178,AF178,AK178,AP178,AU178)))*(1-0.03),_xlfn.IFS(AW178="SIM",SUM(L178,Q178,V178,AA178,AF178,AK178,AP178,AU178)+AX178/_xlfn.XLOOKUP(_xlfn.XLOOKUP($F178,Clientes!$B$4:$B$39,Clientes!$C$4:$C$39),Cadastros!$L$6:$L$12,Cadastros!$M$6:$M$12)+IF($F178="Bernardino Furlan",AY178/2751.92,IF($F178="Mauro José Salanti",AY178/2751.92,AY178/3356)),F178&lt;&gt;0,SUM(L178,Q178,V178,AA178,AF178,AK178,AP178,AU178))))</f>
        <v xml:space="preserve"> </v>
      </c>
      <c r="BE178" s="120"/>
      <c r="BF178" s="120"/>
      <c r="BG178" s="120"/>
    </row>
    <row r="179" spans="1:59" s="3" customFormat="1" x14ac:dyDescent="0.3">
      <c r="A179" s="15" t="str">
        <f t="shared" si="26"/>
        <v/>
      </c>
      <c r="B179" s="25"/>
      <c r="C179" s="26"/>
      <c r="D179" s="279"/>
      <c r="E179" s="27"/>
      <c r="F179" s="28"/>
      <c r="G179" s="27"/>
      <c r="H179" s="28"/>
      <c r="I179" s="28"/>
      <c r="J179" s="255" t="str">
        <f>IF(H179="","",(_xlfn.XLOOKUP(H179,Cadastros!$D$6:$D$90,Cadastros!$E$6:$E$90))*(1-_xlfn.XLOOKUP(_xlfn.XLOOKUP($F179,Clientes!$B$4:$B$39,Clientes!$C$4:$C$39),Cadastros!$L$6:$L$12,Cadastros!$N$6:$N$12)))</f>
        <v/>
      </c>
      <c r="K179" s="168" t="str">
        <f t="shared" si="27"/>
        <v/>
      </c>
      <c r="L179" s="168" t="str">
        <f>IFERROR(K179/_xlfn.XLOOKUP(_xlfn.XLOOKUP($F179,Clientes!$B$4:$B$39,Clientes!$C$4:$C$39),Cadastros!$L$6:$L$12,Cadastros!$M$6:$M$12)," ")</f>
        <v xml:space="preserve"> </v>
      </c>
      <c r="M179" s="28"/>
      <c r="N179" s="28"/>
      <c r="O179" s="255" t="str">
        <f>IF(M179="","",(_xlfn.XLOOKUP(M179,Cadastros!$D$6:$D$90,Cadastros!$E$6:$E$90))*(1-_xlfn.XLOOKUP(_xlfn.XLOOKUP($F179,Clientes!$B$4:$B$39,Clientes!$C$4:$C$39),Cadastros!$L$6:$L$12,Cadastros!$N$6:$N$12)))</f>
        <v/>
      </c>
      <c r="P179" s="168" t="str">
        <f t="shared" si="28"/>
        <v/>
      </c>
      <c r="Q179" s="168" t="str">
        <f>IFERROR(P179/_xlfn.XLOOKUP(_xlfn.XLOOKUP($F179,Clientes!$B$4:$B$39,Clientes!$C$4:$C$39),Cadastros!$L$6:$L$12,Cadastros!$M$6:$M$12)," ")</f>
        <v xml:space="preserve"> </v>
      </c>
      <c r="R179" s="28"/>
      <c r="S179" s="28"/>
      <c r="T179" s="255" t="str">
        <f>IF(R179="","",(_xlfn.XLOOKUP(R179,Cadastros!$D$6:$D$90,Cadastros!$E$6:$E$90))*(1-_xlfn.XLOOKUP(_xlfn.XLOOKUP($F179,Clientes!$B$4:$B$39,Clientes!$C$4:$C$39),Cadastros!$L$6:$L$12,Cadastros!$N$6:$N$12)))</f>
        <v/>
      </c>
      <c r="U179" s="168" t="str">
        <f t="shared" si="29"/>
        <v/>
      </c>
      <c r="V179" s="168" t="str">
        <f>IFERROR(U179/_xlfn.XLOOKUP(_xlfn.XLOOKUP($F179,Clientes!$B$4:$B$39,Clientes!$C$4:$C$39),Cadastros!$L$6:$L$12,Cadastros!$M$6:$M$12)," ")</f>
        <v xml:space="preserve"> </v>
      </c>
      <c r="W179" s="28"/>
      <c r="X179" s="28"/>
      <c r="Y179" s="255" t="str">
        <f>IF(W179="","",(_xlfn.XLOOKUP(W179,Cadastros!$D$6:$D$90,Cadastros!$E$6:$E$90))*(1-_xlfn.XLOOKUP(_xlfn.XLOOKUP($F179,Clientes!$B$4:$B$39,Clientes!$C$4:$C$39),Cadastros!$L$6:$L$12,Cadastros!$N$6:$N$12)))</f>
        <v/>
      </c>
      <c r="Z179" s="168" t="str">
        <f t="shared" si="30"/>
        <v/>
      </c>
      <c r="AA179" s="168" t="str">
        <f>IFERROR(Z179/_xlfn.XLOOKUP(_xlfn.XLOOKUP($F179,Clientes!$B$4:$B$39,Clientes!$C$4:$C$39),Cadastros!$L$6:$L$12,Cadastros!$M$6:$M$12)," ")</f>
        <v xml:space="preserve"> </v>
      </c>
      <c r="AB179" s="28"/>
      <c r="AC179" s="28"/>
      <c r="AD179" s="20" t="str">
        <f>IF(AB179="","",IF($F179="Bernardino Furlan",_xlfn.XLOOKUP(AB179,Cadastros!$G$6:$G$90,Cadastros!$H$6:$H$90)*(1-0.18),IF($F179="Mauro José Salanti",_xlfn.XLOOKUP(AB179,Cadastros!$G$6:$G$90,Cadastros!$H$6:$H$90)*(1-0.18),_xlfn.XLOOKUP(AB179,Cadastros!$G$6:$G$90,Cadastros!$H$6:$H$90))))</f>
        <v/>
      </c>
      <c r="AE179" s="168" t="str">
        <f t="shared" si="31"/>
        <v/>
      </c>
      <c r="AF179" s="168" t="str">
        <f t="shared" si="32"/>
        <v/>
      </c>
      <c r="AG179" s="28"/>
      <c r="AH179" s="28"/>
      <c r="AI179" s="20" t="str">
        <f>IF(AG179="","",IF($F179="Bernardino Furlan",_xlfn.XLOOKUP(AG179,Cadastros!$G$6:$G$90,Cadastros!$H$6:$H$90)*(1-0.18),IF($F179="Mauro José Salanti",_xlfn.XLOOKUP(AG179,Cadastros!$G$6:$G$90,Cadastros!$H$6:$H$90)*(1-0.18),_xlfn.XLOOKUP(AG179,Cadastros!$G$6:$G$90,Cadastros!$H$6:$H$90))))</f>
        <v/>
      </c>
      <c r="AJ179" s="168" t="str">
        <f t="shared" si="33"/>
        <v/>
      </c>
      <c r="AK179" s="168" t="str">
        <f t="shared" si="34"/>
        <v/>
      </c>
      <c r="AL179" s="28"/>
      <c r="AM179" s="28"/>
      <c r="AN179" s="20" t="str">
        <f>IF(AL179="","",IF($F179="Bernardino Furlan",_xlfn.XLOOKUP(AL179,Cadastros!$G$6:$G$90,Cadastros!$H$6:$H$90)*(1-0.18),IF($F179="Mauro José Salanti",_xlfn.XLOOKUP(AL179,Cadastros!$G$6:$G$90,Cadastros!$H$6:$H$90)*(1-0.18),_xlfn.XLOOKUP(AL179,Cadastros!$G$6:$G$90,Cadastros!$H$6:$H$90))))</f>
        <v/>
      </c>
      <c r="AO179" s="168" t="str">
        <f t="shared" si="35"/>
        <v/>
      </c>
      <c r="AP179" s="168" t="str">
        <f t="shared" si="36"/>
        <v/>
      </c>
      <c r="AQ179" s="28"/>
      <c r="AR179" s="28"/>
      <c r="AS179" s="20" t="str">
        <f>IF(AQ179="","",IF($F179="Bernardino Furlan",_xlfn.XLOOKUP(AQ179,Cadastros!$G$6:$G$90,Cadastros!$H$6:$H$90)*(1-0.18),IF($F179="Mauro José Salanti",_xlfn.XLOOKUP(AQ179,Cadastros!$G$6:$G$90,Cadastros!$H$6:$H$90)*(1-0.18),_xlfn.XLOOKUP(AQ179,Cadastros!$G$6:$G$90,Cadastros!$H$6:$H$90))))</f>
        <v/>
      </c>
      <c r="AT179" s="168" t="str">
        <f t="shared" si="37"/>
        <v/>
      </c>
      <c r="AU179" s="168" t="str">
        <f t="shared" si="38"/>
        <v/>
      </c>
      <c r="AV179" s="227"/>
      <c r="AW179" s="30"/>
      <c r="AX179" s="267"/>
      <c r="AY179" s="267"/>
      <c r="AZ179" s="29"/>
      <c r="BA179" s="30"/>
      <c r="BB179" s="23" t="str" cm="1">
        <f t="array" ref="BB179">_xlfn.IFS(AW179="SIM",SUM(K179,P179,U179,Z179,AE179,AJ179,AO179,AT179,AX179,AY179),F179&lt;&gt;"",SUM(K179,P179,U179,Z179,AE179,AJ179,,AO179,AT179),F179="","")</f>
        <v/>
      </c>
      <c r="BC179" s="211" t="str" cm="1">
        <f t="array" ref="BC179">_xlfn.IFS(E179="","",G179&lt;=E179,BB179*(1-0.03),G179&lt;(E179+8),BB179,AZ179="Boleto",BB179*(1+0.001)^DATEDIF(E179,G179,"D"),AZ179="Cheque",BB179,AZ179="Dinheiro","Alterar forma pgto")</f>
        <v/>
      </c>
      <c r="BD179" s="276" t="str" cm="1">
        <f t="array" ref="BD179">IF(F179=0," ",IF(BC179&lt;BB179,(_xlfn.IFS(AW179="SIM",SUM(L179,Q179,V179,AA179,AF179,AK179,AP179,AU179)+AX179/_xlfn.XLOOKUP(_xlfn.XLOOKUP($F179,Clientes!$B$4:$B$39,Clientes!$C$4:$C$39),Cadastros!$L$6:$L$12,Cadastros!$M$6:$M$12)+IF($F179="Bernardino Furlan",AY179/2751.92,IF($F179="Mauro José Salanti",AY179/2751.92,AY179/3356)),F179&lt;&gt;0,SUM(L179,Q179,V179,AA179,AF179,AK179,AP179,AU179)))*(1-0.03),_xlfn.IFS(AW179="SIM",SUM(L179,Q179,V179,AA179,AF179,AK179,AP179,AU179)+AX179/_xlfn.XLOOKUP(_xlfn.XLOOKUP($F179,Clientes!$B$4:$B$39,Clientes!$C$4:$C$39),Cadastros!$L$6:$L$12,Cadastros!$M$6:$M$12)+IF($F179="Bernardino Furlan",AY179/2751.92,IF($F179="Mauro José Salanti",AY179/2751.92,AY179/3356)),F179&lt;&gt;0,SUM(L179,Q179,V179,AA179,AF179,AK179,AP179,AU179))))</f>
        <v xml:space="preserve"> </v>
      </c>
      <c r="BE179" s="120"/>
      <c r="BF179" s="120"/>
      <c r="BG179" s="120"/>
    </row>
    <row r="180" spans="1:59" s="3" customFormat="1" x14ac:dyDescent="0.3">
      <c r="A180" s="15" t="str">
        <f t="shared" si="26"/>
        <v/>
      </c>
      <c r="B180" s="25"/>
      <c r="C180" s="26"/>
      <c r="D180" s="279"/>
      <c r="E180" s="27"/>
      <c r="F180" s="28"/>
      <c r="G180" s="27"/>
      <c r="H180" s="28"/>
      <c r="I180" s="28"/>
      <c r="J180" s="255" t="str">
        <f>IF(H180="","",(_xlfn.XLOOKUP(H180,Cadastros!$D$6:$D$90,Cadastros!$E$6:$E$90))*(1-_xlfn.XLOOKUP(_xlfn.XLOOKUP($F180,Clientes!$B$4:$B$39,Clientes!$C$4:$C$39),Cadastros!$L$6:$L$12,Cadastros!$N$6:$N$12)))</f>
        <v/>
      </c>
      <c r="K180" s="168" t="str">
        <f t="shared" si="27"/>
        <v/>
      </c>
      <c r="L180" s="168" t="str">
        <f>IFERROR(K180/_xlfn.XLOOKUP(_xlfn.XLOOKUP($F180,Clientes!$B$4:$B$39,Clientes!$C$4:$C$39),Cadastros!$L$6:$L$12,Cadastros!$M$6:$M$12)," ")</f>
        <v xml:space="preserve"> </v>
      </c>
      <c r="M180" s="28"/>
      <c r="N180" s="28"/>
      <c r="O180" s="255" t="str">
        <f>IF(M180="","",(_xlfn.XLOOKUP(M180,Cadastros!$D$6:$D$90,Cadastros!$E$6:$E$90))*(1-_xlfn.XLOOKUP(_xlfn.XLOOKUP($F180,Clientes!$B$4:$B$39,Clientes!$C$4:$C$39),Cadastros!$L$6:$L$12,Cadastros!$N$6:$N$12)))</f>
        <v/>
      </c>
      <c r="P180" s="168" t="str">
        <f t="shared" si="28"/>
        <v/>
      </c>
      <c r="Q180" s="168" t="str">
        <f>IFERROR(P180/_xlfn.XLOOKUP(_xlfn.XLOOKUP($F180,Clientes!$B$4:$B$39,Clientes!$C$4:$C$39),Cadastros!$L$6:$L$12,Cadastros!$M$6:$M$12)," ")</f>
        <v xml:space="preserve"> </v>
      </c>
      <c r="R180" s="28"/>
      <c r="S180" s="28"/>
      <c r="T180" s="255" t="str">
        <f>IF(R180="","",(_xlfn.XLOOKUP(R180,Cadastros!$D$6:$D$90,Cadastros!$E$6:$E$90))*(1-_xlfn.XLOOKUP(_xlfn.XLOOKUP($F180,Clientes!$B$4:$B$39,Clientes!$C$4:$C$39),Cadastros!$L$6:$L$12,Cadastros!$N$6:$N$12)))</f>
        <v/>
      </c>
      <c r="U180" s="168" t="str">
        <f t="shared" si="29"/>
        <v/>
      </c>
      <c r="V180" s="168" t="str">
        <f>IFERROR(U180/_xlfn.XLOOKUP(_xlfn.XLOOKUP($F180,Clientes!$B$4:$B$39,Clientes!$C$4:$C$39),Cadastros!$L$6:$L$12,Cadastros!$M$6:$M$12)," ")</f>
        <v xml:space="preserve"> </v>
      </c>
      <c r="W180" s="28"/>
      <c r="X180" s="28"/>
      <c r="Y180" s="255" t="str">
        <f>IF(W180="","",(_xlfn.XLOOKUP(W180,Cadastros!$D$6:$D$90,Cadastros!$E$6:$E$90))*(1-_xlfn.XLOOKUP(_xlfn.XLOOKUP($F180,Clientes!$B$4:$B$39,Clientes!$C$4:$C$39),Cadastros!$L$6:$L$12,Cadastros!$N$6:$N$12)))</f>
        <v/>
      </c>
      <c r="Z180" s="168" t="str">
        <f t="shared" si="30"/>
        <v/>
      </c>
      <c r="AA180" s="168" t="str">
        <f>IFERROR(Z180/_xlfn.XLOOKUP(_xlfn.XLOOKUP($F180,Clientes!$B$4:$B$39,Clientes!$C$4:$C$39),Cadastros!$L$6:$L$12,Cadastros!$M$6:$M$12)," ")</f>
        <v xml:space="preserve"> </v>
      </c>
      <c r="AB180" s="28"/>
      <c r="AC180" s="28"/>
      <c r="AD180" s="20" t="str">
        <f>IF(AB180="","",IF($F180="Bernardino Furlan",_xlfn.XLOOKUP(AB180,Cadastros!$G$6:$G$90,Cadastros!$H$6:$H$90)*(1-0.18),IF($F180="Mauro José Salanti",_xlfn.XLOOKUP(AB180,Cadastros!$G$6:$G$90,Cadastros!$H$6:$H$90)*(1-0.18),_xlfn.XLOOKUP(AB180,Cadastros!$G$6:$G$90,Cadastros!$H$6:$H$90))))</f>
        <v/>
      </c>
      <c r="AE180" s="168" t="str">
        <f t="shared" si="31"/>
        <v/>
      </c>
      <c r="AF180" s="168" t="str">
        <f t="shared" si="32"/>
        <v/>
      </c>
      <c r="AG180" s="28"/>
      <c r="AH180" s="28"/>
      <c r="AI180" s="20" t="str">
        <f>IF(AG180="","",IF($F180="Bernardino Furlan",_xlfn.XLOOKUP(AG180,Cadastros!$G$6:$G$90,Cadastros!$H$6:$H$90)*(1-0.18),IF($F180="Mauro José Salanti",_xlfn.XLOOKUP(AG180,Cadastros!$G$6:$G$90,Cadastros!$H$6:$H$90)*(1-0.18),_xlfn.XLOOKUP(AG180,Cadastros!$G$6:$G$90,Cadastros!$H$6:$H$90))))</f>
        <v/>
      </c>
      <c r="AJ180" s="168" t="str">
        <f t="shared" si="33"/>
        <v/>
      </c>
      <c r="AK180" s="168" t="str">
        <f t="shared" si="34"/>
        <v/>
      </c>
      <c r="AL180" s="28"/>
      <c r="AM180" s="28"/>
      <c r="AN180" s="20" t="str">
        <f>IF(AL180="","",IF($F180="Bernardino Furlan",_xlfn.XLOOKUP(AL180,Cadastros!$G$6:$G$90,Cadastros!$H$6:$H$90)*(1-0.18),IF($F180="Mauro José Salanti",_xlfn.XLOOKUP(AL180,Cadastros!$G$6:$G$90,Cadastros!$H$6:$H$90)*(1-0.18),_xlfn.XLOOKUP(AL180,Cadastros!$G$6:$G$90,Cadastros!$H$6:$H$90))))</f>
        <v/>
      </c>
      <c r="AO180" s="168" t="str">
        <f t="shared" si="35"/>
        <v/>
      </c>
      <c r="AP180" s="168" t="str">
        <f t="shared" si="36"/>
        <v/>
      </c>
      <c r="AQ180" s="28"/>
      <c r="AR180" s="28"/>
      <c r="AS180" s="20" t="str">
        <f>IF(AQ180="","",IF($F180="Bernardino Furlan",_xlfn.XLOOKUP(AQ180,Cadastros!$G$6:$G$90,Cadastros!$H$6:$H$90)*(1-0.18),IF($F180="Mauro José Salanti",_xlfn.XLOOKUP(AQ180,Cadastros!$G$6:$G$90,Cadastros!$H$6:$H$90)*(1-0.18),_xlfn.XLOOKUP(AQ180,Cadastros!$G$6:$G$90,Cadastros!$H$6:$H$90))))</f>
        <v/>
      </c>
      <c r="AT180" s="168" t="str">
        <f t="shared" si="37"/>
        <v/>
      </c>
      <c r="AU180" s="168" t="str">
        <f t="shared" si="38"/>
        <v/>
      </c>
      <c r="AV180" s="227"/>
      <c r="AW180" s="30"/>
      <c r="AX180" s="267"/>
      <c r="AY180" s="267"/>
      <c r="AZ180" s="29"/>
      <c r="BA180" s="30"/>
      <c r="BB180" s="23" t="str" cm="1">
        <f t="array" ref="BB180">_xlfn.IFS(AW180="SIM",SUM(K180,P180,U180,Z180,AE180,AJ180,AO180,AT180,AX180,AY180),F180&lt;&gt;"",SUM(K180,P180,U180,Z180,AE180,AJ180,,AO180,AT180),F180="","")</f>
        <v/>
      </c>
      <c r="BC180" s="211" t="str" cm="1">
        <f t="array" ref="BC180">_xlfn.IFS(E180="","",G180&lt;=E180,BB180*(1-0.03),G180&lt;(E180+8),BB180,AZ180="Boleto",BB180*(1+0.001)^DATEDIF(E180,G180,"D"),AZ180="Cheque",BB180,AZ180="Dinheiro","Alterar forma pgto")</f>
        <v/>
      </c>
      <c r="BD180" s="276" t="str" cm="1">
        <f t="array" ref="BD180">IF(F180=0," ",IF(BC180&lt;BB180,(_xlfn.IFS(AW180="SIM",SUM(L180,Q180,V180,AA180,AF180,AK180,AP180,AU180)+AX180/_xlfn.XLOOKUP(_xlfn.XLOOKUP($F180,Clientes!$B$4:$B$39,Clientes!$C$4:$C$39),Cadastros!$L$6:$L$12,Cadastros!$M$6:$M$12)+IF($F180="Bernardino Furlan",AY180/2751.92,IF($F180="Mauro José Salanti",AY180/2751.92,AY180/3356)),F180&lt;&gt;0,SUM(L180,Q180,V180,AA180,AF180,AK180,AP180,AU180)))*(1-0.03),_xlfn.IFS(AW180="SIM",SUM(L180,Q180,V180,AA180,AF180,AK180,AP180,AU180)+AX180/_xlfn.XLOOKUP(_xlfn.XLOOKUP($F180,Clientes!$B$4:$B$39,Clientes!$C$4:$C$39),Cadastros!$L$6:$L$12,Cadastros!$M$6:$M$12)+IF($F180="Bernardino Furlan",AY180/2751.92,IF($F180="Mauro José Salanti",AY180/2751.92,AY180/3356)),F180&lt;&gt;0,SUM(L180,Q180,V180,AA180,AF180,AK180,AP180,AU180))))</f>
        <v xml:space="preserve"> </v>
      </c>
      <c r="BE180" s="120"/>
      <c r="BF180" s="120"/>
      <c r="BG180" s="120"/>
    </row>
    <row r="181" spans="1:59" s="3" customFormat="1" x14ac:dyDescent="0.3">
      <c r="A181" s="15" t="str">
        <f t="shared" si="26"/>
        <v/>
      </c>
      <c r="B181" s="25"/>
      <c r="C181" s="26"/>
      <c r="D181" s="279"/>
      <c r="E181" s="27"/>
      <c r="F181" s="28"/>
      <c r="G181" s="27"/>
      <c r="H181" s="28"/>
      <c r="I181" s="28"/>
      <c r="J181" s="255" t="str">
        <f>IF(H181="","",(_xlfn.XLOOKUP(H181,Cadastros!$D$6:$D$90,Cadastros!$E$6:$E$90))*(1-_xlfn.XLOOKUP(_xlfn.XLOOKUP($F181,Clientes!$B$4:$B$39,Clientes!$C$4:$C$39),Cadastros!$L$6:$L$12,Cadastros!$N$6:$N$12)))</f>
        <v/>
      </c>
      <c r="K181" s="168" t="str">
        <f t="shared" si="27"/>
        <v/>
      </c>
      <c r="L181" s="168" t="str">
        <f>IFERROR(K181/_xlfn.XLOOKUP(_xlfn.XLOOKUP($F181,Clientes!$B$4:$B$39,Clientes!$C$4:$C$39),Cadastros!$L$6:$L$12,Cadastros!$M$6:$M$12)," ")</f>
        <v xml:space="preserve"> </v>
      </c>
      <c r="M181" s="28"/>
      <c r="N181" s="28"/>
      <c r="O181" s="255" t="str">
        <f>IF(M181="","",(_xlfn.XLOOKUP(M181,Cadastros!$D$6:$D$90,Cadastros!$E$6:$E$90))*(1-_xlfn.XLOOKUP(_xlfn.XLOOKUP($F181,Clientes!$B$4:$B$39,Clientes!$C$4:$C$39),Cadastros!$L$6:$L$12,Cadastros!$N$6:$N$12)))</f>
        <v/>
      </c>
      <c r="P181" s="168" t="str">
        <f t="shared" si="28"/>
        <v/>
      </c>
      <c r="Q181" s="168" t="str">
        <f>IFERROR(P181/_xlfn.XLOOKUP(_xlfn.XLOOKUP($F181,Clientes!$B$4:$B$39,Clientes!$C$4:$C$39),Cadastros!$L$6:$L$12,Cadastros!$M$6:$M$12)," ")</f>
        <v xml:space="preserve"> </v>
      </c>
      <c r="R181" s="28"/>
      <c r="S181" s="28"/>
      <c r="T181" s="255" t="str">
        <f>IF(R181="","",(_xlfn.XLOOKUP(R181,Cadastros!$D$6:$D$90,Cadastros!$E$6:$E$90))*(1-_xlfn.XLOOKUP(_xlfn.XLOOKUP($F181,Clientes!$B$4:$B$39,Clientes!$C$4:$C$39),Cadastros!$L$6:$L$12,Cadastros!$N$6:$N$12)))</f>
        <v/>
      </c>
      <c r="U181" s="168" t="str">
        <f t="shared" si="29"/>
        <v/>
      </c>
      <c r="V181" s="168" t="str">
        <f>IFERROR(U181/_xlfn.XLOOKUP(_xlfn.XLOOKUP($F181,Clientes!$B$4:$B$39,Clientes!$C$4:$C$39),Cadastros!$L$6:$L$12,Cadastros!$M$6:$M$12)," ")</f>
        <v xml:space="preserve"> </v>
      </c>
      <c r="W181" s="28"/>
      <c r="X181" s="28"/>
      <c r="Y181" s="255" t="str">
        <f>IF(W181="","",(_xlfn.XLOOKUP(W181,Cadastros!$D$6:$D$90,Cadastros!$E$6:$E$90))*(1-_xlfn.XLOOKUP(_xlfn.XLOOKUP($F181,Clientes!$B$4:$B$39,Clientes!$C$4:$C$39),Cadastros!$L$6:$L$12,Cadastros!$N$6:$N$12)))</f>
        <v/>
      </c>
      <c r="Z181" s="168" t="str">
        <f t="shared" si="30"/>
        <v/>
      </c>
      <c r="AA181" s="168" t="str">
        <f>IFERROR(Z181/_xlfn.XLOOKUP(_xlfn.XLOOKUP($F181,Clientes!$B$4:$B$39,Clientes!$C$4:$C$39),Cadastros!$L$6:$L$12,Cadastros!$M$6:$M$12)," ")</f>
        <v xml:space="preserve"> </v>
      </c>
      <c r="AB181" s="28"/>
      <c r="AC181" s="28"/>
      <c r="AD181" s="20" t="str">
        <f>IF(AB181="","",IF($F181="Bernardino Furlan",_xlfn.XLOOKUP(AB181,Cadastros!$G$6:$G$90,Cadastros!$H$6:$H$90)*(1-0.18),IF($F181="Mauro José Salanti",_xlfn.XLOOKUP(AB181,Cadastros!$G$6:$G$90,Cadastros!$H$6:$H$90)*(1-0.18),_xlfn.XLOOKUP(AB181,Cadastros!$G$6:$G$90,Cadastros!$H$6:$H$90))))</f>
        <v/>
      </c>
      <c r="AE181" s="168" t="str">
        <f t="shared" si="31"/>
        <v/>
      </c>
      <c r="AF181" s="168" t="str">
        <f t="shared" si="32"/>
        <v/>
      </c>
      <c r="AG181" s="28"/>
      <c r="AH181" s="28"/>
      <c r="AI181" s="20" t="str">
        <f>IF(AG181="","",IF($F181="Bernardino Furlan",_xlfn.XLOOKUP(AG181,Cadastros!$G$6:$G$90,Cadastros!$H$6:$H$90)*(1-0.18),IF($F181="Mauro José Salanti",_xlfn.XLOOKUP(AG181,Cadastros!$G$6:$G$90,Cadastros!$H$6:$H$90)*(1-0.18),_xlfn.XLOOKUP(AG181,Cadastros!$G$6:$G$90,Cadastros!$H$6:$H$90))))</f>
        <v/>
      </c>
      <c r="AJ181" s="168" t="str">
        <f t="shared" si="33"/>
        <v/>
      </c>
      <c r="AK181" s="168" t="str">
        <f t="shared" si="34"/>
        <v/>
      </c>
      <c r="AL181" s="28"/>
      <c r="AM181" s="28"/>
      <c r="AN181" s="20" t="str">
        <f>IF(AL181="","",IF($F181="Bernardino Furlan",_xlfn.XLOOKUP(AL181,Cadastros!$G$6:$G$90,Cadastros!$H$6:$H$90)*(1-0.18),IF($F181="Mauro José Salanti",_xlfn.XLOOKUP(AL181,Cadastros!$G$6:$G$90,Cadastros!$H$6:$H$90)*(1-0.18),_xlfn.XLOOKUP(AL181,Cadastros!$G$6:$G$90,Cadastros!$H$6:$H$90))))</f>
        <v/>
      </c>
      <c r="AO181" s="168" t="str">
        <f t="shared" si="35"/>
        <v/>
      </c>
      <c r="AP181" s="168" t="str">
        <f t="shared" si="36"/>
        <v/>
      </c>
      <c r="AQ181" s="28"/>
      <c r="AR181" s="28"/>
      <c r="AS181" s="20" t="str">
        <f>IF(AQ181="","",IF($F181="Bernardino Furlan",_xlfn.XLOOKUP(AQ181,Cadastros!$G$6:$G$90,Cadastros!$H$6:$H$90)*(1-0.18),IF($F181="Mauro José Salanti",_xlfn.XLOOKUP(AQ181,Cadastros!$G$6:$G$90,Cadastros!$H$6:$H$90)*(1-0.18),_xlfn.XLOOKUP(AQ181,Cadastros!$G$6:$G$90,Cadastros!$H$6:$H$90))))</f>
        <v/>
      </c>
      <c r="AT181" s="168" t="str">
        <f t="shared" si="37"/>
        <v/>
      </c>
      <c r="AU181" s="168" t="str">
        <f t="shared" si="38"/>
        <v/>
      </c>
      <c r="AV181" s="227"/>
      <c r="AW181" s="30"/>
      <c r="AX181" s="267"/>
      <c r="AY181" s="267"/>
      <c r="AZ181" s="29"/>
      <c r="BA181" s="30"/>
      <c r="BB181" s="23" t="str" cm="1">
        <f t="array" ref="BB181">_xlfn.IFS(AW181="SIM",SUM(K181,P181,U181,Z181,AE181,AJ181,AO181,AT181,AX181,AY181),F181&lt;&gt;"",SUM(K181,P181,U181,Z181,AE181,AJ181,,AO181,AT181),F181="","")</f>
        <v/>
      </c>
      <c r="BC181" s="211" t="str" cm="1">
        <f t="array" ref="BC181">_xlfn.IFS(E181="","",G181&lt;=E181,BB181*(1-0.03),G181&lt;(E181+8),BB181,AZ181="Boleto",BB181*(1+0.001)^DATEDIF(E181,G181,"D"),AZ181="Cheque",BB181,AZ181="Dinheiro","Alterar forma pgto")</f>
        <v/>
      </c>
      <c r="BD181" s="276" t="str" cm="1">
        <f t="array" ref="BD181">IF(F181=0," ",IF(BC181&lt;BB181,(_xlfn.IFS(AW181="SIM",SUM(L181,Q181,V181,AA181,AF181,AK181,AP181,AU181)+AX181/_xlfn.XLOOKUP(_xlfn.XLOOKUP($F181,Clientes!$B$4:$B$39,Clientes!$C$4:$C$39),Cadastros!$L$6:$L$12,Cadastros!$M$6:$M$12)+IF($F181="Bernardino Furlan",AY181/2751.92,IF($F181="Mauro José Salanti",AY181/2751.92,AY181/3356)),F181&lt;&gt;0,SUM(L181,Q181,V181,AA181,AF181,AK181,AP181,AU181)))*(1-0.03),_xlfn.IFS(AW181="SIM",SUM(L181,Q181,V181,AA181,AF181,AK181,AP181,AU181)+AX181/_xlfn.XLOOKUP(_xlfn.XLOOKUP($F181,Clientes!$B$4:$B$39,Clientes!$C$4:$C$39),Cadastros!$L$6:$L$12,Cadastros!$M$6:$M$12)+IF($F181="Bernardino Furlan",AY181/2751.92,IF($F181="Mauro José Salanti",AY181/2751.92,AY181/3356)),F181&lt;&gt;0,SUM(L181,Q181,V181,AA181,AF181,AK181,AP181,AU181))))</f>
        <v xml:space="preserve"> </v>
      </c>
      <c r="BE181" s="120"/>
      <c r="BF181" s="120"/>
      <c r="BG181" s="120"/>
    </row>
    <row r="182" spans="1:59" s="3" customFormat="1" x14ac:dyDescent="0.3">
      <c r="A182" s="15" t="str">
        <f t="shared" si="26"/>
        <v/>
      </c>
      <c r="B182" s="25"/>
      <c r="C182" s="26"/>
      <c r="D182" s="279"/>
      <c r="E182" s="27"/>
      <c r="F182" s="28"/>
      <c r="G182" s="27"/>
      <c r="H182" s="28"/>
      <c r="I182" s="28"/>
      <c r="J182" s="255" t="str">
        <f>IF(H182="","",(_xlfn.XLOOKUP(H182,Cadastros!$D$6:$D$90,Cadastros!$E$6:$E$90))*(1-_xlfn.XLOOKUP(_xlfn.XLOOKUP($F182,Clientes!$B$4:$B$39,Clientes!$C$4:$C$39),Cadastros!$L$6:$L$12,Cadastros!$N$6:$N$12)))</f>
        <v/>
      </c>
      <c r="K182" s="168" t="str">
        <f t="shared" si="27"/>
        <v/>
      </c>
      <c r="L182" s="168" t="str">
        <f>IFERROR(K182/_xlfn.XLOOKUP(_xlfn.XLOOKUP($F182,Clientes!$B$4:$B$39,Clientes!$C$4:$C$39),Cadastros!$L$6:$L$12,Cadastros!$M$6:$M$12)," ")</f>
        <v xml:space="preserve"> </v>
      </c>
      <c r="M182" s="28"/>
      <c r="N182" s="28"/>
      <c r="O182" s="255" t="str">
        <f>IF(M182="","",(_xlfn.XLOOKUP(M182,Cadastros!$D$6:$D$90,Cadastros!$E$6:$E$90))*(1-_xlfn.XLOOKUP(_xlfn.XLOOKUP($F182,Clientes!$B$4:$B$39,Clientes!$C$4:$C$39),Cadastros!$L$6:$L$12,Cadastros!$N$6:$N$12)))</f>
        <v/>
      </c>
      <c r="P182" s="168" t="str">
        <f t="shared" si="28"/>
        <v/>
      </c>
      <c r="Q182" s="168" t="str">
        <f>IFERROR(P182/_xlfn.XLOOKUP(_xlfn.XLOOKUP($F182,Clientes!$B$4:$B$39,Clientes!$C$4:$C$39),Cadastros!$L$6:$L$12,Cadastros!$M$6:$M$12)," ")</f>
        <v xml:space="preserve"> </v>
      </c>
      <c r="R182" s="28"/>
      <c r="S182" s="28"/>
      <c r="T182" s="255" t="str">
        <f>IF(R182="","",(_xlfn.XLOOKUP(R182,Cadastros!$D$6:$D$90,Cadastros!$E$6:$E$90))*(1-_xlfn.XLOOKUP(_xlfn.XLOOKUP($F182,Clientes!$B$4:$B$39,Clientes!$C$4:$C$39),Cadastros!$L$6:$L$12,Cadastros!$N$6:$N$12)))</f>
        <v/>
      </c>
      <c r="U182" s="168" t="str">
        <f t="shared" si="29"/>
        <v/>
      </c>
      <c r="V182" s="168" t="str">
        <f>IFERROR(U182/_xlfn.XLOOKUP(_xlfn.XLOOKUP($F182,Clientes!$B$4:$B$39,Clientes!$C$4:$C$39),Cadastros!$L$6:$L$12,Cadastros!$M$6:$M$12)," ")</f>
        <v xml:space="preserve"> </v>
      </c>
      <c r="W182" s="28"/>
      <c r="X182" s="28"/>
      <c r="Y182" s="255" t="str">
        <f>IF(W182="","",(_xlfn.XLOOKUP(W182,Cadastros!$D$6:$D$90,Cadastros!$E$6:$E$90))*(1-_xlfn.XLOOKUP(_xlfn.XLOOKUP($F182,Clientes!$B$4:$B$39,Clientes!$C$4:$C$39),Cadastros!$L$6:$L$12,Cadastros!$N$6:$N$12)))</f>
        <v/>
      </c>
      <c r="Z182" s="168" t="str">
        <f t="shared" si="30"/>
        <v/>
      </c>
      <c r="AA182" s="168" t="str">
        <f>IFERROR(Z182/_xlfn.XLOOKUP(_xlfn.XLOOKUP($F182,Clientes!$B$4:$B$39,Clientes!$C$4:$C$39),Cadastros!$L$6:$L$12,Cadastros!$M$6:$M$12)," ")</f>
        <v xml:space="preserve"> </v>
      </c>
      <c r="AB182" s="28"/>
      <c r="AC182" s="28"/>
      <c r="AD182" s="20" t="str">
        <f>IF(AB182="","",IF($F182="Bernardino Furlan",_xlfn.XLOOKUP(AB182,Cadastros!$G$6:$G$90,Cadastros!$H$6:$H$90)*(1-0.18),IF($F182="Mauro José Salanti",_xlfn.XLOOKUP(AB182,Cadastros!$G$6:$G$90,Cadastros!$H$6:$H$90)*(1-0.18),_xlfn.XLOOKUP(AB182,Cadastros!$G$6:$G$90,Cadastros!$H$6:$H$90))))</f>
        <v/>
      </c>
      <c r="AE182" s="168" t="str">
        <f t="shared" si="31"/>
        <v/>
      </c>
      <c r="AF182" s="168" t="str">
        <f t="shared" si="32"/>
        <v/>
      </c>
      <c r="AG182" s="28"/>
      <c r="AH182" s="28"/>
      <c r="AI182" s="20" t="str">
        <f>IF(AG182="","",IF($F182="Bernardino Furlan",_xlfn.XLOOKUP(AG182,Cadastros!$G$6:$G$90,Cadastros!$H$6:$H$90)*(1-0.18),IF($F182="Mauro José Salanti",_xlfn.XLOOKUP(AG182,Cadastros!$G$6:$G$90,Cadastros!$H$6:$H$90)*(1-0.18),_xlfn.XLOOKUP(AG182,Cadastros!$G$6:$G$90,Cadastros!$H$6:$H$90))))</f>
        <v/>
      </c>
      <c r="AJ182" s="168" t="str">
        <f t="shared" si="33"/>
        <v/>
      </c>
      <c r="AK182" s="168" t="str">
        <f t="shared" si="34"/>
        <v/>
      </c>
      <c r="AL182" s="28"/>
      <c r="AM182" s="28"/>
      <c r="AN182" s="20" t="str">
        <f>IF(AL182="","",IF($F182="Bernardino Furlan",_xlfn.XLOOKUP(AL182,Cadastros!$G$6:$G$90,Cadastros!$H$6:$H$90)*(1-0.18),IF($F182="Mauro José Salanti",_xlfn.XLOOKUP(AL182,Cadastros!$G$6:$G$90,Cadastros!$H$6:$H$90)*(1-0.18),_xlfn.XLOOKUP(AL182,Cadastros!$G$6:$G$90,Cadastros!$H$6:$H$90))))</f>
        <v/>
      </c>
      <c r="AO182" s="168" t="str">
        <f t="shared" si="35"/>
        <v/>
      </c>
      <c r="AP182" s="168" t="str">
        <f t="shared" si="36"/>
        <v/>
      </c>
      <c r="AQ182" s="28"/>
      <c r="AR182" s="28"/>
      <c r="AS182" s="20" t="str">
        <f>IF(AQ182="","",IF($F182="Bernardino Furlan",_xlfn.XLOOKUP(AQ182,Cadastros!$G$6:$G$90,Cadastros!$H$6:$H$90)*(1-0.18),IF($F182="Mauro José Salanti",_xlfn.XLOOKUP(AQ182,Cadastros!$G$6:$G$90,Cadastros!$H$6:$H$90)*(1-0.18),_xlfn.XLOOKUP(AQ182,Cadastros!$G$6:$G$90,Cadastros!$H$6:$H$90))))</f>
        <v/>
      </c>
      <c r="AT182" s="168" t="str">
        <f t="shared" si="37"/>
        <v/>
      </c>
      <c r="AU182" s="168" t="str">
        <f t="shared" si="38"/>
        <v/>
      </c>
      <c r="AV182" s="227"/>
      <c r="AW182" s="30"/>
      <c r="AX182" s="267"/>
      <c r="AY182" s="267"/>
      <c r="AZ182" s="29"/>
      <c r="BA182" s="30"/>
      <c r="BB182" s="23" t="str" cm="1">
        <f t="array" ref="BB182">_xlfn.IFS(AW182="SIM",SUM(K182,P182,U182,Z182,AE182,AJ182,AO182,AT182,AX182,AY182),F182&lt;&gt;"",SUM(K182,P182,U182,Z182,AE182,AJ182,,AO182,AT182),F182="","")</f>
        <v/>
      </c>
      <c r="BC182" s="211" t="str" cm="1">
        <f t="array" ref="BC182">_xlfn.IFS(E182="","",G182&lt;=E182,BB182*(1-0.03),G182&lt;(E182+8),BB182,AZ182="Boleto",BB182*(1+0.001)^DATEDIF(E182,G182,"D"),AZ182="Cheque",BB182,AZ182="Dinheiro","Alterar forma pgto")</f>
        <v/>
      </c>
      <c r="BD182" s="276" t="str" cm="1">
        <f t="array" ref="BD182">IF(F182=0," ",IF(BC182&lt;BB182,(_xlfn.IFS(AW182="SIM",SUM(L182,Q182,V182,AA182,AF182,AK182,AP182,AU182)+AX182/_xlfn.XLOOKUP(_xlfn.XLOOKUP($F182,Clientes!$B$4:$B$39,Clientes!$C$4:$C$39),Cadastros!$L$6:$L$12,Cadastros!$M$6:$M$12)+IF($F182="Bernardino Furlan",AY182/2751.92,IF($F182="Mauro José Salanti",AY182/2751.92,AY182/3356)),F182&lt;&gt;0,SUM(L182,Q182,V182,AA182,AF182,AK182,AP182,AU182)))*(1-0.03),_xlfn.IFS(AW182="SIM",SUM(L182,Q182,V182,AA182,AF182,AK182,AP182,AU182)+AX182/_xlfn.XLOOKUP(_xlfn.XLOOKUP($F182,Clientes!$B$4:$B$39,Clientes!$C$4:$C$39),Cadastros!$L$6:$L$12,Cadastros!$M$6:$M$12)+IF($F182="Bernardino Furlan",AY182/2751.92,IF($F182="Mauro José Salanti",AY182/2751.92,AY182/3356)),F182&lt;&gt;0,SUM(L182,Q182,V182,AA182,AF182,AK182,AP182,AU182))))</f>
        <v xml:space="preserve"> </v>
      </c>
      <c r="BE182" s="120"/>
      <c r="BF182" s="120"/>
      <c r="BG182" s="120"/>
    </row>
    <row r="183" spans="1:59" s="3" customFormat="1" x14ac:dyDescent="0.3">
      <c r="A183" s="15" t="str">
        <f t="shared" si="26"/>
        <v/>
      </c>
      <c r="B183" s="25"/>
      <c r="C183" s="26"/>
      <c r="D183" s="279"/>
      <c r="E183" s="27"/>
      <c r="F183" s="28"/>
      <c r="G183" s="27"/>
      <c r="H183" s="28"/>
      <c r="I183" s="28"/>
      <c r="J183" s="255" t="str">
        <f>IF(H183="","",(_xlfn.XLOOKUP(H183,Cadastros!$D$6:$D$90,Cadastros!$E$6:$E$90))*(1-_xlfn.XLOOKUP(_xlfn.XLOOKUP($F183,Clientes!$B$4:$B$39,Clientes!$C$4:$C$39),Cadastros!$L$6:$L$12,Cadastros!$N$6:$N$12)))</f>
        <v/>
      </c>
      <c r="K183" s="168" t="str">
        <f t="shared" si="27"/>
        <v/>
      </c>
      <c r="L183" s="168" t="str">
        <f>IFERROR(K183/_xlfn.XLOOKUP(_xlfn.XLOOKUP($F183,Clientes!$B$4:$B$39,Clientes!$C$4:$C$39),Cadastros!$L$6:$L$12,Cadastros!$M$6:$M$12)," ")</f>
        <v xml:space="preserve"> </v>
      </c>
      <c r="M183" s="28"/>
      <c r="N183" s="28"/>
      <c r="O183" s="255" t="str">
        <f>IF(M183="","",(_xlfn.XLOOKUP(M183,Cadastros!$D$6:$D$90,Cadastros!$E$6:$E$90))*(1-_xlfn.XLOOKUP(_xlfn.XLOOKUP($F183,Clientes!$B$4:$B$39,Clientes!$C$4:$C$39),Cadastros!$L$6:$L$12,Cadastros!$N$6:$N$12)))</f>
        <v/>
      </c>
      <c r="P183" s="168" t="str">
        <f t="shared" si="28"/>
        <v/>
      </c>
      <c r="Q183" s="168" t="str">
        <f>IFERROR(P183/_xlfn.XLOOKUP(_xlfn.XLOOKUP($F183,Clientes!$B$4:$B$39,Clientes!$C$4:$C$39),Cadastros!$L$6:$L$12,Cadastros!$M$6:$M$12)," ")</f>
        <v xml:space="preserve"> </v>
      </c>
      <c r="R183" s="28"/>
      <c r="S183" s="28"/>
      <c r="T183" s="255" t="str">
        <f>IF(R183="","",(_xlfn.XLOOKUP(R183,Cadastros!$D$6:$D$90,Cadastros!$E$6:$E$90))*(1-_xlfn.XLOOKUP(_xlfn.XLOOKUP($F183,Clientes!$B$4:$B$39,Clientes!$C$4:$C$39),Cadastros!$L$6:$L$12,Cadastros!$N$6:$N$12)))</f>
        <v/>
      </c>
      <c r="U183" s="168" t="str">
        <f t="shared" si="29"/>
        <v/>
      </c>
      <c r="V183" s="168" t="str">
        <f>IFERROR(U183/_xlfn.XLOOKUP(_xlfn.XLOOKUP($F183,Clientes!$B$4:$B$39,Clientes!$C$4:$C$39),Cadastros!$L$6:$L$12,Cadastros!$M$6:$M$12)," ")</f>
        <v xml:space="preserve"> </v>
      </c>
      <c r="W183" s="28"/>
      <c r="X183" s="28"/>
      <c r="Y183" s="255" t="str">
        <f>IF(W183="","",(_xlfn.XLOOKUP(W183,Cadastros!$D$6:$D$90,Cadastros!$E$6:$E$90))*(1-_xlfn.XLOOKUP(_xlfn.XLOOKUP($F183,Clientes!$B$4:$B$39,Clientes!$C$4:$C$39),Cadastros!$L$6:$L$12,Cadastros!$N$6:$N$12)))</f>
        <v/>
      </c>
      <c r="Z183" s="168" t="str">
        <f t="shared" si="30"/>
        <v/>
      </c>
      <c r="AA183" s="168" t="str">
        <f>IFERROR(Z183/_xlfn.XLOOKUP(_xlfn.XLOOKUP($F183,Clientes!$B$4:$B$39,Clientes!$C$4:$C$39),Cadastros!$L$6:$L$12,Cadastros!$M$6:$M$12)," ")</f>
        <v xml:space="preserve"> </v>
      </c>
      <c r="AB183" s="28"/>
      <c r="AC183" s="28"/>
      <c r="AD183" s="20" t="str">
        <f>IF(AB183="","",IF($F183="Bernardino Furlan",_xlfn.XLOOKUP(AB183,Cadastros!$G$6:$G$90,Cadastros!$H$6:$H$90)*(1-0.18),IF($F183="Mauro José Salanti",_xlfn.XLOOKUP(AB183,Cadastros!$G$6:$G$90,Cadastros!$H$6:$H$90)*(1-0.18),_xlfn.XLOOKUP(AB183,Cadastros!$G$6:$G$90,Cadastros!$H$6:$H$90))))</f>
        <v/>
      </c>
      <c r="AE183" s="168" t="str">
        <f t="shared" si="31"/>
        <v/>
      </c>
      <c r="AF183" s="168" t="str">
        <f t="shared" si="32"/>
        <v/>
      </c>
      <c r="AG183" s="28"/>
      <c r="AH183" s="28"/>
      <c r="AI183" s="20" t="str">
        <f>IF(AG183="","",IF($F183="Bernardino Furlan",_xlfn.XLOOKUP(AG183,Cadastros!$G$6:$G$90,Cadastros!$H$6:$H$90)*(1-0.18),IF($F183="Mauro José Salanti",_xlfn.XLOOKUP(AG183,Cadastros!$G$6:$G$90,Cadastros!$H$6:$H$90)*(1-0.18),_xlfn.XLOOKUP(AG183,Cadastros!$G$6:$G$90,Cadastros!$H$6:$H$90))))</f>
        <v/>
      </c>
      <c r="AJ183" s="168" t="str">
        <f t="shared" si="33"/>
        <v/>
      </c>
      <c r="AK183" s="168" t="str">
        <f t="shared" si="34"/>
        <v/>
      </c>
      <c r="AL183" s="28"/>
      <c r="AM183" s="28"/>
      <c r="AN183" s="20" t="str">
        <f>IF(AL183="","",IF($F183="Bernardino Furlan",_xlfn.XLOOKUP(AL183,Cadastros!$G$6:$G$90,Cadastros!$H$6:$H$90)*(1-0.18),IF($F183="Mauro José Salanti",_xlfn.XLOOKUP(AL183,Cadastros!$G$6:$G$90,Cadastros!$H$6:$H$90)*(1-0.18),_xlfn.XLOOKUP(AL183,Cadastros!$G$6:$G$90,Cadastros!$H$6:$H$90))))</f>
        <v/>
      </c>
      <c r="AO183" s="168" t="str">
        <f t="shared" si="35"/>
        <v/>
      </c>
      <c r="AP183" s="168" t="str">
        <f t="shared" si="36"/>
        <v/>
      </c>
      <c r="AQ183" s="28"/>
      <c r="AR183" s="28"/>
      <c r="AS183" s="20" t="str">
        <f>IF(AQ183="","",IF($F183="Bernardino Furlan",_xlfn.XLOOKUP(AQ183,Cadastros!$G$6:$G$90,Cadastros!$H$6:$H$90)*(1-0.18),IF($F183="Mauro José Salanti",_xlfn.XLOOKUP(AQ183,Cadastros!$G$6:$G$90,Cadastros!$H$6:$H$90)*(1-0.18),_xlfn.XLOOKUP(AQ183,Cadastros!$G$6:$G$90,Cadastros!$H$6:$H$90))))</f>
        <v/>
      </c>
      <c r="AT183" s="168" t="str">
        <f t="shared" si="37"/>
        <v/>
      </c>
      <c r="AU183" s="168" t="str">
        <f t="shared" si="38"/>
        <v/>
      </c>
      <c r="AV183" s="227"/>
      <c r="AW183" s="30"/>
      <c r="AX183" s="267"/>
      <c r="AY183" s="267"/>
      <c r="AZ183" s="29"/>
      <c r="BA183" s="30"/>
      <c r="BB183" s="23" t="str" cm="1">
        <f t="array" ref="BB183">_xlfn.IFS(AW183="SIM",SUM(K183,P183,U183,Z183,AE183,AJ183,AO183,AT183,AX183,AY183),F183&lt;&gt;"",SUM(K183,P183,U183,Z183,AE183,AJ183,,AO183,AT183),F183="","")</f>
        <v/>
      </c>
      <c r="BC183" s="211" t="str" cm="1">
        <f t="array" ref="BC183">_xlfn.IFS(E183="","",G183&lt;=E183,BB183*(1-0.03),G183&lt;(E183+8),BB183,AZ183="Boleto",BB183*(1+0.001)^DATEDIF(E183,G183,"D"),AZ183="Cheque",BB183,AZ183="Dinheiro","Alterar forma pgto")</f>
        <v/>
      </c>
      <c r="BD183" s="276" t="str" cm="1">
        <f t="array" ref="BD183">IF(F183=0," ",IF(BC183&lt;BB183,(_xlfn.IFS(AW183="SIM",SUM(L183,Q183,V183,AA183,AF183,AK183,AP183,AU183)+AX183/_xlfn.XLOOKUP(_xlfn.XLOOKUP($F183,Clientes!$B$4:$B$39,Clientes!$C$4:$C$39),Cadastros!$L$6:$L$12,Cadastros!$M$6:$M$12)+IF($F183="Bernardino Furlan",AY183/2751.92,IF($F183="Mauro José Salanti",AY183/2751.92,AY183/3356)),F183&lt;&gt;0,SUM(L183,Q183,V183,AA183,AF183,AK183,AP183,AU183)))*(1-0.03),_xlfn.IFS(AW183="SIM",SUM(L183,Q183,V183,AA183,AF183,AK183,AP183,AU183)+AX183/_xlfn.XLOOKUP(_xlfn.XLOOKUP($F183,Clientes!$B$4:$B$39,Clientes!$C$4:$C$39),Cadastros!$L$6:$L$12,Cadastros!$M$6:$M$12)+IF($F183="Bernardino Furlan",AY183/2751.92,IF($F183="Mauro José Salanti",AY183/2751.92,AY183/3356)),F183&lt;&gt;0,SUM(L183,Q183,V183,AA183,AF183,AK183,AP183,AU183))))</f>
        <v xml:space="preserve"> </v>
      </c>
      <c r="BE183" s="120"/>
      <c r="BF183" s="120"/>
      <c r="BG183" s="120"/>
    </row>
    <row r="184" spans="1:59" s="3" customFormat="1" x14ac:dyDescent="0.3">
      <c r="A184" s="15" t="str">
        <f t="shared" si="26"/>
        <v/>
      </c>
      <c r="B184" s="25"/>
      <c r="C184" s="26"/>
      <c r="D184" s="279"/>
      <c r="E184" s="27"/>
      <c r="F184" s="28"/>
      <c r="G184" s="27"/>
      <c r="H184" s="28"/>
      <c r="I184" s="28"/>
      <c r="J184" s="255" t="str">
        <f>IF(H184="","",(_xlfn.XLOOKUP(H184,Cadastros!$D$6:$D$90,Cadastros!$E$6:$E$90))*(1-_xlfn.XLOOKUP(_xlfn.XLOOKUP($F184,Clientes!$B$4:$B$39,Clientes!$C$4:$C$39),Cadastros!$L$6:$L$12,Cadastros!$N$6:$N$12)))</f>
        <v/>
      </c>
      <c r="K184" s="168" t="str">
        <f t="shared" si="27"/>
        <v/>
      </c>
      <c r="L184" s="168" t="str">
        <f>IFERROR(K184/_xlfn.XLOOKUP(_xlfn.XLOOKUP($F184,Clientes!$B$4:$B$39,Clientes!$C$4:$C$39),Cadastros!$L$6:$L$12,Cadastros!$M$6:$M$12)," ")</f>
        <v xml:space="preserve"> </v>
      </c>
      <c r="M184" s="28"/>
      <c r="N184" s="28"/>
      <c r="O184" s="255" t="str">
        <f>IF(M184="","",(_xlfn.XLOOKUP(M184,Cadastros!$D$6:$D$90,Cadastros!$E$6:$E$90))*(1-_xlfn.XLOOKUP(_xlfn.XLOOKUP($F184,Clientes!$B$4:$B$39,Clientes!$C$4:$C$39),Cadastros!$L$6:$L$12,Cadastros!$N$6:$N$12)))</f>
        <v/>
      </c>
      <c r="P184" s="168" t="str">
        <f t="shared" si="28"/>
        <v/>
      </c>
      <c r="Q184" s="168" t="str">
        <f>IFERROR(P184/_xlfn.XLOOKUP(_xlfn.XLOOKUP($F184,Clientes!$B$4:$B$39,Clientes!$C$4:$C$39),Cadastros!$L$6:$L$12,Cadastros!$M$6:$M$12)," ")</f>
        <v xml:space="preserve"> </v>
      </c>
      <c r="R184" s="28"/>
      <c r="S184" s="28"/>
      <c r="T184" s="255" t="str">
        <f>IF(R184="","",(_xlfn.XLOOKUP(R184,Cadastros!$D$6:$D$90,Cadastros!$E$6:$E$90))*(1-_xlfn.XLOOKUP(_xlfn.XLOOKUP($F184,Clientes!$B$4:$B$39,Clientes!$C$4:$C$39),Cadastros!$L$6:$L$12,Cadastros!$N$6:$N$12)))</f>
        <v/>
      </c>
      <c r="U184" s="168" t="str">
        <f t="shared" si="29"/>
        <v/>
      </c>
      <c r="V184" s="168" t="str">
        <f>IFERROR(U184/_xlfn.XLOOKUP(_xlfn.XLOOKUP($F184,Clientes!$B$4:$B$39,Clientes!$C$4:$C$39),Cadastros!$L$6:$L$12,Cadastros!$M$6:$M$12)," ")</f>
        <v xml:space="preserve"> </v>
      </c>
      <c r="W184" s="28"/>
      <c r="X184" s="28"/>
      <c r="Y184" s="255" t="str">
        <f>IF(W184="","",(_xlfn.XLOOKUP(W184,Cadastros!$D$6:$D$90,Cadastros!$E$6:$E$90))*(1-_xlfn.XLOOKUP(_xlfn.XLOOKUP($F184,Clientes!$B$4:$B$39,Clientes!$C$4:$C$39),Cadastros!$L$6:$L$12,Cadastros!$N$6:$N$12)))</f>
        <v/>
      </c>
      <c r="Z184" s="168" t="str">
        <f t="shared" si="30"/>
        <v/>
      </c>
      <c r="AA184" s="168" t="str">
        <f>IFERROR(Z184/_xlfn.XLOOKUP(_xlfn.XLOOKUP($F184,Clientes!$B$4:$B$39,Clientes!$C$4:$C$39),Cadastros!$L$6:$L$12,Cadastros!$M$6:$M$12)," ")</f>
        <v xml:space="preserve"> </v>
      </c>
      <c r="AB184" s="28"/>
      <c r="AC184" s="28"/>
      <c r="AD184" s="20" t="str">
        <f>IF(AB184="","",IF($F184="Bernardino Furlan",_xlfn.XLOOKUP(AB184,Cadastros!$G$6:$G$90,Cadastros!$H$6:$H$90)*(1-0.18),IF($F184="Mauro José Salanti",_xlfn.XLOOKUP(AB184,Cadastros!$G$6:$G$90,Cadastros!$H$6:$H$90)*(1-0.18),_xlfn.XLOOKUP(AB184,Cadastros!$G$6:$G$90,Cadastros!$H$6:$H$90))))</f>
        <v/>
      </c>
      <c r="AE184" s="168" t="str">
        <f t="shared" si="31"/>
        <v/>
      </c>
      <c r="AF184" s="168" t="str">
        <f t="shared" si="32"/>
        <v/>
      </c>
      <c r="AG184" s="28"/>
      <c r="AH184" s="28"/>
      <c r="AI184" s="20" t="str">
        <f>IF(AG184="","",IF($F184="Bernardino Furlan",_xlfn.XLOOKUP(AG184,Cadastros!$G$6:$G$90,Cadastros!$H$6:$H$90)*(1-0.18),IF($F184="Mauro José Salanti",_xlfn.XLOOKUP(AG184,Cadastros!$G$6:$G$90,Cadastros!$H$6:$H$90)*(1-0.18),_xlfn.XLOOKUP(AG184,Cadastros!$G$6:$G$90,Cadastros!$H$6:$H$90))))</f>
        <v/>
      </c>
      <c r="AJ184" s="168" t="str">
        <f t="shared" si="33"/>
        <v/>
      </c>
      <c r="AK184" s="168" t="str">
        <f t="shared" si="34"/>
        <v/>
      </c>
      <c r="AL184" s="28"/>
      <c r="AM184" s="28"/>
      <c r="AN184" s="20" t="str">
        <f>IF(AL184="","",IF($F184="Bernardino Furlan",_xlfn.XLOOKUP(AL184,Cadastros!$G$6:$G$90,Cadastros!$H$6:$H$90)*(1-0.18),IF($F184="Mauro José Salanti",_xlfn.XLOOKUP(AL184,Cadastros!$G$6:$G$90,Cadastros!$H$6:$H$90)*(1-0.18),_xlfn.XLOOKUP(AL184,Cadastros!$G$6:$G$90,Cadastros!$H$6:$H$90))))</f>
        <v/>
      </c>
      <c r="AO184" s="168" t="str">
        <f t="shared" si="35"/>
        <v/>
      </c>
      <c r="AP184" s="168" t="str">
        <f t="shared" si="36"/>
        <v/>
      </c>
      <c r="AQ184" s="28"/>
      <c r="AR184" s="28"/>
      <c r="AS184" s="20" t="str">
        <f>IF(AQ184="","",IF($F184="Bernardino Furlan",_xlfn.XLOOKUP(AQ184,Cadastros!$G$6:$G$90,Cadastros!$H$6:$H$90)*(1-0.18),IF($F184="Mauro José Salanti",_xlfn.XLOOKUP(AQ184,Cadastros!$G$6:$G$90,Cadastros!$H$6:$H$90)*(1-0.18),_xlfn.XLOOKUP(AQ184,Cadastros!$G$6:$G$90,Cadastros!$H$6:$H$90))))</f>
        <v/>
      </c>
      <c r="AT184" s="168" t="str">
        <f t="shared" si="37"/>
        <v/>
      </c>
      <c r="AU184" s="168" t="str">
        <f t="shared" si="38"/>
        <v/>
      </c>
      <c r="AV184" s="227"/>
      <c r="AW184" s="30"/>
      <c r="AX184" s="267"/>
      <c r="AY184" s="267"/>
      <c r="AZ184" s="29"/>
      <c r="BA184" s="30"/>
      <c r="BB184" s="23" t="str" cm="1">
        <f t="array" ref="BB184">_xlfn.IFS(AW184="SIM",SUM(K184,P184,U184,Z184,AE184,AJ184,AO184,AT184,AX184,AY184),F184&lt;&gt;"",SUM(K184,P184,U184,Z184,AE184,AJ184,,AO184,AT184),F184="","")</f>
        <v/>
      </c>
      <c r="BC184" s="211" t="str" cm="1">
        <f t="array" ref="BC184">_xlfn.IFS(E184="","",G184&lt;=E184,BB184*(1-0.03),G184&lt;(E184+8),BB184,AZ184="Boleto",BB184*(1+0.001)^DATEDIF(E184,G184,"D"),AZ184="Cheque",BB184,AZ184="Dinheiro","Alterar forma pgto")</f>
        <v/>
      </c>
      <c r="BD184" s="276" t="str" cm="1">
        <f t="array" ref="BD184">IF(F184=0," ",IF(BC184&lt;BB184,(_xlfn.IFS(AW184="SIM",SUM(L184,Q184,V184,AA184,AF184,AK184,AP184,AU184)+AX184/_xlfn.XLOOKUP(_xlfn.XLOOKUP($F184,Clientes!$B$4:$B$39,Clientes!$C$4:$C$39),Cadastros!$L$6:$L$12,Cadastros!$M$6:$M$12)+IF($F184="Bernardino Furlan",AY184/2751.92,IF($F184="Mauro José Salanti",AY184/2751.92,AY184/3356)),F184&lt;&gt;0,SUM(L184,Q184,V184,AA184,AF184,AK184,AP184,AU184)))*(1-0.03),_xlfn.IFS(AW184="SIM",SUM(L184,Q184,V184,AA184,AF184,AK184,AP184,AU184)+AX184/_xlfn.XLOOKUP(_xlfn.XLOOKUP($F184,Clientes!$B$4:$B$39,Clientes!$C$4:$C$39),Cadastros!$L$6:$L$12,Cadastros!$M$6:$M$12)+IF($F184="Bernardino Furlan",AY184/2751.92,IF($F184="Mauro José Salanti",AY184/2751.92,AY184/3356)),F184&lt;&gt;0,SUM(L184,Q184,V184,AA184,AF184,AK184,AP184,AU184))))</f>
        <v xml:space="preserve"> </v>
      </c>
      <c r="BE184" s="120"/>
      <c r="BF184" s="120"/>
      <c r="BG184" s="120"/>
    </row>
    <row r="185" spans="1:59" s="3" customFormat="1" x14ac:dyDescent="0.3">
      <c r="A185" s="15" t="str">
        <f t="shared" si="26"/>
        <v/>
      </c>
      <c r="B185" s="25"/>
      <c r="C185" s="26"/>
      <c r="D185" s="279"/>
      <c r="E185" s="27"/>
      <c r="F185" s="28"/>
      <c r="G185" s="27"/>
      <c r="H185" s="28"/>
      <c r="I185" s="28"/>
      <c r="J185" s="255" t="str">
        <f>IF(H185="","",(_xlfn.XLOOKUP(H185,Cadastros!$D$6:$D$90,Cadastros!$E$6:$E$90))*(1-_xlfn.XLOOKUP(_xlfn.XLOOKUP($F185,Clientes!$B$4:$B$39,Clientes!$C$4:$C$39),Cadastros!$L$6:$L$12,Cadastros!$N$6:$N$12)))</f>
        <v/>
      </c>
      <c r="K185" s="168" t="str">
        <f t="shared" si="27"/>
        <v/>
      </c>
      <c r="L185" s="168" t="str">
        <f>IFERROR(K185/_xlfn.XLOOKUP(_xlfn.XLOOKUP($F185,Clientes!$B$4:$B$39,Clientes!$C$4:$C$39),Cadastros!$L$6:$L$12,Cadastros!$M$6:$M$12)," ")</f>
        <v xml:space="preserve"> </v>
      </c>
      <c r="M185" s="28"/>
      <c r="N185" s="28"/>
      <c r="O185" s="255" t="str">
        <f>IF(M185="","",(_xlfn.XLOOKUP(M185,Cadastros!$D$6:$D$90,Cadastros!$E$6:$E$90))*(1-_xlfn.XLOOKUP(_xlfn.XLOOKUP($F185,Clientes!$B$4:$B$39,Clientes!$C$4:$C$39),Cadastros!$L$6:$L$12,Cadastros!$N$6:$N$12)))</f>
        <v/>
      </c>
      <c r="P185" s="168" t="str">
        <f t="shared" si="28"/>
        <v/>
      </c>
      <c r="Q185" s="168" t="str">
        <f>IFERROR(P185/_xlfn.XLOOKUP(_xlfn.XLOOKUP($F185,Clientes!$B$4:$B$39,Clientes!$C$4:$C$39),Cadastros!$L$6:$L$12,Cadastros!$M$6:$M$12)," ")</f>
        <v xml:space="preserve"> </v>
      </c>
      <c r="R185" s="28"/>
      <c r="S185" s="28"/>
      <c r="T185" s="255" t="str">
        <f>IF(R185="","",(_xlfn.XLOOKUP(R185,Cadastros!$D$6:$D$90,Cadastros!$E$6:$E$90))*(1-_xlfn.XLOOKUP(_xlfn.XLOOKUP($F185,Clientes!$B$4:$B$39,Clientes!$C$4:$C$39),Cadastros!$L$6:$L$12,Cadastros!$N$6:$N$12)))</f>
        <v/>
      </c>
      <c r="U185" s="168" t="str">
        <f t="shared" si="29"/>
        <v/>
      </c>
      <c r="V185" s="168" t="str">
        <f>IFERROR(U185/_xlfn.XLOOKUP(_xlfn.XLOOKUP($F185,Clientes!$B$4:$B$39,Clientes!$C$4:$C$39),Cadastros!$L$6:$L$12,Cadastros!$M$6:$M$12)," ")</f>
        <v xml:space="preserve"> </v>
      </c>
      <c r="W185" s="28"/>
      <c r="X185" s="28"/>
      <c r="Y185" s="255" t="str">
        <f>IF(W185="","",(_xlfn.XLOOKUP(W185,Cadastros!$D$6:$D$90,Cadastros!$E$6:$E$90))*(1-_xlfn.XLOOKUP(_xlfn.XLOOKUP($F185,Clientes!$B$4:$B$39,Clientes!$C$4:$C$39),Cadastros!$L$6:$L$12,Cadastros!$N$6:$N$12)))</f>
        <v/>
      </c>
      <c r="Z185" s="168" t="str">
        <f t="shared" si="30"/>
        <v/>
      </c>
      <c r="AA185" s="168" t="str">
        <f>IFERROR(Z185/_xlfn.XLOOKUP(_xlfn.XLOOKUP($F185,Clientes!$B$4:$B$39,Clientes!$C$4:$C$39),Cadastros!$L$6:$L$12,Cadastros!$M$6:$M$12)," ")</f>
        <v xml:space="preserve"> </v>
      </c>
      <c r="AB185" s="28"/>
      <c r="AC185" s="28"/>
      <c r="AD185" s="20" t="str">
        <f>IF(AB185="","",IF($F185="Bernardino Furlan",_xlfn.XLOOKUP(AB185,Cadastros!$G$6:$G$90,Cadastros!$H$6:$H$90)*(1-0.18),IF($F185="Mauro José Salanti",_xlfn.XLOOKUP(AB185,Cadastros!$G$6:$G$90,Cadastros!$H$6:$H$90)*(1-0.18),_xlfn.XLOOKUP(AB185,Cadastros!$G$6:$G$90,Cadastros!$H$6:$H$90))))</f>
        <v/>
      </c>
      <c r="AE185" s="168" t="str">
        <f t="shared" si="31"/>
        <v/>
      </c>
      <c r="AF185" s="168" t="str">
        <f t="shared" si="32"/>
        <v/>
      </c>
      <c r="AG185" s="28"/>
      <c r="AH185" s="28"/>
      <c r="AI185" s="20" t="str">
        <f>IF(AG185="","",IF($F185="Bernardino Furlan",_xlfn.XLOOKUP(AG185,Cadastros!$G$6:$G$90,Cadastros!$H$6:$H$90)*(1-0.18),IF($F185="Mauro José Salanti",_xlfn.XLOOKUP(AG185,Cadastros!$G$6:$G$90,Cadastros!$H$6:$H$90)*(1-0.18),_xlfn.XLOOKUP(AG185,Cadastros!$G$6:$G$90,Cadastros!$H$6:$H$90))))</f>
        <v/>
      </c>
      <c r="AJ185" s="168" t="str">
        <f t="shared" si="33"/>
        <v/>
      </c>
      <c r="AK185" s="168" t="str">
        <f t="shared" si="34"/>
        <v/>
      </c>
      <c r="AL185" s="28"/>
      <c r="AM185" s="28"/>
      <c r="AN185" s="20" t="str">
        <f>IF(AL185="","",IF($F185="Bernardino Furlan",_xlfn.XLOOKUP(AL185,Cadastros!$G$6:$G$90,Cadastros!$H$6:$H$90)*(1-0.18),IF($F185="Mauro José Salanti",_xlfn.XLOOKUP(AL185,Cadastros!$G$6:$G$90,Cadastros!$H$6:$H$90)*(1-0.18),_xlfn.XLOOKUP(AL185,Cadastros!$G$6:$G$90,Cadastros!$H$6:$H$90))))</f>
        <v/>
      </c>
      <c r="AO185" s="168" t="str">
        <f t="shared" si="35"/>
        <v/>
      </c>
      <c r="AP185" s="168" t="str">
        <f t="shared" si="36"/>
        <v/>
      </c>
      <c r="AQ185" s="28"/>
      <c r="AR185" s="28"/>
      <c r="AS185" s="20" t="str">
        <f>IF(AQ185="","",IF($F185="Bernardino Furlan",_xlfn.XLOOKUP(AQ185,Cadastros!$G$6:$G$90,Cadastros!$H$6:$H$90)*(1-0.18),IF($F185="Mauro José Salanti",_xlfn.XLOOKUP(AQ185,Cadastros!$G$6:$G$90,Cadastros!$H$6:$H$90)*(1-0.18),_xlfn.XLOOKUP(AQ185,Cadastros!$G$6:$G$90,Cadastros!$H$6:$H$90))))</f>
        <v/>
      </c>
      <c r="AT185" s="168" t="str">
        <f t="shared" si="37"/>
        <v/>
      </c>
      <c r="AU185" s="168" t="str">
        <f t="shared" si="38"/>
        <v/>
      </c>
      <c r="AV185" s="227"/>
      <c r="AW185" s="30"/>
      <c r="AX185" s="267"/>
      <c r="AY185" s="267"/>
      <c r="AZ185" s="29"/>
      <c r="BA185" s="30"/>
      <c r="BB185" s="23" t="str" cm="1">
        <f t="array" ref="BB185">_xlfn.IFS(AW185="SIM",SUM(K185,P185,U185,Z185,AE185,AJ185,AO185,AT185,AX185,AY185),F185&lt;&gt;"",SUM(K185,P185,U185,Z185,AE185,AJ185,,AO185,AT185),F185="","")</f>
        <v/>
      </c>
      <c r="BC185" s="211" t="str" cm="1">
        <f t="array" ref="BC185">_xlfn.IFS(E185="","",G185&lt;=E185,BB185*(1-0.03),G185&lt;(E185+8),BB185,AZ185="Boleto",BB185*(1+0.001)^DATEDIF(E185,G185,"D"),AZ185="Cheque",BB185,AZ185="Dinheiro","Alterar forma pgto")</f>
        <v/>
      </c>
      <c r="BD185" s="276" t="str" cm="1">
        <f t="array" ref="BD185">IF(F185=0," ",IF(BC185&lt;BB185,(_xlfn.IFS(AW185="SIM",SUM(L185,Q185,V185,AA185,AF185,AK185,AP185,AU185)+AX185/_xlfn.XLOOKUP(_xlfn.XLOOKUP($F185,Clientes!$B$4:$B$39,Clientes!$C$4:$C$39),Cadastros!$L$6:$L$12,Cadastros!$M$6:$M$12)+IF($F185="Bernardino Furlan",AY185/2751.92,IF($F185="Mauro José Salanti",AY185/2751.92,AY185/3356)),F185&lt;&gt;0,SUM(L185,Q185,V185,AA185,AF185,AK185,AP185,AU185)))*(1-0.03),_xlfn.IFS(AW185="SIM",SUM(L185,Q185,V185,AA185,AF185,AK185,AP185,AU185)+AX185/_xlfn.XLOOKUP(_xlfn.XLOOKUP($F185,Clientes!$B$4:$B$39,Clientes!$C$4:$C$39),Cadastros!$L$6:$L$12,Cadastros!$M$6:$M$12)+IF($F185="Bernardino Furlan",AY185/2751.92,IF($F185="Mauro José Salanti",AY185/2751.92,AY185/3356)),F185&lt;&gt;0,SUM(L185,Q185,V185,AA185,AF185,AK185,AP185,AU185))))</f>
        <v xml:space="preserve"> </v>
      </c>
      <c r="BE185" s="120"/>
      <c r="BF185" s="120"/>
      <c r="BG185" s="120"/>
    </row>
    <row r="186" spans="1:59" s="3" customFormat="1" x14ac:dyDescent="0.3">
      <c r="A186" s="15" t="str">
        <f t="shared" si="26"/>
        <v/>
      </c>
      <c r="B186" s="25"/>
      <c r="C186" s="26"/>
      <c r="D186" s="279"/>
      <c r="E186" s="27"/>
      <c r="F186" s="28"/>
      <c r="G186" s="27"/>
      <c r="H186" s="28"/>
      <c r="I186" s="28"/>
      <c r="J186" s="255" t="str">
        <f>IF(H186="","",(_xlfn.XLOOKUP(H186,Cadastros!$D$6:$D$90,Cadastros!$E$6:$E$90))*(1-_xlfn.XLOOKUP(_xlfn.XLOOKUP($F186,Clientes!$B$4:$B$39,Clientes!$C$4:$C$39),Cadastros!$L$6:$L$12,Cadastros!$N$6:$N$12)))</f>
        <v/>
      </c>
      <c r="K186" s="168" t="str">
        <f t="shared" si="27"/>
        <v/>
      </c>
      <c r="L186" s="168" t="str">
        <f>IFERROR(K186/_xlfn.XLOOKUP(_xlfn.XLOOKUP($F186,Clientes!$B$4:$B$39,Clientes!$C$4:$C$39),Cadastros!$L$6:$L$12,Cadastros!$M$6:$M$12)," ")</f>
        <v xml:space="preserve"> </v>
      </c>
      <c r="M186" s="28"/>
      <c r="N186" s="28"/>
      <c r="O186" s="255" t="str">
        <f>IF(M186="","",(_xlfn.XLOOKUP(M186,Cadastros!$D$6:$D$90,Cadastros!$E$6:$E$90))*(1-_xlfn.XLOOKUP(_xlfn.XLOOKUP($F186,Clientes!$B$4:$B$39,Clientes!$C$4:$C$39),Cadastros!$L$6:$L$12,Cadastros!$N$6:$N$12)))</f>
        <v/>
      </c>
      <c r="P186" s="168" t="str">
        <f t="shared" si="28"/>
        <v/>
      </c>
      <c r="Q186" s="168" t="str">
        <f>IFERROR(P186/_xlfn.XLOOKUP(_xlfn.XLOOKUP($F186,Clientes!$B$4:$B$39,Clientes!$C$4:$C$39),Cadastros!$L$6:$L$12,Cadastros!$M$6:$M$12)," ")</f>
        <v xml:space="preserve"> </v>
      </c>
      <c r="R186" s="28"/>
      <c r="S186" s="28"/>
      <c r="T186" s="255" t="str">
        <f>IF(R186="","",(_xlfn.XLOOKUP(R186,Cadastros!$D$6:$D$90,Cadastros!$E$6:$E$90))*(1-_xlfn.XLOOKUP(_xlfn.XLOOKUP($F186,Clientes!$B$4:$B$39,Clientes!$C$4:$C$39),Cadastros!$L$6:$L$12,Cadastros!$N$6:$N$12)))</f>
        <v/>
      </c>
      <c r="U186" s="168" t="str">
        <f t="shared" si="29"/>
        <v/>
      </c>
      <c r="V186" s="168" t="str">
        <f>IFERROR(U186/_xlfn.XLOOKUP(_xlfn.XLOOKUP($F186,Clientes!$B$4:$B$39,Clientes!$C$4:$C$39),Cadastros!$L$6:$L$12,Cadastros!$M$6:$M$12)," ")</f>
        <v xml:space="preserve"> </v>
      </c>
      <c r="W186" s="28"/>
      <c r="X186" s="28"/>
      <c r="Y186" s="255" t="str">
        <f>IF(W186="","",(_xlfn.XLOOKUP(W186,Cadastros!$D$6:$D$90,Cadastros!$E$6:$E$90))*(1-_xlfn.XLOOKUP(_xlfn.XLOOKUP($F186,Clientes!$B$4:$B$39,Clientes!$C$4:$C$39),Cadastros!$L$6:$L$12,Cadastros!$N$6:$N$12)))</f>
        <v/>
      </c>
      <c r="Z186" s="168" t="str">
        <f t="shared" si="30"/>
        <v/>
      </c>
      <c r="AA186" s="168" t="str">
        <f>IFERROR(Z186/_xlfn.XLOOKUP(_xlfn.XLOOKUP($F186,Clientes!$B$4:$B$39,Clientes!$C$4:$C$39),Cadastros!$L$6:$L$12,Cadastros!$M$6:$M$12)," ")</f>
        <v xml:space="preserve"> </v>
      </c>
      <c r="AB186" s="28"/>
      <c r="AC186" s="28"/>
      <c r="AD186" s="20" t="str">
        <f>IF(AB186="","",IF($F186="Bernardino Furlan",_xlfn.XLOOKUP(AB186,Cadastros!$G$6:$G$90,Cadastros!$H$6:$H$90)*(1-0.18),IF($F186="Mauro José Salanti",_xlfn.XLOOKUP(AB186,Cadastros!$G$6:$G$90,Cadastros!$H$6:$H$90)*(1-0.18),_xlfn.XLOOKUP(AB186,Cadastros!$G$6:$G$90,Cadastros!$H$6:$H$90))))</f>
        <v/>
      </c>
      <c r="AE186" s="168" t="str">
        <f t="shared" si="31"/>
        <v/>
      </c>
      <c r="AF186" s="168" t="str">
        <f t="shared" si="32"/>
        <v/>
      </c>
      <c r="AG186" s="28"/>
      <c r="AH186" s="28"/>
      <c r="AI186" s="20" t="str">
        <f>IF(AG186="","",IF($F186="Bernardino Furlan",_xlfn.XLOOKUP(AG186,Cadastros!$G$6:$G$90,Cadastros!$H$6:$H$90)*(1-0.18),IF($F186="Mauro José Salanti",_xlfn.XLOOKUP(AG186,Cadastros!$G$6:$G$90,Cadastros!$H$6:$H$90)*(1-0.18),_xlfn.XLOOKUP(AG186,Cadastros!$G$6:$G$90,Cadastros!$H$6:$H$90))))</f>
        <v/>
      </c>
      <c r="AJ186" s="168" t="str">
        <f t="shared" si="33"/>
        <v/>
      </c>
      <c r="AK186" s="168" t="str">
        <f t="shared" si="34"/>
        <v/>
      </c>
      <c r="AL186" s="28"/>
      <c r="AM186" s="28"/>
      <c r="AN186" s="20" t="str">
        <f>IF(AL186="","",IF($F186="Bernardino Furlan",_xlfn.XLOOKUP(AL186,Cadastros!$G$6:$G$90,Cadastros!$H$6:$H$90)*(1-0.18),IF($F186="Mauro José Salanti",_xlfn.XLOOKUP(AL186,Cadastros!$G$6:$G$90,Cadastros!$H$6:$H$90)*(1-0.18),_xlfn.XLOOKUP(AL186,Cadastros!$G$6:$G$90,Cadastros!$H$6:$H$90))))</f>
        <v/>
      </c>
      <c r="AO186" s="168" t="str">
        <f t="shared" si="35"/>
        <v/>
      </c>
      <c r="AP186" s="168" t="str">
        <f t="shared" si="36"/>
        <v/>
      </c>
      <c r="AQ186" s="28"/>
      <c r="AR186" s="28"/>
      <c r="AS186" s="20" t="str">
        <f>IF(AQ186="","",IF($F186="Bernardino Furlan",_xlfn.XLOOKUP(AQ186,Cadastros!$G$6:$G$90,Cadastros!$H$6:$H$90)*(1-0.18),IF($F186="Mauro José Salanti",_xlfn.XLOOKUP(AQ186,Cadastros!$G$6:$G$90,Cadastros!$H$6:$H$90)*(1-0.18),_xlfn.XLOOKUP(AQ186,Cadastros!$G$6:$G$90,Cadastros!$H$6:$H$90))))</f>
        <v/>
      </c>
      <c r="AT186" s="168" t="str">
        <f t="shared" si="37"/>
        <v/>
      </c>
      <c r="AU186" s="168" t="str">
        <f t="shared" si="38"/>
        <v/>
      </c>
      <c r="AV186" s="227"/>
      <c r="AW186" s="30"/>
      <c r="AX186" s="267"/>
      <c r="AY186" s="267"/>
      <c r="AZ186" s="29"/>
      <c r="BA186" s="30"/>
      <c r="BB186" s="23" t="str" cm="1">
        <f t="array" ref="BB186">_xlfn.IFS(AW186="SIM",SUM(K186,P186,U186,Z186,AE186,AJ186,AO186,AT186,AX186,AY186),F186&lt;&gt;"",SUM(K186,P186,U186,Z186,AE186,AJ186,,AO186,AT186),F186="","")</f>
        <v/>
      </c>
      <c r="BC186" s="211" t="str" cm="1">
        <f t="array" ref="BC186">_xlfn.IFS(E186="","",G186&lt;=E186,BB186*(1-0.03),G186&lt;(E186+8),BB186,AZ186="Boleto",BB186*(1+0.001)^DATEDIF(E186,G186,"D"),AZ186="Cheque",BB186,AZ186="Dinheiro","Alterar forma pgto")</f>
        <v/>
      </c>
      <c r="BD186" s="276" t="str" cm="1">
        <f t="array" ref="BD186">IF(F186=0," ",IF(BC186&lt;BB186,(_xlfn.IFS(AW186="SIM",SUM(L186,Q186,V186,AA186,AF186,AK186,AP186,AU186)+AX186/_xlfn.XLOOKUP(_xlfn.XLOOKUP($F186,Clientes!$B$4:$B$39,Clientes!$C$4:$C$39),Cadastros!$L$6:$L$12,Cadastros!$M$6:$M$12)+IF($F186="Bernardino Furlan",AY186/2751.92,IF($F186="Mauro José Salanti",AY186/2751.92,AY186/3356)),F186&lt;&gt;0,SUM(L186,Q186,V186,AA186,AF186,AK186,AP186,AU186)))*(1-0.03),_xlfn.IFS(AW186="SIM",SUM(L186,Q186,V186,AA186,AF186,AK186,AP186,AU186)+AX186/_xlfn.XLOOKUP(_xlfn.XLOOKUP($F186,Clientes!$B$4:$B$39,Clientes!$C$4:$C$39),Cadastros!$L$6:$L$12,Cadastros!$M$6:$M$12)+IF($F186="Bernardino Furlan",AY186/2751.92,IF($F186="Mauro José Salanti",AY186/2751.92,AY186/3356)),F186&lt;&gt;0,SUM(L186,Q186,V186,AA186,AF186,AK186,AP186,AU186))))</f>
        <v xml:space="preserve"> </v>
      </c>
      <c r="BE186" s="120"/>
      <c r="BF186" s="120"/>
      <c r="BG186" s="120"/>
    </row>
    <row r="187" spans="1:59" s="3" customFormat="1" x14ac:dyDescent="0.3">
      <c r="A187" s="15" t="str">
        <f t="shared" si="26"/>
        <v/>
      </c>
      <c r="B187" s="25"/>
      <c r="C187" s="26"/>
      <c r="D187" s="279"/>
      <c r="E187" s="27"/>
      <c r="F187" s="28"/>
      <c r="G187" s="27"/>
      <c r="H187" s="28"/>
      <c r="I187" s="28"/>
      <c r="J187" s="255" t="str">
        <f>IF(H187="","",(_xlfn.XLOOKUP(H187,Cadastros!$D$6:$D$90,Cadastros!$E$6:$E$90))*(1-_xlfn.XLOOKUP(_xlfn.XLOOKUP($F187,Clientes!$B$4:$B$39,Clientes!$C$4:$C$39),Cadastros!$L$6:$L$12,Cadastros!$N$6:$N$12)))</f>
        <v/>
      </c>
      <c r="K187" s="168" t="str">
        <f t="shared" si="27"/>
        <v/>
      </c>
      <c r="L187" s="168" t="str">
        <f>IFERROR(K187/_xlfn.XLOOKUP(_xlfn.XLOOKUP($F187,Clientes!$B$4:$B$39,Clientes!$C$4:$C$39),Cadastros!$L$6:$L$12,Cadastros!$M$6:$M$12)," ")</f>
        <v xml:space="preserve"> </v>
      </c>
      <c r="M187" s="28"/>
      <c r="N187" s="28"/>
      <c r="O187" s="255" t="str">
        <f>IF(M187="","",(_xlfn.XLOOKUP(M187,Cadastros!$D$6:$D$90,Cadastros!$E$6:$E$90))*(1-_xlfn.XLOOKUP(_xlfn.XLOOKUP($F187,Clientes!$B$4:$B$39,Clientes!$C$4:$C$39),Cadastros!$L$6:$L$12,Cadastros!$N$6:$N$12)))</f>
        <v/>
      </c>
      <c r="P187" s="168" t="str">
        <f t="shared" si="28"/>
        <v/>
      </c>
      <c r="Q187" s="168" t="str">
        <f>IFERROR(P187/_xlfn.XLOOKUP(_xlfn.XLOOKUP($F187,Clientes!$B$4:$B$39,Clientes!$C$4:$C$39),Cadastros!$L$6:$L$12,Cadastros!$M$6:$M$12)," ")</f>
        <v xml:space="preserve"> </v>
      </c>
      <c r="R187" s="28"/>
      <c r="S187" s="28"/>
      <c r="T187" s="255" t="str">
        <f>IF(R187="","",(_xlfn.XLOOKUP(R187,Cadastros!$D$6:$D$90,Cadastros!$E$6:$E$90))*(1-_xlfn.XLOOKUP(_xlfn.XLOOKUP($F187,Clientes!$B$4:$B$39,Clientes!$C$4:$C$39),Cadastros!$L$6:$L$12,Cadastros!$N$6:$N$12)))</f>
        <v/>
      </c>
      <c r="U187" s="168" t="str">
        <f t="shared" si="29"/>
        <v/>
      </c>
      <c r="V187" s="168" t="str">
        <f>IFERROR(U187/_xlfn.XLOOKUP(_xlfn.XLOOKUP($F187,Clientes!$B$4:$B$39,Clientes!$C$4:$C$39),Cadastros!$L$6:$L$12,Cadastros!$M$6:$M$12)," ")</f>
        <v xml:space="preserve"> </v>
      </c>
      <c r="W187" s="28"/>
      <c r="X187" s="28"/>
      <c r="Y187" s="255" t="str">
        <f>IF(W187="","",(_xlfn.XLOOKUP(W187,Cadastros!$D$6:$D$90,Cadastros!$E$6:$E$90))*(1-_xlfn.XLOOKUP(_xlfn.XLOOKUP($F187,Clientes!$B$4:$B$39,Clientes!$C$4:$C$39),Cadastros!$L$6:$L$12,Cadastros!$N$6:$N$12)))</f>
        <v/>
      </c>
      <c r="Z187" s="168" t="str">
        <f t="shared" si="30"/>
        <v/>
      </c>
      <c r="AA187" s="168" t="str">
        <f>IFERROR(Z187/_xlfn.XLOOKUP(_xlfn.XLOOKUP($F187,Clientes!$B$4:$B$39,Clientes!$C$4:$C$39),Cadastros!$L$6:$L$12,Cadastros!$M$6:$M$12)," ")</f>
        <v xml:space="preserve"> </v>
      </c>
      <c r="AB187" s="28"/>
      <c r="AC187" s="28"/>
      <c r="AD187" s="20" t="str">
        <f>IF(AB187="","",IF($F187="Bernardino Furlan",_xlfn.XLOOKUP(AB187,Cadastros!$G$6:$G$90,Cadastros!$H$6:$H$90)*(1-0.18),IF($F187="Mauro José Salanti",_xlfn.XLOOKUP(AB187,Cadastros!$G$6:$G$90,Cadastros!$H$6:$H$90)*(1-0.18),_xlfn.XLOOKUP(AB187,Cadastros!$G$6:$G$90,Cadastros!$H$6:$H$90))))</f>
        <v/>
      </c>
      <c r="AE187" s="168" t="str">
        <f t="shared" si="31"/>
        <v/>
      </c>
      <c r="AF187" s="168" t="str">
        <f t="shared" si="32"/>
        <v/>
      </c>
      <c r="AG187" s="28"/>
      <c r="AH187" s="28"/>
      <c r="AI187" s="20" t="str">
        <f>IF(AG187="","",IF($F187="Bernardino Furlan",_xlfn.XLOOKUP(AG187,Cadastros!$G$6:$G$90,Cadastros!$H$6:$H$90)*(1-0.18),IF($F187="Mauro José Salanti",_xlfn.XLOOKUP(AG187,Cadastros!$G$6:$G$90,Cadastros!$H$6:$H$90)*(1-0.18),_xlfn.XLOOKUP(AG187,Cadastros!$G$6:$G$90,Cadastros!$H$6:$H$90))))</f>
        <v/>
      </c>
      <c r="AJ187" s="168" t="str">
        <f t="shared" si="33"/>
        <v/>
      </c>
      <c r="AK187" s="168" t="str">
        <f t="shared" si="34"/>
        <v/>
      </c>
      <c r="AL187" s="28"/>
      <c r="AM187" s="28"/>
      <c r="AN187" s="20" t="str">
        <f>IF(AL187="","",IF($F187="Bernardino Furlan",_xlfn.XLOOKUP(AL187,Cadastros!$G$6:$G$90,Cadastros!$H$6:$H$90)*(1-0.18),IF($F187="Mauro José Salanti",_xlfn.XLOOKUP(AL187,Cadastros!$G$6:$G$90,Cadastros!$H$6:$H$90)*(1-0.18),_xlfn.XLOOKUP(AL187,Cadastros!$G$6:$G$90,Cadastros!$H$6:$H$90))))</f>
        <v/>
      </c>
      <c r="AO187" s="168" t="str">
        <f t="shared" si="35"/>
        <v/>
      </c>
      <c r="AP187" s="168" t="str">
        <f t="shared" si="36"/>
        <v/>
      </c>
      <c r="AQ187" s="28"/>
      <c r="AR187" s="28"/>
      <c r="AS187" s="20" t="str">
        <f>IF(AQ187="","",IF($F187="Bernardino Furlan",_xlfn.XLOOKUP(AQ187,Cadastros!$G$6:$G$90,Cadastros!$H$6:$H$90)*(1-0.18),IF($F187="Mauro José Salanti",_xlfn.XLOOKUP(AQ187,Cadastros!$G$6:$G$90,Cadastros!$H$6:$H$90)*(1-0.18),_xlfn.XLOOKUP(AQ187,Cadastros!$G$6:$G$90,Cadastros!$H$6:$H$90))))</f>
        <v/>
      </c>
      <c r="AT187" s="168" t="str">
        <f t="shared" si="37"/>
        <v/>
      </c>
      <c r="AU187" s="168" t="str">
        <f t="shared" si="38"/>
        <v/>
      </c>
      <c r="AV187" s="227"/>
      <c r="AW187" s="30"/>
      <c r="AX187" s="267"/>
      <c r="AY187" s="267"/>
      <c r="AZ187" s="29"/>
      <c r="BA187" s="30"/>
      <c r="BB187" s="23" t="str" cm="1">
        <f t="array" ref="BB187">_xlfn.IFS(AW187="SIM",SUM(K187,P187,U187,Z187,AE187,AJ187,AO187,AT187,AX187,AY187),F187&lt;&gt;"",SUM(K187,P187,U187,Z187,AE187,AJ187,,AO187,AT187),F187="","")</f>
        <v/>
      </c>
      <c r="BC187" s="211" t="str" cm="1">
        <f t="array" ref="BC187">_xlfn.IFS(E187="","",G187&lt;=E187,BB187*(1-0.03),G187&lt;(E187+8),BB187,AZ187="Boleto",BB187*(1+0.001)^DATEDIF(E187,G187,"D"),AZ187="Cheque",BB187,AZ187="Dinheiro","Alterar forma pgto")</f>
        <v/>
      </c>
      <c r="BD187" s="276" t="str" cm="1">
        <f t="array" ref="BD187">IF(F187=0," ",IF(BC187&lt;BB187,(_xlfn.IFS(AW187="SIM",SUM(L187,Q187,V187,AA187,AF187,AK187,AP187,AU187)+AX187/_xlfn.XLOOKUP(_xlfn.XLOOKUP($F187,Clientes!$B$4:$B$39,Clientes!$C$4:$C$39),Cadastros!$L$6:$L$12,Cadastros!$M$6:$M$12)+IF($F187="Bernardino Furlan",AY187/2751.92,IF($F187="Mauro José Salanti",AY187/2751.92,AY187/3356)),F187&lt;&gt;0,SUM(L187,Q187,V187,AA187,AF187,AK187,AP187,AU187)))*(1-0.03),_xlfn.IFS(AW187="SIM",SUM(L187,Q187,V187,AA187,AF187,AK187,AP187,AU187)+AX187/_xlfn.XLOOKUP(_xlfn.XLOOKUP($F187,Clientes!$B$4:$B$39,Clientes!$C$4:$C$39),Cadastros!$L$6:$L$12,Cadastros!$M$6:$M$12)+IF($F187="Bernardino Furlan",AY187/2751.92,IF($F187="Mauro José Salanti",AY187/2751.92,AY187/3356)),F187&lt;&gt;0,SUM(L187,Q187,V187,AA187,AF187,AK187,AP187,AU187))))</f>
        <v xml:space="preserve"> </v>
      </c>
      <c r="BE187" s="120"/>
      <c r="BF187" s="120"/>
      <c r="BG187" s="120"/>
    </row>
    <row r="188" spans="1:59" s="3" customFormat="1" x14ac:dyDescent="0.3">
      <c r="A188" s="15" t="str">
        <f t="shared" si="26"/>
        <v/>
      </c>
      <c r="B188" s="25"/>
      <c r="C188" s="26"/>
      <c r="D188" s="279"/>
      <c r="E188" s="27"/>
      <c r="F188" s="28"/>
      <c r="G188" s="27"/>
      <c r="H188" s="28"/>
      <c r="I188" s="28"/>
      <c r="J188" s="255" t="str">
        <f>IF(H188="","",(_xlfn.XLOOKUP(H188,Cadastros!$D$6:$D$90,Cadastros!$E$6:$E$90))*(1-_xlfn.XLOOKUP(_xlfn.XLOOKUP($F188,Clientes!$B$4:$B$39,Clientes!$C$4:$C$39),Cadastros!$L$6:$L$12,Cadastros!$N$6:$N$12)))</f>
        <v/>
      </c>
      <c r="K188" s="168" t="str">
        <f t="shared" si="27"/>
        <v/>
      </c>
      <c r="L188" s="168" t="str">
        <f>IFERROR(K188/_xlfn.XLOOKUP(_xlfn.XLOOKUP($F188,Clientes!$B$4:$B$39,Clientes!$C$4:$C$39),Cadastros!$L$6:$L$12,Cadastros!$M$6:$M$12)," ")</f>
        <v xml:space="preserve"> </v>
      </c>
      <c r="M188" s="28"/>
      <c r="N188" s="28"/>
      <c r="O188" s="255" t="str">
        <f>IF(M188="","",(_xlfn.XLOOKUP(M188,Cadastros!$D$6:$D$90,Cadastros!$E$6:$E$90))*(1-_xlfn.XLOOKUP(_xlfn.XLOOKUP($F188,Clientes!$B$4:$B$39,Clientes!$C$4:$C$39),Cadastros!$L$6:$L$12,Cadastros!$N$6:$N$12)))</f>
        <v/>
      </c>
      <c r="P188" s="168" t="str">
        <f t="shared" si="28"/>
        <v/>
      </c>
      <c r="Q188" s="168" t="str">
        <f>IFERROR(P188/_xlfn.XLOOKUP(_xlfn.XLOOKUP($F188,Clientes!$B$4:$B$39,Clientes!$C$4:$C$39),Cadastros!$L$6:$L$12,Cadastros!$M$6:$M$12)," ")</f>
        <v xml:space="preserve"> </v>
      </c>
      <c r="R188" s="28"/>
      <c r="S188" s="28"/>
      <c r="T188" s="255" t="str">
        <f>IF(R188="","",(_xlfn.XLOOKUP(R188,Cadastros!$D$6:$D$90,Cadastros!$E$6:$E$90))*(1-_xlfn.XLOOKUP(_xlfn.XLOOKUP($F188,Clientes!$B$4:$B$39,Clientes!$C$4:$C$39),Cadastros!$L$6:$L$12,Cadastros!$N$6:$N$12)))</f>
        <v/>
      </c>
      <c r="U188" s="168" t="str">
        <f t="shared" si="29"/>
        <v/>
      </c>
      <c r="V188" s="168" t="str">
        <f>IFERROR(U188/_xlfn.XLOOKUP(_xlfn.XLOOKUP($F188,Clientes!$B$4:$B$39,Clientes!$C$4:$C$39),Cadastros!$L$6:$L$12,Cadastros!$M$6:$M$12)," ")</f>
        <v xml:space="preserve"> </v>
      </c>
      <c r="W188" s="28"/>
      <c r="X188" s="28"/>
      <c r="Y188" s="255" t="str">
        <f>IF(W188="","",(_xlfn.XLOOKUP(W188,Cadastros!$D$6:$D$90,Cadastros!$E$6:$E$90))*(1-_xlfn.XLOOKUP(_xlfn.XLOOKUP($F188,Clientes!$B$4:$B$39,Clientes!$C$4:$C$39),Cadastros!$L$6:$L$12,Cadastros!$N$6:$N$12)))</f>
        <v/>
      </c>
      <c r="Z188" s="168" t="str">
        <f t="shared" si="30"/>
        <v/>
      </c>
      <c r="AA188" s="168" t="str">
        <f>IFERROR(Z188/_xlfn.XLOOKUP(_xlfn.XLOOKUP($F188,Clientes!$B$4:$B$39,Clientes!$C$4:$C$39),Cadastros!$L$6:$L$12,Cadastros!$M$6:$M$12)," ")</f>
        <v xml:space="preserve"> </v>
      </c>
      <c r="AB188" s="28"/>
      <c r="AC188" s="28"/>
      <c r="AD188" s="20" t="str">
        <f>IF(AB188="","",IF($F188="Bernardino Furlan",_xlfn.XLOOKUP(AB188,Cadastros!$G$6:$G$90,Cadastros!$H$6:$H$90)*(1-0.18),IF($F188="Mauro José Salanti",_xlfn.XLOOKUP(AB188,Cadastros!$G$6:$G$90,Cadastros!$H$6:$H$90)*(1-0.18),_xlfn.XLOOKUP(AB188,Cadastros!$G$6:$G$90,Cadastros!$H$6:$H$90))))</f>
        <v/>
      </c>
      <c r="AE188" s="168" t="str">
        <f t="shared" si="31"/>
        <v/>
      </c>
      <c r="AF188" s="168" t="str">
        <f t="shared" si="32"/>
        <v/>
      </c>
      <c r="AG188" s="28"/>
      <c r="AH188" s="28"/>
      <c r="AI188" s="20" t="str">
        <f>IF(AG188="","",IF($F188="Bernardino Furlan",_xlfn.XLOOKUP(AG188,Cadastros!$G$6:$G$90,Cadastros!$H$6:$H$90)*(1-0.18),IF($F188="Mauro José Salanti",_xlfn.XLOOKUP(AG188,Cadastros!$G$6:$G$90,Cadastros!$H$6:$H$90)*(1-0.18),_xlfn.XLOOKUP(AG188,Cadastros!$G$6:$G$90,Cadastros!$H$6:$H$90))))</f>
        <v/>
      </c>
      <c r="AJ188" s="168" t="str">
        <f t="shared" si="33"/>
        <v/>
      </c>
      <c r="AK188" s="168" t="str">
        <f t="shared" si="34"/>
        <v/>
      </c>
      <c r="AL188" s="28"/>
      <c r="AM188" s="28"/>
      <c r="AN188" s="20" t="str">
        <f>IF(AL188="","",IF($F188="Bernardino Furlan",_xlfn.XLOOKUP(AL188,Cadastros!$G$6:$G$90,Cadastros!$H$6:$H$90)*(1-0.18),IF($F188="Mauro José Salanti",_xlfn.XLOOKUP(AL188,Cadastros!$G$6:$G$90,Cadastros!$H$6:$H$90)*(1-0.18),_xlfn.XLOOKUP(AL188,Cadastros!$G$6:$G$90,Cadastros!$H$6:$H$90))))</f>
        <v/>
      </c>
      <c r="AO188" s="168" t="str">
        <f t="shared" si="35"/>
        <v/>
      </c>
      <c r="AP188" s="168" t="str">
        <f t="shared" si="36"/>
        <v/>
      </c>
      <c r="AQ188" s="28"/>
      <c r="AR188" s="28"/>
      <c r="AS188" s="20" t="str">
        <f>IF(AQ188="","",IF($F188="Bernardino Furlan",_xlfn.XLOOKUP(AQ188,Cadastros!$G$6:$G$90,Cadastros!$H$6:$H$90)*(1-0.18),IF($F188="Mauro José Salanti",_xlfn.XLOOKUP(AQ188,Cadastros!$G$6:$G$90,Cadastros!$H$6:$H$90)*(1-0.18),_xlfn.XLOOKUP(AQ188,Cadastros!$G$6:$G$90,Cadastros!$H$6:$H$90))))</f>
        <v/>
      </c>
      <c r="AT188" s="168" t="str">
        <f t="shared" si="37"/>
        <v/>
      </c>
      <c r="AU188" s="168" t="str">
        <f t="shared" si="38"/>
        <v/>
      </c>
      <c r="AV188" s="227"/>
      <c r="AW188" s="30"/>
      <c r="AX188" s="267"/>
      <c r="AY188" s="267"/>
      <c r="AZ188" s="29"/>
      <c r="BA188" s="30"/>
      <c r="BB188" s="23" t="str" cm="1">
        <f t="array" ref="BB188">_xlfn.IFS(AW188="SIM",SUM(K188,P188,U188,Z188,AE188,AJ188,AO188,AT188,AX188,AY188),F188&lt;&gt;"",SUM(K188,P188,U188,Z188,AE188,AJ188,,AO188,AT188),F188="","")</f>
        <v/>
      </c>
      <c r="BC188" s="211" t="str" cm="1">
        <f t="array" ref="BC188">_xlfn.IFS(E188="","",G188&lt;=E188,BB188*(1-0.03),G188&lt;(E188+8),BB188,AZ188="Boleto",BB188*(1+0.001)^DATEDIF(E188,G188,"D"),AZ188="Cheque",BB188,AZ188="Dinheiro","Alterar forma pgto")</f>
        <v/>
      </c>
      <c r="BD188" s="276" t="str" cm="1">
        <f t="array" ref="BD188">IF(F188=0," ",IF(BC188&lt;BB188,(_xlfn.IFS(AW188="SIM",SUM(L188,Q188,V188,AA188,AF188,AK188,AP188,AU188)+AX188/_xlfn.XLOOKUP(_xlfn.XLOOKUP($F188,Clientes!$B$4:$B$39,Clientes!$C$4:$C$39),Cadastros!$L$6:$L$12,Cadastros!$M$6:$M$12)+IF($F188="Bernardino Furlan",AY188/2751.92,IF($F188="Mauro José Salanti",AY188/2751.92,AY188/3356)),F188&lt;&gt;0,SUM(L188,Q188,V188,AA188,AF188,AK188,AP188,AU188)))*(1-0.03),_xlfn.IFS(AW188="SIM",SUM(L188,Q188,V188,AA188,AF188,AK188,AP188,AU188)+AX188/_xlfn.XLOOKUP(_xlfn.XLOOKUP($F188,Clientes!$B$4:$B$39,Clientes!$C$4:$C$39),Cadastros!$L$6:$L$12,Cadastros!$M$6:$M$12)+IF($F188="Bernardino Furlan",AY188/2751.92,IF($F188="Mauro José Salanti",AY188/2751.92,AY188/3356)),F188&lt;&gt;0,SUM(L188,Q188,V188,AA188,AF188,AK188,AP188,AU188))))</f>
        <v xml:space="preserve"> </v>
      </c>
      <c r="BE188" s="120"/>
      <c r="BF188" s="120"/>
      <c r="BG188" s="120"/>
    </row>
    <row r="189" spans="1:59" s="3" customFormat="1" x14ac:dyDescent="0.3">
      <c r="A189" s="15" t="str">
        <f t="shared" si="26"/>
        <v/>
      </c>
      <c r="B189" s="25"/>
      <c r="C189" s="26"/>
      <c r="D189" s="279"/>
      <c r="E189" s="27"/>
      <c r="F189" s="28"/>
      <c r="G189" s="27"/>
      <c r="H189" s="28"/>
      <c r="I189" s="28"/>
      <c r="J189" s="255" t="str">
        <f>IF(H189="","",(_xlfn.XLOOKUP(H189,Cadastros!$D$6:$D$90,Cadastros!$E$6:$E$90))*(1-_xlfn.XLOOKUP(_xlfn.XLOOKUP($F189,Clientes!$B$4:$B$39,Clientes!$C$4:$C$39),Cadastros!$L$6:$L$12,Cadastros!$N$6:$N$12)))</f>
        <v/>
      </c>
      <c r="K189" s="168" t="str">
        <f t="shared" si="27"/>
        <v/>
      </c>
      <c r="L189" s="168" t="str">
        <f>IFERROR(K189/_xlfn.XLOOKUP(_xlfn.XLOOKUP($F189,Clientes!$B$4:$B$39,Clientes!$C$4:$C$39),Cadastros!$L$6:$L$12,Cadastros!$M$6:$M$12)," ")</f>
        <v xml:space="preserve"> </v>
      </c>
      <c r="M189" s="28"/>
      <c r="N189" s="28"/>
      <c r="O189" s="255" t="str">
        <f>IF(M189="","",(_xlfn.XLOOKUP(M189,Cadastros!$D$6:$D$90,Cadastros!$E$6:$E$90))*(1-_xlfn.XLOOKUP(_xlfn.XLOOKUP($F189,Clientes!$B$4:$B$39,Clientes!$C$4:$C$39),Cadastros!$L$6:$L$12,Cadastros!$N$6:$N$12)))</f>
        <v/>
      </c>
      <c r="P189" s="168" t="str">
        <f t="shared" si="28"/>
        <v/>
      </c>
      <c r="Q189" s="168" t="str">
        <f>IFERROR(P189/_xlfn.XLOOKUP(_xlfn.XLOOKUP($F189,Clientes!$B$4:$B$39,Clientes!$C$4:$C$39),Cadastros!$L$6:$L$12,Cadastros!$M$6:$M$12)," ")</f>
        <v xml:space="preserve"> </v>
      </c>
      <c r="R189" s="28"/>
      <c r="S189" s="28"/>
      <c r="T189" s="255" t="str">
        <f>IF(R189="","",(_xlfn.XLOOKUP(R189,Cadastros!$D$6:$D$90,Cadastros!$E$6:$E$90))*(1-_xlfn.XLOOKUP(_xlfn.XLOOKUP($F189,Clientes!$B$4:$B$39,Clientes!$C$4:$C$39),Cadastros!$L$6:$L$12,Cadastros!$N$6:$N$12)))</f>
        <v/>
      </c>
      <c r="U189" s="168" t="str">
        <f t="shared" si="29"/>
        <v/>
      </c>
      <c r="V189" s="168" t="str">
        <f>IFERROR(U189/_xlfn.XLOOKUP(_xlfn.XLOOKUP($F189,Clientes!$B$4:$B$39,Clientes!$C$4:$C$39),Cadastros!$L$6:$L$12,Cadastros!$M$6:$M$12)," ")</f>
        <v xml:space="preserve"> </v>
      </c>
      <c r="W189" s="28"/>
      <c r="X189" s="28"/>
      <c r="Y189" s="255" t="str">
        <f>IF(W189="","",(_xlfn.XLOOKUP(W189,Cadastros!$D$6:$D$90,Cadastros!$E$6:$E$90))*(1-_xlfn.XLOOKUP(_xlfn.XLOOKUP($F189,Clientes!$B$4:$B$39,Clientes!$C$4:$C$39),Cadastros!$L$6:$L$12,Cadastros!$N$6:$N$12)))</f>
        <v/>
      </c>
      <c r="Z189" s="168" t="str">
        <f t="shared" si="30"/>
        <v/>
      </c>
      <c r="AA189" s="168" t="str">
        <f>IFERROR(Z189/_xlfn.XLOOKUP(_xlfn.XLOOKUP($F189,Clientes!$B$4:$B$39,Clientes!$C$4:$C$39),Cadastros!$L$6:$L$12,Cadastros!$M$6:$M$12)," ")</f>
        <v xml:space="preserve"> </v>
      </c>
      <c r="AB189" s="28"/>
      <c r="AC189" s="28"/>
      <c r="AD189" s="20" t="str">
        <f>IF(AB189="","",IF($F189="Bernardino Furlan",_xlfn.XLOOKUP(AB189,Cadastros!$G$6:$G$90,Cadastros!$H$6:$H$90)*(1-0.18),IF($F189="Mauro José Salanti",_xlfn.XLOOKUP(AB189,Cadastros!$G$6:$G$90,Cadastros!$H$6:$H$90)*(1-0.18),_xlfn.XLOOKUP(AB189,Cadastros!$G$6:$G$90,Cadastros!$H$6:$H$90))))</f>
        <v/>
      </c>
      <c r="AE189" s="168" t="str">
        <f t="shared" si="31"/>
        <v/>
      </c>
      <c r="AF189" s="168" t="str">
        <f t="shared" si="32"/>
        <v/>
      </c>
      <c r="AG189" s="28"/>
      <c r="AH189" s="28"/>
      <c r="AI189" s="20" t="str">
        <f>IF(AG189="","",IF($F189="Bernardino Furlan",_xlfn.XLOOKUP(AG189,Cadastros!$G$6:$G$90,Cadastros!$H$6:$H$90)*(1-0.18),IF($F189="Mauro José Salanti",_xlfn.XLOOKUP(AG189,Cadastros!$G$6:$G$90,Cadastros!$H$6:$H$90)*(1-0.18),_xlfn.XLOOKUP(AG189,Cadastros!$G$6:$G$90,Cadastros!$H$6:$H$90))))</f>
        <v/>
      </c>
      <c r="AJ189" s="168" t="str">
        <f t="shared" si="33"/>
        <v/>
      </c>
      <c r="AK189" s="168" t="str">
        <f t="shared" si="34"/>
        <v/>
      </c>
      <c r="AL189" s="28"/>
      <c r="AM189" s="28"/>
      <c r="AN189" s="20" t="str">
        <f>IF(AL189="","",IF($F189="Bernardino Furlan",_xlfn.XLOOKUP(AL189,Cadastros!$G$6:$G$90,Cadastros!$H$6:$H$90)*(1-0.18),IF($F189="Mauro José Salanti",_xlfn.XLOOKUP(AL189,Cadastros!$G$6:$G$90,Cadastros!$H$6:$H$90)*(1-0.18),_xlfn.XLOOKUP(AL189,Cadastros!$G$6:$G$90,Cadastros!$H$6:$H$90))))</f>
        <v/>
      </c>
      <c r="AO189" s="168" t="str">
        <f t="shared" si="35"/>
        <v/>
      </c>
      <c r="AP189" s="168" t="str">
        <f t="shared" si="36"/>
        <v/>
      </c>
      <c r="AQ189" s="28"/>
      <c r="AR189" s="28"/>
      <c r="AS189" s="20" t="str">
        <f>IF(AQ189="","",IF($F189="Bernardino Furlan",_xlfn.XLOOKUP(AQ189,Cadastros!$G$6:$G$90,Cadastros!$H$6:$H$90)*(1-0.18),IF($F189="Mauro José Salanti",_xlfn.XLOOKUP(AQ189,Cadastros!$G$6:$G$90,Cadastros!$H$6:$H$90)*(1-0.18),_xlfn.XLOOKUP(AQ189,Cadastros!$G$6:$G$90,Cadastros!$H$6:$H$90))))</f>
        <v/>
      </c>
      <c r="AT189" s="168" t="str">
        <f t="shared" si="37"/>
        <v/>
      </c>
      <c r="AU189" s="168" t="str">
        <f t="shared" si="38"/>
        <v/>
      </c>
      <c r="AV189" s="227"/>
      <c r="AW189" s="30"/>
      <c r="AX189" s="267"/>
      <c r="AY189" s="267"/>
      <c r="AZ189" s="29"/>
      <c r="BA189" s="30"/>
      <c r="BB189" s="23" t="str" cm="1">
        <f t="array" ref="BB189">_xlfn.IFS(AW189="SIM",SUM(K189,P189,U189,Z189,AE189,AJ189,AO189,AT189,AX189,AY189),F189&lt;&gt;"",SUM(K189,P189,U189,Z189,AE189,AJ189,,AO189,AT189),F189="","")</f>
        <v/>
      </c>
      <c r="BC189" s="211" t="str" cm="1">
        <f t="array" ref="BC189">_xlfn.IFS(E189="","",G189&lt;=E189,BB189*(1-0.03),G189&lt;(E189+8),BB189,AZ189="Boleto",BB189*(1+0.001)^DATEDIF(E189,G189,"D"),AZ189="Cheque",BB189,AZ189="Dinheiro","Alterar forma pgto")</f>
        <v/>
      </c>
      <c r="BD189" s="276" t="str" cm="1">
        <f t="array" ref="BD189">IF(F189=0," ",IF(BC189&lt;BB189,(_xlfn.IFS(AW189="SIM",SUM(L189,Q189,V189,AA189,AF189,AK189,AP189,AU189)+AX189/_xlfn.XLOOKUP(_xlfn.XLOOKUP($F189,Clientes!$B$4:$B$39,Clientes!$C$4:$C$39),Cadastros!$L$6:$L$12,Cadastros!$M$6:$M$12)+IF($F189="Bernardino Furlan",AY189/2751.92,IF($F189="Mauro José Salanti",AY189/2751.92,AY189/3356)),F189&lt;&gt;0,SUM(L189,Q189,V189,AA189,AF189,AK189,AP189,AU189)))*(1-0.03),_xlfn.IFS(AW189="SIM",SUM(L189,Q189,V189,AA189,AF189,AK189,AP189,AU189)+AX189/_xlfn.XLOOKUP(_xlfn.XLOOKUP($F189,Clientes!$B$4:$B$39,Clientes!$C$4:$C$39),Cadastros!$L$6:$L$12,Cadastros!$M$6:$M$12)+IF($F189="Bernardino Furlan",AY189/2751.92,IF($F189="Mauro José Salanti",AY189/2751.92,AY189/3356)),F189&lt;&gt;0,SUM(L189,Q189,V189,AA189,AF189,AK189,AP189,AU189))))</f>
        <v xml:space="preserve"> </v>
      </c>
      <c r="BE189" s="120"/>
      <c r="BF189" s="120"/>
      <c r="BG189" s="120"/>
    </row>
    <row r="190" spans="1:59" s="3" customFormat="1" x14ac:dyDescent="0.3">
      <c r="A190" s="15" t="str">
        <f t="shared" si="26"/>
        <v/>
      </c>
      <c r="B190" s="25"/>
      <c r="C190" s="26"/>
      <c r="D190" s="279"/>
      <c r="E190" s="27"/>
      <c r="F190" s="28"/>
      <c r="G190" s="27"/>
      <c r="H190" s="28"/>
      <c r="I190" s="28"/>
      <c r="J190" s="255" t="str">
        <f>IF(H190="","",(_xlfn.XLOOKUP(H190,Cadastros!$D$6:$D$90,Cadastros!$E$6:$E$90))*(1-_xlfn.XLOOKUP(_xlfn.XLOOKUP($F190,Clientes!$B$4:$B$39,Clientes!$C$4:$C$39),Cadastros!$L$6:$L$12,Cadastros!$N$6:$N$12)))</f>
        <v/>
      </c>
      <c r="K190" s="168" t="str">
        <f t="shared" si="27"/>
        <v/>
      </c>
      <c r="L190" s="168" t="str">
        <f>IFERROR(K190/_xlfn.XLOOKUP(_xlfn.XLOOKUP($F190,Clientes!$B$4:$B$39,Clientes!$C$4:$C$39),Cadastros!$L$6:$L$12,Cadastros!$M$6:$M$12)," ")</f>
        <v xml:space="preserve"> </v>
      </c>
      <c r="M190" s="28"/>
      <c r="N190" s="28"/>
      <c r="O190" s="255" t="str">
        <f>IF(M190="","",(_xlfn.XLOOKUP(M190,Cadastros!$D$6:$D$90,Cadastros!$E$6:$E$90))*(1-_xlfn.XLOOKUP(_xlfn.XLOOKUP($F190,Clientes!$B$4:$B$39,Clientes!$C$4:$C$39),Cadastros!$L$6:$L$12,Cadastros!$N$6:$N$12)))</f>
        <v/>
      </c>
      <c r="P190" s="168" t="str">
        <f t="shared" si="28"/>
        <v/>
      </c>
      <c r="Q190" s="168" t="str">
        <f>IFERROR(P190/_xlfn.XLOOKUP(_xlfn.XLOOKUP($F190,Clientes!$B$4:$B$39,Clientes!$C$4:$C$39),Cadastros!$L$6:$L$12,Cadastros!$M$6:$M$12)," ")</f>
        <v xml:space="preserve"> </v>
      </c>
      <c r="R190" s="28"/>
      <c r="S190" s="28"/>
      <c r="T190" s="255" t="str">
        <f>IF(R190="","",(_xlfn.XLOOKUP(R190,Cadastros!$D$6:$D$90,Cadastros!$E$6:$E$90))*(1-_xlfn.XLOOKUP(_xlfn.XLOOKUP($F190,Clientes!$B$4:$B$39,Clientes!$C$4:$C$39),Cadastros!$L$6:$L$12,Cadastros!$N$6:$N$12)))</f>
        <v/>
      </c>
      <c r="U190" s="168" t="str">
        <f t="shared" si="29"/>
        <v/>
      </c>
      <c r="V190" s="168" t="str">
        <f>IFERROR(U190/_xlfn.XLOOKUP(_xlfn.XLOOKUP($F190,Clientes!$B$4:$B$39,Clientes!$C$4:$C$39),Cadastros!$L$6:$L$12,Cadastros!$M$6:$M$12)," ")</f>
        <v xml:space="preserve"> </v>
      </c>
      <c r="W190" s="28"/>
      <c r="X190" s="28"/>
      <c r="Y190" s="255" t="str">
        <f>IF(W190="","",(_xlfn.XLOOKUP(W190,Cadastros!$D$6:$D$90,Cadastros!$E$6:$E$90))*(1-_xlfn.XLOOKUP(_xlfn.XLOOKUP($F190,Clientes!$B$4:$B$39,Clientes!$C$4:$C$39),Cadastros!$L$6:$L$12,Cadastros!$N$6:$N$12)))</f>
        <v/>
      </c>
      <c r="Z190" s="168" t="str">
        <f t="shared" si="30"/>
        <v/>
      </c>
      <c r="AA190" s="168" t="str">
        <f>IFERROR(Z190/_xlfn.XLOOKUP(_xlfn.XLOOKUP($F190,Clientes!$B$4:$B$39,Clientes!$C$4:$C$39),Cadastros!$L$6:$L$12,Cadastros!$M$6:$M$12)," ")</f>
        <v xml:space="preserve"> </v>
      </c>
      <c r="AB190" s="28"/>
      <c r="AC190" s="28"/>
      <c r="AD190" s="20" t="str">
        <f>IF(AB190="","",IF($F190="Bernardino Furlan",_xlfn.XLOOKUP(AB190,Cadastros!$G$6:$G$90,Cadastros!$H$6:$H$90)*(1-0.18),IF($F190="Mauro José Salanti",_xlfn.XLOOKUP(AB190,Cadastros!$G$6:$G$90,Cadastros!$H$6:$H$90)*(1-0.18),_xlfn.XLOOKUP(AB190,Cadastros!$G$6:$G$90,Cadastros!$H$6:$H$90))))</f>
        <v/>
      </c>
      <c r="AE190" s="168" t="str">
        <f t="shared" si="31"/>
        <v/>
      </c>
      <c r="AF190" s="168" t="str">
        <f t="shared" si="32"/>
        <v/>
      </c>
      <c r="AG190" s="28"/>
      <c r="AH190" s="28"/>
      <c r="AI190" s="20" t="str">
        <f>IF(AG190="","",IF($F190="Bernardino Furlan",_xlfn.XLOOKUP(AG190,Cadastros!$G$6:$G$90,Cadastros!$H$6:$H$90)*(1-0.18),IF($F190="Mauro José Salanti",_xlfn.XLOOKUP(AG190,Cadastros!$G$6:$G$90,Cadastros!$H$6:$H$90)*(1-0.18),_xlfn.XLOOKUP(AG190,Cadastros!$G$6:$G$90,Cadastros!$H$6:$H$90))))</f>
        <v/>
      </c>
      <c r="AJ190" s="168" t="str">
        <f t="shared" si="33"/>
        <v/>
      </c>
      <c r="AK190" s="168" t="str">
        <f t="shared" si="34"/>
        <v/>
      </c>
      <c r="AL190" s="28"/>
      <c r="AM190" s="28"/>
      <c r="AN190" s="20" t="str">
        <f>IF(AL190="","",IF($F190="Bernardino Furlan",_xlfn.XLOOKUP(AL190,Cadastros!$G$6:$G$90,Cadastros!$H$6:$H$90)*(1-0.18),IF($F190="Mauro José Salanti",_xlfn.XLOOKUP(AL190,Cadastros!$G$6:$G$90,Cadastros!$H$6:$H$90)*(1-0.18),_xlfn.XLOOKUP(AL190,Cadastros!$G$6:$G$90,Cadastros!$H$6:$H$90))))</f>
        <v/>
      </c>
      <c r="AO190" s="168" t="str">
        <f t="shared" si="35"/>
        <v/>
      </c>
      <c r="AP190" s="168" t="str">
        <f t="shared" si="36"/>
        <v/>
      </c>
      <c r="AQ190" s="28"/>
      <c r="AR190" s="28"/>
      <c r="AS190" s="20" t="str">
        <f>IF(AQ190="","",IF($F190="Bernardino Furlan",_xlfn.XLOOKUP(AQ190,Cadastros!$G$6:$G$90,Cadastros!$H$6:$H$90)*(1-0.18),IF($F190="Mauro José Salanti",_xlfn.XLOOKUP(AQ190,Cadastros!$G$6:$G$90,Cadastros!$H$6:$H$90)*(1-0.18),_xlfn.XLOOKUP(AQ190,Cadastros!$G$6:$G$90,Cadastros!$H$6:$H$90))))</f>
        <v/>
      </c>
      <c r="AT190" s="168" t="str">
        <f t="shared" si="37"/>
        <v/>
      </c>
      <c r="AU190" s="168" t="str">
        <f t="shared" si="38"/>
        <v/>
      </c>
      <c r="AV190" s="227"/>
      <c r="AW190" s="30"/>
      <c r="AX190" s="267"/>
      <c r="AY190" s="267"/>
      <c r="AZ190" s="29"/>
      <c r="BA190" s="30"/>
      <c r="BB190" s="23" t="str" cm="1">
        <f t="array" ref="BB190">_xlfn.IFS(AW190="SIM",SUM(K190,P190,U190,Z190,AE190,AJ190,AO190,AT190,AX190,AY190),F190&lt;&gt;"",SUM(K190,P190,U190,Z190,AE190,AJ190,,AO190,AT190),F190="","")</f>
        <v/>
      </c>
      <c r="BC190" s="211" t="str" cm="1">
        <f t="array" ref="BC190">_xlfn.IFS(E190="","",G190&lt;=E190,BB190*(1-0.03),G190&lt;(E190+8),BB190,AZ190="Boleto",BB190*(1+0.001)^DATEDIF(E190,G190,"D"),AZ190="Cheque",BB190,AZ190="Dinheiro","Alterar forma pgto")</f>
        <v/>
      </c>
      <c r="BD190" s="276" t="str" cm="1">
        <f t="array" ref="BD190">IF(F190=0," ",IF(BC190&lt;BB190,(_xlfn.IFS(AW190="SIM",SUM(L190,Q190,V190,AA190,AF190,AK190,AP190,AU190)+AX190/_xlfn.XLOOKUP(_xlfn.XLOOKUP($F190,Clientes!$B$4:$B$39,Clientes!$C$4:$C$39),Cadastros!$L$6:$L$12,Cadastros!$M$6:$M$12)+IF($F190="Bernardino Furlan",AY190/2751.92,IF($F190="Mauro José Salanti",AY190/2751.92,AY190/3356)),F190&lt;&gt;0,SUM(L190,Q190,V190,AA190,AF190,AK190,AP190,AU190)))*(1-0.03),_xlfn.IFS(AW190="SIM",SUM(L190,Q190,V190,AA190,AF190,AK190,AP190,AU190)+AX190/_xlfn.XLOOKUP(_xlfn.XLOOKUP($F190,Clientes!$B$4:$B$39,Clientes!$C$4:$C$39),Cadastros!$L$6:$L$12,Cadastros!$M$6:$M$12)+IF($F190="Bernardino Furlan",AY190/2751.92,IF($F190="Mauro José Salanti",AY190/2751.92,AY190/3356)),F190&lt;&gt;0,SUM(L190,Q190,V190,AA190,AF190,AK190,AP190,AU190))))</f>
        <v xml:space="preserve"> </v>
      </c>
      <c r="BE190" s="120"/>
      <c r="BF190" s="120"/>
      <c r="BG190" s="120"/>
    </row>
    <row r="191" spans="1:59" s="3" customFormat="1" x14ac:dyDescent="0.3">
      <c r="A191" s="15" t="str">
        <f t="shared" si="26"/>
        <v/>
      </c>
      <c r="B191" s="25"/>
      <c r="C191" s="26"/>
      <c r="D191" s="279"/>
      <c r="E191" s="27"/>
      <c r="F191" s="28"/>
      <c r="G191" s="27"/>
      <c r="H191" s="28"/>
      <c r="I191" s="28"/>
      <c r="J191" s="255" t="str">
        <f>IF(H191="","",(_xlfn.XLOOKUP(H191,Cadastros!$D$6:$D$90,Cadastros!$E$6:$E$90))*(1-_xlfn.XLOOKUP(_xlfn.XLOOKUP($F191,Clientes!$B$4:$B$39,Clientes!$C$4:$C$39),Cadastros!$L$6:$L$12,Cadastros!$N$6:$N$12)))</f>
        <v/>
      </c>
      <c r="K191" s="168" t="str">
        <f t="shared" si="27"/>
        <v/>
      </c>
      <c r="L191" s="168" t="str">
        <f>IFERROR(K191/_xlfn.XLOOKUP(_xlfn.XLOOKUP($F191,Clientes!$B$4:$B$39,Clientes!$C$4:$C$39),Cadastros!$L$6:$L$12,Cadastros!$M$6:$M$12)," ")</f>
        <v xml:space="preserve"> </v>
      </c>
      <c r="M191" s="28"/>
      <c r="N191" s="28"/>
      <c r="O191" s="255" t="str">
        <f>IF(M191="","",(_xlfn.XLOOKUP(M191,Cadastros!$D$6:$D$90,Cadastros!$E$6:$E$90))*(1-_xlfn.XLOOKUP(_xlfn.XLOOKUP($F191,Clientes!$B$4:$B$39,Clientes!$C$4:$C$39),Cadastros!$L$6:$L$12,Cadastros!$N$6:$N$12)))</f>
        <v/>
      </c>
      <c r="P191" s="168" t="str">
        <f t="shared" si="28"/>
        <v/>
      </c>
      <c r="Q191" s="168" t="str">
        <f>IFERROR(P191/_xlfn.XLOOKUP(_xlfn.XLOOKUP($F191,Clientes!$B$4:$B$39,Clientes!$C$4:$C$39),Cadastros!$L$6:$L$12,Cadastros!$M$6:$M$12)," ")</f>
        <v xml:space="preserve"> </v>
      </c>
      <c r="R191" s="28"/>
      <c r="S191" s="28"/>
      <c r="T191" s="255" t="str">
        <f>IF(R191="","",(_xlfn.XLOOKUP(R191,Cadastros!$D$6:$D$90,Cadastros!$E$6:$E$90))*(1-_xlfn.XLOOKUP(_xlfn.XLOOKUP($F191,Clientes!$B$4:$B$39,Clientes!$C$4:$C$39),Cadastros!$L$6:$L$12,Cadastros!$N$6:$N$12)))</f>
        <v/>
      </c>
      <c r="U191" s="168" t="str">
        <f t="shared" si="29"/>
        <v/>
      </c>
      <c r="V191" s="168" t="str">
        <f>IFERROR(U191/_xlfn.XLOOKUP(_xlfn.XLOOKUP($F191,Clientes!$B$4:$B$39,Clientes!$C$4:$C$39),Cadastros!$L$6:$L$12,Cadastros!$M$6:$M$12)," ")</f>
        <v xml:space="preserve"> </v>
      </c>
      <c r="W191" s="28"/>
      <c r="X191" s="28"/>
      <c r="Y191" s="255" t="str">
        <f>IF(W191="","",(_xlfn.XLOOKUP(W191,Cadastros!$D$6:$D$90,Cadastros!$E$6:$E$90))*(1-_xlfn.XLOOKUP(_xlfn.XLOOKUP($F191,Clientes!$B$4:$B$39,Clientes!$C$4:$C$39),Cadastros!$L$6:$L$12,Cadastros!$N$6:$N$12)))</f>
        <v/>
      </c>
      <c r="Z191" s="168" t="str">
        <f t="shared" si="30"/>
        <v/>
      </c>
      <c r="AA191" s="168" t="str">
        <f>IFERROR(Z191/_xlfn.XLOOKUP(_xlfn.XLOOKUP($F191,Clientes!$B$4:$B$39,Clientes!$C$4:$C$39),Cadastros!$L$6:$L$12,Cadastros!$M$6:$M$12)," ")</f>
        <v xml:space="preserve"> </v>
      </c>
      <c r="AB191" s="28"/>
      <c r="AC191" s="28"/>
      <c r="AD191" s="20" t="str">
        <f>IF(AB191="","",IF($F191="Bernardino Furlan",_xlfn.XLOOKUP(AB191,Cadastros!$G$6:$G$90,Cadastros!$H$6:$H$90)*(1-0.18),IF($F191="Mauro José Salanti",_xlfn.XLOOKUP(AB191,Cadastros!$G$6:$G$90,Cadastros!$H$6:$H$90)*(1-0.18),_xlfn.XLOOKUP(AB191,Cadastros!$G$6:$G$90,Cadastros!$H$6:$H$90))))</f>
        <v/>
      </c>
      <c r="AE191" s="168" t="str">
        <f t="shared" si="31"/>
        <v/>
      </c>
      <c r="AF191" s="168" t="str">
        <f t="shared" si="32"/>
        <v/>
      </c>
      <c r="AG191" s="28"/>
      <c r="AH191" s="28"/>
      <c r="AI191" s="20" t="str">
        <f>IF(AG191="","",IF($F191="Bernardino Furlan",_xlfn.XLOOKUP(AG191,Cadastros!$G$6:$G$90,Cadastros!$H$6:$H$90)*(1-0.18),IF($F191="Mauro José Salanti",_xlfn.XLOOKUP(AG191,Cadastros!$G$6:$G$90,Cadastros!$H$6:$H$90)*(1-0.18),_xlfn.XLOOKUP(AG191,Cadastros!$G$6:$G$90,Cadastros!$H$6:$H$90))))</f>
        <v/>
      </c>
      <c r="AJ191" s="168" t="str">
        <f t="shared" si="33"/>
        <v/>
      </c>
      <c r="AK191" s="168" t="str">
        <f t="shared" si="34"/>
        <v/>
      </c>
      <c r="AL191" s="28"/>
      <c r="AM191" s="28"/>
      <c r="AN191" s="20" t="str">
        <f>IF(AL191="","",IF($F191="Bernardino Furlan",_xlfn.XLOOKUP(AL191,Cadastros!$G$6:$G$90,Cadastros!$H$6:$H$90)*(1-0.18),IF($F191="Mauro José Salanti",_xlfn.XLOOKUP(AL191,Cadastros!$G$6:$G$90,Cadastros!$H$6:$H$90)*(1-0.18),_xlfn.XLOOKUP(AL191,Cadastros!$G$6:$G$90,Cadastros!$H$6:$H$90))))</f>
        <v/>
      </c>
      <c r="AO191" s="168" t="str">
        <f t="shared" si="35"/>
        <v/>
      </c>
      <c r="AP191" s="168" t="str">
        <f t="shared" si="36"/>
        <v/>
      </c>
      <c r="AQ191" s="28"/>
      <c r="AR191" s="28"/>
      <c r="AS191" s="20" t="str">
        <f>IF(AQ191="","",IF($F191="Bernardino Furlan",_xlfn.XLOOKUP(AQ191,Cadastros!$G$6:$G$90,Cadastros!$H$6:$H$90)*(1-0.18),IF($F191="Mauro José Salanti",_xlfn.XLOOKUP(AQ191,Cadastros!$G$6:$G$90,Cadastros!$H$6:$H$90)*(1-0.18),_xlfn.XLOOKUP(AQ191,Cadastros!$G$6:$G$90,Cadastros!$H$6:$H$90))))</f>
        <v/>
      </c>
      <c r="AT191" s="168" t="str">
        <f t="shared" si="37"/>
        <v/>
      </c>
      <c r="AU191" s="168" t="str">
        <f t="shared" si="38"/>
        <v/>
      </c>
      <c r="AV191" s="227"/>
      <c r="AW191" s="30"/>
      <c r="AX191" s="267"/>
      <c r="AY191" s="267"/>
      <c r="AZ191" s="29"/>
      <c r="BA191" s="30"/>
      <c r="BB191" s="23" t="str" cm="1">
        <f t="array" ref="BB191">_xlfn.IFS(AW191="SIM",SUM(K191,P191,U191,Z191,AE191,AJ191,AO191,AT191,AX191,AY191),F191&lt;&gt;"",SUM(K191,P191,U191,Z191,AE191,AJ191,,AO191,AT191),F191="","")</f>
        <v/>
      </c>
      <c r="BC191" s="211" t="str" cm="1">
        <f t="array" ref="BC191">_xlfn.IFS(E191="","",G191&lt;=E191,BB191*(1-0.03),G191&lt;(E191+8),BB191,AZ191="Boleto",BB191*(1+0.001)^DATEDIF(E191,G191,"D"),AZ191="Cheque",BB191,AZ191="Dinheiro","Alterar forma pgto")</f>
        <v/>
      </c>
      <c r="BD191" s="276" t="str" cm="1">
        <f t="array" ref="BD191">IF(F191=0," ",IF(BC191&lt;BB191,(_xlfn.IFS(AW191="SIM",SUM(L191,Q191,V191,AA191,AF191,AK191,AP191,AU191)+AX191/_xlfn.XLOOKUP(_xlfn.XLOOKUP($F191,Clientes!$B$4:$B$39,Clientes!$C$4:$C$39),Cadastros!$L$6:$L$12,Cadastros!$M$6:$M$12)+IF($F191="Bernardino Furlan",AY191/2751.92,IF($F191="Mauro José Salanti",AY191/2751.92,AY191/3356)),F191&lt;&gt;0,SUM(L191,Q191,V191,AA191,AF191,AK191,AP191,AU191)))*(1-0.03),_xlfn.IFS(AW191="SIM",SUM(L191,Q191,V191,AA191,AF191,AK191,AP191,AU191)+AX191/_xlfn.XLOOKUP(_xlfn.XLOOKUP($F191,Clientes!$B$4:$B$39,Clientes!$C$4:$C$39),Cadastros!$L$6:$L$12,Cadastros!$M$6:$M$12)+IF($F191="Bernardino Furlan",AY191/2751.92,IF($F191="Mauro José Salanti",AY191/2751.92,AY191/3356)),F191&lt;&gt;0,SUM(L191,Q191,V191,AA191,AF191,AK191,AP191,AU191))))</f>
        <v xml:space="preserve"> </v>
      </c>
      <c r="BE191" s="120"/>
      <c r="BF191" s="120"/>
      <c r="BG191" s="120"/>
    </row>
    <row r="192" spans="1:59" s="3" customFormat="1" x14ac:dyDescent="0.3">
      <c r="A192" s="15" t="str">
        <f t="shared" si="26"/>
        <v/>
      </c>
      <c r="B192" s="25"/>
      <c r="C192" s="26"/>
      <c r="D192" s="279"/>
      <c r="E192" s="27"/>
      <c r="F192" s="28"/>
      <c r="G192" s="27"/>
      <c r="H192" s="28"/>
      <c r="I192" s="28"/>
      <c r="J192" s="255" t="str">
        <f>IF(H192="","",(_xlfn.XLOOKUP(H192,Cadastros!$D$6:$D$90,Cadastros!$E$6:$E$90))*(1-_xlfn.XLOOKUP(_xlfn.XLOOKUP($F192,Clientes!$B$4:$B$39,Clientes!$C$4:$C$39),Cadastros!$L$6:$L$12,Cadastros!$N$6:$N$12)))</f>
        <v/>
      </c>
      <c r="K192" s="168" t="str">
        <f t="shared" si="27"/>
        <v/>
      </c>
      <c r="L192" s="168" t="str">
        <f>IFERROR(K192/_xlfn.XLOOKUP(_xlfn.XLOOKUP($F192,Clientes!$B$4:$B$39,Clientes!$C$4:$C$39),Cadastros!$L$6:$L$12,Cadastros!$M$6:$M$12)," ")</f>
        <v xml:space="preserve"> </v>
      </c>
      <c r="M192" s="28"/>
      <c r="N192" s="28"/>
      <c r="O192" s="255" t="str">
        <f>IF(M192="","",(_xlfn.XLOOKUP(M192,Cadastros!$D$6:$D$90,Cadastros!$E$6:$E$90))*(1-_xlfn.XLOOKUP(_xlfn.XLOOKUP($F192,Clientes!$B$4:$B$39,Clientes!$C$4:$C$39),Cadastros!$L$6:$L$12,Cadastros!$N$6:$N$12)))</f>
        <v/>
      </c>
      <c r="P192" s="168" t="str">
        <f t="shared" si="28"/>
        <v/>
      </c>
      <c r="Q192" s="168" t="str">
        <f>IFERROR(P192/_xlfn.XLOOKUP(_xlfn.XLOOKUP($F192,Clientes!$B$4:$B$39,Clientes!$C$4:$C$39),Cadastros!$L$6:$L$12,Cadastros!$M$6:$M$12)," ")</f>
        <v xml:space="preserve"> </v>
      </c>
      <c r="R192" s="28"/>
      <c r="S192" s="28"/>
      <c r="T192" s="255" t="str">
        <f>IF(R192="","",(_xlfn.XLOOKUP(R192,Cadastros!$D$6:$D$90,Cadastros!$E$6:$E$90))*(1-_xlfn.XLOOKUP(_xlfn.XLOOKUP($F192,Clientes!$B$4:$B$39,Clientes!$C$4:$C$39),Cadastros!$L$6:$L$12,Cadastros!$N$6:$N$12)))</f>
        <v/>
      </c>
      <c r="U192" s="168" t="str">
        <f t="shared" si="29"/>
        <v/>
      </c>
      <c r="V192" s="168" t="str">
        <f>IFERROR(U192/_xlfn.XLOOKUP(_xlfn.XLOOKUP($F192,Clientes!$B$4:$B$39,Clientes!$C$4:$C$39),Cadastros!$L$6:$L$12,Cadastros!$M$6:$M$12)," ")</f>
        <v xml:space="preserve"> </v>
      </c>
      <c r="W192" s="28"/>
      <c r="X192" s="28"/>
      <c r="Y192" s="255" t="str">
        <f>IF(W192="","",(_xlfn.XLOOKUP(W192,Cadastros!$D$6:$D$90,Cadastros!$E$6:$E$90))*(1-_xlfn.XLOOKUP(_xlfn.XLOOKUP($F192,Clientes!$B$4:$B$39,Clientes!$C$4:$C$39),Cadastros!$L$6:$L$12,Cadastros!$N$6:$N$12)))</f>
        <v/>
      </c>
      <c r="Z192" s="168" t="str">
        <f t="shared" si="30"/>
        <v/>
      </c>
      <c r="AA192" s="168" t="str">
        <f>IFERROR(Z192/_xlfn.XLOOKUP(_xlfn.XLOOKUP($F192,Clientes!$B$4:$B$39,Clientes!$C$4:$C$39),Cadastros!$L$6:$L$12,Cadastros!$M$6:$M$12)," ")</f>
        <v xml:space="preserve"> </v>
      </c>
      <c r="AB192" s="28"/>
      <c r="AC192" s="28"/>
      <c r="AD192" s="20" t="str">
        <f>IF(AB192="","",IF($F192="Bernardino Furlan",_xlfn.XLOOKUP(AB192,Cadastros!$G$6:$G$90,Cadastros!$H$6:$H$90)*(1-0.18),IF($F192="Mauro José Salanti",_xlfn.XLOOKUP(AB192,Cadastros!$G$6:$G$90,Cadastros!$H$6:$H$90)*(1-0.18),_xlfn.XLOOKUP(AB192,Cadastros!$G$6:$G$90,Cadastros!$H$6:$H$90))))</f>
        <v/>
      </c>
      <c r="AE192" s="168" t="str">
        <f t="shared" si="31"/>
        <v/>
      </c>
      <c r="AF192" s="168" t="str">
        <f t="shared" si="32"/>
        <v/>
      </c>
      <c r="AG192" s="28"/>
      <c r="AH192" s="28"/>
      <c r="AI192" s="20" t="str">
        <f>IF(AG192="","",IF($F192="Bernardino Furlan",_xlfn.XLOOKUP(AG192,Cadastros!$G$6:$G$90,Cadastros!$H$6:$H$90)*(1-0.18),IF($F192="Mauro José Salanti",_xlfn.XLOOKUP(AG192,Cadastros!$G$6:$G$90,Cadastros!$H$6:$H$90)*(1-0.18),_xlfn.XLOOKUP(AG192,Cadastros!$G$6:$G$90,Cadastros!$H$6:$H$90))))</f>
        <v/>
      </c>
      <c r="AJ192" s="168" t="str">
        <f t="shared" si="33"/>
        <v/>
      </c>
      <c r="AK192" s="168" t="str">
        <f t="shared" si="34"/>
        <v/>
      </c>
      <c r="AL192" s="28"/>
      <c r="AM192" s="28"/>
      <c r="AN192" s="20" t="str">
        <f>IF(AL192="","",IF($F192="Bernardino Furlan",_xlfn.XLOOKUP(AL192,Cadastros!$G$6:$G$90,Cadastros!$H$6:$H$90)*(1-0.18),IF($F192="Mauro José Salanti",_xlfn.XLOOKUP(AL192,Cadastros!$G$6:$G$90,Cadastros!$H$6:$H$90)*(1-0.18),_xlfn.XLOOKUP(AL192,Cadastros!$G$6:$G$90,Cadastros!$H$6:$H$90))))</f>
        <v/>
      </c>
      <c r="AO192" s="168" t="str">
        <f t="shared" si="35"/>
        <v/>
      </c>
      <c r="AP192" s="168" t="str">
        <f t="shared" si="36"/>
        <v/>
      </c>
      <c r="AQ192" s="28"/>
      <c r="AR192" s="28"/>
      <c r="AS192" s="20" t="str">
        <f>IF(AQ192="","",IF($F192="Bernardino Furlan",_xlfn.XLOOKUP(AQ192,Cadastros!$G$6:$G$90,Cadastros!$H$6:$H$90)*(1-0.18),IF($F192="Mauro José Salanti",_xlfn.XLOOKUP(AQ192,Cadastros!$G$6:$G$90,Cadastros!$H$6:$H$90)*(1-0.18),_xlfn.XLOOKUP(AQ192,Cadastros!$G$6:$G$90,Cadastros!$H$6:$H$90))))</f>
        <v/>
      </c>
      <c r="AT192" s="168" t="str">
        <f t="shared" si="37"/>
        <v/>
      </c>
      <c r="AU192" s="168" t="str">
        <f t="shared" si="38"/>
        <v/>
      </c>
      <c r="AV192" s="227"/>
      <c r="AW192" s="30"/>
      <c r="AX192" s="267"/>
      <c r="AY192" s="267"/>
      <c r="AZ192" s="29"/>
      <c r="BA192" s="30"/>
      <c r="BB192" s="23" t="str" cm="1">
        <f t="array" ref="BB192">_xlfn.IFS(AW192="SIM",SUM(K192,P192,U192,Z192,AE192,AJ192,AO192,AT192,AX192,AY192),F192&lt;&gt;"",SUM(K192,P192,U192,Z192,AE192,AJ192,,AO192,AT192),F192="","")</f>
        <v/>
      </c>
      <c r="BC192" s="211" t="str" cm="1">
        <f t="array" ref="BC192">_xlfn.IFS(E192="","",G192&lt;=E192,BB192*(1-0.03),G192&lt;(E192+8),BB192,AZ192="Boleto",BB192*(1+0.001)^DATEDIF(E192,G192,"D"),AZ192="Cheque",BB192,AZ192="Dinheiro","Alterar forma pgto")</f>
        <v/>
      </c>
      <c r="BD192" s="276" t="str" cm="1">
        <f t="array" ref="BD192">IF(F192=0," ",IF(BC192&lt;BB192,(_xlfn.IFS(AW192="SIM",SUM(L192,Q192,V192,AA192,AF192,AK192,AP192,AU192)+AX192/_xlfn.XLOOKUP(_xlfn.XLOOKUP($F192,Clientes!$B$4:$B$39,Clientes!$C$4:$C$39),Cadastros!$L$6:$L$12,Cadastros!$M$6:$M$12)+IF($F192="Bernardino Furlan",AY192/2751.92,IF($F192="Mauro José Salanti",AY192/2751.92,AY192/3356)),F192&lt;&gt;0,SUM(L192,Q192,V192,AA192,AF192,AK192,AP192,AU192)))*(1-0.03),_xlfn.IFS(AW192="SIM",SUM(L192,Q192,V192,AA192,AF192,AK192,AP192,AU192)+AX192/_xlfn.XLOOKUP(_xlfn.XLOOKUP($F192,Clientes!$B$4:$B$39,Clientes!$C$4:$C$39),Cadastros!$L$6:$L$12,Cadastros!$M$6:$M$12)+IF($F192="Bernardino Furlan",AY192/2751.92,IF($F192="Mauro José Salanti",AY192/2751.92,AY192/3356)),F192&lt;&gt;0,SUM(L192,Q192,V192,AA192,AF192,AK192,AP192,AU192))))</f>
        <v xml:space="preserve"> </v>
      </c>
      <c r="BE192" s="120"/>
      <c r="BF192" s="120"/>
      <c r="BG192" s="120"/>
    </row>
    <row r="193" spans="1:59" s="3" customFormat="1" x14ac:dyDescent="0.3">
      <c r="A193" s="15" t="str">
        <f t="shared" si="26"/>
        <v/>
      </c>
      <c r="B193" s="25"/>
      <c r="C193" s="26"/>
      <c r="D193" s="279"/>
      <c r="E193" s="27"/>
      <c r="F193" s="28"/>
      <c r="G193" s="27"/>
      <c r="H193" s="28"/>
      <c r="I193" s="28"/>
      <c r="J193" s="255" t="str">
        <f>IF(H193="","",(_xlfn.XLOOKUP(H193,Cadastros!$D$6:$D$90,Cadastros!$E$6:$E$90))*(1-_xlfn.XLOOKUP(_xlfn.XLOOKUP($F193,Clientes!$B$4:$B$39,Clientes!$C$4:$C$39),Cadastros!$L$6:$L$12,Cadastros!$N$6:$N$12)))</f>
        <v/>
      </c>
      <c r="K193" s="168" t="str">
        <f t="shared" si="27"/>
        <v/>
      </c>
      <c r="L193" s="168" t="str">
        <f>IFERROR(K193/_xlfn.XLOOKUP(_xlfn.XLOOKUP($F193,Clientes!$B$4:$B$39,Clientes!$C$4:$C$39),Cadastros!$L$6:$L$12,Cadastros!$M$6:$M$12)," ")</f>
        <v xml:space="preserve"> </v>
      </c>
      <c r="M193" s="28"/>
      <c r="N193" s="28"/>
      <c r="O193" s="255" t="str">
        <f>IF(M193="","",(_xlfn.XLOOKUP(M193,Cadastros!$D$6:$D$90,Cadastros!$E$6:$E$90))*(1-_xlfn.XLOOKUP(_xlfn.XLOOKUP($F193,Clientes!$B$4:$B$39,Clientes!$C$4:$C$39),Cadastros!$L$6:$L$12,Cadastros!$N$6:$N$12)))</f>
        <v/>
      </c>
      <c r="P193" s="168" t="str">
        <f t="shared" si="28"/>
        <v/>
      </c>
      <c r="Q193" s="168" t="str">
        <f>IFERROR(P193/_xlfn.XLOOKUP(_xlfn.XLOOKUP($F193,Clientes!$B$4:$B$39,Clientes!$C$4:$C$39),Cadastros!$L$6:$L$12,Cadastros!$M$6:$M$12)," ")</f>
        <v xml:space="preserve"> </v>
      </c>
      <c r="R193" s="28"/>
      <c r="S193" s="28"/>
      <c r="T193" s="255" t="str">
        <f>IF(R193="","",(_xlfn.XLOOKUP(R193,Cadastros!$D$6:$D$90,Cadastros!$E$6:$E$90))*(1-_xlfn.XLOOKUP(_xlfn.XLOOKUP($F193,Clientes!$B$4:$B$39,Clientes!$C$4:$C$39),Cadastros!$L$6:$L$12,Cadastros!$N$6:$N$12)))</f>
        <v/>
      </c>
      <c r="U193" s="168" t="str">
        <f t="shared" si="29"/>
        <v/>
      </c>
      <c r="V193" s="168" t="str">
        <f>IFERROR(U193/_xlfn.XLOOKUP(_xlfn.XLOOKUP($F193,Clientes!$B$4:$B$39,Clientes!$C$4:$C$39),Cadastros!$L$6:$L$12,Cadastros!$M$6:$M$12)," ")</f>
        <v xml:space="preserve"> </v>
      </c>
      <c r="W193" s="28"/>
      <c r="X193" s="28"/>
      <c r="Y193" s="255" t="str">
        <f>IF(W193="","",(_xlfn.XLOOKUP(W193,Cadastros!$D$6:$D$90,Cadastros!$E$6:$E$90))*(1-_xlfn.XLOOKUP(_xlfn.XLOOKUP($F193,Clientes!$B$4:$B$39,Clientes!$C$4:$C$39),Cadastros!$L$6:$L$12,Cadastros!$N$6:$N$12)))</f>
        <v/>
      </c>
      <c r="Z193" s="168" t="str">
        <f t="shared" si="30"/>
        <v/>
      </c>
      <c r="AA193" s="168" t="str">
        <f>IFERROR(Z193/_xlfn.XLOOKUP(_xlfn.XLOOKUP($F193,Clientes!$B$4:$B$39,Clientes!$C$4:$C$39),Cadastros!$L$6:$L$12,Cadastros!$M$6:$M$12)," ")</f>
        <v xml:space="preserve"> </v>
      </c>
      <c r="AB193" s="28"/>
      <c r="AC193" s="28"/>
      <c r="AD193" s="20" t="str">
        <f>IF(AB193="","",IF($F193="Bernardino Furlan",_xlfn.XLOOKUP(AB193,Cadastros!$G$6:$G$90,Cadastros!$H$6:$H$90)*(1-0.18),IF($F193="Mauro José Salanti",_xlfn.XLOOKUP(AB193,Cadastros!$G$6:$G$90,Cadastros!$H$6:$H$90)*(1-0.18),_xlfn.XLOOKUP(AB193,Cadastros!$G$6:$G$90,Cadastros!$H$6:$H$90))))</f>
        <v/>
      </c>
      <c r="AE193" s="168" t="str">
        <f t="shared" si="31"/>
        <v/>
      </c>
      <c r="AF193" s="168" t="str">
        <f t="shared" si="32"/>
        <v/>
      </c>
      <c r="AG193" s="28"/>
      <c r="AH193" s="28"/>
      <c r="AI193" s="20" t="str">
        <f>IF(AG193="","",IF($F193="Bernardino Furlan",_xlfn.XLOOKUP(AG193,Cadastros!$G$6:$G$90,Cadastros!$H$6:$H$90)*(1-0.18),IF($F193="Mauro José Salanti",_xlfn.XLOOKUP(AG193,Cadastros!$G$6:$G$90,Cadastros!$H$6:$H$90)*(1-0.18),_xlfn.XLOOKUP(AG193,Cadastros!$G$6:$G$90,Cadastros!$H$6:$H$90))))</f>
        <v/>
      </c>
      <c r="AJ193" s="168" t="str">
        <f t="shared" si="33"/>
        <v/>
      </c>
      <c r="AK193" s="168" t="str">
        <f t="shared" si="34"/>
        <v/>
      </c>
      <c r="AL193" s="28"/>
      <c r="AM193" s="28"/>
      <c r="AN193" s="20" t="str">
        <f>IF(AL193="","",IF($F193="Bernardino Furlan",_xlfn.XLOOKUP(AL193,Cadastros!$G$6:$G$90,Cadastros!$H$6:$H$90)*(1-0.18),IF($F193="Mauro José Salanti",_xlfn.XLOOKUP(AL193,Cadastros!$G$6:$G$90,Cadastros!$H$6:$H$90)*(1-0.18),_xlfn.XLOOKUP(AL193,Cadastros!$G$6:$G$90,Cadastros!$H$6:$H$90))))</f>
        <v/>
      </c>
      <c r="AO193" s="168" t="str">
        <f t="shared" si="35"/>
        <v/>
      </c>
      <c r="AP193" s="168" t="str">
        <f t="shared" si="36"/>
        <v/>
      </c>
      <c r="AQ193" s="28"/>
      <c r="AR193" s="28"/>
      <c r="AS193" s="20" t="str">
        <f>IF(AQ193="","",IF($F193="Bernardino Furlan",_xlfn.XLOOKUP(AQ193,Cadastros!$G$6:$G$90,Cadastros!$H$6:$H$90)*(1-0.18),IF($F193="Mauro José Salanti",_xlfn.XLOOKUP(AQ193,Cadastros!$G$6:$G$90,Cadastros!$H$6:$H$90)*(1-0.18),_xlfn.XLOOKUP(AQ193,Cadastros!$G$6:$G$90,Cadastros!$H$6:$H$90))))</f>
        <v/>
      </c>
      <c r="AT193" s="168" t="str">
        <f t="shared" si="37"/>
        <v/>
      </c>
      <c r="AU193" s="168" t="str">
        <f t="shared" si="38"/>
        <v/>
      </c>
      <c r="AV193" s="227"/>
      <c r="AW193" s="30"/>
      <c r="AX193" s="267"/>
      <c r="AY193" s="267"/>
      <c r="AZ193" s="29"/>
      <c r="BA193" s="30"/>
      <c r="BB193" s="23" t="str" cm="1">
        <f t="array" ref="BB193">_xlfn.IFS(AW193="SIM",SUM(K193,P193,U193,Z193,AE193,AJ193,AO193,AT193,AX193,AY193),F193&lt;&gt;"",SUM(K193,P193,U193,Z193,AE193,AJ193,,AO193,AT193),F193="","")</f>
        <v/>
      </c>
      <c r="BC193" s="211" t="str" cm="1">
        <f t="array" ref="BC193">_xlfn.IFS(E193="","",G193&lt;=E193,BB193*(1-0.03),G193&lt;(E193+8),BB193,AZ193="Boleto",BB193*(1+0.001)^DATEDIF(E193,G193,"D"),AZ193="Cheque",BB193,AZ193="Dinheiro","Alterar forma pgto")</f>
        <v/>
      </c>
      <c r="BD193" s="276" t="str" cm="1">
        <f t="array" ref="BD193">IF(F193=0," ",IF(BC193&lt;BB193,(_xlfn.IFS(AW193="SIM",SUM(L193,Q193,V193,AA193,AF193,AK193,AP193,AU193)+AX193/_xlfn.XLOOKUP(_xlfn.XLOOKUP($F193,Clientes!$B$4:$B$39,Clientes!$C$4:$C$39),Cadastros!$L$6:$L$12,Cadastros!$M$6:$M$12)+IF($F193="Bernardino Furlan",AY193/2751.92,IF($F193="Mauro José Salanti",AY193/2751.92,AY193/3356)),F193&lt;&gt;0,SUM(L193,Q193,V193,AA193,AF193,AK193,AP193,AU193)))*(1-0.03),_xlfn.IFS(AW193="SIM",SUM(L193,Q193,V193,AA193,AF193,AK193,AP193,AU193)+AX193/_xlfn.XLOOKUP(_xlfn.XLOOKUP($F193,Clientes!$B$4:$B$39,Clientes!$C$4:$C$39),Cadastros!$L$6:$L$12,Cadastros!$M$6:$M$12)+IF($F193="Bernardino Furlan",AY193/2751.92,IF($F193="Mauro José Salanti",AY193/2751.92,AY193/3356)),F193&lt;&gt;0,SUM(L193,Q193,V193,AA193,AF193,AK193,AP193,AU193))))</f>
        <v xml:space="preserve"> </v>
      </c>
      <c r="BE193" s="120"/>
      <c r="BF193" s="120"/>
      <c r="BG193" s="120"/>
    </row>
    <row r="194" spans="1:59" s="3" customFormat="1" x14ac:dyDescent="0.3">
      <c r="A194" s="15" t="str">
        <f t="shared" si="26"/>
        <v/>
      </c>
      <c r="B194" s="25"/>
      <c r="C194" s="26"/>
      <c r="D194" s="279"/>
      <c r="E194" s="27"/>
      <c r="F194" s="28"/>
      <c r="G194" s="27"/>
      <c r="H194" s="28"/>
      <c r="I194" s="28"/>
      <c r="J194" s="255" t="str">
        <f>IF(H194="","",(_xlfn.XLOOKUP(H194,Cadastros!$D$6:$D$90,Cadastros!$E$6:$E$90))*(1-_xlfn.XLOOKUP(_xlfn.XLOOKUP($F194,Clientes!$B$4:$B$39,Clientes!$C$4:$C$39),Cadastros!$L$6:$L$12,Cadastros!$N$6:$N$12)))</f>
        <v/>
      </c>
      <c r="K194" s="168" t="str">
        <f t="shared" si="27"/>
        <v/>
      </c>
      <c r="L194" s="168" t="str">
        <f>IFERROR(K194/_xlfn.XLOOKUP(_xlfn.XLOOKUP($F194,Clientes!$B$4:$B$39,Clientes!$C$4:$C$39),Cadastros!$L$6:$L$12,Cadastros!$M$6:$M$12)," ")</f>
        <v xml:space="preserve"> </v>
      </c>
      <c r="M194" s="28"/>
      <c r="N194" s="28"/>
      <c r="O194" s="255" t="str">
        <f>IF(M194="","",(_xlfn.XLOOKUP(M194,Cadastros!$D$6:$D$90,Cadastros!$E$6:$E$90))*(1-_xlfn.XLOOKUP(_xlfn.XLOOKUP($F194,Clientes!$B$4:$B$39,Clientes!$C$4:$C$39),Cadastros!$L$6:$L$12,Cadastros!$N$6:$N$12)))</f>
        <v/>
      </c>
      <c r="P194" s="168" t="str">
        <f t="shared" si="28"/>
        <v/>
      </c>
      <c r="Q194" s="168" t="str">
        <f>IFERROR(P194/_xlfn.XLOOKUP(_xlfn.XLOOKUP($F194,Clientes!$B$4:$B$39,Clientes!$C$4:$C$39),Cadastros!$L$6:$L$12,Cadastros!$M$6:$M$12)," ")</f>
        <v xml:space="preserve"> </v>
      </c>
      <c r="R194" s="28"/>
      <c r="S194" s="28"/>
      <c r="T194" s="255" t="str">
        <f>IF(R194="","",(_xlfn.XLOOKUP(R194,Cadastros!$D$6:$D$90,Cadastros!$E$6:$E$90))*(1-_xlfn.XLOOKUP(_xlfn.XLOOKUP($F194,Clientes!$B$4:$B$39,Clientes!$C$4:$C$39),Cadastros!$L$6:$L$12,Cadastros!$N$6:$N$12)))</f>
        <v/>
      </c>
      <c r="U194" s="168" t="str">
        <f t="shared" si="29"/>
        <v/>
      </c>
      <c r="V194" s="168" t="str">
        <f>IFERROR(U194/_xlfn.XLOOKUP(_xlfn.XLOOKUP($F194,Clientes!$B$4:$B$39,Clientes!$C$4:$C$39),Cadastros!$L$6:$L$12,Cadastros!$M$6:$M$12)," ")</f>
        <v xml:space="preserve"> </v>
      </c>
      <c r="W194" s="28"/>
      <c r="X194" s="28"/>
      <c r="Y194" s="255" t="str">
        <f>IF(W194="","",(_xlfn.XLOOKUP(W194,Cadastros!$D$6:$D$90,Cadastros!$E$6:$E$90))*(1-_xlfn.XLOOKUP(_xlfn.XLOOKUP($F194,Clientes!$B$4:$B$39,Clientes!$C$4:$C$39),Cadastros!$L$6:$L$12,Cadastros!$N$6:$N$12)))</f>
        <v/>
      </c>
      <c r="Z194" s="168" t="str">
        <f t="shared" si="30"/>
        <v/>
      </c>
      <c r="AA194" s="168" t="str">
        <f>IFERROR(Z194/_xlfn.XLOOKUP(_xlfn.XLOOKUP($F194,Clientes!$B$4:$B$39,Clientes!$C$4:$C$39),Cadastros!$L$6:$L$12,Cadastros!$M$6:$M$12)," ")</f>
        <v xml:space="preserve"> </v>
      </c>
      <c r="AB194" s="28"/>
      <c r="AC194" s="28"/>
      <c r="AD194" s="20" t="str">
        <f>IF(AB194="","",IF($F194="Bernardino Furlan",_xlfn.XLOOKUP(AB194,Cadastros!$G$6:$G$90,Cadastros!$H$6:$H$90)*(1-0.18),IF($F194="Mauro José Salanti",_xlfn.XLOOKUP(AB194,Cadastros!$G$6:$G$90,Cadastros!$H$6:$H$90)*(1-0.18),_xlfn.XLOOKUP(AB194,Cadastros!$G$6:$G$90,Cadastros!$H$6:$H$90))))</f>
        <v/>
      </c>
      <c r="AE194" s="168" t="str">
        <f t="shared" si="31"/>
        <v/>
      </c>
      <c r="AF194" s="168" t="str">
        <f t="shared" si="32"/>
        <v/>
      </c>
      <c r="AG194" s="28"/>
      <c r="AH194" s="28"/>
      <c r="AI194" s="20" t="str">
        <f>IF(AG194="","",IF($F194="Bernardino Furlan",_xlfn.XLOOKUP(AG194,Cadastros!$G$6:$G$90,Cadastros!$H$6:$H$90)*(1-0.18),IF($F194="Mauro José Salanti",_xlfn.XLOOKUP(AG194,Cadastros!$G$6:$G$90,Cadastros!$H$6:$H$90)*(1-0.18),_xlfn.XLOOKUP(AG194,Cadastros!$G$6:$G$90,Cadastros!$H$6:$H$90))))</f>
        <v/>
      </c>
      <c r="AJ194" s="168" t="str">
        <f t="shared" si="33"/>
        <v/>
      </c>
      <c r="AK194" s="168" t="str">
        <f t="shared" si="34"/>
        <v/>
      </c>
      <c r="AL194" s="28"/>
      <c r="AM194" s="28"/>
      <c r="AN194" s="20" t="str">
        <f>IF(AL194="","",IF($F194="Bernardino Furlan",_xlfn.XLOOKUP(AL194,Cadastros!$G$6:$G$90,Cadastros!$H$6:$H$90)*(1-0.18),IF($F194="Mauro José Salanti",_xlfn.XLOOKUP(AL194,Cadastros!$G$6:$G$90,Cadastros!$H$6:$H$90)*(1-0.18),_xlfn.XLOOKUP(AL194,Cadastros!$G$6:$G$90,Cadastros!$H$6:$H$90))))</f>
        <v/>
      </c>
      <c r="AO194" s="168" t="str">
        <f t="shared" si="35"/>
        <v/>
      </c>
      <c r="AP194" s="168" t="str">
        <f t="shared" si="36"/>
        <v/>
      </c>
      <c r="AQ194" s="28"/>
      <c r="AR194" s="28"/>
      <c r="AS194" s="20" t="str">
        <f>IF(AQ194="","",IF($F194="Bernardino Furlan",_xlfn.XLOOKUP(AQ194,Cadastros!$G$6:$G$90,Cadastros!$H$6:$H$90)*(1-0.18),IF($F194="Mauro José Salanti",_xlfn.XLOOKUP(AQ194,Cadastros!$G$6:$G$90,Cadastros!$H$6:$H$90)*(1-0.18),_xlfn.XLOOKUP(AQ194,Cadastros!$G$6:$G$90,Cadastros!$H$6:$H$90))))</f>
        <v/>
      </c>
      <c r="AT194" s="168" t="str">
        <f t="shared" si="37"/>
        <v/>
      </c>
      <c r="AU194" s="168" t="str">
        <f t="shared" si="38"/>
        <v/>
      </c>
      <c r="AV194" s="227"/>
      <c r="AW194" s="30"/>
      <c r="AX194" s="267"/>
      <c r="AY194" s="267"/>
      <c r="AZ194" s="29"/>
      <c r="BA194" s="30"/>
      <c r="BB194" s="23" t="str" cm="1">
        <f t="array" ref="BB194">_xlfn.IFS(AW194="SIM",SUM(K194,P194,U194,Z194,AE194,AJ194,AO194,AT194,AX194,AY194),F194&lt;&gt;"",SUM(K194,P194,U194,Z194,AE194,AJ194,,AO194,AT194),F194="","")</f>
        <v/>
      </c>
      <c r="BC194" s="211" t="str" cm="1">
        <f t="array" ref="BC194">_xlfn.IFS(E194="","",G194&lt;=E194,BB194*(1-0.03),G194&lt;(E194+8),BB194,AZ194="Boleto",BB194*(1+0.001)^DATEDIF(E194,G194,"D"),AZ194="Cheque",BB194,AZ194="Dinheiro","Alterar forma pgto")</f>
        <v/>
      </c>
      <c r="BD194" s="276" t="str" cm="1">
        <f t="array" ref="BD194">IF(F194=0," ",IF(BC194&lt;BB194,(_xlfn.IFS(AW194="SIM",SUM(L194,Q194,V194,AA194,AF194,AK194,AP194,AU194)+AX194/_xlfn.XLOOKUP(_xlfn.XLOOKUP($F194,Clientes!$B$4:$B$39,Clientes!$C$4:$C$39),Cadastros!$L$6:$L$12,Cadastros!$M$6:$M$12)+IF($F194="Bernardino Furlan",AY194/2751.92,IF($F194="Mauro José Salanti",AY194/2751.92,AY194/3356)),F194&lt;&gt;0,SUM(L194,Q194,V194,AA194,AF194,AK194,AP194,AU194)))*(1-0.03),_xlfn.IFS(AW194="SIM",SUM(L194,Q194,V194,AA194,AF194,AK194,AP194,AU194)+AX194/_xlfn.XLOOKUP(_xlfn.XLOOKUP($F194,Clientes!$B$4:$B$39,Clientes!$C$4:$C$39),Cadastros!$L$6:$L$12,Cadastros!$M$6:$M$12)+IF($F194="Bernardino Furlan",AY194/2751.92,IF($F194="Mauro José Salanti",AY194/2751.92,AY194/3356)),F194&lt;&gt;0,SUM(L194,Q194,V194,AA194,AF194,AK194,AP194,AU194))))</f>
        <v xml:space="preserve"> </v>
      </c>
      <c r="BE194" s="120"/>
      <c r="BF194" s="120"/>
      <c r="BG194" s="120"/>
    </row>
    <row r="195" spans="1:59" s="3" customFormat="1" x14ac:dyDescent="0.3">
      <c r="A195" s="15" t="str">
        <f t="shared" si="26"/>
        <v/>
      </c>
      <c r="B195" s="25"/>
      <c r="C195" s="26"/>
      <c r="D195" s="279"/>
      <c r="E195" s="27"/>
      <c r="F195" s="28"/>
      <c r="G195" s="27"/>
      <c r="H195" s="28"/>
      <c r="I195" s="28"/>
      <c r="J195" s="255" t="str">
        <f>IF(H195="","",(_xlfn.XLOOKUP(H195,Cadastros!$D$6:$D$90,Cadastros!$E$6:$E$90))*(1-_xlfn.XLOOKUP(_xlfn.XLOOKUP($F195,Clientes!$B$4:$B$39,Clientes!$C$4:$C$39),Cadastros!$L$6:$L$12,Cadastros!$N$6:$N$12)))</f>
        <v/>
      </c>
      <c r="K195" s="168" t="str">
        <f t="shared" si="27"/>
        <v/>
      </c>
      <c r="L195" s="168" t="str">
        <f>IFERROR(K195/_xlfn.XLOOKUP(_xlfn.XLOOKUP($F195,Clientes!$B$4:$B$39,Clientes!$C$4:$C$39),Cadastros!$L$6:$L$12,Cadastros!$M$6:$M$12)," ")</f>
        <v xml:space="preserve"> </v>
      </c>
      <c r="M195" s="28"/>
      <c r="N195" s="28"/>
      <c r="O195" s="255" t="str">
        <f>IF(M195="","",(_xlfn.XLOOKUP(M195,Cadastros!$D$6:$D$90,Cadastros!$E$6:$E$90))*(1-_xlfn.XLOOKUP(_xlfn.XLOOKUP($F195,Clientes!$B$4:$B$39,Clientes!$C$4:$C$39),Cadastros!$L$6:$L$12,Cadastros!$N$6:$N$12)))</f>
        <v/>
      </c>
      <c r="P195" s="168" t="str">
        <f t="shared" si="28"/>
        <v/>
      </c>
      <c r="Q195" s="168" t="str">
        <f>IFERROR(P195/_xlfn.XLOOKUP(_xlfn.XLOOKUP($F195,Clientes!$B$4:$B$39,Clientes!$C$4:$C$39),Cadastros!$L$6:$L$12,Cadastros!$M$6:$M$12)," ")</f>
        <v xml:space="preserve"> </v>
      </c>
      <c r="R195" s="28"/>
      <c r="S195" s="28"/>
      <c r="T195" s="255" t="str">
        <f>IF(R195="","",(_xlfn.XLOOKUP(R195,Cadastros!$D$6:$D$90,Cadastros!$E$6:$E$90))*(1-_xlfn.XLOOKUP(_xlfn.XLOOKUP($F195,Clientes!$B$4:$B$39,Clientes!$C$4:$C$39),Cadastros!$L$6:$L$12,Cadastros!$N$6:$N$12)))</f>
        <v/>
      </c>
      <c r="U195" s="168" t="str">
        <f t="shared" si="29"/>
        <v/>
      </c>
      <c r="V195" s="168" t="str">
        <f>IFERROR(U195/_xlfn.XLOOKUP(_xlfn.XLOOKUP($F195,Clientes!$B$4:$B$39,Clientes!$C$4:$C$39),Cadastros!$L$6:$L$12,Cadastros!$M$6:$M$12)," ")</f>
        <v xml:space="preserve"> </v>
      </c>
      <c r="W195" s="28"/>
      <c r="X195" s="28"/>
      <c r="Y195" s="255" t="str">
        <f>IF(W195="","",(_xlfn.XLOOKUP(W195,Cadastros!$D$6:$D$90,Cadastros!$E$6:$E$90))*(1-_xlfn.XLOOKUP(_xlfn.XLOOKUP($F195,Clientes!$B$4:$B$39,Clientes!$C$4:$C$39),Cadastros!$L$6:$L$12,Cadastros!$N$6:$N$12)))</f>
        <v/>
      </c>
      <c r="Z195" s="168" t="str">
        <f t="shared" si="30"/>
        <v/>
      </c>
      <c r="AA195" s="168" t="str">
        <f>IFERROR(Z195/_xlfn.XLOOKUP(_xlfn.XLOOKUP($F195,Clientes!$B$4:$B$39,Clientes!$C$4:$C$39),Cadastros!$L$6:$L$12,Cadastros!$M$6:$M$12)," ")</f>
        <v xml:space="preserve"> </v>
      </c>
      <c r="AB195" s="28"/>
      <c r="AC195" s="28"/>
      <c r="AD195" s="20" t="str">
        <f>IF(AB195="","",IF($F195="Bernardino Furlan",_xlfn.XLOOKUP(AB195,Cadastros!$G$6:$G$90,Cadastros!$H$6:$H$90)*(1-0.18),IF($F195="Mauro José Salanti",_xlfn.XLOOKUP(AB195,Cadastros!$G$6:$G$90,Cadastros!$H$6:$H$90)*(1-0.18),_xlfn.XLOOKUP(AB195,Cadastros!$G$6:$G$90,Cadastros!$H$6:$H$90))))</f>
        <v/>
      </c>
      <c r="AE195" s="168" t="str">
        <f t="shared" si="31"/>
        <v/>
      </c>
      <c r="AF195" s="168" t="str">
        <f t="shared" si="32"/>
        <v/>
      </c>
      <c r="AG195" s="28"/>
      <c r="AH195" s="28"/>
      <c r="AI195" s="20" t="str">
        <f>IF(AG195="","",IF($F195="Bernardino Furlan",_xlfn.XLOOKUP(AG195,Cadastros!$G$6:$G$90,Cadastros!$H$6:$H$90)*(1-0.18),IF($F195="Mauro José Salanti",_xlfn.XLOOKUP(AG195,Cadastros!$G$6:$G$90,Cadastros!$H$6:$H$90)*(1-0.18),_xlfn.XLOOKUP(AG195,Cadastros!$G$6:$G$90,Cadastros!$H$6:$H$90))))</f>
        <v/>
      </c>
      <c r="AJ195" s="168" t="str">
        <f t="shared" si="33"/>
        <v/>
      </c>
      <c r="AK195" s="168" t="str">
        <f t="shared" si="34"/>
        <v/>
      </c>
      <c r="AL195" s="28"/>
      <c r="AM195" s="28"/>
      <c r="AN195" s="20" t="str">
        <f>IF(AL195="","",IF($F195="Bernardino Furlan",_xlfn.XLOOKUP(AL195,Cadastros!$G$6:$G$90,Cadastros!$H$6:$H$90)*(1-0.18),IF($F195="Mauro José Salanti",_xlfn.XLOOKUP(AL195,Cadastros!$G$6:$G$90,Cadastros!$H$6:$H$90)*(1-0.18),_xlfn.XLOOKUP(AL195,Cadastros!$G$6:$G$90,Cadastros!$H$6:$H$90))))</f>
        <v/>
      </c>
      <c r="AO195" s="168" t="str">
        <f t="shared" si="35"/>
        <v/>
      </c>
      <c r="AP195" s="168" t="str">
        <f t="shared" si="36"/>
        <v/>
      </c>
      <c r="AQ195" s="28"/>
      <c r="AR195" s="28"/>
      <c r="AS195" s="20" t="str">
        <f>IF(AQ195="","",IF($F195="Bernardino Furlan",_xlfn.XLOOKUP(AQ195,Cadastros!$G$6:$G$90,Cadastros!$H$6:$H$90)*(1-0.18),IF($F195="Mauro José Salanti",_xlfn.XLOOKUP(AQ195,Cadastros!$G$6:$G$90,Cadastros!$H$6:$H$90)*(1-0.18),_xlfn.XLOOKUP(AQ195,Cadastros!$G$6:$G$90,Cadastros!$H$6:$H$90))))</f>
        <v/>
      </c>
      <c r="AT195" s="168" t="str">
        <f t="shared" si="37"/>
        <v/>
      </c>
      <c r="AU195" s="168" t="str">
        <f t="shared" si="38"/>
        <v/>
      </c>
      <c r="AV195" s="227"/>
      <c r="AW195" s="30"/>
      <c r="AX195" s="267"/>
      <c r="AY195" s="267"/>
      <c r="AZ195" s="29"/>
      <c r="BA195" s="30"/>
      <c r="BB195" s="23" t="str" cm="1">
        <f t="array" ref="BB195">_xlfn.IFS(AW195="SIM",SUM(K195,P195,U195,Z195,AE195,AJ195,AO195,AT195,AX195,AY195),F195&lt;&gt;"",SUM(K195,P195,U195,Z195,AE195,AJ195,,AO195,AT195),F195="","")</f>
        <v/>
      </c>
      <c r="BC195" s="211" t="str" cm="1">
        <f t="array" ref="BC195">_xlfn.IFS(E195="","",G195&lt;=E195,BB195*(1-0.03),G195&lt;(E195+8),BB195,AZ195="Boleto",BB195*(1+0.001)^DATEDIF(E195,G195,"D"),AZ195="Cheque",BB195,AZ195="Dinheiro","Alterar forma pgto")</f>
        <v/>
      </c>
      <c r="BD195" s="276" t="str" cm="1">
        <f t="array" ref="BD195">IF(F195=0," ",IF(BC195&lt;BB195,(_xlfn.IFS(AW195="SIM",SUM(L195,Q195,V195,AA195,AF195,AK195,AP195,AU195)+AX195/_xlfn.XLOOKUP(_xlfn.XLOOKUP($F195,Clientes!$B$4:$B$39,Clientes!$C$4:$C$39),Cadastros!$L$6:$L$12,Cadastros!$M$6:$M$12)+IF($F195="Bernardino Furlan",AY195/2751.92,IF($F195="Mauro José Salanti",AY195/2751.92,AY195/3356)),F195&lt;&gt;0,SUM(L195,Q195,V195,AA195,AF195,AK195,AP195,AU195)))*(1-0.03),_xlfn.IFS(AW195="SIM",SUM(L195,Q195,V195,AA195,AF195,AK195,AP195,AU195)+AX195/_xlfn.XLOOKUP(_xlfn.XLOOKUP($F195,Clientes!$B$4:$B$39,Clientes!$C$4:$C$39),Cadastros!$L$6:$L$12,Cadastros!$M$6:$M$12)+IF($F195="Bernardino Furlan",AY195/2751.92,IF($F195="Mauro José Salanti",AY195/2751.92,AY195/3356)),F195&lt;&gt;0,SUM(L195,Q195,V195,AA195,AF195,AK195,AP195,AU195))))</f>
        <v xml:space="preserve"> </v>
      </c>
      <c r="BE195" s="120"/>
      <c r="BF195" s="120"/>
      <c r="BG195" s="120"/>
    </row>
    <row r="196" spans="1:59" s="3" customFormat="1" x14ac:dyDescent="0.3">
      <c r="A196" s="15" t="str">
        <f t="shared" si="26"/>
        <v/>
      </c>
      <c r="B196" s="25"/>
      <c r="C196" s="26"/>
      <c r="D196" s="279"/>
      <c r="E196" s="27"/>
      <c r="F196" s="28"/>
      <c r="G196" s="27"/>
      <c r="H196" s="28"/>
      <c r="I196" s="28"/>
      <c r="J196" s="255" t="str">
        <f>IF(H196="","",(_xlfn.XLOOKUP(H196,Cadastros!$D$6:$D$90,Cadastros!$E$6:$E$90))*(1-_xlfn.XLOOKUP(_xlfn.XLOOKUP($F196,Clientes!$B$4:$B$39,Clientes!$C$4:$C$39),Cadastros!$L$6:$L$12,Cadastros!$N$6:$N$12)))</f>
        <v/>
      </c>
      <c r="K196" s="168" t="str">
        <f t="shared" si="27"/>
        <v/>
      </c>
      <c r="L196" s="168" t="str">
        <f>IFERROR(K196/_xlfn.XLOOKUP(_xlfn.XLOOKUP($F196,Clientes!$B$4:$B$39,Clientes!$C$4:$C$39),Cadastros!$L$6:$L$12,Cadastros!$M$6:$M$12)," ")</f>
        <v xml:space="preserve"> </v>
      </c>
      <c r="M196" s="28"/>
      <c r="N196" s="28"/>
      <c r="O196" s="255" t="str">
        <f>IF(M196="","",(_xlfn.XLOOKUP(M196,Cadastros!$D$6:$D$90,Cadastros!$E$6:$E$90))*(1-_xlfn.XLOOKUP(_xlfn.XLOOKUP($F196,Clientes!$B$4:$B$39,Clientes!$C$4:$C$39),Cadastros!$L$6:$L$12,Cadastros!$N$6:$N$12)))</f>
        <v/>
      </c>
      <c r="P196" s="168" t="str">
        <f t="shared" si="28"/>
        <v/>
      </c>
      <c r="Q196" s="168" t="str">
        <f>IFERROR(P196/_xlfn.XLOOKUP(_xlfn.XLOOKUP($F196,Clientes!$B$4:$B$39,Clientes!$C$4:$C$39),Cadastros!$L$6:$L$12,Cadastros!$M$6:$M$12)," ")</f>
        <v xml:space="preserve"> </v>
      </c>
      <c r="R196" s="28"/>
      <c r="S196" s="28"/>
      <c r="T196" s="255" t="str">
        <f>IF(R196="","",(_xlfn.XLOOKUP(R196,Cadastros!$D$6:$D$90,Cadastros!$E$6:$E$90))*(1-_xlfn.XLOOKUP(_xlfn.XLOOKUP($F196,Clientes!$B$4:$B$39,Clientes!$C$4:$C$39),Cadastros!$L$6:$L$12,Cadastros!$N$6:$N$12)))</f>
        <v/>
      </c>
      <c r="U196" s="168" t="str">
        <f t="shared" si="29"/>
        <v/>
      </c>
      <c r="V196" s="168" t="str">
        <f>IFERROR(U196/_xlfn.XLOOKUP(_xlfn.XLOOKUP($F196,Clientes!$B$4:$B$39,Clientes!$C$4:$C$39),Cadastros!$L$6:$L$12,Cadastros!$M$6:$M$12)," ")</f>
        <v xml:space="preserve"> </v>
      </c>
      <c r="W196" s="28"/>
      <c r="X196" s="28"/>
      <c r="Y196" s="255" t="str">
        <f>IF(W196="","",(_xlfn.XLOOKUP(W196,Cadastros!$D$6:$D$90,Cadastros!$E$6:$E$90))*(1-_xlfn.XLOOKUP(_xlfn.XLOOKUP($F196,Clientes!$B$4:$B$39,Clientes!$C$4:$C$39),Cadastros!$L$6:$L$12,Cadastros!$N$6:$N$12)))</f>
        <v/>
      </c>
      <c r="Z196" s="168" t="str">
        <f t="shared" si="30"/>
        <v/>
      </c>
      <c r="AA196" s="168" t="str">
        <f>IFERROR(Z196/_xlfn.XLOOKUP(_xlfn.XLOOKUP($F196,Clientes!$B$4:$B$39,Clientes!$C$4:$C$39),Cadastros!$L$6:$L$12,Cadastros!$M$6:$M$12)," ")</f>
        <v xml:space="preserve"> </v>
      </c>
      <c r="AB196" s="28"/>
      <c r="AC196" s="28"/>
      <c r="AD196" s="20" t="str">
        <f>IF(AB196="","",IF($F196="Bernardino Furlan",_xlfn.XLOOKUP(AB196,Cadastros!$G$6:$G$90,Cadastros!$H$6:$H$90)*(1-0.18),IF($F196="Mauro José Salanti",_xlfn.XLOOKUP(AB196,Cadastros!$G$6:$G$90,Cadastros!$H$6:$H$90)*(1-0.18),_xlfn.XLOOKUP(AB196,Cadastros!$G$6:$G$90,Cadastros!$H$6:$H$90))))</f>
        <v/>
      </c>
      <c r="AE196" s="168" t="str">
        <f t="shared" si="31"/>
        <v/>
      </c>
      <c r="AF196" s="168" t="str">
        <f t="shared" si="32"/>
        <v/>
      </c>
      <c r="AG196" s="28"/>
      <c r="AH196" s="28"/>
      <c r="AI196" s="20" t="str">
        <f>IF(AG196="","",IF($F196="Bernardino Furlan",_xlfn.XLOOKUP(AG196,Cadastros!$G$6:$G$90,Cadastros!$H$6:$H$90)*(1-0.18),IF($F196="Mauro José Salanti",_xlfn.XLOOKUP(AG196,Cadastros!$G$6:$G$90,Cadastros!$H$6:$H$90)*(1-0.18),_xlfn.XLOOKUP(AG196,Cadastros!$G$6:$G$90,Cadastros!$H$6:$H$90))))</f>
        <v/>
      </c>
      <c r="AJ196" s="168" t="str">
        <f t="shared" si="33"/>
        <v/>
      </c>
      <c r="AK196" s="168" t="str">
        <f t="shared" si="34"/>
        <v/>
      </c>
      <c r="AL196" s="28"/>
      <c r="AM196" s="28"/>
      <c r="AN196" s="20" t="str">
        <f>IF(AL196="","",IF($F196="Bernardino Furlan",_xlfn.XLOOKUP(AL196,Cadastros!$G$6:$G$90,Cadastros!$H$6:$H$90)*(1-0.18),IF($F196="Mauro José Salanti",_xlfn.XLOOKUP(AL196,Cadastros!$G$6:$G$90,Cadastros!$H$6:$H$90)*(1-0.18),_xlfn.XLOOKUP(AL196,Cadastros!$G$6:$G$90,Cadastros!$H$6:$H$90))))</f>
        <v/>
      </c>
      <c r="AO196" s="168" t="str">
        <f t="shared" si="35"/>
        <v/>
      </c>
      <c r="AP196" s="168" t="str">
        <f t="shared" si="36"/>
        <v/>
      </c>
      <c r="AQ196" s="28"/>
      <c r="AR196" s="28"/>
      <c r="AS196" s="20" t="str">
        <f>IF(AQ196="","",IF($F196="Bernardino Furlan",_xlfn.XLOOKUP(AQ196,Cadastros!$G$6:$G$90,Cadastros!$H$6:$H$90)*(1-0.18),IF($F196="Mauro José Salanti",_xlfn.XLOOKUP(AQ196,Cadastros!$G$6:$G$90,Cadastros!$H$6:$H$90)*(1-0.18),_xlfn.XLOOKUP(AQ196,Cadastros!$G$6:$G$90,Cadastros!$H$6:$H$90))))</f>
        <v/>
      </c>
      <c r="AT196" s="168" t="str">
        <f t="shared" si="37"/>
        <v/>
      </c>
      <c r="AU196" s="168" t="str">
        <f t="shared" si="38"/>
        <v/>
      </c>
      <c r="AV196" s="227"/>
      <c r="AW196" s="30"/>
      <c r="AX196" s="267"/>
      <c r="AY196" s="267"/>
      <c r="AZ196" s="29"/>
      <c r="BA196" s="30"/>
      <c r="BB196" s="23" t="str" cm="1">
        <f t="array" ref="BB196">_xlfn.IFS(AW196="SIM",SUM(K196,P196,U196,Z196,AE196,AJ196,AO196,AT196,AX196,AY196),F196&lt;&gt;"",SUM(K196,P196,U196,Z196,AE196,AJ196,,AO196,AT196),F196="","")</f>
        <v/>
      </c>
      <c r="BC196" s="211" t="str" cm="1">
        <f t="array" ref="BC196">_xlfn.IFS(E196="","",G196&lt;=E196,BB196*(1-0.03),G196&lt;(E196+8),BB196,AZ196="Boleto",BB196*(1+0.001)^DATEDIF(E196,G196,"D"),AZ196="Cheque",BB196,AZ196="Dinheiro","Alterar forma pgto")</f>
        <v/>
      </c>
      <c r="BD196" s="276" t="str" cm="1">
        <f t="array" ref="BD196">IF(F196=0," ",IF(BC196&lt;BB196,(_xlfn.IFS(AW196="SIM",SUM(L196,Q196,V196,AA196,AF196,AK196,AP196,AU196)+AX196/_xlfn.XLOOKUP(_xlfn.XLOOKUP($F196,Clientes!$B$4:$B$39,Clientes!$C$4:$C$39),Cadastros!$L$6:$L$12,Cadastros!$M$6:$M$12)+IF($F196="Bernardino Furlan",AY196/2751.92,IF($F196="Mauro José Salanti",AY196/2751.92,AY196/3356)),F196&lt;&gt;0,SUM(L196,Q196,V196,AA196,AF196,AK196,AP196,AU196)))*(1-0.03),_xlfn.IFS(AW196="SIM",SUM(L196,Q196,V196,AA196,AF196,AK196,AP196,AU196)+AX196/_xlfn.XLOOKUP(_xlfn.XLOOKUP($F196,Clientes!$B$4:$B$39,Clientes!$C$4:$C$39),Cadastros!$L$6:$L$12,Cadastros!$M$6:$M$12)+IF($F196="Bernardino Furlan",AY196/2751.92,IF($F196="Mauro José Salanti",AY196/2751.92,AY196/3356)),F196&lt;&gt;0,SUM(L196,Q196,V196,AA196,AF196,AK196,AP196,AU196))))</f>
        <v xml:space="preserve"> </v>
      </c>
      <c r="BE196" s="120"/>
      <c r="BF196" s="120"/>
      <c r="BG196" s="120"/>
    </row>
    <row r="197" spans="1:59" s="3" customFormat="1" x14ac:dyDescent="0.3">
      <c r="A197" s="15" t="str">
        <f t="shared" si="26"/>
        <v/>
      </c>
      <c r="B197" s="25"/>
      <c r="C197" s="26"/>
      <c r="D197" s="279"/>
      <c r="E197" s="27"/>
      <c r="F197" s="28"/>
      <c r="G197" s="27"/>
      <c r="H197" s="28"/>
      <c r="I197" s="28"/>
      <c r="J197" s="255" t="str">
        <f>IF(H197="","",(_xlfn.XLOOKUP(H197,Cadastros!$D$6:$D$90,Cadastros!$E$6:$E$90))*(1-_xlfn.XLOOKUP(_xlfn.XLOOKUP($F197,Clientes!$B$4:$B$39,Clientes!$C$4:$C$39),Cadastros!$L$6:$L$12,Cadastros!$N$6:$N$12)))</f>
        <v/>
      </c>
      <c r="K197" s="168" t="str">
        <f t="shared" si="27"/>
        <v/>
      </c>
      <c r="L197" s="168" t="str">
        <f>IFERROR(K197/_xlfn.XLOOKUP(_xlfn.XLOOKUP($F197,Clientes!$B$4:$B$39,Clientes!$C$4:$C$39),Cadastros!$L$6:$L$12,Cadastros!$M$6:$M$12)," ")</f>
        <v xml:space="preserve"> </v>
      </c>
      <c r="M197" s="28"/>
      <c r="N197" s="28"/>
      <c r="O197" s="255" t="str">
        <f>IF(M197="","",(_xlfn.XLOOKUP(M197,Cadastros!$D$6:$D$90,Cadastros!$E$6:$E$90))*(1-_xlfn.XLOOKUP(_xlfn.XLOOKUP($F197,Clientes!$B$4:$B$39,Clientes!$C$4:$C$39),Cadastros!$L$6:$L$12,Cadastros!$N$6:$N$12)))</f>
        <v/>
      </c>
      <c r="P197" s="168" t="str">
        <f t="shared" si="28"/>
        <v/>
      </c>
      <c r="Q197" s="168" t="str">
        <f>IFERROR(P197/_xlfn.XLOOKUP(_xlfn.XLOOKUP($F197,Clientes!$B$4:$B$39,Clientes!$C$4:$C$39),Cadastros!$L$6:$L$12,Cadastros!$M$6:$M$12)," ")</f>
        <v xml:space="preserve"> </v>
      </c>
      <c r="R197" s="28"/>
      <c r="S197" s="28"/>
      <c r="T197" s="255" t="str">
        <f>IF(R197="","",(_xlfn.XLOOKUP(R197,Cadastros!$D$6:$D$90,Cadastros!$E$6:$E$90))*(1-_xlfn.XLOOKUP(_xlfn.XLOOKUP($F197,Clientes!$B$4:$B$39,Clientes!$C$4:$C$39),Cadastros!$L$6:$L$12,Cadastros!$N$6:$N$12)))</f>
        <v/>
      </c>
      <c r="U197" s="168" t="str">
        <f t="shared" si="29"/>
        <v/>
      </c>
      <c r="V197" s="168" t="str">
        <f>IFERROR(U197/_xlfn.XLOOKUP(_xlfn.XLOOKUP($F197,Clientes!$B$4:$B$39,Clientes!$C$4:$C$39),Cadastros!$L$6:$L$12,Cadastros!$M$6:$M$12)," ")</f>
        <v xml:space="preserve"> </v>
      </c>
      <c r="W197" s="28"/>
      <c r="X197" s="28"/>
      <c r="Y197" s="255" t="str">
        <f>IF(W197="","",(_xlfn.XLOOKUP(W197,Cadastros!$D$6:$D$90,Cadastros!$E$6:$E$90))*(1-_xlfn.XLOOKUP(_xlfn.XLOOKUP($F197,Clientes!$B$4:$B$39,Clientes!$C$4:$C$39),Cadastros!$L$6:$L$12,Cadastros!$N$6:$N$12)))</f>
        <v/>
      </c>
      <c r="Z197" s="168" t="str">
        <f t="shared" si="30"/>
        <v/>
      </c>
      <c r="AA197" s="168" t="str">
        <f>IFERROR(Z197/_xlfn.XLOOKUP(_xlfn.XLOOKUP($F197,Clientes!$B$4:$B$39,Clientes!$C$4:$C$39),Cadastros!$L$6:$L$12,Cadastros!$M$6:$M$12)," ")</f>
        <v xml:space="preserve"> </v>
      </c>
      <c r="AB197" s="28"/>
      <c r="AC197" s="28"/>
      <c r="AD197" s="20" t="str">
        <f>IF(AB197="","",IF($F197="Bernardino Furlan",_xlfn.XLOOKUP(AB197,Cadastros!$G$6:$G$90,Cadastros!$H$6:$H$90)*(1-0.18),IF($F197="Mauro José Salanti",_xlfn.XLOOKUP(AB197,Cadastros!$G$6:$G$90,Cadastros!$H$6:$H$90)*(1-0.18),_xlfn.XLOOKUP(AB197,Cadastros!$G$6:$G$90,Cadastros!$H$6:$H$90))))</f>
        <v/>
      </c>
      <c r="AE197" s="168" t="str">
        <f t="shared" si="31"/>
        <v/>
      </c>
      <c r="AF197" s="168" t="str">
        <f t="shared" si="32"/>
        <v/>
      </c>
      <c r="AG197" s="28"/>
      <c r="AH197" s="28"/>
      <c r="AI197" s="20" t="str">
        <f>IF(AG197="","",IF($F197="Bernardino Furlan",_xlfn.XLOOKUP(AG197,Cadastros!$G$6:$G$90,Cadastros!$H$6:$H$90)*(1-0.18),IF($F197="Mauro José Salanti",_xlfn.XLOOKUP(AG197,Cadastros!$G$6:$G$90,Cadastros!$H$6:$H$90)*(1-0.18),_xlfn.XLOOKUP(AG197,Cadastros!$G$6:$G$90,Cadastros!$H$6:$H$90))))</f>
        <v/>
      </c>
      <c r="AJ197" s="168" t="str">
        <f t="shared" si="33"/>
        <v/>
      </c>
      <c r="AK197" s="168" t="str">
        <f t="shared" si="34"/>
        <v/>
      </c>
      <c r="AL197" s="28"/>
      <c r="AM197" s="28"/>
      <c r="AN197" s="20" t="str">
        <f>IF(AL197="","",IF($F197="Bernardino Furlan",_xlfn.XLOOKUP(AL197,Cadastros!$G$6:$G$90,Cadastros!$H$6:$H$90)*(1-0.18),IF($F197="Mauro José Salanti",_xlfn.XLOOKUP(AL197,Cadastros!$G$6:$G$90,Cadastros!$H$6:$H$90)*(1-0.18),_xlfn.XLOOKUP(AL197,Cadastros!$G$6:$G$90,Cadastros!$H$6:$H$90))))</f>
        <v/>
      </c>
      <c r="AO197" s="168" t="str">
        <f t="shared" si="35"/>
        <v/>
      </c>
      <c r="AP197" s="168" t="str">
        <f t="shared" si="36"/>
        <v/>
      </c>
      <c r="AQ197" s="28"/>
      <c r="AR197" s="28"/>
      <c r="AS197" s="20" t="str">
        <f>IF(AQ197="","",IF($F197="Bernardino Furlan",_xlfn.XLOOKUP(AQ197,Cadastros!$G$6:$G$90,Cadastros!$H$6:$H$90)*(1-0.18),IF($F197="Mauro José Salanti",_xlfn.XLOOKUP(AQ197,Cadastros!$G$6:$G$90,Cadastros!$H$6:$H$90)*(1-0.18),_xlfn.XLOOKUP(AQ197,Cadastros!$G$6:$G$90,Cadastros!$H$6:$H$90))))</f>
        <v/>
      </c>
      <c r="AT197" s="168" t="str">
        <f t="shared" si="37"/>
        <v/>
      </c>
      <c r="AU197" s="168" t="str">
        <f t="shared" si="38"/>
        <v/>
      </c>
      <c r="AV197" s="227"/>
      <c r="AW197" s="30"/>
      <c r="AX197" s="267"/>
      <c r="AY197" s="267"/>
      <c r="AZ197" s="29"/>
      <c r="BA197" s="30"/>
      <c r="BB197" s="23" t="str" cm="1">
        <f t="array" ref="BB197">_xlfn.IFS(AW197="SIM",SUM(K197,P197,U197,Z197,AE197,AJ197,AO197,AT197,AX197,AY197),F197&lt;&gt;"",SUM(K197,P197,U197,Z197,AE197,AJ197,,AO197,AT197),F197="","")</f>
        <v/>
      </c>
      <c r="BC197" s="211" t="str" cm="1">
        <f t="array" ref="BC197">_xlfn.IFS(E197="","",G197&lt;=E197,BB197*(1-0.03),G197&lt;(E197+8),BB197,AZ197="Boleto",BB197*(1+0.001)^DATEDIF(E197,G197,"D"),AZ197="Cheque",BB197,AZ197="Dinheiro","Alterar forma pgto")</f>
        <v/>
      </c>
      <c r="BD197" s="276" t="str" cm="1">
        <f t="array" ref="BD197">IF(F197=0," ",IF(BC197&lt;BB197,(_xlfn.IFS(AW197="SIM",SUM(L197,Q197,V197,AA197,AF197,AK197,AP197,AU197)+AX197/_xlfn.XLOOKUP(_xlfn.XLOOKUP($F197,Clientes!$B$4:$B$39,Clientes!$C$4:$C$39),Cadastros!$L$6:$L$12,Cadastros!$M$6:$M$12)+IF($F197="Bernardino Furlan",AY197/2751.92,IF($F197="Mauro José Salanti",AY197/2751.92,AY197/3356)),F197&lt;&gt;0,SUM(L197,Q197,V197,AA197,AF197,AK197,AP197,AU197)))*(1-0.03),_xlfn.IFS(AW197="SIM",SUM(L197,Q197,V197,AA197,AF197,AK197,AP197,AU197)+AX197/_xlfn.XLOOKUP(_xlfn.XLOOKUP($F197,Clientes!$B$4:$B$39,Clientes!$C$4:$C$39),Cadastros!$L$6:$L$12,Cadastros!$M$6:$M$12)+IF($F197="Bernardino Furlan",AY197/2751.92,IF($F197="Mauro José Salanti",AY197/2751.92,AY197/3356)),F197&lt;&gt;0,SUM(L197,Q197,V197,AA197,AF197,AK197,AP197,AU197))))</f>
        <v xml:space="preserve"> </v>
      </c>
      <c r="BE197" s="120"/>
      <c r="BF197" s="120"/>
      <c r="BG197" s="120"/>
    </row>
    <row r="198" spans="1:59" s="3" customFormat="1" x14ac:dyDescent="0.3">
      <c r="A198" s="15" t="str">
        <f t="shared" si="26"/>
        <v/>
      </c>
      <c r="B198" s="25"/>
      <c r="C198" s="26"/>
      <c r="D198" s="279"/>
      <c r="E198" s="27"/>
      <c r="F198" s="28"/>
      <c r="G198" s="27"/>
      <c r="H198" s="28"/>
      <c r="I198" s="28"/>
      <c r="J198" s="255" t="str">
        <f>IF(H198="","",(_xlfn.XLOOKUP(H198,Cadastros!$D$6:$D$90,Cadastros!$E$6:$E$90))*(1-_xlfn.XLOOKUP(_xlfn.XLOOKUP($F198,Clientes!$B$4:$B$39,Clientes!$C$4:$C$39),Cadastros!$L$6:$L$12,Cadastros!$N$6:$N$12)))</f>
        <v/>
      </c>
      <c r="K198" s="168" t="str">
        <f t="shared" si="27"/>
        <v/>
      </c>
      <c r="L198" s="168" t="str">
        <f>IFERROR(K198/_xlfn.XLOOKUP(_xlfn.XLOOKUP($F198,Clientes!$B$4:$B$39,Clientes!$C$4:$C$39),Cadastros!$L$6:$L$12,Cadastros!$M$6:$M$12)," ")</f>
        <v xml:space="preserve"> </v>
      </c>
      <c r="M198" s="28"/>
      <c r="N198" s="28"/>
      <c r="O198" s="255" t="str">
        <f>IF(M198="","",(_xlfn.XLOOKUP(M198,Cadastros!$D$6:$D$90,Cadastros!$E$6:$E$90))*(1-_xlfn.XLOOKUP(_xlfn.XLOOKUP($F198,Clientes!$B$4:$B$39,Clientes!$C$4:$C$39),Cadastros!$L$6:$L$12,Cadastros!$N$6:$N$12)))</f>
        <v/>
      </c>
      <c r="P198" s="168" t="str">
        <f t="shared" si="28"/>
        <v/>
      </c>
      <c r="Q198" s="168" t="str">
        <f>IFERROR(P198/_xlfn.XLOOKUP(_xlfn.XLOOKUP($F198,Clientes!$B$4:$B$39,Clientes!$C$4:$C$39),Cadastros!$L$6:$L$12,Cadastros!$M$6:$M$12)," ")</f>
        <v xml:space="preserve"> </v>
      </c>
      <c r="R198" s="28"/>
      <c r="S198" s="28"/>
      <c r="T198" s="255" t="str">
        <f>IF(R198="","",(_xlfn.XLOOKUP(R198,Cadastros!$D$6:$D$90,Cadastros!$E$6:$E$90))*(1-_xlfn.XLOOKUP(_xlfn.XLOOKUP($F198,Clientes!$B$4:$B$39,Clientes!$C$4:$C$39),Cadastros!$L$6:$L$12,Cadastros!$N$6:$N$12)))</f>
        <v/>
      </c>
      <c r="U198" s="168" t="str">
        <f t="shared" si="29"/>
        <v/>
      </c>
      <c r="V198" s="168" t="str">
        <f>IFERROR(U198/_xlfn.XLOOKUP(_xlfn.XLOOKUP($F198,Clientes!$B$4:$B$39,Clientes!$C$4:$C$39),Cadastros!$L$6:$L$12,Cadastros!$M$6:$M$12)," ")</f>
        <v xml:space="preserve"> </v>
      </c>
      <c r="W198" s="28"/>
      <c r="X198" s="28"/>
      <c r="Y198" s="255" t="str">
        <f>IF(W198="","",(_xlfn.XLOOKUP(W198,Cadastros!$D$6:$D$90,Cadastros!$E$6:$E$90))*(1-_xlfn.XLOOKUP(_xlfn.XLOOKUP($F198,Clientes!$B$4:$B$39,Clientes!$C$4:$C$39),Cadastros!$L$6:$L$12,Cadastros!$N$6:$N$12)))</f>
        <v/>
      </c>
      <c r="Z198" s="168" t="str">
        <f t="shared" si="30"/>
        <v/>
      </c>
      <c r="AA198" s="168" t="str">
        <f>IFERROR(Z198/_xlfn.XLOOKUP(_xlfn.XLOOKUP($F198,Clientes!$B$4:$B$39,Clientes!$C$4:$C$39),Cadastros!$L$6:$L$12,Cadastros!$M$6:$M$12)," ")</f>
        <v xml:space="preserve"> </v>
      </c>
      <c r="AB198" s="28"/>
      <c r="AC198" s="28"/>
      <c r="AD198" s="20" t="str">
        <f>IF(AB198="","",IF($F198="Bernardino Furlan",_xlfn.XLOOKUP(AB198,Cadastros!$G$6:$G$90,Cadastros!$H$6:$H$90)*(1-0.18),IF($F198="Mauro José Salanti",_xlfn.XLOOKUP(AB198,Cadastros!$G$6:$G$90,Cadastros!$H$6:$H$90)*(1-0.18),_xlfn.XLOOKUP(AB198,Cadastros!$G$6:$G$90,Cadastros!$H$6:$H$90))))</f>
        <v/>
      </c>
      <c r="AE198" s="168" t="str">
        <f t="shared" si="31"/>
        <v/>
      </c>
      <c r="AF198" s="168" t="str">
        <f t="shared" si="32"/>
        <v/>
      </c>
      <c r="AG198" s="28"/>
      <c r="AH198" s="28"/>
      <c r="AI198" s="20" t="str">
        <f>IF(AG198="","",IF($F198="Bernardino Furlan",_xlfn.XLOOKUP(AG198,Cadastros!$G$6:$G$90,Cadastros!$H$6:$H$90)*(1-0.18),IF($F198="Mauro José Salanti",_xlfn.XLOOKUP(AG198,Cadastros!$G$6:$G$90,Cadastros!$H$6:$H$90)*(1-0.18),_xlfn.XLOOKUP(AG198,Cadastros!$G$6:$G$90,Cadastros!$H$6:$H$90))))</f>
        <v/>
      </c>
      <c r="AJ198" s="168" t="str">
        <f t="shared" si="33"/>
        <v/>
      </c>
      <c r="AK198" s="168" t="str">
        <f t="shared" si="34"/>
        <v/>
      </c>
      <c r="AL198" s="28"/>
      <c r="AM198" s="28"/>
      <c r="AN198" s="20" t="str">
        <f>IF(AL198="","",IF($F198="Bernardino Furlan",_xlfn.XLOOKUP(AL198,Cadastros!$G$6:$G$90,Cadastros!$H$6:$H$90)*(1-0.18),IF($F198="Mauro José Salanti",_xlfn.XLOOKUP(AL198,Cadastros!$G$6:$G$90,Cadastros!$H$6:$H$90)*(1-0.18),_xlfn.XLOOKUP(AL198,Cadastros!$G$6:$G$90,Cadastros!$H$6:$H$90))))</f>
        <v/>
      </c>
      <c r="AO198" s="168" t="str">
        <f t="shared" si="35"/>
        <v/>
      </c>
      <c r="AP198" s="168" t="str">
        <f t="shared" si="36"/>
        <v/>
      </c>
      <c r="AQ198" s="28"/>
      <c r="AR198" s="28"/>
      <c r="AS198" s="20" t="str">
        <f>IF(AQ198="","",IF($F198="Bernardino Furlan",_xlfn.XLOOKUP(AQ198,Cadastros!$G$6:$G$90,Cadastros!$H$6:$H$90)*(1-0.18),IF($F198="Mauro José Salanti",_xlfn.XLOOKUP(AQ198,Cadastros!$G$6:$G$90,Cadastros!$H$6:$H$90)*(1-0.18),_xlfn.XLOOKUP(AQ198,Cadastros!$G$6:$G$90,Cadastros!$H$6:$H$90))))</f>
        <v/>
      </c>
      <c r="AT198" s="168" t="str">
        <f t="shared" si="37"/>
        <v/>
      </c>
      <c r="AU198" s="168" t="str">
        <f t="shared" si="38"/>
        <v/>
      </c>
      <c r="AV198" s="227"/>
      <c r="AW198" s="30"/>
      <c r="AX198" s="267"/>
      <c r="AY198" s="267"/>
      <c r="AZ198" s="29"/>
      <c r="BA198" s="30"/>
      <c r="BB198" s="23" t="str" cm="1">
        <f t="array" ref="BB198">_xlfn.IFS(AW198="SIM",SUM(K198,P198,U198,Z198,AE198,AJ198,AO198,AT198,AX198,AY198),F198&lt;&gt;"",SUM(K198,P198,U198,Z198,AE198,AJ198,,AO198,AT198),F198="","")</f>
        <v/>
      </c>
      <c r="BC198" s="211" t="str" cm="1">
        <f t="array" ref="BC198">_xlfn.IFS(E198="","",G198&lt;=E198,BB198*(1-0.03),G198&lt;(E198+8),BB198,AZ198="Boleto",BB198*(1+0.001)^DATEDIF(E198,G198,"D"),AZ198="Cheque",BB198,AZ198="Dinheiro","Alterar forma pgto")</f>
        <v/>
      </c>
      <c r="BD198" s="276" t="str" cm="1">
        <f t="array" ref="BD198">IF(F198=0," ",IF(BC198&lt;BB198,(_xlfn.IFS(AW198="SIM",SUM(L198,Q198,V198,AA198,AF198,AK198,AP198,AU198)+AX198/_xlfn.XLOOKUP(_xlfn.XLOOKUP($F198,Clientes!$B$4:$B$39,Clientes!$C$4:$C$39),Cadastros!$L$6:$L$12,Cadastros!$M$6:$M$12)+IF($F198="Bernardino Furlan",AY198/2751.92,IF($F198="Mauro José Salanti",AY198/2751.92,AY198/3356)),F198&lt;&gt;0,SUM(L198,Q198,V198,AA198,AF198,AK198,AP198,AU198)))*(1-0.03),_xlfn.IFS(AW198="SIM",SUM(L198,Q198,V198,AA198,AF198,AK198,AP198,AU198)+AX198/_xlfn.XLOOKUP(_xlfn.XLOOKUP($F198,Clientes!$B$4:$B$39,Clientes!$C$4:$C$39),Cadastros!$L$6:$L$12,Cadastros!$M$6:$M$12)+IF($F198="Bernardino Furlan",AY198/2751.92,IF($F198="Mauro José Salanti",AY198/2751.92,AY198/3356)),F198&lt;&gt;0,SUM(L198,Q198,V198,AA198,AF198,AK198,AP198,AU198))))</f>
        <v xml:space="preserve"> </v>
      </c>
      <c r="BE198" s="120"/>
      <c r="BF198" s="120"/>
      <c r="BG198" s="120"/>
    </row>
    <row r="199" spans="1:59" s="3" customFormat="1" x14ac:dyDescent="0.3">
      <c r="A199" s="15" t="str">
        <f t="shared" si="26"/>
        <v/>
      </c>
      <c r="B199" s="25"/>
      <c r="C199" s="26"/>
      <c r="D199" s="279"/>
      <c r="E199" s="27"/>
      <c r="F199" s="28"/>
      <c r="G199" s="27"/>
      <c r="H199" s="28"/>
      <c r="I199" s="28"/>
      <c r="J199" s="255" t="str">
        <f>IF(H199="","",(_xlfn.XLOOKUP(H199,Cadastros!$D$6:$D$90,Cadastros!$E$6:$E$90))*(1-_xlfn.XLOOKUP(_xlfn.XLOOKUP($F199,Clientes!$B$4:$B$39,Clientes!$C$4:$C$39),Cadastros!$L$6:$L$12,Cadastros!$N$6:$N$12)))</f>
        <v/>
      </c>
      <c r="K199" s="168" t="str">
        <f t="shared" si="27"/>
        <v/>
      </c>
      <c r="L199" s="168" t="str">
        <f>IFERROR(K199/_xlfn.XLOOKUP(_xlfn.XLOOKUP($F199,Clientes!$B$4:$B$39,Clientes!$C$4:$C$39),Cadastros!$L$6:$L$12,Cadastros!$M$6:$M$12)," ")</f>
        <v xml:space="preserve"> </v>
      </c>
      <c r="M199" s="28"/>
      <c r="N199" s="28"/>
      <c r="O199" s="255" t="str">
        <f>IF(M199="","",(_xlfn.XLOOKUP(M199,Cadastros!$D$6:$D$90,Cadastros!$E$6:$E$90))*(1-_xlfn.XLOOKUP(_xlfn.XLOOKUP($F199,Clientes!$B$4:$B$39,Clientes!$C$4:$C$39),Cadastros!$L$6:$L$12,Cadastros!$N$6:$N$12)))</f>
        <v/>
      </c>
      <c r="P199" s="168" t="str">
        <f t="shared" si="28"/>
        <v/>
      </c>
      <c r="Q199" s="168" t="str">
        <f>IFERROR(P199/_xlfn.XLOOKUP(_xlfn.XLOOKUP($F199,Clientes!$B$4:$B$39,Clientes!$C$4:$C$39),Cadastros!$L$6:$L$12,Cadastros!$M$6:$M$12)," ")</f>
        <v xml:space="preserve"> </v>
      </c>
      <c r="R199" s="28"/>
      <c r="S199" s="28"/>
      <c r="T199" s="255" t="str">
        <f>IF(R199="","",(_xlfn.XLOOKUP(R199,Cadastros!$D$6:$D$90,Cadastros!$E$6:$E$90))*(1-_xlfn.XLOOKUP(_xlfn.XLOOKUP($F199,Clientes!$B$4:$B$39,Clientes!$C$4:$C$39),Cadastros!$L$6:$L$12,Cadastros!$N$6:$N$12)))</f>
        <v/>
      </c>
      <c r="U199" s="168" t="str">
        <f t="shared" si="29"/>
        <v/>
      </c>
      <c r="V199" s="168" t="str">
        <f>IFERROR(U199/_xlfn.XLOOKUP(_xlfn.XLOOKUP($F199,Clientes!$B$4:$B$39,Clientes!$C$4:$C$39),Cadastros!$L$6:$L$12,Cadastros!$M$6:$M$12)," ")</f>
        <v xml:space="preserve"> </v>
      </c>
      <c r="W199" s="28"/>
      <c r="X199" s="28"/>
      <c r="Y199" s="255" t="str">
        <f>IF(W199="","",(_xlfn.XLOOKUP(W199,Cadastros!$D$6:$D$90,Cadastros!$E$6:$E$90))*(1-_xlfn.XLOOKUP(_xlfn.XLOOKUP($F199,Clientes!$B$4:$B$39,Clientes!$C$4:$C$39),Cadastros!$L$6:$L$12,Cadastros!$N$6:$N$12)))</f>
        <v/>
      </c>
      <c r="Z199" s="168" t="str">
        <f t="shared" si="30"/>
        <v/>
      </c>
      <c r="AA199" s="168" t="str">
        <f>IFERROR(Z199/_xlfn.XLOOKUP(_xlfn.XLOOKUP($F199,Clientes!$B$4:$B$39,Clientes!$C$4:$C$39),Cadastros!$L$6:$L$12,Cadastros!$M$6:$M$12)," ")</f>
        <v xml:space="preserve"> </v>
      </c>
      <c r="AB199" s="28"/>
      <c r="AC199" s="28"/>
      <c r="AD199" s="20" t="str">
        <f>IF(AB199="","",IF($F199="Bernardino Furlan",_xlfn.XLOOKUP(AB199,Cadastros!$G$6:$G$90,Cadastros!$H$6:$H$90)*(1-0.18),IF($F199="Mauro José Salanti",_xlfn.XLOOKUP(AB199,Cadastros!$G$6:$G$90,Cadastros!$H$6:$H$90)*(1-0.18),_xlfn.XLOOKUP(AB199,Cadastros!$G$6:$G$90,Cadastros!$H$6:$H$90))))</f>
        <v/>
      </c>
      <c r="AE199" s="168" t="str">
        <f t="shared" si="31"/>
        <v/>
      </c>
      <c r="AF199" s="168" t="str">
        <f t="shared" si="32"/>
        <v/>
      </c>
      <c r="AG199" s="28"/>
      <c r="AH199" s="28"/>
      <c r="AI199" s="20" t="str">
        <f>IF(AG199="","",IF($F199="Bernardino Furlan",_xlfn.XLOOKUP(AG199,Cadastros!$G$6:$G$90,Cadastros!$H$6:$H$90)*(1-0.18),IF($F199="Mauro José Salanti",_xlfn.XLOOKUP(AG199,Cadastros!$G$6:$G$90,Cadastros!$H$6:$H$90)*(1-0.18),_xlfn.XLOOKUP(AG199,Cadastros!$G$6:$G$90,Cadastros!$H$6:$H$90))))</f>
        <v/>
      </c>
      <c r="AJ199" s="168" t="str">
        <f t="shared" si="33"/>
        <v/>
      </c>
      <c r="AK199" s="168" t="str">
        <f t="shared" si="34"/>
        <v/>
      </c>
      <c r="AL199" s="28"/>
      <c r="AM199" s="28"/>
      <c r="AN199" s="20" t="str">
        <f>IF(AL199="","",IF($F199="Bernardino Furlan",_xlfn.XLOOKUP(AL199,Cadastros!$G$6:$G$90,Cadastros!$H$6:$H$90)*(1-0.18),IF($F199="Mauro José Salanti",_xlfn.XLOOKUP(AL199,Cadastros!$G$6:$G$90,Cadastros!$H$6:$H$90)*(1-0.18),_xlfn.XLOOKUP(AL199,Cadastros!$G$6:$G$90,Cadastros!$H$6:$H$90))))</f>
        <v/>
      </c>
      <c r="AO199" s="168" t="str">
        <f t="shared" si="35"/>
        <v/>
      </c>
      <c r="AP199" s="168" t="str">
        <f t="shared" si="36"/>
        <v/>
      </c>
      <c r="AQ199" s="28"/>
      <c r="AR199" s="28"/>
      <c r="AS199" s="20" t="str">
        <f>IF(AQ199="","",IF($F199="Bernardino Furlan",_xlfn.XLOOKUP(AQ199,Cadastros!$G$6:$G$90,Cadastros!$H$6:$H$90)*(1-0.18),IF($F199="Mauro José Salanti",_xlfn.XLOOKUP(AQ199,Cadastros!$G$6:$G$90,Cadastros!$H$6:$H$90)*(1-0.18),_xlfn.XLOOKUP(AQ199,Cadastros!$G$6:$G$90,Cadastros!$H$6:$H$90))))</f>
        <v/>
      </c>
      <c r="AT199" s="168" t="str">
        <f t="shared" si="37"/>
        <v/>
      </c>
      <c r="AU199" s="168" t="str">
        <f t="shared" si="38"/>
        <v/>
      </c>
      <c r="AV199" s="227"/>
      <c r="AW199" s="30"/>
      <c r="AX199" s="267"/>
      <c r="AY199" s="267"/>
      <c r="AZ199" s="29"/>
      <c r="BA199" s="30"/>
      <c r="BB199" s="23" t="str" cm="1">
        <f t="array" ref="BB199">_xlfn.IFS(AW199="SIM",SUM(K199,P199,U199,Z199,AE199,AJ199,AO199,AT199,AX199,AY199),F199&lt;&gt;"",SUM(K199,P199,U199,Z199,AE199,AJ199,,AO199,AT199),F199="","")</f>
        <v/>
      </c>
      <c r="BC199" s="211" t="str" cm="1">
        <f t="array" ref="BC199">_xlfn.IFS(E199="","",G199&lt;=E199,BB199*(1-0.03),G199&lt;(E199+8),BB199,AZ199="Boleto",BB199*(1+0.001)^DATEDIF(E199,G199,"D"),AZ199="Cheque",BB199,AZ199="Dinheiro","Alterar forma pgto")</f>
        <v/>
      </c>
      <c r="BD199" s="276" t="str" cm="1">
        <f t="array" ref="BD199">IF(F199=0," ",IF(BC199&lt;BB199,(_xlfn.IFS(AW199="SIM",SUM(L199,Q199,V199,AA199,AF199,AK199,AP199,AU199)+AX199/_xlfn.XLOOKUP(_xlfn.XLOOKUP($F199,Clientes!$B$4:$B$39,Clientes!$C$4:$C$39),Cadastros!$L$6:$L$12,Cadastros!$M$6:$M$12)+IF($F199="Bernardino Furlan",AY199/2751.92,IF($F199="Mauro José Salanti",AY199/2751.92,AY199/3356)),F199&lt;&gt;0,SUM(L199,Q199,V199,AA199,AF199,AK199,AP199,AU199)))*(1-0.03),_xlfn.IFS(AW199="SIM",SUM(L199,Q199,V199,AA199,AF199,AK199,AP199,AU199)+AX199/_xlfn.XLOOKUP(_xlfn.XLOOKUP($F199,Clientes!$B$4:$B$39,Clientes!$C$4:$C$39),Cadastros!$L$6:$L$12,Cadastros!$M$6:$M$12)+IF($F199="Bernardino Furlan",AY199/2751.92,IF($F199="Mauro José Salanti",AY199/2751.92,AY199/3356)),F199&lt;&gt;0,SUM(L199,Q199,V199,AA199,AF199,AK199,AP199,AU199))))</f>
        <v xml:space="preserve"> </v>
      </c>
      <c r="BE199" s="120"/>
      <c r="BF199" s="120"/>
      <c r="BG199" s="120"/>
    </row>
    <row r="200" spans="1:59" s="3" customFormat="1" x14ac:dyDescent="0.3">
      <c r="A200" s="15" t="str">
        <f t="shared" ref="A200:A263" si="39">IF(C200="orçamento",25%,IF(C200="aprovado",50%,IF(C200="entregue",100%,IF(C200="não aceito",0%,""))))</f>
        <v/>
      </c>
      <c r="B200" s="25"/>
      <c r="C200" s="26"/>
      <c r="D200" s="279"/>
      <c r="E200" s="27"/>
      <c r="F200" s="28"/>
      <c r="G200" s="27"/>
      <c r="H200" s="28"/>
      <c r="I200" s="28"/>
      <c r="J200" s="255" t="str">
        <f>IF(H200="","",(_xlfn.XLOOKUP(H200,Cadastros!$D$6:$D$90,Cadastros!$E$6:$E$90))*(1-_xlfn.XLOOKUP(_xlfn.XLOOKUP($F200,Clientes!$B$4:$B$39,Clientes!$C$4:$C$39),Cadastros!$L$6:$L$12,Cadastros!$N$6:$N$12)))</f>
        <v/>
      </c>
      <c r="K200" s="168" t="str">
        <f t="shared" ref="K200:K263" si="40">IF(J200="","",I200*J200)</f>
        <v/>
      </c>
      <c r="L200" s="168" t="str">
        <f>IFERROR(K200/_xlfn.XLOOKUP(_xlfn.XLOOKUP($F200,Clientes!$B$4:$B$39,Clientes!$C$4:$C$39),Cadastros!$L$6:$L$12,Cadastros!$M$6:$M$12)," ")</f>
        <v xml:space="preserve"> </v>
      </c>
      <c r="M200" s="28"/>
      <c r="N200" s="28"/>
      <c r="O200" s="255" t="str">
        <f>IF(M200="","",(_xlfn.XLOOKUP(M200,Cadastros!$D$6:$D$90,Cadastros!$E$6:$E$90))*(1-_xlfn.XLOOKUP(_xlfn.XLOOKUP($F200,Clientes!$B$4:$B$39,Clientes!$C$4:$C$39),Cadastros!$L$6:$L$12,Cadastros!$N$6:$N$12)))</f>
        <v/>
      </c>
      <c r="P200" s="168" t="str">
        <f t="shared" ref="P200:P263" si="41">IF(O200="","",N200*O200)</f>
        <v/>
      </c>
      <c r="Q200" s="168" t="str">
        <f>IFERROR(P200/_xlfn.XLOOKUP(_xlfn.XLOOKUP($F200,Clientes!$B$4:$B$39,Clientes!$C$4:$C$39),Cadastros!$L$6:$L$12,Cadastros!$M$6:$M$12)," ")</f>
        <v xml:space="preserve"> </v>
      </c>
      <c r="R200" s="28"/>
      <c r="S200" s="28"/>
      <c r="T200" s="255" t="str">
        <f>IF(R200="","",(_xlfn.XLOOKUP(R200,Cadastros!$D$6:$D$90,Cadastros!$E$6:$E$90))*(1-_xlfn.XLOOKUP(_xlfn.XLOOKUP($F200,Clientes!$B$4:$B$39,Clientes!$C$4:$C$39),Cadastros!$L$6:$L$12,Cadastros!$N$6:$N$12)))</f>
        <v/>
      </c>
      <c r="U200" s="168" t="str">
        <f t="shared" ref="U200:U263" si="42">IF(T200="","",S200*T200)</f>
        <v/>
      </c>
      <c r="V200" s="168" t="str">
        <f>IFERROR(U200/_xlfn.XLOOKUP(_xlfn.XLOOKUP($F200,Clientes!$B$4:$B$39,Clientes!$C$4:$C$39),Cadastros!$L$6:$L$12,Cadastros!$M$6:$M$12)," ")</f>
        <v xml:space="preserve"> </v>
      </c>
      <c r="W200" s="28"/>
      <c r="X200" s="28"/>
      <c r="Y200" s="255" t="str">
        <f>IF(W200="","",(_xlfn.XLOOKUP(W200,Cadastros!$D$6:$D$90,Cadastros!$E$6:$E$90))*(1-_xlfn.XLOOKUP(_xlfn.XLOOKUP($F200,Clientes!$B$4:$B$39,Clientes!$C$4:$C$39),Cadastros!$L$6:$L$12,Cadastros!$N$6:$N$12)))</f>
        <v/>
      </c>
      <c r="Z200" s="168" t="str">
        <f t="shared" ref="Z200:Z263" si="43">IF(Y200="","",X200*Y200)</f>
        <v/>
      </c>
      <c r="AA200" s="168" t="str">
        <f>IFERROR(Z200/_xlfn.XLOOKUP(_xlfn.XLOOKUP($F200,Clientes!$B$4:$B$39,Clientes!$C$4:$C$39),Cadastros!$L$6:$L$12,Cadastros!$M$6:$M$12)," ")</f>
        <v xml:space="preserve"> </v>
      </c>
      <c r="AB200" s="28"/>
      <c r="AC200" s="28"/>
      <c r="AD200" s="20" t="str">
        <f>IF(AB200="","",IF($F200="Bernardino Furlan",_xlfn.XLOOKUP(AB200,Cadastros!$G$6:$G$90,Cadastros!$H$6:$H$90)*(1-0.18),IF($F200="Mauro José Salanti",_xlfn.XLOOKUP(AB200,Cadastros!$G$6:$G$90,Cadastros!$H$6:$H$90)*(1-0.18),_xlfn.XLOOKUP(AB200,Cadastros!$G$6:$G$90,Cadastros!$H$6:$H$90))))</f>
        <v/>
      </c>
      <c r="AE200" s="168" t="str">
        <f t="shared" ref="AE200:AE263" si="44">IF(AD200="","",AC200*AD200)</f>
        <v/>
      </c>
      <c r="AF200" s="168" t="str">
        <f t="shared" ref="AF200:AF263" si="45">IFERROR(IF($F200="Bernardino Furlan",AE200/2751.92,IF($F200="Mauro José Salanti",AE200/2751.92,AE200/3356)),"")</f>
        <v/>
      </c>
      <c r="AG200" s="28"/>
      <c r="AH200" s="28"/>
      <c r="AI200" s="20" t="str">
        <f>IF(AG200="","",IF($F200="Bernardino Furlan",_xlfn.XLOOKUP(AG200,Cadastros!$G$6:$G$90,Cadastros!$H$6:$H$90)*(1-0.18),IF($F200="Mauro José Salanti",_xlfn.XLOOKUP(AG200,Cadastros!$G$6:$G$90,Cadastros!$H$6:$H$90)*(1-0.18),_xlfn.XLOOKUP(AG200,Cadastros!$G$6:$G$90,Cadastros!$H$6:$H$90))))</f>
        <v/>
      </c>
      <c r="AJ200" s="168" t="str">
        <f t="shared" ref="AJ200:AJ263" si="46">IF(AI200="","",AH200*AI200)</f>
        <v/>
      </c>
      <c r="AK200" s="168" t="str">
        <f t="shared" ref="AK200:AK263" si="47">IFERROR(IF($F200="Bernardino Furlan",AJ200/2751.92,IF($F200="Mauro José Salanti",AJ200/2751.92,AJ200/3356)),"")</f>
        <v/>
      </c>
      <c r="AL200" s="28"/>
      <c r="AM200" s="28"/>
      <c r="AN200" s="20" t="str">
        <f>IF(AL200="","",IF($F200="Bernardino Furlan",_xlfn.XLOOKUP(AL200,Cadastros!$G$6:$G$90,Cadastros!$H$6:$H$90)*(1-0.18),IF($F200="Mauro José Salanti",_xlfn.XLOOKUP(AL200,Cadastros!$G$6:$G$90,Cadastros!$H$6:$H$90)*(1-0.18),_xlfn.XLOOKUP(AL200,Cadastros!$G$6:$G$90,Cadastros!$H$6:$H$90))))</f>
        <v/>
      </c>
      <c r="AO200" s="168" t="str">
        <f t="shared" ref="AO200:AO263" si="48">IF(AN200="","",AM200*AN200)</f>
        <v/>
      </c>
      <c r="AP200" s="168" t="str">
        <f t="shared" ref="AP200:AP263" si="49">IFERROR(IF($F200="Bernardino Furlan",AO200/2751.92,IF($F200="Mauro José Salanti",AO200/2751.92,AO200/3356)),"")</f>
        <v/>
      </c>
      <c r="AQ200" s="28"/>
      <c r="AR200" s="28"/>
      <c r="AS200" s="20" t="str">
        <f>IF(AQ200="","",IF($F200="Bernardino Furlan",_xlfn.XLOOKUP(AQ200,Cadastros!$G$6:$G$90,Cadastros!$H$6:$H$90)*(1-0.18),IF($F200="Mauro José Salanti",_xlfn.XLOOKUP(AQ200,Cadastros!$G$6:$G$90,Cadastros!$H$6:$H$90)*(1-0.18),_xlfn.XLOOKUP(AQ200,Cadastros!$G$6:$G$90,Cadastros!$H$6:$H$90))))</f>
        <v/>
      </c>
      <c r="AT200" s="168" t="str">
        <f t="shared" ref="AT200:AT263" si="50">IF(AS200="","",AR200*AS200)</f>
        <v/>
      </c>
      <c r="AU200" s="168" t="str">
        <f t="shared" ref="AU200:AU263" si="51">IFERROR(IF($F200="Bernardino Furlan",AT200/2751.92,IF($F200="Mauro José Salanti",AT200/2751.92,AT200/3356)),"")</f>
        <v/>
      </c>
      <c r="AV200" s="227"/>
      <c r="AW200" s="30"/>
      <c r="AX200" s="267"/>
      <c r="AY200" s="267"/>
      <c r="AZ200" s="29"/>
      <c r="BA200" s="30"/>
      <c r="BB200" s="23" t="str" cm="1">
        <f t="array" ref="BB200">_xlfn.IFS(AW200="SIM",SUM(K200,P200,U200,Z200,AE200,AJ200,AO200,AT200,AX200,AY200),F200&lt;&gt;"",SUM(K200,P200,U200,Z200,AE200,AJ200,,AO200,AT200),F200="","")</f>
        <v/>
      </c>
      <c r="BC200" s="211" t="str" cm="1">
        <f t="array" ref="BC200">_xlfn.IFS(E200="","",G200&lt;=E200,BB200*(1-0.03),G200&lt;(E200+8),BB200,AZ200="Boleto",BB200*(1+0.001)^DATEDIF(E200,G200,"D"),AZ200="Cheque",BB200,AZ200="Dinheiro","Alterar forma pgto")</f>
        <v/>
      </c>
      <c r="BD200" s="276" t="str" cm="1">
        <f t="array" ref="BD200">IF(F200=0," ",IF(BC200&lt;BB200,(_xlfn.IFS(AW200="SIM",SUM(L200,Q200,V200,AA200,AF200,AK200,AP200,AU200)+AX200/_xlfn.XLOOKUP(_xlfn.XLOOKUP($F200,Clientes!$B$4:$B$39,Clientes!$C$4:$C$39),Cadastros!$L$6:$L$12,Cadastros!$M$6:$M$12)+IF($F200="Bernardino Furlan",AY200/2751.92,IF($F200="Mauro José Salanti",AY200/2751.92,AY200/3356)),F200&lt;&gt;0,SUM(L200,Q200,V200,AA200,AF200,AK200,AP200,AU200)))*(1-0.03),_xlfn.IFS(AW200="SIM",SUM(L200,Q200,V200,AA200,AF200,AK200,AP200,AU200)+AX200/_xlfn.XLOOKUP(_xlfn.XLOOKUP($F200,Clientes!$B$4:$B$39,Clientes!$C$4:$C$39),Cadastros!$L$6:$L$12,Cadastros!$M$6:$M$12)+IF($F200="Bernardino Furlan",AY200/2751.92,IF($F200="Mauro José Salanti",AY200/2751.92,AY200/3356)),F200&lt;&gt;0,SUM(L200,Q200,V200,AA200,AF200,AK200,AP200,AU200))))</f>
        <v xml:space="preserve"> </v>
      </c>
      <c r="BE200" s="120"/>
      <c r="BF200" s="120"/>
      <c r="BG200" s="120"/>
    </row>
    <row r="201" spans="1:59" s="3" customFormat="1" x14ac:dyDescent="0.3">
      <c r="A201" s="15" t="str">
        <f t="shared" si="39"/>
        <v/>
      </c>
      <c r="B201" s="25"/>
      <c r="C201" s="26"/>
      <c r="D201" s="279"/>
      <c r="E201" s="27"/>
      <c r="F201" s="28"/>
      <c r="G201" s="27"/>
      <c r="H201" s="28"/>
      <c r="I201" s="28"/>
      <c r="J201" s="255" t="str">
        <f>IF(H201="","",(_xlfn.XLOOKUP(H201,Cadastros!$D$6:$D$90,Cadastros!$E$6:$E$90))*(1-_xlfn.XLOOKUP(_xlfn.XLOOKUP($F201,Clientes!$B$4:$B$39,Clientes!$C$4:$C$39),Cadastros!$L$6:$L$12,Cadastros!$N$6:$N$12)))</f>
        <v/>
      </c>
      <c r="K201" s="168" t="str">
        <f t="shared" si="40"/>
        <v/>
      </c>
      <c r="L201" s="168" t="str">
        <f>IFERROR(K201/_xlfn.XLOOKUP(_xlfn.XLOOKUP($F201,Clientes!$B$4:$B$39,Clientes!$C$4:$C$39),Cadastros!$L$6:$L$12,Cadastros!$M$6:$M$12)," ")</f>
        <v xml:space="preserve"> </v>
      </c>
      <c r="M201" s="28"/>
      <c r="N201" s="28"/>
      <c r="O201" s="255" t="str">
        <f>IF(M201="","",(_xlfn.XLOOKUP(M201,Cadastros!$D$6:$D$90,Cadastros!$E$6:$E$90))*(1-_xlfn.XLOOKUP(_xlfn.XLOOKUP($F201,Clientes!$B$4:$B$39,Clientes!$C$4:$C$39),Cadastros!$L$6:$L$12,Cadastros!$N$6:$N$12)))</f>
        <v/>
      </c>
      <c r="P201" s="168" t="str">
        <f t="shared" si="41"/>
        <v/>
      </c>
      <c r="Q201" s="168" t="str">
        <f>IFERROR(P201/_xlfn.XLOOKUP(_xlfn.XLOOKUP($F201,Clientes!$B$4:$B$39,Clientes!$C$4:$C$39),Cadastros!$L$6:$L$12,Cadastros!$M$6:$M$12)," ")</f>
        <v xml:space="preserve"> </v>
      </c>
      <c r="R201" s="28"/>
      <c r="S201" s="28"/>
      <c r="T201" s="255" t="str">
        <f>IF(R201="","",(_xlfn.XLOOKUP(R201,Cadastros!$D$6:$D$90,Cadastros!$E$6:$E$90))*(1-_xlfn.XLOOKUP(_xlfn.XLOOKUP($F201,Clientes!$B$4:$B$39,Clientes!$C$4:$C$39),Cadastros!$L$6:$L$12,Cadastros!$N$6:$N$12)))</f>
        <v/>
      </c>
      <c r="U201" s="168" t="str">
        <f t="shared" si="42"/>
        <v/>
      </c>
      <c r="V201" s="168" t="str">
        <f>IFERROR(U201/_xlfn.XLOOKUP(_xlfn.XLOOKUP($F201,Clientes!$B$4:$B$39,Clientes!$C$4:$C$39),Cadastros!$L$6:$L$12,Cadastros!$M$6:$M$12)," ")</f>
        <v xml:space="preserve"> </v>
      </c>
      <c r="W201" s="28"/>
      <c r="X201" s="28"/>
      <c r="Y201" s="255" t="str">
        <f>IF(W201="","",(_xlfn.XLOOKUP(W201,Cadastros!$D$6:$D$90,Cadastros!$E$6:$E$90))*(1-_xlfn.XLOOKUP(_xlfn.XLOOKUP($F201,Clientes!$B$4:$B$39,Clientes!$C$4:$C$39),Cadastros!$L$6:$L$12,Cadastros!$N$6:$N$12)))</f>
        <v/>
      </c>
      <c r="Z201" s="168" t="str">
        <f t="shared" si="43"/>
        <v/>
      </c>
      <c r="AA201" s="168" t="str">
        <f>IFERROR(Z201/_xlfn.XLOOKUP(_xlfn.XLOOKUP($F201,Clientes!$B$4:$B$39,Clientes!$C$4:$C$39),Cadastros!$L$6:$L$12,Cadastros!$M$6:$M$12)," ")</f>
        <v xml:space="preserve"> </v>
      </c>
      <c r="AB201" s="28"/>
      <c r="AC201" s="28"/>
      <c r="AD201" s="20" t="str">
        <f>IF(AB201="","",IF($F201="Bernardino Furlan",_xlfn.XLOOKUP(AB201,Cadastros!$G$6:$G$90,Cadastros!$H$6:$H$90)*(1-0.18),IF($F201="Mauro José Salanti",_xlfn.XLOOKUP(AB201,Cadastros!$G$6:$G$90,Cadastros!$H$6:$H$90)*(1-0.18),_xlfn.XLOOKUP(AB201,Cadastros!$G$6:$G$90,Cadastros!$H$6:$H$90))))</f>
        <v/>
      </c>
      <c r="AE201" s="168" t="str">
        <f t="shared" si="44"/>
        <v/>
      </c>
      <c r="AF201" s="168" t="str">
        <f t="shared" si="45"/>
        <v/>
      </c>
      <c r="AG201" s="28"/>
      <c r="AH201" s="28"/>
      <c r="AI201" s="20" t="str">
        <f>IF(AG201="","",IF($F201="Bernardino Furlan",_xlfn.XLOOKUP(AG201,Cadastros!$G$6:$G$90,Cadastros!$H$6:$H$90)*(1-0.18),IF($F201="Mauro José Salanti",_xlfn.XLOOKUP(AG201,Cadastros!$G$6:$G$90,Cadastros!$H$6:$H$90)*(1-0.18),_xlfn.XLOOKUP(AG201,Cadastros!$G$6:$G$90,Cadastros!$H$6:$H$90))))</f>
        <v/>
      </c>
      <c r="AJ201" s="168" t="str">
        <f t="shared" si="46"/>
        <v/>
      </c>
      <c r="AK201" s="168" t="str">
        <f t="shared" si="47"/>
        <v/>
      </c>
      <c r="AL201" s="28"/>
      <c r="AM201" s="28"/>
      <c r="AN201" s="20" t="str">
        <f>IF(AL201="","",IF($F201="Bernardino Furlan",_xlfn.XLOOKUP(AL201,Cadastros!$G$6:$G$90,Cadastros!$H$6:$H$90)*(1-0.18),IF($F201="Mauro José Salanti",_xlfn.XLOOKUP(AL201,Cadastros!$G$6:$G$90,Cadastros!$H$6:$H$90)*(1-0.18),_xlfn.XLOOKUP(AL201,Cadastros!$G$6:$G$90,Cadastros!$H$6:$H$90))))</f>
        <v/>
      </c>
      <c r="AO201" s="168" t="str">
        <f t="shared" si="48"/>
        <v/>
      </c>
      <c r="AP201" s="168" t="str">
        <f t="shared" si="49"/>
        <v/>
      </c>
      <c r="AQ201" s="28"/>
      <c r="AR201" s="28"/>
      <c r="AS201" s="20" t="str">
        <f>IF(AQ201="","",IF($F201="Bernardino Furlan",_xlfn.XLOOKUP(AQ201,Cadastros!$G$6:$G$90,Cadastros!$H$6:$H$90)*(1-0.18),IF($F201="Mauro José Salanti",_xlfn.XLOOKUP(AQ201,Cadastros!$G$6:$G$90,Cadastros!$H$6:$H$90)*(1-0.18),_xlfn.XLOOKUP(AQ201,Cadastros!$G$6:$G$90,Cadastros!$H$6:$H$90))))</f>
        <v/>
      </c>
      <c r="AT201" s="168" t="str">
        <f t="shared" si="50"/>
        <v/>
      </c>
      <c r="AU201" s="168" t="str">
        <f t="shared" si="51"/>
        <v/>
      </c>
      <c r="AV201" s="227"/>
      <c r="AW201" s="30"/>
      <c r="AX201" s="267"/>
      <c r="AY201" s="267"/>
      <c r="AZ201" s="29"/>
      <c r="BA201" s="30"/>
      <c r="BB201" s="23" t="str" cm="1">
        <f t="array" ref="BB201">_xlfn.IFS(AW201="SIM",SUM(K201,P201,U201,Z201,AE201,AJ201,AO201,AT201,AX201,AY201),F201&lt;&gt;"",SUM(K201,P201,U201,Z201,AE201,AJ201,,AO201,AT201),F201="","")</f>
        <v/>
      </c>
      <c r="BC201" s="211" t="str" cm="1">
        <f t="array" ref="BC201">_xlfn.IFS(E201="","",G201&lt;=E201,BB201*(1-0.03),G201&lt;(E201+8),BB201,AZ201="Boleto",BB201*(1+0.001)^DATEDIF(E201,G201,"D"),AZ201="Cheque",BB201,AZ201="Dinheiro","Alterar forma pgto")</f>
        <v/>
      </c>
      <c r="BD201" s="276" t="str" cm="1">
        <f t="array" ref="BD201">IF(F201=0," ",IF(BC201&lt;BB201,(_xlfn.IFS(AW201="SIM",SUM(L201,Q201,V201,AA201,AF201,AK201,AP201,AU201)+AX201/_xlfn.XLOOKUP(_xlfn.XLOOKUP($F201,Clientes!$B$4:$B$39,Clientes!$C$4:$C$39),Cadastros!$L$6:$L$12,Cadastros!$M$6:$M$12)+IF($F201="Bernardino Furlan",AY201/2751.92,IF($F201="Mauro José Salanti",AY201/2751.92,AY201/3356)),F201&lt;&gt;0,SUM(L201,Q201,V201,AA201,AF201,AK201,AP201,AU201)))*(1-0.03),_xlfn.IFS(AW201="SIM",SUM(L201,Q201,V201,AA201,AF201,AK201,AP201,AU201)+AX201/_xlfn.XLOOKUP(_xlfn.XLOOKUP($F201,Clientes!$B$4:$B$39,Clientes!$C$4:$C$39),Cadastros!$L$6:$L$12,Cadastros!$M$6:$M$12)+IF($F201="Bernardino Furlan",AY201/2751.92,IF($F201="Mauro José Salanti",AY201/2751.92,AY201/3356)),F201&lt;&gt;0,SUM(L201,Q201,V201,AA201,AF201,AK201,AP201,AU201))))</f>
        <v xml:space="preserve"> </v>
      </c>
      <c r="BE201" s="120"/>
      <c r="BF201" s="120"/>
      <c r="BG201" s="120"/>
    </row>
    <row r="202" spans="1:59" s="3" customFormat="1" x14ac:dyDescent="0.3">
      <c r="A202" s="15" t="str">
        <f t="shared" si="39"/>
        <v/>
      </c>
      <c r="B202" s="25"/>
      <c r="C202" s="26"/>
      <c r="D202" s="279"/>
      <c r="E202" s="27"/>
      <c r="F202" s="28"/>
      <c r="G202" s="27"/>
      <c r="H202" s="28"/>
      <c r="I202" s="28"/>
      <c r="J202" s="255" t="str">
        <f>IF(H202="","",(_xlfn.XLOOKUP(H202,Cadastros!$D$6:$D$90,Cadastros!$E$6:$E$90))*(1-_xlfn.XLOOKUP(_xlfn.XLOOKUP($F202,Clientes!$B$4:$B$39,Clientes!$C$4:$C$39),Cadastros!$L$6:$L$12,Cadastros!$N$6:$N$12)))</f>
        <v/>
      </c>
      <c r="K202" s="168" t="str">
        <f t="shared" si="40"/>
        <v/>
      </c>
      <c r="L202" s="168" t="str">
        <f>IFERROR(K202/_xlfn.XLOOKUP(_xlfn.XLOOKUP($F202,Clientes!$B$4:$B$39,Clientes!$C$4:$C$39),Cadastros!$L$6:$L$12,Cadastros!$M$6:$M$12)," ")</f>
        <v xml:space="preserve"> </v>
      </c>
      <c r="M202" s="28"/>
      <c r="N202" s="28"/>
      <c r="O202" s="255" t="str">
        <f>IF(M202="","",(_xlfn.XLOOKUP(M202,Cadastros!$D$6:$D$90,Cadastros!$E$6:$E$90))*(1-_xlfn.XLOOKUP(_xlfn.XLOOKUP($F202,Clientes!$B$4:$B$39,Clientes!$C$4:$C$39),Cadastros!$L$6:$L$12,Cadastros!$N$6:$N$12)))</f>
        <v/>
      </c>
      <c r="P202" s="168" t="str">
        <f t="shared" si="41"/>
        <v/>
      </c>
      <c r="Q202" s="168" t="str">
        <f>IFERROR(P202/_xlfn.XLOOKUP(_xlfn.XLOOKUP($F202,Clientes!$B$4:$B$39,Clientes!$C$4:$C$39),Cadastros!$L$6:$L$12,Cadastros!$M$6:$M$12)," ")</f>
        <v xml:space="preserve"> </v>
      </c>
      <c r="R202" s="28"/>
      <c r="S202" s="28"/>
      <c r="T202" s="255" t="str">
        <f>IF(R202="","",(_xlfn.XLOOKUP(R202,Cadastros!$D$6:$D$90,Cadastros!$E$6:$E$90))*(1-_xlfn.XLOOKUP(_xlfn.XLOOKUP($F202,Clientes!$B$4:$B$39,Clientes!$C$4:$C$39),Cadastros!$L$6:$L$12,Cadastros!$N$6:$N$12)))</f>
        <v/>
      </c>
      <c r="U202" s="168" t="str">
        <f t="shared" si="42"/>
        <v/>
      </c>
      <c r="V202" s="168" t="str">
        <f>IFERROR(U202/_xlfn.XLOOKUP(_xlfn.XLOOKUP($F202,Clientes!$B$4:$B$39,Clientes!$C$4:$C$39),Cadastros!$L$6:$L$12,Cadastros!$M$6:$M$12)," ")</f>
        <v xml:space="preserve"> </v>
      </c>
      <c r="W202" s="28"/>
      <c r="X202" s="28"/>
      <c r="Y202" s="255" t="str">
        <f>IF(W202="","",(_xlfn.XLOOKUP(W202,Cadastros!$D$6:$D$90,Cadastros!$E$6:$E$90))*(1-_xlfn.XLOOKUP(_xlfn.XLOOKUP($F202,Clientes!$B$4:$B$39,Clientes!$C$4:$C$39),Cadastros!$L$6:$L$12,Cadastros!$N$6:$N$12)))</f>
        <v/>
      </c>
      <c r="Z202" s="168" t="str">
        <f t="shared" si="43"/>
        <v/>
      </c>
      <c r="AA202" s="168" t="str">
        <f>IFERROR(Z202/_xlfn.XLOOKUP(_xlfn.XLOOKUP($F202,Clientes!$B$4:$B$39,Clientes!$C$4:$C$39),Cadastros!$L$6:$L$12,Cadastros!$M$6:$M$12)," ")</f>
        <v xml:space="preserve"> </v>
      </c>
      <c r="AB202" s="28"/>
      <c r="AC202" s="28"/>
      <c r="AD202" s="20" t="str">
        <f>IF(AB202="","",IF($F202="Bernardino Furlan",_xlfn.XLOOKUP(AB202,Cadastros!$G$6:$G$90,Cadastros!$H$6:$H$90)*(1-0.18),IF($F202="Mauro José Salanti",_xlfn.XLOOKUP(AB202,Cadastros!$G$6:$G$90,Cadastros!$H$6:$H$90)*(1-0.18),_xlfn.XLOOKUP(AB202,Cadastros!$G$6:$G$90,Cadastros!$H$6:$H$90))))</f>
        <v/>
      </c>
      <c r="AE202" s="168" t="str">
        <f t="shared" si="44"/>
        <v/>
      </c>
      <c r="AF202" s="168" t="str">
        <f t="shared" si="45"/>
        <v/>
      </c>
      <c r="AG202" s="28"/>
      <c r="AH202" s="28"/>
      <c r="AI202" s="20" t="str">
        <f>IF(AG202="","",IF($F202="Bernardino Furlan",_xlfn.XLOOKUP(AG202,Cadastros!$G$6:$G$90,Cadastros!$H$6:$H$90)*(1-0.18),IF($F202="Mauro José Salanti",_xlfn.XLOOKUP(AG202,Cadastros!$G$6:$G$90,Cadastros!$H$6:$H$90)*(1-0.18),_xlfn.XLOOKUP(AG202,Cadastros!$G$6:$G$90,Cadastros!$H$6:$H$90))))</f>
        <v/>
      </c>
      <c r="AJ202" s="168" t="str">
        <f t="shared" si="46"/>
        <v/>
      </c>
      <c r="AK202" s="168" t="str">
        <f t="shared" si="47"/>
        <v/>
      </c>
      <c r="AL202" s="28"/>
      <c r="AM202" s="28"/>
      <c r="AN202" s="20" t="str">
        <f>IF(AL202="","",IF($F202="Bernardino Furlan",_xlfn.XLOOKUP(AL202,Cadastros!$G$6:$G$90,Cadastros!$H$6:$H$90)*(1-0.18),IF($F202="Mauro José Salanti",_xlfn.XLOOKUP(AL202,Cadastros!$G$6:$G$90,Cadastros!$H$6:$H$90)*(1-0.18),_xlfn.XLOOKUP(AL202,Cadastros!$G$6:$G$90,Cadastros!$H$6:$H$90))))</f>
        <v/>
      </c>
      <c r="AO202" s="168" t="str">
        <f t="shared" si="48"/>
        <v/>
      </c>
      <c r="AP202" s="168" t="str">
        <f t="shared" si="49"/>
        <v/>
      </c>
      <c r="AQ202" s="28"/>
      <c r="AR202" s="28"/>
      <c r="AS202" s="20" t="str">
        <f>IF(AQ202="","",IF($F202="Bernardino Furlan",_xlfn.XLOOKUP(AQ202,Cadastros!$G$6:$G$90,Cadastros!$H$6:$H$90)*(1-0.18),IF($F202="Mauro José Salanti",_xlfn.XLOOKUP(AQ202,Cadastros!$G$6:$G$90,Cadastros!$H$6:$H$90)*(1-0.18),_xlfn.XLOOKUP(AQ202,Cadastros!$G$6:$G$90,Cadastros!$H$6:$H$90))))</f>
        <v/>
      </c>
      <c r="AT202" s="168" t="str">
        <f t="shared" si="50"/>
        <v/>
      </c>
      <c r="AU202" s="168" t="str">
        <f t="shared" si="51"/>
        <v/>
      </c>
      <c r="AV202" s="227"/>
      <c r="AW202" s="30"/>
      <c r="AX202" s="267"/>
      <c r="AY202" s="267"/>
      <c r="AZ202" s="29"/>
      <c r="BA202" s="30"/>
      <c r="BB202" s="23" t="str" cm="1">
        <f t="array" ref="BB202">_xlfn.IFS(AW202="SIM",SUM(K202,P202,U202,Z202,AE202,AJ202,AO202,AT202,AX202,AY202),F202&lt;&gt;"",SUM(K202,P202,U202,Z202,AE202,AJ202,,AO202,AT202),F202="","")</f>
        <v/>
      </c>
      <c r="BC202" s="211" t="str" cm="1">
        <f t="array" ref="BC202">_xlfn.IFS(E202="","",G202&lt;=E202,BB202*(1-0.03),G202&lt;(E202+8),BB202,AZ202="Boleto",BB202*(1+0.001)^DATEDIF(E202,G202,"D"),AZ202="Cheque",BB202,AZ202="Dinheiro","Alterar forma pgto")</f>
        <v/>
      </c>
      <c r="BD202" s="276" t="str" cm="1">
        <f t="array" ref="BD202">IF(F202=0," ",IF(BC202&lt;BB202,(_xlfn.IFS(AW202="SIM",SUM(L202,Q202,V202,AA202,AF202,AK202,AP202,AU202)+AX202/_xlfn.XLOOKUP(_xlfn.XLOOKUP($F202,Clientes!$B$4:$B$39,Clientes!$C$4:$C$39),Cadastros!$L$6:$L$12,Cadastros!$M$6:$M$12)+IF($F202="Bernardino Furlan",AY202/2751.92,IF($F202="Mauro José Salanti",AY202/2751.92,AY202/3356)),F202&lt;&gt;0,SUM(L202,Q202,V202,AA202,AF202,AK202,AP202,AU202)))*(1-0.03),_xlfn.IFS(AW202="SIM",SUM(L202,Q202,V202,AA202,AF202,AK202,AP202,AU202)+AX202/_xlfn.XLOOKUP(_xlfn.XLOOKUP($F202,Clientes!$B$4:$B$39,Clientes!$C$4:$C$39),Cadastros!$L$6:$L$12,Cadastros!$M$6:$M$12)+IF($F202="Bernardino Furlan",AY202/2751.92,IF($F202="Mauro José Salanti",AY202/2751.92,AY202/3356)),F202&lt;&gt;0,SUM(L202,Q202,V202,AA202,AF202,AK202,AP202,AU202))))</f>
        <v xml:space="preserve"> </v>
      </c>
      <c r="BE202" s="120"/>
      <c r="BF202" s="120"/>
      <c r="BG202" s="120"/>
    </row>
    <row r="203" spans="1:59" s="3" customFormat="1" x14ac:dyDescent="0.3">
      <c r="A203" s="15" t="str">
        <f t="shared" si="39"/>
        <v/>
      </c>
      <c r="B203" s="34"/>
      <c r="C203" s="35"/>
      <c r="D203" s="280"/>
      <c r="E203" s="36"/>
      <c r="F203" s="37"/>
      <c r="G203" s="36"/>
      <c r="H203" s="37"/>
      <c r="I203" s="37"/>
      <c r="J203" s="255" t="str">
        <f>IF(H203="","",(_xlfn.XLOOKUP(H203,Cadastros!$D$6:$D$90,Cadastros!$E$6:$E$90))*(1-_xlfn.XLOOKUP(_xlfn.XLOOKUP($F203,Clientes!$B$4:$B$39,Clientes!$C$4:$C$39),Cadastros!$L$6:$L$12,Cadastros!$N$6:$N$12)))</f>
        <v/>
      </c>
      <c r="K203" s="168" t="str">
        <f t="shared" si="40"/>
        <v/>
      </c>
      <c r="L203" s="168" t="str">
        <f>IFERROR(K203/_xlfn.XLOOKUP(_xlfn.XLOOKUP($F203,Clientes!$B$4:$B$39,Clientes!$C$4:$C$39),Cadastros!$L$6:$L$12,Cadastros!$M$6:$M$12)," ")</f>
        <v xml:space="preserve"> </v>
      </c>
      <c r="M203" s="37"/>
      <c r="N203" s="37"/>
      <c r="O203" s="255" t="str">
        <f>IF(M203="","",(_xlfn.XLOOKUP(M203,Cadastros!$D$6:$D$90,Cadastros!$E$6:$E$90))*(1-_xlfn.XLOOKUP(_xlfn.XLOOKUP($F203,Clientes!$B$4:$B$39,Clientes!$C$4:$C$39),Cadastros!$L$6:$L$12,Cadastros!$N$6:$N$12)))</f>
        <v/>
      </c>
      <c r="P203" s="168" t="str">
        <f t="shared" si="41"/>
        <v/>
      </c>
      <c r="Q203" s="168" t="str">
        <f>IFERROR(P203/_xlfn.XLOOKUP(_xlfn.XLOOKUP($F203,Clientes!$B$4:$B$39,Clientes!$C$4:$C$39),Cadastros!$L$6:$L$12,Cadastros!$M$6:$M$12)," ")</f>
        <v xml:space="preserve"> </v>
      </c>
      <c r="R203" s="37"/>
      <c r="S203" s="37"/>
      <c r="T203" s="255" t="str">
        <f>IF(R203="","",(_xlfn.XLOOKUP(R203,Cadastros!$D$6:$D$90,Cadastros!$E$6:$E$90))*(1-_xlfn.XLOOKUP(_xlfn.XLOOKUP($F203,Clientes!$B$4:$B$39,Clientes!$C$4:$C$39),Cadastros!$L$6:$L$12,Cadastros!$N$6:$N$12)))</f>
        <v/>
      </c>
      <c r="U203" s="168" t="str">
        <f t="shared" si="42"/>
        <v/>
      </c>
      <c r="V203" s="168" t="str">
        <f>IFERROR(U203/_xlfn.XLOOKUP(_xlfn.XLOOKUP($F203,Clientes!$B$4:$B$39,Clientes!$C$4:$C$39),Cadastros!$L$6:$L$12,Cadastros!$M$6:$M$12)," ")</f>
        <v xml:space="preserve"> </v>
      </c>
      <c r="W203" s="37"/>
      <c r="X203" s="37"/>
      <c r="Y203" s="255" t="str">
        <f>IF(W203="","",(_xlfn.XLOOKUP(W203,Cadastros!$D$6:$D$90,Cadastros!$E$6:$E$90))*(1-_xlfn.XLOOKUP(_xlfn.XLOOKUP($F203,Clientes!$B$4:$B$39,Clientes!$C$4:$C$39),Cadastros!$L$6:$L$12,Cadastros!$N$6:$N$12)))</f>
        <v/>
      </c>
      <c r="Z203" s="168" t="str">
        <f t="shared" si="43"/>
        <v/>
      </c>
      <c r="AA203" s="168" t="str">
        <f>IFERROR(Z203/_xlfn.XLOOKUP(_xlfn.XLOOKUP($F203,Clientes!$B$4:$B$39,Clientes!$C$4:$C$39),Cadastros!$L$6:$L$12,Cadastros!$M$6:$M$12)," ")</f>
        <v xml:space="preserve"> </v>
      </c>
      <c r="AB203" s="37"/>
      <c r="AC203" s="37"/>
      <c r="AD203" s="20" t="str">
        <f>IF(AB203="","",IF($F203="Bernardino Furlan",_xlfn.XLOOKUP(AB203,Cadastros!$G$6:$G$90,Cadastros!$H$6:$H$90)*(1-0.18),IF($F203="Mauro José Salanti",_xlfn.XLOOKUP(AB203,Cadastros!$G$6:$G$90,Cadastros!$H$6:$H$90)*(1-0.18),_xlfn.XLOOKUP(AB203,Cadastros!$G$6:$G$90,Cadastros!$H$6:$H$90))))</f>
        <v/>
      </c>
      <c r="AE203" s="168" t="str">
        <f t="shared" si="44"/>
        <v/>
      </c>
      <c r="AF203" s="168" t="str">
        <f t="shared" si="45"/>
        <v/>
      </c>
      <c r="AG203" s="37"/>
      <c r="AH203" s="37"/>
      <c r="AI203" s="20" t="str">
        <f>IF(AG203="","",IF($F203="Bernardino Furlan",_xlfn.XLOOKUP(AG203,Cadastros!$G$6:$G$90,Cadastros!$H$6:$H$90)*(1-0.18),IF($F203="Mauro José Salanti",_xlfn.XLOOKUP(AG203,Cadastros!$G$6:$G$90,Cadastros!$H$6:$H$90)*(1-0.18),_xlfn.XLOOKUP(AG203,Cadastros!$G$6:$G$90,Cadastros!$H$6:$H$90))))</f>
        <v/>
      </c>
      <c r="AJ203" s="168" t="str">
        <f t="shared" si="46"/>
        <v/>
      </c>
      <c r="AK203" s="168" t="str">
        <f t="shared" si="47"/>
        <v/>
      </c>
      <c r="AL203" s="37"/>
      <c r="AM203" s="37"/>
      <c r="AN203" s="20" t="str">
        <f>IF(AL203="","",IF($F203="Bernardino Furlan",_xlfn.XLOOKUP(AL203,Cadastros!$G$6:$G$90,Cadastros!$H$6:$H$90)*(1-0.18),IF($F203="Mauro José Salanti",_xlfn.XLOOKUP(AL203,Cadastros!$G$6:$G$90,Cadastros!$H$6:$H$90)*(1-0.18),_xlfn.XLOOKUP(AL203,Cadastros!$G$6:$G$90,Cadastros!$H$6:$H$90))))</f>
        <v/>
      </c>
      <c r="AO203" s="168" t="str">
        <f t="shared" si="48"/>
        <v/>
      </c>
      <c r="AP203" s="168" t="str">
        <f t="shared" si="49"/>
        <v/>
      </c>
      <c r="AQ203" s="37"/>
      <c r="AR203" s="37"/>
      <c r="AS203" s="20" t="str">
        <f>IF(AQ203="","",IF($F203="Bernardino Furlan",_xlfn.XLOOKUP(AQ203,Cadastros!$G$6:$G$90,Cadastros!$H$6:$H$90)*(1-0.18),IF($F203="Mauro José Salanti",_xlfn.XLOOKUP(AQ203,Cadastros!$G$6:$G$90,Cadastros!$H$6:$H$90)*(1-0.18),_xlfn.XLOOKUP(AQ203,Cadastros!$G$6:$G$90,Cadastros!$H$6:$H$90))))</f>
        <v/>
      </c>
      <c r="AT203" s="168" t="str">
        <f t="shared" si="50"/>
        <v/>
      </c>
      <c r="AU203" s="168" t="str">
        <f t="shared" si="51"/>
        <v/>
      </c>
      <c r="AV203" s="228"/>
      <c r="AW203" s="38"/>
      <c r="AX203" s="268"/>
      <c r="AY203" s="268"/>
      <c r="AZ203" s="33"/>
      <c r="BA203" s="38"/>
      <c r="BB203" s="23" t="str" cm="1">
        <f t="array" ref="BB203">_xlfn.IFS(AW203="SIM",SUM(K203,P203,U203,Z203,AE203,AJ203,AO203,AT203,AX203,AY203),F203&lt;&gt;"",SUM(K203,P203,U203,Z203,AE203,AJ203,,AO203,AT203),F203="","")</f>
        <v/>
      </c>
      <c r="BC203" s="211" t="str" cm="1">
        <f t="array" ref="BC203">_xlfn.IFS(E203="","",G203&lt;=E203,BB203*(1-0.03),G203&lt;(E203+8),BB203,AZ203="Boleto",BB203*(1+0.001)^DATEDIF(E203,G203,"D"),AZ203="Cheque",BB203,AZ203="Dinheiro","Alterar forma pgto")</f>
        <v/>
      </c>
      <c r="BD203" s="276" t="str" cm="1">
        <f t="array" ref="BD203">IF(F203=0," ",IF(BC203&lt;BB203,(_xlfn.IFS(AW203="SIM",SUM(L203,Q203,V203,AA203,AF203,AK203,AP203,AU203)+AX203/_xlfn.XLOOKUP(_xlfn.XLOOKUP($F203,Clientes!$B$4:$B$39,Clientes!$C$4:$C$39),Cadastros!$L$6:$L$12,Cadastros!$M$6:$M$12)+IF($F203="Bernardino Furlan",AY203/2751.92,IF($F203="Mauro José Salanti",AY203/2751.92,AY203/3356)),F203&lt;&gt;0,SUM(L203,Q203,V203,AA203,AF203,AK203,AP203,AU203)))*(1-0.03),_xlfn.IFS(AW203="SIM",SUM(L203,Q203,V203,AA203,AF203,AK203,AP203,AU203)+AX203/_xlfn.XLOOKUP(_xlfn.XLOOKUP($F203,Clientes!$B$4:$B$39,Clientes!$C$4:$C$39),Cadastros!$L$6:$L$12,Cadastros!$M$6:$M$12)+IF($F203="Bernardino Furlan",AY203/2751.92,IF($F203="Mauro José Salanti",AY203/2751.92,AY203/3356)),F203&lt;&gt;0,SUM(L203,Q203,V203,AA203,AF203,AK203,AP203,AU203))))</f>
        <v xml:space="preserve"> </v>
      </c>
      <c r="BE203" s="120"/>
      <c r="BF203" s="120"/>
      <c r="BG203" s="120"/>
    </row>
    <row r="204" spans="1:59" s="3" customFormat="1" x14ac:dyDescent="0.3">
      <c r="A204" s="15" t="str">
        <f t="shared" si="39"/>
        <v/>
      </c>
      <c r="B204" s="25"/>
      <c r="C204" s="26"/>
      <c r="D204" s="279"/>
      <c r="E204" s="27"/>
      <c r="F204" s="28"/>
      <c r="G204" s="27"/>
      <c r="H204" s="28"/>
      <c r="I204" s="28"/>
      <c r="J204" s="255" t="str">
        <f>IF(H204="","",(_xlfn.XLOOKUP(H204,Cadastros!$D$6:$D$90,Cadastros!$E$6:$E$90))*(1-_xlfn.XLOOKUP(_xlfn.XLOOKUP($F204,Clientes!$B$4:$B$39,Clientes!$C$4:$C$39),Cadastros!$L$6:$L$12,Cadastros!$N$6:$N$12)))</f>
        <v/>
      </c>
      <c r="K204" s="168" t="str">
        <f t="shared" si="40"/>
        <v/>
      </c>
      <c r="L204" s="168" t="str">
        <f>IFERROR(K204/_xlfn.XLOOKUP(_xlfn.XLOOKUP($F204,Clientes!$B$4:$B$39,Clientes!$C$4:$C$39),Cadastros!$L$6:$L$12,Cadastros!$M$6:$M$12)," ")</f>
        <v xml:space="preserve"> </v>
      </c>
      <c r="M204" s="28"/>
      <c r="N204" s="28"/>
      <c r="O204" s="255" t="str">
        <f>IF(M204="","",(_xlfn.XLOOKUP(M204,Cadastros!$D$6:$D$90,Cadastros!$E$6:$E$90))*(1-_xlfn.XLOOKUP(_xlfn.XLOOKUP($F204,Clientes!$B$4:$B$39,Clientes!$C$4:$C$39),Cadastros!$L$6:$L$12,Cadastros!$N$6:$N$12)))</f>
        <v/>
      </c>
      <c r="P204" s="168" t="str">
        <f t="shared" si="41"/>
        <v/>
      </c>
      <c r="Q204" s="168" t="str">
        <f>IFERROR(P204/_xlfn.XLOOKUP(_xlfn.XLOOKUP($F204,Clientes!$B$4:$B$39,Clientes!$C$4:$C$39),Cadastros!$L$6:$L$12,Cadastros!$M$6:$M$12)," ")</f>
        <v xml:space="preserve"> </v>
      </c>
      <c r="R204" s="28"/>
      <c r="S204" s="28"/>
      <c r="T204" s="255" t="str">
        <f>IF(R204="","",(_xlfn.XLOOKUP(R204,Cadastros!$D$6:$D$90,Cadastros!$E$6:$E$90))*(1-_xlfn.XLOOKUP(_xlfn.XLOOKUP($F204,Clientes!$B$4:$B$39,Clientes!$C$4:$C$39),Cadastros!$L$6:$L$12,Cadastros!$N$6:$N$12)))</f>
        <v/>
      </c>
      <c r="U204" s="168" t="str">
        <f t="shared" si="42"/>
        <v/>
      </c>
      <c r="V204" s="168" t="str">
        <f>IFERROR(U204/_xlfn.XLOOKUP(_xlfn.XLOOKUP($F204,Clientes!$B$4:$B$39,Clientes!$C$4:$C$39),Cadastros!$L$6:$L$12,Cadastros!$M$6:$M$12)," ")</f>
        <v xml:space="preserve"> </v>
      </c>
      <c r="W204" s="28"/>
      <c r="X204" s="28"/>
      <c r="Y204" s="255" t="str">
        <f>IF(W204="","",(_xlfn.XLOOKUP(W204,Cadastros!$D$6:$D$90,Cadastros!$E$6:$E$90))*(1-_xlfn.XLOOKUP(_xlfn.XLOOKUP($F204,Clientes!$B$4:$B$39,Clientes!$C$4:$C$39),Cadastros!$L$6:$L$12,Cadastros!$N$6:$N$12)))</f>
        <v/>
      </c>
      <c r="Z204" s="168" t="str">
        <f t="shared" si="43"/>
        <v/>
      </c>
      <c r="AA204" s="168" t="str">
        <f>IFERROR(Z204/_xlfn.XLOOKUP(_xlfn.XLOOKUP($F204,Clientes!$B$4:$B$39,Clientes!$C$4:$C$39),Cadastros!$L$6:$L$12,Cadastros!$M$6:$M$12)," ")</f>
        <v xml:space="preserve"> </v>
      </c>
      <c r="AB204" s="28"/>
      <c r="AC204" s="28"/>
      <c r="AD204" s="20" t="str">
        <f>IF(AB204="","",IF($F204="Bernardino Furlan",_xlfn.XLOOKUP(AB204,Cadastros!$G$6:$G$90,Cadastros!$H$6:$H$90)*(1-0.18),IF($F204="Mauro José Salanti",_xlfn.XLOOKUP(AB204,Cadastros!$G$6:$G$90,Cadastros!$H$6:$H$90)*(1-0.18),_xlfn.XLOOKUP(AB204,Cadastros!$G$6:$G$90,Cadastros!$H$6:$H$90))))</f>
        <v/>
      </c>
      <c r="AE204" s="168" t="str">
        <f t="shared" si="44"/>
        <v/>
      </c>
      <c r="AF204" s="168" t="str">
        <f t="shared" si="45"/>
        <v/>
      </c>
      <c r="AG204" s="28"/>
      <c r="AH204" s="28"/>
      <c r="AI204" s="20" t="str">
        <f>IF(AG204="","",IF($F204="Bernardino Furlan",_xlfn.XLOOKUP(AG204,Cadastros!$G$6:$G$90,Cadastros!$H$6:$H$90)*(1-0.18),IF($F204="Mauro José Salanti",_xlfn.XLOOKUP(AG204,Cadastros!$G$6:$G$90,Cadastros!$H$6:$H$90)*(1-0.18),_xlfn.XLOOKUP(AG204,Cadastros!$G$6:$G$90,Cadastros!$H$6:$H$90))))</f>
        <v/>
      </c>
      <c r="AJ204" s="168" t="str">
        <f t="shared" si="46"/>
        <v/>
      </c>
      <c r="AK204" s="168" t="str">
        <f t="shared" si="47"/>
        <v/>
      </c>
      <c r="AL204" s="28"/>
      <c r="AM204" s="28"/>
      <c r="AN204" s="20" t="str">
        <f>IF(AL204="","",IF($F204="Bernardino Furlan",_xlfn.XLOOKUP(AL204,Cadastros!$G$6:$G$90,Cadastros!$H$6:$H$90)*(1-0.18),IF($F204="Mauro José Salanti",_xlfn.XLOOKUP(AL204,Cadastros!$G$6:$G$90,Cadastros!$H$6:$H$90)*(1-0.18),_xlfn.XLOOKUP(AL204,Cadastros!$G$6:$G$90,Cadastros!$H$6:$H$90))))</f>
        <v/>
      </c>
      <c r="AO204" s="168" t="str">
        <f t="shared" si="48"/>
        <v/>
      </c>
      <c r="AP204" s="168" t="str">
        <f t="shared" si="49"/>
        <v/>
      </c>
      <c r="AQ204" s="28"/>
      <c r="AR204" s="28"/>
      <c r="AS204" s="20" t="str">
        <f>IF(AQ204="","",IF($F204="Bernardino Furlan",_xlfn.XLOOKUP(AQ204,Cadastros!$G$6:$G$90,Cadastros!$H$6:$H$90)*(1-0.18),IF($F204="Mauro José Salanti",_xlfn.XLOOKUP(AQ204,Cadastros!$G$6:$G$90,Cadastros!$H$6:$H$90)*(1-0.18),_xlfn.XLOOKUP(AQ204,Cadastros!$G$6:$G$90,Cadastros!$H$6:$H$90))))</f>
        <v/>
      </c>
      <c r="AT204" s="168" t="str">
        <f t="shared" si="50"/>
        <v/>
      </c>
      <c r="AU204" s="168" t="str">
        <f t="shared" si="51"/>
        <v/>
      </c>
      <c r="AV204" s="227"/>
      <c r="AW204" s="30"/>
      <c r="AX204" s="267"/>
      <c r="AY204" s="267"/>
      <c r="AZ204" s="29"/>
      <c r="BA204" s="30"/>
      <c r="BB204" s="23" t="str" cm="1">
        <f t="array" ref="BB204">_xlfn.IFS(AW204="SIM",SUM(K204,P204,U204,Z204,AE204,AJ204,AO204,AT204,AX204,AY204),F204&lt;&gt;"",SUM(K204,P204,U204,Z204,AE204,AJ204,,AO204,AT204),F204="","")</f>
        <v/>
      </c>
      <c r="BC204" s="211" t="str" cm="1">
        <f t="array" ref="BC204">_xlfn.IFS(E204="","",G204&lt;=E204,BB204*(1-0.03),G204&lt;(E204+8),BB204,AZ204="Boleto",BB204*(1+0.001)^DATEDIF(E204,G204,"D"),AZ204="Cheque",BB204,AZ204="Dinheiro","Alterar forma pgto")</f>
        <v/>
      </c>
      <c r="BD204" s="276" t="str" cm="1">
        <f t="array" ref="BD204">IF(F204=0," ",IF(BC204&lt;BB204,(_xlfn.IFS(AW204="SIM",SUM(L204,Q204,V204,AA204,AF204,AK204,AP204,AU204)+AX204/_xlfn.XLOOKUP(_xlfn.XLOOKUP($F204,Clientes!$B$4:$B$39,Clientes!$C$4:$C$39),Cadastros!$L$6:$L$12,Cadastros!$M$6:$M$12)+IF($F204="Bernardino Furlan",AY204/2751.92,IF($F204="Mauro José Salanti",AY204/2751.92,AY204/3356)),F204&lt;&gt;0,SUM(L204,Q204,V204,AA204,AF204,AK204,AP204,AU204)))*(1-0.03),_xlfn.IFS(AW204="SIM",SUM(L204,Q204,V204,AA204,AF204,AK204,AP204,AU204)+AX204/_xlfn.XLOOKUP(_xlfn.XLOOKUP($F204,Clientes!$B$4:$B$39,Clientes!$C$4:$C$39),Cadastros!$L$6:$L$12,Cadastros!$M$6:$M$12)+IF($F204="Bernardino Furlan",AY204/2751.92,IF($F204="Mauro José Salanti",AY204/2751.92,AY204/3356)),F204&lt;&gt;0,SUM(L204,Q204,V204,AA204,AF204,AK204,AP204,AU204))))</f>
        <v xml:space="preserve"> </v>
      </c>
      <c r="BE204" s="120"/>
      <c r="BF204" s="120"/>
      <c r="BG204" s="120"/>
    </row>
    <row r="205" spans="1:59" s="3" customFormat="1" x14ac:dyDescent="0.3">
      <c r="A205" s="15" t="str">
        <f t="shared" si="39"/>
        <v/>
      </c>
      <c r="B205" s="25"/>
      <c r="C205" s="26"/>
      <c r="D205" s="279"/>
      <c r="E205" s="27"/>
      <c r="F205" s="28"/>
      <c r="G205" s="27"/>
      <c r="H205" s="28"/>
      <c r="I205" s="28"/>
      <c r="J205" s="255" t="str">
        <f>IF(H205="","",(_xlfn.XLOOKUP(H205,Cadastros!$D$6:$D$90,Cadastros!$E$6:$E$90))*(1-_xlfn.XLOOKUP(_xlfn.XLOOKUP($F205,Clientes!$B$4:$B$39,Clientes!$C$4:$C$39),Cadastros!$L$6:$L$12,Cadastros!$N$6:$N$12)))</f>
        <v/>
      </c>
      <c r="K205" s="168" t="str">
        <f t="shared" si="40"/>
        <v/>
      </c>
      <c r="L205" s="168" t="str">
        <f>IFERROR(K205/_xlfn.XLOOKUP(_xlfn.XLOOKUP($F205,Clientes!$B$4:$B$39,Clientes!$C$4:$C$39),Cadastros!$L$6:$L$12,Cadastros!$M$6:$M$12)," ")</f>
        <v xml:space="preserve"> </v>
      </c>
      <c r="M205" s="28"/>
      <c r="N205" s="28"/>
      <c r="O205" s="255" t="str">
        <f>IF(M205="","",(_xlfn.XLOOKUP(M205,Cadastros!$D$6:$D$90,Cadastros!$E$6:$E$90))*(1-_xlfn.XLOOKUP(_xlfn.XLOOKUP($F205,Clientes!$B$4:$B$39,Clientes!$C$4:$C$39),Cadastros!$L$6:$L$12,Cadastros!$N$6:$N$12)))</f>
        <v/>
      </c>
      <c r="P205" s="168" t="str">
        <f t="shared" si="41"/>
        <v/>
      </c>
      <c r="Q205" s="168" t="str">
        <f>IFERROR(P205/_xlfn.XLOOKUP(_xlfn.XLOOKUP($F205,Clientes!$B$4:$B$39,Clientes!$C$4:$C$39),Cadastros!$L$6:$L$12,Cadastros!$M$6:$M$12)," ")</f>
        <v xml:space="preserve"> </v>
      </c>
      <c r="R205" s="28"/>
      <c r="S205" s="28"/>
      <c r="T205" s="255" t="str">
        <f>IF(R205="","",(_xlfn.XLOOKUP(R205,Cadastros!$D$6:$D$90,Cadastros!$E$6:$E$90))*(1-_xlfn.XLOOKUP(_xlfn.XLOOKUP($F205,Clientes!$B$4:$B$39,Clientes!$C$4:$C$39),Cadastros!$L$6:$L$12,Cadastros!$N$6:$N$12)))</f>
        <v/>
      </c>
      <c r="U205" s="168" t="str">
        <f t="shared" si="42"/>
        <v/>
      </c>
      <c r="V205" s="168" t="str">
        <f>IFERROR(U205/_xlfn.XLOOKUP(_xlfn.XLOOKUP($F205,Clientes!$B$4:$B$39,Clientes!$C$4:$C$39),Cadastros!$L$6:$L$12,Cadastros!$M$6:$M$12)," ")</f>
        <v xml:space="preserve"> </v>
      </c>
      <c r="W205" s="28"/>
      <c r="X205" s="28"/>
      <c r="Y205" s="255" t="str">
        <f>IF(W205="","",(_xlfn.XLOOKUP(W205,Cadastros!$D$6:$D$90,Cadastros!$E$6:$E$90))*(1-_xlfn.XLOOKUP(_xlfn.XLOOKUP($F205,Clientes!$B$4:$B$39,Clientes!$C$4:$C$39),Cadastros!$L$6:$L$12,Cadastros!$N$6:$N$12)))</f>
        <v/>
      </c>
      <c r="Z205" s="168" t="str">
        <f t="shared" si="43"/>
        <v/>
      </c>
      <c r="AA205" s="168" t="str">
        <f>IFERROR(Z205/_xlfn.XLOOKUP(_xlfn.XLOOKUP($F205,Clientes!$B$4:$B$39,Clientes!$C$4:$C$39),Cadastros!$L$6:$L$12,Cadastros!$M$6:$M$12)," ")</f>
        <v xml:space="preserve"> </v>
      </c>
      <c r="AB205" s="28"/>
      <c r="AC205" s="28"/>
      <c r="AD205" s="20" t="str">
        <f>IF(AB205="","",IF($F205="Bernardino Furlan",_xlfn.XLOOKUP(AB205,Cadastros!$G$6:$G$90,Cadastros!$H$6:$H$90)*(1-0.18),IF($F205="Mauro José Salanti",_xlfn.XLOOKUP(AB205,Cadastros!$G$6:$G$90,Cadastros!$H$6:$H$90)*(1-0.18),_xlfn.XLOOKUP(AB205,Cadastros!$G$6:$G$90,Cadastros!$H$6:$H$90))))</f>
        <v/>
      </c>
      <c r="AE205" s="168" t="str">
        <f t="shared" si="44"/>
        <v/>
      </c>
      <c r="AF205" s="168" t="str">
        <f t="shared" si="45"/>
        <v/>
      </c>
      <c r="AG205" s="28"/>
      <c r="AH205" s="28"/>
      <c r="AI205" s="20" t="str">
        <f>IF(AG205="","",IF($F205="Bernardino Furlan",_xlfn.XLOOKUP(AG205,Cadastros!$G$6:$G$90,Cadastros!$H$6:$H$90)*(1-0.18),IF($F205="Mauro José Salanti",_xlfn.XLOOKUP(AG205,Cadastros!$G$6:$G$90,Cadastros!$H$6:$H$90)*(1-0.18),_xlfn.XLOOKUP(AG205,Cadastros!$G$6:$G$90,Cadastros!$H$6:$H$90))))</f>
        <v/>
      </c>
      <c r="AJ205" s="168" t="str">
        <f t="shared" si="46"/>
        <v/>
      </c>
      <c r="AK205" s="168" t="str">
        <f t="shared" si="47"/>
        <v/>
      </c>
      <c r="AL205" s="28"/>
      <c r="AM205" s="28"/>
      <c r="AN205" s="20" t="str">
        <f>IF(AL205="","",IF($F205="Bernardino Furlan",_xlfn.XLOOKUP(AL205,Cadastros!$G$6:$G$90,Cadastros!$H$6:$H$90)*(1-0.18),IF($F205="Mauro José Salanti",_xlfn.XLOOKUP(AL205,Cadastros!$G$6:$G$90,Cadastros!$H$6:$H$90)*(1-0.18),_xlfn.XLOOKUP(AL205,Cadastros!$G$6:$G$90,Cadastros!$H$6:$H$90))))</f>
        <v/>
      </c>
      <c r="AO205" s="168" t="str">
        <f t="shared" si="48"/>
        <v/>
      </c>
      <c r="AP205" s="168" t="str">
        <f t="shared" si="49"/>
        <v/>
      </c>
      <c r="AQ205" s="28"/>
      <c r="AR205" s="28"/>
      <c r="AS205" s="20" t="str">
        <f>IF(AQ205="","",IF($F205="Bernardino Furlan",_xlfn.XLOOKUP(AQ205,Cadastros!$G$6:$G$90,Cadastros!$H$6:$H$90)*(1-0.18),IF($F205="Mauro José Salanti",_xlfn.XLOOKUP(AQ205,Cadastros!$G$6:$G$90,Cadastros!$H$6:$H$90)*(1-0.18),_xlfn.XLOOKUP(AQ205,Cadastros!$G$6:$G$90,Cadastros!$H$6:$H$90))))</f>
        <v/>
      </c>
      <c r="AT205" s="168" t="str">
        <f t="shared" si="50"/>
        <v/>
      </c>
      <c r="AU205" s="168" t="str">
        <f t="shared" si="51"/>
        <v/>
      </c>
      <c r="AV205" s="227"/>
      <c r="AW205" s="30"/>
      <c r="AX205" s="267"/>
      <c r="AY205" s="267"/>
      <c r="AZ205" s="29"/>
      <c r="BA205" s="30"/>
      <c r="BB205" s="23" t="str" cm="1">
        <f t="array" ref="BB205">_xlfn.IFS(AW205="SIM",SUM(K205,P205,U205,Z205,AE205,AJ205,AO205,AT205,AX205,AY205),F205&lt;&gt;"",SUM(K205,P205,U205,Z205,AE205,AJ205,,AO205,AT205),F205="","")</f>
        <v/>
      </c>
      <c r="BC205" s="211" t="str" cm="1">
        <f t="array" ref="BC205">_xlfn.IFS(E205="","",G205&lt;=E205,BB205*(1-0.03),G205&lt;(E205+8),BB205,AZ205="Boleto",BB205*(1+0.001)^DATEDIF(E205,G205,"D"),AZ205="Cheque",BB205,AZ205="Dinheiro","Alterar forma pgto")</f>
        <v/>
      </c>
      <c r="BD205" s="276" t="str" cm="1">
        <f t="array" ref="BD205">IF(F205=0," ",IF(BC205&lt;BB205,(_xlfn.IFS(AW205="SIM",SUM(L205,Q205,V205,AA205,AF205,AK205,AP205,AU205)+AX205/_xlfn.XLOOKUP(_xlfn.XLOOKUP($F205,Clientes!$B$4:$B$39,Clientes!$C$4:$C$39),Cadastros!$L$6:$L$12,Cadastros!$M$6:$M$12)+IF($F205="Bernardino Furlan",AY205/2751.92,IF($F205="Mauro José Salanti",AY205/2751.92,AY205/3356)),F205&lt;&gt;0,SUM(L205,Q205,V205,AA205,AF205,AK205,AP205,AU205)))*(1-0.03),_xlfn.IFS(AW205="SIM",SUM(L205,Q205,V205,AA205,AF205,AK205,AP205,AU205)+AX205/_xlfn.XLOOKUP(_xlfn.XLOOKUP($F205,Clientes!$B$4:$B$39,Clientes!$C$4:$C$39),Cadastros!$L$6:$L$12,Cadastros!$M$6:$M$12)+IF($F205="Bernardino Furlan",AY205/2751.92,IF($F205="Mauro José Salanti",AY205/2751.92,AY205/3356)),F205&lt;&gt;0,SUM(L205,Q205,V205,AA205,AF205,AK205,AP205,AU205))))</f>
        <v xml:space="preserve"> </v>
      </c>
      <c r="BE205" s="120"/>
      <c r="BF205" s="120"/>
      <c r="BG205" s="120"/>
    </row>
    <row r="206" spans="1:59" s="3" customFormat="1" x14ac:dyDescent="0.3">
      <c r="A206" s="15" t="str">
        <f t="shared" si="39"/>
        <v/>
      </c>
      <c r="B206" s="34"/>
      <c r="C206" s="35"/>
      <c r="D206" s="280"/>
      <c r="E206" s="36"/>
      <c r="F206" s="37"/>
      <c r="G206" s="36"/>
      <c r="H206" s="37"/>
      <c r="I206" s="37"/>
      <c r="J206" s="255" t="str">
        <f>IF(H206="","",(_xlfn.XLOOKUP(H206,Cadastros!$D$6:$D$90,Cadastros!$E$6:$E$90))*(1-_xlfn.XLOOKUP(_xlfn.XLOOKUP($F206,Clientes!$B$4:$B$39,Clientes!$C$4:$C$39),Cadastros!$L$6:$L$12,Cadastros!$N$6:$N$12)))</f>
        <v/>
      </c>
      <c r="K206" s="168" t="str">
        <f t="shared" si="40"/>
        <v/>
      </c>
      <c r="L206" s="168" t="str">
        <f>IFERROR(K206/_xlfn.XLOOKUP(_xlfn.XLOOKUP($F206,Clientes!$B$4:$B$39,Clientes!$C$4:$C$39),Cadastros!$L$6:$L$12,Cadastros!$M$6:$M$12)," ")</f>
        <v xml:space="preserve"> </v>
      </c>
      <c r="M206" s="37"/>
      <c r="N206" s="37"/>
      <c r="O206" s="255" t="str">
        <f>IF(M206="","",(_xlfn.XLOOKUP(M206,Cadastros!$D$6:$D$90,Cadastros!$E$6:$E$90))*(1-_xlfn.XLOOKUP(_xlfn.XLOOKUP($F206,Clientes!$B$4:$B$39,Clientes!$C$4:$C$39),Cadastros!$L$6:$L$12,Cadastros!$N$6:$N$12)))</f>
        <v/>
      </c>
      <c r="P206" s="168" t="str">
        <f t="shared" si="41"/>
        <v/>
      </c>
      <c r="Q206" s="168" t="str">
        <f>IFERROR(P206/_xlfn.XLOOKUP(_xlfn.XLOOKUP($F206,Clientes!$B$4:$B$39,Clientes!$C$4:$C$39),Cadastros!$L$6:$L$12,Cadastros!$M$6:$M$12)," ")</f>
        <v xml:space="preserve"> </v>
      </c>
      <c r="R206" s="37"/>
      <c r="S206" s="37"/>
      <c r="T206" s="255" t="str">
        <f>IF(R206="","",(_xlfn.XLOOKUP(R206,Cadastros!$D$6:$D$90,Cadastros!$E$6:$E$90))*(1-_xlfn.XLOOKUP(_xlfn.XLOOKUP($F206,Clientes!$B$4:$B$39,Clientes!$C$4:$C$39),Cadastros!$L$6:$L$12,Cadastros!$N$6:$N$12)))</f>
        <v/>
      </c>
      <c r="U206" s="168" t="str">
        <f t="shared" si="42"/>
        <v/>
      </c>
      <c r="V206" s="168" t="str">
        <f>IFERROR(U206/_xlfn.XLOOKUP(_xlfn.XLOOKUP($F206,Clientes!$B$4:$B$39,Clientes!$C$4:$C$39),Cadastros!$L$6:$L$12,Cadastros!$M$6:$M$12)," ")</f>
        <v xml:space="preserve"> </v>
      </c>
      <c r="W206" s="37"/>
      <c r="X206" s="37"/>
      <c r="Y206" s="255" t="str">
        <f>IF(W206="","",(_xlfn.XLOOKUP(W206,Cadastros!$D$6:$D$90,Cadastros!$E$6:$E$90))*(1-_xlfn.XLOOKUP(_xlfn.XLOOKUP($F206,Clientes!$B$4:$B$39,Clientes!$C$4:$C$39),Cadastros!$L$6:$L$12,Cadastros!$N$6:$N$12)))</f>
        <v/>
      </c>
      <c r="Z206" s="168" t="str">
        <f t="shared" si="43"/>
        <v/>
      </c>
      <c r="AA206" s="168" t="str">
        <f>IFERROR(Z206/_xlfn.XLOOKUP(_xlfn.XLOOKUP($F206,Clientes!$B$4:$B$39,Clientes!$C$4:$C$39),Cadastros!$L$6:$L$12,Cadastros!$M$6:$M$12)," ")</f>
        <v xml:space="preserve"> </v>
      </c>
      <c r="AB206" s="37"/>
      <c r="AC206" s="37"/>
      <c r="AD206" s="20" t="str">
        <f>IF(AB206="","",IF($F206="Bernardino Furlan",_xlfn.XLOOKUP(AB206,Cadastros!$G$6:$G$90,Cadastros!$H$6:$H$90)*(1-0.18),IF($F206="Mauro José Salanti",_xlfn.XLOOKUP(AB206,Cadastros!$G$6:$G$90,Cadastros!$H$6:$H$90)*(1-0.18),_xlfn.XLOOKUP(AB206,Cadastros!$G$6:$G$90,Cadastros!$H$6:$H$90))))</f>
        <v/>
      </c>
      <c r="AE206" s="168" t="str">
        <f t="shared" si="44"/>
        <v/>
      </c>
      <c r="AF206" s="168" t="str">
        <f t="shared" si="45"/>
        <v/>
      </c>
      <c r="AG206" s="37"/>
      <c r="AH206" s="37"/>
      <c r="AI206" s="20" t="str">
        <f>IF(AG206="","",IF($F206="Bernardino Furlan",_xlfn.XLOOKUP(AG206,Cadastros!$G$6:$G$90,Cadastros!$H$6:$H$90)*(1-0.18),IF($F206="Mauro José Salanti",_xlfn.XLOOKUP(AG206,Cadastros!$G$6:$G$90,Cadastros!$H$6:$H$90)*(1-0.18),_xlfn.XLOOKUP(AG206,Cadastros!$G$6:$G$90,Cadastros!$H$6:$H$90))))</f>
        <v/>
      </c>
      <c r="AJ206" s="168" t="str">
        <f t="shared" si="46"/>
        <v/>
      </c>
      <c r="AK206" s="168" t="str">
        <f t="shared" si="47"/>
        <v/>
      </c>
      <c r="AL206" s="37"/>
      <c r="AM206" s="37"/>
      <c r="AN206" s="20" t="str">
        <f>IF(AL206="","",IF($F206="Bernardino Furlan",_xlfn.XLOOKUP(AL206,Cadastros!$G$6:$G$90,Cadastros!$H$6:$H$90)*(1-0.18),IF($F206="Mauro José Salanti",_xlfn.XLOOKUP(AL206,Cadastros!$G$6:$G$90,Cadastros!$H$6:$H$90)*(1-0.18),_xlfn.XLOOKUP(AL206,Cadastros!$G$6:$G$90,Cadastros!$H$6:$H$90))))</f>
        <v/>
      </c>
      <c r="AO206" s="168" t="str">
        <f t="shared" si="48"/>
        <v/>
      </c>
      <c r="AP206" s="168" t="str">
        <f t="shared" si="49"/>
        <v/>
      </c>
      <c r="AQ206" s="37"/>
      <c r="AR206" s="37"/>
      <c r="AS206" s="20" t="str">
        <f>IF(AQ206="","",IF($F206="Bernardino Furlan",_xlfn.XLOOKUP(AQ206,Cadastros!$G$6:$G$90,Cadastros!$H$6:$H$90)*(1-0.18),IF($F206="Mauro José Salanti",_xlfn.XLOOKUP(AQ206,Cadastros!$G$6:$G$90,Cadastros!$H$6:$H$90)*(1-0.18),_xlfn.XLOOKUP(AQ206,Cadastros!$G$6:$G$90,Cadastros!$H$6:$H$90))))</f>
        <v/>
      </c>
      <c r="AT206" s="168" t="str">
        <f t="shared" si="50"/>
        <v/>
      </c>
      <c r="AU206" s="168" t="str">
        <f t="shared" si="51"/>
        <v/>
      </c>
      <c r="AV206" s="228"/>
      <c r="AW206" s="38"/>
      <c r="AX206" s="268"/>
      <c r="AY206" s="268"/>
      <c r="AZ206" s="33"/>
      <c r="BA206" s="38"/>
      <c r="BB206" s="23" t="str" cm="1">
        <f t="array" ref="BB206">_xlfn.IFS(AW206="SIM",SUM(K206,P206,U206,Z206,AE206,AJ206,AO206,AT206,AX206,AY206),F206&lt;&gt;"",SUM(K206,P206,U206,Z206,AE206,AJ206,,AO206,AT206),F206="","")</f>
        <v/>
      </c>
      <c r="BC206" s="211" t="str" cm="1">
        <f t="array" ref="BC206">_xlfn.IFS(E206="","",G206&lt;=E206,BB206*(1-0.03),G206&lt;(E206+8),BB206,AZ206="Boleto",BB206*(1+0.001)^DATEDIF(E206,G206,"D"),AZ206="Cheque",BB206,AZ206="Dinheiro","Alterar forma pgto")</f>
        <v/>
      </c>
      <c r="BD206" s="276" t="str" cm="1">
        <f t="array" ref="BD206">IF(F206=0," ",IF(BC206&lt;BB206,(_xlfn.IFS(AW206="SIM",SUM(L206,Q206,V206,AA206,AF206,AK206,AP206,AU206)+AX206/_xlfn.XLOOKUP(_xlfn.XLOOKUP($F206,Clientes!$B$4:$B$39,Clientes!$C$4:$C$39),Cadastros!$L$6:$L$12,Cadastros!$M$6:$M$12)+IF($F206="Bernardino Furlan",AY206/2751.92,IF($F206="Mauro José Salanti",AY206/2751.92,AY206/3356)),F206&lt;&gt;0,SUM(L206,Q206,V206,AA206,AF206,AK206,AP206,AU206)))*(1-0.03),_xlfn.IFS(AW206="SIM",SUM(L206,Q206,V206,AA206,AF206,AK206,AP206,AU206)+AX206/_xlfn.XLOOKUP(_xlfn.XLOOKUP($F206,Clientes!$B$4:$B$39,Clientes!$C$4:$C$39),Cadastros!$L$6:$L$12,Cadastros!$M$6:$M$12)+IF($F206="Bernardino Furlan",AY206/2751.92,IF($F206="Mauro José Salanti",AY206/2751.92,AY206/3356)),F206&lt;&gt;0,SUM(L206,Q206,V206,AA206,AF206,AK206,AP206,AU206))))</f>
        <v xml:space="preserve"> </v>
      </c>
      <c r="BE206" s="120"/>
      <c r="BF206" s="120"/>
      <c r="BG206" s="120"/>
    </row>
    <row r="207" spans="1:59" s="3" customFormat="1" x14ac:dyDescent="0.3">
      <c r="A207" s="15" t="str">
        <f t="shared" si="39"/>
        <v/>
      </c>
      <c r="B207" s="25"/>
      <c r="C207" s="26"/>
      <c r="D207" s="279"/>
      <c r="E207" s="27"/>
      <c r="F207" s="28"/>
      <c r="G207" s="27"/>
      <c r="H207" s="28"/>
      <c r="I207" s="28"/>
      <c r="J207" s="255" t="str">
        <f>IF(H207="","",(_xlfn.XLOOKUP(H207,Cadastros!$D$6:$D$90,Cadastros!$E$6:$E$90))*(1-_xlfn.XLOOKUP(_xlfn.XLOOKUP($F207,Clientes!$B$4:$B$39,Clientes!$C$4:$C$39),Cadastros!$L$6:$L$12,Cadastros!$N$6:$N$12)))</f>
        <v/>
      </c>
      <c r="K207" s="168" t="str">
        <f t="shared" si="40"/>
        <v/>
      </c>
      <c r="L207" s="168" t="str">
        <f>IFERROR(K207/_xlfn.XLOOKUP(_xlfn.XLOOKUP($F207,Clientes!$B$4:$B$39,Clientes!$C$4:$C$39),Cadastros!$L$6:$L$12,Cadastros!$M$6:$M$12)," ")</f>
        <v xml:space="preserve"> </v>
      </c>
      <c r="M207" s="28"/>
      <c r="N207" s="28"/>
      <c r="O207" s="255" t="str">
        <f>IF(M207="","",(_xlfn.XLOOKUP(M207,Cadastros!$D$6:$D$90,Cadastros!$E$6:$E$90))*(1-_xlfn.XLOOKUP(_xlfn.XLOOKUP($F207,Clientes!$B$4:$B$39,Clientes!$C$4:$C$39),Cadastros!$L$6:$L$12,Cadastros!$N$6:$N$12)))</f>
        <v/>
      </c>
      <c r="P207" s="168" t="str">
        <f t="shared" si="41"/>
        <v/>
      </c>
      <c r="Q207" s="168" t="str">
        <f>IFERROR(P207/_xlfn.XLOOKUP(_xlfn.XLOOKUP($F207,Clientes!$B$4:$B$39,Clientes!$C$4:$C$39),Cadastros!$L$6:$L$12,Cadastros!$M$6:$M$12)," ")</f>
        <v xml:space="preserve"> </v>
      </c>
      <c r="R207" s="28"/>
      <c r="S207" s="28"/>
      <c r="T207" s="255" t="str">
        <f>IF(R207="","",(_xlfn.XLOOKUP(R207,Cadastros!$D$6:$D$90,Cadastros!$E$6:$E$90))*(1-_xlfn.XLOOKUP(_xlfn.XLOOKUP($F207,Clientes!$B$4:$B$39,Clientes!$C$4:$C$39),Cadastros!$L$6:$L$12,Cadastros!$N$6:$N$12)))</f>
        <v/>
      </c>
      <c r="U207" s="168" t="str">
        <f t="shared" si="42"/>
        <v/>
      </c>
      <c r="V207" s="168" t="str">
        <f>IFERROR(U207/_xlfn.XLOOKUP(_xlfn.XLOOKUP($F207,Clientes!$B$4:$B$39,Clientes!$C$4:$C$39),Cadastros!$L$6:$L$12,Cadastros!$M$6:$M$12)," ")</f>
        <v xml:space="preserve"> </v>
      </c>
      <c r="W207" s="28"/>
      <c r="X207" s="28"/>
      <c r="Y207" s="255" t="str">
        <f>IF(W207="","",(_xlfn.XLOOKUP(W207,Cadastros!$D$6:$D$90,Cadastros!$E$6:$E$90))*(1-_xlfn.XLOOKUP(_xlfn.XLOOKUP($F207,Clientes!$B$4:$B$39,Clientes!$C$4:$C$39),Cadastros!$L$6:$L$12,Cadastros!$N$6:$N$12)))</f>
        <v/>
      </c>
      <c r="Z207" s="168" t="str">
        <f t="shared" si="43"/>
        <v/>
      </c>
      <c r="AA207" s="168" t="str">
        <f>IFERROR(Z207/_xlfn.XLOOKUP(_xlfn.XLOOKUP($F207,Clientes!$B$4:$B$39,Clientes!$C$4:$C$39),Cadastros!$L$6:$L$12,Cadastros!$M$6:$M$12)," ")</f>
        <v xml:space="preserve"> </v>
      </c>
      <c r="AB207" s="28"/>
      <c r="AC207" s="28"/>
      <c r="AD207" s="20" t="str">
        <f>IF(AB207="","",IF($F207="Bernardino Furlan",_xlfn.XLOOKUP(AB207,Cadastros!$G$6:$G$90,Cadastros!$H$6:$H$90)*(1-0.18),IF($F207="Mauro José Salanti",_xlfn.XLOOKUP(AB207,Cadastros!$G$6:$G$90,Cadastros!$H$6:$H$90)*(1-0.18),_xlfn.XLOOKUP(AB207,Cadastros!$G$6:$G$90,Cadastros!$H$6:$H$90))))</f>
        <v/>
      </c>
      <c r="AE207" s="168" t="str">
        <f t="shared" si="44"/>
        <v/>
      </c>
      <c r="AF207" s="168" t="str">
        <f t="shared" si="45"/>
        <v/>
      </c>
      <c r="AG207" s="28"/>
      <c r="AH207" s="28"/>
      <c r="AI207" s="20" t="str">
        <f>IF(AG207="","",IF($F207="Bernardino Furlan",_xlfn.XLOOKUP(AG207,Cadastros!$G$6:$G$90,Cadastros!$H$6:$H$90)*(1-0.18),IF($F207="Mauro José Salanti",_xlfn.XLOOKUP(AG207,Cadastros!$G$6:$G$90,Cadastros!$H$6:$H$90)*(1-0.18),_xlfn.XLOOKUP(AG207,Cadastros!$G$6:$G$90,Cadastros!$H$6:$H$90))))</f>
        <v/>
      </c>
      <c r="AJ207" s="168" t="str">
        <f t="shared" si="46"/>
        <v/>
      </c>
      <c r="AK207" s="168" t="str">
        <f t="shared" si="47"/>
        <v/>
      </c>
      <c r="AL207" s="28"/>
      <c r="AM207" s="28"/>
      <c r="AN207" s="20" t="str">
        <f>IF(AL207="","",IF($F207="Bernardino Furlan",_xlfn.XLOOKUP(AL207,Cadastros!$G$6:$G$90,Cadastros!$H$6:$H$90)*(1-0.18),IF($F207="Mauro José Salanti",_xlfn.XLOOKUP(AL207,Cadastros!$G$6:$G$90,Cadastros!$H$6:$H$90)*(1-0.18),_xlfn.XLOOKUP(AL207,Cadastros!$G$6:$G$90,Cadastros!$H$6:$H$90))))</f>
        <v/>
      </c>
      <c r="AO207" s="168" t="str">
        <f t="shared" si="48"/>
        <v/>
      </c>
      <c r="AP207" s="168" t="str">
        <f t="shared" si="49"/>
        <v/>
      </c>
      <c r="AQ207" s="28"/>
      <c r="AR207" s="28"/>
      <c r="AS207" s="20" t="str">
        <f>IF(AQ207="","",IF($F207="Bernardino Furlan",_xlfn.XLOOKUP(AQ207,Cadastros!$G$6:$G$90,Cadastros!$H$6:$H$90)*(1-0.18),IF($F207="Mauro José Salanti",_xlfn.XLOOKUP(AQ207,Cadastros!$G$6:$G$90,Cadastros!$H$6:$H$90)*(1-0.18),_xlfn.XLOOKUP(AQ207,Cadastros!$G$6:$G$90,Cadastros!$H$6:$H$90))))</f>
        <v/>
      </c>
      <c r="AT207" s="168" t="str">
        <f t="shared" si="50"/>
        <v/>
      </c>
      <c r="AU207" s="168" t="str">
        <f t="shared" si="51"/>
        <v/>
      </c>
      <c r="AV207" s="227"/>
      <c r="AW207" s="30"/>
      <c r="AX207" s="267"/>
      <c r="AY207" s="267"/>
      <c r="AZ207" s="29"/>
      <c r="BA207" s="30"/>
      <c r="BB207" s="23" t="str" cm="1">
        <f t="array" ref="BB207">_xlfn.IFS(AW207="SIM",SUM(K207,P207,U207,Z207,AE207,AJ207,AO207,AT207,AX207,AY207),F207&lt;&gt;"",SUM(K207,P207,U207,Z207,AE207,AJ207,,AO207,AT207),F207="","")</f>
        <v/>
      </c>
      <c r="BC207" s="211" t="str" cm="1">
        <f t="array" ref="BC207">_xlfn.IFS(E207="","",G207&lt;=E207,BB207*(1-0.03),G207&lt;(E207+8),BB207,AZ207="Boleto",BB207*(1+0.001)^DATEDIF(E207,G207,"D"),AZ207="Cheque",BB207,AZ207="Dinheiro","Alterar forma pgto")</f>
        <v/>
      </c>
      <c r="BD207" s="276" t="str" cm="1">
        <f t="array" ref="BD207">IF(F207=0," ",IF(BC207&lt;BB207,(_xlfn.IFS(AW207="SIM",SUM(L207,Q207,V207,AA207,AF207,AK207,AP207,AU207)+AX207/_xlfn.XLOOKUP(_xlfn.XLOOKUP($F207,Clientes!$B$4:$B$39,Clientes!$C$4:$C$39),Cadastros!$L$6:$L$12,Cadastros!$M$6:$M$12)+IF($F207="Bernardino Furlan",AY207/2751.92,IF($F207="Mauro José Salanti",AY207/2751.92,AY207/3356)),F207&lt;&gt;0,SUM(L207,Q207,V207,AA207,AF207,AK207,AP207,AU207)))*(1-0.03),_xlfn.IFS(AW207="SIM",SUM(L207,Q207,V207,AA207,AF207,AK207,AP207,AU207)+AX207/_xlfn.XLOOKUP(_xlfn.XLOOKUP($F207,Clientes!$B$4:$B$39,Clientes!$C$4:$C$39),Cadastros!$L$6:$L$12,Cadastros!$M$6:$M$12)+IF($F207="Bernardino Furlan",AY207/2751.92,IF($F207="Mauro José Salanti",AY207/2751.92,AY207/3356)),F207&lt;&gt;0,SUM(L207,Q207,V207,AA207,AF207,AK207,AP207,AU207))))</f>
        <v xml:space="preserve"> </v>
      </c>
      <c r="BE207" s="120"/>
      <c r="BF207" s="120"/>
      <c r="BG207" s="120"/>
    </row>
    <row r="208" spans="1:59" s="3" customFormat="1" x14ac:dyDescent="0.3">
      <c r="A208" s="15" t="str">
        <f t="shared" si="39"/>
        <v/>
      </c>
      <c r="B208" s="25"/>
      <c r="C208" s="26"/>
      <c r="D208" s="279"/>
      <c r="E208" s="27"/>
      <c r="F208" s="28"/>
      <c r="G208" s="27"/>
      <c r="H208" s="28"/>
      <c r="I208" s="28"/>
      <c r="J208" s="255" t="str">
        <f>IF(H208="","",(_xlfn.XLOOKUP(H208,Cadastros!$D$6:$D$90,Cadastros!$E$6:$E$90))*(1-_xlfn.XLOOKUP(_xlfn.XLOOKUP($F208,Clientes!$B$4:$B$39,Clientes!$C$4:$C$39),Cadastros!$L$6:$L$12,Cadastros!$N$6:$N$12)))</f>
        <v/>
      </c>
      <c r="K208" s="168" t="str">
        <f t="shared" si="40"/>
        <v/>
      </c>
      <c r="L208" s="168" t="str">
        <f>IFERROR(K208/_xlfn.XLOOKUP(_xlfn.XLOOKUP($F208,Clientes!$B$4:$B$39,Clientes!$C$4:$C$39),Cadastros!$L$6:$L$12,Cadastros!$M$6:$M$12)," ")</f>
        <v xml:space="preserve"> </v>
      </c>
      <c r="M208" s="28"/>
      <c r="N208" s="28"/>
      <c r="O208" s="255" t="str">
        <f>IF(M208="","",(_xlfn.XLOOKUP(M208,Cadastros!$D$6:$D$90,Cadastros!$E$6:$E$90))*(1-_xlfn.XLOOKUP(_xlfn.XLOOKUP($F208,Clientes!$B$4:$B$39,Clientes!$C$4:$C$39),Cadastros!$L$6:$L$12,Cadastros!$N$6:$N$12)))</f>
        <v/>
      </c>
      <c r="P208" s="168" t="str">
        <f t="shared" si="41"/>
        <v/>
      </c>
      <c r="Q208" s="168" t="str">
        <f>IFERROR(P208/_xlfn.XLOOKUP(_xlfn.XLOOKUP($F208,Clientes!$B$4:$B$39,Clientes!$C$4:$C$39),Cadastros!$L$6:$L$12,Cadastros!$M$6:$M$12)," ")</f>
        <v xml:space="preserve"> </v>
      </c>
      <c r="R208" s="28"/>
      <c r="S208" s="28"/>
      <c r="T208" s="255" t="str">
        <f>IF(R208="","",(_xlfn.XLOOKUP(R208,Cadastros!$D$6:$D$90,Cadastros!$E$6:$E$90))*(1-_xlfn.XLOOKUP(_xlfn.XLOOKUP($F208,Clientes!$B$4:$B$39,Clientes!$C$4:$C$39),Cadastros!$L$6:$L$12,Cadastros!$N$6:$N$12)))</f>
        <v/>
      </c>
      <c r="U208" s="168" t="str">
        <f t="shared" si="42"/>
        <v/>
      </c>
      <c r="V208" s="168" t="str">
        <f>IFERROR(U208/_xlfn.XLOOKUP(_xlfn.XLOOKUP($F208,Clientes!$B$4:$B$39,Clientes!$C$4:$C$39),Cadastros!$L$6:$L$12,Cadastros!$M$6:$M$12)," ")</f>
        <v xml:space="preserve"> </v>
      </c>
      <c r="W208" s="28"/>
      <c r="X208" s="28"/>
      <c r="Y208" s="255" t="str">
        <f>IF(W208="","",(_xlfn.XLOOKUP(W208,Cadastros!$D$6:$D$90,Cadastros!$E$6:$E$90))*(1-_xlfn.XLOOKUP(_xlfn.XLOOKUP($F208,Clientes!$B$4:$B$39,Clientes!$C$4:$C$39),Cadastros!$L$6:$L$12,Cadastros!$N$6:$N$12)))</f>
        <v/>
      </c>
      <c r="Z208" s="168" t="str">
        <f t="shared" si="43"/>
        <v/>
      </c>
      <c r="AA208" s="168" t="str">
        <f>IFERROR(Z208/_xlfn.XLOOKUP(_xlfn.XLOOKUP($F208,Clientes!$B$4:$B$39,Clientes!$C$4:$C$39),Cadastros!$L$6:$L$12,Cadastros!$M$6:$M$12)," ")</f>
        <v xml:space="preserve"> </v>
      </c>
      <c r="AB208" s="28"/>
      <c r="AC208" s="28"/>
      <c r="AD208" s="20" t="str">
        <f>IF(AB208="","",IF($F208="Bernardino Furlan",_xlfn.XLOOKUP(AB208,Cadastros!$G$6:$G$90,Cadastros!$H$6:$H$90)*(1-0.18),IF($F208="Mauro José Salanti",_xlfn.XLOOKUP(AB208,Cadastros!$G$6:$G$90,Cadastros!$H$6:$H$90)*(1-0.18),_xlfn.XLOOKUP(AB208,Cadastros!$G$6:$G$90,Cadastros!$H$6:$H$90))))</f>
        <v/>
      </c>
      <c r="AE208" s="168" t="str">
        <f t="shared" si="44"/>
        <v/>
      </c>
      <c r="AF208" s="168" t="str">
        <f t="shared" si="45"/>
        <v/>
      </c>
      <c r="AG208" s="28"/>
      <c r="AH208" s="28"/>
      <c r="AI208" s="20" t="str">
        <f>IF(AG208="","",IF($F208="Bernardino Furlan",_xlfn.XLOOKUP(AG208,Cadastros!$G$6:$G$90,Cadastros!$H$6:$H$90)*(1-0.18),IF($F208="Mauro José Salanti",_xlfn.XLOOKUP(AG208,Cadastros!$G$6:$G$90,Cadastros!$H$6:$H$90)*(1-0.18),_xlfn.XLOOKUP(AG208,Cadastros!$G$6:$G$90,Cadastros!$H$6:$H$90))))</f>
        <v/>
      </c>
      <c r="AJ208" s="168" t="str">
        <f t="shared" si="46"/>
        <v/>
      </c>
      <c r="AK208" s="168" t="str">
        <f t="shared" si="47"/>
        <v/>
      </c>
      <c r="AL208" s="28"/>
      <c r="AM208" s="28"/>
      <c r="AN208" s="20" t="str">
        <f>IF(AL208="","",IF($F208="Bernardino Furlan",_xlfn.XLOOKUP(AL208,Cadastros!$G$6:$G$90,Cadastros!$H$6:$H$90)*(1-0.18),IF($F208="Mauro José Salanti",_xlfn.XLOOKUP(AL208,Cadastros!$G$6:$G$90,Cadastros!$H$6:$H$90)*(1-0.18),_xlfn.XLOOKUP(AL208,Cadastros!$G$6:$G$90,Cadastros!$H$6:$H$90))))</f>
        <v/>
      </c>
      <c r="AO208" s="168" t="str">
        <f t="shared" si="48"/>
        <v/>
      </c>
      <c r="AP208" s="168" t="str">
        <f t="shared" si="49"/>
        <v/>
      </c>
      <c r="AQ208" s="28"/>
      <c r="AR208" s="28"/>
      <c r="AS208" s="20" t="str">
        <f>IF(AQ208="","",IF($F208="Bernardino Furlan",_xlfn.XLOOKUP(AQ208,Cadastros!$G$6:$G$90,Cadastros!$H$6:$H$90)*(1-0.18),IF($F208="Mauro José Salanti",_xlfn.XLOOKUP(AQ208,Cadastros!$G$6:$G$90,Cadastros!$H$6:$H$90)*(1-0.18),_xlfn.XLOOKUP(AQ208,Cadastros!$G$6:$G$90,Cadastros!$H$6:$H$90))))</f>
        <v/>
      </c>
      <c r="AT208" s="168" t="str">
        <f t="shared" si="50"/>
        <v/>
      </c>
      <c r="AU208" s="168" t="str">
        <f t="shared" si="51"/>
        <v/>
      </c>
      <c r="AV208" s="227"/>
      <c r="AW208" s="30"/>
      <c r="AX208" s="267"/>
      <c r="AY208" s="267"/>
      <c r="AZ208" s="29"/>
      <c r="BA208" s="30"/>
      <c r="BB208" s="23" t="str" cm="1">
        <f t="array" ref="BB208">_xlfn.IFS(AW208="SIM",SUM(K208,P208,U208,Z208,AE208,AJ208,AO208,AT208,AX208,AY208),F208&lt;&gt;"",SUM(K208,P208,U208,Z208,AE208,AJ208,,AO208,AT208),F208="","")</f>
        <v/>
      </c>
      <c r="BC208" s="211" t="str" cm="1">
        <f t="array" ref="BC208">_xlfn.IFS(E208="","",G208&lt;=E208,BB208*(1-0.03),G208&lt;(E208+8),BB208,AZ208="Boleto",BB208*(1+0.001)^DATEDIF(E208,G208,"D"),AZ208="Cheque",BB208,AZ208="Dinheiro","Alterar forma pgto")</f>
        <v/>
      </c>
      <c r="BD208" s="276" t="str" cm="1">
        <f t="array" ref="BD208">IF(F208=0," ",IF(BC208&lt;BB208,(_xlfn.IFS(AW208="SIM",SUM(L208,Q208,V208,AA208,AF208,AK208,AP208,AU208)+AX208/_xlfn.XLOOKUP(_xlfn.XLOOKUP($F208,Clientes!$B$4:$B$39,Clientes!$C$4:$C$39),Cadastros!$L$6:$L$12,Cadastros!$M$6:$M$12)+IF($F208="Bernardino Furlan",AY208/2751.92,IF($F208="Mauro José Salanti",AY208/2751.92,AY208/3356)),F208&lt;&gt;0,SUM(L208,Q208,V208,AA208,AF208,AK208,AP208,AU208)))*(1-0.03),_xlfn.IFS(AW208="SIM",SUM(L208,Q208,V208,AA208,AF208,AK208,AP208,AU208)+AX208/_xlfn.XLOOKUP(_xlfn.XLOOKUP($F208,Clientes!$B$4:$B$39,Clientes!$C$4:$C$39),Cadastros!$L$6:$L$12,Cadastros!$M$6:$M$12)+IF($F208="Bernardino Furlan",AY208/2751.92,IF($F208="Mauro José Salanti",AY208/2751.92,AY208/3356)),F208&lt;&gt;0,SUM(L208,Q208,V208,AA208,AF208,AK208,AP208,AU208))))</f>
        <v xml:space="preserve"> </v>
      </c>
      <c r="BE208" s="120"/>
      <c r="BF208" s="120"/>
      <c r="BG208" s="120"/>
    </row>
    <row r="209" spans="1:59" s="3" customFormat="1" x14ac:dyDescent="0.3">
      <c r="A209" s="15" t="str">
        <f t="shared" si="39"/>
        <v/>
      </c>
      <c r="B209" s="25"/>
      <c r="C209" s="26"/>
      <c r="D209" s="279"/>
      <c r="E209" s="27"/>
      <c r="F209" s="28"/>
      <c r="G209" s="27"/>
      <c r="H209" s="28"/>
      <c r="I209" s="28"/>
      <c r="J209" s="255" t="str">
        <f>IF(H209="","",(_xlfn.XLOOKUP(H209,Cadastros!$D$6:$D$90,Cadastros!$E$6:$E$90))*(1-_xlfn.XLOOKUP(_xlfn.XLOOKUP($F209,Clientes!$B$4:$B$39,Clientes!$C$4:$C$39),Cadastros!$L$6:$L$12,Cadastros!$N$6:$N$12)))</f>
        <v/>
      </c>
      <c r="K209" s="168" t="str">
        <f t="shared" si="40"/>
        <v/>
      </c>
      <c r="L209" s="168" t="str">
        <f>IFERROR(K209/_xlfn.XLOOKUP(_xlfn.XLOOKUP($F209,Clientes!$B$4:$B$39,Clientes!$C$4:$C$39),Cadastros!$L$6:$L$12,Cadastros!$M$6:$M$12)," ")</f>
        <v xml:space="preserve"> </v>
      </c>
      <c r="M209" s="28"/>
      <c r="N209" s="28"/>
      <c r="O209" s="255" t="str">
        <f>IF(M209="","",(_xlfn.XLOOKUP(M209,Cadastros!$D$6:$D$90,Cadastros!$E$6:$E$90))*(1-_xlfn.XLOOKUP(_xlfn.XLOOKUP($F209,Clientes!$B$4:$B$39,Clientes!$C$4:$C$39),Cadastros!$L$6:$L$12,Cadastros!$N$6:$N$12)))</f>
        <v/>
      </c>
      <c r="P209" s="168" t="str">
        <f t="shared" si="41"/>
        <v/>
      </c>
      <c r="Q209" s="168" t="str">
        <f>IFERROR(P209/_xlfn.XLOOKUP(_xlfn.XLOOKUP($F209,Clientes!$B$4:$B$39,Clientes!$C$4:$C$39),Cadastros!$L$6:$L$12,Cadastros!$M$6:$M$12)," ")</f>
        <v xml:space="preserve"> </v>
      </c>
      <c r="R209" s="28"/>
      <c r="S209" s="28"/>
      <c r="T209" s="255" t="str">
        <f>IF(R209="","",(_xlfn.XLOOKUP(R209,Cadastros!$D$6:$D$90,Cadastros!$E$6:$E$90))*(1-_xlfn.XLOOKUP(_xlfn.XLOOKUP($F209,Clientes!$B$4:$B$39,Clientes!$C$4:$C$39),Cadastros!$L$6:$L$12,Cadastros!$N$6:$N$12)))</f>
        <v/>
      </c>
      <c r="U209" s="168" t="str">
        <f t="shared" si="42"/>
        <v/>
      </c>
      <c r="V209" s="168" t="str">
        <f>IFERROR(U209/_xlfn.XLOOKUP(_xlfn.XLOOKUP($F209,Clientes!$B$4:$B$39,Clientes!$C$4:$C$39),Cadastros!$L$6:$L$12,Cadastros!$M$6:$M$12)," ")</f>
        <v xml:space="preserve"> </v>
      </c>
      <c r="W209" s="28"/>
      <c r="X209" s="28"/>
      <c r="Y209" s="255" t="str">
        <f>IF(W209="","",(_xlfn.XLOOKUP(W209,Cadastros!$D$6:$D$90,Cadastros!$E$6:$E$90))*(1-_xlfn.XLOOKUP(_xlfn.XLOOKUP($F209,Clientes!$B$4:$B$39,Clientes!$C$4:$C$39),Cadastros!$L$6:$L$12,Cadastros!$N$6:$N$12)))</f>
        <v/>
      </c>
      <c r="Z209" s="168" t="str">
        <f t="shared" si="43"/>
        <v/>
      </c>
      <c r="AA209" s="168" t="str">
        <f>IFERROR(Z209/_xlfn.XLOOKUP(_xlfn.XLOOKUP($F209,Clientes!$B$4:$B$39,Clientes!$C$4:$C$39),Cadastros!$L$6:$L$12,Cadastros!$M$6:$M$12)," ")</f>
        <v xml:space="preserve"> </v>
      </c>
      <c r="AB209" s="28"/>
      <c r="AC209" s="28"/>
      <c r="AD209" s="20" t="str">
        <f>IF(AB209="","",IF($F209="Bernardino Furlan",_xlfn.XLOOKUP(AB209,Cadastros!$G$6:$G$90,Cadastros!$H$6:$H$90)*(1-0.18),IF($F209="Mauro José Salanti",_xlfn.XLOOKUP(AB209,Cadastros!$G$6:$G$90,Cadastros!$H$6:$H$90)*(1-0.18),_xlfn.XLOOKUP(AB209,Cadastros!$G$6:$G$90,Cadastros!$H$6:$H$90))))</f>
        <v/>
      </c>
      <c r="AE209" s="168" t="str">
        <f t="shared" si="44"/>
        <v/>
      </c>
      <c r="AF209" s="168" t="str">
        <f t="shared" si="45"/>
        <v/>
      </c>
      <c r="AG209" s="28"/>
      <c r="AH209" s="28"/>
      <c r="AI209" s="20" t="str">
        <f>IF(AG209="","",IF($F209="Bernardino Furlan",_xlfn.XLOOKUP(AG209,Cadastros!$G$6:$G$90,Cadastros!$H$6:$H$90)*(1-0.18),IF($F209="Mauro José Salanti",_xlfn.XLOOKUP(AG209,Cadastros!$G$6:$G$90,Cadastros!$H$6:$H$90)*(1-0.18),_xlfn.XLOOKUP(AG209,Cadastros!$G$6:$G$90,Cadastros!$H$6:$H$90))))</f>
        <v/>
      </c>
      <c r="AJ209" s="168" t="str">
        <f t="shared" si="46"/>
        <v/>
      </c>
      <c r="AK209" s="168" t="str">
        <f t="shared" si="47"/>
        <v/>
      </c>
      <c r="AL209" s="28"/>
      <c r="AM209" s="28"/>
      <c r="AN209" s="20" t="str">
        <f>IF(AL209="","",IF($F209="Bernardino Furlan",_xlfn.XLOOKUP(AL209,Cadastros!$G$6:$G$90,Cadastros!$H$6:$H$90)*(1-0.18),IF($F209="Mauro José Salanti",_xlfn.XLOOKUP(AL209,Cadastros!$G$6:$G$90,Cadastros!$H$6:$H$90)*(1-0.18),_xlfn.XLOOKUP(AL209,Cadastros!$G$6:$G$90,Cadastros!$H$6:$H$90))))</f>
        <v/>
      </c>
      <c r="AO209" s="168" t="str">
        <f t="shared" si="48"/>
        <v/>
      </c>
      <c r="AP209" s="168" t="str">
        <f t="shared" si="49"/>
        <v/>
      </c>
      <c r="AQ209" s="28"/>
      <c r="AR209" s="28"/>
      <c r="AS209" s="20" t="str">
        <f>IF(AQ209="","",IF($F209="Bernardino Furlan",_xlfn.XLOOKUP(AQ209,Cadastros!$G$6:$G$90,Cadastros!$H$6:$H$90)*(1-0.18),IF($F209="Mauro José Salanti",_xlfn.XLOOKUP(AQ209,Cadastros!$G$6:$G$90,Cadastros!$H$6:$H$90)*(1-0.18),_xlfn.XLOOKUP(AQ209,Cadastros!$G$6:$G$90,Cadastros!$H$6:$H$90))))</f>
        <v/>
      </c>
      <c r="AT209" s="168" t="str">
        <f t="shared" si="50"/>
        <v/>
      </c>
      <c r="AU209" s="168" t="str">
        <f t="shared" si="51"/>
        <v/>
      </c>
      <c r="AV209" s="227"/>
      <c r="AW209" s="30"/>
      <c r="AX209" s="267"/>
      <c r="AY209" s="267"/>
      <c r="AZ209" s="29"/>
      <c r="BA209" s="30"/>
      <c r="BB209" s="23" t="str" cm="1">
        <f t="array" ref="BB209">_xlfn.IFS(AW209="SIM",SUM(K209,P209,U209,Z209,AE209,AJ209,AO209,AT209,AX209,AY209),F209&lt;&gt;"",SUM(K209,P209,U209,Z209,AE209,AJ209,,AO209,AT209),F209="","")</f>
        <v/>
      </c>
      <c r="BC209" s="211" t="str" cm="1">
        <f t="array" ref="BC209">_xlfn.IFS(E209="","",G209&lt;=E209,BB209*(1-0.03),G209&lt;(E209+8),BB209,AZ209="Boleto",BB209*(1+0.001)^DATEDIF(E209,G209,"D"),AZ209="Cheque",BB209,AZ209="Dinheiro","Alterar forma pgto")</f>
        <v/>
      </c>
      <c r="BD209" s="276" t="str" cm="1">
        <f t="array" ref="BD209">IF(F209=0," ",IF(BC209&lt;BB209,(_xlfn.IFS(AW209="SIM",SUM(L209,Q209,V209,AA209,AF209,AK209,AP209,AU209)+AX209/_xlfn.XLOOKUP(_xlfn.XLOOKUP($F209,Clientes!$B$4:$B$39,Clientes!$C$4:$C$39),Cadastros!$L$6:$L$12,Cadastros!$M$6:$M$12)+IF($F209="Bernardino Furlan",AY209/2751.92,IF($F209="Mauro José Salanti",AY209/2751.92,AY209/3356)),F209&lt;&gt;0,SUM(L209,Q209,V209,AA209,AF209,AK209,AP209,AU209)))*(1-0.03),_xlfn.IFS(AW209="SIM",SUM(L209,Q209,V209,AA209,AF209,AK209,AP209,AU209)+AX209/_xlfn.XLOOKUP(_xlfn.XLOOKUP($F209,Clientes!$B$4:$B$39,Clientes!$C$4:$C$39),Cadastros!$L$6:$L$12,Cadastros!$M$6:$M$12)+IF($F209="Bernardino Furlan",AY209/2751.92,IF($F209="Mauro José Salanti",AY209/2751.92,AY209/3356)),F209&lt;&gt;0,SUM(L209,Q209,V209,AA209,AF209,AK209,AP209,AU209))))</f>
        <v xml:space="preserve"> </v>
      </c>
      <c r="BE209" s="120"/>
      <c r="BF209" s="120"/>
      <c r="BG209" s="120"/>
    </row>
    <row r="210" spans="1:59" s="3" customFormat="1" x14ac:dyDescent="0.3">
      <c r="A210" s="15" t="str">
        <f t="shared" si="39"/>
        <v/>
      </c>
      <c r="B210" s="25"/>
      <c r="C210" s="26"/>
      <c r="D210" s="279"/>
      <c r="E210" s="27"/>
      <c r="F210" s="28"/>
      <c r="G210" s="27"/>
      <c r="H210" s="28"/>
      <c r="I210" s="28"/>
      <c r="J210" s="255" t="str">
        <f>IF(H210="","",(_xlfn.XLOOKUP(H210,Cadastros!$D$6:$D$90,Cadastros!$E$6:$E$90))*(1-_xlfn.XLOOKUP(_xlfn.XLOOKUP($F210,Clientes!$B$4:$B$39,Clientes!$C$4:$C$39),Cadastros!$L$6:$L$12,Cadastros!$N$6:$N$12)))</f>
        <v/>
      </c>
      <c r="K210" s="168" t="str">
        <f t="shared" si="40"/>
        <v/>
      </c>
      <c r="L210" s="168" t="str">
        <f>IFERROR(K210/_xlfn.XLOOKUP(_xlfn.XLOOKUP($F210,Clientes!$B$4:$B$39,Clientes!$C$4:$C$39),Cadastros!$L$6:$L$12,Cadastros!$M$6:$M$12)," ")</f>
        <v xml:space="preserve"> </v>
      </c>
      <c r="M210" s="28"/>
      <c r="N210" s="28"/>
      <c r="O210" s="255" t="str">
        <f>IF(M210="","",(_xlfn.XLOOKUP(M210,Cadastros!$D$6:$D$90,Cadastros!$E$6:$E$90))*(1-_xlfn.XLOOKUP(_xlfn.XLOOKUP($F210,Clientes!$B$4:$B$39,Clientes!$C$4:$C$39),Cadastros!$L$6:$L$12,Cadastros!$N$6:$N$12)))</f>
        <v/>
      </c>
      <c r="P210" s="168" t="str">
        <f t="shared" si="41"/>
        <v/>
      </c>
      <c r="Q210" s="168" t="str">
        <f>IFERROR(P210/_xlfn.XLOOKUP(_xlfn.XLOOKUP($F210,Clientes!$B$4:$B$39,Clientes!$C$4:$C$39),Cadastros!$L$6:$L$12,Cadastros!$M$6:$M$12)," ")</f>
        <v xml:space="preserve"> </v>
      </c>
      <c r="R210" s="28"/>
      <c r="S210" s="28"/>
      <c r="T210" s="255" t="str">
        <f>IF(R210="","",(_xlfn.XLOOKUP(R210,Cadastros!$D$6:$D$90,Cadastros!$E$6:$E$90))*(1-_xlfn.XLOOKUP(_xlfn.XLOOKUP($F210,Clientes!$B$4:$B$39,Clientes!$C$4:$C$39),Cadastros!$L$6:$L$12,Cadastros!$N$6:$N$12)))</f>
        <v/>
      </c>
      <c r="U210" s="168" t="str">
        <f t="shared" si="42"/>
        <v/>
      </c>
      <c r="V210" s="168" t="str">
        <f>IFERROR(U210/_xlfn.XLOOKUP(_xlfn.XLOOKUP($F210,Clientes!$B$4:$B$39,Clientes!$C$4:$C$39),Cadastros!$L$6:$L$12,Cadastros!$M$6:$M$12)," ")</f>
        <v xml:space="preserve"> </v>
      </c>
      <c r="W210" s="28"/>
      <c r="X210" s="28"/>
      <c r="Y210" s="255" t="str">
        <f>IF(W210="","",(_xlfn.XLOOKUP(W210,Cadastros!$D$6:$D$90,Cadastros!$E$6:$E$90))*(1-_xlfn.XLOOKUP(_xlfn.XLOOKUP($F210,Clientes!$B$4:$B$39,Clientes!$C$4:$C$39),Cadastros!$L$6:$L$12,Cadastros!$N$6:$N$12)))</f>
        <v/>
      </c>
      <c r="Z210" s="168" t="str">
        <f t="shared" si="43"/>
        <v/>
      </c>
      <c r="AA210" s="168" t="str">
        <f>IFERROR(Z210/_xlfn.XLOOKUP(_xlfn.XLOOKUP($F210,Clientes!$B$4:$B$39,Clientes!$C$4:$C$39),Cadastros!$L$6:$L$12,Cadastros!$M$6:$M$12)," ")</f>
        <v xml:space="preserve"> </v>
      </c>
      <c r="AB210" s="28"/>
      <c r="AC210" s="28"/>
      <c r="AD210" s="20" t="str">
        <f>IF(AB210="","",IF($F210="Bernardino Furlan",_xlfn.XLOOKUP(AB210,Cadastros!$G$6:$G$90,Cadastros!$H$6:$H$90)*(1-0.18),IF($F210="Mauro José Salanti",_xlfn.XLOOKUP(AB210,Cadastros!$G$6:$G$90,Cadastros!$H$6:$H$90)*(1-0.18),_xlfn.XLOOKUP(AB210,Cadastros!$G$6:$G$90,Cadastros!$H$6:$H$90))))</f>
        <v/>
      </c>
      <c r="AE210" s="168" t="str">
        <f t="shared" si="44"/>
        <v/>
      </c>
      <c r="AF210" s="168" t="str">
        <f t="shared" si="45"/>
        <v/>
      </c>
      <c r="AG210" s="28"/>
      <c r="AH210" s="28"/>
      <c r="AI210" s="20" t="str">
        <f>IF(AG210="","",IF($F210="Bernardino Furlan",_xlfn.XLOOKUP(AG210,Cadastros!$G$6:$G$90,Cadastros!$H$6:$H$90)*(1-0.18),IF($F210="Mauro José Salanti",_xlfn.XLOOKUP(AG210,Cadastros!$G$6:$G$90,Cadastros!$H$6:$H$90)*(1-0.18),_xlfn.XLOOKUP(AG210,Cadastros!$G$6:$G$90,Cadastros!$H$6:$H$90))))</f>
        <v/>
      </c>
      <c r="AJ210" s="168" t="str">
        <f t="shared" si="46"/>
        <v/>
      </c>
      <c r="AK210" s="168" t="str">
        <f t="shared" si="47"/>
        <v/>
      </c>
      <c r="AL210" s="28"/>
      <c r="AM210" s="28"/>
      <c r="AN210" s="20" t="str">
        <f>IF(AL210="","",IF($F210="Bernardino Furlan",_xlfn.XLOOKUP(AL210,Cadastros!$G$6:$G$90,Cadastros!$H$6:$H$90)*(1-0.18),IF($F210="Mauro José Salanti",_xlfn.XLOOKUP(AL210,Cadastros!$G$6:$G$90,Cadastros!$H$6:$H$90)*(1-0.18),_xlfn.XLOOKUP(AL210,Cadastros!$G$6:$G$90,Cadastros!$H$6:$H$90))))</f>
        <v/>
      </c>
      <c r="AO210" s="168" t="str">
        <f t="shared" si="48"/>
        <v/>
      </c>
      <c r="AP210" s="168" t="str">
        <f t="shared" si="49"/>
        <v/>
      </c>
      <c r="AQ210" s="28"/>
      <c r="AR210" s="28"/>
      <c r="AS210" s="20" t="str">
        <f>IF(AQ210="","",IF($F210="Bernardino Furlan",_xlfn.XLOOKUP(AQ210,Cadastros!$G$6:$G$90,Cadastros!$H$6:$H$90)*(1-0.18),IF($F210="Mauro José Salanti",_xlfn.XLOOKUP(AQ210,Cadastros!$G$6:$G$90,Cadastros!$H$6:$H$90)*(1-0.18),_xlfn.XLOOKUP(AQ210,Cadastros!$G$6:$G$90,Cadastros!$H$6:$H$90))))</f>
        <v/>
      </c>
      <c r="AT210" s="168" t="str">
        <f t="shared" si="50"/>
        <v/>
      </c>
      <c r="AU210" s="168" t="str">
        <f t="shared" si="51"/>
        <v/>
      </c>
      <c r="AV210" s="227"/>
      <c r="AW210" s="30"/>
      <c r="AX210" s="267"/>
      <c r="AY210" s="267"/>
      <c r="AZ210" s="29"/>
      <c r="BA210" s="30"/>
      <c r="BB210" s="23" t="str" cm="1">
        <f t="array" ref="BB210">_xlfn.IFS(AW210="SIM",SUM(K210,P210,U210,Z210,AE210,AJ210,AO210,AT210,AX210,AY210),F210&lt;&gt;"",SUM(K210,P210,U210,Z210,AE210,AJ210,,AO210,AT210),F210="","")</f>
        <v/>
      </c>
      <c r="BC210" s="211" t="str" cm="1">
        <f t="array" ref="BC210">_xlfn.IFS(E210="","",G210&lt;=E210,BB210*(1-0.03),G210&lt;(E210+8),BB210,AZ210="Boleto",BB210*(1+0.001)^DATEDIF(E210,G210,"D"),AZ210="Cheque",BB210,AZ210="Dinheiro","Alterar forma pgto")</f>
        <v/>
      </c>
      <c r="BD210" s="276" t="str" cm="1">
        <f t="array" ref="BD210">IF(F210=0," ",IF(BC210&lt;BB210,(_xlfn.IFS(AW210="SIM",SUM(L210,Q210,V210,AA210,AF210,AK210,AP210,AU210)+AX210/_xlfn.XLOOKUP(_xlfn.XLOOKUP($F210,Clientes!$B$4:$B$39,Clientes!$C$4:$C$39),Cadastros!$L$6:$L$12,Cadastros!$M$6:$M$12)+IF($F210="Bernardino Furlan",AY210/2751.92,IF($F210="Mauro José Salanti",AY210/2751.92,AY210/3356)),F210&lt;&gt;0,SUM(L210,Q210,V210,AA210,AF210,AK210,AP210,AU210)))*(1-0.03),_xlfn.IFS(AW210="SIM",SUM(L210,Q210,V210,AA210,AF210,AK210,AP210,AU210)+AX210/_xlfn.XLOOKUP(_xlfn.XLOOKUP($F210,Clientes!$B$4:$B$39,Clientes!$C$4:$C$39),Cadastros!$L$6:$L$12,Cadastros!$M$6:$M$12)+IF($F210="Bernardino Furlan",AY210/2751.92,IF($F210="Mauro José Salanti",AY210/2751.92,AY210/3356)),F210&lt;&gt;0,SUM(L210,Q210,V210,AA210,AF210,AK210,AP210,AU210))))</f>
        <v xml:space="preserve"> </v>
      </c>
      <c r="BE210" s="120"/>
      <c r="BF210" s="120"/>
      <c r="BG210" s="120"/>
    </row>
    <row r="211" spans="1:59" s="3" customFormat="1" x14ac:dyDescent="0.3">
      <c r="A211" s="15" t="str">
        <f t="shared" si="39"/>
        <v/>
      </c>
      <c r="B211" s="25"/>
      <c r="C211" s="26"/>
      <c r="D211" s="279"/>
      <c r="E211" s="27"/>
      <c r="F211" s="28"/>
      <c r="G211" s="27"/>
      <c r="H211" s="28"/>
      <c r="I211" s="28"/>
      <c r="J211" s="255" t="str">
        <f>IF(H211="","",(_xlfn.XLOOKUP(H211,Cadastros!$D$6:$D$90,Cadastros!$E$6:$E$90))*(1-_xlfn.XLOOKUP(_xlfn.XLOOKUP($F211,Clientes!$B$4:$B$39,Clientes!$C$4:$C$39),Cadastros!$L$6:$L$12,Cadastros!$N$6:$N$12)))</f>
        <v/>
      </c>
      <c r="K211" s="168" t="str">
        <f t="shared" si="40"/>
        <v/>
      </c>
      <c r="L211" s="168" t="str">
        <f>IFERROR(K211/_xlfn.XLOOKUP(_xlfn.XLOOKUP($F211,Clientes!$B$4:$B$39,Clientes!$C$4:$C$39),Cadastros!$L$6:$L$12,Cadastros!$M$6:$M$12)," ")</f>
        <v xml:space="preserve"> </v>
      </c>
      <c r="M211" s="28"/>
      <c r="N211" s="28"/>
      <c r="O211" s="255" t="str">
        <f>IF(M211="","",(_xlfn.XLOOKUP(M211,Cadastros!$D$6:$D$90,Cadastros!$E$6:$E$90))*(1-_xlfn.XLOOKUP(_xlfn.XLOOKUP($F211,Clientes!$B$4:$B$39,Clientes!$C$4:$C$39),Cadastros!$L$6:$L$12,Cadastros!$N$6:$N$12)))</f>
        <v/>
      </c>
      <c r="P211" s="168" t="str">
        <f t="shared" si="41"/>
        <v/>
      </c>
      <c r="Q211" s="168" t="str">
        <f>IFERROR(P211/_xlfn.XLOOKUP(_xlfn.XLOOKUP($F211,Clientes!$B$4:$B$39,Clientes!$C$4:$C$39),Cadastros!$L$6:$L$12,Cadastros!$M$6:$M$12)," ")</f>
        <v xml:space="preserve"> </v>
      </c>
      <c r="R211" s="28"/>
      <c r="S211" s="28"/>
      <c r="T211" s="255" t="str">
        <f>IF(R211="","",(_xlfn.XLOOKUP(R211,Cadastros!$D$6:$D$90,Cadastros!$E$6:$E$90))*(1-_xlfn.XLOOKUP(_xlfn.XLOOKUP($F211,Clientes!$B$4:$B$39,Clientes!$C$4:$C$39),Cadastros!$L$6:$L$12,Cadastros!$N$6:$N$12)))</f>
        <v/>
      </c>
      <c r="U211" s="168" t="str">
        <f t="shared" si="42"/>
        <v/>
      </c>
      <c r="V211" s="168" t="str">
        <f>IFERROR(U211/_xlfn.XLOOKUP(_xlfn.XLOOKUP($F211,Clientes!$B$4:$B$39,Clientes!$C$4:$C$39),Cadastros!$L$6:$L$12,Cadastros!$M$6:$M$12)," ")</f>
        <v xml:space="preserve"> </v>
      </c>
      <c r="W211" s="28"/>
      <c r="X211" s="28"/>
      <c r="Y211" s="255" t="str">
        <f>IF(W211="","",(_xlfn.XLOOKUP(W211,Cadastros!$D$6:$D$90,Cadastros!$E$6:$E$90))*(1-_xlfn.XLOOKUP(_xlfn.XLOOKUP($F211,Clientes!$B$4:$B$39,Clientes!$C$4:$C$39),Cadastros!$L$6:$L$12,Cadastros!$N$6:$N$12)))</f>
        <v/>
      </c>
      <c r="Z211" s="168" t="str">
        <f t="shared" si="43"/>
        <v/>
      </c>
      <c r="AA211" s="168" t="str">
        <f>IFERROR(Z211/_xlfn.XLOOKUP(_xlfn.XLOOKUP($F211,Clientes!$B$4:$B$39,Clientes!$C$4:$C$39),Cadastros!$L$6:$L$12,Cadastros!$M$6:$M$12)," ")</f>
        <v xml:space="preserve"> </v>
      </c>
      <c r="AB211" s="28"/>
      <c r="AC211" s="28"/>
      <c r="AD211" s="20" t="str">
        <f>IF(AB211="","",IF($F211="Bernardino Furlan",_xlfn.XLOOKUP(AB211,Cadastros!$G$6:$G$90,Cadastros!$H$6:$H$90)*(1-0.18),IF($F211="Mauro José Salanti",_xlfn.XLOOKUP(AB211,Cadastros!$G$6:$G$90,Cadastros!$H$6:$H$90)*(1-0.18),_xlfn.XLOOKUP(AB211,Cadastros!$G$6:$G$90,Cadastros!$H$6:$H$90))))</f>
        <v/>
      </c>
      <c r="AE211" s="168" t="str">
        <f t="shared" si="44"/>
        <v/>
      </c>
      <c r="AF211" s="168" t="str">
        <f t="shared" si="45"/>
        <v/>
      </c>
      <c r="AG211" s="28"/>
      <c r="AH211" s="28"/>
      <c r="AI211" s="20" t="str">
        <f>IF(AG211="","",IF($F211="Bernardino Furlan",_xlfn.XLOOKUP(AG211,Cadastros!$G$6:$G$90,Cadastros!$H$6:$H$90)*(1-0.18),IF($F211="Mauro José Salanti",_xlfn.XLOOKUP(AG211,Cadastros!$G$6:$G$90,Cadastros!$H$6:$H$90)*(1-0.18),_xlfn.XLOOKUP(AG211,Cadastros!$G$6:$G$90,Cadastros!$H$6:$H$90))))</f>
        <v/>
      </c>
      <c r="AJ211" s="168" t="str">
        <f t="shared" si="46"/>
        <v/>
      </c>
      <c r="AK211" s="168" t="str">
        <f t="shared" si="47"/>
        <v/>
      </c>
      <c r="AL211" s="28"/>
      <c r="AM211" s="28"/>
      <c r="AN211" s="20" t="str">
        <f>IF(AL211="","",IF($F211="Bernardino Furlan",_xlfn.XLOOKUP(AL211,Cadastros!$G$6:$G$90,Cadastros!$H$6:$H$90)*(1-0.18),IF($F211="Mauro José Salanti",_xlfn.XLOOKUP(AL211,Cadastros!$G$6:$G$90,Cadastros!$H$6:$H$90)*(1-0.18),_xlfn.XLOOKUP(AL211,Cadastros!$G$6:$G$90,Cadastros!$H$6:$H$90))))</f>
        <v/>
      </c>
      <c r="AO211" s="168" t="str">
        <f t="shared" si="48"/>
        <v/>
      </c>
      <c r="AP211" s="168" t="str">
        <f t="shared" si="49"/>
        <v/>
      </c>
      <c r="AQ211" s="28"/>
      <c r="AR211" s="28"/>
      <c r="AS211" s="20" t="str">
        <f>IF(AQ211="","",IF($F211="Bernardino Furlan",_xlfn.XLOOKUP(AQ211,Cadastros!$G$6:$G$90,Cadastros!$H$6:$H$90)*(1-0.18),IF($F211="Mauro José Salanti",_xlfn.XLOOKUP(AQ211,Cadastros!$G$6:$G$90,Cadastros!$H$6:$H$90)*(1-0.18),_xlfn.XLOOKUP(AQ211,Cadastros!$G$6:$G$90,Cadastros!$H$6:$H$90))))</f>
        <v/>
      </c>
      <c r="AT211" s="168" t="str">
        <f t="shared" si="50"/>
        <v/>
      </c>
      <c r="AU211" s="168" t="str">
        <f t="shared" si="51"/>
        <v/>
      </c>
      <c r="AV211" s="227"/>
      <c r="AW211" s="30"/>
      <c r="AX211" s="267"/>
      <c r="AY211" s="267"/>
      <c r="AZ211" s="29"/>
      <c r="BA211" s="30"/>
      <c r="BB211" s="23" t="str" cm="1">
        <f t="array" ref="BB211">_xlfn.IFS(AW211="SIM",SUM(K211,P211,U211,Z211,AE211,AJ211,AO211,AT211,AX211,AY211),F211&lt;&gt;"",SUM(K211,P211,U211,Z211,AE211,AJ211,,AO211,AT211),F211="","")</f>
        <v/>
      </c>
      <c r="BC211" s="211" t="str" cm="1">
        <f t="array" ref="BC211">_xlfn.IFS(E211="","",G211&lt;=E211,BB211*(1-0.03),G211&lt;(E211+8),BB211,AZ211="Boleto",BB211*(1+0.001)^DATEDIF(E211,G211,"D"),AZ211="Cheque",BB211,AZ211="Dinheiro","Alterar forma pgto")</f>
        <v/>
      </c>
      <c r="BD211" s="276" t="str" cm="1">
        <f t="array" ref="BD211">IF(F211=0," ",IF(BC211&lt;BB211,(_xlfn.IFS(AW211="SIM",SUM(L211,Q211,V211,AA211,AF211,AK211,AP211,AU211)+AX211/_xlfn.XLOOKUP(_xlfn.XLOOKUP($F211,Clientes!$B$4:$B$39,Clientes!$C$4:$C$39),Cadastros!$L$6:$L$12,Cadastros!$M$6:$M$12)+IF($F211="Bernardino Furlan",AY211/2751.92,IF($F211="Mauro José Salanti",AY211/2751.92,AY211/3356)),F211&lt;&gt;0,SUM(L211,Q211,V211,AA211,AF211,AK211,AP211,AU211)))*(1-0.03),_xlfn.IFS(AW211="SIM",SUM(L211,Q211,V211,AA211,AF211,AK211,AP211,AU211)+AX211/_xlfn.XLOOKUP(_xlfn.XLOOKUP($F211,Clientes!$B$4:$B$39,Clientes!$C$4:$C$39),Cadastros!$L$6:$L$12,Cadastros!$M$6:$M$12)+IF($F211="Bernardino Furlan",AY211/2751.92,IF($F211="Mauro José Salanti",AY211/2751.92,AY211/3356)),F211&lt;&gt;0,SUM(L211,Q211,V211,AA211,AF211,AK211,AP211,AU211))))</f>
        <v xml:space="preserve"> </v>
      </c>
      <c r="BE211" s="120"/>
      <c r="BF211" s="120"/>
      <c r="BG211" s="120"/>
    </row>
    <row r="212" spans="1:59" s="3" customFormat="1" x14ac:dyDescent="0.3">
      <c r="A212" s="15" t="str">
        <f t="shared" si="39"/>
        <v/>
      </c>
      <c r="B212" s="25"/>
      <c r="C212" s="26"/>
      <c r="D212" s="279"/>
      <c r="E212" s="27"/>
      <c r="F212" s="28"/>
      <c r="G212" s="27"/>
      <c r="H212" s="28"/>
      <c r="I212" s="28"/>
      <c r="J212" s="255" t="str">
        <f>IF(H212="","",(_xlfn.XLOOKUP(H212,Cadastros!$D$6:$D$90,Cadastros!$E$6:$E$90))*(1-_xlfn.XLOOKUP(_xlfn.XLOOKUP($F212,Clientes!$B$4:$B$39,Clientes!$C$4:$C$39),Cadastros!$L$6:$L$12,Cadastros!$N$6:$N$12)))</f>
        <v/>
      </c>
      <c r="K212" s="168" t="str">
        <f t="shared" si="40"/>
        <v/>
      </c>
      <c r="L212" s="168" t="str">
        <f>IFERROR(K212/_xlfn.XLOOKUP(_xlfn.XLOOKUP($F212,Clientes!$B$4:$B$39,Clientes!$C$4:$C$39),Cadastros!$L$6:$L$12,Cadastros!$M$6:$M$12)," ")</f>
        <v xml:space="preserve"> </v>
      </c>
      <c r="M212" s="28"/>
      <c r="N212" s="28"/>
      <c r="O212" s="255" t="str">
        <f>IF(M212="","",(_xlfn.XLOOKUP(M212,Cadastros!$D$6:$D$90,Cadastros!$E$6:$E$90))*(1-_xlfn.XLOOKUP(_xlfn.XLOOKUP($F212,Clientes!$B$4:$B$39,Clientes!$C$4:$C$39),Cadastros!$L$6:$L$12,Cadastros!$N$6:$N$12)))</f>
        <v/>
      </c>
      <c r="P212" s="168" t="str">
        <f t="shared" si="41"/>
        <v/>
      </c>
      <c r="Q212" s="168" t="str">
        <f>IFERROR(P212/_xlfn.XLOOKUP(_xlfn.XLOOKUP($F212,Clientes!$B$4:$B$39,Clientes!$C$4:$C$39),Cadastros!$L$6:$L$12,Cadastros!$M$6:$M$12)," ")</f>
        <v xml:space="preserve"> </v>
      </c>
      <c r="R212" s="28"/>
      <c r="S212" s="28"/>
      <c r="T212" s="255" t="str">
        <f>IF(R212="","",(_xlfn.XLOOKUP(R212,Cadastros!$D$6:$D$90,Cadastros!$E$6:$E$90))*(1-_xlfn.XLOOKUP(_xlfn.XLOOKUP($F212,Clientes!$B$4:$B$39,Clientes!$C$4:$C$39),Cadastros!$L$6:$L$12,Cadastros!$N$6:$N$12)))</f>
        <v/>
      </c>
      <c r="U212" s="168" t="str">
        <f t="shared" si="42"/>
        <v/>
      </c>
      <c r="V212" s="168" t="str">
        <f>IFERROR(U212/_xlfn.XLOOKUP(_xlfn.XLOOKUP($F212,Clientes!$B$4:$B$39,Clientes!$C$4:$C$39),Cadastros!$L$6:$L$12,Cadastros!$M$6:$M$12)," ")</f>
        <v xml:space="preserve"> </v>
      </c>
      <c r="W212" s="28"/>
      <c r="X212" s="28"/>
      <c r="Y212" s="255" t="str">
        <f>IF(W212="","",(_xlfn.XLOOKUP(W212,Cadastros!$D$6:$D$90,Cadastros!$E$6:$E$90))*(1-_xlfn.XLOOKUP(_xlfn.XLOOKUP($F212,Clientes!$B$4:$B$39,Clientes!$C$4:$C$39),Cadastros!$L$6:$L$12,Cadastros!$N$6:$N$12)))</f>
        <v/>
      </c>
      <c r="Z212" s="168" t="str">
        <f t="shared" si="43"/>
        <v/>
      </c>
      <c r="AA212" s="168" t="str">
        <f>IFERROR(Z212/_xlfn.XLOOKUP(_xlfn.XLOOKUP($F212,Clientes!$B$4:$B$39,Clientes!$C$4:$C$39),Cadastros!$L$6:$L$12,Cadastros!$M$6:$M$12)," ")</f>
        <v xml:space="preserve"> </v>
      </c>
      <c r="AB212" s="28"/>
      <c r="AC212" s="28"/>
      <c r="AD212" s="20" t="str">
        <f>IF(AB212="","",IF($F212="Bernardino Furlan",_xlfn.XLOOKUP(AB212,Cadastros!$G$6:$G$90,Cadastros!$H$6:$H$90)*(1-0.18),IF($F212="Mauro José Salanti",_xlfn.XLOOKUP(AB212,Cadastros!$G$6:$G$90,Cadastros!$H$6:$H$90)*(1-0.18),_xlfn.XLOOKUP(AB212,Cadastros!$G$6:$G$90,Cadastros!$H$6:$H$90))))</f>
        <v/>
      </c>
      <c r="AE212" s="168" t="str">
        <f t="shared" si="44"/>
        <v/>
      </c>
      <c r="AF212" s="168" t="str">
        <f t="shared" si="45"/>
        <v/>
      </c>
      <c r="AG212" s="28"/>
      <c r="AH212" s="28"/>
      <c r="AI212" s="20" t="str">
        <f>IF(AG212="","",IF($F212="Bernardino Furlan",_xlfn.XLOOKUP(AG212,Cadastros!$G$6:$G$90,Cadastros!$H$6:$H$90)*(1-0.18),IF($F212="Mauro José Salanti",_xlfn.XLOOKUP(AG212,Cadastros!$G$6:$G$90,Cadastros!$H$6:$H$90)*(1-0.18),_xlfn.XLOOKUP(AG212,Cadastros!$G$6:$G$90,Cadastros!$H$6:$H$90))))</f>
        <v/>
      </c>
      <c r="AJ212" s="168" t="str">
        <f t="shared" si="46"/>
        <v/>
      </c>
      <c r="AK212" s="168" t="str">
        <f t="shared" si="47"/>
        <v/>
      </c>
      <c r="AL212" s="28"/>
      <c r="AM212" s="28"/>
      <c r="AN212" s="20" t="str">
        <f>IF(AL212="","",IF($F212="Bernardino Furlan",_xlfn.XLOOKUP(AL212,Cadastros!$G$6:$G$90,Cadastros!$H$6:$H$90)*(1-0.18),IF($F212="Mauro José Salanti",_xlfn.XLOOKUP(AL212,Cadastros!$G$6:$G$90,Cadastros!$H$6:$H$90)*(1-0.18),_xlfn.XLOOKUP(AL212,Cadastros!$G$6:$G$90,Cadastros!$H$6:$H$90))))</f>
        <v/>
      </c>
      <c r="AO212" s="168" t="str">
        <f t="shared" si="48"/>
        <v/>
      </c>
      <c r="AP212" s="168" t="str">
        <f t="shared" si="49"/>
        <v/>
      </c>
      <c r="AQ212" s="28"/>
      <c r="AR212" s="28"/>
      <c r="AS212" s="20" t="str">
        <f>IF(AQ212="","",IF($F212="Bernardino Furlan",_xlfn.XLOOKUP(AQ212,Cadastros!$G$6:$G$90,Cadastros!$H$6:$H$90)*(1-0.18),IF($F212="Mauro José Salanti",_xlfn.XLOOKUP(AQ212,Cadastros!$G$6:$G$90,Cadastros!$H$6:$H$90)*(1-0.18),_xlfn.XLOOKUP(AQ212,Cadastros!$G$6:$G$90,Cadastros!$H$6:$H$90))))</f>
        <v/>
      </c>
      <c r="AT212" s="168" t="str">
        <f t="shared" si="50"/>
        <v/>
      </c>
      <c r="AU212" s="168" t="str">
        <f t="shared" si="51"/>
        <v/>
      </c>
      <c r="AV212" s="227"/>
      <c r="AW212" s="30"/>
      <c r="AX212" s="267"/>
      <c r="AY212" s="267"/>
      <c r="AZ212" s="29"/>
      <c r="BA212" s="30"/>
      <c r="BB212" s="23" t="str" cm="1">
        <f t="array" ref="BB212">_xlfn.IFS(AW212="SIM",SUM(K212,P212,U212,Z212,AE212,AJ212,AO212,AT212,AX212,AY212),F212&lt;&gt;"",SUM(K212,P212,U212,Z212,AE212,AJ212,,AO212,AT212),F212="","")</f>
        <v/>
      </c>
      <c r="BC212" s="211" t="str" cm="1">
        <f t="array" ref="BC212">_xlfn.IFS(E212="","",G212&lt;=E212,BB212*(1-0.03),G212&lt;(E212+8),BB212,AZ212="Boleto",BB212*(1+0.001)^DATEDIF(E212,G212,"D"),AZ212="Cheque",BB212,AZ212="Dinheiro","Alterar forma pgto")</f>
        <v/>
      </c>
      <c r="BD212" s="276" t="str" cm="1">
        <f t="array" ref="BD212">IF(F212=0," ",IF(BC212&lt;BB212,(_xlfn.IFS(AW212="SIM",SUM(L212,Q212,V212,AA212,AF212,AK212,AP212,AU212)+AX212/_xlfn.XLOOKUP(_xlfn.XLOOKUP($F212,Clientes!$B$4:$B$39,Clientes!$C$4:$C$39),Cadastros!$L$6:$L$12,Cadastros!$M$6:$M$12)+IF($F212="Bernardino Furlan",AY212/2751.92,IF($F212="Mauro José Salanti",AY212/2751.92,AY212/3356)),F212&lt;&gt;0,SUM(L212,Q212,V212,AA212,AF212,AK212,AP212,AU212)))*(1-0.03),_xlfn.IFS(AW212="SIM",SUM(L212,Q212,V212,AA212,AF212,AK212,AP212,AU212)+AX212/_xlfn.XLOOKUP(_xlfn.XLOOKUP($F212,Clientes!$B$4:$B$39,Clientes!$C$4:$C$39),Cadastros!$L$6:$L$12,Cadastros!$M$6:$M$12)+IF($F212="Bernardino Furlan",AY212/2751.92,IF($F212="Mauro José Salanti",AY212/2751.92,AY212/3356)),F212&lt;&gt;0,SUM(L212,Q212,V212,AA212,AF212,AK212,AP212,AU212))))</f>
        <v xml:space="preserve"> </v>
      </c>
      <c r="BE212" s="120"/>
      <c r="BF212" s="120"/>
      <c r="BG212" s="120"/>
    </row>
    <row r="213" spans="1:59" s="3" customFormat="1" x14ac:dyDescent="0.3">
      <c r="A213" s="15" t="str">
        <f t="shared" si="39"/>
        <v/>
      </c>
      <c r="B213" s="25"/>
      <c r="C213" s="26"/>
      <c r="D213" s="279"/>
      <c r="E213" s="27"/>
      <c r="F213" s="28"/>
      <c r="G213" s="27"/>
      <c r="H213" s="28"/>
      <c r="I213" s="28"/>
      <c r="J213" s="255" t="str">
        <f>IF(H213="","",(_xlfn.XLOOKUP(H213,Cadastros!$D$6:$D$90,Cadastros!$E$6:$E$90))*(1-_xlfn.XLOOKUP(_xlfn.XLOOKUP($F213,Clientes!$B$4:$B$39,Clientes!$C$4:$C$39),Cadastros!$L$6:$L$12,Cadastros!$N$6:$N$12)))</f>
        <v/>
      </c>
      <c r="K213" s="168" t="str">
        <f t="shared" si="40"/>
        <v/>
      </c>
      <c r="L213" s="168" t="str">
        <f>IFERROR(K213/_xlfn.XLOOKUP(_xlfn.XLOOKUP($F213,Clientes!$B$4:$B$39,Clientes!$C$4:$C$39),Cadastros!$L$6:$L$12,Cadastros!$M$6:$M$12)," ")</f>
        <v xml:space="preserve"> </v>
      </c>
      <c r="M213" s="28"/>
      <c r="N213" s="28"/>
      <c r="O213" s="255" t="str">
        <f>IF(M213="","",(_xlfn.XLOOKUP(M213,Cadastros!$D$6:$D$90,Cadastros!$E$6:$E$90))*(1-_xlfn.XLOOKUP(_xlfn.XLOOKUP($F213,Clientes!$B$4:$B$39,Clientes!$C$4:$C$39),Cadastros!$L$6:$L$12,Cadastros!$N$6:$N$12)))</f>
        <v/>
      </c>
      <c r="P213" s="168" t="str">
        <f t="shared" si="41"/>
        <v/>
      </c>
      <c r="Q213" s="168" t="str">
        <f>IFERROR(P213/_xlfn.XLOOKUP(_xlfn.XLOOKUP($F213,Clientes!$B$4:$B$39,Clientes!$C$4:$C$39),Cadastros!$L$6:$L$12,Cadastros!$M$6:$M$12)," ")</f>
        <v xml:space="preserve"> </v>
      </c>
      <c r="R213" s="28"/>
      <c r="S213" s="28"/>
      <c r="T213" s="255" t="str">
        <f>IF(R213="","",(_xlfn.XLOOKUP(R213,Cadastros!$D$6:$D$90,Cadastros!$E$6:$E$90))*(1-_xlfn.XLOOKUP(_xlfn.XLOOKUP($F213,Clientes!$B$4:$B$39,Clientes!$C$4:$C$39),Cadastros!$L$6:$L$12,Cadastros!$N$6:$N$12)))</f>
        <v/>
      </c>
      <c r="U213" s="168" t="str">
        <f t="shared" si="42"/>
        <v/>
      </c>
      <c r="V213" s="168" t="str">
        <f>IFERROR(U213/_xlfn.XLOOKUP(_xlfn.XLOOKUP($F213,Clientes!$B$4:$B$39,Clientes!$C$4:$C$39),Cadastros!$L$6:$L$12,Cadastros!$M$6:$M$12)," ")</f>
        <v xml:space="preserve"> </v>
      </c>
      <c r="W213" s="28"/>
      <c r="X213" s="28"/>
      <c r="Y213" s="255" t="str">
        <f>IF(W213="","",(_xlfn.XLOOKUP(W213,Cadastros!$D$6:$D$90,Cadastros!$E$6:$E$90))*(1-_xlfn.XLOOKUP(_xlfn.XLOOKUP($F213,Clientes!$B$4:$B$39,Clientes!$C$4:$C$39),Cadastros!$L$6:$L$12,Cadastros!$N$6:$N$12)))</f>
        <v/>
      </c>
      <c r="Z213" s="168" t="str">
        <f t="shared" si="43"/>
        <v/>
      </c>
      <c r="AA213" s="168" t="str">
        <f>IFERROR(Z213/_xlfn.XLOOKUP(_xlfn.XLOOKUP($F213,Clientes!$B$4:$B$39,Clientes!$C$4:$C$39),Cadastros!$L$6:$L$12,Cadastros!$M$6:$M$12)," ")</f>
        <v xml:space="preserve"> </v>
      </c>
      <c r="AB213" s="28"/>
      <c r="AC213" s="28"/>
      <c r="AD213" s="20" t="str">
        <f>IF(AB213="","",IF($F213="Bernardino Furlan",_xlfn.XLOOKUP(AB213,Cadastros!$G$6:$G$90,Cadastros!$H$6:$H$90)*(1-0.18),IF($F213="Mauro José Salanti",_xlfn.XLOOKUP(AB213,Cadastros!$G$6:$G$90,Cadastros!$H$6:$H$90)*(1-0.18),_xlfn.XLOOKUP(AB213,Cadastros!$G$6:$G$90,Cadastros!$H$6:$H$90))))</f>
        <v/>
      </c>
      <c r="AE213" s="168" t="str">
        <f t="shared" si="44"/>
        <v/>
      </c>
      <c r="AF213" s="168" t="str">
        <f t="shared" si="45"/>
        <v/>
      </c>
      <c r="AG213" s="28"/>
      <c r="AH213" s="28"/>
      <c r="AI213" s="20" t="str">
        <f>IF(AG213="","",IF($F213="Bernardino Furlan",_xlfn.XLOOKUP(AG213,Cadastros!$G$6:$G$90,Cadastros!$H$6:$H$90)*(1-0.18),IF($F213="Mauro José Salanti",_xlfn.XLOOKUP(AG213,Cadastros!$G$6:$G$90,Cadastros!$H$6:$H$90)*(1-0.18),_xlfn.XLOOKUP(AG213,Cadastros!$G$6:$G$90,Cadastros!$H$6:$H$90))))</f>
        <v/>
      </c>
      <c r="AJ213" s="168" t="str">
        <f t="shared" si="46"/>
        <v/>
      </c>
      <c r="AK213" s="168" t="str">
        <f t="shared" si="47"/>
        <v/>
      </c>
      <c r="AL213" s="28"/>
      <c r="AM213" s="28"/>
      <c r="AN213" s="20" t="str">
        <f>IF(AL213="","",IF($F213="Bernardino Furlan",_xlfn.XLOOKUP(AL213,Cadastros!$G$6:$G$90,Cadastros!$H$6:$H$90)*(1-0.18),IF($F213="Mauro José Salanti",_xlfn.XLOOKUP(AL213,Cadastros!$G$6:$G$90,Cadastros!$H$6:$H$90)*(1-0.18),_xlfn.XLOOKUP(AL213,Cadastros!$G$6:$G$90,Cadastros!$H$6:$H$90))))</f>
        <v/>
      </c>
      <c r="AO213" s="168" t="str">
        <f t="shared" si="48"/>
        <v/>
      </c>
      <c r="AP213" s="168" t="str">
        <f t="shared" si="49"/>
        <v/>
      </c>
      <c r="AQ213" s="28"/>
      <c r="AR213" s="28"/>
      <c r="AS213" s="20" t="str">
        <f>IF(AQ213="","",IF($F213="Bernardino Furlan",_xlfn.XLOOKUP(AQ213,Cadastros!$G$6:$G$90,Cadastros!$H$6:$H$90)*(1-0.18),IF($F213="Mauro José Salanti",_xlfn.XLOOKUP(AQ213,Cadastros!$G$6:$G$90,Cadastros!$H$6:$H$90)*(1-0.18),_xlfn.XLOOKUP(AQ213,Cadastros!$G$6:$G$90,Cadastros!$H$6:$H$90))))</f>
        <v/>
      </c>
      <c r="AT213" s="168" t="str">
        <f t="shared" si="50"/>
        <v/>
      </c>
      <c r="AU213" s="168" t="str">
        <f t="shared" si="51"/>
        <v/>
      </c>
      <c r="AV213" s="227"/>
      <c r="AW213" s="30"/>
      <c r="AX213" s="267"/>
      <c r="AY213" s="267"/>
      <c r="AZ213" s="29"/>
      <c r="BA213" s="30"/>
      <c r="BB213" s="23" t="str" cm="1">
        <f t="array" ref="BB213">_xlfn.IFS(AW213="SIM",SUM(K213,P213,U213,Z213,AE213,AJ213,AO213,AT213,AX213,AY213),F213&lt;&gt;"",SUM(K213,P213,U213,Z213,AE213,AJ213,,AO213,AT213),F213="","")</f>
        <v/>
      </c>
      <c r="BC213" s="211" t="str" cm="1">
        <f t="array" ref="BC213">_xlfn.IFS(E213="","",G213&lt;=E213,BB213*(1-0.03),G213&lt;(E213+8),BB213,AZ213="Boleto",BB213*(1+0.001)^DATEDIF(E213,G213,"D"),AZ213="Cheque",BB213,AZ213="Dinheiro","Alterar forma pgto")</f>
        <v/>
      </c>
      <c r="BD213" s="276" t="str" cm="1">
        <f t="array" ref="BD213">IF(F213=0," ",IF(BC213&lt;BB213,(_xlfn.IFS(AW213="SIM",SUM(L213,Q213,V213,AA213,AF213,AK213,AP213,AU213)+AX213/_xlfn.XLOOKUP(_xlfn.XLOOKUP($F213,Clientes!$B$4:$B$39,Clientes!$C$4:$C$39),Cadastros!$L$6:$L$12,Cadastros!$M$6:$M$12)+IF($F213="Bernardino Furlan",AY213/2751.92,IF($F213="Mauro José Salanti",AY213/2751.92,AY213/3356)),F213&lt;&gt;0,SUM(L213,Q213,V213,AA213,AF213,AK213,AP213,AU213)))*(1-0.03),_xlfn.IFS(AW213="SIM",SUM(L213,Q213,V213,AA213,AF213,AK213,AP213,AU213)+AX213/_xlfn.XLOOKUP(_xlfn.XLOOKUP($F213,Clientes!$B$4:$B$39,Clientes!$C$4:$C$39),Cadastros!$L$6:$L$12,Cadastros!$M$6:$M$12)+IF($F213="Bernardino Furlan",AY213/2751.92,IF($F213="Mauro José Salanti",AY213/2751.92,AY213/3356)),F213&lt;&gt;0,SUM(L213,Q213,V213,AA213,AF213,AK213,AP213,AU213))))</f>
        <v xml:space="preserve"> </v>
      </c>
      <c r="BE213" s="120"/>
      <c r="BF213" s="120"/>
      <c r="BG213" s="120"/>
    </row>
    <row r="214" spans="1:59" s="3" customFormat="1" x14ac:dyDescent="0.3">
      <c r="A214" s="15" t="str">
        <f t="shared" si="39"/>
        <v/>
      </c>
      <c r="B214" s="25"/>
      <c r="C214" s="26"/>
      <c r="D214" s="279"/>
      <c r="E214" s="27"/>
      <c r="F214" s="28"/>
      <c r="G214" s="27"/>
      <c r="H214" s="28"/>
      <c r="I214" s="28"/>
      <c r="J214" s="255" t="str">
        <f>IF(H214="","",(_xlfn.XLOOKUP(H214,Cadastros!$D$6:$D$90,Cadastros!$E$6:$E$90))*(1-_xlfn.XLOOKUP(_xlfn.XLOOKUP($F214,Clientes!$B$4:$B$39,Clientes!$C$4:$C$39),Cadastros!$L$6:$L$12,Cadastros!$N$6:$N$12)))</f>
        <v/>
      </c>
      <c r="K214" s="168" t="str">
        <f t="shared" si="40"/>
        <v/>
      </c>
      <c r="L214" s="168" t="str">
        <f>IFERROR(K214/_xlfn.XLOOKUP(_xlfn.XLOOKUP($F214,Clientes!$B$4:$B$39,Clientes!$C$4:$C$39),Cadastros!$L$6:$L$12,Cadastros!$M$6:$M$12)," ")</f>
        <v xml:space="preserve"> </v>
      </c>
      <c r="M214" s="28"/>
      <c r="N214" s="28"/>
      <c r="O214" s="255" t="str">
        <f>IF(M214="","",(_xlfn.XLOOKUP(M214,Cadastros!$D$6:$D$90,Cadastros!$E$6:$E$90))*(1-_xlfn.XLOOKUP(_xlfn.XLOOKUP($F214,Clientes!$B$4:$B$39,Clientes!$C$4:$C$39),Cadastros!$L$6:$L$12,Cadastros!$N$6:$N$12)))</f>
        <v/>
      </c>
      <c r="P214" s="168" t="str">
        <f t="shared" si="41"/>
        <v/>
      </c>
      <c r="Q214" s="168" t="str">
        <f>IFERROR(P214/_xlfn.XLOOKUP(_xlfn.XLOOKUP($F214,Clientes!$B$4:$B$39,Clientes!$C$4:$C$39),Cadastros!$L$6:$L$12,Cadastros!$M$6:$M$12)," ")</f>
        <v xml:space="preserve"> </v>
      </c>
      <c r="R214" s="28"/>
      <c r="S214" s="28"/>
      <c r="T214" s="255" t="str">
        <f>IF(R214="","",(_xlfn.XLOOKUP(R214,Cadastros!$D$6:$D$90,Cadastros!$E$6:$E$90))*(1-_xlfn.XLOOKUP(_xlfn.XLOOKUP($F214,Clientes!$B$4:$B$39,Clientes!$C$4:$C$39),Cadastros!$L$6:$L$12,Cadastros!$N$6:$N$12)))</f>
        <v/>
      </c>
      <c r="U214" s="168" t="str">
        <f t="shared" si="42"/>
        <v/>
      </c>
      <c r="V214" s="168" t="str">
        <f>IFERROR(U214/_xlfn.XLOOKUP(_xlfn.XLOOKUP($F214,Clientes!$B$4:$B$39,Clientes!$C$4:$C$39),Cadastros!$L$6:$L$12,Cadastros!$M$6:$M$12)," ")</f>
        <v xml:space="preserve"> </v>
      </c>
      <c r="W214" s="28"/>
      <c r="X214" s="28"/>
      <c r="Y214" s="255" t="str">
        <f>IF(W214="","",(_xlfn.XLOOKUP(W214,Cadastros!$D$6:$D$90,Cadastros!$E$6:$E$90))*(1-_xlfn.XLOOKUP(_xlfn.XLOOKUP($F214,Clientes!$B$4:$B$39,Clientes!$C$4:$C$39),Cadastros!$L$6:$L$12,Cadastros!$N$6:$N$12)))</f>
        <v/>
      </c>
      <c r="Z214" s="168" t="str">
        <f t="shared" si="43"/>
        <v/>
      </c>
      <c r="AA214" s="168" t="str">
        <f>IFERROR(Z214/_xlfn.XLOOKUP(_xlfn.XLOOKUP($F214,Clientes!$B$4:$B$39,Clientes!$C$4:$C$39),Cadastros!$L$6:$L$12,Cadastros!$M$6:$M$12)," ")</f>
        <v xml:space="preserve"> </v>
      </c>
      <c r="AB214" s="28"/>
      <c r="AC214" s="28"/>
      <c r="AD214" s="20" t="str">
        <f>IF(AB214="","",IF($F214="Bernardino Furlan",_xlfn.XLOOKUP(AB214,Cadastros!$G$6:$G$90,Cadastros!$H$6:$H$90)*(1-0.18),IF($F214="Mauro José Salanti",_xlfn.XLOOKUP(AB214,Cadastros!$G$6:$G$90,Cadastros!$H$6:$H$90)*(1-0.18),_xlfn.XLOOKUP(AB214,Cadastros!$G$6:$G$90,Cadastros!$H$6:$H$90))))</f>
        <v/>
      </c>
      <c r="AE214" s="168" t="str">
        <f t="shared" si="44"/>
        <v/>
      </c>
      <c r="AF214" s="168" t="str">
        <f t="shared" si="45"/>
        <v/>
      </c>
      <c r="AG214" s="28"/>
      <c r="AH214" s="28"/>
      <c r="AI214" s="20" t="str">
        <f>IF(AG214="","",IF($F214="Bernardino Furlan",_xlfn.XLOOKUP(AG214,Cadastros!$G$6:$G$90,Cadastros!$H$6:$H$90)*(1-0.18),IF($F214="Mauro José Salanti",_xlfn.XLOOKUP(AG214,Cadastros!$G$6:$G$90,Cadastros!$H$6:$H$90)*(1-0.18),_xlfn.XLOOKUP(AG214,Cadastros!$G$6:$G$90,Cadastros!$H$6:$H$90))))</f>
        <v/>
      </c>
      <c r="AJ214" s="168" t="str">
        <f t="shared" si="46"/>
        <v/>
      </c>
      <c r="AK214" s="168" t="str">
        <f t="shared" si="47"/>
        <v/>
      </c>
      <c r="AL214" s="28"/>
      <c r="AM214" s="28"/>
      <c r="AN214" s="20" t="str">
        <f>IF(AL214="","",IF($F214="Bernardino Furlan",_xlfn.XLOOKUP(AL214,Cadastros!$G$6:$G$90,Cadastros!$H$6:$H$90)*(1-0.18),IF($F214="Mauro José Salanti",_xlfn.XLOOKUP(AL214,Cadastros!$G$6:$G$90,Cadastros!$H$6:$H$90)*(1-0.18),_xlfn.XLOOKUP(AL214,Cadastros!$G$6:$G$90,Cadastros!$H$6:$H$90))))</f>
        <v/>
      </c>
      <c r="AO214" s="168" t="str">
        <f t="shared" si="48"/>
        <v/>
      </c>
      <c r="AP214" s="168" t="str">
        <f t="shared" si="49"/>
        <v/>
      </c>
      <c r="AQ214" s="28"/>
      <c r="AR214" s="28"/>
      <c r="AS214" s="20" t="str">
        <f>IF(AQ214="","",IF($F214="Bernardino Furlan",_xlfn.XLOOKUP(AQ214,Cadastros!$G$6:$G$90,Cadastros!$H$6:$H$90)*(1-0.18),IF($F214="Mauro José Salanti",_xlfn.XLOOKUP(AQ214,Cadastros!$G$6:$G$90,Cadastros!$H$6:$H$90)*(1-0.18),_xlfn.XLOOKUP(AQ214,Cadastros!$G$6:$G$90,Cadastros!$H$6:$H$90))))</f>
        <v/>
      </c>
      <c r="AT214" s="168" t="str">
        <f t="shared" si="50"/>
        <v/>
      </c>
      <c r="AU214" s="168" t="str">
        <f t="shared" si="51"/>
        <v/>
      </c>
      <c r="AV214" s="227"/>
      <c r="AW214" s="30"/>
      <c r="AX214" s="267"/>
      <c r="AY214" s="267"/>
      <c r="AZ214" s="29"/>
      <c r="BA214" s="30"/>
      <c r="BB214" s="23" t="str" cm="1">
        <f t="array" ref="BB214">_xlfn.IFS(AW214="SIM",SUM(K214,P214,U214,Z214,AE214,AJ214,AO214,AT214,AX214,AY214),F214&lt;&gt;"",SUM(K214,P214,U214,Z214,AE214,AJ214,,AO214,AT214),F214="","")</f>
        <v/>
      </c>
      <c r="BC214" s="211" t="str" cm="1">
        <f t="array" ref="BC214">_xlfn.IFS(E214="","",G214&lt;=E214,BB214*(1-0.03),G214&lt;(E214+8),BB214,AZ214="Boleto",BB214*(1+0.001)^DATEDIF(E214,G214,"D"),AZ214="Cheque",BB214,AZ214="Dinheiro","Alterar forma pgto")</f>
        <v/>
      </c>
      <c r="BD214" s="276" t="str" cm="1">
        <f t="array" ref="BD214">IF(F214=0," ",IF(BC214&lt;BB214,(_xlfn.IFS(AW214="SIM",SUM(L214,Q214,V214,AA214,AF214,AK214,AP214,AU214)+AX214/_xlfn.XLOOKUP(_xlfn.XLOOKUP($F214,Clientes!$B$4:$B$39,Clientes!$C$4:$C$39),Cadastros!$L$6:$L$12,Cadastros!$M$6:$M$12)+IF($F214="Bernardino Furlan",AY214/2751.92,IF($F214="Mauro José Salanti",AY214/2751.92,AY214/3356)),F214&lt;&gt;0,SUM(L214,Q214,V214,AA214,AF214,AK214,AP214,AU214)))*(1-0.03),_xlfn.IFS(AW214="SIM",SUM(L214,Q214,V214,AA214,AF214,AK214,AP214,AU214)+AX214/_xlfn.XLOOKUP(_xlfn.XLOOKUP($F214,Clientes!$B$4:$B$39,Clientes!$C$4:$C$39),Cadastros!$L$6:$L$12,Cadastros!$M$6:$M$12)+IF($F214="Bernardino Furlan",AY214/2751.92,IF($F214="Mauro José Salanti",AY214/2751.92,AY214/3356)),F214&lt;&gt;0,SUM(L214,Q214,V214,AA214,AF214,AK214,AP214,AU214))))</f>
        <v xml:space="preserve"> </v>
      </c>
      <c r="BE214" s="120"/>
      <c r="BF214" s="120"/>
      <c r="BG214" s="120"/>
    </row>
    <row r="215" spans="1:59" s="3" customFormat="1" x14ac:dyDescent="0.3">
      <c r="A215" s="15" t="str">
        <f t="shared" si="39"/>
        <v/>
      </c>
      <c r="B215" s="25"/>
      <c r="C215" s="26"/>
      <c r="D215" s="279"/>
      <c r="E215" s="27"/>
      <c r="F215" s="28"/>
      <c r="G215" s="27"/>
      <c r="H215" s="28"/>
      <c r="I215" s="28"/>
      <c r="J215" s="255" t="str">
        <f>IF(H215="","",(_xlfn.XLOOKUP(H215,Cadastros!$D$6:$D$90,Cadastros!$E$6:$E$90))*(1-_xlfn.XLOOKUP(_xlfn.XLOOKUP($F215,Clientes!$B$4:$B$39,Clientes!$C$4:$C$39),Cadastros!$L$6:$L$12,Cadastros!$N$6:$N$12)))</f>
        <v/>
      </c>
      <c r="K215" s="168" t="str">
        <f t="shared" si="40"/>
        <v/>
      </c>
      <c r="L215" s="168" t="str">
        <f>IFERROR(K215/_xlfn.XLOOKUP(_xlfn.XLOOKUP($F215,Clientes!$B$4:$B$39,Clientes!$C$4:$C$39),Cadastros!$L$6:$L$12,Cadastros!$M$6:$M$12)," ")</f>
        <v xml:space="preserve"> </v>
      </c>
      <c r="M215" s="28"/>
      <c r="N215" s="28"/>
      <c r="O215" s="255" t="str">
        <f>IF(M215="","",(_xlfn.XLOOKUP(M215,Cadastros!$D$6:$D$90,Cadastros!$E$6:$E$90))*(1-_xlfn.XLOOKUP(_xlfn.XLOOKUP($F215,Clientes!$B$4:$B$39,Clientes!$C$4:$C$39),Cadastros!$L$6:$L$12,Cadastros!$N$6:$N$12)))</f>
        <v/>
      </c>
      <c r="P215" s="168" t="str">
        <f t="shared" si="41"/>
        <v/>
      </c>
      <c r="Q215" s="168" t="str">
        <f>IFERROR(P215/_xlfn.XLOOKUP(_xlfn.XLOOKUP($F215,Clientes!$B$4:$B$39,Clientes!$C$4:$C$39),Cadastros!$L$6:$L$12,Cadastros!$M$6:$M$12)," ")</f>
        <v xml:space="preserve"> </v>
      </c>
      <c r="R215" s="28"/>
      <c r="S215" s="28"/>
      <c r="T215" s="255" t="str">
        <f>IF(R215="","",(_xlfn.XLOOKUP(R215,Cadastros!$D$6:$D$90,Cadastros!$E$6:$E$90))*(1-_xlfn.XLOOKUP(_xlfn.XLOOKUP($F215,Clientes!$B$4:$B$39,Clientes!$C$4:$C$39),Cadastros!$L$6:$L$12,Cadastros!$N$6:$N$12)))</f>
        <v/>
      </c>
      <c r="U215" s="168" t="str">
        <f t="shared" si="42"/>
        <v/>
      </c>
      <c r="V215" s="168" t="str">
        <f>IFERROR(U215/_xlfn.XLOOKUP(_xlfn.XLOOKUP($F215,Clientes!$B$4:$B$39,Clientes!$C$4:$C$39),Cadastros!$L$6:$L$12,Cadastros!$M$6:$M$12)," ")</f>
        <v xml:space="preserve"> </v>
      </c>
      <c r="W215" s="28"/>
      <c r="X215" s="28"/>
      <c r="Y215" s="255" t="str">
        <f>IF(W215="","",(_xlfn.XLOOKUP(W215,Cadastros!$D$6:$D$90,Cadastros!$E$6:$E$90))*(1-_xlfn.XLOOKUP(_xlfn.XLOOKUP($F215,Clientes!$B$4:$B$39,Clientes!$C$4:$C$39),Cadastros!$L$6:$L$12,Cadastros!$N$6:$N$12)))</f>
        <v/>
      </c>
      <c r="Z215" s="168" t="str">
        <f t="shared" si="43"/>
        <v/>
      </c>
      <c r="AA215" s="168" t="str">
        <f>IFERROR(Z215/_xlfn.XLOOKUP(_xlfn.XLOOKUP($F215,Clientes!$B$4:$B$39,Clientes!$C$4:$C$39),Cadastros!$L$6:$L$12,Cadastros!$M$6:$M$12)," ")</f>
        <v xml:space="preserve"> </v>
      </c>
      <c r="AB215" s="28"/>
      <c r="AC215" s="28"/>
      <c r="AD215" s="20" t="str">
        <f>IF(AB215="","",IF($F215="Bernardino Furlan",_xlfn.XLOOKUP(AB215,Cadastros!$G$6:$G$90,Cadastros!$H$6:$H$90)*(1-0.18),IF($F215="Mauro José Salanti",_xlfn.XLOOKUP(AB215,Cadastros!$G$6:$G$90,Cadastros!$H$6:$H$90)*(1-0.18),_xlfn.XLOOKUP(AB215,Cadastros!$G$6:$G$90,Cadastros!$H$6:$H$90))))</f>
        <v/>
      </c>
      <c r="AE215" s="168" t="str">
        <f t="shared" si="44"/>
        <v/>
      </c>
      <c r="AF215" s="168" t="str">
        <f t="shared" si="45"/>
        <v/>
      </c>
      <c r="AG215" s="28"/>
      <c r="AH215" s="28"/>
      <c r="AI215" s="20" t="str">
        <f>IF(AG215="","",IF($F215="Bernardino Furlan",_xlfn.XLOOKUP(AG215,Cadastros!$G$6:$G$90,Cadastros!$H$6:$H$90)*(1-0.18),IF($F215="Mauro José Salanti",_xlfn.XLOOKUP(AG215,Cadastros!$G$6:$G$90,Cadastros!$H$6:$H$90)*(1-0.18),_xlfn.XLOOKUP(AG215,Cadastros!$G$6:$G$90,Cadastros!$H$6:$H$90))))</f>
        <v/>
      </c>
      <c r="AJ215" s="168" t="str">
        <f t="shared" si="46"/>
        <v/>
      </c>
      <c r="AK215" s="168" t="str">
        <f t="shared" si="47"/>
        <v/>
      </c>
      <c r="AL215" s="28"/>
      <c r="AM215" s="28"/>
      <c r="AN215" s="20" t="str">
        <f>IF(AL215="","",IF($F215="Bernardino Furlan",_xlfn.XLOOKUP(AL215,Cadastros!$G$6:$G$90,Cadastros!$H$6:$H$90)*(1-0.18),IF($F215="Mauro José Salanti",_xlfn.XLOOKUP(AL215,Cadastros!$G$6:$G$90,Cadastros!$H$6:$H$90)*(1-0.18),_xlfn.XLOOKUP(AL215,Cadastros!$G$6:$G$90,Cadastros!$H$6:$H$90))))</f>
        <v/>
      </c>
      <c r="AO215" s="168" t="str">
        <f t="shared" si="48"/>
        <v/>
      </c>
      <c r="AP215" s="168" t="str">
        <f t="shared" si="49"/>
        <v/>
      </c>
      <c r="AQ215" s="28"/>
      <c r="AR215" s="28"/>
      <c r="AS215" s="20" t="str">
        <f>IF(AQ215="","",IF($F215="Bernardino Furlan",_xlfn.XLOOKUP(AQ215,Cadastros!$G$6:$G$90,Cadastros!$H$6:$H$90)*(1-0.18),IF($F215="Mauro José Salanti",_xlfn.XLOOKUP(AQ215,Cadastros!$G$6:$G$90,Cadastros!$H$6:$H$90)*(1-0.18),_xlfn.XLOOKUP(AQ215,Cadastros!$G$6:$G$90,Cadastros!$H$6:$H$90))))</f>
        <v/>
      </c>
      <c r="AT215" s="168" t="str">
        <f t="shared" si="50"/>
        <v/>
      </c>
      <c r="AU215" s="168" t="str">
        <f t="shared" si="51"/>
        <v/>
      </c>
      <c r="AV215" s="227"/>
      <c r="AW215" s="30"/>
      <c r="AX215" s="267"/>
      <c r="AY215" s="267"/>
      <c r="AZ215" s="29"/>
      <c r="BA215" s="30"/>
      <c r="BB215" s="23" t="str" cm="1">
        <f t="array" ref="BB215">_xlfn.IFS(AW215="SIM",SUM(K215,P215,U215,Z215,AE215,AJ215,AO215,AT215,AX215,AY215),F215&lt;&gt;"",SUM(K215,P215,U215,Z215,AE215,AJ215,,AO215,AT215),F215="","")</f>
        <v/>
      </c>
      <c r="BC215" s="211" t="str" cm="1">
        <f t="array" ref="BC215">_xlfn.IFS(E215="","",G215&lt;=E215,BB215*(1-0.03),G215&lt;(E215+8),BB215,AZ215="Boleto",BB215*(1+0.001)^DATEDIF(E215,G215,"D"),AZ215="Cheque",BB215,AZ215="Dinheiro","Alterar forma pgto")</f>
        <v/>
      </c>
      <c r="BD215" s="276" t="str" cm="1">
        <f t="array" ref="BD215">IF(F215=0," ",IF(BC215&lt;BB215,(_xlfn.IFS(AW215="SIM",SUM(L215,Q215,V215,AA215,AF215,AK215,AP215,AU215)+AX215/_xlfn.XLOOKUP(_xlfn.XLOOKUP($F215,Clientes!$B$4:$B$39,Clientes!$C$4:$C$39),Cadastros!$L$6:$L$12,Cadastros!$M$6:$M$12)+IF($F215="Bernardino Furlan",AY215/2751.92,IF($F215="Mauro José Salanti",AY215/2751.92,AY215/3356)),F215&lt;&gt;0,SUM(L215,Q215,V215,AA215,AF215,AK215,AP215,AU215)))*(1-0.03),_xlfn.IFS(AW215="SIM",SUM(L215,Q215,V215,AA215,AF215,AK215,AP215,AU215)+AX215/_xlfn.XLOOKUP(_xlfn.XLOOKUP($F215,Clientes!$B$4:$B$39,Clientes!$C$4:$C$39),Cadastros!$L$6:$L$12,Cadastros!$M$6:$M$12)+IF($F215="Bernardino Furlan",AY215/2751.92,IF($F215="Mauro José Salanti",AY215/2751.92,AY215/3356)),F215&lt;&gt;0,SUM(L215,Q215,V215,AA215,AF215,AK215,AP215,AU215))))</f>
        <v xml:space="preserve"> </v>
      </c>
      <c r="BE215" s="120"/>
      <c r="BF215" s="120"/>
      <c r="BG215" s="120"/>
    </row>
    <row r="216" spans="1:59" s="3" customFormat="1" x14ac:dyDescent="0.3">
      <c r="A216" s="15" t="str">
        <f t="shared" si="39"/>
        <v/>
      </c>
      <c r="B216" s="25"/>
      <c r="C216" s="26"/>
      <c r="D216" s="279"/>
      <c r="E216" s="27"/>
      <c r="F216" s="28"/>
      <c r="G216" s="27"/>
      <c r="H216" s="28"/>
      <c r="I216" s="28"/>
      <c r="J216" s="255" t="str">
        <f>IF(H216="","",(_xlfn.XLOOKUP(H216,Cadastros!$D$6:$D$90,Cadastros!$E$6:$E$90))*(1-_xlfn.XLOOKUP(_xlfn.XLOOKUP($F216,Clientes!$B$4:$B$39,Clientes!$C$4:$C$39),Cadastros!$L$6:$L$12,Cadastros!$N$6:$N$12)))</f>
        <v/>
      </c>
      <c r="K216" s="168" t="str">
        <f t="shared" si="40"/>
        <v/>
      </c>
      <c r="L216" s="168" t="str">
        <f>IFERROR(K216/_xlfn.XLOOKUP(_xlfn.XLOOKUP($F216,Clientes!$B$4:$B$39,Clientes!$C$4:$C$39),Cadastros!$L$6:$L$12,Cadastros!$M$6:$M$12)," ")</f>
        <v xml:space="preserve"> </v>
      </c>
      <c r="M216" s="28"/>
      <c r="N216" s="28"/>
      <c r="O216" s="255" t="str">
        <f>IF(M216="","",(_xlfn.XLOOKUP(M216,Cadastros!$D$6:$D$90,Cadastros!$E$6:$E$90))*(1-_xlfn.XLOOKUP(_xlfn.XLOOKUP($F216,Clientes!$B$4:$B$39,Clientes!$C$4:$C$39),Cadastros!$L$6:$L$12,Cadastros!$N$6:$N$12)))</f>
        <v/>
      </c>
      <c r="P216" s="168" t="str">
        <f t="shared" si="41"/>
        <v/>
      </c>
      <c r="Q216" s="168" t="str">
        <f>IFERROR(P216/_xlfn.XLOOKUP(_xlfn.XLOOKUP($F216,Clientes!$B$4:$B$39,Clientes!$C$4:$C$39),Cadastros!$L$6:$L$12,Cadastros!$M$6:$M$12)," ")</f>
        <v xml:space="preserve"> </v>
      </c>
      <c r="R216" s="28"/>
      <c r="S216" s="28"/>
      <c r="T216" s="255" t="str">
        <f>IF(R216="","",(_xlfn.XLOOKUP(R216,Cadastros!$D$6:$D$90,Cadastros!$E$6:$E$90))*(1-_xlfn.XLOOKUP(_xlfn.XLOOKUP($F216,Clientes!$B$4:$B$39,Clientes!$C$4:$C$39),Cadastros!$L$6:$L$12,Cadastros!$N$6:$N$12)))</f>
        <v/>
      </c>
      <c r="U216" s="168" t="str">
        <f t="shared" si="42"/>
        <v/>
      </c>
      <c r="V216" s="168" t="str">
        <f>IFERROR(U216/_xlfn.XLOOKUP(_xlfn.XLOOKUP($F216,Clientes!$B$4:$B$39,Clientes!$C$4:$C$39),Cadastros!$L$6:$L$12,Cadastros!$M$6:$M$12)," ")</f>
        <v xml:space="preserve"> </v>
      </c>
      <c r="W216" s="28"/>
      <c r="X216" s="28"/>
      <c r="Y216" s="255" t="str">
        <f>IF(W216="","",(_xlfn.XLOOKUP(W216,Cadastros!$D$6:$D$90,Cadastros!$E$6:$E$90))*(1-_xlfn.XLOOKUP(_xlfn.XLOOKUP($F216,Clientes!$B$4:$B$39,Clientes!$C$4:$C$39),Cadastros!$L$6:$L$12,Cadastros!$N$6:$N$12)))</f>
        <v/>
      </c>
      <c r="Z216" s="168" t="str">
        <f t="shared" si="43"/>
        <v/>
      </c>
      <c r="AA216" s="168" t="str">
        <f>IFERROR(Z216/_xlfn.XLOOKUP(_xlfn.XLOOKUP($F216,Clientes!$B$4:$B$39,Clientes!$C$4:$C$39),Cadastros!$L$6:$L$12,Cadastros!$M$6:$M$12)," ")</f>
        <v xml:space="preserve"> </v>
      </c>
      <c r="AB216" s="28"/>
      <c r="AC216" s="28"/>
      <c r="AD216" s="20" t="str">
        <f>IF(AB216="","",IF($F216="Bernardino Furlan",_xlfn.XLOOKUP(AB216,Cadastros!$G$6:$G$90,Cadastros!$H$6:$H$90)*(1-0.18),IF($F216="Mauro José Salanti",_xlfn.XLOOKUP(AB216,Cadastros!$G$6:$G$90,Cadastros!$H$6:$H$90)*(1-0.18),_xlfn.XLOOKUP(AB216,Cadastros!$G$6:$G$90,Cadastros!$H$6:$H$90))))</f>
        <v/>
      </c>
      <c r="AE216" s="168" t="str">
        <f t="shared" si="44"/>
        <v/>
      </c>
      <c r="AF216" s="168" t="str">
        <f t="shared" si="45"/>
        <v/>
      </c>
      <c r="AG216" s="28"/>
      <c r="AH216" s="28"/>
      <c r="AI216" s="20" t="str">
        <f>IF(AG216="","",IF($F216="Bernardino Furlan",_xlfn.XLOOKUP(AG216,Cadastros!$G$6:$G$90,Cadastros!$H$6:$H$90)*(1-0.18),IF($F216="Mauro José Salanti",_xlfn.XLOOKUP(AG216,Cadastros!$G$6:$G$90,Cadastros!$H$6:$H$90)*(1-0.18),_xlfn.XLOOKUP(AG216,Cadastros!$G$6:$G$90,Cadastros!$H$6:$H$90))))</f>
        <v/>
      </c>
      <c r="AJ216" s="168" t="str">
        <f t="shared" si="46"/>
        <v/>
      </c>
      <c r="AK216" s="168" t="str">
        <f t="shared" si="47"/>
        <v/>
      </c>
      <c r="AL216" s="28"/>
      <c r="AM216" s="28"/>
      <c r="AN216" s="20" t="str">
        <f>IF(AL216="","",IF($F216="Bernardino Furlan",_xlfn.XLOOKUP(AL216,Cadastros!$G$6:$G$90,Cadastros!$H$6:$H$90)*(1-0.18),IF($F216="Mauro José Salanti",_xlfn.XLOOKUP(AL216,Cadastros!$G$6:$G$90,Cadastros!$H$6:$H$90)*(1-0.18),_xlfn.XLOOKUP(AL216,Cadastros!$G$6:$G$90,Cadastros!$H$6:$H$90))))</f>
        <v/>
      </c>
      <c r="AO216" s="168" t="str">
        <f t="shared" si="48"/>
        <v/>
      </c>
      <c r="AP216" s="168" t="str">
        <f t="shared" si="49"/>
        <v/>
      </c>
      <c r="AQ216" s="28"/>
      <c r="AR216" s="28"/>
      <c r="AS216" s="20" t="str">
        <f>IF(AQ216="","",IF($F216="Bernardino Furlan",_xlfn.XLOOKUP(AQ216,Cadastros!$G$6:$G$90,Cadastros!$H$6:$H$90)*(1-0.18),IF($F216="Mauro José Salanti",_xlfn.XLOOKUP(AQ216,Cadastros!$G$6:$G$90,Cadastros!$H$6:$H$90)*(1-0.18),_xlfn.XLOOKUP(AQ216,Cadastros!$G$6:$G$90,Cadastros!$H$6:$H$90))))</f>
        <v/>
      </c>
      <c r="AT216" s="168" t="str">
        <f t="shared" si="50"/>
        <v/>
      </c>
      <c r="AU216" s="168" t="str">
        <f t="shared" si="51"/>
        <v/>
      </c>
      <c r="AV216" s="227"/>
      <c r="AW216" s="30"/>
      <c r="AX216" s="267"/>
      <c r="AY216" s="267"/>
      <c r="AZ216" s="29"/>
      <c r="BA216" s="30"/>
      <c r="BB216" s="23" t="str" cm="1">
        <f t="array" ref="BB216">_xlfn.IFS(AW216="SIM",SUM(K216,P216,U216,Z216,AE216,AJ216,AO216,AT216,AX216,AY216),F216&lt;&gt;"",SUM(K216,P216,U216,Z216,AE216,AJ216,,AO216,AT216),F216="","")</f>
        <v/>
      </c>
      <c r="BC216" s="211" t="str" cm="1">
        <f t="array" ref="BC216">_xlfn.IFS(E216="","",G216&lt;=E216,BB216*(1-0.03),G216&lt;(E216+8),BB216,AZ216="Boleto",BB216*(1+0.001)^DATEDIF(E216,G216,"D"),AZ216="Cheque",BB216,AZ216="Dinheiro","Alterar forma pgto")</f>
        <v/>
      </c>
      <c r="BD216" s="276" t="str" cm="1">
        <f t="array" ref="BD216">IF(F216=0," ",IF(BC216&lt;BB216,(_xlfn.IFS(AW216="SIM",SUM(L216,Q216,V216,AA216,AF216,AK216,AP216,AU216)+AX216/_xlfn.XLOOKUP(_xlfn.XLOOKUP($F216,Clientes!$B$4:$B$39,Clientes!$C$4:$C$39),Cadastros!$L$6:$L$12,Cadastros!$M$6:$M$12)+IF($F216="Bernardino Furlan",AY216/2751.92,IF($F216="Mauro José Salanti",AY216/2751.92,AY216/3356)),F216&lt;&gt;0,SUM(L216,Q216,V216,AA216,AF216,AK216,AP216,AU216)))*(1-0.03),_xlfn.IFS(AW216="SIM",SUM(L216,Q216,V216,AA216,AF216,AK216,AP216,AU216)+AX216/_xlfn.XLOOKUP(_xlfn.XLOOKUP($F216,Clientes!$B$4:$B$39,Clientes!$C$4:$C$39),Cadastros!$L$6:$L$12,Cadastros!$M$6:$M$12)+IF($F216="Bernardino Furlan",AY216/2751.92,IF($F216="Mauro José Salanti",AY216/2751.92,AY216/3356)),F216&lt;&gt;0,SUM(L216,Q216,V216,AA216,AF216,AK216,AP216,AU216))))</f>
        <v xml:space="preserve"> </v>
      </c>
      <c r="BE216" s="120"/>
      <c r="BF216" s="120"/>
      <c r="BG216" s="120"/>
    </row>
    <row r="217" spans="1:59" s="3" customFormat="1" x14ac:dyDescent="0.3">
      <c r="A217" s="15" t="str">
        <f t="shared" si="39"/>
        <v/>
      </c>
      <c r="B217" s="25"/>
      <c r="C217" s="26"/>
      <c r="D217" s="279"/>
      <c r="E217" s="27"/>
      <c r="F217" s="28"/>
      <c r="G217" s="27"/>
      <c r="H217" s="28"/>
      <c r="I217" s="28"/>
      <c r="J217" s="255" t="str">
        <f>IF(H217="","",(_xlfn.XLOOKUP(H217,Cadastros!$D$6:$D$90,Cadastros!$E$6:$E$90))*(1-_xlfn.XLOOKUP(_xlfn.XLOOKUP($F217,Clientes!$B$4:$B$39,Clientes!$C$4:$C$39),Cadastros!$L$6:$L$12,Cadastros!$N$6:$N$12)))</f>
        <v/>
      </c>
      <c r="K217" s="168" t="str">
        <f t="shared" si="40"/>
        <v/>
      </c>
      <c r="L217" s="168" t="str">
        <f>IFERROR(K217/_xlfn.XLOOKUP(_xlfn.XLOOKUP($F217,Clientes!$B$4:$B$39,Clientes!$C$4:$C$39),Cadastros!$L$6:$L$12,Cadastros!$M$6:$M$12)," ")</f>
        <v xml:space="preserve"> </v>
      </c>
      <c r="M217" s="28"/>
      <c r="N217" s="28"/>
      <c r="O217" s="255" t="str">
        <f>IF(M217="","",(_xlfn.XLOOKUP(M217,Cadastros!$D$6:$D$90,Cadastros!$E$6:$E$90))*(1-_xlfn.XLOOKUP(_xlfn.XLOOKUP($F217,Clientes!$B$4:$B$39,Clientes!$C$4:$C$39),Cadastros!$L$6:$L$12,Cadastros!$N$6:$N$12)))</f>
        <v/>
      </c>
      <c r="P217" s="168" t="str">
        <f t="shared" si="41"/>
        <v/>
      </c>
      <c r="Q217" s="168" t="str">
        <f>IFERROR(P217/_xlfn.XLOOKUP(_xlfn.XLOOKUP($F217,Clientes!$B$4:$B$39,Clientes!$C$4:$C$39),Cadastros!$L$6:$L$12,Cadastros!$M$6:$M$12)," ")</f>
        <v xml:space="preserve"> </v>
      </c>
      <c r="R217" s="28"/>
      <c r="S217" s="28"/>
      <c r="T217" s="255" t="str">
        <f>IF(R217="","",(_xlfn.XLOOKUP(R217,Cadastros!$D$6:$D$90,Cadastros!$E$6:$E$90))*(1-_xlfn.XLOOKUP(_xlfn.XLOOKUP($F217,Clientes!$B$4:$B$39,Clientes!$C$4:$C$39),Cadastros!$L$6:$L$12,Cadastros!$N$6:$N$12)))</f>
        <v/>
      </c>
      <c r="U217" s="168" t="str">
        <f t="shared" si="42"/>
        <v/>
      </c>
      <c r="V217" s="168" t="str">
        <f>IFERROR(U217/_xlfn.XLOOKUP(_xlfn.XLOOKUP($F217,Clientes!$B$4:$B$39,Clientes!$C$4:$C$39),Cadastros!$L$6:$L$12,Cadastros!$M$6:$M$12)," ")</f>
        <v xml:space="preserve"> </v>
      </c>
      <c r="W217" s="28"/>
      <c r="X217" s="28"/>
      <c r="Y217" s="255" t="str">
        <f>IF(W217="","",(_xlfn.XLOOKUP(W217,Cadastros!$D$6:$D$90,Cadastros!$E$6:$E$90))*(1-_xlfn.XLOOKUP(_xlfn.XLOOKUP($F217,Clientes!$B$4:$B$39,Clientes!$C$4:$C$39),Cadastros!$L$6:$L$12,Cadastros!$N$6:$N$12)))</f>
        <v/>
      </c>
      <c r="Z217" s="168" t="str">
        <f t="shared" si="43"/>
        <v/>
      </c>
      <c r="AA217" s="168" t="str">
        <f>IFERROR(Z217/_xlfn.XLOOKUP(_xlfn.XLOOKUP($F217,Clientes!$B$4:$B$39,Clientes!$C$4:$C$39),Cadastros!$L$6:$L$12,Cadastros!$M$6:$M$12)," ")</f>
        <v xml:space="preserve"> </v>
      </c>
      <c r="AB217" s="28"/>
      <c r="AC217" s="28"/>
      <c r="AD217" s="20" t="str">
        <f>IF(AB217="","",IF($F217="Bernardino Furlan",_xlfn.XLOOKUP(AB217,Cadastros!$G$6:$G$90,Cadastros!$H$6:$H$90)*(1-0.18),IF($F217="Mauro José Salanti",_xlfn.XLOOKUP(AB217,Cadastros!$G$6:$G$90,Cadastros!$H$6:$H$90)*(1-0.18),_xlfn.XLOOKUP(AB217,Cadastros!$G$6:$G$90,Cadastros!$H$6:$H$90))))</f>
        <v/>
      </c>
      <c r="AE217" s="168" t="str">
        <f t="shared" si="44"/>
        <v/>
      </c>
      <c r="AF217" s="168" t="str">
        <f t="shared" si="45"/>
        <v/>
      </c>
      <c r="AG217" s="28"/>
      <c r="AH217" s="28"/>
      <c r="AI217" s="20" t="str">
        <f>IF(AG217="","",IF($F217="Bernardino Furlan",_xlfn.XLOOKUP(AG217,Cadastros!$G$6:$G$90,Cadastros!$H$6:$H$90)*(1-0.18),IF($F217="Mauro José Salanti",_xlfn.XLOOKUP(AG217,Cadastros!$G$6:$G$90,Cadastros!$H$6:$H$90)*(1-0.18),_xlfn.XLOOKUP(AG217,Cadastros!$G$6:$G$90,Cadastros!$H$6:$H$90))))</f>
        <v/>
      </c>
      <c r="AJ217" s="168" t="str">
        <f t="shared" si="46"/>
        <v/>
      </c>
      <c r="AK217" s="168" t="str">
        <f t="shared" si="47"/>
        <v/>
      </c>
      <c r="AL217" s="28"/>
      <c r="AM217" s="28"/>
      <c r="AN217" s="20" t="str">
        <f>IF(AL217="","",IF($F217="Bernardino Furlan",_xlfn.XLOOKUP(AL217,Cadastros!$G$6:$G$90,Cadastros!$H$6:$H$90)*(1-0.18),IF($F217="Mauro José Salanti",_xlfn.XLOOKUP(AL217,Cadastros!$G$6:$G$90,Cadastros!$H$6:$H$90)*(1-0.18),_xlfn.XLOOKUP(AL217,Cadastros!$G$6:$G$90,Cadastros!$H$6:$H$90))))</f>
        <v/>
      </c>
      <c r="AO217" s="168" t="str">
        <f t="shared" si="48"/>
        <v/>
      </c>
      <c r="AP217" s="168" t="str">
        <f t="shared" si="49"/>
        <v/>
      </c>
      <c r="AQ217" s="28"/>
      <c r="AR217" s="28"/>
      <c r="AS217" s="20" t="str">
        <f>IF(AQ217="","",IF($F217="Bernardino Furlan",_xlfn.XLOOKUP(AQ217,Cadastros!$G$6:$G$90,Cadastros!$H$6:$H$90)*(1-0.18),IF($F217="Mauro José Salanti",_xlfn.XLOOKUP(AQ217,Cadastros!$G$6:$G$90,Cadastros!$H$6:$H$90)*(1-0.18),_xlfn.XLOOKUP(AQ217,Cadastros!$G$6:$G$90,Cadastros!$H$6:$H$90))))</f>
        <v/>
      </c>
      <c r="AT217" s="168" t="str">
        <f t="shared" si="50"/>
        <v/>
      </c>
      <c r="AU217" s="168" t="str">
        <f t="shared" si="51"/>
        <v/>
      </c>
      <c r="AV217" s="227"/>
      <c r="AW217" s="30"/>
      <c r="AX217" s="267"/>
      <c r="AY217" s="267"/>
      <c r="AZ217" s="29"/>
      <c r="BA217" s="30"/>
      <c r="BB217" s="23" t="str" cm="1">
        <f t="array" ref="BB217">_xlfn.IFS(AW217="SIM",SUM(K217,P217,U217,Z217,AE217,AJ217,AO217,AT217,AX217,AY217),F217&lt;&gt;"",SUM(K217,P217,U217,Z217,AE217,AJ217,,AO217,AT217),F217="","")</f>
        <v/>
      </c>
      <c r="BC217" s="211" t="str" cm="1">
        <f t="array" ref="BC217">_xlfn.IFS(E217="","",G217&lt;=E217,BB217*(1-0.03),G217&lt;(E217+8),BB217,AZ217="Boleto",BB217*(1+0.001)^DATEDIF(E217,G217,"D"),AZ217="Cheque",BB217,AZ217="Dinheiro","Alterar forma pgto")</f>
        <v/>
      </c>
      <c r="BD217" s="276" t="str" cm="1">
        <f t="array" ref="BD217">IF(F217=0," ",IF(BC217&lt;BB217,(_xlfn.IFS(AW217="SIM",SUM(L217,Q217,V217,AA217,AF217,AK217,AP217,AU217)+AX217/_xlfn.XLOOKUP(_xlfn.XLOOKUP($F217,Clientes!$B$4:$B$39,Clientes!$C$4:$C$39),Cadastros!$L$6:$L$12,Cadastros!$M$6:$M$12)+IF($F217="Bernardino Furlan",AY217/2751.92,IF($F217="Mauro José Salanti",AY217/2751.92,AY217/3356)),F217&lt;&gt;0,SUM(L217,Q217,V217,AA217,AF217,AK217,AP217,AU217)))*(1-0.03),_xlfn.IFS(AW217="SIM",SUM(L217,Q217,V217,AA217,AF217,AK217,AP217,AU217)+AX217/_xlfn.XLOOKUP(_xlfn.XLOOKUP($F217,Clientes!$B$4:$B$39,Clientes!$C$4:$C$39),Cadastros!$L$6:$L$12,Cadastros!$M$6:$M$12)+IF($F217="Bernardino Furlan",AY217/2751.92,IF($F217="Mauro José Salanti",AY217/2751.92,AY217/3356)),F217&lt;&gt;0,SUM(L217,Q217,V217,AA217,AF217,AK217,AP217,AU217))))</f>
        <v xml:space="preserve"> </v>
      </c>
      <c r="BE217" s="120"/>
      <c r="BF217" s="120"/>
      <c r="BG217" s="120"/>
    </row>
    <row r="218" spans="1:59" s="3" customFormat="1" x14ac:dyDescent="0.3">
      <c r="A218" s="15" t="str">
        <f t="shared" si="39"/>
        <v/>
      </c>
      <c r="B218" s="25"/>
      <c r="C218" s="26"/>
      <c r="D218" s="279"/>
      <c r="E218" s="27"/>
      <c r="F218" s="28"/>
      <c r="G218" s="27"/>
      <c r="H218" s="28"/>
      <c r="I218" s="28"/>
      <c r="J218" s="255" t="str">
        <f>IF(H218="","",(_xlfn.XLOOKUP(H218,Cadastros!$D$6:$D$90,Cadastros!$E$6:$E$90))*(1-_xlfn.XLOOKUP(_xlfn.XLOOKUP($F218,Clientes!$B$4:$B$39,Clientes!$C$4:$C$39),Cadastros!$L$6:$L$12,Cadastros!$N$6:$N$12)))</f>
        <v/>
      </c>
      <c r="K218" s="168" t="str">
        <f t="shared" si="40"/>
        <v/>
      </c>
      <c r="L218" s="168" t="str">
        <f>IFERROR(K218/_xlfn.XLOOKUP(_xlfn.XLOOKUP($F218,Clientes!$B$4:$B$39,Clientes!$C$4:$C$39),Cadastros!$L$6:$L$12,Cadastros!$M$6:$M$12)," ")</f>
        <v xml:space="preserve"> </v>
      </c>
      <c r="M218" s="28"/>
      <c r="N218" s="28"/>
      <c r="O218" s="255" t="str">
        <f>IF(M218="","",(_xlfn.XLOOKUP(M218,Cadastros!$D$6:$D$90,Cadastros!$E$6:$E$90))*(1-_xlfn.XLOOKUP(_xlfn.XLOOKUP($F218,Clientes!$B$4:$B$39,Clientes!$C$4:$C$39),Cadastros!$L$6:$L$12,Cadastros!$N$6:$N$12)))</f>
        <v/>
      </c>
      <c r="P218" s="168" t="str">
        <f t="shared" si="41"/>
        <v/>
      </c>
      <c r="Q218" s="168" t="str">
        <f>IFERROR(P218/_xlfn.XLOOKUP(_xlfn.XLOOKUP($F218,Clientes!$B$4:$B$39,Clientes!$C$4:$C$39),Cadastros!$L$6:$L$12,Cadastros!$M$6:$M$12)," ")</f>
        <v xml:space="preserve"> </v>
      </c>
      <c r="R218" s="28"/>
      <c r="S218" s="28"/>
      <c r="T218" s="255" t="str">
        <f>IF(R218="","",(_xlfn.XLOOKUP(R218,Cadastros!$D$6:$D$90,Cadastros!$E$6:$E$90))*(1-_xlfn.XLOOKUP(_xlfn.XLOOKUP($F218,Clientes!$B$4:$B$39,Clientes!$C$4:$C$39),Cadastros!$L$6:$L$12,Cadastros!$N$6:$N$12)))</f>
        <v/>
      </c>
      <c r="U218" s="168" t="str">
        <f t="shared" si="42"/>
        <v/>
      </c>
      <c r="V218" s="168" t="str">
        <f>IFERROR(U218/_xlfn.XLOOKUP(_xlfn.XLOOKUP($F218,Clientes!$B$4:$B$39,Clientes!$C$4:$C$39),Cadastros!$L$6:$L$12,Cadastros!$M$6:$M$12)," ")</f>
        <v xml:space="preserve"> </v>
      </c>
      <c r="W218" s="28"/>
      <c r="X218" s="28"/>
      <c r="Y218" s="255" t="str">
        <f>IF(W218="","",(_xlfn.XLOOKUP(W218,Cadastros!$D$6:$D$90,Cadastros!$E$6:$E$90))*(1-_xlfn.XLOOKUP(_xlfn.XLOOKUP($F218,Clientes!$B$4:$B$39,Clientes!$C$4:$C$39),Cadastros!$L$6:$L$12,Cadastros!$N$6:$N$12)))</f>
        <v/>
      </c>
      <c r="Z218" s="168" t="str">
        <f t="shared" si="43"/>
        <v/>
      </c>
      <c r="AA218" s="168" t="str">
        <f>IFERROR(Z218/_xlfn.XLOOKUP(_xlfn.XLOOKUP($F218,Clientes!$B$4:$B$39,Clientes!$C$4:$C$39),Cadastros!$L$6:$L$12,Cadastros!$M$6:$M$12)," ")</f>
        <v xml:space="preserve"> </v>
      </c>
      <c r="AB218" s="28"/>
      <c r="AC218" s="28"/>
      <c r="AD218" s="20" t="str">
        <f>IF(AB218="","",IF($F218="Bernardino Furlan",_xlfn.XLOOKUP(AB218,Cadastros!$G$6:$G$90,Cadastros!$H$6:$H$90)*(1-0.18),IF($F218="Mauro José Salanti",_xlfn.XLOOKUP(AB218,Cadastros!$G$6:$G$90,Cadastros!$H$6:$H$90)*(1-0.18),_xlfn.XLOOKUP(AB218,Cadastros!$G$6:$G$90,Cadastros!$H$6:$H$90))))</f>
        <v/>
      </c>
      <c r="AE218" s="168" t="str">
        <f t="shared" si="44"/>
        <v/>
      </c>
      <c r="AF218" s="168" t="str">
        <f t="shared" si="45"/>
        <v/>
      </c>
      <c r="AG218" s="28"/>
      <c r="AH218" s="28"/>
      <c r="AI218" s="20" t="str">
        <f>IF(AG218="","",IF($F218="Bernardino Furlan",_xlfn.XLOOKUP(AG218,Cadastros!$G$6:$G$90,Cadastros!$H$6:$H$90)*(1-0.18),IF($F218="Mauro José Salanti",_xlfn.XLOOKUP(AG218,Cadastros!$G$6:$G$90,Cadastros!$H$6:$H$90)*(1-0.18),_xlfn.XLOOKUP(AG218,Cadastros!$G$6:$G$90,Cadastros!$H$6:$H$90))))</f>
        <v/>
      </c>
      <c r="AJ218" s="168" t="str">
        <f t="shared" si="46"/>
        <v/>
      </c>
      <c r="AK218" s="168" t="str">
        <f t="shared" si="47"/>
        <v/>
      </c>
      <c r="AL218" s="28"/>
      <c r="AM218" s="28"/>
      <c r="AN218" s="20" t="str">
        <f>IF(AL218="","",IF($F218="Bernardino Furlan",_xlfn.XLOOKUP(AL218,Cadastros!$G$6:$G$90,Cadastros!$H$6:$H$90)*(1-0.18),IF($F218="Mauro José Salanti",_xlfn.XLOOKUP(AL218,Cadastros!$G$6:$G$90,Cadastros!$H$6:$H$90)*(1-0.18),_xlfn.XLOOKUP(AL218,Cadastros!$G$6:$G$90,Cadastros!$H$6:$H$90))))</f>
        <v/>
      </c>
      <c r="AO218" s="168" t="str">
        <f t="shared" si="48"/>
        <v/>
      </c>
      <c r="AP218" s="168" t="str">
        <f t="shared" si="49"/>
        <v/>
      </c>
      <c r="AQ218" s="28"/>
      <c r="AR218" s="28"/>
      <c r="AS218" s="20" t="str">
        <f>IF(AQ218="","",IF($F218="Bernardino Furlan",_xlfn.XLOOKUP(AQ218,Cadastros!$G$6:$G$90,Cadastros!$H$6:$H$90)*(1-0.18),IF($F218="Mauro José Salanti",_xlfn.XLOOKUP(AQ218,Cadastros!$G$6:$G$90,Cadastros!$H$6:$H$90)*(1-0.18),_xlfn.XLOOKUP(AQ218,Cadastros!$G$6:$G$90,Cadastros!$H$6:$H$90))))</f>
        <v/>
      </c>
      <c r="AT218" s="168" t="str">
        <f t="shared" si="50"/>
        <v/>
      </c>
      <c r="AU218" s="168" t="str">
        <f t="shared" si="51"/>
        <v/>
      </c>
      <c r="AV218" s="227"/>
      <c r="AW218" s="30"/>
      <c r="AX218" s="267"/>
      <c r="AY218" s="267"/>
      <c r="AZ218" s="29"/>
      <c r="BA218" s="30"/>
      <c r="BB218" s="23" t="str" cm="1">
        <f t="array" ref="BB218">_xlfn.IFS(AW218="SIM",SUM(K218,P218,U218,Z218,AE218,AJ218,AO218,AT218,AX218,AY218),F218&lt;&gt;"",SUM(K218,P218,U218,Z218,AE218,AJ218,,AO218,AT218),F218="","")</f>
        <v/>
      </c>
      <c r="BC218" s="211" t="str" cm="1">
        <f t="array" ref="BC218">_xlfn.IFS(E218="","",G218&lt;=E218,BB218*(1-0.03),G218&lt;(E218+8),BB218,AZ218="Boleto",BB218*(1+0.001)^DATEDIF(E218,G218,"D"),AZ218="Cheque",BB218,AZ218="Dinheiro","Alterar forma pgto")</f>
        <v/>
      </c>
      <c r="BD218" s="276" t="str" cm="1">
        <f t="array" ref="BD218">IF(F218=0," ",IF(BC218&lt;BB218,(_xlfn.IFS(AW218="SIM",SUM(L218,Q218,V218,AA218,AF218,AK218,AP218,AU218)+AX218/_xlfn.XLOOKUP(_xlfn.XLOOKUP($F218,Clientes!$B$4:$B$39,Clientes!$C$4:$C$39),Cadastros!$L$6:$L$12,Cadastros!$M$6:$M$12)+IF($F218="Bernardino Furlan",AY218/2751.92,IF($F218="Mauro José Salanti",AY218/2751.92,AY218/3356)),F218&lt;&gt;0,SUM(L218,Q218,V218,AA218,AF218,AK218,AP218,AU218)))*(1-0.03),_xlfn.IFS(AW218="SIM",SUM(L218,Q218,V218,AA218,AF218,AK218,AP218,AU218)+AX218/_xlfn.XLOOKUP(_xlfn.XLOOKUP($F218,Clientes!$B$4:$B$39,Clientes!$C$4:$C$39),Cadastros!$L$6:$L$12,Cadastros!$M$6:$M$12)+IF($F218="Bernardino Furlan",AY218/2751.92,IF($F218="Mauro José Salanti",AY218/2751.92,AY218/3356)),F218&lt;&gt;0,SUM(L218,Q218,V218,AA218,AF218,AK218,AP218,AU218))))</f>
        <v xml:space="preserve"> </v>
      </c>
      <c r="BE218" s="120"/>
      <c r="BF218" s="120"/>
      <c r="BG218" s="120"/>
    </row>
    <row r="219" spans="1:59" s="3" customFormat="1" x14ac:dyDescent="0.3">
      <c r="A219" s="15" t="str">
        <f t="shared" si="39"/>
        <v/>
      </c>
      <c r="B219" s="25"/>
      <c r="C219" s="26"/>
      <c r="D219" s="279"/>
      <c r="E219" s="27"/>
      <c r="F219" s="28"/>
      <c r="G219" s="27"/>
      <c r="H219" s="28"/>
      <c r="I219" s="28"/>
      <c r="J219" s="255" t="str">
        <f>IF(H219="","",(_xlfn.XLOOKUP(H219,Cadastros!$D$6:$D$90,Cadastros!$E$6:$E$90))*(1-_xlfn.XLOOKUP(_xlfn.XLOOKUP($F219,Clientes!$B$4:$B$39,Clientes!$C$4:$C$39),Cadastros!$L$6:$L$12,Cadastros!$N$6:$N$12)))</f>
        <v/>
      </c>
      <c r="K219" s="168" t="str">
        <f t="shared" si="40"/>
        <v/>
      </c>
      <c r="L219" s="168" t="str">
        <f>IFERROR(K219/_xlfn.XLOOKUP(_xlfn.XLOOKUP($F219,Clientes!$B$4:$B$39,Clientes!$C$4:$C$39),Cadastros!$L$6:$L$12,Cadastros!$M$6:$M$12)," ")</f>
        <v xml:space="preserve"> </v>
      </c>
      <c r="M219" s="28"/>
      <c r="N219" s="28"/>
      <c r="O219" s="255" t="str">
        <f>IF(M219="","",(_xlfn.XLOOKUP(M219,Cadastros!$D$6:$D$90,Cadastros!$E$6:$E$90))*(1-_xlfn.XLOOKUP(_xlfn.XLOOKUP($F219,Clientes!$B$4:$B$39,Clientes!$C$4:$C$39),Cadastros!$L$6:$L$12,Cadastros!$N$6:$N$12)))</f>
        <v/>
      </c>
      <c r="P219" s="168" t="str">
        <f t="shared" si="41"/>
        <v/>
      </c>
      <c r="Q219" s="168" t="str">
        <f>IFERROR(P219/_xlfn.XLOOKUP(_xlfn.XLOOKUP($F219,Clientes!$B$4:$B$39,Clientes!$C$4:$C$39),Cadastros!$L$6:$L$12,Cadastros!$M$6:$M$12)," ")</f>
        <v xml:space="preserve"> </v>
      </c>
      <c r="R219" s="28"/>
      <c r="S219" s="28"/>
      <c r="T219" s="255" t="str">
        <f>IF(R219="","",(_xlfn.XLOOKUP(R219,Cadastros!$D$6:$D$90,Cadastros!$E$6:$E$90))*(1-_xlfn.XLOOKUP(_xlfn.XLOOKUP($F219,Clientes!$B$4:$B$39,Clientes!$C$4:$C$39),Cadastros!$L$6:$L$12,Cadastros!$N$6:$N$12)))</f>
        <v/>
      </c>
      <c r="U219" s="168" t="str">
        <f t="shared" si="42"/>
        <v/>
      </c>
      <c r="V219" s="168" t="str">
        <f>IFERROR(U219/_xlfn.XLOOKUP(_xlfn.XLOOKUP($F219,Clientes!$B$4:$B$39,Clientes!$C$4:$C$39),Cadastros!$L$6:$L$12,Cadastros!$M$6:$M$12)," ")</f>
        <v xml:space="preserve"> </v>
      </c>
      <c r="W219" s="28"/>
      <c r="X219" s="28"/>
      <c r="Y219" s="255" t="str">
        <f>IF(W219="","",(_xlfn.XLOOKUP(W219,Cadastros!$D$6:$D$90,Cadastros!$E$6:$E$90))*(1-_xlfn.XLOOKUP(_xlfn.XLOOKUP($F219,Clientes!$B$4:$B$39,Clientes!$C$4:$C$39),Cadastros!$L$6:$L$12,Cadastros!$N$6:$N$12)))</f>
        <v/>
      </c>
      <c r="Z219" s="168" t="str">
        <f t="shared" si="43"/>
        <v/>
      </c>
      <c r="AA219" s="168" t="str">
        <f>IFERROR(Z219/_xlfn.XLOOKUP(_xlfn.XLOOKUP($F219,Clientes!$B$4:$B$39,Clientes!$C$4:$C$39),Cadastros!$L$6:$L$12,Cadastros!$M$6:$M$12)," ")</f>
        <v xml:space="preserve"> </v>
      </c>
      <c r="AB219" s="28"/>
      <c r="AC219" s="28"/>
      <c r="AD219" s="20" t="str">
        <f>IF(AB219="","",IF($F219="Bernardino Furlan",_xlfn.XLOOKUP(AB219,Cadastros!$G$6:$G$90,Cadastros!$H$6:$H$90)*(1-0.18),IF($F219="Mauro José Salanti",_xlfn.XLOOKUP(AB219,Cadastros!$G$6:$G$90,Cadastros!$H$6:$H$90)*(1-0.18),_xlfn.XLOOKUP(AB219,Cadastros!$G$6:$G$90,Cadastros!$H$6:$H$90))))</f>
        <v/>
      </c>
      <c r="AE219" s="168" t="str">
        <f t="shared" si="44"/>
        <v/>
      </c>
      <c r="AF219" s="168" t="str">
        <f t="shared" si="45"/>
        <v/>
      </c>
      <c r="AG219" s="28"/>
      <c r="AH219" s="28"/>
      <c r="AI219" s="20" t="str">
        <f>IF(AG219="","",IF($F219="Bernardino Furlan",_xlfn.XLOOKUP(AG219,Cadastros!$G$6:$G$90,Cadastros!$H$6:$H$90)*(1-0.18),IF($F219="Mauro José Salanti",_xlfn.XLOOKUP(AG219,Cadastros!$G$6:$G$90,Cadastros!$H$6:$H$90)*(1-0.18),_xlfn.XLOOKUP(AG219,Cadastros!$G$6:$G$90,Cadastros!$H$6:$H$90))))</f>
        <v/>
      </c>
      <c r="AJ219" s="168" t="str">
        <f t="shared" si="46"/>
        <v/>
      </c>
      <c r="AK219" s="168" t="str">
        <f t="shared" si="47"/>
        <v/>
      </c>
      <c r="AL219" s="28"/>
      <c r="AM219" s="28"/>
      <c r="AN219" s="20" t="str">
        <f>IF(AL219="","",IF($F219="Bernardino Furlan",_xlfn.XLOOKUP(AL219,Cadastros!$G$6:$G$90,Cadastros!$H$6:$H$90)*(1-0.18),IF($F219="Mauro José Salanti",_xlfn.XLOOKUP(AL219,Cadastros!$G$6:$G$90,Cadastros!$H$6:$H$90)*(1-0.18),_xlfn.XLOOKUP(AL219,Cadastros!$G$6:$G$90,Cadastros!$H$6:$H$90))))</f>
        <v/>
      </c>
      <c r="AO219" s="168" t="str">
        <f t="shared" si="48"/>
        <v/>
      </c>
      <c r="AP219" s="168" t="str">
        <f t="shared" si="49"/>
        <v/>
      </c>
      <c r="AQ219" s="28"/>
      <c r="AR219" s="28"/>
      <c r="AS219" s="20" t="str">
        <f>IF(AQ219="","",IF($F219="Bernardino Furlan",_xlfn.XLOOKUP(AQ219,Cadastros!$G$6:$G$90,Cadastros!$H$6:$H$90)*(1-0.18),IF($F219="Mauro José Salanti",_xlfn.XLOOKUP(AQ219,Cadastros!$G$6:$G$90,Cadastros!$H$6:$H$90)*(1-0.18),_xlfn.XLOOKUP(AQ219,Cadastros!$G$6:$G$90,Cadastros!$H$6:$H$90))))</f>
        <v/>
      </c>
      <c r="AT219" s="168" t="str">
        <f t="shared" si="50"/>
        <v/>
      </c>
      <c r="AU219" s="168" t="str">
        <f t="shared" si="51"/>
        <v/>
      </c>
      <c r="AV219" s="227"/>
      <c r="AW219" s="30"/>
      <c r="AX219" s="267"/>
      <c r="AY219" s="267"/>
      <c r="AZ219" s="29"/>
      <c r="BA219" s="30"/>
      <c r="BB219" s="23" t="str" cm="1">
        <f t="array" ref="BB219">_xlfn.IFS(AW219="SIM",SUM(K219,P219,U219,Z219,AE219,AJ219,AO219,AT219,AX219,AY219),F219&lt;&gt;"",SUM(K219,P219,U219,Z219,AE219,AJ219,,AO219,AT219),F219="","")</f>
        <v/>
      </c>
      <c r="BC219" s="211" t="str" cm="1">
        <f t="array" ref="BC219">_xlfn.IFS(E219="","",G219&lt;=E219,BB219*(1-0.03),G219&lt;(E219+8),BB219,AZ219="Boleto",BB219*(1+0.001)^DATEDIF(E219,G219,"D"),AZ219="Cheque",BB219,AZ219="Dinheiro","Alterar forma pgto")</f>
        <v/>
      </c>
      <c r="BD219" s="276" t="str" cm="1">
        <f t="array" ref="BD219">IF(F219=0," ",IF(BC219&lt;BB219,(_xlfn.IFS(AW219="SIM",SUM(L219,Q219,V219,AA219,AF219,AK219,AP219,AU219)+AX219/_xlfn.XLOOKUP(_xlfn.XLOOKUP($F219,Clientes!$B$4:$B$39,Clientes!$C$4:$C$39),Cadastros!$L$6:$L$12,Cadastros!$M$6:$M$12)+IF($F219="Bernardino Furlan",AY219/2751.92,IF($F219="Mauro José Salanti",AY219/2751.92,AY219/3356)),F219&lt;&gt;0,SUM(L219,Q219,V219,AA219,AF219,AK219,AP219,AU219)))*(1-0.03),_xlfn.IFS(AW219="SIM",SUM(L219,Q219,V219,AA219,AF219,AK219,AP219,AU219)+AX219/_xlfn.XLOOKUP(_xlfn.XLOOKUP($F219,Clientes!$B$4:$B$39,Clientes!$C$4:$C$39),Cadastros!$L$6:$L$12,Cadastros!$M$6:$M$12)+IF($F219="Bernardino Furlan",AY219/2751.92,IF($F219="Mauro José Salanti",AY219/2751.92,AY219/3356)),F219&lt;&gt;0,SUM(L219,Q219,V219,AA219,AF219,AK219,AP219,AU219))))</f>
        <v xml:space="preserve"> </v>
      </c>
      <c r="BE219" s="120"/>
      <c r="BF219" s="120"/>
      <c r="BG219" s="120"/>
    </row>
    <row r="220" spans="1:59" s="3" customFormat="1" x14ac:dyDescent="0.3">
      <c r="A220" s="15" t="str">
        <f t="shared" si="39"/>
        <v/>
      </c>
      <c r="B220" s="25"/>
      <c r="C220" s="26"/>
      <c r="D220" s="279"/>
      <c r="E220" s="27"/>
      <c r="F220" s="28"/>
      <c r="G220" s="27"/>
      <c r="H220" s="28"/>
      <c r="I220" s="28"/>
      <c r="J220" s="255" t="str">
        <f>IF(H220="","",(_xlfn.XLOOKUP(H220,Cadastros!$D$6:$D$90,Cadastros!$E$6:$E$90))*(1-_xlfn.XLOOKUP(_xlfn.XLOOKUP($F220,Clientes!$B$4:$B$39,Clientes!$C$4:$C$39),Cadastros!$L$6:$L$12,Cadastros!$N$6:$N$12)))</f>
        <v/>
      </c>
      <c r="K220" s="168" t="str">
        <f t="shared" si="40"/>
        <v/>
      </c>
      <c r="L220" s="168" t="str">
        <f>IFERROR(K220/_xlfn.XLOOKUP(_xlfn.XLOOKUP($F220,Clientes!$B$4:$B$39,Clientes!$C$4:$C$39),Cadastros!$L$6:$L$12,Cadastros!$M$6:$M$12)," ")</f>
        <v xml:space="preserve"> </v>
      </c>
      <c r="M220" s="28"/>
      <c r="N220" s="28"/>
      <c r="O220" s="255" t="str">
        <f>IF(M220="","",(_xlfn.XLOOKUP(M220,Cadastros!$D$6:$D$90,Cadastros!$E$6:$E$90))*(1-_xlfn.XLOOKUP(_xlfn.XLOOKUP($F220,Clientes!$B$4:$B$39,Clientes!$C$4:$C$39),Cadastros!$L$6:$L$12,Cadastros!$N$6:$N$12)))</f>
        <v/>
      </c>
      <c r="P220" s="168" t="str">
        <f t="shared" si="41"/>
        <v/>
      </c>
      <c r="Q220" s="168" t="str">
        <f>IFERROR(P220/_xlfn.XLOOKUP(_xlfn.XLOOKUP($F220,Clientes!$B$4:$B$39,Clientes!$C$4:$C$39),Cadastros!$L$6:$L$12,Cadastros!$M$6:$M$12)," ")</f>
        <v xml:space="preserve"> </v>
      </c>
      <c r="R220" s="28"/>
      <c r="S220" s="28"/>
      <c r="T220" s="255" t="str">
        <f>IF(R220="","",(_xlfn.XLOOKUP(R220,Cadastros!$D$6:$D$90,Cadastros!$E$6:$E$90))*(1-_xlfn.XLOOKUP(_xlfn.XLOOKUP($F220,Clientes!$B$4:$B$39,Clientes!$C$4:$C$39),Cadastros!$L$6:$L$12,Cadastros!$N$6:$N$12)))</f>
        <v/>
      </c>
      <c r="U220" s="168" t="str">
        <f t="shared" si="42"/>
        <v/>
      </c>
      <c r="V220" s="168" t="str">
        <f>IFERROR(U220/_xlfn.XLOOKUP(_xlfn.XLOOKUP($F220,Clientes!$B$4:$B$39,Clientes!$C$4:$C$39),Cadastros!$L$6:$L$12,Cadastros!$M$6:$M$12)," ")</f>
        <v xml:space="preserve"> </v>
      </c>
      <c r="W220" s="28"/>
      <c r="X220" s="28"/>
      <c r="Y220" s="255" t="str">
        <f>IF(W220="","",(_xlfn.XLOOKUP(W220,Cadastros!$D$6:$D$90,Cadastros!$E$6:$E$90))*(1-_xlfn.XLOOKUP(_xlfn.XLOOKUP($F220,Clientes!$B$4:$B$39,Clientes!$C$4:$C$39),Cadastros!$L$6:$L$12,Cadastros!$N$6:$N$12)))</f>
        <v/>
      </c>
      <c r="Z220" s="168" t="str">
        <f t="shared" si="43"/>
        <v/>
      </c>
      <c r="AA220" s="168" t="str">
        <f>IFERROR(Z220/_xlfn.XLOOKUP(_xlfn.XLOOKUP($F220,Clientes!$B$4:$B$39,Clientes!$C$4:$C$39),Cadastros!$L$6:$L$12,Cadastros!$M$6:$M$12)," ")</f>
        <v xml:space="preserve"> </v>
      </c>
      <c r="AB220" s="28"/>
      <c r="AC220" s="28"/>
      <c r="AD220" s="20" t="str">
        <f>IF(AB220="","",IF($F220="Bernardino Furlan",_xlfn.XLOOKUP(AB220,Cadastros!$G$6:$G$90,Cadastros!$H$6:$H$90)*(1-0.18),IF($F220="Mauro José Salanti",_xlfn.XLOOKUP(AB220,Cadastros!$G$6:$G$90,Cadastros!$H$6:$H$90)*(1-0.18),_xlfn.XLOOKUP(AB220,Cadastros!$G$6:$G$90,Cadastros!$H$6:$H$90))))</f>
        <v/>
      </c>
      <c r="AE220" s="168" t="str">
        <f t="shared" si="44"/>
        <v/>
      </c>
      <c r="AF220" s="168" t="str">
        <f t="shared" si="45"/>
        <v/>
      </c>
      <c r="AG220" s="28"/>
      <c r="AH220" s="28"/>
      <c r="AI220" s="20" t="str">
        <f>IF(AG220="","",IF($F220="Bernardino Furlan",_xlfn.XLOOKUP(AG220,Cadastros!$G$6:$G$90,Cadastros!$H$6:$H$90)*(1-0.18),IF($F220="Mauro José Salanti",_xlfn.XLOOKUP(AG220,Cadastros!$G$6:$G$90,Cadastros!$H$6:$H$90)*(1-0.18),_xlfn.XLOOKUP(AG220,Cadastros!$G$6:$G$90,Cadastros!$H$6:$H$90))))</f>
        <v/>
      </c>
      <c r="AJ220" s="168" t="str">
        <f t="shared" si="46"/>
        <v/>
      </c>
      <c r="AK220" s="168" t="str">
        <f t="shared" si="47"/>
        <v/>
      </c>
      <c r="AL220" s="28"/>
      <c r="AM220" s="28"/>
      <c r="AN220" s="20" t="str">
        <f>IF(AL220="","",IF($F220="Bernardino Furlan",_xlfn.XLOOKUP(AL220,Cadastros!$G$6:$G$90,Cadastros!$H$6:$H$90)*(1-0.18),IF($F220="Mauro José Salanti",_xlfn.XLOOKUP(AL220,Cadastros!$G$6:$G$90,Cadastros!$H$6:$H$90)*(1-0.18),_xlfn.XLOOKUP(AL220,Cadastros!$G$6:$G$90,Cadastros!$H$6:$H$90))))</f>
        <v/>
      </c>
      <c r="AO220" s="168" t="str">
        <f t="shared" si="48"/>
        <v/>
      </c>
      <c r="AP220" s="168" t="str">
        <f t="shared" si="49"/>
        <v/>
      </c>
      <c r="AQ220" s="28"/>
      <c r="AR220" s="28"/>
      <c r="AS220" s="20" t="str">
        <f>IF(AQ220="","",IF($F220="Bernardino Furlan",_xlfn.XLOOKUP(AQ220,Cadastros!$G$6:$G$90,Cadastros!$H$6:$H$90)*(1-0.18),IF($F220="Mauro José Salanti",_xlfn.XLOOKUP(AQ220,Cadastros!$G$6:$G$90,Cadastros!$H$6:$H$90)*(1-0.18),_xlfn.XLOOKUP(AQ220,Cadastros!$G$6:$G$90,Cadastros!$H$6:$H$90))))</f>
        <v/>
      </c>
      <c r="AT220" s="168" t="str">
        <f t="shared" si="50"/>
        <v/>
      </c>
      <c r="AU220" s="168" t="str">
        <f t="shared" si="51"/>
        <v/>
      </c>
      <c r="AV220" s="227"/>
      <c r="AW220" s="30"/>
      <c r="AX220" s="267"/>
      <c r="AY220" s="267"/>
      <c r="AZ220" s="29"/>
      <c r="BA220" s="30"/>
      <c r="BB220" s="23" t="str" cm="1">
        <f t="array" ref="BB220">_xlfn.IFS(AW220="SIM",SUM(K220,P220,U220,Z220,AE220,AJ220,AO220,AT220,AX220,AY220),F220&lt;&gt;"",SUM(K220,P220,U220,Z220,AE220,AJ220,,AO220,AT220),F220="","")</f>
        <v/>
      </c>
      <c r="BC220" s="211" t="str" cm="1">
        <f t="array" ref="BC220">_xlfn.IFS(E220="","",G220&lt;=E220,BB220*(1-0.03),G220&lt;(E220+8),BB220,AZ220="Boleto",BB220*(1+0.001)^DATEDIF(E220,G220,"D"),AZ220="Cheque",BB220,AZ220="Dinheiro","Alterar forma pgto")</f>
        <v/>
      </c>
      <c r="BD220" s="276" t="str" cm="1">
        <f t="array" ref="BD220">IF(F220=0," ",IF(BC220&lt;BB220,(_xlfn.IFS(AW220="SIM",SUM(L220,Q220,V220,AA220,AF220,AK220,AP220,AU220)+AX220/_xlfn.XLOOKUP(_xlfn.XLOOKUP($F220,Clientes!$B$4:$B$39,Clientes!$C$4:$C$39),Cadastros!$L$6:$L$12,Cadastros!$M$6:$M$12)+IF($F220="Bernardino Furlan",AY220/2751.92,IF($F220="Mauro José Salanti",AY220/2751.92,AY220/3356)),F220&lt;&gt;0,SUM(L220,Q220,V220,AA220,AF220,AK220,AP220,AU220)))*(1-0.03),_xlfn.IFS(AW220="SIM",SUM(L220,Q220,V220,AA220,AF220,AK220,AP220,AU220)+AX220/_xlfn.XLOOKUP(_xlfn.XLOOKUP($F220,Clientes!$B$4:$B$39,Clientes!$C$4:$C$39),Cadastros!$L$6:$L$12,Cadastros!$M$6:$M$12)+IF($F220="Bernardino Furlan",AY220/2751.92,IF($F220="Mauro José Salanti",AY220/2751.92,AY220/3356)),F220&lt;&gt;0,SUM(L220,Q220,V220,AA220,AF220,AK220,AP220,AU220))))</f>
        <v xml:space="preserve"> </v>
      </c>
      <c r="BE220" s="120"/>
      <c r="BF220" s="120"/>
      <c r="BG220" s="120"/>
    </row>
    <row r="221" spans="1:59" s="3" customFormat="1" x14ac:dyDescent="0.3">
      <c r="A221" s="15" t="str">
        <f t="shared" si="39"/>
        <v/>
      </c>
      <c r="B221" s="25"/>
      <c r="C221" s="26"/>
      <c r="D221" s="279"/>
      <c r="E221" s="27"/>
      <c r="F221" s="28"/>
      <c r="G221" s="27"/>
      <c r="H221" s="28"/>
      <c r="I221" s="28"/>
      <c r="J221" s="255" t="str">
        <f>IF(H221="","",(_xlfn.XLOOKUP(H221,Cadastros!$D$6:$D$90,Cadastros!$E$6:$E$90))*(1-_xlfn.XLOOKUP(_xlfn.XLOOKUP($F221,Clientes!$B$4:$B$39,Clientes!$C$4:$C$39),Cadastros!$L$6:$L$12,Cadastros!$N$6:$N$12)))</f>
        <v/>
      </c>
      <c r="K221" s="168" t="str">
        <f t="shared" si="40"/>
        <v/>
      </c>
      <c r="L221" s="168" t="str">
        <f>IFERROR(K221/_xlfn.XLOOKUP(_xlfn.XLOOKUP($F221,Clientes!$B$4:$B$39,Clientes!$C$4:$C$39),Cadastros!$L$6:$L$12,Cadastros!$M$6:$M$12)," ")</f>
        <v xml:space="preserve"> </v>
      </c>
      <c r="M221" s="28"/>
      <c r="N221" s="28"/>
      <c r="O221" s="255" t="str">
        <f>IF(M221="","",(_xlfn.XLOOKUP(M221,Cadastros!$D$6:$D$90,Cadastros!$E$6:$E$90))*(1-_xlfn.XLOOKUP(_xlfn.XLOOKUP($F221,Clientes!$B$4:$B$39,Clientes!$C$4:$C$39),Cadastros!$L$6:$L$12,Cadastros!$N$6:$N$12)))</f>
        <v/>
      </c>
      <c r="P221" s="168" t="str">
        <f t="shared" si="41"/>
        <v/>
      </c>
      <c r="Q221" s="168" t="str">
        <f>IFERROR(P221/_xlfn.XLOOKUP(_xlfn.XLOOKUP($F221,Clientes!$B$4:$B$39,Clientes!$C$4:$C$39),Cadastros!$L$6:$L$12,Cadastros!$M$6:$M$12)," ")</f>
        <v xml:space="preserve"> </v>
      </c>
      <c r="R221" s="28"/>
      <c r="S221" s="28"/>
      <c r="T221" s="255" t="str">
        <f>IF(R221="","",(_xlfn.XLOOKUP(R221,Cadastros!$D$6:$D$90,Cadastros!$E$6:$E$90))*(1-_xlfn.XLOOKUP(_xlfn.XLOOKUP($F221,Clientes!$B$4:$B$39,Clientes!$C$4:$C$39),Cadastros!$L$6:$L$12,Cadastros!$N$6:$N$12)))</f>
        <v/>
      </c>
      <c r="U221" s="168" t="str">
        <f t="shared" si="42"/>
        <v/>
      </c>
      <c r="V221" s="168" t="str">
        <f>IFERROR(U221/_xlfn.XLOOKUP(_xlfn.XLOOKUP($F221,Clientes!$B$4:$B$39,Clientes!$C$4:$C$39),Cadastros!$L$6:$L$12,Cadastros!$M$6:$M$12)," ")</f>
        <v xml:space="preserve"> </v>
      </c>
      <c r="W221" s="28"/>
      <c r="X221" s="28"/>
      <c r="Y221" s="255" t="str">
        <f>IF(W221="","",(_xlfn.XLOOKUP(W221,Cadastros!$D$6:$D$90,Cadastros!$E$6:$E$90))*(1-_xlfn.XLOOKUP(_xlfn.XLOOKUP($F221,Clientes!$B$4:$B$39,Clientes!$C$4:$C$39),Cadastros!$L$6:$L$12,Cadastros!$N$6:$N$12)))</f>
        <v/>
      </c>
      <c r="Z221" s="168" t="str">
        <f t="shared" si="43"/>
        <v/>
      </c>
      <c r="AA221" s="168" t="str">
        <f>IFERROR(Z221/_xlfn.XLOOKUP(_xlfn.XLOOKUP($F221,Clientes!$B$4:$B$39,Clientes!$C$4:$C$39),Cadastros!$L$6:$L$12,Cadastros!$M$6:$M$12)," ")</f>
        <v xml:space="preserve"> </v>
      </c>
      <c r="AB221" s="28"/>
      <c r="AC221" s="28"/>
      <c r="AD221" s="20" t="str">
        <f>IF(AB221="","",IF($F221="Bernardino Furlan",_xlfn.XLOOKUP(AB221,Cadastros!$G$6:$G$90,Cadastros!$H$6:$H$90)*(1-0.18),IF($F221="Mauro José Salanti",_xlfn.XLOOKUP(AB221,Cadastros!$G$6:$G$90,Cadastros!$H$6:$H$90)*(1-0.18),_xlfn.XLOOKUP(AB221,Cadastros!$G$6:$G$90,Cadastros!$H$6:$H$90))))</f>
        <v/>
      </c>
      <c r="AE221" s="168" t="str">
        <f t="shared" si="44"/>
        <v/>
      </c>
      <c r="AF221" s="168" t="str">
        <f t="shared" si="45"/>
        <v/>
      </c>
      <c r="AG221" s="28"/>
      <c r="AH221" s="28"/>
      <c r="AI221" s="20" t="str">
        <f>IF(AG221="","",IF($F221="Bernardino Furlan",_xlfn.XLOOKUP(AG221,Cadastros!$G$6:$G$90,Cadastros!$H$6:$H$90)*(1-0.18),IF($F221="Mauro José Salanti",_xlfn.XLOOKUP(AG221,Cadastros!$G$6:$G$90,Cadastros!$H$6:$H$90)*(1-0.18),_xlfn.XLOOKUP(AG221,Cadastros!$G$6:$G$90,Cadastros!$H$6:$H$90))))</f>
        <v/>
      </c>
      <c r="AJ221" s="168" t="str">
        <f t="shared" si="46"/>
        <v/>
      </c>
      <c r="AK221" s="168" t="str">
        <f t="shared" si="47"/>
        <v/>
      </c>
      <c r="AL221" s="28"/>
      <c r="AM221" s="28"/>
      <c r="AN221" s="20" t="str">
        <f>IF(AL221="","",IF($F221="Bernardino Furlan",_xlfn.XLOOKUP(AL221,Cadastros!$G$6:$G$90,Cadastros!$H$6:$H$90)*(1-0.18),IF($F221="Mauro José Salanti",_xlfn.XLOOKUP(AL221,Cadastros!$G$6:$G$90,Cadastros!$H$6:$H$90)*(1-0.18),_xlfn.XLOOKUP(AL221,Cadastros!$G$6:$G$90,Cadastros!$H$6:$H$90))))</f>
        <v/>
      </c>
      <c r="AO221" s="168" t="str">
        <f t="shared" si="48"/>
        <v/>
      </c>
      <c r="AP221" s="168" t="str">
        <f t="shared" si="49"/>
        <v/>
      </c>
      <c r="AQ221" s="28"/>
      <c r="AR221" s="28"/>
      <c r="AS221" s="20" t="str">
        <f>IF(AQ221="","",IF($F221="Bernardino Furlan",_xlfn.XLOOKUP(AQ221,Cadastros!$G$6:$G$90,Cadastros!$H$6:$H$90)*(1-0.18),IF($F221="Mauro José Salanti",_xlfn.XLOOKUP(AQ221,Cadastros!$G$6:$G$90,Cadastros!$H$6:$H$90)*(1-0.18),_xlfn.XLOOKUP(AQ221,Cadastros!$G$6:$G$90,Cadastros!$H$6:$H$90))))</f>
        <v/>
      </c>
      <c r="AT221" s="168" t="str">
        <f t="shared" si="50"/>
        <v/>
      </c>
      <c r="AU221" s="168" t="str">
        <f t="shared" si="51"/>
        <v/>
      </c>
      <c r="AV221" s="227"/>
      <c r="AW221" s="30"/>
      <c r="AX221" s="267"/>
      <c r="AY221" s="267"/>
      <c r="AZ221" s="29"/>
      <c r="BA221" s="30"/>
      <c r="BB221" s="23" t="str" cm="1">
        <f t="array" ref="BB221">_xlfn.IFS(AW221="SIM",SUM(K221,P221,U221,Z221,AE221,AJ221,AO221,AT221,AX221,AY221),F221&lt;&gt;"",SUM(K221,P221,U221,Z221,AE221,AJ221,,AO221,AT221),F221="","")</f>
        <v/>
      </c>
      <c r="BC221" s="211" t="str" cm="1">
        <f t="array" ref="BC221">_xlfn.IFS(E221="","",G221&lt;=E221,BB221*(1-0.03),G221&lt;(E221+8),BB221,AZ221="Boleto",BB221*(1+0.001)^DATEDIF(E221,G221,"D"),AZ221="Cheque",BB221,AZ221="Dinheiro","Alterar forma pgto")</f>
        <v/>
      </c>
      <c r="BD221" s="276" t="str" cm="1">
        <f t="array" ref="BD221">IF(F221=0," ",IF(BC221&lt;BB221,(_xlfn.IFS(AW221="SIM",SUM(L221,Q221,V221,AA221,AF221,AK221,AP221,AU221)+AX221/_xlfn.XLOOKUP(_xlfn.XLOOKUP($F221,Clientes!$B$4:$B$39,Clientes!$C$4:$C$39),Cadastros!$L$6:$L$12,Cadastros!$M$6:$M$12)+IF($F221="Bernardino Furlan",AY221/2751.92,IF($F221="Mauro José Salanti",AY221/2751.92,AY221/3356)),F221&lt;&gt;0,SUM(L221,Q221,V221,AA221,AF221,AK221,AP221,AU221)))*(1-0.03),_xlfn.IFS(AW221="SIM",SUM(L221,Q221,V221,AA221,AF221,AK221,AP221,AU221)+AX221/_xlfn.XLOOKUP(_xlfn.XLOOKUP($F221,Clientes!$B$4:$B$39,Clientes!$C$4:$C$39),Cadastros!$L$6:$L$12,Cadastros!$M$6:$M$12)+IF($F221="Bernardino Furlan",AY221/2751.92,IF($F221="Mauro José Salanti",AY221/2751.92,AY221/3356)),F221&lt;&gt;0,SUM(L221,Q221,V221,AA221,AF221,AK221,AP221,AU221))))</f>
        <v xml:space="preserve"> </v>
      </c>
      <c r="BE221" s="120"/>
      <c r="BF221" s="120"/>
      <c r="BG221" s="120"/>
    </row>
    <row r="222" spans="1:59" s="3" customFormat="1" x14ac:dyDescent="0.3">
      <c r="A222" s="15" t="str">
        <f t="shared" si="39"/>
        <v/>
      </c>
      <c r="B222" s="34"/>
      <c r="C222" s="35"/>
      <c r="D222" s="280"/>
      <c r="E222" s="36"/>
      <c r="F222" s="37"/>
      <c r="G222" s="36"/>
      <c r="H222" s="37"/>
      <c r="I222" s="37"/>
      <c r="J222" s="255" t="str">
        <f>IF(H222="","",(_xlfn.XLOOKUP(H222,Cadastros!$D$6:$D$90,Cadastros!$E$6:$E$90))*(1-_xlfn.XLOOKUP(_xlfn.XLOOKUP($F222,Clientes!$B$4:$B$39,Clientes!$C$4:$C$39),Cadastros!$L$6:$L$12,Cadastros!$N$6:$N$12)))</f>
        <v/>
      </c>
      <c r="K222" s="168" t="str">
        <f t="shared" si="40"/>
        <v/>
      </c>
      <c r="L222" s="168" t="str">
        <f>IFERROR(K222/_xlfn.XLOOKUP(_xlfn.XLOOKUP($F222,Clientes!$B$4:$B$39,Clientes!$C$4:$C$39),Cadastros!$L$6:$L$12,Cadastros!$M$6:$M$12)," ")</f>
        <v xml:space="preserve"> </v>
      </c>
      <c r="M222" s="37"/>
      <c r="N222" s="37"/>
      <c r="O222" s="255" t="str">
        <f>IF(M222="","",(_xlfn.XLOOKUP(M222,Cadastros!$D$6:$D$90,Cadastros!$E$6:$E$90))*(1-_xlfn.XLOOKUP(_xlfn.XLOOKUP($F222,Clientes!$B$4:$B$39,Clientes!$C$4:$C$39),Cadastros!$L$6:$L$12,Cadastros!$N$6:$N$12)))</f>
        <v/>
      </c>
      <c r="P222" s="168" t="str">
        <f t="shared" si="41"/>
        <v/>
      </c>
      <c r="Q222" s="168" t="str">
        <f>IFERROR(P222/_xlfn.XLOOKUP(_xlfn.XLOOKUP($F222,Clientes!$B$4:$B$39,Clientes!$C$4:$C$39),Cadastros!$L$6:$L$12,Cadastros!$M$6:$M$12)," ")</f>
        <v xml:space="preserve"> </v>
      </c>
      <c r="R222" s="37"/>
      <c r="S222" s="37"/>
      <c r="T222" s="255" t="str">
        <f>IF(R222="","",(_xlfn.XLOOKUP(R222,Cadastros!$D$6:$D$90,Cadastros!$E$6:$E$90))*(1-_xlfn.XLOOKUP(_xlfn.XLOOKUP($F222,Clientes!$B$4:$B$39,Clientes!$C$4:$C$39),Cadastros!$L$6:$L$12,Cadastros!$N$6:$N$12)))</f>
        <v/>
      </c>
      <c r="U222" s="168" t="str">
        <f t="shared" si="42"/>
        <v/>
      </c>
      <c r="V222" s="168" t="str">
        <f>IFERROR(U222/_xlfn.XLOOKUP(_xlfn.XLOOKUP($F222,Clientes!$B$4:$B$39,Clientes!$C$4:$C$39),Cadastros!$L$6:$L$12,Cadastros!$M$6:$M$12)," ")</f>
        <v xml:space="preserve"> </v>
      </c>
      <c r="W222" s="37"/>
      <c r="X222" s="37"/>
      <c r="Y222" s="255" t="str">
        <f>IF(W222="","",(_xlfn.XLOOKUP(W222,Cadastros!$D$6:$D$90,Cadastros!$E$6:$E$90))*(1-_xlfn.XLOOKUP(_xlfn.XLOOKUP($F222,Clientes!$B$4:$B$39,Clientes!$C$4:$C$39),Cadastros!$L$6:$L$12,Cadastros!$N$6:$N$12)))</f>
        <v/>
      </c>
      <c r="Z222" s="168" t="str">
        <f t="shared" si="43"/>
        <v/>
      </c>
      <c r="AA222" s="168" t="str">
        <f>IFERROR(Z222/_xlfn.XLOOKUP(_xlfn.XLOOKUP($F222,Clientes!$B$4:$B$39,Clientes!$C$4:$C$39),Cadastros!$L$6:$L$12,Cadastros!$M$6:$M$12)," ")</f>
        <v xml:space="preserve"> </v>
      </c>
      <c r="AB222" s="37"/>
      <c r="AC222" s="37"/>
      <c r="AD222" s="20" t="str">
        <f>IF(AB222="","",IF($F222="Bernardino Furlan",_xlfn.XLOOKUP(AB222,Cadastros!$G$6:$G$90,Cadastros!$H$6:$H$90)*(1-0.18),IF($F222="Mauro José Salanti",_xlfn.XLOOKUP(AB222,Cadastros!$G$6:$G$90,Cadastros!$H$6:$H$90)*(1-0.18),_xlfn.XLOOKUP(AB222,Cadastros!$G$6:$G$90,Cadastros!$H$6:$H$90))))</f>
        <v/>
      </c>
      <c r="AE222" s="168" t="str">
        <f t="shared" si="44"/>
        <v/>
      </c>
      <c r="AF222" s="168" t="str">
        <f t="shared" si="45"/>
        <v/>
      </c>
      <c r="AG222" s="37"/>
      <c r="AH222" s="37"/>
      <c r="AI222" s="20" t="str">
        <f>IF(AG222="","",IF($F222="Bernardino Furlan",_xlfn.XLOOKUP(AG222,Cadastros!$G$6:$G$90,Cadastros!$H$6:$H$90)*(1-0.18),IF($F222="Mauro José Salanti",_xlfn.XLOOKUP(AG222,Cadastros!$G$6:$G$90,Cadastros!$H$6:$H$90)*(1-0.18),_xlfn.XLOOKUP(AG222,Cadastros!$G$6:$G$90,Cadastros!$H$6:$H$90))))</f>
        <v/>
      </c>
      <c r="AJ222" s="168" t="str">
        <f t="shared" si="46"/>
        <v/>
      </c>
      <c r="AK222" s="168" t="str">
        <f t="shared" si="47"/>
        <v/>
      </c>
      <c r="AL222" s="37"/>
      <c r="AM222" s="37"/>
      <c r="AN222" s="20" t="str">
        <f>IF(AL222="","",IF($F222="Bernardino Furlan",_xlfn.XLOOKUP(AL222,Cadastros!$G$6:$G$90,Cadastros!$H$6:$H$90)*(1-0.18),IF($F222="Mauro José Salanti",_xlfn.XLOOKUP(AL222,Cadastros!$G$6:$G$90,Cadastros!$H$6:$H$90)*(1-0.18),_xlfn.XLOOKUP(AL222,Cadastros!$G$6:$G$90,Cadastros!$H$6:$H$90))))</f>
        <v/>
      </c>
      <c r="AO222" s="168" t="str">
        <f t="shared" si="48"/>
        <v/>
      </c>
      <c r="AP222" s="168" t="str">
        <f t="shared" si="49"/>
        <v/>
      </c>
      <c r="AQ222" s="37"/>
      <c r="AR222" s="37"/>
      <c r="AS222" s="20" t="str">
        <f>IF(AQ222="","",IF($F222="Bernardino Furlan",_xlfn.XLOOKUP(AQ222,Cadastros!$G$6:$G$90,Cadastros!$H$6:$H$90)*(1-0.18),IF($F222="Mauro José Salanti",_xlfn.XLOOKUP(AQ222,Cadastros!$G$6:$G$90,Cadastros!$H$6:$H$90)*(1-0.18),_xlfn.XLOOKUP(AQ222,Cadastros!$G$6:$G$90,Cadastros!$H$6:$H$90))))</f>
        <v/>
      </c>
      <c r="AT222" s="168" t="str">
        <f t="shared" si="50"/>
        <v/>
      </c>
      <c r="AU222" s="168" t="str">
        <f t="shared" si="51"/>
        <v/>
      </c>
      <c r="AV222" s="228"/>
      <c r="AW222" s="38"/>
      <c r="AX222" s="268"/>
      <c r="AY222" s="268"/>
      <c r="AZ222" s="33"/>
      <c r="BA222" s="38"/>
      <c r="BB222" s="23" t="str" cm="1">
        <f t="array" ref="BB222">_xlfn.IFS(AW222="SIM",SUM(K222,P222,U222,Z222,AE222,AJ222,AO222,AT222,AX222,AY222),F222&lt;&gt;"",SUM(K222,P222,U222,Z222,AE222,AJ222,,AO222,AT222),F222="","")</f>
        <v/>
      </c>
      <c r="BC222" s="211" t="str" cm="1">
        <f t="array" ref="BC222">_xlfn.IFS(E222="","",G222&lt;=E222,BB222*(1-0.03),G222&lt;(E222+8),BB222,AZ222="Boleto",BB222*(1+0.001)^DATEDIF(E222,G222,"D"),AZ222="Cheque",BB222,AZ222="Dinheiro","Alterar forma pgto")</f>
        <v/>
      </c>
      <c r="BD222" s="276" t="str" cm="1">
        <f t="array" ref="BD222">IF(F222=0," ",IF(BC222&lt;BB222,(_xlfn.IFS(AW222="SIM",SUM(L222,Q222,V222,AA222,AF222,AK222,AP222,AU222)+AX222/_xlfn.XLOOKUP(_xlfn.XLOOKUP($F222,Clientes!$B$4:$B$39,Clientes!$C$4:$C$39),Cadastros!$L$6:$L$12,Cadastros!$M$6:$M$12)+IF($F222="Bernardino Furlan",AY222/2751.92,IF($F222="Mauro José Salanti",AY222/2751.92,AY222/3356)),F222&lt;&gt;0,SUM(L222,Q222,V222,AA222,AF222,AK222,AP222,AU222)))*(1-0.03),_xlfn.IFS(AW222="SIM",SUM(L222,Q222,V222,AA222,AF222,AK222,AP222,AU222)+AX222/_xlfn.XLOOKUP(_xlfn.XLOOKUP($F222,Clientes!$B$4:$B$39,Clientes!$C$4:$C$39),Cadastros!$L$6:$L$12,Cadastros!$M$6:$M$12)+IF($F222="Bernardino Furlan",AY222/2751.92,IF($F222="Mauro José Salanti",AY222/2751.92,AY222/3356)),F222&lt;&gt;0,SUM(L222,Q222,V222,AA222,AF222,AK222,AP222,AU222))))</f>
        <v xml:space="preserve"> </v>
      </c>
      <c r="BE222" s="120"/>
      <c r="BF222" s="120"/>
      <c r="BG222" s="120"/>
    </row>
    <row r="223" spans="1:59" s="3" customFormat="1" x14ac:dyDescent="0.3">
      <c r="A223" s="15" t="str">
        <f t="shared" si="39"/>
        <v/>
      </c>
      <c r="B223" s="25"/>
      <c r="C223" s="26"/>
      <c r="D223" s="279"/>
      <c r="E223" s="27"/>
      <c r="F223" s="28"/>
      <c r="G223" s="27"/>
      <c r="H223" s="28"/>
      <c r="I223" s="28"/>
      <c r="J223" s="255" t="str">
        <f>IF(H223="","",(_xlfn.XLOOKUP(H223,Cadastros!$D$6:$D$90,Cadastros!$E$6:$E$90))*(1-_xlfn.XLOOKUP(_xlfn.XLOOKUP($F223,Clientes!$B$4:$B$39,Clientes!$C$4:$C$39),Cadastros!$L$6:$L$12,Cadastros!$N$6:$N$12)))</f>
        <v/>
      </c>
      <c r="K223" s="168" t="str">
        <f t="shared" si="40"/>
        <v/>
      </c>
      <c r="L223" s="168" t="str">
        <f>IFERROR(K223/_xlfn.XLOOKUP(_xlfn.XLOOKUP($F223,Clientes!$B$4:$B$39,Clientes!$C$4:$C$39),Cadastros!$L$6:$L$12,Cadastros!$M$6:$M$12)," ")</f>
        <v xml:space="preserve"> </v>
      </c>
      <c r="M223" s="28"/>
      <c r="N223" s="28"/>
      <c r="O223" s="255" t="str">
        <f>IF(M223="","",(_xlfn.XLOOKUP(M223,Cadastros!$D$6:$D$90,Cadastros!$E$6:$E$90))*(1-_xlfn.XLOOKUP(_xlfn.XLOOKUP($F223,Clientes!$B$4:$B$39,Clientes!$C$4:$C$39),Cadastros!$L$6:$L$12,Cadastros!$N$6:$N$12)))</f>
        <v/>
      </c>
      <c r="P223" s="168" t="str">
        <f t="shared" si="41"/>
        <v/>
      </c>
      <c r="Q223" s="168" t="str">
        <f>IFERROR(P223/_xlfn.XLOOKUP(_xlfn.XLOOKUP($F223,Clientes!$B$4:$B$39,Clientes!$C$4:$C$39),Cadastros!$L$6:$L$12,Cadastros!$M$6:$M$12)," ")</f>
        <v xml:space="preserve"> </v>
      </c>
      <c r="R223" s="28"/>
      <c r="S223" s="28"/>
      <c r="T223" s="255" t="str">
        <f>IF(R223="","",(_xlfn.XLOOKUP(R223,Cadastros!$D$6:$D$90,Cadastros!$E$6:$E$90))*(1-_xlfn.XLOOKUP(_xlfn.XLOOKUP($F223,Clientes!$B$4:$B$39,Clientes!$C$4:$C$39),Cadastros!$L$6:$L$12,Cadastros!$N$6:$N$12)))</f>
        <v/>
      </c>
      <c r="U223" s="168" t="str">
        <f t="shared" si="42"/>
        <v/>
      </c>
      <c r="V223" s="168" t="str">
        <f>IFERROR(U223/_xlfn.XLOOKUP(_xlfn.XLOOKUP($F223,Clientes!$B$4:$B$39,Clientes!$C$4:$C$39),Cadastros!$L$6:$L$12,Cadastros!$M$6:$M$12)," ")</f>
        <v xml:space="preserve"> </v>
      </c>
      <c r="W223" s="28"/>
      <c r="X223" s="28"/>
      <c r="Y223" s="255" t="str">
        <f>IF(W223="","",(_xlfn.XLOOKUP(W223,Cadastros!$D$6:$D$90,Cadastros!$E$6:$E$90))*(1-_xlfn.XLOOKUP(_xlfn.XLOOKUP($F223,Clientes!$B$4:$B$39,Clientes!$C$4:$C$39),Cadastros!$L$6:$L$12,Cadastros!$N$6:$N$12)))</f>
        <v/>
      </c>
      <c r="Z223" s="168" t="str">
        <f t="shared" si="43"/>
        <v/>
      </c>
      <c r="AA223" s="168" t="str">
        <f>IFERROR(Z223/_xlfn.XLOOKUP(_xlfn.XLOOKUP($F223,Clientes!$B$4:$B$39,Clientes!$C$4:$C$39),Cadastros!$L$6:$L$12,Cadastros!$M$6:$M$12)," ")</f>
        <v xml:space="preserve"> </v>
      </c>
      <c r="AB223" s="28"/>
      <c r="AC223" s="28"/>
      <c r="AD223" s="20" t="str">
        <f>IF(AB223="","",IF($F223="Bernardino Furlan",_xlfn.XLOOKUP(AB223,Cadastros!$G$6:$G$90,Cadastros!$H$6:$H$90)*(1-0.18),IF($F223="Mauro José Salanti",_xlfn.XLOOKUP(AB223,Cadastros!$G$6:$G$90,Cadastros!$H$6:$H$90)*(1-0.18),_xlfn.XLOOKUP(AB223,Cadastros!$G$6:$G$90,Cadastros!$H$6:$H$90))))</f>
        <v/>
      </c>
      <c r="AE223" s="168" t="str">
        <f t="shared" si="44"/>
        <v/>
      </c>
      <c r="AF223" s="168" t="str">
        <f t="shared" si="45"/>
        <v/>
      </c>
      <c r="AG223" s="28"/>
      <c r="AH223" s="28"/>
      <c r="AI223" s="20" t="str">
        <f>IF(AG223="","",IF($F223="Bernardino Furlan",_xlfn.XLOOKUP(AG223,Cadastros!$G$6:$G$90,Cadastros!$H$6:$H$90)*(1-0.18),IF($F223="Mauro José Salanti",_xlfn.XLOOKUP(AG223,Cadastros!$G$6:$G$90,Cadastros!$H$6:$H$90)*(1-0.18),_xlfn.XLOOKUP(AG223,Cadastros!$G$6:$G$90,Cadastros!$H$6:$H$90))))</f>
        <v/>
      </c>
      <c r="AJ223" s="168" t="str">
        <f t="shared" si="46"/>
        <v/>
      </c>
      <c r="AK223" s="168" t="str">
        <f t="shared" si="47"/>
        <v/>
      </c>
      <c r="AL223" s="28"/>
      <c r="AM223" s="28"/>
      <c r="AN223" s="20" t="str">
        <f>IF(AL223="","",IF($F223="Bernardino Furlan",_xlfn.XLOOKUP(AL223,Cadastros!$G$6:$G$90,Cadastros!$H$6:$H$90)*(1-0.18),IF($F223="Mauro José Salanti",_xlfn.XLOOKUP(AL223,Cadastros!$G$6:$G$90,Cadastros!$H$6:$H$90)*(1-0.18),_xlfn.XLOOKUP(AL223,Cadastros!$G$6:$G$90,Cadastros!$H$6:$H$90))))</f>
        <v/>
      </c>
      <c r="AO223" s="168" t="str">
        <f t="shared" si="48"/>
        <v/>
      </c>
      <c r="AP223" s="168" t="str">
        <f t="shared" si="49"/>
        <v/>
      </c>
      <c r="AQ223" s="28"/>
      <c r="AR223" s="28"/>
      <c r="AS223" s="20" t="str">
        <f>IF(AQ223="","",IF($F223="Bernardino Furlan",_xlfn.XLOOKUP(AQ223,Cadastros!$G$6:$G$90,Cadastros!$H$6:$H$90)*(1-0.18),IF($F223="Mauro José Salanti",_xlfn.XLOOKUP(AQ223,Cadastros!$G$6:$G$90,Cadastros!$H$6:$H$90)*(1-0.18),_xlfn.XLOOKUP(AQ223,Cadastros!$G$6:$G$90,Cadastros!$H$6:$H$90))))</f>
        <v/>
      </c>
      <c r="AT223" s="168" t="str">
        <f t="shared" si="50"/>
        <v/>
      </c>
      <c r="AU223" s="168" t="str">
        <f t="shared" si="51"/>
        <v/>
      </c>
      <c r="AV223" s="227"/>
      <c r="AW223" s="30"/>
      <c r="AX223" s="267"/>
      <c r="AY223" s="267"/>
      <c r="AZ223" s="29"/>
      <c r="BA223" s="30"/>
      <c r="BB223" s="23" t="str" cm="1">
        <f t="array" ref="BB223">_xlfn.IFS(AW223="SIM",SUM(K223,P223,U223,Z223,AE223,AJ223,AO223,AT223,AX223,AY223),F223&lt;&gt;"",SUM(K223,P223,U223,Z223,AE223,AJ223,,AO223,AT223),F223="","")</f>
        <v/>
      </c>
      <c r="BC223" s="211" t="str" cm="1">
        <f t="array" ref="BC223">_xlfn.IFS(E223="","",G223&lt;=E223,BB223*(1-0.03),G223&lt;(E223+8),BB223,AZ223="Boleto",BB223*(1+0.001)^DATEDIF(E223,G223,"D"),AZ223="Cheque",BB223,AZ223="Dinheiro","Alterar forma pgto")</f>
        <v/>
      </c>
      <c r="BD223" s="276" t="str" cm="1">
        <f t="array" ref="BD223">IF(F223=0," ",IF(BC223&lt;BB223,(_xlfn.IFS(AW223="SIM",SUM(L223,Q223,V223,AA223,AF223,AK223,AP223,AU223)+AX223/_xlfn.XLOOKUP(_xlfn.XLOOKUP($F223,Clientes!$B$4:$B$39,Clientes!$C$4:$C$39),Cadastros!$L$6:$L$12,Cadastros!$M$6:$M$12)+IF($F223="Bernardino Furlan",AY223/2751.92,IF($F223="Mauro José Salanti",AY223/2751.92,AY223/3356)),F223&lt;&gt;0,SUM(L223,Q223,V223,AA223,AF223,AK223,AP223,AU223)))*(1-0.03),_xlfn.IFS(AW223="SIM",SUM(L223,Q223,V223,AA223,AF223,AK223,AP223,AU223)+AX223/_xlfn.XLOOKUP(_xlfn.XLOOKUP($F223,Clientes!$B$4:$B$39,Clientes!$C$4:$C$39),Cadastros!$L$6:$L$12,Cadastros!$M$6:$M$12)+IF($F223="Bernardino Furlan",AY223/2751.92,IF($F223="Mauro José Salanti",AY223/2751.92,AY223/3356)),F223&lt;&gt;0,SUM(L223,Q223,V223,AA223,AF223,AK223,AP223,AU223))))</f>
        <v xml:space="preserve"> </v>
      </c>
      <c r="BE223" s="120"/>
      <c r="BF223" s="120"/>
      <c r="BG223" s="120"/>
    </row>
    <row r="224" spans="1:59" s="3" customFormat="1" x14ac:dyDescent="0.3">
      <c r="A224" s="15" t="str">
        <f t="shared" si="39"/>
        <v/>
      </c>
      <c r="B224" s="25"/>
      <c r="C224" s="26"/>
      <c r="D224" s="279"/>
      <c r="E224" s="27"/>
      <c r="F224" s="28"/>
      <c r="G224" s="27"/>
      <c r="H224" s="28"/>
      <c r="I224" s="28"/>
      <c r="J224" s="255" t="str">
        <f>IF(H224="","",(_xlfn.XLOOKUP(H224,Cadastros!$D$6:$D$90,Cadastros!$E$6:$E$90))*(1-_xlfn.XLOOKUP(_xlfn.XLOOKUP($F224,Clientes!$B$4:$B$39,Clientes!$C$4:$C$39),Cadastros!$L$6:$L$12,Cadastros!$N$6:$N$12)))</f>
        <v/>
      </c>
      <c r="K224" s="168" t="str">
        <f t="shared" si="40"/>
        <v/>
      </c>
      <c r="L224" s="168" t="str">
        <f>IFERROR(K224/_xlfn.XLOOKUP(_xlfn.XLOOKUP($F224,Clientes!$B$4:$B$39,Clientes!$C$4:$C$39),Cadastros!$L$6:$L$12,Cadastros!$M$6:$M$12)," ")</f>
        <v xml:space="preserve"> </v>
      </c>
      <c r="M224" s="28"/>
      <c r="N224" s="28"/>
      <c r="O224" s="255" t="str">
        <f>IF(M224="","",(_xlfn.XLOOKUP(M224,Cadastros!$D$6:$D$90,Cadastros!$E$6:$E$90))*(1-_xlfn.XLOOKUP(_xlfn.XLOOKUP($F224,Clientes!$B$4:$B$39,Clientes!$C$4:$C$39),Cadastros!$L$6:$L$12,Cadastros!$N$6:$N$12)))</f>
        <v/>
      </c>
      <c r="P224" s="168" t="str">
        <f t="shared" si="41"/>
        <v/>
      </c>
      <c r="Q224" s="168" t="str">
        <f>IFERROR(P224/_xlfn.XLOOKUP(_xlfn.XLOOKUP($F224,Clientes!$B$4:$B$39,Clientes!$C$4:$C$39),Cadastros!$L$6:$L$12,Cadastros!$M$6:$M$12)," ")</f>
        <v xml:space="preserve"> </v>
      </c>
      <c r="R224" s="28"/>
      <c r="S224" s="28"/>
      <c r="T224" s="255" t="str">
        <f>IF(R224="","",(_xlfn.XLOOKUP(R224,Cadastros!$D$6:$D$90,Cadastros!$E$6:$E$90))*(1-_xlfn.XLOOKUP(_xlfn.XLOOKUP($F224,Clientes!$B$4:$B$39,Clientes!$C$4:$C$39),Cadastros!$L$6:$L$12,Cadastros!$N$6:$N$12)))</f>
        <v/>
      </c>
      <c r="U224" s="168" t="str">
        <f t="shared" si="42"/>
        <v/>
      </c>
      <c r="V224" s="168" t="str">
        <f>IFERROR(U224/_xlfn.XLOOKUP(_xlfn.XLOOKUP($F224,Clientes!$B$4:$B$39,Clientes!$C$4:$C$39),Cadastros!$L$6:$L$12,Cadastros!$M$6:$M$12)," ")</f>
        <v xml:space="preserve"> </v>
      </c>
      <c r="W224" s="28"/>
      <c r="X224" s="28"/>
      <c r="Y224" s="255" t="str">
        <f>IF(W224="","",(_xlfn.XLOOKUP(W224,Cadastros!$D$6:$D$90,Cadastros!$E$6:$E$90))*(1-_xlfn.XLOOKUP(_xlfn.XLOOKUP($F224,Clientes!$B$4:$B$39,Clientes!$C$4:$C$39),Cadastros!$L$6:$L$12,Cadastros!$N$6:$N$12)))</f>
        <v/>
      </c>
      <c r="Z224" s="168" t="str">
        <f t="shared" si="43"/>
        <v/>
      </c>
      <c r="AA224" s="168" t="str">
        <f>IFERROR(Z224/_xlfn.XLOOKUP(_xlfn.XLOOKUP($F224,Clientes!$B$4:$B$39,Clientes!$C$4:$C$39),Cadastros!$L$6:$L$12,Cadastros!$M$6:$M$12)," ")</f>
        <v xml:space="preserve"> </v>
      </c>
      <c r="AB224" s="28"/>
      <c r="AC224" s="28"/>
      <c r="AD224" s="20" t="str">
        <f>IF(AB224="","",IF($F224="Bernardino Furlan",_xlfn.XLOOKUP(AB224,Cadastros!$G$6:$G$90,Cadastros!$H$6:$H$90)*(1-0.18),IF($F224="Mauro José Salanti",_xlfn.XLOOKUP(AB224,Cadastros!$G$6:$G$90,Cadastros!$H$6:$H$90)*(1-0.18),_xlfn.XLOOKUP(AB224,Cadastros!$G$6:$G$90,Cadastros!$H$6:$H$90))))</f>
        <v/>
      </c>
      <c r="AE224" s="168" t="str">
        <f t="shared" si="44"/>
        <v/>
      </c>
      <c r="AF224" s="168" t="str">
        <f t="shared" si="45"/>
        <v/>
      </c>
      <c r="AG224" s="28"/>
      <c r="AH224" s="28"/>
      <c r="AI224" s="20" t="str">
        <f>IF(AG224="","",IF($F224="Bernardino Furlan",_xlfn.XLOOKUP(AG224,Cadastros!$G$6:$G$90,Cadastros!$H$6:$H$90)*(1-0.18),IF($F224="Mauro José Salanti",_xlfn.XLOOKUP(AG224,Cadastros!$G$6:$G$90,Cadastros!$H$6:$H$90)*(1-0.18),_xlfn.XLOOKUP(AG224,Cadastros!$G$6:$G$90,Cadastros!$H$6:$H$90))))</f>
        <v/>
      </c>
      <c r="AJ224" s="168" t="str">
        <f t="shared" si="46"/>
        <v/>
      </c>
      <c r="AK224" s="168" t="str">
        <f t="shared" si="47"/>
        <v/>
      </c>
      <c r="AL224" s="28"/>
      <c r="AM224" s="28"/>
      <c r="AN224" s="20" t="str">
        <f>IF(AL224="","",IF($F224="Bernardino Furlan",_xlfn.XLOOKUP(AL224,Cadastros!$G$6:$G$90,Cadastros!$H$6:$H$90)*(1-0.18),IF($F224="Mauro José Salanti",_xlfn.XLOOKUP(AL224,Cadastros!$G$6:$G$90,Cadastros!$H$6:$H$90)*(1-0.18),_xlfn.XLOOKUP(AL224,Cadastros!$G$6:$G$90,Cadastros!$H$6:$H$90))))</f>
        <v/>
      </c>
      <c r="AO224" s="168" t="str">
        <f t="shared" si="48"/>
        <v/>
      </c>
      <c r="AP224" s="168" t="str">
        <f t="shared" si="49"/>
        <v/>
      </c>
      <c r="AQ224" s="28"/>
      <c r="AR224" s="28"/>
      <c r="AS224" s="20" t="str">
        <f>IF(AQ224="","",IF($F224="Bernardino Furlan",_xlfn.XLOOKUP(AQ224,Cadastros!$G$6:$G$90,Cadastros!$H$6:$H$90)*(1-0.18),IF($F224="Mauro José Salanti",_xlfn.XLOOKUP(AQ224,Cadastros!$G$6:$G$90,Cadastros!$H$6:$H$90)*(1-0.18),_xlfn.XLOOKUP(AQ224,Cadastros!$G$6:$G$90,Cadastros!$H$6:$H$90))))</f>
        <v/>
      </c>
      <c r="AT224" s="168" t="str">
        <f t="shared" si="50"/>
        <v/>
      </c>
      <c r="AU224" s="168" t="str">
        <f t="shared" si="51"/>
        <v/>
      </c>
      <c r="AV224" s="227"/>
      <c r="AW224" s="30"/>
      <c r="AX224" s="267"/>
      <c r="AY224" s="267"/>
      <c r="AZ224" s="29"/>
      <c r="BA224" s="30"/>
      <c r="BB224" s="23" t="str" cm="1">
        <f t="array" ref="BB224">_xlfn.IFS(AW224="SIM",SUM(K224,P224,U224,Z224,AE224,AJ224,AO224,AT224,AX224,AY224),F224&lt;&gt;"",SUM(K224,P224,U224,Z224,AE224,AJ224,,AO224,AT224),F224="","")</f>
        <v/>
      </c>
      <c r="BC224" s="211" t="str" cm="1">
        <f t="array" ref="BC224">_xlfn.IFS(E224="","",G224&lt;=E224,BB224*(1-0.03),G224&lt;(E224+8),BB224,AZ224="Boleto",BB224*(1+0.001)^DATEDIF(E224,G224,"D"),AZ224="Cheque",BB224,AZ224="Dinheiro","Alterar forma pgto")</f>
        <v/>
      </c>
      <c r="BD224" s="276" t="str" cm="1">
        <f t="array" ref="BD224">IF(F224=0," ",IF(BC224&lt;BB224,(_xlfn.IFS(AW224="SIM",SUM(L224,Q224,V224,AA224,AF224,AK224,AP224,AU224)+AX224/_xlfn.XLOOKUP(_xlfn.XLOOKUP($F224,Clientes!$B$4:$B$39,Clientes!$C$4:$C$39),Cadastros!$L$6:$L$12,Cadastros!$M$6:$M$12)+IF($F224="Bernardino Furlan",AY224/2751.92,IF($F224="Mauro José Salanti",AY224/2751.92,AY224/3356)),F224&lt;&gt;0,SUM(L224,Q224,V224,AA224,AF224,AK224,AP224,AU224)))*(1-0.03),_xlfn.IFS(AW224="SIM",SUM(L224,Q224,V224,AA224,AF224,AK224,AP224,AU224)+AX224/_xlfn.XLOOKUP(_xlfn.XLOOKUP($F224,Clientes!$B$4:$B$39,Clientes!$C$4:$C$39),Cadastros!$L$6:$L$12,Cadastros!$M$6:$M$12)+IF($F224="Bernardino Furlan",AY224/2751.92,IF($F224="Mauro José Salanti",AY224/2751.92,AY224/3356)),F224&lt;&gt;0,SUM(L224,Q224,V224,AA224,AF224,AK224,AP224,AU224))))</f>
        <v xml:space="preserve"> </v>
      </c>
      <c r="BE224" s="120"/>
      <c r="BF224" s="120"/>
      <c r="BG224" s="120"/>
    </row>
    <row r="225" spans="1:59" s="3" customFormat="1" x14ac:dyDescent="0.3">
      <c r="A225" s="15" t="str">
        <f t="shared" si="39"/>
        <v/>
      </c>
      <c r="B225" s="25"/>
      <c r="C225" s="26"/>
      <c r="D225" s="279"/>
      <c r="E225" s="27"/>
      <c r="F225" s="28"/>
      <c r="G225" s="27"/>
      <c r="H225" s="28"/>
      <c r="I225" s="28"/>
      <c r="J225" s="255" t="str">
        <f>IF(H225="","",(_xlfn.XLOOKUP(H225,Cadastros!$D$6:$D$90,Cadastros!$E$6:$E$90))*(1-_xlfn.XLOOKUP(_xlfn.XLOOKUP($F225,Clientes!$B$4:$B$39,Clientes!$C$4:$C$39),Cadastros!$L$6:$L$12,Cadastros!$N$6:$N$12)))</f>
        <v/>
      </c>
      <c r="K225" s="168" t="str">
        <f t="shared" si="40"/>
        <v/>
      </c>
      <c r="L225" s="168" t="str">
        <f>IFERROR(K225/_xlfn.XLOOKUP(_xlfn.XLOOKUP($F225,Clientes!$B$4:$B$39,Clientes!$C$4:$C$39),Cadastros!$L$6:$L$12,Cadastros!$M$6:$M$12)," ")</f>
        <v xml:space="preserve"> </v>
      </c>
      <c r="M225" s="28"/>
      <c r="N225" s="28"/>
      <c r="O225" s="255" t="str">
        <f>IF(M225="","",(_xlfn.XLOOKUP(M225,Cadastros!$D$6:$D$90,Cadastros!$E$6:$E$90))*(1-_xlfn.XLOOKUP(_xlfn.XLOOKUP($F225,Clientes!$B$4:$B$39,Clientes!$C$4:$C$39),Cadastros!$L$6:$L$12,Cadastros!$N$6:$N$12)))</f>
        <v/>
      </c>
      <c r="P225" s="168" t="str">
        <f t="shared" si="41"/>
        <v/>
      </c>
      <c r="Q225" s="168" t="str">
        <f>IFERROR(P225/_xlfn.XLOOKUP(_xlfn.XLOOKUP($F225,Clientes!$B$4:$B$39,Clientes!$C$4:$C$39),Cadastros!$L$6:$L$12,Cadastros!$M$6:$M$12)," ")</f>
        <v xml:space="preserve"> </v>
      </c>
      <c r="R225" s="28"/>
      <c r="S225" s="28"/>
      <c r="T225" s="255" t="str">
        <f>IF(R225="","",(_xlfn.XLOOKUP(R225,Cadastros!$D$6:$D$90,Cadastros!$E$6:$E$90))*(1-_xlfn.XLOOKUP(_xlfn.XLOOKUP($F225,Clientes!$B$4:$B$39,Clientes!$C$4:$C$39),Cadastros!$L$6:$L$12,Cadastros!$N$6:$N$12)))</f>
        <v/>
      </c>
      <c r="U225" s="168" t="str">
        <f t="shared" si="42"/>
        <v/>
      </c>
      <c r="V225" s="168" t="str">
        <f>IFERROR(U225/_xlfn.XLOOKUP(_xlfn.XLOOKUP($F225,Clientes!$B$4:$B$39,Clientes!$C$4:$C$39),Cadastros!$L$6:$L$12,Cadastros!$M$6:$M$12)," ")</f>
        <v xml:space="preserve"> </v>
      </c>
      <c r="W225" s="28"/>
      <c r="X225" s="28"/>
      <c r="Y225" s="255" t="str">
        <f>IF(W225="","",(_xlfn.XLOOKUP(W225,Cadastros!$D$6:$D$90,Cadastros!$E$6:$E$90))*(1-_xlfn.XLOOKUP(_xlfn.XLOOKUP($F225,Clientes!$B$4:$B$39,Clientes!$C$4:$C$39),Cadastros!$L$6:$L$12,Cadastros!$N$6:$N$12)))</f>
        <v/>
      </c>
      <c r="Z225" s="168" t="str">
        <f t="shared" si="43"/>
        <v/>
      </c>
      <c r="AA225" s="168" t="str">
        <f>IFERROR(Z225/_xlfn.XLOOKUP(_xlfn.XLOOKUP($F225,Clientes!$B$4:$B$39,Clientes!$C$4:$C$39),Cadastros!$L$6:$L$12,Cadastros!$M$6:$M$12)," ")</f>
        <v xml:space="preserve"> </v>
      </c>
      <c r="AB225" s="28"/>
      <c r="AC225" s="28"/>
      <c r="AD225" s="20" t="str">
        <f>IF(AB225="","",IF($F225="Bernardino Furlan",_xlfn.XLOOKUP(AB225,Cadastros!$G$6:$G$90,Cadastros!$H$6:$H$90)*(1-0.18),IF($F225="Mauro José Salanti",_xlfn.XLOOKUP(AB225,Cadastros!$G$6:$G$90,Cadastros!$H$6:$H$90)*(1-0.18),_xlfn.XLOOKUP(AB225,Cadastros!$G$6:$G$90,Cadastros!$H$6:$H$90))))</f>
        <v/>
      </c>
      <c r="AE225" s="168" t="str">
        <f t="shared" si="44"/>
        <v/>
      </c>
      <c r="AF225" s="168" t="str">
        <f t="shared" si="45"/>
        <v/>
      </c>
      <c r="AG225" s="28"/>
      <c r="AH225" s="28"/>
      <c r="AI225" s="20" t="str">
        <f>IF(AG225="","",IF($F225="Bernardino Furlan",_xlfn.XLOOKUP(AG225,Cadastros!$G$6:$G$90,Cadastros!$H$6:$H$90)*(1-0.18),IF($F225="Mauro José Salanti",_xlfn.XLOOKUP(AG225,Cadastros!$G$6:$G$90,Cadastros!$H$6:$H$90)*(1-0.18),_xlfn.XLOOKUP(AG225,Cadastros!$G$6:$G$90,Cadastros!$H$6:$H$90))))</f>
        <v/>
      </c>
      <c r="AJ225" s="168" t="str">
        <f t="shared" si="46"/>
        <v/>
      </c>
      <c r="AK225" s="168" t="str">
        <f t="shared" si="47"/>
        <v/>
      </c>
      <c r="AL225" s="28"/>
      <c r="AM225" s="28"/>
      <c r="AN225" s="20" t="str">
        <f>IF(AL225="","",IF($F225="Bernardino Furlan",_xlfn.XLOOKUP(AL225,Cadastros!$G$6:$G$90,Cadastros!$H$6:$H$90)*(1-0.18),IF($F225="Mauro José Salanti",_xlfn.XLOOKUP(AL225,Cadastros!$G$6:$G$90,Cadastros!$H$6:$H$90)*(1-0.18),_xlfn.XLOOKUP(AL225,Cadastros!$G$6:$G$90,Cadastros!$H$6:$H$90))))</f>
        <v/>
      </c>
      <c r="AO225" s="168" t="str">
        <f t="shared" si="48"/>
        <v/>
      </c>
      <c r="AP225" s="168" t="str">
        <f t="shared" si="49"/>
        <v/>
      </c>
      <c r="AQ225" s="28"/>
      <c r="AR225" s="28"/>
      <c r="AS225" s="20" t="str">
        <f>IF(AQ225="","",IF($F225="Bernardino Furlan",_xlfn.XLOOKUP(AQ225,Cadastros!$G$6:$G$90,Cadastros!$H$6:$H$90)*(1-0.18),IF($F225="Mauro José Salanti",_xlfn.XLOOKUP(AQ225,Cadastros!$G$6:$G$90,Cadastros!$H$6:$H$90)*(1-0.18),_xlfn.XLOOKUP(AQ225,Cadastros!$G$6:$G$90,Cadastros!$H$6:$H$90))))</f>
        <v/>
      </c>
      <c r="AT225" s="168" t="str">
        <f t="shared" si="50"/>
        <v/>
      </c>
      <c r="AU225" s="168" t="str">
        <f t="shared" si="51"/>
        <v/>
      </c>
      <c r="AV225" s="227"/>
      <c r="AW225" s="30"/>
      <c r="AX225" s="267"/>
      <c r="AY225" s="267"/>
      <c r="AZ225" s="29"/>
      <c r="BA225" s="30"/>
      <c r="BB225" s="23" t="str" cm="1">
        <f t="array" ref="BB225">_xlfn.IFS(AW225="SIM",SUM(K225,P225,U225,Z225,AE225,AJ225,AO225,AT225,AX225,AY225),F225&lt;&gt;"",SUM(K225,P225,U225,Z225,AE225,AJ225,,AO225,AT225),F225="","")</f>
        <v/>
      </c>
      <c r="BC225" s="211" t="str" cm="1">
        <f t="array" ref="BC225">_xlfn.IFS(E225="","",G225&lt;=E225,BB225*(1-0.03),G225&lt;(E225+8),BB225,AZ225="Boleto",BB225*(1+0.001)^DATEDIF(E225,G225,"D"),AZ225="Cheque",BB225,AZ225="Dinheiro","Alterar forma pgto")</f>
        <v/>
      </c>
      <c r="BD225" s="276" t="str" cm="1">
        <f t="array" ref="BD225">IF(F225=0," ",IF(BC225&lt;BB225,(_xlfn.IFS(AW225="SIM",SUM(L225,Q225,V225,AA225,AF225,AK225,AP225,AU225)+AX225/_xlfn.XLOOKUP(_xlfn.XLOOKUP($F225,Clientes!$B$4:$B$39,Clientes!$C$4:$C$39),Cadastros!$L$6:$L$12,Cadastros!$M$6:$M$12)+IF($F225="Bernardino Furlan",AY225/2751.92,IF($F225="Mauro José Salanti",AY225/2751.92,AY225/3356)),F225&lt;&gt;0,SUM(L225,Q225,V225,AA225,AF225,AK225,AP225,AU225)))*(1-0.03),_xlfn.IFS(AW225="SIM",SUM(L225,Q225,V225,AA225,AF225,AK225,AP225,AU225)+AX225/_xlfn.XLOOKUP(_xlfn.XLOOKUP($F225,Clientes!$B$4:$B$39,Clientes!$C$4:$C$39),Cadastros!$L$6:$L$12,Cadastros!$M$6:$M$12)+IF($F225="Bernardino Furlan",AY225/2751.92,IF($F225="Mauro José Salanti",AY225/2751.92,AY225/3356)),F225&lt;&gt;0,SUM(L225,Q225,V225,AA225,AF225,AK225,AP225,AU225))))</f>
        <v xml:space="preserve"> </v>
      </c>
      <c r="BE225" s="120"/>
      <c r="BF225" s="120"/>
      <c r="BG225" s="120"/>
    </row>
    <row r="226" spans="1:59" s="3" customFormat="1" x14ac:dyDescent="0.3">
      <c r="A226" s="15" t="str">
        <f t="shared" si="39"/>
        <v/>
      </c>
      <c r="B226" s="34"/>
      <c r="C226" s="35"/>
      <c r="D226" s="280"/>
      <c r="E226" s="36"/>
      <c r="F226" s="37"/>
      <c r="G226" s="36"/>
      <c r="H226" s="37"/>
      <c r="I226" s="37"/>
      <c r="J226" s="255" t="str">
        <f>IF(H226="","",(_xlfn.XLOOKUP(H226,Cadastros!$D$6:$D$90,Cadastros!$E$6:$E$90))*(1-_xlfn.XLOOKUP(_xlfn.XLOOKUP($F226,Clientes!$B$4:$B$39,Clientes!$C$4:$C$39),Cadastros!$L$6:$L$12,Cadastros!$N$6:$N$12)))</f>
        <v/>
      </c>
      <c r="K226" s="168" t="str">
        <f t="shared" si="40"/>
        <v/>
      </c>
      <c r="L226" s="168" t="str">
        <f>IFERROR(K226/_xlfn.XLOOKUP(_xlfn.XLOOKUP($F226,Clientes!$B$4:$B$39,Clientes!$C$4:$C$39),Cadastros!$L$6:$L$12,Cadastros!$M$6:$M$12)," ")</f>
        <v xml:space="preserve"> </v>
      </c>
      <c r="M226" s="37"/>
      <c r="N226" s="37"/>
      <c r="O226" s="255" t="str">
        <f>IF(M226="","",(_xlfn.XLOOKUP(M226,Cadastros!$D$6:$D$90,Cadastros!$E$6:$E$90))*(1-_xlfn.XLOOKUP(_xlfn.XLOOKUP($F226,Clientes!$B$4:$B$39,Clientes!$C$4:$C$39),Cadastros!$L$6:$L$12,Cadastros!$N$6:$N$12)))</f>
        <v/>
      </c>
      <c r="P226" s="168" t="str">
        <f t="shared" si="41"/>
        <v/>
      </c>
      <c r="Q226" s="168" t="str">
        <f>IFERROR(P226/_xlfn.XLOOKUP(_xlfn.XLOOKUP($F226,Clientes!$B$4:$B$39,Clientes!$C$4:$C$39),Cadastros!$L$6:$L$12,Cadastros!$M$6:$M$12)," ")</f>
        <v xml:space="preserve"> </v>
      </c>
      <c r="R226" s="37"/>
      <c r="S226" s="37"/>
      <c r="T226" s="255" t="str">
        <f>IF(R226="","",(_xlfn.XLOOKUP(R226,Cadastros!$D$6:$D$90,Cadastros!$E$6:$E$90))*(1-_xlfn.XLOOKUP(_xlfn.XLOOKUP($F226,Clientes!$B$4:$B$39,Clientes!$C$4:$C$39),Cadastros!$L$6:$L$12,Cadastros!$N$6:$N$12)))</f>
        <v/>
      </c>
      <c r="U226" s="168" t="str">
        <f t="shared" si="42"/>
        <v/>
      </c>
      <c r="V226" s="168" t="str">
        <f>IFERROR(U226/_xlfn.XLOOKUP(_xlfn.XLOOKUP($F226,Clientes!$B$4:$B$39,Clientes!$C$4:$C$39),Cadastros!$L$6:$L$12,Cadastros!$M$6:$M$12)," ")</f>
        <v xml:space="preserve"> </v>
      </c>
      <c r="W226" s="37"/>
      <c r="X226" s="37"/>
      <c r="Y226" s="255" t="str">
        <f>IF(W226="","",(_xlfn.XLOOKUP(W226,Cadastros!$D$6:$D$90,Cadastros!$E$6:$E$90))*(1-_xlfn.XLOOKUP(_xlfn.XLOOKUP($F226,Clientes!$B$4:$B$39,Clientes!$C$4:$C$39),Cadastros!$L$6:$L$12,Cadastros!$N$6:$N$12)))</f>
        <v/>
      </c>
      <c r="Z226" s="168" t="str">
        <f t="shared" si="43"/>
        <v/>
      </c>
      <c r="AA226" s="168" t="str">
        <f>IFERROR(Z226/_xlfn.XLOOKUP(_xlfn.XLOOKUP($F226,Clientes!$B$4:$B$39,Clientes!$C$4:$C$39),Cadastros!$L$6:$L$12,Cadastros!$M$6:$M$12)," ")</f>
        <v xml:space="preserve"> </v>
      </c>
      <c r="AB226" s="37"/>
      <c r="AC226" s="37"/>
      <c r="AD226" s="20" t="str">
        <f>IF(AB226="","",IF($F226="Bernardino Furlan",_xlfn.XLOOKUP(AB226,Cadastros!$G$6:$G$90,Cadastros!$H$6:$H$90)*(1-0.18),IF($F226="Mauro José Salanti",_xlfn.XLOOKUP(AB226,Cadastros!$G$6:$G$90,Cadastros!$H$6:$H$90)*(1-0.18),_xlfn.XLOOKUP(AB226,Cadastros!$G$6:$G$90,Cadastros!$H$6:$H$90))))</f>
        <v/>
      </c>
      <c r="AE226" s="168" t="str">
        <f t="shared" si="44"/>
        <v/>
      </c>
      <c r="AF226" s="168" t="str">
        <f t="shared" si="45"/>
        <v/>
      </c>
      <c r="AG226" s="37"/>
      <c r="AH226" s="37"/>
      <c r="AI226" s="20" t="str">
        <f>IF(AG226="","",IF($F226="Bernardino Furlan",_xlfn.XLOOKUP(AG226,Cadastros!$G$6:$G$90,Cadastros!$H$6:$H$90)*(1-0.18),IF($F226="Mauro José Salanti",_xlfn.XLOOKUP(AG226,Cadastros!$G$6:$G$90,Cadastros!$H$6:$H$90)*(1-0.18),_xlfn.XLOOKUP(AG226,Cadastros!$G$6:$G$90,Cadastros!$H$6:$H$90))))</f>
        <v/>
      </c>
      <c r="AJ226" s="168" t="str">
        <f t="shared" si="46"/>
        <v/>
      </c>
      <c r="AK226" s="168" t="str">
        <f t="shared" si="47"/>
        <v/>
      </c>
      <c r="AL226" s="37"/>
      <c r="AM226" s="37"/>
      <c r="AN226" s="20" t="str">
        <f>IF(AL226="","",IF($F226="Bernardino Furlan",_xlfn.XLOOKUP(AL226,Cadastros!$G$6:$G$90,Cadastros!$H$6:$H$90)*(1-0.18),IF($F226="Mauro José Salanti",_xlfn.XLOOKUP(AL226,Cadastros!$G$6:$G$90,Cadastros!$H$6:$H$90)*(1-0.18),_xlfn.XLOOKUP(AL226,Cadastros!$G$6:$G$90,Cadastros!$H$6:$H$90))))</f>
        <v/>
      </c>
      <c r="AO226" s="168" t="str">
        <f t="shared" si="48"/>
        <v/>
      </c>
      <c r="AP226" s="168" t="str">
        <f t="shared" si="49"/>
        <v/>
      </c>
      <c r="AQ226" s="37"/>
      <c r="AR226" s="37"/>
      <c r="AS226" s="20" t="str">
        <f>IF(AQ226="","",IF($F226="Bernardino Furlan",_xlfn.XLOOKUP(AQ226,Cadastros!$G$6:$G$90,Cadastros!$H$6:$H$90)*(1-0.18),IF($F226="Mauro José Salanti",_xlfn.XLOOKUP(AQ226,Cadastros!$G$6:$G$90,Cadastros!$H$6:$H$90)*(1-0.18),_xlfn.XLOOKUP(AQ226,Cadastros!$G$6:$G$90,Cadastros!$H$6:$H$90))))</f>
        <v/>
      </c>
      <c r="AT226" s="168" t="str">
        <f t="shared" si="50"/>
        <v/>
      </c>
      <c r="AU226" s="168" t="str">
        <f t="shared" si="51"/>
        <v/>
      </c>
      <c r="AV226" s="228"/>
      <c r="AW226" s="38"/>
      <c r="AX226" s="268"/>
      <c r="AY226" s="268"/>
      <c r="AZ226" s="33"/>
      <c r="BA226" s="38"/>
      <c r="BB226" s="23" t="str" cm="1">
        <f t="array" ref="BB226">_xlfn.IFS(AW226="SIM",SUM(K226,P226,U226,Z226,AE226,AJ226,AO226,AT226,AX226,AY226),F226&lt;&gt;"",SUM(K226,P226,U226,Z226,AE226,AJ226,,AO226,AT226),F226="","")</f>
        <v/>
      </c>
      <c r="BC226" s="211" t="str" cm="1">
        <f t="array" ref="BC226">_xlfn.IFS(E226="","",G226&lt;=E226,BB226*(1-0.03),G226&lt;(E226+8),BB226,AZ226="Boleto",BB226*(1+0.001)^DATEDIF(E226,G226,"D"),AZ226="Cheque",BB226,AZ226="Dinheiro","Alterar forma pgto")</f>
        <v/>
      </c>
      <c r="BD226" s="276" t="str" cm="1">
        <f t="array" ref="BD226">IF(F226=0," ",IF(BC226&lt;BB226,(_xlfn.IFS(AW226="SIM",SUM(L226,Q226,V226,AA226,AF226,AK226,AP226,AU226)+AX226/_xlfn.XLOOKUP(_xlfn.XLOOKUP($F226,Clientes!$B$4:$B$39,Clientes!$C$4:$C$39),Cadastros!$L$6:$L$12,Cadastros!$M$6:$M$12)+IF($F226="Bernardino Furlan",AY226/2751.92,IF($F226="Mauro José Salanti",AY226/2751.92,AY226/3356)),F226&lt;&gt;0,SUM(L226,Q226,V226,AA226,AF226,AK226,AP226,AU226)))*(1-0.03),_xlfn.IFS(AW226="SIM",SUM(L226,Q226,V226,AA226,AF226,AK226,AP226,AU226)+AX226/_xlfn.XLOOKUP(_xlfn.XLOOKUP($F226,Clientes!$B$4:$B$39,Clientes!$C$4:$C$39),Cadastros!$L$6:$L$12,Cadastros!$M$6:$M$12)+IF($F226="Bernardino Furlan",AY226/2751.92,IF($F226="Mauro José Salanti",AY226/2751.92,AY226/3356)),F226&lt;&gt;0,SUM(L226,Q226,V226,AA226,AF226,AK226,AP226,AU226))))</f>
        <v xml:space="preserve"> </v>
      </c>
      <c r="BE226" s="120"/>
      <c r="BF226" s="120"/>
      <c r="BG226" s="120"/>
    </row>
    <row r="227" spans="1:59" s="3" customFormat="1" x14ac:dyDescent="0.3">
      <c r="A227" s="15" t="str">
        <f t="shared" si="39"/>
        <v/>
      </c>
      <c r="B227" s="25"/>
      <c r="C227" s="26"/>
      <c r="D227" s="279"/>
      <c r="E227" s="27"/>
      <c r="F227" s="28"/>
      <c r="G227" s="27"/>
      <c r="H227" s="28"/>
      <c r="I227" s="28"/>
      <c r="J227" s="255" t="str">
        <f>IF(H227="","",(_xlfn.XLOOKUP(H227,Cadastros!$D$6:$D$90,Cadastros!$E$6:$E$90))*(1-_xlfn.XLOOKUP(_xlfn.XLOOKUP($F227,Clientes!$B$4:$B$39,Clientes!$C$4:$C$39),Cadastros!$L$6:$L$12,Cadastros!$N$6:$N$12)))</f>
        <v/>
      </c>
      <c r="K227" s="168" t="str">
        <f t="shared" si="40"/>
        <v/>
      </c>
      <c r="L227" s="168" t="str">
        <f>IFERROR(K227/_xlfn.XLOOKUP(_xlfn.XLOOKUP($F227,Clientes!$B$4:$B$39,Clientes!$C$4:$C$39),Cadastros!$L$6:$L$12,Cadastros!$M$6:$M$12)," ")</f>
        <v xml:space="preserve"> </v>
      </c>
      <c r="M227" s="28"/>
      <c r="N227" s="28"/>
      <c r="O227" s="255" t="str">
        <f>IF(M227="","",(_xlfn.XLOOKUP(M227,Cadastros!$D$6:$D$90,Cadastros!$E$6:$E$90))*(1-_xlfn.XLOOKUP(_xlfn.XLOOKUP($F227,Clientes!$B$4:$B$39,Clientes!$C$4:$C$39),Cadastros!$L$6:$L$12,Cadastros!$N$6:$N$12)))</f>
        <v/>
      </c>
      <c r="P227" s="168" t="str">
        <f t="shared" si="41"/>
        <v/>
      </c>
      <c r="Q227" s="168" t="str">
        <f>IFERROR(P227/_xlfn.XLOOKUP(_xlfn.XLOOKUP($F227,Clientes!$B$4:$B$39,Clientes!$C$4:$C$39),Cadastros!$L$6:$L$12,Cadastros!$M$6:$M$12)," ")</f>
        <v xml:space="preserve"> </v>
      </c>
      <c r="R227" s="28"/>
      <c r="S227" s="28"/>
      <c r="T227" s="255" t="str">
        <f>IF(R227="","",(_xlfn.XLOOKUP(R227,Cadastros!$D$6:$D$90,Cadastros!$E$6:$E$90))*(1-_xlfn.XLOOKUP(_xlfn.XLOOKUP($F227,Clientes!$B$4:$B$39,Clientes!$C$4:$C$39),Cadastros!$L$6:$L$12,Cadastros!$N$6:$N$12)))</f>
        <v/>
      </c>
      <c r="U227" s="168" t="str">
        <f t="shared" si="42"/>
        <v/>
      </c>
      <c r="V227" s="168" t="str">
        <f>IFERROR(U227/_xlfn.XLOOKUP(_xlfn.XLOOKUP($F227,Clientes!$B$4:$B$39,Clientes!$C$4:$C$39),Cadastros!$L$6:$L$12,Cadastros!$M$6:$M$12)," ")</f>
        <v xml:space="preserve"> </v>
      </c>
      <c r="W227" s="28"/>
      <c r="X227" s="28"/>
      <c r="Y227" s="255" t="str">
        <f>IF(W227="","",(_xlfn.XLOOKUP(W227,Cadastros!$D$6:$D$90,Cadastros!$E$6:$E$90))*(1-_xlfn.XLOOKUP(_xlfn.XLOOKUP($F227,Clientes!$B$4:$B$39,Clientes!$C$4:$C$39),Cadastros!$L$6:$L$12,Cadastros!$N$6:$N$12)))</f>
        <v/>
      </c>
      <c r="Z227" s="168" t="str">
        <f t="shared" si="43"/>
        <v/>
      </c>
      <c r="AA227" s="168" t="str">
        <f>IFERROR(Z227/_xlfn.XLOOKUP(_xlfn.XLOOKUP($F227,Clientes!$B$4:$B$39,Clientes!$C$4:$C$39),Cadastros!$L$6:$L$12,Cadastros!$M$6:$M$12)," ")</f>
        <v xml:space="preserve"> </v>
      </c>
      <c r="AB227" s="28"/>
      <c r="AC227" s="28"/>
      <c r="AD227" s="20" t="str">
        <f>IF(AB227="","",IF($F227="Bernardino Furlan",_xlfn.XLOOKUP(AB227,Cadastros!$G$6:$G$90,Cadastros!$H$6:$H$90)*(1-0.18),IF($F227="Mauro José Salanti",_xlfn.XLOOKUP(AB227,Cadastros!$G$6:$G$90,Cadastros!$H$6:$H$90)*(1-0.18),_xlfn.XLOOKUP(AB227,Cadastros!$G$6:$G$90,Cadastros!$H$6:$H$90))))</f>
        <v/>
      </c>
      <c r="AE227" s="168" t="str">
        <f t="shared" si="44"/>
        <v/>
      </c>
      <c r="AF227" s="168" t="str">
        <f t="shared" si="45"/>
        <v/>
      </c>
      <c r="AG227" s="28"/>
      <c r="AH227" s="28"/>
      <c r="AI227" s="20" t="str">
        <f>IF(AG227="","",IF($F227="Bernardino Furlan",_xlfn.XLOOKUP(AG227,Cadastros!$G$6:$G$90,Cadastros!$H$6:$H$90)*(1-0.18),IF($F227="Mauro José Salanti",_xlfn.XLOOKUP(AG227,Cadastros!$G$6:$G$90,Cadastros!$H$6:$H$90)*(1-0.18),_xlfn.XLOOKUP(AG227,Cadastros!$G$6:$G$90,Cadastros!$H$6:$H$90))))</f>
        <v/>
      </c>
      <c r="AJ227" s="168" t="str">
        <f t="shared" si="46"/>
        <v/>
      </c>
      <c r="AK227" s="168" t="str">
        <f t="shared" si="47"/>
        <v/>
      </c>
      <c r="AL227" s="28"/>
      <c r="AM227" s="28"/>
      <c r="AN227" s="20" t="str">
        <f>IF(AL227="","",IF($F227="Bernardino Furlan",_xlfn.XLOOKUP(AL227,Cadastros!$G$6:$G$90,Cadastros!$H$6:$H$90)*(1-0.18),IF($F227="Mauro José Salanti",_xlfn.XLOOKUP(AL227,Cadastros!$G$6:$G$90,Cadastros!$H$6:$H$90)*(1-0.18),_xlfn.XLOOKUP(AL227,Cadastros!$G$6:$G$90,Cadastros!$H$6:$H$90))))</f>
        <v/>
      </c>
      <c r="AO227" s="168" t="str">
        <f t="shared" si="48"/>
        <v/>
      </c>
      <c r="AP227" s="168" t="str">
        <f t="shared" si="49"/>
        <v/>
      </c>
      <c r="AQ227" s="28"/>
      <c r="AR227" s="28"/>
      <c r="AS227" s="20" t="str">
        <f>IF(AQ227="","",IF($F227="Bernardino Furlan",_xlfn.XLOOKUP(AQ227,Cadastros!$G$6:$G$90,Cadastros!$H$6:$H$90)*(1-0.18),IF($F227="Mauro José Salanti",_xlfn.XLOOKUP(AQ227,Cadastros!$G$6:$G$90,Cadastros!$H$6:$H$90)*(1-0.18),_xlfn.XLOOKUP(AQ227,Cadastros!$G$6:$G$90,Cadastros!$H$6:$H$90))))</f>
        <v/>
      </c>
      <c r="AT227" s="168" t="str">
        <f t="shared" si="50"/>
        <v/>
      </c>
      <c r="AU227" s="168" t="str">
        <f t="shared" si="51"/>
        <v/>
      </c>
      <c r="AV227" s="227"/>
      <c r="AW227" s="30"/>
      <c r="AX227" s="267"/>
      <c r="AY227" s="267"/>
      <c r="AZ227" s="29"/>
      <c r="BA227" s="30"/>
      <c r="BB227" s="23" t="str" cm="1">
        <f t="array" ref="BB227">_xlfn.IFS(AW227="SIM",SUM(K227,P227,U227,Z227,AE227,AJ227,AO227,AT227,AX227,AY227),F227&lt;&gt;"",SUM(K227,P227,U227,Z227,AE227,AJ227,,AO227,AT227),F227="","")</f>
        <v/>
      </c>
      <c r="BC227" s="211" t="str" cm="1">
        <f t="array" ref="BC227">_xlfn.IFS(E227="","",G227&lt;=E227,BB227*(1-0.03),G227&lt;(E227+8),BB227,AZ227="Boleto",BB227*(1+0.001)^DATEDIF(E227,G227,"D"),AZ227="Cheque",BB227,AZ227="Dinheiro","Alterar forma pgto")</f>
        <v/>
      </c>
      <c r="BD227" s="276" t="str" cm="1">
        <f t="array" ref="BD227">IF(F227=0," ",IF(BC227&lt;BB227,(_xlfn.IFS(AW227="SIM",SUM(L227,Q227,V227,AA227,AF227,AK227,AP227,AU227)+AX227/_xlfn.XLOOKUP(_xlfn.XLOOKUP($F227,Clientes!$B$4:$B$39,Clientes!$C$4:$C$39),Cadastros!$L$6:$L$12,Cadastros!$M$6:$M$12)+IF($F227="Bernardino Furlan",AY227/2751.92,IF($F227="Mauro José Salanti",AY227/2751.92,AY227/3356)),F227&lt;&gt;0,SUM(L227,Q227,V227,AA227,AF227,AK227,AP227,AU227)))*(1-0.03),_xlfn.IFS(AW227="SIM",SUM(L227,Q227,V227,AA227,AF227,AK227,AP227,AU227)+AX227/_xlfn.XLOOKUP(_xlfn.XLOOKUP($F227,Clientes!$B$4:$B$39,Clientes!$C$4:$C$39),Cadastros!$L$6:$L$12,Cadastros!$M$6:$M$12)+IF($F227="Bernardino Furlan",AY227/2751.92,IF($F227="Mauro José Salanti",AY227/2751.92,AY227/3356)),F227&lt;&gt;0,SUM(L227,Q227,V227,AA227,AF227,AK227,AP227,AU227))))</f>
        <v xml:space="preserve"> </v>
      </c>
      <c r="BE227" s="120"/>
      <c r="BF227" s="120"/>
      <c r="BG227" s="120"/>
    </row>
    <row r="228" spans="1:59" s="3" customFormat="1" x14ac:dyDescent="0.3">
      <c r="A228" s="15" t="str">
        <f t="shared" si="39"/>
        <v/>
      </c>
      <c r="B228" s="25"/>
      <c r="C228" s="26"/>
      <c r="D228" s="279"/>
      <c r="E228" s="27"/>
      <c r="F228" s="28"/>
      <c r="G228" s="27"/>
      <c r="H228" s="28"/>
      <c r="I228" s="28"/>
      <c r="J228" s="255" t="str">
        <f>IF(H228="","",(_xlfn.XLOOKUP(H228,Cadastros!$D$6:$D$90,Cadastros!$E$6:$E$90))*(1-_xlfn.XLOOKUP(_xlfn.XLOOKUP($F228,Clientes!$B$4:$B$39,Clientes!$C$4:$C$39),Cadastros!$L$6:$L$12,Cadastros!$N$6:$N$12)))</f>
        <v/>
      </c>
      <c r="K228" s="168" t="str">
        <f t="shared" si="40"/>
        <v/>
      </c>
      <c r="L228" s="168" t="str">
        <f>IFERROR(K228/_xlfn.XLOOKUP(_xlfn.XLOOKUP($F228,Clientes!$B$4:$B$39,Clientes!$C$4:$C$39),Cadastros!$L$6:$L$12,Cadastros!$M$6:$M$12)," ")</f>
        <v xml:space="preserve"> </v>
      </c>
      <c r="M228" s="28"/>
      <c r="N228" s="28"/>
      <c r="O228" s="255" t="str">
        <f>IF(M228="","",(_xlfn.XLOOKUP(M228,Cadastros!$D$6:$D$90,Cadastros!$E$6:$E$90))*(1-_xlfn.XLOOKUP(_xlfn.XLOOKUP($F228,Clientes!$B$4:$B$39,Clientes!$C$4:$C$39),Cadastros!$L$6:$L$12,Cadastros!$N$6:$N$12)))</f>
        <v/>
      </c>
      <c r="P228" s="168" t="str">
        <f t="shared" si="41"/>
        <v/>
      </c>
      <c r="Q228" s="168" t="str">
        <f>IFERROR(P228/_xlfn.XLOOKUP(_xlfn.XLOOKUP($F228,Clientes!$B$4:$B$39,Clientes!$C$4:$C$39),Cadastros!$L$6:$L$12,Cadastros!$M$6:$M$12)," ")</f>
        <v xml:space="preserve"> </v>
      </c>
      <c r="R228" s="28"/>
      <c r="S228" s="28"/>
      <c r="T228" s="255" t="str">
        <f>IF(R228="","",(_xlfn.XLOOKUP(R228,Cadastros!$D$6:$D$90,Cadastros!$E$6:$E$90))*(1-_xlfn.XLOOKUP(_xlfn.XLOOKUP($F228,Clientes!$B$4:$B$39,Clientes!$C$4:$C$39),Cadastros!$L$6:$L$12,Cadastros!$N$6:$N$12)))</f>
        <v/>
      </c>
      <c r="U228" s="168" t="str">
        <f t="shared" si="42"/>
        <v/>
      </c>
      <c r="V228" s="168" t="str">
        <f>IFERROR(U228/_xlfn.XLOOKUP(_xlfn.XLOOKUP($F228,Clientes!$B$4:$B$39,Clientes!$C$4:$C$39),Cadastros!$L$6:$L$12,Cadastros!$M$6:$M$12)," ")</f>
        <v xml:space="preserve"> </v>
      </c>
      <c r="W228" s="28"/>
      <c r="X228" s="28"/>
      <c r="Y228" s="255" t="str">
        <f>IF(W228="","",(_xlfn.XLOOKUP(W228,Cadastros!$D$6:$D$90,Cadastros!$E$6:$E$90))*(1-_xlfn.XLOOKUP(_xlfn.XLOOKUP($F228,Clientes!$B$4:$B$39,Clientes!$C$4:$C$39),Cadastros!$L$6:$L$12,Cadastros!$N$6:$N$12)))</f>
        <v/>
      </c>
      <c r="Z228" s="168" t="str">
        <f t="shared" si="43"/>
        <v/>
      </c>
      <c r="AA228" s="168" t="str">
        <f>IFERROR(Z228/_xlfn.XLOOKUP(_xlfn.XLOOKUP($F228,Clientes!$B$4:$B$39,Clientes!$C$4:$C$39),Cadastros!$L$6:$L$12,Cadastros!$M$6:$M$12)," ")</f>
        <v xml:space="preserve"> </v>
      </c>
      <c r="AB228" s="28"/>
      <c r="AC228" s="28"/>
      <c r="AD228" s="20" t="str">
        <f>IF(AB228="","",IF($F228="Bernardino Furlan",_xlfn.XLOOKUP(AB228,Cadastros!$G$6:$G$90,Cadastros!$H$6:$H$90)*(1-0.18),IF($F228="Mauro José Salanti",_xlfn.XLOOKUP(AB228,Cadastros!$G$6:$G$90,Cadastros!$H$6:$H$90)*(1-0.18),_xlfn.XLOOKUP(AB228,Cadastros!$G$6:$G$90,Cadastros!$H$6:$H$90))))</f>
        <v/>
      </c>
      <c r="AE228" s="168" t="str">
        <f t="shared" si="44"/>
        <v/>
      </c>
      <c r="AF228" s="168" t="str">
        <f t="shared" si="45"/>
        <v/>
      </c>
      <c r="AG228" s="28"/>
      <c r="AH228" s="28"/>
      <c r="AI228" s="20" t="str">
        <f>IF(AG228="","",IF($F228="Bernardino Furlan",_xlfn.XLOOKUP(AG228,Cadastros!$G$6:$G$90,Cadastros!$H$6:$H$90)*(1-0.18),IF($F228="Mauro José Salanti",_xlfn.XLOOKUP(AG228,Cadastros!$G$6:$G$90,Cadastros!$H$6:$H$90)*(1-0.18),_xlfn.XLOOKUP(AG228,Cadastros!$G$6:$G$90,Cadastros!$H$6:$H$90))))</f>
        <v/>
      </c>
      <c r="AJ228" s="168" t="str">
        <f t="shared" si="46"/>
        <v/>
      </c>
      <c r="AK228" s="168" t="str">
        <f t="shared" si="47"/>
        <v/>
      </c>
      <c r="AL228" s="28"/>
      <c r="AM228" s="28"/>
      <c r="AN228" s="20" t="str">
        <f>IF(AL228="","",IF($F228="Bernardino Furlan",_xlfn.XLOOKUP(AL228,Cadastros!$G$6:$G$90,Cadastros!$H$6:$H$90)*(1-0.18),IF($F228="Mauro José Salanti",_xlfn.XLOOKUP(AL228,Cadastros!$G$6:$G$90,Cadastros!$H$6:$H$90)*(1-0.18),_xlfn.XLOOKUP(AL228,Cadastros!$G$6:$G$90,Cadastros!$H$6:$H$90))))</f>
        <v/>
      </c>
      <c r="AO228" s="168" t="str">
        <f t="shared" si="48"/>
        <v/>
      </c>
      <c r="AP228" s="168" t="str">
        <f t="shared" si="49"/>
        <v/>
      </c>
      <c r="AQ228" s="28"/>
      <c r="AR228" s="28"/>
      <c r="AS228" s="20" t="str">
        <f>IF(AQ228="","",IF($F228="Bernardino Furlan",_xlfn.XLOOKUP(AQ228,Cadastros!$G$6:$G$90,Cadastros!$H$6:$H$90)*(1-0.18),IF($F228="Mauro José Salanti",_xlfn.XLOOKUP(AQ228,Cadastros!$G$6:$G$90,Cadastros!$H$6:$H$90)*(1-0.18),_xlfn.XLOOKUP(AQ228,Cadastros!$G$6:$G$90,Cadastros!$H$6:$H$90))))</f>
        <v/>
      </c>
      <c r="AT228" s="168" t="str">
        <f t="shared" si="50"/>
        <v/>
      </c>
      <c r="AU228" s="168" t="str">
        <f t="shared" si="51"/>
        <v/>
      </c>
      <c r="AV228" s="227"/>
      <c r="AW228" s="30"/>
      <c r="AX228" s="267"/>
      <c r="AY228" s="267"/>
      <c r="AZ228" s="29"/>
      <c r="BA228" s="30"/>
      <c r="BB228" s="23" t="str" cm="1">
        <f t="array" ref="BB228">_xlfn.IFS(AW228="SIM",SUM(K228,P228,U228,Z228,AE228,AJ228,AO228,AT228,AX228,AY228),F228&lt;&gt;"",SUM(K228,P228,U228,Z228,AE228,AJ228,,AO228,AT228),F228="","")</f>
        <v/>
      </c>
      <c r="BC228" s="211" t="str" cm="1">
        <f t="array" ref="BC228">_xlfn.IFS(E228="","",G228&lt;=E228,BB228*(1-0.03),G228&lt;(E228+8),BB228,AZ228="Boleto",BB228*(1+0.001)^DATEDIF(E228,G228,"D"),AZ228="Cheque",BB228,AZ228="Dinheiro","Alterar forma pgto")</f>
        <v/>
      </c>
      <c r="BD228" s="276" t="str" cm="1">
        <f t="array" ref="BD228">IF(F228=0," ",IF(BC228&lt;BB228,(_xlfn.IFS(AW228="SIM",SUM(L228,Q228,V228,AA228,AF228,AK228,AP228,AU228)+AX228/_xlfn.XLOOKUP(_xlfn.XLOOKUP($F228,Clientes!$B$4:$B$39,Clientes!$C$4:$C$39),Cadastros!$L$6:$L$12,Cadastros!$M$6:$M$12)+IF($F228="Bernardino Furlan",AY228/2751.92,IF($F228="Mauro José Salanti",AY228/2751.92,AY228/3356)),F228&lt;&gt;0,SUM(L228,Q228,V228,AA228,AF228,AK228,AP228,AU228)))*(1-0.03),_xlfn.IFS(AW228="SIM",SUM(L228,Q228,V228,AA228,AF228,AK228,AP228,AU228)+AX228/_xlfn.XLOOKUP(_xlfn.XLOOKUP($F228,Clientes!$B$4:$B$39,Clientes!$C$4:$C$39),Cadastros!$L$6:$L$12,Cadastros!$M$6:$M$12)+IF($F228="Bernardino Furlan",AY228/2751.92,IF($F228="Mauro José Salanti",AY228/2751.92,AY228/3356)),F228&lt;&gt;0,SUM(L228,Q228,V228,AA228,AF228,AK228,AP228,AU228))))</f>
        <v xml:space="preserve"> </v>
      </c>
      <c r="BE228" s="120"/>
      <c r="BF228" s="120"/>
      <c r="BG228" s="120"/>
    </row>
    <row r="229" spans="1:59" s="3" customFormat="1" x14ac:dyDescent="0.3">
      <c r="A229" s="15" t="str">
        <f t="shared" si="39"/>
        <v/>
      </c>
      <c r="B229" s="25"/>
      <c r="C229" s="26"/>
      <c r="D229" s="279"/>
      <c r="E229" s="27"/>
      <c r="F229" s="28"/>
      <c r="G229" s="27"/>
      <c r="H229" s="28"/>
      <c r="I229" s="28"/>
      <c r="J229" s="255" t="str">
        <f>IF(H229="","",(_xlfn.XLOOKUP(H229,Cadastros!$D$6:$D$90,Cadastros!$E$6:$E$90))*(1-_xlfn.XLOOKUP(_xlfn.XLOOKUP($F229,Clientes!$B$4:$B$39,Clientes!$C$4:$C$39),Cadastros!$L$6:$L$12,Cadastros!$N$6:$N$12)))</f>
        <v/>
      </c>
      <c r="K229" s="168" t="str">
        <f t="shared" si="40"/>
        <v/>
      </c>
      <c r="L229" s="168" t="str">
        <f>IFERROR(K229/_xlfn.XLOOKUP(_xlfn.XLOOKUP($F229,Clientes!$B$4:$B$39,Clientes!$C$4:$C$39),Cadastros!$L$6:$L$12,Cadastros!$M$6:$M$12)," ")</f>
        <v xml:space="preserve"> </v>
      </c>
      <c r="M229" s="28"/>
      <c r="N229" s="28"/>
      <c r="O229" s="255" t="str">
        <f>IF(M229="","",(_xlfn.XLOOKUP(M229,Cadastros!$D$6:$D$90,Cadastros!$E$6:$E$90))*(1-_xlfn.XLOOKUP(_xlfn.XLOOKUP($F229,Clientes!$B$4:$B$39,Clientes!$C$4:$C$39),Cadastros!$L$6:$L$12,Cadastros!$N$6:$N$12)))</f>
        <v/>
      </c>
      <c r="P229" s="168" t="str">
        <f t="shared" si="41"/>
        <v/>
      </c>
      <c r="Q229" s="168" t="str">
        <f>IFERROR(P229/_xlfn.XLOOKUP(_xlfn.XLOOKUP($F229,Clientes!$B$4:$B$39,Clientes!$C$4:$C$39),Cadastros!$L$6:$L$12,Cadastros!$M$6:$M$12)," ")</f>
        <v xml:space="preserve"> </v>
      </c>
      <c r="R229" s="28"/>
      <c r="S229" s="28"/>
      <c r="T229" s="255" t="str">
        <f>IF(R229="","",(_xlfn.XLOOKUP(R229,Cadastros!$D$6:$D$90,Cadastros!$E$6:$E$90))*(1-_xlfn.XLOOKUP(_xlfn.XLOOKUP($F229,Clientes!$B$4:$B$39,Clientes!$C$4:$C$39),Cadastros!$L$6:$L$12,Cadastros!$N$6:$N$12)))</f>
        <v/>
      </c>
      <c r="U229" s="168" t="str">
        <f t="shared" si="42"/>
        <v/>
      </c>
      <c r="V229" s="168" t="str">
        <f>IFERROR(U229/_xlfn.XLOOKUP(_xlfn.XLOOKUP($F229,Clientes!$B$4:$B$39,Clientes!$C$4:$C$39),Cadastros!$L$6:$L$12,Cadastros!$M$6:$M$12)," ")</f>
        <v xml:space="preserve"> </v>
      </c>
      <c r="W229" s="28"/>
      <c r="X229" s="28"/>
      <c r="Y229" s="255" t="str">
        <f>IF(W229="","",(_xlfn.XLOOKUP(W229,Cadastros!$D$6:$D$90,Cadastros!$E$6:$E$90))*(1-_xlfn.XLOOKUP(_xlfn.XLOOKUP($F229,Clientes!$B$4:$B$39,Clientes!$C$4:$C$39),Cadastros!$L$6:$L$12,Cadastros!$N$6:$N$12)))</f>
        <v/>
      </c>
      <c r="Z229" s="168" t="str">
        <f t="shared" si="43"/>
        <v/>
      </c>
      <c r="AA229" s="168" t="str">
        <f>IFERROR(Z229/_xlfn.XLOOKUP(_xlfn.XLOOKUP($F229,Clientes!$B$4:$B$39,Clientes!$C$4:$C$39),Cadastros!$L$6:$L$12,Cadastros!$M$6:$M$12)," ")</f>
        <v xml:space="preserve"> </v>
      </c>
      <c r="AB229" s="28"/>
      <c r="AC229" s="28"/>
      <c r="AD229" s="20" t="str">
        <f>IF(AB229="","",IF($F229="Bernardino Furlan",_xlfn.XLOOKUP(AB229,Cadastros!$G$6:$G$90,Cadastros!$H$6:$H$90)*(1-0.18),IF($F229="Mauro José Salanti",_xlfn.XLOOKUP(AB229,Cadastros!$G$6:$G$90,Cadastros!$H$6:$H$90)*(1-0.18),_xlfn.XLOOKUP(AB229,Cadastros!$G$6:$G$90,Cadastros!$H$6:$H$90))))</f>
        <v/>
      </c>
      <c r="AE229" s="168" t="str">
        <f t="shared" si="44"/>
        <v/>
      </c>
      <c r="AF229" s="168" t="str">
        <f t="shared" si="45"/>
        <v/>
      </c>
      <c r="AG229" s="28"/>
      <c r="AH229" s="28"/>
      <c r="AI229" s="20" t="str">
        <f>IF(AG229="","",IF($F229="Bernardino Furlan",_xlfn.XLOOKUP(AG229,Cadastros!$G$6:$G$90,Cadastros!$H$6:$H$90)*(1-0.18),IF($F229="Mauro José Salanti",_xlfn.XLOOKUP(AG229,Cadastros!$G$6:$G$90,Cadastros!$H$6:$H$90)*(1-0.18),_xlfn.XLOOKUP(AG229,Cadastros!$G$6:$G$90,Cadastros!$H$6:$H$90))))</f>
        <v/>
      </c>
      <c r="AJ229" s="168" t="str">
        <f t="shared" si="46"/>
        <v/>
      </c>
      <c r="AK229" s="168" t="str">
        <f t="shared" si="47"/>
        <v/>
      </c>
      <c r="AL229" s="28"/>
      <c r="AM229" s="28"/>
      <c r="AN229" s="20" t="str">
        <f>IF(AL229="","",IF($F229="Bernardino Furlan",_xlfn.XLOOKUP(AL229,Cadastros!$G$6:$G$90,Cadastros!$H$6:$H$90)*(1-0.18),IF($F229="Mauro José Salanti",_xlfn.XLOOKUP(AL229,Cadastros!$G$6:$G$90,Cadastros!$H$6:$H$90)*(1-0.18),_xlfn.XLOOKUP(AL229,Cadastros!$G$6:$G$90,Cadastros!$H$6:$H$90))))</f>
        <v/>
      </c>
      <c r="AO229" s="168" t="str">
        <f t="shared" si="48"/>
        <v/>
      </c>
      <c r="AP229" s="168" t="str">
        <f t="shared" si="49"/>
        <v/>
      </c>
      <c r="AQ229" s="28"/>
      <c r="AR229" s="28"/>
      <c r="AS229" s="20" t="str">
        <f>IF(AQ229="","",IF($F229="Bernardino Furlan",_xlfn.XLOOKUP(AQ229,Cadastros!$G$6:$G$90,Cadastros!$H$6:$H$90)*(1-0.18),IF($F229="Mauro José Salanti",_xlfn.XLOOKUP(AQ229,Cadastros!$G$6:$G$90,Cadastros!$H$6:$H$90)*(1-0.18),_xlfn.XLOOKUP(AQ229,Cadastros!$G$6:$G$90,Cadastros!$H$6:$H$90))))</f>
        <v/>
      </c>
      <c r="AT229" s="168" t="str">
        <f t="shared" si="50"/>
        <v/>
      </c>
      <c r="AU229" s="168" t="str">
        <f t="shared" si="51"/>
        <v/>
      </c>
      <c r="AV229" s="227"/>
      <c r="AW229" s="30"/>
      <c r="AX229" s="267"/>
      <c r="AY229" s="267"/>
      <c r="AZ229" s="29"/>
      <c r="BA229" s="30"/>
      <c r="BB229" s="23" t="str" cm="1">
        <f t="array" ref="BB229">_xlfn.IFS(AW229="SIM",SUM(K229,P229,U229,Z229,AE229,AJ229,AO229,AT229,AX229,AY229),F229&lt;&gt;"",SUM(K229,P229,U229,Z229,AE229,AJ229,,AO229,AT229),F229="","")</f>
        <v/>
      </c>
      <c r="BC229" s="211" t="str" cm="1">
        <f t="array" ref="BC229">_xlfn.IFS(E229="","",G229&lt;=E229,BB229*(1-0.03),G229&lt;(E229+8),BB229,AZ229="Boleto",BB229*(1+0.001)^DATEDIF(E229,G229,"D"),AZ229="Cheque",BB229,AZ229="Dinheiro","Alterar forma pgto")</f>
        <v/>
      </c>
      <c r="BD229" s="276" t="str" cm="1">
        <f t="array" ref="BD229">IF(F229=0," ",IF(BC229&lt;BB229,(_xlfn.IFS(AW229="SIM",SUM(L229,Q229,V229,AA229,AF229,AK229,AP229,AU229)+AX229/_xlfn.XLOOKUP(_xlfn.XLOOKUP($F229,Clientes!$B$4:$B$39,Clientes!$C$4:$C$39),Cadastros!$L$6:$L$12,Cadastros!$M$6:$M$12)+IF($F229="Bernardino Furlan",AY229/2751.92,IF($F229="Mauro José Salanti",AY229/2751.92,AY229/3356)),F229&lt;&gt;0,SUM(L229,Q229,V229,AA229,AF229,AK229,AP229,AU229)))*(1-0.03),_xlfn.IFS(AW229="SIM",SUM(L229,Q229,V229,AA229,AF229,AK229,AP229,AU229)+AX229/_xlfn.XLOOKUP(_xlfn.XLOOKUP($F229,Clientes!$B$4:$B$39,Clientes!$C$4:$C$39),Cadastros!$L$6:$L$12,Cadastros!$M$6:$M$12)+IF($F229="Bernardino Furlan",AY229/2751.92,IF($F229="Mauro José Salanti",AY229/2751.92,AY229/3356)),F229&lt;&gt;0,SUM(L229,Q229,V229,AA229,AF229,AK229,AP229,AU229))))</f>
        <v xml:space="preserve"> </v>
      </c>
      <c r="BE229" s="120"/>
      <c r="BF229" s="120"/>
      <c r="BG229" s="120"/>
    </row>
    <row r="230" spans="1:59" s="3" customFormat="1" x14ac:dyDescent="0.3">
      <c r="A230" s="15" t="str">
        <f t="shared" si="39"/>
        <v/>
      </c>
      <c r="B230" s="25"/>
      <c r="C230" s="26"/>
      <c r="D230" s="279"/>
      <c r="E230" s="27"/>
      <c r="F230" s="28"/>
      <c r="G230" s="27"/>
      <c r="H230" s="28"/>
      <c r="I230" s="28"/>
      <c r="J230" s="255" t="str">
        <f>IF(H230="","",(_xlfn.XLOOKUP(H230,Cadastros!$D$6:$D$90,Cadastros!$E$6:$E$90))*(1-_xlfn.XLOOKUP(_xlfn.XLOOKUP($F230,Clientes!$B$4:$B$39,Clientes!$C$4:$C$39),Cadastros!$L$6:$L$12,Cadastros!$N$6:$N$12)))</f>
        <v/>
      </c>
      <c r="K230" s="168" t="str">
        <f t="shared" si="40"/>
        <v/>
      </c>
      <c r="L230" s="168" t="str">
        <f>IFERROR(K230/_xlfn.XLOOKUP(_xlfn.XLOOKUP($F230,Clientes!$B$4:$B$39,Clientes!$C$4:$C$39),Cadastros!$L$6:$L$12,Cadastros!$M$6:$M$12)," ")</f>
        <v xml:space="preserve"> </v>
      </c>
      <c r="M230" s="28"/>
      <c r="N230" s="28"/>
      <c r="O230" s="255" t="str">
        <f>IF(M230="","",(_xlfn.XLOOKUP(M230,Cadastros!$D$6:$D$90,Cadastros!$E$6:$E$90))*(1-_xlfn.XLOOKUP(_xlfn.XLOOKUP($F230,Clientes!$B$4:$B$39,Clientes!$C$4:$C$39),Cadastros!$L$6:$L$12,Cadastros!$N$6:$N$12)))</f>
        <v/>
      </c>
      <c r="P230" s="168" t="str">
        <f t="shared" si="41"/>
        <v/>
      </c>
      <c r="Q230" s="168" t="str">
        <f>IFERROR(P230/_xlfn.XLOOKUP(_xlfn.XLOOKUP($F230,Clientes!$B$4:$B$39,Clientes!$C$4:$C$39),Cadastros!$L$6:$L$12,Cadastros!$M$6:$M$12)," ")</f>
        <v xml:space="preserve"> </v>
      </c>
      <c r="R230" s="28"/>
      <c r="S230" s="28"/>
      <c r="T230" s="255" t="str">
        <f>IF(R230="","",(_xlfn.XLOOKUP(R230,Cadastros!$D$6:$D$90,Cadastros!$E$6:$E$90))*(1-_xlfn.XLOOKUP(_xlfn.XLOOKUP($F230,Clientes!$B$4:$B$39,Clientes!$C$4:$C$39),Cadastros!$L$6:$L$12,Cadastros!$N$6:$N$12)))</f>
        <v/>
      </c>
      <c r="U230" s="168" t="str">
        <f t="shared" si="42"/>
        <v/>
      </c>
      <c r="V230" s="168" t="str">
        <f>IFERROR(U230/_xlfn.XLOOKUP(_xlfn.XLOOKUP($F230,Clientes!$B$4:$B$39,Clientes!$C$4:$C$39),Cadastros!$L$6:$L$12,Cadastros!$M$6:$M$12)," ")</f>
        <v xml:space="preserve"> </v>
      </c>
      <c r="W230" s="28"/>
      <c r="X230" s="28"/>
      <c r="Y230" s="255" t="str">
        <f>IF(W230="","",(_xlfn.XLOOKUP(W230,Cadastros!$D$6:$D$90,Cadastros!$E$6:$E$90))*(1-_xlfn.XLOOKUP(_xlfn.XLOOKUP($F230,Clientes!$B$4:$B$39,Clientes!$C$4:$C$39),Cadastros!$L$6:$L$12,Cadastros!$N$6:$N$12)))</f>
        <v/>
      </c>
      <c r="Z230" s="168" t="str">
        <f t="shared" si="43"/>
        <v/>
      </c>
      <c r="AA230" s="168" t="str">
        <f>IFERROR(Z230/_xlfn.XLOOKUP(_xlfn.XLOOKUP($F230,Clientes!$B$4:$B$39,Clientes!$C$4:$C$39),Cadastros!$L$6:$L$12,Cadastros!$M$6:$M$12)," ")</f>
        <v xml:space="preserve"> </v>
      </c>
      <c r="AB230" s="28"/>
      <c r="AC230" s="28"/>
      <c r="AD230" s="20" t="str">
        <f>IF(AB230="","",IF($F230="Bernardino Furlan",_xlfn.XLOOKUP(AB230,Cadastros!$G$6:$G$90,Cadastros!$H$6:$H$90)*(1-0.18),IF($F230="Mauro José Salanti",_xlfn.XLOOKUP(AB230,Cadastros!$G$6:$G$90,Cadastros!$H$6:$H$90)*(1-0.18),_xlfn.XLOOKUP(AB230,Cadastros!$G$6:$G$90,Cadastros!$H$6:$H$90))))</f>
        <v/>
      </c>
      <c r="AE230" s="168" t="str">
        <f t="shared" si="44"/>
        <v/>
      </c>
      <c r="AF230" s="168" t="str">
        <f t="shared" si="45"/>
        <v/>
      </c>
      <c r="AG230" s="28"/>
      <c r="AH230" s="28"/>
      <c r="AI230" s="20" t="str">
        <f>IF(AG230="","",IF($F230="Bernardino Furlan",_xlfn.XLOOKUP(AG230,Cadastros!$G$6:$G$90,Cadastros!$H$6:$H$90)*(1-0.18),IF($F230="Mauro José Salanti",_xlfn.XLOOKUP(AG230,Cadastros!$G$6:$G$90,Cadastros!$H$6:$H$90)*(1-0.18),_xlfn.XLOOKUP(AG230,Cadastros!$G$6:$G$90,Cadastros!$H$6:$H$90))))</f>
        <v/>
      </c>
      <c r="AJ230" s="168" t="str">
        <f t="shared" si="46"/>
        <v/>
      </c>
      <c r="AK230" s="168" t="str">
        <f t="shared" si="47"/>
        <v/>
      </c>
      <c r="AL230" s="28"/>
      <c r="AM230" s="28"/>
      <c r="AN230" s="20" t="str">
        <f>IF(AL230="","",IF($F230="Bernardino Furlan",_xlfn.XLOOKUP(AL230,Cadastros!$G$6:$G$90,Cadastros!$H$6:$H$90)*(1-0.18),IF($F230="Mauro José Salanti",_xlfn.XLOOKUP(AL230,Cadastros!$G$6:$G$90,Cadastros!$H$6:$H$90)*(1-0.18),_xlfn.XLOOKUP(AL230,Cadastros!$G$6:$G$90,Cadastros!$H$6:$H$90))))</f>
        <v/>
      </c>
      <c r="AO230" s="168" t="str">
        <f t="shared" si="48"/>
        <v/>
      </c>
      <c r="AP230" s="168" t="str">
        <f t="shared" si="49"/>
        <v/>
      </c>
      <c r="AQ230" s="28"/>
      <c r="AR230" s="28"/>
      <c r="AS230" s="20" t="str">
        <f>IF(AQ230="","",IF($F230="Bernardino Furlan",_xlfn.XLOOKUP(AQ230,Cadastros!$G$6:$G$90,Cadastros!$H$6:$H$90)*(1-0.18),IF($F230="Mauro José Salanti",_xlfn.XLOOKUP(AQ230,Cadastros!$G$6:$G$90,Cadastros!$H$6:$H$90)*(1-0.18),_xlfn.XLOOKUP(AQ230,Cadastros!$G$6:$G$90,Cadastros!$H$6:$H$90))))</f>
        <v/>
      </c>
      <c r="AT230" s="168" t="str">
        <f t="shared" si="50"/>
        <v/>
      </c>
      <c r="AU230" s="168" t="str">
        <f t="shared" si="51"/>
        <v/>
      </c>
      <c r="AV230" s="227"/>
      <c r="AW230" s="30"/>
      <c r="AX230" s="267"/>
      <c r="AY230" s="267"/>
      <c r="AZ230" s="29"/>
      <c r="BA230" s="30"/>
      <c r="BB230" s="23" t="str" cm="1">
        <f t="array" ref="BB230">_xlfn.IFS(AW230="SIM",SUM(K230,P230,U230,Z230,AE230,AJ230,AO230,AT230,AX230,AY230),F230&lt;&gt;"",SUM(K230,P230,U230,Z230,AE230,AJ230,,AO230,AT230),F230="","")</f>
        <v/>
      </c>
      <c r="BC230" s="211" t="str" cm="1">
        <f t="array" ref="BC230">_xlfn.IFS(E230="","",G230&lt;=E230,BB230*(1-0.03),G230&lt;(E230+8),BB230,AZ230="Boleto",BB230*(1+0.001)^DATEDIF(E230,G230,"D"),AZ230="Cheque",BB230,AZ230="Dinheiro","Alterar forma pgto")</f>
        <v/>
      </c>
      <c r="BD230" s="276" t="str" cm="1">
        <f t="array" ref="BD230">IF(F230=0," ",IF(BC230&lt;BB230,(_xlfn.IFS(AW230="SIM",SUM(L230,Q230,V230,AA230,AF230,AK230,AP230,AU230)+AX230/_xlfn.XLOOKUP(_xlfn.XLOOKUP($F230,Clientes!$B$4:$B$39,Clientes!$C$4:$C$39),Cadastros!$L$6:$L$12,Cadastros!$M$6:$M$12)+IF($F230="Bernardino Furlan",AY230/2751.92,IF($F230="Mauro José Salanti",AY230/2751.92,AY230/3356)),F230&lt;&gt;0,SUM(L230,Q230,V230,AA230,AF230,AK230,AP230,AU230)))*(1-0.03),_xlfn.IFS(AW230="SIM",SUM(L230,Q230,V230,AA230,AF230,AK230,AP230,AU230)+AX230/_xlfn.XLOOKUP(_xlfn.XLOOKUP($F230,Clientes!$B$4:$B$39,Clientes!$C$4:$C$39),Cadastros!$L$6:$L$12,Cadastros!$M$6:$M$12)+IF($F230="Bernardino Furlan",AY230/2751.92,IF($F230="Mauro José Salanti",AY230/2751.92,AY230/3356)),F230&lt;&gt;0,SUM(L230,Q230,V230,AA230,AF230,AK230,AP230,AU230))))</f>
        <v xml:space="preserve"> </v>
      </c>
      <c r="BE230" s="120"/>
      <c r="BF230" s="120"/>
      <c r="BG230" s="120"/>
    </row>
    <row r="231" spans="1:59" s="3" customFormat="1" x14ac:dyDescent="0.3">
      <c r="A231" s="15" t="str">
        <f t="shared" si="39"/>
        <v/>
      </c>
      <c r="B231" s="25"/>
      <c r="C231" s="26"/>
      <c r="D231" s="279"/>
      <c r="E231" s="27"/>
      <c r="F231" s="28"/>
      <c r="G231" s="27"/>
      <c r="H231" s="28"/>
      <c r="I231" s="28"/>
      <c r="J231" s="255" t="str">
        <f>IF(H231="","",(_xlfn.XLOOKUP(H231,Cadastros!$D$6:$D$90,Cadastros!$E$6:$E$90))*(1-_xlfn.XLOOKUP(_xlfn.XLOOKUP($F231,Clientes!$B$4:$B$39,Clientes!$C$4:$C$39),Cadastros!$L$6:$L$12,Cadastros!$N$6:$N$12)))</f>
        <v/>
      </c>
      <c r="K231" s="168" t="str">
        <f t="shared" si="40"/>
        <v/>
      </c>
      <c r="L231" s="168" t="str">
        <f>IFERROR(K231/_xlfn.XLOOKUP(_xlfn.XLOOKUP($F231,Clientes!$B$4:$B$39,Clientes!$C$4:$C$39),Cadastros!$L$6:$L$12,Cadastros!$M$6:$M$12)," ")</f>
        <v xml:space="preserve"> </v>
      </c>
      <c r="M231" s="28"/>
      <c r="N231" s="28"/>
      <c r="O231" s="255" t="str">
        <f>IF(M231="","",(_xlfn.XLOOKUP(M231,Cadastros!$D$6:$D$90,Cadastros!$E$6:$E$90))*(1-_xlfn.XLOOKUP(_xlfn.XLOOKUP($F231,Clientes!$B$4:$B$39,Clientes!$C$4:$C$39),Cadastros!$L$6:$L$12,Cadastros!$N$6:$N$12)))</f>
        <v/>
      </c>
      <c r="P231" s="168" t="str">
        <f t="shared" si="41"/>
        <v/>
      </c>
      <c r="Q231" s="168" t="str">
        <f>IFERROR(P231/_xlfn.XLOOKUP(_xlfn.XLOOKUP($F231,Clientes!$B$4:$B$39,Clientes!$C$4:$C$39),Cadastros!$L$6:$L$12,Cadastros!$M$6:$M$12)," ")</f>
        <v xml:space="preserve"> </v>
      </c>
      <c r="R231" s="28"/>
      <c r="S231" s="28"/>
      <c r="T231" s="255" t="str">
        <f>IF(R231="","",(_xlfn.XLOOKUP(R231,Cadastros!$D$6:$D$90,Cadastros!$E$6:$E$90))*(1-_xlfn.XLOOKUP(_xlfn.XLOOKUP($F231,Clientes!$B$4:$B$39,Clientes!$C$4:$C$39),Cadastros!$L$6:$L$12,Cadastros!$N$6:$N$12)))</f>
        <v/>
      </c>
      <c r="U231" s="168" t="str">
        <f t="shared" si="42"/>
        <v/>
      </c>
      <c r="V231" s="168" t="str">
        <f>IFERROR(U231/_xlfn.XLOOKUP(_xlfn.XLOOKUP($F231,Clientes!$B$4:$B$39,Clientes!$C$4:$C$39),Cadastros!$L$6:$L$12,Cadastros!$M$6:$M$12)," ")</f>
        <v xml:space="preserve"> </v>
      </c>
      <c r="W231" s="28"/>
      <c r="X231" s="28"/>
      <c r="Y231" s="255" t="str">
        <f>IF(W231="","",(_xlfn.XLOOKUP(W231,Cadastros!$D$6:$D$90,Cadastros!$E$6:$E$90))*(1-_xlfn.XLOOKUP(_xlfn.XLOOKUP($F231,Clientes!$B$4:$B$39,Clientes!$C$4:$C$39),Cadastros!$L$6:$L$12,Cadastros!$N$6:$N$12)))</f>
        <v/>
      </c>
      <c r="Z231" s="168" t="str">
        <f t="shared" si="43"/>
        <v/>
      </c>
      <c r="AA231" s="168" t="str">
        <f>IFERROR(Z231/_xlfn.XLOOKUP(_xlfn.XLOOKUP($F231,Clientes!$B$4:$B$39,Clientes!$C$4:$C$39),Cadastros!$L$6:$L$12,Cadastros!$M$6:$M$12)," ")</f>
        <v xml:space="preserve"> </v>
      </c>
      <c r="AB231" s="28"/>
      <c r="AC231" s="28"/>
      <c r="AD231" s="20" t="str">
        <f>IF(AB231="","",IF($F231="Bernardino Furlan",_xlfn.XLOOKUP(AB231,Cadastros!$G$6:$G$90,Cadastros!$H$6:$H$90)*(1-0.18),IF($F231="Mauro José Salanti",_xlfn.XLOOKUP(AB231,Cadastros!$G$6:$G$90,Cadastros!$H$6:$H$90)*(1-0.18),_xlfn.XLOOKUP(AB231,Cadastros!$G$6:$G$90,Cadastros!$H$6:$H$90))))</f>
        <v/>
      </c>
      <c r="AE231" s="168" t="str">
        <f t="shared" si="44"/>
        <v/>
      </c>
      <c r="AF231" s="168" t="str">
        <f t="shared" si="45"/>
        <v/>
      </c>
      <c r="AG231" s="28"/>
      <c r="AH231" s="28"/>
      <c r="AI231" s="20" t="str">
        <f>IF(AG231="","",IF($F231="Bernardino Furlan",_xlfn.XLOOKUP(AG231,Cadastros!$G$6:$G$90,Cadastros!$H$6:$H$90)*(1-0.18),IF($F231="Mauro José Salanti",_xlfn.XLOOKUP(AG231,Cadastros!$G$6:$G$90,Cadastros!$H$6:$H$90)*(1-0.18),_xlfn.XLOOKUP(AG231,Cadastros!$G$6:$G$90,Cadastros!$H$6:$H$90))))</f>
        <v/>
      </c>
      <c r="AJ231" s="168" t="str">
        <f t="shared" si="46"/>
        <v/>
      </c>
      <c r="AK231" s="168" t="str">
        <f t="shared" si="47"/>
        <v/>
      </c>
      <c r="AL231" s="28"/>
      <c r="AM231" s="28"/>
      <c r="AN231" s="20" t="str">
        <f>IF(AL231="","",IF($F231="Bernardino Furlan",_xlfn.XLOOKUP(AL231,Cadastros!$G$6:$G$90,Cadastros!$H$6:$H$90)*(1-0.18),IF($F231="Mauro José Salanti",_xlfn.XLOOKUP(AL231,Cadastros!$G$6:$G$90,Cadastros!$H$6:$H$90)*(1-0.18),_xlfn.XLOOKUP(AL231,Cadastros!$G$6:$G$90,Cadastros!$H$6:$H$90))))</f>
        <v/>
      </c>
      <c r="AO231" s="168" t="str">
        <f t="shared" si="48"/>
        <v/>
      </c>
      <c r="AP231" s="168" t="str">
        <f t="shared" si="49"/>
        <v/>
      </c>
      <c r="AQ231" s="28"/>
      <c r="AR231" s="28"/>
      <c r="AS231" s="20" t="str">
        <f>IF(AQ231="","",IF($F231="Bernardino Furlan",_xlfn.XLOOKUP(AQ231,Cadastros!$G$6:$G$90,Cadastros!$H$6:$H$90)*(1-0.18),IF($F231="Mauro José Salanti",_xlfn.XLOOKUP(AQ231,Cadastros!$G$6:$G$90,Cadastros!$H$6:$H$90)*(1-0.18),_xlfn.XLOOKUP(AQ231,Cadastros!$G$6:$G$90,Cadastros!$H$6:$H$90))))</f>
        <v/>
      </c>
      <c r="AT231" s="168" t="str">
        <f t="shared" si="50"/>
        <v/>
      </c>
      <c r="AU231" s="168" t="str">
        <f t="shared" si="51"/>
        <v/>
      </c>
      <c r="AV231" s="227"/>
      <c r="AW231" s="30"/>
      <c r="AX231" s="267"/>
      <c r="AY231" s="267"/>
      <c r="AZ231" s="29"/>
      <c r="BA231" s="30"/>
      <c r="BB231" s="23" t="str" cm="1">
        <f t="array" ref="BB231">_xlfn.IFS(AW231="SIM",SUM(K231,P231,U231,Z231,AE231,AJ231,AO231,AT231,AX231,AY231),F231&lt;&gt;"",SUM(K231,P231,U231,Z231,AE231,AJ231,,AO231,AT231),F231="","")</f>
        <v/>
      </c>
      <c r="BC231" s="211" t="str" cm="1">
        <f t="array" ref="BC231">_xlfn.IFS(E231="","",G231&lt;=E231,BB231*(1-0.03),G231&lt;(E231+8),BB231,AZ231="Boleto",BB231*(1+0.001)^DATEDIF(E231,G231,"D"),AZ231="Cheque",BB231,AZ231="Dinheiro","Alterar forma pgto")</f>
        <v/>
      </c>
      <c r="BD231" s="276" t="str" cm="1">
        <f t="array" ref="BD231">IF(F231=0," ",IF(BC231&lt;BB231,(_xlfn.IFS(AW231="SIM",SUM(L231,Q231,V231,AA231,AF231,AK231,AP231,AU231)+AX231/_xlfn.XLOOKUP(_xlfn.XLOOKUP($F231,Clientes!$B$4:$B$39,Clientes!$C$4:$C$39),Cadastros!$L$6:$L$12,Cadastros!$M$6:$M$12)+IF($F231="Bernardino Furlan",AY231/2751.92,IF($F231="Mauro José Salanti",AY231/2751.92,AY231/3356)),F231&lt;&gt;0,SUM(L231,Q231,V231,AA231,AF231,AK231,AP231,AU231)))*(1-0.03),_xlfn.IFS(AW231="SIM",SUM(L231,Q231,V231,AA231,AF231,AK231,AP231,AU231)+AX231/_xlfn.XLOOKUP(_xlfn.XLOOKUP($F231,Clientes!$B$4:$B$39,Clientes!$C$4:$C$39),Cadastros!$L$6:$L$12,Cadastros!$M$6:$M$12)+IF($F231="Bernardino Furlan",AY231/2751.92,IF($F231="Mauro José Salanti",AY231/2751.92,AY231/3356)),F231&lt;&gt;0,SUM(L231,Q231,V231,AA231,AF231,AK231,AP231,AU231))))</f>
        <v xml:space="preserve"> </v>
      </c>
      <c r="BE231" s="120"/>
      <c r="BF231" s="120"/>
      <c r="BG231" s="120"/>
    </row>
    <row r="232" spans="1:59" s="3" customFormat="1" x14ac:dyDescent="0.3">
      <c r="A232" s="15" t="str">
        <f t="shared" si="39"/>
        <v/>
      </c>
      <c r="B232" s="25"/>
      <c r="C232" s="26"/>
      <c r="D232" s="279"/>
      <c r="E232" s="27"/>
      <c r="F232" s="28"/>
      <c r="G232" s="27"/>
      <c r="H232" s="28"/>
      <c r="I232" s="28"/>
      <c r="J232" s="255" t="str">
        <f>IF(H232="","",(_xlfn.XLOOKUP(H232,Cadastros!$D$6:$D$90,Cadastros!$E$6:$E$90))*(1-_xlfn.XLOOKUP(_xlfn.XLOOKUP($F232,Clientes!$B$4:$B$39,Clientes!$C$4:$C$39),Cadastros!$L$6:$L$12,Cadastros!$N$6:$N$12)))</f>
        <v/>
      </c>
      <c r="K232" s="168" t="str">
        <f t="shared" si="40"/>
        <v/>
      </c>
      <c r="L232" s="168" t="str">
        <f>IFERROR(K232/_xlfn.XLOOKUP(_xlfn.XLOOKUP($F232,Clientes!$B$4:$B$39,Clientes!$C$4:$C$39),Cadastros!$L$6:$L$12,Cadastros!$M$6:$M$12)," ")</f>
        <v xml:space="preserve"> </v>
      </c>
      <c r="M232" s="28"/>
      <c r="N232" s="28"/>
      <c r="O232" s="255" t="str">
        <f>IF(M232="","",(_xlfn.XLOOKUP(M232,Cadastros!$D$6:$D$90,Cadastros!$E$6:$E$90))*(1-_xlfn.XLOOKUP(_xlfn.XLOOKUP($F232,Clientes!$B$4:$B$39,Clientes!$C$4:$C$39),Cadastros!$L$6:$L$12,Cadastros!$N$6:$N$12)))</f>
        <v/>
      </c>
      <c r="P232" s="168" t="str">
        <f t="shared" si="41"/>
        <v/>
      </c>
      <c r="Q232" s="168" t="str">
        <f>IFERROR(P232/_xlfn.XLOOKUP(_xlfn.XLOOKUP($F232,Clientes!$B$4:$B$39,Clientes!$C$4:$C$39),Cadastros!$L$6:$L$12,Cadastros!$M$6:$M$12)," ")</f>
        <v xml:space="preserve"> </v>
      </c>
      <c r="R232" s="28"/>
      <c r="S232" s="28"/>
      <c r="T232" s="255" t="str">
        <f>IF(R232="","",(_xlfn.XLOOKUP(R232,Cadastros!$D$6:$D$90,Cadastros!$E$6:$E$90))*(1-_xlfn.XLOOKUP(_xlfn.XLOOKUP($F232,Clientes!$B$4:$B$39,Clientes!$C$4:$C$39),Cadastros!$L$6:$L$12,Cadastros!$N$6:$N$12)))</f>
        <v/>
      </c>
      <c r="U232" s="168" t="str">
        <f t="shared" si="42"/>
        <v/>
      </c>
      <c r="V232" s="168" t="str">
        <f>IFERROR(U232/_xlfn.XLOOKUP(_xlfn.XLOOKUP($F232,Clientes!$B$4:$B$39,Clientes!$C$4:$C$39),Cadastros!$L$6:$L$12,Cadastros!$M$6:$M$12)," ")</f>
        <v xml:space="preserve"> </v>
      </c>
      <c r="W232" s="28"/>
      <c r="X232" s="28"/>
      <c r="Y232" s="255" t="str">
        <f>IF(W232="","",(_xlfn.XLOOKUP(W232,Cadastros!$D$6:$D$90,Cadastros!$E$6:$E$90))*(1-_xlfn.XLOOKUP(_xlfn.XLOOKUP($F232,Clientes!$B$4:$B$39,Clientes!$C$4:$C$39),Cadastros!$L$6:$L$12,Cadastros!$N$6:$N$12)))</f>
        <v/>
      </c>
      <c r="Z232" s="168" t="str">
        <f t="shared" si="43"/>
        <v/>
      </c>
      <c r="AA232" s="168" t="str">
        <f>IFERROR(Z232/_xlfn.XLOOKUP(_xlfn.XLOOKUP($F232,Clientes!$B$4:$B$39,Clientes!$C$4:$C$39),Cadastros!$L$6:$L$12,Cadastros!$M$6:$M$12)," ")</f>
        <v xml:space="preserve"> </v>
      </c>
      <c r="AB232" s="28"/>
      <c r="AC232" s="28"/>
      <c r="AD232" s="20" t="str">
        <f>IF(AB232="","",IF($F232="Bernardino Furlan",_xlfn.XLOOKUP(AB232,Cadastros!$G$6:$G$90,Cadastros!$H$6:$H$90)*(1-0.18),IF($F232="Mauro José Salanti",_xlfn.XLOOKUP(AB232,Cadastros!$G$6:$G$90,Cadastros!$H$6:$H$90)*(1-0.18),_xlfn.XLOOKUP(AB232,Cadastros!$G$6:$G$90,Cadastros!$H$6:$H$90))))</f>
        <v/>
      </c>
      <c r="AE232" s="168" t="str">
        <f t="shared" si="44"/>
        <v/>
      </c>
      <c r="AF232" s="168" t="str">
        <f t="shared" si="45"/>
        <v/>
      </c>
      <c r="AG232" s="28"/>
      <c r="AH232" s="28"/>
      <c r="AI232" s="20" t="str">
        <f>IF(AG232="","",IF($F232="Bernardino Furlan",_xlfn.XLOOKUP(AG232,Cadastros!$G$6:$G$90,Cadastros!$H$6:$H$90)*(1-0.18),IF($F232="Mauro José Salanti",_xlfn.XLOOKUP(AG232,Cadastros!$G$6:$G$90,Cadastros!$H$6:$H$90)*(1-0.18),_xlfn.XLOOKUP(AG232,Cadastros!$G$6:$G$90,Cadastros!$H$6:$H$90))))</f>
        <v/>
      </c>
      <c r="AJ232" s="168" t="str">
        <f t="shared" si="46"/>
        <v/>
      </c>
      <c r="AK232" s="168" t="str">
        <f t="shared" si="47"/>
        <v/>
      </c>
      <c r="AL232" s="28"/>
      <c r="AM232" s="28"/>
      <c r="AN232" s="20" t="str">
        <f>IF(AL232="","",IF($F232="Bernardino Furlan",_xlfn.XLOOKUP(AL232,Cadastros!$G$6:$G$90,Cadastros!$H$6:$H$90)*(1-0.18),IF($F232="Mauro José Salanti",_xlfn.XLOOKUP(AL232,Cadastros!$G$6:$G$90,Cadastros!$H$6:$H$90)*(1-0.18),_xlfn.XLOOKUP(AL232,Cadastros!$G$6:$G$90,Cadastros!$H$6:$H$90))))</f>
        <v/>
      </c>
      <c r="AO232" s="168" t="str">
        <f t="shared" si="48"/>
        <v/>
      </c>
      <c r="AP232" s="168" t="str">
        <f t="shared" si="49"/>
        <v/>
      </c>
      <c r="AQ232" s="28"/>
      <c r="AR232" s="28"/>
      <c r="AS232" s="20" t="str">
        <f>IF(AQ232="","",IF($F232="Bernardino Furlan",_xlfn.XLOOKUP(AQ232,Cadastros!$G$6:$G$90,Cadastros!$H$6:$H$90)*(1-0.18),IF($F232="Mauro José Salanti",_xlfn.XLOOKUP(AQ232,Cadastros!$G$6:$G$90,Cadastros!$H$6:$H$90)*(1-0.18),_xlfn.XLOOKUP(AQ232,Cadastros!$G$6:$G$90,Cadastros!$H$6:$H$90))))</f>
        <v/>
      </c>
      <c r="AT232" s="168" t="str">
        <f t="shared" si="50"/>
        <v/>
      </c>
      <c r="AU232" s="168" t="str">
        <f t="shared" si="51"/>
        <v/>
      </c>
      <c r="AV232" s="227"/>
      <c r="AW232" s="30"/>
      <c r="AX232" s="267"/>
      <c r="AY232" s="267"/>
      <c r="AZ232" s="29"/>
      <c r="BA232" s="30"/>
      <c r="BB232" s="23" t="str" cm="1">
        <f t="array" ref="BB232">_xlfn.IFS(AW232="SIM",SUM(K232,P232,U232,Z232,AE232,AJ232,AO232,AT232,AX232,AY232),F232&lt;&gt;"",SUM(K232,P232,U232,Z232,AE232,AJ232,,AO232,AT232),F232="","")</f>
        <v/>
      </c>
      <c r="BC232" s="211" t="str" cm="1">
        <f t="array" ref="BC232">_xlfn.IFS(E232="","",G232&lt;=E232,BB232*(1-0.03),G232&lt;(E232+8),BB232,AZ232="Boleto",BB232*(1+0.001)^DATEDIF(E232,G232,"D"),AZ232="Cheque",BB232,AZ232="Dinheiro","Alterar forma pgto")</f>
        <v/>
      </c>
      <c r="BD232" s="276" t="str" cm="1">
        <f t="array" ref="BD232">IF(F232=0," ",IF(BC232&lt;BB232,(_xlfn.IFS(AW232="SIM",SUM(L232,Q232,V232,AA232,AF232,AK232,AP232,AU232)+AX232/_xlfn.XLOOKUP(_xlfn.XLOOKUP($F232,Clientes!$B$4:$B$39,Clientes!$C$4:$C$39),Cadastros!$L$6:$L$12,Cadastros!$M$6:$M$12)+IF($F232="Bernardino Furlan",AY232/2751.92,IF($F232="Mauro José Salanti",AY232/2751.92,AY232/3356)),F232&lt;&gt;0,SUM(L232,Q232,V232,AA232,AF232,AK232,AP232,AU232)))*(1-0.03),_xlfn.IFS(AW232="SIM",SUM(L232,Q232,V232,AA232,AF232,AK232,AP232,AU232)+AX232/_xlfn.XLOOKUP(_xlfn.XLOOKUP($F232,Clientes!$B$4:$B$39,Clientes!$C$4:$C$39),Cadastros!$L$6:$L$12,Cadastros!$M$6:$M$12)+IF($F232="Bernardino Furlan",AY232/2751.92,IF($F232="Mauro José Salanti",AY232/2751.92,AY232/3356)),F232&lt;&gt;0,SUM(L232,Q232,V232,AA232,AF232,AK232,AP232,AU232))))</f>
        <v xml:space="preserve"> </v>
      </c>
      <c r="BE232" s="120"/>
      <c r="BF232" s="120"/>
      <c r="BG232" s="120"/>
    </row>
    <row r="233" spans="1:59" s="3" customFormat="1" x14ac:dyDescent="0.3">
      <c r="A233" s="15" t="str">
        <f t="shared" si="39"/>
        <v/>
      </c>
      <c r="B233" s="25"/>
      <c r="C233" s="26"/>
      <c r="D233" s="279"/>
      <c r="E233" s="27"/>
      <c r="F233" s="28"/>
      <c r="G233" s="27"/>
      <c r="H233" s="28"/>
      <c r="I233" s="28"/>
      <c r="J233" s="255" t="str">
        <f>IF(H233="","",(_xlfn.XLOOKUP(H233,Cadastros!$D$6:$D$90,Cadastros!$E$6:$E$90))*(1-_xlfn.XLOOKUP(_xlfn.XLOOKUP($F233,Clientes!$B$4:$B$39,Clientes!$C$4:$C$39),Cadastros!$L$6:$L$12,Cadastros!$N$6:$N$12)))</f>
        <v/>
      </c>
      <c r="K233" s="168" t="str">
        <f t="shared" si="40"/>
        <v/>
      </c>
      <c r="L233" s="168" t="str">
        <f>IFERROR(K233/_xlfn.XLOOKUP(_xlfn.XLOOKUP($F233,Clientes!$B$4:$B$39,Clientes!$C$4:$C$39),Cadastros!$L$6:$L$12,Cadastros!$M$6:$M$12)," ")</f>
        <v xml:space="preserve"> </v>
      </c>
      <c r="M233" s="28"/>
      <c r="N233" s="28"/>
      <c r="O233" s="255" t="str">
        <f>IF(M233="","",(_xlfn.XLOOKUP(M233,Cadastros!$D$6:$D$90,Cadastros!$E$6:$E$90))*(1-_xlfn.XLOOKUP(_xlfn.XLOOKUP($F233,Clientes!$B$4:$B$39,Clientes!$C$4:$C$39),Cadastros!$L$6:$L$12,Cadastros!$N$6:$N$12)))</f>
        <v/>
      </c>
      <c r="P233" s="168" t="str">
        <f t="shared" si="41"/>
        <v/>
      </c>
      <c r="Q233" s="168" t="str">
        <f>IFERROR(P233/_xlfn.XLOOKUP(_xlfn.XLOOKUP($F233,Clientes!$B$4:$B$39,Clientes!$C$4:$C$39),Cadastros!$L$6:$L$12,Cadastros!$M$6:$M$12)," ")</f>
        <v xml:space="preserve"> </v>
      </c>
      <c r="R233" s="28"/>
      <c r="S233" s="28"/>
      <c r="T233" s="255" t="str">
        <f>IF(R233="","",(_xlfn.XLOOKUP(R233,Cadastros!$D$6:$D$90,Cadastros!$E$6:$E$90))*(1-_xlfn.XLOOKUP(_xlfn.XLOOKUP($F233,Clientes!$B$4:$B$39,Clientes!$C$4:$C$39),Cadastros!$L$6:$L$12,Cadastros!$N$6:$N$12)))</f>
        <v/>
      </c>
      <c r="U233" s="168" t="str">
        <f t="shared" si="42"/>
        <v/>
      </c>
      <c r="V233" s="168" t="str">
        <f>IFERROR(U233/_xlfn.XLOOKUP(_xlfn.XLOOKUP($F233,Clientes!$B$4:$B$39,Clientes!$C$4:$C$39),Cadastros!$L$6:$L$12,Cadastros!$M$6:$M$12)," ")</f>
        <v xml:space="preserve"> </v>
      </c>
      <c r="W233" s="28"/>
      <c r="X233" s="28"/>
      <c r="Y233" s="255" t="str">
        <f>IF(W233="","",(_xlfn.XLOOKUP(W233,Cadastros!$D$6:$D$90,Cadastros!$E$6:$E$90))*(1-_xlfn.XLOOKUP(_xlfn.XLOOKUP($F233,Clientes!$B$4:$B$39,Clientes!$C$4:$C$39),Cadastros!$L$6:$L$12,Cadastros!$N$6:$N$12)))</f>
        <v/>
      </c>
      <c r="Z233" s="168" t="str">
        <f t="shared" si="43"/>
        <v/>
      </c>
      <c r="AA233" s="168" t="str">
        <f>IFERROR(Z233/_xlfn.XLOOKUP(_xlfn.XLOOKUP($F233,Clientes!$B$4:$B$39,Clientes!$C$4:$C$39),Cadastros!$L$6:$L$12,Cadastros!$M$6:$M$12)," ")</f>
        <v xml:space="preserve"> </v>
      </c>
      <c r="AB233" s="28"/>
      <c r="AC233" s="28"/>
      <c r="AD233" s="20" t="str">
        <f>IF(AB233="","",IF($F233="Bernardino Furlan",_xlfn.XLOOKUP(AB233,Cadastros!$G$6:$G$90,Cadastros!$H$6:$H$90)*(1-0.18),IF($F233="Mauro José Salanti",_xlfn.XLOOKUP(AB233,Cadastros!$G$6:$G$90,Cadastros!$H$6:$H$90)*(1-0.18),_xlfn.XLOOKUP(AB233,Cadastros!$G$6:$G$90,Cadastros!$H$6:$H$90))))</f>
        <v/>
      </c>
      <c r="AE233" s="168" t="str">
        <f t="shared" si="44"/>
        <v/>
      </c>
      <c r="AF233" s="168" t="str">
        <f t="shared" si="45"/>
        <v/>
      </c>
      <c r="AG233" s="28"/>
      <c r="AH233" s="28"/>
      <c r="AI233" s="20" t="str">
        <f>IF(AG233="","",IF($F233="Bernardino Furlan",_xlfn.XLOOKUP(AG233,Cadastros!$G$6:$G$90,Cadastros!$H$6:$H$90)*(1-0.18),IF($F233="Mauro José Salanti",_xlfn.XLOOKUP(AG233,Cadastros!$G$6:$G$90,Cadastros!$H$6:$H$90)*(1-0.18),_xlfn.XLOOKUP(AG233,Cadastros!$G$6:$G$90,Cadastros!$H$6:$H$90))))</f>
        <v/>
      </c>
      <c r="AJ233" s="168" t="str">
        <f t="shared" si="46"/>
        <v/>
      </c>
      <c r="AK233" s="168" t="str">
        <f t="shared" si="47"/>
        <v/>
      </c>
      <c r="AL233" s="28"/>
      <c r="AM233" s="28"/>
      <c r="AN233" s="20" t="str">
        <f>IF(AL233="","",IF($F233="Bernardino Furlan",_xlfn.XLOOKUP(AL233,Cadastros!$G$6:$G$90,Cadastros!$H$6:$H$90)*(1-0.18),IF($F233="Mauro José Salanti",_xlfn.XLOOKUP(AL233,Cadastros!$G$6:$G$90,Cadastros!$H$6:$H$90)*(1-0.18),_xlfn.XLOOKUP(AL233,Cadastros!$G$6:$G$90,Cadastros!$H$6:$H$90))))</f>
        <v/>
      </c>
      <c r="AO233" s="168" t="str">
        <f t="shared" si="48"/>
        <v/>
      </c>
      <c r="AP233" s="168" t="str">
        <f t="shared" si="49"/>
        <v/>
      </c>
      <c r="AQ233" s="28"/>
      <c r="AR233" s="28"/>
      <c r="AS233" s="20" t="str">
        <f>IF(AQ233="","",IF($F233="Bernardino Furlan",_xlfn.XLOOKUP(AQ233,Cadastros!$G$6:$G$90,Cadastros!$H$6:$H$90)*(1-0.18),IF($F233="Mauro José Salanti",_xlfn.XLOOKUP(AQ233,Cadastros!$G$6:$G$90,Cadastros!$H$6:$H$90)*(1-0.18),_xlfn.XLOOKUP(AQ233,Cadastros!$G$6:$G$90,Cadastros!$H$6:$H$90))))</f>
        <v/>
      </c>
      <c r="AT233" s="168" t="str">
        <f t="shared" si="50"/>
        <v/>
      </c>
      <c r="AU233" s="168" t="str">
        <f t="shared" si="51"/>
        <v/>
      </c>
      <c r="AV233" s="227"/>
      <c r="AW233" s="30"/>
      <c r="AX233" s="267"/>
      <c r="AY233" s="267"/>
      <c r="AZ233" s="29"/>
      <c r="BA233" s="30"/>
      <c r="BB233" s="23" t="str" cm="1">
        <f t="array" ref="BB233">_xlfn.IFS(AW233="SIM",SUM(K233,P233,U233,Z233,AE233,AJ233,AO233,AT233,AX233,AY233),F233&lt;&gt;"",SUM(K233,P233,U233,Z233,AE233,AJ233,,AO233,AT233),F233="","")</f>
        <v/>
      </c>
      <c r="BC233" s="211" t="str" cm="1">
        <f t="array" ref="BC233">_xlfn.IFS(E233="","",G233&lt;=E233,BB233*(1-0.03),G233&lt;(E233+8),BB233,AZ233="Boleto",BB233*(1+0.001)^DATEDIF(E233,G233,"D"),AZ233="Cheque",BB233,AZ233="Dinheiro","Alterar forma pgto")</f>
        <v/>
      </c>
      <c r="BD233" s="276" t="str" cm="1">
        <f t="array" ref="BD233">IF(F233=0," ",IF(BC233&lt;BB233,(_xlfn.IFS(AW233="SIM",SUM(L233,Q233,V233,AA233,AF233,AK233,AP233,AU233)+AX233/_xlfn.XLOOKUP(_xlfn.XLOOKUP($F233,Clientes!$B$4:$B$39,Clientes!$C$4:$C$39),Cadastros!$L$6:$L$12,Cadastros!$M$6:$M$12)+IF($F233="Bernardino Furlan",AY233/2751.92,IF($F233="Mauro José Salanti",AY233/2751.92,AY233/3356)),F233&lt;&gt;0,SUM(L233,Q233,V233,AA233,AF233,AK233,AP233,AU233)))*(1-0.03),_xlfn.IFS(AW233="SIM",SUM(L233,Q233,V233,AA233,AF233,AK233,AP233,AU233)+AX233/_xlfn.XLOOKUP(_xlfn.XLOOKUP($F233,Clientes!$B$4:$B$39,Clientes!$C$4:$C$39),Cadastros!$L$6:$L$12,Cadastros!$M$6:$M$12)+IF($F233="Bernardino Furlan",AY233/2751.92,IF($F233="Mauro José Salanti",AY233/2751.92,AY233/3356)),F233&lt;&gt;0,SUM(L233,Q233,V233,AA233,AF233,AK233,AP233,AU233))))</f>
        <v xml:space="preserve"> </v>
      </c>
      <c r="BE233" s="120"/>
      <c r="BF233" s="120"/>
      <c r="BG233" s="120"/>
    </row>
    <row r="234" spans="1:59" s="3" customFormat="1" x14ac:dyDescent="0.3">
      <c r="A234" s="15" t="str">
        <f t="shared" si="39"/>
        <v/>
      </c>
      <c r="B234" s="25"/>
      <c r="C234" s="26"/>
      <c r="D234" s="279"/>
      <c r="E234" s="27"/>
      <c r="F234" s="28"/>
      <c r="G234" s="27"/>
      <c r="H234" s="28"/>
      <c r="I234" s="28"/>
      <c r="J234" s="255" t="str">
        <f>IF(H234="","",(_xlfn.XLOOKUP(H234,Cadastros!$D$6:$D$90,Cadastros!$E$6:$E$90))*(1-_xlfn.XLOOKUP(_xlfn.XLOOKUP($F234,Clientes!$B$4:$B$39,Clientes!$C$4:$C$39),Cadastros!$L$6:$L$12,Cadastros!$N$6:$N$12)))</f>
        <v/>
      </c>
      <c r="K234" s="168" t="str">
        <f t="shared" si="40"/>
        <v/>
      </c>
      <c r="L234" s="168" t="str">
        <f>IFERROR(K234/_xlfn.XLOOKUP(_xlfn.XLOOKUP($F234,Clientes!$B$4:$B$39,Clientes!$C$4:$C$39),Cadastros!$L$6:$L$12,Cadastros!$M$6:$M$12)," ")</f>
        <v xml:space="preserve"> </v>
      </c>
      <c r="M234" s="28"/>
      <c r="N234" s="28"/>
      <c r="O234" s="255" t="str">
        <f>IF(M234="","",(_xlfn.XLOOKUP(M234,Cadastros!$D$6:$D$90,Cadastros!$E$6:$E$90))*(1-_xlfn.XLOOKUP(_xlfn.XLOOKUP($F234,Clientes!$B$4:$B$39,Clientes!$C$4:$C$39),Cadastros!$L$6:$L$12,Cadastros!$N$6:$N$12)))</f>
        <v/>
      </c>
      <c r="P234" s="168" t="str">
        <f t="shared" si="41"/>
        <v/>
      </c>
      <c r="Q234" s="168" t="str">
        <f>IFERROR(P234/_xlfn.XLOOKUP(_xlfn.XLOOKUP($F234,Clientes!$B$4:$B$39,Clientes!$C$4:$C$39),Cadastros!$L$6:$L$12,Cadastros!$M$6:$M$12)," ")</f>
        <v xml:space="preserve"> </v>
      </c>
      <c r="R234" s="28"/>
      <c r="S234" s="28"/>
      <c r="T234" s="255" t="str">
        <f>IF(R234="","",(_xlfn.XLOOKUP(R234,Cadastros!$D$6:$D$90,Cadastros!$E$6:$E$90))*(1-_xlfn.XLOOKUP(_xlfn.XLOOKUP($F234,Clientes!$B$4:$B$39,Clientes!$C$4:$C$39),Cadastros!$L$6:$L$12,Cadastros!$N$6:$N$12)))</f>
        <v/>
      </c>
      <c r="U234" s="168" t="str">
        <f t="shared" si="42"/>
        <v/>
      </c>
      <c r="V234" s="168" t="str">
        <f>IFERROR(U234/_xlfn.XLOOKUP(_xlfn.XLOOKUP($F234,Clientes!$B$4:$B$39,Clientes!$C$4:$C$39),Cadastros!$L$6:$L$12,Cadastros!$M$6:$M$12)," ")</f>
        <v xml:space="preserve"> </v>
      </c>
      <c r="W234" s="28"/>
      <c r="X234" s="28"/>
      <c r="Y234" s="255" t="str">
        <f>IF(W234="","",(_xlfn.XLOOKUP(W234,Cadastros!$D$6:$D$90,Cadastros!$E$6:$E$90))*(1-_xlfn.XLOOKUP(_xlfn.XLOOKUP($F234,Clientes!$B$4:$B$39,Clientes!$C$4:$C$39),Cadastros!$L$6:$L$12,Cadastros!$N$6:$N$12)))</f>
        <v/>
      </c>
      <c r="Z234" s="168" t="str">
        <f t="shared" si="43"/>
        <v/>
      </c>
      <c r="AA234" s="168" t="str">
        <f>IFERROR(Z234/_xlfn.XLOOKUP(_xlfn.XLOOKUP($F234,Clientes!$B$4:$B$39,Clientes!$C$4:$C$39),Cadastros!$L$6:$L$12,Cadastros!$M$6:$M$12)," ")</f>
        <v xml:space="preserve"> </v>
      </c>
      <c r="AB234" s="28"/>
      <c r="AC234" s="28"/>
      <c r="AD234" s="20" t="str">
        <f>IF(AB234="","",IF($F234="Bernardino Furlan",_xlfn.XLOOKUP(AB234,Cadastros!$G$6:$G$90,Cadastros!$H$6:$H$90)*(1-0.18),IF($F234="Mauro José Salanti",_xlfn.XLOOKUP(AB234,Cadastros!$G$6:$G$90,Cadastros!$H$6:$H$90)*(1-0.18),_xlfn.XLOOKUP(AB234,Cadastros!$G$6:$G$90,Cadastros!$H$6:$H$90))))</f>
        <v/>
      </c>
      <c r="AE234" s="168" t="str">
        <f t="shared" si="44"/>
        <v/>
      </c>
      <c r="AF234" s="168" t="str">
        <f t="shared" si="45"/>
        <v/>
      </c>
      <c r="AG234" s="28"/>
      <c r="AH234" s="28"/>
      <c r="AI234" s="20" t="str">
        <f>IF(AG234="","",IF($F234="Bernardino Furlan",_xlfn.XLOOKUP(AG234,Cadastros!$G$6:$G$90,Cadastros!$H$6:$H$90)*(1-0.18),IF($F234="Mauro José Salanti",_xlfn.XLOOKUP(AG234,Cadastros!$G$6:$G$90,Cadastros!$H$6:$H$90)*(1-0.18),_xlfn.XLOOKUP(AG234,Cadastros!$G$6:$G$90,Cadastros!$H$6:$H$90))))</f>
        <v/>
      </c>
      <c r="AJ234" s="168" t="str">
        <f t="shared" si="46"/>
        <v/>
      </c>
      <c r="AK234" s="168" t="str">
        <f t="shared" si="47"/>
        <v/>
      </c>
      <c r="AL234" s="28"/>
      <c r="AM234" s="28"/>
      <c r="AN234" s="20" t="str">
        <f>IF(AL234="","",IF($F234="Bernardino Furlan",_xlfn.XLOOKUP(AL234,Cadastros!$G$6:$G$90,Cadastros!$H$6:$H$90)*(1-0.18),IF($F234="Mauro José Salanti",_xlfn.XLOOKUP(AL234,Cadastros!$G$6:$G$90,Cadastros!$H$6:$H$90)*(1-0.18),_xlfn.XLOOKUP(AL234,Cadastros!$G$6:$G$90,Cadastros!$H$6:$H$90))))</f>
        <v/>
      </c>
      <c r="AO234" s="168" t="str">
        <f t="shared" si="48"/>
        <v/>
      </c>
      <c r="AP234" s="168" t="str">
        <f t="shared" si="49"/>
        <v/>
      </c>
      <c r="AQ234" s="28"/>
      <c r="AR234" s="28"/>
      <c r="AS234" s="20" t="str">
        <f>IF(AQ234="","",IF($F234="Bernardino Furlan",_xlfn.XLOOKUP(AQ234,Cadastros!$G$6:$G$90,Cadastros!$H$6:$H$90)*(1-0.18),IF($F234="Mauro José Salanti",_xlfn.XLOOKUP(AQ234,Cadastros!$G$6:$G$90,Cadastros!$H$6:$H$90)*(1-0.18),_xlfn.XLOOKUP(AQ234,Cadastros!$G$6:$G$90,Cadastros!$H$6:$H$90))))</f>
        <v/>
      </c>
      <c r="AT234" s="168" t="str">
        <f t="shared" si="50"/>
        <v/>
      </c>
      <c r="AU234" s="168" t="str">
        <f t="shared" si="51"/>
        <v/>
      </c>
      <c r="AV234" s="227"/>
      <c r="AW234" s="30"/>
      <c r="AX234" s="267"/>
      <c r="AY234" s="267"/>
      <c r="AZ234" s="29"/>
      <c r="BA234" s="30"/>
      <c r="BB234" s="23" t="str" cm="1">
        <f t="array" ref="BB234">_xlfn.IFS(AW234="SIM",SUM(K234,P234,U234,Z234,AE234,AJ234,AO234,AT234,AX234,AY234),F234&lt;&gt;"",SUM(K234,P234,U234,Z234,AE234,AJ234,,AO234,AT234),F234="","")</f>
        <v/>
      </c>
      <c r="BC234" s="211" t="str" cm="1">
        <f t="array" ref="BC234">_xlfn.IFS(E234="","",G234&lt;=E234,BB234*(1-0.03),G234&lt;(E234+8),BB234,AZ234="Boleto",BB234*(1+0.001)^DATEDIF(E234,G234,"D"),AZ234="Cheque",BB234,AZ234="Dinheiro","Alterar forma pgto")</f>
        <v/>
      </c>
      <c r="BD234" s="276" t="str" cm="1">
        <f t="array" ref="BD234">IF(F234=0," ",IF(BC234&lt;BB234,(_xlfn.IFS(AW234="SIM",SUM(L234,Q234,V234,AA234,AF234,AK234,AP234,AU234)+AX234/_xlfn.XLOOKUP(_xlfn.XLOOKUP($F234,Clientes!$B$4:$B$39,Clientes!$C$4:$C$39),Cadastros!$L$6:$L$12,Cadastros!$M$6:$M$12)+IF($F234="Bernardino Furlan",AY234/2751.92,IF($F234="Mauro José Salanti",AY234/2751.92,AY234/3356)),F234&lt;&gt;0,SUM(L234,Q234,V234,AA234,AF234,AK234,AP234,AU234)))*(1-0.03),_xlfn.IFS(AW234="SIM",SUM(L234,Q234,V234,AA234,AF234,AK234,AP234,AU234)+AX234/_xlfn.XLOOKUP(_xlfn.XLOOKUP($F234,Clientes!$B$4:$B$39,Clientes!$C$4:$C$39),Cadastros!$L$6:$L$12,Cadastros!$M$6:$M$12)+IF($F234="Bernardino Furlan",AY234/2751.92,IF($F234="Mauro José Salanti",AY234/2751.92,AY234/3356)),F234&lt;&gt;0,SUM(L234,Q234,V234,AA234,AF234,AK234,AP234,AU234))))</f>
        <v xml:space="preserve"> </v>
      </c>
      <c r="BE234" s="120"/>
      <c r="BF234" s="120"/>
      <c r="BG234" s="120"/>
    </row>
    <row r="235" spans="1:59" s="3" customFormat="1" x14ac:dyDescent="0.3">
      <c r="A235" s="15" t="str">
        <f t="shared" si="39"/>
        <v/>
      </c>
      <c r="B235" s="25"/>
      <c r="C235" s="26"/>
      <c r="D235" s="279"/>
      <c r="E235" s="27"/>
      <c r="F235" s="28"/>
      <c r="G235" s="27"/>
      <c r="H235" s="28"/>
      <c r="I235" s="28"/>
      <c r="J235" s="255" t="str">
        <f>IF(H235="","",(_xlfn.XLOOKUP(H235,Cadastros!$D$6:$D$90,Cadastros!$E$6:$E$90))*(1-_xlfn.XLOOKUP(_xlfn.XLOOKUP($F235,Clientes!$B$4:$B$39,Clientes!$C$4:$C$39),Cadastros!$L$6:$L$12,Cadastros!$N$6:$N$12)))</f>
        <v/>
      </c>
      <c r="K235" s="168" t="str">
        <f t="shared" si="40"/>
        <v/>
      </c>
      <c r="L235" s="168" t="str">
        <f>IFERROR(K235/_xlfn.XLOOKUP(_xlfn.XLOOKUP($F235,Clientes!$B$4:$B$39,Clientes!$C$4:$C$39),Cadastros!$L$6:$L$12,Cadastros!$M$6:$M$12)," ")</f>
        <v xml:space="preserve"> </v>
      </c>
      <c r="M235" s="28"/>
      <c r="N235" s="28"/>
      <c r="O235" s="255" t="str">
        <f>IF(M235="","",(_xlfn.XLOOKUP(M235,Cadastros!$D$6:$D$90,Cadastros!$E$6:$E$90))*(1-_xlfn.XLOOKUP(_xlfn.XLOOKUP($F235,Clientes!$B$4:$B$39,Clientes!$C$4:$C$39),Cadastros!$L$6:$L$12,Cadastros!$N$6:$N$12)))</f>
        <v/>
      </c>
      <c r="P235" s="168" t="str">
        <f t="shared" si="41"/>
        <v/>
      </c>
      <c r="Q235" s="168" t="str">
        <f>IFERROR(P235/_xlfn.XLOOKUP(_xlfn.XLOOKUP($F235,Clientes!$B$4:$B$39,Clientes!$C$4:$C$39),Cadastros!$L$6:$L$12,Cadastros!$M$6:$M$12)," ")</f>
        <v xml:space="preserve"> </v>
      </c>
      <c r="R235" s="28"/>
      <c r="S235" s="28"/>
      <c r="T235" s="255" t="str">
        <f>IF(R235="","",(_xlfn.XLOOKUP(R235,Cadastros!$D$6:$D$90,Cadastros!$E$6:$E$90))*(1-_xlfn.XLOOKUP(_xlfn.XLOOKUP($F235,Clientes!$B$4:$B$39,Clientes!$C$4:$C$39),Cadastros!$L$6:$L$12,Cadastros!$N$6:$N$12)))</f>
        <v/>
      </c>
      <c r="U235" s="168" t="str">
        <f t="shared" si="42"/>
        <v/>
      </c>
      <c r="V235" s="168" t="str">
        <f>IFERROR(U235/_xlfn.XLOOKUP(_xlfn.XLOOKUP($F235,Clientes!$B$4:$B$39,Clientes!$C$4:$C$39),Cadastros!$L$6:$L$12,Cadastros!$M$6:$M$12)," ")</f>
        <v xml:space="preserve"> </v>
      </c>
      <c r="W235" s="28"/>
      <c r="X235" s="28"/>
      <c r="Y235" s="255" t="str">
        <f>IF(W235="","",(_xlfn.XLOOKUP(W235,Cadastros!$D$6:$D$90,Cadastros!$E$6:$E$90))*(1-_xlfn.XLOOKUP(_xlfn.XLOOKUP($F235,Clientes!$B$4:$B$39,Clientes!$C$4:$C$39),Cadastros!$L$6:$L$12,Cadastros!$N$6:$N$12)))</f>
        <v/>
      </c>
      <c r="Z235" s="168" t="str">
        <f t="shared" si="43"/>
        <v/>
      </c>
      <c r="AA235" s="168" t="str">
        <f>IFERROR(Z235/_xlfn.XLOOKUP(_xlfn.XLOOKUP($F235,Clientes!$B$4:$B$39,Clientes!$C$4:$C$39),Cadastros!$L$6:$L$12,Cadastros!$M$6:$M$12)," ")</f>
        <v xml:space="preserve"> </v>
      </c>
      <c r="AB235" s="28"/>
      <c r="AC235" s="28"/>
      <c r="AD235" s="20" t="str">
        <f>IF(AB235="","",IF($F235="Bernardino Furlan",_xlfn.XLOOKUP(AB235,Cadastros!$G$6:$G$90,Cadastros!$H$6:$H$90)*(1-0.18),IF($F235="Mauro José Salanti",_xlfn.XLOOKUP(AB235,Cadastros!$G$6:$G$90,Cadastros!$H$6:$H$90)*(1-0.18),_xlfn.XLOOKUP(AB235,Cadastros!$G$6:$G$90,Cadastros!$H$6:$H$90))))</f>
        <v/>
      </c>
      <c r="AE235" s="168" t="str">
        <f t="shared" si="44"/>
        <v/>
      </c>
      <c r="AF235" s="168" t="str">
        <f t="shared" si="45"/>
        <v/>
      </c>
      <c r="AG235" s="28"/>
      <c r="AH235" s="28"/>
      <c r="AI235" s="20" t="str">
        <f>IF(AG235="","",IF($F235="Bernardino Furlan",_xlfn.XLOOKUP(AG235,Cadastros!$G$6:$G$90,Cadastros!$H$6:$H$90)*(1-0.18),IF($F235="Mauro José Salanti",_xlfn.XLOOKUP(AG235,Cadastros!$G$6:$G$90,Cadastros!$H$6:$H$90)*(1-0.18),_xlfn.XLOOKUP(AG235,Cadastros!$G$6:$G$90,Cadastros!$H$6:$H$90))))</f>
        <v/>
      </c>
      <c r="AJ235" s="168" t="str">
        <f t="shared" si="46"/>
        <v/>
      </c>
      <c r="AK235" s="168" t="str">
        <f t="shared" si="47"/>
        <v/>
      </c>
      <c r="AL235" s="28"/>
      <c r="AM235" s="28"/>
      <c r="AN235" s="20" t="str">
        <f>IF(AL235="","",IF($F235="Bernardino Furlan",_xlfn.XLOOKUP(AL235,Cadastros!$G$6:$G$90,Cadastros!$H$6:$H$90)*(1-0.18),IF($F235="Mauro José Salanti",_xlfn.XLOOKUP(AL235,Cadastros!$G$6:$G$90,Cadastros!$H$6:$H$90)*(1-0.18),_xlfn.XLOOKUP(AL235,Cadastros!$G$6:$G$90,Cadastros!$H$6:$H$90))))</f>
        <v/>
      </c>
      <c r="AO235" s="168" t="str">
        <f t="shared" si="48"/>
        <v/>
      </c>
      <c r="AP235" s="168" t="str">
        <f t="shared" si="49"/>
        <v/>
      </c>
      <c r="AQ235" s="28"/>
      <c r="AR235" s="28"/>
      <c r="AS235" s="20" t="str">
        <f>IF(AQ235="","",IF($F235="Bernardino Furlan",_xlfn.XLOOKUP(AQ235,Cadastros!$G$6:$G$90,Cadastros!$H$6:$H$90)*(1-0.18),IF($F235="Mauro José Salanti",_xlfn.XLOOKUP(AQ235,Cadastros!$G$6:$G$90,Cadastros!$H$6:$H$90)*(1-0.18),_xlfn.XLOOKUP(AQ235,Cadastros!$G$6:$G$90,Cadastros!$H$6:$H$90))))</f>
        <v/>
      </c>
      <c r="AT235" s="168" t="str">
        <f t="shared" si="50"/>
        <v/>
      </c>
      <c r="AU235" s="168" t="str">
        <f t="shared" si="51"/>
        <v/>
      </c>
      <c r="AV235" s="227"/>
      <c r="AW235" s="30"/>
      <c r="AX235" s="267"/>
      <c r="AY235" s="267"/>
      <c r="AZ235" s="29"/>
      <c r="BA235" s="30"/>
      <c r="BB235" s="23" t="str" cm="1">
        <f t="array" ref="BB235">_xlfn.IFS(AW235="SIM",SUM(K235,P235,U235,Z235,AE235,AJ235,AO235,AT235,AX235,AY235),F235&lt;&gt;"",SUM(K235,P235,U235,Z235,AE235,AJ235,,AO235,AT235),F235="","")</f>
        <v/>
      </c>
      <c r="BC235" s="211" t="str" cm="1">
        <f t="array" ref="BC235">_xlfn.IFS(E235="","",G235&lt;=E235,BB235*(1-0.03),G235&lt;(E235+8),BB235,AZ235="Boleto",BB235*(1+0.001)^DATEDIF(E235,G235,"D"),AZ235="Cheque",BB235,AZ235="Dinheiro","Alterar forma pgto")</f>
        <v/>
      </c>
      <c r="BD235" s="276" t="str" cm="1">
        <f t="array" ref="BD235">IF(F235=0," ",IF(BC235&lt;BB235,(_xlfn.IFS(AW235="SIM",SUM(L235,Q235,V235,AA235,AF235,AK235,AP235,AU235)+AX235/_xlfn.XLOOKUP(_xlfn.XLOOKUP($F235,Clientes!$B$4:$B$39,Clientes!$C$4:$C$39),Cadastros!$L$6:$L$12,Cadastros!$M$6:$M$12)+IF($F235="Bernardino Furlan",AY235/2751.92,IF($F235="Mauro José Salanti",AY235/2751.92,AY235/3356)),F235&lt;&gt;0,SUM(L235,Q235,V235,AA235,AF235,AK235,AP235,AU235)))*(1-0.03),_xlfn.IFS(AW235="SIM",SUM(L235,Q235,V235,AA235,AF235,AK235,AP235,AU235)+AX235/_xlfn.XLOOKUP(_xlfn.XLOOKUP($F235,Clientes!$B$4:$B$39,Clientes!$C$4:$C$39),Cadastros!$L$6:$L$12,Cadastros!$M$6:$M$12)+IF($F235="Bernardino Furlan",AY235/2751.92,IF($F235="Mauro José Salanti",AY235/2751.92,AY235/3356)),F235&lt;&gt;0,SUM(L235,Q235,V235,AA235,AF235,AK235,AP235,AU235))))</f>
        <v xml:space="preserve"> </v>
      </c>
      <c r="BE235" s="120"/>
      <c r="BF235" s="120"/>
      <c r="BG235" s="120"/>
    </row>
    <row r="236" spans="1:59" s="3" customFormat="1" x14ac:dyDescent="0.3">
      <c r="A236" s="15" t="str">
        <f t="shared" si="39"/>
        <v/>
      </c>
      <c r="B236" s="25"/>
      <c r="C236" s="26"/>
      <c r="D236" s="279"/>
      <c r="E236" s="27"/>
      <c r="F236" s="28"/>
      <c r="G236" s="27"/>
      <c r="H236" s="28"/>
      <c r="I236" s="28"/>
      <c r="J236" s="255" t="str">
        <f>IF(H236="","",(_xlfn.XLOOKUP(H236,Cadastros!$D$6:$D$90,Cadastros!$E$6:$E$90))*(1-_xlfn.XLOOKUP(_xlfn.XLOOKUP($F236,Clientes!$B$4:$B$39,Clientes!$C$4:$C$39),Cadastros!$L$6:$L$12,Cadastros!$N$6:$N$12)))</f>
        <v/>
      </c>
      <c r="K236" s="168" t="str">
        <f t="shared" si="40"/>
        <v/>
      </c>
      <c r="L236" s="168" t="str">
        <f>IFERROR(K236/_xlfn.XLOOKUP(_xlfn.XLOOKUP($F236,Clientes!$B$4:$B$39,Clientes!$C$4:$C$39),Cadastros!$L$6:$L$12,Cadastros!$M$6:$M$12)," ")</f>
        <v xml:space="preserve"> </v>
      </c>
      <c r="M236" s="28"/>
      <c r="N236" s="28"/>
      <c r="O236" s="255" t="str">
        <f>IF(M236="","",(_xlfn.XLOOKUP(M236,Cadastros!$D$6:$D$90,Cadastros!$E$6:$E$90))*(1-_xlfn.XLOOKUP(_xlfn.XLOOKUP($F236,Clientes!$B$4:$B$39,Clientes!$C$4:$C$39),Cadastros!$L$6:$L$12,Cadastros!$N$6:$N$12)))</f>
        <v/>
      </c>
      <c r="P236" s="168" t="str">
        <f t="shared" si="41"/>
        <v/>
      </c>
      <c r="Q236" s="168" t="str">
        <f>IFERROR(P236/_xlfn.XLOOKUP(_xlfn.XLOOKUP($F236,Clientes!$B$4:$B$39,Clientes!$C$4:$C$39),Cadastros!$L$6:$L$12,Cadastros!$M$6:$M$12)," ")</f>
        <v xml:space="preserve"> </v>
      </c>
      <c r="R236" s="28"/>
      <c r="S236" s="28"/>
      <c r="T236" s="255" t="str">
        <f>IF(R236="","",(_xlfn.XLOOKUP(R236,Cadastros!$D$6:$D$90,Cadastros!$E$6:$E$90))*(1-_xlfn.XLOOKUP(_xlfn.XLOOKUP($F236,Clientes!$B$4:$B$39,Clientes!$C$4:$C$39),Cadastros!$L$6:$L$12,Cadastros!$N$6:$N$12)))</f>
        <v/>
      </c>
      <c r="U236" s="168" t="str">
        <f t="shared" si="42"/>
        <v/>
      </c>
      <c r="V236" s="168" t="str">
        <f>IFERROR(U236/_xlfn.XLOOKUP(_xlfn.XLOOKUP($F236,Clientes!$B$4:$B$39,Clientes!$C$4:$C$39),Cadastros!$L$6:$L$12,Cadastros!$M$6:$M$12)," ")</f>
        <v xml:space="preserve"> </v>
      </c>
      <c r="W236" s="28"/>
      <c r="X236" s="28"/>
      <c r="Y236" s="255" t="str">
        <f>IF(W236="","",(_xlfn.XLOOKUP(W236,Cadastros!$D$6:$D$90,Cadastros!$E$6:$E$90))*(1-_xlfn.XLOOKUP(_xlfn.XLOOKUP($F236,Clientes!$B$4:$B$39,Clientes!$C$4:$C$39),Cadastros!$L$6:$L$12,Cadastros!$N$6:$N$12)))</f>
        <v/>
      </c>
      <c r="Z236" s="168" t="str">
        <f t="shared" si="43"/>
        <v/>
      </c>
      <c r="AA236" s="168" t="str">
        <f>IFERROR(Z236/_xlfn.XLOOKUP(_xlfn.XLOOKUP($F236,Clientes!$B$4:$B$39,Clientes!$C$4:$C$39),Cadastros!$L$6:$L$12,Cadastros!$M$6:$M$12)," ")</f>
        <v xml:space="preserve"> </v>
      </c>
      <c r="AB236" s="28"/>
      <c r="AC236" s="28"/>
      <c r="AD236" s="20" t="str">
        <f>IF(AB236="","",IF($F236="Bernardino Furlan",_xlfn.XLOOKUP(AB236,Cadastros!$G$6:$G$90,Cadastros!$H$6:$H$90)*(1-0.18),IF($F236="Mauro José Salanti",_xlfn.XLOOKUP(AB236,Cadastros!$G$6:$G$90,Cadastros!$H$6:$H$90)*(1-0.18),_xlfn.XLOOKUP(AB236,Cadastros!$G$6:$G$90,Cadastros!$H$6:$H$90))))</f>
        <v/>
      </c>
      <c r="AE236" s="168" t="str">
        <f t="shared" si="44"/>
        <v/>
      </c>
      <c r="AF236" s="168" t="str">
        <f t="shared" si="45"/>
        <v/>
      </c>
      <c r="AG236" s="28"/>
      <c r="AH236" s="28"/>
      <c r="AI236" s="20" t="str">
        <f>IF(AG236="","",IF($F236="Bernardino Furlan",_xlfn.XLOOKUP(AG236,Cadastros!$G$6:$G$90,Cadastros!$H$6:$H$90)*(1-0.18),IF($F236="Mauro José Salanti",_xlfn.XLOOKUP(AG236,Cadastros!$G$6:$G$90,Cadastros!$H$6:$H$90)*(1-0.18),_xlfn.XLOOKUP(AG236,Cadastros!$G$6:$G$90,Cadastros!$H$6:$H$90))))</f>
        <v/>
      </c>
      <c r="AJ236" s="168" t="str">
        <f t="shared" si="46"/>
        <v/>
      </c>
      <c r="AK236" s="168" t="str">
        <f t="shared" si="47"/>
        <v/>
      </c>
      <c r="AL236" s="28"/>
      <c r="AM236" s="28"/>
      <c r="AN236" s="20" t="str">
        <f>IF(AL236="","",IF($F236="Bernardino Furlan",_xlfn.XLOOKUP(AL236,Cadastros!$G$6:$G$90,Cadastros!$H$6:$H$90)*(1-0.18),IF($F236="Mauro José Salanti",_xlfn.XLOOKUP(AL236,Cadastros!$G$6:$G$90,Cadastros!$H$6:$H$90)*(1-0.18),_xlfn.XLOOKUP(AL236,Cadastros!$G$6:$G$90,Cadastros!$H$6:$H$90))))</f>
        <v/>
      </c>
      <c r="AO236" s="168" t="str">
        <f t="shared" si="48"/>
        <v/>
      </c>
      <c r="AP236" s="168" t="str">
        <f t="shared" si="49"/>
        <v/>
      </c>
      <c r="AQ236" s="28"/>
      <c r="AR236" s="28"/>
      <c r="AS236" s="20" t="str">
        <f>IF(AQ236="","",IF($F236="Bernardino Furlan",_xlfn.XLOOKUP(AQ236,Cadastros!$G$6:$G$90,Cadastros!$H$6:$H$90)*(1-0.18),IF($F236="Mauro José Salanti",_xlfn.XLOOKUP(AQ236,Cadastros!$G$6:$G$90,Cadastros!$H$6:$H$90)*(1-0.18),_xlfn.XLOOKUP(AQ236,Cadastros!$G$6:$G$90,Cadastros!$H$6:$H$90))))</f>
        <v/>
      </c>
      <c r="AT236" s="168" t="str">
        <f t="shared" si="50"/>
        <v/>
      </c>
      <c r="AU236" s="168" t="str">
        <f t="shared" si="51"/>
        <v/>
      </c>
      <c r="AV236" s="227"/>
      <c r="AW236" s="30"/>
      <c r="AX236" s="267"/>
      <c r="AY236" s="267"/>
      <c r="AZ236" s="29"/>
      <c r="BA236" s="30"/>
      <c r="BB236" s="23" t="str" cm="1">
        <f t="array" ref="BB236">_xlfn.IFS(AW236="SIM",SUM(K236,P236,U236,Z236,AE236,AJ236,AO236,AT236,AX236,AY236),F236&lt;&gt;"",SUM(K236,P236,U236,Z236,AE236,AJ236,,AO236,AT236),F236="","")</f>
        <v/>
      </c>
      <c r="BC236" s="211" t="str" cm="1">
        <f t="array" ref="BC236">_xlfn.IFS(E236="","",G236&lt;=E236,BB236*(1-0.03),G236&lt;(E236+8),BB236,AZ236="Boleto",BB236*(1+0.001)^DATEDIF(E236,G236,"D"),AZ236="Cheque",BB236,AZ236="Dinheiro","Alterar forma pgto")</f>
        <v/>
      </c>
      <c r="BD236" s="276" t="str" cm="1">
        <f t="array" ref="BD236">IF(F236=0," ",IF(BC236&lt;BB236,(_xlfn.IFS(AW236="SIM",SUM(L236,Q236,V236,AA236,AF236,AK236,AP236,AU236)+AX236/_xlfn.XLOOKUP(_xlfn.XLOOKUP($F236,Clientes!$B$4:$B$39,Clientes!$C$4:$C$39),Cadastros!$L$6:$L$12,Cadastros!$M$6:$M$12)+IF($F236="Bernardino Furlan",AY236/2751.92,IF($F236="Mauro José Salanti",AY236/2751.92,AY236/3356)),F236&lt;&gt;0,SUM(L236,Q236,V236,AA236,AF236,AK236,AP236,AU236)))*(1-0.03),_xlfn.IFS(AW236="SIM",SUM(L236,Q236,V236,AA236,AF236,AK236,AP236,AU236)+AX236/_xlfn.XLOOKUP(_xlfn.XLOOKUP($F236,Clientes!$B$4:$B$39,Clientes!$C$4:$C$39),Cadastros!$L$6:$L$12,Cadastros!$M$6:$M$12)+IF($F236="Bernardino Furlan",AY236/2751.92,IF($F236="Mauro José Salanti",AY236/2751.92,AY236/3356)),F236&lt;&gt;0,SUM(L236,Q236,V236,AA236,AF236,AK236,AP236,AU236))))</f>
        <v xml:space="preserve"> </v>
      </c>
      <c r="BE236" s="120"/>
      <c r="BF236" s="120"/>
      <c r="BG236" s="120"/>
    </row>
    <row r="237" spans="1:59" s="3" customFormat="1" x14ac:dyDescent="0.3">
      <c r="A237" s="15" t="str">
        <f t="shared" si="39"/>
        <v/>
      </c>
      <c r="B237" s="25"/>
      <c r="C237" s="26"/>
      <c r="D237" s="279"/>
      <c r="E237" s="27"/>
      <c r="F237" s="28"/>
      <c r="G237" s="27"/>
      <c r="H237" s="28"/>
      <c r="I237" s="28"/>
      <c r="J237" s="255" t="str">
        <f>IF(H237="","",(_xlfn.XLOOKUP(H237,Cadastros!$D$6:$D$90,Cadastros!$E$6:$E$90))*(1-_xlfn.XLOOKUP(_xlfn.XLOOKUP($F237,Clientes!$B$4:$B$39,Clientes!$C$4:$C$39),Cadastros!$L$6:$L$12,Cadastros!$N$6:$N$12)))</f>
        <v/>
      </c>
      <c r="K237" s="168" t="str">
        <f t="shared" si="40"/>
        <v/>
      </c>
      <c r="L237" s="168" t="str">
        <f>IFERROR(K237/_xlfn.XLOOKUP(_xlfn.XLOOKUP($F237,Clientes!$B$4:$B$39,Clientes!$C$4:$C$39),Cadastros!$L$6:$L$12,Cadastros!$M$6:$M$12)," ")</f>
        <v xml:space="preserve"> </v>
      </c>
      <c r="M237" s="28"/>
      <c r="N237" s="28"/>
      <c r="O237" s="255" t="str">
        <f>IF(M237="","",(_xlfn.XLOOKUP(M237,Cadastros!$D$6:$D$90,Cadastros!$E$6:$E$90))*(1-_xlfn.XLOOKUP(_xlfn.XLOOKUP($F237,Clientes!$B$4:$B$39,Clientes!$C$4:$C$39),Cadastros!$L$6:$L$12,Cadastros!$N$6:$N$12)))</f>
        <v/>
      </c>
      <c r="P237" s="168" t="str">
        <f t="shared" si="41"/>
        <v/>
      </c>
      <c r="Q237" s="168" t="str">
        <f>IFERROR(P237/_xlfn.XLOOKUP(_xlfn.XLOOKUP($F237,Clientes!$B$4:$B$39,Clientes!$C$4:$C$39),Cadastros!$L$6:$L$12,Cadastros!$M$6:$M$12)," ")</f>
        <v xml:space="preserve"> </v>
      </c>
      <c r="R237" s="28"/>
      <c r="S237" s="28"/>
      <c r="T237" s="255" t="str">
        <f>IF(R237="","",(_xlfn.XLOOKUP(R237,Cadastros!$D$6:$D$90,Cadastros!$E$6:$E$90))*(1-_xlfn.XLOOKUP(_xlfn.XLOOKUP($F237,Clientes!$B$4:$B$39,Clientes!$C$4:$C$39),Cadastros!$L$6:$L$12,Cadastros!$N$6:$N$12)))</f>
        <v/>
      </c>
      <c r="U237" s="168" t="str">
        <f t="shared" si="42"/>
        <v/>
      </c>
      <c r="V237" s="168" t="str">
        <f>IFERROR(U237/_xlfn.XLOOKUP(_xlfn.XLOOKUP($F237,Clientes!$B$4:$B$39,Clientes!$C$4:$C$39),Cadastros!$L$6:$L$12,Cadastros!$M$6:$M$12)," ")</f>
        <v xml:space="preserve"> </v>
      </c>
      <c r="W237" s="28"/>
      <c r="X237" s="28"/>
      <c r="Y237" s="255" t="str">
        <f>IF(W237="","",(_xlfn.XLOOKUP(W237,Cadastros!$D$6:$D$90,Cadastros!$E$6:$E$90))*(1-_xlfn.XLOOKUP(_xlfn.XLOOKUP($F237,Clientes!$B$4:$B$39,Clientes!$C$4:$C$39),Cadastros!$L$6:$L$12,Cadastros!$N$6:$N$12)))</f>
        <v/>
      </c>
      <c r="Z237" s="168" t="str">
        <f t="shared" si="43"/>
        <v/>
      </c>
      <c r="AA237" s="168" t="str">
        <f>IFERROR(Z237/_xlfn.XLOOKUP(_xlfn.XLOOKUP($F237,Clientes!$B$4:$B$39,Clientes!$C$4:$C$39),Cadastros!$L$6:$L$12,Cadastros!$M$6:$M$12)," ")</f>
        <v xml:space="preserve"> </v>
      </c>
      <c r="AB237" s="28"/>
      <c r="AC237" s="28"/>
      <c r="AD237" s="20" t="str">
        <f>IF(AB237="","",IF($F237="Bernardino Furlan",_xlfn.XLOOKUP(AB237,Cadastros!$G$6:$G$90,Cadastros!$H$6:$H$90)*(1-0.18),IF($F237="Mauro José Salanti",_xlfn.XLOOKUP(AB237,Cadastros!$G$6:$G$90,Cadastros!$H$6:$H$90)*(1-0.18),_xlfn.XLOOKUP(AB237,Cadastros!$G$6:$G$90,Cadastros!$H$6:$H$90))))</f>
        <v/>
      </c>
      <c r="AE237" s="168" t="str">
        <f t="shared" si="44"/>
        <v/>
      </c>
      <c r="AF237" s="168" t="str">
        <f t="shared" si="45"/>
        <v/>
      </c>
      <c r="AG237" s="28"/>
      <c r="AH237" s="28"/>
      <c r="AI237" s="20" t="str">
        <f>IF(AG237="","",IF($F237="Bernardino Furlan",_xlfn.XLOOKUP(AG237,Cadastros!$G$6:$G$90,Cadastros!$H$6:$H$90)*(1-0.18),IF($F237="Mauro José Salanti",_xlfn.XLOOKUP(AG237,Cadastros!$G$6:$G$90,Cadastros!$H$6:$H$90)*(1-0.18),_xlfn.XLOOKUP(AG237,Cadastros!$G$6:$G$90,Cadastros!$H$6:$H$90))))</f>
        <v/>
      </c>
      <c r="AJ237" s="168" t="str">
        <f t="shared" si="46"/>
        <v/>
      </c>
      <c r="AK237" s="168" t="str">
        <f t="shared" si="47"/>
        <v/>
      </c>
      <c r="AL237" s="28"/>
      <c r="AM237" s="28"/>
      <c r="AN237" s="20" t="str">
        <f>IF(AL237="","",IF($F237="Bernardino Furlan",_xlfn.XLOOKUP(AL237,Cadastros!$G$6:$G$90,Cadastros!$H$6:$H$90)*(1-0.18),IF($F237="Mauro José Salanti",_xlfn.XLOOKUP(AL237,Cadastros!$G$6:$G$90,Cadastros!$H$6:$H$90)*(1-0.18),_xlfn.XLOOKUP(AL237,Cadastros!$G$6:$G$90,Cadastros!$H$6:$H$90))))</f>
        <v/>
      </c>
      <c r="AO237" s="168" t="str">
        <f t="shared" si="48"/>
        <v/>
      </c>
      <c r="AP237" s="168" t="str">
        <f t="shared" si="49"/>
        <v/>
      </c>
      <c r="AQ237" s="28"/>
      <c r="AR237" s="28"/>
      <c r="AS237" s="20" t="str">
        <f>IF(AQ237="","",IF($F237="Bernardino Furlan",_xlfn.XLOOKUP(AQ237,Cadastros!$G$6:$G$90,Cadastros!$H$6:$H$90)*(1-0.18),IF($F237="Mauro José Salanti",_xlfn.XLOOKUP(AQ237,Cadastros!$G$6:$G$90,Cadastros!$H$6:$H$90)*(1-0.18),_xlfn.XLOOKUP(AQ237,Cadastros!$G$6:$G$90,Cadastros!$H$6:$H$90))))</f>
        <v/>
      </c>
      <c r="AT237" s="168" t="str">
        <f t="shared" si="50"/>
        <v/>
      </c>
      <c r="AU237" s="168" t="str">
        <f t="shared" si="51"/>
        <v/>
      </c>
      <c r="AV237" s="227"/>
      <c r="AW237" s="30"/>
      <c r="AX237" s="267"/>
      <c r="AY237" s="267"/>
      <c r="AZ237" s="29"/>
      <c r="BA237" s="30"/>
      <c r="BB237" s="23" t="str" cm="1">
        <f t="array" ref="BB237">_xlfn.IFS(AW237="SIM",SUM(K237,P237,U237,Z237,AE237,AJ237,AO237,AT237,AX237,AY237),F237&lt;&gt;"",SUM(K237,P237,U237,Z237,AE237,AJ237,,AO237,AT237),F237="","")</f>
        <v/>
      </c>
      <c r="BC237" s="211" t="str" cm="1">
        <f t="array" ref="BC237">_xlfn.IFS(E237="","",G237&lt;=E237,BB237*(1-0.03),G237&lt;(E237+8),BB237,AZ237="Boleto",BB237*(1+0.001)^DATEDIF(E237,G237,"D"),AZ237="Cheque",BB237,AZ237="Dinheiro","Alterar forma pgto")</f>
        <v/>
      </c>
      <c r="BD237" s="276" t="str" cm="1">
        <f t="array" ref="BD237">IF(F237=0," ",IF(BC237&lt;BB237,(_xlfn.IFS(AW237="SIM",SUM(L237,Q237,V237,AA237,AF237,AK237,AP237,AU237)+AX237/_xlfn.XLOOKUP(_xlfn.XLOOKUP($F237,Clientes!$B$4:$B$39,Clientes!$C$4:$C$39),Cadastros!$L$6:$L$12,Cadastros!$M$6:$M$12)+IF($F237="Bernardino Furlan",AY237/2751.92,IF($F237="Mauro José Salanti",AY237/2751.92,AY237/3356)),F237&lt;&gt;0,SUM(L237,Q237,V237,AA237,AF237,AK237,AP237,AU237)))*(1-0.03),_xlfn.IFS(AW237="SIM",SUM(L237,Q237,V237,AA237,AF237,AK237,AP237,AU237)+AX237/_xlfn.XLOOKUP(_xlfn.XLOOKUP($F237,Clientes!$B$4:$B$39,Clientes!$C$4:$C$39),Cadastros!$L$6:$L$12,Cadastros!$M$6:$M$12)+IF($F237="Bernardino Furlan",AY237/2751.92,IF($F237="Mauro José Salanti",AY237/2751.92,AY237/3356)),F237&lt;&gt;0,SUM(L237,Q237,V237,AA237,AF237,AK237,AP237,AU237))))</f>
        <v xml:space="preserve"> </v>
      </c>
      <c r="BE237" s="120"/>
      <c r="BF237" s="120"/>
      <c r="BG237" s="120"/>
    </row>
    <row r="238" spans="1:59" s="3" customFormat="1" x14ac:dyDescent="0.3">
      <c r="A238" s="15" t="str">
        <f t="shared" si="39"/>
        <v/>
      </c>
      <c r="B238" s="25"/>
      <c r="C238" s="26"/>
      <c r="D238" s="279"/>
      <c r="E238" s="27"/>
      <c r="F238" s="28"/>
      <c r="G238" s="27"/>
      <c r="H238" s="28"/>
      <c r="I238" s="28"/>
      <c r="J238" s="255" t="str">
        <f>IF(H238="","",(_xlfn.XLOOKUP(H238,Cadastros!$D$6:$D$90,Cadastros!$E$6:$E$90))*(1-_xlfn.XLOOKUP(_xlfn.XLOOKUP($F238,Clientes!$B$4:$B$39,Clientes!$C$4:$C$39),Cadastros!$L$6:$L$12,Cadastros!$N$6:$N$12)))</f>
        <v/>
      </c>
      <c r="K238" s="168" t="str">
        <f t="shared" si="40"/>
        <v/>
      </c>
      <c r="L238" s="168" t="str">
        <f>IFERROR(K238/_xlfn.XLOOKUP(_xlfn.XLOOKUP($F238,Clientes!$B$4:$B$39,Clientes!$C$4:$C$39),Cadastros!$L$6:$L$12,Cadastros!$M$6:$M$12)," ")</f>
        <v xml:space="preserve"> </v>
      </c>
      <c r="M238" s="28"/>
      <c r="N238" s="28"/>
      <c r="O238" s="255" t="str">
        <f>IF(M238="","",(_xlfn.XLOOKUP(M238,Cadastros!$D$6:$D$90,Cadastros!$E$6:$E$90))*(1-_xlfn.XLOOKUP(_xlfn.XLOOKUP($F238,Clientes!$B$4:$B$39,Clientes!$C$4:$C$39),Cadastros!$L$6:$L$12,Cadastros!$N$6:$N$12)))</f>
        <v/>
      </c>
      <c r="P238" s="168" t="str">
        <f t="shared" si="41"/>
        <v/>
      </c>
      <c r="Q238" s="168" t="str">
        <f>IFERROR(P238/_xlfn.XLOOKUP(_xlfn.XLOOKUP($F238,Clientes!$B$4:$B$39,Clientes!$C$4:$C$39),Cadastros!$L$6:$L$12,Cadastros!$M$6:$M$12)," ")</f>
        <v xml:space="preserve"> </v>
      </c>
      <c r="R238" s="28"/>
      <c r="S238" s="28"/>
      <c r="T238" s="255" t="str">
        <f>IF(R238="","",(_xlfn.XLOOKUP(R238,Cadastros!$D$6:$D$90,Cadastros!$E$6:$E$90))*(1-_xlfn.XLOOKUP(_xlfn.XLOOKUP($F238,Clientes!$B$4:$B$39,Clientes!$C$4:$C$39),Cadastros!$L$6:$L$12,Cadastros!$N$6:$N$12)))</f>
        <v/>
      </c>
      <c r="U238" s="168" t="str">
        <f t="shared" si="42"/>
        <v/>
      </c>
      <c r="V238" s="168" t="str">
        <f>IFERROR(U238/_xlfn.XLOOKUP(_xlfn.XLOOKUP($F238,Clientes!$B$4:$B$39,Clientes!$C$4:$C$39),Cadastros!$L$6:$L$12,Cadastros!$M$6:$M$12)," ")</f>
        <v xml:space="preserve"> </v>
      </c>
      <c r="W238" s="28"/>
      <c r="X238" s="28"/>
      <c r="Y238" s="255" t="str">
        <f>IF(W238="","",(_xlfn.XLOOKUP(W238,Cadastros!$D$6:$D$90,Cadastros!$E$6:$E$90))*(1-_xlfn.XLOOKUP(_xlfn.XLOOKUP($F238,Clientes!$B$4:$B$39,Clientes!$C$4:$C$39),Cadastros!$L$6:$L$12,Cadastros!$N$6:$N$12)))</f>
        <v/>
      </c>
      <c r="Z238" s="168" t="str">
        <f t="shared" si="43"/>
        <v/>
      </c>
      <c r="AA238" s="168" t="str">
        <f>IFERROR(Z238/_xlfn.XLOOKUP(_xlfn.XLOOKUP($F238,Clientes!$B$4:$B$39,Clientes!$C$4:$C$39),Cadastros!$L$6:$L$12,Cadastros!$M$6:$M$12)," ")</f>
        <v xml:space="preserve"> </v>
      </c>
      <c r="AB238" s="28"/>
      <c r="AC238" s="28"/>
      <c r="AD238" s="20" t="str">
        <f>IF(AB238="","",IF($F238="Bernardino Furlan",_xlfn.XLOOKUP(AB238,Cadastros!$G$6:$G$90,Cadastros!$H$6:$H$90)*(1-0.18),IF($F238="Mauro José Salanti",_xlfn.XLOOKUP(AB238,Cadastros!$G$6:$G$90,Cadastros!$H$6:$H$90)*(1-0.18),_xlfn.XLOOKUP(AB238,Cadastros!$G$6:$G$90,Cadastros!$H$6:$H$90))))</f>
        <v/>
      </c>
      <c r="AE238" s="168" t="str">
        <f t="shared" si="44"/>
        <v/>
      </c>
      <c r="AF238" s="168" t="str">
        <f t="shared" si="45"/>
        <v/>
      </c>
      <c r="AG238" s="28"/>
      <c r="AH238" s="28"/>
      <c r="AI238" s="20" t="str">
        <f>IF(AG238="","",IF($F238="Bernardino Furlan",_xlfn.XLOOKUP(AG238,Cadastros!$G$6:$G$90,Cadastros!$H$6:$H$90)*(1-0.18),IF($F238="Mauro José Salanti",_xlfn.XLOOKUP(AG238,Cadastros!$G$6:$G$90,Cadastros!$H$6:$H$90)*(1-0.18),_xlfn.XLOOKUP(AG238,Cadastros!$G$6:$G$90,Cadastros!$H$6:$H$90))))</f>
        <v/>
      </c>
      <c r="AJ238" s="168" t="str">
        <f t="shared" si="46"/>
        <v/>
      </c>
      <c r="AK238" s="168" t="str">
        <f t="shared" si="47"/>
        <v/>
      </c>
      <c r="AL238" s="28"/>
      <c r="AM238" s="28"/>
      <c r="AN238" s="20" t="str">
        <f>IF(AL238="","",IF($F238="Bernardino Furlan",_xlfn.XLOOKUP(AL238,Cadastros!$G$6:$G$90,Cadastros!$H$6:$H$90)*(1-0.18),IF($F238="Mauro José Salanti",_xlfn.XLOOKUP(AL238,Cadastros!$G$6:$G$90,Cadastros!$H$6:$H$90)*(1-0.18),_xlfn.XLOOKUP(AL238,Cadastros!$G$6:$G$90,Cadastros!$H$6:$H$90))))</f>
        <v/>
      </c>
      <c r="AO238" s="168" t="str">
        <f t="shared" si="48"/>
        <v/>
      </c>
      <c r="AP238" s="168" t="str">
        <f t="shared" si="49"/>
        <v/>
      </c>
      <c r="AQ238" s="28"/>
      <c r="AR238" s="28"/>
      <c r="AS238" s="20" t="str">
        <f>IF(AQ238="","",IF($F238="Bernardino Furlan",_xlfn.XLOOKUP(AQ238,Cadastros!$G$6:$G$90,Cadastros!$H$6:$H$90)*(1-0.18),IF($F238="Mauro José Salanti",_xlfn.XLOOKUP(AQ238,Cadastros!$G$6:$G$90,Cadastros!$H$6:$H$90)*(1-0.18),_xlfn.XLOOKUP(AQ238,Cadastros!$G$6:$G$90,Cadastros!$H$6:$H$90))))</f>
        <v/>
      </c>
      <c r="AT238" s="168" t="str">
        <f t="shared" si="50"/>
        <v/>
      </c>
      <c r="AU238" s="168" t="str">
        <f t="shared" si="51"/>
        <v/>
      </c>
      <c r="AV238" s="227"/>
      <c r="AW238" s="30"/>
      <c r="AX238" s="267"/>
      <c r="AY238" s="267"/>
      <c r="AZ238" s="29"/>
      <c r="BA238" s="30"/>
      <c r="BB238" s="23" t="str" cm="1">
        <f t="array" ref="BB238">_xlfn.IFS(AW238="SIM",SUM(K238,P238,U238,Z238,AE238,AJ238,AO238,AT238,AX238,AY238),F238&lt;&gt;"",SUM(K238,P238,U238,Z238,AE238,AJ238,,AO238,AT238),F238="","")</f>
        <v/>
      </c>
      <c r="BC238" s="211" t="str" cm="1">
        <f t="array" ref="BC238">_xlfn.IFS(E238="","",G238&lt;=E238,BB238*(1-0.03),G238&lt;(E238+8),BB238,AZ238="Boleto",BB238*(1+0.001)^DATEDIF(E238,G238,"D"),AZ238="Cheque",BB238,AZ238="Dinheiro","Alterar forma pgto")</f>
        <v/>
      </c>
      <c r="BD238" s="276" t="str" cm="1">
        <f t="array" ref="BD238">IF(F238=0," ",IF(BC238&lt;BB238,(_xlfn.IFS(AW238="SIM",SUM(L238,Q238,V238,AA238,AF238,AK238,AP238,AU238)+AX238/_xlfn.XLOOKUP(_xlfn.XLOOKUP($F238,Clientes!$B$4:$B$39,Clientes!$C$4:$C$39),Cadastros!$L$6:$L$12,Cadastros!$M$6:$M$12)+IF($F238="Bernardino Furlan",AY238/2751.92,IF($F238="Mauro José Salanti",AY238/2751.92,AY238/3356)),F238&lt;&gt;0,SUM(L238,Q238,V238,AA238,AF238,AK238,AP238,AU238)))*(1-0.03),_xlfn.IFS(AW238="SIM",SUM(L238,Q238,V238,AA238,AF238,AK238,AP238,AU238)+AX238/_xlfn.XLOOKUP(_xlfn.XLOOKUP($F238,Clientes!$B$4:$B$39,Clientes!$C$4:$C$39),Cadastros!$L$6:$L$12,Cadastros!$M$6:$M$12)+IF($F238="Bernardino Furlan",AY238/2751.92,IF($F238="Mauro José Salanti",AY238/2751.92,AY238/3356)),F238&lt;&gt;0,SUM(L238,Q238,V238,AA238,AF238,AK238,AP238,AU238))))</f>
        <v xml:space="preserve"> </v>
      </c>
      <c r="BE238" s="120"/>
      <c r="BF238" s="120"/>
      <c r="BG238" s="120"/>
    </row>
    <row r="239" spans="1:59" s="3" customFormat="1" x14ac:dyDescent="0.3">
      <c r="A239" s="15" t="str">
        <f t="shared" si="39"/>
        <v/>
      </c>
      <c r="B239" s="34"/>
      <c r="C239" s="35"/>
      <c r="D239" s="280"/>
      <c r="E239" s="36"/>
      <c r="F239" s="37"/>
      <c r="G239" s="36"/>
      <c r="H239" s="37"/>
      <c r="I239" s="37"/>
      <c r="J239" s="255" t="str">
        <f>IF(H239="","",(_xlfn.XLOOKUP(H239,Cadastros!$D$6:$D$90,Cadastros!$E$6:$E$90))*(1-_xlfn.XLOOKUP(_xlfn.XLOOKUP($F239,Clientes!$B$4:$B$39,Clientes!$C$4:$C$39),Cadastros!$L$6:$L$12,Cadastros!$N$6:$N$12)))</f>
        <v/>
      </c>
      <c r="K239" s="168" t="str">
        <f t="shared" si="40"/>
        <v/>
      </c>
      <c r="L239" s="168" t="str">
        <f>IFERROR(K239/_xlfn.XLOOKUP(_xlfn.XLOOKUP($F239,Clientes!$B$4:$B$39,Clientes!$C$4:$C$39),Cadastros!$L$6:$L$12,Cadastros!$M$6:$M$12)," ")</f>
        <v xml:space="preserve"> </v>
      </c>
      <c r="M239" s="37"/>
      <c r="N239" s="37"/>
      <c r="O239" s="255" t="str">
        <f>IF(M239="","",(_xlfn.XLOOKUP(M239,Cadastros!$D$6:$D$90,Cadastros!$E$6:$E$90))*(1-_xlfn.XLOOKUP(_xlfn.XLOOKUP($F239,Clientes!$B$4:$B$39,Clientes!$C$4:$C$39),Cadastros!$L$6:$L$12,Cadastros!$N$6:$N$12)))</f>
        <v/>
      </c>
      <c r="P239" s="168" t="str">
        <f t="shared" si="41"/>
        <v/>
      </c>
      <c r="Q239" s="168" t="str">
        <f>IFERROR(P239/_xlfn.XLOOKUP(_xlfn.XLOOKUP($F239,Clientes!$B$4:$B$39,Clientes!$C$4:$C$39),Cadastros!$L$6:$L$12,Cadastros!$M$6:$M$12)," ")</f>
        <v xml:space="preserve"> </v>
      </c>
      <c r="R239" s="37"/>
      <c r="S239" s="37"/>
      <c r="T239" s="255" t="str">
        <f>IF(R239="","",(_xlfn.XLOOKUP(R239,Cadastros!$D$6:$D$90,Cadastros!$E$6:$E$90))*(1-_xlfn.XLOOKUP(_xlfn.XLOOKUP($F239,Clientes!$B$4:$B$39,Clientes!$C$4:$C$39),Cadastros!$L$6:$L$12,Cadastros!$N$6:$N$12)))</f>
        <v/>
      </c>
      <c r="U239" s="168" t="str">
        <f t="shared" si="42"/>
        <v/>
      </c>
      <c r="V239" s="168" t="str">
        <f>IFERROR(U239/_xlfn.XLOOKUP(_xlfn.XLOOKUP($F239,Clientes!$B$4:$B$39,Clientes!$C$4:$C$39),Cadastros!$L$6:$L$12,Cadastros!$M$6:$M$12)," ")</f>
        <v xml:space="preserve"> </v>
      </c>
      <c r="W239" s="37"/>
      <c r="X239" s="37"/>
      <c r="Y239" s="255" t="str">
        <f>IF(W239="","",(_xlfn.XLOOKUP(W239,Cadastros!$D$6:$D$90,Cadastros!$E$6:$E$90))*(1-_xlfn.XLOOKUP(_xlfn.XLOOKUP($F239,Clientes!$B$4:$B$39,Clientes!$C$4:$C$39),Cadastros!$L$6:$L$12,Cadastros!$N$6:$N$12)))</f>
        <v/>
      </c>
      <c r="Z239" s="168" t="str">
        <f t="shared" si="43"/>
        <v/>
      </c>
      <c r="AA239" s="168" t="str">
        <f>IFERROR(Z239/_xlfn.XLOOKUP(_xlfn.XLOOKUP($F239,Clientes!$B$4:$B$39,Clientes!$C$4:$C$39),Cadastros!$L$6:$L$12,Cadastros!$M$6:$M$12)," ")</f>
        <v xml:space="preserve"> </v>
      </c>
      <c r="AB239" s="37"/>
      <c r="AC239" s="37"/>
      <c r="AD239" s="20" t="str">
        <f>IF(AB239="","",IF($F239="Bernardino Furlan",_xlfn.XLOOKUP(AB239,Cadastros!$G$6:$G$90,Cadastros!$H$6:$H$90)*(1-0.18),IF($F239="Mauro José Salanti",_xlfn.XLOOKUP(AB239,Cadastros!$G$6:$G$90,Cadastros!$H$6:$H$90)*(1-0.18),_xlfn.XLOOKUP(AB239,Cadastros!$G$6:$G$90,Cadastros!$H$6:$H$90))))</f>
        <v/>
      </c>
      <c r="AE239" s="168" t="str">
        <f t="shared" si="44"/>
        <v/>
      </c>
      <c r="AF239" s="168" t="str">
        <f t="shared" si="45"/>
        <v/>
      </c>
      <c r="AG239" s="37"/>
      <c r="AH239" s="37"/>
      <c r="AI239" s="20" t="str">
        <f>IF(AG239="","",IF($F239="Bernardino Furlan",_xlfn.XLOOKUP(AG239,Cadastros!$G$6:$G$90,Cadastros!$H$6:$H$90)*(1-0.18),IF($F239="Mauro José Salanti",_xlfn.XLOOKUP(AG239,Cadastros!$G$6:$G$90,Cadastros!$H$6:$H$90)*(1-0.18),_xlfn.XLOOKUP(AG239,Cadastros!$G$6:$G$90,Cadastros!$H$6:$H$90))))</f>
        <v/>
      </c>
      <c r="AJ239" s="168" t="str">
        <f t="shared" si="46"/>
        <v/>
      </c>
      <c r="AK239" s="168" t="str">
        <f t="shared" si="47"/>
        <v/>
      </c>
      <c r="AL239" s="37"/>
      <c r="AM239" s="37"/>
      <c r="AN239" s="20" t="str">
        <f>IF(AL239="","",IF($F239="Bernardino Furlan",_xlfn.XLOOKUP(AL239,Cadastros!$G$6:$G$90,Cadastros!$H$6:$H$90)*(1-0.18),IF($F239="Mauro José Salanti",_xlfn.XLOOKUP(AL239,Cadastros!$G$6:$G$90,Cadastros!$H$6:$H$90)*(1-0.18),_xlfn.XLOOKUP(AL239,Cadastros!$G$6:$G$90,Cadastros!$H$6:$H$90))))</f>
        <v/>
      </c>
      <c r="AO239" s="168" t="str">
        <f t="shared" si="48"/>
        <v/>
      </c>
      <c r="AP239" s="168" t="str">
        <f t="shared" si="49"/>
        <v/>
      </c>
      <c r="AQ239" s="37"/>
      <c r="AR239" s="37"/>
      <c r="AS239" s="20" t="str">
        <f>IF(AQ239="","",IF($F239="Bernardino Furlan",_xlfn.XLOOKUP(AQ239,Cadastros!$G$6:$G$90,Cadastros!$H$6:$H$90)*(1-0.18),IF($F239="Mauro José Salanti",_xlfn.XLOOKUP(AQ239,Cadastros!$G$6:$G$90,Cadastros!$H$6:$H$90)*(1-0.18),_xlfn.XLOOKUP(AQ239,Cadastros!$G$6:$G$90,Cadastros!$H$6:$H$90))))</f>
        <v/>
      </c>
      <c r="AT239" s="168" t="str">
        <f t="shared" si="50"/>
        <v/>
      </c>
      <c r="AU239" s="168" t="str">
        <f t="shared" si="51"/>
        <v/>
      </c>
      <c r="AV239" s="228"/>
      <c r="AW239" s="38"/>
      <c r="AX239" s="268"/>
      <c r="AY239" s="268"/>
      <c r="AZ239" s="33"/>
      <c r="BA239" s="38"/>
      <c r="BB239" s="23" t="str" cm="1">
        <f t="array" ref="BB239">_xlfn.IFS(AW239="SIM",SUM(K239,P239,U239,Z239,AE239,AJ239,AO239,AT239,AX239,AY239),F239&lt;&gt;"",SUM(K239,P239,U239,Z239,AE239,AJ239,,AO239,AT239),F239="","")</f>
        <v/>
      </c>
      <c r="BC239" s="211" t="str" cm="1">
        <f t="array" ref="BC239">_xlfn.IFS(E239="","",G239&lt;=E239,BB239*(1-0.03),G239&lt;(E239+8),BB239,AZ239="Boleto",BB239*(1+0.001)^DATEDIF(E239,G239,"D"),AZ239="Cheque",BB239,AZ239="Dinheiro","Alterar forma pgto")</f>
        <v/>
      </c>
      <c r="BD239" s="276" t="str" cm="1">
        <f t="array" ref="BD239">IF(F239=0," ",IF(BC239&lt;BB239,(_xlfn.IFS(AW239="SIM",SUM(L239,Q239,V239,AA239,AF239,AK239,AP239,AU239)+AX239/_xlfn.XLOOKUP(_xlfn.XLOOKUP($F239,Clientes!$B$4:$B$39,Clientes!$C$4:$C$39),Cadastros!$L$6:$L$12,Cadastros!$M$6:$M$12)+IF($F239="Bernardino Furlan",AY239/2751.92,IF($F239="Mauro José Salanti",AY239/2751.92,AY239/3356)),F239&lt;&gt;0,SUM(L239,Q239,V239,AA239,AF239,AK239,AP239,AU239)))*(1-0.03),_xlfn.IFS(AW239="SIM",SUM(L239,Q239,V239,AA239,AF239,AK239,AP239,AU239)+AX239/_xlfn.XLOOKUP(_xlfn.XLOOKUP($F239,Clientes!$B$4:$B$39,Clientes!$C$4:$C$39),Cadastros!$L$6:$L$12,Cadastros!$M$6:$M$12)+IF($F239="Bernardino Furlan",AY239/2751.92,IF($F239="Mauro José Salanti",AY239/2751.92,AY239/3356)),F239&lt;&gt;0,SUM(L239,Q239,V239,AA239,AF239,AK239,AP239,AU239))))</f>
        <v xml:space="preserve"> </v>
      </c>
      <c r="BE239" s="120"/>
      <c r="BF239" s="120"/>
      <c r="BG239" s="120"/>
    </row>
    <row r="240" spans="1:59" s="3" customFormat="1" x14ac:dyDescent="0.3">
      <c r="A240" s="15" t="str">
        <f t="shared" si="39"/>
        <v/>
      </c>
      <c r="B240" s="25"/>
      <c r="C240" s="26"/>
      <c r="D240" s="279"/>
      <c r="E240" s="27"/>
      <c r="F240" s="28"/>
      <c r="G240" s="27"/>
      <c r="H240" s="28"/>
      <c r="I240" s="28"/>
      <c r="J240" s="255" t="str">
        <f>IF(H240="","",(_xlfn.XLOOKUP(H240,Cadastros!$D$6:$D$90,Cadastros!$E$6:$E$90))*(1-_xlfn.XLOOKUP(_xlfn.XLOOKUP($F240,Clientes!$B$4:$B$39,Clientes!$C$4:$C$39),Cadastros!$L$6:$L$12,Cadastros!$N$6:$N$12)))</f>
        <v/>
      </c>
      <c r="K240" s="168" t="str">
        <f t="shared" si="40"/>
        <v/>
      </c>
      <c r="L240" s="168" t="str">
        <f>IFERROR(K240/_xlfn.XLOOKUP(_xlfn.XLOOKUP($F240,Clientes!$B$4:$B$39,Clientes!$C$4:$C$39),Cadastros!$L$6:$L$12,Cadastros!$M$6:$M$12)," ")</f>
        <v xml:space="preserve"> </v>
      </c>
      <c r="M240" s="28"/>
      <c r="N240" s="28"/>
      <c r="O240" s="255" t="str">
        <f>IF(M240="","",(_xlfn.XLOOKUP(M240,Cadastros!$D$6:$D$90,Cadastros!$E$6:$E$90))*(1-_xlfn.XLOOKUP(_xlfn.XLOOKUP($F240,Clientes!$B$4:$B$39,Clientes!$C$4:$C$39),Cadastros!$L$6:$L$12,Cadastros!$N$6:$N$12)))</f>
        <v/>
      </c>
      <c r="P240" s="168" t="str">
        <f t="shared" si="41"/>
        <v/>
      </c>
      <c r="Q240" s="168" t="str">
        <f>IFERROR(P240/_xlfn.XLOOKUP(_xlfn.XLOOKUP($F240,Clientes!$B$4:$B$39,Clientes!$C$4:$C$39),Cadastros!$L$6:$L$12,Cadastros!$M$6:$M$12)," ")</f>
        <v xml:space="preserve"> </v>
      </c>
      <c r="R240" s="28"/>
      <c r="S240" s="28"/>
      <c r="T240" s="255" t="str">
        <f>IF(R240="","",(_xlfn.XLOOKUP(R240,Cadastros!$D$6:$D$90,Cadastros!$E$6:$E$90))*(1-_xlfn.XLOOKUP(_xlfn.XLOOKUP($F240,Clientes!$B$4:$B$39,Clientes!$C$4:$C$39),Cadastros!$L$6:$L$12,Cadastros!$N$6:$N$12)))</f>
        <v/>
      </c>
      <c r="U240" s="168" t="str">
        <f t="shared" si="42"/>
        <v/>
      </c>
      <c r="V240" s="168" t="str">
        <f>IFERROR(U240/_xlfn.XLOOKUP(_xlfn.XLOOKUP($F240,Clientes!$B$4:$B$39,Clientes!$C$4:$C$39),Cadastros!$L$6:$L$12,Cadastros!$M$6:$M$12)," ")</f>
        <v xml:space="preserve"> </v>
      </c>
      <c r="W240" s="28"/>
      <c r="X240" s="28"/>
      <c r="Y240" s="255" t="str">
        <f>IF(W240="","",(_xlfn.XLOOKUP(W240,Cadastros!$D$6:$D$90,Cadastros!$E$6:$E$90))*(1-_xlfn.XLOOKUP(_xlfn.XLOOKUP($F240,Clientes!$B$4:$B$39,Clientes!$C$4:$C$39),Cadastros!$L$6:$L$12,Cadastros!$N$6:$N$12)))</f>
        <v/>
      </c>
      <c r="Z240" s="168" t="str">
        <f t="shared" si="43"/>
        <v/>
      </c>
      <c r="AA240" s="168" t="str">
        <f>IFERROR(Z240/_xlfn.XLOOKUP(_xlfn.XLOOKUP($F240,Clientes!$B$4:$B$39,Clientes!$C$4:$C$39),Cadastros!$L$6:$L$12,Cadastros!$M$6:$M$12)," ")</f>
        <v xml:space="preserve"> </v>
      </c>
      <c r="AB240" s="28"/>
      <c r="AC240" s="28"/>
      <c r="AD240" s="20" t="str">
        <f>IF(AB240="","",IF($F240="Bernardino Furlan",_xlfn.XLOOKUP(AB240,Cadastros!$G$6:$G$90,Cadastros!$H$6:$H$90)*(1-0.18),IF($F240="Mauro José Salanti",_xlfn.XLOOKUP(AB240,Cadastros!$G$6:$G$90,Cadastros!$H$6:$H$90)*(1-0.18),_xlfn.XLOOKUP(AB240,Cadastros!$G$6:$G$90,Cadastros!$H$6:$H$90))))</f>
        <v/>
      </c>
      <c r="AE240" s="168" t="str">
        <f t="shared" si="44"/>
        <v/>
      </c>
      <c r="AF240" s="168" t="str">
        <f t="shared" si="45"/>
        <v/>
      </c>
      <c r="AG240" s="28"/>
      <c r="AH240" s="28"/>
      <c r="AI240" s="20" t="str">
        <f>IF(AG240="","",IF($F240="Bernardino Furlan",_xlfn.XLOOKUP(AG240,Cadastros!$G$6:$G$90,Cadastros!$H$6:$H$90)*(1-0.18),IF($F240="Mauro José Salanti",_xlfn.XLOOKUP(AG240,Cadastros!$G$6:$G$90,Cadastros!$H$6:$H$90)*(1-0.18),_xlfn.XLOOKUP(AG240,Cadastros!$G$6:$G$90,Cadastros!$H$6:$H$90))))</f>
        <v/>
      </c>
      <c r="AJ240" s="168" t="str">
        <f t="shared" si="46"/>
        <v/>
      </c>
      <c r="AK240" s="168" t="str">
        <f t="shared" si="47"/>
        <v/>
      </c>
      <c r="AL240" s="28"/>
      <c r="AM240" s="28"/>
      <c r="AN240" s="20" t="str">
        <f>IF(AL240="","",IF($F240="Bernardino Furlan",_xlfn.XLOOKUP(AL240,Cadastros!$G$6:$G$90,Cadastros!$H$6:$H$90)*(1-0.18),IF($F240="Mauro José Salanti",_xlfn.XLOOKUP(AL240,Cadastros!$G$6:$G$90,Cadastros!$H$6:$H$90)*(1-0.18),_xlfn.XLOOKUP(AL240,Cadastros!$G$6:$G$90,Cadastros!$H$6:$H$90))))</f>
        <v/>
      </c>
      <c r="AO240" s="168" t="str">
        <f t="shared" si="48"/>
        <v/>
      </c>
      <c r="AP240" s="168" t="str">
        <f t="shared" si="49"/>
        <v/>
      </c>
      <c r="AQ240" s="28"/>
      <c r="AR240" s="28"/>
      <c r="AS240" s="20" t="str">
        <f>IF(AQ240="","",IF($F240="Bernardino Furlan",_xlfn.XLOOKUP(AQ240,Cadastros!$G$6:$G$90,Cadastros!$H$6:$H$90)*(1-0.18),IF($F240="Mauro José Salanti",_xlfn.XLOOKUP(AQ240,Cadastros!$G$6:$G$90,Cadastros!$H$6:$H$90)*(1-0.18),_xlfn.XLOOKUP(AQ240,Cadastros!$G$6:$G$90,Cadastros!$H$6:$H$90))))</f>
        <v/>
      </c>
      <c r="AT240" s="168" t="str">
        <f t="shared" si="50"/>
        <v/>
      </c>
      <c r="AU240" s="168" t="str">
        <f t="shared" si="51"/>
        <v/>
      </c>
      <c r="AV240" s="227"/>
      <c r="AW240" s="30"/>
      <c r="AX240" s="267"/>
      <c r="AY240" s="267"/>
      <c r="AZ240" s="29"/>
      <c r="BA240" s="30"/>
      <c r="BB240" s="23" t="str" cm="1">
        <f t="array" ref="BB240">_xlfn.IFS(AW240="SIM",SUM(K240,P240,U240,Z240,AE240,AJ240,AO240,AT240,AX240,AY240),F240&lt;&gt;"",SUM(K240,P240,U240,Z240,AE240,AJ240,,AO240,AT240),F240="","")</f>
        <v/>
      </c>
      <c r="BC240" s="211" t="str" cm="1">
        <f t="array" ref="BC240">_xlfn.IFS(E240="","",G240&lt;=E240,BB240*(1-0.03),G240&lt;(E240+8),BB240,AZ240="Boleto",BB240*(1+0.001)^DATEDIF(E240,G240,"D"),AZ240="Cheque",BB240,AZ240="Dinheiro","Alterar forma pgto")</f>
        <v/>
      </c>
      <c r="BD240" s="276" t="str" cm="1">
        <f t="array" ref="BD240">IF(F240=0," ",IF(BC240&lt;BB240,(_xlfn.IFS(AW240="SIM",SUM(L240,Q240,V240,AA240,AF240,AK240,AP240,AU240)+AX240/_xlfn.XLOOKUP(_xlfn.XLOOKUP($F240,Clientes!$B$4:$B$39,Clientes!$C$4:$C$39),Cadastros!$L$6:$L$12,Cadastros!$M$6:$M$12)+IF($F240="Bernardino Furlan",AY240/2751.92,IF($F240="Mauro José Salanti",AY240/2751.92,AY240/3356)),F240&lt;&gt;0,SUM(L240,Q240,V240,AA240,AF240,AK240,AP240,AU240)))*(1-0.03),_xlfn.IFS(AW240="SIM",SUM(L240,Q240,V240,AA240,AF240,AK240,AP240,AU240)+AX240/_xlfn.XLOOKUP(_xlfn.XLOOKUP($F240,Clientes!$B$4:$B$39,Clientes!$C$4:$C$39),Cadastros!$L$6:$L$12,Cadastros!$M$6:$M$12)+IF($F240="Bernardino Furlan",AY240/2751.92,IF($F240="Mauro José Salanti",AY240/2751.92,AY240/3356)),F240&lt;&gt;0,SUM(L240,Q240,V240,AA240,AF240,AK240,AP240,AU240))))</f>
        <v xml:space="preserve"> </v>
      </c>
      <c r="BE240" s="120"/>
      <c r="BF240" s="120"/>
      <c r="BG240" s="120"/>
    </row>
    <row r="241" spans="1:59" s="3" customFormat="1" x14ac:dyDescent="0.3">
      <c r="A241" s="15" t="str">
        <f t="shared" si="39"/>
        <v/>
      </c>
      <c r="B241" s="25"/>
      <c r="C241" s="26"/>
      <c r="D241" s="279"/>
      <c r="E241" s="27"/>
      <c r="F241" s="28"/>
      <c r="G241" s="27"/>
      <c r="H241" s="28"/>
      <c r="I241" s="28"/>
      <c r="J241" s="255" t="str">
        <f>IF(H241="","",(_xlfn.XLOOKUP(H241,Cadastros!$D$6:$D$90,Cadastros!$E$6:$E$90))*(1-_xlfn.XLOOKUP(_xlfn.XLOOKUP($F241,Clientes!$B$4:$B$39,Clientes!$C$4:$C$39),Cadastros!$L$6:$L$12,Cadastros!$N$6:$N$12)))</f>
        <v/>
      </c>
      <c r="K241" s="168" t="str">
        <f t="shared" si="40"/>
        <v/>
      </c>
      <c r="L241" s="168" t="str">
        <f>IFERROR(K241/_xlfn.XLOOKUP(_xlfn.XLOOKUP($F241,Clientes!$B$4:$B$39,Clientes!$C$4:$C$39),Cadastros!$L$6:$L$12,Cadastros!$M$6:$M$12)," ")</f>
        <v xml:space="preserve"> </v>
      </c>
      <c r="M241" s="28"/>
      <c r="N241" s="28"/>
      <c r="O241" s="255" t="str">
        <f>IF(M241="","",(_xlfn.XLOOKUP(M241,Cadastros!$D$6:$D$90,Cadastros!$E$6:$E$90))*(1-_xlfn.XLOOKUP(_xlfn.XLOOKUP($F241,Clientes!$B$4:$B$39,Clientes!$C$4:$C$39),Cadastros!$L$6:$L$12,Cadastros!$N$6:$N$12)))</f>
        <v/>
      </c>
      <c r="P241" s="168" t="str">
        <f t="shared" si="41"/>
        <v/>
      </c>
      <c r="Q241" s="168" t="str">
        <f>IFERROR(P241/_xlfn.XLOOKUP(_xlfn.XLOOKUP($F241,Clientes!$B$4:$B$39,Clientes!$C$4:$C$39),Cadastros!$L$6:$L$12,Cadastros!$M$6:$M$12)," ")</f>
        <v xml:space="preserve"> </v>
      </c>
      <c r="R241" s="28"/>
      <c r="S241" s="28"/>
      <c r="T241" s="255" t="str">
        <f>IF(R241="","",(_xlfn.XLOOKUP(R241,Cadastros!$D$6:$D$90,Cadastros!$E$6:$E$90))*(1-_xlfn.XLOOKUP(_xlfn.XLOOKUP($F241,Clientes!$B$4:$B$39,Clientes!$C$4:$C$39),Cadastros!$L$6:$L$12,Cadastros!$N$6:$N$12)))</f>
        <v/>
      </c>
      <c r="U241" s="168" t="str">
        <f t="shared" si="42"/>
        <v/>
      </c>
      <c r="V241" s="168" t="str">
        <f>IFERROR(U241/_xlfn.XLOOKUP(_xlfn.XLOOKUP($F241,Clientes!$B$4:$B$39,Clientes!$C$4:$C$39),Cadastros!$L$6:$L$12,Cadastros!$M$6:$M$12)," ")</f>
        <v xml:space="preserve"> </v>
      </c>
      <c r="W241" s="28"/>
      <c r="X241" s="28"/>
      <c r="Y241" s="255" t="str">
        <f>IF(W241="","",(_xlfn.XLOOKUP(W241,Cadastros!$D$6:$D$90,Cadastros!$E$6:$E$90))*(1-_xlfn.XLOOKUP(_xlfn.XLOOKUP($F241,Clientes!$B$4:$B$39,Clientes!$C$4:$C$39),Cadastros!$L$6:$L$12,Cadastros!$N$6:$N$12)))</f>
        <v/>
      </c>
      <c r="Z241" s="168" t="str">
        <f t="shared" si="43"/>
        <v/>
      </c>
      <c r="AA241" s="168" t="str">
        <f>IFERROR(Z241/_xlfn.XLOOKUP(_xlfn.XLOOKUP($F241,Clientes!$B$4:$B$39,Clientes!$C$4:$C$39),Cadastros!$L$6:$L$12,Cadastros!$M$6:$M$12)," ")</f>
        <v xml:space="preserve"> </v>
      </c>
      <c r="AB241" s="28"/>
      <c r="AC241" s="28"/>
      <c r="AD241" s="20" t="str">
        <f>IF(AB241="","",IF($F241="Bernardino Furlan",_xlfn.XLOOKUP(AB241,Cadastros!$G$6:$G$90,Cadastros!$H$6:$H$90)*(1-0.18),IF($F241="Mauro José Salanti",_xlfn.XLOOKUP(AB241,Cadastros!$G$6:$G$90,Cadastros!$H$6:$H$90)*(1-0.18),_xlfn.XLOOKUP(AB241,Cadastros!$G$6:$G$90,Cadastros!$H$6:$H$90))))</f>
        <v/>
      </c>
      <c r="AE241" s="168" t="str">
        <f t="shared" si="44"/>
        <v/>
      </c>
      <c r="AF241" s="168" t="str">
        <f t="shared" si="45"/>
        <v/>
      </c>
      <c r="AG241" s="28"/>
      <c r="AH241" s="28"/>
      <c r="AI241" s="20" t="str">
        <f>IF(AG241="","",IF($F241="Bernardino Furlan",_xlfn.XLOOKUP(AG241,Cadastros!$G$6:$G$90,Cadastros!$H$6:$H$90)*(1-0.18),IF($F241="Mauro José Salanti",_xlfn.XLOOKUP(AG241,Cadastros!$G$6:$G$90,Cadastros!$H$6:$H$90)*(1-0.18),_xlfn.XLOOKUP(AG241,Cadastros!$G$6:$G$90,Cadastros!$H$6:$H$90))))</f>
        <v/>
      </c>
      <c r="AJ241" s="168" t="str">
        <f t="shared" si="46"/>
        <v/>
      </c>
      <c r="AK241" s="168" t="str">
        <f t="shared" si="47"/>
        <v/>
      </c>
      <c r="AL241" s="28"/>
      <c r="AM241" s="28"/>
      <c r="AN241" s="20" t="str">
        <f>IF(AL241="","",IF($F241="Bernardino Furlan",_xlfn.XLOOKUP(AL241,Cadastros!$G$6:$G$90,Cadastros!$H$6:$H$90)*(1-0.18),IF($F241="Mauro José Salanti",_xlfn.XLOOKUP(AL241,Cadastros!$G$6:$G$90,Cadastros!$H$6:$H$90)*(1-0.18),_xlfn.XLOOKUP(AL241,Cadastros!$G$6:$G$90,Cadastros!$H$6:$H$90))))</f>
        <v/>
      </c>
      <c r="AO241" s="168" t="str">
        <f t="shared" si="48"/>
        <v/>
      </c>
      <c r="AP241" s="168" t="str">
        <f t="shared" si="49"/>
        <v/>
      </c>
      <c r="AQ241" s="28"/>
      <c r="AR241" s="28"/>
      <c r="AS241" s="20" t="str">
        <f>IF(AQ241="","",IF($F241="Bernardino Furlan",_xlfn.XLOOKUP(AQ241,Cadastros!$G$6:$G$90,Cadastros!$H$6:$H$90)*(1-0.18),IF($F241="Mauro José Salanti",_xlfn.XLOOKUP(AQ241,Cadastros!$G$6:$G$90,Cadastros!$H$6:$H$90)*(1-0.18),_xlfn.XLOOKUP(AQ241,Cadastros!$G$6:$G$90,Cadastros!$H$6:$H$90))))</f>
        <v/>
      </c>
      <c r="AT241" s="168" t="str">
        <f t="shared" si="50"/>
        <v/>
      </c>
      <c r="AU241" s="168" t="str">
        <f t="shared" si="51"/>
        <v/>
      </c>
      <c r="AV241" s="227"/>
      <c r="AW241" s="30"/>
      <c r="AX241" s="267"/>
      <c r="AY241" s="267"/>
      <c r="AZ241" s="29"/>
      <c r="BA241" s="30"/>
      <c r="BB241" s="23" t="str" cm="1">
        <f t="array" ref="BB241">_xlfn.IFS(AW241="SIM",SUM(K241,P241,U241,Z241,AE241,AJ241,AO241,AT241,AX241,AY241),F241&lt;&gt;"",SUM(K241,P241,U241,Z241,AE241,AJ241,,AO241,AT241),F241="","")</f>
        <v/>
      </c>
      <c r="BC241" s="211" t="str" cm="1">
        <f t="array" ref="BC241">_xlfn.IFS(E241="","",G241&lt;=E241,BB241*(1-0.03),G241&lt;(E241+8),BB241,AZ241="Boleto",BB241*(1+0.001)^DATEDIF(E241,G241,"D"),AZ241="Cheque",BB241,AZ241="Dinheiro","Alterar forma pgto")</f>
        <v/>
      </c>
      <c r="BD241" s="276" t="str" cm="1">
        <f t="array" ref="BD241">IF(F241=0," ",IF(BC241&lt;BB241,(_xlfn.IFS(AW241="SIM",SUM(L241,Q241,V241,AA241,AF241,AK241,AP241,AU241)+AX241/_xlfn.XLOOKUP(_xlfn.XLOOKUP($F241,Clientes!$B$4:$B$39,Clientes!$C$4:$C$39),Cadastros!$L$6:$L$12,Cadastros!$M$6:$M$12)+IF($F241="Bernardino Furlan",AY241/2751.92,IF($F241="Mauro José Salanti",AY241/2751.92,AY241/3356)),F241&lt;&gt;0,SUM(L241,Q241,V241,AA241,AF241,AK241,AP241,AU241)))*(1-0.03),_xlfn.IFS(AW241="SIM",SUM(L241,Q241,V241,AA241,AF241,AK241,AP241,AU241)+AX241/_xlfn.XLOOKUP(_xlfn.XLOOKUP($F241,Clientes!$B$4:$B$39,Clientes!$C$4:$C$39),Cadastros!$L$6:$L$12,Cadastros!$M$6:$M$12)+IF($F241="Bernardino Furlan",AY241/2751.92,IF($F241="Mauro José Salanti",AY241/2751.92,AY241/3356)),F241&lt;&gt;0,SUM(L241,Q241,V241,AA241,AF241,AK241,AP241,AU241))))</f>
        <v xml:space="preserve"> </v>
      </c>
      <c r="BE241" s="120"/>
      <c r="BF241" s="120"/>
      <c r="BG241" s="120"/>
    </row>
    <row r="242" spans="1:59" s="3" customFormat="1" x14ac:dyDescent="0.3">
      <c r="A242" s="15" t="str">
        <f t="shared" si="39"/>
        <v/>
      </c>
      <c r="B242" s="25"/>
      <c r="C242" s="26"/>
      <c r="D242" s="279"/>
      <c r="E242" s="27"/>
      <c r="F242" s="28"/>
      <c r="G242" s="27"/>
      <c r="H242" s="28"/>
      <c r="I242" s="28"/>
      <c r="J242" s="255" t="str">
        <f>IF(H242="","",(_xlfn.XLOOKUP(H242,Cadastros!$D$6:$D$90,Cadastros!$E$6:$E$90))*(1-_xlfn.XLOOKUP(_xlfn.XLOOKUP($F242,Clientes!$B$4:$B$39,Clientes!$C$4:$C$39),Cadastros!$L$6:$L$12,Cadastros!$N$6:$N$12)))</f>
        <v/>
      </c>
      <c r="K242" s="168" t="str">
        <f t="shared" si="40"/>
        <v/>
      </c>
      <c r="L242" s="168" t="str">
        <f>IFERROR(K242/_xlfn.XLOOKUP(_xlfn.XLOOKUP($F242,Clientes!$B$4:$B$39,Clientes!$C$4:$C$39),Cadastros!$L$6:$L$12,Cadastros!$M$6:$M$12)," ")</f>
        <v xml:space="preserve"> </v>
      </c>
      <c r="M242" s="28"/>
      <c r="N242" s="28"/>
      <c r="O242" s="255" t="str">
        <f>IF(M242="","",(_xlfn.XLOOKUP(M242,Cadastros!$D$6:$D$90,Cadastros!$E$6:$E$90))*(1-_xlfn.XLOOKUP(_xlfn.XLOOKUP($F242,Clientes!$B$4:$B$39,Clientes!$C$4:$C$39),Cadastros!$L$6:$L$12,Cadastros!$N$6:$N$12)))</f>
        <v/>
      </c>
      <c r="P242" s="168" t="str">
        <f t="shared" si="41"/>
        <v/>
      </c>
      <c r="Q242" s="168" t="str">
        <f>IFERROR(P242/_xlfn.XLOOKUP(_xlfn.XLOOKUP($F242,Clientes!$B$4:$B$39,Clientes!$C$4:$C$39),Cadastros!$L$6:$L$12,Cadastros!$M$6:$M$12)," ")</f>
        <v xml:space="preserve"> </v>
      </c>
      <c r="R242" s="28"/>
      <c r="S242" s="28"/>
      <c r="T242" s="255" t="str">
        <f>IF(R242="","",(_xlfn.XLOOKUP(R242,Cadastros!$D$6:$D$90,Cadastros!$E$6:$E$90))*(1-_xlfn.XLOOKUP(_xlfn.XLOOKUP($F242,Clientes!$B$4:$B$39,Clientes!$C$4:$C$39),Cadastros!$L$6:$L$12,Cadastros!$N$6:$N$12)))</f>
        <v/>
      </c>
      <c r="U242" s="168" t="str">
        <f t="shared" si="42"/>
        <v/>
      </c>
      <c r="V242" s="168" t="str">
        <f>IFERROR(U242/_xlfn.XLOOKUP(_xlfn.XLOOKUP($F242,Clientes!$B$4:$B$39,Clientes!$C$4:$C$39),Cadastros!$L$6:$L$12,Cadastros!$M$6:$M$12)," ")</f>
        <v xml:space="preserve"> </v>
      </c>
      <c r="W242" s="28"/>
      <c r="X242" s="28"/>
      <c r="Y242" s="255" t="str">
        <f>IF(W242="","",(_xlfn.XLOOKUP(W242,Cadastros!$D$6:$D$90,Cadastros!$E$6:$E$90))*(1-_xlfn.XLOOKUP(_xlfn.XLOOKUP($F242,Clientes!$B$4:$B$39,Clientes!$C$4:$C$39),Cadastros!$L$6:$L$12,Cadastros!$N$6:$N$12)))</f>
        <v/>
      </c>
      <c r="Z242" s="168" t="str">
        <f t="shared" si="43"/>
        <v/>
      </c>
      <c r="AA242" s="168" t="str">
        <f>IFERROR(Z242/_xlfn.XLOOKUP(_xlfn.XLOOKUP($F242,Clientes!$B$4:$B$39,Clientes!$C$4:$C$39),Cadastros!$L$6:$L$12,Cadastros!$M$6:$M$12)," ")</f>
        <v xml:space="preserve"> </v>
      </c>
      <c r="AB242" s="28"/>
      <c r="AC242" s="28"/>
      <c r="AD242" s="20" t="str">
        <f>IF(AB242="","",IF($F242="Bernardino Furlan",_xlfn.XLOOKUP(AB242,Cadastros!$G$6:$G$90,Cadastros!$H$6:$H$90)*(1-0.18),IF($F242="Mauro José Salanti",_xlfn.XLOOKUP(AB242,Cadastros!$G$6:$G$90,Cadastros!$H$6:$H$90)*(1-0.18),_xlfn.XLOOKUP(AB242,Cadastros!$G$6:$G$90,Cadastros!$H$6:$H$90))))</f>
        <v/>
      </c>
      <c r="AE242" s="168" t="str">
        <f t="shared" si="44"/>
        <v/>
      </c>
      <c r="AF242" s="168" t="str">
        <f t="shared" si="45"/>
        <v/>
      </c>
      <c r="AG242" s="28"/>
      <c r="AH242" s="28"/>
      <c r="AI242" s="20" t="str">
        <f>IF(AG242="","",IF($F242="Bernardino Furlan",_xlfn.XLOOKUP(AG242,Cadastros!$G$6:$G$90,Cadastros!$H$6:$H$90)*(1-0.18),IF($F242="Mauro José Salanti",_xlfn.XLOOKUP(AG242,Cadastros!$G$6:$G$90,Cadastros!$H$6:$H$90)*(1-0.18),_xlfn.XLOOKUP(AG242,Cadastros!$G$6:$G$90,Cadastros!$H$6:$H$90))))</f>
        <v/>
      </c>
      <c r="AJ242" s="168" t="str">
        <f t="shared" si="46"/>
        <v/>
      </c>
      <c r="AK242" s="168" t="str">
        <f t="shared" si="47"/>
        <v/>
      </c>
      <c r="AL242" s="28"/>
      <c r="AM242" s="28"/>
      <c r="AN242" s="20" t="str">
        <f>IF(AL242="","",IF($F242="Bernardino Furlan",_xlfn.XLOOKUP(AL242,Cadastros!$G$6:$G$90,Cadastros!$H$6:$H$90)*(1-0.18),IF($F242="Mauro José Salanti",_xlfn.XLOOKUP(AL242,Cadastros!$G$6:$G$90,Cadastros!$H$6:$H$90)*(1-0.18),_xlfn.XLOOKUP(AL242,Cadastros!$G$6:$G$90,Cadastros!$H$6:$H$90))))</f>
        <v/>
      </c>
      <c r="AO242" s="168" t="str">
        <f t="shared" si="48"/>
        <v/>
      </c>
      <c r="AP242" s="168" t="str">
        <f t="shared" si="49"/>
        <v/>
      </c>
      <c r="AQ242" s="28"/>
      <c r="AR242" s="28"/>
      <c r="AS242" s="20" t="str">
        <f>IF(AQ242="","",IF($F242="Bernardino Furlan",_xlfn.XLOOKUP(AQ242,Cadastros!$G$6:$G$90,Cadastros!$H$6:$H$90)*(1-0.18),IF($F242="Mauro José Salanti",_xlfn.XLOOKUP(AQ242,Cadastros!$G$6:$G$90,Cadastros!$H$6:$H$90)*(1-0.18),_xlfn.XLOOKUP(AQ242,Cadastros!$G$6:$G$90,Cadastros!$H$6:$H$90))))</f>
        <v/>
      </c>
      <c r="AT242" s="168" t="str">
        <f t="shared" si="50"/>
        <v/>
      </c>
      <c r="AU242" s="168" t="str">
        <f t="shared" si="51"/>
        <v/>
      </c>
      <c r="AV242" s="227"/>
      <c r="AW242" s="30"/>
      <c r="AX242" s="267"/>
      <c r="AY242" s="267"/>
      <c r="AZ242" s="29"/>
      <c r="BA242" s="30"/>
      <c r="BB242" s="23" t="str" cm="1">
        <f t="array" ref="BB242">_xlfn.IFS(AW242="SIM",SUM(K242,P242,U242,Z242,AE242,AJ242,AO242,AT242,AX242,AY242),F242&lt;&gt;"",SUM(K242,P242,U242,Z242,AE242,AJ242,,AO242,AT242),F242="","")</f>
        <v/>
      </c>
      <c r="BC242" s="211" t="str" cm="1">
        <f t="array" ref="BC242">_xlfn.IFS(E242="","",G242&lt;=E242,BB242*(1-0.03),G242&lt;(E242+8),BB242,AZ242="Boleto",BB242*(1+0.001)^DATEDIF(E242,G242,"D"),AZ242="Cheque",BB242,AZ242="Dinheiro","Alterar forma pgto")</f>
        <v/>
      </c>
      <c r="BD242" s="276" t="str" cm="1">
        <f t="array" ref="BD242">IF(F242=0," ",IF(BC242&lt;BB242,(_xlfn.IFS(AW242="SIM",SUM(L242,Q242,V242,AA242,AF242,AK242,AP242,AU242)+AX242/_xlfn.XLOOKUP(_xlfn.XLOOKUP($F242,Clientes!$B$4:$B$39,Clientes!$C$4:$C$39),Cadastros!$L$6:$L$12,Cadastros!$M$6:$M$12)+IF($F242="Bernardino Furlan",AY242/2751.92,IF($F242="Mauro José Salanti",AY242/2751.92,AY242/3356)),F242&lt;&gt;0,SUM(L242,Q242,V242,AA242,AF242,AK242,AP242,AU242)))*(1-0.03),_xlfn.IFS(AW242="SIM",SUM(L242,Q242,V242,AA242,AF242,AK242,AP242,AU242)+AX242/_xlfn.XLOOKUP(_xlfn.XLOOKUP($F242,Clientes!$B$4:$B$39,Clientes!$C$4:$C$39),Cadastros!$L$6:$L$12,Cadastros!$M$6:$M$12)+IF($F242="Bernardino Furlan",AY242/2751.92,IF($F242="Mauro José Salanti",AY242/2751.92,AY242/3356)),F242&lt;&gt;0,SUM(L242,Q242,V242,AA242,AF242,AK242,AP242,AU242))))</f>
        <v xml:space="preserve"> </v>
      </c>
      <c r="BE242" s="120"/>
      <c r="BF242" s="120"/>
      <c r="BG242" s="120"/>
    </row>
    <row r="243" spans="1:59" s="3" customFormat="1" x14ac:dyDescent="0.3">
      <c r="A243" s="15" t="str">
        <f t="shared" si="39"/>
        <v/>
      </c>
      <c r="B243" s="34"/>
      <c r="C243" s="35"/>
      <c r="D243" s="280"/>
      <c r="E243" s="36"/>
      <c r="F243" s="37"/>
      <c r="G243" s="36"/>
      <c r="H243" s="37"/>
      <c r="I243" s="37"/>
      <c r="J243" s="255" t="str">
        <f>IF(H243="","",(_xlfn.XLOOKUP(H243,Cadastros!$D$6:$D$90,Cadastros!$E$6:$E$90))*(1-_xlfn.XLOOKUP(_xlfn.XLOOKUP($F243,Clientes!$B$4:$B$39,Clientes!$C$4:$C$39),Cadastros!$L$6:$L$12,Cadastros!$N$6:$N$12)))</f>
        <v/>
      </c>
      <c r="K243" s="168" t="str">
        <f t="shared" si="40"/>
        <v/>
      </c>
      <c r="L243" s="168" t="str">
        <f>IFERROR(K243/_xlfn.XLOOKUP(_xlfn.XLOOKUP($F243,Clientes!$B$4:$B$39,Clientes!$C$4:$C$39),Cadastros!$L$6:$L$12,Cadastros!$M$6:$M$12)," ")</f>
        <v xml:space="preserve"> </v>
      </c>
      <c r="M243" s="37"/>
      <c r="N243" s="37"/>
      <c r="O243" s="255" t="str">
        <f>IF(M243="","",(_xlfn.XLOOKUP(M243,Cadastros!$D$6:$D$90,Cadastros!$E$6:$E$90))*(1-_xlfn.XLOOKUP(_xlfn.XLOOKUP($F243,Clientes!$B$4:$B$39,Clientes!$C$4:$C$39),Cadastros!$L$6:$L$12,Cadastros!$N$6:$N$12)))</f>
        <v/>
      </c>
      <c r="P243" s="168" t="str">
        <f t="shared" si="41"/>
        <v/>
      </c>
      <c r="Q243" s="168" t="str">
        <f>IFERROR(P243/_xlfn.XLOOKUP(_xlfn.XLOOKUP($F243,Clientes!$B$4:$B$39,Clientes!$C$4:$C$39),Cadastros!$L$6:$L$12,Cadastros!$M$6:$M$12)," ")</f>
        <v xml:space="preserve"> </v>
      </c>
      <c r="R243" s="37"/>
      <c r="S243" s="37"/>
      <c r="T243" s="255" t="str">
        <f>IF(R243="","",(_xlfn.XLOOKUP(R243,Cadastros!$D$6:$D$90,Cadastros!$E$6:$E$90))*(1-_xlfn.XLOOKUP(_xlfn.XLOOKUP($F243,Clientes!$B$4:$B$39,Clientes!$C$4:$C$39),Cadastros!$L$6:$L$12,Cadastros!$N$6:$N$12)))</f>
        <v/>
      </c>
      <c r="U243" s="168" t="str">
        <f t="shared" si="42"/>
        <v/>
      </c>
      <c r="V243" s="168" t="str">
        <f>IFERROR(U243/_xlfn.XLOOKUP(_xlfn.XLOOKUP($F243,Clientes!$B$4:$B$39,Clientes!$C$4:$C$39),Cadastros!$L$6:$L$12,Cadastros!$M$6:$M$12)," ")</f>
        <v xml:space="preserve"> </v>
      </c>
      <c r="W243" s="37"/>
      <c r="X243" s="37"/>
      <c r="Y243" s="255" t="str">
        <f>IF(W243="","",(_xlfn.XLOOKUP(W243,Cadastros!$D$6:$D$90,Cadastros!$E$6:$E$90))*(1-_xlfn.XLOOKUP(_xlfn.XLOOKUP($F243,Clientes!$B$4:$B$39,Clientes!$C$4:$C$39),Cadastros!$L$6:$L$12,Cadastros!$N$6:$N$12)))</f>
        <v/>
      </c>
      <c r="Z243" s="168" t="str">
        <f t="shared" si="43"/>
        <v/>
      </c>
      <c r="AA243" s="168" t="str">
        <f>IFERROR(Z243/_xlfn.XLOOKUP(_xlfn.XLOOKUP($F243,Clientes!$B$4:$B$39,Clientes!$C$4:$C$39),Cadastros!$L$6:$L$12,Cadastros!$M$6:$M$12)," ")</f>
        <v xml:space="preserve"> </v>
      </c>
      <c r="AB243" s="37"/>
      <c r="AC243" s="37"/>
      <c r="AD243" s="20" t="str">
        <f>IF(AB243="","",IF($F243="Bernardino Furlan",_xlfn.XLOOKUP(AB243,Cadastros!$G$6:$G$90,Cadastros!$H$6:$H$90)*(1-0.18),IF($F243="Mauro José Salanti",_xlfn.XLOOKUP(AB243,Cadastros!$G$6:$G$90,Cadastros!$H$6:$H$90)*(1-0.18),_xlfn.XLOOKUP(AB243,Cadastros!$G$6:$G$90,Cadastros!$H$6:$H$90))))</f>
        <v/>
      </c>
      <c r="AE243" s="168" t="str">
        <f t="shared" si="44"/>
        <v/>
      </c>
      <c r="AF243" s="168" t="str">
        <f t="shared" si="45"/>
        <v/>
      </c>
      <c r="AG243" s="37"/>
      <c r="AH243" s="37"/>
      <c r="AI243" s="20" t="str">
        <f>IF(AG243="","",IF($F243="Bernardino Furlan",_xlfn.XLOOKUP(AG243,Cadastros!$G$6:$G$90,Cadastros!$H$6:$H$90)*(1-0.18),IF($F243="Mauro José Salanti",_xlfn.XLOOKUP(AG243,Cadastros!$G$6:$G$90,Cadastros!$H$6:$H$90)*(1-0.18),_xlfn.XLOOKUP(AG243,Cadastros!$G$6:$G$90,Cadastros!$H$6:$H$90))))</f>
        <v/>
      </c>
      <c r="AJ243" s="168" t="str">
        <f t="shared" si="46"/>
        <v/>
      </c>
      <c r="AK243" s="168" t="str">
        <f t="shared" si="47"/>
        <v/>
      </c>
      <c r="AL243" s="37"/>
      <c r="AM243" s="37"/>
      <c r="AN243" s="20" t="str">
        <f>IF(AL243="","",IF($F243="Bernardino Furlan",_xlfn.XLOOKUP(AL243,Cadastros!$G$6:$G$90,Cadastros!$H$6:$H$90)*(1-0.18),IF($F243="Mauro José Salanti",_xlfn.XLOOKUP(AL243,Cadastros!$G$6:$G$90,Cadastros!$H$6:$H$90)*(1-0.18),_xlfn.XLOOKUP(AL243,Cadastros!$G$6:$G$90,Cadastros!$H$6:$H$90))))</f>
        <v/>
      </c>
      <c r="AO243" s="168" t="str">
        <f t="shared" si="48"/>
        <v/>
      </c>
      <c r="AP243" s="168" t="str">
        <f t="shared" si="49"/>
        <v/>
      </c>
      <c r="AQ243" s="37"/>
      <c r="AR243" s="37"/>
      <c r="AS243" s="20" t="str">
        <f>IF(AQ243="","",IF($F243="Bernardino Furlan",_xlfn.XLOOKUP(AQ243,Cadastros!$G$6:$G$90,Cadastros!$H$6:$H$90)*(1-0.18),IF($F243="Mauro José Salanti",_xlfn.XLOOKUP(AQ243,Cadastros!$G$6:$G$90,Cadastros!$H$6:$H$90)*(1-0.18),_xlfn.XLOOKUP(AQ243,Cadastros!$G$6:$G$90,Cadastros!$H$6:$H$90))))</f>
        <v/>
      </c>
      <c r="AT243" s="168" t="str">
        <f t="shared" si="50"/>
        <v/>
      </c>
      <c r="AU243" s="168" t="str">
        <f t="shared" si="51"/>
        <v/>
      </c>
      <c r="AV243" s="228"/>
      <c r="AW243" s="38"/>
      <c r="AX243" s="268"/>
      <c r="AY243" s="268"/>
      <c r="AZ243" s="33"/>
      <c r="BA243" s="38"/>
      <c r="BB243" s="23" t="str" cm="1">
        <f t="array" ref="BB243">_xlfn.IFS(AW243="SIM",SUM(K243,P243,U243,Z243,AE243,AJ243,AO243,AT243,AX243,AY243),F243&lt;&gt;"",SUM(K243,P243,U243,Z243,AE243,AJ243,,AO243,AT243),F243="","")</f>
        <v/>
      </c>
      <c r="BC243" s="211" t="str" cm="1">
        <f t="array" ref="BC243">_xlfn.IFS(E243="","",G243&lt;=E243,BB243*(1-0.03),G243&lt;(E243+8),BB243,AZ243="Boleto",BB243*(1+0.001)^DATEDIF(E243,G243,"D"),AZ243="Cheque",BB243,AZ243="Dinheiro","Alterar forma pgto")</f>
        <v/>
      </c>
      <c r="BD243" s="276" t="str" cm="1">
        <f t="array" ref="BD243">IF(F243=0," ",IF(BC243&lt;BB243,(_xlfn.IFS(AW243="SIM",SUM(L243,Q243,V243,AA243,AF243,AK243,AP243,AU243)+AX243/_xlfn.XLOOKUP(_xlfn.XLOOKUP($F243,Clientes!$B$4:$B$39,Clientes!$C$4:$C$39),Cadastros!$L$6:$L$12,Cadastros!$M$6:$M$12)+IF($F243="Bernardino Furlan",AY243/2751.92,IF($F243="Mauro José Salanti",AY243/2751.92,AY243/3356)),F243&lt;&gt;0,SUM(L243,Q243,V243,AA243,AF243,AK243,AP243,AU243)))*(1-0.03),_xlfn.IFS(AW243="SIM",SUM(L243,Q243,V243,AA243,AF243,AK243,AP243,AU243)+AX243/_xlfn.XLOOKUP(_xlfn.XLOOKUP($F243,Clientes!$B$4:$B$39,Clientes!$C$4:$C$39),Cadastros!$L$6:$L$12,Cadastros!$M$6:$M$12)+IF($F243="Bernardino Furlan",AY243/2751.92,IF($F243="Mauro José Salanti",AY243/2751.92,AY243/3356)),F243&lt;&gt;0,SUM(L243,Q243,V243,AA243,AF243,AK243,AP243,AU243))))</f>
        <v xml:space="preserve"> </v>
      </c>
      <c r="BE243" s="120"/>
      <c r="BF243" s="120"/>
      <c r="BG243" s="120"/>
    </row>
    <row r="244" spans="1:59" s="3" customFormat="1" x14ac:dyDescent="0.3">
      <c r="A244" s="15" t="str">
        <f t="shared" si="39"/>
        <v/>
      </c>
      <c r="B244" s="34"/>
      <c r="C244" s="35"/>
      <c r="D244" s="280"/>
      <c r="E244" s="36"/>
      <c r="F244" s="37"/>
      <c r="G244" s="36"/>
      <c r="H244" s="37"/>
      <c r="I244" s="37"/>
      <c r="J244" s="255" t="str">
        <f>IF(H244="","",(_xlfn.XLOOKUP(H244,Cadastros!$D$6:$D$90,Cadastros!$E$6:$E$90))*(1-_xlfn.XLOOKUP(_xlfn.XLOOKUP($F244,Clientes!$B$4:$B$39,Clientes!$C$4:$C$39),Cadastros!$L$6:$L$12,Cadastros!$N$6:$N$12)))</f>
        <v/>
      </c>
      <c r="K244" s="168" t="str">
        <f t="shared" si="40"/>
        <v/>
      </c>
      <c r="L244" s="168" t="str">
        <f>IFERROR(K244/_xlfn.XLOOKUP(_xlfn.XLOOKUP($F244,Clientes!$B$4:$B$39,Clientes!$C$4:$C$39),Cadastros!$L$6:$L$12,Cadastros!$M$6:$M$12)," ")</f>
        <v xml:space="preserve"> </v>
      </c>
      <c r="M244" s="37"/>
      <c r="N244" s="37"/>
      <c r="O244" s="255" t="str">
        <f>IF(M244="","",(_xlfn.XLOOKUP(M244,Cadastros!$D$6:$D$90,Cadastros!$E$6:$E$90))*(1-_xlfn.XLOOKUP(_xlfn.XLOOKUP($F244,Clientes!$B$4:$B$39,Clientes!$C$4:$C$39),Cadastros!$L$6:$L$12,Cadastros!$N$6:$N$12)))</f>
        <v/>
      </c>
      <c r="P244" s="168" t="str">
        <f t="shared" si="41"/>
        <v/>
      </c>
      <c r="Q244" s="168" t="str">
        <f>IFERROR(P244/_xlfn.XLOOKUP(_xlfn.XLOOKUP($F244,Clientes!$B$4:$B$39,Clientes!$C$4:$C$39),Cadastros!$L$6:$L$12,Cadastros!$M$6:$M$12)," ")</f>
        <v xml:space="preserve"> </v>
      </c>
      <c r="R244" s="37"/>
      <c r="S244" s="37"/>
      <c r="T244" s="255" t="str">
        <f>IF(R244="","",(_xlfn.XLOOKUP(R244,Cadastros!$D$6:$D$90,Cadastros!$E$6:$E$90))*(1-_xlfn.XLOOKUP(_xlfn.XLOOKUP($F244,Clientes!$B$4:$B$39,Clientes!$C$4:$C$39),Cadastros!$L$6:$L$12,Cadastros!$N$6:$N$12)))</f>
        <v/>
      </c>
      <c r="U244" s="168" t="str">
        <f t="shared" si="42"/>
        <v/>
      </c>
      <c r="V244" s="168" t="str">
        <f>IFERROR(U244/_xlfn.XLOOKUP(_xlfn.XLOOKUP($F244,Clientes!$B$4:$B$39,Clientes!$C$4:$C$39),Cadastros!$L$6:$L$12,Cadastros!$M$6:$M$12)," ")</f>
        <v xml:space="preserve"> </v>
      </c>
      <c r="W244" s="37"/>
      <c r="X244" s="37"/>
      <c r="Y244" s="255" t="str">
        <f>IF(W244="","",(_xlfn.XLOOKUP(W244,Cadastros!$D$6:$D$90,Cadastros!$E$6:$E$90))*(1-_xlfn.XLOOKUP(_xlfn.XLOOKUP($F244,Clientes!$B$4:$B$39,Clientes!$C$4:$C$39),Cadastros!$L$6:$L$12,Cadastros!$N$6:$N$12)))</f>
        <v/>
      </c>
      <c r="Z244" s="168" t="str">
        <f t="shared" si="43"/>
        <v/>
      </c>
      <c r="AA244" s="168" t="str">
        <f>IFERROR(Z244/_xlfn.XLOOKUP(_xlfn.XLOOKUP($F244,Clientes!$B$4:$B$39,Clientes!$C$4:$C$39),Cadastros!$L$6:$L$12,Cadastros!$M$6:$M$12)," ")</f>
        <v xml:space="preserve"> </v>
      </c>
      <c r="AB244" s="37"/>
      <c r="AC244" s="37"/>
      <c r="AD244" s="20" t="str">
        <f>IF(AB244="","",IF($F244="Bernardino Furlan",_xlfn.XLOOKUP(AB244,Cadastros!$G$6:$G$90,Cadastros!$H$6:$H$90)*(1-0.18),IF($F244="Mauro José Salanti",_xlfn.XLOOKUP(AB244,Cadastros!$G$6:$G$90,Cadastros!$H$6:$H$90)*(1-0.18),_xlfn.XLOOKUP(AB244,Cadastros!$G$6:$G$90,Cadastros!$H$6:$H$90))))</f>
        <v/>
      </c>
      <c r="AE244" s="168" t="str">
        <f t="shared" si="44"/>
        <v/>
      </c>
      <c r="AF244" s="168" t="str">
        <f t="shared" si="45"/>
        <v/>
      </c>
      <c r="AG244" s="37"/>
      <c r="AH244" s="37"/>
      <c r="AI244" s="20" t="str">
        <f>IF(AG244="","",IF($F244="Bernardino Furlan",_xlfn.XLOOKUP(AG244,Cadastros!$G$6:$G$90,Cadastros!$H$6:$H$90)*(1-0.18),IF($F244="Mauro José Salanti",_xlfn.XLOOKUP(AG244,Cadastros!$G$6:$G$90,Cadastros!$H$6:$H$90)*(1-0.18),_xlfn.XLOOKUP(AG244,Cadastros!$G$6:$G$90,Cadastros!$H$6:$H$90))))</f>
        <v/>
      </c>
      <c r="AJ244" s="168" t="str">
        <f t="shared" si="46"/>
        <v/>
      </c>
      <c r="AK244" s="168" t="str">
        <f t="shared" si="47"/>
        <v/>
      </c>
      <c r="AL244" s="37"/>
      <c r="AM244" s="37"/>
      <c r="AN244" s="20" t="str">
        <f>IF(AL244="","",IF($F244="Bernardino Furlan",_xlfn.XLOOKUP(AL244,Cadastros!$G$6:$G$90,Cadastros!$H$6:$H$90)*(1-0.18),IF($F244="Mauro José Salanti",_xlfn.XLOOKUP(AL244,Cadastros!$G$6:$G$90,Cadastros!$H$6:$H$90)*(1-0.18),_xlfn.XLOOKUP(AL244,Cadastros!$G$6:$G$90,Cadastros!$H$6:$H$90))))</f>
        <v/>
      </c>
      <c r="AO244" s="168" t="str">
        <f t="shared" si="48"/>
        <v/>
      </c>
      <c r="AP244" s="168" t="str">
        <f t="shared" si="49"/>
        <v/>
      </c>
      <c r="AQ244" s="37"/>
      <c r="AR244" s="37"/>
      <c r="AS244" s="20" t="str">
        <f>IF(AQ244="","",IF($F244="Bernardino Furlan",_xlfn.XLOOKUP(AQ244,Cadastros!$G$6:$G$90,Cadastros!$H$6:$H$90)*(1-0.18),IF($F244="Mauro José Salanti",_xlfn.XLOOKUP(AQ244,Cadastros!$G$6:$G$90,Cadastros!$H$6:$H$90)*(1-0.18),_xlfn.XLOOKUP(AQ244,Cadastros!$G$6:$G$90,Cadastros!$H$6:$H$90))))</f>
        <v/>
      </c>
      <c r="AT244" s="168" t="str">
        <f t="shared" si="50"/>
        <v/>
      </c>
      <c r="AU244" s="168" t="str">
        <f t="shared" si="51"/>
        <v/>
      </c>
      <c r="AV244" s="228"/>
      <c r="AW244" s="38"/>
      <c r="AX244" s="268"/>
      <c r="AY244" s="268"/>
      <c r="AZ244" s="33"/>
      <c r="BA244" s="38"/>
      <c r="BB244" s="23" t="str" cm="1">
        <f t="array" ref="BB244">_xlfn.IFS(AW244="SIM",SUM(K244,P244,U244,Z244,AE244,AJ244,AO244,AT244,AX244,AY244),F244&lt;&gt;"",SUM(K244,P244,U244,Z244,AE244,AJ244,,AO244,AT244),F244="","")</f>
        <v/>
      </c>
      <c r="BC244" s="211" t="str" cm="1">
        <f t="array" ref="BC244">_xlfn.IFS(E244="","",G244&lt;=E244,BB244*(1-0.03),G244&lt;(E244+8),BB244,AZ244="Boleto",BB244*(1+0.001)^DATEDIF(E244,G244,"D"),AZ244="Cheque",BB244,AZ244="Dinheiro","Alterar forma pgto")</f>
        <v/>
      </c>
      <c r="BD244" s="276" t="str" cm="1">
        <f t="array" ref="BD244">IF(F244=0," ",IF(BC244&lt;BB244,(_xlfn.IFS(AW244="SIM",SUM(L244,Q244,V244,AA244,AF244,AK244,AP244,AU244)+AX244/_xlfn.XLOOKUP(_xlfn.XLOOKUP($F244,Clientes!$B$4:$B$39,Clientes!$C$4:$C$39),Cadastros!$L$6:$L$12,Cadastros!$M$6:$M$12)+IF($F244="Bernardino Furlan",AY244/2751.92,IF($F244="Mauro José Salanti",AY244/2751.92,AY244/3356)),F244&lt;&gt;0,SUM(L244,Q244,V244,AA244,AF244,AK244,AP244,AU244)))*(1-0.03),_xlfn.IFS(AW244="SIM",SUM(L244,Q244,V244,AA244,AF244,AK244,AP244,AU244)+AX244/_xlfn.XLOOKUP(_xlfn.XLOOKUP($F244,Clientes!$B$4:$B$39,Clientes!$C$4:$C$39),Cadastros!$L$6:$L$12,Cadastros!$M$6:$M$12)+IF($F244="Bernardino Furlan",AY244/2751.92,IF($F244="Mauro José Salanti",AY244/2751.92,AY244/3356)),F244&lt;&gt;0,SUM(L244,Q244,V244,AA244,AF244,AK244,AP244,AU244))))</f>
        <v xml:space="preserve"> </v>
      </c>
      <c r="BE244" s="120"/>
      <c r="BF244" s="120"/>
      <c r="BG244" s="120"/>
    </row>
    <row r="245" spans="1:59" s="3" customFormat="1" x14ac:dyDescent="0.3">
      <c r="A245" s="15" t="str">
        <f t="shared" si="39"/>
        <v/>
      </c>
      <c r="B245" s="25"/>
      <c r="C245" s="26"/>
      <c r="D245" s="279"/>
      <c r="E245" s="27"/>
      <c r="F245" s="28"/>
      <c r="G245" s="27"/>
      <c r="H245" s="28"/>
      <c r="I245" s="28"/>
      <c r="J245" s="255" t="str">
        <f>IF(H245="","",(_xlfn.XLOOKUP(H245,Cadastros!$D$6:$D$90,Cadastros!$E$6:$E$90))*(1-_xlfn.XLOOKUP(_xlfn.XLOOKUP($F245,Clientes!$B$4:$B$39,Clientes!$C$4:$C$39),Cadastros!$L$6:$L$12,Cadastros!$N$6:$N$12)))</f>
        <v/>
      </c>
      <c r="K245" s="168" t="str">
        <f t="shared" si="40"/>
        <v/>
      </c>
      <c r="L245" s="168" t="str">
        <f>IFERROR(K245/_xlfn.XLOOKUP(_xlfn.XLOOKUP($F245,Clientes!$B$4:$B$39,Clientes!$C$4:$C$39),Cadastros!$L$6:$L$12,Cadastros!$M$6:$M$12)," ")</f>
        <v xml:space="preserve"> </v>
      </c>
      <c r="M245" s="28"/>
      <c r="N245" s="28"/>
      <c r="O245" s="255" t="str">
        <f>IF(M245="","",(_xlfn.XLOOKUP(M245,Cadastros!$D$6:$D$90,Cadastros!$E$6:$E$90))*(1-_xlfn.XLOOKUP(_xlfn.XLOOKUP($F245,Clientes!$B$4:$B$39,Clientes!$C$4:$C$39),Cadastros!$L$6:$L$12,Cadastros!$N$6:$N$12)))</f>
        <v/>
      </c>
      <c r="P245" s="168" t="str">
        <f t="shared" si="41"/>
        <v/>
      </c>
      <c r="Q245" s="168" t="str">
        <f>IFERROR(P245/_xlfn.XLOOKUP(_xlfn.XLOOKUP($F245,Clientes!$B$4:$B$39,Clientes!$C$4:$C$39),Cadastros!$L$6:$L$12,Cadastros!$M$6:$M$12)," ")</f>
        <v xml:space="preserve"> </v>
      </c>
      <c r="R245" s="28"/>
      <c r="S245" s="28"/>
      <c r="T245" s="255" t="str">
        <f>IF(R245="","",(_xlfn.XLOOKUP(R245,Cadastros!$D$6:$D$90,Cadastros!$E$6:$E$90))*(1-_xlfn.XLOOKUP(_xlfn.XLOOKUP($F245,Clientes!$B$4:$B$39,Clientes!$C$4:$C$39),Cadastros!$L$6:$L$12,Cadastros!$N$6:$N$12)))</f>
        <v/>
      </c>
      <c r="U245" s="168" t="str">
        <f t="shared" si="42"/>
        <v/>
      </c>
      <c r="V245" s="168" t="str">
        <f>IFERROR(U245/_xlfn.XLOOKUP(_xlfn.XLOOKUP($F245,Clientes!$B$4:$B$39,Clientes!$C$4:$C$39),Cadastros!$L$6:$L$12,Cadastros!$M$6:$M$12)," ")</f>
        <v xml:space="preserve"> </v>
      </c>
      <c r="W245" s="28"/>
      <c r="X245" s="28"/>
      <c r="Y245" s="255" t="str">
        <f>IF(W245="","",(_xlfn.XLOOKUP(W245,Cadastros!$D$6:$D$90,Cadastros!$E$6:$E$90))*(1-_xlfn.XLOOKUP(_xlfn.XLOOKUP($F245,Clientes!$B$4:$B$39,Clientes!$C$4:$C$39),Cadastros!$L$6:$L$12,Cadastros!$N$6:$N$12)))</f>
        <v/>
      </c>
      <c r="Z245" s="168" t="str">
        <f t="shared" si="43"/>
        <v/>
      </c>
      <c r="AA245" s="168" t="str">
        <f>IFERROR(Z245/_xlfn.XLOOKUP(_xlfn.XLOOKUP($F245,Clientes!$B$4:$B$39,Clientes!$C$4:$C$39),Cadastros!$L$6:$L$12,Cadastros!$M$6:$M$12)," ")</f>
        <v xml:space="preserve"> </v>
      </c>
      <c r="AB245" s="28"/>
      <c r="AC245" s="28"/>
      <c r="AD245" s="20" t="str">
        <f>IF(AB245="","",IF($F245="Bernardino Furlan",_xlfn.XLOOKUP(AB245,Cadastros!$G$6:$G$90,Cadastros!$H$6:$H$90)*(1-0.18),IF($F245="Mauro José Salanti",_xlfn.XLOOKUP(AB245,Cadastros!$G$6:$G$90,Cadastros!$H$6:$H$90)*(1-0.18),_xlfn.XLOOKUP(AB245,Cadastros!$G$6:$G$90,Cadastros!$H$6:$H$90))))</f>
        <v/>
      </c>
      <c r="AE245" s="168" t="str">
        <f t="shared" si="44"/>
        <v/>
      </c>
      <c r="AF245" s="168" t="str">
        <f t="shared" si="45"/>
        <v/>
      </c>
      <c r="AG245" s="28"/>
      <c r="AH245" s="28"/>
      <c r="AI245" s="20" t="str">
        <f>IF(AG245="","",IF($F245="Bernardino Furlan",_xlfn.XLOOKUP(AG245,Cadastros!$G$6:$G$90,Cadastros!$H$6:$H$90)*(1-0.18),IF($F245="Mauro José Salanti",_xlfn.XLOOKUP(AG245,Cadastros!$G$6:$G$90,Cadastros!$H$6:$H$90)*(1-0.18),_xlfn.XLOOKUP(AG245,Cadastros!$G$6:$G$90,Cadastros!$H$6:$H$90))))</f>
        <v/>
      </c>
      <c r="AJ245" s="168" t="str">
        <f t="shared" si="46"/>
        <v/>
      </c>
      <c r="AK245" s="168" t="str">
        <f t="shared" si="47"/>
        <v/>
      </c>
      <c r="AL245" s="28"/>
      <c r="AM245" s="28"/>
      <c r="AN245" s="20" t="str">
        <f>IF(AL245="","",IF($F245="Bernardino Furlan",_xlfn.XLOOKUP(AL245,Cadastros!$G$6:$G$90,Cadastros!$H$6:$H$90)*(1-0.18),IF($F245="Mauro José Salanti",_xlfn.XLOOKUP(AL245,Cadastros!$G$6:$G$90,Cadastros!$H$6:$H$90)*(1-0.18),_xlfn.XLOOKUP(AL245,Cadastros!$G$6:$G$90,Cadastros!$H$6:$H$90))))</f>
        <v/>
      </c>
      <c r="AO245" s="168" t="str">
        <f t="shared" si="48"/>
        <v/>
      </c>
      <c r="AP245" s="168" t="str">
        <f t="shared" si="49"/>
        <v/>
      </c>
      <c r="AQ245" s="28"/>
      <c r="AR245" s="28"/>
      <c r="AS245" s="20" t="str">
        <f>IF(AQ245="","",IF($F245="Bernardino Furlan",_xlfn.XLOOKUP(AQ245,Cadastros!$G$6:$G$90,Cadastros!$H$6:$H$90)*(1-0.18),IF($F245="Mauro José Salanti",_xlfn.XLOOKUP(AQ245,Cadastros!$G$6:$G$90,Cadastros!$H$6:$H$90)*(1-0.18),_xlfn.XLOOKUP(AQ245,Cadastros!$G$6:$G$90,Cadastros!$H$6:$H$90))))</f>
        <v/>
      </c>
      <c r="AT245" s="168" t="str">
        <f t="shared" si="50"/>
        <v/>
      </c>
      <c r="AU245" s="168" t="str">
        <f t="shared" si="51"/>
        <v/>
      </c>
      <c r="AV245" s="227"/>
      <c r="AW245" s="30"/>
      <c r="AX245" s="267"/>
      <c r="AY245" s="267"/>
      <c r="AZ245" s="29"/>
      <c r="BA245" s="30"/>
      <c r="BB245" s="23" t="str" cm="1">
        <f t="array" ref="BB245">_xlfn.IFS(AW245="SIM",SUM(K245,P245,U245,Z245,AE245,AJ245,AO245,AT245,AX245,AY245),F245&lt;&gt;"",SUM(K245,P245,U245,Z245,AE245,AJ245,,AO245,AT245),F245="","")</f>
        <v/>
      </c>
      <c r="BC245" s="211" t="str" cm="1">
        <f t="array" ref="BC245">_xlfn.IFS(E245="","",G245&lt;=E245,BB245*(1-0.03),G245&lt;(E245+8),BB245,AZ245="Boleto",BB245*(1+0.001)^DATEDIF(E245,G245,"D"),AZ245="Cheque",BB245,AZ245="Dinheiro","Alterar forma pgto")</f>
        <v/>
      </c>
      <c r="BD245" s="276" t="str" cm="1">
        <f t="array" ref="BD245">IF(F245=0," ",IF(BC245&lt;BB245,(_xlfn.IFS(AW245="SIM",SUM(L245,Q245,V245,AA245,AF245,AK245,AP245,AU245)+AX245/_xlfn.XLOOKUP(_xlfn.XLOOKUP($F245,Clientes!$B$4:$B$39,Clientes!$C$4:$C$39),Cadastros!$L$6:$L$12,Cadastros!$M$6:$M$12)+IF($F245="Bernardino Furlan",AY245/2751.92,IF($F245="Mauro José Salanti",AY245/2751.92,AY245/3356)),F245&lt;&gt;0,SUM(L245,Q245,V245,AA245,AF245,AK245,AP245,AU245)))*(1-0.03),_xlfn.IFS(AW245="SIM",SUM(L245,Q245,V245,AA245,AF245,AK245,AP245,AU245)+AX245/_xlfn.XLOOKUP(_xlfn.XLOOKUP($F245,Clientes!$B$4:$B$39,Clientes!$C$4:$C$39),Cadastros!$L$6:$L$12,Cadastros!$M$6:$M$12)+IF($F245="Bernardino Furlan",AY245/2751.92,IF($F245="Mauro José Salanti",AY245/2751.92,AY245/3356)),F245&lt;&gt;0,SUM(L245,Q245,V245,AA245,AF245,AK245,AP245,AU245))))</f>
        <v xml:space="preserve"> </v>
      </c>
      <c r="BE245" s="120"/>
      <c r="BF245" s="120"/>
      <c r="BG245" s="120"/>
    </row>
    <row r="246" spans="1:59" s="3" customFormat="1" x14ac:dyDescent="0.3">
      <c r="A246" s="15" t="str">
        <f t="shared" si="39"/>
        <v/>
      </c>
      <c r="B246" s="25"/>
      <c r="C246" s="26"/>
      <c r="D246" s="279"/>
      <c r="E246" s="27"/>
      <c r="F246" s="28"/>
      <c r="G246" s="27"/>
      <c r="H246" s="28"/>
      <c r="I246" s="28"/>
      <c r="J246" s="255" t="str">
        <f>IF(H246="","",(_xlfn.XLOOKUP(H246,Cadastros!$D$6:$D$90,Cadastros!$E$6:$E$90))*(1-_xlfn.XLOOKUP(_xlfn.XLOOKUP($F246,Clientes!$B$4:$B$39,Clientes!$C$4:$C$39),Cadastros!$L$6:$L$12,Cadastros!$N$6:$N$12)))</f>
        <v/>
      </c>
      <c r="K246" s="168" t="str">
        <f t="shared" si="40"/>
        <v/>
      </c>
      <c r="L246" s="168" t="str">
        <f>IFERROR(K246/_xlfn.XLOOKUP(_xlfn.XLOOKUP($F246,Clientes!$B$4:$B$39,Clientes!$C$4:$C$39),Cadastros!$L$6:$L$12,Cadastros!$M$6:$M$12)," ")</f>
        <v xml:space="preserve"> </v>
      </c>
      <c r="M246" s="28"/>
      <c r="N246" s="28"/>
      <c r="O246" s="255" t="str">
        <f>IF(M246="","",(_xlfn.XLOOKUP(M246,Cadastros!$D$6:$D$90,Cadastros!$E$6:$E$90))*(1-_xlfn.XLOOKUP(_xlfn.XLOOKUP($F246,Clientes!$B$4:$B$39,Clientes!$C$4:$C$39),Cadastros!$L$6:$L$12,Cadastros!$N$6:$N$12)))</f>
        <v/>
      </c>
      <c r="P246" s="168" t="str">
        <f t="shared" si="41"/>
        <v/>
      </c>
      <c r="Q246" s="168" t="str">
        <f>IFERROR(P246/_xlfn.XLOOKUP(_xlfn.XLOOKUP($F246,Clientes!$B$4:$B$39,Clientes!$C$4:$C$39),Cadastros!$L$6:$L$12,Cadastros!$M$6:$M$12)," ")</f>
        <v xml:space="preserve"> </v>
      </c>
      <c r="R246" s="28"/>
      <c r="S246" s="28"/>
      <c r="T246" s="255" t="str">
        <f>IF(R246="","",(_xlfn.XLOOKUP(R246,Cadastros!$D$6:$D$90,Cadastros!$E$6:$E$90))*(1-_xlfn.XLOOKUP(_xlfn.XLOOKUP($F246,Clientes!$B$4:$B$39,Clientes!$C$4:$C$39),Cadastros!$L$6:$L$12,Cadastros!$N$6:$N$12)))</f>
        <v/>
      </c>
      <c r="U246" s="168" t="str">
        <f t="shared" si="42"/>
        <v/>
      </c>
      <c r="V246" s="168" t="str">
        <f>IFERROR(U246/_xlfn.XLOOKUP(_xlfn.XLOOKUP($F246,Clientes!$B$4:$B$39,Clientes!$C$4:$C$39),Cadastros!$L$6:$L$12,Cadastros!$M$6:$M$12)," ")</f>
        <v xml:space="preserve"> </v>
      </c>
      <c r="W246" s="28"/>
      <c r="X246" s="28"/>
      <c r="Y246" s="255" t="str">
        <f>IF(W246="","",(_xlfn.XLOOKUP(W246,Cadastros!$D$6:$D$90,Cadastros!$E$6:$E$90))*(1-_xlfn.XLOOKUP(_xlfn.XLOOKUP($F246,Clientes!$B$4:$B$39,Clientes!$C$4:$C$39),Cadastros!$L$6:$L$12,Cadastros!$N$6:$N$12)))</f>
        <v/>
      </c>
      <c r="Z246" s="168" t="str">
        <f t="shared" si="43"/>
        <v/>
      </c>
      <c r="AA246" s="168" t="str">
        <f>IFERROR(Z246/_xlfn.XLOOKUP(_xlfn.XLOOKUP($F246,Clientes!$B$4:$B$39,Clientes!$C$4:$C$39),Cadastros!$L$6:$L$12,Cadastros!$M$6:$M$12)," ")</f>
        <v xml:space="preserve"> </v>
      </c>
      <c r="AB246" s="28"/>
      <c r="AC246" s="28"/>
      <c r="AD246" s="20" t="str">
        <f>IF(AB246="","",IF($F246="Bernardino Furlan",_xlfn.XLOOKUP(AB246,Cadastros!$G$6:$G$90,Cadastros!$H$6:$H$90)*(1-0.18),IF($F246="Mauro José Salanti",_xlfn.XLOOKUP(AB246,Cadastros!$G$6:$G$90,Cadastros!$H$6:$H$90)*(1-0.18),_xlfn.XLOOKUP(AB246,Cadastros!$G$6:$G$90,Cadastros!$H$6:$H$90))))</f>
        <v/>
      </c>
      <c r="AE246" s="168" t="str">
        <f t="shared" si="44"/>
        <v/>
      </c>
      <c r="AF246" s="168" t="str">
        <f t="shared" si="45"/>
        <v/>
      </c>
      <c r="AG246" s="28"/>
      <c r="AH246" s="28"/>
      <c r="AI246" s="20" t="str">
        <f>IF(AG246="","",IF($F246="Bernardino Furlan",_xlfn.XLOOKUP(AG246,Cadastros!$G$6:$G$90,Cadastros!$H$6:$H$90)*(1-0.18),IF($F246="Mauro José Salanti",_xlfn.XLOOKUP(AG246,Cadastros!$G$6:$G$90,Cadastros!$H$6:$H$90)*(1-0.18),_xlfn.XLOOKUP(AG246,Cadastros!$G$6:$G$90,Cadastros!$H$6:$H$90))))</f>
        <v/>
      </c>
      <c r="AJ246" s="168" t="str">
        <f t="shared" si="46"/>
        <v/>
      </c>
      <c r="AK246" s="168" t="str">
        <f t="shared" si="47"/>
        <v/>
      </c>
      <c r="AL246" s="28"/>
      <c r="AM246" s="28"/>
      <c r="AN246" s="20" t="str">
        <f>IF(AL246="","",IF($F246="Bernardino Furlan",_xlfn.XLOOKUP(AL246,Cadastros!$G$6:$G$90,Cadastros!$H$6:$H$90)*(1-0.18),IF($F246="Mauro José Salanti",_xlfn.XLOOKUP(AL246,Cadastros!$G$6:$G$90,Cadastros!$H$6:$H$90)*(1-0.18),_xlfn.XLOOKUP(AL246,Cadastros!$G$6:$G$90,Cadastros!$H$6:$H$90))))</f>
        <v/>
      </c>
      <c r="AO246" s="168" t="str">
        <f t="shared" si="48"/>
        <v/>
      </c>
      <c r="AP246" s="168" t="str">
        <f t="shared" si="49"/>
        <v/>
      </c>
      <c r="AQ246" s="28"/>
      <c r="AR246" s="28"/>
      <c r="AS246" s="20" t="str">
        <f>IF(AQ246="","",IF($F246="Bernardino Furlan",_xlfn.XLOOKUP(AQ246,Cadastros!$G$6:$G$90,Cadastros!$H$6:$H$90)*(1-0.18),IF($F246="Mauro José Salanti",_xlfn.XLOOKUP(AQ246,Cadastros!$G$6:$G$90,Cadastros!$H$6:$H$90)*(1-0.18),_xlfn.XLOOKUP(AQ246,Cadastros!$G$6:$G$90,Cadastros!$H$6:$H$90))))</f>
        <v/>
      </c>
      <c r="AT246" s="168" t="str">
        <f t="shared" si="50"/>
        <v/>
      </c>
      <c r="AU246" s="168" t="str">
        <f t="shared" si="51"/>
        <v/>
      </c>
      <c r="AV246" s="227"/>
      <c r="AW246" s="30"/>
      <c r="AX246" s="267"/>
      <c r="AY246" s="267"/>
      <c r="AZ246" s="29"/>
      <c r="BA246" s="30"/>
      <c r="BB246" s="23" t="str" cm="1">
        <f t="array" ref="BB246">_xlfn.IFS(AW246="SIM",SUM(K246,P246,U246,Z246,AE246,AJ246,AO246,AT246,AX246,AY246),F246&lt;&gt;"",SUM(K246,P246,U246,Z246,AE246,AJ246,,AO246,AT246),F246="","")</f>
        <v/>
      </c>
      <c r="BC246" s="211" t="str" cm="1">
        <f t="array" ref="BC246">_xlfn.IFS(E246="","",G246&lt;=E246,BB246*(1-0.03),G246&lt;(E246+8),BB246,AZ246="Boleto",BB246*(1+0.001)^DATEDIF(E246,G246,"D"),AZ246="Cheque",BB246,AZ246="Dinheiro","Alterar forma pgto")</f>
        <v/>
      </c>
      <c r="BD246" s="276" t="str" cm="1">
        <f t="array" ref="BD246">IF(F246=0," ",IF(BC246&lt;BB246,(_xlfn.IFS(AW246="SIM",SUM(L246,Q246,V246,AA246,AF246,AK246,AP246,AU246)+AX246/_xlfn.XLOOKUP(_xlfn.XLOOKUP($F246,Clientes!$B$4:$B$39,Clientes!$C$4:$C$39),Cadastros!$L$6:$L$12,Cadastros!$M$6:$M$12)+IF($F246="Bernardino Furlan",AY246/2751.92,IF($F246="Mauro José Salanti",AY246/2751.92,AY246/3356)),F246&lt;&gt;0,SUM(L246,Q246,V246,AA246,AF246,AK246,AP246,AU246)))*(1-0.03),_xlfn.IFS(AW246="SIM",SUM(L246,Q246,V246,AA246,AF246,AK246,AP246,AU246)+AX246/_xlfn.XLOOKUP(_xlfn.XLOOKUP($F246,Clientes!$B$4:$B$39,Clientes!$C$4:$C$39),Cadastros!$L$6:$L$12,Cadastros!$M$6:$M$12)+IF($F246="Bernardino Furlan",AY246/2751.92,IF($F246="Mauro José Salanti",AY246/2751.92,AY246/3356)),F246&lt;&gt;0,SUM(L246,Q246,V246,AA246,AF246,AK246,AP246,AU246))))</f>
        <v xml:space="preserve"> </v>
      </c>
      <c r="BE246" s="120"/>
      <c r="BF246" s="120"/>
      <c r="BG246" s="120"/>
    </row>
    <row r="247" spans="1:59" s="3" customFormat="1" x14ac:dyDescent="0.3">
      <c r="A247" s="15" t="str">
        <f t="shared" si="39"/>
        <v/>
      </c>
      <c r="B247" s="25"/>
      <c r="C247" s="26"/>
      <c r="D247" s="279"/>
      <c r="E247" s="27"/>
      <c r="F247" s="28"/>
      <c r="G247" s="27"/>
      <c r="H247" s="28"/>
      <c r="I247" s="28"/>
      <c r="J247" s="255" t="str">
        <f>IF(H247="","",(_xlfn.XLOOKUP(H247,Cadastros!$D$6:$D$90,Cadastros!$E$6:$E$90))*(1-_xlfn.XLOOKUP(_xlfn.XLOOKUP($F247,Clientes!$B$4:$B$39,Clientes!$C$4:$C$39),Cadastros!$L$6:$L$12,Cadastros!$N$6:$N$12)))</f>
        <v/>
      </c>
      <c r="K247" s="168" t="str">
        <f t="shared" si="40"/>
        <v/>
      </c>
      <c r="L247" s="168" t="str">
        <f>IFERROR(K247/_xlfn.XLOOKUP(_xlfn.XLOOKUP($F247,Clientes!$B$4:$B$39,Clientes!$C$4:$C$39),Cadastros!$L$6:$L$12,Cadastros!$M$6:$M$12)," ")</f>
        <v xml:space="preserve"> </v>
      </c>
      <c r="M247" s="28"/>
      <c r="N247" s="28"/>
      <c r="O247" s="255" t="str">
        <f>IF(M247="","",(_xlfn.XLOOKUP(M247,Cadastros!$D$6:$D$90,Cadastros!$E$6:$E$90))*(1-_xlfn.XLOOKUP(_xlfn.XLOOKUP($F247,Clientes!$B$4:$B$39,Clientes!$C$4:$C$39),Cadastros!$L$6:$L$12,Cadastros!$N$6:$N$12)))</f>
        <v/>
      </c>
      <c r="P247" s="168" t="str">
        <f t="shared" si="41"/>
        <v/>
      </c>
      <c r="Q247" s="168" t="str">
        <f>IFERROR(P247/_xlfn.XLOOKUP(_xlfn.XLOOKUP($F247,Clientes!$B$4:$B$39,Clientes!$C$4:$C$39),Cadastros!$L$6:$L$12,Cadastros!$M$6:$M$12)," ")</f>
        <v xml:space="preserve"> </v>
      </c>
      <c r="R247" s="28"/>
      <c r="S247" s="28"/>
      <c r="T247" s="255" t="str">
        <f>IF(R247="","",(_xlfn.XLOOKUP(R247,Cadastros!$D$6:$D$90,Cadastros!$E$6:$E$90))*(1-_xlfn.XLOOKUP(_xlfn.XLOOKUP($F247,Clientes!$B$4:$B$39,Clientes!$C$4:$C$39),Cadastros!$L$6:$L$12,Cadastros!$N$6:$N$12)))</f>
        <v/>
      </c>
      <c r="U247" s="168" t="str">
        <f t="shared" si="42"/>
        <v/>
      </c>
      <c r="V247" s="168" t="str">
        <f>IFERROR(U247/_xlfn.XLOOKUP(_xlfn.XLOOKUP($F247,Clientes!$B$4:$B$39,Clientes!$C$4:$C$39),Cadastros!$L$6:$L$12,Cadastros!$M$6:$M$12)," ")</f>
        <v xml:space="preserve"> </v>
      </c>
      <c r="W247" s="28"/>
      <c r="X247" s="28"/>
      <c r="Y247" s="255" t="str">
        <f>IF(W247="","",(_xlfn.XLOOKUP(W247,Cadastros!$D$6:$D$90,Cadastros!$E$6:$E$90))*(1-_xlfn.XLOOKUP(_xlfn.XLOOKUP($F247,Clientes!$B$4:$B$39,Clientes!$C$4:$C$39),Cadastros!$L$6:$L$12,Cadastros!$N$6:$N$12)))</f>
        <v/>
      </c>
      <c r="Z247" s="168" t="str">
        <f t="shared" si="43"/>
        <v/>
      </c>
      <c r="AA247" s="168" t="str">
        <f>IFERROR(Z247/_xlfn.XLOOKUP(_xlfn.XLOOKUP($F247,Clientes!$B$4:$B$39,Clientes!$C$4:$C$39),Cadastros!$L$6:$L$12,Cadastros!$M$6:$M$12)," ")</f>
        <v xml:space="preserve"> </v>
      </c>
      <c r="AB247" s="28"/>
      <c r="AC247" s="28"/>
      <c r="AD247" s="20" t="str">
        <f>IF(AB247="","",IF($F247="Bernardino Furlan",_xlfn.XLOOKUP(AB247,Cadastros!$G$6:$G$90,Cadastros!$H$6:$H$90)*(1-0.18),IF($F247="Mauro José Salanti",_xlfn.XLOOKUP(AB247,Cadastros!$G$6:$G$90,Cadastros!$H$6:$H$90)*(1-0.18),_xlfn.XLOOKUP(AB247,Cadastros!$G$6:$G$90,Cadastros!$H$6:$H$90))))</f>
        <v/>
      </c>
      <c r="AE247" s="168" t="str">
        <f t="shared" si="44"/>
        <v/>
      </c>
      <c r="AF247" s="168" t="str">
        <f t="shared" si="45"/>
        <v/>
      </c>
      <c r="AG247" s="28"/>
      <c r="AH247" s="28"/>
      <c r="AI247" s="20" t="str">
        <f>IF(AG247="","",IF($F247="Bernardino Furlan",_xlfn.XLOOKUP(AG247,Cadastros!$G$6:$G$90,Cadastros!$H$6:$H$90)*(1-0.18),IF($F247="Mauro José Salanti",_xlfn.XLOOKUP(AG247,Cadastros!$G$6:$G$90,Cadastros!$H$6:$H$90)*(1-0.18),_xlfn.XLOOKUP(AG247,Cadastros!$G$6:$G$90,Cadastros!$H$6:$H$90))))</f>
        <v/>
      </c>
      <c r="AJ247" s="168" t="str">
        <f t="shared" si="46"/>
        <v/>
      </c>
      <c r="AK247" s="168" t="str">
        <f t="shared" si="47"/>
        <v/>
      </c>
      <c r="AL247" s="28"/>
      <c r="AM247" s="28"/>
      <c r="AN247" s="20" t="str">
        <f>IF(AL247="","",IF($F247="Bernardino Furlan",_xlfn.XLOOKUP(AL247,Cadastros!$G$6:$G$90,Cadastros!$H$6:$H$90)*(1-0.18),IF($F247="Mauro José Salanti",_xlfn.XLOOKUP(AL247,Cadastros!$G$6:$G$90,Cadastros!$H$6:$H$90)*(1-0.18),_xlfn.XLOOKUP(AL247,Cadastros!$G$6:$G$90,Cadastros!$H$6:$H$90))))</f>
        <v/>
      </c>
      <c r="AO247" s="168" t="str">
        <f t="shared" si="48"/>
        <v/>
      </c>
      <c r="AP247" s="168" t="str">
        <f t="shared" si="49"/>
        <v/>
      </c>
      <c r="AQ247" s="28"/>
      <c r="AR247" s="28"/>
      <c r="AS247" s="20" t="str">
        <f>IF(AQ247="","",IF($F247="Bernardino Furlan",_xlfn.XLOOKUP(AQ247,Cadastros!$G$6:$G$90,Cadastros!$H$6:$H$90)*(1-0.18),IF($F247="Mauro José Salanti",_xlfn.XLOOKUP(AQ247,Cadastros!$G$6:$G$90,Cadastros!$H$6:$H$90)*(1-0.18),_xlfn.XLOOKUP(AQ247,Cadastros!$G$6:$G$90,Cadastros!$H$6:$H$90))))</f>
        <v/>
      </c>
      <c r="AT247" s="168" t="str">
        <f t="shared" si="50"/>
        <v/>
      </c>
      <c r="AU247" s="168" t="str">
        <f t="shared" si="51"/>
        <v/>
      </c>
      <c r="AV247" s="227"/>
      <c r="AW247" s="30"/>
      <c r="AX247" s="267"/>
      <c r="AY247" s="267"/>
      <c r="AZ247" s="29"/>
      <c r="BA247" s="30"/>
      <c r="BB247" s="23" t="str" cm="1">
        <f t="array" ref="BB247">_xlfn.IFS(AW247="SIM",SUM(K247,P247,U247,Z247,AE247,AJ247,AO247,AT247,AX247,AY247),F247&lt;&gt;"",SUM(K247,P247,U247,Z247,AE247,AJ247,,AO247,AT247),F247="","")</f>
        <v/>
      </c>
      <c r="BC247" s="211" t="str" cm="1">
        <f t="array" ref="BC247">_xlfn.IFS(E247="","",G247&lt;=E247,BB247*(1-0.03),G247&lt;(E247+8),BB247,AZ247="Boleto",BB247*(1+0.001)^DATEDIF(E247,G247,"D"),AZ247="Cheque",BB247,AZ247="Dinheiro","Alterar forma pgto")</f>
        <v/>
      </c>
      <c r="BD247" s="276" t="str" cm="1">
        <f t="array" ref="BD247">IF(F247=0," ",IF(BC247&lt;BB247,(_xlfn.IFS(AW247="SIM",SUM(L247,Q247,V247,AA247,AF247,AK247,AP247,AU247)+AX247/_xlfn.XLOOKUP(_xlfn.XLOOKUP($F247,Clientes!$B$4:$B$39,Clientes!$C$4:$C$39),Cadastros!$L$6:$L$12,Cadastros!$M$6:$M$12)+IF($F247="Bernardino Furlan",AY247/2751.92,IF($F247="Mauro José Salanti",AY247/2751.92,AY247/3356)),F247&lt;&gt;0,SUM(L247,Q247,V247,AA247,AF247,AK247,AP247,AU247)))*(1-0.03),_xlfn.IFS(AW247="SIM",SUM(L247,Q247,V247,AA247,AF247,AK247,AP247,AU247)+AX247/_xlfn.XLOOKUP(_xlfn.XLOOKUP($F247,Clientes!$B$4:$B$39,Clientes!$C$4:$C$39),Cadastros!$L$6:$L$12,Cadastros!$M$6:$M$12)+IF($F247="Bernardino Furlan",AY247/2751.92,IF($F247="Mauro José Salanti",AY247/2751.92,AY247/3356)),F247&lt;&gt;0,SUM(L247,Q247,V247,AA247,AF247,AK247,AP247,AU247))))</f>
        <v xml:space="preserve"> </v>
      </c>
      <c r="BE247" s="120"/>
      <c r="BF247" s="120"/>
      <c r="BG247" s="120"/>
    </row>
    <row r="248" spans="1:59" s="3" customFormat="1" x14ac:dyDescent="0.3">
      <c r="A248" s="15" t="str">
        <f t="shared" si="39"/>
        <v/>
      </c>
      <c r="B248" s="25"/>
      <c r="C248" s="26"/>
      <c r="D248" s="279"/>
      <c r="E248" s="27"/>
      <c r="F248" s="28"/>
      <c r="G248" s="27"/>
      <c r="H248" s="28"/>
      <c r="I248" s="28"/>
      <c r="J248" s="255" t="str">
        <f>IF(H248="","",(_xlfn.XLOOKUP(H248,Cadastros!$D$6:$D$90,Cadastros!$E$6:$E$90))*(1-_xlfn.XLOOKUP(_xlfn.XLOOKUP($F248,Clientes!$B$4:$B$39,Clientes!$C$4:$C$39),Cadastros!$L$6:$L$12,Cadastros!$N$6:$N$12)))</f>
        <v/>
      </c>
      <c r="K248" s="168" t="str">
        <f t="shared" si="40"/>
        <v/>
      </c>
      <c r="L248" s="168" t="str">
        <f>IFERROR(K248/_xlfn.XLOOKUP(_xlfn.XLOOKUP($F248,Clientes!$B$4:$B$39,Clientes!$C$4:$C$39),Cadastros!$L$6:$L$12,Cadastros!$M$6:$M$12)," ")</f>
        <v xml:space="preserve"> </v>
      </c>
      <c r="M248" s="28"/>
      <c r="N248" s="28"/>
      <c r="O248" s="255" t="str">
        <f>IF(M248="","",(_xlfn.XLOOKUP(M248,Cadastros!$D$6:$D$90,Cadastros!$E$6:$E$90))*(1-_xlfn.XLOOKUP(_xlfn.XLOOKUP($F248,Clientes!$B$4:$B$39,Clientes!$C$4:$C$39),Cadastros!$L$6:$L$12,Cadastros!$N$6:$N$12)))</f>
        <v/>
      </c>
      <c r="P248" s="168" t="str">
        <f t="shared" si="41"/>
        <v/>
      </c>
      <c r="Q248" s="168" t="str">
        <f>IFERROR(P248/_xlfn.XLOOKUP(_xlfn.XLOOKUP($F248,Clientes!$B$4:$B$39,Clientes!$C$4:$C$39),Cadastros!$L$6:$L$12,Cadastros!$M$6:$M$12)," ")</f>
        <v xml:space="preserve"> </v>
      </c>
      <c r="R248" s="28"/>
      <c r="S248" s="28"/>
      <c r="T248" s="255" t="str">
        <f>IF(R248="","",(_xlfn.XLOOKUP(R248,Cadastros!$D$6:$D$90,Cadastros!$E$6:$E$90))*(1-_xlfn.XLOOKUP(_xlfn.XLOOKUP($F248,Clientes!$B$4:$B$39,Clientes!$C$4:$C$39),Cadastros!$L$6:$L$12,Cadastros!$N$6:$N$12)))</f>
        <v/>
      </c>
      <c r="U248" s="168" t="str">
        <f t="shared" si="42"/>
        <v/>
      </c>
      <c r="V248" s="168" t="str">
        <f>IFERROR(U248/_xlfn.XLOOKUP(_xlfn.XLOOKUP($F248,Clientes!$B$4:$B$39,Clientes!$C$4:$C$39),Cadastros!$L$6:$L$12,Cadastros!$M$6:$M$12)," ")</f>
        <v xml:space="preserve"> </v>
      </c>
      <c r="W248" s="28"/>
      <c r="X248" s="28"/>
      <c r="Y248" s="255" t="str">
        <f>IF(W248="","",(_xlfn.XLOOKUP(W248,Cadastros!$D$6:$D$90,Cadastros!$E$6:$E$90))*(1-_xlfn.XLOOKUP(_xlfn.XLOOKUP($F248,Clientes!$B$4:$B$39,Clientes!$C$4:$C$39),Cadastros!$L$6:$L$12,Cadastros!$N$6:$N$12)))</f>
        <v/>
      </c>
      <c r="Z248" s="168" t="str">
        <f t="shared" si="43"/>
        <v/>
      </c>
      <c r="AA248" s="168" t="str">
        <f>IFERROR(Z248/_xlfn.XLOOKUP(_xlfn.XLOOKUP($F248,Clientes!$B$4:$B$39,Clientes!$C$4:$C$39),Cadastros!$L$6:$L$12,Cadastros!$M$6:$M$12)," ")</f>
        <v xml:space="preserve"> </v>
      </c>
      <c r="AB248" s="28"/>
      <c r="AC248" s="28"/>
      <c r="AD248" s="20" t="str">
        <f>IF(AB248="","",IF($F248="Bernardino Furlan",_xlfn.XLOOKUP(AB248,Cadastros!$G$6:$G$90,Cadastros!$H$6:$H$90)*(1-0.18),IF($F248="Mauro José Salanti",_xlfn.XLOOKUP(AB248,Cadastros!$G$6:$G$90,Cadastros!$H$6:$H$90)*(1-0.18),_xlfn.XLOOKUP(AB248,Cadastros!$G$6:$G$90,Cadastros!$H$6:$H$90))))</f>
        <v/>
      </c>
      <c r="AE248" s="168" t="str">
        <f t="shared" si="44"/>
        <v/>
      </c>
      <c r="AF248" s="168" t="str">
        <f t="shared" si="45"/>
        <v/>
      </c>
      <c r="AG248" s="28"/>
      <c r="AH248" s="28"/>
      <c r="AI248" s="20" t="str">
        <f>IF(AG248="","",IF($F248="Bernardino Furlan",_xlfn.XLOOKUP(AG248,Cadastros!$G$6:$G$90,Cadastros!$H$6:$H$90)*(1-0.18),IF($F248="Mauro José Salanti",_xlfn.XLOOKUP(AG248,Cadastros!$G$6:$G$90,Cadastros!$H$6:$H$90)*(1-0.18),_xlfn.XLOOKUP(AG248,Cadastros!$G$6:$G$90,Cadastros!$H$6:$H$90))))</f>
        <v/>
      </c>
      <c r="AJ248" s="168" t="str">
        <f t="shared" si="46"/>
        <v/>
      </c>
      <c r="AK248" s="168" t="str">
        <f t="shared" si="47"/>
        <v/>
      </c>
      <c r="AL248" s="28"/>
      <c r="AM248" s="28"/>
      <c r="AN248" s="20" t="str">
        <f>IF(AL248="","",IF($F248="Bernardino Furlan",_xlfn.XLOOKUP(AL248,Cadastros!$G$6:$G$90,Cadastros!$H$6:$H$90)*(1-0.18),IF($F248="Mauro José Salanti",_xlfn.XLOOKUP(AL248,Cadastros!$G$6:$G$90,Cadastros!$H$6:$H$90)*(1-0.18),_xlfn.XLOOKUP(AL248,Cadastros!$G$6:$G$90,Cadastros!$H$6:$H$90))))</f>
        <v/>
      </c>
      <c r="AO248" s="168" t="str">
        <f t="shared" si="48"/>
        <v/>
      </c>
      <c r="AP248" s="168" t="str">
        <f t="shared" si="49"/>
        <v/>
      </c>
      <c r="AQ248" s="28"/>
      <c r="AR248" s="28"/>
      <c r="AS248" s="20" t="str">
        <f>IF(AQ248="","",IF($F248="Bernardino Furlan",_xlfn.XLOOKUP(AQ248,Cadastros!$G$6:$G$90,Cadastros!$H$6:$H$90)*(1-0.18),IF($F248="Mauro José Salanti",_xlfn.XLOOKUP(AQ248,Cadastros!$G$6:$G$90,Cadastros!$H$6:$H$90)*(1-0.18),_xlfn.XLOOKUP(AQ248,Cadastros!$G$6:$G$90,Cadastros!$H$6:$H$90))))</f>
        <v/>
      </c>
      <c r="AT248" s="168" t="str">
        <f t="shared" si="50"/>
        <v/>
      </c>
      <c r="AU248" s="168" t="str">
        <f t="shared" si="51"/>
        <v/>
      </c>
      <c r="AV248" s="227"/>
      <c r="AW248" s="30"/>
      <c r="AX248" s="267"/>
      <c r="AY248" s="267"/>
      <c r="AZ248" s="29"/>
      <c r="BA248" s="30"/>
      <c r="BB248" s="23" t="str" cm="1">
        <f t="array" ref="BB248">_xlfn.IFS(AW248="SIM",SUM(K248,P248,U248,Z248,AE248,AJ248,AO248,AT248,AX248,AY248),F248&lt;&gt;"",SUM(K248,P248,U248,Z248,AE248,AJ248,,AO248,AT248),F248="","")</f>
        <v/>
      </c>
      <c r="BC248" s="211" t="str" cm="1">
        <f t="array" ref="BC248">_xlfn.IFS(E248="","",G248&lt;=E248,BB248*(1-0.03),G248&lt;(E248+8),BB248,AZ248="Boleto",BB248*(1+0.001)^DATEDIF(E248,G248,"D"),AZ248="Cheque",BB248,AZ248="Dinheiro","Alterar forma pgto")</f>
        <v/>
      </c>
      <c r="BD248" s="276" t="str" cm="1">
        <f t="array" ref="BD248">IF(F248=0," ",IF(BC248&lt;BB248,(_xlfn.IFS(AW248="SIM",SUM(L248,Q248,V248,AA248,AF248,AK248,AP248,AU248)+AX248/_xlfn.XLOOKUP(_xlfn.XLOOKUP($F248,Clientes!$B$4:$B$39,Clientes!$C$4:$C$39),Cadastros!$L$6:$L$12,Cadastros!$M$6:$M$12)+IF($F248="Bernardino Furlan",AY248/2751.92,IF($F248="Mauro José Salanti",AY248/2751.92,AY248/3356)),F248&lt;&gt;0,SUM(L248,Q248,V248,AA248,AF248,AK248,AP248,AU248)))*(1-0.03),_xlfn.IFS(AW248="SIM",SUM(L248,Q248,V248,AA248,AF248,AK248,AP248,AU248)+AX248/_xlfn.XLOOKUP(_xlfn.XLOOKUP($F248,Clientes!$B$4:$B$39,Clientes!$C$4:$C$39),Cadastros!$L$6:$L$12,Cadastros!$M$6:$M$12)+IF($F248="Bernardino Furlan",AY248/2751.92,IF($F248="Mauro José Salanti",AY248/2751.92,AY248/3356)),F248&lt;&gt;0,SUM(L248,Q248,V248,AA248,AF248,AK248,AP248,AU248))))</f>
        <v xml:space="preserve"> </v>
      </c>
      <c r="BE248" s="120"/>
      <c r="BF248" s="120"/>
      <c r="BG248" s="120"/>
    </row>
    <row r="249" spans="1:59" s="3" customFormat="1" x14ac:dyDescent="0.3">
      <c r="A249" s="15" t="str">
        <f t="shared" si="39"/>
        <v/>
      </c>
      <c r="B249" s="25"/>
      <c r="C249" s="26"/>
      <c r="D249" s="279"/>
      <c r="E249" s="27"/>
      <c r="F249" s="28"/>
      <c r="G249" s="27"/>
      <c r="H249" s="28"/>
      <c r="I249" s="28"/>
      <c r="J249" s="255" t="str">
        <f>IF(H249="","",(_xlfn.XLOOKUP(H249,Cadastros!$D$6:$D$90,Cadastros!$E$6:$E$90))*(1-_xlfn.XLOOKUP(_xlfn.XLOOKUP($F249,Clientes!$B$4:$B$39,Clientes!$C$4:$C$39),Cadastros!$L$6:$L$12,Cadastros!$N$6:$N$12)))</f>
        <v/>
      </c>
      <c r="K249" s="168" t="str">
        <f t="shared" si="40"/>
        <v/>
      </c>
      <c r="L249" s="168" t="str">
        <f>IFERROR(K249/_xlfn.XLOOKUP(_xlfn.XLOOKUP($F249,Clientes!$B$4:$B$39,Clientes!$C$4:$C$39),Cadastros!$L$6:$L$12,Cadastros!$M$6:$M$12)," ")</f>
        <v xml:space="preserve"> </v>
      </c>
      <c r="M249" s="28"/>
      <c r="N249" s="28"/>
      <c r="O249" s="255" t="str">
        <f>IF(M249="","",(_xlfn.XLOOKUP(M249,Cadastros!$D$6:$D$90,Cadastros!$E$6:$E$90))*(1-_xlfn.XLOOKUP(_xlfn.XLOOKUP($F249,Clientes!$B$4:$B$39,Clientes!$C$4:$C$39),Cadastros!$L$6:$L$12,Cadastros!$N$6:$N$12)))</f>
        <v/>
      </c>
      <c r="P249" s="168" t="str">
        <f t="shared" si="41"/>
        <v/>
      </c>
      <c r="Q249" s="168" t="str">
        <f>IFERROR(P249/_xlfn.XLOOKUP(_xlfn.XLOOKUP($F249,Clientes!$B$4:$B$39,Clientes!$C$4:$C$39),Cadastros!$L$6:$L$12,Cadastros!$M$6:$M$12)," ")</f>
        <v xml:space="preserve"> </v>
      </c>
      <c r="R249" s="28"/>
      <c r="S249" s="28"/>
      <c r="T249" s="255" t="str">
        <f>IF(R249="","",(_xlfn.XLOOKUP(R249,Cadastros!$D$6:$D$90,Cadastros!$E$6:$E$90))*(1-_xlfn.XLOOKUP(_xlfn.XLOOKUP($F249,Clientes!$B$4:$B$39,Clientes!$C$4:$C$39),Cadastros!$L$6:$L$12,Cadastros!$N$6:$N$12)))</f>
        <v/>
      </c>
      <c r="U249" s="168" t="str">
        <f t="shared" si="42"/>
        <v/>
      </c>
      <c r="V249" s="168" t="str">
        <f>IFERROR(U249/_xlfn.XLOOKUP(_xlfn.XLOOKUP($F249,Clientes!$B$4:$B$39,Clientes!$C$4:$C$39),Cadastros!$L$6:$L$12,Cadastros!$M$6:$M$12)," ")</f>
        <v xml:space="preserve"> </v>
      </c>
      <c r="W249" s="28"/>
      <c r="X249" s="28"/>
      <c r="Y249" s="255" t="str">
        <f>IF(W249="","",(_xlfn.XLOOKUP(W249,Cadastros!$D$6:$D$90,Cadastros!$E$6:$E$90))*(1-_xlfn.XLOOKUP(_xlfn.XLOOKUP($F249,Clientes!$B$4:$B$39,Clientes!$C$4:$C$39),Cadastros!$L$6:$L$12,Cadastros!$N$6:$N$12)))</f>
        <v/>
      </c>
      <c r="Z249" s="168" t="str">
        <f t="shared" si="43"/>
        <v/>
      </c>
      <c r="AA249" s="168" t="str">
        <f>IFERROR(Z249/_xlfn.XLOOKUP(_xlfn.XLOOKUP($F249,Clientes!$B$4:$B$39,Clientes!$C$4:$C$39),Cadastros!$L$6:$L$12,Cadastros!$M$6:$M$12)," ")</f>
        <v xml:space="preserve"> </v>
      </c>
      <c r="AB249" s="28"/>
      <c r="AC249" s="28"/>
      <c r="AD249" s="20" t="str">
        <f>IF(AB249="","",IF($F249="Bernardino Furlan",_xlfn.XLOOKUP(AB249,Cadastros!$G$6:$G$90,Cadastros!$H$6:$H$90)*(1-0.18),IF($F249="Mauro José Salanti",_xlfn.XLOOKUP(AB249,Cadastros!$G$6:$G$90,Cadastros!$H$6:$H$90)*(1-0.18),_xlfn.XLOOKUP(AB249,Cadastros!$G$6:$G$90,Cadastros!$H$6:$H$90))))</f>
        <v/>
      </c>
      <c r="AE249" s="168" t="str">
        <f t="shared" si="44"/>
        <v/>
      </c>
      <c r="AF249" s="168" t="str">
        <f t="shared" si="45"/>
        <v/>
      </c>
      <c r="AG249" s="28"/>
      <c r="AH249" s="28"/>
      <c r="AI249" s="20" t="str">
        <f>IF(AG249="","",IF($F249="Bernardino Furlan",_xlfn.XLOOKUP(AG249,Cadastros!$G$6:$G$90,Cadastros!$H$6:$H$90)*(1-0.18),IF($F249="Mauro José Salanti",_xlfn.XLOOKUP(AG249,Cadastros!$G$6:$G$90,Cadastros!$H$6:$H$90)*(1-0.18),_xlfn.XLOOKUP(AG249,Cadastros!$G$6:$G$90,Cadastros!$H$6:$H$90))))</f>
        <v/>
      </c>
      <c r="AJ249" s="168" t="str">
        <f t="shared" si="46"/>
        <v/>
      </c>
      <c r="AK249" s="168" t="str">
        <f t="shared" si="47"/>
        <v/>
      </c>
      <c r="AL249" s="28"/>
      <c r="AM249" s="28"/>
      <c r="AN249" s="20" t="str">
        <f>IF(AL249="","",IF($F249="Bernardino Furlan",_xlfn.XLOOKUP(AL249,Cadastros!$G$6:$G$90,Cadastros!$H$6:$H$90)*(1-0.18),IF($F249="Mauro José Salanti",_xlfn.XLOOKUP(AL249,Cadastros!$G$6:$G$90,Cadastros!$H$6:$H$90)*(1-0.18),_xlfn.XLOOKUP(AL249,Cadastros!$G$6:$G$90,Cadastros!$H$6:$H$90))))</f>
        <v/>
      </c>
      <c r="AO249" s="168" t="str">
        <f t="shared" si="48"/>
        <v/>
      </c>
      <c r="AP249" s="168" t="str">
        <f t="shared" si="49"/>
        <v/>
      </c>
      <c r="AQ249" s="28"/>
      <c r="AR249" s="28"/>
      <c r="AS249" s="20" t="str">
        <f>IF(AQ249="","",IF($F249="Bernardino Furlan",_xlfn.XLOOKUP(AQ249,Cadastros!$G$6:$G$90,Cadastros!$H$6:$H$90)*(1-0.18),IF($F249="Mauro José Salanti",_xlfn.XLOOKUP(AQ249,Cadastros!$G$6:$G$90,Cadastros!$H$6:$H$90)*(1-0.18),_xlfn.XLOOKUP(AQ249,Cadastros!$G$6:$G$90,Cadastros!$H$6:$H$90))))</f>
        <v/>
      </c>
      <c r="AT249" s="168" t="str">
        <f t="shared" si="50"/>
        <v/>
      </c>
      <c r="AU249" s="168" t="str">
        <f t="shared" si="51"/>
        <v/>
      </c>
      <c r="AV249" s="227"/>
      <c r="AW249" s="30"/>
      <c r="AX249" s="267"/>
      <c r="AY249" s="267"/>
      <c r="AZ249" s="29"/>
      <c r="BA249" s="30"/>
      <c r="BB249" s="23" t="str" cm="1">
        <f t="array" ref="BB249">_xlfn.IFS(AW249="SIM",SUM(K249,P249,U249,Z249,AE249,AJ249,AO249,AT249,AX249,AY249),F249&lt;&gt;"",SUM(K249,P249,U249,Z249,AE249,AJ249,,AO249,AT249),F249="","")</f>
        <v/>
      </c>
      <c r="BC249" s="211" t="str" cm="1">
        <f t="array" ref="BC249">_xlfn.IFS(E249="","",G249&lt;=E249,BB249*(1-0.03),G249&lt;(E249+8),BB249,AZ249="Boleto",BB249*(1+0.001)^DATEDIF(E249,G249,"D"),AZ249="Cheque",BB249,AZ249="Dinheiro","Alterar forma pgto")</f>
        <v/>
      </c>
      <c r="BD249" s="276" t="str" cm="1">
        <f t="array" ref="BD249">IF(F249=0," ",IF(BC249&lt;BB249,(_xlfn.IFS(AW249="SIM",SUM(L249,Q249,V249,AA249,AF249,AK249,AP249,AU249)+AX249/_xlfn.XLOOKUP(_xlfn.XLOOKUP($F249,Clientes!$B$4:$B$39,Clientes!$C$4:$C$39),Cadastros!$L$6:$L$12,Cadastros!$M$6:$M$12)+IF($F249="Bernardino Furlan",AY249/2751.92,IF($F249="Mauro José Salanti",AY249/2751.92,AY249/3356)),F249&lt;&gt;0,SUM(L249,Q249,V249,AA249,AF249,AK249,AP249,AU249)))*(1-0.03),_xlfn.IFS(AW249="SIM",SUM(L249,Q249,V249,AA249,AF249,AK249,AP249,AU249)+AX249/_xlfn.XLOOKUP(_xlfn.XLOOKUP($F249,Clientes!$B$4:$B$39,Clientes!$C$4:$C$39),Cadastros!$L$6:$L$12,Cadastros!$M$6:$M$12)+IF($F249="Bernardino Furlan",AY249/2751.92,IF($F249="Mauro José Salanti",AY249/2751.92,AY249/3356)),F249&lt;&gt;0,SUM(L249,Q249,V249,AA249,AF249,AK249,AP249,AU249))))</f>
        <v xml:space="preserve"> </v>
      </c>
      <c r="BE249" s="120"/>
      <c r="BF249" s="120"/>
      <c r="BG249" s="120"/>
    </row>
    <row r="250" spans="1:59" s="3" customFormat="1" x14ac:dyDescent="0.3">
      <c r="A250" s="15" t="str">
        <f t="shared" si="39"/>
        <v/>
      </c>
      <c r="B250" s="25"/>
      <c r="C250" s="26"/>
      <c r="D250" s="279"/>
      <c r="E250" s="27"/>
      <c r="F250" s="28"/>
      <c r="G250" s="27"/>
      <c r="H250" s="28"/>
      <c r="I250" s="28"/>
      <c r="J250" s="255" t="str">
        <f>IF(H250="","",(_xlfn.XLOOKUP(H250,Cadastros!$D$6:$D$90,Cadastros!$E$6:$E$90))*(1-_xlfn.XLOOKUP(_xlfn.XLOOKUP($F250,Clientes!$B$4:$B$39,Clientes!$C$4:$C$39),Cadastros!$L$6:$L$12,Cadastros!$N$6:$N$12)))</f>
        <v/>
      </c>
      <c r="K250" s="168" t="str">
        <f t="shared" si="40"/>
        <v/>
      </c>
      <c r="L250" s="168" t="str">
        <f>IFERROR(K250/_xlfn.XLOOKUP(_xlfn.XLOOKUP($F250,Clientes!$B$4:$B$39,Clientes!$C$4:$C$39),Cadastros!$L$6:$L$12,Cadastros!$M$6:$M$12)," ")</f>
        <v xml:space="preserve"> </v>
      </c>
      <c r="M250" s="28"/>
      <c r="N250" s="28"/>
      <c r="O250" s="255" t="str">
        <f>IF(M250="","",(_xlfn.XLOOKUP(M250,Cadastros!$D$6:$D$90,Cadastros!$E$6:$E$90))*(1-_xlfn.XLOOKUP(_xlfn.XLOOKUP($F250,Clientes!$B$4:$B$39,Clientes!$C$4:$C$39),Cadastros!$L$6:$L$12,Cadastros!$N$6:$N$12)))</f>
        <v/>
      </c>
      <c r="P250" s="168" t="str">
        <f t="shared" si="41"/>
        <v/>
      </c>
      <c r="Q250" s="168" t="str">
        <f>IFERROR(P250/_xlfn.XLOOKUP(_xlfn.XLOOKUP($F250,Clientes!$B$4:$B$39,Clientes!$C$4:$C$39),Cadastros!$L$6:$L$12,Cadastros!$M$6:$M$12)," ")</f>
        <v xml:space="preserve"> </v>
      </c>
      <c r="R250" s="28"/>
      <c r="S250" s="28"/>
      <c r="T250" s="255" t="str">
        <f>IF(R250="","",(_xlfn.XLOOKUP(R250,Cadastros!$D$6:$D$90,Cadastros!$E$6:$E$90))*(1-_xlfn.XLOOKUP(_xlfn.XLOOKUP($F250,Clientes!$B$4:$B$39,Clientes!$C$4:$C$39),Cadastros!$L$6:$L$12,Cadastros!$N$6:$N$12)))</f>
        <v/>
      </c>
      <c r="U250" s="168" t="str">
        <f t="shared" si="42"/>
        <v/>
      </c>
      <c r="V250" s="168" t="str">
        <f>IFERROR(U250/_xlfn.XLOOKUP(_xlfn.XLOOKUP($F250,Clientes!$B$4:$B$39,Clientes!$C$4:$C$39),Cadastros!$L$6:$L$12,Cadastros!$M$6:$M$12)," ")</f>
        <v xml:space="preserve"> </v>
      </c>
      <c r="W250" s="28"/>
      <c r="X250" s="28"/>
      <c r="Y250" s="255" t="str">
        <f>IF(W250="","",(_xlfn.XLOOKUP(W250,Cadastros!$D$6:$D$90,Cadastros!$E$6:$E$90))*(1-_xlfn.XLOOKUP(_xlfn.XLOOKUP($F250,Clientes!$B$4:$B$39,Clientes!$C$4:$C$39),Cadastros!$L$6:$L$12,Cadastros!$N$6:$N$12)))</f>
        <v/>
      </c>
      <c r="Z250" s="168" t="str">
        <f t="shared" si="43"/>
        <v/>
      </c>
      <c r="AA250" s="168" t="str">
        <f>IFERROR(Z250/_xlfn.XLOOKUP(_xlfn.XLOOKUP($F250,Clientes!$B$4:$B$39,Clientes!$C$4:$C$39),Cadastros!$L$6:$L$12,Cadastros!$M$6:$M$12)," ")</f>
        <v xml:space="preserve"> </v>
      </c>
      <c r="AB250" s="28"/>
      <c r="AC250" s="28"/>
      <c r="AD250" s="20" t="str">
        <f>IF(AB250="","",IF($F250="Bernardino Furlan",_xlfn.XLOOKUP(AB250,Cadastros!$G$6:$G$90,Cadastros!$H$6:$H$90)*(1-0.18),IF($F250="Mauro José Salanti",_xlfn.XLOOKUP(AB250,Cadastros!$G$6:$G$90,Cadastros!$H$6:$H$90)*(1-0.18),_xlfn.XLOOKUP(AB250,Cadastros!$G$6:$G$90,Cadastros!$H$6:$H$90))))</f>
        <v/>
      </c>
      <c r="AE250" s="168" t="str">
        <f t="shared" si="44"/>
        <v/>
      </c>
      <c r="AF250" s="168" t="str">
        <f t="shared" si="45"/>
        <v/>
      </c>
      <c r="AG250" s="28"/>
      <c r="AH250" s="28"/>
      <c r="AI250" s="20" t="str">
        <f>IF(AG250="","",IF($F250="Bernardino Furlan",_xlfn.XLOOKUP(AG250,Cadastros!$G$6:$G$90,Cadastros!$H$6:$H$90)*(1-0.18),IF($F250="Mauro José Salanti",_xlfn.XLOOKUP(AG250,Cadastros!$G$6:$G$90,Cadastros!$H$6:$H$90)*(1-0.18),_xlfn.XLOOKUP(AG250,Cadastros!$G$6:$G$90,Cadastros!$H$6:$H$90))))</f>
        <v/>
      </c>
      <c r="AJ250" s="168" t="str">
        <f t="shared" si="46"/>
        <v/>
      </c>
      <c r="AK250" s="168" t="str">
        <f t="shared" si="47"/>
        <v/>
      </c>
      <c r="AL250" s="28"/>
      <c r="AM250" s="28"/>
      <c r="AN250" s="20" t="str">
        <f>IF(AL250="","",IF($F250="Bernardino Furlan",_xlfn.XLOOKUP(AL250,Cadastros!$G$6:$G$90,Cadastros!$H$6:$H$90)*(1-0.18),IF($F250="Mauro José Salanti",_xlfn.XLOOKUP(AL250,Cadastros!$G$6:$G$90,Cadastros!$H$6:$H$90)*(1-0.18),_xlfn.XLOOKUP(AL250,Cadastros!$G$6:$G$90,Cadastros!$H$6:$H$90))))</f>
        <v/>
      </c>
      <c r="AO250" s="168" t="str">
        <f t="shared" si="48"/>
        <v/>
      </c>
      <c r="AP250" s="168" t="str">
        <f t="shared" si="49"/>
        <v/>
      </c>
      <c r="AQ250" s="28"/>
      <c r="AR250" s="28"/>
      <c r="AS250" s="20" t="str">
        <f>IF(AQ250="","",IF($F250="Bernardino Furlan",_xlfn.XLOOKUP(AQ250,Cadastros!$G$6:$G$90,Cadastros!$H$6:$H$90)*(1-0.18),IF($F250="Mauro José Salanti",_xlfn.XLOOKUP(AQ250,Cadastros!$G$6:$G$90,Cadastros!$H$6:$H$90)*(1-0.18),_xlfn.XLOOKUP(AQ250,Cadastros!$G$6:$G$90,Cadastros!$H$6:$H$90))))</f>
        <v/>
      </c>
      <c r="AT250" s="168" t="str">
        <f t="shared" si="50"/>
        <v/>
      </c>
      <c r="AU250" s="168" t="str">
        <f t="shared" si="51"/>
        <v/>
      </c>
      <c r="AV250" s="227"/>
      <c r="AW250" s="30"/>
      <c r="AX250" s="267"/>
      <c r="AY250" s="267"/>
      <c r="AZ250" s="29"/>
      <c r="BA250" s="30"/>
      <c r="BB250" s="23" t="str" cm="1">
        <f t="array" ref="BB250">_xlfn.IFS(AW250="SIM",SUM(K250,P250,U250,Z250,AE250,AJ250,AO250,AT250,AX250,AY250),F250&lt;&gt;"",SUM(K250,P250,U250,Z250,AE250,AJ250,,AO250,AT250),F250="","")</f>
        <v/>
      </c>
      <c r="BC250" s="211" t="str" cm="1">
        <f t="array" ref="BC250">_xlfn.IFS(E250="","",G250&lt;=E250,BB250*(1-0.03),G250&lt;(E250+8),BB250,AZ250="Boleto",BB250*(1+0.001)^DATEDIF(E250,G250,"D"),AZ250="Cheque",BB250,AZ250="Dinheiro","Alterar forma pgto")</f>
        <v/>
      </c>
      <c r="BD250" s="276" t="str" cm="1">
        <f t="array" ref="BD250">IF(F250=0," ",IF(BC250&lt;BB250,(_xlfn.IFS(AW250="SIM",SUM(L250,Q250,V250,AA250,AF250,AK250,AP250,AU250)+AX250/_xlfn.XLOOKUP(_xlfn.XLOOKUP($F250,Clientes!$B$4:$B$39,Clientes!$C$4:$C$39),Cadastros!$L$6:$L$12,Cadastros!$M$6:$M$12)+IF($F250="Bernardino Furlan",AY250/2751.92,IF($F250="Mauro José Salanti",AY250/2751.92,AY250/3356)),F250&lt;&gt;0,SUM(L250,Q250,V250,AA250,AF250,AK250,AP250,AU250)))*(1-0.03),_xlfn.IFS(AW250="SIM",SUM(L250,Q250,V250,AA250,AF250,AK250,AP250,AU250)+AX250/_xlfn.XLOOKUP(_xlfn.XLOOKUP($F250,Clientes!$B$4:$B$39,Clientes!$C$4:$C$39),Cadastros!$L$6:$L$12,Cadastros!$M$6:$M$12)+IF($F250="Bernardino Furlan",AY250/2751.92,IF($F250="Mauro José Salanti",AY250/2751.92,AY250/3356)),F250&lt;&gt;0,SUM(L250,Q250,V250,AA250,AF250,AK250,AP250,AU250))))</f>
        <v xml:space="preserve"> </v>
      </c>
      <c r="BE250" s="120"/>
      <c r="BF250" s="120"/>
      <c r="BG250" s="120"/>
    </row>
    <row r="251" spans="1:59" s="3" customFormat="1" x14ac:dyDescent="0.3">
      <c r="A251" s="15" t="str">
        <f t="shared" si="39"/>
        <v/>
      </c>
      <c r="B251" s="25"/>
      <c r="C251" s="26"/>
      <c r="D251" s="279"/>
      <c r="E251" s="27"/>
      <c r="F251" s="28"/>
      <c r="G251" s="27"/>
      <c r="H251" s="28"/>
      <c r="I251" s="28"/>
      <c r="J251" s="255" t="str">
        <f>IF(H251="","",(_xlfn.XLOOKUP(H251,Cadastros!$D$6:$D$90,Cadastros!$E$6:$E$90))*(1-_xlfn.XLOOKUP(_xlfn.XLOOKUP($F251,Clientes!$B$4:$B$39,Clientes!$C$4:$C$39),Cadastros!$L$6:$L$12,Cadastros!$N$6:$N$12)))</f>
        <v/>
      </c>
      <c r="K251" s="168" t="str">
        <f t="shared" si="40"/>
        <v/>
      </c>
      <c r="L251" s="168" t="str">
        <f>IFERROR(K251/_xlfn.XLOOKUP(_xlfn.XLOOKUP($F251,Clientes!$B$4:$B$39,Clientes!$C$4:$C$39),Cadastros!$L$6:$L$12,Cadastros!$M$6:$M$12)," ")</f>
        <v xml:space="preserve"> </v>
      </c>
      <c r="M251" s="28"/>
      <c r="N251" s="28"/>
      <c r="O251" s="255" t="str">
        <f>IF(M251="","",(_xlfn.XLOOKUP(M251,Cadastros!$D$6:$D$90,Cadastros!$E$6:$E$90))*(1-_xlfn.XLOOKUP(_xlfn.XLOOKUP($F251,Clientes!$B$4:$B$39,Clientes!$C$4:$C$39),Cadastros!$L$6:$L$12,Cadastros!$N$6:$N$12)))</f>
        <v/>
      </c>
      <c r="P251" s="168" t="str">
        <f t="shared" si="41"/>
        <v/>
      </c>
      <c r="Q251" s="168" t="str">
        <f>IFERROR(P251/_xlfn.XLOOKUP(_xlfn.XLOOKUP($F251,Clientes!$B$4:$B$39,Clientes!$C$4:$C$39),Cadastros!$L$6:$L$12,Cadastros!$M$6:$M$12)," ")</f>
        <v xml:space="preserve"> </v>
      </c>
      <c r="R251" s="28"/>
      <c r="S251" s="28"/>
      <c r="T251" s="255" t="str">
        <f>IF(R251="","",(_xlfn.XLOOKUP(R251,Cadastros!$D$6:$D$90,Cadastros!$E$6:$E$90))*(1-_xlfn.XLOOKUP(_xlfn.XLOOKUP($F251,Clientes!$B$4:$B$39,Clientes!$C$4:$C$39),Cadastros!$L$6:$L$12,Cadastros!$N$6:$N$12)))</f>
        <v/>
      </c>
      <c r="U251" s="168" t="str">
        <f t="shared" si="42"/>
        <v/>
      </c>
      <c r="V251" s="168" t="str">
        <f>IFERROR(U251/_xlfn.XLOOKUP(_xlfn.XLOOKUP($F251,Clientes!$B$4:$B$39,Clientes!$C$4:$C$39),Cadastros!$L$6:$L$12,Cadastros!$M$6:$M$12)," ")</f>
        <v xml:space="preserve"> </v>
      </c>
      <c r="W251" s="28"/>
      <c r="X251" s="28"/>
      <c r="Y251" s="255" t="str">
        <f>IF(W251="","",(_xlfn.XLOOKUP(W251,Cadastros!$D$6:$D$90,Cadastros!$E$6:$E$90))*(1-_xlfn.XLOOKUP(_xlfn.XLOOKUP($F251,Clientes!$B$4:$B$39,Clientes!$C$4:$C$39),Cadastros!$L$6:$L$12,Cadastros!$N$6:$N$12)))</f>
        <v/>
      </c>
      <c r="Z251" s="168" t="str">
        <f t="shared" si="43"/>
        <v/>
      </c>
      <c r="AA251" s="168" t="str">
        <f>IFERROR(Z251/_xlfn.XLOOKUP(_xlfn.XLOOKUP($F251,Clientes!$B$4:$B$39,Clientes!$C$4:$C$39),Cadastros!$L$6:$L$12,Cadastros!$M$6:$M$12)," ")</f>
        <v xml:space="preserve"> </v>
      </c>
      <c r="AB251" s="28"/>
      <c r="AC251" s="28"/>
      <c r="AD251" s="20" t="str">
        <f>IF(AB251="","",IF($F251="Bernardino Furlan",_xlfn.XLOOKUP(AB251,Cadastros!$G$6:$G$90,Cadastros!$H$6:$H$90)*(1-0.18),IF($F251="Mauro José Salanti",_xlfn.XLOOKUP(AB251,Cadastros!$G$6:$G$90,Cadastros!$H$6:$H$90)*(1-0.18),_xlfn.XLOOKUP(AB251,Cadastros!$G$6:$G$90,Cadastros!$H$6:$H$90))))</f>
        <v/>
      </c>
      <c r="AE251" s="168" t="str">
        <f t="shared" si="44"/>
        <v/>
      </c>
      <c r="AF251" s="168" t="str">
        <f t="shared" si="45"/>
        <v/>
      </c>
      <c r="AG251" s="28"/>
      <c r="AH251" s="28"/>
      <c r="AI251" s="20" t="str">
        <f>IF(AG251="","",IF($F251="Bernardino Furlan",_xlfn.XLOOKUP(AG251,Cadastros!$G$6:$G$90,Cadastros!$H$6:$H$90)*(1-0.18),IF($F251="Mauro José Salanti",_xlfn.XLOOKUP(AG251,Cadastros!$G$6:$G$90,Cadastros!$H$6:$H$90)*(1-0.18),_xlfn.XLOOKUP(AG251,Cadastros!$G$6:$G$90,Cadastros!$H$6:$H$90))))</f>
        <v/>
      </c>
      <c r="AJ251" s="168" t="str">
        <f t="shared" si="46"/>
        <v/>
      </c>
      <c r="AK251" s="168" t="str">
        <f t="shared" si="47"/>
        <v/>
      </c>
      <c r="AL251" s="28"/>
      <c r="AM251" s="28"/>
      <c r="AN251" s="20" t="str">
        <f>IF(AL251="","",IF($F251="Bernardino Furlan",_xlfn.XLOOKUP(AL251,Cadastros!$G$6:$G$90,Cadastros!$H$6:$H$90)*(1-0.18),IF($F251="Mauro José Salanti",_xlfn.XLOOKUP(AL251,Cadastros!$G$6:$G$90,Cadastros!$H$6:$H$90)*(1-0.18),_xlfn.XLOOKUP(AL251,Cadastros!$G$6:$G$90,Cadastros!$H$6:$H$90))))</f>
        <v/>
      </c>
      <c r="AO251" s="168" t="str">
        <f t="shared" si="48"/>
        <v/>
      </c>
      <c r="AP251" s="168" t="str">
        <f t="shared" si="49"/>
        <v/>
      </c>
      <c r="AQ251" s="28"/>
      <c r="AR251" s="28"/>
      <c r="AS251" s="20" t="str">
        <f>IF(AQ251="","",IF($F251="Bernardino Furlan",_xlfn.XLOOKUP(AQ251,Cadastros!$G$6:$G$90,Cadastros!$H$6:$H$90)*(1-0.18),IF($F251="Mauro José Salanti",_xlfn.XLOOKUP(AQ251,Cadastros!$G$6:$G$90,Cadastros!$H$6:$H$90)*(1-0.18),_xlfn.XLOOKUP(AQ251,Cadastros!$G$6:$G$90,Cadastros!$H$6:$H$90))))</f>
        <v/>
      </c>
      <c r="AT251" s="168" t="str">
        <f t="shared" si="50"/>
        <v/>
      </c>
      <c r="AU251" s="168" t="str">
        <f t="shared" si="51"/>
        <v/>
      </c>
      <c r="AV251" s="227"/>
      <c r="AW251" s="30"/>
      <c r="AX251" s="267"/>
      <c r="AY251" s="267"/>
      <c r="AZ251" s="29"/>
      <c r="BA251" s="30"/>
      <c r="BB251" s="23" t="str" cm="1">
        <f t="array" ref="BB251">_xlfn.IFS(AW251="SIM",SUM(K251,P251,U251,Z251,AE251,AJ251,AO251,AT251,AX251,AY251),F251&lt;&gt;"",SUM(K251,P251,U251,Z251,AE251,AJ251,,AO251,AT251),F251="","")</f>
        <v/>
      </c>
      <c r="BC251" s="211" t="str" cm="1">
        <f t="array" ref="BC251">_xlfn.IFS(E251="","",G251&lt;=E251,BB251*(1-0.03),G251&lt;(E251+8),BB251,AZ251="Boleto",BB251*(1+0.001)^DATEDIF(E251,G251,"D"),AZ251="Cheque",BB251,AZ251="Dinheiro","Alterar forma pgto")</f>
        <v/>
      </c>
      <c r="BD251" s="276" t="str" cm="1">
        <f t="array" ref="BD251">IF(F251=0," ",IF(BC251&lt;BB251,(_xlfn.IFS(AW251="SIM",SUM(L251,Q251,V251,AA251,AF251,AK251,AP251,AU251)+AX251/_xlfn.XLOOKUP(_xlfn.XLOOKUP($F251,Clientes!$B$4:$B$39,Clientes!$C$4:$C$39),Cadastros!$L$6:$L$12,Cadastros!$M$6:$M$12)+IF($F251="Bernardino Furlan",AY251/2751.92,IF($F251="Mauro José Salanti",AY251/2751.92,AY251/3356)),F251&lt;&gt;0,SUM(L251,Q251,V251,AA251,AF251,AK251,AP251,AU251)))*(1-0.03),_xlfn.IFS(AW251="SIM",SUM(L251,Q251,V251,AA251,AF251,AK251,AP251,AU251)+AX251/_xlfn.XLOOKUP(_xlfn.XLOOKUP($F251,Clientes!$B$4:$B$39,Clientes!$C$4:$C$39),Cadastros!$L$6:$L$12,Cadastros!$M$6:$M$12)+IF($F251="Bernardino Furlan",AY251/2751.92,IF($F251="Mauro José Salanti",AY251/2751.92,AY251/3356)),F251&lt;&gt;0,SUM(L251,Q251,V251,AA251,AF251,AK251,AP251,AU251))))</f>
        <v xml:space="preserve"> </v>
      </c>
      <c r="BE251" s="120"/>
      <c r="BF251" s="120"/>
      <c r="BG251" s="120"/>
    </row>
    <row r="252" spans="1:59" s="3" customFormat="1" x14ac:dyDescent="0.3">
      <c r="A252" s="15" t="str">
        <f t="shared" si="39"/>
        <v/>
      </c>
      <c r="B252" s="25"/>
      <c r="C252" s="26"/>
      <c r="D252" s="279"/>
      <c r="E252" s="27"/>
      <c r="F252" s="28"/>
      <c r="G252" s="27"/>
      <c r="H252" s="28"/>
      <c r="I252" s="28"/>
      <c r="J252" s="255" t="str">
        <f>IF(H252="","",(_xlfn.XLOOKUP(H252,Cadastros!$D$6:$D$90,Cadastros!$E$6:$E$90))*(1-_xlfn.XLOOKUP(_xlfn.XLOOKUP($F252,Clientes!$B$4:$B$39,Clientes!$C$4:$C$39),Cadastros!$L$6:$L$12,Cadastros!$N$6:$N$12)))</f>
        <v/>
      </c>
      <c r="K252" s="168" t="str">
        <f t="shared" si="40"/>
        <v/>
      </c>
      <c r="L252" s="168" t="str">
        <f>IFERROR(K252/_xlfn.XLOOKUP(_xlfn.XLOOKUP($F252,Clientes!$B$4:$B$39,Clientes!$C$4:$C$39),Cadastros!$L$6:$L$12,Cadastros!$M$6:$M$12)," ")</f>
        <v xml:space="preserve"> </v>
      </c>
      <c r="M252" s="28"/>
      <c r="N252" s="28"/>
      <c r="O252" s="255" t="str">
        <f>IF(M252="","",(_xlfn.XLOOKUP(M252,Cadastros!$D$6:$D$90,Cadastros!$E$6:$E$90))*(1-_xlfn.XLOOKUP(_xlfn.XLOOKUP($F252,Clientes!$B$4:$B$39,Clientes!$C$4:$C$39),Cadastros!$L$6:$L$12,Cadastros!$N$6:$N$12)))</f>
        <v/>
      </c>
      <c r="P252" s="168" t="str">
        <f t="shared" si="41"/>
        <v/>
      </c>
      <c r="Q252" s="168" t="str">
        <f>IFERROR(P252/_xlfn.XLOOKUP(_xlfn.XLOOKUP($F252,Clientes!$B$4:$B$39,Clientes!$C$4:$C$39),Cadastros!$L$6:$L$12,Cadastros!$M$6:$M$12)," ")</f>
        <v xml:space="preserve"> </v>
      </c>
      <c r="R252" s="28"/>
      <c r="S252" s="28"/>
      <c r="T252" s="255" t="str">
        <f>IF(R252="","",(_xlfn.XLOOKUP(R252,Cadastros!$D$6:$D$90,Cadastros!$E$6:$E$90))*(1-_xlfn.XLOOKUP(_xlfn.XLOOKUP($F252,Clientes!$B$4:$B$39,Clientes!$C$4:$C$39),Cadastros!$L$6:$L$12,Cadastros!$N$6:$N$12)))</f>
        <v/>
      </c>
      <c r="U252" s="168" t="str">
        <f t="shared" si="42"/>
        <v/>
      </c>
      <c r="V252" s="168" t="str">
        <f>IFERROR(U252/_xlfn.XLOOKUP(_xlfn.XLOOKUP($F252,Clientes!$B$4:$B$39,Clientes!$C$4:$C$39),Cadastros!$L$6:$L$12,Cadastros!$M$6:$M$12)," ")</f>
        <v xml:space="preserve"> </v>
      </c>
      <c r="W252" s="28"/>
      <c r="X252" s="28"/>
      <c r="Y252" s="255" t="str">
        <f>IF(W252="","",(_xlfn.XLOOKUP(W252,Cadastros!$D$6:$D$90,Cadastros!$E$6:$E$90))*(1-_xlfn.XLOOKUP(_xlfn.XLOOKUP($F252,Clientes!$B$4:$B$39,Clientes!$C$4:$C$39),Cadastros!$L$6:$L$12,Cadastros!$N$6:$N$12)))</f>
        <v/>
      </c>
      <c r="Z252" s="168" t="str">
        <f t="shared" si="43"/>
        <v/>
      </c>
      <c r="AA252" s="168" t="str">
        <f>IFERROR(Z252/_xlfn.XLOOKUP(_xlfn.XLOOKUP($F252,Clientes!$B$4:$B$39,Clientes!$C$4:$C$39),Cadastros!$L$6:$L$12,Cadastros!$M$6:$M$12)," ")</f>
        <v xml:space="preserve"> </v>
      </c>
      <c r="AB252" s="28"/>
      <c r="AC252" s="28"/>
      <c r="AD252" s="20" t="str">
        <f>IF(AB252="","",IF($F252="Bernardino Furlan",_xlfn.XLOOKUP(AB252,Cadastros!$G$6:$G$90,Cadastros!$H$6:$H$90)*(1-0.18),IF($F252="Mauro José Salanti",_xlfn.XLOOKUP(AB252,Cadastros!$G$6:$G$90,Cadastros!$H$6:$H$90)*(1-0.18),_xlfn.XLOOKUP(AB252,Cadastros!$G$6:$G$90,Cadastros!$H$6:$H$90))))</f>
        <v/>
      </c>
      <c r="AE252" s="168" t="str">
        <f t="shared" si="44"/>
        <v/>
      </c>
      <c r="AF252" s="168" t="str">
        <f t="shared" si="45"/>
        <v/>
      </c>
      <c r="AG252" s="28"/>
      <c r="AH252" s="28"/>
      <c r="AI252" s="20" t="str">
        <f>IF(AG252="","",IF($F252="Bernardino Furlan",_xlfn.XLOOKUP(AG252,Cadastros!$G$6:$G$90,Cadastros!$H$6:$H$90)*(1-0.18),IF($F252="Mauro José Salanti",_xlfn.XLOOKUP(AG252,Cadastros!$G$6:$G$90,Cadastros!$H$6:$H$90)*(1-0.18),_xlfn.XLOOKUP(AG252,Cadastros!$G$6:$G$90,Cadastros!$H$6:$H$90))))</f>
        <v/>
      </c>
      <c r="AJ252" s="168" t="str">
        <f t="shared" si="46"/>
        <v/>
      </c>
      <c r="AK252" s="168" t="str">
        <f t="shared" si="47"/>
        <v/>
      </c>
      <c r="AL252" s="28"/>
      <c r="AM252" s="28"/>
      <c r="AN252" s="20" t="str">
        <f>IF(AL252="","",IF($F252="Bernardino Furlan",_xlfn.XLOOKUP(AL252,Cadastros!$G$6:$G$90,Cadastros!$H$6:$H$90)*(1-0.18),IF($F252="Mauro José Salanti",_xlfn.XLOOKUP(AL252,Cadastros!$G$6:$G$90,Cadastros!$H$6:$H$90)*(1-0.18),_xlfn.XLOOKUP(AL252,Cadastros!$G$6:$G$90,Cadastros!$H$6:$H$90))))</f>
        <v/>
      </c>
      <c r="AO252" s="168" t="str">
        <f t="shared" si="48"/>
        <v/>
      </c>
      <c r="AP252" s="168" t="str">
        <f t="shared" si="49"/>
        <v/>
      </c>
      <c r="AQ252" s="28"/>
      <c r="AR252" s="28"/>
      <c r="AS252" s="20" t="str">
        <f>IF(AQ252="","",IF($F252="Bernardino Furlan",_xlfn.XLOOKUP(AQ252,Cadastros!$G$6:$G$90,Cadastros!$H$6:$H$90)*(1-0.18),IF($F252="Mauro José Salanti",_xlfn.XLOOKUP(AQ252,Cadastros!$G$6:$G$90,Cadastros!$H$6:$H$90)*(1-0.18),_xlfn.XLOOKUP(AQ252,Cadastros!$G$6:$G$90,Cadastros!$H$6:$H$90))))</f>
        <v/>
      </c>
      <c r="AT252" s="168" t="str">
        <f t="shared" si="50"/>
        <v/>
      </c>
      <c r="AU252" s="168" t="str">
        <f t="shared" si="51"/>
        <v/>
      </c>
      <c r="AV252" s="227"/>
      <c r="AW252" s="30"/>
      <c r="AX252" s="267"/>
      <c r="AY252" s="267"/>
      <c r="AZ252" s="29"/>
      <c r="BA252" s="30"/>
      <c r="BB252" s="23" t="str" cm="1">
        <f t="array" ref="BB252">_xlfn.IFS(AW252="SIM",SUM(K252,P252,U252,Z252,AE252,AJ252,AO252,AT252,AX252,AY252),F252&lt;&gt;"",SUM(K252,P252,U252,Z252,AE252,AJ252,,AO252,AT252),F252="","")</f>
        <v/>
      </c>
      <c r="BC252" s="211" t="str" cm="1">
        <f t="array" ref="BC252">_xlfn.IFS(E252="","",G252&lt;=E252,BB252*(1-0.03),G252&lt;(E252+8),BB252,AZ252="Boleto",BB252*(1+0.001)^DATEDIF(E252,G252,"D"),AZ252="Cheque",BB252,AZ252="Dinheiro","Alterar forma pgto")</f>
        <v/>
      </c>
      <c r="BD252" s="276" t="str" cm="1">
        <f t="array" ref="BD252">IF(F252=0," ",IF(BC252&lt;BB252,(_xlfn.IFS(AW252="SIM",SUM(L252,Q252,V252,AA252,AF252,AK252,AP252,AU252)+AX252/_xlfn.XLOOKUP(_xlfn.XLOOKUP($F252,Clientes!$B$4:$B$39,Clientes!$C$4:$C$39),Cadastros!$L$6:$L$12,Cadastros!$M$6:$M$12)+IF($F252="Bernardino Furlan",AY252/2751.92,IF($F252="Mauro José Salanti",AY252/2751.92,AY252/3356)),F252&lt;&gt;0,SUM(L252,Q252,V252,AA252,AF252,AK252,AP252,AU252)))*(1-0.03),_xlfn.IFS(AW252="SIM",SUM(L252,Q252,V252,AA252,AF252,AK252,AP252,AU252)+AX252/_xlfn.XLOOKUP(_xlfn.XLOOKUP($F252,Clientes!$B$4:$B$39,Clientes!$C$4:$C$39),Cadastros!$L$6:$L$12,Cadastros!$M$6:$M$12)+IF($F252="Bernardino Furlan",AY252/2751.92,IF($F252="Mauro José Salanti",AY252/2751.92,AY252/3356)),F252&lt;&gt;0,SUM(L252,Q252,V252,AA252,AF252,AK252,AP252,AU252))))</f>
        <v xml:space="preserve"> </v>
      </c>
      <c r="BE252" s="120"/>
      <c r="BF252" s="120"/>
      <c r="BG252" s="120"/>
    </row>
    <row r="253" spans="1:59" s="3" customFormat="1" x14ac:dyDescent="0.3">
      <c r="A253" s="15" t="str">
        <f t="shared" si="39"/>
        <v/>
      </c>
      <c r="B253" s="25"/>
      <c r="C253" s="26"/>
      <c r="D253" s="279"/>
      <c r="E253" s="27"/>
      <c r="F253" s="28"/>
      <c r="G253" s="27"/>
      <c r="H253" s="28"/>
      <c r="I253" s="28"/>
      <c r="J253" s="255" t="str">
        <f>IF(H253="","",(_xlfn.XLOOKUP(H253,Cadastros!$D$6:$D$90,Cadastros!$E$6:$E$90))*(1-_xlfn.XLOOKUP(_xlfn.XLOOKUP($F253,Clientes!$B$4:$B$39,Clientes!$C$4:$C$39),Cadastros!$L$6:$L$12,Cadastros!$N$6:$N$12)))</f>
        <v/>
      </c>
      <c r="K253" s="168" t="str">
        <f t="shared" si="40"/>
        <v/>
      </c>
      <c r="L253" s="168" t="str">
        <f>IFERROR(K253/_xlfn.XLOOKUP(_xlfn.XLOOKUP($F253,Clientes!$B$4:$B$39,Clientes!$C$4:$C$39),Cadastros!$L$6:$L$12,Cadastros!$M$6:$M$12)," ")</f>
        <v xml:space="preserve"> </v>
      </c>
      <c r="M253" s="28"/>
      <c r="N253" s="28"/>
      <c r="O253" s="255" t="str">
        <f>IF(M253="","",(_xlfn.XLOOKUP(M253,Cadastros!$D$6:$D$90,Cadastros!$E$6:$E$90))*(1-_xlfn.XLOOKUP(_xlfn.XLOOKUP($F253,Clientes!$B$4:$B$39,Clientes!$C$4:$C$39),Cadastros!$L$6:$L$12,Cadastros!$N$6:$N$12)))</f>
        <v/>
      </c>
      <c r="P253" s="168" t="str">
        <f t="shared" si="41"/>
        <v/>
      </c>
      <c r="Q253" s="168" t="str">
        <f>IFERROR(P253/_xlfn.XLOOKUP(_xlfn.XLOOKUP($F253,Clientes!$B$4:$B$39,Clientes!$C$4:$C$39),Cadastros!$L$6:$L$12,Cadastros!$M$6:$M$12)," ")</f>
        <v xml:space="preserve"> </v>
      </c>
      <c r="R253" s="28"/>
      <c r="S253" s="28"/>
      <c r="T253" s="255" t="str">
        <f>IF(R253="","",(_xlfn.XLOOKUP(R253,Cadastros!$D$6:$D$90,Cadastros!$E$6:$E$90))*(1-_xlfn.XLOOKUP(_xlfn.XLOOKUP($F253,Clientes!$B$4:$B$39,Clientes!$C$4:$C$39),Cadastros!$L$6:$L$12,Cadastros!$N$6:$N$12)))</f>
        <v/>
      </c>
      <c r="U253" s="168" t="str">
        <f t="shared" si="42"/>
        <v/>
      </c>
      <c r="V253" s="168" t="str">
        <f>IFERROR(U253/_xlfn.XLOOKUP(_xlfn.XLOOKUP($F253,Clientes!$B$4:$B$39,Clientes!$C$4:$C$39),Cadastros!$L$6:$L$12,Cadastros!$M$6:$M$12)," ")</f>
        <v xml:space="preserve"> </v>
      </c>
      <c r="W253" s="28"/>
      <c r="X253" s="28"/>
      <c r="Y253" s="255" t="str">
        <f>IF(W253="","",(_xlfn.XLOOKUP(W253,Cadastros!$D$6:$D$90,Cadastros!$E$6:$E$90))*(1-_xlfn.XLOOKUP(_xlfn.XLOOKUP($F253,Clientes!$B$4:$B$39,Clientes!$C$4:$C$39),Cadastros!$L$6:$L$12,Cadastros!$N$6:$N$12)))</f>
        <v/>
      </c>
      <c r="Z253" s="168" t="str">
        <f t="shared" si="43"/>
        <v/>
      </c>
      <c r="AA253" s="168" t="str">
        <f>IFERROR(Z253/_xlfn.XLOOKUP(_xlfn.XLOOKUP($F253,Clientes!$B$4:$B$39,Clientes!$C$4:$C$39),Cadastros!$L$6:$L$12,Cadastros!$M$6:$M$12)," ")</f>
        <v xml:space="preserve"> </v>
      </c>
      <c r="AB253" s="28"/>
      <c r="AC253" s="28"/>
      <c r="AD253" s="20" t="str">
        <f>IF(AB253="","",IF($F253="Bernardino Furlan",_xlfn.XLOOKUP(AB253,Cadastros!$G$6:$G$90,Cadastros!$H$6:$H$90)*(1-0.18),IF($F253="Mauro José Salanti",_xlfn.XLOOKUP(AB253,Cadastros!$G$6:$G$90,Cadastros!$H$6:$H$90)*(1-0.18),_xlfn.XLOOKUP(AB253,Cadastros!$G$6:$G$90,Cadastros!$H$6:$H$90))))</f>
        <v/>
      </c>
      <c r="AE253" s="168" t="str">
        <f t="shared" si="44"/>
        <v/>
      </c>
      <c r="AF253" s="168" t="str">
        <f t="shared" si="45"/>
        <v/>
      </c>
      <c r="AG253" s="28"/>
      <c r="AH253" s="28"/>
      <c r="AI253" s="20" t="str">
        <f>IF(AG253="","",IF($F253="Bernardino Furlan",_xlfn.XLOOKUP(AG253,Cadastros!$G$6:$G$90,Cadastros!$H$6:$H$90)*(1-0.18),IF($F253="Mauro José Salanti",_xlfn.XLOOKUP(AG253,Cadastros!$G$6:$G$90,Cadastros!$H$6:$H$90)*(1-0.18),_xlfn.XLOOKUP(AG253,Cadastros!$G$6:$G$90,Cadastros!$H$6:$H$90))))</f>
        <v/>
      </c>
      <c r="AJ253" s="168" t="str">
        <f t="shared" si="46"/>
        <v/>
      </c>
      <c r="AK253" s="168" t="str">
        <f t="shared" si="47"/>
        <v/>
      </c>
      <c r="AL253" s="28"/>
      <c r="AM253" s="28"/>
      <c r="AN253" s="20" t="str">
        <f>IF(AL253="","",IF($F253="Bernardino Furlan",_xlfn.XLOOKUP(AL253,Cadastros!$G$6:$G$90,Cadastros!$H$6:$H$90)*(1-0.18),IF($F253="Mauro José Salanti",_xlfn.XLOOKUP(AL253,Cadastros!$G$6:$G$90,Cadastros!$H$6:$H$90)*(1-0.18),_xlfn.XLOOKUP(AL253,Cadastros!$G$6:$G$90,Cadastros!$H$6:$H$90))))</f>
        <v/>
      </c>
      <c r="AO253" s="168" t="str">
        <f t="shared" si="48"/>
        <v/>
      </c>
      <c r="AP253" s="168" t="str">
        <f t="shared" si="49"/>
        <v/>
      </c>
      <c r="AQ253" s="28"/>
      <c r="AR253" s="28"/>
      <c r="AS253" s="20" t="str">
        <f>IF(AQ253="","",IF($F253="Bernardino Furlan",_xlfn.XLOOKUP(AQ253,Cadastros!$G$6:$G$90,Cadastros!$H$6:$H$90)*(1-0.18),IF($F253="Mauro José Salanti",_xlfn.XLOOKUP(AQ253,Cadastros!$G$6:$G$90,Cadastros!$H$6:$H$90)*(1-0.18),_xlfn.XLOOKUP(AQ253,Cadastros!$G$6:$G$90,Cadastros!$H$6:$H$90))))</f>
        <v/>
      </c>
      <c r="AT253" s="168" t="str">
        <f t="shared" si="50"/>
        <v/>
      </c>
      <c r="AU253" s="168" t="str">
        <f t="shared" si="51"/>
        <v/>
      </c>
      <c r="AV253" s="227"/>
      <c r="AW253" s="30"/>
      <c r="AX253" s="267"/>
      <c r="AY253" s="267"/>
      <c r="AZ253" s="29"/>
      <c r="BA253" s="30"/>
      <c r="BB253" s="23" t="str" cm="1">
        <f t="array" ref="BB253">_xlfn.IFS(AW253="SIM",SUM(K253,P253,U253,Z253,AE253,AJ253,AO253,AT253,AX253,AY253),F253&lt;&gt;"",SUM(K253,P253,U253,Z253,AE253,AJ253,,AO253,AT253),F253="","")</f>
        <v/>
      </c>
      <c r="BC253" s="211" t="str" cm="1">
        <f t="array" ref="BC253">_xlfn.IFS(E253="","",G253&lt;=E253,BB253*(1-0.03),G253&lt;(E253+8),BB253,AZ253="Boleto",BB253*(1+0.001)^DATEDIF(E253,G253,"D"),AZ253="Cheque",BB253,AZ253="Dinheiro","Alterar forma pgto")</f>
        <v/>
      </c>
      <c r="BD253" s="276" t="str" cm="1">
        <f t="array" ref="BD253">IF(F253=0," ",IF(BC253&lt;BB253,(_xlfn.IFS(AW253="SIM",SUM(L253,Q253,V253,AA253,AF253,AK253,AP253,AU253)+AX253/_xlfn.XLOOKUP(_xlfn.XLOOKUP($F253,Clientes!$B$4:$B$39,Clientes!$C$4:$C$39),Cadastros!$L$6:$L$12,Cadastros!$M$6:$M$12)+IF($F253="Bernardino Furlan",AY253/2751.92,IF($F253="Mauro José Salanti",AY253/2751.92,AY253/3356)),F253&lt;&gt;0,SUM(L253,Q253,V253,AA253,AF253,AK253,AP253,AU253)))*(1-0.03),_xlfn.IFS(AW253="SIM",SUM(L253,Q253,V253,AA253,AF253,AK253,AP253,AU253)+AX253/_xlfn.XLOOKUP(_xlfn.XLOOKUP($F253,Clientes!$B$4:$B$39,Clientes!$C$4:$C$39),Cadastros!$L$6:$L$12,Cadastros!$M$6:$M$12)+IF($F253="Bernardino Furlan",AY253/2751.92,IF($F253="Mauro José Salanti",AY253/2751.92,AY253/3356)),F253&lt;&gt;0,SUM(L253,Q253,V253,AA253,AF253,AK253,AP253,AU253))))</f>
        <v xml:space="preserve"> </v>
      </c>
      <c r="BE253" s="120"/>
      <c r="BF253" s="120"/>
      <c r="BG253" s="120"/>
    </row>
    <row r="254" spans="1:59" s="3" customFormat="1" x14ac:dyDescent="0.3">
      <c r="A254" s="15" t="str">
        <f t="shared" si="39"/>
        <v/>
      </c>
      <c r="B254" s="25"/>
      <c r="C254" s="26"/>
      <c r="D254" s="279"/>
      <c r="E254" s="27"/>
      <c r="F254" s="28"/>
      <c r="G254" s="27"/>
      <c r="H254" s="28"/>
      <c r="I254" s="28"/>
      <c r="J254" s="255" t="str">
        <f>IF(H254="","",(_xlfn.XLOOKUP(H254,Cadastros!$D$6:$D$90,Cadastros!$E$6:$E$90))*(1-_xlfn.XLOOKUP(_xlfn.XLOOKUP($F254,Clientes!$B$4:$B$39,Clientes!$C$4:$C$39),Cadastros!$L$6:$L$12,Cadastros!$N$6:$N$12)))</f>
        <v/>
      </c>
      <c r="K254" s="168" t="str">
        <f t="shared" si="40"/>
        <v/>
      </c>
      <c r="L254" s="168" t="str">
        <f>IFERROR(K254/_xlfn.XLOOKUP(_xlfn.XLOOKUP($F254,Clientes!$B$4:$B$39,Clientes!$C$4:$C$39),Cadastros!$L$6:$L$12,Cadastros!$M$6:$M$12)," ")</f>
        <v xml:space="preserve"> </v>
      </c>
      <c r="M254" s="28"/>
      <c r="N254" s="28"/>
      <c r="O254" s="255" t="str">
        <f>IF(M254="","",(_xlfn.XLOOKUP(M254,Cadastros!$D$6:$D$90,Cadastros!$E$6:$E$90))*(1-_xlfn.XLOOKUP(_xlfn.XLOOKUP($F254,Clientes!$B$4:$B$39,Clientes!$C$4:$C$39),Cadastros!$L$6:$L$12,Cadastros!$N$6:$N$12)))</f>
        <v/>
      </c>
      <c r="P254" s="168" t="str">
        <f t="shared" si="41"/>
        <v/>
      </c>
      <c r="Q254" s="168" t="str">
        <f>IFERROR(P254/_xlfn.XLOOKUP(_xlfn.XLOOKUP($F254,Clientes!$B$4:$B$39,Clientes!$C$4:$C$39),Cadastros!$L$6:$L$12,Cadastros!$M$6:$M$12)," ")</f>
        <v xml:space="preserve"> </v>
      </c>
      <c r="R254" s="28"/>
      <c r="S254" s="28"/>
      <c r="T254" s="255" t="str">
        <f>IF(R254="","",(_xlfn.XLOOKUP(R254,Cadastros!$D$6:$D$90,Cadastros!$E$6:$E$90))*(1-_xlfn.XLOOKUP(_xlfn.XLOOKUP($F254,Clientes!$B$4:$B$39,Clientes!$C$4:$C$39),Cadastros!$L$6:$L$12,Cadastros!$N$6:$N$12)))</f>
        <v/>
      </c>
      <c r="U254" s="168" t="str">
        <f t="shared" si="42"/>
        <v/>
      </c>
      <c r="V254" s="168" t="str">
        <f>IFERROR(U254/_xlfn.XLOOKUP(_xlfn.XLOOKUP($F254,Clientes!$B$4:$B$39,Clientes!$C$4:$C$39),Cadastros!$L$6:$L$12,Cadastros!$M$6:$M$12)," ")</f>
        <v xml:space="preserve"> </v>
      </c>
      <c r="W254" s="28"/>
      <c r="X254" s="28"/>
      <c r="Y254" s="255" t="str">
        <f>IF(W254="","",(_xlfn.XLOOKUP(W254,Cadastros!$D$6:$D$90,Cadastros!$E$6:$E$90))*(1-_xlfn.XLOOKUP(_xlfn.XLOOKUP($F254,Clientes!$B$4:$B$39,Clientes!$C$4:$C$39),Cadastros!$L$6:$L$12,Cadastros!$N$6:$N$12)))</f>
        <v/>
      </c>
      <c r="Z254" s="168" t="str">
        <f t="shared" si="43"/>
        <v/>
      </c>
      <c r="AA254" s="168" t="str">
        <f>IFERROR(Z254/_xlfn.XLOOKUP(_xlfn.XLOOKUP($F254,Clientes!$B$4:$B$39,Clientes!$C$4:$C$39),Cadastros!$L$6:$L$12,Cadastros!$M$6:$M$12)," ")</f>
        <v xml:space="preserve"> </v>
      </c>
      <c r="AB254" s="28"/>
      <c r="AC254" s="28"/>
      <c r="AD254" s="20" t="str">
        <f>IF(AB254="","",IF($F254="Bernardino Furlan",_xlfn.XLOOKUP(AB254,Cadastros!$G$6:$G$90,Cadastros!$H$6:$H$90)*(1-0.18),IF($F254="Mauro José Salanti",_xlfn.XLOOKUP(AB254,Cadastros!$G$6:$G$90,Cadastros!$H$6:$H$90)*(1-0.18),_xlfn.XLOOKUP(AB254,Cadastros!$G$6:$G$90,Cadastros!$H$6:$H$90))))</f>
        <v/>
      </c>
      <c r="AE254" s="168" t="str">
        <f t="shared" si="44"/>
        <v/>
      </c>
      <c r="AF254" s="168" t="str">
        <f t="shared" si="45"/>
        <v/>
      </c>
      <c r="AG254" s="28"/>
      <c r="AH254" s="28"/>
      <c r="AI254" s="20" t="str">
        <f>IF(AG254="","",IF($F254="Bernardino Furlan",_xlfn.XLOOKUP(AG254,Cadastros!$G$6:$G$90,Cadastros!$H$6:$H$90)*(1-0.18),IF($F254="Mauro José Salanti",_xlfn.XLOOKUP(AG254,Cadastros!$G$6:$G$90,Cadastros!$H$6:$H$90)*(1-0.18),_xlfn.XLOOKUP(AG254,Cadastros!$G$6:$G$90,Cadastros!$H$6:$H$90))))</f>
        <v/>
      </c>
      <c r="AJ254" s="168" t="str">
        <f t="shared" si="46"/>
        <v/>
      </c>
      <c r="AK254" s="168" t="str">
        <f t="shared" si="47"/>
        <v/>
      </c>
      <c r="AL254" s="28"/>
      <c r="AM254" s="28"/>
      <c r="AN254" s="20" t="str">
        <f>IF(AL254="","",IF($F254="Bernardino Furlan",_xlfn.XLOOKUP(AL254,Cadastros!$G$6:$G$90,Cadastros!$H$6:$H$90)*(1-0.18),IF($F254="Mauro José Salanti",_xlfn.XLOOKUP(AL254,Cadastros!$G$6:$G$90,Cadastros!$H$6:$H$90)*(1-0.18),_xlfn.XLOOKUP(AL254,Cadastros!$G$6:$G$90,Cadastros!$H$6:$H$90))))</f>
        <v/>
      </c>
      <c r="AO254" s="168" t="str">
        <f t="shared" si="48"/>
        <v/>
      </c>
      <c r="AP254" s="168" t="str">
        <f t="shared" si="49"/>
        <v/>
      </c>
      <c r="AQ254" s="28"/>
      <c r="AR254" s="28"/>
      <c r="AS254" s="20" t="str">
        <f>IF(AQ254="","",IF($F254="Bernardino Furlan",_xlfn.XLOOKUP(AQ254,Cadastros!$G$6:$G$90,Cadastros!$H$6:$H$90)*(1-0.18),IF($F254="Mauro José Salanti",_xlfn.XLOOKUP(AQ254,Cadastros!$G$6:$G$90,Cadastros!$H$6:$H$90)*(1-0.18),_xlfn.XLOOKUP(AQ254,Cadastros!$G$6:$G$90,Cadastros!$H$6:$H$90))))</f>
        <v/>
      </c>
      <c r="AT254" s="168" t="str">
        <f t="shared" si="50"/>
        <v/>
      </c>
      <c r="AU254" s="168" t="str">
        <f t="shared" si="51"/>
        <v/>
      </c>
      <c r="AV254" s="227"/>
      <c r="AW254" s="30"/>
      <c r="AX254" s="267"/>
      <c r="AY254" s="267"/>
      <c r="AZ254" s="29"/>
      <c r="BA254" s="30"/>
      <c r="BB254" s="23" t="str" cm="1">
        <f t="array" ref="BB254">_xlfn.IFS(AW254="SIM",SUM(K254,P254,U254,Z254,AE254,AJ254,AO254,AT254,AX254,AY254),F254&lt;&gt;"",SUM(K254,P254,U254,Z254,AE254,AJ254,,AO254,AT254),F254="","")</f>
        <v/>
      </c>
      <c r="BC254" s="211" t="str" cm="1">
        <f t="array" ref="BC254">_xlfn.IFS(E254="","",G254&lt;=E254,BB254*(1-0.03),G254&lt;(E254+8),BB254,AZ254="Boleto",BB254*(1+0.001)^DATEDIF(E254,G254,"D"),AZ254="Cheque",BB254,AZ254="Dinheiro","Alterar forma pgto")</f>
        <v/>
      </c>
      <c r="BD254" s="276" t="str" cm="1">
        <f t="array" ref="BD254">IF(F254=0," ",IF(BC254&lt;BB254,(_xlfn.IFS(AW254="SIM",SUM(L254,Q254,V254,AA254,AF254,AK254,AP254,AU254)+AX254/_xlfn.XLOOKUP(_xlfn.XLOOKUP($F254,Clientes!$B$4:$B$39,Clientes!$C$4:$C$39),Cadastros!$L$6:$L$12,Cadastros!$M$6:$M$12)+IF($F254="Bernardino Furlan",AY254/2751.92,IF($F254="Mauro José Salanti",AY254/2751.92,AY254/3356)),F254&lt;&gt;0,SUM(L254,Q254,V254,AA254,AF254,AK254,AP254,AU254)))*(1-0.03),_xlfn.IFS(AW254="SIM",SUM(L254,Q254,V254,AA254,AF254,AK254,AP254,AU254)+AX254/_xlfn.XLOOKUP(_xlfn.XLOOKUP($F254,Clientes!$B$4:$B$39,Clientes!$C$4:$C$39),Cadastros!$L$6:$L$12,Cadastros!$M$6:$M$12)+IF($F254="Bernardino Furlan",AY254/2751.92,IF($F254="Mauro José Salanti",AY254/2751.92,AY254/3356)),F254&lt;&gt;0,SUM(L254,Q254,V254,AA254,AF254,AK254,AP254,AU254))))</f>
        <v xml:space="preserve"> </v>
      </c>
      <c r="BE254" s="120"/>
      <c r="BF254" s="120"/>
      <c r="BG254" s="120"/>
    </row>
    <row r="255" spans="1:59" s="3" customFormat="1" x14ac:dyDescent="0.3">
      <c r="A255" s="15" t="str">
        <f t="shared" si="39"/>
        <v/>
      </c>
      <c r="B255" s="25"/>
      <c r="C255" s="26"/>
      <c r="D255" s="279"/>
      <c r="E255" s="27"/>
      <c r="F255" s="28"/>
      <c r="G255" s="27"/>
      <c r="H255" s="28"/>
      <c r="I255" s="28"/>
      <c r="J255" s="255" t="str">
        <f>IF(H255="","",(_xlfn.XLOOKUP(H255,Cadastros!$D$6:$D$90,Cadastros!$E$6:$E$90))*(1-_xlfn.XLOOKUP(_xlfn.XLOOKUP($F255,Clientes!$B$4:$B$39,Clientes!$C$4:$C$39),Cadastros!$L$6:$L$12,Cadastros!$N$6:$N$12)))</f>
        <v/>
      </c>
      <c r="K255" s="168" t="str">
        <f t="shared" si="40"/>
        <v/>
      </c>
      <c r="L255" s="168" t="str">
        <f>IFERROR(K255/_xlfn.XLOOKUP(_xlfn.XLOOKUP($F255,Clientes!$B$4:$B$39,Clientes!$C$4:$C$39),Cadastros!$L$6:$L$12,Cadastros!$M$6:$M$12)," ")</f>
        <v xml:space="preserve"> </v>
      </c>
      <c r="M255" s="28"/>
      <c r="N255" s="28"/>
      <c r="O255" s="255" t="str">
        <f>IF(M255="","",(_xlfn.XLOOKUP(M255,Cadastros!$D$6:$D$90,Cadastros!$E$6:$E$90))*(1-_xlfn.XLOOKUP(_xlfn.XLOOKUP($F255,Clientes!$B$4:$B$39,Clientes!$C$4:$C$39),Cadastros!$L$6:$L$12,Cadastros!$N$6:$N$12)))</f>
        <v/>
      </c>
      <c r="P255" s="168" t="str">
        <f t="shared" si="41"/>
        <v/>
      </c>
      <c r="Q255" s="168" t="str">
        <f>IFERROR(P255/_xlfn.XLOOKUP(_xlfn.XLOOKUP($F255,Clientes!$B$4:$B$39,Clientes!$C$4:$C$39),Cadastros!$L$6:$L$12,Cadastros!$M$6:$M$12)," ")</f>
        <v xml:space="preserve"> </v>
      </c>
      <c r="R255" s="28"/>
      <c r="S255" s="28"/>
      <c r="T255" s="255" t="str">
        <f>IF(R255="","",(_xlfn.XLOOKUP(R255,Cadastros!$D$6:$D$90,Cadastros!$E$6:$E$90))*(1-_xlfn.XLOOKUP(_xlfn.XLOOKUP($F255,Clientes!$B$4:$B$39,Clientes!$C$4:$C$39),Cadastros!$L$6:$L$12,Cadastros!$N$6:$N$12)))</f>
        <v/>
      </c>
      <c r="U255" s="168" t="str">
        <f t="shared" si="42"/>
        <v/>
      </c>
      <c r="V255" s="168" t="str">
        <f>IFERROR(U255/_xlfn.XLOOKUP(_xlfn.XLOOKUP($F255,Clientes!$B$4:$B$39,Clientes!$C$4:$C$39),Cadastros!$L$6:$L$12,Cadastros!$M$6:$M$12)," ")</f>
        <v xml:space="preserve"> </v>
      </c>
      <c r="W255" s="28"/>
      <c r="X255" s="28"/>
      <c r="Y255" s="255" t="str">
        <f>IF(W255="","",(_xlfn.XLOOKUP(W255,Cadastros!$D$6:$D$90,Cadastros!$E$6:$E$90))*(1-_xlfn.XLOOKUP(_xlfn.XLOOKUP($F255,Clientes!$B$4:$B$39,Clientes!$C$4:$C$39),Cadastros!$L$6:$L$12,Cadastros!$N$6:$N$12)))</f>
        <v/>
      </c>
      <c r="Z255" s="168" t="str">
        <f t="shared" si="43"/>
        <v/>
      </c>
      <c r="AA255" s="168" t="str">
        <f>IFERROR(Z255/_xlfn.XLOOKUP(_xlfn.XLOOKUP($F255,Clientes!$B$4:$B$39,Clientes!$C$4:$C$39),Cadastros!$L$6:$L$12,Cadastros!$M$6:$M$12)," ")</f>
        <v xml:space="preserve"> </v>
      </c>
      <c r="AB255" s="28"/>
      <c r="AC255" s="28"/>
      <c r="AD255" s="20" t="str">
        <f>IF(AB255="","",IF($F255="Bernardino Furlan",_xlfn.XLOOKUP(AB255,Cadastros!$G$6:$G$90,Cadastros!$H$6:$H$90)*(1-0.18),IF($F255="Mauro José Salanti",_xlfn.XLOOKUP(AB255,Cadastros!$G$6:$G$90,Cadastros!$H$6:$H$90)*(1-0.18),_xlfn.XLOOKUP(AB255,Cadastros!$G$6:$G$90,Cadastros!$H$6:$H$90))))</f>
        <v/>
      </c>
      <c r="AE255" s="168" t="str">
        <f t="shared" si="44"/>
        <v/>
      </c>
      <c r="AF255" s="168" t="str">
        <f t="shared" si="45"/>
        <v/>
      </c>
      <c r="AG255" s="28"/>
      <c r="AH255" s="28"/>
      <c r="AI255" s="20" t="str">
        <f>IF(AG255="","",IF($F255="Bernardino Furlan",_xlfn.XLOOKUP(AG255,Cadastros!$G$6:$G$90,Cadastros!$H$6:$H$90)*(1-0.18),IF($F255="Mauro José Salanti",_xlfn.XLOOKUP(AG255,Cadastros!$G$6:$G$90,Cadastros!$H$6:$H$90)*(1-0.18),_xlfn.XLOOKUP(AG255,Cadastros!$G$6:$G$90,Cadastros!$H$6:$H$90))))</f>
        <v/>
      </c>
      <c r="AJ255" s="168" t="str">
        <f t="shared" si="46"/>
        <v/>
      </c>
      <c r="AK255" s="168" t="str">
        <f t="shared" si="47"/>
        <v/>
      </c>
      <c r="AL255" s="28"/>
      <c r="AM255" s="28"/>
      <c r="AN255" s="20" t="str">
        <f>IF(AL255="","",IF($F255="Bernardino Furlan",_xlfn.XLOOKUP(AL255,Cadastros!$G$6:$G$90,Cadastros!$H$6:$H$90)*(1-0.18),IF($F255="Mauro José Salanti",_xlfn.XLOOKUP(AL255,Cadastros!$G$6:$G$90,Cadastros!$H$6:$H$90)*(1-0.18),_xlfn.XLOOKUP(AL255,Cadastros!$G$6:$G$90,Cadastros!$H$6:$H$90))))</f>
        <v/>
      </c>
      <c r="AO255" s="168" t="str">
        <f t="shared" si="48"/>
        <v/>
      </c>
      <c r="AP255" s="168" t="str">
        <f t="shared" si="49"/>
        <v/>
      </c>
      <c r="AQ255" s="28"/>
      <c r="AR255" s="28"/>
      <c r="AS255" s="20" t="str">
        <f>IF(AQ255="","",IF($F255="Bernardino Furlan",_xlfn.XLOOKUP(AQ255,Cadastros!$G$6:$G$90,Cadastros!$H$6:$H$90)*(1-0.18),IF($F255="Mauro José Salanti",_xlfn.XLOOKUP(AQ255,Cadastros!$G$6:$G$90,Cadastros!$H$6:$H$90)*(1-0.18),_xlfn.XLOOKUP(AQ255,Cadastros!$G$6:$G$90,Cadastros!$H$6:$H$90))))</f>
        <v/>
      </c>
      <c r="AT255" s="168" t="str">
        <f t="shared" si="50"/>
        <v/>
      </c>
      <c r="AU255" s="168" t="str">
        <f t="shared" si="51"/>
        <v/>
      </c>
      <c r="AV255" s="227"/>
      <c r="AW255" s="30"/>
      <c r="AX255" s="267"/>
      <c r="AY255" s="267"/>
      <c r="AZ255" s="29"/>
      <c r="BA255" s="30"/>
      <c r="BB255" s="23" t="str" cm="1">
        <f t="array" ref="BB255">_xlfn.IFS(AW255="SIM",SUM(K255,P255,U255,Z255,AE255,AJ255,AO255,AT255,AX255,AY255),F255&lt;&gt;"",SUM(K255,P255,U255,Z255,AE255,AJ255,,AO255,AT255),F255="","")</f>
        <v/>
      </c>
      <c r="BC255" s="211" t="str" cm="1">
        <f t="array" ref="BC255">_xlfn.IFS(E255="","",G255&lt;=E255,BB255*(1-0.03),G255&lt;(E255+8),BB255,AZ255="Boleto",BB255*(1+0.001)^DATEDIF(E255,G255,"D"),AZ255="Cheque",BB255,AZ255="Dinheiro","Alterar forma pgto")</f>
        <v/>
      </c>
      <c r="BD255" s="276" t="str" cm="1">
        <f t="array" ref="BD255">IF(F255=0," ",IF(BC255&lt;BB255,(_xlfn.IFS(AW255="SIM",SUM(L255,Q255,V255,AA255,AF255,AK255,AP255,AU255)+AX255/_xlfn.XLOOKUP(_xlfn.XLOOKUP($F255,Clientes!$B$4:$B$39,Clientes!$C$4:$C$39),Cadastros!$L$6:$L$12,Cadastros!$M$6:$M$12)+IF($F255="Bernardino Furlan",AY255/2751.92,IF($F255="Mauro José Salanti",AY255/2751.92,AY255/3356)),F255&lt;&gt;0,SUM(L255,Q255,V255,AA255,AF255,AK255,AP255,AU255)))*(1-0.03),_xlfn.IFS(AW255="SIM",SUM(L255,Q255,V255,AA255,AF255,AK255,AP255,AU255)+AX255/_xlfn.XLOOKUP(_xlfn.XLOOKUP($F255,Clientes!$B$4:$B$39,Clientes!$C$4:$C$39),Cadastros!$L$6:$L$12,Cadastros!$M$6:$M$12)+IF($F255="Bernardino Furlan",AY255/2751.92,IF($F255="Mauro José Salanti",AY255/2751.92,AY255/3356)),F255&lt;&gt;0,SUM(L255,Q255,V255,AA255,AF255,AK255,AP255,AU255))))</f>
        <v xml:space="preserve"> </v>
      </c>
      <c r="BE255" s="120"/>
      <c r="BF255" s="120"/>
      <c r="BG255" s="120"/>
    </row>
    <row r="256" spans="1:59" s="3" customFormat="1" x14ac:dyDescent="0.3">
      <c r="A256" s="15" t="str">
        <f t="shared" si="39"/>
        <v/>
      </c>
      <c r="B256" s="25"/>
      <c r="C256" s="26"/>
      <c r="D256" s="279"/>
      <c r="E256" s="27"/>
      <c r="F256" s="28"/>
      <c r="G256" s="27"/>
      <c r="H256" s="28"/>
      <c r="I256" s="28"/>
      <c r="J256" s="255" t="str">
        <f>IF(H256="","",(_xlfn.XLOOKUP(H256,Cadastros!$D$6:$D$90,Cadastros!$E$6:$E$90))*(1-_xlfn.XLOOKUP(_xlfn.XLOOKUP($F256,Clientes!$B$4:$B$39,Clientes!$C$4:$C$39),Cadastros!$L$6:$L$12,Cadastros!$N$6:$N$12)))</f>
        <v/>
      </c>
      <c r="K256" s="168" t="str">
        <f t="shared" si="40"/>
        <v/>
      </c>
      <c r="L256" s="168" t="str">
        <f>IFERROR(K256/_xlfn.XLOOKUP(_xlfn.XLOOKUP($F256,Clientes!$B$4:$B$39,Clientes!$C$4:$C$39),Cadastros!$L$6:$L$12,Cadastros!$M$6:$M$12)," ")</f>
        <v xml:space="preserve"> </v>
      </c>
      <c r="M256" s="28"/>
      <c r="N256" s="28"/>
      <c r="O256" s="255" t="str">
        <f>IF(M256="","",(_xlfn.XLOOKUP(M256,Cadastros!$D$6:$D$90,Cadastros!$E$6:$E$90))*(1-_xlfn.XLOOKUP(_xlfn.XLOOKUP($F256,Clientes!$B$4:$B$39,Clientes!$C$4:$C$39),Cadastros!$L$6:$L$12,Cadastros!$N$6:$N$12)))</f>
        <v/>
      </c>
      <c r="P256" s="168" t="str">
        <f t="shared" si="41"/>
        <v/>
      </c>
      <c r="Q256" s="168" t="str">
        <f>IFERROR(P256/_xlfn.XLOOKUP(_xlfn.XLOOKUP($F256,Clientes!$B$4:$B$39,Clientes!$C$4:$C$39),Cadastros!$L$6:$L$12,Cadastros!$M$6:$M$12)," ")</f>
        <v xml:space="preserve"> </v>
      </c>
      <c r="R256" s="28"/>
      <c r="S256" s="28"/>
      <c r="T256" s="255" t="str">
        <f>IF(R256="","",(_xlfn.XLOOKUP(R256,Cadastros!$D$6:$D$90,Cadastros!$E$6:$E$90))*(1-_xlfn.XLOOKUP(_xlfn.XLOOKUP($F256,Clientes!$B$4:$B$39,Clientes!$C$4:$C$39),Cadastros!$L$6:$L$12,Cadastros!$N$6:$N$12)))</f>
        <v/>
      </c>
      <c r="U256" s="168" t="str">
        <f t="shared" si="42"/>
        <v/>
      </c>
      <c r="V256" s="168" t="str">
        <f>IFERROR(U256/_xlfn.XLOOKUP(_xlfn.XLOOKUP($F256,Clientes!$B$4:$B$39,Clientes!$C$4:$C$39),Cadastros!$L$6:$L$12,Cadastros!$M$6:$M$12)," ")</f>
        <v xml:space="preserve"> </v>
      </c>
      <c r="W256" s="28"/>
      <c r="X256" s="28"/>
      <c r="Y256" s="255" t="str">
        <f>IF(W256="","",(_xlfn.XLOOKUP(W256,Cadastros!$D$6:$D$90,Cadastros!$E$6:$E$90))*(1-_xlfn.XLOOKUP(_xlfn.XLOOKUP($F256,Clientes!$B$4:$B$39,Clientes!$C$4:$C$39),Cadastros!$L$6:$L$12,Cadastros!$N$6:$N$12)))</f>
        <v/>
      </c>
      <c r="Z256" s="168" t="str">
        <f t="shared" si="43"/>
        <v/>
      </c>
      <c r="AA256" s="168" t="str">
        <f>IFERROR(Z256/_xlfn.XLOOKUP(_xlfn.XLOOKUP($F256,Clientes!$B$4:$B$39,Clientes!$C$4:$C$39),Cadastros!$L$6:$L$12,Cadastros!$M$6:$M$12)," ")</f>
        <v xml:space="preserve"> </v>
      </c>
      <c r="AB256" s="28"/>
      <c r="AC256" s="28"/>
      <c r="AD256" s="20" t="str">
        <f>IF(AB256="","",IF($F256="Bernardino Furlan",_xlfn.XLOOKUP(AB256,Cadastros!$G$6:$G$90,Cadastros!$H$6:$H$90)*(1-0.18),IF($F256="Mauro José Salanti",_xlfn.XLOOKUP(AB256,Cadastros!$G$6:$G$90,Cadastros!$H$6:$H$90)*(1-0.18),_xlfn.XLOOKUP(AB256,Cadastros!$G$6:$G$90,Cadastros!$H$6:$H$90))))</f>
        <v/>
      </c>
      <c r="AE256" s="168" t="str">
        <f t="shared" si="44"/>
        <v/>
      </c>
      <c r="AF256" s="168" t="str">
        <f t="shared" si="45"/>
        <v/>
      </c>
      <c r="AG256" s="28"/>
      <c r="AH256" s="28"/>
      <c r="AI256" s="20" t="str">
        <f>IF(AG256="","",IF($F256="Bernardino Furlan",_xlfn.XLOOKUP(AG256,Cadastros!$G$6:$G$90,Cadastros!$H$6:$H$90)*(1-0.18),IF($F256="Mauro José Salanti",_xlfn.XLOOKUP(AG256,Cadastros!$G$6:$G$90,Cadastros!$H$6:$H$90)*(1-0.18),_xlfn.XLOOKUP(AG256,Cadastros!$G$6:$G$90,Cadastros!$H$6:$H$90))))</f>
        <v/>
      </c>
      <c r="AJ256" s="168" t="str">
        <f t="shared" si="46"/>
        <v/>
      </c>
      <c r="AK256" s="168" t="str">
        <f t="shared" si="47"/>
        <v/>
      </c>
      <c r="AL256" s="28"/>
      <c r="AM256" s="28"/>
      <c r="AN256" s="20" t="str">
        <f>IF(AL256="","",IF($F256="Bernardino Furlan",_xlfn.XLOOKUP(AL256,Cadastros!$G$6:$G$90,Cadastros!$H$6:$H$90)*(1-0.18),IF($F256="Mauro José Salanti",_xlfn.XLOOKUP(AL256,Cadastros!$G$6:$G$90,Cadastros!$H$6:$H$90)*(1-0.18),_xlfn.XLOOKUP(AL256,Cadastros!$G$6:$G$90,Cadastros!$H$6:$H$90))))</f>
        <v/>
      </c>
      <c r="AO256" s="168" t="str">
        <f t="shared" si="48"/>
        <v/>
      </c>
      <c r="AP256" s="168" t="str">
        <f t="shared" si="49"/>
        <v/>
      </c>
      <c r="AQ256" s="28"/>
      <c r="AR256" s="28"/>
      <c r="AS256" s="20" t="str">
        <f>IF(AQ256="","",IF($F256="Bernardino Furlan",_xlfn.XLOOKUP(AQ256,Cadastros!$G$6:$G$90,Cadastros!$H$6:$H$90)*(1-0.18),IF($F256="Mauro José Salanti",_xlfn.XLOOKUP(AQ256,Cadastros!$G$6:$G$90,Cadastros!$H$6:$H$90)*(1-0.18),_xlfn.XLOOKUP(AQ256,Cadastros!$G$6:$G$90,Cadastros!$H$6:$H$90))))</f>
        <v/>
      </c>
      <c r="AT256" s="168" t="str">
        <f t="shared" si="50"/>
        <v/>
      </c>
      <c r="AU256" s="168" t="str">
        <f t="shared" si="51"/>
        <v/>
      </c>
      <c r="AV256" s="227"/>
      <c r="AW256" s="30"/>
      <c r="AX256" s="267"/>
      <c r="AY256" s="267"/>
      <c r="AZ256" s="29"/>
      <c r="BA256" s="30"/>
      <c r="BB256" s="23" t="str" cm="1">
        <f t="array" ref="BB256">_xlfn.IFS(AW256="SIM",SUM(K256,P256,U256,Z256,AE256,AJ256,AO256,AT256,AX256,AY256),F256&lt;&gt;"",SUM(K256,P256,U256,Z256,AE256,AJ256,,AO256,AT256),F256="","")</f>
        <v/>
      </c>
      <c r="BC256" s="211" t="str" cm="1">
        <f t="array" ref="BC256">_xlfn.IFS(E256="","",G256&lt;=E256,BB256*(1-0.03),G256&lt;(E256+8),BB256,AZ256="Boleto",BB256*(1+0.001)^DATEDIF(E256,G256,"D"),AZ256="Cheque",BB256,AZ256="Dinheiro","Alterar forma pgto")</f>
        <v/>
      </c>
      <c r="BD256" s="276" t="str" cm="1">
        <f t="array" ref="BD256">IF(F256=0," ",IF(BC256&lt;BB256,(_xlfn.IFS(AW256="SIM",SUM(L256,Q256,V256,AA256,AF256,AK256,AP256,AU256)+AX256/_xlfn.XLOOKUP(_xlfn.XLOOKUP($F256,Clientes!$B$4:$B$39,Clientes!$C$4:$C$39),Cadastros!$L$6:$L$12,Cadastros!$M$6:$M$12)+IF($F256="Bernardino Furlan",AY256/2751.92,IF($F256="Mauro José Salanti",AY256/2751.92,AY256/3356)),F256&lt;&gt;0,SUM(L256,Q256,V256,AA256,AF256,AK256,AP256,AU256)))*(1-0.03),_xlfn.IFS(AW256="SIM",SUM(L256,Q256,V256,AA256,AF256,AK256,AP256,AU256)+AX256/_xlfn.XLOOKUP(_xlfn.XLOOKUP($F256,Clientes!$B$4:$B$39,Clientes!$C$4:$C$39),Cadastros!$L$6:$L$12,Cadastros!$M$6:$M$12)+IF($F256="Bernardino Furlan",AY256/2751.92,IF($F256="Mauro José Salanti",AY256/2751.92,AY256/3356)),F256&lt;&gt;0,SUM(L256,Q256,V256,AA256,AF256,AK256,AP256,AU256))))</f>
        <v xml:space="preserve"> </v>
      </c>
      <c r="BE256" s="120"/>
      <c r="BF256" s="120"/>
      <c r="BG256" s="120"/>
    </row>
    <row r="257" spans="1:59" s="3" customFormat="1" x14ac:dyDescent="0.3">
      <c r="A257" s="15" t="str">
        <f t="shared" si="39"/>
        <v/>
      </c>
      <c r="B257" s="25"/>
      <c r="C257" s="26"/>
      <c r="D257" s="279"/>
      <c r="E257" s="27"/>
      <c r="F257" s="28"/>
      <c r="G257" s="27"/>
      <c r="H257" s="28"/>
      <c r="I257" s="31"/>
      <c r="J257" s="255" t="str">
        <f>IF(H257="","",(_xlfn.XLOOKUP(H257,Cadastros!$D$6:$D$90,Cadastros!$E$6:$E$90))*(1-_xlfn.XLOOKUP(_xlfn.XLOOKUP($F257,Clientes!$B$4:$B$39,Clientes!$C$4:$C$39),Cadastros!$L$6:$L$12,Cadastros!$N$6:$N$12)))</f>
        <v/>
      </c>
      <c r="K257" s="168" t="str">
        <f t="shared" si="40"/>
        <v/>
      </c>
      <c r="L257" s="168" t="str">
        <f>IFERROR(K257/_xlfn.XLOOKUP(_xlfn.XLOOKUP($F257,Clientes!$B$4:$B$39,Clientes!$C$4:$C$39),Cadastros!$L$6:$L$12,Cadastros!$M$6:$M$12)," ")</f>
        <v xml:space="preserve"> </v>
      </c>
      <c r="M257" s="28"/>
      <c r="N257" s="28"/>
      <c r="O257" s="255" t="str">
        <f>IF(M257="","",(_xlfn.XLOOKUP(M257,Cadastros!$D$6:$D$90,Cadastros!$E$6:$E$90))*(1-_xlfn.XLOOKUP(_xlfn.XLOOKUP($F257,Clientes!$B$4:$B$39,Clientes!$C$4:$C$39),Cadastros!$L$6:$L$12,Cadastros!$N$6:$N$12)))</f>
        <v/>
      </c>
      <c r="P257" s="168" t="str">
        <f t="shared" si="41"/>
        <v/>
      </c>
      <c r="Q257" s="168" t="str">
        <f>IFERROR(P257/_xlfn.XLOOKUP(_xlfn.XLOOKUP($F257,Clientes!$B$4:$B$39,Clientes!$C$4:$C$39),Cadastros!$L$6:$L$12,Cadastros!$M$6:$M$12)," ")</f>
        <v xml:space="preserve"> </v>
      </c>
      <c r="R257" s="28"/>
      <c r="S257" s="28"/>
      <c r="T257" s="255" t="str">
        <f>IF(R257="","",(_xlfn.XLOOKUP(R257,Cadastros!$D$6:$D$90,Cadastros!$E$6:$E$90))*(1-_xlfn.XLOOKUP(_xlfn.XLOOKUP($F257,Clientes!$B$4:$B$39,Clientes!$C$4:$C$39),Cadastros!$L$6:$L$12,Cadastros!$N$6:$N$12)))</f>
        <v/>
      </c>
      <c r="U257" s="168" t="str">
        <f t="shared" si="42"/>
        <v/>
      </c>
      <c r="V257" s="168" t="str">
        <f>IFERROR(U257/_xlfn.XLOOKUP(_xlfn.XLOOKUP($F257,Clientes!$B$4:$B$39,Clientes!$C$4:$C$39),Cadastros!$L$6:$L$12,Cadastros!$M$6:$M$12)," ")</f>
        <v xml:space="preserve"> </v>
      </c>
      <c r="W257" s="28"/>
      <c r="X257" s="28"/>
      <c r="Y257" s="255" t="str">
        <f>IF(W257="","",(_xlfn.XLOOKUP(W257,Cadastros!$D$6:$D$90,Cadastros!$E$6:$E$90))*(1-_xlfn.XLOOKUP(_xlfn.XLOOKUP($F257,Clientes!$B$4:$B$39,Clientes!$C$4:$C$39),Cadastros!$L$6:$L$12,Cadastros!$N$6:$N$12)))</f>
        <v/>
      </c>
      <c r="Z257" s="168" t="str">
        <f t="shared" si="43"/>
        <v/>
      </c>
      <c r="AA257" s="168" t="str">
        <f>IFERROR(Z257/_xlfn.XLOOKUP(_xlfn.XLOOKUP($F257,Clientes!$B$4:$B$39,Clientes!$C$4:$C$39),Cadastros!$L$6:$L$12,Cadastros!$M$6:$M$12)," ")</f>
        <v xml:space="preserve"> </v>
      </c>
      <c r="AB257" s="28"/>
      <c r="AC257" s="28"/>
      <c r="AD257" s="20" t="str">
        <f>IF(AB257="","",IF($F257="Bernardino Furlan",_xlfn.XLOOKUP(AB257,Cadastros!$G$6:$G$90,Cadastros!$H$6:$H$90)*(1-0.18),IF($F257="Mauro José Salanti",_xlfn.XLOOKUP(AB257,Cadastros!$G$6:$G$90,Cadastros!$H$6:$H$90)*(1-0.18),_xlfn.XLOOKUP(AB257,Cadastros!$G$6:$G$90,Cadastros!$H$6:$H$90))))</f>
        <v/>
      </c>
      <c r="AE257" s="168" t="str">
        <f t="shared" si="44"/>
        <v/>
      </c>
      <c r="AF257" s="168" t="str">
        <f t="shared" si="45"/>
        <v/>
      </c>
      <c r="AG257" s="28"/>
      <c r="AH257" s="28"/>
      <c r="AI257" s="20" t="str">
        <f>IF(AG257="","",IF($F257="Bernardino Furlan",_xlfn.XLOOKUP(AG257,Cadastros!$G$6:$G$90,Cadastros!$H$6:$H$90)*(1-0.18),IF($F257="Mauro José Salanti",_xlfn.XLOOKUP(AG257,Cadastros!$G$6:$G$90,Cadastros!$H$6:$H$90)*(1-0.18),_xlfn.XLOOKUP(AG257,Cadastros!$G$6:$G$90,Cadastros!$H$6:$H$90))))</f>
        <v/>
      </c>
      <c r="AJ257" s="168" t="str">
        <f t="shared" si="46"/>
        <v/>
      </c>
      <c r="AK257" s="168" t="str">
        <f t="shared" si="47"/>
        <v/>
      </c>
      <c r="AL257" s="28"/>
      <c r="AM257" s="28"/>
      <c r="AN257" s="20" t="str">
        <f>IF(AL257="","",IF($F257="Bernardino Furlan",_xlfn.XLOOKUP(AL257,Cadastros!$G$6:$G$90,Cadastros!$H$6:$H$90)*(1-0.18),IF($F257="Mauro José Salanti",_xlfn.XLOOKUP(AL257,Cadastros!$G$6:$G$90,Cadastros!$H$6:$H$90)*(1-0.18),_xlfn.XLOOKUP(AL257,Cadastros!$G$6:$G$90,Cadastros!$H$6:$H$90))))</f>
        <v/>
      </c>
      <c r="AO257" s="168" t="str">
        <f t="shared" si="48"/>
        <v/>
      </c>
      <c r="AP257" s="168" t="str">
        <f t="shared" si="49"/>
        <v/>
      </c>
      <c r="AQ257" s="28"/>
      <c r="AR257" s="28"/>
      <c r="AS257" s="20" t="str">
        <f>IF(AQ257="","",IF($F257="Bernardino Furlan",_xlfn.XLOOKUP(AQ257,Cadastros!$G$6:$G$90,Cadastros!$H$6:$H$90)*(1-0.18),IF($F257="Mauro José Salanti",_xlfn.XLOOKUP(AQ257,Cadastros!$G$6:$G$90,Cadastros!$H$6:$H$90)*(1-0.18),_xlfn.XLOOKUP(AQ257,Cadastros!$G$6:$G$90,Cadastros!$H$6:$H$90))))</f>
        <v/>
      </c>
      <c r="AT257" s="168" t="str">
        <f t="shared" si="50"/>
        <v/>
      </c>
      <c r="AU257" s="168" t="str">
        <f t="shared" si="51"/>
        <v/>
      </c>
      <c r="AV257" s="227"/>
      <c r="AW257" s="30"/>
      <c r="AX257" s="267"/>
      <c r="AY257" s="267"/>
      <c r="AZ257" s="29"/>
      <c r="BA257" s="30"/>
      <c r="BB257" s="23" t="str" cm="1">
        <f t="array" ref="BB257">_xlfn.IFS(AW257="SIM",SUM(K257,P257,U257,Z257,AE257,AJ257,AO257,AT257,AX257,AY257),F257&lt;&gt;"",SUM(K257,P257,U257,Z257,AE257,AJ257,,AO257,AT257),F257="","")</f>
        <v/>
      </c>
      <c r="BC257" s="211" t="str" cm="1">
        <f t="array" ref="BC257">_xlfn.IFS(E257="","",G257&lt;=E257,BB257*(1-0.03),G257&lt;(E257+8),BB257,AZ257="Boleto",BB257*(1+0.001)^DATEDIF(E257,G257,"D"),AZ257="Cheque",BB257,AZ257="Dinheiro","Alterar forma pgto")</f>
        <v/>
      </c>
      <c r="BD257" s="276" t="str" cm="1">
        <f t="array" ref="BD257">IF(F257=0," ",IF(BC257&lt;BB257,(_xlfn.IFS(AW257="SIM",SUM(L257,Q257,V257,AA257,AF257,AK257,AP257,AU257)+AX257/_xlfn.XLOOKUP(_xlfn.XLOOKUP($F257,Clientes!$B$4:$B$39,Clientes!$C$4:$C$39),Cadastros!$L$6:$L$12,Cadastros!$M$6:$M$12)+IF($F257="Bernardino Furlan",AY257/2751.92,IF($F257="Mauro José Salanti",AY257/2751.92,AY257/3356)),F257&lt;&gt;0,SUM(L257,Q257,V257,AA257,AF257,AK257,AP257,AU257)))*(1-0.03),_xlfn.IFS(AW257="SIM",SUM(L257,Q257,V257,AA257,AF257,AK257,AP257,AU257)+AX257/_xlfn.XLOOKUP(_xlfn.XLOOKUP($F257,Clientes!$B$4:$B$39,Clientes!$C$4:$C$39),Cadastros!$L$6:$L$12,Cadastros!$M$6:$M$12)+IF($F257="Bernardino Furlan",AY257/2751.92,IF($F257="Mauro José Salanti",AY257/2751.92,AY257/3356)),F257&lt;&gt;0,SUM(L257,Q257,V257,AA257,AF257,AK257,AP257,AU257))))</f>
        <v xml:space="preserve"> </v>
      </c>
      <c r="BE257" s="120"/>
      <c r="BF257" s="120"/>
      <c r="BG257" s="120"/>
    </row>
    <row r="258" spans="1:59" s="3" customFormat="1" x14ac:dyDescent="0.3">
      <c r="A258" s="15" t="str">
        <f t="shared" si="39"/>
        <v/>
      </c>
      <c r="B258" s="25"/>
      <c r="C258" s="26"/>
      <c r="D258" s="279"/>
      <c r="E258" s="27"/>
      <c r="F258" s="28"/>
      <c r="G258" s="27"/>
      <c r="H258" s="28"/>
      <c r="I258" s="31"/>
      <c r="J258" s="255" t="str">
        <f>IF(H258="","",(_xlfn.XLOOKUP(H258,Cadastros!$D$6:$D$90,Cadastros!$E$6:$E$90))*(1-_xlfn.XLOOKUP(_xlfn.XLOOKUP($F258,Clientes!$B$4:$B$39,Clientes!$C$4:$C$39),Cadastros!$L$6:$L$12,Cadastros!$N$6:$N$12)))</f>
        <v/>
      </c>
      <c r="K258" s="168" t="str">
        <f t="shared" si="40"/>
        <v/>
      </c>
      <c r="L258" s="168" t="str">
        <f>IFERROR(K258/_xlfn.XLOOKUP(_xlfn.XLOOKUP($F258,Clientes!$B$4:$B$39,Clientes!$C$4:$C$39),Cadastros!$L$6:$L$12,Cadastros!$M$6:$M$12)," ")</f>
        <v xml:space="preserve"> </v>
      </c>
      <c r="M258" s="28"/>
      <c r="N258" s="28"/>
      <c r="O258" s="255" t="str">
        <f>IF(M258="","",(_xlfn.XLOOKUP(M258,Cadastros!$D$6:$D$90,Cadastros!$E$6:$E$90))*(1-_xlfn.XLOOKUP(_xlfn.XLOOKUP($F258,Clientes!$B$4:$B$39,Clientes!$C$4:$C$39),Cadastros!$L$6:$L$12,Cadastros!$N$6:$N$12)))</f>
        <v/>
      </c>
      <c r="P258" s="168" t="str">
        <f t="shared" si="41"/>
        <v/>
      </c>
      <c r="Q258" s="168" t="str">
        <f>IFERROR(P258/_xlfn.XLOOKUP(_xlfn.XLOOKUP($F258,Clientes!$B$4:$B$39,Clientes!$C$4:$C$39),Cadastros!$L$6:$L$12,Cadastros!$M$6:$M$12)," ")</f>
        <v xml:space="preserve"> </v>
      </c>
      <c r="R258" s="28"/>
      <c r="S258" s="28"/>
      <c r="T258" s="255" t="str">
        <f>IF(R258="","",(_xlfn.XLOOKUP(R258,Cadastros!$D$6:$D$90,Cadastros!$E$6:$E$90))*(1-_xlfn.XLOOKUP(_xlfn.XLOOKUP($F258,Clientes!$B$4:$B$39,Clientes!$C$4:$C$39),Cadastros!$L$6:$L$12,Cadastros!$N$6:$N$12)))</f>
        <v/>
      </c>
      <c r="U258" s="168" t="str">
        <f t="shared" si="42"/>
        <v/>
      </c>
      <c r="V258" s="168" t="str">
        <f>IFERROR(U258/_xlfn.XLOOKUP(_xlfn.XLOOKUP($F258,Clientes!$B$4:$B$39,Clientes!$C$4:$C$39),Cadastros!$L$6:$L$12,Cadastros!$M$6:$M$12)," ")</f>
        <v xml:space="preserve"> </v>
      </c>
      <c r="W258" s="28"/>
      <c r="X258" s="28"/>
      <c r="Y258" s="255" t="str">
        <f>IF(W258="","",(_xlfn.XLOOKUP(W258,Cadastros!$D$6:$D$90,Cadastros!$E$6:$E$90))*(1-_xlfn.XLOOKUP(_xlfn.XLOOKUP($F258,Clientes!$B$4:$B$39,Clientes!$C$4:$C$39),Cadastros!$L$6:$L$12,Cadastros!$N$6:$N$12)))</f>
        <v/>
      </c>
      <c r="Z258" s="168" t="str">
        <f t="shared" si="43"/>
        <v/>
      </c>
      <c r="AA258" s="168" t="str">
        <f>IFERROR(Z258/_xlfn.XLOOKUP(_xlfn.XLOOKUP($F258,Clientes!$B$4:$B$39,Clientes!$C$4:$C$39),Cadastros!$L$6:$L$12,Cadastros!$M$6:$M$12)," ")</f>
        <v xml:space="preserve"> </v>
      </c>
      <c r="AB258" s="28"/>
      <c r="AC258" s="28"/>
      <c r="AD258" s="20" t="str">
        <f>IF(AB258="","",IF($F258="Bernardino Furlan",_xlfn.XLOOKUP(AB258,Cadastros!$G$6:$G$90,Cadastros!$H$6:$H$90)*(1-0.18),IF($F258="Mauro José Salanti",_xlfn.XLOOKUP(AB258,Cadastros!$G$6:$G$90,Cadastros!$H$6:$H$90)*(1-0.18),_xlfn.XLOOKUP(AB258,Cadastros!$G$6:$G$90,Cadastros!$H$6:$H$90))))</f>
        <v/>
      </c>
      <c r="AE258" s="168" t="str">
        <f t="shared" si="44"/>
        <v/>
      </c>
      <c r="AF258" s="168" t="str">
        <f t="shared" si="45"/>
        <v/>
      </c>
      <c r="AG258" s="28"/>
      <c r="AH258" s="28"/>
      <c r="AI258" s="20" t="str">
        <f>IF(AG258="","",IF($F258="Bernardino Furlan",_xlfn.XLOOKUP(AG258,Cadastros!$G$6:$G$90,Cadastros!$H$6:$H$90)*(1-0.18),IF($F258="Mauro José Salanti",_xlfn.XLOOKUP(AG258,Cadastros!$G$6:$G$90,Cadastros!$H$6:$H$90)*(1-0.18),_xlfn.XLOOKUP(AG258,Cadastros!$G$6:$G$90,Cadastros!$H$6:$H$90))))</f>
        <v/>
      </c>
      <c r="AJ258" s="168" t="str">
        <f t="shared" si="46"/>
        <v/>
      </c>
      <c r="AK258" s="168" t="str">
        <f t="shared" si="47"/>
        <v/>
      </c>
      <c r="AL258" s="28"/>
      <c r="AM258" s="28"/>
      <c r="AN258" s="20" t="str">
        <f>IF(AL258="","",IF($F258="Bernardino Furlan",_xlfn.XLOOKUP(AL258,Cadastros!$G$6:$G$90,Cadastros!$H$6:$H$90)*(1-0.18),IF($F258="Mauro José Salanti",_xlfn.XLOOKUP(AL258,Cadastros!$G$6:$G$90,Cadastros!$H$6:$H$90)*(1-0.18),_xlfn.XLOOKUP(AL258,Cadastros!$G$6:$G$90,Cadastros!$H$6:$H$90))))</f>
        <v/>
      </c>
      <c r="AO258" s="168" t="str">
        <f t="shared" si="48"/>
        <v/>
      </c>
      <c r="AP258" s="168" t="str">
        <f t="shared" si="49"/>
        <v/>
      </c>
      <c r="AQ258" s="28"/>
      <c r="AR258" s="28"/>
      <c r="AS258" s="20" t="str">
        <f>IF(AQ258="","",IF($F258="Bernardino Furlan",_xlfn.XLOOKUP(AQ258,Cadastros!$G$6:$G$90,Cadastros!$H$6:$H$90)*(1-0.18),IF($F258="Mauro José Salanti",_xlfn.XLOOKUP(AQ258,Cadastros!$G$6:$G$90,Cadastros!$H$6:$H$90)*(1-0.18),_xlfn.XLOOKUP(AQ258,Cadastros!$G$6:$G$90,Cadastros!$H$6:$H$90))))</f>
        <v/>
      </c>
      <c r="AT258" s="168" t="str">
        <f t="shared" si="50"/>
        <v/>
      </c>
      <c r="AU258" s="168" t="str">
        <f t="shared" si="51"/>
        <v/>
      </c>
      <c r="AV258" s="227"/>
      <c r="AW258" s="30"/>
      <c r="AX258" s="267"/>
      <c r="AY258" s="267"/>
      <c r="AZ258" s="29"/>
      <c r="BA258" s="30"/>
      <c r="BB258" s="23" t="str" cm="1">
        <f t="array" ref="BB258">_xlfn.IFS(AW258="SIM",SUM(K258,P258,U258,Z258,AE258,AJ258,AO258,AT258,AX258,AY258),F258&lt;&gt;"",SUM(K258,P258,U258,Z258,AE258,AJ258,,AO258,AT258),F258="","")</f>
        <v/>
      </c>
      <c r="BC258" s="211" t="str" cm="1">
        <f t="array" ref="BC258">_xlfn.IFS(E258="","",G258&lt;=E258,BB258*(1-0.03),G258&lt;(E258+8),BB258,AZ258="Boleto",BB258*(1+0.001)^DATEDIF(E258,G258,"D"),AZ258="Cheque",BB258,AZ258="Dinheiro","Alterar forma pgto")</f>
        <v/>
      </c>
      <c r="BD258" s="276" t="str" cm="1">
        <f t="array" ref="BD258">IF(F258=0," ",IF(BC258&lt;BB258,(_xlfn.IFS(AW258="SIM",SUM(L258,Q258,V258,AA258,AF258,AK258,AP258,AU258)+AX258/_xlfn.XLOOKUP(_xlfn.XLOOKUP($F258,Clientes!$B$4:$B$39,Clientes!$C$4:$C$39),Cadastros!$L$6:$L$12,Cadastros!$M$6:$M$12)+IF($F258="Bernardino Furlan",AY258/2751.92,IF($F258="Mauro José Salanti",AY258/2751.92,AY258/3356)),F258&lt;&gt;0,SUM(L258,Q258,V258,AA258,AF258,AK258,AP258,AU258)))*(1-0.03),_xlfn.IFS(AW258="SIM",SUM(L258,Q258,V258,AA258,AF258,AK258,AP258,AU258)+AX258/_xlfn.XLOOKUP(_xlfn.XLOOKUP($F258,Clientes!$B$4:$B$39,Clientes!$C$4:$C$39),Cadastros!$L$6:$L$12,Cadastros!$M$6:$M$12)+IF($F258="Bernardino Furlan",AY258/2751.92,IF($F258="Mauro José Salanti",AY258/2751.92,AY258/3356)),F258&lt;&gt;0,SUM(L258,Q258,V258,AA258,AF258,AK258,AP258,AU258))))</f>
        <v xml:space="preserve"> </v>
      </c>
      <c r="BE258" s="120"/>
      <c r="BF258" s="120"/>
      <c r="BG258" s="120"/>
    </row>
    <row r="259" spans="1:59" s="3" customFormat="1" x14ac:dyDescent="0.3">
      <c r="A259" s="15" t="str">
        <f t="shared" si="39"/>
        <v/>
      </c>
      <c r="B259" s="25"/>
      <c r="C259" s="26"/>
      <c r="D259" s="279"/>
      <c r="E259" s="27"/>
      <c r="F259" s="28"/>
      <c r="G259" s="27"/>
      <c r="H259" s="28"/>
      <c r="I259" s="28"/>
      <c r="J259" s="255" t="str">
        <f>IF(H259="","",(_xlfn.XLOOKUP(H259,Cadastros!$D$6:$D$90,Cadastros!$E$6:$E$90))*(1-_xlfn.XLOOKUP(_xlfn.XLOOKUP($F259,Clientes!$B$4:$B$39,Clientes!$C$4:$C$39),Cadastros!$L$6:$L$12,Cadastros!$N$6:$N$12)))</f>
        <v/>
      </c>
      <c r="K259" s="168" t="str">
        <f t="shared" si="40"/>
        <v/>
      </c>
      <c r="L259" s="168" t="str">
        <f>IFERROR(K259/_xlfn.XLOOKUP(_xlfn.XLOOKUP($F259,Clientes!$B$4:$B$39,Clientes!$C$4:$C$39),Cadastros!$L$6:$L$12,Cadastros!$M$6:$M$12)," ")</f>
        <v xml:space="preserve"> </v>
      </c>
      <c r="M259" s="28"/>
      <c r="N259" s="28"/>
      <c r="O259" s="255" t="str">
        <f>IF(M259="","",(_xlfn.XLOOKUP(M259,Cadastros!$D$6:$D$90,Cadastros!$E$6:$E$90))*(1-_xlfn.XLOOKUP(_xlfn.XLOOKUP($F259,Clientes!$B$4:$B$39,Clientes!$C$4:$C$39),Cadastros!$L$6:$L$12,Cadastros!$N$6:$N$12)))</f>
        <v/>
      </c>
      <c r="P259" s="168" t="str">
        <f t="shared" si="41"/>
        <v/>
      </c>
      <c r="Q259" s="168" t="str">
        <f>IFERROR(P259/_xlfn.XLOOKUP(_xlfn.XLOOKUP($F259,Clientes!$B$4:$B$39,Clientes!$C$4:$C$39),Cadastros!$L$6:$L$12,Cadastros!$M$6:$M$12)," ")</f>
        <v xml:space="preserve"> </v>
      </c>
      <c r="R259" s="28"/>
      <c r="S259" s="28"/>
      <c r="T259" s="255" t="str">
        <f>IF(R259="","",(_xlfn.XLOOKUP(R259,Cadastros!$D$6:$D$90,Cadastros!$E$6:$E$90))*(1-_xlfn.XLOOKUP(_xlfn.XLOOKUP($F259,Clientes!$B$4:$B$39,Clientes!$C$4:$C$39),Cadastros!$L$6:$L$12,Cadastros!$N$6:$N$12)))</f>
        <v/>
      </c>
      <c r="U259" s="168" t="str">
        <f t="shared" si="42"/>
        <v/>
      </c>
      <c r="V259" s="168" t="str">
        <f>IFERROR(U259/_xlfn.XLOOKUP(_xlfn.XLOOKUP($F259,Clientes!$B$4:$B$39,Clientes!$C$4:$C$39),Cadastros!$L$6:$L$12,Cadastros!$M$6:$M$12)," ")</f>
        <v xml:space="preserve"> </v>
      </c>
      <c r="W259" s="28"/>
      <c r="X259" s="28"/>
      <c r="Y259" s="255" t="str">
        <f>IF(W259="","",(_xlfn.XLOOKUP(W259,Cadastros!$D$6:$D$90,Cadastros!$E$6:$E$90))*(1-_xlfn.XLOOKUP(_xlfn.XLOOKUP($F259,Clientes!$B$4:$B$39,Clientes!$C$4:$C$39),Cadastros!$L$6:$L$12,Cadastros!$N$6:$N$12)))</f>
        <v/>
      </c>
      <c r="Z259" s="168" t="str">
        <f t="shared" si="43"/>
        <v/>
      </c>
      <c r="AA259" s="168" t="str">
        <f>IFERROR(Z259/_xlfn.XLOOKUP(_xlfn.XLOOKUP($F259,Clientes!$B$4:$B$39,Clientes!$C$4:$C$39),Cadastros!$L$6:$L$12,Cadastros!$M$6:$M$12)," ")</f>
        <v xml:space="preserve"> </v>
      </c>
      <c r="AB259" s="28"/>
      <c r="AC259" s="28"/>
      <c r="AD259" s="20" t="str">
        <f>IF(AB259="","",IF($F259="Bernardino Furlan",_xlfn.XLOOKUP(AB259,Cadastros!$G$6:$G$90,Cadastros!$H$6:$H$90)*(1-0.18),IF($F259="Mauro José Salanti",_xlfn.XLOOKUP(AB259,Cadastros!$G$6:$G$90,Cadastros!$H$6:$H$90)*(1-0.18),_xlfn.XLOOKUP(AB259,Cadastros!$G$6:$G$90,Cadastros!$H$6:$H$90))))</f>
        <v/>
      </c>
      <c r="AE259" s="168" t="str">
        <f t="shared" si="44"/>
        <v/>
      </c>
      <c r="AF259" s="168" t="str">
        <f t="shared" si="45"/>
        <v/>
      </c>
      <c r="AG259" s="28"/>
      <c r="AH259" s="28"/>
      <c r="AI259" s="20" t="str">
        <f>IF(AG259="","",IF($F259="Bernardino Furlan",_xlfn.XLOOKUP(AG259,Cadastros!$G$6:$G$90,Cadastros!$H$6:$H$90)*(1-0.18),IF($F259="Mauro José Salanti",_xlfn.XLOOKUP(AG259,Cadastros!$G$6:$G$90,Cadastros!$H$6:$H$90)*(1-0.18),_xlfn.XLOOKUP(AG259,Cadastros!$G$6:$G$90,Cadastros!$H$6:$H$90))))</f>
        <v/>
      </c>
      <c r="AJ259" s="168" t="str">
        <f t="shared" si="46"/>
        <v/>
      </c>
      <c r="AK259" s="168" t="str">
        <f t="shared" si="47"/>
        <v/>
      </c>
      <c r="AL259" s="28"/>
      <c r="AM259" s="28"/>
      <c r="AN259" s="20" t="str">
        <f>IF(AL259="","",IF($F259="Bernardino Furlan",_xlfn.XLOOKUP(AL259,Cadastros!$G$6:$G$90,Cadastros!$H$6:$H$90)*(1-0.18),IF($F259="Mauro José Salanti",_xlfn.XLOOKUP(AL259,Cadastros!$G$6:$G$90,Cadastros!$H$6:$H$90)*(1-0.18),_xlfn.XLOOKUP(AL259,Cadastros!$G$6:$G$90,Cadastros!$H$6:$H$90))))</f>
        <v/>
      </c>
      <c r="AO259" s="168" t="str">
        <f t="shared" si="48"/>
        <v/>
      </c>
      <c r="AP259" s="168" t="str">
        <f t="shared" si="49"/>
        <v/>
      </c>
      <c r="AQ259" s="28"/>
      <c r="AR259" s="28"/>
      <c r="AS259" s="20" t="str">
        <f>IF(AQ259="","",IF($F259="Bernardino Furlan",_xlfn.XLOOKUP(AQ259,Cadastros!$G$6:$G$90,Cadastros!$H$6:$H$90)*(1-0.18),IF($F259="Mauro José Salanti",_xlfn.XLOOKUP(AQ259,Cadastros!$G$6:$G$90,Cadastros!$H$6:$H$90)*(1-0.18),_xlfn.XLOOKUP(AQ259,Cadastros!$G$6:$G$90,Cadastros!$H$6:$H$90))))</f>
        <v/>
      </c>
      <c r="AT259" s="168" t="str">
        <f t="shared" si="50"/>
        <v/>
      </c>
      <c r="AU259" s="168" t="str">
        <f t="shared" si="51"/>
        <v/>
      </c>
      <c r="AV259" s="227"/>
      <c r="AW259" s="30"/>
      <c r="AX259" s="267"/>
      <c r="AY259" s="267"/>
      <c r="AZ259" s="29"/>
      <c r="BA259" s="30"/>
      <c r="BB259" s="23" t="str" cm="1">
        <f t="array" ref="BB259">_xlfn.IFS(AW259="SIM",SUM(K259,P259,U259,Z259,AE259,AJ259,AO259,AT259,AX259,AY259),F259&lt;&gt;"",SUM(K259,P259,U259,Z259,AE259,AJ259,,AO259,AT259),F259="","")</f>
        <v/>
      </c>
      <c r="BC259" s="211" t="str" cm="1">
        <f t="array" ref="BC259">_xlfn.IFS(E259="","",G259&lt;=E259,BB259*(1-0.03),G259&lt;(E259+8),BB259,AZ259="Boleto",BB259*(1+0.001)^DATEDIF(E259,G259,"D"),AZ259="Cheque",BB259,AZ259="Dinheiro","Alterar forma pgto")</f>
        <v/>
      </c>
      <c r="BD259" s="276" t="str" cm="1">
        <f t="array" ref="BD259">IF(F259=0," ",IF(BC259&lt;BB259,(_xlfn.IFS(AW259="SIM",SUM(L259,Q259,V259,AA259,AF259,AK259,AP259,AU259)+AX259/_xlfn.XLOOKUP(_xlfn.XLOOKUP($F259,Clientes!$B$4:$B$39,Clientes!$C$4:$C$39),Cadastros!$L$6:$L$12,Cadastros!$M$6:$M$12)+IF($F259="Bernardino Furlan",AY259/2751.92,IF($F259="Mauro José Salanti",AY259/2751.92,AY259/3356)),F259&lt;&gt;0,SUM(L259,Q259,V259,AA259,AF259,AK259,AP259,AU259)))*(1-0.03),_xlfn.IFS(AW259="SIM",SUM(L259,Q259,V259,AA259,AF259,AK259,AP259,AU259)+AX259/_xlfn.XLOOKUP(_xlfn.XLOOKUP($F259,Clientes!$B$4:$B$39,Clientes!$C$4:$C$39),Cadastros!$L$6:$L$12,Cadastros!$M$6:$M$12)+IF($F259="Bernardino Furlan",AY259/2751.92,IF($F259="Mauro José Salanti",AY259/2751.92,AY259/3356)),F259&lt;&gt;0,SUM(L259,Q259,V259,AA259,AF259,AK259,AP259,AU259))))</f>
        <v xml:space="preserve"> </v>
      </c>
      <c r="BE259" s="120"/>
      <c r="BF259" s="120"/>
      <c r="BG259" s="120"/>
    </row>
    <row r="260" spans="1:59" s="3" customFormat="1" x14ac:dyDescent="0.3">
      <c r="A260" s="15" t="str">
        <f t="shared" si="39"/>
        <v/>
      </c>
      <c r="B260" s="25"/>
      <c r="C260" s="26"/>
      <c r="D260" s="279"/>
      <c r="E260" s="27"/>
      <c r="F260" s="28"/>
      <c r="G260" s="27"/>
      <c r="H260" s="28"/>
      <c r="I260" s="28"/>
      <c r="J260" s="255" t="str">
        <f>IF(H260="","",(_xlfn.XLOOKUP(H260,Cadastros!$D$6:$D$90,Cadastros!$E$6:$E$90))*(1-_xlfn.XLOOKUP(_xlfn.XLOOKUP($F260,Clientes!$B$4:$B$39,Clientes!$C$4:$C$39),Cadastros!$L$6:$L$12,Cadastros!$N$6:$N$12)))</f>
        <v/>
      </c>
      <c r="K260" s="168" t="str">
        <f t="shared" si="40"/>
        <v/>
      </c>
      <c r="L260" s="168" t="str">
        <f>IFERROR(K260/_xlfn.XLOOKUP(_xlfn.XLOOKUP($F260,Clientes!$B$4:$B$39,Clientes!$C$4:$C$39),Cadastros!$L$6:$L$12,Cadastros!$M$6:$M$12)," ")</f>
        <v xml:space="preserve"> </v>
      </c>
      <c r="M260" s="28"/>
      <c r="N260" s="28"/>
      <c r="O260" s="255" t="str">
        <f>IF(M260="","",(_xlfn.XLOOKUP(M260,Cadastros!$D$6:$D$90,Cadastros!$E$6:$E$90))*(1-_xlfn.XLOOKUP(_xlfn.XLOOKUP($F260,Clientes!$B$4:$B$39,Clientes!$C$4:$C$39),Cadastros!$L$6:$L$12,Cadastros!$N$6:$N$12)))</f>
        <v/>
      </c>
      <c r="P260" s="168" t="str">
        <f t="shared" si="41"/>
        <v/>
      </c>
      <c r="Q260" s="168" t="str">
        <f>IFERROR(P260/_xlfn.XLOOKUP(_xlfn.XLOOKUP($F260,Clientes!$B$4:$B$39,Clientes!$C$4:$C$39),Cadastros!$L$6:$L$12,Cadastros!$M$6:$M$12)," ")</f>
        <v xml:space="preserve"> </v>
      </c>
      <c r="R260" s="28"/>
      <c r="S260" s="28"/>
      <c r="T260" s="255" t="str">
        <f>IF(R260="","",(_xlfn.XLOOKUP(R260,Cadastros!$D$6:$D$90,Cadastros!$E$6:$E$90))*(1-_xlfn.XLOOKUP(_xlfn.XLOOKUP($F260,Clientes!$B$4:$B$39,Clientes!$C$4:$C$39),Cadastros!$L$6:$L$12,Cadastros!$N$6:$N$12)))</f>
        <v/>
      </c>
      <c r="U260" s="168" t="str">
        <f t="shared" si="42"/>
        <v/>
      </c>
      <c r="V260" s="168" t="str">
        <f>IFERROR(U260/_xlfn.XLOOKUP(_xlfn.XLOOKUP($F260,Clientes!$B$4:$B$39,Clientes!$C$4:$C$39),Cadastros!$L$6:$L$12,Cadastros!$M$6:$M$12)," ")</f>
        <v xml:space="preserve"> </v>
      </c>
      <c r="W260" s="28"/>
      <c r="X260" s="28"/>
      <c r="Y260" s="255" t="str">
        <f>IF(W260="","",(_xlfn.XLOOKUP(W260,Cadastros!$D$6:$D$90,Cadastros!$E$6:$E$90))*(1-_xlfn.XLOOKUP(_xlfn.XLOOKUP($F260,Clientes!$B$4:$B$39,Clientes!$C$4:$C$39),Cadastros!$L$6:$L$12,Cadastros!$N$6:$N$12)))</f>
        <v/>
      </c>
      <c r="Z260" s="168" t="str">
        <f t="shared" si="43"/>
        <v/>
      </c>
      <c r="AA260" s="168" t="str">
        <f>IFERROR(Z260/_xlfn.XLOOKUP(_xlfn.XLOOKUP($F260,Clientes!$B$4:$B$39,Clientes!$C$4:$C$39),Cadastros!$L$6:$L$12,Cadastros!$M$6:$M$12)," ")</f>
        <v xml:space="preserve"> </v>
      </c>
      <c r="AB260" s="28"/>
      <c r="AC260" s="28"/>
      <c r="AD260" s="20" t="str">
        <f>IF(AB260="","",IF($F260="Bernardino Furlan",_xlfn.XLOOKUP(AB260,Cadastros!$G$6:$G$90,Cadastros!$H$6:$H$90)*(1-0.18),IF($F260="Mauro José Salanti",_xlfn.XLOOKUP(AB260,Cadastros!$G$6:$G$90,Cadastros!$H$6:$H$90)*(1-0.18),_xlfn.XLOOKUP(AB260,Cadastros!$G$6:$G$90,Cadastros!$H$6:$H$90))))</f>
        <v/>
      </c>
      <c r="AE260" s="168" t="str">
        <f t="shared" si="44"/>
        <v/>
      </c>
      <c r="AF260" s="168" t="str">
        <f t="shared" si="45"/>
        <v/>
      </c>
      <c r="AG260" s="28"/>
      <c r="AH260" s="28"/>
      <c r="AI260" s="20" t="str">
        <f>IF(AG260="","",IF($F260="Bernardino Furlan",_xlfn.XLOOKUP(AG260,Cadastros!$G$6:$G$90,Cadastros!$H$6:$H$90)*(1-0.18),IF($F260="Mauro José Salanti",_xlfn.XLOOKUP(AG260,Cadastros!$G$6:$G$90,Cadastros!$H$6:$H$90)*(1-0.18),_xlfn.XLOOKUP(AG260,Cadastros!$G$6:$G$90,Cadastros!$H$6:$H$90))))</f>
        <v/>
      </c>
      <c r="AJ260" s="168" t="str">
        <f t="shared" si="46"/>
        <v/>
      </c>
      <c r="AK260" s="168" t="str">
        <f t="shared" si="47"/>
        <v/>
      </c>
      <c r="AL260" s="28"/>
      <c r="AM260" s="28"/>
      <c r="AN260" s="20" t="str">
        <f>IF(AL260="","",IF($F260="Bernardino Furlan",_xlfn.XLOOKUP(AL260,Cadastros!$G$6:$G$90,Cadastros!$H$6:$H$90)*(1-0.18),IF($F260="Mauro José Salanti",_xlfn.XLOOKUP(AL260,Cadastros!$G$6:$G$90,Cadastros!$H$6:$H$90)*(1-0.18),_xlfn.XLOOKUP(AL260,Cadastros!$G$6:$G$90,Cadastros!$H$6:$H$90))))</f>
        <v/>
      </c>
      <c r="AO260" s="168" t="str">
        <f t="shared" si="48"/>
        <v/>
      </c>
      <c r="AP260" s="168" t="str">
        <f t="shared" si="49"/>
        <v/>
      </c>
      <c r="AQ260" s="28"/>
      <c r="AR260" s="28"/>
      <c r="AS260" s="20" t="str">
        <f>IF(AQ260="","",IF($F260="Bernardino Furlan",_xlfn.XLOOKUP(AQ260,Cadastros!$G$6:$G$90,Cadastros!$H$6:$H$90)*(1-0.18),IF($F260="Mauro José Salanti",_xlfn.XLOOKUP(AQ260,Cadastros!$G$6:$G$90,Cadastros!$H$6:$H$90)*(1-0.18),_xlfn.XLOOKUP(AQ260,Cadastros!$G$6:$G$90,Cadastros!$H$6:$H$90))))</f>
        <v/>
      </c>
      <c r="AT260" s="168" t="str">
        <f t="shared" si="50"/>
        <v/>
      </c>
      <c r="AU260" s="168" t="str">
        <f t="shared" si="51"/>
        <v/>
      </c>
      <c r="AV260" s="227"/>
      <c r="AW260" s="30"/>
      <c r="AX260" s="267"/>
      <c r="AY260" s="267"/>
      <c r="AZ260" s="29"/>
      <c r="BA260" s="30"/>
      <c r="BB260" s="23" t="str" cm="1">
        <f t="array" ref="BB260">_xlfn.IFS(AW260="SIM",SUM(K260,P260,U260,Z260,AE260,AJ260,AO260,AT260,AX260,AY260),F260&lt;&gt;"",SUM(K260,P260,U260,Z260,AE260,AJ260,,AO260,AT260),F260="","")</f>
        <v/>
      </c>
      <c r="BC260" s="211" t="str" cm="1">
        <f t="array" ref="BC260">_xlfn.IFS(E260="","",G260&lt;=E260,BB260*(1-0.03),G260&lt;(E260+8),BB260,AZ260="Boleto",BB260*(1+0.001)^DATEDIF(E260,G260,"D"),AZ260="Cheque",BB260,AZ260="Dinheiro","Alterar forma pgto")</f>
        <v/>
      </c>
      <c r="BD260" s="276" t="str" cm="1">
        <f t="array" ref="BD260">IF(F260=0," ",IF(BC260&lt;BB260,(_xlfn.IFS(AW260="SIM",SUM(L260,Q260,V260,AA260,AF260,AK260,AP260,AU260)+AX260/_xlfn.XLOOKUP(_xlfn.XLOOKUP($F260,Clientes!$B$4:$B$39,Clientes!$C$4:$C$39),Cadastros!$L$6:$L$12,Cadastros!$M$6:$M$12)+IF($F260="Bernardino Furlan",AY260/2751.92,IF($F260="Mauro José Salanti",AY260/2751.92,AY260/3356)),F260&lt;&gt;0,SUM(L260,Q260,V260,AA260,AF260,AK260,AP260,AU260)))*(1-0.03),_xlfn.IFS(AW260="SIM",SUM(L260,Q260,V260,AA260,AF260,AK260,AP260,AU260)+AX260/_xlfn.XLOOKUP(_xlfn.XLOOKUP($F260,Clientes!$B$4:$B$39,Clientes!$C$4:$C$39),Cadastros!$L$6:$L$12,Cadastros!$M$6:$M$12)+IF($F260="Bernardino Furlan",AY260/2751.92,IF($F260="Mauro José Salanti",AY260/2751.92,AY260/3356)),F260&lt;&gt;0,SUM(L260,Q260,V260,AA260,AF260,AK260,AP260,AU260))))</f>
        <v xml:space="preserve"> </v>
      </c>
      <c r="BE260" s="120"/>
      <c r="BF260" s="120"/>
      <c r="BG260" s="120"/>
    </row>
    <row r="261" spans="1:59" s="3" customFormat="1" x14ac:dyDescent="0.3">
      <c r="A261" s="15" t="str">
        <f t="shared" si="39"/>
        <v/>
      </c>
      <c r="B261" s="25"/>
      <c r="C261" s="26"/>
      <c r="D261" s="279"/>
      <c r="E261" s="27"/>
      <c r="F261" s="28"/>
      <c r="G261" s="27"/>
      <c r="H261" s="28"/>
      <c r="I261" s="28"/>
      <c r="J261" s="255" t="str">
        <f>IF(H261="","",(_xlfn.XLOOKUP(H261,Cadastros!$D$6:$D$90,Cadastros!$E$6:$E$90))*(1-_xlfn.XLOOKUP(_xlfn.XLOOKUP($F261,Clientes!$B$4:$B$39,Clientes!$C$4:$C$39),Cadastros!$L$6:$L$12,Cadastros!$N$6:$N$12)))</f>
        <v/>
      </c>
      <c r="K261" s="168" t="str">
        <f t="shared" si="40"/>
        <v/>
      </c>
      <c r="L261" s="168" t="str">
        <f>IFERROR(K261/_xlfn.XLOOKUP(_xlfn.XLOOKUP($F261,Clientes!$B$4:$B$39,Clientes!$C$4:$C$39),Cadastros!$L$6:$L$12,Cadastros!$M$6:$M$12)," ")</f>
        <v xml:space="preserve"> </v>
      </c>
      <c r="M261" s="28"/>
      <c r="N261" s="28"/>
      <c r="O261" s="255" t="str">
        <f>IF(M261="","",(_xlfn.XLOOKUP(M261,Cadastros!$D$6:$D$90,Cadastros!$E$6:$E$90))*(1-_xlfn.XLOOKUP(_xlfn.XLOOKUP($F261,Clientes!$B$4:$B$39,Clientes!$C$4:$C$39),Cadastros!$L$6:$L$12,Cadastros!$N$6:$N$12)))</f>
        <v/>
      </c>
      <c r="P261" s="168" t="str">
        <f t="shared" si="41"/>
        <v/>
      </c>
      <c r="Q261" s="168" t="str">
        <f>IFERROR(P261/_xlfn.XLOOKUP(_xlfn.XLOOKUP($F261,Clientes!$B$4:$B$39,Clientes!$C$4:$C$39),Cadastros!$L$6:$L$12,Cadastros!$M$6:$M$12)," ")</f>
        <v xml:space="preserve"> </v>
      </c>
      <c r="R261" s="28"/>
      <c r="S261" s="28"/>
      <c r="T261" s="255" t="str">
        <f>IF(R261="","",(_xlfn.XLOOKUP(R261,Cadastros!$D$6:$D$90,Cadastros!$E$6:$E$90))*(1-_xlfn.XLOOKUP(_xlfn.XLOOKUP($F261,Clientes!$B$4:$B$39,Clientes!$C$4:$C$39),Cadastros!$L$6:$L$12,Cadastros!$N$6:$N$12)))</f>
        <v/>
      </c>
      <c r="U261" s="168" t="str">
        <f t="shared" si="42"/>
        <v/>
      </c>
      <c r="V261" s="168" t="str">
        <f>IFERROR(U261/_xlfn.XLOOKUP(_xlfn.XLOOKUP($F261,Clientes!$B$4:$B$39,Clientes!$C$4:$C$39),Cadastros!$L$6:$L$12,Cadastros!$M$6:$M$12)," ")</f>
        <v xml:space="preserve"> </v>
      </c>
      <c r="W261" s="28"/>
      <c r="X261" s="28"/>
      <c r="Y261" s="255" t="str">
        <f>IF(W261="","",(_xlfn.XLOOKUP(W261,Cadastros!$D$6:$D$90,Cadastros!$E$6:$E$90))*(1-_xlfn.XLOOKUP(_xlfn.XLOOKUP($F261,Clientes!$B$4:$B$39,Clientes!$C$4:$C$39),Cadastros!$L$6:$L$12,Cadastros!$N$6:$N$12)))</f>
        <v/>
      </c>
      <c r="Z261" s="168" t="str">
        <f t="shared" si="43"/>
        <v/>
      </c>
      <c r="AA261" s="168" t="str">
        <f>IFERROR(Z261/_xlfn.XLOOKUP(_xlfn.XLOOKUP($F261,Clientes!$B$4:$B$39,Clientes!$C$4:$C$39),Cadastros!$L$6:$L$12,Cadastros!$M$6:$M$12)," ")</f>
        <v xml:space="preserve"> </v>
      </c>
      <c r="AB261" s="28"/>
      <c r="AC261" s="28"/>
      <c r="AD261" s="20" t="str">
        <f>IF(AB261="","",IF($F261="Bernardino Furlan",_xlfn.XLOOKUP(AB261,Cadastros!$G$6:$G$90,Cadastros!$H$6:$H$90)*(1-0.18),IF($F261="Mauro José Salanti",_xlfn.XLOOKUP(AB261,Cadastros!$G$6:$G$90,Cadastros!$H$6:$H$90)*(1-0.18),_xlfn.XLOOKUP(AB261,Cadastros!$G$6:$G$90,Cadastros!$H$6:$H$90))))</f>
        <v/>
      </c>
      <c r="AE261" s="168" t="str">
        <f t="shared" si="44"/>
        <v/>
      </c>
      <c r="AF261" s="168" t="str">
        <f t="shared" si="45"/>
        <v/>
      </c>
      <c r="AG261" s="28"/>
      <c r="AH261" s="28"/>
      <c r="AI261" s="20" t="str">
        <f>IF(AG261="","",IF($F261="Bernardino Furlan",_xlfn.XLOOKUP(AG261,Cadastros!$G$6:$G$90,Cadastros!$H$6:$H$90)*(1-0.18),IF($F261="Mauro José Salanti",_xlfn.XLOOKUP(AG261,Cadastros!$G$6:$G$90,Cadastros!$H$6:$H$90)*(1-0.18),_xlfn.XLOOKUP(AG261,Cadastros!$G$6:$G$90,Cadastros!$H$6:$H$90))))</f>
        <v/>
      </c>
      <c r="AJ261" s="168" t="str">
        <f t="shared" si="46"/>
        <v/>
      </c>
      <c r="AK261" s="168" t="str">
        <f t="shared" si="47"/>
        <v/>
      </c>
      <c r="AL261" s="28"/>
      <c r="AM261" s="28"/>
      <c r="AN261" s="20" t="str">
        <f>IF(AL261="","",IF($F261="Bernardino Furlan",_xlfn.XLOOKUP(AL261,Cadastros!$G$6:$G$90,Cadastros!$H$6:$H$90)*(1-0.18),IF($F261="Mauro José Salanti",_xlfn.XLOOKUP(AL261,Cadastros!$G$6:$G$90,Cadastros!$H$6:$H$90)*(1-0.18),_xlfn.XLOOKUP(AL261,Cadastros!$G$6:$G$90,Cadastros!$H$6:$H$90))))</f>
        <v/>
      </c>
      <c r="AO261" s="168" t="str">
        <f t="shared" si="48"/>
        <v/>
      </c>
      <c r="AP261" s="168" t="str">
        <f t="shared" si="49"/>
        <v/>
      </c>
      <c r="AQ261" s="28"/>
      <c r="AR261" s="28"/>
      <c r="AS261" s="20" t="str">
        <f>IF(AQ261="","",IF($F261="Bernardino Furlan",_xlfn.XLOOKUP(AQ261,Cadastros!$G$6:$G$90,Cadastros!$H$6:$H$90)*(1-0.18),IF($F261="Mauro José Salanti",_xlfn.XLOOKUP(AQ261,Cadastros!$G$6:$G$90,Cadastros!$H$6:$H$90)*(1-0.18),_xlfn.XLOOKUP(AQ261,Cadastros!$G$6:$G$90,Cadastros!$H$6:$H$90))))</f>
        <v/>
      </c>
      <c r="AT261" s="168" t="str">
        <f t="shared" si="50"/>
        <v/>
      </c>
      <c r="AU261" s="168" t="str">
        <f t="shared" si="51"/>
        <v/>
      </c>
      <c r="AV261" s="227"/>
      <c r="AW261" s="30"/>
      <c r="AX261" s="267"/>
      <c r="AY261" s="267"/>
      <c r="AZ261" s="29"/>
      <c r="BA261" s="30"/>
      <c r="BB261" s="23" t="str" cm="1">
        <f t="array" ref="BB261">_xlfn.IFS(AW261="SIM",SUM(K261,P261,U261,Z261,AE261,AJ261,AO261,AT261,AX261,AY261),F261&lt;&gt;"",SUM(K261,P261,U261,Z261,AE261,AJ261,,AO261,AT261),F261="","")</f>
        <v/>
      </c>
      <c r="BC261" s="211" t="str" cm="1">
        <f t="array" ref="BC261">_xlfn.IFS(E261="","",G261&lt;=E261,BB261*(1-0.03),G261&lt;(E261+8),BB261,AZ261="Boleto",BB261*(1+0.001)^DATEDIF(E261,G261,"D"),AZ261="Cheque",BB261,AZ261="Dinheiro","Alterar forma pgto")</f>
        <v/>
      </c>
      <c r="BD261" s="276" t="str" cm="1">
        <f t="array" ref="BD261">IF(F261=0," ",IF(BC261&lt;BB261,(_xlfn.IFS(AW261="SIM",SUM(L261,Q261,V261,AA261,AF261,AK261,AP261,AU261)+AX261/_xlfn.XLOOKUP(_xlfn.XLOOKUP($F261,Clientes!$B$4:$B$39,Clientes!$C$4:$C$39),Cadastros!$L$6:$L$12,Cadastros!$M$6:$M$12)+IF($F261="Bernardino Furlan",AY261/2751.92,IF($F261="Mauro José Salanti",AY261/2751.92,AY261/3356)),F261&lt;&gt;0,SUM(L261,Q261,V261,AA261,AF261,AK261,AP261,AU261)))*(1-0.03),_xlfn.IFS(AW261="SIM",SUM(L261,Q261,V261,AA261,AF261,AK261,AP261,AU261)+AX261/_xlfn.XLOOKUP(_xlfn.XLOOKUP($F261,Clientes!$B$4:$B$39,Clientes!$C$4:$C$39),Cadastros!$L$6:$L$12,Cadastros!$M$6:$M$12)+IF($F261="Bernardino Furlan",AY261/2751.92,IF($F261="Mauro José Salanti",AY261/2751.92,AY261/3356)),F261&lt;&gt;0,SUM(L261,Q261,V261,AA261,AF261,AK261,AP261,AU261))))</f>
        <v xml:space="preserve"> </v>
      </c>
      <c r="BE261" s="120"/>
      <c r="BF261" s="120"/>
      <c r="BG261" s="120"/>
    </row>
    <row r="262" spans="1:59" s="3" customFormat="1" x14ac:dyDescent="0.3">
      <c r="A262" s="15" t="str">
        <f t="shared" si="39"/>
        <v/>
      </c>
      <c r="B262" s="25"/>
      <c r="C262" s="26"/>
      <c r="D262" s="279"/>
      <c r="E262" s="27"/>
      <c r="F262" s="28"/>
      <c r="G262" s="27"/>
      <c r="H262" s="28"/>
      <c r="I262" s="28"/>
      <c r="J262" s="255" t="str">
        <f>IF(H262="","",(_xlfn.XLOOKUP(H262,Cadastros!$D$6:$D$90,Cadastros!$E$6:$E$90))*(1-_xlfn.XLOOKUP(_xlfn.XLOOKUP($F262,Clientes!$B$4:$B$39,Clientes!$C$4:$C$39),Cadastros!$L$6:$L$12,Cadastros!$N$6:$N$12)))</f>
        <v/>
      </c>
      <c r="K262" s="168" t="str">
        <f t="shared" si="40"/>
        <v/>
      </c>
      <c r="L262" s="168" t="str">
        <f>IFERROR(K262/_xlfn.XLOOKUP(_xlfn.XLOOKUP($F262,Clientes!$B$4:$B$39,Clientes!$C$4:$C$39),Cadastros!$L$6:$L$12,Cadastros!$M$6:$M$12)," ")</f>
        <v xml:space="preserve"> </v>
      </c>
      <c r="M262" s="28"/>
      <c r="N262" s="28"/>
      <c r="O262" s="255" t="str">
        <f>IF(M262="","",(_xlfn.XLOOKUP(M262,Cadastros!$D$6:$D$90,Cadastros!$E$6:$E$90))*(1-_xlfn.XLOOKUP(_xlfn.XLOOKUP($F262,Clientes!$B$4:$B$39,Clientes!$C$4:$C$39),Cadastros!$L$6:$L$12,Cadastros!$N$6:$N$12)))</f>
        <v/>
      </c>
      <c r="P262" s="168" t="str">
        <f t="shared" si="41"/>
        <v/>
      </c>
      <c r="Q262" s="168" t="str">
        <f>IFERROR(P262/_xlfn.XLOOKUP(_xlfn.XLOOKUP($F262,Clientes!$B$4:$B$39,Clientes!$C$4:$C$39),Cadastros!$L$6:$L$12,Cadastros!$M$6:$M$12)," ")</f>
        <v xml:space="preserve"> </v>
      </c>
      <c r="R262" s="28"/>
      <c r="S262" s="28"/>
      <c r="T262" s="255" t="str">
        <f>IF(R262="","",(_xlfn.XLOOKUP(R262,Cadastros!$D$6:$D$90,Cadastros!$E$6:$E$90))*(1-_xlfn.XLOOKUP(_xlfn.XLOOKUP($F262,Clientes!$B$4:$B$39,Clientes!$C$4:$C$39),Cadastros!$L$6:$L$12,Cadastros!$N$6:$N$12)))</f>
        <v/>
      </c>
      <c r="U262" s="168" t="str">
        <f t="shared" si="42"/>
        <v/>
      </c>
      <c r="V262" s="168" t="str">
        <f>IFERROR(U262/_xlfn.XLOOKUP(_xlfn.XLOOKUP($F262,Clientes!$B$4:$B$39,Clientes!$C$4:$C$39),Cadastros!$L$6:$L$12,Cadastros!$M$6:$M$12)," ")</f>
        <v xml:space="preserve"> </v>
      </c>
      <c r="W262" s="28"/>
      <c r="X262" s="28"/>
      <c r="Y262" s="255" t="str">
        <f>IF(W262="","",(_xlfn.XLOOKUP(W262,Cadastros!$D$6:$D$90,Cadastros!$E$6:$E$90))*(1-_xlfn.XLOOKUP(_xlfn.XLOOKUP($F262,Clientes!$B$4:$B$39,Clientes!$C$4:$C$39),Cadastros!$L$6:$L$12,Cadastros!$N$6:$N$12)))</f>
        <v/>
      </c>
      <c r="Z262" s="168" t="str">
        <f t="shared" si="43"/>
        <v/>
      </c>
      <c r="AA262" s="168" t="str">
        <f>IFERROR(Z262/_xlfn.XLOOKUP(_xlfn.XLOOKUP($F262,Clientes!$B$4:$B$39,Clientes!$C$4:$C$39),Cadastros!$L$6:$L$12,Cadastros!$M$6:$M$12)," ")</f>
        <v xml:space="preserve"> </v>
      </c>
      <c r="AB262" s="28"/>
      <c r="AC262" s="28"/>
      <c r="AD262" s="20" t="str">
        <f>IF(AB262="","",IF($F262="Bernardino Furlan",_xlfn.XLOOKUP(AB262,Cadastros!$G$6:$G$90,Cadastros!$H$6:$H$90)*(1-0.18),IF($F262="Mauro José Salanti",_xlfn.XLOOKUP(AB262,Cadastros!$G$6:$G$90,Cadastros!$H$6:$H$90)*(1-0.18),_xlfn.XLOOKUP(AB262,Cadastros!$G$6:$G$90,Cadastros!$H$6:$H$90))))</f>
        <v/>
      </c>
      <c r="AE262" s="168" t="str">
        <f t="shared" si="44"/>
        <v/>
      </c>
      <c r="AF262" s="168" t="str">
        <f t="shared" si="45"/>
        <v/>
      </c>
      <c r="AG262" s="28"/>
      <c r="AH262" s="28"/>
      <c r="AI262" s="20" t="str">
        <f>IF(AG262="","",IF($F262="Bernardino Furlan",_xlfn.XLOOKUP(AG262,Cadastros!$G$6:$G$90,Cadastros!$H$6:$H$90)*(1-0.18),IF($F262="Mauro José Salanti",_xlfn.XLOOKUP(AG262,Cadastros!$G$6:$G$90,Cadastros!$H$6:$H$90)*(1-0.18),_xlfn.XLOOKUP(AG262,Cadastros!$G$6:$G$90,Cadastros!$H$6:$H$90))))</f>
        <v/>
      </c>
      <c r="AJ262" s="168" t="str">
        <f t="shared" si="46"/>
        <v/>
      </c>
      <c r="AK262" s="168" t="str">
        <f t="shared" si="47"/>
        <v/>
      </c>
      <c r="AL262" s="28"/>
      <c r="AM262" s="28"/>
      <c r="AN262" s="20" t="str">
        <f>IF(AL262="","",IF($F262="Bernardino Furlan",_xlfn.XLOOKUP(AL262,Cadastros!$G$6:$G$90,Cadastros!$H$6:$H$90)*(1-0.18),IF($F262="Mauro José Salanti",_xlfn.XLOOKUP(AL262,Cadastros!$G$6:$G$90,Cadastros!$H$6:$H$90)*(1-0.18),_xlfn.XLOOKUP(AL262,Cadastros!$G$6:$G$90,Cadastros!$H$6:$H$90))))</f>
        <v/>
      </c>
      <c r="AO262" s="168" t="str">
        <f t="shared" si="48"/>
        <v/>
      </c>
      <c r="AP262" s="168" t="str">
        <f t="shared" si="49"/>
        <v/>
      </c>
      <c r="AQ262" s="28"/>
      <c r="AR262" s="28"/>
      <c r="AS262" s="20" t="str">
        <f>IF(AQ262="","",IF($F262="Bernardino Furlan",_xlfn.XLOOKUP(AQ262,Cadastros!$G$6:$G$90,Cadastros!$H$6:$H$90)*(1-0.18),IF($F262="Mauro José Salanti",_xlfn.XLOOKUP(AQ262,Cadastros!$G$6:$G$90,Cadastros!$H$6:$H$90)*(1-0.18),_xlfn.XLOOKUP(AQ262,Cadastros!$G$6:$G$90,Cadastros!$H$6:$H$90))))</f>
        <v/>
      </c>
      <c r="AT262" s="168" t="str">
        <f t="shared" si="50"/>
        <v/>
      </c>
      <c r="AU262" s="168" t="str">
        <f t="shared" si="51"/>
        <v/>
      </c>
      <c r="AV262" s="227"/>
      <c r="AW262" s="30"/>
      <c r="AX262" s="267"/>
      <c r="AY262" s="267"/>
      <c r="AZ262" s="29"/>
      <c r="BA262" s="30"/>
      <c r="BB262" s="23" t="str" cm="1">
        <f t="array" ref="BB262">_xlfn.IFS(AW262="SIM",SUM(K262,P262,U262,Z262,AE262,AJ262,AO262,AT262,AX262,AY262),F262&lt;&gt;"",SUM(K262,P262,U262,Z262,AE262,AJ262,,AO262,AT262),F262="","")</f>
        <v/>
      </c>
      <c r="BC262" s="211" t="str" cm="1">
        <f t="array" ref="BC262">_xlfn.IFS(E262="","",G262&lt;=E262,BB262*(1-0.03),G262&lt;(E262+8),BB262,AZ262="Boleto",BB262*(1+0.001)^DATEDIF(E262,G262,"D"),AZ262="Cheque",BB262,AZ262="Dinheiro","Alterar forma pgto")</f>
        <v/>
      </c>
      <c r="BD262" s="276" t="str" cm="1">
        <f t="array" ref="BD262">IF(F262=0," ",IF(BC262&lt;BB262,(_xlfn.IFS(AW262="SIM",SUM(L262,Q262,V262,AA262,AF262,AK262,AP262,AU262)+AX262/_xlfn.XLOOKUP(_xlfn.XLOOKUP($F262,Clientes!$B$4:$B$39,Clientes!$C$4:$C$39),Cadastros!$L$6:$L$12,Cadastros!$M$6:$M$12)+IF($F262="Bernardino Furlan",AY262/2751.92,IF($F262="Mauro José Salanti",AY262/2751.92,AY262/3356)),F262&lt;&gt;0,SUM(L262,Q262,V262,AA262,AF262,AK262,AP262,AU262)))*(1-0.03),_xlfn.IFS(AW262="SIM",SUM(L262,Q262,V262,AA262,AF262,AK262,AP262,AU262)+AX262/_xlfn.XLOOKUP(_xlfn.XLOOKUP($F262,Clientes!$B$4:$B$39,Clientes!$C$4:$C$39),Cadastros!$L$6:$L$12,Cadastros!$M$6:$M$12)+IF($F262="Bernardino Furlan",AY262/2751.92,IF($F262="Mauro José Salanti",AY262/2751.92,AY262/3356)),F262&lt;&gt;0,SUM(L262,Q262,V262,AA262,AF262,AK262,AP262,AU262))))</f>
        <v xml:space="preserve"> </v>
      </c>
      <c r="BE262" s="120"/>
      <c r="BF262" s="120"/>
      <c r="BG262" s="120"/>
    </row>
    <row r="263" spans="1:59" s="3" customFormat="1" x14ac:dyDescent="0.3">
      <c r="A263" s="15" t="str">
        <f t="shared" si="39"/>
        <v/>
      </c>
      <c r="B263" s="25"/>
      <c r="C263" s="26"/>
      <c r="D263" s="279"/>
      <c r="E263" s="27"/>
      <c r="F263" s="28"/>
      <c r="G263" s="27"/>
      <c r="H263" s="28"/>
      <c r="I263" s="28"/>
      <c r="J263" s="255" t="str">
        <f>IF(H263="","",(_xlfn.XLOOKUP(H263,Cadastros!$D$6:$D$90,Cadastros!$E$6:$E$90))*(1-_xlfn.XLOOKUP(_xlfn.XLOOKUP($F263,Clientes!$B$4:$B$39,Clientes!$C$4:$C$39),Cadastros!$L$6:$L$12,Cadastros!$N$6:$N$12)))</f>
        <v/>
      </c>
      <c r="K263" s="168" t="str">
        <f t="shared" si="40"/>
        <v/>
      </c>
      <c r="L263" s="168" t="str">
        <f>IFERROR(K263/_xlfn.XLOOKUP(_xlfn.XLOOKUP($F263,Clientes!$B$4:$B$39,Clientes!$C$4:$C$39),Cadastros!$L$6:$L$12,Cadastros!$M$6:$M$12)," ")</f>
        <v xml:space="preserve"> </v>
      </c>
      <c r="M263" s="28"/>
      <c r="N263" s="28"/>
      <c r="O263" s="255" t="str">
        <f>IF(M263="","",(_xlfn.XLOOKUP(M263,Cadastros!$D$6:$D$90,Cadastros!$E$6:$E$90))*(1-_xlfn.XLOOKUP(_xlfn.XLOOKUP($F263,Clientes!$B$4:$B$39,Clientes!$C$4:$C$39),Cadastros!$L$6:$L$12,Cadastros!$N$6:$N$12)))</f>
        <v/>
      </c>
      <c r="P263" s="168" t="str">
        <f t="shared" si="41"/>
        <v/>
      </c>
      <c r="Q263" s="168" t="str">
        <f>IFERROR(P263/_xlfn.XLOOKUP(_xlfn.XLOOKUP($F263,Clientes!$B$4:$B$39,Clientes!$C$4:$C$39),Cadastros!$L$6:$L$12,Cadastros!$M$6:$M$12)," ")</f>
        <v xml:space="preserve"> </v>
      </c>
      <c r="R263" s="28"/>
      <c r="S263" s="28"/>
      <c r="T263" s="255" t="str">
        <f>IF(R263="","",(_xlfn.XLOOKUP(R263,Cadastros!$D$6:$D$90,Cadastros!$E$6:$E$90))*(1-_xlfn.XLOOKUP(_xlfn.XLOOKUP($F263,Clientes!$B$4:$B$39,Clientes!$C$4:$C$39),Cadastros!$L$6:$L$12,Cadastros!$N$6:$N$12)))</f>
        <v/>
      </c>
      <c r="U263" s="168" t="str">
        <f t="shared" si="42"/>
        <v/>
      </c>
      <c r="V263" s="168" t="str">
        <f>IFERROR(U263/_xlfn.XLOOKUP(_xlfn.XLOOKUP($F263,Clientes!$B$4:$B$39,Clientes!$C$4:$C$39),Cadastros!$L$6:$L$12,Cadastros!$M$6:$M$12)," ")</f>
        <v xml:space="preserve"> </v>
      </c>
      <c r="W263" s="28"/>
      <c r="X263" s="28"/>
      <c r="Y263" s="255" t="str">
        <f>IF(W263="","",(_xlfn.XLOOKUP(W263,Cadastros!$D$6:$D$90,Cadastros!$E$6:$E$90))*(1-_xlfn.XLOOKUP(_xlfn.XLOOKUP($F263,Clientes!$B$4:$B$39,Clientes!$C$4:$C$39),Cadastros!$L$6:$L$12,Cadastros!$N$6:$N$12)))</f>
        <v/>
      </c>
      <c r="Z263" s="168" t="str">
        <f t="shared" si="43"/>
        <v/>
      </c>
      <c r="AA263" s="168" t="str">
        <f>IFERROR(Z263/_xlfn.XLOOKUP(_xlfn.XLOOKUP($F263,Clientes!$B$4:$B$39,Clientes!$C$4:$C$39),Cadastros!$L$6:$L$12,Cadastros!$M$6:$M$12)," ")</f>
        <v xml:space="preserve"> </v>
      </c>
      <c r="AB263" s="28"/>
      <c r="AC263" s="28"/>
      <c r="AD263" s="20" t="str">
        <f>IF(AB263="","",IF($F263="Bernardino Furlan",_xlfn.XLOOKUP(AB263,Cadastros!$G$6:$G$90,Cadastros!$H$6:$H$90)*(1-0.18),IF($F263="Mauro José Salanti",_xlfn.XLOOKUP(AB263,Cadastros!$G$6:$G$90,Cadastros!$H$6:$H$90)*(1-0.18),_xlfn.XLOOKUP(AB263,Cadastros!$G$6:$G$90,Cadastros!$H$6:$H$90))))</f>
        <v/>
      </c>
      <c r="AE263" s="168" t="str">
        <f t="shared" si="44"/>
        <v/>
      </c>
      <c r="AF263" s="168" t="str">
        <f t="shared" si="45"/>
        <v/>
      </c>
      <c r="AG263" s="28"/>
      <c r="AH263" s="28"/>
      <c r="AI263" s="20" t="str">
        <f>IF(AG263="","",IF($F263="Bernardino Furlan",_xlfn.XLOOKUP(AG263,Cadastros!$G$6:$G$90,Cadastros!$H$6:$H$90)*(1-0.18),IF($F263="Mauro José Salanti",_xlfn.XLOOKUP(AG263,Cadastros!$G$6:$G$90,Cadastros!$H$6:$H$90)*(1-0.18),_xlfn.XLOOKUP(AG263,Cadastros!$G$6:$G$90,Cadastros!$H$6:$H$90))))</f>
        <v/>
      </c>
      <c r="AJ263" s="168" t="str">
        <f t="shared" si="46"/>
        <v/>
      </c>
      <c r="AK263" s="168" t="str">
        <f t="shared" si="47"/>
        <v/>
      </c>
      <c r="AL263" s="28"/>
      <c r="AM263" s="28"/>
      <c r="AN263" s="20" t="str">
        <f>IF(AL263="","",IF($F263="Bernardino Furlan",_xlfn.XLOOKUP(AL263,Cadastros!$G$6:$G$90,Cadastros!$H$6:$H$90)*(1-0.18),IF($F263="Mauro José Salanti",_xlfn.XLOOKUP(AL263,Cadastros!$G$6:$G$90,Cadastros!$H$6:$H$90)*(1-0.18),_xlfn.XLOOKUP(AL263,Cadastros!$G$6:$G$90,Cadastros!$H$6:$H$90))))</f>
        <v/>
      </c>
      <c r="AO263" s="168" t="str">
        <f t="shared" si="48"/>
        <v/>
      </c>
      <c r="AP263" s="168" t="str">
        <f t="shared" si="49"/>
        <v/>
      </c>
      <c r="AQ263" s="28"/>
      <c r="AR263" s="28"/>
      <c r="AS263" s="20" t="str">
        <f>IF(AQ263="","",IF($F263="Bernardino Furlan",_xlfn.XLOOKUP(AQ263,Cadastros!$G$6:$G$90,Cadastros!$H$6:$H$90)*(1-0.18),IF($F263="Mauro José Salanti",_xlfn.XLOOKUP(AQ263,Cadastros!$G$6:$G$90,Cadastros!$H$6:$H$90)*(1-0.18),_xlfn.XLOOKUP(AQ263,Cadastros!$G$6:$G$90,Cadastros!$H$6:$H$90))))</f>
        <v/>
      </c>
      <c r="AT263" s="168" t="str">
        <f t="shared" si="50"/>
        <v/>
      </c>
      <c r="AU263" s="168" t="str">
        <f t="shared" si="51"/>
        <v/>
      </c>
      <c r="AV263" s="227"/>
      <c r="AW263" s="30"/>
      <c r="AX263" s="267"/>
      <c r="AY263" s="267"/>
      <c r="AZ263" s="29"/>
      <c r="BA263" s="30"/>
      <c r="BB263" s="23" t="str" cm="1">
        <f t="array" ref="BB263">_xlfn.IFS(AW263="SIM",SUM(K263,P263,U263,Z263,AE263,AJ263,AO263,AT263,AX263,AY263),F263&lt;&gt;"",SUM(K263,P263,U263,Z263,AE263,AJ263,,AO263,AT263),F263="","")</f>
        <v/>
      </c>
      <c r="BC263" s="211" t="str" cm="1">
        <f t="array" ref="BC263">_xlfn.IFS(E263="","",G263&lt;=E263,BB263*(1-0.03),G263&lt;(E263+8),BB263,AZ263="Boleto",BB263*(1+0.001)^DATEDIF(E263,G263,"D"),AZ263="Cheque",BB263,AZ263="Dinheiro","Alterar forma pgto")</f>
        <v/>
      </c>
      <c r="BD263" s="276" t="str" cm="1">
        <f t="array" ref="BD263">IF(F263=0," ",IF(BC263&lt;BB263,(_xlfn.IFS(AW263="SIM",SUM(L263,Q263,V263,AA263,AF263,AK263,AP263,AU263)+AX263/_xlfn.XLOOKUP(_xlfn.XLOOKUP($F263,Clientes!$B$4:$B$39,Clientes!$C$4:$C$39),Cadastros!$L$6:$L$12,Cadastros!$M$6:$M$12)+IF($F263="Bernardino Furlan",AY263/2751.92,IF($F263="Mauro José Salanti",AY263/2751.92,AY263/3356)),F263&lt;&gt;0,SUM(L263,Q263,V263,AA263,AF263,AK263,AP263,AU263)))*(1-0.03),_xlfn.IFS(AW263="SIM",SUM(L263,Q263,V263,AA263,AF263,AK263,AP263,AU263)+AX263/_xlfn.XLOOKUP(_xlfn.XLOOKUP($F263,Clientes!$B$4:$B$39,Clientes!$C$4:$C$39),Cadastros!$L$6:$L$12,Cadastros!$M$6:$M$12)+IF($F263="Bernardino Furlan",AY263/2751.92,IF($F263="Mauro José Salanti",AY263/2751.92,AY263/3356)),F263&lt;&gt;0,SUM(L263,Q263,V263,AA263,AF263,AK263,AP263,AU263))))</f>
        <v xml:space="preserve"> </v>
      </c>
      <c r="BE263" s="120"/>
      <c r="BF263" s="120"/>
      <c r="BG263" s="120"/>
    </row>
    <row r="264" spans="1:59" s="3" customFormat="1" x14ac:dyDescent="0.3">
      <c r="A264" s="15" t="str">
        <f t="shared" ref="A264:A327" si="52">IF(C264="orçamento",25%,IF(C264="aprovado",50%,IF(C264="entregue",100%,IF(C264="não aceito",0%,""))))</f>
        <v/>
      </c>
      <c r="B264" s="25"/>
      <c r="C264" s="26"/>
      <c r="D264" s="279"/>
      <c r="E264" s="27"/>
      <c r="F264" s="28"/>
      <c r="G264" s="27"/>
      <c r="H264" s="28"/>
      <c r="I264" s="28"/>
      <c r="J264" s="255" t="str">
        <f>IF(H264="","",(_xlfn.XLOOKUP(H264,Cadastros!$D$6:$D$90,Cadastros!$E$6:$E$90))*(1-_xlfn.XLOOKUP(_xlfn.XLOOKUP($F264,Clientes!$B$4:$B$39,Clientes!$C$4:$C$39),Cadastros!$L$6:$L$12,Cadastros!$N$6:$N$12)))</f>
        <v/>
      </c>
      <c r="K264" s="168" t="str">
        <f t="shared" ref="K264:K327" si="53">IF(J264="","",I264*J264)</f>
        <v/>
      </c>
      <c r="L264" s="168" t="str">
        <f>IFERROR(K264/_xlfn.XLOOKUP(_xlfn.XLOOKUP($F264,Clientes!$B$4:$B$39,Clientes!$C$4:$C$39),Cadastros!$L$6:$L$12,Cadastros!$M$6:$M$12)," ")</f>
        <v xml:space="preserve"> </v>
      </c>
      <c r="M264" s="28"/>
      <c r="N264" s="28"/>
      <c r="O264" s="255" t="str">
        <f>IF(M264="","",(_xlfn.XLOOKUP(M264,Cadastros!$D$6:$D$90,Cadastros!$E$6:$E$90))*(1-_xlfn.XLOOKUP(_xlfn.XLOOKUP($F264,Clientes!$B$4:$B$39,Clientes!$C$4:$C$39),Cadastros!$L$6:$L$12,Cadastros!$N$6:$N$12)))</f>
        <v/>
      </c>
      <c r="P264" s="168" t="str">
        <f t="shared" ref="P264:P327" si="54">IF(O264="","",N264*O264)</f>
        <v/>
      </c>
      <c r="Q264" s="168" t="str">
        <f>IFERROR(P264/_xlfn.XLOOKUP(_xlfn.XLOOKUP($F264,Clientes!$B$4:$B$39,Clientes!$C$4:$C$39),Cadastros!$L$6:$L$12,Cadastros!$M$6:$M$12)," ")</f>
        <v xml:space="preserve"> </v>
      </c>
      <c r="R264" s="28"/>
      <c r="S264" s="28"/>
      <c r="T264" s="255" t="str">
        <f>IF(R264="","",(_xlfn.XLOOKUP(R264,Cadastros!$D$6:$D$90,Cadastros!$E$6:$E$90))*(1-_xlfn.XLOOKUP(_xlfn.XLOOKUP($F264,Clientes!$B$4:$B$39,Clientes!$C$4:$C$39),Cadastros!$L$6:$L$12,Cadastros!$N$6:$N$12)))</f>
        <v/>
      </c>
      <c r="U264" s="168" t="str">
        <f t="shared" ref="U264:U327" si="55">IF(T264="","",S264*T264)</f>
        <v/>
      </c>
      <c r="V264" s="168" t="str">
        <f>IFERROR(U264/_xlfn.XLOOKUP(_xlfn.XLOOKUP($F264,Clientes!$B$4:$B$39,Clientes!$C$4:$C$39),Cadastros!$L$6:$L$12,Cadastros!$M$6:$M$12)," ")</f>
        <v xml:space="preserve"> </v>
      </c>
      <c r="W264" s="28"/>
      <c r="X264" s="28"/>
      <c r="Y264" s="255" t="str">
        <f>IF(W264="","",(_xlfn.XLOOKUP(W264,Cadastros!$D$6:$D$90,Cadastros!$E$6:$E$90))*(1-_xlfn.XLOOKUP(_xlfn.XLOOKUP($F264,Clientes!$B$4:$B$39,Clientes!$C$4:$C$39),Cadastros!$L$6:$L$12,Cadastros!$N$6:$N$12)))</f>
        <v/>
      </c>
      <c r="Z264" s="168" t="str">
        <f t="shared" ref="Z264:Z327" si="56">IF(Y264="","",X264*Y264)</f>
        <v/>
      </c>
      <c r="AA264" s="168" t="str">
        <f>IFERROR(Z264/_xlfn.XLOOKUP(_xlfn.XLOOKUP($F264,Clientes!$B$4:$B$39,Clientes!$C$4:$C$39),Cadastros!$L$6:$L$12,Cadastros!$M$6:$M$12)," ")</f>
        <v xml:space="preserve"> </v>
      </c>
      <c r="AB264" s="28"/>
      <c r="AC264" s="28"/>
      <c r="AD264" s="20" t="str">
        <f>IF(AB264="","",IF($F264="Bernardino Furlan",_xlfn.XLOOKUP(AB264,Cadastros!$G$6:$G$90,Cadastros!$H$6:$H$90)*(1-0.18),IF($F264="Mauro José Salanti",_xlfn.XLOOKUP(AB264,Cadastros!$G$6:$G$90,Cadastros!$H$6:$H$90)*(1-0.18),_xlfn.XLOOKUP(AB264,Cadastros!$G$6:$G$90,Cadastros!$H$6:$H$90))))</f>
        <v/>
      </c>
      <c r="AE264" s="168" t="str">
        <f t="shared" ref="AE264:AE327" si="57">IF(AD264="","",AC264*AD264)</f>
        <v/>
      </c>
      <c r="AF264" s="168" t="str">
        <f t="shared" ref="AF264:AF327" si="58">IFERROR(IF($F264="Bernardino Furlan",AE264/2751.92,IF($F264="Mauro José Salanti",AE264/2751.92,AE264/3356)),"")</f>
        <v/>
      </c>
      <c r="AG264" s="28"/>
      <c r="AH264" s="28"/>
      <c r="AI264" s="20" t="str">
        <f>IF(AG264="","",IF($F264="Bernardino Furlan",_xlfn.XLOOKUP(AG264,Cadastros!$G$6:$G$90,Cadastros!$H$6:$H$90)*(1-0.18),IF($F264="Mauro José Salanti",_xlfn.XLOOKUP(AG264,Cadastros!$G$6:$G$90,Cadastros!$H$6:$H$90)*(1-0.18),_xlfn.XLOOKUP(AG264,Cadastros!$G$6:$G$90,Cadastros!$H$6:$H$90))))</f>
        <v/>
      </c>
      <c r="AJ264" s="168" t="str">
        <f t="shared" ref="AJ264:AJ327" si="59">IF(AI264="","",AH264*AI264)</f>
        <v/>
      </c>
      <c r="AK264" s="168" t="str">
        <f t="shared" ref="AK264:AK327" si="60">IFERROR(IF($F264="Bernardino Furlan",AJ264/2751.92,IF($F264="Mauro José Salanti",AJ264/2751.92,AJ264/3356)),"")</f>
        <v/>
      </c>
      <c r="AL264" s="28"/>
      <c r="AM264" s="28"/>
      <c r="AN264" s="20" t="str">
        <f>IF(AL264="","",IF($F264="Bernardino Furlan",_xlfn.XLOOKUP(AL264,Cadastros!$G$6:$G$90,Cadastros!$H$6:$H$90)*(1-0.18),IF($F264="Mauro José Salanti",_xlfn.XLOOKUP(AL264,Cadastros!$G$6:$G$90,Cadastros!$H$6:$H$90)*(1-0.18),_xlfn.XLOOKUP(AL264,Cadastros!$G$6:$G$90,Cadastros!$H$6:$H$90))))</f>
        <v/>
      </c>
      <c r="AO264" s="168" t="str">
        <f t="shared" ref="AO264:AO327" si="61">IF(AN264="","",AM264*AN264)</f>
        <v/>
      </c>
      <c r="AP264" s="168" t="str">
        <f t="shared" ref="AP264:AP327" si="62">IFERROR(IF($F264="Bernardino Furlan",AO264/2751.92,IF($F264="Mauro José Salanti",AO264/2751.92,AO264/3356)),"")</f>
        <v/>
      </c>
      <c r="AQ264" s="28"/>
      <c r="AR264" s="28"/>
      <c r="AS264" s="20" t="str">
        <f>IF(AQ264="","",IF($F264="Bernardino Furlan",_xlfn.XLOOKUP(AQ264,Cadastros!$G$6:$G$90,Cadastros!$H$6:$H$90)*(1-0.18),IF($F264="Mauro José Salanti",_xlfn.XLOOKUP(AQ264,Cadastros!$G$6:$G$90,Cadastros!$H$6:$H$90)*(1-0.18),_xlfn.XLOOKUP(AQ264,Cadastros!$G$6:$G$90,Cadastros!$H$6:$H$90))))</f>
        <v/>
      </c>
      <c r="AT264" s="168" t="str">
        <f t="shared" ref="AT264:AT327" si="63">IF(AS264="","",AR264*AS264)</f>
        <v/>
      </c>
      <c r="AU264" s="168" t="str">
        <f t="shared" ref="AU264:AU327" si="64">IFERROR(IF($F264="Bernardino Furlan",AT264/2751.92,IF($F264="Mauro José Salanti",AT264/2751.92,AT264/3356)),"")</f>
        <v/>
      </c>
      <c r="AV264" s="227"/>
      <c r="AW264" s="30"/>
      <c r="AX264" s="267"/>
      <c r="AY264" s="267"/>
      <c r="AZ264" s="29"/>
      <c r="BA264" s="30"/>
      <c r="BB264" s="23" t="str" cm="1">
        <f t="array" ref="BB264">_xlfn.IFS(AW264="SIM",SUM(K264,P264,U264,Z264,AE264,AJ264,AO264,AT264,AX264,AY264),F264&lt;&gt;"",SUM(K264,P264,U264,Z264,AE264,AJ264,,AO264,AT264),F264="","")</f>
        <v/>
      </c>
      <c r="BC264" s="211" t="str" cm="1">
        <f t="array" ref="BC264">_xlfn.IFS(E264="","",G264&lt;=E264,BB264*(1-0.03),G264&lt;(E264+8),BB264,AZ264="Boleto",BB264*(1+0.001)^DATEDIF(E264,G264,"D"),AZ264="Cheque",BB264,AZ264="Dinheiro","Alterar forma pgto")</f>
        <v/>
      </c>
      <c r="BD264" s="276" t="str" cm="1">
        <f t="array" ref="BD264">IF(F264=0," ",IF(BC264&lt;BB264,(_xlfn.IFS(AW264="SIM",SUM(L264,Q264,V264,AA264,AF264,AK264,AP264,AU264)+AX264/_xlfn.XLOOKUP(_xlfn.XLOOKUP($F264,Clientes!$B$4:$B$39,Clientes!$C$4:$C$39),Cadastros!$L$6:$L$12,Cadastros!$M$6:$M$12)+IF($F264="Bernardino Furlan",AY264/2751.92,IF($F264="Mauro José Salanti",AY264/2751.92,AY264/3356)),F264&lt;&gt;0,SUM(L264,Q264,V264,AA264,AF264,AK264,AP264,AU264)))*(1-0.03),_xlfn.IFS(AW264="SIM",SUM(L264,Q264,V264,AA264,AF264,AK264,AP264,AU264)+AX264/_xlfn.XLOOKUP(_xlfn.XLOOKUP($F264,Clientes!$B$4:$B$39,Clientes!$C$4:$C$39),Cadastros!$L$6:$L$12,Cadastros!$M$6:$M$12)+IF($F264="Bernardino Furlan",AY264/2751.92,IF($F264="Mauro José Salanti",AY264/2751.92,AY264/3356)),F264&lt;&gt;0,SUM(L264,Q264,V264,AA264,AF264,AK264,AP264,AU264))))</f>
        <v xml:space="preserve"> </v>
      </c>
      <c r="BE264" s="120"/>
      <c r="BF264" s="120"/>
      <c r="BG264" s="120"/>
    </row>
    <row r="265" spans="1:59" s="3" customFormat="1" x14ac:dyDescent="0.3">
      <c r="A265" s="15" t="str">
        <f t="shared" si="52"/>
        <v/>
      </c>
      <c r="B265" s="25"/>
      <c r="C265" s="26"/>
      <c r="D265" s="279"/>
      <c r="E265" s="27"/>
      <c r="F265" s="28"/>
      <c r="G265" s="27"/>
      <c r="H265" s="28"/>
      <c r="I265" s="28"/>
      <c r="J265" s="255" t="str">
        <f>IF(H265="","",(_xlfn.XLOOKUP(H265,Cadastros!$D$6:$D$90,Cadastros!$E$6:$E$90))*(1-_xlfn.XLOOKUP(_xlfn.XLOOKUP($F265,Clientes!$B$4:$B$39,Clientes!$C$4:$C$39),Cadastros!$L$6:$L$12,Cadastros!$N$6:$N$12)))</f>
        <v/>
      </c>
      <c r="K265" s="168" t="str">
        <f t="shared" si="53"/>
        <v/>
      </c>
      <c r="L265" s="168" t="str">
        <f>IFERROR(K265/_xlfn.XLOOKUP(_xlfn.XLOOKUP($F265,Clientes!$B$4:$B$39,Clientes!$C$4:$C$39),Cadastros!$L$6:$L$12,Cadastros!$M$6:$M$12)," ")</f>
        <v xml:space="preserve"> </v>
      </c>
      <c r="M265" s="28"/>
      <c r="N265" s="28"/>
      <c r="O265" s="255" t="str">
        <f>IF(M265="","",(_xlfn.XLOOKUP(M265,Cadastros!$D$6:$D$90,Cadastros!$E$6:$E$90))*(1-_xlfn.XLOOKUP(_xlfn.XLOOKUP($F265,Clientes!$B$4:$B$39,Clientes!$C$4:$C$39),Cadastros!$L$6:$L$12,Cadastros!$N$6:$N$12)))</f>
        <v/>
      </c>
      <c r="P265" s="168" t="str">
        <f t="shared" si="54"/>
        <v/>
      </c>
      <c r="Q265" s="168" t="str">
        <f>IFERROR(P265/_xlfn.XLOOKUP(_xlfn.XLOOKUP($F265,Clientes!$B$4:$B$39,Clientes!$C$4:$C$39),Cadastros!$L$6:$L$12,Cadastros!$M$6:$M$12)," ")</f>
        <v xml:space="preserve"> </v>
      </c>
      <c r="R265" s="28"/>
      <c r="S265" s="28"/>
      <c r="T265" s="255" t="str">
        <f>IF(R265="","",(_xlfn.XLOOKUP(R265,Cadastros!$D$6:$D$90,Cadastros!$E$6:$E$90))*(1-_xlfn.XLOOKUP(_xlfn.XLOOKUP($F265,Clientes!$B$4:$B$39,Clientes!$C$4:$C$39),Cadastros!$L$6:$L$12,Cadastros!$N$6:$N$12)))</f>
        <v/>
      </c>
      <c r="U265" s="168" t="str">
        <f t="shared" si="55"/>
        <v/>
      </c>
      <c r="V265" s="168" t="str">
        <f>IFERROR(U265/_xlfn.XLOOKUP(_xlfn.XLOOKUP($F265,Clientes!$B$4:$B$39,Clientes!$C$4:$C$39),Cadastros!$L$6:$L$12,Cadastros!$M$6:$M$12)," ")</f>
        <v xml:space="preserve"> </v>
      </c>
      <c r="W265" s="28"/>
      <c r="X265" s="28"/>
      <c r="Y265" s="255" t="str">
        <f>IF(W265="","",(_xlfn.XLOOKUP(W265,Cadastros!$D$6:$D$90,Cadastros!$E$6:$E$90))*(1-_xlfn.XLOOKUP(_xlfn.XLOOKUP($F265,Clientes!$B$4:$B$39,Clientes!$C$4:$C$39),Cadastros!$L$6:$L$12,Cadastros!$N$6:$N$12)))</f>
        <v/>
      </c>
      <c r="Z265" s="168" t="str">
        <f t="shared" si="56"/>
        <v/>
      </c>
      <c r="AA265" s="168" t="str">
        <f>IFERROR(Z265/_xlfn.XLOOKUP(_xlfn.XLOOKUP($F265,Clientes!$B$4:$B$39,Clientes!$C$4:$C$39),Cadastros!$L$6:$L$12,Cadastros!$M$6:$M$12)," ")</f>
        <v xml:space="preserve"> </v>
      </c>
      <c r="AB265" s="28"/>
      <c r="AC265" s="28"/>
      <c r="AD265" s="20" t="str">
        <f>IF(AB265="","",IF($F265="Bernardino Furlan",_xlfn.XLOOKUP(AB265,Cadastros!$G$6:$G$90,Cadastros!$H$6:$H$90)*(1-0.18),IF($F265="Mauro José Salanti",_xlfn.XLOOKUP(AB265,Cadastros!$G$6:$G$90,Cadastros!$H$6:$H$90)*(1-0.18),_xlfn.XLOOKUP(AB265,Cadastros!$G$6:$G$90,Cadastros!$H$6:$H$90))))</f>
        <v/>
      </c>
      <c r="AE265" s="168" t="str">
        <f t="shared" si="57"/>
        <v/>
      </c>
      <c r="AF265" s="168" t="str">
        <f t="shared" si="58"/>
        <v/>
      </c>
      <c r="AG265" s="28"/>
      <c r="AH265" s="28"/>
      <c r="AI265" s="20" t="str">
        <f>IF(AG265="","",IF($F265="Bernardino Furlan",_xlfn.XLOOKUP(AG265,Cadastros!$G$6:$G$90,Cadastros!$H$6:$H$90)*(1-0.18),IF($F265="Mauro José Salanti",_xlfn.XLOOKUP(AG265,Cadastros!$G$6:$G$90,Cadastros!$H$6:$H$90)*(1-0.18),_xlfn.XLOOKUP(AG265,Cadastros!$G$6:$G$90,Cadastros!$H$6:$H$90))))</f>
        <v/>
      </c>
      <c r="AJ265" s="168" t="str">
        <f t="shared" si="59"/>
        <v/>
      </c>
      <c r="AK265" s="168" t="str">
        <f t="shared" si="60"/>
        <v/>
      </c>
      <c r="AL265" s="28"/>
      <c r="AM265" s="28"/>
      <c r="AN265" s="20" t="str">
        <f>IF(AL265="","",IF($F265="Bernardino Furlan",_xlfn.XLOOKUP(AL265,Cadastros!$G$6:$G$90,Cadastros!$H$6:$H$90)*(1-0.18),IF($F265="Mauro José Salanti",_xlfn.XLOOKUP(AL265,Cadastros!$G$6:$G$90,Cadastros!$H$6:$H$90)*(1-0.18),_xlfn.XLOOKUP(AL265,Cadastros!$G$6:$G$90,Cadastros!$H$6:$H$90))))</f>
        <v/>
      </c>
      <c r="AO265" s="168" t="str">
        <f t="shared" si="61"/>
        <v/>
      </c>
      <c r="AP265" s="168" t="str">
        <f t="shared" si="62"/>
        <v/>
      </c>
      <c r="AQ265" s="28"/>
      <c r="AR265" s="28"/>
      <c r="AS265" s="20" t="str">
        <f>IF(AQ265="","",IF($F265="Bernardino Furlan",_xlfn.XLOOKUP(AQ265,Cadastros!$G$6:$G$90,Cadastros!$H$6:$H$90)*(1-0.18),IF($F265="Mauro José Salanti",_xlfn.XLOOKUP(AQ265,Cadastros!$G$6:$G$90,Cadastros!$H$6:$H$90)*(1-0.18),_xlfn.XLOOKUP(AQ265,Cadastros!$G$6:$G$90,Cadastros!$H$6:$H$90))))</f>
        <v/>
      </c>
      <c r="AT265" s="168" t="str">
        <f t="shared" si="63"/>
        <v/>
      </c>
      <c r="AU265" s="168" t="str">
        <f t="shared" si="64"/>
        <v/>
      </c>
      <c r="AV265" s="227"/>
      <c r="AW265" s="30"/>
      <c r="AX265" s="267"/>
      <c r="AY265" s="267"/>
      <c r="AZ265" s="29"/>
      <c r="BA265" s="30"/>
      <c r="BB265" s="23" t="str" cm="1">
        <f t="array" ref="BB265">_xlfn.IFS(AW265="SIM",SUM(K265,P265,U265,Z265,AE265,AJ265,AO265,AT265,AX265,AY265),F265&lt;&gt;"",SUM(K265,P265,U265,Z265,AE265,AJ265,,AO265,AT265),F265="","")</f>
        <v/>
      </c>
      <c r="BC265" s="211" t="str" cm="1">
        <f t="array" ref="BC265">_xlfn.IFS(E265="","",G265&lt;=E265,BB265*(1-0.03),G265&lt;(E265+8),BB265,AZ265="Boleto",BB265*(1+0.001)^DATEDIF(E265,G265,"D"),AZ265="Cheque",BB265,AZ265="Dinheiro","Alterar forma pgto")</f>
        <v/>
      </c>
      <c r="BD265" s="276" t="str" cm="1">
        <f t="array" ref="BD265">IF(F265=0," ",IF(BC265&lt;BB265,(_xlfn.IFS(AW265="SIM",SUM(L265,Q265,V265,AA265,AF265,AK265,AP265,AU265)+AX265/_xlfn.XLOOKUP(_xlfn.XLOOKUP($F265,Clientes!$B$4:$B$39,Clientes!$C$4:$C$39),Cadastros!$L$6:$L$12,Cadastros!$M$6:$M$12)+IF($F265="Bernardino Furlan",AY265/2751.92,IF($F265="Mauro José Salanti",AY265/2751.92,AY265/3356)),F265&lt;&gt;0,SUM(L265,Q265,V265,AA265,AF265,AK265,AP265,AU265)))*(1-0.03),_xlfn.IFS(AW265="SIM",SUM(L265,Q265,V265,AA265,AF265,AK265,AP265,AU265)+AX265/_xlfn.XLOOKUP(_xlfn.XLOOKUP($F265,Clientes!$B$4:$B$39,Clientes!$C$4:$C$39),Cadastros!$L$6:$L$12,Cadastros!$M$6:$M$12)+IF($F265="Bernardino Furlan",AY265/2751.92,IF($F265="Mauro José Salanti",AY265/2751.92,AY265/3356)),F265&lt;&gt;0,SUM(L265,Q265,V265,AA265,AF265,AK265,AP265,AU265))))</f>
        <v xml:space="preserve"> </v>
      </c>
      <c r="BE265" s="120"/>
      <c r="BF265" s="120"/>
      <c r="BG265" s="120"/>
    </row>
    <row r="266" spans="1:59" s="3" customFormat="1" x14ac:dyDescent="0.3">
      <c r="A266" s="15" t="str">
        <f t="shared" si="52"/>
        <v/>
      </c>
      <c r="B266" s="25"/>
      <c r="C266" s="26"/>
      <c r="D266" s="279"/>
      <c r="E266" s="27"/>
      <c r="F266" s="28"/>
      <c r="G266" s="27"/>
      <c r="H266" s="28"/>
      <c r="I266" s="28"/>
      <c r="J266" s="255" t="str">
        <f>IF(H266="","",(_xlfn.XLOOKUP(H266,Cadastros!$D$6:$D$90,Cadastros!$E$6:$E$90))*(1-_xlfn.XLOOKUP(_xlfn.XLOOKUP($F266,Clientes!$B$4:$B$39,Clientes!$C$4:$C$39),Cadastros!$L$6:$L$12,Cadastros!$N$6:$N$12)))</f>
        <v/>
      </c>
      <c r="K266" s="168" t="str">
        <f t="shared" si="53"/>
        <v/>
      </c>
      <c r="L266" s="168" t="str">
        <f>IFERROR(K266/_xlfn.XLOOKUP(_xlfn.XLOOKUP($F266,Clientes!$B$4:$B$39,Clientes!$C$4:$C$39),Cadastros!$L$6:$L$12,Cadastros!$M$6:$M$12)," ")</f>
        <v xml:space="preserve"> </v>
      </c>
      <c r="M266" s="28"/>
      <c r="N266" s="28"/>
      <c r="O266" s="255" t="str">
        <f>IF(M266="","",(_xlfn.XLOOKUP(M266,Cadastros!$D$6:$D$90,Cadastros!$E$6:$E$90))*(1-_xlfn.XLOOKUP(_xlfn.XLOOKUP($F266,Clientes!$B$4:$B$39,Clientes!$C$4:$C$39),Cadastros!$L$6:$L$12,Cadastros!$N$6:$N$12)))</f>
        <v/>
      </c>
      <c r="P266" s="168" t="str">
        <f t="shared" si="54"/>
        <v/>
      </c>
      <c r="Q266" s="168" t="str">
        <f>IFERROR(P266/_xlfn.XLOOKUP(_xlfn.XLOOKUP($F266,Clientes!$B$4:$B$39,Clientes!$C$4:$C$39),Cadastros!$L$6:$L$12,Cadastros!$M$6:$M$12)," ")</f>
        <v xml:space="preserve"> </v>
      </c>
      <c r="R266" s="28"/>
      <c r="S266" s="28"/>
      <c r="T266" s="255" t="str">
        <f>IF(R266="","",(_xlfn.XLOOKUP(R266,Cadastros!$D$6:$D$90,Cadastros!$E$6:$E$90))*(1-_xlfn.XLOOKUP(_xlfn.XLOOKUP($F266,Clientes!$B$4:$B$39,Clientes!$C$4:$C$39),Cadastros!$L$6:$L$12,Cadastros!$N$6:$N$12)))</f>
        <v/>
      </c>
      <c r="U266" s="168" t="str">
        <f t="shared" si="55"/>
        <v/>
      </c>
      <c r="V266" s="168" t="str">
        <f>IFERROR(U266/_xlfn.XLOOKUP(_xlfn.XLOOKUP($F266,Clientes!$B$4:$B$39,Clientes!$C$4:$C$39),Cadastros!$L$6:$L$12,Cadastros!$M$6:$M$12)," ")</f>
        <v xml:space="preserve"> </v>
      </c>
      <c r="W266" s="28"/>
      <c r="X266" s="28"/>
      <c r="Y266" s="255" t="str">
        <f>IF(W266="","",(_xlfn.XLOOKUP(W266,Cadastros!$D$6:$D$90,Cadastros!$E$6:$E$90))*(1-_xlfn.XLOOKUP(_xlfn.XLOOKUP($F266,Clientes!$B$4:$B$39,Clientes!$C$4:$C$39),Cadastros!$L$6:$L$12,Cadastros!$N$6:$N$12)))</f>
        <v/>
      </c>
      <c r="Z266" s="168" t="str">
        <f t="shared" si="56"/>
        <v/>
      </c>
      <c r="AA266" s="168" t="str">
        <f>IFERROR(Z266/_xlfn.XLOOKUP(_xlfn.XLOOKUP($F266,Clientes!$B$4:$B$39,Clientes!$C$4:$C$39),Cadastros!$L$6:$L$12,Cadastros!$M$6:$M$12)," ")</f>
        <v xml:space="preserve"> </v>
      </c>
      <c r="AB266" s="28"/>
      <c r="AC266" s="28"/>
      <c r="AD266" s="20" t="str">
        <f>IF(AB266="","",IF($F266="Bernardino Furlan",_xlfn.XLOOKUP(AB266,Cadastros!$G$6:$G$90,Cadastros!$H$6:$H$90)*(1-0.18),IF($F266="Mauro José Salanti",_xlfn.XLOOKUP(AB266,Cadastros!$G$6:$G$90,Cadastros!$H$6:$H$90)*(1-0.18),_xlfn.XLOOKUP(AB266,Cadastros!$G$6:$G$90,Cadastros!$H$6:$H$90))))</f>
        <v/>
      </c>
      <c r="AE266" s="168" t="str">
        <f t="shared" si="57"/>
        <v/>
      </c>
      <c r="AF266" s="168" t="str">
        <f t="shared" si="58"/>
        <v/>
      </c>
      <c r="AG266" s="28"/>
      <c r="AH266" s="28"/>
      <c r="AI266" s="20" t="str">
        <f>IF(AG266="","",IF($F266="Bernardino Furlan",_xlfn.XLOOKUP(AG266,Cadastros!$G$6:$G$90,Cadastros!$H$6:$H$90)*(1-0.18),IF($F266="Mauro José Salanti",_xlfn.XLOOKUP(AG266,Cadastros!$G$6:$G$90,Cadastros!$H$6:$H$90)*(1-0.18),_xlfn.XLOOKUP(AG266,Cadastros!$G$6:$G$90,Cadastros!$H$6:$H$90))))</f>
        <v/>
      </c>
      <c r="AJ266" s="168" t="str">
        <f t="shared" si="59"/>
        <v/>
      </c>
      <c r="AK266" s="168" t="str">
        <f t="shared" si="60"/>
        <v/>
      </c>
      <c r="AL266" s="28"/>
      <c r="AM266" s="28"/>
      <c r="AN266" s="20" t="str">
        <f>IF(AL266="","",IF($F266="Bernardino Furlan",_xlfn.XLOOKUP(AL266,Cadastros!$G$6:$G$90,Cadastros!$H$6:$H$90)*(1-0.18),IF($F266="Mauro José Salanti",_xlfn.XLOOKUP(AL266,Cadastros!$G$6:$G$90,Cadastros!$H$6:$H$90)*(1-0.18),_xlfn.XLOOKUP(AL266,Cadastros!$G$6:$G$90,Cadastros!$H$6:$H$90))))</f>
        <v/>
      </c>
      <c r="AO266" s="168" t="str">
        <f t="shared" si="61"/>
        <v/>
      </c>
      <c r="AP266" s="168" t="str">
        <f t="shared" si="62"/>
        <v/>
      </c>
      <c r="AQ266" s="28"/>
      <c r="AR266" s="28"/>
      <c r="AS266" s="20" t="str">
        <f>IF(AQ266="","",IF($F266="Bernardino Furlan",_xlfn.XLOOKUP(AQ266,Cadastros!$G$6:$G$90,Cadastros!$H$6:$H$90)*(1-0.18),IF($F266="Mauro José Salanti",_xlfn.XLOOKUP(AQ266,Cadastros!$G$6:$G$90,Cadastros!$H$6:$H$90)*(1-0.18),_xlfn.XLOOKUP(AQ266,Cadastros!$G$6:$G$90,Cadastros!$H$6:$H$90))))</f>
        <v/>
      </c>
      <c r="AT266" s="168" t="str">
        <f t="shared" si="63"/>
        <v/>
      </c>
      <c r="AU266" s="168" t="str">
        <f t="shared" si="64"/>
        <v/>
      </c>
      <c r="AV266" s="227"/>
      <c r="AW266" s="30"/>
      <c r="AX266" s="267"/>
      <c r="AY266" s="267"/>
      <c r="AZ266" s="29"/>
      <c r="BA266" s="30"/>
      <c r="BB266" s="23" t="str" cm="1">
        <f t="array" ref="BB266">_xlfn.IFS(AW266="SIM",SUM(K266,P266,U266,Z266,AE266,AJ266,AO266,AT266,AX266,AY266),F266&lt;&gt;"",SUM(K266,P266,U266,Z266,AE266,AJ266,,AO266,AT266),F266="","")</f>
        <v/>
      </c>
      <c r="BC266" s="211" t="str" cm="1">
        <f t="array" ref="BC266">_xlfn.IFS(E266="","",G266&lt;=E266,BB266*(1-0.03),G266&lt;(E266+8),BB266,AZ266="Boleto",BB266*(1+0.001)^DATEDIF(E266,G266,"D"),AZ266="Cheque",BB266,AZ266="Dinheiro","Alterar forma pgto")</f>
        <v/>
      </c>
      <c r="BD266" s="276" t="str" cm="1">
        <f t="array" ref="BD266">IF(F266=0," ",IF(BC266&lt;BB266,(_xlfn.IFS(AW266="SIM",SUM(L266,Q266,V266,AA266,AF266,AK266,AP266,AU266)+AX266/_xlfn.XLOOKUP(_xlfn.XLOOKUP($F266,Clientes!$B$4:$B$39,Clientes!$C$4:$C$39),Cadastros!$L$6:$L$12,Cadastros!$M$6:$M$12)+IF($F266="Bernardino Furlan",AY266/2751.92,IF($F266="Mauro José Salanti",AY266/2751.92,AY266/3356)),F266&lt;&gt;0,SUM(L266,Q266,V266,AA266,AF266,AK266,AP266,AU266)))*(1-0.03),_xlfn.IFS(AW266="SIM",SUM(L266,Q266,V266,AA266,AF266,AK266,AP266,AU266)+AX266/_xlfn.XLOOKUP(_xlfn.XLOOKUP($F266,Clientes!$B$4:$B$39,Clientes!$C$4:$C$39),Cadastros!$L$6:$L$12,Cadastros!$M$6:$M$12)+IF($F266="Bernardino Furlan",AY266/2751.92,IF($F266="Mauro José Salanti",AY266/2751.92,AY266/3356)),F266&lt;&gt;0,SUM(L266,Q266,V266,AA266,AF266,AK266,AP266,AU266))))</f>
        <v xml:space="preserve"> </v>
      </c>
      <c r="BE266" s="120"/>
      <c r="BF266" s="120"/>
      <c r="BG266" s="120"/>
    </row>
    <row r="267" spans="1:59" s="3" customFormat="1" x14ac:dyDescent="0.3">
      <c r="A267" s="15" t="str">
        <f t="shared" si="52"/>
        <v/>
      </c>
      <c r="B267" s="25"/>
      <c r="C267" s="26"/>
      <c r="D267" s="279"/>
      <c r="E267" s="27"/>
      <c r="F267" s="28"/>
      <c r="G267" s="27"/>
      <c r="H267" s="28"/>
      <c r="I267" s="28"/>
      <c r="J267" s="255" t="str">
        <f>IF(H267="","",(_xlfn.XLOOKUP(H267,Cadastros!$D$6:$D$90,Cadastros!$E$6:$E$90))*(1-_xlfn.XLOOKUP(_xlfn.XLOOKUP($F267,Clientes!$B$4:$B$39,Clientes!$C$4:$C$39),Cadastros!$L$6:$L$12,Cadastros!$N$6:$N$12)))</f>
        <v/>
      </c>
      <c r="K267" s="168" t="str">
        <f t="shared" si="53"/>
        <v/>
      </c>
      <c r="L267" s="168" t="str">
        <f>IFERROR(K267/_xlfn.XLOOKUP(_xlfn.XLOOKUP($F267,Clientes!$B$4:$B$39,Clientes!$C$4:$C$39),Cadastros!$L$6:$L$12,Cadastros!$M$6:$M$12)," ")</f>
        <v xml:space="preserve"> </v>
      </c>
      <c r="M267" s="28"/>
      <c r="N267" s="28"/>
      <c r="O267" s="255" t="str">
        <f>IF(M267="","",(_xlfn.XLOOKUP(M267,Cadastros!$D$6:$D$90,Cadastros!$E$6:$E$90))*(1-_xlfn.XLOOKUP(_xlfn.XLOOKUP($F267,Clientes!$B$4:$B$39,Clientes!$C$4:$C$39),Cadastros!$L$6:$L$12,Cadastros!$N$6:$N$12)))</f>
        <v/>
      </c>
      <c r="P267" s="168" t="str">
        <f t="shared" si="54"/>
        <v/>
      </c>
      <c r="Q267" s="168" t="str">
        <f>IFERROR(P267/_xlfn.XLOOKUP(_xlfn.XLOOKUP($F267,Clientes!$B$4:$B$39,Clientes!$C$4:$C$39),Cadastros!$L$6:$L$12,Cadastros!$M$6:$M$12)," ")</f>
        <v xml:space="preserve"> </v>
      </c>
      <c r="R267" s="28"/>
      <c r="S267" s="28"/>
      <c r="T267" s="255" t="str">
        <f>IF(R267="","",(_xlfn.XLOOKUP(R267,Cadastros!$D$6:$D$90,Cadastros!$E$6:$E$90))*(1-_xlfn.XLOOKUP(_xlfn.XLOOKUP($F267,Clientes!$B$4:$B$39,Clientes!$C$4:$C$39),Cadastros!$L$6:$L$12,Cadastros!$N$6:$N$12)))</f>
        <v/>
      </c>
      <c r="U267" s="168" t="str">
        <f t="shared" si="55"/>
        <v/>
      </c>
      <c r="V267" s="168" t="str">
        <f>IFERROR(U267/_xlfn.XLOOKUP(_xlfn.XLOOKUP($F267,Clientes!$B$4:$B$39,Clientes!$C$4:$C$39),Cadastros!$L$6:$L$12,Cadastros!$M$6:$M$12)," ")</f>
        <v xml:space="preserve"> </v>
      </c>
      <c r="W267" s="28"/>
      <c r="X267" s="28"/>
      <c r="Y267" s="255" t="str">
        <f>IF(W267="","",(_xlfn.XLOOKUP(W267,Cadastros!$D$6:$D$90,Cadastros!$E$6:$E$90))*(1-_xlfn.XLOOKUP(_xlfn.XLOOKUP($F267,Clientes!$B$4:$B$39,Clientes!$C$4:$C$39),Cadastros!$L$6:$L$12,Cadastros!$N$6:$N$12)))</f>
        <v/>
      </c>
      <c r="Z267" s="168" t="str">
        <f t="shared" si="56"/>
        <v/>
      </c>
      <c r="AA267" s="168" t="str">
        <f>IFERROR(Z267/_xlfn.XLOOKUP(_xlfn.XLOOKUP($F267,Clientes!$B$4:$B$39,Clientes!$C$4:$C$39),Cadastros!$L$6:$L$12,Cadastros!$M$6:$M$12)," ")</f>
        <v xml:space="preserve"> </v>
      </c>
      <c r="AB267" s="28"/>
      <c r="AC267" s="28"/>
      <c r="AD267" s="20" t="str">
        <f>IF(AB267="","",IF($F267="Bernardino Furlan",_xlfn.XLOOKUP(AB267,Cadastros!$G$6:$G$90,Cadastros!$H$6:$H$90)*(1-0.18),IF($F267="Mauro José Salanti",_xlfn.XLOOKUP(AB267,Cadastros!$G$6:$G$90,Cadastros!$H$6:$H$90)*(1-0.18),_xlfn.XLOOKUP(AB267,Cadastros!$G$6:$G$90,Cadastros!$H$6:$H$90))))</f>
        <v/>
      </c>
      <c r="AE267" s="168" t="str">
        <f t="shared" si="57"/>
        <v/>
      </c>
      <c r="AF267" s="168" t="str">
        <f t="shared" si="58"/>
        <v/>
      </c>
      <c r="AG267" s="28"/>
      <c r="AH267" s="28"/>
      <c r="AI267" s="20" t="str">
        <f>IF(AG267="","",IF($F267="Bernardino Furlan",_xlfn.XLOOKUP(AG267,Cadastros!$G$6:$G$90,Cadastros!$H$6:$H$90)*(1-0.18),IF($F267="Mauro José Salanti",_xlfn.XLOOKUP(AG267,Cadastros!$G$6:$G$90,Cadastros!$H$6:$H$90)*(1-0.18),_xlfn.XLOOKUP(AG267,Cadastros!$G$6:$G$90,Cadastros!$H$6:$H$90))))</f>
        <v/>
      </c>
      <c r="AJ267" s="168" t="str">
        <f t="shared" si="59"/>
        <v/>
      </c>
      <c r="AK267" s="168" t="str">
        <f t="shared" si="60"/>
        <v/>
      </c>
      <c r="AL267" s="28"/>
      <c r="AM267" s="28"/>
      <c r="AN267" s="20" t="str">
        <f>IF(AL267="","",IF($F267="Bernardino Furlan",_xlfn.XLOOKUP(AL267,Cadastros!$G$6:$G$90,Cadastros!$H$6:$H$90)*(1-0.18),IF($F267="Mauro José Salanti",_xlfn.XLOOKUP(AL267,Cadastros!$G$6:$G$90,Cadastros!$H$6:$H$90)*(1-0.18),_xlfn.XLOOKUP(AL267,Cadastros!$G$6:$G$90,Cadastros!$H$6:$H$90))))</f>
        <v/>
      </c>
      <c r="AO267" s="168" t="str">
        <f t="shared" si="61"/>
        <v/>
      </c>
      <c r="AP267" s="168" t="str">
        <f t="shared" si="62"/>
        <v/>
      </c>
      <c r="AQ267" s="28"/>
      <c r="AR267" s="28"/>
      <c r="AS267" s="20" t="str">
        <f>IF(AQ267="","",IF($F267="Bernardino Furlan",_xlfn.XLOOKUP(AQ267,Cadastros!$G$6:$G$90,Cadastros!$H$6:$H$90)*(1-0.18),IF($F267="Mauro José Salanti",_xlfn.XLOOKUP(AQ267,Cadastros!$G$6:$G$90,Cadastros!$H$6:$H$90)*(1-0.18),_xlfn.XLOOKUP(AQ267,Cadastros!$G$6:$G$90,Cadastros!$H$6:$H$90))))</f>
        <v/>
      </c>
      <c r="AT267" s="168" t="str">
        <f t="shared" si="63"/>
        <v/>
      </c>
      <c r="AU267" s="168" t="str">
        <f t="shared" si="64"/>
        <v/>
      </c>
      <c r="AV267" s="227"/>
      <c r="AW267" s="30"/>
      <c r="AX267" s="267"/>
      <c r="AY267" s="267"/>
      <c r="AZ267" s="29"/>
      <c r="BA267" s="30"/>
      <c r="BB267" s="23" t="str" cm="1">
        <f t="array" ref="BB267">_xlfn.IFS(AW267="SIM",SUM(K267,P267,U267,Z267,AE267,AJ267,AO267,AT267,AX267,AY267),F267&lt;&gt;"",SUM(K267,P267,U267,Z267,AE267,AJ267,,AO267,AT267),F267="","")</f>
        <v/>
      </c>
      <c r="BC267" s="211" t="str" cm="1">
        <f t="array" ref="BC267">_xlfn.IFS(E267="","",G267&lt;=E267,BB267*(1-0.03),G267&lt;(E267+8),BB267,AZ267="Boleto",BB267*(1+0.001)^DATEDIF(E267,G267,"D"),AZ267="Cheque",BB267,AZ267="Dinheiro","Alterar forma pgto")</f>
        <v/>
      </c>
      <c r="BD267" s="276" t="str" cm="1">
        <f t="array" ref="BD267">IF(F267=0," ",IF(BC267&lt;BB267,(_xlfn.IFS(AW267="SIM",SUM(L267,Q267,V267,AA267,AF267,AK267,AP267,AU267)+AX267/_xlfn.XLOOKUP(_xlfn.XLOOKUP($F267,Clientes!$B$4:$B$39,Clientes!$C$4:$C$39),Cadastros!$L$6:$L$12,Cadastros!$M$6:$M$12)+IF($F267="Bernardino Furlan",AY267/2751.92,IF($F267="Mauro José Salanti",AY267/2751.92,AY267/3356)),F267&lt;&gt;0,SUM(L267,Q267,V267,AA267,AF267,AK267,AP267,AU267)))*(1-0.03),_xlfn.IFS(AW267="SIM",SUM(L267,Q267,V267,AA267,AF267,AK267,AP267,AU267)+AX267/_xlfn.XLOOKUP(_xlfn.XLOOKUP($F267,Clientes!$B$4:$B$39,Clientes!$C$4:$C$39),Cadastros!$L$6:$L$12,Cadastros!$M$6:$M$12)+IF($F267="Bernardino Furlan",AY267/2751.92,IF($F267="Mauro José Salanti",AY267/2751.92,AY267/3356)),F267&lt;&gt;0,SUM(L267,Q267,V267,AA267,AF267,AK267,AP267,AU267))))</f>
        <v xml:space="preserve"> </v>
      </c>
      <c r="BE267" s="120"/>
      <c r="BF267" s="120"/>
      <c r="BG267" s="120"/>
    </row>
    <row r="268" spans="1:59" s="3" customFormat="1" x14ac:dyDescent="0.3">
      <c r="A268" s="15" t="str">
        <f t="shared" si="52"/>
        <v/>
      </c>
      <c r="B268" s="25"/>
      <c r="C268" s="26"/>
      <c r="D268" s="279"/>
      <c r="E268" s="27"/>
      <c r="F268" s="28"/>
      <c r="G268" s="27"/>
      <c r="H268" s="28"/>
      <c r="I268" s="28"/>
      <c r="J268" s="255" t="str">
        <f>IF(H268="","",(_xlfn.XLOOKUP(H268,Cadastros!$D$6:$D$90,Cadastros!$E$6:$E$90))*(1-_xlfn.XLOOKUP(_xlfn.XLOOKUP($F268,Clientes!$B$4:$B$39,Clientes!$C$4:$C$39),Cadastros!$L$6:$L$12,Cadastros!$N$6:$N$12)))</f>
        <v/>
      </c>
      <c r="K268" s="168" t="str">
        <f t="shared" si="53"/>
        <v/>
      </c>
      <c r="L268" s="168" t="str">
        <f>IFERROR(K268/_xlfn.XLOOKUP(_xlfn.XLOOKUP($F268,Clientes!$B$4:$B$39,Clientes!$C$4:$C$39),Cadastros!$L$6:$L$12,Cadastros!$M$6:$M$12)," ")</f>
        <v xml:space="preserve"> </v>
      </c>
      <c r="M268" s="28"/>
      <c r="N268" s="28"/>
      <c r="O268" s="255" t="str">
        <f>IF(M268="","",(_xlfn.XLOOKUP(M268,Cadastros!$D$6:$D$90,Cadastros!$E$6:$E$90))*(1-_xlfn.XLOOKUP(_xlfn.XLOOKUP($F268,Clientes!$B$4:$B$39,Clientes!$C$4:$C$39),Cadastros!$L$6:$L$12,Cadastros!$N$6:$N$12)))</f>
        <v/>
      </c>
      <c r="P268" s="168" t="str">
        <f t="shared" si="54"/>
        <v/>
      </c>
      <c r="Q268" s="168" t="str">
        <f>IFERROR(P268/_xlfn.XLOOKUP(_xlfn.XLOOKUP($F268,Clientes!$B$4:$B$39,Clientes!$C$4:$C$39),Cadastros!$L$6:$L$12,Cadastros!$M$6:$M$12)," ")</f>
        <v xml:space="preserve"> </v>
      </c>
      <c r="R268" s="28"/>
      <c r="S268" s="28"/>
      <c r="T268" s="255" t="str">
        <f>IF(R268="","",(_xlfn.XLOOKUP(R268,Cadastros!$D$6:$D$90,Cadastros!$E$6:$E$90))*(1-_xlfn.XLOOKUP(_xlfn.XLOOKUP($F268,Clientes!$B$4:$B$39,Clientes!$C$4:$C$39),Cadastros!$L$6:$L$12,Cadastros!$N$6:$N$12)))</f>
        <v/>
      </c>
      <c r="U268" s="168" t="str">
        <f t="shared" si="55"/>
        <v/>
      </c>
      <c r="V268" s="168" t="str">
        <f>IFERROR(U268/_xlfn.XLOOKUP(_xlfn.XLOOKUP($F268,Clientes!$B$4:$B$39,Clientes!$C$4:$C$39),Cadastros!$L$6:$L$12,Cadastros!$M$6:$M$12)," ")</f>
        <v xml:space="preserve"> </v>
      </c>
      <c r="W268" s="28"/>
      <c r="X268" s="28"/>
      <c r="Y268" s="255" t="str">
        <f>IF(W268="","",(_xlfn.XLOOKUP(W268,Cadastros!$D$6:$D$90,Cadastros!$E$6:$E$90))*(1-_xlfn.XLOOKUP(_xlfn.XLOOKUP($F268,Clientes!$B$4:$B$39,Clientes!$C$4:$C$39),Cadastros!$L$6:$L$12,Cadastros!$N$6:$N$12)))</f>
        <v/>
      </c>
      <c r="Z268" s="168" t="str">
        <f t="shared" si="56"/>
        <v/>
      </c>
      <c r="AA268" s="168" t="str">
        <f>IFERROR(Z268/_xlfn.XLOOKUP(_xlfn.XLOOKUP($F268,Clientes!$B$4:$B$39,Clientes!$C$4:$C$39),Cadastros!$L$6:$L$12,Cadastros!$M$6:$M$12)," ")</f>
        <v xml:space="preserve"> </v>
      </c>
      <c r="AB268" s="28"/>
      <c r="AC268" s="28"/>
      <c r="AD268" s="20" t="str">
        <f>IF(AB268="","",IF($F268="Bernardino Furlan",_xlfn.XLOOKUP(AB268,Cadastros!$G$6:$G$90,Cadastros!$H$6:$H$90)*(1-0.18),IF($F268="Mauro José Salanti",_xlfn.XLOOKUP(AB268,Cadastros!$G$6:$G$90,Cadastros!$H$6:$H$90)*(1-0.18),_xlfn.XLOOKUP(AB268,Cadastros!$G$6:$G$90,Cadastros!$H$6:$H$90))))</f>
        <v/>
      </c>
      <c r="AE268" s="168" t="str">
        <f t="shared" si="57"/>
        <v/>
      </c>
      <c r="AF268" s="168" t="str">
        <f t="shared" si="58"/>
        <v/>
      </c>
      <c r="AG268" s="28"/>
      <c r="AH268" s="28"/>
      <c r="AI268" s="20" t="str">
        <f>IF(AG268="","",IF($F268="Bernardino Furlan",_xlfn.XLOOKUP(AG268,Cadastros!$G$6:$G$90,Cadastros!$H$6:$H$90)*(1-0.18),IF($F268="Mauro José Salanti",_xlfn.XLOOKUP(AG268,Cadastros!$G$6:$G$90,Cadastros!$H$6:$H$90)*(1-0.18),_xlfn.XLOOKUP(AG268,Cadastros!$G$6:$G$90,Cadastros!$H$6:$H$90))))</f>
        <v/>
      </c>
      <c r="AJ268" s="168" t="str">
        <f t="shared" si="59"/>
        <v/>
      </c>
      <c r="AK268" s="168" t="str">
        <f t="shared" si="60"/>
        <v/>
      </c>
      <c r="AL268" s="28"/>
      <c r="AM268" s="28"/>
      <c r="AN268" s="20" t="str">
        <f>IF(AL268="","",IF($F268="Bernardino Furlan",_xlfn.XLOOKUP(AL268,Cadastros!$G$6:$G$90,Cadastros!$H$6:$H$90)*(1-0.18),IF($F268="Mauro José Salanti",_xlfn.XLOOKUP(AL268,Cadastros!$G$6:$G$90,Cadastros!$H$6:$H$90)*(1-0.18),_xlfn.XLOOKUP(AL268,Cadastros!$G$6:$G$90,Cadastros!$H$6:$H$90))))</f>
        <v/>
      </c>
      <c r="AO268" s="168" t="str">
        <f t="shared" si="61"/>
        <v/>
      </c>
      <c r="AP268" s="168" t="str">
        <f t="shared" si="62"/>
        <v/>
      </c>
      <c r="AQ268" s="28"/>
      <c r="AR268" s="28"/>
      <c r="AS268" s="20" t="str">
        <f>IF(AQ268="","",IF($F268="Bernardino Furlan",_xlfn.XLOOKUP(AQ268,Cadastros!$G$6:$G$90,Cadastros!$H$6:$H$90)*(1-0.18),IF($F268="Mauro José Salanti",_xlfn.XLOOKUP(AQ268,Cadastros!$G$6:$G$90,Cadastros!$H$6:$H$90)*(1-0.18),_xlfn.XLOOKUP(AQ268,Cadastros!$G$6:$G$90,Cadastros!$H$6:$H$90))))</f>
        <v/>
      </c>
      <c r="AT268" s="168" t="str">
        <f t="shared" si="63"/>
        <v/>
      </c>
      <c r="AU268" s="168" t="str">
        <f t="shared" si="64"/>
        <v/>
      </c>
      <c r="AV268" s="227"/>
      <c r="AW268" s="30"/>
      <c r="AX268" s="267"/>
      <c r="AY268" s="267"/>
      <c r="AZ268" s="29"/>
      <c r="BA268" s="30"/>
      <c r="BB268" s="23" t="str" cm="1">
        <f t="array" ref="BB268">_xlfn.IFS(AW268="SIM",SUM(K268,P268,U268,Z268,AE268,AJ268,AO268,AT268,AX268,AY268),F268&lt;&gt;"",SUM(K268,P268,U268,Z268,AE268,AJ268,,AO268,AT268),F268="","")</f>
        <v/>
      </c>
      <c r="BC268" s="211" t="str" cm="1">
        <f t="array" ref="BC268">_xlfn.IFS(E268="","",G268&lt;=E268,BB268*(1-0.03),G268&lt;(E268+8),BB268,AZ268="Boleto",BB268*(1+0.001)^DATEDIF(E268,G268,"D"),AZ268="Cheque",BB268,AZ268="Dinheiro","Alterar forma pgto")</f>
        <v/>
      </c>
      <c r="BD268" s="276" t="str" cm="1">
        <f t="array" ref="BD268">IF(F268=0," ",IF(BC268&lt;BB268,(_xlfn.IFS(AW268="SIM",SUM(L268,Q268,V268,AA268,AF268,AK268,AP268,AU268)+AX268/_xlfn.XLOOKUP(_xlfn.XLOOKUP($F268,Clientes!$B$4:$B$39,Clientes!$C$4:$C$39),Cadastros!$L$6:$L$12,Cadastros!$M$6:$M$12)+IF($F268="Bernardino Furlan",AY268/2751.92,IF($F268="Mauro José Salanti",AY268/2751.92,AY268/3356)),F268&lt;&gt;0,SUM(L268,Q268,V268,AA268,AF268,AK268,AP268,AU268)))*(1-0.03),_xlfn.IFS(AW268="SIM",SUM(L268,Q268,V268,AA268,AF268,AK268,AP268,AU268)+AX268/_xlfn.XLOOKUP(_xlfn.XLOOKUP($F268,Clientes!$B$4:$B$39,Clientes!$C$4:$C$39),Cadastros!$L$6:$L$12,Cadastros!$M$6:$M$12)+IF($F268="Bernardino Furlan",AY268/2751.92,IF($F268="Mauro José Salanti",AY268/2751.92,AY268/3356)),F268&lt;&gt;0,SUM(L268,Q268,V268,AA268,AF268,AK268,AP268,AU268))))</f>
        <v xml:space="preserve"> </v>
      </c>
      <c r="BE268" s="120"/>
      <c r="BF268" s="120"/>
      <c r="BG268" s="120"/>
    </row>
    <row r="269" spans="1:59" s="3" customFormat="1" x14ac:dyDescent="0.3">
      <c r="A269" s="15" t="str">
        <f t="shared" si="52"/>
        <v/>
      </c>
      <c r="B269" s="25"/>
      <c r="C269" s="26"/>
      <c r="D269" s="279"/>
      <c r="E269" s="27"/>
      <c r="F269" s="28"/>
      <c r="G269" s="27"/>
      <c r="H269" s="28"/>
      <c r="I269" s="28"/>
      <c r="J269" s="255" t="str">
        <f>IF(H269="","",(_xlfn.XLOOKUP(H269,Cadastros!$D$6:$D$90,Cadastros!$E$6:$E$90))*(1-_xlfn.XLOOKUP(_xlfn.XLOOKUP($F269,Clientes!$B$4:$B$39,Clientes!$C$4:$C$39),Cadastros!$L$6:$L$12,Cadastros!$N$6:$N$12)))</f>
        <v/>
      </c>
      <c r="K269" s="168" t="str">
        <f t="shared" si="53"/>
        <v/>
      </c>
      <c r="L269" s="168" t="str">
        <f>IFERROR(K269/_xlfn.XLOOKUP(_xlfn.XLOOKUP($F269,Clientes!$B$4:$B$39,Clientes!$C$4:$C$39),Cadastros!$L$6:$L$12,Cadastros!$M$6:$M$12)," ")</f>
        <v xml:space="preserve"> </v>
      </c>
      <c r="M269" s="28"/>
      <c r="N269" s="28"/>
      <c r="O269" s="255" t="str">
        <f>IF(M269="","",(_xlfn.XLOOKUP(M269,Cadastros!$D$6:$D$90,Cadastros!$E$6:$E$90))*(1-_xlfn.XLOOKUP(_xlfn.XLOOKUP($F269,Clientes!$B$4:$B$39,Clientes!$C$4:$C$39),Cadastros!$L$6:$L$12,Cadastros!$N$6:$N$12)))</f>
        <v/>
      </c>
      <c r="P269" s="168" t="str">
        <f t="shared" si="54"/>
        <v/>
      </c>
      <c r="Q269" s="168" t="str">
        <f>IFERROR(P269/_xlfn.XLOOKUP(_xlfn.XLOOKUP($F269,Clientes!$B$4:$B$39,Clientes!$C$4:$C$39),Cadastros!$L$6:$L$12,Cadastros!$M$6:$M$12)," ")</f>
        <v xml:space="preserve"> </v>
      </c>
      <c r="R269" s="28"/>
      <c r="S269" s="28"/>
      <c r="T269" s="255" t="str">
        <f>IF(R269="","",(_xlfn.XLOOKUP(R269,Cadastros!$D$6:$D$90,Cadastros!$E$6:$E$90))*(1-_xlfn.XLOOKUP(_xlfn.XLOOKUP($F269,Clientes!$B$4:$B$39,Clientes!$C$4:$C$39),Cadastros!$L$6:$L$12,Cadastros!$N$6:$N$12)))</f>
        <v/>
      </c>
      <c r="U269" s="168" t="str">
        <f t="shared" si="55"/>
        <v/>
      </c>
      <c r="V269" s="168" t="str">
        <f>IFERROR(U269/_xlfn.XLOOKUP(_xlfn.XLOOKUP($F269,Clientes!$B$4:$B$39,Clientes!$C$4:$C$39),Cadastros!$L$6:$L$12,Cadastros!$M$6:$M$12)," ")</f>
        <v xml:space="preserve"> </v>
      </c>
      <c r="W269" s="28"/>
      <c r="X269" s="28"/>
      <c r="Y269" s="255" t="str">
        <f>IF(W269="","",(_xlfn.XLOOKUP(W269,Cadastros!$D$6:$D$90,Cadastros!$E$6:$E$90))*(1-_xlfn.XLOOKUP(_xlfn.XLOOKUP($F269,Clientes!$B$4:$B$39,Clientes!$C$4:$C$39),Cadastros!$L$6:$L$12,Cadastros!$N$6:$N$12)))</f>
        <v/>
      </c>
      <c r="Z269" s="168" t="str">
        <f t="shared" si="56"/>
        <v/>
      </c>
      <c r="AA269" s="168" t="str">
        <f>IFERROR(Z269/_xlfn.XLOOKUP(_xlfn.XLOOKUP($F269,Clientes!$B$4:$B$39,Clientes!$C$4:$C$39),Cadastros!$L$6:$L$12,Cadastros!$M$6:$M$12)," ")</f>
        <v xml:space="preserve"> </v>
      </c>
      <c r="AB269" s="28"/>
      <c r="AC269" s="28"/>
      <c r="AD269" s="20" t="str">
        <f>IF(AB269="","",IF($F269="Bernardino Furlan",_xlfn.XLOOKUP(AB269,Cadastros!$G$6:$G$90,Cadastros!$H$6:$H$90)*(1-0.18),IF($F269="Mauro José Salanti",_xlfn.XLOOKUP(AB269,Cadastros!$G$6:$G$90,Cadastros!$H$6:$H$90)*(1-0.18),_xlfn.XLOOKUP(AB269,Cadastros!$G$6:$G$90,Cadastros!$H$6:$H$90))))</f>
        <v/>
      </c>
      <c r="AE269" s="168" t="str">
        <f t="shared" si="57"/>
        <v/>
      </c>
      <c r="AF269" s="168" t="str">
        <f t="shared" si="58"/>
        <v/>
      </c>
      <c r="AG269" s="28"/>
      <c r="AH269" s="28"/>
      <c r="AI269" s="20" t="str">
        <f>IF(AG269="","",IF($F269="Bernardino Furlan",_xlfn.XLOOKUP(AG269,Cadastros!$G$6:$G$90,Cadastros!$H$6:$H$90)*(1-0.18),IF($F269="Mauro José Salanti",_xlfn.XLOOKUP(AG269,Cadastros!$G$6:$G$90,Cadastros!$H$6:$H$90)*(1-0.18),_xlfn.XLOOKUP(AG269,Cadastros!$G$6:$G$90,Cadastros!$H$6:$H$90))))</f>
        <v/>
      </c>
      <c r="AJ269" s="168" t="str">
        <f t="shared" si="59"/>
        <v/>
      </c>
      <c r="AK269" s="168" t="str">
        <f t="shared" si="60"/>
        <v/>
      </c>
      <c r="AL269" s="28"/>
      <c r="AM269" s="28"/>
      <c r="AN269" s="20" t="str">
        <f>IF(AL269="","",IF($F269="Bernardino Furlan",_xlfn.XLOOKUP(AL269,Cadastros!$G$6:$G$90,Cadastros!$H$6:$H$90)*(1-0.18),IF($F269="Mauro José Salanti",_xlfn.XLOOKUP(AL269,Cadastros!$G$6:$G$90,Cadastros!$H$6:$H$90)*(1-0.18),_xlfn.XLOOKUP(AL269,Cadastros!$G$6:$G$90,Cadastros!$H$6:$H$90))))</f>
        <v/>
      </c>
      <c r="AO269" s="168" t="str">
        <f t="shared" si="61"/>
        <v/>
      </c>
      <c r="AP269" s="168" t="str">
        <f t="shared" si="62"/>
        <v/>
      </c>
      <c r="AQ269" s="28"/>
      <c r="AR269" s="28"/>
      <c r="AS269" s="20" t="str">
        <f>IF(AQ269="","",IF($F269="Bernardino Furlan",_xlfn.XLOOKUP(AQ269,Cadastros!$G$6:$G$90,Cadastros!$H$6:$H$90)*(1-0.18),IF($F269="Mauro José Salanti",_xlfn.XLOOKUP(AQ269,Cadastros!$G$6:$G$90,Cadastros!$H$6:$H$90)*(1-0.18),_xlfn.XLOOKUP(AQ269,Cadastros!$G$6:$G$90,Cadastros!$H$6:$H$90))))</f>
        <v/>
      </c>
      <c r="AT269" s="168" t="str">
        <f t="shared" si="63"/>
        <v/>
      </c>
      <c r="AU269" s="168" t="str">
        <f t="shared" si="64"/>
        <v/>
      </c>
      <c r="AV269" s="227"/>
      <c r="AW269" s="30"/>
      <c r="AX269" s="267"/>
      <c r="AY269" s="267"/>
      <c r="AZ269" s="29"/>
      <c r="BA269" s="30"/>
      <c r="BB269" s="23" t="str" cm="1">
        <f t="array" ref="BB269">_xlfn.IFS(AW269="SIM",SUM(K269,P269,U269,Z269,AE269,AJ269,AO269,AT269,AX269,AY269),F269&lt;&gt;"",SUM(K269,P269,U269,Z269,AE269,AJ269,,AO269,AT269),F269="","")</f>
        <v/>
      </c>
      <c r="BC269" s="211" t="str" cm="1">
        <f t="array" ref="BC269">_xlfn.IFS(E269="","",G269&lt;=E269,BB269*(1-0.03),G269&lt;(E269+8),BB269,AZ269="Boleto",BB269*(1+0.001)^DATEDIF(E269,G269,"D"),AZ269="Cheque",BB269,AZ269="Dinheiro","Alterar forma pgto")</f>
        <v/>
      </c>
      <c r="BD269" s="276" t="str" cm="1">
        <f t="array" ref="BD269">IF(F269=0," ",IF(BC269&lt;BB269,(_xlfn.IFS(AW269="SIM",SUM(L269,Q269,V269,AA269,AF269,AK269,AP269,AU269)+AX269/_xlfn.XLOOKUP(_xlfn.XLOOKUP($F269,Clientes!$B$4:$B$39,Clientes!$C$4:$C$39),Cadastros!$L$6:$L$12,Cadastros!$M$6:$M$12)+IF($F269="Bernardino Furlan",AY269/2751.92,IF($F269="Mauro José Salanti",AY269/2751.92,AY269/3356)),F269&lt;&gt;0,SUM(L269,Q269,V269,AA269,AF269,AK269,AP269,AU269)))*(1-0.03),_xlfn.IFS(AW269="SIM",SUM(L269,Q269,V269,AA269,AF269,AK269,AP269,AU269)+AX269/_xlfn.XLOOKUP(_xlfn.XLOOKUP($F269,Clientes!$B$4:$B$39,Clientes!$C$4:$C$39),Cadastros!$L$6:$L$12,Cadastros!$M$6:$M$12)+IF($F269="Bernardino Furlan",AY269/2751.92,IF($F269="Mauro José Salanti",AY269/2751.92,AY269/3356)),F269&lt;&gt;0,SUM(L269,Q269,V269,AA269,AF269,AK269,AP269,AU269))))</f>
        <v xml:space="preserve"> </v>
      </c>
      <c r="BE269" s="120"/>
      <c r="BF269" s="120"/>
      <c r="BG269" s="120"/>
    </row>
    <row r="270" spans="1:59" s="3" customFormat="1" x14ac:dyDescent="0.3">
      <c r="A270" s="15" t="str">
        <f t="shared" si="52"/>
        <v/>
      </c>
      <c r="B270" s="25"/>
      <c r="C270" s="26"/>
      <c r="D270" s="279"/>
      <c r="E270" s="27"/>
      <c r="F270" s="28"/>
      <c r="G270" s="27"/>
      <c r="H270" s="28"/>
      <c r="I270" s="31"/>
      <c r="J270" s="255" t="str">
        <f>IF(H270="","",(_xlfn.XLOOKUP(H270,Cadastros!$D$6:$D$90,Cadastros!$E$6:$E$90))*(1-_xlfn.XLOOKUP(_xlfn.XLOOKUP($F270,Clientes!$B$4:$B$39,Clientes!$C$4:$C$39),Cadastros!$L$6:$L$12,Cadastros!$N$6:$N$12)))</f>
        <v/>
      </c>
      <c r="K270" s="168" t="str">
        <f t="shared" si="53"/>
        <v/>
      </c>
      <c r="L270" s="168" t="str">
        <f>IFERROR(K270/_xlfn.XLOOKUP(_xlfn.XLOOKUP($F270,Clientes!$B$4:$B$39,Clientes!$C$4:$C$39),Cadastros!$L$6:$L$12,Cadastros!$M$6:$M$12)," ")</f>
        <v xml:space="preserve"> </v>
      </c>
      <c r="M270" s="28"/>
      <c r="N270" s="28"/>
      <c r="O270" s="255" t="str">
        <f>IF(M270="","",(_xlfn.XLOOKUP(M270,Cadastros!$D$6:$D$90,Cadastros!$E$6:$E$90))*(1-_xlfn.XLOOKUP(_xlfn.XLOOKUP($F270,Clientes!$B$4:$B$39,Clientes!$C$4:$C$39),Cadastros!$L$6:$L$12,Cadastros!$N$6:$N$12)))</f>
        <v/>
      </c>
      <c r="P270" s="168" t="str">
        <f t="shared" si="54"/>
        <v/>
      </c>
      <c r="Q270" s="168" t="str">
        <f>IFERROR(P270/_xlfn.XLOOKUP(_xlfn.XLOOKUP($F270,Clientes!$B$4:$B$39,Clientes!$C$4:$C$39),Cadastros!$L$6:$L$12,Cadastros!$M$6:$M$12)," ")</f>
        <v xml:space="preserve"> </v>
      </c>
      <c r="R270" s="28"/>
      <c r="S270" s="28"/>
      <c r="T270" s="255" t="str">
        <f>IF(R270="","",(_xlfn.XLOOKUP(R270,Cadastros!$D$6:$D$90,Cadastros!$E$6:$E$90))*(1-_xlfn.XLOOKUP(_xlfn.XLOOKUP($F270,Clientes!$B$4:$B$39,Clientes!$C$4:$C$39),Cadastros!$L$6:$L$12,Cadastros!$N$6:$N$12)))</f>
        <v/>
      </c>
      <c r="U270" s="168" t="str">
        <f t="shared" si="55"/>
        <v/>
      </c>
      <c r="V270" s="168" t="str">
        <f>IFERROR(U270/_xlfn.XLOOKUP(_xlfn.XLOOKUP($F270,Clientes!$B$4:$B$39,Clientes!$C$4:$C$39),Cadastros!$L$6:$L$12,Cadastros!$M$6:$M$12)," ")</f>
        <v xml:space="preserve"> </v>
      </c>
      <c r="W270" s="28"/>
      <c r="X270" s="28"/>
      <c r="Y270" s="255" t="str">
        <f>IF(W270="","",(_xlfn.XLOOKUP(W270,Cadastros!$D$6:$D$90,Cadastros!$E$6:$E$90))*(1-_xlfn.XLOOKUP(_xlfn.XLOOKUP($F270,Clientes!$B$4:$B$39,Clientes!$C$4:$C$39),Cadastros!$L$6:$L$12,Cadastros!$N$6:$N$12)))</f>
        <v/>
      </c>
      <c r="Z270" s="168" t="str">
        <f t="shared" si="56"/>
        <v/>
      </c>
      <c r="AA270" s="168" t="str">
        <f>IFERROR(Z270/_xlfn.XLOOKUP(_xlfn.XLOOKUP($F270,Clientes!$B$4:$B$39,Clientes!$C$4:$C$39),Cadastros!$L$6:$L$12,Cadastros!$M$6:$M$12)," ")</f>
        <v xml:space="preserve"> </v>
      </c>
      <c r="AB270" s="28"/>
      <c r="AC270" s="28"/>
      <c r="AD270" s="20" t="str">
        <f>IF(AB270="","",IF($F270="Bernardino Furlan",_xlfn.XLOOKUP(AB270,Cadastros!$G$6:$G$90,Cadastros!$H$6:$H$90)*(1-0.18),IF($F270="Mauro José Salanti",_xlfn.XLOOKUP(AB270,Cadastros!$G$6:$G$90,Cadastros!$H$6:$H$90)*(1-0.18),_xlfn.XLOOKUP(AB270,Cadastros!$G$6:$G$90,Cadastros!$H$6:$H$90))))</f>
        <v/>
      </c>
      <c r="AE270" s="168" t="str">
        <f t="shared" si="57"/>
        <v/>
      </c>
      <c r="AF270" s="168" t="str">
        <f t="shared" si="58"/>
        <v/>
      </c>
      <c r="AG270" s="28"/>
      <c r="AH270" s="28"/>
      <c r="AI270" s="20" t="str">
        <f>IF(AG270="","",IF($F270="Bernardino Furlan",_xlfn.XLOOKUP(AG270,Cadastros!$G$6:$G$90,Cadastros!$H$6:$H$90)*(1-0.18),IF($F270="Mauro José Salanti",_xlfn.XLOOKUP(AG270,Cadastros!$G$6:$G$90,Cadastros!$H$6:$H$90)*(1-0.18),_xlfn.XLOOKUP(AG270,Cadastros!$G$6:$G$90,Cadastros!$H$6:$H$90))))</f>
        <v/>
      </c>
      <c r="AJ270" s="168" t="str">
        <f t="shared" si="59"/>
        <v/>
      </c>
      <c r="AK270" s="168" t="str">
        <f t="shared" si="60"/>
        <v/>
      </c>
      <c r="AL270" s="28"/>
      <c r="AM270" s="28"/>
      <c r="AN270" s="20" t="str">
        <f>IF(AL270="","",IF($F270="Bernardino Furlan",_xlfn.XLOOKUP(AL270,Cadastros!$G$6:$G$90,Cadastros!$H$6:$H$90)*(1-0.18),IF($F270="Mauro José Salanti",_xlfn.XLOOKUP(AL270,Cadastros!$G$6:$G$90,Cadastros!$H$6:$H$90)*(1-0.18),_xlfn.XLOOKUP(AL270,Cadastros!$G$6:$G$90,Cadastros!$H$6:$H$90))))</f>
        <v/>
      </c>
      <c r="AO270" s="168" t="str">
        <f t="shared" si="61"/>
        <v/>
      </c>
      <c r="AP270" s="168" t="str">
        <f t="shared" si="62"/>
        <v/>
      </c>
      <c r="AQ270" s="28"/>
      <c r="AR270" s="28"/>
      <c r="AS270" s="20" t="str">
        <f>IF(AQ270="","",IF($F270="Bernardino Furlan",_xlfn.XLOOKUP(AQ270,Cadastros!$G$6:$G$90,Cadastros!$H$6:$H$90)*(1-0.18),IF($F270="Mauro José Salanti",_xlfn.XLOOKUP(AQ270,Cadastros!$G$6:$G$90,Cadastros!$H$6:$H$90)*(1-0.18),_xlfn.XLOOKUP(AQ270,Cadastros!$G$6:$G$90,Cadastros!$H$6:$H$90))))</f>
        <v/>
      </c>
      <c r="AT270" s="168" t="str">
        <f t="shared" si="63"/>
        <v/>
      </c>
      <c r="AU270" s="168" t="str">
        <f t="shared" si="64"/>
        <v/>
      </c>
      <c r="AV270" s="227"/>
      <c r="AW270" s="30"/>
      <c r="AX270" s="267"/>
      <c r="AY270" s="267"/>
      <c r="AZ270" s="29"/>
      <c r="BA270" s="30"/>
      <c r="BB270" s="23" t="str" cm="1">
        <f t="array" ref="BB270">_xlfn.IFS(AW270="SIM",SUM(K270,P270,U270,Z270,AE270,AJ270,AO270,AT270,AX270,AY270),F270&lt;&gt;"",SUM(K270,P270,U270,Z270,AE270,AJ270,,AO270,AT270),F270="","")</f>
        <v/>
      </c>
      <c r="BC270" s="211" t="str" cm="1">
        <f t="array" ref="BC270">_xlfn.IFS(E270="","",G270&lt;=E270,BB270*(1-0.03),G270&lt;(E270+8),BB270,AZ270="Boleto",BB270*(1+0.001)^DATEDIF(E270,G270,"D"),AZ270="Cheque",BB270,AZ270="Dinheiro","Alterar forma pgto")</f>
        <v/>
      </c>
      <c r="BD270" s="276" t="str" cm="1">
        <f t="array" ref="BD270">IF(F270=0," ",IF(BC270&lt;BB270,(_xlfn.IFS(AW270="SIM",SUM(L270,Q270,V270,AA270,AF270,AK270,AP270,AU270)+AX270/_xlfn.XLOOKUP(_xlfn.XLOOKUP($F270,Clientes!$B$4:$B$39,Clientes!$C$4:$C$39),Cadastros!$L$6:$L$12,Cadastros!$M$6:$M$12)+IF($F270="Bernardino Furlan",AY270/2751.92,IF($F270="Mauro José Salanti",AY270/2751.92,AY270/3356)),F270&lt;&gt;0,SUM(L270,Q270,V270,AA270,AF270,AK270,AP270,AU270)))*(1-0.03),_xlfn.IFS(AW270="SIM",SUM(L270,Q270,V270,AA270,AF270,AK270,AP270,AU270)+AX270/_xlfn.XLOOKUP(_xlfn.XLOOKUP($F270,Clientes!$B$4:$B$39,Clientes!$C$4:$C$39),Cadastros!$L$6:$L$12,Cadastros!$M$6:$M$12)+IF($F270="Bernardino Furlan",AY270/2751.92,IF($F270="Mauro José Salanti",AY270/2751.92,AY270/3356)),F270&lt;&gt;0,SUM(L270,Q270,V270,AA270,AF270,AK270,AP270,AU270))))</f>
        <v xml:space="preserve"> </v>
      </c>
      <c r="BE270" s="120"/>
      <c r="BF270" s="120"/>
      <c r="BG270" s="120"/>
    </row>
    <row r="271" spans="1:59" s="3" customFormat="1" x14ac:dyDescent="0.3">
      <c r="A271" s="15" t="str">
        <f t="shared" si="52"/>
        <v/>
      </c>
      <c r="B271" s="25"/>
      <c r="C271" s="26"/>
      <c r="D271" s="279"/>
      <c r="E271" s="27"/>
      <c r="F271" s="28"/>
      <c r="G271" s="27"/>
      <c r="H271" s="28"/>
      <c r="I271" s="28"/>
      <c r="J271" s="255" t="str">
        <f>IF(H271="","",(_xlfn.XLOOKUP(H271,Cadastros!$D$6:$D$90,Cadastros!$E$6:$E$90))*(1-_xlfn.XLOOKUP(_xlfn.XLOOKUP($F271,Clientes!$B$4:$B$39,Clientes!$C$4:$C$39),Cadastros!$L$6:$L$12,Cadastros!$N$6:$N$12)))</f>
        <v/>
      </c>
      <c r="K271" s="168" t="str">
        <f t="shared" si="53"/>
        <v/>
      </c>
      <c r="L271" s="168" t="str">
        <f>IFERROR(K271/_xlfn.XLOOKUP(_xlfn.XLOOKUP($F271,Clientes!$B$4:$B$39,Clientes!$C$4:$C$39),Cadastros!$L$6:$L$12,Cadastros!$M$6:$M$12)," ")</f>
        <v xml:space="preserve"> </v>
      </c>
      <c r="M271" s="28"/>
      <c r="N271" s="28"/>
      <c r="O271" s="255" t="str">
        <f>IF(M271="","",(_xlfn.XLOOKUP(M271,Cadastros!$D$6:$D$90,Cadastros!$E$6:$E$90))*(1-_xlfn.XLOOKUP(_xlfn.XLOOKUP($F271,Clientes!$B$4:$B$39,Clientes!$C$4:$C$39),Cadastros!$L$6:$L$12,Cadastros!$N$6:$N$12)))</f>
        <v/>
      </c>
      <c r="P271" s="168" t="str">
        <f t="shared" si="54"/>
        <v/>
      </c>
      <c r="Q271" s="168" t="str">
        <f>IFERROR(P271/_xlfn.XLOOKUP(_xlfn.XLOOKUP($F271,Clientes!$B$4:$B$39,Clientes!$C$4:$C$39),Cadastros!$L$6:$L$12,Cadastros!$M$6:$M$12)," ")</f>
        <v xml:space="preserve"> </v>
      </c>
      <c r="R271" s="28"/>
      <c r="S271" s="28"/>
      <c r="T271" s="255" t="str">
        <f>IF(R271="","",(_xlfn.XLOOKUP(R271,Cadastros!$D$6:$D$90,Cadastros!$E$6:$E$90))*(1-_xlfn.XLOOKUP(_xlfn.XLOOKUP($F271,Clientes!$B$4:$B$39,Clientes!$C$4:$C$39),Cadastros!$L$6:$L$12,Cadastros!$N$6:$N$12)))</f>
        <v/>
      </c>
      <c r="U271" s="168" t="str">
        <f t="shared" si="55"/>
        <v/>
      </c>
      <c r="V271" s="168" t="str">
        <f>IFERROR(U271/_xlfn.XLOOKUP(_xlfn.XLOOKUP($F271,Clientes!$B$4:$B$39,Clientes!$C$4:$C$39),Cadastros!$L$6:$L$12,Cadastros!$M$6:$M$12)," ")</f>
        <v xml:space="preserve"> </v>
      </c>
      <c r="W271" s="28"/>
      <c r="X271" s="28"/>
      <c r="Y271" s="255" t="str">
        <f>IF(W271="","",(_xlfn.XLOOKUP(W271,Cadastros!$D$6:$D$90,Cadastros!$E$6:$E$90))*(1-_xlfn.XLOOKUP(_xlfn.XLOOKUP($F271,Clientes!$B$4:$B$39,Clientes!$C$4:$C$39),Cadastros!$L$6:$L$12,Cadastros!$N$6:$N$12)))</f>
        <v/>
      </c>
      <c r="Z271" s="168" t="str">
        <f t="shared" si="56"/>
        <v/>
      </c>
      <c r="AA271" s="168" t="str">
        <f>IFERROR(Z271/_xlfn.XLOOKUP(_xlfn.XLOOKUP($F271,Clientes!$B$4:$B$39,Clientes!$C$4:$C$39),Cadastros!$L$6:$L$12,Cadastros!$M$6:$M$12)," ")</f>
        <v xml:space="preserve"> </v>
      </c>
      <c r="AB271" s="28"/>
      <c r="AC271" s="28"/>
      <c r="AD271" s="20" t="str">
        <f>IF(AB271="","",IF($F271="Bernardino Furlan",_xlfn.XLOOKUP(AB271,Cadastros!$G$6:$G$90,Cadastros!$H$6:$H$90)*(1-0.18),IF($F271="Mauro José Salanti",_xlfn.XLOOKUP(AB271,Cadastros!$G$6:$G$90,Cadastros!$H$6:$H$90)*(1-0.18),_xlfn.XLOOKUP(AB271,Cadastros!$G$6:$G$90,Cadastros!$H$6:$H$90))))</f>
        <v/>
      </c>
      <c r="AE271" s="168" t="str">
        <f t="shared" si="57"/>
        <v/>
      </c>
      <c r="AF271" s="168" t="str">
        <f t="shared" si="58"/>
        <v/>
      </c>
      <c r="AG271" s="28"/>
      <c r="AH271" s="28"/>
      <c r="AI271" s="20" t="str">
        <f>IF(AG271="","",IF($F271="Bernardino Furlan",_xlfn.XLOOKUP(AG271,Cadastros!$G$6:$G$90,Cadastros!$H$6:$H$90)*(1-0.18),IF($F271="Mauro José Salanti",_xlfn.XLOOKUP(AG271,Cadastros!$G$6:$G$90,Cadastros!$H$6:$H$90)*(1-0.18),_xlfn.XLOOKUP(AG271,Cadastros!$G$6:$G$90,Cadastros!$H$6:$H$90))))</f>
        <v/>
      </c>
      <c r="AJ271" s="168" t="str">
        <f t="shared" si="59"/>
        <v/>
      </c>
      <c r="AK271" s="168" t="str">
        <f t="shared" si="60"/>
        <v/>
      </c>
      <c r="AL271" s="28"/>
      <c r="AM271" s="28"/>
      <c r="AN271" s="20" t="str">
        <f>IF(AL271="","",IF($F271="Bernardino Furlan",_xlfn.XLOOKUP(AL271,Cadastros!$G$6:$G$90,Cadastros!$H$6:$H$90)*(1-0.18),IF($F271="Mauro José Salanti",_xlfn.XLOOKUP(AL271,Cadastros!$G$6:$G$90,Cadastros!$H$6:$H$90)*(1-0.18),_xlfn.XLOOKUP(AL271,Cadastros!$G$6:$G$90,Cadastros!$H$6:$H$90))))</f>
        <v/>
      </c>
      <c r="AO271" s="168" t="str">
        <f t="shared" si="61"/>
        <v/>
      </c>
      <c r="AP271" s="168" t="str">
        <f t="shared" si="62"/>
        <v/>
      </c>
      <c r="AQ271" s="28"/>
      <c r="AR271" s="28"/>
      <c r="AS271" s="20" t="str">
        <f>IF(AQ271="","",IF($F271="Bernardino Furlan",_xlfn.XLOOKUP(AQ271,Cadastros!$G$6:$G$90,Cadastros!$H$6:$H$90)*(1-0.18),IF($F271="Mauro José Salanti",_xlfn.XLOOKUP(AQ271,Cadastros!$G$6:$G$90,Cadastros!$H$6:$H$90)*(1-0.18),_xlfn.XLOOKUP(AQ271,Cadastros!$G$6:$G$90,Cadastros!$H$6:$H$90))))</f>
        <v/>
      </c>
      <c r="AT271" s="168" t="str">
        <f t="shared" si="63"/>
        <v/>
      </c>
      <c r="AU271" s="168" t="str">
        <f t="shared" si="64"/>
        <v/>
      </c>
      <c r="AV271" s="227"/>
      <c r="AW271" s="30"/>
      <c r="AX271" s="267"/>
      <c r="AY271" s="267"/>
      <c r="AZ271" s="29"/>
      <c r="BA271" s="30"/>
      <c r="BB271" s="23" t="str" cm="1">
        <f t="array" ref="BB271">_xlfn.IFS(AW271="SIM",SUM(K271,P271,U271,Z271,AE271,AJ271,AO271,AT271,AX271,AY271),F271&lt;&gt;"",SUM(K271,P271,U271,Z271,AE271,AJ271,,AO271,AT271),F271="","")</f>
        <v/>
      </c>
      <c r="BC271" s="211" t="str" cm="1">
        <f t="array" ref="BC271">_xlfn.IFS(E271="","",G271&lt;=E271,BB271*(1-0.03),G271&lt;(E271+8),BB271,AZ271="Boleto",BB271*(1+0.001)^DATEDIF(E271,G271,"D"),AZ271="Cheque",BB271,AZ271="Dinheiro","Alterar forma pgto")</f>
        <v/>
      </c>
      <c r="BD271" s="276" t="str" cm="1">
        <f t="array" ref="BD271">IF(F271=0," ",IF(BC271&lt;BB271,(_xlfn.IFS(AW271="SIM",SUM(L271,Q271,V271,AA271,AF271,AK271,AP271,AU271)+AX271/_xlfn.XLOOKUP(_xlfn.XLOOKUP($F271,Clientes!$B$4:$B$39,Clientes!$C$4:$C$39),Cadastros!$L$6:$L$12,Cadastros!$M$6:$M$12)+IF($F271="Bernardino Furlan",AY271/2751.92,IF($F271="Mauro José Salanti",AY271/2751.92,AY271/3356)),F271&lt;&gt;0,SUM(L271,Q271,V271,AA271,AF271,AK271,AP271,AU271)))*(1-0.03),_xlfn.IFS(AW271="SIM",SUM(L271,Q271,V271,AA271,AF271,AK271,AP271,AU271)+AX271/_xlfn.XLOOKUP(_xlfn.XLOOKUP($F271,Clientes!$B$4:$B$39,Clientes!$C$4:$C$39),Cadastros!$L$6:$L$12,Cadastros!$M$6:$M$12)+IF($F271="Bernardino Furlan",AY271/2751.92,IF($F271="Mauro José Salanti",AY271/2751.92,AY271/3356)),F271&lt;&gt;0,SUM(L271,Q271,V271,AA271,AF271,AK271,AP271,AU271))))</f>
        <v xml:space="preserve"> </v>
      </c>
      <c r="BE271" s="120"/>
      <c r="BF271" s="120"/>
      <c r="BG271" s="120"/>
    </row>
    <row r="272" spans="1:59" s="3" customFormat="1" x14ac:dyDescent="0.3">
      <c r="A272" s="15" t="str">
        <f t="shared" si="52"/>
        <v/>
      </c>
      <c r="B272" s="25"/>
      <c r="C272" s="26"/>
      <c r="D272" s="279"/>
      <c r="E272" s="27"/>
      <c r="F272" s="28"/>
      <c r="G272" s="27"/>
      <c r="H272" s="28"/>
      <c r="I272" s="28"/>
      <c r="J272" s="255" t="str">
        <f>IF(H272="","",(_xlfn.XLOOKUP(H272,Cadastros!$D$6:$D$90,Cadastros!$E$6:$E$90))*(1-_xlfn.XLOOKUP(_xlfn.XLOOKUP($F272,Clientes!$B$4:$B$39,Clientes!$C$4:$C$39),Cadastros!$L$6:$L$12,Cadastros!$N$6:$N$12)))</f>
        <v/>
      </c>
      <c r="K272" s="168" t="str">
        <f t="shared" si="53"/>
        <v/>
      </c>
      <c r="L272" s="168" t="str">
        <f>IFERROR(K272/_xlfn.XLOOKUP(_xlfn.XLOOKUP($F272,Clientes!$B$4:$B$39,Clientes!$C$4:$C$39),Cadastros!$L$6:$L$12,Cadastros!$M$6:$M$12)," ")</f>
        <v xml:space="preserve"> </v>
      </c>
      <c r="M272" s="28"/>
      <c r="N272" s="28"/>
      <c r="O272" s="255" t="str">
        <f>IF(M272="","",(_xlfn.XLOOKUP(M272,Cadastros!$D$6:$D$90,Cadastros!$E$6:$E$90))*(1-_xlfn.XLOOKUP(_xlfn.XLOOKUP($F272,Clientes!$B$4:$B$39,Clientes!$C$4:$C$39),Cadastros!$L$6:$L$12,Cadastros!$N$6:$N$12)))</f>
        <v/>
      </c>
      <c r="P272" s="168" t="str">
        <f t="shared" si="54"/>
        <v/>
      </c>
      <c r="Q272" s="168" t="str">
        <f>IFERROR(P272/_xlfn.XLOOKUP(_xlfn.XLOOKUP($F272,Clientes!$B$4:$B$39,Clientes!$C$4:$C$39),Cadastros!$L$6:$L$12,Cadastros!$M$6:$M$12)," ")</f>
        <v xml:space="preserve"> </v>
      </c>
      <c r="R272" s="28"/>
      <c r="S272" s="28"/>
      <c r="T272" s="255" t="str">
        <f>IF(R272="","",(_xlfn.XLOOKUP(R272,Cadastros!$D$6:$D$90,Cadastros!$E$6:$E$90))*(1-_xlfn.XLOOKUP(_xlfn.XLOOKUP($F272,Clientes!$B$4:$B$39,Clientes!$C$4:$C$39),Cadastros!$L$6:$L$12,Cadastros!$N$6:$N$12)))</f>
        <v/>
      </c>
      <c r="U272" s="168" t="str">
        <f t="shared" si="55"/>
        <v/>
      </c>
      <c r="V272" s="168" t="str">
        <f>IFERROR(U272/_xlfn.XLOOKUP(_xlfn.XLOOKUP($F272,Clientes!$B$4:$B$39,Clientes!$C$4:$C$39),Cadastros!$L$6:$L$12,Cadastros!$M$6:$M$12)," ")</f>
        <v xml:space="preserve"> </v>
      </c>
      <c r="W272" s="28"/>
      <c r="X272" s="28"/>
      <c r="Y272" s="255" t="str">
        <f>IF(W272="","",(_xlfn.XLOOKUP(W272,Cadastros!$D$6:$D$90,Cadastros!$E$6:$E$90))*(1-_xlfn.XLOOKUP(_xlfn.XLOOKUP($F272,Clientes!$B$4:$B$39,Clientes!$C$4:$C$39),Cadastros!$L$6:$L$12,Cadastros!$N$6:$N$12)))</f>
        <v/>
      </c>
      <c r="Z272" s="168" t="str">
        <f t="shared" si="56"/>
        <v/>
      </c>
      <c r="AA272" s="168" t="str">
        <f>IFERROR(Z272/_xlfn.XLOOKUP(_xlfn.XLOOKUP($F272,Clientes!$B$4:$B$39,Clientes!$C$4:$C$39),Cadastros!$L$6:$L$12,Cadastros!$M$6:$M$12)," ")</f>
        <v xml:space="preserve"> </v>
      </c>
      <c r="AB272" s="28"/>
      <c r="AC272" s="28"/>
      <c r="AD272" s="20" t="str">
        <f>IF(AB272="","",IF($F272="Bernardino Furlan",_xlfn.XLOOKUP(AB272,Cadastros!$G$6:$G$90,Cadastros!$H$6:$H$90)*(1-0.18),IF($F272="Mauro José Salanti",_xlfn.XLOOKUP(AB272,Cadastros!$G$6:$G$90,Cadastros!$H$6:$H$90)*(1-0.18),_xlfn.XLOOKUP(AB272,Cadastros!$G$6:$G$90,Cadastros!$H$6:$H$90))))</f>
        <v/>
      </c>
      <c r="AE272" s="168" t="str">
        <f t="shared" si="57"/>
        <v/>
      </c>
      <c r="AF272" s="168" t="str">
        <f t="shared" si="58"/>
        <v/>
      </c>
      <c r="AG272" s="28"/>
      <c r="AH272" s="28"/>
      <c r="AI272" s="20" t="str">
        <f>IF(AG272="","",IF($F272="Bernardino Furlan",_xlfn.XLOOKUP(AG272,Cadastros!$G$6:$G$90,Cadastros!$H$6:$H$90)*(1-0.18),IF($F272="Mauro José Salanti",_xlfn.XLOOKUP(AG272,Cadastros!$G$6:$G$90,Cadastros!$H$6:$H$90)*(1-0.18),_xlfn.XLOOKUP(AG272,Cadastros!$G$6:$G$90,Cadastros!$H$6:$H$90))))</f>
        <v/>
      </c>
      <c r="AJ272" s="168" t="str">
        <f t="shared" si="59"/>
        <v/>
      </c>
      <c r="AK272" s="168" t="str">
        <f t="shared" si="60"/>
        <v/>
      </c>
      <c r="AL272" s="28"/>
      <c r="AM272" s="28"/>
      <c r="AN272" s="20" t="str">
        <f>IF(AL272="","",IF($F272="Bernardino Furlan",_xlfn.XLOOKUP(AL272,Cadastros!$G$6:$G$90,Cadastros!$H$6:$H$90)*(1-0.18),IF($F272="Mauro José Salanti",_xlfn.XLOOKUP(AL272,Cadastros!$G$6:$G$90,Cadastros!$H$6:$H$90)*(1-0.18),_xlfn.XLOOKUP(AL272,Cadastros!$G$6:$G$90,Cadastros!$H$6:$H$90))))</f>
        <v/>
      </c>
      <c r="AO272" s="168" t="str">
        <f t="shared" si="61"/>
        <v/>
      </c>
      <c r="AP272" s="168" t="str">
        <f t="shared" si="62"/>
        <v/>
      </c>
      <c r="AQ272" s="28"/>
      <c r="AR272" s="28"/>
      <c r="AS272" s="20" t="str">
        <f>IF(AQ272="","",IF($F272="Bernardino Furlan",_xlfn.XLOOKUP(AQ272,Cadastros!$G$6:$G$90,Cadastros!$H$6:$H$90)*(1-0.18),IF($F272="Mauro José Salanti",_xlfn.XLOOKUP(AQ272,Cadastros!$G$6:$G$90,Cadastros!$H$6:$H$90)*(1-0.18),_xlfn.XLOOKUP(AQ272,Cadastros!$G$6:$G$90,Cadastros!$H$6:$H$90))))</f>
        <v/>
      </c>
      <c r="AT272" s="168" t="str">
        <f t="shared" si="63"/>
        <v/>
      </c>
      <c r="AU272" s="168" t="str">
        <f t="shared" si="64"/>
        <v/>
      </c>
      <c r="AV272" s="227"/>
      <c r="AW272" s="30"/>
      <c r="AX272" s="267"/>
      <c r="AY272" s="267"/>
      <c r="AZ272" s="29"/>
      <c r="BA272" s="30"/>
      <c r="BB272" s="23" t="str" cm="1">
        <f t="array" ref="BB272">_xlfn.IFS(AW272="SIM",SUM(K272,P272,U272,Z272,AE272,AJ272,AO272,AT272,AX272,AY272),F272&lt;&gt;"",SUM(K272,P272,U272,Z272,AE272,AJ272,,AO272,AT272),F272="","")</f>
        <v/>
      </c>
      <c r="BC272" s="211" t="str" cm="1">
        <f t="array" ref="BC272">_xlfn.IFS(E272="","",G272&lt;=E272,BB272*(1-0.03),G272&lt;(E272+8),BB272,AZ272="Boleto",BB272*(1+0.001)^DATEDIF(E272,G272,"D"),AZ272="Cheque",BB272,AZ272="Dinheiro","Alterar forma pgto")</f>
        <v/>
      </c>
      <c r="BD272" s="276" t="str" cm="1">
        <f t="array" ref="BD272">IF(F272=0," ",IF(BC272&lt;BB272,(_xlfn.IFS(AW272="SIM",SUM(L272,Q272,V272,AA272,AF272,AK272,AP272,AU272)+AX272/_xlfn.XLOOKUP(_xlfn.XLOOKUP($F272,Clientes!$B$4:$B$39,Clientes!$C$4:$C$39),Cadastros!$L$6:$L$12,Cadastros!$M$6:$M$12)+IF($F272="Bernardino Furlan",AY272/2751.92,IF($F272="Mauro José Salanti",AY272/2751.92,AY272/3356)),F272&lt;&gt;0,SUM(L272,Q272,V272,AA272,AF272,AK272,AP272,AU272)))*(1-0.03),_xlfn.IFS(AW272="SIM",SUM(L272,Q272,V272,AA272,AF272,AK272,AP272,AU272)+AX272/_xlfn.XLOOKUP(_xlfn.XLOOKUP($F272,Clientes!$B$4:$B$39,Clientes!$C$4:$C$39),Cadastros!$L$6:$L$12,Cadastros!$M$6:$M$12)+IF($F272="Bernardino Furlan",AY272/2751.92,IF($F272="Mauro José Salanti",AY272/2751.92,AY272/3356)),F272&lt;&gt;0,SUM(L272,Q272,V272,AA272,AF272,AK272,AP272,AU272))))</f>
        <v xml:space="preserve"> </v>
      </c>
      <c r="BE272" s="120"/>
      <c r="BF272" s="120"/>
      <c r="BG272" s="120"/>
    </row>
    <row r="273" spans="1:59" s="3" customFormat="1" x14ac:dyDescent="0.3">
      <c r="A273" s="15" t="str">
        <f t="shared" si="52"/>
        <v/>
      </c>
      <c r="B273" s="25"/>
      <c r="C273" s="26"/>
      <c r="D273" s="279"/>
      <c r="E273" s="27"/>
      <c r="F273" s="28"/>
      <c r="G273" s="27"/>
      <c r="H273" s="28"/>
      <c r="I273" s="28"/>
      <c r="J273" s="255" t="str">
        <f>IF(H273="","",(_xlfn.XLOOKUP(H273,Cadastros!$D$6:$D$90,Cadastros!$E$6:$E$90))*(1-_xlfn.XLOOKUP(_xlfn.XLOOKUP($F273,Clientes!$B$4:$B$39,Clientes!$C$4:$C$39),Cadastros!$L$6:$L$12,Cadastros!$N$6:$N$12)))</f>
        <v/>
      </c>
      <c r="K273" s="168" t="str">
        <f t="shared" si="53"/>
        <v/>
      </c>
      <c r="L273" s="168" t="str">
        <f>IFERROR(K273/_xlfn.XLOOKUP(_xlfn.XLOOKUP($F273,Clientes!$B$4:$B$39,Clientes!$C$4:$C$39),Cadastros!$L$6:$L$12,Cadastros!$M$6:$M$12)," ")</f>
        <v xml:space="preserve"> </v>
      </c>
      <c r="M273" s="28"/>
      <c r="N273" s="28"/>
      <c r="O273" s="255" t="str">
        <f>IF(M273="","",(_xlfn.XLOOKUP(M273,Cadastros!$D$6:$D$90,Cadastros!$E$6:$E$90))*(1-_xlfn.XLOOKUP(_xlfn.XLOOKUP($F273,Clientes!$B$4:$B$39,Clientes!$C$4:$C$39),Cadastros!$L$6:$L$12,Cadastros!$N$6:$N$12)))</f>
        <v/>
      </c>
      <c r="P273" s="168" t="str">
        <f t="shared" si="54"/>
        <v/>
      </c>
      <c r="Q273" s="168" t="str">
        <f>IFERROR(P273/_xlfn.XLOOKUP(_xlfn.XLOOKUP($F273,Clientes!$B$4:$B$39,Clientes!$C$4:$C$39),Cadastros!$L$6:$L$12,Cadastros!$M$6:$M$12)," ")</f>
        <v xml:space="preserve"> </v>
      </c>
      <c r="R273" s="28"/>
      <c r="S273" s="28"/>
      <c r="T273" s="255" t="str">
        <f>IF(R273="","",(_xlfn.XLOOKUP(R273,Cadastros!$D$6:$D$90,Cadastros!$E$6:$E$90))*(1-_xlfn.XLOOKUP(_xlfn.XLOOKUP($F273,Clientes!$B$4:$B$39,Clientes!$C$4:$C$39),Cadastros!$L$6:$L$12,Cadastros!$N$6:$N$12)))</f>
        <v/>
      </c>
      <c r="U273" s="168" t="str">
        <f t="shared" si="55"/>
        <v/>
      </c>
      <c r="V273" s="168" t="str">
        <f>IFERROR(U273/_xlfn.XLOOKUP(_xlfn.XLOOKUP($F273,Clientes!$B$4:$B$39,Clientes!$C$4:$C$39),Cadastros!$L$6:$L$12,Cadastros!$M$6:$M$12)," ")</f>
        <v xml:space="preserve"> </v>
      </c>
      <c r="W273" s="28"/>
      <c r="X273" s="28"/>
      <c r="Y273" s="255" t="str">
        <f>IF(W273="","",(_xlfn.XLOOKUP(W273,Cadastros!$D$6:$D$90,Cadastros!$E$6:$E$90))*(1-_xlfn.XLOOKUP(_xlfn.XLOOKUP($F273,Clientes!$B$4:$B$39,Clientes!$C$4:$C$39),Cadastros!$L$6:$L$12,Cadastros!$N$6:$N$12)))</f>
        <v/>
      </c>
      <c r="Z273" s="168" t="str">
        <f t="shared" si="56"/>
        <v/>
      </c>
      <c r="AA273" s="168" t="str">
        <f>IFERROR(Z273/_xlfn.XLOOKUP(_xlfn.XLOOKUP($F273,Clientes!$B$4:$B$39,Clientes!$C$4:$C$39),Cadastros!$L$6:$L$12,Cadastros!$M$6:$M$12)," ")</f>
        <v xml:space="preserve"> </v>
      </c>
      <c r="AB273" s="28"/>
      <c r="AC273" s="28"/>
      <c r="AD273" s="20" t="str">
        <f>IF(AB273="","",IF($F273="Bernardino Furlan",_xlfn.XLOOKUP(AB273,Cadastros!$G$6:$G$90,Cadastros!$H$6:$H$90)*(1-0.18),IF($F273="Mauro José Salanti",_xlfn.XLOOKUP(AB273,Cadastros!$G$6:$G$90,Cadastros!$H$6:$H$90)*(1-0.18),_xlfn.XLOOKUP(AB273,Cadastros!$G$6:$G$90,Cadastros!$H$6:$H$90))))</f>
        <v/>
      </c>
      <c r="AE273" s="168" t="str">
        <f t="shared" si="57"/>
        <v/>
      </c>
      <c r="AF273" s="168" t="str">
        <f t="shared" si="58"/>
        <v/>
      </c>
      <c r="AG273" s="28"/>
      <c r="AH273" s="28"/>
      <c r="AI273" s="20" t="str">
        <f>IF(AG273="","",IF($F273="Bernardino Furlan",_xlfn.XLOOKUP(AG273,Cadastros!$G$6:$G$90,Cadastros!$H$6:$H$90)*(1-0.18),IF($F273="Mauro José Salanti",_xlfn.XLOOKUP(AG273,Cadastros!$G$6:$G$90,Cadastros!$H$6:$H$90)*(1-0.18),_xlfn.XLOOKUP(AG273,Cadastros!$G$6:$G$90,Cadastros!$H$6:$H$90))))</f>
        <v/>
      </c>
      <c r="AJ273" s="168" t="str">
        <f t="shared" si="59"/>
        <v/>
      </c>
      <c r="AK273" s="168" t="str">
        <f t="shared" si="60"/>
        <v/>
      </c>
      <c r="AL273" s="28"/>
      <c r="AM273" s="28"/>
      <c r="AN273" s="20" t="str">
        <f>IF(AL273="","",IF($F273="Bernardino Furlan",_xlfn.XLOOKUP(AL273,Cadastros!$G$6:$G$90,Cadastros!$H$6:$H$90)*(1-0.18),IF($F273="Mauro José Salanti",_xlfn.XLOOKUP(AL273,Cadastros!$G$6:$G$90,Cadastros!$H$6:$H$90)*(1-0.18),_xlfn.XLOOKUP(AL273,Cadastros!$G$6:$G$90,Cadastros!$H$6:$H$90))))</f>
        <v/>
      </c>
      <c r="AO273" s="168" t="str">
        <f t="shared" si="61"/>
        <v/>
      </c>
      <c r="AP273" s="168" t="str">
        <f t="shared" si="62"/>
        <v/>
      </c>
      <c r="AQ273" s="28"/>
      <c r="AR273" s="28"/>
      <c r="AS273" s="20" t="str">
        <f>IF(AQ273="","",IF($F273="Bernardino Furlan",_xlfn.XLOOKUP(AQ273,Cadastros!$G$6:$G$90,Cadastros!$H$6:$H$90)*(1-0.18),IF($F273="Mauro José Salanti",_xlfn.XLOOKUP(AQ273,Cadastros!$G$6:$G$90,Cadastros!$H$6:$H$90)*(1-0.18),_xlfn.XLOOKUP(AQ273,Cadastros!$G$6:$G$90,Cadastros!$H$6:$H$90))))</f>
        <v/>
      </c>
      <c r="AT273" s="168" t="str">
        <f t="shared" si="63"/>
        <v/>
      </c>
      <c r="AU273" s="168" t="str">
        <f t="shared" si="64"/>
        <v/>
      </c>
      <c r="AV273" s="227"/>
      <c r="AW273" s="30"/>
      <c r="AX273" s="267"/>
      <c r="AY273" s="267"/>
      <c r="AZ273" s="29"/>
      <c r="BA273" s="30"/>
      <c r="BB273" s="23" t="str" cm="1">
        <f t="array" ref="BB273">_xlfn.IFS(AW273="SIM",SUM(K273,P273,U273,Z273,AE273,AJ273,AO273,AT273,AX273,AY273),F273&lt;&gt;"",SUM(K273,P273,U273,Z273,AE273,AJ273,,AO273,AT273),F273="","")</f>
        <v/>
      </c>
      <c r="BC273" s="211" t="str" cm="1">
        <f t="array" ref="BC273">_xlfn.IFS(E273="","",G273&lt;=E273,BB273*(1-0.03),G273&lt;(E273+8),BB273,AZ273="Boleto",BB273*(1+0.001)^DATEDIF(E273,G273,"D"),AZ273="Cheque",BB273,AZ273="Dinheiro","Alterar forma pgto")</f>
        <v/>
      </c>
      <c r="BD273" s="276" t="str" cm="1">
        <f t="array" ref="BD273">IF(F273=0," ",IF(BC273&lt;BB273,(_xlfn.IFS(AW273="SIM",SUM(L273,Q273,V273,AA273,AF273,AK273,AP273,AU273)+AX273/_xlfn.XLOOKUP(_xlfn.XLOOKUP($F273,Clientes!$B$4:$B$39,Clientes!$C$4:$C$39),Cadastros!$L$6:$L$12,Cadastros!$M$6:$M$12)+IF($F273="Bernardino Furlan",AY273/2751.92,IF($F273="Mauro José Salanti",AY273/2751.92,AY273/3356)),F273&lt;&gt;0,SUM(L273,Q273,V273,AA273,AF273,AK273,AP273,AU273)))*(1-0.03),_xlfn.IFS(AW273="SIM",SUM(L273,Q273,V273,AA273,AF273,AK273,AP273,AU273)+AX273/_xlfn.XLOOKUP(_xlfn.XLOOKUP($F273,Clientes!$B$4:$B$39,Clientes!$C$4:$C$39),Cadastros!$L$6:$L$12,Cadastros!$M$6:$M$12)+IF($F273="Bernardino Furlan",AY273/2751.92,IF($F273="Mauro José Salanti",AY273/2751.92,AY273/3356)),F273&lt;&gt;0,SUM(L273,Q273,V273,AA273,AF273,AK273,AP273,AU273))))</f>
        <v xml:space="preserve"> </v>
      </c>
      <c r="BE273" s="120"/>
      <c r="BF273" s="120"/>
      <c r="BG273" s="120"/>
    </row>
    <row r="274" spans="1:59" s="3" customFormat="1" x14ac:dyDescent="0.3">
      <c r="A274" s="15" t="str">
        <f t="shared" si="52"/>
        <v/>
      </c>
      <c r="B274" s="25"/>
      <c r="C274" s="26"/>
      <c r="D274" s="279"/>
      <c r="E274" s="27"/>
      <c r="F274" s="28"/>
      <c r="G274" s="27"/>
      <c r="H274" s="28"/>
      <c r="I274" s="28"/>
      <c r="J274" s="255" t="str">
        <f>IF(H274="","",(_xlfn.XLOOKUP(H274,Cadastros!$D$6:$D$90,Cadastros!$E$6:$E$90))*(1-_xlfn.XLOOKUP(_xlfn.XLOOKUP($F274,Clientes!$B$4:$B$39,Clientes!$C$4:$C$39),Cadastros!$L$6:$L$12,Cadastros!$N$6:$N$12)))</f>
        <v/>
      </c>
      <c r="K274" s="168" t="str">
        <f t="shared" si="53"/>
        <v/>
      </c>
      <c r="L274" s="168" t="str">
        <f>IFERROR(K274/_xlfn.XLOOKUP(_xlfn.XLOOKUP($F274,Clientes!$B$4:$B$39,Clientes!$C$4:$C$39),Cadastros!$L$6:$L$12,Cadastros!$M$6:$M$12)," ")</f>
        <v xml:space="preserve"> </v>
      </c>
      <c r="M274" s="28"/>
      <c r="N274" s="28"/>
      <c r="O274" s="255" t="str">
        <f>IF(M274="","",(_xlfn.XLOOKUP(M274,Cadastros!$D$6:$D$90,Cadastros!$E$6:$E$90))*(1-_xlfn.XLOOKUP(_xlfn.XLOOKUP($F274,Clientes!$B$4:$B$39,Clientes!$C$4:$C$39),Cadastros!$L$6:$L$12,Cadastros!$N$6:$N$12)))</f>
        <v/>
      </c>
      <c r="P274" s="168" t="str">
        <f t="shared" si="54"/>
        <v/>
      </c>
      <c r="Q274" s="168" t="str">
        <f>IFERROR(P274/_xlfn.XLOOKUP(_xlfn.XLOOKUP($F274,Clientes!$B$4:$B$39,Clientes!$C$4:$C$39),Cadastros!$L$6:$L$12,Cadastros!$M$6:$M$12)," ")</f>
        <v xml:space="preserve"> </v>
      </c>
      <c r="R274" s="28"/>
      <c r="S274" s="28"/>
      <c r="T274" s="255" t="str">
        <f>IF(R274="","",(_xlfn.XLOOKUP(R274,Cadastros!$D$6:$D$90,Cadastros!$E$6:$E$90))*(1-_xlfn.XLOOKUP(_xlfn.XLOOKUP($F274,Clientes!$B$4:$B$39,Clientes!$C$4:$C$39),Cadastros!$L$6:$L$12,Cadastros!$N$6:$N$12)))</f>
        <v/>
      </c>
      <c r="U274" s="168" t="str">
        <f t="shared" si="55"/>
        <v/>
      </c>
      <c r="V274" s="168" t="str">
        <f>IFERROR(U274/_xlfn.XLOOKUP(_xlfn.XLOOKUP($F274,Clientes!$B$4:$B$39,Clientes!$C$4:$C$39),Cadastros!$L$6:$L$12,Cadastros!$M$6:$M$12)," ")</f>
        <v xml:space="preserve"> </v>
      </c>
      <c r="W274" s="28"/>
      <c r="X274" s="28"/>
      <c r="Y274" s="255" t="str">
        <f>IF(W274="","",(_xlfn.XLOOKUP(W274,Cadastros!$D$6:$D$90,Cadastros!$E$6:$E$90))*(1-_xlfn.XLOOKUP(_xlfn.XLOOKUP($F274,Clientes!$B$4:$B$39,Clientes!$C$4:$C$39),Cadastros!$L$6:$L$12,Cadastros!$N$6:$N$12)))</f>
        <v/>
      </c>
      <c r="Z274" s="168" t="str">
        <f t="shared" si="56"/>
        <v/>
      </c>
      <c r="AA274" s="168" t="str">
        <f>IFERROR(Z274/_xlfn.XLOOKUP(_xlfn.XLOOKUP($F274,Clientes!$B$4:$B$39,Clientes!$C$4:$C$39),Cadastros!$L$6:$L$12,Cadastros!$M$6:$M$12)," ")</f>
        <v xml:space="preserve"> </v>
      </c>
      <c r="AB274" s="28"/>
      <c r="AC274" s="28"/>
      <c r="AD274" s="20" t="str">
        <f>IF(AB274="","",IF($F274="Bernardino Furlan",_xlfn.XLOOKUP(AB274,Cadastros!$G$6:$G$90,Cadastros!$H$6:$H$90)*(1-0.18),IF($F274="Mauro José Salanti",_xlfn.XLOOKUP(AB274,Cadastros!$G$6:$G$90,Cadastros!$H$6:$H$90)*(1-0.18),_xlfn.XLOOKUP(AB274,Cadastros!$G$6:$G$90,Cadastros!$H$6:$H$90))))</f>
        <v/>
      </c>
      <c r="AE274" s="168" t="str">
        <f t="shared" si="57"/>
        <v/>
      </c>
      <c r="AF274" s="168" t="str">
        <f t="shared" si="58"/>
        <v/>
      </c>
      <c r="AG274" s="28"/>
      <c r="AH274" s="28"/>
      <c r="AI274" s="20" t="str">
        <f>IF(AG274="","",IF($F274="Bernardino Furlan",_xlfn.XLOOKUP(AG274,Cadastros!$G$6:$G$90,Cadastros!$H$6:$H$90)*(1-0.18),IF($F274="Mauro José Salanti",_xlfn.XLOOKUP(AG274,Cadastros!$G$6:$G$90,Cadastros!$H$6:$H$90)*(1-0.18),_xlfn.XLOOKUP(AG274,Cadastros!$G$6:$G$90,Cadastros!$H$6:$H$90))))</f>
        <v/>
      </c>
      <c r="AJ274" s="168" t="str">
        <f t="shared" si="59"/>
        <v/>
      </c>
      <c r="AK274" s="168" t="str">
        <f t="shared" si="60"/>
        <v/>
      </c>
      <c r="AL274" s="28"/>
      <c r="AM274" s="28"/>
      <c r="AN274" s="20" t="str">
        <f>IF(AL274="","",IF($F274="Bernardino Furlan",_xlfn.XLOOKUP(AL274,Cadastros!$G$6:$G$90,Cadastros!$H$6:$H$90)*(1-0.18),IF($F274="Mauro José Salanti",_xlfn.XLOOKUP(AL274,Cadastros!$G$6:$G$90,Cadastros!$H$6:$H$90)*(1-0.18),_xlfn.XLOOKUP(AL274,Cadastros!$G$6:$G$90,Cadastros!$H$6:$H$90))))</f>
        <v/>
      </c>
      <c r="AO274" s="168" t="str">
        <f t="shared" si="61"/>
        <v/>
      </c>
      <c r="AP274" s="168" t="str">
        <f t="shared" si="62"/>
        <v/>
      </c>
      <c r="AQ274" s="28"/>
      <c r="AR274" s="28"/>
      <c r="AS274" s="20" t="str">
        <f>IF(AQ274="","",IF($F274="Bernardino Furlan",_xlfn.XLOOKUP(AQ274,Cadastros!$G$6:$G$90,Cadastros!$H$6:$H$90)*(1-0.18),IF($F274="Mauro José Salanti",_xlfn.XLOOKUP(AQ274,Cadastros!$G$6:$G$90,Cadastros!$H$6:$H$90)*(1-0.18),_xlfn.XLOOKUP(AQ274,Cadastros!$G$6:$G$90,Cadastros!$H$6:$H$90))))</f>
        <v/>
      </c>
      <c r="AT274" s="168" t="str">
        <f t="shared" si="63"/>
        <v/>
      </c>
      <c r="AU274" s="168" t="str">
        <f t="shared" si="64"/>
        <v/>
      </c>
      <c r="AV274" s="227"/>
      <c r="AW274" s="30"/>
      <c r="AX274" s="267"/>
      <c r="AY274" s="267"/>
      <c r="AZ274" s="29"/>
      <c r="BA274" s="30"/>
      <c r="BB274" s="23" t="str" cm="1">
        <f t="array" ref="BB274">_xlfn.IFS(AW274="SIM",SUM(K274,P274,U274,Z274,AE274,AJ274,AO274,AT274,AX274,AY274),F274&lt;&gt;"",SUM(K274,P274,U274,Z274,AE274,AJ274,,AO274,AT274),F274="","")</f>
        <v/>
      </c>
      <c r="BC274" s="211" t="str" cm="1">
        <f t="array" ref="BC274">_xlfn.IFS(E274="","",G274&lt;=E274,BB274*(1-0.03),G274&lt;(E274+8),BB274,AZ274="Boleto",BB274*(1+0.001)^DATEDIF(E274,G274,"D"),AZ274="Cheque",BB274,AZ274="Dinheiro","Alterar forma pgto")</f>
        <v/>
      </c>
      <c r="BD274" s="276" t="str" cm="1">
        <f t="array" ref="BD274">IF(F274=0," ",IF(BC274&lt;BB274,(_xlfn.IFS(AW274="SIM",SUM(L274,Q274,V274,AA274,AF274,AK274,AP274,AU274)+AX274/_xlfn.XLOOKUP(_xlfn.XLOOKUP($F274,Clientes!$B$4:$B$39,Clientes!$C$4:$C$39),Cadastros!$L$6:$L$12,Cadastros!$M$6:$M$12)+IF($F274="Bernardino Furlan",AY274/2751.92,IF($F274="Mauro José Salanti",AY274/2751.92,AY274/3356)),F274&lt;&gt;0,SUM(L274,Q274,V274,AA274,AF274,AK274,AP274,AU274)))*(1-0.03),_xlfn.IFS(AW274="SIM",SUM(L274,Q274,V274,AA274,AF274,AK274,AP274,AU274)+AX274/_xlfn.XLOOKUP(_xlfn.XLOOKUP($F274,Clientes!$B$4:$B$39,Clientes!$C$4:$C$39),Cadastros!$L$6:$L$12,Cadastros!$M$6:$M$12)+IF($F274="Bernardino Furlan",AY274/2751.92,IF($F274="Mauro José Salanti",AY274/2751.92,AY274/3356)),F274&lt;&gt;0,SUM(L274,Q274,V274,AA274,AF274,AK274,AP274,AU274))))</f>
        <v xml:space="preserve"> </v>
      </c>
      <c r="BE274" s="120"/>
      <c r="BF274" s="120"/>
      <c r="BG274" s="120"/>
    </row>
    <row r="275" spans="1:59" s="3" customFormat="1" x14ac:dyDescent="0.3">
      <c r="A275" s="15" t="str">
        <f t="shared" si="52"/>
        <v/>
      </c>
      <c r="B275" s="25"/>
      <c r="C275" s="26"/>
      <c r="D275" s="279"/>
      <c r="E275" s="27"/>
      <c r="F275" s="28"/>
      <c r="G275" s="27"/>
      <c r="H275" s="28"/>
      <c r="I275" s="28"/>
      <c r="J275" s="255" t="str">
        <f>IF(H275="","",(_xlfn.XLOOKUP(H275,Cadastros!$D$6:$D$90,Cadastros!$E$6:$E$90))*(1-_xlfn.XLOOKUP(_xlfn.XLOOKUP($F275,Clientes!$B$4:$B$39,Clientes!$C$4:$C$39),Cadastros!$L$6:$L$12,Cadastros!$N$6:$N$12)))</f>
        <v/>
      </c>
      <c r="K275" s="168" t="str">
        <f t="shared" si="53"/>
        <v/>
      </c>
      <c r="L275" s="168" t="str">
        <f>IFERROR(K275/_xlfn.XLOOKUP(_xlfn.XLOOKUP($F275,Clientes!$B$4:$B$39,Clientes!$C$4:$C$39),Cadastros!$L$6:$L$12,Cadastros!$M$6:$M$12)," ")</f>
        <v xml:space="preserve"> </v>
      </c>
      <c r="M275" s="28"/>
      <c r="N275" s="28"/>
      <c r="O275" s="255" t="str">
        <f>IF(M275="","",(_xlfn.XLOOKUP(M275,Cadastros!$D$6:$D$90,Cadastros!$E$6:$E$90))*(1-_xlfn.XLOOKUP(_xlfn.XLOOKUP($F275,Clientes!$B$4:$B$39,Clientes!$C$4:$C$39),Cadastros!$L$6:$L$12,Cadastros!$N$6:$N$12)))</f>
        <v/>
      </c>
      <c r="P275" s="168" t="str">
        <f t="shared" si="54"/>
        <v/>
      </c>
      <c r="Q275" s="168" t="str">
        <f>IFERROR(P275/_xlfn.XLOOKUP(_xlfn.XLOOKUP($F275,Clientes!$B$4:$B$39,Clientes!$C$4:$C$39),Cadastros!$L$6:$L$12,Cadastros!$M$6:$M$12)," ")</f>
        <v xml:space="preserve"> </v>
      </c>
      <c r="R275" s="28"/>
      <c r="S275" s="28"/>
      <c r="T275" s="255" t="str">
        <f>IF(R275="","",(_xlfn.XLOOKUP(R275,Cadastros!$D$6:$D$90,Cadastros!$E$6:$E$90))*(1-_xlfn.XLOOKUP(_xlfn.XLOOKUP($F275,Clientes!$B$4:$B$39,Clientes!$C$4:$C$39),Cadastros!$L$6:$L$12,Cadastros!$N$6:$N$12)))</f>
        <v/>
      </c>
      <c r="U275" s="168" t="str">
        <f t="shared" si="55"/>
        <v/>
      </c>
      <c r="V275" s="168" t="str">
        <f>IFERROR(U275/_xlfn.XLOOKUP(_xlfn.XLOOKUP($F275,Clientes!$B$4:$B$39,Clientes!$C$4:$C$39),Cadastros!$L$6:$L$12,Cadastros!$M$6:$M$12)," ")</f>
        <v xml:space="preserve"> </v>
      </c>
      <c r="W275" s="28"/>
      <c r="X275" s="28"/>
      <c r="Y275" s="255" t="str">
        <f>IF(W275="","",(_xlfn.XLOOKUP(W275,Cadastros!$D$6:$D$90,Cadastros!$E$6:$E$90))*(1-_xlfn.XLOOKUP(_xlfn.XLOOKUP($F275,Clientes!$B$4:$B$39,Clientes!$C$4:$C$39),Cadastros!$L$6:$L$12,Cadastros!$N$6:$N$12)))</f>
        <v/>
      </c>
      <c r="Z275" s="168" t="str">
        <f t="shared" si="56"/>
        <v/>
      </c>
      <c r="AA275" s="168" t="str">
        <f>IFERROR(Z275/_xlfn.XLOOKUP(_xlfn.XLOOKUP($F275,Clientes!$B$4:$B$39,Clientes!$C$4:$C$39),Cadastros!$L$6:$L$12,Cadastros!$M$6:$M$12)," ")</f>
        <v xml:space="preserve"> </v>
      </c>
      <c r="AB275" s="28"/>
      <c r="AC275" s="28"/>
      <c r="AD275" s="20" t="str">
        <f>IF(AB275="","",IF($F275="Bernardino Furlan",_xlfn.XLOOKUP(AB275,Cadastros!$G$6:$G$90,Cadastros!$H$6:$H$90)*(1-0.18),IF($F275="Mauro José Salanti",_xlfn.XLOOKUP(AB275,Cadastros!$G$6:$G$90,Cadastros!$H$6:$H$90)*(1-0.18),_xlfn.XLOOKUP(AB275,Cadastros!$G$6:$G$90,Cadastros!$H$6:$H$90))))</f>
        <v/>
      </c>
      <c r="AE275" s="168" t="str">
        <f t="shared" si="57"/>
        <v/>
      </c>
      <c r="AF275" s="168" t="str">
        <f t="shared" si="58"/>
        <v/>
      </c>
      <c r="AG275" s="28"/>
      <c r="AH275" s="28"/>
      <c r="AI275" s="20" t="str">
        <f>IF(AG275="","",IF($F275="Bernardino Furlan",_xlfn.XLOOKUP(AG275,Cadastros!$G$6:$G$90,Cadastros!$H$6:$H$90)*(1-0.18),IF($F275="Mauro José Salanti",_xlfn.XLOOKUP(AG275,Cadastros!$G$6:$G$90,Cadastros!$H$6:$H$90)*(1-0.18),_xlfn.XLOOKUP(AG275,Cadastros!$G$6:$G$90,Cadastros!$H$6:$H$90))))</f>
        <v/>
      </c>
      <c r="AJ275" s="168" t="str">
        <f t="shared" si="59"/>
        <v/>
      </c>
      <c r="AK275" s="168" t="str">
        <f t="shared" si="60"/>
        <v/>
      </c>
      <c r="AL275" s="28"/>
      <c r="AM275" s="28"/>
      <c r="AN275" s="20" t="str">
        <f>IF(AL275="","",IF($F275="Bernardino Furlan",_xlfn.XLOOKUP(AL275,Cadastros!$G$6:$G$90,Cadastros!$H$6:$H$90)*(1-0.18),IF($F275="Mauro José Salanti",_xlfn.XLOOKUP(AL275,Cadastros!$G$6:$G$90,Cadastros!$H$6:$H$90)*(1-0.18),_xlfn.XLOOKUP(AL275,Cadastros!$G$6:$G$90,Cadastros!$H$6:$H$90))))</f>
        <v/>
      </c>
      <c r="AO275" s="168" t="str">
        <f t="shared" si="61"/>
        <v/>
      </c>
      <c r="AP275" s="168" t="str">
        <f t="shared" si="62"/>
        <v/>
      </c>
      <c r="AQ275" s="28"/>
      <c r="AR275" s="28"/>
      <c r="AS275" s="20" t="str">
        <f>IF(AQ275="","",IF($F275="Bernardino Furlan",_xlfn.XLOOKUP(AQ275,Cadastros!$G$6:$G$90,Cadastros!$H$6:$H$90)*(1-0.18),IF($F275="Mauro José Salanti",_xlfn.XLOOKUP(AQ275,Cadastros!$G$6:$G$90,Cadastros!$H$6:$H$90)*(1-0.18),_xlfn.XLOOKUP(AQ275,Cadastros!$G$6:$G$90,Cadastros!$H$6:$H$90))))</f>
        <v/>
      </c>
      <c r="AT275" s="168" t="str">
        <f t="shared" si="63"/>
        <v/>
      </c>
      <c r="AU275" s="168" t="str">
        <f t="shared" si="64"/>
        <v/>
      </c>
      <c r="AV275" s="227"/>
      <c r="AW275" s="30"/>
      <c r="AX275" s="267"/>
      <c r="AY275" s="267"/>
      <c r="AZ275" s="29"/>
      <c r="BA275" s="30"/>
      <c r="BB275" s="23" t="str" cm="1">
        <f t="array" ref="BB275">_xlfn.IFS(AW275="SIM",SUM(K275,P275,U275,Z275,AE275,AJ275,AO275,AT275,AX275,AY275),F275&lt;&gt;"",SUM(K275,P275,U275,Z275,AE275,AJ275,,AO275,AT275),F275="","")</f>
        <v/>
      </c>
      <c r="BC275" s="211" t="str" cm="1">
        <f t="array" ref="BC275">_xlfn.IFS(E275="","",G275&lt;=E275,BB275*(1-0.03),G275&lt;(E275+8),BB275,AZ275="Boleto",BB275*(1+0.001)^DATEDIF(E275,G275,"D"),AZ275="Cheque",BB275,AZ275="Dinheiro","Alterar forma pgto")</f>
        <v/>
      </c>
      <c r="BD275" s="276" t="str" cm="1">
        <f t="array" ref="BD275">IF(F275=0," ",IF(BC275&lt;BB275,(_xlfn.IFS(AW275="SIM",SUM(L275,Q275,V275,AA275,AF275,AK275,AP275,AU275)+AX275/_xlfn.XLOOKUP(_xlfn.XLOOKUP($F275,Clientes!$B$4:$B$39,Clientes!$C$4:$C$39),Cadastros!$L$6:$L$12,Cadastros!$M$6:$M$12)+IF($F275="Bernardino Furlan",AY275/2751.92,IF($F275="Mauro José Salanti",AY275/2751.92,AY275/3356)),F275&lt;&gt;0,SUM(L275,Q275,V275,AA275,AF275,AK275,AP275,AU275)))*(1-0.03),_xlfn.IFS(AW275="SIM",SUM(L275,Q275,V275,AA275,AF275,AK275,AP275,AU275)+AX275/_xlfn.XLOOKUP(_xlfn.XLOOKUP($F275,Clientes!$B$4:$B$39,Clientes!$C$4:$C$39),Cadastros!$L$6:$L$12,Cadastros!$M$6:$M$12)+IF($F275="Bernardino Furlan",AY275/2751.92,IF($F275="Mauro José Salanti",AY275/2751.92,AY275/3356)),F275&lt;&gt;0,SUM(L275,Q275,V275,AA275,AF275,AK275,AP275,AU275))))</f>
        <v xml:space="preserve"> </v>
      </c>
      <c r="BE275" s="120"/>
      <c r="BF275" s="120"/>
      <c r="BG275" s="120"/>
    </row>
    <row r="276" spans="1:59" s="3" customFormat="1" x14ac:dyDescent="0.3">
      <c r="A276" s="15" t="str">
        <f t="shared" si="52"/>
        <v/>
      </c>
      <c r="B276" s="25"/>
      <c r="C276" s="26"/>
      <c r="D276" s="279"/>
      <c r="E276" s="27"/>
      <c r="F276" s="28"/>
      <c r="G276" s="27"/>
      <c r="H276" s="28"/>
      <c r="I276" s="28"/>
      <c r="J276" s="255" t="str">
        <f>IF(H276="","",(_xlfn.XLOOKUP(H276,Cadastros!$D$6:$D$90,Cadastros!$E$6:$E$90))*(1-_xlfn.XLOOKUP(_xlfn.XLOOKUP($F276,Clientes!$B$4:$B$39,Clientes!$C$4:$C$39),Cadastros!$L$6:$L$12,Cadastros!$N$6:$N$12)))</f>
        <v/>
      </c>
      <c r="K276" s="168" t="str">
        <f t="shared" si="53"/>
        <v/>
      </c>
      <c r="L276" s="168" t="str">
        <f>IFERROR(K276/_xlfn.XLOOKUP(_xlfn.XLOOKUP($F276,Clientes!$B$4:$B$39,Clientes!$C$4:$C$39),Cadastros!$L$6:$L$12,Cadastros!$M$6:$M$12)," ")</f>
        <v xml:space="preserve"> </v>
      </c>
      <c r="M276" s="28"/>
      <c r="N276" s="28"/>
      <c r="O276" s="255" t="str">
        <f>IF(M276="","",(_xlfn.XLOOKUP(M276,Cadastros!$D$6:$D$90,Cadastros!$E$6:$E$90))*(1-_xlfn.XLOOKUP(_xlfn.XLOOKUP($F276,Clientes!$B$4:$B$39,Clientes!$C$4:$C$39),Cadastros!$L$6:$L$12,Cadastros!$N$6:$N$12)))</f>
        <v/>
      </c>
      <c r="P276" s="168" t="str">
        <f t="shared" si="54"/>
        <v/>
      </c>
      <c r="Q276" s="168" t="str">
        <f>IFERROR(P276/_xlfn.XLOOKUP(_xlfn.XLOOKUP($F276,Clientes!$B$4:$B$39,Clientes!$C$4:$C$39),Cadastros!$L$6:$L$12,Cadastros!$M$6:$M$12)," ")</f>
        <v xml:space="preserve"> </v>
      </c>
      <c r="R276" s="28"/>
      <c r="S276" s="28"/>
      <c r="T276" s="255" t="str">
        <f>IF(R276="","",(_xlfn.XLOOKUP(R276,Cadastros!$D$6:$D$90,Cadastros!$E$6:$E$90))*(1-_xlfn.XLOOKUP(_xlfn.XLOOKUP($F276,Clientes!$B$4:$B$39,Clientes!$C$4:$C$39),Cadastros!$L$6:$L$12,Cadastros!$N$6:$N$12)))</f>
        <v/>
      </c>
      <c r="U276" s="168" t="str">
        <f t="shared" si="55"/>
        <v/>
      </c>
      <c r="V276" s="168" t="str">
        <f>IFERROR(U276/_xlfn.XLOOKUP(_xlfn.XLOOKUP($F276,Clientes!$B$4:$B$39,Clientes!$C$4:$C$39),Cadastros!$L$6:$L$12,Cadastros!$M$6:$M$12)," ")</f>
        <v xml:space="preserve"> </v>
      </c>
      <c r="W276" s="28"/>
      <c r="X276" s="28"/>
      <c r="Y276" s="255" t="str">
        <f>IF(W276="","",(_xlfn.XLOOKUP(W276,Cadastros!$D$6:$D$90,Cadastros!$E$6:$E$90))*(1-_xlfn.XLOOKUP(_xlfn.XLOOKUP($F276,Clientes!$B$4:$B$39,Clientes!$C$4:$C$39),Cadastros!$L$6:$L$12,Cadastros!$N$6:$N$12)))</f>
        <v/>
      </c>
      <c r="Z276" s="168" t="str">
        <f t="shared" si="56"/>
        <v/>
      </c>
      <c r="AA276" s="168" t="str">
        <f>IFERROR(Z276/_xlfn.XLOOKUP(_xlfn.XLOOKUP($F276,Clientes!$B$4:$B$39,Clientes!$C$4:$C$39),Cadastros!$L$6:$L$12,Cadastros!$M$6:$M$12)," ")</f>
        <v xml:space="preserve"> </v>
      </c>
      <c r="AB276" s="28"/>
      <c r="AC276" s="28"/>
      <c r="AD276" s="20" t="str">
        <f>IF(AB276="","",IF($F276="Bernardino Furlan",_xlfn.XLOOKUP(AB276,Cadastros!$G$6:$G$90,Cadastros!$H$6:$H$90)*(1-0.18),IF($F276="Mauro José Salanti",_xlfn.XLOOKUP(AB276,Cadastros!$G$6:$G$90,Cadastros!$H$6:$H$90)*(1-0.18),_xlfn.XLOOKUP(AB276,Cadastros!$G$6:$G$90,Cadastros!$H$6:$H$90))))</f>
        <v/>
      </c>
      <c r="AE276" s="168" t="str">
        <f t="shared" si="57"/>
        <v/>
      </c>
      <c r="AF276" s="168" t="str">
        <f t="shared" si="58"/>
        <v/>
      </c>
      <c r="AG276" s="28"/>
      <c r="AH276" s="28"/>
      <c r="AI276" s="20" t="str">
        <f>IF(AG276="","",IF($F276="Bernardino Furlan",_xlfn.XLOOKUP(AG276,Cadastros!$G$6:$G$90,Cadastros!$H$6:$H$90)*(1-0.18),IF($F276="Mauro José Salanti",_xlfn.XLOOKUP(AG276,Cadastros!$G$6:$G$90,Cadastros!$H$6:$H$90)*(1-0.18),_xlfn.XLOOKUP(AG276,Cadastros!$G$6:$G$90,Cadastros!$H$6:$H$90))))</f>
        <v/>
      </c>
      <c r="AJ276" s="168" t="str">
        <f t="shared" si="59"/>
        <v/>
      </c>
      <c r="AK276" s="168" t="str">
        <f t="shared" si="60"/>
        <v/>
      </c>
      <c r="AL276" s="28"/>
      <c r="AM276" s="28"/>
      <c r="AN276" s="20" t="str">
        <f>IF(AL276="","",IF($F276="Bernardino Furlan",_xlfn.XLOOKUP(AL276,Cadastros!$G$6:$G$90,Cadastros!$H$6:$H$90)*(1-0.18),IF($F276="Mauro José Salanti",_xlfn.XLOOKUP(AL276,Cadastros!$G$6:$G$90,Cadastros!$H$6:$H$90)*(1-0.18),_xlfn.XLOOKUP(AL276,Cadastros!$G$6:$G$90,Cadastros!$H$6:$H$90))))</f>
        <v/>
      </c>
      <c r="AO276" s="168" t="str">
        <f t="shared" si="61"/>
        <v/>
      </c>
      <c r="AP276" s="168" t="str">
        <f t="shared" si="62"/>
        <v/>
      </c>
      <c r="AQ276" s="28"/>
      <c r="AR276" s="28"/>
      <c r="AS276" s="20" t="str">
        <f>IF(AQ276="","",IF($F276="Bernardino Furlan",_xlfn.XLOOKUP(AQ276,Cadastros!$G$6:$G$90,Cadastros!$H$6:$H$90)*(1-0.18),IF($F276="Mauro José Salanti",_xlfn.XLOOKUP(AQ276,Cadastros!$G$6:$G$90,Cadastros!$H$6:$H$90)*(1-0.18),_xlfn.XLOOKUP(AQ276,Cadastros!$G$6:$G$90,Cadastros!$H$6:$H$90))))</f>
        <v/>
      </c>
      <c r="AT276" s="168" t="str">
        <f t="shared" si="63"/>
        <v/>
      </c>
      <c r="AU276" s="168" t="str">
        <f t="shared" si="64"/>
        <v/>
      </c>
      <c r="AV276" s="227"/>
      <c r="AW276" s="30"/>
      <c r="AX276" s="267"/>
      <c r="AY276" s="267"/>
      <c r="AZ276" s="29"/>
      <c r="BA276" s="30"/>
      <c r="BB276" s="23" t="str" cm="1">
        <f t="array" ref="BB276">_xlfn.IFS(AW276="SIM",SUM(K276,P276,U276,Z276,AE276,AJ276,AO276,AT276,AX276,AY276),F276&lt;&gt;"",SUM(K276,P276,U276,Z276,AE276,AJ276,,AO276,AT276),F276="","")</f>
        <v/>
      </c>
      <c r="BC276" s="211" t="str" cm="1">
        <f t="array" ref="BC276">_xlfn.IFS(E276="","",G276&lt;=E276,BB276*(1-0.03),G276&lt;(E276+8),BB276,AZ276="Boleto",BB276*(1+0.001)^DATEDIF(E276,G276,"D"),AZ276="Cheque",BB276,AZ276="Dinheiro","Alterar forma pgto")</f>
        <v/>
      </c>
      <c r="BD276" s="276" t="str" cm="1">
        <f t="array" ref="BD276">IF(F276=0," ",IF(BC276&lt;BB276,(_xlfn.IFS(AW276="SIM",SUM(L276,Q276,V276,AA276,AF276,AK276,AP276,AU276)+AX276/_xlfn.XLOOKUP(_xlfn.XLOOKUP($F276,Clientes!$B$4:$B$39,Clientes!$C$4:$C$39),Cadastros!$L$6:$L$12,Cadastros!$M$6:$M$12)+IF($F276="Bernardino Furlan",AY276/2751.92,IF($F276="Mauro José Salanti",AY276/2751.92,AY276/3356)),F276&lt;&gt;0,SUM(L276,Q276,V276,AA276,AF276,AK276,AP276,AU276)))*(1-0.03),_xlfn.IFS(AW276="SIM",SUM(L276,Q276,V276,AA276,AF276,AK276,AP276,AU276)+AX276/_xlfn.XLOOKUP(_xlfn.XLOOKUP($F276,Clientes!$B$4:$B$39,Clientes!$C$4:$C$39),Cadastros!$L$6:$L$12,Cadastros!$M$6:$M$12)+IF($F276="Bernardino Furlan",AY276/2751.92,IF($F276="Mauro José Salanti",AY276/2751.92,AY276/3356)),F276&lt;&gt;0,SUM(L276,Q276,V276,AA276,AF276,AK276,AP276,AU276))))</f>
        <v xml:space="preserve"> </v>
      </c>
      <c r="BE276" s="120"/>
      <c r="BF276" s="120"/>
      <c r="BG276" s="120"/>
    </row>
    <row r="277" spans="1:59" s="3" customFormat="1" x14ac:dyDescent="0.3">
      <c r="A277" s="15" t="str">
        <f t="shared" si="52"/>
        <v/>
      </c>
      <c r="B277" s="25"/>
      <c r="C277" s="26"/>
      <c r="D277" s="279"/>
      <c r="E277" s="27"/>
      <c r="F277" s="28"/>
      <c r="G277" s="27"/>
      <c r="H277" s="28"/>
      <c r="I277" s="28"/>
      <c r="J277" s="255" t="str">
        <f>IF(H277="","",(_xlfn.XLOOKUP(H277,Cadastros!$D$6:$D$90,Cadastros!$E$6:$E$90))*(1-_xlfn.XLOOKUP(_xlfn.XLOOKUP($F277,Clientes!$B$4:$B$39,Clientes!$C$4:$C$39),Cadastros!$L$6:$L$12,Cadastros!$N$6:$N$12)))</f>
        <v/>
      </c>
      <c r="K277" s="168" t="str">
        <f t="shared" si="53"/>
        <v/>
      </c>
      <c r="L277" s="168" t="str">
        <f>IFERROR(K277/_xlfn.XLOOKUP(_xlfn.XLOOKUP($F277,Clientes!$B$4:$B$39,Clientes!$C$4:$C$39),Cadastros!$L$6:$L$12,Cadastros!$M$6:$M$12)," ")</f>
        <v xml:space="preserve"> </v>
      </c>
      <c r="M277" s="28"/>
      <c r="N277" s="28"/>
      <c r="O277" s="255" t="str">
        <f>IF(M277="","",(_xlfn.XLOOKUP(M277,Cadastros!$D$6:$D$90,Cadastros!$E$6:$E$90))*(1-_xlfn.XLOOKUP(_xlfn.XLOOKUP($F277,Clientes!$B$4:$B$39,Clientes!$C$4:$C$39),Cadastros!$L$6:$L$12,Cadastros!$N$6:$N$12)))</f>
        <v/>
      </c>
      <c r="P277" s="168" t="str">
        <f t="shared" si="54"/>
        <v/>
      </c>
      <c r="Q277" s="168" t="str">
        <f>IFERROR(P277/_xlfn.XLOOKUP(_xlfn.XLOOKUP($F277,Clientes!$B$4:$B$39,Clientes!$C$4:$C$39),Cadastros!$L$6:$L$12,Cadastros!$M$6:$M$12)," ")</f>
        <v xml:space="preserve"> </v>
      </c>
      <c r="R277" s="28"/>
      <c r="S277" s="28"/>
      <c r="T277" s="255" t="str">
        <f>IF(R277="","",(_xlfn.XLOOKUP(R277,Cadastros!$D$6:$D$90,Cadastros!$E$6:$E$90))*(1-_xlfn.XLOOKUP(_xlfn.XLOOKUP($F277,Clientes!$B$4:$B$39,Clientes!$C$4:$C$39),Cadastros!$L$6:$L$12,Cadastros!$N$6:$N$12)))</f>
        <v/>
      </c>
      <c r="U277" s="168" t="str">
        <f t="shared" si="55"/>
        <v/>
      </c>
      <c r="V277" s="168" t="str">
        <f>IFERROR(U277/_xlfn.XLOOKUP(_xlfn.XLOOKUP($F277,Clientes!$B$4:$B$39,Clientes!$C$4:$C$39),Cadastros!$L$6:$L$12,Cadastros!$M$6:$M$12)," ")</f>
        <v xml:space="preserve"> </v>
      </c>
      <c r="W277" s="28"/>
      <c r="X277" s="28"/>
      <c r="Y277" s="255" t="str">
        <f>IF(W277="","",(_xlfn.XLOOKUP(W277,Cadastros!$D$6:$D$90,Cadastros!$E$6:$E$90))*(1-_xlfn.XLOOKUP(_xlfn.XLOOKUP($F277,Clientes!$B$4:$B$39,Clientes!$C$4:$C$39),Cadastros!$L$6:$L$12,Cadastros!$N$6:$N$12)))</f>
        <v/>
      </c>
      <c r="Z277" s="168" t="str">
        <f t="shared" si="56"/>
        <v/>
      </c>
      <c r="AA277" s="168" t="str">
        <f>IFERROR(Z277/_xlfn.XLOOKUP(_xlfn.XLOOKUP($F277,Clientes!$B$4:$B$39,Clientes!$C$4:$C$39),Cadastros!$L$6:$L$12,Cadastros!$M$6:$M$12)," ")</f>
        <v xml:space="preserve"> </v>
      </c>
      <c r="AB277" s="28"/>
      <c r="AC277" s="28"/>
      <c r="AD277" s="20" t="str">
        <f>IF(AB277="","",IF($F277="Bernardino Furlan",_xlfn.XLOOKUP(AB277,Cadastros!$G$6:$G$90,Cadastros!$H$6:$H$90)*(1-0.18),IF($F277="Mauro José Salanti",_xlfn.XLOOKUP(AB277,Cadastros!$G$6:$G$90,Cadastros!$H$6:$H$90)*(1-0.18),_xlfn.XLOOKUP(AB277,Cadastros!$G$6:$G$90,Cadastros!$H$6:$H$90))))</f>
        <v/>
      </c>
      <c r="AE277" s="168" t="str">
        <f t="shared" si="57"/>
        <v/>
      </c>
      <c r="AF277" s="168" t="str">
        <f t="shared" si="58"/>
        <v/>
      </c>
      <c r="AG277" s="28"/>
      <c r="AH277" s="28"/>
      <c r="AI277" s="20" t="str">
        <f>IF(AG277="","",IF($F277="Bernardino Furlan",_xlfn.XLOOKUP(AG277,Cadastros!$G$6:$G$90,Cadastros!$H$6:$H$90)*(1-0.18),IF($F277="Mauro José Salanti",_xlfn.XLOOKUP(AG277,Cadastros!$G$6:$G$90,Cadastros!$H$6:$H$90)*(1-0.18),_xlfn.XLOOKUP(AG277,Cadastros!$G$6:$G$90,Cadastros!$H$6:$H$90))))</f>
        <v/>
      </c>
      <c r="AJ277" s="168" t="str">
        <f t="shared" si="59"/>
        <v/>
      </c>
      <c r="AK277" s="168" t="str">
        <f t="shared" si="60"/>
        <v/>
      </c>
      <c r="AL277" s="28"/>
      <c r="AM277" s="28"/>
      <c r="AN277" s="20" t="str">
        <f>IF(AL277="","",IF($F277="Bernardino Furlan",_xlfn.XLOOKUP(AL277,Cadastros!$G$6:$G$90,Cadastros!$H$6:$H$90)*(1-0.18),IF($F277="Mauro José Salanti",_xlfn.XLOOKUP(AL277,Cadastros!$G$6:$G$90,Cadastros!$H$6:$H$90)*(1-0.18),_xlfn.XLOOKUP(AL277,Cadastros!$G$6:$G$90,Cadastros!$H$6:$H$90))))</f>
        <v/>
      </c>
      <c r="AO277" s="168" t="str">
        <f t="shared" si="61"/>
        <v/>
      </c>
      <c r="AP277" s="168" t="str">
        <f t="shared" si="62"/>
        <v/>
      </c>
      <c r="AQ277" s="28"/>
      <c r="AR277" s="28"/>
      <c r="AS277" s="20" t="str">
        <f>IF(AQ277="","",IF($F277="Bernardino Furlan",_xlfn.XLOOKUP(AQ277,Cadastros!$G$6:$G$90,Cadastros!$H$6:$H$90)*(1-0.18),IF($F277="Mauro José Salanti",_xlfn.XLOOKUP(AQ277,Cadastros!$G$6:$G$90,Cadastros!$H$6:$H$90)*(1-0.18),_xlfn.XLOOKUP(AQ277,Cadastros!$G$6:$G$90,Cadastros!$H$6:$H$90))))</f>
        <v/>
      </c>
      <c r="AT277" s="168" t="str">
        <f t="shared" si="63"/>
        <v/>
      </c>
      <c r="AU277" s="168" t="str">
        <f t="shared" si="64"/>
        <v/>
      </c>
      <c r="AV277" s="227"/>
      <c r="AW277" s="30"/>
      <c r="AX277" s="267"/>
      <c r="AY277" s="267"/>
      <c r="AZ277" s="29"/>
      <c r="BA277" s="30"/>
      <c r="BB277" s="23" t="str" cm="1">
        <f t="array" ref="BB277">_xlfn.IFS(AW277="SIM",SUM(K277,P277,U277,Z277,AE277,AJ277,AO277,AT277,AX277,AY277),F277&lt;&gt;"",SUM(K277,P277,U277,Z277,AE277,AJ277,,AO277,AT277),F277="","")</f>
        <v/>
      </c>
      <c r="BC277" s="211" t="str" cm="1">
        <f t="array" ref="BC277">_xlfn.IFS(E277="","",G277&lt;=E277,BB277*(1-0.03),G277&lt;(E277+8),BB277,AZ277="Boleto",BB277*(1+0.001)^DATEDIF(E277,G277,"D"),AZ277="Cheque",BB277,AZ277="Dinheiro","Alterar forma pgto")</f>
        <v/>
      </c>
      <c r="BD277" s="276" t="str" cm="1">
        <f t="array" ref="BD277">IF(F277=0," ",IF(BC277&lt;BB277,(_xlfn.IFS(AW277="SIM",SUM(L277,Q277,V277,AA277,AF277,AK277,AP277,AU277)+AX277/_xlfn.XLOOKUP(_xlfn.XLOOKUP($F277,Clientes!$B$4:$B$39,Clientes!$C$4:$C$39),Cadastros!$L$6:$L$12,Cadastros!$M$6:$M$12)+IF($F277="Bernardino Furlan",AY277/2751.92,IF($F277="Mauro José Salanti",AY277/2751.92,AY277/3356)),F277&lt;&gt;0,SUM(L277,Q277,V277,AA277,AF277,AK277,AP277,AU277)))*(1-0.03),_xlfn.IFS(AW277="SIM",SUM(L277,Q277,V277,AA277,AF277,AK277,AP277,AU277)+AX277/_xlfn.XLOOKUP(_xlfn.XLOOKUP($F277,Clientes!$B$4:$B$39,Clientes!$C$4:$C$39),Cadastros!$L$6:$L$12,Cadastros!$M$6:$M$12)+IF($F277="Bernardino Furlan",AY277/2751.92,IF($F277="Mauro José Salanti",AY277/2751.92,AY277/3356)),F277&lt;&gt;0,SUM(L277,Q277,V277,AA277,AF277,AK277,AP277,AU277))))</f>
        <v xml:space="preserve"> </v>
      </c>
      <c r="BE277" s="120"/>
      <c r="BF277" s="120"/>
      <c r="BG277" s="120"/>
    </row>
    <row r="278" spans="1:59" s="3" customFormat="1" x14ac:dyDescent="0.3">
      <c r="A278" s="15" t="str">
        <f t="shared" si="52"/>
        <v/>
      </c>
      <c r="B278" s="25"/>
      <c r="C278" s="26"/>
      <c r="D278" s="279"/>
      <c r="E278" s="27"/>
      <c r="F278" s="28"/>
      <c r="G278" s="27"/>
      <c r="H278" s="28"/>
      <c r="I278" s="28"/>
      <c r="J278" s="255" t="str">
        <f>IF(H278="","",(_xlfn.XLOOKUP(H278,Cadastros!$D$6:$D$90,Cadastros!$E$6:$E$90))*(1-_xlfn.XLOOKUP(_xlfn.XLOOKUP($F278,Clientes!$B$4:$B$39,Clientes!$C$4:$C$39),Cadastros!$L$6:$L$12,Cadastros!$N$6:$N$12)))</f>
        <v/>
      </c>
      <c r="K278" s="168" t="str">
        <f t="shared" si="53"/>
        <v/>
      </c>
      <c r="L278" s="168" t="str">
        <f>IFERROR(K278/_xlfn.XLOOKUP(_xlfn.XLOOKUP($F278,Clientes!$B$4:$B$39,Clientes!$C$4:$C$39),Cadastros!$L$6:$L$12,Cadastros!$M$6:$M$12)," ")</f>
        <v xml:space="preserve"> </v>
      </c>
      <c r="M278" s="28"/>
      <c r="N278" s="28"/>
      <c r="O278" s="255" t="str">
        <f>IF(M278="","",(_xlfn.XLOOKUP(M278,Cadastros!$D$6:$D$90,Cadastros!$E$6:$E$90))*(1-_xlfn.XLOOKUP(_xlfn.XLOOKUP($F278,Clientes!$B$4:$B$39,Clientes!$C$4:$C$39),Cadastros!$L$6:$L$12,Cadastros!$N$6:$N$12)))</f>
        <v/>
      </c>
      <c r="P278" s="168" t="str">
        <f t="shared" si="54"/>
        <v/>
      </c>
      <c r="Q278" s="168" t="str">
        <f>IFERROR(P278/_xlfn.XLOOKUP(_xlfn.XLOOKUP($F278,Clientes!$B$4:$B$39,Clientes!$C$4:$C$39),Cadastros!$L$6:$L$12,Cadastros!$M$6:$M$12)," ")</f>
        <v xml:space="preserve"> </v>
      </c>
      <c r="R278" s="28"/>
      <c r="S278" s="28"/>
      <c r="T278" s="255" t="str">
        <f>IF(R278="","",(_xlfn.XLOOKUP(R278,Cadastros!$D$6:$D$90,Cadastros!$E$6:$E$90))*(1-_xlfn.XLOOKUP(_xlfn.XLOOKUP($F278,Clientes!$B$4:$B$39,Clientes!$C$4:$C$39),Cadastros!$L$6:$L$12,Cadastros!$N$6:$N$12)))</f>
        <v/>
      </c>
      <c r="U278" s="168" t="str">
        <f t="shared" si="55"/>
        <v/>
      </c>
      <c r="V278" s="168" t="str">
        <f>IFERROR(U278/_xlfn.XLOOKUP(_xlfn.XLOOKUP($F278,Clientes!$B$4:$B$39,Clientes!$C$4:$C$39),Cadastros!$L$6:$L$12,Cadastros!$M$6:$M$12)," ")</f>
        <v xml:space="preserve"> </v>
      </c>
      <c r="W278" s="28"/>
      <c r="X278" s="28"/>
      <c r="Y278" s="255" t="str">
        <f>IF(W278="","",(_xlfn.XLOOKUP(W278,Cadastros!$D$6:$D$90,Cadastros!$E$6:$E$90))*(1-_xlfn.XLOOKUP(_xlfn.XLOOKUP($F278,Clientes!$B$4:$B$39,Clientes!$C$4:$C$39),Cadastros!$L$6:$L$12,Cadastros!$N$6:$N$12)))</f>
        <v/>
      </c>
      <c r="Z278" s="168" t="str">
        <f t="shared" si="56"/>
        <v/>
      </c>
      <c r="AA278" s="168" t="str">
        <f>IFERROR(Z278/_xlfn.XLOOKUP(_xlfn.XLOOKUP($F278,Clientes!$B$4:$B$39,Clientes!$C$4:$C$39),Cadastros!$L$6:$L$12,Cadastros!$M$6:$M$12)," ")</f>
        <v xml:space="preserve"> </v>
      </c>
      <c r="AB278" s="28"/>
      <c r="AC278" s="28"/>
      <c r="AD278" s="20" t="str">
        <f>IF(AB278="","",IF($F278="Bernardino Furlan",_xlfn.XLOOKUP(AB278,Cadastros!$G$6:$G$90,Cadastros!$H$6:$H$90)*(1-0.18),IF($F278="Mauro José Salanti",_xlfn.XLOOKUP(AB278,Cadastros!$G$6:$G$90,Cadastros!$H$6:$H$90)*(1-0.18),_xlfn.XLOOKUP(AB278,Cadastros!$G$6:$G$90,Cadastros!$H$6:$H$90))))</f>
        <v/>
      </c>
      <c r="AE278" s="168" t="str">
        <f t="shared" si="57"/>
        <v/>
      </c>
      <c r="AF278" s="168" t="str">
        <f t="shared" si="58"/>
        <v/>
      </c>
      <c r="AG278" s="28"/>
      <c r="AH278" s="28"/>
      <c r="AI278" s="20" t="str">
        <f>IF(AG278="","",IF($F278="Bernardino Furlan",_xlfn.XLOOKUP(AG278,Cadastros!$G$6:$G$90,Cadastros!$H$6:$H$90)*(1-0.18),IF($F278="Mauro José Salanti",_xlfn.XLOOKUP(AG278,Cadastros!$G$6:$G$90,Cadastros!$H$6:$H$90)*(1-0.18),_xlfn.XLOOKUP(AG278,Cadastros!$G$6:$G$90,Cadastros!$H$6:$H$90))))</f>
        <v/>
      </c>
      <c r="AJ278" s="168" t="str">
        <f t="shared" si="59"/>
        <v/>
      </c>
      <c r="AK278" s="168" t="str">
        <f t="shared" si="60"/>
        <v/>
      </c>
      <c r="AL278" s="28"/>
      <c r="AM278" s="28"/>
      <c r="AN278" s="20" t="str">
        <f>IF(AL278="","",IF($F278="Bernardino Furlan",_xlfn.XLOOKUP(AL278,Cadastros!$G$6:$G$90,Cadastros!$H$6:$H$90)*(1-0.18),IF($F278="Mauro José Salanti",_xlfn.XLOOKUP(AL278,Cadastros!$G$6:$G$90,Cadastros!$H$6:$H$90)*(1-0.18),_xlfn.XLOOKUP(AL278,Cadastros!$G$6:$G$90,Cadastros!$H$6:$H$90))))</f>
        <v/>
      </c>
      <c r="AO278" s="168" t="str">
        <f t="shared" si="61"/>
        <v/>
      </c>
      <c r="AP278" s="168" t="str">
        <f t="shared" si="62"/>
        <v/>
      </c>
      <c r="AQ278" s="28"/>
      <c r="AR278" s="28"/>
      <c r="AS278" s="20" t="str">
        <f>IF(AQ278="","",IF($F278="Bernardino Furlan",_xlfn.XLOOKUP(AQ278,Cadastros!$G$6:$G$90,Cadastros!$H$6:$H$90)*(1-0.18),IF($F278="Mauro José Salanti",_xlfn.XLOOKUP(AQ278,Cadastros!$G$6:$G$90,Cadastros!$H$6:$H$90)*(1-0.18),_xlfn.XLOOKUP(AQ278,Cadastros!$G$6:$G$90,Cadastros!$H$6:$H$90))))</f>
        <v/>
      </c>
      <c r="AT278" s="168" t="str">
        <f t="shared" si="63"/>
        <v/>
      </c>
      <c r="AU278" s="168" t="str">
        <f t="shared" si="64"/>
        <v/>
      </c>
      <c r="AV278" s="227"/>
      <c r="AW278" s="30"/>
      <c r="AX278" s="267"/>
      <c r="AY278" s="267"/>
      <c r="AZ278" s="29"/>
      <c r="BA278" s="30"/>
      <c r="BB278" s="23" t="str" cm="1">
        <f t="array" ref="BB278">_xlfn.IFS(AW278="SIM",SUM(K278,P278,U278,Z278,AE278,AJ278,AO278,AT278,AX278,AY278),F278&lt;&gt;"",SUM(K278,P278,U278,Z278,AE278,AJ278,,AO278,AT278),F278="","")</f>
        <v/>
      </c>
      <c r="BC278" s="211" t="str" cm="1">
        <f t="array" ref="BC278">_xlfn.IFS(E278="","",G278&lt;=E278,BB278*(1-0.03),G278&lt;(E278+8),BB278,AZ278="Boleto",BB278*(1+0.001)^DATEDIF(E278,G278,"D"),AZ278="Cheque",BB278,AZ278="Dinheiro","Alterar forma pgto")</f>
        <v/>
      </c>
      <c r="BD278" s="276" t="str" cm="1">
        <f t="array" ref="BD278">IF(F278=0," ",IF(BC278&lt;BB278,(_xlfn.IFS(AW278="SIM",SUM(L278,Q278,V278,AA278,AF278,AK278,AP278,AU278)+AX278/_xlfn.XLOOKUP(_xlfn.XLOOKUP($F278,Clientes!$B$4:$B$39,Clientes!$C$4:$C$39),Cadastros!$L$6:$L$12,Cadastros!$M$6:$M$12)+IF($F278="Bernardino Furlan",AY278/2751.92,IF($F278="Mauro José Salanti",AY278/2751.92,AY278/3356)),F278&lt;&gt;0,SUM(L278,Q278,V278,AA278,AF278,AK278,AP278,AU278)))*(1-0.03),_xlfn.IFS(AW278="SIM",SUM(L278,Q278,V278,AA278,AF278,AK278,AP278,AU278)+AX278/_xlfn.XLOOKUP(_xlfn.XLOOKUP($F278,Clientes!$B$4:$B$39,Clientes!$C$4:$C$39),Cadastros!$L$6:$L$12,Cadastros!$M$6:$M$12)+IF($F278="Bernardino Furlan",AY278/2751.92,IF($F278="Mauro José Salanti",AY278/2751.92,AY278/3356)),F278&lt;&gt;0,SUM(L278,Q278,V278,AA278,AF278,AK278,AP278,AU278))))</f>
        <v xml:space="preserve"> </v>
      </c>
      <c r="BE278" s="120"/>
      <c r="BF278" s="120"/>
      <c r="BG278" s="120"/>
    </row>
    <row r="279" spans="1:59" s="3" customFormat="1" x14ac:dyDescent="0.3">
      <c r="A279" s="15" t="str">
        <f t="shared" si="52"/>
        <v/>
      </c>
      <c r="B279" s="25"/>
      <c r="C279" s="26"/>
      <c r="D279" s="279"/>
      <c r="E279" s="27"/>
      <c r="F279" s="28"/>
      <c r="G279" s="27"/>
      <c r="H279" s="28"/>
      <c r="I279" s="28"/>
      <c r="J279" s="255" t="str">
        <f>IF(H279="","",(_xlfn.XLOOKUP(H279,Cadastros!$D$6:$D$90,Cadastros!$E$6:$E$90))*(1-_xlfn.XLOOKUP(_xlfn.XLOOKUP($F279,Clientes!$B$4:$B$39,Clientes!$C$4:$C$39),Cadastros!$L$6:$L$12,Cadastros!$N$6:$N$12)))</f>
        <v/>
      </c>
      <c r="K279" s="168" t="str">
        <f t="shared" si="53"/>
        <v/>
      </c>
      <c r="L279" s="168" t="str">
        <f>IFERROR(K279/_xlfn.XLOOKUP(_xlfn.XLOOKUP($F279,Clientes!$B$4:$B$39,Clientes!$C$4:$C$39),Cadastros!$L$6:$L$12,Cadastros!$M$6:$M$12)," ")</f>
        <v xml:space="preserve"> </v>
      </c>
      <c r="M279" s="28"/>
      <c r="N279" s="28"/>
      <c r="O279" s="255" t="str">
        <f>IF(M279="","",(_xlfn.XLOOKUP(M279,Cadastros!$D$6:$D$90,Cadastros!$E$6:$E$90))*(1-_xlfn.XLOOKUP(_xlfn.XLOOKUP($F279,Clientes!$B$4:$B$39,Clientes!$C$4:$C$39),Cadastros!$L$6:$L$12,Cadastros!$N$6:$N$12)))</f>
        <v/>
      </c>
      <c r="P279" s="168" t="str">
        <f t="shared" si="54"/>
        <v/>
      </c>
      <c r="Q279" s="168" t="str">
        <f>IFERROR(P279/_xlfn.XLOOKUP(_xlfn.XLOOKUP($F279,Clientes!$B$4:$B$39,Clientes!$C$4:$C$39),Cadastros!$L$6:$L$12,Cadastros!$M$6:$M$12)," ")</f>
        <v xml:space="preserve"> </v>
      </c>
      <c r="R279" s="28"/>
      <c r="S279" s="28"/>
      <c r="T279" s="255" t="str">
        <f>IF(R279="","",(_xlfn.XLOOKUP(R279,Cadastros!$D$6:$D$90,Cadastros!$E$6:$E$90))*(1-_xlfn.XLOOKUP(_xlfn.XLOOKUP($F279,Clientes!$B$4:$B$39,Clientes!$C$4:$C$39),Cadastros!$L$6:$L$12,Cadastros!$N$6:$N$12)))</f>
        <v/>
      </c>
      <c r="U279" s="168" t="str">
        <f t="shared" si="55"/>
        <v/>
      </c>
      <c r="V279" s="168" t="str">
        <f>IFERROR(U279/_xlfn.XLOOKUP(_xlfn.XLOOKUP($F279,Clientes!$B$4:$B$39,Clientes!$C$4:$C$39),Cadastros!$L$6:$L$12,Cadastros!$M$6:$M$12)," ")</f>
        <v xml:space="preserve"> </v>
      </c>
      <c r="W279" s="28"/>
      <c r="X279" s="28"/>
      <c r="Y279" s="255" t="str">
        <f>IF(W279="","",(_xlfn.XLOOKUP(W279,Cadastros!$D$6:$D$90,Cadastros!$E$6:$E$90))*(1-_xlfn.XLOOKUP(_xlfn.XLOOKUP($F279,Clientes!$B$4:$B$39,Clientes!$C$4:$C$39),Cadastros!$L$6:$L$12,Cadastros!$N$6:$N$12)))</f>
        <v/>
      </c>
      <c r="Z279" s="168" t="str">
        <f t="shared" si="56"/>
        <v/>
      </c>
      <c r="AA279" s="168" t="str">
        <f>IFERROR(Z279/_xlfn.XLOOKUP(_xlfn.XLOOKUP($F279,Clientes!$B$4:$B$39,Clientes!$C$4:$C$39),Cadastros!$L$6:$L$12,Cadastros!$M$6:$M$12)," ")</f>
        <v xml:space="preserve"> </v>
      </c>
      <c r="AB279" s="28"/>
      <c r="AC279" s="28"/>
      <c r="AD279" s="20" t="str">
        <f>IF(AB279="","",IF($F279="Bernardino Furlan",_xlfn.XLOOKUP(AB279,Cadastros!$G$6:$G$90,Cadastros!$H$6:$H$90)*(1-0.18),IF($F279="Mauro José Salanti",_xlfn.XLOOKUP(AB279,Cadastros!$G$6:$G$90,Cadastros!$H$6:$H$90)*(1-0.18),_xlfn.XLOOKUP(AB279,Cadastros!$G$6:$G$90,Cadastros!$H$6:$H$90))))</f>
        <v/>
      </c>
      <c r="AE279" s="168" t="str">
        <f t="shared" si="57"/>
        <v/>
      </c>
      <c r="AF279" s="168" t="str">
        <f t="shared" si="58"/>
        <v/>
      </c>
      <c r="AG279" s="28"/>
      <c r="AH279" s="28"/>
      <c r="AI279" s="20" t="str">
        <f>IF(AG279="","",IF($F279="Bernardino Furlan",_xlfn.XLOOKUP(AG279,Cadastros!$G$6:$G$90,Cadastros!$H$6:$H$90)*(1-0.18),IF($F279="Mauro José Salanti",_xlfn.XLOOKUP(AG279,Cadastros!$G$6:$G$90,Cadastros!$H$6:$H$90)*(1-0.18),_xlfn.XLOOKUP(AG279,Cadastros!$G$6:$G$90,Cadastros!$H$6:$H$90))))</f>
        <v/>
      </c>
      <c r="AJ279" s="168" t="str">
        <f t="shared" si="59"/>
        <v/>
      </c>
      <c r="AK279" s="168" t="str">
        <f t="shared" si="60"/>
        <v/>
      </c>
      <c r="AL279" s="28"/>
      <c r="AM279" s="28"/>
      <c r="AN279" s="20" t="str">
        <f>IF(AL279="","",IF($F279="Bernardino Furlan",_xlfn.XLOOKUP(AL279,Cadastros!$G$6:$G$90,Cadastros!$H$6:$H$90)*(1-0.18),IF($F279="Mauro José Salanti",_xlfn.XLOOKUP(AL279,Cadastros!$G$6:$G$90,Cadastros!$H$6:$H$90)*(1-0.18),_xlfn.XLOOKUP(AL279,Cadastros!$G$6:$G$90,Cadastros!$H$6:$H$90))))</f>
        <v/>
      </c>
      <c r="AO279" s="168" t="str">
        <f t="shared" si="61"/>
        <v/>
      </c>
      <c r="AP279" s="168" t="str">
        <f t="shared" si="62"/>
        <v/>
      </c>
      <c r="AQ279" s="28"/>
      <c r="AR279" s="28"/>
      <c r="AS279" s="20" t="str">
        <f>IF(AQ279="","",IF($F279="Bernardino Furlan",_xlfn.XLOOKUP(AQ279,Cadastros!$G$6:$G$90,Cadastros!$H$6:$H$90)*(1-0.18),IF($F279="Mauro José Salanti",_xlfn.XLOOKUP(AQ279,Cadastros!$G$6:$G$90,Cadastros!$H$6:$H$90)*(1-0.18),_xlfn.XLOOKUP(AQ279,Cadastros!$G$6:$G$90,Cadastros!$H$6:$H$90))))</f>
        <v/>
      </c>
      <c r="AT279" s="168" t="str">
        <f t="shared" si="63"/>
        <v/>
      </c>
      <c r="AU279" s="168" t="str">
        <f t="shared" si="64"/>
        <v/>
      </c>
      <c r="AV279" s="227"/>
      <c r="AW279" s="30"/>
      <c r="AX279" s="267"/>
      <c r="AY279" s="267"/>
      <c r="AZ279" s="29"/>
      <c r="BA279" s="30"/>
      <c r="BB279" s="23" t="str" cm="1">
        <f t="array" ref="BB279">_xlfn.IFS(AW279="SIM",SUM(K279,P279,U279,Z279,AE279,AJ279,AO279,AT279,AX279,AY279),F279&lt;&gt;"",SUM(K279,P279,U279,Z279,AE279,AJ279,,AO279,AT279),F279="","")</f>
        <v/>
      </c>
      <c r="BC279" s="211" t="str" cm="1">
        <f t="array" ref="BC279">_xlfn.IFS(E279="","",G279&lt;=E279,BB279*(1-0.03),G279&lt;(E279+8),BB279,AZ279="Boleto",BB279*(1+0.001)^DATEDIF(E279,G279,"D"),AZ279="Cheque",BB279,AZ279="Dinheiro","Alterar forma pgto")</f>
        <v/>
      </c>
      <c r="BD279" s="276" t="str" cm="1">
        <f t="array" ref="BD279">IF(F279=0," ",IF(BC279&lt;BB279,(_xlfn.IFS(AW279="SIM",SUM(L279,Q279,V279,AA279,AF279,AK279,AP279,AU279)+AX279/_xlfn.XLOOKUP(_xlfn.XLOOKUP($F279,Clientes!$B$4:$B$39,Clientes!$C$4:$C$39),Cadastros!$L$6:$L$12,Cadastros!$M$6:$M$12)+IF($F279="Bernardino Furlan",AY279/2751.92,IF($F279="Mauro José Salanti",AY279/2751.92,AY279/3356)),F279&lt;&gt;0,SUM(L279,Q279,V279,AA279,AF279,AK279,AP279,AU279)))*(1-0.03),_xlfn.IFS(AW279="SIM",SUM(L279,Q279,V279,AA279,AF279,AK279,AP279,AU279)+AX279/_xlfn.XLOOKUP(_xlfn.XLOOKUP($F279,Clientes!$B$4:$B$39,Clientes!$C$4:$C$39),Cadastros!$L$6:$L$12,Cadastros!$M$6:$M$12)+IF($F279="Bernardino Furlan",AY279/2751.92,IF($F279="Mauro José Salanti",AY279/2751.92,AY279/3356)),F279&lt;&gt;0,SUM(L279,Q279,V279,AA279,AF279,AK279,AP279,AU279))))</f>
        <v xml:space="preserve"> </v>
      </c>
      <c r="BE279" s="120"/>
      <c r="BF279" s="120"/>
      <c r="BG279" s="120"/>
    </row>
    <row r="280" spans="1:59" s="3" customFormat="1" x14ac:dyDescent="0.3">
      <c r="A280" s="15" t="str">
        <f t="shared" si="52"/>
        <v/>
      </c>
      <c r="B280" s="25"/>
      <c r="C280" s="26"/>
      <c r="D280" s="279"/>
      <c r="E280" s="27"/>
      <c r="F280" s="28"/>
      <c r="G280" s="27"/>
      <c r="H280" s="28"/>
      <c r="I280" s="28"/>
      <c r="J280" s="255" t="str">
        <f>IF(H280="","",(_xlfn.XLOOKUP(H280,Cadastros!$D$6:$D$90,Cadastros!$E$6:$E$90))*(1-_xlfn.XLOOKUP(_xlfn.XLOOKUP($F280,Clientes!$B$4:$B$39,Clientes!$C$4:$C$39),Cadastros!$L$6:$L$12,Cadastros!$N$6:$N$12)))</f>
        <v/>
      </c>
      <c r="K280" s="168" t="str">
        <f t="shared" si="53"/>
        <v/>
      </c>
      <c r="L280" s="168" t="str">
        <f>IFERROR(K280/_xlfn.XLOOKUP(_xlfn.XLOOKUP($F280,Clientes!$B$4:$B$39,Clientes!$C$4:$C$39),Cadastros!$L$6:$L$12,Cadastros!$M$6:$M$12)," ")</f>
        <v xml:space="preserve"> </v>
      </c>
      <c r="M280" s="28"/>
      <c r="N280" s="28"/>
      <c r="O280" s="255" t="str">
        <f>IF(M280="","",(_xlfn.XLOOKUP(M280,Cadastros!$D$6:$D$90,Cadastros!$E$6:$E$90))*(1-_xlfn.XLOOKUP(_xlfn.XLOOKUP($F280,Clientes!$B$4:$B$39,Clientes!$C$4:$C$39),Cadastros!$L$6:$L$12,Cadastros!$N$6:$N$12)))</f>
        <v/>
      </c>
      <c r="P280" s="168" t="str">
        <f t="shared" si="54"/>
        <v/>
      </c>
      <c r="Q280" s="168" t="str">
        <f>IFERROR(P280/_xlfn.XLOOKUP(_xlfn.XLOOKUP($F280,Clientes!$B$4:$B$39,Clientes!$C$4:$C$39),Cadastros!$L$6:$L$12,Cadastros!$M$6:$M$12)," ")</f>
        <v xml:space="preserve"> </v>
      </c>
      <c r="R280" s="28"/>
      <c r="S280" s="28"/>
      <c r="T280" s="255" t="str">
        <f>IF(R280="","",(_xlfn.XLOOKUP(R280,Cadastros!$D$6:$D$90,Cadastros!$E$6:$E$90))*(1-_xlfn.XLOOKUP(_xlfn.XLOOKUP($F280,Clientes!$B$4:$B$39,Clientes!$C$4:$C$39),Cadastros!$L$6:$L$12,Cadastros!$N$6:$N$12)))</f>
        <v/>
      </c>
      <c r="U280" s="168" t="str">
        <f t="shared" si="55"/>
        <v/>
      </c>
      <c r="V280" s="168" t="str">
        <f>IFERROR(U280/_xlfn.XLOOKUP(_xlfn.XLOOKUP($F280,Clientes!$B$4:$B$39,Clientes!$C$4:$C$39),Cadastros!$L$6:$L$12,Cadastros!$M$6:$M$12)," ")</f>
        <v xml:space="preserve"> </v>
      </c>
      <c r="W280" s="28"/>
      <c r="X280" s="28"/>
      <c r="Y280" s="255" t="str">
        <f>IF(W280="","",(_xlfn.XLOOKUP(W280,Cadastros!$D$6:$D$90,Cadastros!$E$6:$E$90))*(1-_xlfn.XLOOKUP(_xlfn.XLOOKUP($F280,Clientes!$B$4:$B$39,Clientes!$C$4:$C$39),Cadastros!$L$6:$L$12,Cadastros!$N$6:$N$12)))</f>
        <v/>
      </c>
      <c r="Z280" s="168" t="str">
        <f t="shared" si="56"/>
        <v/>
      </c>
      <c r="AA280" s="168" t="str">
        <f>IFERROR(Z280/_xlfn.XLOOKUP(_xlfn.XLOOKUP($F280,Clientes!$B$4:$B$39,Clientes!$C$4:$C$39),Cadastros!$L$6:$L$12,Cadastros!$M$6:$M$12)," ")</f>
        <v xml:space="preserve"> </v>
      </c>
      <c r="AB280" s="28"/>
      <c r="AC280" s="28"/>
      <c r="AD280" s="20" t="str">
        <f>IF(AB280="","",IF($F280="Bernardino Furlan",_xlfn.XLOOKUP(AB280,Cadastros!$G$6:$G$90,Cadastros!$H$6:$H$90)*(1-0.18),IF($F280="Mauro José Salanti",_xlfn.XLOOKUP(AB280,Cadastros!$G$6:$G$90,Cadastros!$H$6:$H$90)*(1-0.18),_xlfn.XLOOKUP(AB280,Cadastros!$G$6:$G$90,Cadastros!$H$6:$H$90))))</f>
        <v/>
      </c>
      <c r="AE280" s="168" t="str">
        <f t="shared" si="57"/>
        <v/>
      </c>
      <c r="AF280" s="168" t="str">
        <f t="shared" si="58"/>
        <v/>
      </c>
      <c r="AG280" s="28"/>
      <c r="AH280" s="28"/>
      <c r="AI280" s="20" t="str">
        <f>IF(AG280="","",IF($F280="Bernardino Furlan",_xlfn.XLOOKUP(AG280,Cadastros!$G$6:$G$90,Cadastros!$H$6:$H$90)*(1-0.18),IF($F280="Mauro José Salanti",_xlfn.XLOOKUP(AG280,Cadastros!$G$6:$G$90,Cadastros!$H$6:$H$90)*(1-0.18),_xlfn.XLOOKUP(AG280,Cadastros!$G$6:$G$90,Cadastros!$H$6:$H$90))))</f>
        <v/>
      </c>
      <c r="AJ280" s="168" t="str">
        <f t="shared" si="59"/>
        <v/>
      </c>
      <c r="AK280" s="168" t="str">
        <f t="shared" si="60"/>
        <v/>
      </c>
      <c r="AL280" s="28"/>
      <c r="AM280" s="28"/>
      <c r="AN280" s="20" t="str">
        <f>IF(AL280="","",IF($F280="Bernardino Furlan",_xlfn.XLOOKUP(AL280,Cadastros!$G$6:$G$90,Cadastros!$H$6:$H$90)*(1-0.18),IF($F280="Mauro José Salanti",_xlfn.XLOOKUP(AL280,Cadastros!$G$6:$G$90,Cadastros!$H$6:$H$90)*(1-0.18),_xlfn.XLOOKUP(AL280,Cadastros!$G$6:$G$90,Cadastros!$H$6:$H$90))))</f>
        <v/>
      </c>
      <c r="AO280" s="168" t="str">
        <f t="shared" si="61"/>
        <v/>
      </c>
      <c r="AP280" s="168" t="str">
        <f t="shared" si="62"/>
        <v/>
      </c>
      <c r="AQ280" s="28"/>
      <c r="AR280" s="28"/>
      <c r="AS280" s="20" t="str">
        <f>IF(AQ280="","",IF($F280="Bernardino Furlan",_xlfn.XLOOKUP(AQ280,Cadastros!$G$6:$G$90,Cadastros!$H$6:$H$90)*(1-0.18),IF($F280="Mauro José Salanti",_xlfn.XLOOKUP(AQ280,Cadastros!$G$6:$G$90,Cadastros!$H$6:$H$90)*(1-0.18),_xlfn.XLOOKUP(AQ280,Cadastros!$G$6:$G$90,Cadastros!$H$6:$H$90))))</f>
        <v/>
      </c>
      <c r="AT280" s="168" t="str">
        <f t="shared" si="63"/>
        <v/>
      </c>
      <c r="AU280" s="168" t="str">
        <f t="shared" si="64"/>
        <v/>
      </c>
      <c r="AV280" s="227"/>
      <c r="AW280" s="30"/>
      <c r="AX280" s="267"/>
      <c r="AY280" s="267"/>
      <c r="AZ280" s="29"/>
      <c r="BA280" s="30"/>
      <c r="BB280" s="23" t="str" cm="1">
        <f t="array" ref="BB280">_xlfn.IFS(AW280="SIM",SUM(K280,P280,U280,Z280,AE280,AJ280,AO280,AT280,AX280,AY280),F280&lt;&gt;"",SUM(K280,P280,U280,Z280,AE280,AJ280,,AO280,AT280),F280="","")</f>
        <v/>
      </c>
      <c r="BC280" s="211" t="str" cm="1">
        <f t="array" ref="BC280">_xlfn.IFS(E280="","",G280&lt;=E280,BB280*(1-0.03),G280&lt;(E280+8),BB280,AZ280="Boleto",BB280*(1+0.001)^DATEDIF(E280,G280,"D"),AZ280="Cheque",BB280,AZ280="Dinheiro","Alterar forma pgto")</f>
        <v/>
      </c>
      <c r="BD280" s="276" t="str" cm="1">
        <f t="array" ref="BD280">IF(F280=0," ",IF(BC280&lt;BB280,(_xlfn.IFS(AW280="SIM",SUM(L280,Q280,V280,AA280,AF280,AK280,AP280,AU280)+AX280/_xlfn.XLOOKUP(_xlfn.XLOOKUP($F280,Clientes!$B$4:$B$39,Clientes!$C$4:$C$39),Cadastros!$L$6:$L$12,Cadastros!$M$6:$M$12)+IF($F280="Bernardino Furlan",AY280/2751.92,IF($F280="Mauro José Salanti",AY280/2751.92,AY280/3356)),F280&lt;&gt;0,SUM(L280,Q280,V280,AA280,AF280,AK280,AP280,AU280)))*(1-0.03),_xlfn.IFS(AW280="SIM",SUM(L280,Q280,V280,AA280,AF280,AK280,AP280,AU280)+AX280/_xlfn.XLOOKUP(_xlfn.XLOOKUP($F280,Clientes!$B$4:$B$39,Clientes!$C$4:$C$39),Cadastros!$L$6:$L$12,Cadastros!$M$6:$M$12)+IF($F280="Bernardino Furlan",AY280/2751.92,IF($F280="Mauro José Salanti",AY280/2751.92,AY280/3356)),F280&lt;&gt;0,SUM(L280,Q280,V280,AA280,AF280,AK280,AP280,AU280))))</f>
        <v xml:space="preserve"> </v>
      </c>
      <c r="BE280" s="120"/>
      <c r="BF280" s="120"/>
      <c r="BG280" s="120"/>
    </row>
    <row r="281" spans="1:59" s="3" customFormat="1" x14ac:dyDescent="0.3">
      <c r="A281" s="15" t="str">
        <f t="shared" si="52"/>
        <v/>
      </c>
      <c r="B281" s="25"/>
      <c r="C281" s="26"/>
      <c r="D281" s="279"/>
      <c r="E281" s="27"/>
      <c r="F281" s="28"/>
      <c r="G281" s="27"/>
      <c r="H281" s="28"/>
      <c r="I281" s="28"/>
      <c r="J281" s="255" t="str">
        <f>IF(H281="","",(_xlfn.XLOOKUP(H281,Cadastros!$D$6:$D$90,Cadastros!$E$6:$E$90))*(1-_xlfn.XLOOKUP(_xlfn.XLOOKUP($F281,Clientes!$B$4:$B$39,Clientes!$C$4:$C$39),Cadastros!$L$6:$L$12,Cadastros!$N$6:$N$12)))</f>
        <v/>
      </c>
      <c r="K281" s="168" t="str">
        <f t="shared" si="53"/>
        <v/>
      </c>
      <c r="L281" s="168" t="str">
        <f>IFERROR(K281/_xlfn.XLOOKUP(_xlfn.XLOOKUP($F281,Clientes!$B$4:$B$39,Clientes!$C$4:$C$39),Cadastros!$L$6:$L$12,Cadastros!$M$6:$M$12)," ")</f>
        <v xml:space="preserve"> </v>
      </c>
      <c r="M281" s="28"/>
      <c r="N281" s="28"/>
      <c r="O281" s="255" t="str">
        <f>IF(M281="","",(_xlfn.XLOOKUP(M281,Cadastros!$D$6:$D$90,Cadastros!$E$6:$E$90))*(1-_xlfn.XLOOKUP(_xlfn.XLOOKUP($F281,Clientes!$B$4:$B$39,Clientes!$C$4:$C$39),Cadastros!$L$6:$L$12,Cadastros!$N$6:$N$12)))</f>
        <v/>
      </c>
      <c r="P281" s="168" t="str">
        <f t="shared" si="54"/>
        <v/>
      </c>
      <c r="Q281" s="168" t="str">
        <f>IFERROR(P281/_xlfn.XLOOKUP(_xlfn.XLOOKUP($F281,Clientes!$B$4:$B$39,Clientes!$C$4:$C$39),Cadastros!$L$6:$L$12,Cadastros!$M$6:$M$12)," ")</f>
        <v xml:space="preserve"> </v>
      </c>
      <c r="R281" s="28"/>
      <c r="S281" s="28"/>
      <c r="T281" s="255" t="str">
        <f>IF(R281="","",(_xlfn.XLOOKUP(R281,Cadastros!$D$6:$D$90,Cadastros!$E$6:$E$90))*(1-_xlfn.XLOOKUP(_xlfn.XLOOKUP($F281,Clientes!$B$4:$B$39,Clientes!$C$4:$C$39),Cadastros!$L$6:$L$12,Cadastros!$N$6:$N$12)))</f>
        <v/>
      </c>
      <c r="U281" s="168" t="str">
        <f t="shared" si="55"/>
        <v/>
      </c>
      <c r="V281" s="168" t="str">
        <f>IFERROR(U281/_xlfn.XLOOKUP(_xlfn.XLOOKUP($F281,Clientes!$B$4:$B$39,Clientes!$C$4:$C$39),Cadastros!$L$6:$L$12,Cadastros!$M$6:$M$12)," ")</f>
        <v xml:space="preserve"> </v>
      </c>
      <c r="W281" s="28"/>
      <c r="X281" s="28"/>
      <c r="Y281" s="255" t="str">
        <f>IF(W281="","",(_xlfn.XLOOKUP(W281,Cadastros!$D$6:$D$90,Cadastros!$E$6:$E$90))*(1-_xlfn.XLOOKUP(_xlfn.XLOOKUP($F281,Clientes!$B$4:$B$39,Clientes!$C$4:$C$39),Cadastros!$L$6:$L$12,Cadastros!$N$6:$N$12)))</f>
        <v/>
      </c>
      <c r="Z281" s="168" t="str">
        <f t="shared" si="56"/>
        <v/>
      </c>
      <c r="AA281" s="168" t="str">
        <f>IFERROR(Z281/_xlfn.XLOOKUP(_xlfn.XLOOKUP($F281,Clientes!$B$4:$B$39,Clientes!$C$4:$C$39),Cadastros!$L$6:$L$12,Cadastros!$M$6:$M$12)," ")</f>
        <v xml:space="preserve"> </v>
      </c>
      <c r="AB281" s="28"/>
      <c r="AC281" s="28"/>
      <c r="AD281" s="20" t="str">
        <f>IF(AB281="","",IF($F281="Bernardino Furlan",_xlfn.XLOOKUP(AB281,Cadastros!$G$6:$G$90,Cadastros!$H$6:$H$90)*(1-0.18),IF($F281="Mauro José Salanti",_xlfn.XLOOKUP(AB281,Cadastros!$G$6:$G$90,Cadastros!$H$6:$H$90)*(1-0.18),_xlfn.XLOOKUP(AB281,Cadastros!$G$6:$G$90,Cadastros!$H$6:$H$90))))</f>
        <v/>
      </c>
      <c r="AE281" s="168" t="str">
        <f t="shared" si="57"/>
        <v/>
      </c>
      <c r="AF281" s="168" t="str">
        <f t="shared" si="58"/>
        <v/>
      </c>
      <c r="AG281" s="28"/>
      <c r="AH281" s="28"/>
      <c r="AI281" s="20" t="str">
        <f>IF(AG281="","",IF($F281="Bernardino Furlan",_xlfn.XLOOKUP(AG281,Cadastros!$G$6:$G$90,Cadastros!$H$6:$H$90)*(1-0.18),IF($F281="Mauro José Salanti",_xlfn.XLOOKUP(AG281,Cadastros!$G$6:$G$90,Cadastros!$H$6:$H$90)*(1-0.18),_xlfn.XLOOKUP(AG281,Cadastros!$G$6:$G$90,Cadastros!$H$6:$H$90))))</f>
        <v/>
      </c>
      <c r="AJ281" s="168" t="str">
        <f t="shared" si="59"/>
        <v/>
      </c>
      <c r="AK281" s="168" t="str">
        <f t="shared" si="60"/>
        <v/>
      </c>
      <c r="AL281" s="28"/>
      <c r="AM281" s="28"/>
      <c r="AN281" s="20" t="str">
        <f>IF(AL281="","",IF($F281="Bernardino Furlan",_xlfn.XLOOKUP(AL281,Cadastros!$G$6:$G$90,Cadastros!$H$6:$H$90)*(1-0.18),IF($F281="Mauro José Salanti",_xlfn.XLOOKUP(AL281,Cadastros!$G$6:$G$90,Cadastros!$H$6:$H$90)*(1-0.18),_xlfn.XLOOKUP(AL281,Cadastros!$G$6:$G$90,Cadastros!$H$6:$H$90))))</f>
        <v/>
      </c>
      <c r="AO281" s="168" t="str">
        <f t="shared" si="61"/>
        <v/>
      </c>
      <c r="AP281" s="168" t="str">
        <f t="shared" si="62"/>
        <v/>
      </c>
      <c r="AQ281" s="28"/>
      <c r="AR281" s="28"/>
      <c r="AS281" s="20" t="str">
        <f>IF(AQ281="","",IF($F281="Bernardino Furlan",_xlfn.XLOOKUP(AQ281,Cadastros!$G$6:$G$90,Cadastros!$H$6:$H$90)*(1-0.18),IF($F281="Mauro José Salanti",_xlfn.XLOOKUP(AQ281,Cadastros!$G$6:$G$90,Cadastros!$H$6:$H$90)*(1-0.18),_xlfn.XLOOKUP(AQ281,Cadastros!$G$6:$G$90,Cadastros!$H$6:$H$90))))</f>
        <v/>
      </c>
      <c r="AT281" s="168" t="str">
        <f t="shared" si="63"/>
        <v/>
      </c>
      <c r="AU281" s="168" t="str">
        <f t="shared" si="64"/>
        <v/>
      </c>
      <c r="AV281" s="227"/>
      <c r="AW281" s="30"/>
      <c r="AX281" s="267"/>
      <c r="AY281" s="267"/>
      <c r="AZ281" s="29"/>
      <c r="BA281" s="30"/>
      <c r="BB281" s="23" t="str" cm="1">
        <f t="array" ref="BB281">_xlfn.IFS(AW281="SIM",SUM(K281,P281,U281,Z281,AE281,AJ281,AO281,AT281,AX281,AY281),F281&lt;&gt;"",SUM(K281,P281,U281,Z281,AE281,AJ281,,AO281,AT281),F281="","")</f>
        <v/>
      </c>
      <c r="BC281" s="211" t="str" cm="1">
        <f t="array" ref="BC281">_xlfn.IFS(E281="","",G281&lt;=E281,BB281*(1-0.03),G281&lt;(E281+8),BB281,AZ281="Boleto",BB281*(1+0.001)^DATEDIF(E281,G281,"D"),AZ281="Cheque",BB281,AZ281="Dinheiro","Alterar forma pgto")</f>
        <v/>
      </c>
      <c r="BD281" s="276" t="str" cm="1">
        <f t="array" ref="BD281">IF(F281=0," ",IF(BC281&lt;BB281,(_xlfn.IFS(AW281="SIM",SUM(L281,Q281,V281,AA281,AF281,AK281,AP281,AU281)+AX281/_xlfn.XLOOKUP(_xlfn.XLOOKUP($F281,Clientes!$B$4:$B$39,Clientes!$C$4:$C$39),Cadastros!$L$6:$L$12,Cadastros!$M$6:$M$12)+IF($F281="Bernardino Furlan",AY281/2751.92,IF($F281="Mauro José Salanti",AY281/2751.92,AY281/3356)),F281&lt;&gt;0,SUM(L281,Q281,V281,AA281,AF281,AK281,AP281,AU281)))*(1-0.03),_xlfn.IFS(AW281="SIM",SUM(L281,Q281,V281,AA281,AF281,AK281,AP281,AU281)+AX281/_xlfn.XLOOKUP(_xlfn.XLOOKUP($F281,Clientes!$B$4:$B$39,Clientes!$C$4:$C$39),Cadastros!$L$6:$L$12,Cadastros!$M$6:$M$12)+IF($F281="Bernardino Furlan",AY281/2751.92,IF($F281="Mauro José Salanti",AY281/2751.92,AY281/3356)),F281&lt;&gt;0,SUM(L281,Q281,V281,AA281,AF281,AK281,AP281,AU281))))</f>
        <v xml:space="preserve"> </v>
      </c>
      <c r="BE281" s="120"/>
      <c r="BF281" s="120"/>
      <c r="BG281" s="120"/>
    </row>
    <row r="282" spans="1:59" s="3" customFormat="1" x14ac:dyDescent="0.3">
      <c r="A282" s="15" t="str">
        <f t="shared" si="52"/>
        <v/>
      </c>
      <c r="B282" s="25"/>
      <c r="C282" s="26"/>
      <c r="D282" s="279"/>
      <c r="E282" s="27"/>
      <c r="F282" s="28"/>
      <c r="G282" s="27"/>
      <c r="H282" s="28"/>
      <c r="I282" s="28"/>
      <c r="J282" s="255" t="str">
        <f>IF(H282="","",(_xlfn.XLOOKUP(H282,Cadastros!$D$6:$D$90,Cadastros!$E$6:$E$90))*(1-_xlfn.XLOOKUP(_xlfn.XLOOKUP($F282,Clientes!$B$4:$B$39,Clientes!$C$4:$C$39),Cadastros!$L$6:$L$12,Cadastros!$N$6:$N$12)))</f>
        <v/>
      </c>
      <c r="K282" s="168" t="str">
        <f t="shared" si="53"/>
        <v/>
      </c>
      <c r="L282" s="168" t="str">
        <f>IFERROR(K282/_xlfn.XLOOKUP(_xlfn.XLOOKUP($F282,Clientes!$B$4:$B$39,Clientes!$C$4:$C$39),Cadastros!$L$6:$L$12,Cadastros!$M$6:$M$12)," ")</f>
        <v xml:space="preserve"> </v>
      </c>
      <c r="M282" s="28"/>
      <c r="N282" s="28"/>
      <c r="O282" s="255" t="str">
        <f>IF(M282="","",(_xlfn.XLOOKUP(M282,Cadastros!$D$6:$D$90,Cadastros!$E$6:$E$90))*(1-_xlfn.XLOOKUP(_xlfn.XLOOKUP($F282,Clientes!$B$4:$B$39,Clientes!$C$4:$C$39),Cadastros!$L$6:$L$12,Cadastros!$N$6:$N$12)))</f>
        <v/>
      </c>
      <c r="P282" s="168" t="str">
        <f t="shared" si="54"/>
        <v/>
      </c>
      <c r="Q282" s="168" t="str">
        <f>IFERROR(P282/_xlfn.XLOOKUP(_xlfn.XLOOKUP($F282,Clientes!$B$4:$B$39,Clientes!$C$4:$C$39),Cadastros!$L$6:$L$12,Cadastros!$M$6:$M$12)," ")</f>
        <v xml:space="preserve"> </v>
      </c>
      <c r="R282" s="28"/>
      <c r="S282" s="28"/>
      <c r="T282" s="255" t="str">
        <f>IF(R282="","",(_xlfn.XLOOKUP(R282,Cadastros!$D$6:$D$90,Cadastros!$E$6:$E$90))*(1-_xlfn.XLOOKUP(_xlfn.XLOOKUP($F282,Clientes!$B$4:$B$39,Clientes!$C$4:$C$39),Cadastros!$L$6:$L$12,Cadastros!$N$6:$N$12)))</f>
        <v/>
      </c>
      <c r="U282" s="168" t="str">
        <f t="shared" si="55"/>
        <v/>
      </c>
      <c r="V282" s="168" t="str">
        <f>IFERROR(U282/_xlfn.XLOOKUP(_xlfn.XLOOKUP($F282,Clientes!$B$4:$B$39,Clientes!$C$4:$C$39),Cadastros!$L$6:$L$12,Cadastros!$M$6:$M$12)," ")</f>
        <v xml:space="preserve"> </v>
      </c>
      <c r="W282" s="28"/>
      <c r="X282" s="28"/>
      <c r="Y282" s="255" t="str">
        <f>IF(W282="","",(_xlfn.XLOOKUP(W282,Cadastros!$D$6:$D$90,Cadastros!$E$6:$E$90))*(1-_xlfn.XLOOKUP(_xlfn.XLOOKUP($F282,Clientes!$B$4:$B$39,Clientes!$C$4:$C$39),Cadastros!$L$6:$L$12,Cadastros!$N$6:$N$12)))</f>
        <v/>
      </c>
      <c r="Z282" s="168" t="str">
        <f t="shared" si="56"/>
        <v/>
      </c>
      <c r="AA282" s="168" t="str">
        <f>IFERROR(Z282/_xlfn.XLOOKUP(_xlfn.XLOOKUP($F282,Clientes!$B$4:$B$39,Clientes!$C$4:$C$39),Cadastros!$L$6:$L$12,Cadastros!$M$6:$M$12)," ")</f>
        <v xml:space="preserve"> </v>
      </c>
      <c r="AB282" s="28"/>
      <c r="AC282" s="28"/>
      <c r="AD282" s="20" t="str">
        <f>IF(AB282="","",IF($F282="Bernardino Furlan",_xlfn.XLOOKUP(AB282,Cadastros!$G$6:$G$90,Cadastros!$H$6:$H$90)*(1-0.18),IF($F282="Mauro José Salanti",_xlfn.XLOOKUP(AB282,Cadastros!$G$6:$G$90,Cadastros!$H$6:$H$90)*(1-0.18),_xlfn.XLOOKUP(AB282,Cadastros!$G$6:$G$90,Cadastros!$H$6:$H$90))))</f>
        <v/>
      </c>
      <c r="AE282" s="168" t="str">
        <f t="shared" si="57"/>
        <v/>
      </c>
      <c r="AF282" s="168" t="str">
        <f t="shared" si="58"/>
        <v/>
      </c>
      <c r="AG282" s="28"/>
      <c r="AH282" s="28"/>
      <c r="AI282" s="20" t="str">
        <f>IF(AG282="","",IF($F282="Bernardino Furlan",_xlfn.XLOOKUP(AG282,Cadastros!$G$6:$G$90,Cadastros!$H$6:$H$90)*(1-0.18),IF($F282="Mauro José Salanti",_xlfn.XLOOKUP(AG282,Cadastros!$G$6:$G$90,Cadastros!$H$6:$H$90)*(1-0.18),_xlfn.XLOOKUP(AG282,Cadastros!$G$6:$G$90,Cadastros!$H$6:$H$90))))</f>
        <v/>
      </c>
      <c r="AJ282" s="168" t="str">
        <f t="shared" si="59"/>
        <v/>
      </c>
      <c r="AK282" s="168" t="str">
        <f t="shared" si="60"/>
        <v/>
      </c>
      <c r="AL282" s="28"/>
      <c r="AM282" s="28"/>
      <c r="AN282" s="20" t="str">
        <f>IF(AL282="","",IF($F282="Bernardino Furlan",_xlfn.XLOOKUP(AL282,Cadastros!$G$6:$G$90,Cadastros!$H$6:$H$90)*(1-0.18),IF($F282="Mauro José Salanti",_xlfn.XLOOKUP(AL282,Cadastros!$G$6:$G$90,Cadastros!$H$6:$H$90)*(1-0.18),_xlfn.XLOOKUP(AL282,Cadastros!$G$6:$G$90,Cadastros!$H$6:$H$90))))</f>
        <v/>
      </c>
      <c r="AO282" s="168" t="str">
        <f t="shared" si="61"/>
        <v/>
      </c>
      <c r="AP282" s="168" t="str">
        <f t="shared" si="62"/>
        <v/>
      </c>
      <c r="AQ282" s="28"/>
      <c r="AR282" s="28"/>
      <c r="AS282" s="20" t="str">
        <f>IF(AQ282="","",IF($F282="Bernardino Furlan",_xlfn.XLOOKUP(AQ282,Cadastros!$G$6:$G$90,Cadastros!$H$6:$H$90)*(1-0.18),IF($F282="Mauro José Salanti",_xlfn.XLOOKUP(AQ282,Cadastros!$G$6:$G$90,Cadastros!$H$6:$H$90)*(1-0.18),_xlfn.XLOOKUP(AQ282,Cadastros!$G$6:$G$90,Cadastros!$H$6:$H$90))))</f>
        <v/>
      </c>
      <c r="AT282" s="168" t="str">
        <f t="shared" si="63"/>
        <v/>
      </c>
      <c r="AU282" s="168" t="str">
        <f t="shared" si="64"/>
        <v/>
      </c>
      <c r="AV282" s="227"/>
      <c r="AW282" s="30"/>
      <c r="AX282" s="267"/>
      <c r="AY282" s="267"/>
      <c r="AZ282" s="29"/>
      <c r="BA282" s="30"/>
      <c r="BB282" s="23" t="str" cm="1">
        <f t="array" ref="BB282">_xlfn.IFS(AW282="SIM",SUM(K282,P282,U282,Z282,AE282,AJ282,AO282,AT282,AX282,AY282),F282&lt;&gt;"",SUM(K282,P282,U282,Z282,AE282,AJ282,,AO282,AT282),F282="","")</f>
        <v/>
      </c>
      <c r="BC282" s="211" t="str" cm="1">
        <f t="array" ref="BC282">_xlfn.IFS(E282="","",G282&lt;=E282,BB282*(1-0.03),G282&lt;(E282+8),BB282,AZ282="Boleto",BB282*(1+0.001)^DATEDIF(E282,G282,"D"),AZ282="Cheque",BB282,AZ282="Dinheiro","Alterar forma pgto")</f>
        <v/>
      </c>
      <c r="BD282" s="276" t="str" cm="1">
        <f t="array" ref="BD282">IF(F282=0," ",IF(BC282&lt;BB282,(_xlfn.IFS(AW282="SIM",SUM(L282,Q282,V282,AA282,AF282,AK282,AP282,AU282)+AX282/_xlfn.XLOOKUP(_xlfn.XLOOKUP($F282,Clientes!$B$4:$B$39,Clientes!$C$4:$C$39),Cadastros!$L$6:$L$12,Cadastros!$M$6:$M$12)+IF($F282="Bernardino Furlan",AY282/2751.92,IF($F282="Mauro José Salanti",AY282/2751.92,AY282/3356)),F282&lt;&gt;0,SUM(L282,Q282,V282,AA282,AF282,AK282,AP282,AU282)))*(1-0.03),_xlfn.IFS(AW282="SIM",SUM(L282,Q282,V282,AA282,AF282,AK282,AP282,AU282)+AX282/_xlfn.XLOOKUP(_xlfn.XLOOKUP($F282,Clientes!$B$4:$B$39,Clientes!$C$4:$C$39),Cadastros!$L$6:$L$12,Cadastros!$M$6:$M$12)+IF($F282="Bernardino Furlan",AY282/2751.92,IF($F282="Mauro José Salanti",AY282/2751.92,AY282/3356)),F282&lt;&gt;0,SUM(L282,Q282,V282,AA282,AF282,AK282,AP282,AU282))))</f>
        <v xml:space="preserve"> </v>
      </c>
      <c r="BE282" s="120"/>
      <c r="BF282" s="120"/>
      <c r="BG282" s="120"/>
    </row>
    <row r="283" spans="1:59" s="3" customFormat="1" x14ac:dyDescent="0.3">
      <c r="A283" s="15" t="str">
        <f t="shared" si="52"/>
        <v/>
      </c>
      <c r="B283" s="25"/>
      <c r="C283" s="26"/>
      <c r="D283" s="279"/>
      <c r="E283" s="27"/>
      <c r="F283" s="28"/>
      <c r="G283" s="27"/>
      <c r="H283" s="28"/>
      <c r="I283" s="28"/>
      <c r="J283" s="255" t="str">
        <f>IF(H283="","",(_xlfn.XLOOKUP(H283,Cadastros!$D$6:$D$90,Cadastros!$E$6:$E$90))*(1-_xlfn.XLOOKUP(_xlfn.XLOOKUP($F283,Clientes!$B$4:$B$39,Clientes!$C$4:$C$39),Cadastros!$L$6:$L$12,Cadastros!$N$6:$N$12)))</f>
        <v/>
      </c>
      <c r="K283" s="168" t="str">
        <f t="shared" si="53"/>
        <v/>
      </c>
      <c r="L283" s="168" t="str">
        <f>IFERROR(K283/_xlfn.XLOOKUP(_xlfn.XLOOKUP($F283,Clientes!$B$4:$B$39,Clientes!$C$4:$C$39),Cadastros!$L$6:$L$12,Cadastros!$M$6:$M$12)," ")</f>
        <v xml:space="preserve"> </v>
      </c>
      <c r="M283" s="28"/>
      <c r="N283" s="28"/>
      <c r="O283" s="255" t="str">
        <f>IF(M283="","",(_xlfn.XLOOKUP(M283,Cadastros!$D$6:$D$90,Cadastros!$E$6:$E$90))*(1-_xlfn.XLOOKUP(_xlfn.XLOOKUP($F283,Clientes!$B$4:$B$39,Clientes!$C$4:$C$39),Cadastros!$L$6:$L$12,Cadastros!$N$6:$N$12)))</f>
        <v/>
      </c>
      <c r="P283" s="168" t="str">
        <f t="shared" si="54"/>
        <v/>
      </c>
      <c r="Q283" s="168" t="str">
        <f>IFERROR(P283/_xlfn.XLOOKUP(_xlfn.XLOOKUP($F283,Clientes!$B$4:$B$39,Clientes!$C$4:$C$39),Cadastros!$L$6:$L$12,Cadastros!$M$6:$M$12)," ")</f>
        <v xml:space="preserve"> </v>
      </c>
      <c r="R283" s="28"/>
      <c r="S283" s="28"/>
      <c r="T283" s="255" t="str">
        <f>IF(R283="","",(_xlfn.XLOOKUP(R283,Cadastros!$D$6:$D$90,Cadastros!$E$6:$E$90))*(1-_xlfn.XLOOKUP(_xlfn.XLOOKUP($F283,Clientes!$B$4:$B$39,Clientes!$C$4:$C$39),Cadastros!$L$6:$L$12,Cadastros!$N$6:$N$12)))</f>
        <v/>
      </c>
      <c r="U283" s="168" t="str">
        <f t="shared" si="55"/>
        <v/>
      </c>
      <c r="V283" s="168" t="str">
        <f>IFERROR(U283/_xlfn.XLOOKUP(_xlfn.XLOOKUP($F283,Clientes!$B$4:$B$39,Clientes!$C$4:$C$39),Cadastros!$L$6:$L$12,Cadastros!$M$6:$M$12)," ")</f>
        <v xml:space="preserve"> </v>
      </c>
      <c r="W283" s="28"/>
      <c r="X283" s="28"/>
      <c r="Y283" s="255" t="str">
        <f>IF(W283="","",(_xlfn.XLOOKUP(W283,Cadastros!$D$6:$D$90,Cadastros!$E$6:$E$90))*(1-_xlfn.XLOOKUP(_xlfn.XLOOKUP($F283,Clientes!$B$4:$B$39,Clientes!$C$4:$C$39),Cadastros!$L$6:$L$12,Cadastros!$N$6:$N$12)))</f>
        <v/>
      </c>
      <c r="Z283" s="168" t="str">
        <f t="shared" si="56"/>
        <v/>
      </c>
      <c r="AA283" s="168" t="str">
        <f>IFERROR(Z283/_xlfn.XLOOKUP(_xlfn.XLOOKUP($F283,Clientes!$B$4:$B$39,Clientes!$C$4:$C$39),Cadastros!$L$6:$L$12,Cadastros!$M$6:$M$12)," ")</f>
        <v xml:space="preserve"> </v>
      </c>
      <c r="AB283" s="28"/>
      <c r="AC283" s="28"/>
      <c r="AD283" s="20" t="str">
        <f>IF(AB283="","",IF($F283="Bernardino Furlan",_xlfn.XLOOKUP(AB283,Cadastros!$G$6:$G$90,Cadastros!$H$6:$H$90)*(1-0.18),IF($F283="Mauro José Salanti",_xlfn.XLOOKUP(AB283,Cadastros!$G$6:$G$90,Cadastros!$H$6:$H$90)*(1-0.18),_xlfn.XLOOKUP(AB283,Cadastros!$G$6:$G$90,Cadastros!$H$6:$H$90))))</f>
        <v/>
      </c>
      <c r="AE283" s="168" t="str">
        <f t="shared" si="57"/>
        <v/>
      </c>
      <c r="AF283" s="168" t="str">
        <f t="shared" si="58"/>
        <v/>
      </c>
      <c r="AG283" s="28"/>
      <c r="AH283" s="28"/>
      <c r="AI283" s="20" t="str">
        <f>IF(AG283="","",IF($F283="Bernardino Furlan",_xlfn.XLOOKUP(AG283,Cadastros!$G$6:$G$90,Cadastros!$H$6:$H$90)*(1-0.18),IF($F283="Mauro José Salanti",_xlfn.XLOOKUP(AG283,Cadastros!$G$6:$G$90,Cadastros!$H$6:$H$90)*(1-0.18),_xlfn.XLOOKUP(AG283,Cadastros!$G$6:$G$90,Cadastros!$H$6:$H$90))))</f>
        <v/>
      </c>
      <c r="AJ283" s="168" t="str">
        <f t="shared" si="59"/>
        <v/>
      </c>
      <c r="AK283" s="168" t="str">
        <f t="shared" si="60"/>
        <v/>
      </c>
      <c r="AL283" s="28"/>
      <c r="AM283" s="28"/>
      <c r="AN283" s="20" t="str">
        <f>IF(AL283="","",IF($F283="Bernardino Furlan",_xlfn.XLOOKUP(AL283,Cadastros!$G$6:$G$90,Cadastros!$H$6:$H$90)*(1-0.18),IF($F283="Mauro José Salanti",_xlfn.XLOOKUP(AL283,Cadastros!$G$6:$G$90,Cadastros!$H$6:$H$90)*(1-0.18),_xlfn.XLOOKUP(AL283,Cadastros!$G$6:$G$90,Cadastros!$H$6:$H$90))))</f>
        <v/>
      </c>
      <c r="AO283" s="168" t="str">
        <f t="shared" si="61"/>
        <v/>
      </c>
      <c r="AP283" s="168" t="str">
        <f t="shared" si="62"/>
        <v/>
      </c>
      <c r="AQ283" s="28"/>
      <c r="AR283" s="28"/>
      <c r="AS283" s="20" t="str">
        <f>IF(AQ283="","",IF($F283="Bernardino Furlan",_xlfn.XLOOKUP(AQ283,Cadastros!$G$6:$G$90,Cadastros!$H$6:$H$90)*(1-0.18),IF($F283="Mauro José Salanti",_xlfn.XLOOKUP(AQ283,Cadastros!$G$6:$G$90,Cadastros!$H$6:$H$90)*(1-0.18),_xlfn.XLOOKUP(AQ283,Cadastros!$G$6:$G$90,Cadastros!$H$6:$H$90))))</f>
        <v/>
      </c>
      <c r="AT283" s="168" t="str">
        <f t="shared" si="63"/>
        <v/>
      </c>
      <c r="AU283" s="168" t="str">
        <f t="shared" si="64"/>
        <v/>
      </c>
      <c r="AV283" s="227"/>
      <c r="AW283" s="30"/>
      <c r="AX283" s="267"/>
      <c r="AY283" s="267"/>
      <c r="AZ283" s="29"/>
      <c r="BA283" s="30"/>
      <c r="BB283" s="23" t="str" cm="1">
        <f t="array" ref="BB283">_xlfn.IFS(AW283="SIM",SUM(K283,P283,U283,Z283,AE283,AJ283,AO283,AT283,AX283,AY283),F283&lt;&gt;"",SUM(K283,P283,U283,Z283,AE283,AJ283,,AO283,AT283),F283="","")</f>
        <v/>
      </c>
      <c r="BC283" s="211" t="str" cm="1">
        <f t="array" ref="BC283">_xlfn.IFS(E283="","",G283&lt;=E283,BB283*(1-0.03),G283&lt;(E283+8),BB283,AZ283="Boleto",BB283*(1+0.001)^DATEDIF(E283,G283,"D"),AZ283="Cheque",BB283,AZ283="Dinheiro","Alterar forma pgto")</f>
        <v/>
      </c>
      <c r="BD283" s="276" t="str" cm="1">
        <f t="array" ref="BD283">IF(F283=0," ",IF(BC283&lt;BB283,(_xlfn.IFS(AW283="SIM",SUM(L283,Q283,V283,AA283,AF283,AK283,AP283,AU283)+AX283/_xlfn.XLOOKUP(_xlfn.XLOOKUP($F283,Clientes!$B$4:$B$39,Clientes!$C$4:$C$39),Cadastros!$L$6:$L$12,Cadastros!$M$6:$M$12)+IF($F283="Bernardino Furlan",AY283/2751.92,IF($F283="Mauro José Salanti",AY283/2751.92,AY283/3356)),F283&lt;&gt;0,SUM(L283,Q283,V283,AA283,AF283,AK283,AP283,AU283)))*(1-0.03),_xlfn.IFS(AW283="SIM",SUM(L283,Q283,V283,AA283,AF283,AK283,AP283,AU283)+AX283/_xlfn.XLOOKUP(_xlfn.XLOOKUP($F283,Clientes!$B$4:$B$39,Clientes!$C$4:$C$39),Cadastros!$L$6:$L$12,Cadastros!$M$6:$M$12)+IF($F283="Bernardino Furlan",AY283/2751.92,IF($F283="Mauro José Salanti",AY283/2751.92,AY283/3356)),F283&lt;&gt;0,SUM(L283,Q283,V283,AA283,AF283,AK283,AP283,AU283))))</f>
        <v xml:space="preserve"> </v>
      </c>
      <c r="BE283" s="120"/>
      <c r="BF283" s="120"/>
      <c r="BG283" s="120"/>
    </row>
    <row r="284" spans="1:59" s="3" customFormat="1" x14ac:dyDescent="0.3">
      <c r="A284" s="15" t="str">
        <f t="shared" si="52"/>
        <v/>
      </c>
      <c r="B284" s="25"/>
      <c r="C284" s="26"/>
      <c r="D284" s="279"/>
      <c r="E284" s="27"/>
      <c r="F284" s="28"/>
      <c r="G284" s="27"/>
      <c r="H284" s="28"/>
      <c r="I284" s="28"/>
      <c r="J284" s="255" t="str">
        <f>IF(H284="","",(_xlfn.XLOOKUP(H284,Cadastros!$D$6:$D$90,Cadastros!$E$6:$E$90))*(1-_xlfn.XLOOKUP(_xlfn.XLOOKUP($F284,Clientes!$B$4:$B$39,Clientes!$C$4:$C$39),Cadastros!$L$6:$L$12,Cadastros!$N$6:$N$12)))</f>
        <v/>
      </c>
      <c r="K284" s="168" t="str">
        <f t="shared" si="53"/>
        <v/>
      </c>
      <c r="L284" s="168" t="str">
        <f>IFERROR(K284/_xlfn.XLOOKUP(_xlfn.XLOOKUP($F284,Clientes!$B$4:$B$39,Clientes!$C$4:$C$39),Cadastros!$L$6:$L$12,Cadastros!$M$6:$M$12)," ")</f>
        <v xml:space="preserve"> </v>
      </c>
      <c r="M284" s="28"/>
      <c r="N284" s="28"/>
      <c r="O284" s="255" t="str">
        <f>IF(M284="","",(_xlfn.XLOOKUP(M284,Cadastros!$D$6:$D$90,Cadastros!$E$6:$E$90))*(1-_xlfn.XLOOKUP(_xlfn.XLOOKUP($F284,Clientes!$B$4:$B$39,Clientes!$C$4:$C$39),Cadastros!$L$6:$L$12,Cadastros!$N$6:$N$12)))</f>
        <v/>
      </c>
      <c r="P284" s="168" t="str">
        <f t="shared" si="54"/>
        <v/>
      </c>
      <c r="Q284" s="168" t="str">
        <f>IFERROR(P284/_xlfn.XLOOKUP(_xlfn.XLOOKUP($F284,Clientes!$B$4:$B$39,Clientes!$C$4:$C$39),Cadastros!$L$6:$L$12,Cadastros!$M$6:$M$12)," ")</f>
        <v xml:space="preserve"> </v>
      </c>
      <c r="R284" s="28"/>
      <c r="S284" s="28"/>
      <c r="T284" s="255" t="str">
        <f>IF(R284="","",(_xlfn.XLOOKUP(R284,Cadastros!$D$6:$D$90,Cadastros!$E$6:$E$90))*(1-_xlfn.XLOOKUP(_xlfn.XLOOKUP($F284,Clientes!$B$4:$B$39,Clientes!$C$4:$C$39),Cadastros!$L$6:$L$12,Cadastros!$N$6:$N$12)))</f>
        <v/>
      </c>
      <c r="U284" s="168" t="str">
        <f t="shared" si="55"/>
        <v/>
      </c>
      <c r="V284" s="168" t="str">
        <f>IFERROR(U284/_xlfn.XLOOKUP(_xlfn.XLOOKUP($F284,Clientes!$B$4:$B$39,Clientes!$C$4:$C$39),Cadastros!$L$6:$L$12,Cadastros!$M$6:$M$12)," ")</f>
        <v xml:space="preserve"> </v>
      </c>
      <c r="W284" s="28"/>
      <c r="X284" s="28"/>
      <c r="Y284" s="255" t="str">
        <f>IF(W284="","",(_xlfn.XLOOKUP(W284,Cadastros!$D$6:$D$90,Cadastros!$E$6:$E$90))*(1-_xlfn.XLOOKUP(_xlfn.XLOOKUP($F284,Clientes!$B$4:$B$39,Clientes!$C$4:$C$39),Cadastros!$L$6:$L$12,Cadastros!$N$6:$N$12)))</f>
        <v/>
      </c>
      <c r="Z284" s="168" t="str">
        <f t="shared" si="56"/>
        <v/>
      </c>
      <c r="AA284" s="168" t="str">
        <f>IFERROR(Z284/_xlfn.XLOOKUP(_xlfn.XLOOKUP($F284,Clientes!$B$4:$B$39,Clientes!$C$4:$C$39),Cadastros!$L$6:$L$12,Cadastros!$M$6:$M$12)," ")</f>
        <v xml:space="preserve"> </v>
      </c>
      <c r="AB284" s="28"/>
      <c r="AC284" s="28"/>
      <c r="AD284" s="20" t="str">
        <f>IF(AB284="","",IF($F284="Bernardino Furlan",_xlfn.XLOOKUP(AB284,Cadastros!$G$6:$G$90,Cadastros!$H$6:$H$90)*(1-0.18),IF($F284="Mauro José Salanti",_xlfn.XLOOKUP(AB284,Cadastros!$G$6:$G$90,Cadastros!$H$6:$H$90)*(1-0.18),_xlfn.XLOOKUP(AB284,Cadastros!$G$6:$G$90,Cadastros!$H$6:$H$90))))</f>
        <v/>
      </c>
      <c r="AE284" s="168" t="str">
        <f t="shared" si="57"/>
        <v/>
      </c>
      <c r="AF284" s="168" t="str">
        <f t="shared" si="58"/>
        <v/>
      </c>
      <c r="AG284" s="28"/>
      <c r="AH284" s="28"/>
      <c r="AI284" s="20" t="str">
        <f>IF(AG284="","",IF($F284="Bernardino Furlan",_xlfn.XLOOKUP(AG284,Cadastros!$G$6:$G$90,Cadastros!$H$6:$H$90)*(1-0.18),IF($F284="Mauro José Salanti",_xlfn.XLOOKUP(AG284,Cadastros!$G$6:$G$90,Cadastros!$H$6:$H$90)*(1-0.18),_xlfn.XLOOKUP(AG284,Cadastros!$G$6:$G$90,Cadastros!$H$6:$H$90))))</f>
        <v/>
      </c>
      <c r="AJ284" s="168" t="str">
        <f t="shared" si="59"/>
        <v/>
      </c>
      <c r="AK284" s="168" t="str">
        <f t="shared" si="60"/>
        <v/>
      </c>
      <c r="AL284" s="28"/>
      <c r="AM284" s="28"/>
      <c r="AN284" s="20" t="str">
        <f>IF(AL284="","",IF($F284="Bernardino Furlan",_xlfn.XLOOKUP(AL284,Cadastros!$G$6:$G$90,Cadastros!$H$6:$H$90)*(1-0.18),IF($F284="Mauro José Salanti",_xlfn.XLOOKUP(AL284,Cadastros!$G$6:$G$90,Cadastros!$H$6:$H$90)*(1-0.18),_xlfn.XLOOKUP(AL284,Cadastros!$G$6:$G$90,Cadastros!$H$6:$H$90))))</f>
        <v/>
      </c>
      <c r="AO284" s="168" t="str">
        <f t="shared" si="61"/>
        <v/>
      </c>
      <c r="AP284" s="168" t="str">
        <f t="shared" si="62"/>
        <v/>
      </c>
      <c r="AQ284" s="28"/>
      <c r="AR284" s="28"/>
      <c r="AS284" s="20" t="str">
        <f>IF(AQ284="","",IF($F284="Bernardino Furlan",_xlfn.XLOOKUP(AQ284,Cadastros!$G$6:$G$90,Cadastros!$H$6:$H$90)*(1-0.18),IF($F284="Mauro José Salanti",_xlfn.XLOOKUP(AQ284,Cadastros!$G$6:$G$90,Cadastros!$H$6:$H$90)*(1-0.18),_xlfn.XLOOKUP(AQ284,Cadastros!$G$6:$G$90,Cadastros!$H$6:$H$90))))</f>
        <v/>
      </c>
      <c r="AT284" s="168" t="str">
        <f t="shared" si="63"/>
        <v/>
      </c>
      <c r="AU284" s="168" t="str">
        <f t="shared" si="64"/>
        <v/>
      </c>
      <c r="AV284" s="227"/>
      <c r="AW284" s="30"/>
      <c r="AX284" s="267"/>
      <c r="AY284" s="267"/>
      <c r="AZ284" s="29"/>
      <c r="BA284" s="30"/>
      <c r="BB284" s="23" t="str" cm="1">
        <f t="array" ref="BB284">_xlfn.IFS(AW284="SIM",SUM(K284,P284,U284,Z284,AE284,AJ284,AO284,AT284,AX284,AY284),F284&lt;&gt;"",SUM(K284,P284,U284,Z284,AE284,AJ284,,AO284,AT284),F284="","")</f>
        <v/>
      </c>
      <c r="BC284" s="211" t="str" cm="1">
        <f t="array" ref="BC284">_xlfn.IFS(E284="","",G284&lt;=E284,BB284*(1-0.03),G284&lt;(E284+8),BB284,AZ284="Boleto",BB284*(1+0.001)^DATEDIF(E284,G284,"D"),AZ284="Cheque",BB284,AZ284="Dinheiro","Alterar forma pgto")</f>
        <v/>
      </c>
      <c r="BD284" s="276" t="str" cm="1">
        <f t="array" ref="BD284">IF(F284=0," ",IF(BC284&lt;BB284,(_xlfn.IFS(AW284="SIM",SUM(L284,Q284,V284,AA284,AF284,AK284,AP284,AU284)+AX284/_xlfn.XLOOKUP(_xlfn.XLOOKUP($F284,Clientes!$B$4:$B$39,Clientes!$C$4:$C$39),Cadastros!$L$6:$L$12,Cadastros!$M$6:$M$12)+IF($F284="Bernardino Furlan",AY284/2751.92,IF($F284="Mauro José Salanti",AY284/2751.92,AY284/3356)),F284&lt;&gt;0,SUM(L284,Q284,V284,AA284,AF284,AK284,AP284,AU284)))*(1-0.03),_xlfn.IFS(AW284="SIM",SUM(L284,Q284,V284,AA284,AF284,AK284,AP284,AU284)+AX284/_xlfn.XLOOKUP(_xlfn.XLOOKUP($F284,Clientes!$B$4:$B$39,Clientes!$C$4:$C$39),Cadastros!$L$6:$L$12,Cadastros!$M$6:$M$12)+IF($F284="Bernardino Furlan",AY284/2751.92,IF($F284="Mauro José Salanti",AY284/2751.92,AY284/3356)),F284&lt;&gt;0,SUM(L284,Q284,V284,AA284,AF284,AK284,AP284,AU284))))</f>
        <v xml:space="preserve"> </v>
      </c>
      <c r="BE284" s="120"/>
      <c r="BF284" s="120"/>
      <c r="BG284" s="120"/>
    </row>
    <row r="285" spans="1:59" s="3" customFormat="1" x14ac:dyDescent="0.3">
      <c r="A285" s="15" t="str">
        <f t="shared" si="52"/>
        <v/>
      </c>
      <c r="B285" s="25"/>
      <c r="C285" s="26"/>
      <c r="D285" s="279"/>
      <c r="E285" s="27"/>
      <c r="F285" s="28"/>
      <c r="G285" s="27"/>
      <c r="H285" s="28"/>
      <c r="I285" s="28"/>
      <c r="J285" s="255" t="str">
        <f>IF(H285="","",(_xlfn.XLOOKUP(H285,Cadastros!$D$6:$D$90,Cadastros!$E$6:$E$90))*(1-_xlfn.XLOOKUP(_xlfn.XLOOKUP($F285,Clientes!$B$4:$B$39,Clientes!$C$4:$C$39),Cadastros!$L$6:$L$12,Cadastros!$N$6:$N$12)))</f>
        <v/>
      </c>
      <c r="K285" s="168" t="str">
        <f t="shared" si="53"/>
        <v/>
      </c>
      <c r="L285" s="168" t="str">
        <f>IFERROR(K285/_xlfn.XLOOKUP(_xlfn.XLOOKUP($F285,Clientes!$B$4:$B$39,Clientes!$C$4:$C$39),Cadastros!$L$6:$L$12,Cadastros!$M$6:$M$12)," ")</f>
        <v xml:space="preserve"> </v>
      </c>
      <c r="M285" s="28"/>
      <c r="N285" s="28"/>
      <c r="O285" s="255" t="str">
        <f>IF(M285="","",(_xlfn.XLOOKUP(M285,Cadastros!$D$6:$D$90,Cadastros!$E$6:$E$90))*(1-_xlfn.XLOOKUP(_xlfn.XLOOKUP($F285,Clientes!$B$4:$B$39,Clientes!$C$4:$C$39),Cadastros!$L$6:$L$12,Cadastros!$N$6:$N$12)))</f>
        <v/>
      </c>
      <c r="P285" s="168" t="str">
        <f t="shared" si="54"/>
        <v/>
      </c>
      <c r="Q285" s="168" t="str">
        <f>IFERROR(P285/_xlfn.XLOOKUP(_xlfn.XLOOKUP($F285,Clientes!$B$4:$B$39,Clientes!$C$4:$C$39),Cadastros!$L$6:$L$12,Cadastros!$M$6:$M$12)," ")</f>
        <v xml:space="preserve"> </v>
      </c>
      <c r="R285" s="28"/>
      <c r="S285" s="28"/>
      <c r="T285" s="255" t="str">
        <f>IF(R285="","",(_xlfn.XLOOKUP(R285,Cadastros!$D$6:$D$90,Cadastros!$E$6:$E$90))*(1-_xlfn.XLOOKUP(_xlfn.XLOOKUP($F285,Clientes!$B$4:$B$39,Clientes!$C$4:$C$39),Cadastros!$L$6:$L$12,Cadastros!$N$6:$N$12)))</f>
        <v/>
      </c>
      <c r="U285" s="168" t="str">
        <f t="shared" si="55"/>
        <v/>
      </c>
      <c r="V285" s="168" t="str">
        <f>IFERROR(U285/_xlfn.XLOOKUP(_xlfn.XLOOKUP($F285,Clientes!$B$4:$B$39,Clientes!$C$4:$C$39),Cadastros!$L$6:$L$12,Cadastros!$M$6:$M$12)," ")</f>
        <v xml:space="preserve"> </v>
      </c>
      <c r="W285" s="28"/>
      <c r="X285" s="28"/>
      <c r="Y285" s="255" t="str">
        <f>IF(W285="","",(_xlfn.XLOOKUP(W285,Cadastros!$D$6:$D$90,Cadastros!$E$6:$E$90))*(1-_xlfn.XLOOKUP(_xlfn.XLOOKUP($F285,Clientes!$B$4:$B$39,Clientes!$C$4:$C$39),Cadastros!$L$6:$L$12,Cadastros!$N$6:$N$12)))</f>
        <v/>
      </c>
      <c r="Z285" s="168" t="str">
        <f t="shared" si="56"/>
        <v/>
      </c>
      <c r="AA285" s="168" t="str">
        <f>IFERROR(Z285/_xlfn.XLOOKUP(_xlfn.XLOOKUP($F285,Clientes!$B$4:$B$39,Clientes!$C$4:$C$39),Cadastros!$L$6:$L$12,Cadastros!$M$6:$M$12)," ")</f>
        <v xml:space="preserve"> </v>
      </c>
      <c r="AB285" s="28"/>
      <c r="AC285" s="28"/>
      <c r="AD285" s="20" t="str">
        <f>IF(AB285="","",IF($F285="Bernardino Furlan",_xlfn.XLOOKUP(AB285,Cadastros!$G$6:$G$90,Cadastros!$H$6:$H$90)*(1-0.18),IF($F285="Mauro José Salanti",_xlfn.XLOOKUP(AB285,Cadastros!$G$6:$G$90,Cadastros!$H$6:$H$90)*(1-0.18),_xlfn.XLOOKUP(AB285,Cadastros!$G$6:$G$90,Cadastros!$H$6:$H$90))))</f>
        <v/>
      </c>
      <c r="AE285" s="168" t="str">
        <f t="shared" si="57"/>
        <v/>
      </c>
      <c r="AF285" s="168" t="str">
        <f t="shared" si="58"/>
        <v/>
      </c>
      <c r="AG285" s="28"/>
      <c r="AH285" s="28"/>
      <c r="AI285" s="20" t="str">
        <f>IF(AG285="","",IF($F285="Bernardino Furlan",_xlfn.XLOOKUP(AG285,Cadastros!$G$6:$G$90,Cadastros!$H$6:$H$90)*(1-0.18),IF($F285="Mauro José Salanti",_xlfn.XLOOKUP(AG285,Cadastros!$G$6:$G$90,Cadastros!$H$6:$H$90)*(1-0.18),_xlfn.XLOOKUP(AG285,Cadastros!$G$6:$G$90,Cadastros!$H$6:$H$90))))</f>
        <v/>
      </c>
      <c r="AJ285" s="168" t="str">
        <f t="shared" si="59"/>
        <v/>
      </c>
      <c r="AK285" s="168" t="str">
        <f t="shared" si="60"/>
        <v/>
      </c>
      <c r="AL285" s="28"/>
      <c r="AM285" s="28"/>
      <c r="AN285" s="20" t="str">
        <f>IF(AL285="","",IF($F285="Bernardino Furlan",_xlfn.XLOOKUP(AL285,Cadastros!$G$6:$G$90,Cadastros!$H$6:$H$90)*(1-0.18),IF($F285="Mauro José Salanti",_xlfn.XLOOKUP(AL285,Cadastros!$G$6:$G$90,Cadastros!$H$6:$H$90)*(1-0.18),_xlfn.XLOOKUP(AL285,Cadastros!$G$6:$G$90,Cadastros!$H$6:$H$90))))</f>
        <v/>
      </c>
      <c r="AO285" s="168" t="str">
        <f t="shared" si="61"/>
        <v/>
      </c>
      <c r="AP285" s="168" t="str">
        <f t="shared" si="62"/>
        <v/>
      </c>
      <c r="AQ285" s="28"/>
      <c r="AR285" s="28"/>
      <c r="AS285" s="20" t="str">
        <f>IF(AQ285="","",IF($F285="Bernardino Furlan",_xlfn.XLOOKUP(AQ285,Cadastros!$G$6:$G$90,Cadastros!$H$6:$H$90)*(1-0.18),IF($F285="Mauro José Salanti",_xlfn.XLOOKUP(AQ285,Cadastros!$G$6:$G$90,Cadastros!$H$6:$H$90)*(1-0.18),_xlfn.XLOOKUP(AQ285,Cadastros!$G$6:$G$90,Cadastros!$H$6:$H$90))))</f>
        <v/>
      </c>
      <c r="AT285" s="168" t="str">
        <f t="shared" si="63"/>
        <v/>
      </c>
      <c r="AU285" s="168" t="str">
        <f t="shared" si="64"/>
        <v/>
      </c>
      <c r="AV285" s="227"/>
      <c r="AW285" s="30"/>
      <c r="AX285" s="267"/>
      <c r="AY285" s="267"/>
      <c r="AZ285" s="29"/>
      <c r="BA285" s="30"/>
      <c r="BB285" s="23" t="str" cm="1">
        <f t="array" ref="BB285">_xlfn.IFS(AW285="SIM",SUM(K285,P285,U285,Z285,AE285,AJ285,AO285,AT285,AX285,AY285),F285&lt;&gt;"",SUM(K285,P285,U285,Z285,AE285,AJ285,,AO285,AT285),F285="","")</f>
        <v/>
      </c>
      <c r="BC285" s="211" t="str" cm="1">
        <f t="array" ref="BC285">_xlfn.IFS(E285="","",G285&lt;=E285,BB285*(1-0.03),G285&lt;(E285+8),BB285,AZ285="Boleto",BB285*(1+0.001)^DATEDIF(E285,G285,"D"),AZ285="Cheque",BB285,AZ285="Dinheiro","Alterar forma pgto")</f>
        <v/>
      </c>
      <c r="BD285" s="276" t="str" cm="1">
        <f t="array" ref="BD285">IF(F285=0," ",IF(BC285&lt;BB285,(_xlfn.IFS(AW285="SIM",SUM(L285,Q285,V285,AA285,AF285,AK285,AP285,AU285)+AX285/_xlfn.XLOOKUP(_xlfn.XLOOKUP($F285,Clientes!$B$4:$B$39,Clientes!$C$4:$C$39),Cadastros!$L$6:$L$12,Cadastros!$M$6:$M$12)+IF($F285="Bernardino Furlan",AY285/2751.92,IF($F285="Mauro José Salanti",AY285/2751.92,AY285/3356)),F285&lt;&gt;0,SUM(L285,Q285,V285,AA285,AF285,AK285,AP285,AU285)))*(1-0.03),_xlfn.IFS(AW285="SIM",SUM(L285,Q285,V285,AA285,AF285,AK285,AP285,AU285)+AX285/_xlfn.XLOOKUP(_xlfn.XLOOKUP($F285,Clientes!$B$4:$B$39,Clientes!$C$4:$C$39),Cadastros!$L$6:$L$12,Cadastros!$M$6:$M$12)+IF($F285="Bernardino Furlan",AY285/2751.92,IF($F285="Mauro José Salanti",AY285/2751.92,AY285/3356)),F285&lt;&gt;0,SUM(L285,Q285,V285,AA285,AF285,AK285,AP285,AU285))))</f>
        <v xml:space="preserve"> </v>
      </c>
      <c r="BE285" s="120"/>
      <c r="BF285" s="120"/>
      <c r="BG285" s="120"/>
    </row>
    <row r="286" spans="1:59" s="3" customFormat="1" x14ac:dyDescent="0.3">
      <c r="A286" s="15" t="str">
        <f t="shared" si="52"/>
        <v/>
      </c>
      <c r="B286" s="25"/>
      <c r="C286" s="26"/>
      <c r="D286" s="279"/>
      <c r="E286" s="27"/>
      <c r="F286" s="28"/>
      <c r="G286" s="27"/>
      <c r="H286" s="28"/>
      <c r="I286" s="28"/>
      <c r="J286" s="255" t="str">
        <f>IF(H286="","",(_xlfn.XLOOKUP(H286,Cadastros!$D$6:$D$90,Cadastros!$E$6:$E$90))*(1-_xlfn.XLOOKUP(_xlfn.XLOOKUP($F286,Clientes!$B$4:$B$39,Clientes!$C$4:$C$39),Cadastros!$L$6:$L$12,Cadastros!$N$6:$N$12)))</f>
        <v/>
      </c>
      <c r="K286" s="168" t="str">
        <f t="shared" si="53"/>
        <v/>
      </c>
      <c r="L286" s="168" t="str">
        <f>IFERROR(K286/_xlfn.XLOOKUP(_xlfn.XLOOKUP($F286,Clientes!$B$4:$B$39,Clientes!$C$4:$C$39),Cadastros!$L$6:$L$12,Cadastros!$M$6:$M$12)," ")</f>
        <v xml:space="preserve"> </v>
      </c>
      <c r="M286" s="28"/>
      <c r="N286" s="28"/>
      <c r="O286" s="255" t="str">
        <f>IF(M286="","",(_xlfn.XLOOKUP(M286,Cadastros!$D$6:$D$90,Cadastros!$E$6:$E$90))*(1-_xlfn.XLOOKUP(_xlfn.XLOOKUP($F286,Clientes!$B$4:$B$39,Clientes!$C$4:$C$39),Cadastros!$L$6:$L$12,Cadastros!$N$6:$N$12)))</f>
        <v/>
      </c>
      <c r="P286" s="168" t="str">
        <f t="shared" si="54"/>
        <v/>
      </c>
      <c r="Q286" s="168" t="str">
        <f>IFERROR(P286/_xlfn.XLOOKUP(_xlfn.XLOOKUP($F286,Clientes!$B$4:$B$39,Clientes!$C$4:$C$39),Cadastros!$L$6:$L$12,Cadastros!$M$6:$M$12)," ")</f>
        <v xml:space="preserve"> </v>
      </c>
      <c r="R286" s="28"/>
      <c r="S286" s="28"/>
      <c r="T286" s="255" t="str">
        <f>IF(R286="","",(_xlfn.XLOOKUP(R286,Cadastros!$D$6:$D$90,Cadastros!$E$6:$E$90))*(1-_xlfn.XLOOKUP(_xlfn.XLOOKUP($F286,Clientes!$B$4:$B$39,Clientes!$C$4:$C$39),Cadastros!$L$6:$L$12,Cadastros!$N$6:$N$12)))</f>
        <v/>
      </c>
      <c r="U286" s="168" t="str">
        <f t="shared" si="55"/>
        <v/>
      </c>
      <c r="V286" s="168" t="str">
        <f>IFERROR(U286/_xlfn.XLOOKUP(_xlfn.XLOOKUP($F286,Clientes!$B$4:$B$39,Clientes!$C$4:$C$39),Cadastros!$L$6:$L$12,Cadastros!$M$6:$M$12)," ")</f>
        <v xml:space="preserve"> </v>
      </c>
      <c r="W286" s="28"/>
      <c r="X286" s="28"/>
      <c r="Y286" s="255" t="str">
        <f>IF(W286="","",(_xlfn.XLOOKUP(W286,Cadastros!$D$6:$D$90,Cadastros!$E$6:$E$90))*(1-_xlfn.XLOOKUP(_xlfn.XLOOKUP($F286,Clientes!$B$4:$B$39,Clientes!$C$4:$C$39),Cadastros!$L$6:$L$12,Cadastros!$N$6:$N$12)))</f>
        <v/>
      </c>
      <c r="Z286" s="168" t="str">
        <f t="shared" si="56"/>
        <v/>
      </c>
      <c r="AA286" s="168" t="str">
        <f>IFERROR(Z286/_xlfn.XLOOKUP(_xlfn.XLOOKUP($F286,Clientes!$B$4:$B$39,Clientes!$C$4:$C$39),Cadastros!$L$6:$L$12,Cadastros!$M$6:$M$12)," ")</f>
        <v xml:space="preserve"> </v>
      </c>
      <c r="AB286" s="28"/>
      <c r="AC286" s="28"/>
      <c r="AD286" s="20" t="str">
        <f>IF(AB286="","",IF($F286="Bernardino Furlan",_xlfn.XLOOKUP(AB286,Cadastros!$G$6:$G$90,Cadastros!$H$6:$H$90)*(1-0.18),IF($F286="Mauro José Salanti",_xlfn.XLOOKUP(AB286,Cadastros!$G$6:$G$90,Cadastros!$H$6:$H$90)*(1-0.18),_xlfn.XLOOKUP(AB286,Cadastros!$G$6:$G$90,Cadastros!$H$6:$H$90))))</f>
        <v/>
      </c>
      <c r="AE286" s="168" t="str">
        <f t="shared" si="57"/>
        <v/>
      </c>
      <c r="AF286" s="168" t="str">
        <f t="shared" si="58"/>
        <v/>
      </c>
      <c r="AG286" s="28"/>
      <c r="AH286" s="28"/>
      <c r="AI286" s="20" t="str">
        <f>IF(AG286="","",IF($F286="Bernardino Furlan",_xlfn.XLOOKUP(AG286,Cadastros!$G$6:$G$90,Cadastros!$H$6:$H$90)*(1-0.18),IF($F286="Mauro José Salanti",_xlfn.XLOOKUP(AG286,Cadastros!$G$6:$G$90,Cadastros!$H$6:$H$90)*(1-0.18),_xlfn.XLOOKUP(AG286,Cadastros!$G$6:$G$90,Cadastros!$H$6:$H$90))))</f>
        <v/>
      </c>
      <c r="AJ286" s="168" t="str">
        <f t="shared" si="59"/>
        <v/>
      </c>
      <c r="AK286" s="168" t="str">
        <f t="shared" si="60"/>
        <v/>
      </c>
      <c r="AL286" s="28"/>
      <c r="AM286" s="28"/>
      <c r="AN286" s="20" t="str">
        <f>IF(AL286="","",IF($F286="Bernardino Furlan",_xlfn.XLOOKUP(AL286,Cadastros!$G$6:$G$90,Cadastros!$H$6:$H$90)*(1-0.18),IF($F286="Mauro José Salanti",_xlfn.XLOOKUP(AL286,Cadastros!$G$6:$G$90,Cadastros!$H$6:$H$90)*(1-0.18),_xlfn.XLOOKUP(AL286,Cadastros!$G$6:$G$90,Cadastros!$H$6:$H$90))))</f>
        <v/>
      </c>
      <c r="AO286" s="168" t="str">
        <f t="shared" si="61"/>
        <v/>
      </c>
      <c r="AP286" s="168" t="str">
        <f t="shared" si="62"/>
        <v/>
      </c>
      <c r="AQ286" s="28"/>
      <c r="AR286" s="28"/>
      <c r="AS286" s="20" t="str">
        <f>IF(AQ286="","",IF($F286="Bernardino Furlan",_xlfn.XLOOKUP(AQ286,Cadastros!$G$6:$G$90,Cadastros!$H$6:$H$90)*(1-0.18),IF($F286="Mauro José Salanti",_xlfn.XLOOKUP(AQ286,Cadastros!$G$6:$G$90,Cadastros!$H$6:$H$90)*(1-0.18),_xlfn.XLOOKUP(AQ286,Cadastros!$G$6:$G$90,Cadastros!$H$6:$H$90))))</f>
        <v/>
      </c>
      <c r="AT286" s="168" t="str">
        <f t="shared" si="63"/>
        <v/>
      </c>
      <c r="AU286" s="168" t="str">
        <f t="shared" si="64"/>
        <v/>
      </c>
      <c r="AV286" s="227"/>
      <c r="AW286" s="30"/>
      <c r="AX286" s="267"/>
      <c r="AY286" s="267"/>
      <c r="AZ286" s="29"/>
      <c r="BA286" s="30"/>
      <c r="BB286" s="23" t="str" cm="1">
        <f t="array" ref="BB286">_xlfn.IFS(AW286="SIM",SUM(K286,P286,U286,Z286,AE286,AJ286,AO286,AT286,AX286,AY286),F286&lt;&gt;"",SUM(K286,P286,U286,Z286,AE286,AJ286,,AO286,AT286),F286="","")</f>
        <v/>
      </c>
      <c r="BC286" s="211" t="str" cm="1">
        <f t="array" ref="BC286">_xlfn.IFS(E286="","",G286&lt;=E286,BB286*(1-0.03),G286&lt;(E286+8),BB286,AZ286="Boleto",BB286*(1+0.001)^DATEDIF(E286,G286,"D"),AZ286="Cheque",BB286,AZ286="Dinheiro","Alterar forma pgto")</f>
        <v/>
      </c>
      <c r="BD286" s="276" t="str" cm="1">
        <f t="array" ref="BD286">IF(F286=0," ",IF(BC286&lt;BB286,(_xlfn.IFS(AW286="SIM",SUM(L286,Q286,V286,AA286,AF286,AK286,AP286,AU286)+AX286/_xlfn.XLOOKUP(_xlfn.XLOOKUP($F286,Clientes!$B$4:$B$39,Clientes!$C$4:$C$39),Cadastros!$L$6:$L$12,Cadastros!$M$6:$M$12)+IF($F286="Bernardino Furlan",AY286/2751.92,IF($F286="Mauro José Salanti",AY286/2751.92,AY286/3356)),F286&lt;&gt;0,SUM(L286,Q286,V286,AA286,AF286,AK286,AP286,AU286)))*(1-0.03),_xlfn.IFS(AW286="SIM",SUM(L286,Q286,V286,AA286,AF286,AK286,AP286,AU286)+AX286/_xlfn.XLOOKUP(_xlfn.XLOOKUP($F286,Clientes!$B$4:$B$39,Clientes!$C$4:$C$39),Cadastros!$L$6:$L$12,Cadastros!$M$6:$M$12)+IF($F286="Bernardino Furlan",AY286/2751.92,IF($F286="Mauro José Salanti",AY286/2751.92,AY286/3356)),F286&lt;&gt;0,SUM(L286,Q286,V286,AA286,AF286,AK286,AP286,AU286))))</f>
        <v xml:space="preserve"> </v>
      </c>
      <c r="BE286" s="120"/>
      <c r="BF286" s="120"/>
      <c r="BG286" s="120"/>
    </row>
    <row r="287" spans="1:59" s="3" customFormat="1" x14ac:dyDescent="0.3">
      <c r="A287" s="15" t="str">
        <f t="shared" si="52"/>
        <v/>
      </c>
      <c r="B287" s="25"/>
      <c r="C287" s="26"/>
      <c r="D287" s="279"/>
      <c r="E287" s="27"/>
      <c r="F287" s="28"/>
      <c r="G287" s="27"/>
      <c r="H287" s="28"/>
      <c r="I287" s="28"/>
      <c r="J287" s="255" t="str">
        <f>IF(H287="","",(_xlfn.XLOOKUP(H287,Cadastros!$D$6:$D$90,Cadastros!$E$6:$E$90))*(1-_xlfn.XLOOKUP(_xlfn.XLOOKUP($F287,Clientes!$B$4:$B$39,Clientes!$C$4:$C$39),Cadastros!$L$6:$L$12,Cadastros!$N$6:$N$12)))</f>
        <v/>
      </c>
      <c r="K287" s="168" t="str">
        <f t="shared" si="53"/>
        <v/>
      </c>
      <c r="L287" s="168" t="str">
        <f>IFERROR(K287/_xlfn.XLOOKUP(_xlfn.XLOOKUP($F287,Clientes!$B$4:$B$39,Clientes!$C$4:$C$39),Cadastros!$L$6:$L$12,Cadastros!$M$6:$M$12)," ")</f>
        <v xml:space="preserve"> </v>
      </c>
      <c r="M287" s="28"/>
      <c r="N287" s="28"/>
      <c r="O287" s="255" t="str">
        <f>IF(M287="","",(_xlfn.XLOOKUP(M287,Cadastros!$D$6:$D$90,Cadastros!$E$6:$E$90))*(1-_xlfn.XLOOKUP(_xlfn.XLOOKUP($F287,Clientes!$B$4:$B$39,Clientes!$C$4:$C$39),Cadastros!$L$6:$L$12,Cadastros!$N$6:$N$12)))</f>
        <v/>
      </c>
      <c r="P287" s="168" t="str">
        <f t="shared" si="54"/>
        <v/>
      </c>
      <c r="Q287" s="168" t="str">
        <f>IFERROR(P287/_xlfn.XLOOKUP(_xlfn.XLOOKUP($F287,Clientes!$B$4:$B$39,Clientes!$C$4:$C$39),Cadastros!$L$6:$L$12,Cadastros!$M$6:$M$12)," ")</f>
        <v xml:space="preserve"> </v>
      </c>
      <c r="R287" s="28"/>
      <c r="S287" s="28"/>
      <c r="T287" s="255" t="str">
        <f>IF(R287="","",(_xlfn.XLOOKUP(R287,Cadastros!$D$6:$D$90,Cadastros!$E$6:$E$90))*(1-_xlfn.XLOOKUP(_xlfn.XLOOKUP($F287,Clientes!$B$4:$B$39,Clientes!$C$4:$C$39),Cadastros!$L$6:$L$12,Cadastros!$N$6:$N$12)))</f>
        <v/>
      </c>
      <c r="U287" s="168" t="str">
        <f t="shared" si="55"/>
        <v/>
      </c>
      <c r="V287" s="168" t="str">
        <f>IFERROR(U287/_xlfn.XLOOKUP(_xlfn.XLOOKUP($F287,Clientes!$B$4:$B$39,Clientes!$C$4:$C$39),Cadastros!$L$6:$L$12,Cadastros!$M$6:$M$12)," ")</f>
        <v xml:space="preserve"> </v>
      </c>
      <c r="W287" s="28"/>
      <c r="X287" s="28"/>
      <c r="Y287" s="255" t="str">
        <f>IF(W287="","",(_xlfn.XLOOKUP(W287,Cadastros!$D$6:$D$90,Cadastros!$E$6:$E$90))*(1-_xlfn.XLOOKUP(_xlfn.XLOOKUP($F287,Clientes!$B$4:$B$39,Clientes!$C$4:$C$39),Cadastros!$L$6:$L$12,Cadastros!$N$6:$N$12)))</f>
        <v/>
      </c>
      <c r="Z287" s="168" t="str">
        <f t="shared" si="56"/>
        <v/>
      </c>
      <c r="AA287" s="168" t="str">
        <f>IFERROR(Z287/_xlfn.XLOOKUP(_xlfn.XLOOKUP($F287,Clientes!$B$4:$B$39,Clientes!$C$4:$C$39),Cadastros!$L$6:$L$12,Cadastros!$M$6:$M$12)," ")</f>
        <v xml:space="preserve"> </v>
      </c>
      <c r="AB287" s="28"/>
      <c r="AC287" s="28"/>
      <c r="AD287" s="20" t="str">
        <f>IF(AB287="","",IF($F287="Bernardino Furlan",_xlfn.XLOOKUP(AB287,Cadastros!$G$6:$G$90,Cadastros!$H$6:$H$90)*(1-0.18),IF($F287="Mauro José Salanti",_xlfn.XLOOKUP(AB287,Cadastros!$G$6:$G$90,Cadastros!$H$6:$H$90)*(1-0.18),_xlfn.XLOOKUP(AB287,Cadastros!$G$6:$G$90,Cadastros!$H$6:$H$90))))</f>
        <v/>
      </c>
      <c r="AE287" s="168" t="str">
        <f t="shared" si="57"/>
        <v/>
      </c>
      <c r="AF287" s="168" t="str">
        <f t="shared" si="58"/>
        <v/>
      </c>
      <c r="AG287" s="28"/>
      <c r="AH287" s="28"/>
      <c r="AI287" s="20" t="str">
        <f>IF(AG287="","",IF($F287="Bernardino Furlan",_xlfn.XLOOKUP(AG287,Cadastros!$G$6:$G$90,Cadastros!$H$6:$H$90)*(1-0.18),IF($F287="Mauro José Salanti",_xlfn.XLOOKUP(AG287,Cadastros!$G$6:$G$90,Cadastros!$H$6:$H$90)*(1-0.18),_xlfn.XLOOKUP(AG287,Cadastros!$G$6:$G$90,Cadastros!$H$6:$H$90))))</f>
        <v/>
      </c>
      <c r="AJ287" s="168" t="str">
        <f t="shared" si="59"/>
        <v/>
      </c>
      <c r="AK287" s="168" t="str">
        <f t="shared" si="60"/>
        <v/>
      </c>
      <c r="AL287" s="28"/>
      <c r="AM287" s="28"/>
      <c r="AN287" s="20" t="str">
        <f>IF(AL287="","",IF($F287="Bernardino Furlan",_xlfn.XLOOKUP(AL287,Cadastros!$G$6:$G$90,Cadastros!$H$6:$H$90)*(1-0.18),IF($F287="Mauro José Salanti",_xlfn.XLOOKUP(AL287,Cadastros!$G$6:$G$90,Cadastros!$H$6:$H$90)*(1-0.18),_xlfn.XLOOKUP(AL287,Cadastros!$G$6:$G$90,Cadastros!$H$6:$H$90))))</f>
        <v/>
      </c>
      <c r="AO287" s="168" t="str">
        <f t="shared" si="61"/>
        <v/>
      </c>
      <c r="AP287" s="168" t="str">
        <f t="shared" si="62"/>
        <v/>
      </c>
      <c r="AQ287" s="28"/>
      <c r="AR287" s="28"/>
      <c r="AS287" s="20" t="str">
        <f>IF(AQ287="","",IF($F287="Bernardino Furlan",_xlfn.XLOOKUP(AQ287,Cadastros!$G$6:$G$90,Cadastros!$H$6:$H$90)*(1-0.18),IF($F287="Mauro José Salanti",_xlfn.XLOOKUP(AQ287,Cadastros!$G$6:$G$90,Cadastros!$H$6:$H$90)*(1-0.18),_xlfn.XLOOKUP(AQ287,Cadastros!$G$6:$G$90,Cadastros!$H$6:$H$90))))</f>
        <v/>
      </c>
      <c r="AT287" s="168" t="str">
        <f t="shared" si="63"/>
        <v/>
      </c>
      <c r="AU287" s="168" t="str">
        <f t="shared" si="64"/>
        <v/>
      </c>
      <c r="AV287" s="227"/>
      <c r="AW287" s="30"/>
      <c r="AX287" s="267"/>
      <c r="AY287" s="267"/>
      <c r="AZ287" s="29"/>
      <c r="BA287" s="30"/>
      <c r="BB287" s="23" t="str" cm="1">
        <f t="array" ref="BB287">_xlfn.IFS(AW287="SIM",SUM(K287,P287,U287,Z287,AE287,AJ287,AO287,AT287,AX287,AY287),F287&lt;&gt;"",SUM(K287,P287,U287,Z287,AE287,AJ287,,AO287,AT287),F287="","")</f>
        <v/>
      </c>
      <c r="BC287" s="211" t="str" cm="1">
        <f t="array" ref="BC287">_xlfn.IFS(E287="","",G287&lt;=E287,BB287*(1-0.03),G287&lt;(E287+8),BB287,AZ287="Boleto",BB287*(1+0.001)^DATEDIF(E287,G287,"D"),AZ287="Cheque",BB287,AZ287="Dinheiro","Alterar forma pgto")</f>
        <v/>
      </c>
      <c r="BD287" s="276" t="str" cm="1">
        <f t="array" ref="BD287">IF(F287=0," ",IF(BC287&lt;BB287,(_xlfn.IFS(AW287="SIM",SUM(L287,Q287,V287,AA287,AF287,AK287,AP287,AU287)+AX287/_xlfn.XLOOKUP(_xlfn.XLOOKUP($F287,Clientes!$B$4:$B$39,Clientes!$C$4:$C$39),Cadastros!$L$6:$L$12,Cadastros!$M$6:$M$12)+IF($F287="Bernardino Furlan",AY287/2751.92,IF($F287="Mauro José Salanti",AY287/2751.92,AY287/3356)),F287&lt;&gt;0,SUM(L287,Q287,V287,AA287,AF287,AK287,AP287,AU287)))*(1-0.03),_xlfn.IFS(AW287="SIM",SUM(L287,Q287,V287,AA287,AF287,AK287,AP287,AU287)+AX287/_xlfn.XLOOKUP(_xlfn.XLOOKUP($F287,Clientes!$B$4:$B$39,Clientes!$C$4:$C$39),Cadastros!$L$6:$L$12,Cadastros!$M$6:$M$12)+IF($F287="Bernardino Furlan",AY287/2751.92,IF($F287="Mauro José Salanti",AY287/2751.92,AY287/3356)),F287&lt;&gt;0,SUM(L287,Q287,V287,AA287,AF287,AK287,AP287,AU287))))</f>
        <v xml:space="preserve"> </v>
      </c>
      <c r="BE287" s="120"/>
      <c r="BF287" s="120"/>
      <c r="BG287" s="120"/>
    </row>
    <row r="288" spans="1:59" s="3" customFormat="1" x14ac:dyDescent="0.3">
      <c r="A288" s="15" t="str">
        <f t="shared" si="52"/>
        <v/>
      </c>
      <c r="B288" s="25"/>
      <c r="C288" s="26"/>
      <c r="D288" s="279"/>
      <c r="E288" s="27"/>
      <c r="F288" s="28"/>
      <c r="G288" s="27"/>
      <c r="H288" s="28"/>
      <c r="I288" s="28"/>
      <c r="J288" s="255" t="str">
        <f>IF(H288="","",(_xlfn.XLOOKUP(H288,Cadastros!$D$6:$D$90,Cadastros!$E$6:$E$90))*(1-_xlfn.XLOOKUP(_xlfn.XLOOKUP($F288,Clientes!$B$4:$B$39,Clientes!$C$4:$C$39),Cadastros!$L$6:$L$12,Cadastros!$N$6:$N$12)))</f>
        <v/>
      </c>
      <c r="K288" s="168" t="str">
        <f t="shared" si="53"/>
        <v/>
      </c>
      <c r="L288" s="168" t="str">
        <f>IFERROR(K288/_xlfn.XLOOKUP(_xlfn.XLOOKUP($F288,Clientes!$B$4:$B$39,Clientes!$C$4:$C$39),Cadastros!$L$6:$L$12,Cadastros!$M$6:$M$12)," ")</f>
        <v xml:space="preserve"> </v>
      </c>
      <c r="M288" s="28"/>
      <c r="N288" s="28"/>
      <c r="O288" s="255" t="str">
        <f>IF(M288="","",(_xlfn.XLOOKUP(M288,Cadastros!$D$6:$D$90,Cadastros!$E$6:$E$90))*(1-_xlfn.XLOOKUP(_xlfn.XLOOKUP($F288,Clientes!$B$4:$B$39,Clientes!$C$4:$C$39),Cadastros!$L$6:$L$12,Cadastros!$N$6:$N$12)))</f>
        <v/>
      </c>
      <c r="P288" s="168" t="str">
        <f t="shared" si="54"/>
        <v/>
      </c>
      <c r="Q288" s="168" t="str">
        <f>IFERROR(P288/_xlfn.XLOOKUP(_xlfn.XLOOKUP($F288,Clientes!$B$4:$B$39,Clientes!$C$4:$C$39),Cadastros!$L$6:$L$12,Cadastros!$M$6:$M$12)," ")</f>
        <v xml:space="preserve"> </v>
      </c>
      <c r="R288" s="28"/>
      <c r="S288" s="28"/>
      <c r="T288" s="255" t="str">
        <f>IF(R288="","",(_xlfn.XLOOKUP(R288,Cadastros!$D$6:$D$90,Cadastros!$E$6:$E$90))*(1-_xlfn.XLOOKUP(_xlfn.XLOOKUP($F288,Clientes!$B$4:$B$39,Clientes!$C$4:$C$39),Cadastros!$L$6:$L$12,Cadastros!$N$6:$N$12)))</f>
        <v/>
      </c>
      <c r="U288" s="168" t="str">
        <f t="shared" si="55"/>
        <v/>
      </c>
      <c r="V288" s="168" t="str">
        <f>IFERROR(U288/_xlfn.XLOOKUP(_xlfn.XLOOKUP($F288,Clientes!$B$4:$B$39,Clientes!$C$4:$C$39),Cadastros!$L$6:$L$12,Cadastros!$M$6:$M$12)," ")</f>
        <v xml:space="preserve"> </v>
      </c>
      <c r="W288" s="28"/>
      <c r="X288" s="28"/>
      <c r="Y288" s="255" t="str">
        <f>IF(W288="","",(_xlfn.XLOOKUP(W288,Cadastros!$D$6:$D$90,Cadastros!$E$6:$E$90))*(1-_xlfn.XLOOKUP(_xlfn.XLOOKUP($F288,Clientes!$B$4:$B$39,Clientes!$C$4:$C$39),Cadastros!$L$6:$L$12,Cadastros!$N$6:$N$12)))</f>
        <v/>
      </c>
      <c r="Z288" s="168" t="str">
        <f t="shared" si="56"/>
        <v/>
      </c>
      <c r="AA288" s="168" t="str">
        <f>IFERROR(Z288/_xlfn.XLOOKUP(_xlfn.XLOOKUP($F288,Clientes!$B$4:$B$39,Clientes!$C$4:$C$39),Cadastros!$L$6:$L$12,Cadastros!$M$6:$M$12)," ")</f>
        <v xml:space="preserve"> </v>
      </c>
      <c r="AB288" s="28"/>
      <c r="AC288" s="28"/>
      <c r="AD288" s="20" t="str">
        <f>IF(AB288="","",IF($F288="Bernardino Furlan",_xlfn.XLOOKUP(AB288,Cadastros!$G$6:$G$90,Cadastros!$H$6:$H$90)*(1-0.18),IF($F288="Mauro José Salanti",_xlfn.XLOOKUP(AB288,Cadastros!$G$6:$G$90,Cadastros!$H$6:$H$90)*(1-0.18),_xlfn.XLOOKUP(AB288,Cadastros!$G$6:$G$90,Cadastros!$H$6:$H$90))))</f>
        <v/>
      </c>
      <c r="AE288" s="168" t="str">
        <f t="shared" si="57"/>
        <v/>
      </c>
      <c r="AF288" s="168" t="str">
        <f t="shared" si="58"/>
        <v/>
      </c>
      <c r="AG288" s="28"/>
      <c r="AH288" s="28"/>
      <c r="AI288" s="20" t="str">
        <f>IF(AG288="","",IF($F288="Bernardino Furlan",_xlfn.XLOOKUP(AG288,Cadastros!$G$6:$G$90,Cadastros!$H$6:$H$90)*(1-0.18),IF($F288="Mauro José Salanti",_xlfn.XLOOKUP(AG288,Cadastros!$G$6:$G$90,Cadastros!$H$6:$H$90)*(1-0.18),_xlfn.XLOOKUP(AG288,Cadastros!$G$6:$G$90,Cadastros!$H$6:$H$90))))</f>
        <v/>
      </c>
      <c r="AJ288" s="168" t="str">
        <f t="shared" si="59"/>
        <v/>
      </c>
      <c r="AK288" s="168" t="str">
        <f t="shared" si="60"/>
        <v/>
      </c>
      <c r="AL288" s="28"/>
      <c r="AM288" s="28"/>
      <c r="AN288" s="20" t="str">
        <f>IF(AL288="","",IF($F288="Bernardino Furlan",_xlfn.XLOOKUP(AL288,Cadastros!$G$6:$G$90,Cadastros!$H$6:$H$90)*(1-0.18),IF($F288="Mauro José Salanti",_xlfn.XLOOKUP(AL288,Cadastros!$G$6:$G$90,Cadastros!$H$6:$H$90)*(1-0.18),_xlfn.XLOOKUP(AL288,Cadastros!$G$6:$G$90,Cadastros!$H$6:$H$90))))</f>
        <v/>
      </c>
      <c r="AO288" s="168" t="str">
        <f t="shared" si="61"/>
        <v/>
      </c>
      <c r="AP288" s="168" t="str">
        <f t="shared" si="62"/>
        <v/>
      </c>
      <c r="AQ288" s="28"/>
      <c r="AR288" s="28"/>
      <c r="AS288" s="20" t="str">
        <f>IF(AQ288="","",IF($F288="Bernardino Furlan",_xlfn.XLOOKUP(AQ288,Cadastros!$G$6:$G$90,Cadastros!$H$6:$H$90)*(1-0.18),IF($F288="Mauro José Salanti",_xlfn.XLOOKUP(AQ288,Cadastros!$G$6:$G$90,Cadastros!$H$6:$H$90)*(1-0.18),_xlfn.XLOOKUP(AQ288,Cadastros!$G$6:$G$90,Cadastros!$H$6:$H$90))))</f>
        <v/>
      </c>
      <c r="AT288" s="168" t="str">
        <f t="shared" si="63"/>
        <v/>
      </c>
      <c r="AU288" s="168" t="str">
        <f t="shared" si="64"/>
        <v/>
      </c>
      <c r="AV288" s="227"/>
      <c r="AW288" s="30"/>
      <c r="AX288" s="267"/>
      <c r="AY288" s="267"/>
      <c r="AZ288" s="29"/>
      <c r="BA288" s="30"/>
      <c r="BB288" s="23" t="str" cm="1">
        <f t="array" ref="BB288">_xlfn.IFS(AW288="SIM",SUM(K288,P288,U288,Z288,AE288,AJ288,AO288,AT288,AX288,AY288),F288&lt;&gt;"",SUM(K288,P288,U288,Z288,AE288,AJ288,,AO288,AT288),F288="","")</f>
        <v/>
      </c>
      <c r="BC288" s="211" t="str" cm="1">
        <f t="array" ref="BC288">_xlfn.IFS(E288="","",G288&lt;=E288,BB288*(1-0.03),G288&lt;(E288+8),BB288,AZ288="Boleto",BB288*(1+0.001)^DATEDIF(E288,G288,"D"),AZ288="Cheque",BB288,AZ288="Dinheiro","Alterar forma pgto")</f>
        <v/>
      </c>
      <c r="BD288" s="276" t="str" cm="1">
        <f t="array" ref="BD288">IF(F288=0," ",IF(BC288&lt;BB288,(_xlfn.IFS(AW288="SIM",SUM(L288,Q288,V288,AA288,AF288,AK288,AP288,AU288)+AX288/_xlfn.XLOOKUP(_xlfn.XLOOKUP($F288,Clientes!$B$4:$B$39,Clientes!$C$4:$C$39),Cadastros!$L$6:$L$12,Cadastros!$M$6:$M$12)+IF($F288="Bernardino Furlan",AY288/2751.92,IF($F288="Mauro José Salanti",AY288/2751.92,AY288/3356)),F288&lt;&gt;0,SUM(L288,Q288,V288,AA288,AF288,AK288,AP288,AU288)))*(1-0.03),_xlfn.IFS(AW288="SIM",SUM(L288,Q288,V288,AA288,AF288,AK288,AP288,AU288)+AX288/_xlfn.XLOOKUP(_xlfn.XLOOKUP($F288,Clientes!$B$4:$B$39,Clientes!$C$4:$C$39),Cadastros!$L$6:$L$12,Cadastros!$M$6:$M$12)+IF($F288="Bernardino Furlan",AY288/2751.92,IF($F288="Mauro José Salanti",AY288/2751.92,AY288/3356)),F288&lt;&gt;0,SUM(L288,Q288,V288,AA288,AF288,AK288,AP288,AU288))))</f>
        <v xml:space="preserve"> </v>
      </c>
      <c r="BE288" s="120"/>
      <c r="BF288" s="120"/>
      <c r="BG288" s="120"/>
    </row>
    <row r="289" spans="1:59" s="3" customFormat="1" x14ac:dyDescent="0.3">
      <c r="A289" s="15" t="str">
        <f t="shared" si="52"/>
        <v/>
      </c>
      <c r="B289" s="25"/>
      <c r="C289" s="26"/>
      <c r="D289" s="279"/>
      <c r="E289" s="27"/>
      <c r="F289" s="28"/>
      <c r="G289" s="27"/>
      <c r="H289" s="28"/>
      <c r="I289" s="28"/>
      <c r="J289" s="255" t="str">
        <f>IF(H289="","",(_xlfn.XLOOKUP(H289,Cadastros!$D$6:$D$90,Cadastros!$E$6:$E$90))*(1-_xlfn.XLOOKUP(_xlfn.XLOOKUP($F289,Clientes!$B$4:$B$39,Clientes!$C$4:$C$39),Cadastros!$L$6:$L$12,Cadastros!$N$6:$N$12)))</f>
        <v/>
      </c>
      <c r="K289" s="168" t="str">
        <f t="shared" si="53"/>
        <v/>
      </c>
      <c r="L289" s="168" t="str">
        <f>IFERROR(K289/_xlfn.XLOOKUP(_xlfn.XLOOKUP($F289,Clientes!$B$4:$B$39,Clientes!$C$4:$C$39),Cadastros!$L$6:$L$12,Cadastros!$M$6:$M$12)," ")</f>
        <v xml:space="preserve"> </v>
      </c>
      <c r="M289" s="28"/>
      <c r="N289" s="28"/>
      <c r="O289" s="255" t="str">
        <f>IF(M289="","",(_xlfn.XLOOKUP(M289,Cadastros!$D$6:$D$90,Cadastros!$E$6:$E$90))*(1-_xlfn.XLOOKUP(_xlfn.XLOOKUP($F289,Clientes!$B$4:$B$39,Clientes!$C$4:$C$39),Cadastros!$L$6:$L$12,Cadastros!$N$6:$N$12)))</f>
        <v/>
      </c>
      <c r="P289" s="168" t="str">
        <f t="shared" si="54"/>
        <v/>
      </c>
      <c r="Q289" s="168" t="str">
        <f>IFERROR(P289/_xlfn.XLOOKUP(_xlfn.XLOOKUP($F289,Clientes!$B$4:$B$39,Clientes!$C$4:$C$39),Cadastros!$L$6:$L$12,Cadastros!$M$6:$M$12)," ")</f>
        <v xml:space="preserve"> </v>
      </c>
      <c r="R289" s="28"/>
      <c r="S289" s="28"/>
      <c r="T289" s="255" t="str">
        <f>IF(R289="","",(_xlfn.XLOOKUP(R289,Cadastros!$D$6:$D$90,Cadastros!$E$6:$E$90))*(1-_xlfn.XLOOKUP(_xlfn.XLOOKUP($F289,Clientes!$B$4:$B$39,Clientes!$C$4:$C$39),Cadastros!$L$6:$L$12,Cadastros!$N$6:$N$12)))</f>
        <v/>
      </c>
      <c r="U289" s="168" t="str">
        <f t="shared" si="55"/>
        <v/>
      </c>
      <c r="V289" s="168" t="str">
        <f>IFERROR(U289/_xlfn.XLOOKUP(_xlfn.XLOOKUP($F289,Clientes!$B$4:$B$39,Clientes!$C$4:$C$39),Cadastros!$L$6:$L$12,Cadastros!$M$6:$M$12)," ")</f>
        <v xml:space="preserve"> </v>
      </c>
      <c r="W289" s="28"/>
      <c r="X289" s="28"/>
      <c r="Y289" s="255" t="str">
        <f>IF(W289="","",(_xlfn.XLOOKUP(W289,Cadastros!$D$6:$D$90,Cadastros!$E$6:$E$90))*(1-_xlfn.XLOOKUP(_xlfn.XLOOKUP($F289,Clientes!$B$4:$B$39,Clientes!$C$4:$C$39),Cadastros!$L$6:$L$12,Cadastros!$N$6:$N$12)))</f>
        <v/>
      </c>
      <c r="Z289" s="168" t="str">
        <f t="shared" si="56"/>
        <v/>
      </c>
      <c r="AA289" s="168" t="str">
        <f>IFERROR(Z289/_xlfn.XLOOKUP(_xlfn.XLOOKUP($F289,Clientes!$B$4:$B$39,Clientes!$C$4:$C$39),Cadastros!$L$6:$L$12,Cadastros!$M$6:$M$12)," ")</f>
        <v xml:space="preserve"> </v>
      </c>
      <c r="AB289" s="28"/>
      <c r="AC289" s="28"/>
      <c r="AD289" s="20" t="str">
        <f>IF(AB289="","",IF($F289="Bernardino Furlan",_xlfn.XLOOKUP(AB289,Cadastros!$G$6:$G$90,Cadastros!$H$6:$H$90)*(1-0.18),IF($F289="Mauro José Salanti",_xlfn.XLOOKUP(AB289,Cadastros!$G$6:$G$90,Cadastros!$H$6:$H$90)*(1-0.18),_xlfn.XLOOKUP(AB289,Cadastros!$G$6:$G$90,Cadastros!$H$6:$H$90))))</f>
        <v/>
      </c>
      <c r="AE289" s="168" t="str">
        <f t="shared" si="57"/>
        <v/>
      </c>
      <c r="AF289" s="168" t="str">
        <f t="shared" si="58"/>
        <v/>
      </c>
      <c r="AG289" s="28"/>
      <c r="AH289" s="28"/>
      <c r="AI289" s="20" t="str">
        <f>IF(AG289="","",IF($F289="Bernardino Furlan",_xlfn.XLOOKUP(AG289,Cadastros!$G$6:$G$90,Cadastros!$H$6:$H$90)*(1-0.18),IF($F289="Mauro José Salanti",_xlfn.XLOOKUP(AG289,Cadastros!$G$6:$G$90,Cadastros!$H$6:$H$90)*(1-0.18),_xlfn.XLOOKUP(AG289,Cadastros!$G$6:$G$90,Cadastros!$H$6:$H$90))))</f>
        <v/>
      </c>
      <c r="AJ289" s="168" t="str">
        <f t="shared" si="59"/>
        <v/>
      </c>
      <c r="AK289" s="168" t="str">
        <f t="shared" si="60"/>
        <v/>
      </c>
      <c r="AL289" s="28"/>
      <c r="AM289" s="28"/>
      <c r="AN289" s="20" t="str">
        <f>IF(AL289="","",IF($F289="Bernardino Furlan",_xlfn.XLOOKUP(AL289,Cadastros!$G$6:$G$90,Cadastros!$H$6:$H$90)*(1-0.18),IF($F289="Mauro José Salanti",_xlfn.XLOOKUP(AL289,Cadastros!$G$6:$G$90,Cadastros!$H$6:$H$90)*(1-0.18),_xlfn.XLOOKUP(AL289,Cadastros!$G$6:$G$90,Cadastros!$H$6:$H$90))))</f>
        <v/>
      </c>
      <c r="AO289" s="168" t="str">
        <f t="shared" si="61"/>
        <v/>
      </c>
      <c r="AP289" s="168" t="str">
        <f t="shared" si="62"/>
        <v/>
      </c>
      <c r="AQ289" s="28"/>
      <c r="AR289" s="28"/>
      <c r="AS289" s="20" t="str">
        <f>IF(AQ289="","",IF($F289="Bernardino Furlan",_xlfn.XLOOKUP(AQ289,Cadastros!$G$6:$G$90,Cadastros!$H$6:$H$90)*(1-0.18),IF($F289="Mauro José Salanti",_xlfn.XLOOKUP(AQ289,Cadastros!$G$6:$G$90,Cadastros!$H$6:$H$90)*(1-0.18),_xlfn.XLOOKUP(AQ289,Cadastros!$G$6:$G$90,Cadastros!$H$6:$H$90))))</f>
        <v/>
      </c>
      <c r="AT289" s="168" t="str">
        <f t="shared" si="63"/>
        <v/>
      </c>
      <c r="AU289" s="168" t="str">
        <f t="shared" si="64"/>
        <v/>
      </c>
      <c r="AV289" s="227"/>
      <c r="AW289" s="30"/>
      <c r="AX289" s="267"/>
      <c r="AY289" s="267"/>
      <c r="AZ289" s="29"/>
      <c r="BA289" s="30"/>
      <c r="BB289" s="23" t="str" cm="1">
        <f t="array" ref="BB289">_xlfn.IFS(AW289="SIM",SUM(K289,P289,U289,Z289,AE289,AJ289,AO289,AT289,AX289,AY289),F289&lt;&gt;"",SUM(K289,P289,U289,Z289,AE289,AJ289,,AO289,AT289),F289="","")</f>
        <v/>
      </c>
      <c r="BC289" s="211" t="str" cm="1">
        <f t="array" ref="BC289">_xlfn.IFS(E289="","",G289&lt;=E289,BB289*(1-0.03),G289&lt;(E289+8),BB289,AZ289="Boleto",BB289*(1+0.001)^DATEDIF(E289,G289,"D"),AZ289="Cheque",BB289,AZ289="Dinheiro","Alterar forma pgto")</f>
        <v/>
      </c>
      <c r="BD289" s="276" t="str" cm="1">
        <f t="array" ref="BD289">IF(F289=0," ",IF(BC289&lt;BB289,(_xlfn.IFS(AW289="SIM",SUM(L289,Q289,V289,AA289,AF289,AK289,AP289,AU289)+AX289/_xlfn.XLOOKUP(_xlfn.XLOOKUP($F289,Clientes!$B$4:$B$39,Clientes!$C$4:$C$39),Cadastros!$L$6:$L$12,Cadastros!$M$6:$M$12)+IF($F289="Bernardino Furlan",AY289/2751.92,IF($F289="Mauro José Salanti",AY289/2751.92,AY289/3356)),F289&lt;&gt;0,SUM(L289,Q289,V289,AA289,AF289,AK289,AP289,AU289)))*(1-0.03),_xlfn.IFS(AW289="SIM",SUM(L289,Q289,V289,AA289,AF289,AK289,AP289,AU289)+AX289/_xlfn.XLOOKUP(_xlfn.XLOOKUP($F289,Clientes!$B$4:$B$39,Clientes!$C$4:$C$39),Cadastros!$L$6:$L$12,Cadastros!$M$6:$M$12)+IF($F289="Bernardino Furlan",AY289/2751.92,IF($F289="Mauro José Salanti",AY289/2751.92,AY289/3356)),F289&lt;&gt;0,SUM(L289,Q289,V289,AA289,AF289,AK289,AP289,AU289))))</f>
        <v xml:space="preserve"> </v>
      </c>
      <c r="BE289" s="120"/>
      <c r="BF289" s="120"/>
      <c r="BG289" s="120"/>
    </row>
    <row r="290" spans="1:59" s="3" customFormat="1" x14ac:dyDescent="0.3">
      <c r="A290" s="15" t="str">
        <f t="shared" si="52"/>
        <v/>
      </c>
      <c r="B290" s="25"/>
      <c r="C290" s="26"/>
      <c r="D290" s="279"/>
      <c r="E290" s="27"/>
      <c r="F290" s="28"/>
      <c r="G290" s="27"/>
      <c r="H290" s="28"/>
      <c r="I290" s="28"/>
      <c r="J290" s="255" t="str">
        <f>IF(H290="","",(_xlfn.XLOOKUP(H290,Cadastros!$D$6:$D$90,Cadastros!$E$6:$E$90))*(1-_xlfn.XLOOKUP(_xlfn.XLOOKUP($F290,Clientes!$B$4:$B$39,Clientes!$C$4:$C$39),Cadastros!$L$6:$L$12,Cadastros!$N$6:$N$12)))</f>
        <v/>
      </c>
      <c r="K290" s="168" t="str">
        <f t="shared" si="53"/>
        <v/>
      </c>
      <c r="L290" s="168" t="str">
        <f>IFERROR(K290/_xlfn.XLOOKUP(_xlfn.XLOOKUP($F290,Clientes!$B$4:$B$39,Clientes!$C$4:$C$39),Cadastros!$L$6:$L$12,Cadastros!$M$6:$M$12)," ")</f>
        <v xml:space="preserve"> </v>
      </c>
      <c r="M290" s="28"/>
      <c r="N290" s="28"/>
      <c r="O290" s="255" t="str">
        <f>IF(M290="","",(_xlfn.XLOOKUP(M290,Cadastros!$D$6:$D$90,Cadastros!$E$6:$E$90))*(1-_xlfn.XLOOKUP(_xlfn.XLOOKUP($F290,Clientes!$B$4:$B$39,Clientes!$C$4:$C$39),Cadastros!$L$6:$L$12,Cadastros!$N$6:$N$12)))</f>
        <v/>
      </c>
      <c r="P290" s="168" t="str">
        <f t="shared" si="54"/>
        <v/>
      </c>
      <c r="Q290" s="168" t="str">
        <f>IFERROR(P290/_xlfn.XLOOKUP(_xlfn.XLOOKUP($F290,Clientes!$B$4:$B$39,Clientes!$C$4:$C$39),Cadastros!$L$6:$L$12,Cadastros!$M$6:$M$12)," ")</f>
        <v xml:space="preserve"> </v>
      </c>
      <c r="R290" s="28"/>
      <c r="S290" s="28"/>
      <c r="T290" s="255" t="str">
        <f>IF(R290="","",(_xlfn.XLOOKUP(R290,Cadastros!$D$6:$D$90,Cadastros!$E$6:$E$90))*(1-_xlfn.XLOOKUP(_xlfn.XLOOKUP($F290,Clientes!$B$4:$B$39,Clientes!$C$4:$C$39),Cadastros!$L$6:$L$12,Cadastros!$N$6:$N$12)))</f>
        <v/>
      </c>
      <c r="U290" s="168" t="str">
        <f t="shared" si="55"/>
        <v/>
      </c>
      <c r="V290" s="168" t="str">
        <f>IFERROR(U290/_xlfn.XLOOKUP(_xlfn.XLOOKUP($F290,Clientes!$B$4:$B$39,Clientes!$C$4:$C$39),Cadastros!$L$6:$L$12,Cadastros!$M$6:$M$12)," ")</f>
        <v xml:space="preserve"> </v>
      </c>
      <c r="W290" s="28"/>
      <c r="X290" s="28"/>
      <c r="Y290" s="255" t="str">
        <f>IF(W290="","",(_xlfn.XLOOKUP(W290,Cadastros!$D$6:$D$90,Cadastros!$E$6:$E$90))*(1-_xlfn.XLOOKUP(_xlfn.XLOOKUP($F290,Clientes!$B$4:$B$39,Clientes!$C$4:$C$39),Cadastros!$L$6:$L$12,Cadastros!$N$6:$N$12)))</f>
        <v/>
      </c>
      <c r="Z290" s="168" t="str">
        <f t="shared" si="56"/>
        <v/>
      </c>
      <c r="AA290" s="168" t="str">
        <f>IFERROR(Z290/_xlfn.XLOOKUP(_xlfn.XLOOKUP($F290,Clientes!$B$4:$B$39,Clientes!$C$4:$C$39),Cadastros!$L$6:$L$12,Cadastros!$M$6:$M$12)," ")</f>
        <v xml:space="preserve"> </v>
      </c>
      <c r="AB290" s="28"/>
      <c r="AC290" s="28"/>
      <c r="AD290" s="20" t="str">
        <f>IF(AB290="","",IF($F290="Bernardino Furlan",_xlfn.XLOOKUP(AB290,Cadastros!$G$6:$G$90,Cadastros!$H$6:$H$90)*(1-0.18),IF($F290="Mauro José Salanti",_xlfn.XLOOKUP(AB290,Cadastros!$G$6:$G$90,Cadastros!$H$6:$H$90)*(1-0.18),_xlfn.XLOOKUP(AB290,Cadastros!$G$6:$G$90,Cadastros!$H$6:$H$90))))</f>
        <v/>
      </c>
      <c r="AE290" s="168" t="str">
        <f t="shared" si="57"/>
        <v/>
      </c>
      <c r="AF290" s="168" t="str">
        <f t="shared" si="58"/>
        <v/>
      </c>
      <c r="AG290" s="28"/>
      <c r="AH290" s="28"/>
      <c r="AI290" s="20" t="str">
        <f>IF(AG290="","",IF($F290="Bernardino Furlan",_xlfn.XLOOKUP(AG290,Cadastros!$G$6:$G$90,Cadastros!$H$6:$H$90)*(1-0.18),IF($F290="Mauro José Salanti",_xlfn.XLOOKUP(AG290,Cadastros!$G$6:$G$90,Cadastros!$H$6:$H$90)*(1-0.18),_xlfn.XLOOKUP(AG290,Cadastros!$G$6:$G$90,Cadastros!$H$6:$H$90))))</f>
        <v/>
      </c>
      <c r="AJ290" s="168" t="str">
        <f t="shared" si="59"/>
        <v/>
      </c>
      <c r="AK290" s="168" t="str">
        <f t="shared" si="60"/>
        <v/>
      </c>
      <c r="AL290" s="28"/>
      <c r="AM290" s="28"/>
      <c r="AN290" s="20" t="str">
        <f>IF(AL290="","",IF($F290="Bernardino Furlan",_xlfn.XLOOKUP(AL290,Cadastros!$G$6:$G$90,Cadastros!$H$6:$H$90)*(1-0.18),IF($F290="Mauro José Salanti",_xlfn.XLOOKUP(AL290,Cadastros!$G$6:$G$90,Cadastros!$H$6:$H$90)*(1-0.18),_xlfn.XLOOKUP(AL290,Cadastros!$G$6:$G$90,Cadastros!$H$6:$H$90))))</f>
        <v/>
      </c>
      <c r="AO290" s="168" t="str">
        <f t="shared" si="61"/>
        <v/>
      </c>
      <c r="AP290" s="168" t="str">
        <f t="shared" si="62"/>
        <v/>
      </c>
      <c r="AQ290" s="28"/>
      <c r="AR290" s="28"/>
      <c r="AS290" s="20" t="str">
        <f>IF(AQ290="","",IF($F290="Bernardino Furlan",_xlfn.XLOOKUP(AQ290,Cadastros!$G$6:$G$90,Cadastros!$H$6:$H$90)*(1-0.18),IF($F290="Mauro José Salanti",_xlfn.XLOOKUP(AQ290,Cadastros!$G$6:$G$90,Cadastros!$H$6:$H$90)*(1-0.18),_xlfn.XLOOKUP(AQ290,Cadastros!$G$6:$G$90,Cadastros!$H$6:$H$90))))</f>
        <v/>
      </c>
      <c r="AT290" s="168" t="str">
        <f t="shared" si="63"/>
        <v/>
      </c>
      <c r="AU290" s="168" t="str">
        <f t="shared" si="64"/>
        <v/>
      </c>
      <c r="AV290" s="227"/>
      <c r="AW290" s="30"/>
      <c r="AX290" s="267"/>
      <c r="AY290" s="267"/>
      <c r="AZ290" s="29"/>
      <c r="BA290" s="30"/>
      <c r="BB290" s="23" t="str" cm="1">
        <f t="array" ref="BB290">_xlfn.IFS(AW290="SIM",SUM(K290,P290,U290,Z290,AE290,AJ290,AO290,AT290,AX290,AY290),F290&lt;&gt;"",SUM(K290,P290,U290,Z290,AE290,AJ290,,AO290,AT290),F290="","")</f>
        <v/>
      </c>
      <c r="BC290" s="211" t="str" cm="1">
        <f t="array" ref="BC290">_xlfn.IFS(E290="","",G290&lt;=E290,BB290*(1-0.03),G290&lt;(E290+8),BB290,AZ290="Boleto",BB290*(1+0.001)^DATEDIF(E290,G290,"D"),AZ290="Cheque",BB290,AZ290="Dinheiro","Alterar forma pgto")</f>
        <v/>
      </c>
      <c r="BD290" s="276" t="str" cm="1">
        <f t="array" ref="BD290">IF(F290=0," ",IF(BC290&lt;BB290,(_xlfn.IFS(AW290="SIM",SUM(L290,Q290,V290,AA290,AF290,AK290,AP290,AU290)+AX290/_xlfn.XLOOKUP(_xlfn.XLOOKUP($F290,Clientes!$B$4:$B$39,Clientes!$C$4:$C$39),Cadastros!$L$6:$L$12,Cadastros!$M$6:$M$12)+IF($F290="Bernardino Furlan",AY290/2751.92,IF($F290="Mauro José Salanti",AY290/2751.92,AY290/3356)),F290&lt;&gt;0,SUM(L290,Q290,V290,AA290,AF290,AK290,AP290,AU290)))*(1-0.03),_xlfn.IFS(AW290="SIM",SUM(L290,Q290,V290,AA290,AF290,AK290,AP290,AU290)+AX290/_xlfn.XLOOKUP(_xlfn.XLOOKUP($F290,Clientes!$B$4:$B$39,Clientes!$C$4:$C$39),Cadastros!$L$6:$L$12,Cadastros!$M$6:$M$12)+IF($F290="Bernardino Furlan",AY290/2751.92,IF($F290="Mauro José Salanti",AY290/2751.92,AY290/3356)),F290&lt;&gt;0,SUM(L290,Q290,V290,AA290,AF290,AK290,AP290,AU290))))</f>
        <v xml:space="preserve"> </v>
      </c>
      <c r="BE290" s="120"/>
      <c r="BF290" s="120"/>
      <c r="BG290" s="120"/>
    </row>
    <row r="291" spans="1:59" s="3" customFormat="1" x14ac:dyDescent="0.3">
      <c r="A291" s="15" t="str">
        <f t="shared" si="52"/>
        <v/>
      </c>
      <c r="B291" s="34"/>
      <c r="C291" s="35"/>
      <c r="D291" s="280"/>
      <c r="E291" s="36"/>
      <c r="F291" s="37"/>
      <c r="G291" s="36"/>
      <c r="H291" s="37"/>
      <c r="I291" s="37"/>
      <c r="J291" s="255" t="str">
        <f>IF(H291="","",(_xlfn.XLOOKUP(H291,Cadastros!$D$6:$D$90,Cadastros!$E$6:$E$90))*(1-_xlfn.XLOOKUP(_xlfn.XLOOKUP($F291,Clientes!$B$4:$B$39,Clientes!$C$4:$C$39),Cadastros!$L$6:$L$12,Cadastros!$N$6:$N$12)))</f>
        <v/>
      </c>
      <c r="K291" s="168" t="str">
        <f t="shared" si="53"/>
        <v/>
      </c>
      <c r="L291" s="168" t="str">
        <f>IFERROR(K291/_xlfn.XLOOKUP(_xlfn.XLOOKUP($F291,Clientes!$B$4:$B$39,Clientes!$C$4:$C$39),Cadastros!$L$6:$L$12,Cadastros!$M$6:$M$12)," ")</f>
        <v xml:space="preserve"> </v>
      </c>
      <c r="M291" s="37"/>
      <c r="N291" s="37"/>
      <c r="O291" s="255" t="str">
        <f>IF(M291="","",(_xlfn.XLOOKUP(M291,Cadastros!$D$6:$D$90,Cadastros!$E$6:$E$90))*(1-_xlfn.XLOOKUP(_xlfn.XLOOKUP($F291,Clientes!$B$4:$B$39,Clientes!$C$4:$C$39),Cadastros!$L$6:$L$12,Cadastros!$N$6:$N$12)))</f>
        <v/>
      </c>
      <c r="P291" s="168" t="str">
        <f t="shared" si="54"/>
        <v/>
      </c>
      <c r="Q291" s="168" t="str">
        <f>IFERROR(P291/_xlfn.XLOOKUP(_xlfn.XLOOKUP($F291,Clientes!$B$4:$B$39,Clientes!$C$4:$C$39),Cadastros!$L$6:$L$12,Cadastros!$M$6:$M$12)," ")</f>
        <v xml:space="preserve"> </v>
      </c>
      <c r="R291" s="37"/>
      <c r="S291" s="37"/>
      <c r="T291" s="255" t="str">
        <f>IF(R291="","",(_xlfn.XLOOKUP(R291,Cadastros!$D$6:$D$90,Cadastros!$E$6:$E$90))*(1-_xlfn.XLOOKUP(_xlfn.XLOOKUP($F291,Clientes!$B$4:$B$39,Clientes!$C$4:$C$39),Cadastros!$L$6:$L$12,Cadastros!$N$6:$N$12)))</f>
        <v/>
      </c>
      <c r="U291" s="168" t="str">
        <f t="shared" si="55"/>
        <v/>
      </c>
      <c r="V291" s="168" t="str">
        <f>IFERROR(U291/_xlfn.XLOOKUP(_xlfn.XLOOKUP($F291,Clientes!$B$4:$B$39,Clientes!$C$4:$C$39),Cadastros!$L$6:$L$12,Cadastros!$M$6:$M$12)," ")</f>
        <v xml:space="preserve"> </v>
      </c>
      <c r="W291" s="37"/>
      <c r="X291" s="37"/>
      <c r="Y291" s="255" t="str">
        <f>IF(W291="","",(_xlfn.XLOOKUP(W291,Cadastros!$D$6:$D$90,Cadastros!$E$6:$E$90))*(1-_xlfn.XLOOKUP(_xlfn.XLOOKUP($F291,Clientes!$B$4:$B$39,Clientes!$C$4:$C$39),Cadastros!$L$6:$L$12,Cadastros!$N$6:$N$12)))</f>
        <v/>
      </c>
      <c r="Z291" s="168" t="str">
        <f t="shared" si="56"/>
        <v/>
      </c>
      <c r="AA291" s="168" t="str">
        <f>IFERROR(Z291/_xlfn.XLOOKUP(_xlfn.XLOOKUP($F291,Clientes!$B$4:$B$39,Clientes!$C$4:$C$39),Cadastros!$L$6:$L$12,Cadastros!$M$6:$M$12)," ")</f>
        <v xml:space="preserve"> </v>
      </c>
      <c r="AB291" s="37"/>
      <c r="AC291" s="37"/>
      <c r="AD291" s="20" t="str">
        <f>IF(AB291="","",IF($F291="Bernardino Furlan",_xlfn.XLOOKUP(AB291,Cadastros!$G$6:$G$90,Cadastros!$H$6:$H$90)*(1-0.18),IF($F291="Mauro José Salanti",_xlfn.XLOOKUP(AB291,Cadastros!$G$6:$G$90,Cadastros!$H$6:$H$90)*(1-0.18),_xlfn.XLOOKUP(AB291,Cadastros!$G$6:$G$90,Cadastros!$H$6:$H$90))))</f>
        <v/>
      </c>
      <c r="AE291" s="168" t="str">
        <f t="shared" si="57"/>
        <v/>
      </c>
      <c r="AF291" s="168" t="str">
        <f t="shared" si="58"/>
        <v/>
      </c>
      <c r="AG291" s="37"/>
      <c r="AH291" s="37"/>
      <c r="AI291" s="20" t="str">
        <f>IF(AG291="","",IF($F291="Bernardino Furlan",_xlfn.XLOOKUP(AG291,Cadastros!$G$6:$G$90,Cadastros!$H$6:$H$90)*(1-0.18),IF($F291="Mauro José Salanti",_xlfn.XLOOKUP(AG291,Cadastros!$G$6:$G$90,Cadastros!$H$6:$H$90)*(1-0.18),_xlfn.XLOOKUP(AG291,Cadastros!$G$6:$G$90,Cadastros!$H$6:$H$90))))</f>
        <v/>
      </c>
      <c r="AJ291" s="168" t="str">
        <f t="shared" si="59"/>
        <v/>
      </c>
      <c r="AK291" s="168" t="str">
        <f t="shared" si="60"/>
        <v/>
      </c>
      <c r="AL291" s="37"/>
      <c r="AM291" s="37"/>
      <c r="AN291" s="20" t="str">
        <f>IF(AL291="","",IF($F291="Bernardino Furlan",_xlfn.XLOOKUP(AL291,Cadastros!$G$6:$G$90,Cadastros!$H$6:$H$90)*(1-0.18),IF($F291="Mauro José Salanti",_xlfn.XLOOKUP(AL291,Cadastros!$G$6:$G$90,Cadastros!$H$6:$H$90)*(1-0.18),_xlfn.XLOOKUP(AL291,Cadastros!$G$6:$G$90,Cadastros!$H$6:$H$90))))</f>
        <v/>
      </c>
      <c r="AO291" s="168" t="str">
        <f t="shared" si="61"/>
        <v/>
      </c>
      <c r="AP291" s="168" t="str">
        <f t="shared" si="62"/>
        <v/>
      </c>
      <c r="AQ291" s="37"/>
      <c r="AR291" s="37"/>
      <c r="AS291" s="20" t="str">
        <f>IF(AQ291="","",IF($F291="Bernardino Furlan",_xlfn.XLOOKUP(AQ291,Cadastros!$G$6:$G$90,Cadastros!$H$6:$H$90)*(1-0.18),IF($F291="Mauro José Salanti",_xlfn.XLOOKUP(AQ291,Cadastros!$G$6:$G$90,Cadastros!$H$6:$H$90)*(1-0.18),_xlfn.XLOOKUP(AQ291,Cadastros!$G$6:$G$90,Cadastros!$H$6:$H$90))))</f>
        <v/>
      </c>
      <c r="AT291" s="168" t="str">
        <f t="shared" si="63"/>
        <v/>
      </c>
      <c r="AU291" s="168" t="str">
        <f t="shared" si="64"/>
        <v/>
      </c>
      <c r="AV291" s="228"/>
      <c r="AW291" s="38"/>
      <c r="AX291" s="268"/>
      <c r="AY291" s="268"/>
      <c r="AZ291" s="33"/>
      <c r="BA291" s="38"/>
      <c r="BB291" s="23" t="str" cm="1">
        <f t="array" ref="BB291">_xlfn.IFS(AW291="SIM",SUM(K291,P291,U291,Z291,AE291,AJ291,AO291,AT291,AX291,AY291),F291&lt;&gt;"",SUM(K291,P291,U291,Z291,AE291,AJ291,,AO291,AT291),F291="","")</f>
        <v/>
      </c>
      <c r="BC291" s="211" t="str" cm="1">
        <f t="array" ref="BC291">_xlfn.IFS(E291="","",G291&lt;=E291,BB291*(1-0.03),G291&lt;(E291+8),BB291,AZ291="Boleto",BB291*(1+0.001)^DATEDIF(E291,G291,"D"),AZ291="Cheque",BB291,AZ291="Dinheiro","Alterar forma pgto")</f>
        <v/>
      </c>
      <c r="BD291" s="276" t="str" cm="1">
        <f t="array" ref="BD291">IF(F291=0," ",IF(BC291&lt;BB291,(_xlfn.IFS(AW291="SIM",SUM(L291,Q291,V291,AA291,AF291,AK291,AP291,AU291)+AX291/_xlfn.XLOOKUP(_xlfn.XLOOKUP($F291,Clientes!$B$4:$B$39,Clientes!$C$4:$C$39),Cadastros!$L$6:$L$12,Cadastros!$M$6:$M$12)+IF($F291="Bernardino Furlan",AY291/2751.92,IF($F291="Mauro José Salanti",AY291/2751.92,AY291/3356)),F291&lt;&gt;0,SUM(L291,Q291,V291,AA291,AF291,AK291,AP291,AU291)))*(1-0.03),_xlfn.IFS(AW291="SIM",SUM(L291,Q291,V291,AA291,AF291,AK291,AP291,AU291)+AX291/_xlfn.XLOOKUP(_xlfn.XLOOKUP($F291,Clientes!$B$4:$B$39,Clientes!$C$4:$C$39),Cadastros!$L$6:$L$12,Cadastros!$M$6:$M$12)+IF($F291="Bernardino Furlan",AY291/2751.92,IF($F291="Mauro José Salanti",AY291/2751.92,AY291/3356)),F291&lt;&gt;0,SUM(L291,Q291,V291,AA291,AF291,AK291,AP291,AU291))))</f>
        <v xml:space="preserve"> </v>
      </c>
      <c r="BE291" s="120"/>
      <c r="BF291" s="120"/>
      <c r="BG291" s="120"/>
    </row>
    <row r="292" spans="1:59" s="3" customFormat="1" x14ac:dyDescent="0.3">
      <c r="A292" s="15" t="str">
        <f t="shared" si="52"/>
        <v/>
      </c>
      <c r="B292" s="25"/>
      <c r="C292" s="26"/>
      <c r="D292" s="279"/>
      <c r="E292" s="27"/>
      <c r="F292" s="28"/>
      <c r="G292" s="27"/>
      <c r="H292" s="28"/>
      <c r="I292" s="28"/>
      <c r="J292" s="255" t="str">
        <f>IF(H292="","",(_xlfn.XLOOKUP(H292,Cadastros!$D$6:$D$90,Cadastros!$E$6:$E$90))*(1-_xlfn.XLOOKUP(_xlfn.XLOOKUP($F292,Clientes!$B$4:$B$39,Clientes!$C$4:$C$39),Cadastros!$L$6:$L$12,Cadastros!$N$6:$N$12)))</f>
        <v/>
      </c>
      <c r="K292" s="168" t="str">
        <f t="shared" si="53"/>
        <v/>
      </c>
      <c r="L292" s="168" t="str">
        <f>IFERROR(K292/_xlfn.XLOOKUP(_xlfn.XLOOKUP($F292,Clientes!$B$4:$B$39,Clientes!$C$4:$C$39),Cadastros!$L$6:$L$12,Cadastros!$M$6:$M$12)," ")</f>
        <v xml:space="preserve"> </v>
      </c>
      <c r="M292" s="28"/>
      <c r="N292" s="28"/>
      <c r="O292" s="255" t="str">
        <f>IF(M292="","",(_xlfn.XLOOKUP(M292,Cadastros!$D$6:$D$90,Cadastros!$E$6:$E$90))*(1-_xlfn.XLOOKUP(_xlfn.XLOOKUP($F292,Clientes!$B$4:$B$39,Clientes!$C$4:$C$39),Cadastros!$L$6:$L$12,Cadastros!$N$6:$N$12)))</f>
        <v/>
      </c>
      <c r="P292" s="168" t="str">
        <f t="shared" si="54"/>
        <v/>
      </c>
      <c r="Q292" s="168" t="str">
        <f>IFERROR(P292/_xlfn.XLOOKUP(_xlfn.XLOOKUP($F292,Clientes!$B$4:$B$39,Clientes!$C$4:$C$39),Cadastros!$L$6:$L$12,Cadastros!$M$6:$M$12)," ")</f>
        <v xml:space="preserve"> </v>
      </c>
      <c r="R292" s="28"/>
      <c r="S292" s="28"/>
      <c r="T292" s="255" t="str">
        <f>IF(R292="","",(_xlfn.XLOOKUP(R292,Cadastros!$D$6:$D$90,Cadastros!$E$6:$E$90))*(1-_xlfn.XLOOKUP(_xlfn.XLOOKUP($F292,Clientes!$B$4:$B$39,Clientes!$C$4:$C$39),Cadastros!$L$6:$L$12,Cadastros!$N$6:$N$12)))</f>
        <v/>
      </c>
      <c r="U292" s="168" t="str">
        <f t="shared" si="55"/>
        <v/>
      </c>
      <c r="V292" s="168" t="str">
        <f>IFERROR(U292/_xlfn.XLOOKUP(_xlfn.XLOOKUP($F292,Clientes!$B$4:$B$39,Clientes!$C$4:$C$39),Cadastros!$L$6:$L$12,Cadastros!$M$6:$M$12)," ")</f>
        <v xml:space="preserve"> </v>
      </c>
      <c r="W292" s="28"/>
      <c r="X292" s="28"/>
      <c r="Y292" s="255" t="str">
        <f>IF(W292="","",(_xlfn.XLOOKUP(W292,Cadastros!$D$6:$D$90,Cadastros!$E$6:$E$90))*(1-_xlfn.XLOOKUP(_xlfn.XLOOKUP($F292,Clientes!$B$4:$B$39,Clientes!$C$4:$C$39),Cadastros!$L$6:$L$12,Cadastros!$N$6:$N$12)))</f>
        <v/>
      </c>
      <c r="Z292" s="168" t="str">
        <f t="shared" si="56"/>
        <v/>
      </c>
      <c r="AA292" s="168" t="str">
        <f>IFERROR(Z292/_xlfn.XLOOKUP(_xlfn.XLOOKUP($F292,Clientes!$B$4:$B$39,Clientes!$C$4:$C$39),Cadastros!$L$6:$L$12,Cadastros!$M$6:$M$12)," ")</f>
        <v xml:space="preserve"> </v>
      </c>
      <c r="AB292" s="28"/>
      <c r="AC292" s="28"/>
      <c r="AD292" s="20" t="str">
        <f>IF(AB292="","",IF($F292="Bernardino Furlan",_xlfn.XLOOKUP(AB292,Cadastros!$G$6:$G$90,Cadastros!$H$6:$H$90)*(1-0.18),IF($F292="Mauro José Salanti",_xlfn.XLOOKUP(AB292,Cadastros!$G$6:$G$90,Cadastros!$H$6:$H$90)*(1-0.18),_xlfn.XLOOKUP(AB292,Cadastros!$G$6:$G$90,Cadastros!$H$6:$H$90))))</f>
        <v/>
      </c>
      <c r="AE292" s="168" t="str">
        <f t="shared" si="57"/>
        <v/>
      </c>
      <c r="AF292" s="168" t="str">
        <f t="shared" si="58"/>
        <v/>
      </c>
      <c r="AG292" s="28"/>
      <c r="AH292" s="28"/>
      <c r="AI292" s="20" t="str">
        <f>IF(AG292="","",IF($F292="Bernardino Furlan",_xlfn.XLOOKUP(AG292,Cadastros!$G$6:$G$90,Cadastros!$H$6:$H$90)*(1-0.18),IF($F292="Mauro José Salanti",_xlfn.XLOOKUP(AG292,Cadastros!$G$6:$G$90,Cadastros!$H$6:$H$90)*(1-0.18),_xlfn.XLOOKUP(AG292,Cadastros!$G$6:$G$90,Cadastros!$H$6:$H$90))))</f>
        <v/>
      </c>
      <c r="AJ292" s="168" t="str">
        <f t="shared" si="59"/>
        <v/>
      </c>
      <c r="AK292" s="168" t="str">
        <f t="shared" si="60"/>
        <v/>
      </c>
      <c r="AL292" s="28"/>
      <c r="AM292" s="28"/>
      <c r="AN292" s="20" t="str">
        <f>IF(AL292="","",IF($F292="Bernardino Furlan",_xlfn.XLOOKUP(AL292,Cadastros!$G$6:$G$90,Cadastros!$H$6:$H$90)*(1-0.18),IF($F292="Mauro José Salanti",_xlfn.XLOOKUP(AL292,Cadastros!$G$6:$G$90,Cadastros!$H$6:$H$90)*(1-0.18),_xlfn.XLOOKUP(AL292,Cadastros!$G$6:$G$90,Cadastros!$H$6:$H$90))))</f>
        <v/>
      </c>
      <c r="AO292" s="168" t="str">
        <f t="shared" si="61"/>
        <v/>
      </c>
      <c r="AP292" s="168" t="str">
        <f t="shared" si="62"/>
        <v/>
      </c>
      <c r="AQ292" s="28"/>
      <c r="AR292" s="28"/>
      <c r="AS292" s="20" t="str">
        <f>IF(AQ292="","",IF($F292="Bernardino Furlan",_xlfn.XLOOKUP(AQ292,Cadastros!$G$6:$G$90,Cadastros!$H$6:$H$90)*(1-0.18),IF($F292="Mauro José Salanti",_xlfn.XLOOKUP(AQ292,Cadastros!$G$6:$G$90,Cadastros!$H$6:$H$90)*(1-0.18),_xlfn.XLOOKUP(AQ292,Cadastros!$G$6:$G$90,Cadastros!$H$6:$H$90))))</f>
        <v/>
      </c>
      <c r="AT292" s="168" t="str">
        <f t="shared" si="63"/>
        <v/>
      </c>
      <c r="AU292" s="168" t="str">
        <f t="shared" si="64"/>
        <v/>
      </c>
      <c r="AV292" s="227"/>
      <c r="AW292" s="30"/>
      <c r="AX292" s="267"/>
      <c r="AY292" s="267"/>
      <c r="AZ292" s="29"/>
      <c r="BA292" s="30"/>
      <c r="BB292" s="23" t="str" cm="1">
        <f t="array" ref="BB292">_xlfn.IFS(AW292="SIM",SUM(K292,P292,U292,Z292,AE292,AJ292,AO292,AT292,AX292,AY292),F292&lt;&gt;"",SUM(K292,P292,U292,Z292,AE292,AJ292,,AO292,AT292),F292="","")</f>
        <v/>
      </c>
      <c r="BC292" s="211" t="str" cm="1">
        <f t="array" ref="BC292">_xlfn.IFS(E292="","",G292&lt;=E292,BB292*(1-0.03),G292&lt;(E292+8),BB292,AZ292="Boleto",BB292*(1+0.001)^DATEDIF(E292,G292,"D"),AZ292="Cheque",BB292,AZ292="Dinheiro","Alterar forma pgto")</f>
        <v/>
      </c>
      <c r="BD292" s="276" t="str" cm="1">
        <f t="array" ref="BD292">IF(F292=0," ",IF(BC292&lt;BB292,(_xlfn.IFS(AW292="SIM",SUM(L292,Q292,V292,AA292,AF292,AK292,AP292,AU292)+AX292/_xlfn.XLOOKUP(_xlfn.XLOOKUP($F292,Clientes!$B$4:$B$39,Clientes!$C$4:$C$39),Cadastros!$L$6:$L$12,Cadastros!$M$6:$M$12)+IF($F292="Bernardino Furlan",AY292/2751.92,IF($F292="Mauro José Salanti",AY292/2751.92,AY292/3356)),F292&lt;&gt;0,SUM(L292,Q292,V292,AA292,AF292,AK292,AP292,AU292)))*(1-0.03),_xlfn.IFS(AW292="SIM",SUM(L292,Q292,V292,AA292,AF292,AK292,AP292,AU292)+AX292/_xlfn.XLOOKUP(_xlfn.XLOOKUP($F292,Clientes!$B$4:$B$39,Clientes!$C$4:$C$39),Cadastros!$L$6:$L$12,Cadastros!$M$6:$M$12)+IF($F292="Bernardino Furlan",AY292/2751.92,IF($F292="Mauro José Salanti",AY292/2751.92,AY292/3356)),F292&lt;&gt;0,SUM(L292,Q292,V292,AA292,AF292,AK292,AP292,AU292))))</f>
        <v xml:space="preserve"> </v>
      </c>
      <c r="BE292" s="120"/>
      <c r="BF292" s="120"/>
      <c r="BG292" s="120"/>
    </row>
    <row r="293" spans="1:59" s="3" customFormat="1" x14ac:dyDescent="0.3">
      <c r="A293" s="15" t="str">
        <f t="shared" si="52"/>
        <v/>
      </c>
      <c r="B293" s="25"/>
      <c r="C293" s="26"/>
      <c r="D293" s="279"/>
      <c r="E293" s="27"/>
      <c r="F293" s="28"/>
      <c r="G293" s="36"/>
      <c r="H293" s="37"/>
      <c r="I293" s="37"/>
      <c r="J293" s="255" t="str">
        <f>IF(H293="","",(_xlfn.XLOOKUP(H293,Cadastros!$D$6:$D$90,Cadastros!$E$6:$E$90))*(1-_xlfn.XLOOKUP(_xlfn.XLOOKUP($F293,Clientes!$B$4:$B$39,Clientes!$C$4:$C$39),Cadastros!$L$6:$L$12,Cadastros!$N$6:$N$12)))</f>
        <v/>
      </c>
      <c r="K293" s="168" t="str">
        <f t="shared" si="53"/>
        <v/>
      </c>
      <c r="L293" s="168" t="str">
        <f>IFERROR(K293/_xlfn.XLOOKUP(_xlfn.XLOOKUP($F293,Clientes!$B$4:$B$39,Clientes!$C$4:$C$39),Cadastros!$L$6:$L$12,Cadastros!$M$6:$M$12)," ")</f>
        <v xml:space="preserve"> </v>
      </c>
      <c r="M293" s="37"/>
      <c r="N293" s="37"/>
      <c r="O293" s="255" t="str">
        <f>IF(M293="","",(_xlfn.XLOOKUP(M293,Cadastros!$D$6:$D$90,Cadastros!$E$6:$E$90))*(1-_xlfn.XLOOKUP(_xlfn.XLOOKUP($F293,Clientes!$B$4:$B$39,Clientes!$C$4:$C$39),Cadastros!$L$6:$L$12,Cadastros!$N$6:$N$12)))</f>
        <v/>
      </c>
      <c r="P293" s="168" t="str">
        <f t="shared" si="54"/>
        <v/>
      </c>
      <c r="Q293" s="168" t="str">
        <f>IFERROR(P293/_xlfn.XLOOKUP(_xlfn.XLOOKUP($F293,Clientes!$B$4:$B$39,Clientes!$C$4:$C$39),Cadastros!$L$6:$L$12,Cadastros!$M$6:$M$12)," ")</f>
        <v xml:space="preserve"> </v>
      </c>
      <c r="R293" s="37"/>
      <c r="S293" s="37"/>
      <c r="T293" s="255" t="str">
        <f>IF(R293="","",(_xlfn.XLOOKUP(R293,Cadastros!$D$6:$D$90,Cadastros!$E$6:$E$90))*(1-_xlfn.XLOOKUP(_xlfn.XLOOKUP($F293,Clientes!$B$4:$B$39,Clientes!$C$4:$C$39),Cadastros!$L$6:$L$12,Cadastros!$N$6:$N$12)))</f>
        <v/>
      </c>
      <c r="U293" s="168" t="str">
        <f t="shared" si="55"/>
        <v/>
      </c>
      <c r="V293" s="168" t="str">
        <f>IFERROR(U293/_xlfn.XLOOKUP(_xlfn.XLOOKUP($F293,Clientes!$B$4:$B$39,Clientes!$C$4:$C$39),Cadastros!$L$6:$L$12,Cadastros!$M$6:$M$12)," ")</f>
        <v xml:space="preserve"> </v>
      </c>
      <c r="W293" s="37"/>
      <c r="X293" s="37"/>
      <c r="Y293" s="255" t="str">
        <f>IF(W293="","",(_xlfn.XLOOKUP(W293,Cadastros!$D$6:$D$90,Cadastros!$E$6:$E$90))*(1-_xlfn.XLOOKUP(_xlfn.XLOOKUP($F293,Clientes!$B$4:$B$39,Clientes!$C$4:$C$39),Cadastros!$L$6:$L$12,Cadastros!$N$6:$N$12)))</f>
        <v/>
      </c>
      <c r="Z293" s="168" t="str">
        <f t="shared" si="56"/>
        <v/>
      </c>
      <c r="AA293" s="168" t="str">
        <f>IFERROR(Z293/_xlfn.XLOOKUP(_xlfn.XLOOKUP($F293,Clientes!$B$4:$B$39,Clientes!$C$4:$C$39),Cadastros!$L$6:$L$12,Cadastros!$M$6:$M$12)," ")</f>
        <v xml:space="preserve"> </v>
      </c>
      <c r="AB293" s="37"/>
      <c r="AC293" s="37"/>
      <c r="AD293" s="20" t="str">
        <f>IF(AB293="","",IF($F293="Bernardino Furlan",_xlfn.XLOOKUP(AB293,Cadastros!$G$6:$G$90,Cadastros!$H$6:$H$90)*(1-0.18),IF($F293="Mauro José Salanti",_xlfn.XLOOKUP(AB293,Cadastros!$G$6:$G$90,Cadastros!$H$6:$H$90)*(1-0.18),_xlfn.XLOOKUP(AB293,Cadastros!$G$6:$G$90,Cadastros!$H$6:$H$90))))</f>
        <v/>
      </c>
      <c r="AE293" s="168" t="str">
        <f t="shared" si="57"/>
        <v/>
      </c>
      <c r="AF293" s="168" t="str">
        <f t="shared" si="58"/>
        <v/>
      </c>
      <c r="AG293" s="37"/>
      <c r="AH293" s="37"/>
      <c r="AI293" s="20" t="str">
        <f>IF(AG293="","",IF($F293="Bernardino Furlan",_xlfn.XLOOKUP(AG293,Cadastros!$G$6:$G$90,Cadastros!$H$6:$H$90)*(1-0.18),IF($F293="Mauro José Salanti",_xlfn.XLOOKUP(AG293,Cadastros!$G$6:$G$90,Cadastros!$H$6:$H$90)*(1-0.18),_xlfn.XLOOKUP(AG293,Cadastros!$G$6:$G$90,Cadastros!$H$6:$H$90))))</f>
        <v/>
      </c>
      <c r="AJ293" s="168" t="str">
        <f t="shared" si="59"/>
        <v/>
      </c>
      <c r="AK293" s="168" t="str">
        <f t="shared" si="60"/>
        <v/>
      </c>
      <c r="AL293" s="37"/>
      <c r="AM293" s="37"/>
      <c r="AN293" s="20" t="str">
        <f>IF(AL293="","",IF($F293="Bernardino Furlan",_xlfn.XLOOKUP(AL293,Cadastros!$G$6:$G$90,Cadastros!$H$6:$H$90)*(1-0.18),IF($F293="Mauro José Salanti",_xlfn.XLOOKUP(AL293,Cadastros!$G$6:$G$90,Cadastros!$H$6:$H$90)*(1-0.18),_xlfn.XLOOKUP(AL293,Cadastros!$G$6:$G$90,Cadastros!$H$6:$H$90))))</f>
        <v/>
      </c>
      <c r="AO293" s="168" t="str">
        <f t="shared" si="61"/>
        <v/>
      </c>
      <c r="AP293" s="168" t="str">
        <f t="shared" si="62"/>
        <v/>
      </c>
      <c r="AQ293" s="37"/>
      <c r="AR293" s="37"/>
      <c r="AS293" s="20" t="str">
        <f>IF(AQ293="","",IF($F293="Bernardino Furlan",_xlfn.XLOOKUP(AQ293,Cadastros!$G$6:$G$90,Cadastros!$H$6:$H$90)*(1-0.18),IF($F293="Mauro José Salanti",_xlfn.XLOOKUP(AQ293,Cadastros!$G$6:$G$90,Cadastros!$H$6:$H$90)*(1-0.18),_xlfn.XLOOKUP(AQ293,Cadastros!$G$6:$G$90,Cadastros!$H$6:$H$90))))</f>
        <v/>
      </c>
      <c r="AT293" s="168" t="str">
        <f t="shared" si="63"/>
        <v/>
      </c>
      <c r="AU293" s="168" t="str">
        <f t="shared" si="64"/>
        <v/>
      </c>
      <c r="AV293" s="227"/>
      <c r="AW293" s="30"/>
      <c r="AX293" s="267"/>
      <c r="AY293" s="267"/>
      <c r="AZ293" s="29"/>
      <c r="BA293" s="30"/>
      <c r="BB293" s="23" t="str" cm="1">
        <f t="array" ref="BB293">_xlfn.IFS(AW293="SIM",SUM(K293,P293,U293,Z293,AE293,AJ293,AO293,AT293,AX293,AY293),F293&lt;&gt;"",SUM(K293,P293,U293,Z293,AE293,AJ293,,AO293,AT293),F293="","")</f>
        <v/>
      </c>
      <c r="BC293" s="211" t="str" cm="1">
        <f t="array" ref="BC293">_xlfn.IFS(E293="","",G293&lt;=E293,BB293*(1-0.03),G293&lt;(E293+8),BB293,AZ293="Boleto",BB293*(1+0.001)^DATEDIF(E293,G293,"D"),AZ293="Cheque",BB293,AZ293="Dinheiro","Alterar forma pgto")</f>
        <v/>
      </c>
      <c r="BD293" s="276" t="str" cm="1">
        <f t="array" ref="BD293">IF(F293=0," ",IF(BC293&lt;BB293,(_xlfn.IFS(AW293="SIM",SUM(L293,Q293,V293,AA293,AF293,AK293,AP293,AU293)+AX293/_xlfn.XLOOKUP(_xlfn.XLOOKUP($F293,Clientes!$B$4:$B$39,Clientes!$C$4:$C$39),Cadastros!$L$6:$L$12,Cadastros!$M$6:$M$12)+IF($F293="Bernardino Furlan",AY293/2751.92,IF($F293="Mauro José Salanti",AY293/2751.92,AY293/3356)),F293&lt;&gt;0,SUM(L293,Q293,V293,AA293,AF293,AK293,AP293,AU293)))*(1-0.03),_xlfn.IFS(AW293="SIM",SUM(L293,Q293,V293,AA293,AF293,AK293,AP293,AU293)+AX293/_xlfn.XLOOKUP(_xlfn.XLOOKUP($F293,Clientes!$B$4:$B$39,Clientes!$C$4:$C$39),Cadastros!$L$6:$L$12,Cadastros!$M$6:$M$12)+IF($F293="Bernardino Furlan",AY293/2751.92,IF($F293="Mauro José Salanti",AY293/2751.92,AY293/3356)),F293&lt;&gt;0,SUM(L293,Q293,V293,AA293,AF293,AK293,AP293,AU293))))</f>
        <v xml:space="preserve"> </v>
      </c>
      <c r="BE293" s="120"/>
      <c r="BF293" s="120"/>
      <c r="BG293" s="120"/>
    </row>
    <row r="294" spans="1:59" s="3" customFormat="1" x14ac:dyDescent="0.3">
      <c r="A294" s="15" t="str">
        <f t="shared" si="52"/>
        <v/>
      </c>
      <c r="B294" s="25"/>
      <c r="C294" s="26"/>
      <c r="D294" s="279"/>
      <c r="E294" s="27"/>
      <c r="F294" s="28"/>
      <c r="G294" s="27"/>
      <c r="H294" s="28"/>
      <c r="I294" s="28"/>
      <c r="J294" s="255" t="str">
        <f>IF(H294="","",(_xlfn.XLOOKUP(H294,Cadastros!$D$6:$D$90,Cadastros!$E$6:$E$90))*(1-_xlfn.XLOOKUP(_xlfn.XLOOKUP($F294,Clientes!$B$4:$B$39,Clientes!$C$4:$C$39),Cadastros!$L$6:$L$12,Cadastros!$N$6:$N$12)))</f>
        <v/>
      </c>
      <c r="K294" s="168" t="str">
        <f t="shared" si="53"/>
        <v/>
      </c>
      <c r="L294" s="168" t="str">
        <f>IFERROR(K294/_xlfn.XLOOKUP(_xlfn.XLOOKUP($F294,Clientes!$B$4:$B$39,Clientes!$C$4:$C$39),Cadastros!$L$6:$L$12,Cadastros!$M$6:$M$12)," ")</f>
        <v xml:space="preserve"> </v>
      </c>
      <c r="M294" s="28"/>
      <c r="N294" s="28"/>
      <c r="O294" s="255" t="str">
        <f>IF(M294="","",(_xlfn.XLOOKUP(M294,Cadastros!$D$6:$D$90,Cadastros!$E$6:$E$90))*(1-_xlfn.XLOOKUP(_xlfn.XLOOKUP($F294,Clientes!$B$4:$B$39,Clientes!$C$4:$C$39),Cadastros!$L$6:$L$12,Cadastros!$N$6:$N$12)))</f>
        <v/>
      </c>
      <c r="P294" s="168" t="str">
        <f t="shared" si="54"/>
        <v/>
      </c>
      <c r="Q294" s="168" t="str">
        <f>IFERROR(P294/_xlfn.XLOOKUP(_xlfn.XLOOKUP($F294,Clientes!$B$4:$B$39,Clientes!$C$4:$C$39),Cadastros!$L$6:$L$12,Cadastros!$M$6:$M$12)," ")</f>
        <v xml:space="preserve"> </v>
      </c>
      <c r="R294" s="28"/>
      <c r="S294" s="28"/>
      <c r="T294" s="255" t="str">
        <f>IF(R294="","",(_xlfn.XLOOKUP(R294,Cadastros!$D$6:$D$90,Cadastros!$E$6:$E$90))*(1-_xlfn.XLOOKUP(_xlfn.XLOOKUP($F294,Clientes!$B$4:$B$39,Clientes!$C$4:$C$39),Cadastros!$L$6:$L$12,Cadastros!$N$6:$N$12)))</f>
        <v/>
      </c>
      <c r="U294" s="168" t="str">
        <f t="shared" si="55"/>
        <v/>
      </c>
      <c r="V294" s="168" t="str">
        <f>IFERROR(U294/_xlfn.XLOOKUP(_xlfn.XLOOKUP($F294,Clientes!$B$4:$B$39,Clientes!$C$4:$C$39),Cadastros!$L$6:$L$12,Cadastros!$M$6:$M$12)," ")</f>
        <v xml:space="preserve"> </v>
      </c>
      <c r="W294" s="28"/>
      <c r="X294" s="28"/>
      <c r="Y294" s="255" t="str">
        <f>IF(W294="","",(_xlfn.XLOOKUP(W294,Cadastros!$D$6:$D$90,Cadastros!$E$6:$E$90))*(1-_xlfn.XLOOKUP(_xlfn.XLOOKUP($F294,Clientes!$B$4:$B$39,Clientes!$C$4:$C$39),Cadastros!$L$6:$L$12,Cadastros!$N$6:$N$12)))</f>
        <v/>
      </c>
      <c r="Z294" s="168" t="str">
        <f t="shared" si="56"/>
        <v/>
      </c>
      <c r="AA294" s="168" t="str">
        <f>IFERROR(Z294/_xlfn.XLOOKUP(_xlfn.XLOOKUP($F294,Clientes!$B$4:$B$39,Clientes!$C$4:$C$39),Cadastros!$L$6:$L$12,Cadastros!$M$6:$M$12)," ")</f>
        <v xml:space="preserve"> </v>
      </c>
      <c r="AB294" s="28"/>
      <c r="AC294" s="28"/>
      <c r="AD294" s="20" t="str">
        <f>IF(AB294="","",IF($F294="Bernardino Furlan",_xlfn.XLOOKUP(AB294,Cadastros!$G$6:$G$90,Cadastros!$H$6:$H$90)*(1-0.18),IF($F294="Mauro José Salanti",_xlfn.XLOOKUP(AB294,Cadastros!$G$6:$G$90,Cadastros!$H$6:$H$90)*(1-0.18),_xlfn.XLOOKUP(AB294,Cadastros!$G$6:$G$90,Cadastros!$H$6:$H$90))))</f>
        <v/>
      </c>
      <c r="AE294" s="168" t="str">
        <f t="shared" si="57"/>
        <v/>
      </c>
      <c r="AF294" s="168" t="str">
        <f t="shared" si="58"/>
        <v/>
      </c>
      <c r="AG294" s="28"/>
      <c r="AH294" s="28"/>
      <c r="AI294" s="20" t="str">
        <f>IF(AG294="","",IF($F294="Bernardino Furlan",_xlfn.XLOOKUP(AG294,Cadastros!$G$6:$G$90,Cadastros!$H$6:$H$90)*(1-0.18),IF($F294="Mauro José Salanti",_xlfn.XLOOKUP(AG294,Cadastros!$G$6:$G$90,Cadastros!$H$6:$H$90)*(1-0.18),_xlfn.XLOOKUP(AG294,Cadastros!$G$6:$G$90,Cadastros!$H$6:$H$90))))</f>
        <v/>
      </c>
      <c r="AJ294" s="168" t="str">
        <f t="shared" si="59"/>
        <v/>
      </c>
      <c r="AK294" s="168" t="str">
        <f t="shared" si="60"/>
        <v/>
      </c>
      <c r="AL294" s="28"/>
      <c r="AM294" s="28"/>
      <c r="AN294" s="20" t="str">
        <f>IF(AL294="","",IF($F294="Bernardino Furlan",_xlfn.XLOOKUP(AL294,Cadastros!$G$6:$G$90,Cadastros!$H$6:$H$90)*(1-0.18),IF($F294="Mauro José Salanti",_xlfn.XLOOKUP(AL294,Cadastros!$G$6:$G$90,Cadastros!$H$6:$H$90)*(1-0.18),_xlfn.XLOOKUP(AL294,Cadastros!$G$6:$G$90,Cadastros!$H$6:$H$90))))</f>
        <v/>
      </c>
      <c r="AO294" s="168" t="str">
        <f t="shared" si="61"/>
        <v/>
      </c>
      <c r="AP294" s="168" t="str">
        <f t="shared" si="62"/>
        <v/>
      </c>
      <c r="AQ294" s="28"/>
      <c r="AR294" s="28"/>
      <c r="AS294" s="20" t="str">
        <f>IF(AQ294="","",IF($F294="Bernardino Furlan",_xlfn.XLOOKUP(AQ294,Cadastros!$G$6:$G$90,Cadastros!$H$6:$H$90)*(1-0.18),IF($F294="Mauro José Salanti",_xlfn.XLOOKUP(AQ294,Cadastros!$G$6:$G$90,Cadastros!$H$6:$H$90)*(1-0.18),_xlfn.XLOOKUP(AQ294,Cadastros!$G$6:$G$90,Cadastros!$H$6:$H$90))))</f>
        <v/>
      </c>
      <c r="AT294" s="168" t="str">
        <f t="shared" si="63"/>
        <v/>
      </c>
      <c r="AU294" s="168" t="str">
        <f t="shared" si="64"/>
        <v/>
      </c>
      <c r="AV294" s="227"/>
      <c r="AW294" s="30"/>
      <c r="AX294" s="267"/>
      <c r="AY294" s="267"/>
      <c r="AZ294" s="29"/>
      <c r="BA294" s="30"/>
      <c r="BB294" s="23" t="str" cm="1">
        <f t="array" ref="BB294">_xlfn.IFS(AW294="SIM",SUM(K294,P294,U294,Z294,AE294,AJ294,AO294,AT294,AX294,AY294),F294&lt;&gt;"",SUM(K294,P294,U294,Z294,AE294,AJ294,,AO294,AT294),F294="","")</f>
        <v/>
      </c>
      <c r="BC294" s="211" t="str" cm="1">
        <f t="array" ref="BC294">_xlfn.IFS(E294="","",G294&lt;=E294,BB294*(1-0.03),G294&lt;(E294+8),BB294,AZ294="Boleto",BB294*(1+0.001)^DATEDIF(E294,G294,"D"),AZ294="Cheque",BB294,AZ294="Dinheiro","Alterar forma pgto")</f>
        <v/>
      </c>
      <c r="BD294" s="276" t="str" cm="1">
        <f t="array" ref="BD294">IF(F294=0," ",IF(BC294&lt;BB294,(_xlfn.IFS(AW294="SIM",SUM(L294,Q294,V294,AA294,AF294,AK294,AP294,AU294)+AX294/_xlfn.XLOOKUP(_xlfn.XLOOKUP($F294,Clientes!$B$4:$B$39,Clientes!$C$4:$C$39),Cadastros!$L$6:$L$12,Cadastros!$M$6:$M$12)+IF($F294="Bernardino Furlan",AY294/2751.92,IF($F294="Mauro José Salanti",AY294/2751.92,AY294/3356)),F294&lt;&gt;0,SUM(L294,Q294,V294,AA294,AF294,AK294,AP294,AU294)))*(1-0.03),_xlfn.IFS(AW294="SIM",SUM(L294,Q294,V294,AA294,AF294,AK294,AP294,AU294)+AX294/_xlfn.XLOOKUP(_xlfn.XLOOKUP($F294,Clientes!$B$4:$B$39,Clientes!$C$4:$C$39),Cadastros!$L$6:$L$12,Cadastros!$M$6:$M$12)+IF($F294="Bernardino Furlan",AY294/2751.92,IF($F294="Mauro José Salanti",AY294/2751.92,AY294/3356)),F294&lt;&gt;0,SUM(L294,Q294,V294,AA294,AF294,AK294,AP294,AU294))))</f>
        <v xml:space="preserve"> </v>
      </c>
      <c r="BE294" s="120"/>
      <c r="BF294" s="120"/>
      <c r="BG294" s="120"/>
    </row>
    <row r="295" spans="1:59" s="3" customFormat="1" x14ac:dyDescent="0.3">
      <c r="A295" s="15" t="str">
        <f t="shared" si="52"/>
        <v/>
      </c>
      <c r="B295" s="25"/>
      <c r="C295" s="26"/>
      <c r="D295" s="279"/>
      <c r="E295" s="27"/>
      <c r="F295" s="28"/>
      <c r="G295" s="27"/>
      <c r="H295" s="28"/>
      <c r="I295" s="28"/>
      <c r="J295" s="255" t="str">
        <f>IF(H295="","",(_xlfn.XLOOKUP(H295,Cadastros!$D$6:$D$90,Cadastros!$E$6:$E$90))*(1-_xlfn.XLOOKUP(_xlfn.XLOOKUP($F295,Clientes!$B$4:$B$39,Clientes!$C$4:$C$39),Cadastros!$L$6:$L$12,Cadastros!$N$6:$N$12)))</f>
        <v/>
      </c>
      <c r="K295" s="168" t="str">
        <f t="shared" si="53"/>
        <v/>
      </c>
      <c r="L295" s="168" t="str">
        <f>IFERROR(K295/_xlfn.XLOOKUP(_xlfn.XLOOKUP($F295,Clientes!$B$4:$B$39,Clientes!$C$4:$C$39),Cadastros!$L$6:$L$12,Cadastros!$M$6:$M$12)," ")</f>
        <v xml:space="preserve"> </v>
      </c>
      <c r="M295" s="28"/>
      <c r="N295" s="28"/>
      <c r="O295" s="255" t="str">
        <f>IF(M295="","",(_xlfn.XLOOKUP(M295,Cadastros!$D$6:$D$90,Cadastros!$E$6:$E$90))*(1-_xlfn.XLOOKUP(_xlfn.XLOOKUP($F295,Clientes!$B$4:$B$39,Clientes!$C$4:$C$39),Cadastros!$L$6:$L$12,Cadastros!$N$6:$N$12)))</f>
        <v/>
      </c>
      <c r="P295" s="168" t="str">
        <f t="shared" si="54"/>
        <v/>
      </c>
      <c r="Q295" s="168" t="str">
        <f>IFERROR(P295/_xlfn.XLOOKUP(_xlfn.XLOOKUP($F295,Clientes!$B$4:$B$39,Clientes!$C$4:$C$39),Cadastros!$L$6:$L$12,Cadastros!$M$6:$M$12)," ")</f>
        <v xml:space="preserve"> </v>
      </c>
      <c r="R295" s="28"/>
      <c r="S295" s="28"/>
      <c r="T295" s="255" t="str">
        <f>IF(R295="","",(_xlfn.XLOOKUP(R295,Cadastros!$D$6:$D$90,Cadastros!$E$6:$E$90))*(1-_xlfn.XLOOKUP(_xlfn.XLOOKUP($F295,Clientes!$B$4:$B$39,Clientes!$C$4:$C$39),Cadastros!$L$6:$L$12,Cadastros!$N$6:$N$12)))</f>
        <v/>
      </c>
      <c r="U295" s="168" t="str">
        <f t="shared" si="55"/>
        <v/>
      </c>
      <c r="V295" s="168" t="str">
        <f>IFERROR(U295/_xlfn.XLOOKUP(_xlfn.XLOOKUP($F295,Clientes!$B$4:$B$39,Clientes!$C$4:$C$39),Cadastros!$L$6:$L$12,Cadastros!$M$6:$M$12)," ")</f>
        <v xml:space="preserve"> </v>
      </c>
      <c r="W295" s="28"/>
      <c r="X295" s="28"/>
      <c r="Y295" s="255" t="str">
        <f>IF(W295="","",(_xlfn.XLOOKUP(W295,Cadastros!$D$6:$D$90,Cadastros!$E$6:$E$90))*(1-_xlfn.XLOOKUP(_xlfn.XLOOKUP($F295,Clientes!$B$4:$B$39,Clientes!$C$4:$C$39),Cadastros!$L$6:$L$12,Cadastros!$N$6:$N$12)))</f>
        <v/>
      </c>
      <c r="Z295" s="168" t="str">
        <f t="shared" si="56"/>
        <v/>
      </c>
      <c r="AA295" s="168" t="str">
        <f>IFERROR(Z295/_xlfn.XLOOKUP(_xlfn.XLOOKUP($F295,Clientes!$B$4:$B$39,Clientes!$C$4:$C$39),Cadastros!$L$6:$L$12,Cadastros!$M$6:$M$12)," ")</f>
        <v xml:space="preserve"> </v>
      </c>
      <c r="AB295" s="28"/>
      <c r="AC295" s="28"/>
      <c r="AD295" s="20" t="str">
        <f>IF(AB295="","",IF($F295="Bernardino Furlan",_xlfn.XLOOKUP(AB295,Cadastros!$G$6:$G$90,Cadastros!$H$6:$H$90)*(1-0.18),IF($F295="Mauro José Salanti",_xlfn.XLOOKUP(AB295,Cadastros!$G$6:$G$90,Cadastros!$H$6:$H$90)*(1-0.18),_xlfn.XLOOKUP(AB295,Cadastros!$G$6:$G$90,Cadastros!$H$6:$H$90))))</f>
        <v/>
      </c>
      <c r="AE295" s="168" t="str">
        <f t="shared" si="57"/>
        <v/>
      </c>
      <c r="AF295" s="168" t="str">
        <f t="shared" si="58"/>
        <v/>
      </c>
      <c r="AG295" s="28"/>
      <c r="AH295" s="28"/>
      <c r="AI295" s="20" t="str">
        <f>IF(AG295="","",IF($F295="Bernardino Furlan",_xlfn.XLOOKUP(AG295,Cadastros!$G$6:$G$90,Cadastros!$H$6:$H$90)*(1-0.18),IF($F295="Mauro José Salanti",_xlfn.XLOOKUP(AG295,Cadastros!$G$6:$G$90,Cadastros!$H$6:$H$90)*(1-0.18),_xlfn.XLOOKUP(AG295,Cadastros!$G$6:$G$90,Cadastros!$H$6:$H$90))))</f>
        <v/>
      </c>
      <c r="AJ295" s="168" t="str">
        <f t="shared" si="59"/>
        <v/>
      </c>
      <c r="AK295" s="168" t="str">
        <f t="shared" si="60"/>
        <v/>
      </c>
      <c r="AL295" s="28"/>
      <c r="AM295" s="28"/>
      <c r="AN295" s="20" t="str">
        <f>IF(AL295="","",IF($F295="Bernardino Furlan",_xlfn.XLOOKUP(AL295,Cadastros!$G$6:$G$90,Cadastros!$H$6:$H$90)*(1-0.18),IF($F295="Mauro José Salanti",_xlfn.XLOOKUP(AL295,Cadastros!$G$6:$G$90,Cadastros!$H$6:$H$90)*(1-0.18),_xlfn.XLOOKUP(AL295,Cadastros!$G$6:$G$90,Cadastros!$H$6:$H$90))))</f>
        <v/>
      </c>
      <c r="AO295" s="168" t="str">
        <f t="shared" si="61"/>
        <v/>
      </c>
      <c r="AP295" s="168" t="str">
        <f t="shared" si="62"/>
        <v/>
      </c>
      <c r="AQ295" s="28"/>
      <c r="AR295" s="28"/>
      <c r="AS295" s="20" t="str">
        <f>IF(AQ295="","",IF($F295="Bernardino Furlan",_xlfn.XLOOKUP(AQ295,Cadastros!$G$6:$G$90,Cadastros!$H$6:$H$90)*(1-0.18),IF($F295="Mauro José Salanti",_xlfn.XLOOKUP(AQ295,Cadastros!$G$6:$G$90,Cadastros!$H$6:$H$90)*(1-0.18),_xlfn.XLOOKUP(AQ295,Cadastros!$G$6:$G$90,Cadastros!$H$6:$H$90))))</f>
        <v/>
      </c>
      <c r="AT295" s="168" t="str">
        <f t="shared" si="63"/>
        <v/>
      </c>
      <c r="AU295" s="168" t="str">
        <f t="shared" si="64"/>
        <v/>
      </c>
      <c r="AV295" s="227"/>
      <c r="AW295" s="30"/>
      <c r="AX295" s="267"/>
      <c r="AY295" s="267"/>
      <c r="AZ295" s="29"/>
      <c r="BA295" s="30"/>
      <c r="BB295" s="23" t="str" cm="1">
        <f t="array" ref="BB295">_xlfn.IFS(AW295="SIM",SUM(K295,P295,U295,Z295,AE295,AJ295,AO295,AT295,AX295,AY295),F295&lt;&gt;"",SUM(K295,P295,U295,Z295,AE295,AJ295,,AO295,AT295),F295="","")</f>
        <v/>
      </c>
      <c r="BC295" s="211" t="str" cm="1">
        <f t="array" ref="BC295">_xlfn.IFS(E295="","",G295&lt;=E295,BB295*(1-0.03),G295&lt;(E295+8),BB295,AZ295="Boleto",BB295*(1+0.001)^DATEDIF(E295,G295,"D"),AZ295="Cheque",BB295,AZ295="Dinheiro","Alterar forma pgto")</f>
        <v/>
      </c>
      <c r="BD295" s="276" t="str" cm="1">
        <f t="array" ref="BD295">IF(F295=0," ",IF(BC295&lt;BB295,(_xlfn.IFS(AW295="SIM",SUM(L295,Q295,V295,AA295,AF295,AK295,AP295,AU295)+AX295/_xlfn.XLOOKUP(_xlfn.XLOOKUP($F295,Clientes!$B$4:$B$39,Clientes!$C$4:$C$39),Cadastros!$L$6:$L$12,Cadastros!$M$6:$M$12)+IF($F295="Bernardino Furlan",AY295/2751.92,IF($F295="Mauro José Salanti",AY295/2751.92,AY295/3356)),F295&lt;&gt;0,SUM(L295,Q295,V295,AA295,AF295,AK295,AP295,AU295)))*(1-0.03),_xlfn.IFS(AW295="SIM",SUM(L295,Q295,V295,AA295,AF295,AK295,AP295,AU295)+AX295/_xlfn.XLOOKUP(_xlfn.XLOOKUP($F295,Clientes!$B$4:$B$39,Clientes!$C$4:$C$39),Cadastros!$L$6:$L$12,Cadastros!$M$6:$M$12)+IF($F295="Bernardino Furlan",AY295/2751.92,IF($F295="Mauro José Salanti",AY295/2751.92,AY295/3356)),F295&lt;&gt;0,SUM(L295,Q295,V295,AA295,AF295,AK295,AP295,AU295))))</f>
        <v xml:space="preserve"> </v>
      </c>
      <c r="BE295" s="120"/>
      <c r="BF295" s="120"/>
      <c r="BG295" s="120"/>
    </row>
    <row r="296" spans="1:59" s="3" customFormat="1" x14ac:dyDescent="0.3">
      <c r="A296" s="15" t="str">
        <f t="shared" si="52"/>
        <v/>
      </c>
      <c r="B296" s="25"/>
      <c r="C296" s="26"/>
      <c r="D296" s="279"/>
      <c r="E296" s="27"/>
      <c r="F296" s="28"/>
      <c r="G296" s="27"/>
      <c r="H296" s="28"/>
      <c r="I296" s="28"/>
      <c r="J296" s="255" t="str">
        <f>IF(H296="","",(_xlfn.XLOOKUP(H296,Cadastros!$D$6:$D$90,Cadastros!$E$6:$E$90))*(1-_xlfn.XLOOKUP(_xlfn.XLOOKUP($F296,Clientes!$B$4:$B$39,Clientes!$C$4:$C$39),Cadastros!$L$6:$L$12,Cadastros!$N$6:$N$12)))</f>
        <v/>
      </c>
      <c r="K296" s="168" t="str">
        <f t="shared" si="53"/>
        <v/>
      </c>
      <c r="L296" s="168" t="str">
        <f>IFERROR(K296/_xlfn.XLOOKUP(_xlfn.XLOOKUP($F296,Clientes!$B$4:$B$39,Clientes!$C$4:$C$39),Cadastros!$L$6:$L$12,Cadastros!$M$6:$M$12)," ")</f>
        <v xml:space="preserve"> </v>
      </c>
      <c r="M296" s="28"/>
      <c r="N296" s="28"/>
      <c r="O296" s="255" t="str">
        <f>IF(M296="","",(_xlfn.XLOOKUP(M296,Cadastros!$D$6:$D$90,Cadastros!$E$6:$E$90))*(1-_xlfn.XLOOKUP(_xlfn.XLOOKUP($F296,Clientes!$B$4:$B$39,Clientes!$C$4:$C$39),Cadastros!$L$6:$L$12,Cadastros!$N$6:$N$12)))</f>
        <v/>
      </c>
      <c r="P296" s="168" t="str">
        <f t="shared" si="54"/>
        <v/>
      </c>
      <c r="Q296" s="168" t="str">
        <f>IFERROR(P296/_xlfn.XLOOKUP(_xlfn.XLOOKUP($F296,Clientes!$B$4:$B$39,Clientes!$C$4:$C$39),Cadastros!$L$6:$L$12,Cadastros!$M$6:$M$12)," ")</f>
        <v xml:space="preserve"> </v>
      </c>
      <c r="R296" s="28"/>
      <c r="S296" s="28"/>
      <c r="T296" s="255" t="str">
        <f>IF(R296="","",(_xlfn.XLOOKUP(R296,Cadastros!$D$6:$D$90,Cadastros!$E$6:$E$90))*(1-_xlfn.XLOOKUP(_xlfn.XLOOKUP($F296,Clientes!$B$4:$B$39,Clientes!$C$4:$C$39),Cadastros!$L$6:$L$12,Cadastros!$N$6:$N$12)))</f>
        <v/>
      </c>
      <c r="U296" s="168" t="str">
        <f t="shared" si="55"/>
        <v/>
      </c>
      <c r="V296" s="168" t="str">
        <f>IFERROR(U296/_xlfn.XLOOKUP(_xlfn.XLOOKUP($F296,Clientes!$B$4:$B$39,Clientes!$C$4:$C$39),Cadastros!$L$6:$L$12,Cadastros!$M$6:$M$12)," ")</f>
        <v xml:space="preserve"> </v>
      </c>
      <c r="W296" s="28"/>
      <c r="X296" s="28"/>
      <c r="Y296" s="255" t="str">
        <f>IF(W296="","",(_xlfn.XLOOKUP(W296,Cadastros!$D$6:$D$90,Cadastros!$E$6:$E$90))*(1-_xlfn.XLOOKUP(_xlfn.XLOOKUP($F296,Clientes!$B$4:$B$39,Clientes!$C$4:$C$39),Cadastros!$L$6:$L$12,Cadastros!$N$6:$N$12)))</f>
        <v/>
      </c>
      <c r="Z296" s="168" t="str">
        <f t="shared" si="56"/>
        <v/>
      </c>
      <c r="AA296" s="168" t="str">
        <f>IFERROR(Z296/_xlfn.XLOOKUP(_xlfn.XLOOKUP($F296,Clientes!$B$4:$B$39,Clientes!$C$4:$C$39),Cadastros!$L$6:$L$12,Cadastros!$M$6:$M$12)," ")</f>
        <v xml:space="preserve"> </v>
      </c>
      <c r="AB296" s="28"/>
      <c r="AC296" s="28"/>
      <c r="AD296" s="20" t="str">
        <f>IF(AB296="","",IF($F296="Bernardino Furlan",_xlfn.XLOOKUP(AB296,Cadastros!$G$6:$G$90,Cadastros!$H$6:$H$90)*(1-0.18),IF($F296="Mauro José Salanti",_xlfn.XLOOKUP(AB296,Cadastros!$G$6:$G$90,Cadastros!$H$6:$H$90)*(1-0.18),_xlfn.XLOOKUP(AB296,Cadastros!$G$6:$G$90,Cadastros!$H$6:$H$90))))</f>
        <v/>
      </c>
      <c r="AE296" s="168" t="str">
        <f t="shared" si="57"/>
        <v/>
      </c>
      <c r="AF296" s="168" t="str">
        <f t="shared" si="58"/>
        <v/>
      </c>
      <c r="AG296" s="28"/>
      <c r="AH296" s="28"/>
      <c r="AI296" s="20" t="str">
        <f>IF(AG296="","",IF($F296="Bernardino Furlan",_xlfn.XLOOKUP(AG296,Cadastros!$G$6:$G$90,Cadastros!$H$6:$H$90)*(1-0.18),IF($F296="Mauro José Salanti",_xlfn.XLOOKUP(AG296,Cadastros!$G$6:$G$90,Cadastros!$H$6:$H$90)*(1-0.18),_xlfn.XLOOKUP(AG296,Cadastros!$G$6:$G$90,Cadastros!$H$6:$H$90))))</f>
        <v/>
      </c>
      <c r="AJ296" s="168" t="str">
        <f t="shared" si="59"/>
        <v/>
      </c>
      <c r="AK296" s="168" t="str">
        <f t="shared" si="60"/>
        <v/>
      </c>
      <c r="AL296" s="28"/>
      <c r="AM296" s="28"/>
      <c r="AN296" s="20" t="str">
        <f>IF(AL296="","",IF($F296="Bernardino Furlan",_xlfn.XLOOKUP(AL296,Cadastros!$G$6:$G$90,Cadastros!$H$6:$H$90)*(1-0.18),IF($F296="Mauro José Salanti",_xlfn.XLOOKUP(AL296,Cadastros!$G$6:$G$90,Cadastros!$H$6:$H$90)*(1-0.18),_xlfn.XLOOKUP(AL296,Cadastros!$G$6:$G$90,Cadastros!$H$6:$H$90))))</f>
        <v/>
      </c>
      <c r="AO296" s="168" t="str">
        <f t="shared" si="61"/>
        <v/>
      </c>
      <c r="AP296" s="168" t="str">
        <f t="shared" si="62"/>
        <v/>
      </c>
      <c r="AQ296" s="28"/>
      <c r="AR296" s="28"/>
      <c r="AS296" s="20" t="str">
        <f>IF(AQ296="","",IF($F296="Bernardino Furlan",_xlfn.XLOOKUP(AQ296,Cadastros!$G$6:$G$90,Cadastros!$H$6:$H$90)*(1-0.18),IF($F296="Mauro José Salanti",_xlfn.XLOOKUP(AQ296,Cadastros!$G$6:$G$90,Cadastros!$H$6:$H$90)*(1-0.18),_xlfn.XLOOKUP(AQ296,Cadastros!$G$6:$G$90,Cadastros!$H$6:$H$90))))</f>
        <v/>
      </c>
      <c r="AT296" s="168" t="str">
        <f t="shared" si="63"/>
        <v/>
      </c>
      <c r="AU296" s="168" t="str">
        <f t="shared" si="64"/>
        <v/>
      </c>
      <c r="AV296" s="227"/>
      <c r="AW296" s="30"/>
      <c r="AX296" s="267"/>
      <c r="AY296" s="267"/>
      <c r="AZ296" s="29"/>
      <c r="BA296" s="30"/>
      <c r="BB296" s="23" t="str" cm="1">
        <f t="array" ref="BB296">_xlfn.IFS(AW296="SIM",SUM(K296,P296,U296,Z296,AE296,AJ296,AO296,AT296,AX296,AY296),F296&lt;&gt;"",SUM(K296,P296,U296,Z296,AE296,AJ296,,AO296,AT296),F296="","")</f>
        <v/>
      </c>
      <c r="BC296" s="211" t="str" cm="1">
        <f t="array" ref="BC296">_xlfn.IFS(E296="","",G296&lt;=E296,BB296*(1-0.03),G296&lt;(E296+8),BB296,AZ296="Boleto",BB296*(1+0.001)^DATEDIF(E296,G296,"D"),AZ296="Cheque",BB296,AZ296="Dinheiro","Alterar forma pgto")</f>
        <v/>
      </c>
      <c r="BD296" s="276" t="str" cm="1">
        <f t="array" ref="BD296">IF(F296=0," ",IF(BC296&lt;BB296,(_xlfn.IFS(AW296="SIM",SUM(L296,Q296,V296,AA296,AF296,AK296,AP296,AU296)+AX296/_xlfn.XLOOKUP(_xlfn.XLOOKUP($F296,Clientes!$B$4:$B$39,Clientes!$C$4:$C$39),Cadastros!$L$6:$L$12,Cadastros!$M$6:$M$12)+IF($F296="Bernardino Furlan",AY296/2751.92,IF($F296="Mauro José Salanti",AY296/2751.92,AY296/3356)),F296&lt;&gt;0,SUM(L296,Q296,V296,AA296,AF296,AK296,AP296,AU296)))*(1-0.03),_xlfn.IFS(AW296="SIM",SUM(L296,Q296,V296,AA296,AF296,AK296,AP296,AU296)+AX296/_xlfn.XLOOKUP(_xlfn.XLOOKUP($F296,Clientes!$B$4:$B$39,Clientes!$C$4:$C$39),Cadastros!$L$6:$L$12,Cadastros!$M$6:$M$12)+IF($F296="Bernardino Furlan",AY296/2751.92,IF($F296="Mauro José Salanti",AY296/2751.92,AY296/3356)),F296&lt;&gt;0,SUM(L296,Q296,V296,AA296,AF296,AK296,AP296,AU296))))</f>
        <v xml:space="preserve"> </v>
      </c>
      <c r="BE296" s="120"/>
      <c r="BF296" s="120"/>
      <c r="BG296" s="120"/>
    </row>
    <row r="297" spans="1:59" s="3" customFormat="1" x14ac:dyDescent="0.3">
      <c r="A297" s="15" t="str">
        <f t="shared" si="52"/>
        <v/>
      </c>
      <c r="B297" s="25"/>
      <c r="C297" s="26"/>
      <c r="D297" s="279"/>
      <c r="E297" s="27"/>
      <c r="F297" s="28"/>
      <c r="G297" s="27"/>
      <c r="H297" s="28"/>
      <c r="I297" s="28"/>
      <c r="J297" s="255" t="str">
        <f>IF(H297="","",(_xlfn.XLOOKUP(H297,Cadastros!$D$6:$D$90,Cadastros!$E$6:$E$90))*(1-_xlfn.XLOOKUP(_xlfn.XLOOKUP($F297,Clientes!$B$4:$B$39,Clientes!$C$4:$C$39),Cadastros!$L$6:$L$12,Cadastros!$N$6:$N$12)))</f>
        <v/>
      </c>
      <c r="K297" s="168" t="str">
        <f t="shared" si="53"/>
        <v/>
      </c>
      <c r="L297" s="168" t="str">
        <f>IFERROR(K297/_xlfn.XLOOKUP(_xlfn.XLOOKUP($F297,Clientes!$B$4:$B$39,Clientes!$C$4:$C$39),Cadastros!$L$6:$L$12,Cadastros!$M$6:$M$12)," ")</f>
        <v xml:space="preserve"> </v>
      </c>
      <c r="M297" s="28"/>
      <c r="N297" s="28"/>
      <c r="O297" s="255" t="str">
        <f>IF(M297="","",(_xlfn.XLOOKUP(M297,Cadastros!$D$6:$D$90,Cadastros!$E$6:$E$90))*(1-_xlfn.XLOOKUP(_xlfn.XLOOKUP($F297,Clientes!$B$4:$B$39,Clientes!$C$4:$C$39),Cadastros!$L$6:$L$12,Cadastros!$N$6:$N$12)))</f>
        <v/>
      </c>
      <c r="P297" s="168" t="str">
        <f t="shared" si="54"/>
        <v/>
      </c>
      <c r="Q297" s="168" t="str">
        <f>IFERROR(P297/_xlfn.XLOOKUP(_xlfn.XLOOKUP($F297,Clientes!$B$4:$B$39,Clientes!$C$4:$C$39),Cadastros!$L$6:$L$12,Cadastros!$M$6:$M$12)," ")</f>
        <v xml:space="preserve"> </v>
      </c>
      <c r="R297" s="28"/>
      <c r="S297" s="28"/>
      <c r="T297" s="255" t="str">
        <f>IF(R297="","",(_xlfn.XLOOKUP(R297,Cadastros!$D$6:$D$90,Cadastros!$E$6:$E$90))*(1-_xlfn.XLOOKUP(_xlfn.XLOOKUP($F297,Clientes!$B$4:$B$39,Clientes!$C$4:$C$39),Cadastros!$L$6:$L$12,Cadastros!$N$6:$N$12)))</f>
        <v/>
      </c>
      <c r="U297" s="168" t="str">
        <f t="shared" si="55"/>
        <v/>
      </c>
      <c r="V297" s="168" t="str">
        <f>IFERROR(U297/_xlfn.XLOOKUP(_xlfn.XLOOKUP($F297,Clientes!$B$4:$B$39,Clientes!$C$4:$C$39),Cadastros!$L$6:$L$12,Cadastros!$M$6:$M$12)," ")</f>
        <v xml:space="preserve"> </v>
      </c>
      <c r="W297" s="28"/>
      <c r="X297" s="28"/>
      <c r="Y297" s="255" t="str">
        <f>IF(W297="","",(_xlfn.XLOOKUP(W297,Cadastros!$D$6:$D$90,Cadastros!$E$6:$E$90))*(1-_xlfn.XLOOKUP(_xlfn.XLOOKUP($F297,Clientes!$B$4:$B$39,Clientes!$C$4:$C$39),Cadastros!$L$6:$L$12,Cadastros!$N$6:$N$12)))</f>
        <v/>
      </c>
      <c r="Z297" s="168" t="str">
        <f t="shared" si="56"/>
        <v/>
      </c>
      <c r="AA297" s="168" t="str">
        <f>IFERROR(Z297/_xlfn.XLOOKUP(_xlfn.XLOOKUP($F297,Clientes!$B$4:$B$39,Clientes!$C$4:$C$39),Cadastros!$L$6:$L$12,Cadastros!$M$6:$M$12)," ")</f>
        <v xml:space="preserve"> </v>
      </c>
      <c r="AB297" s="28"/>
      <c r="AC297" s="28"/>
      <c r="AD297" s="20" t="str">
        <f>IF(AB297="","",IF($F297="Bernardino Furlan",_xlfn.XLOOKUP(AB297,Cadastros!$G$6:$G$90,Cadastros!$H$6:$H$90)*(1-0.18),IF($F297="Mauro José Salanti",_xlfn.XLOOKUP(AB297,Cadastros!$G$6:$G$90,Cadastros!$H$6:$H$90)*(1-0.18),_xlfn.XLOOKUP(AB297,Cadastros!$G$6:$G$90,Cadastros!$H$6:$H$90))))</f>
        <v/>
      </c>
      <c r="AE297" s="168" t="str">
        <f t="shared" si="57"/>
        <v/>
      </c>
      <c r="AF297" s="168" t="str">
        <f t="shared" si="58"/>
        <v/>
      </c>
      <c r="AG297" s="28"/>
      <c r="AH297" s="28"/>
      <c r="AI297" s="20" t="str">
        <f>IF(AG297="","",IF($F297="Bernardino Furlan",_xlfn.XLOOKUP(AG297,Cadastros!$G$6:$G$90,Cadastros!$H$6:$H$90)*(1-0.18),IF($F297="Mauro José Salanti",_xlfn.XLOOKUP(AG297,Cadastros!$G$6:$G$90,Cadastros!$H$6:$H$90)*(1-0.18),_xlfn.XLOOKUP(AG297,Cadastros!$G$6:$G$90,Cadastros!$H$6:$H$90))))</f>
        <v/>
      </c>
      <c r="AJ297" s="168" t="str">
        <f t="shared" si="59"/>
        <v/>
      </c>
      <c r="AK297" s="168" t="str">
        <f t="shared" si="60"/>
        <v/>
      </c>
      <c r="AL297" s="28"/>
      <c r="AM297" s="28"/>
      <c r="AN297" s="20" t="str">
        <f>IF(AL297="","",IF($F297="Bernardino Furlan",_xlfn.XLOOKUP(AL297,Cadastros!$G$6:$G$90,Cadastros!$H$6:$H$90)*(1-0.18),IF($F297="Mauro José Salanti",_xlfn.XLOOKUP(AL297,Cadastros!$G$6:$G$90,Cadastros!$H$6:$H$90)*(1-0.18),_xlfn.XLOOKUP(AL297,Cadastros!$G$6:$G$90,Cadastros!$H$6:$H$90))))</f>
        <v/>
      </c>
      <c r="AO297" s="168" t="str">
        <f t="shared" si="61"/>
        <v/>
      </c>
      <c r="AP297" s="168" t="str">
        <f t="shared" si="62"/>
        <v/>
      </c>
      <c r="AQ297" s="28"/>
      <c r="AR297" s="28"/>
      <c r="AS297" s="20" t="str">
        <f>IF(AQ297="","",IF($F297="Bernardino Furlan",_xlfn.XLOOKUP(AQ297,Cadastros!$G$6:$G$90,Cadastros!$H$6:$H$90)*(1-0.18),IF($F297="Mauro José Salanti",_xlfn.XLOOKUP(AQ297,Cadastros!$G$6:$G$90,Cadastros!$H$6:$H$90)*(1-0.18),_xlfn.XLOOKUP(AQ297,Cadastros!$G$6:$G$90,Cadastros!$H$6:$H$90))))</f>
        <v/>
      </c>
      <c r="AT297" s="168" t="str">
        <f t="shared" si="63"/>
        <v/>
      </c>
      <c r="AU297" s="168" t="str">
        <f t="shared" si="64"/>
        <v/>
      </c>
      <c r="AV297" s="227"/>
      <c r="AW297" s="30"/>
      <c r="AX297" s="267"/>
      <c r="AY297" s="267"/>
      <c r="AZ297" s="29"/>
      <c r="BA297" s="30"/>
      <c r="BB297" s="23" t="str" cm="1">
        <f t="array" ref="BB297">_xlfn.IFS(AW297="SIM",SUM(K297,P297,U297,Z297,AE297,AJ297,AO297,AT297,AX297,AY297),F297&lt;&gt;"",SUM(K297,P297,U297,Z297,AE297,AJ297,,AO297,AT297),F297="","")</f>
        <v/>
      </c>
      <c r="BC297" s="211" t="str" cm="1">
        <f t="array" ref="BC297">_xlfn.IFS(E297="","",G297&lt;=E297,BB297*(1-0.03),G297&lt;(E297+8),BB297,AZ297="Boleto",BB297*(1+0.001)^DATEDIF(E297,G297,"D"),AZ297="Cheque",BB297,AZ297="Dinheiro","Alterar forma pgto")</f>
        <v/>
      </c>
      <c r="BD297" s="276" t="str" cm="1">
        <f t="array" ref="BD297">IF(F297=0," ",IF(BC297&lt;BB297,(_xlfn.IFS(AW297="SIM",SUM(L297,Q297,V297,AA297,AF297,AK297,AP297,AU297)+AX297/_xlfn.XLOOKUP(_xlfn.XLOOKUP($F297,Clientes!$B$4:$B$39,Clientes!$C$4:$C$39),Cadastros!$L$6:$L$12,Cadastros!$M$6:$M$12)+IF($F297="Bernardino Furlan",AY297/2751.92,IF($F297="Mauro José Salanti",AY297/2751.92,AY297/3356)),F297&lt;&gt;0,SUM(L297,Q297,V297,AA297,AF297,AK297,AP297,AU297)))*(1-0.03),_xlfn.IFS(AW297="SIM",SUM(L297,Q297,V297,AA297,AF297,AK297,AP297,AU297)+AX297/_xlfn.XLOOKUP(_xlfn.XLOOKUP($F297,Clientes!$B$4:$B$39,Clientes!$C$4:$C$39),Cadastros!$L$6:$L$12,Cadastros!$M$6:$M$12)+IF($F297="Bernardino Furlan",AY297/2751.92,IF($F297="Mauro José Salanti",AY297/2751.92,AY297/3356)),F297&lt;&gt;0,SUM(L297,Q297,V297,AA297,AF297,AK297,AP297,AU297))))</f>
        <v xml:space="preserve"> </v>
      </c>
      <c r="BE297" s="120"/>
      <c r="BF297" s="120"/>
      <c r="BG297" s="120"/>
    </row>
    <row r="298" spans="1:59" s="3" customFormat="1" x14ac:dyDescent="0.3">
      <c r="A298" s="15" t="str">
        <f t="shared" si="52"/>
        <v/>
      </c>
      <c r="B298" s="34"/>
      <c r="C298" s="35"/>
      <c r="D298" s="280"/>
      <c r="E298" s="36"/>
      <c r="F298" s="37"/>
      <c r="G298" s="36"/>
      <c r="H298" s="37"/>
      <c r="I298" s="37"/>
      <c r="J298" s="255" t="str">
        <f>IF(H298="","",(_xlfn.XLOOKUP(H298,Cadastros!$D$6:$D$90,Cadastros!$E$6:$E$90))*(1-_xlfn.XLOOKUP(_xlfn.XLOOKUP($F298,Clientes!$B$4:$B$39,Clientes!$C$4:$C$39),Cadastros!$L$6:$L$12,Cadastros!$N$6:$N$12)))</f>
        <v/>
      </c>
      <c r="K298" s="168" t="str">
        <f t="shared" si="53"/>
        <v/>
      </c>
      <c r="L298" s="168" t="str">
        <f>IFERROR(K298/_xlfn.XLOOKUP(_xlfn.XLOOKUP($F298,Clientes!$B$4:$B$39,Clientes!$C$4:$C$39),Cadastros!$L$6:$L$12,Cadastros!$M$6:$M$12)," ")</f>
        <v xml:space="preserve"> </v>
      </c>
      <c r="M298" s="37"/>
      <c r="N298" s="37"/>
      <c r="O298" s="255" t="str">
        <f>IF(M298="","",(_xlfn.XLOOKUP(M298,Cadastros!$D$6:$D$90,Cadastros!$E$6:$E$90))*(1-_xlfn.XLOOKUP(_xlfn.XLOOKUP($F298,Clientes!$B$4:$B$39,Clientes!$C$4:$C$39),Cadastros!$L$6:$L$12,Cadastros!$N$6:$N$12)))</f>
        <v/>
      </c>
      <c r="P298" s="168" t="str">
        <f t="shared" si="54"/>
        <v/>
      </c>
      <c r="Q298" s="168" t="str">
        <f>IFERROR(P298/_xlfn.XLOOKUP(_xlfn.XLOOKUP($F298,Clientes!$B$4:$B$39,Clientes!$C$4:$C$39),Cadastros!$L$6:$L$12,Cadastros!$M$6:$M$12)," ")</f>
        <v xml:space="preserve"> </v>
      </c>
      <c r="R298" s="37"/>
      <c r="S298" s="37"/>
      <c r="T298" s="255" t="str">
        <f>IF(R298="","",(_xlfn.XLOOKUP(R298,Cadastros!$D$6:$D$90,Cadastros!$E$6:$E$90))*(1-_xlfn.XLOOKUP(_xlfn.XLOOKUP($F298,Clientes!$B$4:$B$39,Clientes!$C$4:$C$39),Cadastros!$L$6:$L$12,Cadastros!$N$6:$N$12)))</f>
        <v/>
      </c>
      <c r="U298" s="168" t="str">
        <f t="shared" si="55"/>
        <v/>
      </c>
      <c r="V298" s="168" t="str">
        <f>IFERROR(U298/_xlfn.XLOOKUP(_xlfn.XLOOKUP($F298,Clientes!$B$4:$B$39,Clientes!$C$4:$C$39),Cadastros!$L$6:$L$12,Cadastros!$M$6:$M$12)," ")</f>
        <v xml:space="preserve"> </v>
      </c>
      <c r="W298" s="37"/>
      <c r="X298" s="37"/>
      <c r="Y298" s="255" t="str">
        <f>IF(W298="","",(_xlfn.XLOOKUP(W298,Cadastros!$D$6:$D$90,Cadastros!$E$6:$E$90))*(1-_xlfn.XLOOKUP(_xlfn.XLOOKUP($F298,Clientes!$B$4:$B$39,Clientes!$C$4:$C$39),Cadastros!$L$6:$L$12,Cadastros!$N$6:$N$12)))</f>
        <v/>
      </c>
      <c r="Z298" s="168" t="str">
        <f t="shared" si="56"/>
        <v/>
      </c>
      <c r="AA298" s="168" t="str">
        <f>IFERROR(Z298/_xlfn.XLOOKUP(_xlfn.XLOOKUP($F298,Clientes!$B$4:$B$39,Clientes!$C$4:$C$39),Cadastros!$L$6:$L$12,Cadastros!$M$6:$M$12)," ")</f>
        <v xml:space="preserve"> </v>
      </c>
      <c r="AB298" s="37"/>
      <c r="AC298" s="37"/>
      <c r="AD298" s="20" t="str">
        <f>IF(AB298="","",IF($F298="Bernardino Furlan",_xlfn.XLOOKUP(AB298,Cadastros!$G$6:$G$90,Cadastros!$H$6:$H$90)*(1-0.18),IF($F298="Mauro José Salanti",_xlfn.XLOOKUP(AB298,Cadastros!$G$6:$G$90,Cadastros!$H$6:$H$90)*(1-0.18),_xlfn.XLOOKUP(AB298,Cadastros!$G$6:$G$90,Cadastros!$H$6:$H$90))))</f>
        <v/>
      </c>
      <c r="AE298" s="168" t="str">
        <f t="shared" si="57"/>
        <v/>
      </c>
      <c r="AF298" s="168" t="str">
        <f t="shared" si="58"/>
        <v/>
      </c>
      <c r="AG298" s="37"/>
      <c r="AH298" s="37"/>
      <c r="AI298" s="20" t="str">
        <f>IF(AG298="","",IF($F298="Bernardino Furlan",_xlfn.XLOOKUP(AG298,Cadastros!$G$6:$G$90,Cadastros!$H$6:$H$90)*(1-0.18),IF($F298="Mauro José Salanti",_xlfn.XLOOKUP(AG298,Cadastros!$G$6:$G$90,Cadastros!$H$6:$H$90)*(1-0.18),_xlfn.XLOOKUP(AG298,Cadastros!$G$6:$G$90,Cadastros!$H$6:$H$90))))</f>
        <v/>
      </c>
      <c r="AJ298" s="168" t="str">
        <f t="shared" si="59"/>
        <v/>
      </c>
      <c r="AK298" s="168" t="str">
        <f t="shared" si="60"/>
        <v/>
      </c>
      <c r="AL298" s="37"/>
      <c r="AM298" s="37"/>
      <c r="AN298" s="20" t="str">
        <f>IF(AL298="","",IF($F298="Bernardino Furlan",_xlfn.XLOOKUP(AL298,Cadastros!$G$6:$G$90,Cadastros!$H$6:$H$90)*(1-0.18),IF($F298="Mauro José Salanti",_xlfn.XLOOKUP(AL298,Cadastros!$G$6:$G$90,Cadastros!$H$6:$H$90)*(1-0.18),_xlfn.XLOOKUP(AL298,Cadastros!$G$6:$G$90,Cadastros!$H$6:$H$90))))</f>
        <v/>
      </c>
      <c r="AO298" s="168" t="str">
        <f t="shared" si="61"/>
        <v/>
      </c>
      <c r="AP298" s="168" t="str">
        <f t="shared" si="62"/>
        <v/>
      </c>
      <c r="AQ298" s="37"/>
      <c r="AR298" s="37"/>
      <c r="AS298" s="20" t="str">
        <f>IF(AQ298="","",IF($F298="Bernardino Furlan",_xlfn.XLOOKUP(AQ298,Cadastros!$G$6:$G$90,Cadastros!$H$6:$H$90)*(1-0.18),IF($F298="Mauro José Salanti",_xlfn.XLOOKUP(AQ298,Cadastros!$G$6:$G$90,Cadastros!$H$6:$H$90)*(1-0.18),_xlfn.XLOOKUP(AQ298,Cadastros!$G$6:$G$90,Cadastros!$H$6:$H$90))))</f>
        <v/>
      </c>
      <c r="AT298" s="168" t="str">
        <f t="shared" si="63"/>
        <v/>
      </c>
      <c r="AU298" s="168" t="str">
        <f t="shared" si="64"/>
        <v/>
      </c>
      <c r="AV298" s="228"/>
      <c r="AW298" s="38"/>
      <c r="AX298" s="268"/>
      <c r="AY298" s="268"/>
      <c r="AZ298" s="33"/>
      <c r="BA298" s="38"/>
      <c r="BB298" s="23" t="str" cm="1">
        <f t="array" ref="BB298">_xlfn.IFS(AW298="SIM",SUM(K298,P298,U298,Z298,AE298,AJ298,AO298,AT298,AX298,AY298),F298&lt;&gt;"",SUM(K298,P298,U298,Z298,AE298,AJ298,,AO298,AT298),F298="","")</f>
        <v/>
      </c>
      <c r="BC298" s="211" t="str" cm="1">
        <f t="array" ref="BC298">_xlfn.IFS(E298="","",G298&lt;=E298,BB298*(1-0.03),G298&lt;(E298+8),BB298,AZ298="Boleto",BB298*(1+0.001)^DATEDIF(E298,G298,"D"),AZ298="Cheque",BB298,AZ298="Dinheiro","Alterar forma pgto")</f>
        <v/>
      </c>
      <c r="BD298" s="276" t="str" cm="1">
        <f t="array" ref="BD298">IF(F298=0," ",IF(BC298&lt;BB298,(_xlfn.IFS(AW298="SIM",SUM(L298,Q298,V298,AA298,AF298,AK298,AP298,AU298)+AX298/_xlfn.XLOOKUP(_xlfn.XLOOKUP($F298,Clientes!$B$4:$B$39,Clientes!$C$4:$C$39),Cadastros!$L$6:$L$12,Cadastros!$M$6:$M$12)+IF($F298="Bernardino Furlan",AY298/2751.92,IF($F298="Mauro José Salanti",AY298/2751.92,AY298/3356)),F298&lt;&gt;0,SUM(L298,Q298,V298,AA298,AF298,AK298,AP298,AU298)))*(1-0.03),_xlfn.IFS(AW298="SIM",SUM(L298,Q298,V298,AA298,AF298,AK298,AP298,AU298)+AX298/_xlfn.XLOOKUP(_xlfn.XLOOKUP($F298,Clientes!$B$4:$B$39,Clientes!$C$4:$C$39),Cadastros!$L$6:$L$12,Cadastros!$M$6:$M$12)+IF($F298="Bernardino Furlan",AY298/2751.92,IF($F298="Mauro José Salanti",AY298/2751.92,AY298/3356)),F298&lt;&gt;0,SUM(L298,Q298,V298,AA298,AF298,AK298,AP298,AU298))))</f>
        <v xml:space="preserve"> </v>
      </c>
      <c r="BE298" s="120"/>
      <c r="BF298" s="120"/>
      <c r="BG298" s="120"/>
    </row>
    <row r="299" spans="1:59" s="3" customFormat="1" x14ac:dyDescent="0.3">
      <c r="A299" s="15" t="str">
        <f t="shared" si="52"/>
        <v/>
      </c>
      <c r="B299" s="25"/>
      <c r="C299" s="26"/>
      <c r="D299" s="279"/>
      <c r="E299" s="27"/>
      <c r="F299" s="28"/>
      <c r="G299" s="27"/>
      <c r="H299" s="28"/>
      <c r="I299" s="28"/>
      <c r="J299" s="255" t="str">
        <f>IF(H299="","",(_xlfn.XLOOKUP(H299,Cadastros!$D$6:$D$90,Cadastros!$E$6:$E$90))*(1-_xlfn.XLOOKUP(_xlfn.XLOOKUP($F299,Clientes!$B$4:$B$39,Clientes!$C$4:$C$39),Cadastros!$L$6:$L$12,Cadastros!$N$6:$N$12)))</f>
        <v/>
      </c>
      <c r="K299" s="168" t="str">
        <f t="shared" si="53"/>
        <v/>
      </c>
      <c r="L299" s="168" t="str">
        <f>IFERROR(K299/_xlfn.XLOOKUP(_xlfn.XLOOKUP($F299,Clientes!$B$4:$B$39,Clientes!$C$4:$C$39),Cadastros!$L$6:$L$12,Cadastros!$M$6:$M$12)," ")</f>
        <v xml:space="preserve"> </v>
      </c>
      <c r="M299" s="28"/>
      <c r="N299" s="28"/>
      <c r="O299" s="255" t="str">
        <f>IF(M299="","",(_xlfn.XLOOKUP(M299,Cadastros!$D$6:$D$90,Cadastros!$E$6:$E$90))*(1-_xlfn.XLOOKUP(_xlfn.XLOOKUP($F299,Clientes!$B$4:$B$39,Clientes!$C$4:$C$39),Cadastros!$L$6:$L$12,Cadastros!$N$6:$N$12)))</f>
        <v/>
      </c>
      <c r="P299" s="168" t="str">
        <f t="shared" si="54"/>
        <v/>
      </c>
      <c r="Q299" s="168" t="str">
        <f>IFERROR(P299/_xlfn.XLOOKUP(_xlfn.XLOOKUP($F299,Clientes!$B$4:$B$39,Clientes!$C$4:$C$39),Cadastros!$L$6:$L$12,Cadastros!$M$6:$M$12)," ")</f>
        <v xml:space="preserve"> </v>
      </c>
      <c r="R299" s="28"/>
      <c r="S299" s="28"/>
      <c r="T299" s="255" t="str">
        <f>IF(R299="","",(_xlfn.XLOOKUP(R299,Cadastros!$D$6:$D$90,Cadastros!$E$6:$E$90))*(1-_xlfn.XLOOKUP(_xlfn.XLOOKUP($F299,Clientes!$B$4:$B$39,Clientes!$C$4:$C$39),Cadastros!$L$6:$L$12,Cadastros!$N$6:$N$12)))</f>
        <v/>
      </c>
      <c r="U299" s="168" t="str">
        <f t="shared" si="55"/>
        <v/>
      </c>
      <c r="V299" s="168" t="str">
        <f>IFERROR(U299/_xlfn.XLOOKUP(_xlfn.XLOOKUP($F299,Clientes!$B$4:$B$39,Clientes!$C$4:$C$39),Cadastros!$L$6:$L$12,Cadastros!$M$6:$M$12)," ")</f>
        <v xml:space="preserve"> </v>
      </c>
      <c r="W299" s="28"/>
      <c r="X299" s="28"/>
      <c r="Y299" s="255" t="str">
        <f>IF(W299="","",(_xlfn.XLOOKUP(W299,Cadastros!$D$6:$D$90,Cadastros!$E$6:$E$90))*(1-_xlfn.XLOOKUP(_xlfn.XLOOKUP($F299,Clientes!$B$4:$B$39,Clientes!$C$4:$C$39),Cadastros!$L$6:$L$12,Cadastros!$N$6:$N$12)))</f>
        <v/>
      </c>
      <c r="Z299" s="168" t="str">
        <f t="shared" si="56"/>
        <v/>
      </c>
      <c r="AA299" s="168" t="str">
        <f>IFERROR(Z299/_xlfn.XLOOKUP(_xlfn.XLOOKUP($F299,Clientes!$B$4:$B$39,Clientes!$C$4:$C$39),Cadastros!$L$6:$L$12,Cadastros!$M$6:$M$12)," ")</f>
        <v xml:space="preserve"> </v>
      </c>
      <c r="AB299" s="28"/>
      <c r="AC299" s="28"/>
      <c r="AD299" s="20" t="str">
        <f>IF(AB299="","",IF($F299="Bernardino Furlan",_xlfn.XLOOKUP(AB299,Cadastros!$G$6:$G$90,Cadastros!$H$6:$H$90)*(1-0.18),IF($F299="Mauro José Salanti",_xlfn.XLOOKUP(AB299,Cadastros!$G$6:$G$90,Cadastros!$H$6:$H$90)*(1-0.18),_xlfn.XLOOKUP(AB299,Cadastros!$G$6:$G$90,Cadastros!$H$6:$H$90))))</f>
        <v/>
      </c>
      <c r="AE299" s="168" t="str">
        <f t="shared" si="57"/>
        <v/>
      </c>
      <c r="AF299" s="168" t="str">
        <f t="shared" si="58"/>
        <v/>
      </c>
      <c r="AG299" s="28"/>
      <c r="AH299" s="28"/>
      <c r="AI299" s="20" t="str">
        <f>IF(AG299="","",IF($F299="Bernardino Furlan",_xlfn.XLOOKUP(AG299,Cadastros!$G$6:$G$90,Cadastros!$H$6:$H$90)*(1-0.18),IF($F299="Mauro José Salanti",_xlfn.XLOOKUP(AG299,Cadastros!$G$6:$G$90,Cadastros!$H$6:$H$90)*(1-0.18),_xlfn.XLOOKUP(AG299,Cadastros!$G$6:$G$90,Cadastros!$H$6:$H$90))))</f>
        <v/>
      </c>
      <c r="AJ299" s="168" t="str">
        <f t="shared" si="59"/>
        <v/>
      </c>
      <c r="AK299" s="168" t="str">
        <f t="shared" si="60"/>
        <v/>
      </c>
      <c r="AL299" s="28"/>
      <c r="AM299" s="28"/>
      <c r="AN299" s="20" t="str">
        <f>IF(AL299="","",IF($F299="Bernardino Furlan",_xlfn.XLOOKUP(AL299,Cadastros!$G$6:$G$90,Cadastros!$H$6:$H$90)*(1-0.18),IF($F299="Mauro José Salanti",_xlfn.XLOOKUP(AL299,Cadastros!$G$6:$G$90,Cadastros!$H$6:$H$90)*(1-0.18),_xlfn.XLOOKUP(AL299,Cadastros!$G$6:$G$90,Cadastros!$H$6:$H$90))))</f>
        <v/>
      </c>
      <c r="AO299" s="168" t="str">
        <f t="shared" si="61"/>
        <v/>
      </c>
      <c r="AP299" s="168" t="str">
        <f t="shared" si="62"/>
        <v/>
      </c>
      <c r="AQ299" s="28"/>
      <c r="AR299" s="28"/>
      <c r="AS299" s="20" t="str">
        <f>IF(AQ299="","",IF($F299="Bernardino Furlan",_xlfn.XLOOKUP(AQ299,Cadastros!$G$6:$G$90,Cadastros!$H$6:$H$90)*(1-0.18),IF($F299="Mauro José Salanti",_xlfn.XLOOKUP(AQ299,Cadastros!$G$6:$G$90,Cadastros!$H$6:$H$90)*(1-0.18),_xlfn.XLOOKUP(AQ299,Cadastros!$G$6:$G$90,Cadastros!$H$6:$H$90))))</f>
        <v/>
      </c>
      <c r="AT299" s="168" t="str">
        <f t="shared" si="63"/>
        <v/>
      </c>
      <c r="AU299" s="168" t="str">
        <f t="shared" si="64"/>
        <v/>
      </c>
      <c r="AV299" s="227"/>
      <c r="AW299" s="30"/>
      <c r="AX299" s="267"/>
      <c r="AY299" s="267"/>
      <c r="AZ299" s="29"/>
      <c r="BA299" s="30"/>
      <c r="BB299" s="23" t="str" cm="1">
        <f t="array" ref="BB299">_xlfn.IFS(AW299="SIM",SUM(K299,P299,U299,Z299,AE299,AJ299,AO299,AT299,AX299,AY299),F299&lt;&gt;"",SUM(K299,P299,U299,Z299,AE299,AJ299,,AO299,AT299),F299="","")</f>
        <v/>
      </c>
      <c r="BC299" s="211" t="str" cm="1">
        <f t="array" ref="BC299">_xlfn.IFS(E299="","",G299&lt;=E299,BB299*(1-0.03),G299&lt;(E299+8),BB299,AZ299="Boleto",BB299*(1+0.001)^DATEDIF(E299,G299,"D"),AZ299="Cheque",BB299,AZ299="Dinheiro","Alterar forma pgto")</f>
        <v/>
      </c>
      <c r="BD299" s="276" t="str" cm="1">
        <f t="array" ref="BD299">IF(F299=0," ",IF(BC299&lt;BB299,(_xlfn.IFS(AW299="SIM",SUM(L299,Q299,V299,AA299,AF299,AK299,AP299,AU299)+AX299/_xlfn.XLOOKUP(_xlfn.XLOOKUP($F299,Clientes!$B$4:$B$39,Clientes!$C$4:$C$39),Cadastros!$L$6:$L$12,Cadastros!$M$6:$M$12)+IF($F299="Bernardino Furlan",AY299/2751.92,IF($F299="Mauro José Salanti",AY299/2751.92,AY299/3356)),F299&lt;&gt;0,SUM(L299,Q299,V299,AA299,AF299,AK299,AP299,AU299)))*(1-0.03),_xlfn.IFS(AW299="SIM",SUM(L299,Q299,V299,AA299,AF299,AK299,AP299,AU299)+AX299/_xlfn.XLOOKUP(_xlfn.XLOOKUP($F299,Clientes!$B$4:$B$39,Clientes!$C$4:$C$39),Cadastros!$L$6:$L$12,Cadastros!$M$6:$M$12)+IF($F299="Bernardino Furlan",AY299/2751.92,IF($F299="Mauro José Salanti",AY299/2751.92,AY299/3356)),F299&lt;&gt;0,SUM(L299,Q299,V299,AA299,AF299,AK299,AP299,AU299))))</f>
        <v xml:space="preserve"> </v>
      </c>
      <c r="BE299" s="120"/>
      <c r="BF299" s="120"/>
      <c r="BG299" s="120"/>
    </row>
    <row r="300" spans="1:59" s="3" customFormat="1" x14ac:dyDescent="0.3">
      <c r="A300" s="15" t="str">
        <f t="shared" si="52"/>
        <v/>
      </c>
      <c r="B300" s="25"/>
      <c r="C300" s="26"/>
      <c r="D300" s="279"/>
      <c r="E300" s="27"/>
      <c r="F300" s="28"/>
      <c r="G300" s="27"/>
      <c r="H300" s="28"/>
      <c r="I300" s="28"/>
      <c r="J300" s="255" t="str">
        <f>IF(H300="","",(_xlfn.XLOOKUP(H300,Cadastros!$D$6:$D$90,Cadastros!$E$6:$E$90))*(1-_xlfn.XLOOKUP(_xlfn.XLOOKUP($F300,Clientes!$B$4:$B$39,Clientes!$C$4:$C$39),Cadastros!$L$6:$L$12,Cadastros!$N$6:$N$12)))</f>
        <v/>
      </c>
      <c r="K300" s="168" t="str">
        <f t="shared" si="53"/>
        <v/>
      </c>
      <c r="L300" s="168" t="str">
        <f>IFERROR(K300/_xlfn.XLOOKUP(_xlfn.XLOOKUP($F300,Clientes!$B$4:$B$39,Clientes!$C$4:$C$39),Cadastros!$L$6:$L$12,Cadastros!$M$6:$M$12)," ")</f>
        <v xml:space="preserve"> </v>
      </c>
      <c r="M300" s="28"/>
      <c r="N300" s="28"/>
      <c r="O300" s="255" t="str">
        <f>IF(M300="","",(_xlfn.XLOOKUP(M300,Cadastros!$D$6:$D$90,Cadastros!$E$6:$E$90))*(1-_xlfn.XLOOKUP(_xlfn.XLOOKUP($F300,Clientes!$B$4:$B$39,Clientes!$C$4:$C$39),Cadastros!$L$6:$L$12,Cadastros!$N$6:$N$12)))</f>
        <v/>
      </c>
      <c r="P300" s="168" t="str">
        <f t="shared" si="54"/>
        <v/>
      </c>
      <c r="Q300" s="168" t="str">
        <f>IFERROR(P300/_xlfn.XLOOKUP(_xlfn.XLOOKUP($F300,Clientes!$B$4:$B$39,Clientes!$C$4:$C$39),Cadastros!$L$6:$L$12,Cadastros!$M$6:$M$12)," ")</f>
        <v xml:space="preserve"> </v>
      </c>
      <c r="R300" s="28"/>
      <c r="S300" s="28"/>
      <c r="T300" s="255" t="str">
        <f>IF(R300="","",(_xlfn.XLOOKUP(R300,Cadastros!$D$6:$D$90,Cadastros!$E$6:$E$90))*(1-_xlfn.XLOOKUP(_xlfn.XLOOKUP($F300,Clientes!$B$4:$B$39,Clientes!$C$4:$C$39),Cadastros!$L$6:$L$12,Cadastros!$N$6:$N$12)))</f>
        <v/>
      </c>
      <c r="U300" s="168" t="str">
        <f t="shared" si="55"/>
        <v/>
      </c>
      <c r="V300" s="168" t="str">
        <f>IFERROR(U300/_xlfn.XLOOKUP(_xlfn.XLOOKUP($F300,Clientes!$B$4:$B$39,Clientes!$C$4:$C$39),Cadastros!$L$6:$L$12,Cadastros!$M$6:$M$12)," ")</f>
        <v xml:space="preserve"> </v>
      </c>
      <c r="W300" s="28"/>
      <c r="X300" s="28"/>
      <c r="Y300" s="255" t="str">
        <f>IF(W300="","",(_xlfn.XLOOKUP(W300,Cadastros!$D$6:$D$90,Cadastros!$E$6:$E$90))*(1-_xlfn.XLOOKUP(_xlfn.XLOOKUP($F300,Clientes!$B$4:$B$39,Clientes!$C$4:$C$39),Cadastros!$L$6:$L$12,Cadastros!$N$6:$N$12)))</f>
        <v/>
      </c>
      <c r="Z300" s="168" t="str">
        <f t="shared" si="56"/>
        <v/>
      </c>
      <c r="AA300" s="168" t="str">
        <f>IFERROR(Z300/_xlfn.XLOOKUP(_xlfn.XLOOKUP($F300,Clientes!$B$4:$B$39,Clientes!$C$4:$C$39),Cadastros!$L$6:$L$12,Cadastros!$M$6:$M$12)," ")</f>
        <v xml:space="preserve"> </v>
      </c>
      <c r="AB300" s="28"/>
      <c r="AC300" s="28"/>
      <c r="AD300" s="20" t="str">
        <f>IF(AB300="","",IF($F300="Bernardino Furlan",_xlfn.XLOOKUP(AB300,Cadastros!$G$6:$G$90,Cadastros!$H$6:$H$90)*(1-0.18),IF($F300="Mauro José Salanti",_xlfn.XLOOKUP(AB300,Cadastros!$G$6:$G$90,Cadastros!$H$6:$H$90)*(1-0.18),_xlfn.XLOOKUP(AB300,Cadastros!$G$6:$G$90,Cadastros!$H$6:$H$90))))</f>
        <v/>
      </c>
      <c r="AE300" s="168" t="str">
        <f t="shared" si="57"/>
        <v/>
      </c>
      <c r="AF300" s="168" t="str">
        <f t="shared" si="58"/>
        <v/>
      </c>
      <c r="AG300" s="28"/>
      <c r="AH300" s="28"/>
      <c r="AI300" s="20" t="str">
        <f>IF(AG300="","",IF($F300="Bernardino Furlan",_xlfn.XLOOKUP(AG300,Cadastros!$G$6:$G$90,Cadastros!$H$6:$H$90)*(1-0.18),IF($F300="Mauro José Salanti",_xlfn.XLOOKUP(AG300,Cadastros!$G$6:$G$90,Cadastros!$H$6:$H$90)*(1-0.18),_xlfn.XLOOKUP(AG300,Cadastros!$G$6:$G$90,Cadastros!$H$6:$H$90))))</f>
        <v/>
      </c>
      <c r="AJ300" s="168" t="str">
        <f t="shared" si="59"/>
        <v/>
      </c>
      <c r="AK300" s="168" t="str">
        <f t="shared" si="60"/>
        <v/>
      </c>
      <c r="AL300" s="28"/>
      <c r="AM300" s="28"/>
      <c r="AN300" s="20" t="str">
        <f>IF(AL300="","",IF($F300="Bernardino Furlan",_xlfn.XLOOKUP(AL300,Cadastros!$G$6:$G$90,Cadastros!$H$6:$H$90)*(1-0.18),IF($F300="Mauro José Salanti",_xlfn.XLOOKUP(AL300,Cadastros!$G$6:$G$90,Cadastros!$H$6:$H$90)*(1-0.18),_xlfn.XLOOKUP(AL300,Cadastros!$G$6:$G$90,Cadastros!$H$6:$H$90))))</f>
        <v/>
      </c>
      <c r="AO300" s="168" t="str">
        <f t="shared" si="61"/>
        <v/>
      </c>
      <c r="AP300" s="168" t="str">
        <f t="shared" si="62"/>
        <v/>
      </c>
      <c r="AQ300" s="28"/>
      <c r="AR300" s="28"/>
      <c r="AS300" s="20" t="str">
        <f>IF(AQ300="","",IF($F300="Bernardino Furlan",_xlfn.XLOOKUP(AQ300,Cadastros!$G$6:$G$90,Cadastros!$H$6:$H$90)*(1-0.18),IF($F300="Mauro José Salanti",_xlfn.XLOOKUP(AQ300,Cadastros!$G$6:$G$90,Cadastros!$H$6:$H$90)*(1-0.18),_xlfn.XLOOKUP(AQ300,Cadastros!$G$6:$G$90,Cadastros!$H$6:$H$90))))</f>
        <v/>
      </c>
      <c r="AT300" s="168" t="str">
        <f t="shared" si="63"/>
        <v/>
      </c>
      <c r="AU300" s="168" t="str">
        <f t="shared" si="64"/>
        <v/>
      </c>
      <c r="AV300" s="227"/>
      <c r="AW300" s="30"/>
      <c r="AX300" s="267"/>
      <c r="AY300" s="267"/>
      <c r="AZ300" s="29"/>
      <c r="BA300" s="30"/>
      <c r="BB300" s="23" t="str" cm="1">
        <f t="array" ref="BB300">_xlfn.IFS(AW300="SIM",SUM(K300,P300,U300,Z300,AE300,AJ300,AO300,AT300,AX300,AY300),F300&lt;&gt;"",SUM(K300,P300,U300,Z300,AE300,AJ300,,AO300,AT300),F300="","")</f>
        <v/>
      </c>
      <c r="BC300" s="211" t="str" cm="1">
        <f t="array" ref="BC300">_xlfn.IFS(E300="","",G300&lt;=E300,BB300*(1-0.03),G300&lt;(E300+8),BB300,AZ300="Boleto",BB300*(1+0.001)^DATEDIF(E300,G300,"D"),AZ300="Cheque",BB300,AZ300="Dinheiro","Alterar forma pgto")</f>
        <v/>
      </c>
      <c r="BD300" s="276" t="str" cm="1">
        <f t="array" ref="BD300">IF(F300=0," ",IF(BC300&lt;BB300,(_xlfn.IFS(AW300="SIM",SUM(L300,Q300,V300,AA300,AF300,AK300,AP300,AU300)+AX300/_xlfn.XLOOKUP(_xlfn.XLOOKUP($F300,Clientes!$B$4:$B$39,Clientes!$C$4:$C$39),Cadastros!$L$6:$L$12,Cadastros!$M$6:$M$12)+IF($F300="Bernardino Furlan",AY300/2751.92,IF($F300="Mauro José Salanti",AY300/2751.92,AY300/3356)),F300&lt;&gt;0,SUM(L300,Q300,V300,AA300,AF300,AK300,AP300,AU300)))*(1-0.03),_xlfn.IFS(AW300="SIM",SUM(L300,Q300,V300,AA300,AF300,AK300,AP300,AU300)+AX300/_xlfn.XLOOKUP(_xlfn.XLOOKUP($F300,Clientes!$B$4:$B$39,Clientes!$C$4:$C$39),Cadastros!$L$6:$L$12,Cadastros!$M$6:$M$12)+IF($F300="Bernardino Furlan",AY300/2751.92,IF($F300="Mauro José Salanti",AY300/2751.92,AY300/3356)),F300&lt;&gt;0,SUM(L300,Q300,V300,AA300,AF300,AK300,AP300,AU300))))</f>
        <v xml:space="preserve"> </v>
      </c>
      <c r="BE300" s="120"/>
      <c r="BF300" s="120"/>
      <c r="BG300" s="120"/>
    </row>
    <row r="301" spans="1:59" s="3" customFormat="1" x14ac:dyDescent="0.3">
      <c r="A301" s="15" t="str">
        <f t="shared" si="52"/>
        <v/>
      </c>
      <c r="B301" s="25"/>
      <c r="C301" s="26"/>
      <c r="D301" s="279"/>
      <c r="E301" s="27"/>
      <c r="F301" s="28"/>
      <c r="G301" s="27"/>
      <c r="H301" s="28"/>
      <c r="I301" s="28"/>
      <c r="J301" s="255" t="str">
        <f>IF(H301="","",(_xlfn.XLOOKUP(H301,Cadastros!$D$6:$D$90,Cadastros!$E$6:$E$90))*(1-_xlfn.XLOOKUP(_xlfn.XLOOKUP($F301,Clientes!$B$4:$B$39,Clientes!$C$4:$C$39),Cadastros!$L$6:$L$12,Cadastros!$N$6:$N$12)))</f>
        <v/>
      </c>
      <c r="K301" s="168" t="str">
        <f t="shared" si="53"/>
        <v/>
      </c>
      <c r="L301" s="168" t="str">
        <f>IFERROR(K301/_xlfn.XLOOKUP(_xlfn.XLOOKUP($F301,Clientes!$B$4:$B$39,Clientes!$C$4:$C$39),Cadastros!$L$6:$L$12,Cadastros!$M$6:$M$12)," ")</f>
        <v xml:space="preserve"> </v>
      </c>
      <c r="M301" s="28"/>
      <c r="N301" s="28"/>
      <c r="O301" s="255" t="str">
        <f>IF(M301="","",(_xlfn.XLOOKUP(M301,Cadastros!$D$6:$D$90,Cadastros!$E$6:$E$90))*(1-_xlfn.XLOOKUP(_xlfn.XLOOKUP($F301,Clientes!$B$4:$B$39,Clientes!$C$4:$C$39),Cadastros!$L$6:$L$12,Cadastros!$N$6:$N$12)))</f>
        <v/>
      </c>
      <c r="P301" s="168" t="str">
        <f t="shared" si="54"/>
        <v/>
      </c>
      <c r="Q301" s="168" t="str">
        <f>IFERROR(P301/_xlfn.XLOOKUP(_xlfn.XLOOKUP($F301,Clientes!$B$4:$B$39,Clientes!$C$4:$C$39),Cadastros!$L$6:$L$12,Cadastros!$M$6:$M$12)," ")</f>
        <v xml:space="preserve"> </v>
      </c>
      <c r="R301" s="28"/>
      <c r="S301" s="28"/>
      <c r="T301" s="255" t="str">
        <f>IF(R301="","",(_xlfn.XLOOKUP(R301,Cadastros!$D$6:$D$90,Cadastros!$E$6:$E$90))*(1-_xlfn.XLOOKUP(_xlfn.XLOOKUP($F301,Clientes!$B$4:$B$39,Clientes!$C$4:$C$39),Cadastros!$L$6:$L$12,Cadastros!$N$6:$N$12)))</f>
        <v/>
      </c>
      <c r="U301" s="168" t="str">
        <f t="shared" si="55"/>
        <v/>
      </c>
      <c r="V301" s="168" t="str">
        <f>IFERROR(U301/_xlfn.XLOOKUP(_xlfn.XLOOKUP($F301,Clientes!$B$4:$B$39,Clientes!$C$4:$C$39),Cadastros!$L$6:$L$12,Cadastros!$M$6:$M$12)," ")</f>
        <v xml:space="preserve"> </v>
      </c>
      <c r="W301" s="28"/>
      <c r="X301" s="28"/>
      <c r="Y301" s="255" t="str">
        <f>IF(W301="","",(_xlfn.XLOOKUP(W301,Cadastros!$D$6:$D$90,Cadastros!$E$6:$E$90))*(1-_xlfn.XLOOKUP(_xlfn.XLOOKUP($F301,Clientes!$B$4:$B$39,Clientes!$C$4:$C$39),Cadastros!$L$6:$L$12,Cadastros!$N$6:$N$12)))</f>
        <v/>
      </c>
      <c r="Z301" s="168" t="str">
        <f t="shared" si="56"/>
        <v/>
      </c>
      <c r="AA301" s="168" t="str">
        <f>IFERROR(Z301/_xlfn.XLOOKUP(_xlfn.XLOOKUP($F301,Clientes!$B$4:$B$39,Clientes!$C$4:$C$39),Cadastros!$L$6:$L$12,Cadastros!$M$6:$M$12)," ")</f>
        <v xml:space="preserve"> </v>
      </c>
      <c r="AB301" s="28"/>
      <c r="AC301" s="28"/>
      <c r="AD301" s="20" t="str">
        <f>IF(AB301="","",IF($F301="Bernardino Furlan",_xlfn.XLOOKUP(AB301,Cadastros!$G$6:$G$90,Cadastros!$H$6:$H$90)*(1-0.18),IF($F301="Mauro José Salanti",_xlfn.XLOOKUP(AB301,Cadastros!$G$6:$G$90,Cadastros!$H$6:$H$90)*(1-0.18),_xlfn.XLOOKUP(AB301,Cadastros!$G$6:$G$90,Cadastros!$H$6:$H$90))))</f>
        <v/>
      </c>
      <c r="AE301" s="168" t="str">
        <f t="shared" si="57"/>
        <v/>
      </c>
      <c r="AF301" s="168" t="str">
        <f t="shared" si="58"/>
        <v/>
      </c>
      <c r="AG301" s="28"/>
      <c r="AH301" s="28"/>
      <c r="AI301" s="20" t="str">
        <f>IF(AG301="","",IF($F301="Bernardino Furlan",_xlfn.XLOOKUP(AG301,Cadastros!$G$6:$G$90,Cadastros!$H$6:$H$90)*(1-0.18),IF($F301="Mauro José Salanti",_xlfn.XLOOKUP(AG301,Cadastros!$G$6:$G$90,Cadastros!$H$6:$H$90)*(1-0.18),_xlfn.XLOOKUP(AG301,Cadastros!$G$6:$G$90,Cadastros!$H$6:$H$90))))</f>
        <v/>
      </c>
      <c r="AJ301" s="168" t="str">
        <f t="shared" si="59"/>
        <v/>
      </c>
      <c r="AK301" s="168" t="str">
        <f t="shared" si="60"/>
        <v/>
      </c>
      <c r="AL301" s="28"/>
      <c r="AM301" s="28"/>
      <c r="AN301" s="20" t="str">
        <f>IF(AL301="","",IF($F301="Bernardino Furlan",_xlfn.XLOOKUP(AL301,Cadastros!$G$6:$G$90,Cadastros!$H$6:$H$90)*(1-0.18),IF($F301="Mauro José Salanti",_xlfn.XLOOKUP(AL301,Cadastros!$G$6:$G$90,Cadastros!$H$6:$H$90)*(1-0.18),_xlfn.XLOOKUP(AL301,Cadastros!$G$6:$G$90,Cadastros!$H$6:$H$90))))</f>
        <v/>
      </c>
      <c r="AO301" s="168" t="str">
        <f t="shared" si="61"/>
        <v/>
      </c>
      <c r="AP301" s="168" t="str">
        <f t="shared" si="62"/>
        <v/>
      </c>
      <c r="AQ301" s="28"/>
      <c r="AR301" s="28"/>
      <c r="AS301" s="20" t="str">
        <f>IF(AQ301="","",IF($F301="Bernardino Furlan",_xlfn.XLOOKUP(AQ301,Cadastros!$G$6:$G$90,Cadastros!$H$6:$H$90)*(1-0.18),IF($F301="Mauro José Salanti",_xlfn.XLOOKUP(AQ301,Cadastros!$G$6:$G$90,Cadastros!$H$6:$H$90)*(1-0.18),_xlfn.XLOOKUP(AQ301,Cadastros!$G$6:$G$90,Cadastros!$H$6:$H$90))))</f>
        <v/>
      </c>
      <c r="AT301" s="168" t="str">
        <f t="shared" si="63"/>
        <v/>
      </c>
      <c r="AU301" s="168" t="str">
        <f t="shared" si="64"/>
        <v/>
      </c>
      <c r="AV301" s="227"/>
      <c r="AW301" s="30"/>
      <c r="AX301" s="267"/>
      <c r="AY301" s="267"/>
      <c r="AZ301" s="29"/>
      <c r="BA301" s="30"/>
      <c r="BB301" s="23" t="str" cm="1">
        <f t="array" ref="BB301">_xlfn.IFS(AW301="SIM",SUM(K301,P301,U301,Z301,AE301,AJ301,AO301,AT301,AX301,AY301),F301&lt;&gt;"",SUM(K301,P301,U301,Z301,AE301,AJ301,,AO301,AT301),F301="","")</f>
        <v/>
      </c>
      <c r="BC301" s="211" t="str" cm="1">
        <f t="array" ref="BC301">_xlfn.IFS(E301="","",G301&lt;=E301,BB301*(1-0.03),G301&lt;(E301+8),BB301,AZ301="Boleto",BB301*(1+0.001)^DATEDIF(E301,G301,"D"),AZ301="Cheque",BB301,AZ301="Dinheiro","Alterar forma pgto")</f>
        <v/>
      </c>
      <c r="BD301" s="276" t="str" cm="1">
        <f t="array" ref="BD301">IF(F301=0," ",IF(BC301&lt;BB301,(_xlfn.IFS(AW301="SIM",SUM(L301,Q301,V301,AA301,AF301,AK301,AP301,AU301)+AX301/_xlfn.XLOOKUP(_xlfn.XLOOKUP($F301,Clientes!$B$4:$B$39,Clientes!$C$4:$C$39),Cadastros!$L$6:$L$12,Cadastros!$M$6:$M$12)+IF($F301="Bernardino Furlan",AY301/2751.92,IF($F301="Mauro José Salanti",AY301/2751.92,AY301/3356)),F301&lt;&gt;0,SUM(L301,Q301,V301,AA301,AF301,AK301,AP301,AU301)))*(1-0.03),_xlfn.IFS(AW301="SIM",SUM(L301,Q301,V301,AA301,AF301,AK301,AP301,AU301)+AX301/_xlfn.XLOOKUP(_xlfn.XLOOKUP($F301,Clientes!$B$4:$B$39,Clientes!$C$4:$C$39),Cadastros!$L$6:$L$12,Cadastros!$M$6:$M$12)+IF($F301="Bernardino Furlan",AY301/2751.92,IF($F301="Mauro José Salanti",AY301/2751.92,AY301/3356)),F301&lt;&gt;0,SUM(L301,Q301,V301,AA301,AF301,AK301,AP301,AU301))))</f>
        <v xml:space="preserve"> </v>
      </c>
      <c r="BE301" s="120"/>
      <c r="BF301" s="120"/>
      <c r="BG301" s="120"/>
    </row>
    <row r="302" spans="1:59" s="3" customFormat="1" x14ac:dyDescent="0.3">
      <c r="A302" s="15" t="str">
        <f t="shared" si="52"/>
        <v/>
      </c>
      <c r="B302" s="25"/>
      <c r="C302" s="26"/>
      <c r="D302" s="279"/>
      <c r="E302" s="27"/>
      <c r="F302" s="28"/>
      <c r="G302" s="27"/>
      <c r="H302" s="28"/>
      <c r="I302" s="28"/>
      <c r="J302" s="255" t="str">
        <f>IF(H302="","",(_xlfn.XLOOKUP(H302,Cadastros!$D$6:$D$90,Cadastros!$E$6:$E$90))*(1-_xlfn.XLOOKUP(_xlfn.XLOOKUP($F302,Clientes!$B$4:$B$39,Clientes!$C$4:$C$39),Cadastros!$L$6:$L$12,Cadastros!$N$6:$N$12)))</f>
        <v/>
      </c>
      <c r="K302" s="168" t="str">
        <f t="shared" si="53"/>
        <v/>
      </c>
      <c r="L302" s="168" t="str">
        <f>IFERROR(K302/_xlfn.XLOOKUP(_xlfn.XLOOKUP($F302,Clientes!$B$4:$B$39,Clientes!$C$4:$C$39),Cadastros!$L$6:$L$12,Cadastros!$M$6:$M$12)," ")</f>
        <v xml:space="preserve"> </v>
      </c>
      <c r="M302" s="28"/>
      <c r="N302" s="28"/>
      <c r="O302" s="255" t="str">
        <f>IF(M302="","",(_xlfn.XLOOKUP(M302,Cadastros!$D$6:$D$90,Cadastros!$E$6:$E$90))*(1-_xlfn.XLOOKUP(_xlfn.XLOOKUP($F302,Clientes!$B$4:$B$39,Clientes!$C$4:$C$39),Cadastros!$L$6:$L$12,Cadastros!$N$6:$N$12)))</f>
        <v/>
      </c>
      <c r="P302" s="168" t="str">
        <f t="shared" si="54"/>
        <v/>
      </c>
      <c r="Q302" s="168" t="str">
        <f>IFERROR(P302/_xlfn.XLOOKUP(_xlfn.XLOOKUP($F302,Clientes!$B$4:$B$39,Clientes!$C$4:$C$39),Cadastros!$L$6:$L$12,Cadastros!$M$6:$M$12)," ")</f>
        <v xml:space="preserve"> </v>
      </c>
      <c r="R302" s="28"/>
      <c r="S302" s="28"/>
      <c r="T302" s="255" t="str">
        <f>IF(R302="","",(_xlfn.XLOOKUP(R302,Cadastros!$D$6:$D$90,Cadastros!$E$6:$E$90))*(1-_xlfn.XLOOKUP(_xlfn.XLOOKUP($F302,Clientes!$B$4:$B$39,Clientes!$C$4:$C$39),Cadastros!$L$6:$L$12,Cadastros!$N$6:$N$12)))</f>
        <v/>
      </c>
      <c r="U302" s="168" t="str">
        <f t="shared" si="55"/>
        <v/>
      </c>
      <c r="V302" s="168" t="str">
        <f>IFERROR(U302/_xlfn.XLOOKUP(_xlfn.XLOOKUP($F302,Clientes!$B$4:$B$39,Clientes!$C$4:$C$39),Cadastros!$L$6:$L$12,Cadastros!$M$6:$M$12)," ")</f>
        <v xml:space="preserve"> </v>
      </c>
      <c r="W302" s="28"/>
      <c r="X302" s="28"/>
      <c r="Y302" s="255" t="str">
        <f>IF(W302="","",(_xlfn.XLOOKUP(W302,Cadastros!$D$6:$D$90,Cadastros!$E$6:$E$90))*(1-_xlfn.XLOOKUP(_xlfn.XLOOKUP($F302,Clientes!$B$4:$B$39,Clientes!$C$4:$C$39),Cadastros!$L$6:$L$12,Cadastros!$N$6:$N$12)))</f>
        <v/>
      </c>
      <c r="Z302" s="168" t="str">
        <f t="shared" si="56"/>
        <v/>
      </c>
      <c r="AA302" s="168" t="str">
        <f>IFERROR(Z302/_xlfn.XLOOKUP(_xlfn.XLOOKUP($F302,Clientes!$B$4:$B$39,Clientes!$C$4:$C$39),Cadastros!$L$6:$L$12,Cadastros!$M$6:$M$12)," ")</f>
        <v xml:space="preserve"> </v>
      </c>
      <c r="AB302" s="28"/>
      <c r="AC302" s="28"/>
      <c r="AD302" s="20" t="str">
        <f>IF(AB302="","",IF($F302="Bernardino Furlan",_xlfn.XLOOKUP(AB302,Cadastros!$G$6:$G$90,Cadastros!$H$6:$H$90)*(1-0.18),IF($F302="Mauro José Salanti",_xlfn.XLOOKUP(AB302,Cadastros!$G$6:$G$90,Cadastros!$H$6:$H$90)*(1-0.18),_xlfn.XLOOKUP(AB302,Cadastros!$G$6:$G$90,Cadastros!$H$6:$H$90))))</f>
        <v/>
      </c>
      <c r="AE302" s="168" t="str">
        <f t="shared" si="57"/>
        <v/>
      </c>
      <c r="AF302" s="168" t="str">
        <f t="shared" si="58"/>
        <v/>
      </c>
      <c r="AG302" s="28"/>
      <c r="AH302" s="28"/>
      <c r="AI302" s="20" t="str">
        <f>IF(AG302="","",IF($F302="Bernardino Furlan",_xlfn.XLOOKUP(AG302,Cadastros!$G$6:$G$90,Cadastros!$H$6:$H$90)*(1-0.18),IF($F302="Mauro José Salanti",_xlfn.XLOOKUP(AG302,Cadastros!$G$6:$G$90,Cadastros!$H$6:$H$90)*(1-0.18),_xlfn.XLOOKUP(AG302,Cadastros!$G$6:$G$90,Cadastros!$H$6:$H$90))))</f>
        <v/>
      </c>
      <c r="AJ302" s="168" t="str">
        <f t="shared" si="59"/>
        <v/>
      </c>
      <c r="AK302" s="168" t="str">
        <f t="shared" si="60"/>
        <v/>
      </c>
      <c r="AL302" s="28"/>
      <c r="AM302" s="28"/>
      <c r="AN302" s="20" t="str">
        <f>IF(AL302="","",IF($F302="Bernardino Furlan",_xlfn.XLOOKUP(AL302,Cadastros!$G$6:$G$90,Cadastros!$H$6:$H$90)*(1-0.18),IF($F302="Mauro José Salanti",_xlfn.XLOOKUP(AL302,Cadastros!$G$6:$G$90,Cadastros!$H$6:$H$90)*(1-0.18),_xlfn.XLOOKUP(AL302,Cadastros!$G$6:$G$90,Cadastros!$H$6:$H$90))))</f>
        <v/>
      </c>
      <c r="AO302" s="168" t="str">
        <f t="shared" si="61"/>
        <v/>
      </c>
      <c r="AP302" s="168" t="str">
        <f t="shared" si="62"/>
        <v/>
      </c>
      <c r="AQ302" s="28"/>
      <c r="AR302" s="28"/>
      <c r="AS302" s="20" t="str">
        <f>IF(AQ302="","",IF($F302="Bernardino Furlan",_xlfn.XLOOKUP(AQ302,Cadastros!$G$6:$G$90,Cadastros!$H$6:$H$90)*(1-0.18),IF($F302="Mauro José Salanti",_xlfn.XLOOKUP(AQ302,Cadastros!$G$6:$G$90,Cadastros!$H$6:$H$90)*(1-0.18),_xlfn.XLOOKUP(AQ302,Cadastros!$G$6:$G$90,Cadastros!$H$6:$H$90))))</f>
        <v/>
      </c>
      <c r="AT302" s="168" t="str">
        <f t="shared" si="63"/>
        <v/>
      </c>
      <c r="AU302" s="168" t="str">
        <f t="shared" si="64"/>
        <v/>
      </c>
      <c r="AV302" s="227"/>
      <c r="AW302" s="30"/>
      <c r="AX302" s="267"/>
      <c r="AY302" s="267"/>
      <c r="AZ302" s="29"/>
      <c r="BA302" s="30"/>
      <c r="BB302" s="23" t="str" cm="1">
        <f t="array" ref="BB302">_xlfn.IFS(AW302="SIM",SUM(K302,P302,U302,Z302,AE302,AJ302,AO302,AT302,AX302,AY302),F302&lt;&gt;"",SUM(K302,P302,U302,Z302,AE302,AJ302,,AO302,AT302),F302="","")</f>
        <v/>
      </c>
      <c r="BC302" s="211" t="str" cm="1">
        <f t="array" ref="BC302">_xlfn.IFS(E302="","",G302&lt;=E302,BB302*(1-0.03),G302&lt;(E302+8),BB302,AZ302="Boleto",BB302*(1+0.001)^DATEDIF(E302,G302,"D"),AZ302="Cheque",BB302,AZ302="Dinheiro","Alterar forma pgto")</f>
        <v/>
      </c>
      <c r="BD302" s="276" t="str" cm="1">
        <f t="array" ref="BD302">IF(F302=0," ",IF(BC302&lt;BB302,(_xlfn.IFS(AW302="SIM",SUM(L302,Q302,V302,AA302,AF302,AK302,AP302,AU302)+AX302/_xlfn.XLOOKUP(_xlfn.XLOOKUP($F302,Clientes!$B$4:$B$39,Clientes!$C$4:$C$39),Cadastros!$L$6:$L$12,Cadastros!$M$6:$M$12)+IF($F302="Bernardino Furlan",AY302/2751.92,IF($F302="Mauro José Salanti",AY302/2751.92,AY302/3356)),F302&lt;&gt;0,SUM(L302,Q302,V302,AA302,AF302,AK302,AP302,AU302)))*(1-0.03),_xlfn.IFS(AW302="SIM",SUM(L302,Q302,V302,AA302,AF302,AK302,AP302,AU302)+AX302/_xlfn.XLOOKUP(_xlfn.XLOOKUP($F302,Clientes!$B$4:$B$39,Clientes!$C$4:$C$39),Cadastros!$L$6:$L$12,Cadastros!$M$6:$M$12)+IF($F302="Bernardino Furlan",AY302/2751.92,IF($F302="Mauro José Salanti",AY302/2751.92,AY302/3356)),F302&lt;&gt;0,SUM(L302,Q302,V302,AA302,AF302,AK302,AP302,AU302))))</f>
        <v xml:space="preserve"> </v>
      </c>
      <c r="BE302" s="120"/>
      <c r="BF302" s="120"/>
      <c r="BG302" s="120"/>
    </row>
    <row r="303" spans="1:59" s="3" customFormat="1" x14ac:dyDescent="0.3">
      <c r="A303" s="15" t="str">
        <f t="shared" si="52"/>
        <v/>
      </c>
      <c r="B303" s="25"/>
      <c r="C303" s="26"/>
      <c r="D303" s="279"/>
      <c r="E303" s="27"/>
      <c r="F303" s="28"/>
      <c r="G303" s="27"/>
      <c r="H303" s="28"/>
      <c r="I303" s="28"/>
      <c r="J303" s="255" t="str">
        <f>IF(H303="","",(_xlfn.XLOOKUP(H303,Cadastros!$D$6:$D$90,Cadastros!$E$6:$E$90))*(1-_xlfn.XLOOKUP(_xlfn.XLOOKUP($F303,Clientes!$B$4:$B$39,Clientes!$C$4:$C$39),Cadastros!$L$6:$L$12,Cadastros!$N$6:$N$12)))</f>
        <v/>
      </c>
      <c r="K303" s="168" t="str">
        <f t="shared" si="53"/>
        <v/>
      </c>
      <c r="L303" s="168" t="str">
        <f>IFERROR(K303/_xlfn.XLOOKUP(_xlfn.XLOOKUP($F303,Clientes!$B$4:$B$39,Clientes!$C$4:$C$39),Cadastros!$L$6:$L$12,Cadastros!$M$6:$M$12)," ")</f>
        <v xml:space="preserve"> </v>
      </c>
      <c r="M303" s="28"/>
      <c r="N303" s="28"/>
      <c r="O303" s="255" t="str">
        <f>IF(M303="","",(_xlfn.XLOOKUP(M303,Cadastros!$D$6:$D$90,Cadastros!$E$6:$E$90))*(1-_xlfn.XLOOKUP(_xlfn.XLOOKUP($F303,Clientes!$B$4:$B$39,Clientes!$C$4:$C$39),Cadastros!$L$6:$L$12,Cadastros!$N$6:$N$12)))</f>
        <v/>
      </c>
      <c r="P303" s="168" t="str">
        <f t="shared" si="54"/>
        <v/>
      </c>
      <c r="Q303" s="168" t="str">
        <f>IFERROR(P303/_xlfn.XLOOKUP(_xlfn.XLOOKUP($F303,Clientes!$B$4:$B$39,Clientes!$C$4:$C$39),Cadastros!$L$6:$L$12,Cadastros!$M$6:$M$12)," ")</f>
        <v xml:space="preserve"> </v>
      </c>
      <c r="R303" s="28"/>
      <c r="S303" s="28"/>
      <c r="T303" s="255" t="str">
        <f>IF(R303="","",(_xlfn.XLOOKUP(R303,Cadastros!$D$6:$D$90,Cadastros!$E$6:$E$90))*(1-_xlfn.XLOOKUP(_xlfn.XLOOKUP($F303,Clientes!$B$4:$B$39,Clientes!$C$4:$C$39),Cadastros!$L$6:$L$12,Cadastros!$N$6:$N$12)))</f>
        <v/>
      </c>
      <c r="U303" s="168" t="str">
        <f t="shared" si="55"/>
        <v/>
      </c>
      <c r="V303" s="168" t="str">
        <f>IFERROR(U303/_xlfn.XLOOKUP(_xlfn.XLOOKUP($F303,Clientes!$B$4:$B$39,Clientes!$C$4:$C$39),Cadastros!$L$6:$L$12,Cadastros!$M$6:$M$12)," ")</f>
        <v xml:space="preserve"> </v>
      </c>
      <c r="W303" s="28"/>
      <c r="X303" s="28"/>
      <c r="Y303" s="255" t="str">
        <f>IF(W303="","",(_xlfn.XLOOKUP(W303,Cadastros!$D$6:$D$90,Cadastros!$E$6:$E$90))*(1-_xlfn.XLOOKUP(_xlfn.XLOOKUP($F303,Clientes!$B$4:$B$39,Clientes!$C$4:$C$39),Cadastros!$L$6:$L$12,Cadastros!$N$6:$N$12)))</f>
        <v/>
      </c>
      <c r="Z303" s="168" t="str">
        <f t="shared" si="56"/>
        <v/>
      </c>
      <c r="AA303" s="168" t="str">
        <f>IFERROR(Z303/_xlfn.XLOOKUP(_xlfn.XLOOKUP($F303,Clientes!$B$4:$B$39,Clientes!$C$4:$C$39),Cadastros!$L$6:$L$12,Cadastros!$M$6:$M$12)," ")</f>
        <v xml:space="preserve"> </v>
      </c>
      <c r="AB303" s="28"/>
      <c r="AC303" s="28"/>
      <c r="AD303" s="20" t="str">
        <f>IF(AB303="","",IF($F303="Bernardino Furlan",_xlfn.XLOOKUP(AB303,Cadastros!$G$6:$G$90,Cadastros!$H$6:$H$90)*(1-0.18),IF($F303="Mauro José Salanti",_xlfn.XLOOKUP(AB303,Cadastros!$G$6:$G$90,Cadastros!$H$6:$H$90)*(1-0.18),_xlfn.XLOOKUP(AB303,Cadastros!$G$6:$G$90,Cadastros!$H$6:$H$90))))</f>
        <v/>
      </c>
      <c r="AE303" s="168" t="str">
        <f t="shared" si="57"/>
        <v/>
      </c>
      <c r="AF303" s="168" t="str">
        <f t="shared" si="58"/>
        <v/>
      </c>
      <c r="AG303" s="28"/>
      <c r="AH303" s="28"/>
      <c r="AI303" s="20" t="str">
        <f>IF(AG303="","",IF($F303="Bernardino Furlan",_xlfn.XLOOKUP(AG303,Cadastros!$G$6:$G$90,Cadastros!$H$6:$H$90)*(1-0.18),IF($F303="Mauro José Salanti",_xlfn.XLOOKUP(AG303,Cadastros!$G$6:$G$90,Cadastros!$H$6:$H$90)*(1-0.18),_xlfn.XLOOKUP(AG303,Cadastros!$G$6:$G$90,Cadastros!$H$6:$H$90))))</f>
        <v/>
      </c>
      <c r="AJ303" s="168" t="str">
        <f t="shared" si="59"/>
        <v/>
      </c>
      <c r="AK303" s="168" t="str">
        <f t="shared" si="60"/>
        <v/>
      </c>
      <c r="AL303" s="28"/>
      <c r="AM303" s="28"/>
      <c r="AN303" s="20" t="str">
        <f>IF(AL303="","",IF($F303="Bernardino Furlan",_xlfn.XLOOKUP(AL303,Cadastros!$G$6:$G$90,Cadastros!$H$6:$H$90)*(1-0.18),IF($F303="Mauro José Salanti",_xlfn.XLOOKUP(AL303,Cadastros!$G$6:$G$90,Cadastros!$H$6:$H$90)*(1-0.18),_xlfn.XLOOKUP(AL303,Cadastros!$G$6:$G$90,Cadastros!$H$6:$H$90))))</f>
        <v/>
      </c>
      <c r="AO303" s="168" t="str">
        <f t="shared" si="61"/>
        <v/>
      </c>
      <c r="AP303" s="168" t="str">
        <f t="shared" si="62"/>
        <v/>
      </c>
      <c r="AQ303" s="28"/>
      <c r="AR303" s="28"/>
      <c r="AS303" s="20" t="str">
        <f>IF(AQ303="","",IF($F303="Bernardino Furlan",_xlfn.XLOOKUP(AQ303,Cadastros!$G$6:$G$90,Cadastros!$H$6:$H$90)*(1-0.18),IF($F303="Mauro José Salanti",_xlfn.XLOOKUP(AQ303,Cadastros!$G$6:$G$90,Cadastros!$H$6:$H$90)*(1-0.18),_xlfn.XLOOKUP(AQ303,Cadastros!$G$6:$G$90,Cadastros!$H$6:$H$90))))</f>
        <v/>
      </c>
      <c r="AT303" s="168" t="str">
        <f t="shared" si="63"/>
        <v/>
      </c>
      <c r="AU303" s="168" t="str">
        <f t="shared" si="64"/>
        <v/>
      </c>
      <c r="AV303" s="227"/>
      <c r="AW303" s="30"/>
      <c r="AX303" s="267"/>
      <c r="AY303" s="267"/>
      <c r="AZ303" s="29"/>
      <c r="BA303" s="30"/>
      <c r="BB303" s="23" t="str" cm="1">
        <f t="array" ref="BB303">_xlfn.IFS(AW303="SIM",SUM(K303,P303,U303,Z303,AE303,AJ303,AO303,AT303,AX303,AY303),F303&lt;&gt;"",SUM(K303,P303,U303,Z303,AE303,AJ303,,AO303,AT303),F303="","")</f>
        <v/>
      </c>
      <c r="BC303" s="211" t="str" cm="1">
        <f t="array" ref="BC303">_xlfn.IFS(E303="","",G303&lt;=E303,BB303*(1-0.03),G303&lt;(E303+8),BB303,AZ303="Boleto",BB303*(1+0.001)^DATEDIF(E303,G303,"D"),AZ303="Cheque",BB303,AZ303="Dinheiro","Alterar forma pgto")</f>
        <v/>
      </c>
      <c r="BD303" s="276" t="str" cm="1">
        <f t="array" ref="BD303">IF(F303=0," ",IF(BC303&lt;BB303,(_xlfn.IFS(AW303="SIM",SUM(L303,Q303,V303,AA303,AF303,AK303,AP303,AU303)+AX303/_xlfn.XLOOKUP(_xlfn.XLOOKUP($F303,Clientes!$B$4:$B$39,Clientes!$C$4:$C$39),Cadastros!$L$6:$L$12,Cadastros!$M$6:$M$12)+IF($F303="Bernardino Furlan",AY303/2751.92,IF($F303="Mauro José Salanti",AY303/2751.92,AY303/3356)),F303&lt;&gt;0,SUM(L303,Q303,V303,AA303,AF303,AK303,AP303,AU303)))*(1-0.03),_xlfn.IFS(AW303="SIM",SUM(L303,Q303,V303,AA303,AF303,AK303,AP303,AU303)+AX303/_xlfn.XLOOKUP(_xlfn.XLOOKUP($F303,Clientes!$B$4:$B$39,Clientes!$C$4:$C$39),Cadastros!$L$6:$L$12,Cadastros!$M$6:$M$12)+IF($F303="Bernardino Furlan",AY303/2751.92,IF($F303="Mauro José Salanti",AY303/2751.92,AY303/3356)),F303&lt;&gt;0,SUM(L303,Q303,V303,AA303,AF303,AK303,AP303,AU303))))</f>
        <v xml:space="preserve"> </v>
      </c>
      <c r="BE303" s="120"/>
      <c r="BF303" s="120"/>
      <c r="BG303" s="120"/>
    </row>
    <row r="304" spans="1:59" s="3" customFormat="1" x14ac:dyDescent="0.3">
      <c r="A304" s="15" t="str">
        <f t="shared" si="52"/>
        <v/>
      </c>
      <c r="B304" s="25"/>
      <c r="C304" s="26"/>
      <c r="D304" s="279"/>
      <c r="E304" s="27"/>
      <c r="F304" s="28"/>
      <c r="G304" s="27"/>
      <c r="H304" s="28"/>
      <c r="I304" s="28"/>
      <c r="J304" s="255" t="str">
        <f>IF(H304="","",(_xlfn.XLOOKUP(H304,Cadastros!$D$6:$D$90,Cadastros!$E$6:$E$90))*(1-_xlfn.XLOOKUP(_xlfn.XLOOKUP($F304,Clientes!$B$4:$B$39,Clientes!$C$4:$C$39),Cadastros!$L$6:$L$12,Cadastros!$N$6:$N$12)))</f>
        <v/>
      </c>
      <c r="K304" s="168" t="str">
        <f t="shared" si="53"/>
        <v/>
      </c>
      <c r="L304" s="168" t="str">
        <f>IFERROR(K304/_xlfn.XLOOKUP(_xlfn.XLOOKUP($F304,Clientes!$B$4:$B$39,Clientes!$C$4:$C$39),Cadastros!$L$6:$L$12,Cadastros!$M$6:$M$12)," ")</f>
        <v xml:space="preserve"> </v>
      </c>
      <c r="M304" s="28"/>
      <c r="N304" s="28"/>
      <c r="O304" s="255" t="str">
        <f>IF(M304="","",(_xlfn.XLOOKUP(M304,Cadastros!$D$6:$D$90,Cadastros!$E$6:$E$90))*(1-_xlfn.XLOOKUP(_xlfn.XLOOKUP($F304,Clientes!$B$4:$B$39,Clientes!$C$4:$C$39),Cadastros!$L$6:$L$12,Cadastros!$N$6:$N$12)))</f>
        <v/>
      </c>
      <c r="P304" s="168" t="str">
        <f t="shared" si="54"/>
        <v/>
      </c>
      <c r="Q304" s="168" t="str">
        <f>IFERROR(P304/_xlfn.XLOOKUP(_xlfn.XLOOKUP($F304,Clientes!$B$4:$B$39,Clientes!$C$4:$C$39),Cadastros!$L$6:$L$12,Cadastros!$M$6:$M$12)," ")</f>
        <v xml:space="preserve"> </v>
      </c>
      <c r="R304" s="28"/>
      <c r="S304" s="28"/>
      <c r="T304" s="255" t="str">
        <f>IF(R304="","",(_xlfn.XLOOKUP(R304,Cadastros!$D$6:$D$90,Cadastros!$E$6:$E$90))*(1-_xlfn.XLOOKUP(_xlfn.XLOOKUP($F304,Clientes!$B$4:$B$39,Clientes!$C$4:$C$39),Cadastros!$L$6:$L$12,Cadastros!$N$6:$N$12)))</f>
        <v/>
      </c>
      <c r="U304" s="168" t="str">
        <f t="shared" si="55"/>
        <v/>
      </c>
      <c r="V304" s="168" t="str">
        <f>IFERROR(U304/_xlfn.XLOOKUP(_xlfn.XLOOKUP($F304,Clientes!$B$4:$B$39,Clientes!$C$4:$C$39),Cadastros!$L$6:$L$12,Cadastros!$M$6:$M$12)," ")</f>
        <v xml:space="preserve"> </v>
      </c>
      <c r="W304" s="28"/>
      <c r="X304" s="28"/>
      <c r="Y304" s="255" t="str">
        <f>IF(W304="","",(_xlfn.XLOOKUP(W304,Cadastros!$D$6:$D$90,Cadastros!$E$6:$E$90))*(1-_xlfn.XLOOKUP(_xlfn.XLOOKUP($F304,Clientes!$B$4:$B$39,Clientes!$C$4:$C$39),Cadastros!$L$6:$L$12,Cadastros!$N$6:$N$12)))</f>
        <v/>
      </c>
      <c r="Z304" s="168" t="str">
        <f t="shared" si="56"/>
        <v/>
      </c>
      <c r="AA304" s="168" t="str">
        <f>IFERROR(Z304/_xlfn.XLOOKUP(_xlfn.XLOOKUP($F304,Clientes!$B$4:$B$39,Clientes!$C$4:$C$39),Cadastros!$L$6:$L$12,Cadastros!$M$6:$M$12)," ")</f>
        <v xml:space="preserve"> </v>
      </c>
      <c r="AB304" s="28"/>
      <c r="AC304" s="28"/>
      <c r="AD304" s="20" t="str">
        <f>IF(AB304="","",IF($F304="Bernardino Furlan",_xlfn.XLOOKUP(AB304,Cadastros!$G$6:$G$90,Cadastros!$H$6:$H$90)*(1-0.18),IF($F304="Mauro José Salanti",_xlfn.XLOOKUP(AB304,Cadastros!$G$6:$G$90,Cadastros!$H$6:$H$90)*(1-0.18),_xlfn.XLOOKUP(AB304,Cadastros!$G$6:$G$90,Cadastros!$H$6:$H$90))))</f>
        <v/>
      </c>
      <c r="AE304" s="168" t="str">
        <f t="shared" si="57"/>
        <v/>
      </c>
      <c r="AF304" s="168" t="str">
        <f t="shared" si="58"/>
        <v/>
      </c>
      <c r="AG304" s="28"/>
      <c r="AH304" s="28"/>
      <c r="AI304" s="20" t="str">
        <f>IF(AG304="","",IF($F304="Bernardino Furlan",_xlfn.XLOOKUP(AG304,Cadastros!$G$6:$G$90,Cadastros!$H$6:$H$90)*(1-0.18),IF($F304="Mauro José Salanti",_xlfn.XLOOKUP(AG304,Cadastros!$G$6:$G$90,Cadastros!$H$6:$H$90)*(1-0.18),_xlfn.XLOOKUP(AG304,Cadastros!$G$6:$G$90,Cadastros!$H$6:$H$90))))</f>
        <v/>
      </c>
      <c r="AJ304" s="168" t="str">
        <f t="shared" si="59"/>
        <v/>
      </c>
      <c r="AK304" s="168" t="str">
        <f t="shared" si="60"/>
        <v/>
      </c>
      <c r="AL304" s="28"/>
      <c r="AM304" s="28"/>
      <c r="AN304" s="20" t="str">
        <f>IF(AL304="","",IF($F304="Bernardino Furlan",_xlfn.XLOOKUP(AL304,Cadastros!$G$6:$G$90,Cadastros!$H$6:$H$90)*(1-0.18),IF($F304="Mauro José Salanti",_xlfn.XLOOKUP(AL304,Cadastros!$G$6:$G$90,Cadastros!$H$6:$H$90)*(1-0.18),_xlfn.XLOOKUP(AL304,Cadastros!$G$6:$G$90,Cadastros!$H$6:$H$90))))</f>
        <v/>
      </c>
      <c r="AO304" s="168" t="str">
        <f t="shared" si="61"/>
        <v/>
      </c>
      <c r="AP304" s="168" t="str">
        <f t="shared" si="62"/>
        <v/>
      </c>
      <c r="AQ304" s="28"/>
      <c r="AR304" s="28"/>
      <c r="AS304" s="20" t="str">
        <f>IF(AQ304="","",IF($F304="Bernardino Furlan",_xlfn.XLOOKUP(AQ304,Cadastros!$G$6:$G$90,Cadastros!$H$6:$H$90)*(1-0.18),IF($F304="Mauro José Salanti",_xlfn.XLOOKUP(AQ304,Cadastros!$G$6:$G$90,Cadastros!$H$6:$H$90)*(1-0.18),_xlfn.XLOOKUP(AQ304,Cadastros!$G$6:$G$90,Cadastros!$H$6:$H$90))))</f>
        <v/>
      </c>
      <c r="AT304" s="168" t="str">
        <f t="shared" si="63"/>
        <v/>
      </c>
      <c r="AU304" s="168" t="str">
        <f t="shared" si="64"/>
        <v/>
      </c>
      <c r="AV304" s="227"/>
      <c r="AW304" s="30"/>
      <c r="AX304" s="267"/>
      <c r="AY304" s="267"/>
      <c r="AZ304" s="29"/>
      <c r="BA304" s="30"/>
      <c r="BB304" s="23" t="str" cm="1">
        <f t="array" ref="BB304">_xlfn.IFS(AW304="SIM",SUM(K304,P304,U304,Z304,AE304,AJ304,AO304,AT304,AX304,AY304),F304&lt;&gt;"",SUM(K304,P304,U304,Z304,AE304,AJ304,,AO304,AT304),F304="","")</f>
        <v/>
      </c>
      <c r="BC304" s="211" t="str" cm="1">
        <f t="array" ref="BC304">_xlfn.IFS(E304="","",G304&lt;=E304,BB304*(1-0.03),G304&lt;(E304+8),BB304,AZ304="Boleto",BB304*(1+0.001)^DATEDIF(E304,G304,"D"),AZ304="Cheque",BB304,AZ304="Dinheiro","Alterar forma pgto")</f>
        <v/>
      </c>
      <c r="BD304" s="276" t="str" cm="1">
        <f t="array" ref="BD304">IF(F304=0," ",IF(BC304&lt;BB304,(_xlfn.IFS(AW304="SIM",SUM(L304,Q304,V304,AA304,AF304,AK304,AP304,AU304)+AX304/_xlfn.XLOOKUP(_xlfn.XLOOKUP($F304,Clientes!$B$4:$B$39,Clientes!$C$4:$C$39),Cadastros!$L$6:$L$12,Cadastros!$M$6:$M$12)+IF($F304="Bernardino Furlan",AY304/2751.92,IF($F304="Mauro José Salanti",AY304/2751.92,AY304/3356)),F304&lt;&gt;0,SUM(L304,Q304,V304,AA304,AF304,AK304,AP304,AU304)))*(1-0.03),_xlfn.IFS(AW304="SIM",SUM(L304,Q304,V304,AA304,AF304,AK304,AP304,AU304)+AX304/_xlfn.XLOOKUP(_xlfn.XLOOKUP($F304,Clientes!$B$4:$B$39,Clientes!$C$4:$C$39),Cadastros!$L$6:$L$12,Cadastros!$M$6:$M$12)+IF($F304="Bernardino Furlan",AY304/2751.92,IF($F304="Mauro José Salanti",AY304/2751.92,AY304/3356)),F304&lt;&gt;0,SUM(L304,Q304,V304,AA304,AF304,AK304,AP304,AU304))))</f>
        <v xml:space="preserve"> </v>
      </c>
      <c r="BE304" s="120"/>
      <c r="BF304" s="120"/>
      <c r="BG304" s="120"/>
    </row>
    <row r="305" spans="1:59" s="3" customFormat="1" x14ac:dyDescent="0.3">
      <c r="A305" s="15" t="str">
        <f t="shared" si="52"/>
        <v/>
      </c>
      <c r="B305" s="34"/>
      <c r="C305" s="35"/>
      <c r="D305" s="280"/>
      <c r="E305" s="36"/>
      <c r="F305" s="37"/>
      <c r="G305" s="36"/>
      <c r="H305" s="37"/>
      <c r="I305" s="37"/>
      <c r="J305" s="255" t="str">
        <f>IF(H305="","",(_xlfn.XLOOKUP(H305,Cadastros!$D$6:$D$90,Cadastros!$E$6:$E$90))*(1-_xlfn.XLOOKUP(_xlfn.XLOOKUP($F305,Clientes!$B$4:$B$39,Clientes!$C$4:$C$39),Cadastros!$L$6:$L$12,Cadastros!$N$6:$N$12)))</f>
        <v/>
      </c>
      <c r="K305" s="168" t="str">
        <f t="shared" si="53"/>
        <v/>
      </c>
      <c r="L305" s="168" t="str">
        <f>IFERROR(K305/_xlfn.XLOOKUP(_xlfn.XLOOKUP($F305,Clientes!$B$4:$B$39,Clientes!$C$4:$C$39),Cadastros!$L$6:$L$12,Cadastros!$M$6:$M$12)," ")</f>
        <v xml:space="preserve"> </v>
      </c>
      <c r="M305" s="37"/>
      <c r="N305" s="37"/>
      <c r="O305" s="255" t="str">
        <f>IF(M305="","",(_xlfn.XLOOKUP(M305,Cadastros!$D$6:$D$90,Cadastros!$E$6:$E$90))*(1-_xlfn.XLOOKUP(_xlfn.XLOOKUP($F305,Clientes!$B$4:$B$39,Clientes!$C$4:$C$39),Cadastros!$L$6:$L$12,Cadastros!$N$6:$N$12)))</f>
        <v/>
      </c>
      <c r="P305" s="168" t="str">
        <f t="shared" si="54"/>
        <v/>
      </c>
      <c r="Q305" s="168" t="str">
        <f>IFERROR(P305/_xlfn.XLOOKUP(_xlfn.XLOOKUP($F305,Clientes!$B$4:$B$39,Clientes!$C$4:$C$39),Cadastros!$L$6:$L$12,Cadastros!$M$6:$M$12)," ")</f>
        <v xml:space="preserve"> </v>
      </c>
      <c r="R305" s="37"/>
      <c r="S305" s="37"/>
      <c r="T305" s="255" t="str">
        <f>IF(R305="","",(_xlfn.XLOOKUP(R305,Cadastros!$D$6:$D$90,Cadastros!$E$6:$E$90))*(1-_xlfn.XLOOKUP(_xlfn.XLOOKUP($F305,Clientes!$B$4:$B$39,Clientes!$C$4:$C$39),Cadastros!$L$6:$L$12,Cadastros!$N$6:$N$12)))</f>
        <v/>
      </c>
      <c r="U305" s="168" t="str">
        <f t="shared" si="55"/>
        <v/>
      </c>
      <c r="V305" s="168" t="str">
        <f>IFERROR(U305/_xlfn.XLOOKUP(_xlfn.XLOOKUP($F305,Clientes!$B$4:$B$39,Clientes!$C$4:$C$39),Cadastros!$L$6:$L$12,Cadastros!$M$6:$M$12)," ")</f>
        <v xml:space="preserve"> </v>
      </c>
      <c r="W305" s="37"/>
      <c r="X305" s="37"/>
      <c r="Y305" s="255" t="str">
        <f>IF(W305="","",(_xlfn.XLOOKUP(W305,Cadastros!$D$6:$D$90,Cadastros!$E$6:$E$90))*(1-_xlfn.XLOOKUP(_xlfn.XLOOKUP($F305,Clientes!$B$4:$B$39,Clientes!$C$4:$C$39),Cadastros!$L$6:$L$12,Cadastros!$N$6:$N$12)))</f>
        <v/>
      </c>
      <c r="Z305" s="168" t="str">
        <f t="shared" si="56"/>
        <v/>
      </c>
      <c r="AA305" s="168" t="str">
        <f>IFERROR(Z305/_xlfn.XLOOKUP(_xlfn.XLOOKUP($F305,Clientes!$B$4:$B$39,Clientes!$C$4:$C$39),Cadastros!$L$6:$L$12,Cadastros!$M$6:$M$12)," ")</f>
        <v xml:space="preserve"> </v>
      </c>
      <c r="AB305" s="37"/>
      <c r="AC305" s="37"/>
      <c r="AD305" s="20" t="str">
        <f>IF(AB305="","",IF($F305="Bernardino Furlan",_xlfn.XLOOKUP(AB305,Cadastros!$G$6:$G$90,Cadastros!$H$6:$H$90)*(1-0.18),IF($F305="Mauro José Salanti",_xlfn.XLOOKUP(AB305,Cadastros!$G$6:$G$90,Cadastros!$H$6:$H$90)*(1-0.18),_xlfn.XLOOKUP(AB305,Cadastros!$G$6:$G$90,Cadastros!$H$6:$H$90))))</f>
        <v/>
      </c>
      <c r="AE305" s="168" t="str">
        <f t="shared" si="57"/>
        <v/>
      </c>
      <c r="AF305" s="168" t="str">
        <f t="shared" si="58"/>
        <v/>
      </c>
      <c r="AG305" s="37"/>
      <c r="AH305" s="37"/>
      <c r="AI305" s="20" t="str">
        <f>IF(AG305="","",IF($F305="Bernardino Furlan",_xlfn.XLOOKUP(AG305,Cadastros!$G$6:$G$90,Cadastros!$H$6:$H$90)*(1-0.18),IF($F305="Mauro José Salanti",_xlfn.XLOOKUP(AG305,Cadastros!$G$6:$G$90,Cadastros!$H$6:$H$90)*(1-0.18),_xlfn.XLOOKUP(AG305,Cadastros!$G$6:$G$90,Cadastros!$H$6:$H$90))))</f>
        <v/>
      </c>
      <c r="AJ305" s="168" t="str">
        <f t="shared" si="59"/>
        <v/>
      </c>
      <c r="AK305" s="168" t="str">
        <f t="shared" si="60"/>
        <v/>
      </c>
      <c r="AL305" s="37"/>
      <c r="AM305" s="37"/>
      <c r="AN305" s="20" t="str">
        <f>IF(AL305="","",IF($F305="Bernardino Furlan",_xlfn.XLOOKUP(AL305,Cadastros!$G$6:$G$90,Cadastros!$H$6:$H$90)*(1-0.18),IF($F305="Mauro José Salanti",_xlfn.XLOOKUP(AL305,Cadastros!$G$6:$G$90,Cadastros!$H$6:$H$90)*(1-0.18),_xlfn.XLOOKUP(AL305,Cadastros!$G$6:$G$90,Cadastros!$H$6:$H$90))))</f>
        <v/>
      </c>
      <c r="AO305" s="168" t="str">
        <f t="shared" si="61"/>
        <v/>
      </c>
      <c r="AP305" s="168" t="str">
        <f t="shared" si="62"/>
        <v/>
      </c>
      <c r="AQ305" s="37"/>
      <c r="AR305" s="37"/>
      <c r="AS305" s="20" t="str">
        <f>IF(AQ305="","",IF($F305="Bernardino Furlan",_xlfn.XLOOKUP(AQ305,Cadastros!$G$6:$G$90,Cadastros!$H$6:$H$90)*(1-0.18),IF($F305="Mauro José Salanti",_xlfn.XLOOKUP(AQ305,Cadastros!$G$6:$G$90,Cadastros!$H$6:$H$90)*(1-0.18),_xlfn.XLOOKUP(AQ305,Cadastros!$G$6:$G$90,Cadastros!$H$6:$H$90))))</f>
        <v/>
      </c>
      <c r="AT305" s="168" t="str">
        <f t="shared" si="63"/>
        <v/>
      </c>
      <c r="AU305" s="168" t="str">
        <f t="shared" si="64"/>
        <v/>
      </c>
      <c r="AV305" s="228"/>
      <c r="AW305" s="38"/>
      <c r="AX305" s="268"/>
      <c r="AY305" s="268"/>
      <c r="AZ305" s="33"/>
      <c r="BA305" s="38"/>
      <c r="BB305" s="23" t="str" cm="1">
        <f t="array" ref="BB305">_xlfn.IFS(AW305="SIM",SUM(K305,P305,U305,Z305,AE305,AJ305,AO305,AT305,AX305,AY305),F305&lt;&gt;"",SUM(K305,P305,U305,Z305,AE305,AJ305,,AO305,AT305),F305="","")</f>
        <v/>
      </c>
      <c r="BC305" s="211" t="str" cm="1">
        <f t="array" ref="BC305">_xlfn.IFS(E305="","",G305&lt;=E305,BB305*(1-0.03),G305&lt;(E305+8),BB305,AZ305="Boleto",BB305*(1+0.001)^DATEDIF(E305,G305,"D"),AZ305="Cheque",BB305,AZ305="Dinheiro","Alterar forma pgto")</f>
        <v/>
      </c>
      <c r="BD305" s="276" t="str" cm="1">
        <f t="array" ref="BD305">IF(F305=0," ",IF(BC305&lt;BB305,(_xlfn.IFS(AW305="SIM",SUM(L305,Q305,V305,AA305,AF305,AK305,AP305,AU305)+AX305/_xlfn.XLOOKUP(_xlfn.XLOOKUP($F305,Clientes!$B$4:$B$39,Clientes!$C$4:$C$39),Cadastros!$L$6:$L$12,Cadastros!$M$6:$M$12)+IF($F305="Bernardino Furlan",AY305/2751.92,IF($F305="Mauro José Salanti",AY305/2751.92,AY305/3356)),F305&lt;&gt;0,SUM(L305,Q305,V305,AA305,AF305,AK305,AP305,AU305)))*(1-0.03),_xlfn.IFS(AW305="SIM",SUM(L305,Q305,V305,AA305,AF305,AK305,AP305,AU305)+AX305/_xlfn.XLOOKUP(_xlfn.XLOOKUP($F305,Clientes!$B$4:$B$39,Clientes!$C$4:$C$39),Cadastros!$L$6:$L$12,Cadastros!$M$6:$M$12)+IF($F305="Bernardino Furlan",AY305/2751.92,IF($F305="Mauro José Salanti",AY305/2751.92,AY305/3356)),F305&lt;&gt;0,SUM(L305,Q305,V305,AA305,AF305,AK305,AP305,AU305))))</f>
        <v xml:space="preserve"> </v>
      </c>
      <c r="BE305" s="120"/>
      <c r="BF305" s="120"/>
      <c r="BG305" s="120"/>
    </row>
    <row r="306" spans="1:59" s="3" customFormat="1" x14ac:dyDescent="0.3">
      <c r="A306" s="15" t="str">
        <f t="shared" si="52"/>
        <v/>
      </c>
      <c r="B306" s="25"/>
      <c r="C306" s="26"/>
      <c r="D306" s="279"/>
      <c r="E306" s="27"/>
      <c r="F306" s="28"/>
      <c r="G306" s="27"/>
      <c r="H306" s="28"/>
      <c r="I306" s="28"/>
      <c r="J306" s="255" t="str">
        <f>IF(H306="","",(_xlfn.XLOOKUP(H306,Cadastros!$D$6:$D$90,Cadastros!$E$6:$E$90))*(1-_xlfn.XLOOKUP(_xlfn.XLOOKUP($F306,Clientes!$B$4:$B$39,Clientes!$C$4:$C$39),Cadastros!$L$6:$L$12,Cadastros!$N$6:$N$12)))</f>
        <v/>
      </c>
      <c r="K306" s="168" t="str">
        <f t="shared" si="53"/>
        <v/>
      </c>
      <c r="L306" s="168" t="str">
        <f>IFERROR(K306/_xlfn.XLOOKUP(_xlfn.XLOOKUP($F306,Clientes!$B$4:$B$39,Clientes!$C$4:$C$39),Cadastros!$L$6:$L$12,Cadastros!$M$6:$M$12)," ")</f>
        <v xml:space="preserve"> </v>
      </c>
      <c r="M306" s="28"/>
      <c r="N306" s="28"/>
      <c r="O306" s="255" t="str">
        <f>IF(M306="","",(_xlfn.XLOOKUP(M306,Cadastros!$D$6:$D$90,Cadastros!$E$6:$E$90))*(1-_xlfn.XLOOKUP(_xlfn.XLOOKUP($F306,Clientes!$B$4:$B$39,Clientes!$C$4:$C$39),Cadastros!$L$6:$L$12,Cadastros!$N$6:$N$12)))</f>
        <v/>
      </c>
      <c r="P306" s="168" t="str">
        <f t="shared" si="54"/>
        <v/>
      </c>
      <c r="Q306" s="168" t="str">
        <f>IFERROR(P306/_xlfn.XLOOKUP(_xlfn.XLOOKUP($F306,Clientes!$B$4:$B$39,Clientes!$C$4:$C$39),Cadastros!$L$6:$L$12,Cadastros!$M$6:$M$12)," ")</f>
        <v xml:space="preserve"> </v>
      </c>
      <c r="R306" s="28"/>
      <c r="S306" s="28"/>
      <c r="T306" s="255" t="str">
        <f>IF(R306="","",(_xlfn.XLOOKUP(R306,Cadastros!$D$6:$D$90,Cadastros!$E$6:$E$90))*(1-_xlfn.XLOOKUP(_xlfn.XLOOKUP($F306,Clientes!$B$4:$B$39,Clientes!$C$4:$C$39),Cadastros!$L$6:$L$12,Cadastros!$N$6:$N$12)))</f>
        <v/>
      </c>
      <c r="U306" s="168" t="str">
        <f t="shared" si="55"/>
        <v/>
      </c>
      <c r="V306" s="168" t="str">
        <f>IFERROR(U306/_xlfn.XLOOKUP(_xlfn.XLOOKUP($F306,Clientes!$B$4:$B$39,Clientes!$C$4:$C$39),Cadastros!$L$6:$L$12,Cadastros!$M$6:$M$12)," ")</f>
        <v xml:space="preserve"> </v>
      </c>
      <c r="W306" s="28"/>
      <c r="X306" s="28"/>
      <c r="Y306" s="255" t="str">
        <f>IF(W306="","",(_xlfn.XLOOKUP(W306,Cadastros!$D$6:$D$90,Cadastros!$E$6:$E$90))*(1-_xlfn.XLOOKUP(_xlfn.XLOOKUP($F306,Clientes!$B$4:$B$39,Clientes!$C$4:$C$39),Cadastros!$L$6:$L$12,Cadastros!$N$6:$N$12)))</f>
        <v/>
      </c>
      <c r="Z306" s="168" t="str">
        <f t="shared" si="56"/>
        <v/>
      </c>
      <c r="AA306" s="168" t="str">
        <f>IFERROR(Z306/_xlfn.XLOOKUP(_xlfn.XLOOKUP($F306,Clientes!$B$4:$B$39,Clientes!$C$4:$C$39),Cadastros!$L$6:$L$12,Cadastros!$M$6:$M$12)," ")</f>
        <v xml:space="preserve"> </v>
      </c>
      <c r="AB306" s="28"/>
      <c r="AC306" s="28"/>
      <c r="AD306" s="20" t="str">
        <f>IF(AB306="","",IF($F306="Bernardino Furlan",_xlfn.XLOOKUP(AB306,Cadastros!$G$6:$G$90,Cadastros!$H$6:$H$90)*(1-0.18),IF($F306="Mauro José Salanti",_xlfn.XLOOKUP(AB306,Cadastros!$G$6:$G$90,Cadastros!$H$6:$H$90)*(1-0.18),_xlfn.XLOOKUP(AB306,Cadastros!$G$6:$G$90,Cadastros!$H$6:$H$90))))</f>
        <v/>
      </c>
      <c r="AE306" s="168" t="str">
        <f t="shared" si="57"/>
        <v/>
      </c>
      <c r="AF306" s="168" t="str">
        <f t="shared" si="58"/>
        <v/>
      </c>
      <c r="AG306" s="28"/>
      <c r="AH306" s="28"/>
      <c r="AI306" s="20" t="str">
        <f>IF(AG306="","",IF($F306="Bernardino Furlan",_xlfn.XLOOKUP(AG306,Cadastros!$G$6:$G$90,Cadastros!$H$6:$H$90)*(1-0.18),IF($F306="Mauro José Salanti",_xlfn.XLOOKUP(AG306,Cadastros!$G$6:$G$90,Cadastros!$H$6:$H$90)*(1-0.18),_xlfn.XLOOKUP(AG306,Cadastros!$G$6:$G$90,Cadastros!$H$6:$H$90))))</f>
        <v/>
      </c>
      <c r="AJ306" s="168" t="str">
        <f t="shared" si="59"/>
        <v/>
      </c>
      <c r="AK306" s="168" t="str">
        <f t="shared" si="60"/>
        <v/>
      </c>
      <c r="AL306" s="28"/>
      <c r="AM306" s="28"/>
      <c r="AN306" s="20" t="str">
        <f>IF(AL306="","",IF($F306="Bernardino Furlan",_xlfn.XLOOKUP(AL306,Cadastros!$G$6:$G$90,Cadastros!$H$6:$H$90)*(1-0.18),IF($F306="Mauro José Salanti",_xlfn.XLOOKUP(AL306,Cadastros!$G$6:$G$90,Cadastros!$H$6:$H$90)*(1-0.18),_xlfn.XLOOKUP(AL306,Cadastros!$G$6:$G$90,Cadastros!$H$6:$H$90))))</f>
        <v/>
      </c>
      <c r="AO306" s="168" t="str">
        <f t="shared" si="61"/>
        <v/>
      </c>
      <c r="AP306" s="168" t="str">
        <f t="shared" si="62"/>
        <v/>
      </c>
      <c r="AQ306" s="28"/>
      <c r="AR306" s="28"/>
      <c r="AS306" s="20" t="str">
        <f>IF(AQ306="","",IF($F306="Bernardino Furlan",_xlfn.XLOOKUP(AQ306,Cadastros!$G$6:$G$90,Cadastros!$H$6:$H$90)*(1-0.18),IF($F306="Mauro José Salanti",_xlfn.XLOOKUP(AQ306,Cadastros!$G$6:$G$90,Cadastros!$H$6:$H$90)*(1-0.18),_xlfn.XLOOKUP(AQ306,Cadastros!$G$6:$G$90,Cadastros!$H$6:$H$90))))</f>
        <v/>
      </c>
      <c r="AT306" s="168" t="str">
        <f t="shared" si="63"/>
        <v/>
      </c>
      <c r="AU306" s="168" t="str">
        <f t="shared" si="64"/>
        <v/>
      </c>
      <c r="AV306" s="227"/>
      <c r="AW306" s="30"/>
      <c r="AX306" s="267"/>
      <c r="AY306" s="267"/>
      <c r="AZ306" s="29"/>
      <c r="BA306" s="30"/>
      <c r="BB306" s="23" t="str" cm="1">
        <f t="array" ref="BB306">_xlfn.IFS(AW306="SIM",SUM(K306,P306,U306,Z306,AE306,AJ306,AO306,AT306,AX306,AY306),F306&lt;&gt;"",SUM(K306,P306,U306,Z306,AE306,AJ306,,AO306,AT306),F306="","")</f>
        <v/>
      </c>
      <c r="BC306" s="211" t="str" cm="1">
        <f t="array" ref="BC306">_xlfn.IFS(E306="","",G306&lt;=E306,BB306*(1-0.03),G306&lt;(E306+8),BB306,AZ306="Boleto",BB306*(1+0.001)^DATEDIF(E306,G306,"D"),AZ306="Cheque",BB306,AZ306="Dinheiro","Alterar forma pgto")</f>
        <v/>
      </c>
      <c r="BD306" s="276" t="str" cm="1">
        <f t="array" ref="BD306">IF(F306=0," ",IF(BC306&lt;BB306,(_xlfn.IFS(AW306="SIM",SUM(L306,Q306,V306,AA306,AF306,AK306,AP306,AU306)+AX306/_xlfn.XLOOKUP(_xlfn.XLOOKUP($F306,Clientes!$B$4:$B$39,Clientes!$C$4:$C$39),Cadastros!$L$6:$L$12,Cadastros!$M$6:$M$12)+IF($F306="Bernardino Furlan",AY306/2751.92,IF($F306="Mauro José Salanti",AY306/2751.92,AY306/3356)),F306&lt;&gt;0,SUM(L306,Q306,V306,AA306,AF306,AK306,AP306,AU306)))*(1-0.03),_xlfn.IFS(AW306="SIM",SUM(L306,Q306,V306,AA306,AF306,AK306,AP306,AU306)+AX306/_xlfn.XLOOKUP(_xlfn.XLOOKUP($F306,Clientes!$B$4:$B$39,Clientes!$C$4:$C$39),Cadastros!$L$6:$L$12,Cadastros!$M$6:$M$12)+IF($F306="Bernardino Furlan",AY306/2751.92,IF($F306="Mauro José Salanti",AY306/2751.92,AY306/3356)),F306&lt;&gt;0,SUM(L306,Q306,V306,AA306,AF306,AK306,AP306,AU306))))</f>
        <v xml:space="preserve"> </v>
      </c>
      <c r="BE306" s="120"/>
      <c r="BF306" s="120"/>
      <c r="BG306" s="120"/>
    </row>
    <row r="307" spans="1:59" s="3" customFormat="1" x14ac:dyDescent="0.3">
      <c r="A307" s="15" t="str">
        <f t="shared" si="52"/>
        <v/>
      </c>
      <c r="B307" s="25"/>
      <c r="C307" s="26"/>
      <c r="D307" s="279"/>
      <c r="E307" s="27"/>
      <c r="F307" s="28"/>
      <c r="G307" s="27"/>
      <c r="H307" s="28"/>
      <c r="I307" s="28"/>
      <c r="J307" s="255" t="str">
        <f>IF(H307="","",(_xlfn.XLOOKUP(H307,Cadastros!$D$6:$D$90,Cadastros!$E$6:$E$90))*(1-_xlfn.XLOOKUP(_xlfn.XLOOKUP($F307,Clientes!$B$4:$B$39,Clientes!$C$4:$C$39),Cadastros!$L$6:$L$12,Cadastros!$N$6:$N$12)))</f>
        <v/>
      </c>
      <c r="K307" s="168" t="str">
        <f t="shared" si="53"/>
        <v/>
      </c>
      <c r="L307" s="168" t="str">
        <f>IFERROR(K307/_xlfn.XLOOKUP(_xlfn.XLOOKUP($F307,Clientes!$B$4:$B$39,Clientes!$C$4:$C$39),Cadastros!$L$6:$L$12,Cadastros!$M$6:$M$12)," ")</f>
        <v xml:space="preserve"> </v>
      </c>
      <c r="M307" s="28"/>
      <c r="N307" s="28"/>
      <c r="O307" s="255" t="str">
        <f>IF(M307="","",(_xlfn.XLOOKUP(M307,Cadastros!$D$6:$D$90,Cadastros!$E$6:$E$90))*(1-_xlfn.XLOOKUP(_xlfn.XLOOKUP($F307,Clientes!$B$4:$B$39,Clientes!$C$4:$C$39),Cadastros!$L$6:$L$12,Cadastros!$N$6:$N$12)))</f>
        <v/>
      </c>
      <c r="P307" s="168" t="str">
        <f t="shared" si="54"/>
        <v/>
      </c>
      <c r="Q307" s="168" t="str">
        <f>IFERROR(P307/_xlfn.XLOOKUP(_xlfn.XLOOKUP($F307,Clientes!$B$4:$B$39,Clientes!$C$4:$C$39),Cadastros!$L$6:$L$12,Cadastros!$M$6:$M$12)," ")</f>
        <v xml:space="preserve"> </v>
      </c>
      <c r="R307" s="28"/>
      <c r="S307" s="28"/>
      <c r="T307" s="255" t="str">
        <f>IF(R307="","",(_xlfn.XLOOKUP(R307,Cadastros!$D$6:$D$90,Cadastros!$E$6:$E$90))*(1-_xlfn.XLOOKUP(_xlfn.XLOOKUP($F307,Clientes!$B$4:$B$39,Clientes!$C$4:$C$39),Cadastros!$L$6:$L$12,Cadastros!$N$6:$N$12)))</f>
        <v/>
      </c>
      <c r="U307" s="168" t="str">
        <f t="shared" si="55"/>
        <v/>
      </c>
      <c r="V307" s="168" t="str">
        <f>IFERROR(U307/_xlfn.XLOOKUP(_xlfn.XLOOKUP($F307,Clientes!$B$4:$B$39,Clientes!$C$4:$C$39),Cadastros!$L$6:$L$12,Cadastros!$M$6:$M$12)," ")</f>
        <v xml:space="preserve"> </v>
      </c>
      <c r="W307" s="28"/>
      <c r="X307" s="28"/>
      <c r="Y307" s="255" t="str">
        <f>IF(W307="","",(_xlfn.XLOOKUP(W307,Cadastros!$D$6:$D$90,Cadastros!$E$6:$E$90))*(1-_xlfn.XLOOKUP(_xlfn.XLOOKUP($F307,Clientes!$B$4:$B$39,Clientes!$C$4:$C$39),Cadastros!$L$6:$L$12,Cadastros!$N$6:$N$12)))</f>
        <v/>
      </c>
      <c r="Z307" s="168" t="str">
        <f t="shared" si="56"/>
        <v/>
      </c>
      <c r="AA307" s="168" t="str">
        <f>IFERROR(Z307/_xlfn.XLOOKUP(_xlfn.XLOOKUP($F307,Clientes!$B$4:$B$39,Clientes!$C$4:$C$39),Cadastros!$L$6:$L$12,Cadastros!$M$6:$M$12)," ")</f>
        <v xml:space="preserve"> </v>
      </c>
      <c r="AB307" s="28"/>
      <c r="AC307" s="28"/>
      <c r="AD307" s="20" t="str">
        <f>IF(AB307="","",IF($F307="Bernardino Furlan",_xlfn.XLOOKUP(AB307,Cadastros!$G$6:$G$90,Cadastros!$H$6:$H$90)*(1-0.18),IF($F307="Mauro José Salanti",_xlfn.XLOOKUP(AB307,Cadastros!$G$6:$G$90,Cadastros!$H$6:$H$90)*(1-0.18),_xlfn.XLOOKUP(AB307,Cadastros!$G$6:$G$90,Cadastros!$H$6:$H$90))))</f>
        <v/>
      </c>
      <c r="AE307" s="168" t="str">
        <f t="shared" si="57"/>
        <v/>
      </c>
      <c r="AF307" s="168" t="str">
        <f t="shared" si="58"/>
        <v/>
      </c>
      <c r="AG307" s="28"/>
      <c r="AH307" s="28"/>
      <c r="AI307" s="20" t="str">
        <f>IF(AG307="","",IF($F307="Bernardino Furlan",_xlfn.XLOOKUP(AG307,Cadastros!$G$6:$G$90,Cadastros!$H$6:$H$90)*(1-0.18),IF($F307="Mauro José Salanti",_xlfn.XLOOKUP(AG307,Cadastros!$G$6:$G$90,Cadastros!$H$6:$H$90)*(1-0.18),_xlfn.XLOOKUP(AG307,Cadastros!$G$6:$G$90,Cadastros!$H$6:$H$90))))</f>
        <v/>
      </c>
      <c r="AJ307" s="168" t="str">
        <f t="shared" si="59"/>
        <v/>
      </c>
      <c r="AK307" s="168" t="str">
        <f t="shared" si="60"/>
        <v/>
      </c>
      <c r="AL307" s="28"/>
      <c r="AM307" s="28"/>
      <c r="AN307" s="20" t="str">
        <f>IF(AL307="","",IF($F307="Bernardino Furlan",_xlfn.XLOOKUP(AL307,Cadastros!$G$6:$G$90,Cadastros!$H$6:$H$90)*(1-0.18),IF($F307="Mauro José Salanti",_xlfn.XLOOKUP(AL307,Cadastros!$G$6:$G$90,Cadastros!$H$6:$H$90)*(1-0.18),_xlfn.XLOOKUP(AL307,Cadastros!$G$6:$G$90,Cadastros!$H$6:$H$90))))</f>
        <v/>
      </c>
      <c r="AO307" s="168" t="str">
        <f t="shared" si="61"/>
        <v/>
      </c>
      <c r="AP307" s="168" t="str">
        <f t="shared" si="62"/>
        <v/>
      </c>
      <c r="AQ307" s="28"/>
      <c r="AR307" s="28"/>
      <c r="AS307" s="20" t="str">
        <f>IF(AQ307="","",IF($F307="Bernardino Furlan",_xlfn.XLOOKUP(AQ307,Cadastros!$G$6:$G$90,Cadastros!$H$6:$H$90)*(1-0.18),IF($F307="Mauro José Salanti",_xlfn.XLOOKUP(AQ307,Cadastros!$G$6:$G$90,Cadastros!$H$6:$H$90)*(1-0.18),_xlfn.XLOOKUP(AQ307,Cadastros!$G$6:$G$90,Cadastros!$H$6:$H$90))))</f>
        <v/>
      </c>
      <c r="AT307" s="168" t="str">
        <f t="shared" si="63"/>
        <v/>
      </c>
      <c r="AU307" s="168" t="str">
        <f t="shared" si="64"/>
        <v/>
      </c>
      <c r="AV307" s="227"/>
      <c r="AW307" s="30"/>
      <c r="AX307" s="267"/>
      <c r="AY307" s="267"/>
      <c r="AZ307" s="29"/>
      <c r="BA307" s="30"/>
      <c r="BB307" s="23" t="str" cm="1">
        <f t="array" ref="BB307">_xlfn.IFS(AW307="SIM",SUM(K307,P307,U307,Z307,AE307,AJ307,AO307,AT307,AX307,AY307),F307&lt;&gt;"",SUM(K307,P307,U307,Z307,AE307,AJ307,,AO307,AT307),F307="","")</f>
        <v/>
      </c>
      <c r="BC307" s="211" t="str" cm="1">
        <f t="array" ref="BC307">_xlfn.IFS(E307="","",G307&lt;=E307,BB307*(1-0.03),G307&lt;(E307+8),BB307,AZ307="Boleto",BB307*(1+0.001)^DATEDIF(E307,G307,"D"),AZ307="Cheque",BB307,AZ307="Dinheiro","Alterar forma pgto")</f>
        <v/>
      </c>
      <c r="BD307" s="276" t="str" cm="1">
        <f t="array" ref="BD307">IF(F307=0," ",IF(BC307&lt;BB307,(_xlfn.IFS(AW307="SIM",SUM(L307,Q307,V307,AA307,AF307,AK307,AP307,AU307)+AX307/_xlfn.XLOOKUP(_xlfn.XLOOKUP($F307,Clientes!$B$4:$B$39,Clientes!$C$4:$C$39),Cadastros!$L$6:$L$12,Cadastros!$M$6:$M$12)+IF($F307="Bernardino Furlan",AY307/2751.92,IF($F307="Mauro José Salanti",AY307/2751.92,AY307/3356)),F307&lt;&gt;0,SUM(L307,Q307,V307,AA307,AF307,AK307,AP307,AU307)))*(1-0.03),_xlfn.IFS(AW307="SIM",SUM(L307,Q307,V307,AA307,AF307,AK307,AP307,AU307)+AX307/_xlfn.XLOOKUP(_xlfn.XLOOKUP($F307,Clientes!$B$4:$B$39,Clientes!$C$4:$C$39),Cadastros!$L$6:$L$12,Cadastros!$M$6:$M$12)+IF($F307="Bernardino Furlan",AY307/2751.92,IF($F307="Mauro José Salanti",AY307/2751.92,AY307/3356)),F307&lt;&gt;0,SUM(L307,Q307,V307,AA307,AF307,AK307,AP307,AU307))))</f>
        <v xml:space="preserve"> </v>
      </c>
      <c r="BE307" s="120"/>
      <c r="BF307" s="120"/>
      <c r="BG307" s="120"/>
    </row>
    <row r="308" spans="1:59" s="3" customFormat="1" x14ac:dyDescent="0.3">
      <c r="A308" s="15" t="str">
        <f t="shared" si="52"/>
        <v/>
      </c>
      <c r="B308" s="25"/>
      <c r="C308" s="26"/>
      <c r="D308" s="279"/>
      <c r="E308" s="27"/>
      <c r="F308" s="28"/>
      <c r="G308" s="27"/>
      <c r="H308" s="28"/>
      <c r="I308" s="28"/>
      <c r="J308" s="255" t="str">
        <f>IF(H308="","",(_xlfn.XLOOKUP(H308,Cadastros!$D$6:$D$90,Cadastros!$E$6:$E$90))*(1-_xlfn.XLOOKUP(_xlfn.XLOOKUP($F308,Clientes!$B$4:$B$39,Clientes!$C$4:$C$39),Cadastros!$L$6:$L$12,Cadastros!$N$6:$N$12)))</f>
        <v/>
      </c>
      <c r="K308" s="168" t="str">
        <f t="shared" si="53"/>
        <v/>
      </c>
      <c r="L308" s="168" t="str">
        <f>IFERROR(K308/_xlfn.XLOOKUP(_xlfn.XLOOKUP($F308,Clientes!$B$4:$B$39,Clientes!$C$4:$C$39),Cadastros!$L$6:$L$12,Cadastros!$M$6:$M$12)," ")</f>
        <v xml:space="preserve"> </v>
      </c>
      <c r="M308" s="28"/>
      <c r="N308" s="28"/>
      <c r="O308" s="255" t="str">
        <f>IF(M308="","",(_xlfn.XLOOKUP(M308,Cadastros!$D$6:$D$90,Cadastros!$E$6:$E$90))*(1-_xlfn.XLOOKUP(_xlfn.XLOOKUP($F308,Clientes!$B$4:$B$39,Clientes!$C$4:$C$39),Cadastros!$L$6:$L$12,Cadastros!$N$6:$N$12)))</f>
        <v/>
      </c>
      <c r="P308" s="168" t="str">
        <f t="shared" si="54"/>
        <v/>
      </c>
      <c r="Q308" s="168" t="str">
        <f>IFERROR(P308/_xlfn.XLOOKUP(_xlfn.XLOOKUP($F308,Clientes!$B$4:$B$39,Clientes!$C$4:$C$39),Cadastros!$L$6:$L$12,Cadastros!$M$6:$M$12)," ")</f>
        <v xml:space="preserve"> </v>
      </c>
      <c r="R308" s="28"/>
      <c r="S308" s="28"/>
      <c r="T308" s="255" t="str">
        <f>IF(R308="","",(_xlfn.XLOOKUP(R308,Cadastros!$D$6:$D$90,Cadastros!$E$6:$E$90))*(1-_xlfn.XLOOKUP(_xlfn.XLOOKUP($F308,Clientes!$B$4:$B$39,Clientes!$C$4:$C$39),Cadastros!$L$6:$L$12,Cadastros!$N$6:$N$12)))</f>
        <v/>
      </c>
      <c r="U308" s="168" t="str">
        <f t="shared" si="55"/>
        <v/>
      </c>
      <c r="V308" s="168" t="str">
        <f>IFERROR(U308/_xlfn.XLOOKUP(_xlfn.XLOOKUP($F308,Clientes!$B$4:$B$39,Clientes!$C$4:$C$39),Cadastros!$L$6:$L$12,Cadastros!$M$6:$M$12)," ")</f>
        <v xml:space="preserve"> </v>
      </c>
      <c r="W308" s="28"/>
      <c r="X308" s="28"/>
      <c r="Y308" s="255" t="str">
        <f>IF(W308="","",(_xlfn.XLOOKUP(W308,Cadastros!$D$6:$D$90,Cadastros!$E$6:$E$90))*(1-_xlfn.XLOOKUP(_xlfn.XLOOKUP($F308,Clientes!$B$4:$B$39,Clientes!$C$4:$C$39),Cadastros!$L$6:$L$12,Cadastros!$N$6:$N$12)))</f>
        <v/>
      </c>
      <c r="Z308" s="168" t="str">
        <f t="shared" si="56"/>
        <v/>
      </c>
      <c r="AA308" s="168" t="str">
        <f>IFERROR(Z308/_xlfn.XLOOKUP(_xlfn.XLOOKUP($F308,Clientes!$B$4:$B$39,Clientes!$C$4:$C$39),Cadastros!$L$6:$L$12,Cadastros!$M$6:$M$12)," ")</f>
        <v xml:space="preserve"> </v>
      </c>
      <c r="AB308" s="28"/>
      <c r="AC308" s="28"/>
      <c r="AD308" s="20" t="str">
        <f>IF(AB308="","",IF($F308="Bernardino Furlan",_xlfn.XLOOKUP(AB308,Cadastros!$G$6:$G$90,Cadastros!$H$6:$H$90)*(1-0.18),IF($F308="Mauro José Salanti",_xlfn.XLOOKUP(AB308,Cadastros!$G$6:$G$90,Cadastros!$H$6:$H$90)*(1-0.18),_xlfn.XLOOKUP(AB308,Cadastros!$G$6:$G$90,Cadastros!$H$6:$H$90))))</f>
        <v/>
      </c>
      <c r="AE308" s="168" t="str">
        <f t="shared" si="57"/>
        <v/>
      </c>
      <c r="AF308" s="168" t="str">
        <f t="shared" si="58"/>
        <v/>
      </c>
      <c r="AG308" s="28"/>
      <c r="AH308" s="28"/>
      <c r="AI308" s="20" t="str">
        <f>IF(AG308="","",IF($F308="Bernardino Furlan",_xlfn.XLOOKUP(AG308,Cadastros!$G$6:$G$90,Cadastros!$H$6:$H$90)*(1-0.18),IF($F308="Mauro José Salanti",_xlfn.XLOOKUP(AG308,Cadastros!$G$6:$G$90,Cadastros!$H$6:$H$90)*(1-0.18),_xlfn.XLOOKUP(AG308,Cadastros!$G$6:$G$90,Cadastros!$H$6:$H$90))))</f>
        <v/>
      </c>
      <c r="AJ308" s="168" t="str">
        <f t="shared" si="59"/>
        <v/>
      </c>
      <c r="AK308" s="168" t="str">
        <f t="shared" si="60"/>
        <v/>
      </c>
      <c r="AL308" s="28"/>
      <c r="AM308" s="28"/>
      <c r="AN308" s="20" t="str">
        <f>IF(AL308="","",IF($F308="Bernardino Furlan",_xlfn.XLOOKUP(AL308,Cadastros!$G$6:$G$90,Cadastros!$H$6:$H$90)*(1-0.18),IF($F308="Mauro José Salanti",_xlfn.XLOOKUP(AL308,Cadastros!$G$6:$G$90,Cadastros!$H$6:$H$90)*(1-0.18),_xlfn.XLOOKUP(AL308,Cadastros!$G$6:$G$90,Cadastros!$H$6:$H$90))))</f>
        <v/>
      </c>
      <c r="AO308" s="168" t="str">
        <f t="shared" si="61"/>
        <v/>
      </c>
      <c r="AP308" s="168" t="str">
        <f t="shared" si="62"/>
        <v/>
      </c>
      <c r="AQ308" s="28"/>
      <c r="AR308" s="28"/>
      <c r="AS308" s="20" t="str">
        <f>IF(AQ308="","",IF($F308="Bernardino Furlan",_xlfn.XLOOKUP(AQ308,Cadastros!$G$6:$G$90,Cadastros!$H$6:$H$90)*(1-0.18),IF($F308="Mauro José Salanti",_xlfn.XLOOKUP(AQ308,Cadastros!$G$6:$G$90,Cadastros!$H$6:$H$90)*(1-0.18),_xlfn.XLOOKUP(AQ308,Cadastros!$G$6:$G$90,Cadastros!$H$6:$H$90))))</f>
        <v/>
      </c>
      <c r="AT308" s="168" t="str">
        <f t="shared" si="63"/>
        <v/>
      </c>
      <c r="AU308" s="168" t="str">
        <f t="shared" si="64"/>
        <v/>
      </c>
      <c r="AV308" s="227"/>
      <c r="AW308" s="30"/>
      <c r="AX308" s="267"/>
      <c r="AY308" s="267"/>
      <c r="AZ308" s="29"/>
      <c r="BA308" s="30"/>
      <c r="BB308" s="23" t="str" cm="1">
        <f t="array" ref="BB308">_xlfn.IFS(AW308="SIM",SUM(K308,P308,U308,Z308,AE308,AJ308,AO308,AT308,AX308,AY308),F308&lt;&gt;"",SUM(K308,P308,U308,Z308,AE308,AJ308,,AO308,AT308),F308="","")</f>
        <v/>
      </c>
      <c r="BC308" s="211" t="str" cm="1">
        <f t="array" ref="BC308">_xlfn.IFS(E308="","",G308&lt;=E308,BB308*(1-0.03),G308&lt;(E308+8),BB308,AZ308="Boleto",BB308*(1+0.001)^DATEDIF(E308,G308,"D"),AZ308="Cheque",BB308,AZ308="Dinheiro","Alterar forma pgto")</f>
        <v/>
      </c>
      <c r="BD308" s="276" t="str" cm="1">
        <f t="array" ref="BD308">IF(F308=0," ",IF(BC308&lt;BB308,(_xlfn.IFS(AW308="SIM",SUM(L308,Q308,V308,AA308,AF308,AK308,AP308,AU308)+AX308/_xlfn.XLOOKUP(_xlfn.XLOOKUP($F308,Clientes!$B$4:$B$39,Clientes!$C$4:$C$39),Cadastros!$L$6:$L$12,Cadastros!$M$6:$M$12)+IF($F308="Bernardino Furlan",AY308/2751.92,IF($F308="Mauro José Salanti",AY308/2751.92,AY308/3356)),F308&lt;&gt;0,SUM(L308,Q308,V308,AA308,AF308,AK308,AP308,AU308)))*(1-0.03),_xlfn.IFS(AW308="SIM",SUM(L308,Q308,V308,AA308,AF308,AK308,AP308,AU308)+AX308/_xlfn.XLOOKUP(_xlfn.XLOOKUP($F308,Clientes!$B$4:$B$39,Clientes!$C$4:$C$39),Cadastros!$L$6:$L$12,Cadastros!$M$6:$M$12)+IF($F308="Bernardino Furlan",AY308/2751.92,IF($F308="Mauro José Salanti",AY308/2751.92,AY308/3356)),F308&lt;&gt;0,SUM(L308,Q308,V308,AA308,AF308,AK308,AP308,AU308))))</f>
        <v xml:space="preserve"> </v>
      </c>
      <c r="BE308" s="120"/>
      <c r="BF308" s="120"/>
      <c r="BG308" s="120"/>
    </row>
    <row r="309" spans="1:59" s="3" customFormat="1" x14ac:dyDescent="0.3">
      <c r="A309" s="15" t="str">
        <f t="shared" si="52"/>
        <v/>
      </c>
      <c r="B309" s="25"/>
      <c r="C309" s="26"/>
      <c r="D309" s="279"/>
      <c r="E309" s="27"/>
      <c r="F309" s="28"/>
      <c r="G309" s="27"/>
      <c r="H309" s="28"/>
      <c r="I309" s="28"/>
      <c r="J309" s="255" t="str">
        <f>IF(H309="","",(_xlfn.XLOOKUP(H309,Cadastros!$D$6:$D$90,Cadastros!$E$6:$E$90))*(1-_xlfn.XLOOKUP(_xlfn.XLOOKUP($F309,Clientes!$B$4:$B$39,Clientes!$C$4:$C$39),Cadastros!$L$6:$L$12,Cadastros!$N$6:$N$12)))</f>
        <v/>
      </c>
      <c r="K309" s="168" t="str">
        <f t="shared" si="53"/>
        <v/>
      </c>
      <c r="L309" s="168" t="str">
        <f>IFERROR(K309/_xlfn.XLOOKUP(_xlfn.XLOOKUP($F309,Clientes!$B$4:$B$39,Clientes!$C$4:$C$39),Cadastros!$L$6:$L$12,Cadastros!$M$6:$M$12)," ")</f>
        <v xml:space="preserve"> </v>
      </c>
      <c r="M309" s="28"/>
      <c r="N309" s="28"/>
      <c r="O309" s="255" t="str">
        <f>IF(M309="","",(_xlfn.XLOOKUP(M309,Cadastros!$D$6:$D$90,Cadastros!$E$6:$E$90))*(1-_xlfn.XLOOKUP(_xlfn.XLOOKUP($F309,Clientes!$B$4:$B$39,Clientes!$C$4:$C$39),Cadastros!$L$6:$L$12,Cadastros!$N$6:$N$12)))</f>
        <v/>
      </c>
      <c r="P309" s="168" t="str">
        <f t="shared" si="54"/>
        <v/>
      </c>
      <c r="Q309" s="168" t="str">
        <f>IFERROR(P309/_xlfn.XLOOKUP(_xlfn.XLOOKUP($F309,Clientes!$B$4:$B$39,Clientes!$C$4:$C$39),Cadastros!$L$6:$L$12,Cadastros!$M$6:$M$12)," ")</f>
        <v xml:space="preserve"> </v>
      </c>
      <c r="R309" s="28"/>
      <c r="S309" s="28"/>
      <c r="T309" s="255" t="str">
        <f>IF(R309="","",(_xlfn.XLOOKUP(R309,Cadastros!$D$6:$D$90,Cadastros!$E$6:$E$90))*(1-_xlfn.XLOOKUP(_xlfn.XLOOKUP($F309,Clientes!$B$4:$B$39,Clientes!$C$4:$C$39),Cadastros!$L$6:$L$12,Cadastros!$N$6:$N$12)))</f>
        <v/>
      </c>
      <c r="U309" s="168" t="str">
        <f t="shared" si="55"/>
        <v/>
      </c>
      <c r="V309" s="168" t="str">
        <f>IFERROR(U309/_xlfn.XLOOKUP(_xlfn.XLOOKUP($F309,Clientes!$B$4:$B$39,Clientes!$C$4:$C$39),Cadastros!$L$6:$L$12,Cadastros!$M$6:$M$12)," ")</f>
        <v xml:space="preserve"> </v>
      </c>
      <c r="W309" s="28"/>
      <c r="X309" s="28"/>
      <c r="Y309" s="255" t="str">
        <f>IF(W309="","",(_xlfn.XLOOKUP(W309,Cadastros!$D$6:$D$90,Cadastros!$E$6:$E$90))*(1-_xlfn.XLOOKUP(_xlfn.XLOOKUP($F309,Clientes!$B$4:$B$39,Clientes!$C$4:$C$39),Cadastros!$L$6:$L$12,Cadastros!$N$6:$N$12)))</f>
        <v/>
      </c>
      <c r="Z309" s="168" t="str">
        <f t="shared" si="56"/>
        <v/>
      </c>
      <c r="AA309" s="168" t="str">
        <f>IFERROR(Z309/_xlfn.XLOOKUP(_xlfn.XLOOKUP($F309,Clientes!$B$4:$B$39,Clientes!$C$4:$C$39),Cadastros!$L$6:$L$12,Cadastros!$M$6:$M$12)," ")</f>
        <v xml:space="preserve"> </v>
      </c>
      <c r="AB309" s="28"/>
      <c r="AC309" s="28"/>
      <c r="AD309" s="20" t="str">
        <f>IF(AB309="","",IF($F309="Bernardino Furlan",_xlfn.XLOOKUP(AB309,Cadastros!$G$6:$G$90,Cadastros!$H$6:$H$90)*(1-0.18),IF($F309="Mauro José Salanti",_xlfn.XLOOKUP(AB309,Cadastros!$G$6:$G$90,Cadastros!$H$6:$H$90)*(1-0.18),_xlfn.XLOOKUP(AB309,Cadastros!$G$6:$G$90,Cadastros!$H$6:$H$90))))</f>
        <v/>
      </c>
      <c r="AE309" s="168" t="str">
        <f t="shared" si="57"/>
        <v/>
      </c>
      <c r="AF309" s="168" t="str">
        <f t="shared" si="58"/>
        <v/>
      </c>
      <c r="AG309" s="28"/>
      <c r="AH309" s="28"/>
      <c r="AI309" s="20" t="str">
        <f>IF(AG309="","",IF($F309="Bernardino Furlan",_xlfn.XLOOKUP(AG309,Cadastros!$G$6:$G$90,Cadastros!$H$6:$H$90)*(1-0.18),IF($F309="Mauro José Salanti",_xlfn.XLOOKUP(AG309,Cadastros!$G$6:$G$90,Cadastros!$H$6:$H$90)*(1-0.18),_xlfn.XLOOKUP(AG309,Cadastros!$G$6:$G$90,Cadastros!$H$6:$H$90))))</f>
        <v/>
      </c>
      <c r="AJ309" s="168" t="str">
        <f t="shared" si="59"/>
        <v/>
      </c>
      <c r="AK309" s="168" t="str">
        <f t="shared" si="60"/>
        <v/>
      </c>
      <c r="AL309" s="28"/>
      <c r="AM309" s="28"/>
      <c r="AN309" s="20" t="str">
        <f>IF(AL309="","",IF($F309="Bernardino Furlan",_xlfn.XLOOKUP(AL309,Cadastros!$G$6:$G$90,Cadastros!$H$6:$H$90)*(1-0.18),IF($F309="Mauro José Salanti",_xlfn.XLOOKUP(AL309,Cadastros!$G$6:$G$90,Cadastros!$H$6:$H$90)*(1-0.18),_xlfn.XLOOKUP(AL309,Cadastros!$G$6:$G$90,Cadastros!$H$6:$H$90))))</f>
        <v/>
      </c>
      <c r="AO309" s="168" t="str">
        <f t="shared" si="61"/>
        <v/>
      </c>
      <c r="AP309" s="168" t="str">
        <f t="shared" si="62"/>
        <v/>
      </c>
      <c r="AQ309" s="28"/>
      <c r="AR309" s="28"/>
      <c r="AS309" s="20" t="str">
        <f>IF(AQ309="","",IF($F309="Bernardino Furlan",_xlfn.XLOOKUP(AQ309,Cadastros!$G$6:$G$90,Cadastros!$H$6:$H$90)*(1-0.18),IF($F309="Mauro José Salanti",_xlfn.XLOOKUP(AQ309,Cadastros!$G$6:$G$90,Cadastros!$H$6:$H$90)*(1-0.18),_xlfn.XLOOKUP(AQ309,Cadastros!$G$6:$G$90,Cadastros!$H$6:$H$90))))</f>
        <v/>
      </c>
      <c r="AT309" s="168" t="str">
        <f t="shared" si="63"/>
        <v/>
      </c>
      <c r="AU309" s="168" t="str">
        <f t="shared" si="64"/>
        <v/>
      </c>
      <c r="AV309" s="227"/>
      <c r="AW309" s="30"/>
      <c r="AX309" s="267"/>
      <c r="AY309" s="267"/>
      <c r="AZ309" s="29"/>
      <c r="BA309" s="30"/>
      <c r="BB309" s="23" t="str" cm="1">
        <f t="array" ref="BB309">_xlfn.IFS(AW309="SIM",SUM(K309,P309,U309,Z309,AE309,AJ309,AO309,AT309,AX309,AY309),F309&lt;&gt;"",SUM(K309,P309,U309,Z309,AE309,AJ309,,AO309,AT309),F309="","")</f>
        <v/>
      </c>
      <c r="BC309" s="211" t="str" cm="1">
        <f t="array" ref="BC309">_xlfn.IFS(E309="","",G309&lt;=E309,BB309*(1-0.03),G309&lt;(E309+8),BB309,AZ309="Boleto",BB309*(1+0.001)^DATEDIF(E309,G309,"D"),AZ309="Cheque",BB309,AZ309="Dinheiro","Alterar forma pgto")</f>
        <v/>
      </c>
      <c r="BD309" s="276" t="str" cm="1">
        <f t="array" ref="BD309">IF(F309=0," ",IF(BC309&lt;BB309,(_xlfn.IFS(AW309="SIM",SUM(L309,Q309,V309,AA309,AF309,AK309,AP309,AU309)+AX309/_xlfn.XLOOKUP(_xlfn.XLOOKUP($F309,Clientes!$B$4:$B$39,Clientes!$C$4:$C$39),Cadastros!$L$6:$L$12,Cadastros!$M$6:$M$12)+IF($F309="Bernardino Furlan",AY309/2751.92,IF($F309="Mauro José Salanti",AY309/2751.92,AY309/3356)),F309&lt;&gt;0,SUM(L309,Q309,V309,AA309,AF309,AK309,AP309,AU309)))*(1-0.03),_xlfn.IFS(AW309="SIM",SUM(L309,Q309,V309,AA309,AF309,AK309,AP309,AU309)+AX309/_xlfn.XLOOKUP(_xlfn.XLOOKUP($F309,Clientes!$B$4:$B$39,Clientes!$C$4:$C$39),Cadastros!$L$6:$L$12,Cadastros!$M$6:$M$12)+IF($F309="Bernardino Furlan",AY309/2751.92,IF($F309="Mauro José Salanti",AY309/2751.92,AY309/3356)),F309&lt;&gt;0,SUM(L309,Q309,V309,AA309,AF309,AK309,AP309,AU309))))</f>
        <v xml:space="preserve"> </v>
      </c>
      <c r="BE309" s="120"/>
      <c r="BF309" s="120"/>
      <c r="BG309" s="120"/>
    </row>
    <row r="310" spans="1:59" s="3" customFormat="1" x14ac:dyDescent="0.3">
      <c r="A310" s="15" t="str">
        <f t="shared" si="52"/>
        <v/>
      </c>
      <c r="B310" s="25"/>
      <c r="C310" s="26"/>
      <c r="D310" s="279"/>
      <c r="E310" s="27"/>
      <c r="F310" s="28"/>
      <c r="G310" s="27"/>
      <c r="H310" s="28"/>
      <c r="I310" s="28"/>
      <c r="J310" s="255" t="str">
        <f>IF(H310="","",(_xlfn.XLOOKUP(H310,Cadastros!$D$6:$D$90,Cadastros!$E$6:$E$90))*(1-_xlfn.XLOOKUP(_xlfn.XLOOKUP($F310,Clientes!$B$4:$B$39,Clientes!$C$4:$C$39),Cadastros!$L$6:$L$12,Cadastros!$N$6:$N$12)))</f>
        <v/>
      </c>
      <c r="K310" s="168" t="str">
        <f t="shared" si="53"/>
        <v/>
      </c>
      <c r="L310" s="168" t="str">
        <f>IFERROR(K310/_xlfn.XLOOKUP(_xlfn.XLOOKUP($F310,Clientes!$B$4:$B$39,Clientes!$C$4:$C$39),Cadastros!$L$6:$L$12,Cadastros!$M$6:$M$12)," ")</f>
        <v xml:space="preserve"> </v>
      </c>
      <c r="M310" s="28"/>
      <c r="N310" s="28"/>
      <c r="O310" s="255" t="str">
        <f>IF(M310="","",(_xlfn.XLOOKUP(M310,Cadastros!$D$6:$D$90,Cadastros!$E$6:$E$90))*(1-_xlfn.XLOOKUP(_xlfn.XLOOKUP($F310,Clientes!$B$4:$B$39,Clientes!$C$4:$C$39),Cadastros!$L$6:$L$12,Cadastros!$N$6:$N$12)))</f>
        <v/>
      </c>
      <c r="P310" s="168" t="str">
        <f t="shared" si="54"/>
        <v/>
      </c>
      <c r="Q310" s="168" t="str">
        <f>IFERROR(P310/_xlfn.XLOOKUP(_xlfn.XLOOKUP($F310,Clientes!$B$4:$B$39,Clientes!$C$4:$C$39),Cadastros!$L$6:$L$12,Cadastros!$M$6:$M$12)," ")</f>
        <v xml:space="preserve"> </v>
      </c>
      <c r="R310" s="28"/>
      <c r="S310" s="28"/>
      <c r="T310" s="255" t="str">
        <f>IF(R310="","",(_xlfn.XLOOKUP(R310,Cadastros!$D$6:$D$90,Cadastros!$E$6:$E$90))*(1-_xlfn.XLOOKUP(_xlfn.XLOOKUP($F310,Clientes!$B$4:$B$39,Clientes!$C$4:$C$39),Cadastros!$L$6:$L$12,Cadastros!$N$6:$N$12)))</f>
        <v/>
      </c>
      <c r="U310" s="168" t="str">
        <f t="shared" si="55"/>
        <v/>
      </c>
      <c r="V310" s="168" t="str">
        <f>IFERROR(U310/_xlfn.XLOOKUP(_xlfn.XLOOKUP($F310,Clientes!$B$4:$B$39,Clientes!$C$4:$C$39),Cadastros!$L$6:$L$12,Cadastros!$M$6:$M$12)," ")</f>
        <v xml:space="preserve"> </v>
      </c>
      <c r="W310" s="28"/>
      <c r="X310" s="28"/>
      <c r="Y310" s="255" t="str">
        <f>IF(W310="","",(_xlfn.XLOOKUP(W310,Cadastros!$D$6:$D$90,Cadastros!$E$6:$E$90))*(1-_xlfn.XLOOKUP(_xlfn.XLOOKUP($F310,Clientes!$B$4:$B$39,Clientes!$C$4:$C$39),Cadastros!$L$6:$L$12,Cadastros!$N$6:$N$12)))</f>
        <v/>
      </c>
      <c r="Z310" s="168" t="str">
        <f t="shared" si="56"/>
        <v/>
      </c>
      <c r="AA310" s="168" t="str">
        <f>IFERROR(Z310/_xlfn.XLOOKUP(_xlfn.XLOOKUP($F310,Clientes!$B$4:$B$39,Clientes!$C$4:$C$39),Cadastros!$L$6:$L$12,Cadastros!$M$6:$M$12)," ")</f>
        <v xml:space="preserve"> </v>
      </c>
      <c r="AB310" s="28"/>
      <c r="AC310" s="28"/>
      <c r="AD310" s="20" t="str">
        <f>IF(AB310="","",IF($F310="Bernardino Furlan",_xlfn.XLOOKUP(AB310,Cadastros!$G$6:$G$90,Cadastros!$H$6:$H$90)*(1-0.18),IF($F310="Mauro José Salanti",_xlfn.XLOOKUP(AB310,Cadastros!$G$6:$G$90,Cadastros!$H$6:$H$90)*(1-0.18),_xlfn.XLOOKUP(AB310,Cadastros!$G$6:$G$90,Cadastros!$H$6:$H$90))))</f>
        <v/>
      </c>
      <c r="AE310" s="168" t="str">
        <f t="shared" si="57"/>
        <v/>
      </c>
      <c r="AF310" s="168" t="str">
        <f t="shared" si="58"/>
        <v/>
      </c>
      <c r="AG310" s="28"/>
      <c r="AH310" s="28"/>
      <c r="AI310" s="20" t="str">
        <f>IF(AG310="","",IF($F310="Bernardino Furlan",_xlfn.XLOOKUP(AG310,Cadastros!$G$6:$G$90,Cadastros!$H$6:$H$90)*(1-0.18),IF($F310="Mauro José Salanti",_xlfn.XLOOKUP(AG310,Cadastros!$G$6:$G$90,Cadastros!$H$6:$H$90)*(1-0.18),_xlfn.XLOOKUP(AG310,Cadastros!$G$6:$G$90,Cadastros!$H$6:$H$90))))</f>
        <v/>
      </c>
      <c r="AJ310" s="168" t="str">
        <f t="shared" si="59"/>
        <v/>
      </c>
      <c r="AK310" s="168" t="str">
        <f t="shared" si="60"/>
        <v/>
      </c>
      <c r="AL310" s="28"/>
      <c r="AM310" s="28"/>
      <c r="AN310" s="20" t="str">
        <f>IF(AL310="","",IF($F310="Bernardino Furlan",_xlfn.XLOOKUP(AL310,Cadastros!$G$6:$G$90,Cadastros!$H$6:$H$90)*(1-0.18),IF($F310="Mauro José Salanti",_xlfn.XLOOKUP(AL310,Cadastros!$G$6:$G$90,Cadastros!$H$6:$H$90)*(1-0.18),_xlfn.XLOOKUP(AL310,Cadastros!$G$6:$G$90,Cadastros!$H$6:$H$90))))</f>
        <v/>
      </c>
      <c r="AO310" s="168" t="str">
        <f t="shared" si="61"/>
        <v/>
      </c>
      <c r="AP310" s="168" t="str">
        <f t="shared" si="62"/>
        <v/>
      </c>
      <c r="AQ310" s="28"/>
      <c r="AR310" s="28"/>
      <c r="AS310" s="20" t="str">
        <f>IF(AQ310="","",IF($F310="Bernardino Furlan",_xlfn.XLOOKUP(AQ310,Cadastros!$G$6:$G$90,Cadastros!$H$6:$H$90)*(1-0.18),IF($F310="Mauro José Salanti",_xlfn.XLOOKUP(AQ310,Cadastros!$G$6:$G$90,Cadastros!$H$6:$H$90)*(1-0.18),_xlfn.XLOOKUP(AQ310,Cadastros!$G$6:$G$90,Cadastros!$H$6:$H$90))))</f>
        <v/>
      </c>
      <c r="AT310" s="168" t="str">
        <f t="shared" si="63"/>
        <v/>
      </c>
      <c r="AU310" s="168" t="str">
        <f t="shared" si="64"/>
        <v/>
      </c>
      <c r="AV310" s="227"/>
      <c r="AW310" s="30"/>
      <c r="AX310" s="267"/>
      <c r="AY310" s="267"/>
      <c r="AZ310" s="29"/>
      <c r="BA310" s="30"/>
      <c r="BB310" s="23" t="str" cm="1">
        <f t="array" ref="BB310">_xlfn.IFS(AW310="SIM",SUM(K310,P310,U310,Z310,AE310,AJ310,AO310,AT310,AX310,AY310),F310&lt;&gt;"",SUM(K310,P310,U310,Z310,AE310,AJ310,,AO310,AT310),F310="","")</f>
        <v/>
      </c>
      <c r="BC310" s="211" t="str" cm="1">
        <f t="array" ref="BC310">_xlfn.IFS(E310="","",G310&lt;=E310,BB310*(1-0.03),G310&lt;(E310+8),BB310,AZ310="Boleto",BB310*(1+0.001)^DATEDIF(E310,G310,"D"),AZ310="Cheque",BB310,AZ310="Dinheiro","Alterar forma pgto")</f>
        <v/>
      </c>
      <c r="BD310" s="276" t="str" cm="1">
        <f t="array" ref="BD310">IF(F310=0," ",IF(BC310&lt;BB310,(_xlfn.IFS(AW310="SIM",SUM(L310,Q310,V310,AA310,AF310,AK310,AP310,AU310)+AX310/_xlfn.XLOOKUP(_xlfn.XLOOKUP($F310,Clientes!$B$4:$B$39,Clientes!$C$4:$C$39),Cadastros!$L$6:$L$12,Cadastros!$M$6:$M$12)+IF($F310="Bernardino Furlan",AY310/2751.92,IF($F310="Mauro José Salanti",AY310/2751.92,AY310/3356)),F310&lt;&gt;0,SUM(L310,Q310,V310,AA310,AF310,AK310,AP310,AU310)))*(1-0.03),_xlfn.IFS(AW310="SIM",SUM(L310,Q310,V310,AA310,AF310,AK310,AP310,AU310)+AX310/_xlfn.XLOOKUP(_xlfn.XLOOKUP($F310,Clientes!$B$4:$B$39,Clientes!$C$4:$C$39),Cadastros!$L$6:$L$12,Cadastros!$M$6:$M$12)+IF($F310="Bernardino Furlan",AY310/2751.92,IF($F310="Mauro José Salanti",AY310/2751.92,AY310/3356)),F310&lt;&gt;0,SUM(L310,Q310,V310,AA310,AF310,AK310,AP310,AU310))))</f>
        <v xml:space="preserve"> </v>
      </c>
      <c r="BE310" s="120"/>
      <c r="BF310" s="120"/>
      <c r="BG310" s="120"/>
    </row>
    <row r="311" spans="1:59" s="3" customFormat="1" x14ac:dyDescent="0.3">
      <c r="A311" s="15" t="str">
        <f t="shared" si="52"/>
        <v/>
      </c>
      <c r="B311" s="25"/>
      <c r="C311" s="26"/>
      <c r="D311" s="279"/>
      <c r="E311" s="27"/>
      <c r="F311" s="28"/>
      <c r="G311" s="27"/>
      <c r="H311" s="28"/>
      <c r="I311" s="28"/>
      <c r="J311" s="255" t="str">
        <f>IF(H311="","",(_xlfn.XLOOKUP(H311,Cadastros!$D$6:$D$90,Cadastros!$E$6:$E$90))*(1-_xlfn.XLOOKUP(_xlfn.XLOOKUP($F311,Clientes!$B$4:$B$39,Clientes!$C$4:$C$39),Cadastros!$L$6:$L$12,Cadastros!$N$6:$N$12)))</f>
        <v/>
      </c>
      <c r="K311" s="168" t="str">
        <f t="shared" si="53"/>
        <v/>
      </c>
      <c r="L311" s="168" t="str">
        <f>IFERROR(K311/_xlfn.XLOOKUP(_xlfn.XLOOKUP($F311,Clientes!$B$4:$B$39,Clientes!$C$4:$C$39),Cadastros!$L$6:$L$12,Cadastros!$M$6:$M$12)," ")</f>
        <v xml:space="preserve"> </v>
      </c>
      <c r="M311" s="28"/>
      <c r="N311" s="28"/>
      <c r="O311" s="255" t="str">
        <f>IF(M311="","",(_xlfn.XLOOKUP(M311,Cadastros!$D$6:$D$90,Cadastros!$E$6:$E$90))*(1-_xlfn.XLOOKUP(_xlfn.XLOOKUP($F311,Clientes!$B$4:$B$39,Clientes!$C$4:$C$39),Cadastros!$L$6:$L$12,Cadastros!$N$6:$N$12)))</f>
        <v/>
      </c>
      <c r="P311" s="168" t="str">
        <f t="shared" si="54"/>
        <v/>
      </c>
      <c r="Q311" s="168" t="str">
        <f>IFERROR(P311/_xlfn.XLOOKUP(_xlfn.XLOOKUP($F311,Clientes!$B$4:$B$39,Clientes!$C$4:$C$39),Cadastros!$L$6:$L$12,Cadastros!$M$6:$M$12)," ")</f>
        <v xml:space="preserve"> </v>
      </c>
      <c r="R311" s="28"/>
      <c r="S311" s="28"/>
      <c r="T311" s="255" t="str">
        <f>IF(R311="","",(_xlfn.XLOOKUP(R311,Cadastros!$D$6:$D$90,Cadastros!$E$6:$E$90))*(1-_xlfn.XLOOKUP(_xlfn.XLOOKUP($F311,Clientes!$B$4:$B$39,Clientes!$C$4:$C$39),Cadastros!$L$6:$L$12,Cadastros!$N$6:$N$12)))</f>
        <v/>
      </c>
      <c r="U311" s="168" t="str">
        <f t="shared" si="55"/>
        <v/>
      </c>
      <c r="V311" s="168" t="str">
        <f>IFERROR(U311/_xlfn.XLOOKUP(_xlfn.XLOOKUP($F311,Clientes!$B$4:$B$39,Clientes!$C$4:$C$39),Cadastros!$L$6:$L$12,Cadastros!$M$6:$M$12)," ")</f>
        <v xml:space="preserve"> </v>
      </c>
      <c r="W311" s="28"/>
      <c r="X311" s="28"/>
      <c r="Y311" s="255" t="str">
        <f>IF(W311="","",(_xlfn.XLOOKUP(W311,Cadastros!$D$6:$D$90,Cadastros!$E$6:$E$90))*(1-_xlfn.XLOOKUP(_xlfn.XLOOKUP($F311,Clientes!$B$4:$B$39,Clientes!$C$4:$C$39),Cadastros!$L$6:$L$12,Cadastros!$N$6:$N$12)))</f>
        <v/>
      </c>
      <c r="Z311" s="168" t="str">
        <f t="shared" si="56"/>
        <v/>
      </c>
      <c r="AA311" s="168" t="str">
        <f>IFERROR(Z311/_xlfn.XLOOKUP(_xlfn.XLOOKUP($F311,Clientes!$B$4:$B$39,Clientes!$C$4:$C$39),Cadastros!$L$6:$L$12,Cadastros!$M$6:$M$12)," ")</f>
        <v xml:space="preserve"> </v>
      </c>
      <c r="AB311" s="28"/>
      <c r="AC311" s="28"/>
      <c r="AD311" s="20" t="str">
        <f>IF(AB311="","",IF($F311="Bernardino Furlan",_xlfn.XLOOKUP(AB311,Cadastros!$G$6:$G$90,Cadastros!$H$6:$H$90)*(1-0.18),IF($F311="Mauro José Salanti",_xlfn.XLOOKUP(AB311,Cadastros!$G$6:$G$90,Cadastros!$H$6:$H$90)*(1-0.18),_xlfn.XLOOKUP(AB311,Cadastros!$G$6:$G$90,Cadastros!$H$6:$H$90))))</f>
        <v/>
      </c>
      <c r="AE311" s="168" t="str">
        <f t="shared" si="57"/>
        <v/>
      </c>
      <c r="AF311" s="168" t="str">
        <f t="shared" si="58"/>
        <v/>
      </c>
      <c r="AG311" s="28"/>
      <c r="AH311" s="28"/>
      <c r="AI311" s="20" t="str">
        <f>IF(AG311="","",IF($F311="Bernardino Furlan",_xlfn.XLOOKUP(AG311,Cadastros!$G$6:$G$90,Cadastros!$H$6:$H$90)*(1-0.18),IF($F311="Mauro José Salanti",_xlfn.XLOOKUP(AG311,Cadastros!$G$6:$G$90,Cadastros!$H$6:$H$90)*(1-0.18),_xlfn.XLOOKUP(AG311,Cadastros!$G$6:$G$90,Cadastros!$H$6:$H$90))))</f>
        <v/>
      </c>
      <c r="AJ311" s="168" t="str">
        <f t="shared" si="59"/>
        <v/>
      </c>
      <c r="AK311" s="168" t="str">
        <f t="shared" si="60"/>
        <v/>
      </c>
      <c r="AL311" s="28"/>
      <c r="AM311" s="28"/>
      <c r="AN311" s="20" t="str">
        <f>IF(AL311="","",IF($F311="Bernardino Furlan",_xlfn.XLOOKUP(AL311,Cadastros!$G$6:$G$90,Cadastros!$H$6:$H$90)*(1-0.18),IF($F311="Mauro José Salanti",_xlfn.XLOOKUP(AL311,Cadastros!$G$6:$G$90,Cadastros!$H$6:$H$90)*(1-0.18),_xlfn.XLOOKUP(AL311,Cadastros!$G$6:$G$90,Cadastros!$H$6:$H$90))))</f>
        <v/>
      </c>
      <c r="AO311" s="168" t="str">
        <f t="shared" si="61"/>
        <v/>
      </c>
      <c r="AP311" s="168" t="str">
        <f t="shared" si="62"/>
        <v/>
      </c>
      <c r="AQ311" s="28"/>
      <c r="AR311" s="28"/>
      <c r="AS311" s="20" t="str">
        <f>IF(AQ311="","",IF($F311="Bernardino Furlan",_xlfn.XLOOKUP(AQ311,Cadastros!$G$6:$G$90,Cadastros!$H$6:$H$90)*(1-0.18),IF($F311="Mauro José Salanti",_xlfn.XLOOKUP(AQ311,Cadastros!$G$6:$G$90,Cadastros!$H$6:$H$90)*(1-0.18),_xlfn.XLOOKUP(AQ311,Cadastros!$G$6:$G$90,Cadastros!$H$6:$H$90))))</f>
        <v/>
      </c>
      <c r="AT311" s="168" t="str">
        <f t="shared" si="63"/>
        <v/>
      </c>
      <c r="AU311" s="168" t="str">
        <f t="shared" si="64"/>
        <v/>
      </c>
      <c r="AV311" s="227"/>
      <c r="AW311" s="30"/>
      <c r="AX311" s="267"/>
      <c r="AY311" s="267"/>
      <c r="AZ311" s="29"/>
      <c r="BA311" s="30"/>
      <c r="BB311" s="23" t="str" cm="1">
        <f t="array" ref="BB311">_xlfn.IFS(AW311="SIM",SUM(K311,P311,U311,Z311,AE311,AJ311,AO311,AT311,AX311,AY311),F311&lt;&gt;"",SUM(K311,P311,U311,Z311,AE311,AJ311,,AO311,AT311),F311="","")</f>
        <v/>
      </c>
      <c r="BC311" s="211" t="str" cm="1">
        <f t="array" ref="BC311">_xlfn.IFS(E311="","",G311&lt;=E311,BB311*(1-0.03),G311&lt;(E311+8),BB311,AZ311="Boleto",BB311*(1+0.001)^DATEDIF(E311,G311,"D"),AZ311="Cheque",BB311,AZ311="Dinheiro","Alterar forma pgto")</f>
        <v/>
      </c>
      <c r="BD311" s="276" t="str" cm="1">
        <f t="array" ref="BD311">IF(F311=0," ",IF(BC311&lt;BB311,(_xlfn.IFS(AW311="SIM",SUM(L311,Q311,V311,AA311,AF311,AK311,AP311,AU311)+AX311/_xlfn.XLOOKUP(_xlfn.XLOOKUP($F311,Clientes!$B$4:$B$39,Clientes!$C$4:$C$39),Cadastros!$L$6:$L$12,Cadastros!$M$6:$M$12)+IF($F311="Bernardino Furlan",AY311/2751.92,IF($F311="Mauro José Salanti",AY311/2751.92,AY311/3356)),F311&lt;&gt;0,SUM(L311,Q311,V311,AA311,AF311,AK311,AP311,AU311)))*(1-0.03),_xlfn.IFS(AW311="SIM",SUM(L311,Q311,V311,AA311,AF311,AK311,AP311,AU311)+AX311/_xlfn.XLOOKUP(_xlfn.XLOOKUP($F311,Clientes!$B$4:$B$39,Clientes!$C$4:$C$39),Cadastros!$L$6:$L$12,Cadastros!$M$6:$M$12)+IF($F311="Bernardino Furlan",AY311/2751.92,IF($F311="Mauro José Salanti",AY311/2751.92,AY311/3356)),F311&lt;&gt;0,SUM(L311,Q311,V311,AA311,AF311,AK311,AP311,AU311))))</f>
        <v xml:space="preserve"> </v>
      </c>
      <c r="BE311" s="120"/>
      <c r="BF311" s="120"/>
      <c r="BG311" s="120"/>
    </row>
    <row r="312" spans="1:59" s="3" customFormat="1" x14ac:dyDescent="0.3">
      <c r="A312" s="15" t="str">
        <f t="shared" si="52"/>
        <v/>
      </c>
      <c r="B312" s="25"/>
      <c r="C312" s="26"/>
      <c r="D312" s="279"/>
      <c r="E312" s="27"/>
      <c r="F312" s="28"/>
      <c r="G312" s="27"/>
      <c r="H312" s="28"/>
      <c r="I312" s="28"/>
      <c r="J312" s="255" t="str">
        <f>IF(H312="","",(_xlfn.XLOOKUP(H312,Cadastros!$D$6:$D$90,Cadastros!$E$6:$E$90))*(1-_xlfn.XLOOKUP(_xlfn.XLOOKUP($F312,Clientes!$B$4:$B$39,Clientes!$C$4:$C$39),Cadastros!$L$6:$L$12,Cadastros!$N$6:$N$12)))</f>
        <v/>
      </c>
      <c r="K312" s="168" t="str">
        <f t="shared" si="53"/>
        <v/>
      </c>
      <c r="L312" s="168" t="str">
        <f>IFERROR(K312/_xlfn.XLOOKUP(_xlfn.XLOOKUP($F312,Clientes!$B$4:$B$39,Clientes!$C$4:$C$39),Cadastros!$L$6:$L$12,Cadastros!$M$6:$M$12)," ")</f>
        <v xml:space="preserve"> </v>
      </c>
      <c r="M312" s="28"/>
      <c r="N312" s="28"/>
      <c r="O312" s="255" t="str">
        <f>IF(M312="","",(_xlfn.XLOOKUP(M312,Cadastros!$D$6:$D$90,Cadastros!$E$6:$E$90))*(1-_xlfn.XLOOKUP(_xlfn.XLOOKUP($F312,Clientes!$B$4:$B$39,Clientes!$C$4:$C$39),Cadastros!$L$6:$L$12,Cadastros!$N$6:$N$12)))</f>
        <v/>
      </c>
      <c r="P312" s="168" t="str">
        <f t="shared" si="54"/>
        <v/>
      </c>
      <c r="Q312" s="168" t="str">
        <f>IFERROR(P312/_xlfn.XLOOKUP(_xlfn.XLOOKUP($F312,Clientes!$B$4:$B$39,Clientes!$C$4:$C$39),Cadastros!$L$6:$L$12,Cadastros!$M$6:$M$12)," ")</f>
        <v xml:space="preserve"> </v>
      </c>
      <c r="R312" s="28"/>
      <c r="S312" s="28"/>
      <c r="T312" s="255" t="str">
        <f>IF(R312="","",(_xlfn.XLOOKUP(R312,Cadastros!$D$6:$D$90,Cadastros!$E$6:$E$90))*(1-_xlfn.XLOOKUP(_xlfn.XLOOKUP($F312,Clientes!$B$4:$B$39,Clientes!$C$4:$C$39),Cadastros!$L$6:$L$12,Cadastros!$N$6:$N$12)))</f>
        <v/>
      </c>
      <c r="U312" s="168" t="str">
        <f t="shared" si="55"/>
        <v/>
      </c>
      <c r="V312" s="168" t="str">
        <f>IFERROR(U312/_xlfn.XLOOKUP(_xlfn.XLOOKUP($F312,Clientes!$B$4:$B$39,Clientes!$C$4:$C$39),Cadastros!$L$6:$L$12,Cadastros!$M$6:$M$12)," ")</f>
        <v xml:space="preserve"> </v>
      </c>
      <c r="W312" s="28"/>
      <c r="X312" s="28"/>
      <c r="Y312" s="255" t="str">
        <f>IF(W312="","",(_xlfn.XLOOKUP(W312,Cadastros!$D$6:$D$90,Cadastros!$E$6:$E$90))*(1-_xlfn.XLOOKUP(_xlfn.XLOOKUP($F312,Clientes!$B$4:$B$39,Clientes!$C$4:$C$39),Cadastros!$L$6:$L$12,Cadastros!$N$6:$N$12)))</f>
        <v/>
      </c>
      <c r="Z312" s="168" t="str">
        <f t="shared" si="56"/>
        <v/>
      </c>
      <c r="AA312" s="168" t="str">
        <f>IFERROR(Z312/_xlfn.XLOOKUP(_xlfn.XLOOKUP($F312,Clientes!$B$4:$B$39,Clientes!$C$4:$C$39),Cadastros!$L$6:$L$12,Cadastros!$M$6:$M$12)," ")</f>
        <v xml:space="preserve"> </v>
      </c>
      <c r="AB312" s="28"/>
      <c r="AC312" s="28"/>
      <c r="AD312" s="20" t="str">
        <f>IF(AB312="","",IF($F312="Bernardino Furlan",_xlfn.XLOOKUP(AB312,Cadastros!$G$6:$G$90,Cadastros!$H$6:$H$90)*(1-0.18),IF($F312="Mauro José Salanti",_xlfn.XLOOKUP(AB312,Cadastros!$G$6:$G$90,Cadastros!$H$6:$H$90)*(1-0.18),_xlfn.XLOOKUP(AB312,Cadastros!$G$6:$G$90,Cadastros!$H$6:$H$90))))</f>
        <v/>
      </c>
      <c r="AE312" s="168" t="str">
        <f t="shared" si="57"/>
        <v/>
      </c>
      <c r="AF312" s="168" t="str">
        <f t="shared" si="58"/>
        <v/>
      </c>
      <c r="AG312" s="28"/>
      <c r="AH312" s="28"/>
      <c r="AI312" s="20" t="str">
        <f>IF(AG312="","",IF($F312="Bernardino Furlan",_xlfn.XLOOKUP(AG312,Cadastros!$G$6:$G$90,Cadastros!$H$6:$H$90)*(1-0.18),IF($F312="Mauro José Salanti",_xlfn.XLOOKUP(AG312,Cadastros!$G$6:$G$90,Cadastros!$H$6:$H$90)*(1-0.18),_xlfn.XLOOKUP(AG312,Cadastros!$G$6:$G$90,Cadastros!$H$6:$H$90))))</f>
        <v/>
      </c>
      <c r="AJ312" s="168" t="str">
        <f t="shared" si="59"/>
        <v/>
      </c>
      <c r="AK312" s="168" t="str">
        <f t="shared" si="60"/>
        <v/>
      </c>
      <c r="AL312" s="28"/>
      <c r="AM312" s="28"/>
      <c r="AN312" s="20" t="str">
        <f>IF(AL312="","",IF($F312="Bernardino Furlan",_xlfn.XLOOKUP(AL312,Cadastros!$G$6:$G$90,Cadastros!$H$6:$H$90)*(1-0.18),IF($F312="Mauro José Salanti",_xlfn.XLOOKUP(AL312,Cadastros!$G$6:$G$90,Cadastros!$H$6:$H$90)*(1-0.18),_xlfn.XLOOKUP(AL312,Cadastros!$G$6:$G$90,Cadastros!$H$6:$H$90))))</f>
        <v/>
      </c>
      <c r="AO312" s="168" t="str">
        <f t="shared" si="61"/>
        <v/>
      </c>
      <c r="AP312" s="168" t="str">
        <f t="shared" si="62"/>
        <v/>
      </c>
      <c r="AQ312" s="28"/>
      <c r="AR312" s="28"/>
      <c r="AS312" s="20" t="str">
        <f>IF(AQ312="","",IF($F312="Bernardino Furlan",_xlfn.XLOOKUP(AQ312,Cadastros!$G$6:$G$90,Cadastros!$H$6:$H$90)*(1-0.18),IF($F312="Mauro José Salanti",_xlfn.XLOOKUP(AQ312,Cadastros!$G$6:$G$90,Cadastros!$H$6:$H$90)*(1-0.18),_xlfn.XLOOKUP(AQ312,Cadastros!$G$6:$G$90,Cadastros!$H$6:$H$90))))</f>
        <v/>
      </c>
      <c r="AT312" s="168" t="str">
        <f t="shared" si="63"/>
        <v/>
      </c>
      <c r="AU312" s="168" t="str">
        <f t="shared" si="64"/>
        <v/>
      </c>
      <c r="AV312" s="227"/>
      <c r="AW312" s="30"/>
      <c r="AX312" s="267"/>
      <c r="AY312" s="267"/>
      <c r="AZ312" s="29"/>
      <c r="BA312" s="30"/>
      <c r="BB312" s="23" t="str" cm="1">
        <f t="array" ref="BB312">_xlfn.IFS(AW312="SIM",SUM(K312,P312,U312,Z312,AE312,AJ312,AO312,AT312,AX312,AY312),F312&lt;&gt;"",SUM(K312,P312,U312,Z312,AE312,AJ312,,AO312,AT312),F312="","")</f>
        <v/>
      </c>
      <c r="BC312" s="211" t="str" cm="1">
        <f t="array" ref="BC312">_xlfn.IFS(E312="","",G312&lt;=E312,BB312*(1-0.03),G312&lt;(E312+8),BB312,AZ312="Boleto",BB312*(1+0.001)^DATEDIF(E312,G312,"D"),AZ312="Cheque",BB312,AZ312="Dinheiro","Alterar forma pgto")</f>
        <v/>
      </c>
      <c r="BD312" s="276" t="str" cm="1">
        <f t="array" ref="BD312">IF(F312=0," ",IF(BC312&lt;BB312,(_xlfn.IFS(AW312="SIM",SUM(L312,Q312,V312,AA312,AF312,AK312,AP312,AU312)+AX312/_xlfn.XLOOKUP(_xlfn.XLOOKUP($F312,Clientes!$B$4:$B$39,Clientes!$C$4:$C$39),Cadastros!$L$6:$L$12,Cadastros!$M$6:$M$12)+IF($F312="Bernardino Furlan",AY312/2751.92,IF($F312="Mauro José Salanti",AY312/2751.92,AY312/3356)),F312&lt;&gt;0,SUM(L312,Q312,V312,AA312,AF312,AK312,AP312,AU312)))*(1-0.03),_xlfn.IFS(AW312="SIM",SUM(L312,Q312,V312,AA312,AF312,AK312,AP312,AU312)+AX312/_xlfn.XLOOKUP(_xlfn.XLOOKUP($F312,Clientes!$B$4:$B$39,Clientes!$C$4:$C$39),Cadastros!$L$6:$L$12,Cadastros!$M$6:$M$12)+IF($F312="Bernardino Furlan",AY312/2751.92,IF($F312="Mauro José Salanti",AY312/2751.92,AY312/3356)),F312&lt;&gt;0,SUM(L312,Q312,V312,AA312,AF312,AK312,AP312,AU312))))</f>
        <v xml:space="preserve"> </v>
      </c>
      <c r="BE312" s="120"/>
      <c r="BF312" s="120"/>
      <c r="BG312" s="120"/>
    </row>
    <row r="313" spans="1:59" s="3" customFormat="1" x14ac:dyDescent="0.3">
      <c r="A313" s="15" t="str">
        <f t="shared" si="52"/>
        <v/>
      </c>
      <c r="B313" s="25"/>
      <c r="C313" s="26"/>
      <c r="D313" s="279"/>
      <c r="E313" s="27"/>
      <c r="F313" s="28"/>
      <c r="G313" s="27"/>
      <c r="H313" s="28"/>
      <c r="I313" s="28"/>
      <c r="J313" s="255" t="str">
        <f>IF(H313="","",(_xlfn.XLOOKUP(H313,Cadastros!$D$6:$D$90,Cadastros!$E$6:$E$90))*(1-_xlfn.XLOOKUP(_xlfn.XLOOKUP($F313,Clientes!$B$4:$B$39,Clientes!$C$4:$C$39),Cadastros!$L$6:$L$12,Cadastros!$N$6:$N$12)))</f>
        <v/>
      </c>
      <c r="K313" s="168" t="str">
        <f t="shared" si="53"/>
        <v/>
      </c>
      <c r="L313" s="168" t="str">
        <f>IFERROR(K313/_xlfn.XLOOKUP(_xlfn.XLOOKUP($F313,Clientes!$B$4:$B$39,Clientes!$C$4:$C$39),Cadastros!$L$6:$L$12,Cadastros!$M$6:$M$12)," ")</f>
        <v xml:space="preserve"> </v>
      </c>
      <c r="M313" s="28"/>
      <c r="N313" s="28"/>
      <c r="O313" s="255" t="str">
        <f>IF(M313="","",(_xlfn.XLOOKUP(M313,Cadastros!$D$6:$D$90,Cadastros!$E$6:$E$90))*(1-_xlfn.XLOOKUP(_xlfn.XLOOKUP($F313,Clientes!$B$4:$B$39,Clientes!$C$4:$C$39),Cadastros!$L$6:$L$12,Cadastros!$N$6:$N$12)))</f>
        <v/>
      </c>
      <c r="P313" s="168" t="str">
        <f t="shared" si="54"/>
        <v/>
      </c>
      <c r="Q313" s="168" t="str">
        <f>IFERROR(P313/_xlfn.XLOOKUP(_xlfn.XLOOKUP($F313,Clientes!$B$4:$B$39,Clientes!$C$4:$C$39),Cadastros!$L$6:$L$12,Cadastros!$M$6:$M$12)," ")</f>
        <v xml:space="preserve"> </v>
      </c>
      <c r="R313" s="28"/>
      <c r="S313" s="28"/>
      <c r="T313" s="255" t="str">
        <f>IF(R313="","",(_xlfn.XLOOKUP(R313,Cadastros!$D$6:$D$90,Cadastros!$E$6:$E$90))*(1-_xlfn.XLOOKUP(_xlfn.XLOOKUP($F313,Clientes!$B$4:$B$39,Clientes!$C$4:$C$39),Cadastros!$L$6:$L$12,Cadastros!$N$6:$N$12)))</f>
        <v/>
      </c>
      <c r="U313" s="168" t="str">
        <f t="shared" si="55"/>
        <v/>
      </c>
      <c r="V313" s="168" t="str">
        <f>IFERROR(U313/_xlfn.XLOOKUP(_xlfn.XLOOKUP($F313,Clientes!$B$4:$B$39,Clientes!$C$4:$C$39),Cadastros!$L$6:$L$12,Cadastros!$M$6:$M$12)," ")</f>
        <v xml:space="preserve"> </v>
      </c>
      <c r="W313" s="28"/>
      <c r="X313" s="28"/>
      <c r="Y313" s="255" t="str">
        <f>IF(W313="","",(_xlfn.XLOOKUP(W313,Cadastros!$D$6:$D$90,Cadastros!$E$6:$E$90))*(1-_xlfn.XLOOKUP(_xlfn.XLOOKUP($F313,Clientes!$B$4:$B$39,Clientes!$C$4:$C$39),Cadastros!$L$6:$L$12,Cadastros!$N$6:$N$12)))</f>
        <v/>
      </c>
      <c r="Z313" s="168" t="str">
        <f t="shared" si="56"/>
        <v/>
      </c>
      <c r="AA313" s="168" t="str">
        <f>IFERROR(Z313/_xlfn.XLOOKUP(_xlfn.XLOOKUP($F313,Clientes!$B$4:$B$39,Clientes!$C$4:$C$39),Cadastros!$L$6:$L$12,Cadastros!$M$6:$M$12)," ")</f>
        <v xml:space="preserve"> </v>
      </c>
      <c r="AB313" s="28"/>
      <c r="AC313" s="28"/>
      <c r="AD313" s="20" t="str">
        <f>IF(AB313="","",IF($F313="Bernardino Furlan",_xlfn.XLOOKUP(AB313,Cadastros!$G$6:$G$90,Cadastros!$H$6:$H$90)*(1-0.18),IF($F313="Mauro José Salanti",_xlfn.XLOOKUP(AB313,Cadastros!$G$6:$G$90,Cadastros!$H$6:$H$90)*(1-0.18),_xlfn.XLOOKUP(AB313,Cadastros!$G$6:$G$90,Cadastros!$H$6:$H$90))))</f>
        <v/>
      </c>
      <c r="AE313" s="168" t="str">
        <f t="shared" si="57"/>
        <v/>
      </c>
      <c r="AF313" s="168" t="str">
        <f t="shared" si="58"/>
        <v/>
      </c>
      <c r="AG313" s="28"/>
      <c r="AH313" s="28"/>
      <c r="AI313" s="20" t="str">
        <f>IF(AG313="","",IF($F313="Bernardino Furlan",_xlfn.XLOOKUP(AG313,Cadastros!$G$6:$G$90,Cadastros!$H$6:$H$90)*(1-0.18),IF($F313="Mauro José Salanti",_xlfn.XLOOKUP(AG313,Cadastros!$G$6:$G$90,Cadastros!$H$6:$H$90)*(1-0.18),_xlfn.XLOOKUP(AG313,Cadastros!$G$6:$G$90,Cadastros!$H$6:$H$90))))</f>
        <v/>
      </c>
      <c r="AJ313" s="168" t="str">
        <f t="shared" si="59"/>
        <v/>
      </c>
      <c r="AK313" s="168" t="str">
        <f t="shared" si="60"/>
        <v/>
      </c>
      <c r="AL313" s="28"/>
      <c r="AM313" s="28"/>
      <c r="AN313" s="20" t="str">
        <f>IF(AL313="","",IF($F313="Bernardino Furlan",_xlfn.XLOOKUP(AL313,Cadastros!$G$6:$G$90,Cadastros!$H$6:$H$90)*(1-0.18),IF($F313="Mauro José Salanti",_xlfn.XLOOKUP(AL313,Cadastros!$G$6:$G$90,Cadastros!$H$6:$H$90)*(1-0.18),_xlfn.XLOOKUP(AL313,Cadastros!$G$6:$G$90,Cadastros!$H$6:$H$90))))</f>
        <v/>
      </c>
      <c r="AO313" s="168" t="str">
        <f t="shared" si="61"/>
        <v/>
      </c>
      <c r="AP313" s="168" t="str">
        <f t="shared" si="62"/>
        <v/>
      </c>
      <c r="AQ313" s="28"/>
      <c r="AR313" s="28"/>
      <c r="AS313" s="20" t="str">
        <f>IF(AQ313="","",IF($F313="Bernardino Furlan",_xlfn.XLOOKUP(AQ313,Cadastros!$G$6:$G$90,Cadastros!$H$6:$H$90)*(1-0.18),IF($F313="Mauro José Salanti",_xlfn.XLOOKUP(AQ313,Cadastros!$G$6:$G$90,Cadastros!$H$6:$H$90)*(1-0.18),_xlfn.XLOOKUP(AQ313,Cadastros!$G$6:$G$90,Cadastros!$H$6:$H$90))))</f>
        <v/>
      </c>
      <c r="AT313" s="168" t="str">
        <f t="shared" si="63"/>
        <v/>
      </c>
      <c r="AU313" s="168" t="str">
        <f t="shared" si="64"/>
        <v/>
      </c>
      <c r="AV313" s="227"/>
      <c r="AW313" s="30"/>
      <c r="AX313" s="267"/>
      <c r="AY313" s="267"/>
      <c r="AZ313" s="29"/>
      <c r="BA313" s="30"/>
      <c r="BB313" s="23" t="str" cm="1">
        <f t="array" ref="BB313">_xlfn.IFS(AW313="SIM",SUM(K313,P313,U313,Z313,AE313,AJ313,AO313,AT313,AX313,AY313),F313&lt;&gt;"",SUM(K313,P313,U313,Z313,AE313,AJ313,,AO313,AT313),F313="","")</f>
        <v/>
      </c>
      <c r="BC313" s="211" t="str" cm="1">
        <f t="array" ref="BC313">_xlfn.IFS(E313="","",G313&lt;=E313,BB313*(1-0.03),G313&lt;(E313+8),BB313,AZ313="Boleto",BB313*(1+0.001)^DATEDIF(E313,G313,"D"),AZ313="Cheque",BB313,AZ313="Dinheiro","Alterar forma pgto")</f>
        <v/>
      </c>
      <c r="BD313" s="276" t="str" cm="1">
        <f t="array" ref="BD313">IF(F313=0," ",IF(BC313&lt;BB313,(_xlfn.IFS(AW313="SIM",SUM(L313,Q313,V313,AA313,AF313,AK313,AP313,AU313)+AX313/_xlfn.XLOOKUP(_xlfn.XLOOKUP($F313,Clientes!$B$4:$B$39,Clientes!$C$4:$C$39),Cadastros!$L$6:$L$12,Cadastros!$M$6:$M$12)+IF($F313="Bernardino Furlan",AY313/2751.92,IF($F313="Mauro José Salanti",AY313/2751.92,AY313/3356)),F313&lt;&gt;0,SUM(L313,Q313,V313,AA313,AF313,AK313,AP313,AU313)))*(1-0.03),_xlfn.IFS(AW313="SIM",SUM(L313,Q313,V313,AA313,AF313,AK313,AP313,AU313)+AX313/_xlfn.XLOOKUP(_xlfn.XLOOKUP($F313,Clientes!$B$4:$B$39,Clientes!$C$4:$C$39),Cadastros!$L$6:$L$12,Cadastros!$M$6:$M$12)+IF($F313="Bernardino Furlan",AY313/2751.92,IF($F313="Mauro José Salanti",AY313/2751.92,AY313/3356)),F313&lt;&gt;0,SUM(L313,Q313,V313,AA313,AF313,AK313,AP313,AU313))))</f>
        <v xml:space="preserve"> </v>
      </c>
      <c r="BE313" s="120"/>
      <c r="BF313" s="120"/>
      <c r="BG313" s="120"/>
    </row>
    <row r="314" spans="1:59" s="3" customFormat="1" x14ac:dyDescent="0.3">
      <c r="A314" s="15" t="str">
        <f t="shared" si="52"/>
        <v/>
      </c>
      <c r="B314" s="25"/>
      <c r="C314" s="26"/>
      <c r="D314" s="279"/>
      <c r="E314" s="27"/>
      <c r="F314" s="28"/>
      <c r="G314" s="27"/>
      <c r="H314" s="28"/>
      <c r="I314" s="28"/>
      <c r="J314" s="255" t="str">
        <f>IF(H314="","",(_xlfn.XLOOKUP(H314,Cadastros!$D$6:$D$90,Cadastros!$E$6:$E$90))*(1-_xlfn.XLOOKUP(_xlfn.XLOOKUP($F314,Clientes!$B$4:$B$39,Clientes!$C$4:$C$39),Cadastros!$L$6:$L$12,Cadastros!$N$6:$N$12)))</f>
        <v/>
      </c>
      <c r="K314" s="168" t="str">
        <f t="shared" si="53"/>
        <v/>
      </c>
      <c r="L314" s="168" t="str">
        <f>IFERROR(K314/_xlfn.XLOOKUP(_xlfn.XLOOKUP($F314,Clientes!$B$4:$B$39,Clientes!$C$4:$C$39),Cadastros!$L$6:$L$12,Cadastros!$M$6:$M$12)," ")</f>
        <v xml:space="preserve"> </v>
      </c>
      <c r="M314" s="28"/>
      <c r="N314" s="28"/>
      <c r="O314" s="255" t="str">
        <f>IF(M314="","",(_xlfn.XLOOKUP(M314,Cadastros!$D$6:$D$90,Cadastros!$E$6:$E$90))*(1-_xlfn.XLOOKUP(_xlfn.XLOOKUP($F314,Clientes!$B$4:$B$39,Clientes!$C$4:$C$39),Cadastros!$L$6:$L$12,Cadastros!$N$6:$N$12)))</f>
        <v/>
      </c>
      <c r="P314" s="168" t="str">
        <f t="shared" si="54"/>
        <v/>
      </c>
      <c r="Q314" s="168" t="str">
        <f>IFERROR(P314/_xlfn.XLOOKUP(_xlfn.XLOOKUP($F314,Clientes!$B$4:$B$39,Clientes!$C$4:$C$39),Cadastros!$L$6:$L$12,Cadastros!$M$6:$M$12)," ")</f>
        <v xml:space="preserve"> </v>
      </c>
      <c r="R314" s="28"/>
      <c r="S314" s="28"/>
      <c r="T314" s="255" t="str">
        <f>IF(R314="","",(_xlfn.XLOOKUP(R314,Cadastros!$D$6:$D$90,Cadastros!$E$6:$E$90))*(1-_xlfn.XLOOKUP(_xlfn.XLOOKUP($F314,Clientes!$B$4:$B$39,Clientes!$C$4:$C$39),Cadastros!$L$6:$L$12,Cadastros!$N$6:$N$12)))</f>
        <v/>
      </c>
      <c r="U314" s="168" t="str">
        <f t="shared" si="55"/>
        <v/>
      </c>
      <c r="V314" s="168" t="str">
        <f>IFERROR(U314/_xlfn.XLOOKUP(_xlfn.XLOOKUP($F314,Clientes!$B$4:$B$39,Clientes!$C$4:$C$39),Cadastros!$L$6:$L$12,Cadastros!$M$6:$M$12)," ")</f>
        <v xml:space="preserve"> </v>
      </c>
      <c r="W314" s="28"/>
      <c r="X314" s="28"/>
      <c r="Y314" s="255" t="str">
        <f>IF(W314="","",(_xlfn.XLOOKUP(W314,Cadastros!$D$6:$D$90,Cadastros!$E$6:$E$90))*(1-_xlfn.XLOOKUP(_xlfn.XLOOKUP($F314,Clientes!$B$4:$B$39,Clientes!$C$4:$C$39),Cadastros!$L$6:$L$12,Cadastros!$N$6:$N$12)))</f>
        <v/>
      </c>
      <c r="Z314" s="168" t="str">
        <f t="shared" si="56"/>
        <v/>
      </c>
      <c r="AA314" s="168" t="str">
        <f>IFERROR(Z314/_xlfn.XLOOKUP(_xlfn.XLOOKUP($F314,Clientes!$B$4:$B$39,Clientes!$C$4:$C$39),Cadastros!$L$6:$L$12,Cadastros!$M$6:$M$12)," ")</f>
        <v xml:space="preserve"> </v>
      </c>
      <c r="AB314" s="28"/>
      <c r="AC314" s="28"/>
      <c r="AD314" s="20" t="str">
        <f>IF(AB314="","",IF($F314="Bernardino Furlan",_xlfn.XLOOKUP(AB314,Cadastros!$G$6:$G$90,Cadastros!$H$6:$H$90)*(1-0.18),IF($F314="Mauro José Salanti",_xlfn.XLOOKUP(AB314,Cadastros!$G$6:$G$90,Cadastros!$H$6:$H$90)*(1-0.18),_xlfn.XLOOKUP(AB314,Cadastros!$G$6:$G$90,Cadastros!$H$6:$H$90))))</f>
        <v/>
      </c>
      <c r="AE314" s="168" t="str">
        <f t="shared" si="57"/>
        <v/>
      </c>
      <c r="AF314" s="168" t="str">
        <f t="shared" si="58"/>
        <v/>
      </c>
      <c r="AG314" s="28"/>
      <c r="AH314" s="28"/>
      <c r="AI314" s="20" t="str">
        <f>IF(AG314="","",IF($F314="Bernardino Furlan",_xlfn.XLOOKUP(AG314,Cadastros!$G$6:$G$90,Cadastros!$H$6:$H$90)*(1-0.18),IF($F314="Mauro José Salanti",_xlfn.XLOOKUP(AG314,Cadastros!$G$6:$G$90,Cadastros!$H$6:$H$90)*(1-0.18),_xlfn.XLOOKUP(AG314,Cadastros!$G$6:$G$90,Cadastros!$H$6:$H$90))))</f>
        <v/>
      </c>
      <c r="AJ314" s="168" t="str">
        <f t="shared" si="59"/>
        <v/>
      </c>
      <c r="AK314" s="168" t="str">
        <f t="shared" si="60"/>
        <v/>
      </c>
      <c r="AL314" s="28"/>
      <c r="AM314" s="28"/>
      <c r="AN314" s="20" t="str">
        <f>IF(AL314="","",IF($F314="Bernardino Furlan",_xlfn.XLOOKUP(AL314,Cadastros!$G$6:$G$90,Cadastros!$H$6:$H$90)*(1-0.18),IF($F314="Mauro José Salanti",_xlfn.XLOOKUP(AL314,Cadastros!$G$6:$G$90,Cadastros!$H$6:$H$90)*(1-0.18),_xlfn.XLOOKUP(AL314,Cadastros!$G$6:$G$90,Cadastros!$H$6:$H$90))))</f>
        <v/>
      </c>
      <c r="AO314" s="168" t="str">
        <f t="shared" si="61"/>
        <v/>
      </c>
      <c r="AP314" s="168" t="str">
        <f t="shared" si="62"/>
        <v/>
      </c>
      <c r="AQ314" s="28"/>
      <c r="AR314" s="28"/>
      <c r="AS314" s="20" t="str">
        <f>IF(AQ314="","",IF($F314="Bernardino Furlan",_xlfn.XLOOKUP(AQ314,Cadastros!$G$6:$G$90,Cadastros!$H$6:$H$90)*(1-0.18),IF($F314="Mauro José Salanti",_xlfn.XLOOKUP(AQ314,Cadastros!$G$6:$G$90,Cadastros!$H$6:$H$90)*(1-0.18),_xlfn.XLOOKUP(AQ314,Cadastros!$G$6:$G$90,Cadastros!$H$6:$H$90))))</f>
        <v/>
      </c>
      <c r="AT314" s="168" t="str">
        <f t="shared" si="63"/>
        <v/>
      </c>
      <c r="AU314" s="168" t="str">
        <f t="shared" si="64"/>
        <v/>
      </c>
      <c r="AV314" s="227"/>
      <c r="AW314" s="30"/>
      <c r="AX314" s="267"/>
      <c r="AY314" s="267"/>
      <c r="AZ314" s="29"/>
      <c r="BA314" s="30"/>
      <c r="BB314" s="23" t="str" cm="1">
        <f t="array" ref="BB314">_xlfn.IFS(AW314="SIM",SUM(K314,P314,U314,Z314,AE314,AJ314,AO314,AT314,AX314,AY314),F314&lt;&gt;"",SUM(K314,P314,U314,Z314,AE314,AJ314,,AO314,AT314),F314="","")</f>
        <v/>
      </c>
      <c r="BC314" s="211" t="str" cm="1">
        <f t="array" ref="BC314">_xlfn.IFS(E314="","",G314&lt;=E314,BB314*(1-0.03),G314&lt;(E314+8),BB314,AZ314="Boleto",BB314*(1+0.001)^DATEDIF(E314,G314,"D"),AZ314="Cheque",BB314,AZ314="Dinheiro","Alterar forma pgto")</f>
        <v/>
      </c>
      <c r="BD314" s="276" t="str" cm="1">
        <f t="array" ref="BD314">IF(F314=0," ",IF(BC314&lt;BB314,(_xlfn.IFS(AW314="SIM",SUM(L314,Q314,V314,AA314,AF314,AK314,AP314,AU314)+AX314/_xlfn.XLOOKUP(_xlfn.XLOOKUP($F314,Clientes!$B$4:$B$39,Clientes!$C$4:$C$39),Cadastros!$L$6:$L$12,Cadastros!$M$6:$M$12)+IF($F314="Bernardino Furlan",AY314/2751.92,IF($F314="Mauro José Salanti",AY314/2751.92,AY314/3356)),F314&lt;&gt;0,SUM(L314,Q314,V314,AA314,AF314,AK314,AP314,AU314)))*(1-0.03),_xlfn.IFS(AW314="SIM",SUM(L314,Q314,V314,AA314,AF314,AK314,AP314,AU314)+AX314/_xlfn.XLOOKUP(_xlfn.XLOOKUP($F314,Clientes!$B$4:$B$39,Clientes!$C$4:$C$39),Cadastros!$L$6:$L$12,Cadastros!$M$6:$M$12)+IF($F314="Bernardino Furlan",AY314/2751.92,IF($F314="Mauro José Salanti",AY314/2751.92,AY314/3356)),F314&lt;&gt;0,SUM(L314,Q314,V314,AA314,AF314,AK314,AP314,AU314))))</f>
        <v xml:space="preserve"> </v>
      </c>
      <c r="BE314" s="120"/>
      <c r="BF314" s="120"/>
      <c r="BG314" s="120"/>
    </row>
    <row r="315" spans="1:59" s="3" customFormat="1" x14ac:dyDescent="0.3">
      <c r="A315" s="15" t="str">
        <f t="shared" si="52"/>
        <v/>
      </c>
      <c r="B315" s="25"/>
      <c r="C315" s="26"/>
      <c r="D315" s="279"/>
      <c r="E315" s="27"/>
      <c r="F315" s="28"/>
      <c r="G315" s="27"/>
      <c r="H315" s="28"/>
      <c r="I315" s="28"/>
      <c r="J315" s="255" t="str">
        <f>IF(H315="","",(_xlfn.XLOOKUP(H315,Cadastros!$D$6:$D$90,Cadastros!$E$6:$E$90))*(1-_xlfn.XLOOKUP(_xlfn.XLOOKUP($F315,Clientes!$B$4:$B$39,Clientes!$C$4:$C$39),Cadastros!$L$6:$L$12,Cadastros!$N$6:$N$12)))</f>
        <v/>
      </c>
      <c r="K315" s="168" t="str">
        <f t="shared" si="53"/>
        <v/>
      </c>
      <c r="L315" s="168" t="str">
        <f>IFERROR(K315/_xlfn.XLOOKUP(_xlfn.XLOOKUP($F315,Clientes!$B$4:$B$39,Clientes!$C$4:$C$39),Cadastros!$L$6:$L$12,Cadastros!$M$6:$M$12)," ")</f>
        <v xml:space="preserve"> </v>
      </c>
      <c r="M315" s="28"/>
      <c r="N315" s="28"/>
      <c r="O315" s="255" t="str">
        <f>IF(M315="","",(_xlfn.XLOOKUP(M315,Cadastros!$D$6:$D$90,Cadastros!$E$6:$E$90))*(1-_xlfn.XLOOKUP(_xlfn.XLOOKUP($F315,Clientes!$B$4:$B$39,Clientes!$C$4:$C$39),Cadastros!$L$6:$L$12,Cadastros!$N$6:$N$12)))</f>
        <v/>
      </c>
      <c r="P315" s="168" t="str">
        <f t="shared" si="54"/>
        <v/>
      </c>
      <c r="Q315" s="168" t="str">
        <f>IFERROR(P315/_xlfn.XLOOKUP(_xlfn.XLOOKUP($F315,Clientes!$B$4:$B$39,Clientes!$C$4:$C$39),Cadastros!$L$6:$L$12,Cadastros!$M$6:$M$12)," ")</f>
        <v xml:space="preserve"> </v>
      </c>
      <c r="R315" s="28"/>
      <c r="S315" s="28"/>
      <c r="T315" s="255" t="str">
        <f>IF(R315="","",(_xlfn.XLOOKUP(R315,Cadastros!$D$6:$D$90,Cadastros!$E$6:$E$90))*(1-_xlfn.XLOOKUP(_xlfn.XLOOKUP($F315,Clientes!$B$4:$B$39,Clientes!$C$4:$C$39),Cadastros!$L$6:$L$12,Cadastros!$N$6:$N$12)))</f>
        <v/>
      </c>
      <c r="U315" s="168" t="str">
        <f t="shared" si="55"/>
        <v/>
      </c>
      <c r="V315" s="168" t="str">
        <f>IFERROR(U315/_xlfn.XLOOKUP(_xlfn.XLOOKUP($F315,Clientes!$B$4:$B$39,Clientes!$C$4:$C$39),Cadastros!$L$6:$L$12,Cadastros!$M$6:$M$12)," ")</f>
        <v xml:space="preserve"> </v>
      </c>
      <c r="W315" s="28"/>
      <c r="X315" s="28"/>
      <c r="Y315" s="255" t="str">
        <f>IF(W315="","",(_xlfn.XLOOKUP(W315,Cadastros!$D$6:$D$90,Cadastros!$E$6:$E$90))*(1-_xlfn.XLOOKUP(_xlfn.XLOOKUP($F315,Clientes!$B$4:$B$39,Clientes!$C$4:$C$39),Cadastros!$L$6:$L$12,Cadastros!$N$6:$N$12)))</f>
        <v/>
      </c>
      <c r="Z315" s="168" t="str">
        <f t="shared" si="56"/>
        <v/>
      </c>
      <c r="AA315" s="168" t="str">
        <f>IFERROR(Z315/_xlfn.XLOOKUP(_xlfn.XLOOKUP($F315,Clientes!$B$4:$B$39,Clientes!$C$4:$C$39),Cadastros!$L$6:$L$12,Cadastros!$M$6:$M$12)," ")</f>
        <v xml:space="preserve"> </v>
      </c>
      <c r="AB315" s="28"/>
      <c r="AC315" s="28"/>
      <c r="AD315" s="20" t="str">
        <f>IF(AB315="","",IF($F315="Bernardino Furlan",_xlfn.XLOOKUP(AB315,Cadastros!$G$6:$G$90,Cadastros!$H$6:$H$90)*(1-0.18),IF($F315="Mauro José Salanti",_xlfn.XLOOKUP(AB315,Cadastros!$G$6:$G$90,Cadastros!$H$6:$H$90)*(1-0.18),_xlfn.XLOOKUP(AB315,Cadastros!$G$6:$G$90,Cadastros!$H$6:$H$90))))</f>
        <v/>
      </c>
      <c r="AE315" s="168" t="str">
        <f t="shared" si="57"/>
        <v/>
      </c>
      <c r="AF315" s="168" t="str">
        <f t="shared" si="58"/>
        <v/>
      </c>
      <c r="AG315" s="28"/>
      <c r="AH315" s="28"/>
      <c r="AI315" s="20" t="str">
        <f>IF(AG315="","",IF($F315="Bernardino Furlan",_xlfn.XLOOKUP(AG315,Cadastros!$G$6:$G$90,Cadastros!$H$6:$H$90)*(1-0.18),IF($F315="Mauro José Salanti",_xlfn.XLOOKUP(AG315,Cadastros!$G$6:$G$90,Cadastros!$H$6:$H$90)*(1-0.18),_xlfn.XLOOKUP(AG315,Cadastros!$G$6:$G$90,Cadastros!$H$6:$H$90))))</f>
        <v/>
      </c>
      <c r="AJ315" s="168" t="str">
        <f t="shared" si="59"/>
        <v/>
      </c>
      <c r="AK315" s="168" t="str">
        <f t="shared" si="60"/>
        <v/>
      </c>
      <c r="AL315" s="28"/>
      <c r="AM315" s="28"/>
      <c r="AN315" s="20" t="str">
        <f>IF(AL315="","",IF($F315="Bernardino Furlan",_xlfn.XLOOKUP(AL315,Cadastros!$G$6:$G$90,Cadastros!$H$6:$H$90)*(1-0.18),IF($F315="Mauro José Salanti",_xlfn.XLOOKUP(AL315,Cadastros!$G$6:$G$90,Cadastros!$H$6:$H$90)*(1-0.18),_xlfn.XLOOKUP(AL315,Cadastros!$G$6:$G$90,Cadastros!$H$6:$H$90))))</f>
        <v/>
      </c>
      <c r="AO315" s="168" t="str">
        <f t="shared" si="61"/>
        <v/>
      </c>
      <c r="AP315" s="168" t="str">
        <f t="shared" si="62"/>
        <v/>
      </c>
      <c r="AQ315" s="28"/>
      <c r="AR315" s="28"/>
      <c r="AS315" s="20" t="str">
        <f>IF(AQ315="","",IF($F315="Bernardino Furlan",_xlfn.XLOOKUP(AQ315,Cadastros!$G$6:$G$90,Cadastros!$H$6:$H$90)*(1-0.18),IF($F315="Mauro José Salanti",_xlfn.XLOOKUP(AQ315,Cadastros!$G$6:$G$90,Cadastros!$H$6:$H$90)*(1-0.18),_xlfn.XLOOKUP(AQ315,Cadastros!$G$6:$G$90,Cadastros!$H$6:$H$90))))</f>
        <v/>
      </c>
      <c r="AT315" s="168" t="str">
        <f t="shared" si="63"/>
        <v/>
      </c>
      <c r="AU315" s="168" t="str">
        <f t="shared" si="64"/>
        <v/>
      </c>
      <c r="AV315" s="227"/>
      <c r="AW315" s="30"/>
      <c r="AX315" s="267"/>
      <c r="AY315" s="267"/>
      <c r="AZ315" s="29"/>
      <c r="BA315" s="30"/>
      <c r="BB315" s="23" t="str" cm="1">
        <f t="array" ref="BB315">_xlfn.IFS(AW315="SIM",SUM(K315,P315,U315,Z315,AE315,AJ315,AO315,AT315,AX315,AY315),F315&lt;&gt;"",SUM(K315,P315,U315,Z315,AE315,AJ315,,AO315,AT315),F315="","")</f>
        <v/>
      </c>
      <c r="BC315" s="211" t="str" cm="1">
        <f t="array" ref="BC315">_xlfn.IFS(E315="","",G315&lt;=E315,BB315*(1-0.03),G315&lt;(E315+8),BB315,AZ315="Boleto",BB315*(1+0.001)^DATEDIF(E315,G315,"D"),AZ315="Cheque",BB315,AZ315="Dinheiro","Alterar forma pgto")</f>
        <v/>
      </c>
      <c r="BD315" s="276" t="str" cm="1">
        <f t="array" ref="BD315">IF(F315=0," ",IF(BC315&lt;BB315,(_xlfn.IFS(AW315="SIM",SUM(L315,Q315,V315,AA315,AF315,AK315,AP315,AU315)+AX315/_xlfn.XLOOKUP(_xlfn.XLOOKUP($F315,Clientes!$B$4:$B$39,Clientes!$C$4:$C$39),Cadastros!$L$6:$L$12,Cadastros!$M$6:$M$12)+IF($F315="Bernardino Furlan",AY315/2751.92,IF($F315="Mauro José Salanti",AY315/2751.92,AY315/3356)),F315&lt;&gt;0,SUM(L315,Q315,V315,AA315,AF315,AK315,AP315,AU315)))*(1-0.03),_xlfn.IFS(AW315="SIM",SUM(L315,Q315,V315,AA315,AF315,AK315,AP315,AU315)+AX315/_xlfn.XLOOKUP(_xlfn.XLOOKUP($F315,Clientes!$B$4:$B$39,Clientes!$C$4:$C$39),Cadastros!$L$6:$L$12,Cadastros!$M$6:$M$12)+IF($F315="Bernardino Furlan",AY315/2751.92,IF($F315="Mauro José Salanti",AY315/2751.92,AY315/3356)),F315&lt;&gt;0,SUM(L315,Q315,V315,AA315,AF315,AK315,AP315,AU315))))</f>
        <v xml:space="preserve"> </v>
      </c>
      <c r="BE315" s="120"/>
      <c r="BF315" s="120"/>
      <c r="BG315" s="120"/>
    </row>
    <row r="316" spans="1:59" s="3" customFormat="1" x14ac:dyDescent="0.3">
      <c r="A316" s="15" t="str">
        <f t="shared" si="52"/>
        <v/>
      </c>
      <c r="B316" s="25"/>
      <c r="C316" s="26"/>
      <c r="D316" s="279"/>
      <c r="E316" s="27"/>
      <c r="F316" s="28"/>
      <c r="G316" s="27"/>
      <c r="H316" s="28"/>
      <c r="I316" s="28"/>
      <c r="J316" s="255" t="str">
        <f>IF(H316="","",(_xlfn.XLOOKUP(H316,Cadastros!$D$6:$D$90,Cadastros!$E$6:$E$90))*(1-_xlfn.XLOOKUP(_xlfn.XLOOKUP($F316,Clientes!$B$4:$B$39,Clientes!$C$4:$C$39),Cadastros!$L$6:$L$12,Cadastros!$N$6:$N$12)))</f>
        <v/>
      </c>
      <c r="K316" s="168" t="str">
        <f t="shared" si="53"/>
        <v/>
      </c>
      <c r="L316" s="168" t="str">
        <f>IFERROR(K316/_xlfn.XLOOKUP(_xlfn.XLOOKUP($F316,Clientes!$B$4:$B$39,Clientes!$C$4:$C$39),Cadastros!$L$6:$L$12,Cadastros!$M$6:$M$12)," ")</f>
        <v xml:space="preserve"> </v>
      </c>
      <c r="M316" s="28"/>
      <c r="N316" s="28"/>
      <c r="O316" s="255" t="str">
        <f>IF(M316="","",(_xlfn.XLOOKUP(M316,Cadastros!$D$6:$D$90,Cadastros!$E$6:$E$90))*(1-_xlfn.XLOOKUP(_xlfn.XLOOKUP($F316,Clientes!$B$4:$B$39,Clientes!$C$4:$C$39),Cadastros!$L$6:$L$12,Cadastros!$N$6:$N$12)))</f>
        <v/>
      </c>
      <c r="P316" s="168" t="str">
        <f t="shared" si="54"/>
        <v/>
      </c>
      <c r="Q316" s="168" t="str">
        <f>IFERROR(P316/_xlfn.XLOOKUP(_xlfn.XLOOKUP($F316,Clientes!$B$4:$B$39,Clientes!$C$4:$C$39),Cadastros!$L$6:$L$12,Cadastros!$M$6:$M$12)," ")</f>
        <v xml:space="preserve"> </v>
      </c>
      <c r="R316" s="28"/>
      <c r="S316" s="28"/>
      <c r="T316" s="255" t="str">
        <f>IF(R316="","",(_xlfn.XLOOKUP(R316,Cadastros!$D$6:$D$90,Cadastros!$E$6:$E$90))*(1-_xlfn.XLOOKUP(_xlfn.XLOOKUP($F316,Clientes!$B$4:$B$39,Clientes!$C$4:$C$39),Cadastros!$L$6:$L$12,Cadastros!$N$6:$N$12)))</f>
        <v/>
      </c>
      <c r="U316" s="168" t="str">
        <f t="shared" si="55"/>
        <v/>
      </c>
      <c r="V316" s="168" t="str">
        <f>IFERROR(U316/_xlfn.XLOOKUP(_xlfn.XLOOKUP($F316,Clientes!$B$4:$B$39,Clientes!$C$4:$C$39),Cadastros!$L$6:$L$12,Cadastros!$M$6:$M$12)," ")</f>
        <v xml:space="preserve"> </v>
      </c>
      <c r="W316" s="28"/>
      <c r="X316" s="28"/>
      <c r="Y316" s="255" t="str">
        <f>IF(W316="","",(_xlfn.XLOOKUP(W316,Cadastros!$D$6:$D$90,Cadastros!$E$6:$E$90))*(1-_xlfn.XLOOKUP(_xlfn.XLOOKUP($F316,Clientes!$B$4:$B$39,Clientes!$C$4:$C$39),Cadastros!$L$6:$L$12,Cadastros!$N$6:$N$12)))</f>
        <v/>
      </c>
      <c r="Z316" s="168" t="str">
        <f t="shared" si="56"/>
        <v/>
      </c>
      <c r="AA316" s="168" t="str">
        <f>IFERROR(Z316/_xlfn.XLOOKUP(_xlfn.XLOOKUP($F316,Clientes!$B$4:$B$39,Clientes!$C$4:$C$39),Cadastros!$L$6:$L$12,Cadastros!$M$6:$M$12)," ")</f>
        <v xml:space="preserve"> </v>
      </c>
      <c r="AB316" s="28"/>
      <c r="AC316" s="28"/>
      <c r="AD316" s="20" t="str">
        <f>IF(AB316="","",IF($F316="Bernardino Furlan",_xlfn.XLOOKUP(AB316,Cadastros!$G$6:$G$90,Cadastros!$H$6:$H$90)*(1-0.18),IF($F316="Mauro José Salanti",_xlfn.XLOOKUP(AB316,Cadastros!$G$6:$G$90,Cadastros!$H$6:$H$90)*(1-0.18),_xlfn.XLOOKUP(AB316,Cadastros!$G$6:$G$90,Cadastros!$H$6:$H$90))))</f>
        <v/>
      </c>
      <c r="AE316" s="168" t="str">
        <f t="shared" si="57"/>
        <v/>
      </c>
      <c r="AF316" s="168" t="str">
        <f t="shared" si="58"/>
        <v/>
      </c>
      <c r="AG316" s="28"/>
      <c r="AH316" s="28"/>
      <c r="AI316" s="20" t="str">
        <f>IF(AG316="","",IF($F316="Bernardino Furlan",_xlfn.XLOOKUP(AG316,Cadastros!$G$6:$G$90,Cadastros!$H$6:$H$90)*(1-0.18),IF($F316="Mauro José Salanti",_xlfn.XLOOKUP(AG316,Cadastros!$G$6:$G$90,Cadastros!$H$6:$H$90)*(1-0.18),_xlfn.XLOOKUP(AG316,Cadastros!$G$6:$G$90,Cadastros!$H$6:$H$90))))</f>
        <v/>
      </c>
      <c r="AJ316" s="168" t="str">
        <f t="shared" si="59"/>
        <v/>
      </c>
      <c r="AK316" s="168" t="str">
        <f t="shared" si="60"/>
        <v/>
      </c>
      <c r="AL316" s="28"/>
      <c r="AM316" s="28"/>
      <c r="AN316" s="20" t="str">
        <f>IF(AL316="","",IF($F316="Bernardino Furlan",_xlfn.XLOOKUP(AL316,Cadastros!$G$6:$G$90,Cadastros!$H$6:$H$90)*(1-0.18),IF($F316="Mauro José Salanti",_xlfn.XLOOKUP(AL316,Cadastros!$G$6:$G$90,Cadastros!$H$6:$H$90)*(1-0.18),_xlfn.XLOOKUP(AL316,Cadastros!$G$6:$G$90,Cadastros!$H$6:$H$90))))</f>
        <v/>
      </c>
      <c r="AO316" s="168" t="str">
        <f t="shared" si="61"/>
        <v/>
      </c>
      <c r="AP316" s="168" t="str">
        <f t="shared" si="62"/>
        <v/>
      </c>
      <c r="AQ316" s="28"/>
      <c r="AR316" s="28"/>
      <c r="AS316" s="20" t="str">
        <f>IF(AQ316="","",IF($F316="Bernardino Furlan",_xlfn.XLOOKUP(AQ316,Cadastros!$G$6:$G$90,Cadastros!$H$6:$H$90)*(1-0.18),IF($F316="Mauro José Salanti",_xlfn.XLOOKUP(AQ316,Cadastros!$G$6:$G$90,Cadastros!$H$6:$H$90)*(1-0.18),_xlfn.XLOOKUP(AQ316,Cadastros!$G$6:$G$90,Cadastros!$H$6:$H$90))))</f>
        <v/>
      </c>
      <c r="AT316" s="168" t="str">
        <f t="shared" si="63"/>
        <v/>
      </c>
      <c r="AU316" s="168" t="str">
        <f t="shared" si="64"/>
        <v/>
      </c>
      <c r="AV316" s="227"/>
      <c r="AW316" s="30"/>
      <c r="AX316" s="267"/>
      <c r="AY316" s="267"/>
      <c r="AZ316" s="29"/>
      <c r="BA316" s="30"/>
      <c r="BB316" s="23" t="str" cm="1">
        <f t="array" ref="BB316">_xlfn.IFS(AW316="SIM",SUM(K316,P316,U316,Z316,AE316,AJ316,AO316,AT316,AX316,AY316),F316&lt;&gt;"",SUM(K316,P316,U316,Z316,AE316,AJ316,,AO316,AT316),F316="","")</f>
        <v/>
      </c>
      <c r="BC316" s="211" t="str" cm="1">
        <f t="array" ref="BC316">_xlfn.IFS(E316="","",G316&lt;=E316,BB316*(1-0.03),G316&lt;(E316+8),BB316,AZ316="Boleto",BB316*(1+0.001)^DATEDIF(E316,G316,"D"),AZ316="Cheque",BB316,AZ316="Dinheiro","Alterar forma pgto")</f>
        <v/>
      </c>
      <c r="BD316" s="276" t="str" cm="1">
        <f t="array" ref="BD316">IF(F316=0," ",IF(BC316&lt;BB316,(_xlfn.IFS(AW316="SIM",SUM(L316,Q316,V316,AA316,AF316,AK316,AP316,AU316)+AX316/_xlfn.XLOOKUP(_xlfn.XLOOKUP($F316,Clientes!$B$4:$B$39,Clientes!$C$4:$C$39),Cadastros!$L$6:$L$12,Cadastros!$M$6:$M$12)+IF($F316="Bernardino Furlan",AY316/2751.92,IF($F316="Mauro José Salanti",AY316/2751.92,AY316/3356)),F316&lt;&gt;0,SUM(L316,Q316,V316,AA316,AF316,AK316,AP316,AU316)))*(1-0.03),_xlfn.IFS(AW316="SIM",SUM(L316,Q316,V316,AA316,AF316,AK316,AP316,AU316)+AX316/_xlfn.XLOOKUP(_xlfn.XLOOKUP($F316,Clientes!$B$4:$B$39,Clientes!$C$4:$C$39),Cadastros!$L$6:$L$12,Cadastros!$M$6:$M$12)+IF($F316="Bernardino Furlan",AY316/2751.92,IF($F316="Mauro José Salanti",AY316/2751.92,AY316/3356)),F316&lt;&gt;0,SUM(L316,Q316,V316,AA316,AF316,AK316,AP316,AU316))))</f>
        <v xml:space="preserve"> </v>
      </c>
      <c r="BE316" s="120"/>
      <c r="BF316" s="120"/>
      <c r="BG316" s="120"/>
    </row>
    <row r="317" spans="1:59" s="3" customFormat="1" x14ac:dyDescent="0.3">
      <c r="A317" s="15" t="str">
        <f t="shared" si="52"/>
        <v/>
      </c>
      <c r="B317" s="25"/>
      <c r="C317" s="26"/>
      <c r="D317" s="279"/>
      <c r="E317" s="27"/>
      <c r="F317" s="28"/>
      <c r="G317" s="27"/>
      <c r="H317" s="28"/>
      <c r="I317" s="28"/>
      <c r="J317" s="255" t="str">
        <f>IF(H317="","",(_xlfn.XLOOKUP(H317,Cadastros!$D$6:$D$90,Cadastros!$E$6:$E$90))*(1-_xlfn.XLOOKUP(_xlfn.XLOOKUP($F317,Clientes!$B$4:$B$39,Clientes!$C$4:$C$39),Cadastros!$L$6:$L$12,Cadastros!$N$6:$N$12)))</f>
        <v/>
      </c>
      <c r="K317" s="168" t="str">
        <f t="shared" si="53"/>
        <v/>
      </c>
      <c r="L317" s="168" t="str">
        <f>IFERROR(K317/_xlfn.XLOOKUP(_xlfn.XLOOKUP($F317,Clientes!$B$4:$B$39,Clientes!$C$4:$C$39),Cadastros!$L$6:$L$12,Cadastros!$M$6:$M$12)," ")</f>
        <v xml:space="preserve"> </v>
      </c>
      <c r="M317" s="28"/>
      <c r="N317" s="28"/>
      <c r="O317" s="255" t="str">
        <f>IF(M317="","",(_xlfn.XLOOKUP(M317,Cadastros!$D$6:$D$90,Cadastros!$E$6:$E$90))*(1-_xlfn.XLOOKUP(_xlfn.XLOOKUP($F317,Clientes!$B$4:$B$39,Clientes!$C$4:$C$39),Cadastros!$L$6:$L$12,Cadastros!$N$6:$N$12)))</f>
        <v/>
      </c>
      <c r="P317" s="168" t="str">
        <f t="shared" si="54"/>
        <v/>
      </c>
      <c r="Q317" s="168" t="str">
        <f>IFERROR(P317/_xlfn.XLOOKUP(_xlfn.XLOOKUP($F317,Clientes!$B$4:$B$39,Clientes!$C$4:$C$39),Cadastros!$L$6:$L$12,Cadastros!$M$6:$M$12)," ")</f>
        <v xml:space="preserve"> </v>
      </c>
      <c r="R317" s="28"/>
      <c r="S317" s="28"/>
      <c r="T317" s="255" t="str">
        <f>IF(R317="","",(_xlfn.XLOOKUP(R317,Cadastros!$D$6:$D$90,Cadastros!$E$6:$E$90))*(1-_xlfn.XLOOKUP(_xlfn.XLOOKUP($F317,Clientes!$B$4:$B$39,Clientes!$C$4:$C$39),Cadastros!$L$6:$L$12,Cadastros!$N$6:$N$12)))</f>
        <v/>
      </c>
      <c r="U317" s="168" t="str">
        <f t="shared" si="55"/>
        <v/>
      </c>
      <c r="V317" s="168" t="str">
        <f>IFERROR(U317/_xlfn.XLOOKUP(_xlfn.XLOOKUP($F317,Clientes!$B$4:$B$39,Clientes!$C$4:$C$39),Cadastros!$L$6:$L$12,Cadastros!$M$6:$M$12)," ")</f>
        <v xml:space="preserve"> </v>
      </c>
      <c r="W317" s="28"/>
      <c r="X317" s="28"/>
      <c r="Y317" s="255" t="str">
        <f>IF(W317="","",(_xlfn.XLOOKUP(W317,Cadastros!$D$6:$D$90,Cadastros!$E$6:$E$90))*(1-_xlfn.XLOOKUP(_xlfn.XLOOKUP($F317,Clientes!$B$4:$B$39,Clientes!$C$4:$C$39),Cadastros!$L$6:$L$12,Cadastros!$N$6:$N$12)))</f>
        <v/>
      </c>
      <c r="Z317" s="168" t="str">
        <f t="shared" si="56"/>
        <v/>
      </c>
      <c r="AA317" s="168" t="str">
        <f>IFERROR(Z317/_xlfn.XLOOKUP(_xlfn.XLOOKUP($F317,Clientes!$B$4:$B$39,Clientes!$C$4:$C$39),Cadastros!$L$6:$L$12,Cadastros!$M$6:$M$12)," ")</f>
        <v xml:space="preserve"> </v>
      </c>
      <c r="AB317" s="28"/>
      <c r="AC317" s="28"/>
      <c r="AD317" s="20" t="str">
        <f>IF(AB317="","",IF($F317="Bernardino Furlan",_xlfn.XLOOKUP(AB317,Cadastros!$G$6:$G$90,Cadastros!$H$6:$H$90)*(1-0.18),IF($F317="Mauro José Salanti",_xlfn.XLOOKUP(AB317,Cadastros!$G$6:$G$90,Cadastros!$H$6:$H$90)*(1-0.18),_xlfn.XLOOKUP(AB317,Cadastros!$G$6:$G$90,Cadastros!$H$6:$H$90))))</f>
        <v/>
      </c>
      <c r="AE317" s="168" t="str">
        <f t="shared" si="57"/>
        <v/>
      </c>
      <c r="AF317" s="168" t="str">
        <f t="shared" si="58"/>
        <v/>
      </c>
      <c r="AG317" s="28"/>
      <c r="AH317" s="28"/>
      <c r="AI317" s="20" t="str">
        <f>IF(AG317="","",IF($F317="Bernardino Furlan",_xlfn.XLOOKUP(AG317,Cadastros!$G$6:$G$90,Cadastros!$H$6:$H$90)*(1-0.18),IF($F317="Mauro José Salanti",_xlfn.XLOOKUP(AG317,Cadastros!$G$6:$G$90,Cadastros!$H$6:$H$90)*(1-0.18),_xlfn.XLOOKUP(AG317,Cadastros!$G$6:$G$90,Cadastros!$H$6:$H$90))))</f>
        <v/>
      </c>
      <c r="AJ317" s="168" t="str">
        <f t="shared" si="59"/>
        <v/>
      </c>
      <c r="AK317" s="168" t="str">
        <f t="shared" si="60"/>
        <v/>
      </c>
      <c r="AL317" s="28"/>
      <c r="AM317" s="28"/>
      <c r="AN317" s="20" t="str">
        <f>IF(AL317="","",IF($F317="Bernardino Furlan",_xlfn.XLOOKUP(AL317,Cadastros!$G$6:$G$90,Cadastros!$H$6:$H$90)*(1-0.18),IF($F317="Mauro José Salanti",_xlfn.XLOOKUP(AL317,Cadastros!$G$6:$G$90,Cadastros!$H$6:$H$90)*(1-0.18),_xlfn.XLOOKUP(AL317,Cadastros!$G$6:$G$90,Cadastros!$H$6:$H$90))))</f>
        <v/>
      </c>
      <c r="AO317" s="168" t="str">
        <f t="shared" si="61"/>
        <v/>
      </c>
      <c r="AP317" s="168" t="str">
        <f t="shared" si="62"/>
        <v/>
      </c>
      <c r="AQ317" s="28"/>
      <c r="AR317" s="28"/>
      <c r="AS317" s="20" t="str">
        <f>IF(AQ317="","",IF($F317="Bernardino Furlan",_xlfn.XLOOKUP(AQ317,Cadastros!$G$6:$G$90,Cadastros!$H$6:$H$90)*(1-0.18),IF($F317="Mauro José Salanti",_xlfn.XLOOKUP(AQ317,Cadastros!$G$6:$G$90,Cadastros!$H$6:$H$90)*(1-0.18),_xlfn.XLOOKUP(AQ317,Cadastros!$G$6:$G$90,Cadastros!$H$6:$H$90))))</f>
        <v/>
      </c>
      <c r="AT317" s="168" t="str">
        <f t="shared" si="63"/>
        <v/>
      </c>
      <c r="AU317" s="168" t="str">
        <f t="shared" si="64"/>
        <v/>
      </c>
      <c r="AV317" s="227"/>
      <c r="AW317" s="30"/>
      <c r="AX317" s="267"/>
      <c r="AY317" s="267"/>
      <c r="AZ317" s="29"/>
      <c r="BA317" s="30"/>
      <c r="BB317" s="23" t="str" cm="1">
        <f t="array" ref="BB317">_xlfn.IFS(AW317="SIM",SUM(K317,P317,U317,Z317,AE317,AJ317,AO317,AT317,AX317,AY317),F317&lt;&gt;"",SUM(K317,P317,U317,Z317,AE317,AJ317,,AO317,AT317),F317="","")</f>
        <v/>
      </c>
      <c r="BC317" s="211" t="str" cm="1">
        <f t="array" ref="BC317">_xlfn.IFS(E317="","",G317&lt;=E317,BB317*(1-0.03),G317&lt;(E317+8),BB317,AZ317="Boleto",BB317*(1+0.001)^DATEDIF(E317,G317,"D"),AZ317="Cheque",BB317,AZ317="Dinheiro","Alterar forma pgto")</f>
        <v/>
      </c>
      <c r="BD317" s="276" t="str" cm="1">
        <f t="array" ref="BD317">IF(F317=0," ",IF(BC317&lt;BB317,(_xlfn.IFS(AW317="SIM",SUM(L317,Q317,V317,AA317,AF317,AK317,AP317,AU317)+AX317/_xlfn.XLOOKUP(_xlfn.XLOOKUP($F317,Clientes!$B$4:$B$39,Clientes!$C$4:$C$39),Cadastros!$L$6:$L$12,Cadastros!$M$6:$M$12)+IF($F317="Bernardino Furlan",AY317/2751.92,IF($F317="Mauro José Salanti",AY317/2751.92,AY317/3356)),F317&lt;&gt;0,SUM(L317,Q317,V317,AA317,AF317,AK317,AP317,AU317)))*(1-0.03),_xlfn.IFS(AW317="SIM",SUM(L317,Q317,V317,AA317,AF317,AK317,AP317,AU317)+AX317/_xlfn.XLOOKUP(_xlfn.XLOOKUP($F317,Clientes!$B$4:$B$39,Clientes!$C$4:$C$39),Cadastros!$L$6:$L$12,Cadastros!$M$6:$M$12)+IF($F317="Bernardino Furlan",AY317/2751.92,IF($F317="Mauro José Salanti",AY317/2751.92,AY317/3356)),F317&lt;&gt;0,SUM(L317,Q317,V317,AA317,AF317,AK317,AP317,AU317))))</f>
        <v xml:space="preserve"> </v>
      </c>
      <c r="BE317" s="120"/>
      <c r="BF317" s="120"/>
      <c r="BG317" s="120"/>
    </row>
    <row r="318" spans="1:59" s="3" customFormat="1" x14ac:dyDescent="0.3">
      <c r="A318" s="15" t="str">
        <f t="shared" si="52"/>
        <v/>
      </c>
      <c r="B318" s="25"/>
      <c r="C318" s="26"/>
      <c r="D318" s="279"/>
      <c r="E318" s="27"/>
      <c r="F318" s="28"/>
      <c r="G318" s="27"/>
      <c r="H318" s="28"/>
      <c r="I318" s="28"/>
      <c r="J318" s="255" t="str">
        <f>IF(H318="","",(_xlfn.XLOOKUP(H318,Cadastros!$D$6:$D$90,Cadastros!$E$6:$E$90))*(1-_xlfn.XLOOKUP(_xlfn.XLOOKUP($F318,Clientes!$B$4:$B$39,Clientes!$C$4:$C$39),Cadastros!$L$6:$L$12,Cadastros!$N$6:$N$12)))</f>
        <v/>
      </c>
      <c r="K318" s="168" t="str">
        <f t="shared" si="53"/>
        <v/>
      </c>
      <c r="L318" s="168" t="str">
        <f>IFERROR(K318/_xlfn.XLOOKUP(_xlfn.XLOOKUP($F318,Clientes!$B$4:$B$39,Clientes!$C$4:$C$39),Cadastros!$L$6:$L$12,Cadastros!$M$6:$M$12)," ")</f>
        <v xml:space="preserve"> </v>
      </c>
      <c r="M318" s="28"/>
      <c r="N318" s="28"/>
      <c r="O318" s="255" t="str">
        <f>IF(M318="","",(_xlfn.XLOOKUP(M318,Cadastros!$D$6:$D$90,Cadastros!$E$6:$E$90))*(1-_xlfn.XLOOKUP(_xlfn.XLOOKUP($F318,Clientes!$B$4:$B$39,Clientes!$C$4:$C$39),Cadastros!$L$6:$L$12,Cadastros!$N$6:$N$12)))</f>
        <v/>
      </c>
      <c r="P318" s="168" t="str">
        <f t="shared" si="54"/>
        <v/>
      </c>
      <c r="Q318" s="168" t="str">
        <f>IFERROR(P318/_xlfn.XLOOKUP(_xlfn.XLOOKUP($F318,Clientes!$B$4:$B$39,Clientes!$C$4:$C$39),Cadastros!$L$6:$L$12,Cadastros!$M$6:$M$12)," ")</f>
        <v xml:space="preserve"> </v>
      </c>
      <c r="R318" s="28"/>
      <c r="S318" s="28"/>
      <c r="T318" s="255" t="str">
        <f>IF(R318="","",(_xlfn.XLOOKUP(R318,Cadastros!$D$6:$D$90,Cadastros!$E$6:$E$90))*(1-_xlfn.XLOOKUP(_xlfn.XLOOKUP($F318,Clientes!$B$4:$B$39,Clientes!$C$4:$C$39),Cadastros!$L$6:$L$12,Cadastros!$N$6:$N$12)))</f>
        <v/>
      </c>
      <c r="U318" s="168" t="str">
        <f t="shared" si="55"/>
        <v/>
      </c>
      <c r="V318" s="168" t="str">
        <f>IFERROR(U318/_xlfn.XLOOKUP(_xlfn.XLOOKUP($F318,Clientes!$B$4:$B$39,Clientes!$C$4:$C$39),Cadastros!$L$6:$L$12,Cadastros!$M$6:$M$12)," ")</f>
        <v xml:space="preserve"> </v>
      </c>
      <c r="W318" s="28"/>
      <c r="X318" s="28"/>
      <c r="Y318" s="255" t="str">
        <f>IF(W318="","",(_xlfn.XLOOKUP(W318,Cadastros!$D$6:$D$90,Cadastros!$E$6:$E$90))*(1-_xlfn.XLOOKUP(_xlfn.XLOOKUP($F318,Clientes!$B$4:$B$39,Clientes!$C$4:$C$39),Cadastros!$L$6:$L$12,Cadastros!$N$6:$N$12)))</f>
        <v/>
      </c>
      <c r="Z318" s="168" t="str">
        <f t="shared" si="56"/>
        <v/>
      </c>
      <c r="AA318" s="168" t="str">
        <f>IFERROR(Z318/_xlfn.XLOOKUP(_xlfn.XLOOKUP($F318,Clientes!$B$4:$B$39,Clientes!$C$4:$C$39),Cadastros!$L$6:$L$12,Cadastros!$M$6:$M$12)," ")</f>
        <v xml:space="preserve"> </v>
      </c>
      <c r="AB318" s="28"/>
      <c r="AC318" s="28"/>
      <c r="AD318" s="20" t="str">
        <f>IF(AB318="","",IF($F318="Bernardino Furlan",_xlfn.XLOOKUP(AB318,Cadastros!$G$6:$G$90,Cadastros!$H$6:$H$90)*(1-0.18),IF($F318="Mauro José Salanti",_xlfn.XLOOKUP(AB318,Cadastros!$G$6:$G$90,Cadastros!$H$6:$H$90)*(1-0.18),_xlfn.XLOOKUP(AB318,Cadastros!$G$6:$G$90,Cadastros!$H$6:$H$90))))</f>
        <v/>
      </c>
      <c r="AE318" s="168" t="str">
        <f t="shared" si="57"/>
        <v/>
      </c>
      <c r="AF318" s="168" t="str">
        <f t="shared" si="58"/>
        <v/>
      </c>
      <c r="AG318" s="28"/>
      <c r="AH318" s="28"/>
      <c r="AI318" s="20" t="str">
        <f>IF(AG318="","",IF($F318="Bernardino Furlan",_xlfn.XLOOKUP(AG318,Cadastros!$G$6:$G$90,Cadastros!$H$6:$H$90)*(1-0.18),IF($F318="Mauro José Salanti",_xlfn.XLOOKUP(AG318,Cadastros!$G$6:$G$90,Cadastros!$H$6:$H$90)*(1-0.18),_xlfn.XLOOKUP(AG318,Cadastros!$G$6:$G$90,Cadastros!$H$6:$H$90))))</f>
        <v/>
      </c>
      <c r="AJ318" s="168" t="str">
        <f t="shared" si="59"/>
        <v/>
      </c>
      <c r="AK318" s="168" t="str">
        <f t="shared" si="60"/>
        <v/>
      </c>
      <c r="AL318" s="28"/>
      <c r="AM318" s="28"/>
      <c r="AN318" s="20" t="str">
        <f>IF(AL318="","",IF($F318="Bernardino Furlan",_xlfn.XLOOKUP(AL318,Cadastros!$G$6:$G$90,Cadastros!$H$6:$H$90)*(1-0.18),IF($F318="Mauro José Salanti",_xlfn.XLOOKUP(AL318,Cadastros!$G$6:$G$90,Cadastros!$H$6:$H$90)*(1-0.18),_xlfn.XLOOKUP(AL318,Cadastros!$G$6:$G$90,Cadastros!$H$6:$H$90))))</f>
        <v/>
      </c>
      <c r="AO318" s="168" t="str">
        <f t="shared" si="61"/>
        <v/>
      </c>
      <c r="AP318" s="168" t="str">
        <f t="shared" si="62"/>
        <v/>
      </c>
      <c r="AQ318" s="28"/>
      <c r="AR318" s="28"/>
      <c r="AS318" s="20" t="str">
        <f>IF(AQ318="","",IF($F318="Bernardino Furlan",_xlfn.XLOOKUP(AQ318,Cadastros!$G$6:$G$90,Cadastros!$H$6:$H$90)*(1-0.18),IF($F318="Mauro José Salanti",_xlfn.XLOOKUP(AQ318,Cadastros!$G$6:$G$90,Cadastros!$H$6:$H$90)*(1-0.18),_xlfn.XLOOKUP(AQ318,Cadastros!$G$6:$G$90,Cadastros!$H$6:$H$90))))</f>
        <v/>
      </c>
      <c r="AT318" s="168" t="str">
        <f t="shared" si="63"/>
        <v/>
      </c>
      <c r="AU318" s="168" t="str">
        <f t="shared" si="64"/>
        <v/>
      </c>
      <c r="AV318" s="227"/>
      <c r="AW318" s="30"/>
      <c r="AX318" s="267"/>
      <c r="AY318" s="267"/>
      <c r="AZ318" s="29"/>
      <c r="BA318" s="30"/>
      <c r="BB318" s="23" t="str" cm="1">
        <f t="array" ref="BB318">_xlfn.IFS(AW318="SIM",SUM(K318,P318,U318,Z318,AE318,AJ318,AO318,AT318,AX318,AY318),F318&lt;&gt;"",SUM(K318,P318,U318,Z318,AE318,AJ318,,AO318,AT318),F318="","")</f>
        <v/>
      </c>
      <c r="BC318" s="211" t="str" cm="1">
        <f t="array" ref="BC318">_xlfn.IFS(E318="","",G318&lt;=E318,BB318*(1-0.03),G318&lt;(E318+8),BB318,AZ318="Boleto",BB318*(1+0.001)^DATEDIF(E318,G318,"D"),AZ318="Cheque",BB318,AZ318="Dinheiro","Alterar forma pgto")</f>
        <v/>
      </c>
      <c r="BD318" s="276" t="str" cm="1">
        <f t="array" ref="BD318">IF(F318=0," ",IF(BC318&lt;BB318,(_xlfn.IFS(AW318="SIM",SUM(L318,Q318,V318,AA318,AF318,AK318,AP318,AU318)+AX318/_xlfn.XLOOKUP(_xlfn.XLOOKUP($F318,Clientes!$B$4:$B$39,Clientes!$C$4:$C$39),Cadastros!$L$6:$L$12,Cadastros!$M$6:$M$12)+IF($F318="Bernardino Furlan",AY318/2751.92,IF($F318="Mauro José Salanti",AY318/2751.92,AY318/3356)),F318&lt;&gt;0,SUM(L318,Q318,V318,AA318,AF318,AK318,AP318,AU318)))*(1-0.03),_xlfn.IFS(AW318="SIM",SUM(L318,Q318,V318,AA318,AF318,AK318,AP318,AU318)+AX318/_xlfn.XLOOKUP(_xlfn.XLOOKUP($F318,Clientes!$B$4:$B$39,Clientes!$C$4:$C$39),Cadastros!$L$6:$L$12,Cadastros!$M$6:$M$12)+IF($F318="Bernardino Furlan",AY318/2751.92,IF($F318="Mauro José Salanti",AY318/2751.92,AY318/3356)),F318&lt;&gt;0,SUM(L318,Q318,V318,AA318,AF318,AK318,AP318,AU318))))</f>
        <v xml:space="preserve"> </v>
      </c>
      <c r="BE318" s="120"/>
      <c r="BF318" s="120"/>
      <c r="BG318" s="120"/>
    </row>
    <row r="319" spans="1:59" s="3" customFormat="1" x14ac:dyDescent="0.3">
      <c r="A319" s="15" t="str">
        <f t="shared" si="52"/>
        <v/>
      </c>
      <c r="B319" s="25"/>
      <c r="C319" s="26"/>
      <c r="D319" s="279"/>
      <c r="E319" s="27"/>
      <c r="F319" s="28"/>
      <c r="G319" s="27"/>
      <c r="H319" s="28"/>
      <c r="I319" s="28"/>
      <c r="J319" s="255" t="str">
        <f>IF(H319="","",(_xlfn.XLOOKUP(H319,Cadastros!$D$6:$D$90,Cadastros!$E$6:$E$90))*(1-_xlfn.XLOOKUP(_xlfn.XLOOKUP($F319,Clientes!$B$4:$B$39,Clientes!$C$4:$C$39),Cadastros!$L$6:$L$12,Cadastros!$N$6:$N$12)))</f>
        <v/>
      </c>
      <c r="K319" s="168" t="str">
        <f t="shared" si="53"/>
        <v/>
      </c>
      <c r="L319" s="168" t="str">
        <f>IFERROR(K319/_xlfn.XLOOKUP(_xlfn.XLOOKUP($F319,Clientes!$B$4:$B$39,Clientes!$C$4:$C$39),Cadastros!$L$6:$L$12,Cadastros!$M$6:$M$12)," ")</f>
        <v xml:space="preserve"> </v>
      </c>
      <c r="M319" s="28"/>
      <c r="N319" s="28"/>
      <c r="O319" s="255" t="str">
        <f>IF(M319="","",(_xlfn.XLOOKUP(M319,Cadastros!$D$6:$D$90,Cadastros!$E$6:$E$90))*(1-_xlfn.XLOOKUP(_xlfn.XLOOKUP($F319,Clientes!$B$4:$B$39,Clientes!$C$4:$C$39),Cadastros!$L$6:$L$12,Cadastros!$N$6:$N$12)))</f>
        <v/>
      </c>
      <c r="P319" s="168" t="str">
        <f t="shared" si="54"/>
        <v/>
      </c>
      <c r="Q319" s="168" t="str">
        <f>IFERROR(P319/_xlfn.XLOOKUP(_xlfn.XLOOKUP($F319,Clientes!$B$4:$B$39,Clientes!$C$4:$C$39),Cadastros!$L$6:$L$12,Cadastros!$M$6:$M$12)," ")</f>
        <v xml:space="preserve"> </v>
      </c>
      <c r="R319" s="28"/>
      <c r="S319" s="28"/>
      <c r="T319" s="255" t="str">
        <f>IF(R319="","",(_xlfn.XLOOKUP(R319,Cadastros!$D$6:$D$90,Cadastros!$E$6:$E$90))*(1-_xlfn.XLOOKUP(_xlfn.XLOOKUP($F319,Clientes!$B$4:$B$39,Clientes!$C$4:$C$39),Cadastros!$L$6:$L$12,Cadastros!$N$6:$N$12)))</f>
        <v/>
      </c>
      <c r="U319" s="168" t="str">
        <f t="shared" si="55"/>
        <v/>
      </c>
      <c r="V319" s="168" t="str">
        <f>IFERROR(U319/_xlfn.XLOOKUP(_xlfn.XLOOKUP($F319,Clientes!$B$4:$B$39,Clientes!$C$4:$C$39),Cadastros!$L$6:$L$12,Cadastros!$M$6:$M$12)," ")</f>
        <v xml:space="preserve"> </v>
      </c>
      <c r="W319" s="28"/>
      <c r="X319" s="28"/>
      <c r="Y319" s="255" t="str">
        <f>IF(W319="","",(_xlfn.XLOOKUP(W319,Cadastros!$D$6:$D$90,Cadastros!$E$6:$E$90))*(1-_xlfn.XLOOKUP(_xlfn.XLOOKUP($F319,Clientes!$B$4:$B$39,Clientes!$C$4:$C$39),Cadastros!$L$6:$L$12,Cadastros!$N$6:$N$12)))</f>
        <v/>
      </c>
      <c r="Z319" s="168" t="str">
        <f t="shared" si="56"/>
        <v/>
      </c>
      <c r="AA319" s="168" t="str">
        <f>IFERROR(Z319/_xlfn.XLOOKUP(_xlfn.XLOOKUP($F319,Clientes!$B$4:$B$39,Clientes!$C$4:$C$39),Cadastros!$L$6:$L$12,Cadastros!$M$6:$M$12)," ")</f>
        <v xml:space="preserve"> </v>
      </c>
      <c r="AB319" s="28"/>
      <c r="AC319" s="28"/>
      <c r="AD319" s="20" t="str">
        <f>IF(AB319="","",IF($F319="Bernardino Furlan",_xlfn.XLOOKUP(AB319,Cadastros!$G$6:$G$90,Cadastros!$H$6:$H$90)*(1-0.18),IF($F319="Mauro José Salanti",_xlfn.XLOOKUP(AB319,Cadastros!$G$6:$G$90,Cadastros!$H$6:$H$90)*(1-0.18),_xlfn.XLOOKUP(AB319,Cadastros!$G$6:$G$90,Cadastros!$H$6:$H$90))))</f>
        <v/>
      </c>
      <c r="AE319" s="168" t="str">
        <f t="shared" si="57"/>
        <v/>
      </c>
      <c r="AF319" s="168" t="str">
        <f t="shared" si="58"/>
        <v/>
      </c>
      <c r="AG319" s="28"/>
      <c r="AH319" s="28"/>
      <c r="AI319" s="20" t="str">
        <f>IF(AG319="","",IF($F319="Bernardino Furlan",_xlfn.XLOOKUP(AG319,Cadastros!$G$6:$G$90,Cadastros!$H$6:$H$90)*(1-0.18),IF($F319="Mauro José Salanti",_xlfn.XLOOKUP(AG319,Cadastros!$G$6:$G$90,Cadastros!$H$6:$H$90)*(1-0.18),_xlfn.XLOOKUP(AG319,Cadastros!$G$6:$G$90,Cadastros!$H$6:$H$90))))</f>
        <v/>
      </c>
      <c r="AJ319" s="168" t="str">
        <f t="shared" si="59"/>
        <v/>
      </c>
      <c r="AK319" s="168" t="str">
        <f t="shared" si="60"/>
        <v/>
      </c>
      <c r="AL319" s="28"/>
      <c r="AM319" s="28"/>
      <c r="AN319" s="20" t="str">
        <f>IF(AL319="","",IF($F319="Bernardino Furlan",_xlfn.XLOOKUP(AL319,Cadastros!$G$6:$G$90,Cadastros!$H$6:$H$90)*(1-0.18),IF($F319="Mauro José Salanti",_xlfn.XLOOKUP(AL319,Cadastros!$G$6:$G$90,Cadastros!$H$6:$H$90)*(1-0.18),_xlfn.XLOOKUP(AL319,Cadastros!$G$6:$G$90,Cadastros!$H$6:$H$90))))</f>
        <v/>
      </c>
      <c r="AO319" s="168" t="str">
        <f t="shared" si="61"/>
        <v/>
      </c>
      <c r="AP319" s="168" t="str">
        <f t="shared" si="62"/>
        <v/>
      </c>
      <c r="AQ319" s="28"/>
      <c r="AR319" s="28"/>
      <c r="AS319" s="20" t="str">
        <f>IF(AQ319="","",IF($F319="Bernardino Furlan",_xlfn.XLOOKUP(AQ319,Cadastros!$G$6:$G$90,Cadastros!$H$6:$H$90)*(1-0.18),IF($F319="Mauro José Salanti",_xlfn.XLOOKUP(AQ319,Cadastros!$G$6:$G$90,Cadastros!$H$6:$H$90)*(1-0.18),_xlfn.XLOOKUP(AQ319,Cadastros!$G$6:$G$90,Cadastros!$H$6:$H$90))))</f>
        <v/>
      </c>
      <c r="AT319" s="168" t="str">
        <f t="shared" si="63"/>
        <v/>
      </c>
      <c r="AU319" s="168" t="str">
        <f t="shared" si="64"/>
        <v/>
      </c>
      <c r="AV319" s="227"/>
      <c r="AW319" s="30"/>
      <c r="AX319" s="267"/>
      <c r="AY319" s="267"/>
      <c r="AZ319" s="29"/>
      <c r="BA319" s="30"/>
      <c r="BB319" s="23" t="str" cm="1">
        <f t="array" ref="BB319">_xlfn.IFS(AW319="SIM",SUM(K319,P319,U319,Z319,AE319,AJ319,AO319,AT319,AX319,AY319),F319&lt;&gt;"",SUM(K319,P319,U319,Z319,AE319,AJ319,,AO319,AT319),F319="","")</f>
        <v/>
      </c>
      <c r="BC319" s="211" t="str" cm="1">
        <f t="array" ref="BC319">_xlfn.IFS(E319="","",G319&lt;=E319,BB319*(1-0.03),G319&lt;(E319+8),BB319,AZ319="Boleto",BB319*(1+0.001)^DATEDIF(E319,G319,"D"),AZ319="Cheque",BB319,AZ319="Dinheiro","Alterar forma pgto")</f>
        <v/>
      </c>
      <c r="BD319" s="276" t="str" cm="1">
        <f t="array" ref="BD319">IF(F319=0," ",IF(BC319&lt;BB319,(_xlfn.IFS(AW319="SIM",SUM(L319,Q319,V319,AA319,AF319,AK319,AP319,AU319)+AX319/_xlfn.XLOOKUP(_xlfn.XLOOKUP($F319,Clientes!$B$4:$B$39,Clientes!$C$4:$C$39),Cadastros!$L$6:$L$12,Cadastros!$M$6:$M$12)+IF($F319="Bernardino Furlan",AY319/2751.92,IF($F319="Mauro José Salanti",AY319/2751.92,AY319/3356)),F319&lt;&gt;0,SUM(L319,Q319,V319,AA319,AF319,AK319,AP319,AU319)))*(1-0.03),_xlfn.IFS(AW319="SIM",SUM(L319,Q319,V319,AA319,AF319,AK319,AP319,AU319)+AX319/_xlfn.XLOOKUP(_xlfn.XLOOKUP($F319,Clientes!$B$4:$B$39,Clientes!$C$4:$C$39),Cadastros!$L$6:$L$12,Cadastros!$M$6:$M$12)+IF($F319="Bernardino Furlan",AY319/2751.92,IF($F319="Mauro José Salanti",AY319/2751.92,AY319/3356)),F319&lt;&gt;0,SUM(L319,Q319,V319,AA319,AF319,AK319,AP319,AU319))))</f>
        <v xml:space="preserve"> </v>
      </c>
      <c r="BE319" s="120"/>
      <c r="BF319" s="120"/>
      <c r="BG319" s="120"/>
    </row>
    <row r="320" spans="1:59" s="3" customFormat="1" x14ac:dyDescent="0.3">
      <c r="A320" s="15" t="str">
        <f t="shared" si="52"/>
        <v/>
      </c>
      <c r="B320" s="34"/>
      <c r="C320" s="35"/>
      <c r="D320" s="280"/>
      <c r="E320" s="36"/>
      <c r="F320" s="37"/>
      <c r="G320" s="36"/>
      <c r="H320" s="37"/>
      <c r="I320" s="37"/>
      <c r="J320" s="255" t="str">
        <f>IF(H320="","",(_xlfn.XLOOKUP(H320,Cadastros!$D$6:$D$90,Cadastros!$E$6:$E$90))*(1-_xlfn.XLOOKUP(_xlfn.XLOOKUP($F320,Clientes!$B$4:$B$39,Clientes!$C$4:$C$39),Cadastros!$L$6:$L$12,Cadastros!$N$6:$N$12)))</f>
        <v/>
      </c>
      <c r="K320" s="168" t="str">
        <f t="shared" si="53"/>
        <v/>
      </c>
      <c r="L320" s="168" t="str">
        <f>IFERROR(K320/_xlfn.XLOOKUP(_xlfn.XLOOKUP($F320,Clientes!$B$4:$B$39,Clientes!$C$4:$C$39),Cadastros!$L$6:$L$12,Cadastros!$M$6:$M$12)," ")</f>
        <v xml:space="preserve"> </v>
      </c>
      <c r="M320" s="37"/>
      <c r="N320" s="37"/>
      <c r="O320" s="255" t="str">
        <f>IF(M320="","",(_xlfn.XLOOKUP(M320,Cadastros!$D$6:$D$90,Cadastros!$E$6:$E$90))*(1-_xlfn.XLOOKUP(_xlfn.XLOOKUP($F320,Clientes!$B$4:$B$39,Clientes!$C$4:$C$39),Cadastros!$L$6:$L$12,Cadastros!$N$6:$N$12)))</f>
        <v/>
      </c>
      <c r="P320" s="168" t="str">
        <f t="shared" si="54"/>
        <v/>
      </c>
      <c r="Q320" s="168" t="str">
        <f>IFERROR(P320/_xlfn.XLOOKUP(_xlfn.XLOOKUP($F320,Clientes!$B$4:$B$39,Clientes!$C$4:$C$39),Cadastros!$L$6:$L$12,Cadastros!$M$6:$M$12)," ")</f>
        <v xml:space="preserve"> </v>
      </c>
      <c r="R320" s="37"/>
      <c r="S320" s="37"/>
      <c r="T320" s="255" t="str">
        <f>IF(R320="","",(_xlfn.XLOOKUP(R320,Cadastros!$D$6:$D$90,Cadastros!$E$6:$E$90))*(1-_xlfn.XLOOKUP(_xlfn.XLOOKUP($F320,Clientes!$B$4:$B$39,Clientes!$C$4:$C$39),Cadastros!$L$6:$L$12,Cadastros!$N$6:$N$12)))</f>
        <v/>
      </c>
      <c r="U320" s="168" t="str">
        <f t="shared" si="55"/>
        <v/>
      </c>
      <c r="V320" s="168" t="str">
        <f>IFERROR(U320/_xlfn.XLOOKUP(_xlfn.XLOOKUP($F320,Clientes!$B$4:$B$39,Clientes!$C$4:$C$39),Cadastros!$L$6:$L$12,Cadastros!$M$6:$M$12)," ")</f>
        <v xml:space="preserve"> </v>
      </c>
      <c r="W320" s="37"/>
      <c r="X320" s="37"/>
      <c r="Y320" s="255" t="str">
        <f>IF(W320="","",(_xlfn.XLOOKUP(W320,Cadastros!$D$6:$D$90,Cadastros!$E$6:$E$90))*(1-_xlfn.XLOOKUP(_xlfn.XLOOKUP($F320,Clientes!$B$4:$B$39,Clientes!$C$4:$C$39),Cadastros!$L$6:$L$12,Cadastros!$N$6:$N$12)))</f>
        <v/>
      </c>
      <c r="Z320" s="168" t="str">
        <f t="shared" si="56"/>
        <v/>
      </c>
      <c r="AA320" s="168" t="str">
        <f>IFERROR(Z320/_xlfn.XLOOKUP(_xlfn.XLOOKUP($F320,Clientes!$B$4:$B$39,Clientes!$C$4:$C$39),Cadastros!$L$6:$L$12,Cadastros!$M$6:$M$12)," ")</f>
        <v xml:space="preserve"> </v>
      </c>
      <c r="AB320" s="37"/>
      <c r="AC320" s="37"/>
      <c r="AD320" s="20" t="str">
        <f>IF(AB320="","",IF($F320="Bernardino Furlan",_xlfn.XLOOKUP(AB320,Cadastros!$G$6:$G$90,Cadastros!$H$6:$H$90)*(1-0.18),IF($F320="Mauro José Salanti",_xlfn.XLOOKUP(AB320,Cadastros!$G$6:$G$90,Cadastros!$H$6:$H$90)*(1-0.18),_xlfn.XLOOKUP(AB320,Cadastros!$G$6:$G$90,Cadastros!$H$6:$H$90))))</f>
        <v/>
      </c>
      <c r="AE320" s="168" t="str">
        <f t="shared" si="57"/>
        <v/>
      </c>
      <c r="AF320" s="168" t="str">
        <f t="shared" si="58"/>
        <v/>
      </c>
      <c r="AG320" s="37"/>
      <c r="AH320" s="37"/>
      <c r="AI320" s="20" t="str">
        <f>IF(AG320="","",IF($F320="Bernardino Furlan",_xlfn.XLOOKUP(AG320,Cadastros!$G$6:$G$90,Cadastros!$H$6:$H$90)*(1-0.18),IF($F320="Mauro José Salanti",_xlfn.XLOOKUP(AG320,Cadastros!$G$6:$G$90,Cadastros!$H$6:$H$90)*(1-0.18),_xlfn.XLOOKUP(AG320,Cadastros!$G$6:$G$90,Cadastros!$H$6:$H$90))))</f>
        <v/>
      </c>
      <c r="AJ320" s="168" t="str">
        <f t="shared" si="59"/>
        <v/>
      </c>
      <c r="AK320" s="168" t="str">
        <f t="shared" si="60"/>
        <v/>
      </c>
      <c r="AL320" s="37"/>
      <c r="AM320" s="37"/>
      <c r="AN320" s="20" t="str">
        <f>IF(AL320="","",IF($F320="Bernardino Furlan",_xlfn.XLOOKUP(AL320,Cadastros!$G$6:$G$90,Cadastros!$H$6:$H$90)*(1-0.18),IF($F320="Mauro José Salanti",_xlfn.XLOOKUP(AL320,Cadastros!$G$6:$G$90,Cadastros!$H$6:$H$90)*(1-0.18),_xlfn.XLOOKUP(AL320,Cadastros!$G$6:$G$90,Cadastros!$H$6:$H$90))))</f>
        <v/>
      </c>
      <c r="AO320" s="168" t="str">
        <f t="shared" si="61"/>
        <v/>
      </c>
      <c r="AP320" s="168" t="str">
        <f t="shared" si="62"/>
        <v/>
      </c>
      <c r="AQ320" s="37"/>
      <c r="AR320" s="37"/>
      <c r="AS320" s="20" t="str">
        <f>IF(AQ320="","",IF($F320="Bernardino Furlan",_xlfn.XLOOKUP(AQ320,Cadastros!$G$6:$G$90,Cadastros!$H$6:$H$90)*(1-0.18),IF($F320="Mauro José Salanti",_xlfn.XLOOKUP(AQ320,Cadastros!$G$6:$G$90,Cadastros!$H$6:$H$90)*(1-0.18),_xlfn.XLOOKUP(AQ320,Cadastros!$G$6:$G$90,Cadastros!$H$6:$H$90))))</f>
        <v/>
      </c>
      <c r="AT320" s="168" t="str">
        <f t="shared" si="63"/>
        <v/>
      </c>
      <c r="AU320" s="168" t="str">
        <f t="shared" si="64"/>
        <v/>
      </c>
      <c r="AV320" s="228"/>
      <c r="AW320" s="38"/>
      <c r="AX320" s="268"/>
      <c r="AY320" s="268"/>
      <c r="AZ320" s="33"/>
      <c r="BA320" s="38"/>
      <c r="BB320" s="23" t="str" cm="1">
        <f t="array" ref="BB320">_xlfn.IFS(AW320="SIM",SUM(K320,P320,U320,Z320,AE320,AJ320,AO320,AT320,AX320,AY320),F320&lt;&gt;"",SUM(K320,P320,U320,Z320,AE320,AJ320,,AO320,AT320),F320="","")</f>
        <v/>
      </c>
      <c r="BC320" s="211" t="str" cm="1">
        <f t="array" ref="BC320">_xlfn.IFS(E320="","",G320&lt;=E320,BB320*(1-0.03),G320&lt;(E320+8),BB320,AZ320="Boleto",BB320*(1+0.001)^DATEDIF(E320,G320,"D"),AZ320="Cheque",BB320,AZ320="Dinheiro","Alterar forma pgto")</f>
        <v/>
      </c>
      <c r="BD320" s="276" t="str" cm="1">
        <f t="array" ref="BD320">IF(F320=0," ",IF(BC320&lt;BB320,(_xlfn.IFS(AW320="SIM",SUM(L320,Q320,V320,AA320,AF320,AK320,AP320,AU320)+AX320/_xlfn.XLOOKUP(_xlfn.XLOOKUP($F320,Clientes!$B$4:$B$39,Clientes!$C$4:$C$39),Cadastros!$L$6:$L$12,Cadastros!$M$6:$M$12)+IF($F320="Bernardino Furlan",AY320/2751.92,IF($F320="Mauro José Salanti",AY320/2751.92,AY320/3356)),F320&lt;&gt;0,SUM(L320,Q320,V320,AA320,AF320,AK320,AP320,AU320)))*(1-0.03),_xlfn.IFS(AW320="SIM",SUM(L320,Q320,V320,AA320,AF320,AK320,AP320,AU320)+AX320/_xlfn.XLOOKUP(_xlfn.XLOOKUP($F320,Clientes!$B$4:$B$39,Clientes!$C$4:$C$39),Cadastros!$L$6:$L$12,Cadastros!$M$6:$M$12)+IF($F320="Bernardino Furlan",AY320/2751.92,IF($F320="Mauro José Salanti",AY320/2751.92,AY320/3356)),F320&lt;&gt;0,SUM(L320,Q320,V320,AA320,AF320,AK320,AP320,AU320))))</f>
        <v xml:space="preserve"> </v>
      </c>
      <c r="BE320" s="120"/>
      <c r="BF320" s="120"/>
      <c r="BG320" s="120"/>
    </row>
    <row r="321" spans="1:59" s="3" customFormat="1" x14ac:dyDescent="0.3">
      <c r="A321" s="15" t="str">
        <f t="shared" si="52"/>
        <v/>
      </c>
      <c r="B321" s="25"/>
      <c r="C321" s="26"/>
      <c r="D321" s="279"/>
      <c r="E321" s="27"/>
      <c r="F321" s="28"/>
      <c r="G321" s="27"/>
      <c r="H321" s="28"/>
      <c r="I321" s="28"/>
      <c r="J321" s="255" t="str">
        <f>IF(H321="","",(_xlfn.XLOOKUP(H321,Cadastros!$D$6:$D$90,Cadastros!$E$6:$E$90))*(1-_xlfn.XLOOKUP(_xlfn.XLOOKUP($F321,Clientes!$B$4:$B$39,Clientes!$C$4:$C$39),Cadastros!$L$6:$L$12,Cadastros!$N$6:$N$12)))</f>
        <v/>
      </c>
      <c r="K321" s="168" t="str">
        <f t="shared" si="53"/>
        <v/>
      </c>
      <c r="L321" s="168" t="str">
        <f>IFERROR(K321/_xlfn.XLOOKUP(_xlfn.XLOOKUP($F321,Clientes!$B$4:$B$39,Clientes!$C$4:$C$39),Cadastros!$L$6:$L$12,Cadastros!$M$6:$M$12)," ")</f>
        <v xml:space="preserve"> </v>
      </c>
      <c r="M321" s="28"/>
      <c r="N321" s="28"/>
      <c r="O321" s="255" t="str">
        <f>IF(M321="","",(_xlfn.XLOOKUP(M321,Cadastros!$D$6:$D$90,Cadastros!$E$6:$E$90))*(1-_xlfn.XLOOKUP(_xlfn.XLOOKUP($F321,Clientes!$B$4:$B$39,Clientes!$C$4:$C$39),Cadastros!$L$6:$L$12,Cadastros!$N$6:$N$12)))</f>
        <v/>
      </c>
      <c r="P321" s="168" t="str">
        <f t="shared" si="54"/>
        <v/>
      </c>
      <c r="Q321" s="168" t="str">
        <f>IFERROR(P321/_xlfn.XLOOKUP(_xlfn.XLOOKUP($F321,Clientes!$B$4:$B$39,Clientes!$C$4:$C$39),Cadastros!$L$6:$L$12,Cadastros!$M$6:$M$12)," ")</f>
        <v xml:space="preserve"> </v>
      </c>
      <c r="R321" s="28"/>
      <c r="S321" s="28"/>
      <c r="T321" s="255" t="str">
        <f>IF(R321="","",(_xlfn.XLOOKUP(R321,Cadastros!$D$6:$D$90,Cadastros!$E$6:$E$90))*(1-_xlfn.XLOOKUP(_xlfn.XLOOKUP($F321,Clientes!$B$4:$B$39,Clientes!$C$4:$C$39),Cadastros!$L$6:$L$12,Cadastros!$N$6:$N$12)))</f>
        <v/>
      </c>
      <c r="U321" s="168" t="str">
        <f t="shared" si="55"/>
        <v/>
      </c>
      <c r="V321" s="168" t="str">
        <f>IFERROR(U321/_xlfn.XLOOKUP(_xlfn.XLOOKUP($F321,Clientes!$B$4:$B$39,Clientes!$C$4:$C$39),Cadastros!$L$6:$L$12,Cadastros!$M$6:$M$12)," ")</f>
        <v xml:space="preserve"> </v>
      </c>
      <c r="W321" s="28"/>
      <c r="X321" s="28"/>
      <c r="Y321" s="255" t="str">
        <f>IF(W321="","",(_xlfn.XLOOKUP(W321,Cadastros!$D$6:$D$90,Cadastros!$E$6:$E$90))*(1-_xlfn.XLOOKUP(_xlfn.XLOOKUP($F321,Clientes!$B$4:$B$39,Clientes!$C$4:$C$39),Cadastros!$L$6:$L$12,Cadastros!$N$6:$N$12)))</f>
        <v/>
      </c>
      <c r="Z321" s="168" t="str">
        <f t="shared" si="56"/>
        <v/>
      </c>
      <c r="AA321" s="168" t="str">
        <f>IFERROR(Z321/_xlfn.XLOOKUP(_xlfn.XLOOKUP($F321,Clientes!$B$4:$B$39,Clientes!$C$4:$C$39),Cadastros!$L$6:$L$12,Cadastros!$M$6:$M$12)," ")</f>
        <v xml:space="preserve"> </v>
      </c>
      <c r="AB321" s="28"/>
      <c r="AC321" s="28"/>
      <c r="AD321" s="20" t="str">
        <f>IF(AB321="","",IF($F321="Bernardino Furlan",_xlfn.XLOOKUP(AB321,Cadastros!$G$6:$G$90,Cadastros!$H$6:$H$90)*(1-0.18),IF($F321="Mauro José Salanti",_xlfn.XLOOKUP(AB321,Cadastros!$G$6:$G$90,Cadastros!$H$6:$H$90)*(1-0.18),_xlfn.XLOOKUP(AB321,Cadastros!$G$6:$G$90,Cadastros!$H$6:$H$90))))</f>
        <v/>
      </c>
      <c r="AE321" s="168" t="str">
        <f t="shared" si="57"/>
        <v/>
      </c>
      <c r="AF321" s="168" t="str">
        <f t="shared" si="58"/>
        <v/>
      </c>
      <c r="AG321" s="28"/>
      <c r="AH321" s="28"/>
      <c r="AI321" s="20" t="str">
        <f>IF(AG321="","",IF($F321="Bernardino Furlan",_xlfn.XLOOKUP(AG321,Cadastros!$G$6:$G$90,Cadastros!$H$6:$H$90)*(1-0.18),IF($F321="Mauro José Salanti",_xlfn.XLOOKUP(AG321,Cadastros!$G$6:$G$90,Cadastros!$H$6:$H$90)*(1-0.18),_xlfn.XLOOKUP(AG321,Cadastros!$G$6:$G$90,Cadastros!$H$6:$H$90))))</f>
        <v/>
      </c>
      <c r="AJ321" s="168" t="str">
        <f t="shared" si="59"/>
        <v/>
      </c>
      <c r="AK321" s="168" t="str">
        <f t="shared" si="60"/>
        <v/>
      </c>
      <c r="AL321" s="28"/>
      <c r="AM321" s="28"/>
      <c r="AN321" s="20" t="str">
        <f>IF(AL321="","",IF($F321="Bernardino Furlan",_xlfn.XLOOKUP(AL321,Cadastros!$G$6:$G$90,Cadastros!$H$6:$H$90)*(1-0.18),IF($F321="Mauro José Salanti",_xlfn.XLOOKUP(AL321,Cadastros!$G$6:$G$90,Cadastros!$H$6:$H$90)*(1-0.18),_xlfn.XLOOKUP(AL321,Cadastros!$G$6:$G$90,Cadastros!$H$6:$H$90))))</f>
        <v/>
      </c>
      <c r="AO321" s="168" t="str">
        <f t="shared" si="61"/>
        <v/>
      </c>
      <c r="AP321" s="168" t="str">
        <f t="shared" si="62"/>
        <v/>
      </c>
      <c r="AQ321" s="28"/>
      <c r="AR321" s="28"/>
      <c r="AS321" s="20" t="str">
        <f>IF(AQ321="","",IF($F321="Bernardino Furlan",_xlfn.XLOOKUP(AQ321,Cadastros!$G$6:$G$90,Cadastros!$H$6:$H$90)*(1-0.18),IF($F321="Mauro José Salanti",_xlfn.XLOOKUP(AQ321,Cadastros!$G$6:$G$90,Cadastros!$H$6:$H$90)*(1-0.18),_xlfn.XLOOKUP(AQ321,Cadastros!$G$6:$G$90,Cadastros!$H$6:$H$90))))</f>
        <v/>
      </c>
      <c r="AT321" s="168" t="str">
        <f t="shared" si="63"/>
        <v/>
      </c>
      <c r="AU321" s="168" t="str">
        <f t="shared" si="64"/>
        <v/>
      </c>
      <c r="AV321" s="227"/>
      <c r="AW321" s="30"/>
      <c r="AX321" s="267"/>
      <c r="AY321" s="267"/>
      <c r="AZ321" s="29"/>
      <c r="BA321" s="30"/>
      <c r="BB321" s="23" t="str" cm="1">
        <f t="array" ref="BB321">_xlfn.IFS(AW321="SIM",SUM(K321,P321,U321,Z321,AE321,AJ321,AO321,AT321,AX321,AY321),F321&lt;&gt;"",SUM(K321,P321,U321,Z321,AE321,AJ321,,AO321,AT321),F321="","")</f>
        <v/>
      </c>
      <c r="BC321" s="211" t="str" cm="1">
        <f t="array" ref="BC321">_xlfn.IFS(E321="","",G321&lt;=E321,BB321*(1-0.03),G321&lt;(E321+8),BB321,AZ321="Boleto",BB321*(1+0.001)^DATEDIF(E321,G321,"D"),AZ321="Cheque",BB321,AZ321="Dinheiro","Alterar forma pgto")</f>
        <v/>
      </c>
      <c r="BD321" s="276" t="str" cm="1">
        <f t="array" ref="BD321">IF(F321=0," ",IF(BC321&lt;BB321,(_xlfn.IFS(AW321="SIM",SUM(L321,Q321,V321,AA321,AF321,AK321,AP321,AU321)+AX321/_xlfn.XLOOKUP(_xlfn.XLOOKUP($F321,Clientes!$B$4:$B$39,Clientes!$C$4:$C$39),Cadastros!$L$6:$L$12,Cadastros!$M$6:$M$12)+IF($F321="Bernardino Furlan",AY321/2751.92,IF($F321="Mauro José Salanti",AY321/2751.92,AY321/3356)),F321&lt;&gt;0,SUM(L321,Q321,V321,AA321,AF321,AK321,AP321,AU321)))*(1-0.03),_xlfn.IFS(AW321="SIM",SUM(L321,Q321,V321,AA321,AF321,AK321,AP321,AU321)+AX321/_xlfn.XLOOKUP(_xlfn.XLOOKUP($F321,Clientes!$B$4:$B$39,Clientes!$C$4:$C$39),Cadastros!$L$6:$L$12,Cadastros!$M$6:$M$12)+IF($F321="Bernardino Furlan",AY321/2751.92,IF($F321="Mauro José Salanti",AY321/2751.92,AY321/3356)),F321&lt;&gt;0,SUM(L321,Q321,V321,AA321,AF321,AK321,AP321,AU321))))</f>
        <v xml:space="preserve"> </v>
      </c>
      <c r="BE321" s="120"/>
      <c r="BF321" s="120"/>
      <c r="BG321" s="120"/>
    </row>
    <row r="322" spans="1:59" s="3" customFormat="1" x14ac:dyDescent="0.3">
      <c r="A322" s="15" t="str">
        <f t="shared" si="52"/>
        <v/>
      </c>
      <c r="B322" s="25"/>
      <c r="C322" s="26"/>
      <c r="D322" s="279"/>
      <c r="E322" s="27"/>
      <c r="F322" s="28"/>
      <c r="G322" s="27"/>
      <c r="H322" s="28"/>
      <c r="I322" s="28"/>
      <c r="J322" s="255" t="str">
        <f>IF(H322="","",(_xlfn.XLOOKUP(H322,Cadastros!$D$6:$D$90,Cadastros!$E$6:$E$90))*(1-_xlfn.XLOOKUP(_xlfn.XLOOKUP($F322,Clientes!$B$4:$B$39,Clientes!$C$4:$C$39),Cadastros!$L$6:$L$12,Cadastros!$N$6:$N$12)))</f>
        <v/>
      </c>
      <c r="K322" s="168" t="str">
        <f t="shared" si="53"/>
        <v/>
      </c>
      <c r="L322" s="168" t="str">
        <f>IFERROR(K322/_xlfn.XLOOKUP(_xlfn.XLOOKUP($F322,Clientes!$B$4:$B$39,Clientes!$C$4:$C$39),Cadastros!$L$6:$L$12,Cadastros!$M$6:$M$12)," ")</f>
        <v xml:space="preserve"> </v>
      </c>
      <c r="M322" s="28"/>
      <c r="N322" s="28"/>
      <c r="O322" s="255" t="str">
        <f>IF(M322="","",(_xlfn.XLOOKUP(M322,Cadastros!$D$6:$D$90,Cadastros!$E$6:$E$90))*(1-_xlfn.XLOOKUP(_xlfn.XLOOKUP($F322,Clientes!$B$4:$B$39,Clientes!$C$4:$C$39),Cadastros!$L$6:$L$12,Cadastros!$N$6:$N$12)))</f>
        <v/>
      </c>
      <c r="P322" s="168" t="str">
        <f t="shared" si="54"/>
        <v/>
      </c>
      <c r="Q322" s="168" t="str">
        <f>IFERROR(P322/_xlfn.XLOOKUP(_xlfn.XLOOKUP($F322,Clientes!$B$4:$B$39,Clientes!$C$4:$C$39),Cadastros!$L$6:$L$12,Cadastros!$M$6:$M$12)," ")</f>
        <v xml:space="preserve"> </v>
      </c>
      <c r="R322" s="28"/>
      <c r="S322" s="28"/>
      <c r="T322" s="255" t="str">
        <f>IF(R322="","",(_xlfn.XLOOKUP(R322,Cadastros!$D$6:$D$90,Cadastros!$E$6:$E$90))*(1-_xlfn.XLOOKUP(_xlfn.XLOOKUP($F322,Clientes!$B$4:$B$39,Clientes!$C$4:$C$39),Cadastros!$L$6:$L$12,Cadastros!$N$6:$N$12)))</f>
        <v/>
      </c>
      <c r="U322" s="168" t="str">
        <f t="shared" si="55"/>
        <v/>
      </c>
      <c r="V322" s="168" t="str">
        <f>IFERROR(U322/_xlfn.XLOOKUP(_xlfn.XLOOKUP($F322,Clientes!$B$4:$B$39,Clientes!$C$4:$C$39),Cadastros!$L$6:$L$12,Cadastros!$M$6:$M$12)," ")</f>
        <v xml:space="preserve"> </v>
      </c>
      <c r="W322" s="28"/>
      <c r="X322" s="28"/>
      <c r="Y322" s="255" t="str">
        <f>IF(W322="","",(_xlfn.XLOOKUP(W322,Cadastros!$D$6:$D$90,Cadastros!$E$6:$E$90))*(1-_xlfn.XLOOKUP(_xlfn.XLOOKUP($F322,Clientes!$B$4:$B$39,Clientes!$C$4:$C$39),Cadastros!$L$6:$L$12,Cadastros!$N$6:$N$12)))</f>
        <v/>
      </c>
      <c r="Z322" s="168" t="str">
        <f t="shared" si="56"/>
        <v/>
      </c>
      <c r="AA322" s="168" t="str">
        <f>IFERROR(Z322/_xlfn.XLOOKUP(_xlfn.XLOOKUP($F322,Clientes!$B$4:$B$39,Clientes!$C$4:$C$39),Cadastros!$L$6:$L$12,Cadastros!$M$6:$M$12)," ")</f>
        <v xml:space="preserve"> </v>
      </c>
      <c r="AB322" s="28"/>
      <c r="AC322" s="28"/>
      <c r="AD322" s="20" t="str">
        <f>IF(AB322="","",IF($F322="Bernardino Furlan",_xlfn.XLOOKUP(AB322,Cadastros!$G$6:$G$90,Cadastros!$H$6:$H$90)*(1-0.18),IF($F322="Mauro José Salanti",_xlfn.XLOOKUP(AB322,Cadastros!$G$6:$G$90,Cadastros!$H$6:$H$90)*(1-0.18),_xlfn.XLOOKUP(AB322,Cadastros!$G$6:$G$90,Cadastros!$H$6:$H$90))))</f>
        <v/>
      </c>
      <c r="AE322" s="168" t="str">
        <f t="shared" si="57"/>
        <v/>
      </c>
      <c r="AF322" s="168" t="str">
        <f t="shared" si="58"/>
        <v/>
      </c>
      <c r="AG322" s="28"/>
      <c r="AH322" s="28"/>
      <c r="AI322" s="20" t="str">
        <f>IF(AG322="","",IF($F322="Bernardino Furlan",_xlfn.XLOOKUP(AG322,Cadastros!$G$6:$G$90,Cadastros!$H$6:$H$90)*(1-0.18),IF($F322="Mauro José Salanti",_xlfn.XLOOKUP(AG322,Cadastros!$G$6:$G$90,Cadastros!$H$6:$H$90)*(1-0.18),_xlfn.XLOOKUP(AG322,Cadastros!$G$6:$G$90,Cadastros!$H$6:$H$90))))</f>
        <v/>
      </c>
      <c r="AJ322" s="168" t="str">
        <f t="shared" si="59"/>
        <v/>
      </c>
      <c r="AK322" s="168" t="str">
        <f t="shared" si="60"/>
        <v/>
      </c>
      <c r="AL322" s="28"/>
      <c r="AM322" s="28"/>
      <c r="AN322" s="20" t="str">
        <f>IF(AL322="","",IF($F322="Bernardino Furlan",_xlfn.XLOOKUP(AL322,Cadastros!$G$6:$G$90,Cadastros!$H$6:$H$90)*(1-0.18),IF($F322="Mauro José Salanti",_xlfn.XLOOKUP(AL322,Cadastros!$G$6:$G$90,Cadastros!$H$6:$H$90)*(1-0.18),_xlfn.XLOOKUP(AL322,Cadastros!$G$6:$G$90,Cadastros!$H$6:$H$90))))</f>
        <v/>
      </c>
      <c r="AO322" s="168" t="str">
        <f t="shared" si="61"/>
        <v/>
      </c>
      <c r="AP322" s="168" t="str">
        <f t="shared" si="62"/>
        <v/>
      </c>
      <c r="AQ322" s="28"/>
      <c r="AR322" s="28"/>
      <c r="AS322" s="20" t="str">
        <f>IF(AQ322="","",IF($F322="Bernardino Furlan",_xlfn.XLOOKUP(AQ322,Cadastros!$G$6:$G$90,Cadastros!$H$6:$H$90)*(1-0.18),IF($F322="Mauro José Salanti",_xlfn.XLOOKUP(AQ322,Cadastros!$G$6:$G$90,Cadastros!$H$6:$H$90)*(1-0.18),_xlfn.XLOOKUP(AQ322,Cadastros!$G$6:$G$90,Cadastros!$H$6:$H$90))))</f>
        <v/>
      </c>
      <c r="AT322" s="168" t="str">
        <f t="shared" si="63"/>
        <v/>
      </c>
      <c r="AU322" s="168" t="str">
        <f t="shared" si="64"/>
        <v/>
      </c>
      <c r="AV322" s="227"/>
      <c r="AW322" s="30"/>
      <c r="AX322" s="267"/>
      <c r="AY322" s="267"/>
      <c r="AZ322" s="29"/>
      <c r="BA322" s="30"/>
      <c r="BB322" s="23" t="str" cm="1">
        <f t="array" ref="BB322">_xlfn.IFS(AW322="SIM",SUM(K322,P322,U322,Z322,AE322,AJ322,AO322,AT322,AX322,AY322),F322&lt;&gt;"",SUM(K322,P322,U322,Z322,AE322,AJ322,,AO322,AT322),F322="","")</f>
        <v/>
      </c>
      <c r="BC322" s="211" t="str" cm="1">
        <f t="array" ref="BC322">_xlfn.IFS(E322="","",G322&lt;=E322,BB322*(1-0.03),G322&lt;(E322+8),BB322,AZ322="Boleto",BB322*(1+0.001)^DATEDIF(E322,G322,"D"),AZ322="Cheque",BB322,AZ322="Dinheiro","Alterar forma pgto")</f>
        <v/>
      </c>
      <c r="BD322" s="276" t="str" cm="1">
        <f t="array" ref="BD322">IF(F322=0," ",IF(BC322&lt;BB322,(_xlfn.IFS(AW322="SIM",SUM(L322,Q322,V322,AA322,AF322,AK322,AP322,AU322)+AX322/_xlfn.XLOOKUP(_xlfn.XLOOKUP($F322,Clientes!$B$4:$B$39,Clientes!$C$4:$C$39),Cadastros!$L$6:$L$12,Cadastros!$M$6:$M$12)+IF($F322="Bernardino Furlan",AY322/2751.92,IF($F322="Mauro José Salanti",AY322/2751.92,AY322/3356)),F322&lt;&gt;0,SUM(L322,Q322,V322,AA322,AF322,AK322,AP322,AU322)))*(1-0.03),_xlfn.IFS(AW322="SIM",SUM(L322,Q322,V322,AA322,AF322,AK322,AP322,AU322)+AX322/_xlfn.XLOOKUP(_xlfn.XLOOKUP($F322,Clientes!$B$4:$B$39,Clientes!$C$4:$C$39),Cadastros!$L$6:$L$12,Cadastros!$M$6:$M$12)+IF($F322="Bernardino Furlan",AY322/2751.92,IF($F322="Mauro José Salanti",AY322/2751.92,AY322/3356)),F322&lt;&gt;0,SUM(L322,Q322,V322,AA322,AF322,AK322,AP322,AU322))))</f>
        <v xml:space="preserve"> </v>
      </c>
      <c r="BE322" s="120"/>
      <c r="BF322" s="120"/>
      <c r="BG322" s="120"/>
    </row>
    <row r="323" spans="1:59" s="3" customFormat="1" x14ac:dyDescent="0.3">
      <c r="A323" s="15" t="str">
        <f t="shared" si="52"/>
        <v/>
      </c>
      <c r="B323" s="39"/>
      <c r="C323" s="40"/>
      <c r="D323" s="281"/>
      <c r="E323" s="41"/>
      <c r="F323" s="42"/>
      <c r="G323" s="41"/>
      <c r="H323" s="42"/>
      <c r="I323" s="42"/>
      <c r="J323" s="255" t="str">
        <f>IF(H323="","",(_xlfn.XLOOKUP(H323,Cadastros!$D$6:$D$90,Cadastros!$E$6:$E$90))*(1-_xlfn.XLOOKUP(_xlfn.XLOOKUP($F323,Clientes!$B$4:$B$39,Clientes!$C$4:$C$39),Cadastros!$L$6:$L$12,Cadastros!$N$6:$N$12)))</f>
        <v/>
      </c>
      <c r="K323" s="168" t="str">
        <f t="shared" si="53"/>
        <v/>
      </c>
      <c r="L323" s="168" t="str">
        <f>IFERROR(K323/_xlfn.XLOOKUP(_xlfn.XLOOKUP($F323,Clientes!$B$4:$B$39,Clientes!$C$4:$C$39),Cadastros!$L$6:$L$12,Cadastros!$M$6:$M$12)," ")</f>
        <v xml:space="preserve"> </v>
      </c>
      <c r="M323" s="42"/>
      <c r="N323" s="42"/>
      <c r="O323" s="255" t="str">
        <f>IF(M323="","",(_xlfn.XLOOKUP(M323,Cadastros!$D$6:$D$90,Cadastros!$E$6:$E$90))*(1-_xlfn.XLOOKUP(_xlfn.XLOOKUP($F323,Clientes!$B$4:$B$39,Clientes!$C$4:$C$39),Cadastros!$L$6:$L$12,Cadastros!$N$6:$N$12)))</f>
        <v/>
      </c>
      <c r="P323" s="168" t="str">
        <f t="shared" si="54"/>
        <v/>
      </c>
      <c r="Q323" s="168" t="str">
        <f>IFERROR(P323/_xlfn.XLOOKUP(_xlfn.XLOOKUP($F323,Clientes!$B$4:$B$39,Clientes!$C$4:$C$39),Cadastros!$L$6:$L$12,Cadastros!$M$6:$M$12)," ")</f>
        <v xml:space="preserve"> </v>
      </c>
      <c r="R323" s="42"/>
      <c r="S323" s="42"/>
      <c r="T323" s="255" t="str">
        <f>IF(R323="","",(_xlfn.XLOOKUP(R323,Cadastros!$D$6:$D$90,Cadastros!$E$6:$E$90))*(1-_xlfn.XLOOKUP(_xlfn.XLOOKUP($F323,Clientes!$B$4:$B$39,Clientes!$C$4:$C$39),Cadastros!$L$6:$L$12,Cadastros!$N$6:$N$12)))</f>
        <v/>
      </c>
      <c r="U323" s="168" t="str">
        <f t="shared" si="55"/>
        <v/>
      </c>
      <c r="V323" s="168" t="str">
        <f>IFERROR(U323/_xlfn.XLOOKUP(_xlfn.XLOOKUP($F323,Clientes!$B$4:$B$39,Clientes!$C$4:$C$39),Cadastros!$L$6:$L$12,Cadastros!$M$6:$M$12)," ")</f>
        <v xml:space="preserve"> </v>
      </c>
      <c r="W323" s="42"/>
      <c r="X323" s="42"/>
      <c r="Y323" s="255" t="str">
        <f>IF(W323="","",(_xlfn.XLOOKUP(W323,Cadastros!$D$6:$D$90,Cadastros!$E$6:$E$90))*(1-_xlfn.XLOOKUP(_xlfn.XLOOKUP($F323,Clientes!$B$4:$B$39,Clientes!$C$4:$C$39),Cadastros!$L$6:$L$12,Cadastros!$N$6:$N$12)))</f>
        <v/>
      </c>
      <c r="Z323" s="168" t="str">
        <f t="shared" si="56"/>
        <v/>
      </c>
      <c r="AA323" s="168" t="str">
        <f>IFERROR(Z323/_xlfn.XLOOKUP(_xlfn.XLOOKUP($F323,Clientes!$B$4:$B$39,Clientes!$C$4:$C$39),Cadastros!$L$6:$L$12,Cadastros!$M$6:$M$12)," ")</f>
        <v xml:space="preserve"> </v>
      </c>
      <c r="AB323" s="42"/>
      <c r="AC323" s="42"/>
      <c r="AD323" s="20" t="str">
        <f>IF(AB323="","",IF($F323="Bernardino Furlan",_xlfn.XLOOKUP(AB323,Cadastros!$G$6:$G$90,Cadastros!$H$6:$H$90)*(1-0.18),IF($F323="Mauro José Salanti",_xlfn.XLOOKUP(AB323,Cadastros!$G$6:$G$90,Cadastros!$H$6:$H$90)*(1-0.18),_xlfn.XLOOKUP(AB323,Cadastros!$G$6:$G$90,Cadastros!$H$6:$H$90))))</f>
        <v/>
      </c>
      <c r="AE323" s="168" t="str">
        <f t="shared" si="57"/>
        <v/>
      </c>
      <c r="AF323" s="168" t="str">
        <f t="shared" si="58"/>
        <v/>
      </c>
      <c r="AG323" s="42"/>
      <c r="AH323" s="42"/>
      <c r="AI323" s="20" t="str">
        <f>IF(AG323="","",IF($F323="Bernardino Furlan",_xlfn.XLOOKUP(AG323,Cadastros!$G$6:$G$90,Cadastros!$H$6:$H$90)*(1-0.18),IF($F323="Mauro José Salanti",_xlfn.XLOOKUP(AG323,Cadastros!$G$6:$G$90,Cadastros!$H$6:$H$90)*(1-0.18),_xlfn.XLOOKUP(AG323,Cadastros!$G$6:$G$90,Cadastros!$H$6:$H$90))))</f>
        <v/>
      </c>
      <c r="AJ323" s="168" t="str">
        <f t="shared" si="59"/>
        <v/>
      </c>
      <c r="AK323" s="168" t="str">
        <f t="shared" si="60"/>
        <v/>
      </c>
      <c r="AL323" s="42"/>
      <c r="AM323" s="42"/>
      <c r="AN323" s="20" t="str">
        <f>IF(AL323="","",IF($F323="Bernardino Furlan",_xlfn.XLOOKUP(AL323,Cadastros!$G$6:$G$90,Cadastros!$H$6:$H$90)*(1-0.18),IF($F323="Mauro José Salanti",_xlfn.XLOOKUP(AL323,Cadastros!$G$6:$G$90,Cadastros!$H$6:$H$90)*(1-0.18),_xlfn.XLOOKUP(AL323,Cadastros!$G$6:$G$90,Cadastros!$H$6:$H$90))))</f>
        <v/>
      </c>
      <c r="AO323" s="168" t="str">
        <f t="shared" si="61"/>
        <v/>
      </c>
      <c r="AP323" s="168" t="str">
        <f t="shared" si="62"/>
        <v/>
      </c>
      <c r="AQ323" s="42"/>
      <c r="AR323" s="42"/>
      <c r="AS323" s="20" t="str">
        <f>IF(AQ323="","",IF($F323="Bernardino Furlan",_xlfn.XLOOKUP(AQ323,Cadastros!$G$6:$G$90,Cadastros!$H$6:$H$90)*(1-0.18),IF($F323="Mauro José Salanti",_xlfn.XLOOKUP(AQ323,Cadastros!$G$6:$G$90,Cadastros!$H$6:$H$90)*(1-0.18),_xlfn.XLOOKUP(AQ323,Cadastros!$G$6:$G$90,Cadastros!$H$6:$H$90))))</f>
        <v/>
      </c>
      <c r="AT323" s="168" t="str">
        <f t="shared" si="63"/>
        <v/>
      </c>
      <c r="AU323" s="168" t="str">
        <f t="shared" si="64"/>
        <v/>
      </c>
      <c r="AV323" s="229"/>
      <c r="AW323" s="44"/>
      <c r="AX323" s="269"/>
      <c r="AY323" s="269"/>
      <c r="AZ323" s="43"/>
      <c r="BA323" s="44"/>
      <c r="BB323" s="23" t="str" cm="1">
        <f t="array" ref="BB323">_xlfn.IFS(AW323="SIM",SUM(K323,P323,U323,Z323,AE323,AJ323,AO323,AT323,AX323,AY323),F323&lt;&gt;"",SUM(K323,P323,U323,Z323,AE323,AJ323,,AO323,AT323),F323="","")</f>
        <v/>
      </c>
      <c r="BC323" s="211" t="str" cm="1">
        <f t="array" ref="BC323">_xlfn.IFS(E323="","",G323&lt;=E323,BB323*(1-0.03),G323&lt;(E323+8),BB323,AZ323="Boleto",BB323*(1+0.001)^DATEDIF(E323,G323,"D"),AZ323="Cheque",BB323,AZ323="Dinheiro","Alterar forma pgto")</f>
        <v/>
      </c>
      <c r="BD323" s="276" t="str" cm="1">
        <f t="array" ref="BD323">IF(F323=0," ",IF(BC323&lt;BB323,(_xlfn.IFS(AW323="SIM",SUM(L323,Q323,V323,AA323,AF323,AK323,AP323,AU323)+AX323/_xlfn.XLOOKUP(_xlfn.XLOOKUP($F323,Clientes!$B$4:$B$39,Clientes!$C$4:$C$39),Cadastros!$L$6:$L$12,Cadastros!$M$6:$M$12)+IF($F323="Bernardino Furlan",AY323/2751.92,IF($F323="Mauro José Salanti",AY323/2751.92,AY323/3356)),F323&lt;&gt;0,SUM(L323,Q323,V323,AA323,AF323,AK323,AP323,AU323)))*(1-0.03),_xlfn.IFS(AW323="SIM",SUM(L323,Q323,V323,AA323,AF323,AK323,AP323,AU323)+AX323/_xlfn.XLOOKUP(_xlfn.XLOOKUP($F323,Clientes!$B$4:$B$39,Clientes!$C$4:$C$39),Cadastros!$L$6:$L$12,Cadastros!$M$6:$M$12)+IF($F323="Bernardino Furlan",AY323/2751.92,IF($F323="Mauro José Salanti",AY323/2751.92,AY323/3356)),F323&lt;&gt;0,SUM(L323,Q323,V323,AA323,AF323,AK323,AP323,AU323))))</f>
        <v xml:space="preserve"> </v>
      </c>
      <c r="BE323" s="120"/>
      <c r="BF323" s="120"/>
      <c r="BG323" s="120"/>
    </row>
    <row r="324" spans="1:59" s="3" customFormat="1" x14ac:dyDescent="0.3">
      <c r="A324" s="15" t="str">
        <f t="shared" si="52"/>
        <v/>
      </c>
      <c r="B324" s="25"/>
      <c r="C324" s="26"/>
      <c r="D324" s="279"/>
      <c r="E324" s="27"/>
      <c r="F324" s="28"/>
      <c r="G324" s="27"/>
      <c r="H324" s="28"/>
      <c r="I324" s="28"/>
      <c r="J324" s="255" t="str">
        <f>IF(H324="","",(_xlfn.XLOOKUP(H324,Cadastros!$D$6:$D$90,Cadastros!$E$6:$E$90))*(1-_xlfn.XLOOKUP(_xlfn.XLOOKUP($F324,Clientes!$B$4:$B$39,Clientes!$C$4:$C$39),Cadastros!$L$6:$L$12,Cadastros!$N$6:$N$12)))</f>
        <v/>
      </c>
      <c r="K324" s="168" t="str">
        <f t="shared" si="53"/>
        <v/>
      </c>
      <c r="L324" s="168" t="str">
        <f>IFERROR(K324/_xlfn.XLOOKUP(_xlfn.XLOOKUP($F324,Clientes!$B$4:$B$39,Clientes!$C$4:$C$39),Cadastros!$L$6:$L$12,Cadastros!$M$6:$M$12)," ")</f>
        <v xml:space="preserve"> </v>
      </c>
      <c r="M324" s="28"/>
      <c r="N324" s="28"/>
      <c r="O324" s="255" t="str">
        <f>IF(M324="","",(_xlfn.XLOOKUP(M324,Cadastros!$D$6:$D$90,Cadastros!$E$6:$E$90))*(1-_xlfn.XLOOKUP(_xlfn.XLOOKUP($F324,Clientes!$B$4:$B$39,Clientes!$C$4:$C$39),Cadastros!$L$6:$L$12,Cadastros!$N$6:$N$12)))</f>
        <v/>
      </c>
      <c r="P324" s="168" t="str">
        <f t="shared" si="54"/>
        <v/>
      </c>
      <c r="Q324" s="168" t="str">
        <f>IFERROR(P324/_xlfn.XLOOKUP(_xlfn.XLOOKUP($F324,Clientes!$B$4:$B$39,Clientes!$C$4:$C$39),Cadastros!$L$6:$L$12,Cadastros!$M$6:$M$12)," ")</f>
        <v xml:space="preserve"> </v>
      </c>
      <c r="R324" s="28"/>
      <c r="S324" s="28"/>
      <c r="T324" s="255" t="str">
        <f>IF(R324="","",(_xlfn.XLOOKUP(R324,Cadastros!$D$6:$D$90,Cadastros!$E$6:$E$90))*(1-_xlfn.XLOOKUP(_xlfn.XLOOKUP($F324,Clientes!$B$4:$B$39,Clientes!$C$4:$C$39),Cadastros!$L$6:$L$12,Cadastros!$N$6:$N$12)))</f>
        <v/>
      </c>
      <c r="U324" s="168" t="str">
        <f t="shared" si="55"/>
        <v/>
      </c>
      <c r="V324" s="168" t="str">
        <f>IFERROR(U324/_xlfn.XLOOKUP(_xlfn.XLOOKUP($F324,Clientes!$B$4:$B$39,Clientes!$C$4:$C$39),Cadastros!$L$6:$L$12,Cadastros!$M$6:$M$12)," ")</f>
        <v xml:space="preserve"> </v>
      </c>
      <c r="W324" s="28"/>
      <c r="X324" s="28"/>
      <c r="Y324" s="255" t="str">
        <f>IF(W324="","",(_xlfn.XLOOKUP(W324,Cadastros!$D$6:$D$90,Cadastros!$E$6:$E$90))*(1-_xlfn.XLOOKUP(_xlfn.XLOOKUP($F324,Clientes!$B$4:$B$39,Clientes!$C$4:$C$39),Cadastros!$L$6:$L$12,Cadastros!$N$6:$N$12)))</f>
        <v/>
      </c>
      <c r="Z324" s="168" t="str">
        <f t="shared" si="56"/>
        <v/>
      </c>
      <c r="AA324" s="168" t="str">
        <f>IFERROR(Z324/_xlfn.XLOOKUP(_xlfn.XLOOKUP($F324,Clientes!$B$4:$B$39,Clientes!$C$4:$C$39),Cadastros!$L$6:$L$12,Cadastros!$M$6:$M$12)," ")</f>
        <v xml:space="preserve"> </v>
      </c>
      <c r="AB324" s="28"/>
      <c r="AC324" s="28"/>
      <c r="AD324" s="20" t="str">
        <f>IF(AB324="","",IF($F324="Bernardino Furlan",_xlfn.XLOOKUP(AB324,Cadastros!$G$6:$G$90,Cadastros!$H$6:$H$90)*(1-0.18),IF($F324="Mauro José Salanti",_xlfn.XLOOKUP(AB324,Cadastros!$G$6:$G$90,Cadastros!$H$6:$H$90)*(1-0.18),_xlfn.XLOOKUP(AB324,Cadastros!$G$6:$G$90,Cadastros!$H$6:$H$90))))</f>
        <v/>
      </c>
      <c r="AE324" s="168" t="str">
        <f t="shared" si="57"/>
        <v/>
      </c>
      <c r="AF324" s="168" t="str">
        <f t="shared" si="58"/>
        <v/>
      </c>
      <c r="AG324" s="28"/>
      <c r="AH324" s="28"/>
      <c r="AI324" s="20" t="str">
        <f>IF(AG324="","",IF($F324="Bernardino Furlan",_xlfn.XLOOKUP(AG324,Cadastros!$G$6:$G$90,Cadastros!$H$6:$H$90)*(1-0.18),IF($F324="Mauro José Salanti",_xlfn.XLOOKUP(AG324,Cadastros!$G$6:$G$90,Cadastros!$H$6:$H$90)*(1-0.18),_xlfn.XLOOKUP(AG324,Cadastros!$G$6:$G$90,Cadastros!$H$6:$H$90))))</f>
        <v/>
      </c>
      <c r="AJ324" s="168" t="str">
        <f t="shared" si="59"/>
        <v/>
      </c>
      <c r="AK324" s="168" t="str">
        <f t="shared" si="60"/>
        <v/>
      </c>
      <c r="AL324" s="28"/>
      <c r="AM324" s="28"/>
      <c r="AN324" s="20" t="str">
        <f>IF(AL324="","",IF($F324="Bernardino Furlan",_xlfn.XLOOKUP(AL324,Cadastros!$G$6:$G$90,Cadastros!$H$6:$H$90)*(1-0.18),IF($F324="Mauro José Salanti",_xlfn.XLOOKUP(AL324,Cadastros!$G$6:$G$90,Cadastros!$H$6:$H$90)*(1-0.18),_xlfn.XLOOKUP(AL324,Cadastros!$G$6:$G$90,Cadastros!$H$6:$H$90))))</f>
        <v/>
      </c>
      <c r="AO324" s="168" t="str">
        <f t="shared" si="61"/>
        <v/>
      </c>
      <c r="AP324" s="168" t="str">
        <f t="shared" si="62"/>
        <v/>
      </c>
      <c r="AQ324" s="28"/>
      <c r="AR324" s="28"/>
      <c r="AS324" s="20" t="str">
        <f>IF(AQ324="","",IF($F324="Bernardino Furlan",_xlfn.XLOOKUP(AQ324,Cadastros!$G$6:$G$90,Cadastros!$H$6:$H$90)*(1-0.18),IF($F324="Mauro José Salanti",_xlfn.XLOOKUP(AQ324,Cadastros!$G$6:$G$90,Cadastros!$H$6:$H$90)*(1-0.18),_xlfn.XLOOKUP(AQ324,Cadastros!$G$6:$G$90,Cadastros!$H$6:$H$90))))</f>
        <v/>
      </c>
      <c r="AT324" s="168" t="str">
        <f t="shared" si="63"/>
        <v/>
      </c>
      <c r="AU324" s="168" t="str">
        <f t="shared" si="64"/>
        <v/>
      </c>
      <c r="AV324" s="227"/>
      <c r="AW324" s="30"/>
      <c r="AX324" s="267"/>
      <c r="AY324" s="267"/>
      <c r="AZ324" s="29"/>
      <c r="BA324" s="30"/>
      <c r="BB324" s="23" t="str" cm="1">
        <f t="array" ref="BB324">_xlfn.IFS(AW324="SIM",SUM(K324,P324,U324,Z324,AE324,AJ324,AO324,AT324,AX324,AY324),F324&lt;&gt;"",SUM(K324,P324,U324,Z324,AE324,AJ324,,AO324,AT324),F324="","")</f>
        <v/>
      </c>
      <c r="BC324" s="211" t="str" cm="1">
        <f t="array" ref="BC324">_xlfn.IFS(E324="","",G324&lt;=E324,BB324*(1-0.03),G324&lt;(E324+8),BB324,AZ324="Boleto",BB324*(1+0.001)^DATEDIF(E324,G324,"D"),AZ324="Cheque",BB324,AZ324="Dinheiro","Alterar forma pgto")</f>
        <v/>
      </c>
      <c r="BD324" s="276" t="str" cm="1">
        <f t="array" ref="BD324">IF(F324=0," ",IF(BC324&lt;BB324,(_xlfn.IFS(AW324="SIM",SUM(L324,Q324,V324,AA324,AF324,AK324,AP324,AU324)+AX324/_xlfn.XLOOKUP(_xlfn.XLOOKUP($F324,Clientes!$B$4:$B$39,Clientes!$C$4:$C$39),Cadastros!$L$6:$L$12,Cadastros!$M$6:$M$12)+IF($F324="Bernardino Furlan",AY324/2751.92,IF($F324="Mauro José Salanti",AY324/2751.92,AY324/3356)),F324&lt;&gt;0,SUM(L324,Q324,V324,AA324,AF324,AK324,AP324,AU324)))*(1-0.03),_xlfn.IFS(AW324="SIM",SUM(L324,Q324,V324,AA324,AF324,AK324,AP324,AU324)+AX324/_xlfn.XLOOKUP(_xlfn.XLOOKUP($F324,Clientes!$B$4:$B$39,Clientes!$C$4:$C$39),Cadastros!$L$6:$L$12,Cadastros!$M$6:$M$12)+IF($F324="Bernardino Furlan",AY324/2751.92,IF($F324="Mauro José Salanti",AY324/2751.92,AY324/3356)),F324&lt;&gt;0,SUM(L324,Q324,V324,AA324,AF324,AK324,AP324,AU324))))</f>
        <v xml:space="preserve"> </v>
      </c>
      <c r="BE324" s="120"/>
      <c r="BF324" s="120"/>
      <c r="BG324" s="120"/>
    </row>
    <row r="325" spans="1:59" s="3" customFormat="1" x14ac:dyDescent="0.3">
      <c r="A325" s="15" t="str">
        <f t="shared" si="52"/>
        <v/>
      </c>
      <c r="B325" s="25"/>
      <c r="C325" s="26"/>
      <c r="D325" s="279"/>
      <c r="E325" s="27"/>
      <c r="F325" s="28"/>
      <c r="G325" s="27"/>
      <c r="H325" s="28"/>
      <c r="I325" s="28"/>
      <c r="J325" s="255" t="str">
        <f>IF(H325="","",(_xlfn.XLOOKUP(H325,Cadastros!$D$6:$D$90,Cadastros!$E$6:$E$90))*(1-_xlfn.XLOOKUP(_xlfn.XLOOKUP($F325,Clientes!$B$4:$B$39,Clientes!$C$4:$C$39),Cadastros!$L$6:$L$12,Cadastros!$N$6:$N$12)))</f>
        <v/>
      </c>
      <c r="K325" s="168" t="str">
        <f t="shared" si="53"/>
        <v/>
      </c>
      <c r="L325" s="168" t="str">
        <f>IFERROR(K325/_xlfn.XLOOKUP(_xlfn.XLOOKUP($F325,Clientes!$B$4:$B$39,Clientes!$C$4:$C$39),Cadastros!$L$6:$L$12,Cadastros!$M$6:$M$12)," ")</f>
        <v xml:space="preserve"> </v>
      </c>
      <c r="M325" s="28"/>
      <c r="N325" s="28"/>
      <c r="O325" s="255" t="str">
        <f>IF(M325="","",(_xlfn.XLOOKUP(M325,Cadastros!$D$6:$D$90,Cadastros!$E$6:$E$90))*(1-_xlfn.XLOOKUP(_xlfn.XLOOKUP($F325,Clientes!$B$4:$B$39,Clientes!$C$4:$C$39),Cadastros!$L$6:$L$12,Cadastros!$N$6:$N$12)))</f>
        <v/>
      </c>
      <c r="P325" s="168" t="str">
        <f t="shared" si="54"/>
        <v/>
      </c>
      <c r="Q325" s="168" t="str">
        <f>IFERROR(P325/_xlfn.XLOOKUP(_xlfn.XLOOKUP($F325,Clientes!$B$4:$B$39,Clientes!$C$4:$C$39),Cadastros!$L$6:$L$12,Cadastros!$M$6:$M$12)," ")</f>
        <v xml:space="preserve"> </v>
      </c>
      <c r="R325" s="28"/>
      <c r="S325" s="28"/>
      <c r="T325" s="255" t="str">
        <f>IF(R325="","",(_xlfn.XLOOKUP(R325,Cadastros!$D$6:$D$90,Cadastros!$E$6:$E$90))*(1-_xlfn.XLOOKUP(_xlfn.XLOOKUP($F325,Clientes!$B$4:$B$39,Clientes!$C$4:$C$39),Cadastros!$L$6:$L$12,Cadastros!$N$6:$N$12)))</f>
        <v/>
      </c>
      <c r="U325" s="168" t="str">
        <f t="shared" si="55"/>
        <v/>
      </c>
      <c r="V325" s="168" t="str">
        <f>IFERROR(U325/_xlfn.XLOOKUP(_xlfn.XLOOKUP($F325,Clientes!$B$4:$B$39,Clientes!$C$4:$C$39),Cadastros!$L$6:$L$12,Cadastros!$M$6:$M$12)," ")</f>
        <v xml:space="preserve"> </v>
      </c>
      <c r="W325" s="28"/>
      <c r="X325" s="28"/>
      <c r="Y325" s="255" t="str">
        <f>IF(W325="","",(_xlfn.XLOOKUP(W325,Cadastros!$D$6:$D$90,Cadastros!$E$6:$E$90))*(1-_xlfn.XLOOKUP(_xlfn.XLOOKUP($F325,Clientes!$B$4:$B$39,Clientes!$C$4:$C$39),Cadastros!$L$6:$L$12,Cadastros!$N$6:$N$12)))</f>
        <v/>
      </c>
      <c r="Z325" s="168" t="str">
        <f t="shared" si="56"/>
        <v/>
      </c>
      <c r="AA325" s="168" t="str">
        <f>IFERROR(Z325/_xlfn.XLOOKUP(_xlfn.XLOOKUP($F325,Clientes!$B$4:$B$39,Clientes!$C$4:$C$39),Cadastros!$L$6:$L$12,Cadastros!$M$6:$M$12)," ")</f>
        <v xml:space="preserve"> </v>
      </c>
      <c r="AB325" s="28"/>
      <c r="AC325" s="28"/>
      <c r="AD325" s="20" t="str">
        <f>IF(AB325="","",IF($F325="Bernardino Furlan",_xlfn.XLOOKUP(AB325,Cadastros!$G$6:$G$90,Cadastros!$H$6:$H$90)*(1-0.18),IF($F325="Mauro José Salanti",_xlfn.XLOOKUP(AB325,Cadastros!$G$6:$G$90,Cadastros!$H$6:$H$90)*(1-0.18),_xlfn.XLOOKUP(AB325,Cadastros!$G$6:$G$90,Cadastros!$H$6:$H$90))))</f>
        <v/>
      </c>
      <c r="AE325" s="168" t="str">
        <f t="shared" si="57"/>
        <v/>
      </c>
      <c r="AF325" s="168" t="str">
        <f t="shared" si="58"/>
        <v/>
      </c>
      <c r="AG325" s="28"/>
      <c r="AH325" s="28"/>
      <c r="AI325" s="20" t="str">
        <f>IF(AG325="","",IF($F325="Bernardino Furlan",_xlfn.XLOOKUP(AG325,Cadastros!$G$6:$G$90,Cadastros!$H$6:$H$90)*(1-0.18),IF($F325="Mauro José Salanti",_xlfn.XLOOKUP(AG325,Cadastros!$G$6:$G$90,Cadastros!$H$6:$H$90)*(1-0.18),_xlfn.XLOOKUP(AG325,Cadastros!$G$6:$G$90,Cadastros!$H$6:$H$90))))</f>
        <v/>
      </c>
      <c r="AJ325" s="168" t="str">
        <f t="shared" si="59"/>
        <v/>
      </c>
      <c r="AK325" s="168" t="str">
        <f t="shared" si="60"/>
        <v/>
      </c>
      <c r="AL325" s="28"/>
      <c r="AM325" s="28"/>
      <c r="AN325" s="20" t="str">
        <f>IF(AL325="","",IF($F325="Bernardino Furlan",_xlfn.XLOOKUP(AL325,Cadastros!$G$6:$G$90,Cadastros!$H$6:$H$90)*(1-0.18),IF($F325="Mauro José Salanti",_xlfn.XLOOKUP(AL325,Cadastros!$G$6:$G$90,Cadastros!$H$6:$H$90)*(1-0.18),_xlfn.XLOOKUP(AL325,Cadastros!$G$6:$G$90,Cadastros!$H$6:$H$90))))</f>
        <v/>
      </c>
      <c r="AO325" s="168" t="str">
        <f t="shared" si="61"/>
        <v/>
      </c>
      <c r="AP325" s="168" t="str">
        <f t="shared" si="62"/>
        <v/>
      </c>
      <c r="AQ325" s="28"/>
      <c r="AR325" s="28"/>
      <c r="AS325" s="20" t="str">
        <f>IF(AQ325="","",IF($F325="Bernardino Furlan",_xlfn.XLOOKUP(AQ325,Cadastros!$G$6:$G$90,Cadastros!$H$6:$H$90)*(1-0.18),IF($F325="Mauro José Salanti",_xlfn.XLOOKUP(AQ325,Cadastros!$G$6:$G$90,Cadastros!$H$6:$H$90)*(1-0.18),_xlfn.XLOOKUP(AQ325,Cadastros!$G$6:$G$90,Cadastros!$H$6:$H$90))))</f>
        <v/>
      </c>
      <c r="AT325" s="168" t="str">
        <f t="shared" si="63"/>
        <v/>
      </c>
      <c r="AU325" s="168" t="str">
        <f t="shared" si="64"/>
        <v/>
      </c>
      <c r="AV325" s="227"/>
      <c r="AW325" s="30"/>
      <c r="AX325" s="267"/>
      <c r="AY325" s="267"/>
      <c r="AZ325" s="29"/>
      <c r="BA325" s="30"/>
      <c r="BB325" s="23" t="str" cm="1">
        <f t="array" ref="BB325">_xlfn.IFS(AW325="SIM",SUM(K325,P325,U325,Z325,AE325,AJ325,AO325,AT325,AX325,AY325),F325&lt;&gt;"",SUM(K325,P325,U325,Z325,AE325,AJ325,,AO325,AT325),F325="","")</f>
        <v/>
      </c>
      <c r="BC325" s="211" t="str" cm="1">
        <f t="array" ref="BC325">_xlfn.IFS(E325="","",G325&lt;=E325,BB325*(1-0.03),G325&lt;(E325+8),BB325,AZ325="Boleto",BB325*(1+0.001)^DATEDIF(E325,G325,"D"),AZ325="Cheque",BB325,AZ325="Dinheiro","Alterar forma pgto")</f>
        <v/>
      </c>
      <c r="BD325" s="276" t="str" cm="1">
        <f t="array" ref="BD325">IF(F325=0," ",IF(BC325&lt;BB325,(_xlfn.IFS(AW325="SIM",SUM(L325,Q325,V325,AA325,AF325,AK325,AP325,AU325)+AX325/_xlfn.XLOOKUP(_xlfn.XLOOKUP($F325,Clientes!$B$4:$B$39,Clientes!$C$4:$C$39),Cadastros!$L$6:$L$12,Cadastros!$M$6:$M$12)+IF($F325="Bernardino Furlan",AY325/2751.92,IF($F325="Mauro José Salanti",AY325/2751.92,AY325/3356)),F325&lt;&gt;0,SUM(L325,Q325,V325,AA325,AF325,AK325,AP325,AU325)))*(1-0.03),_xlfn.IFS(AW325="SIM",SUM(L325,Q325,V325,AA325,AF325,AK325,AP325,AU325)+AX325/_xlfn.XLOOKUP(_xlfn.XLOOKUP($F325,Clientes!$B$4:$B$39,Clientes!$C$4:$C$39),Cadastros!$L$6:$L$12,Cadastros!$M$6:$M$12)+IF($F325="Bernardino Furlan",AY325/2751.92,IF($F325="Mauro José Salanti",AY325/2751.92,AY325/3356)),F325&lt;&gt;0,SUM(L325,Q325,V325,AA325,AF325,AK325,AP325,AU325))))</f>
        <v xml:space="preserve"> </v>
      </c>
      <c r="BE325" s="120"/>
      <c r="BF325" s="120"/>
      <c r="BG325" s="120"/>
    </row>
    <row r="326" spans="1:59" s="3" customFormat="1" x14ac:dyDescent="0.3">
      <c r="A326" s="15" t="str">
        <f t="shared" si="52"/>
        <v/>
      </c>
      <c r="B326" s="25"/>
      <c r="C326" s="26"/>
      <c r="D326" s="279"/>
      <c r="E326" s="27"/>
      <c r="F326" s="28"/>
      <c r="G326" s="27"/>
      <c r="H326" s="28"/>
      <c r="I326" s="28"/>
      <c r="J326" s="255" t="str">
        <f>IF(H326="","",(_xlfn.XLOOKUP(H326,Cadastros!$D$6:$D$90,Cadastros!$E$6:$E$90))*(1-_xlfn.XLOOKUP(_xlfn.XLOOKUP($F326,Clientes!$B$4:$B$39,Clientes!$C$4:$C$39),Cadastros!$L$6:$L$12,Cadastros!$N$6:$N$12)))</f>
        <v/>
      </c>
      <c r="K326" s="168" t="str">
        <f t="shared" si="53"/>
        <v/>
      </c>
      <c r="L326" s="168" t="str">
        <f>IFERROR(K326/_xlfn.XLOOKUP(_xlfn.XLOOKUP($F326,Clientes!$B$4:$B$39,Clientes!$C$4:$C$39),Cadastros!$L$6:$L$12,Cadastros!$M$6:$M$12)," ")</f>
        <v xml:space="preserve"> </v>
      </c>
      <c r="M326" s="28"/>
      <c r="N326" s="28"/>
      <c r="O326" s="255" t="str">
        <f>IF(M326="","",(_xlfn.XLOOKUP(M326,Cadastros!$D$6:$D$90,Cadastros!$E$6:$E$90))*(1-_xlfn.XLOOKUP(_xlfn.XLOOKUP($F326,Clientes!$B$4:$B$39,Clientes!$C$4:$C$39),Cadastros!$L$6:$L$12,Cadastros!$N$6:$N$12)))</f>
        <v/>
      </c>
      <c r="P326" s="168" t="str">
        <f t="shared" si="54"/>
        <v/>
      </c>
      <c r="Q326" s="168" t="str">
        <f>IFERROR(P326/_xlfn.XLOOKUP(_xlfn.XLOOKUP($F326,Clientes!$B$4:$B$39,Clientes!$C$4:$C$39),Cadastros!$L$6:$L$12,Cadastros!$M$6:$M$12)," ")</f>
        <v xml:space="preserve"> </v>
      </c>
      <c r="R326" s="28"/>
      <c r="S326" s="28"/>
      <c r="T326" s="255" t="str">
        <f>IF(R326="","",(_xlfn.XLOOKUP(R326,Cadastros!$D$6:$D$90,Cadastros!$E$6:$E$90))*(1-_xlfn.XLOOKUP(_xlfn.XLOOKUP($F326,Clientes!$B$4:$B$39,Clientes!$C$4:$C$39),Cadastros!$L$6:$L$12,Cadastros!$N$6:$N$12)))</f>
        <v/>
      </c>
      <c r="U326" s="168" t="str">
        <f t="shared" si="55"/>
        <v/>
      </c>
      <c r="V326" s="168" t="str">
        <f>IFERROR(U326/_xlfn.XLOOKUP(_xlfn.XLOOKUP($F326,Clientes!$B$4:$B$39,Clientes!$C$4:$C$39),Cadastros!$L$6:$L$12,Cadastros!$M$6:$M$12)," ")</f>
        <v xml:space="preserve"> </v>
      </c>
      <c r="W326" s="28"/>
      <c r="X326" s="28"/>
      <c r="Y326" s="255" t="str">
        <f>IF(W326="","",(_xlfn.XLOOKUP(W326,Cadastros!$D$6:$D$90,Cadastros!$E$6:$E$90))*(1-_xlfn.XLOOKUP(_xlfn.XLOOKUP($F326,Clientes!$B$4:$B$39,Clientes!$C$4:$C$39),Cadastros!$L$6:$L$12,Cadastros!$N$6:$N$12)))</f>
        <v/>
      </c>
      <c r="Z326" s="168" t="str">
        <f t="shared" si="56"/>
        <v/>
      </c>
      <c r="AA326" s="168" t="str">
        <f>IFERROR(Z326/_xlfn.XLOOKUP(_xlfn.XLOOKUP($F326,Clientes!$B$4:$B$39,Clientes!$C$4:$C$39),Cadastros!$L$6:$L$12,Cadastros!$M$6:$M$12)," ")</f>
        <v xml:space="preserve"> </v>
      </c>
      <c r="AB326" s="28"/>
      <c r="AC326" s="28"/>
      <c r="AD326" s="20" t="str">
        <f>IF(AB326="","",IF($F326="Bernardino Furlan",_xlfn.XLOOKUP(AB326,Cadastros!$G$6:$G$90,Cadastros!$H$6:$H$90)*(1-0.18),IF($F326="Mauro José Salanti",_xlfn.XLOOKUP(AB326,Cadastros!$G$6:$G$90,Cadastros!$H$6:$H$90)*(1-0.18),_xlfn.XLOOKUP(AB326,Cadastros!$G$6:$G$90,Cadastros!$H$6:$H$90))))</f>
        <v/>
      </c>
      <c r="AE326" s="168" t="str">
        <f t="shared" si="57"/>
        <v/>
      </c>
      <c r="AF326" s="168" t="str">
        <f t="shared" si="58"/>
        <v/>
      </c>
      <c r="AG326" s="28"/>
      <c r="AH326" s="28"/>
      <c r="AI326" s="20" t="str">
        <f>IF(AG326="","",IF($F326="Bernardino Furlan",_xlfn.XLOOKUP(AG326,Cadastros!$G$6:$G$90,Cadastros!$H$6:$H$90)*(1-0.18),IF($F326="Mauro José Salanti",_xlfn.XLOOKUP(AG326,Cadastros!$G$6:$G$90,Cadastros!$H$6:$H$90)*(1-0.18),_xlfn.XLOOKUP(AG326,Cadastros!$G$6:$G$90,Cadastros!$H$6:$H$90))))</f>
        <v/>
      </c>
      <c r="AJ326" s="168" t="str">
        <f t="shared" si="59"/>
        <v/>
      </c>
      <c r="AK326" s="168" t="str">
        <f t="shared" si="60"/>
        <v/>
      </c>
      <c r="AL326" s="28"/>
      <c r="AM326" s="28"/>
      <c r="AN326" s="20" t="str">
        <f>IF(AL326="","",IF($F326="Bernardino Furlan",_xlfn.XLOOKUP(AL326,Cadastros!$G$6:$G$90,Cadastros!$H$6:$H$90)*(1-0.18),IF($F326="Mauro José Salanti",_xlfn.XLOOKUP(AL326,Cadastros!$G$6:$G$90,Cadastros!$H$6:$H$90)*(1-0.18),_xlfn.XLOOKUP(AL326,Cadastros!$G$6:$G$90,Cadastros!$H$6:$H$90))))</f>
        <v/>
      </c>
      <c r="AO326" s="168" t="str">
        <f t="shared" si="61"/>
        <v/>
      </c>
      <c r="AP326" s="168" t="str">
        <f t="shared" si="62"/>
        <v/>
      </c>
      <c r="AQ326" s="28"/>
      <c r="AR326" s="28"/>
      <c r="AS326" s="20" t="str">
        <f>IF(AQ326="","",IF($F326="Bernardino Furlan",_xlfn.XLOOKUP(AQ326,Cadastros!$G$6:$G$90,Cadastros!$H$6:$H$90)*(1-0.18),IF($F326="Mauro José Salanti",_xlfn.XLOOKUP(AQ326,Cadastros!$G$6:$G$90,Cadastros!$H$6:$H$90)*(1-0.18),_xlfn.XLOOKUP(AQ326,Cadastros!$G$6:$G$90,Cadastros!$H$6:$H$90))))</f>
        <v/>
      </c>
      <c r="AT326" s="168" t="str">
        <f t="shared" si="63"/>
        <v/>
      </c>
      <c r="AU326" s="168" t="str">
        <f t="shared" si="64"/>
        <v/>
      </c>
      <c r="AV326" s="227"/>
      <c r="AW326" s="30"/>
      <c r="AX326" s="267"/>
      <c r="AY326" s="267"/>
      <c r="AZ326" s="29"/>
      <c r="BA326" s="30"/>
      <c r="BB326" s="23" t="str" cm="1">
        <f t="array" ref="BB326">_xlfn.IFS(AW326="SIM",SUM(K326,P326,U326,Z326,AE326,AJ326,AO326,AT326,AX326,AY326),F326&lt;&gt;"",SUM(K326,P326,U326,Z326,AE326,AJ326,,AO326,AT326),F326="","")</f>
        <v/>
      </c>
      <c r="BC326" s="211" t="str" cm="1">
        <f t="array" ref="BC326">_xlfn.IFS(E326="","",G326&lt;=E326,BB326*(1-0.03),G326&lt;(E326+8),BB326,AZ326="Boleto",BB326*(1+0.001)^DATEDIF(E326,G326,"D"),AZ326="Cheque",BB326,AZ326="Dinheiro","Alterar forma pgto")</f>
        <v/>
      </c>
      <c r="BD326" s="276" t="str" cm="1">
        <f t="array" ref="BD326">IF(F326=0," ",IF(BC326&lt;BB326,(_xlfn.IFS(AW326="SIM",SUM(L326,Q326,V326,AA326,AF326,AK326,AP326,AU326)+AX326/_xlfn.XLOOKUP(_xlfn.XLOOKUP($F326,Clientes!$B$4:$B$39,Clientes!$C$4:$C$39),Cadastros!$L$6:$L$12,Cadastros!$M$6:$M$12)+IF($F326="Bernardino Furlan",AY326/2751.92,IF($F326="Mauro José Salanti",AY326/2751.92,AY326/3356)),F326&lt;&gt;0,SUM(L326,Q326,V326,AA326,AF326,AK326,AP326,AU326)))*(1-0.03),_xlfn.IFS(AW326="SIM",SUM(L326,Q326,V326,AA326,AF326,AK326,AP326,AU326)+AX326/_xlfn.XLOOKUP(_xlfn.XLOOKUP($F326,Clientes!$B$4:$B$39,Clientes!$C$4:$C$39),Cadastros!$L$6:$L$12,Cadastros!$M$6:$M$12)+IF($F326="Bernardino Furlan",AY326/2751.92,IF($F326="Mauro José Salanti",AY326/2751.92,AY326/3356)),F326&lt;&gt;0,SUM(L326,Q326,V326,AA326,AF326,AK326,AP326,AU326))))</f>
        <v xml:space="preserve"> </v>
      </c>
      <c r="BE326" s="120"/>
      <c r="BF326" s="120"/>
      <c r="BG326" s="120"/>
    </row>
    <row r="327" spans="1:59" s="3" customFormat="1" x14ac:dyDescent="0.3">
      <c r="A327" s="15" t="str">
        <f t="shared" si="52"/>
        <v/>
      </c>
      <c r="B327" s="25"/>
      <c r="C327" s="26"/>
      <c r="D327" s="279"/>
      <c r="E327" s="27"/>
      <c r="F327" s="28"/>
      <c r="G327" s="27"/>
      <c r="H327" s="28"/>
      <c r="I327" s="28"/>
      <c r="J327" s="255" t="str">
        <f>IF(H327="","",(_xlfn.XLOOKUP(H327,Cadastros!$D$6:$D$90,Cadastros!$E$6:$E$90))*(1-_xlfn.XLOOKUP(_xlfn.XLOOKUP($F327,Clientes!$B$4:$B$39,Clientes!$C$4:$C$39),Cadastros!$L$6:$L$12,Cadastros!$N$6:$N$12)))</f>
        <v/>
      </c>
      <c r="K327" s="168" t="str">
        <f t="shared" si="53"/>
        <v/>
      </c>
      <c r="L327" s="168" t="str">
        <f>IFERROR(K327/_xlfn.XLOOKUP(_xlfn.XLOOKUP($F327,Clientes!$B$4:$B$39,Clientes!$C$4:$C$39),Cadastros!$L$6:$L$12,Cadastros!$M$6:$M$12)," ")</f>
        <v xml:space="preserve"> </v>
      </c>
      <c r="M327" s="28"/>
      <c r="N327" s="28"/>
      <c r="O327" s="255" t="str">
        <f>IF(M327="","",(_xlfn.XLOOKUP(M327,Cadastros!$D$6:$D$90,Cadastros!$E$6:$E$90))*(1-_xlfn.XLOOKUP(_xlfn.XLOOKUP($F327,Clientes!$B$4:$B$39,Clientes!$C$4:$C$39),Cadastros!$L$6:$L$12,Cadastros!$N$6:$N$12)))</f>
        <v/>
      </c>
      <c r="P327" s="168" t="str">
        <f t="shared" si="54"/>
        <v/>
      </c>
      <c r="Q327" s="168" t="str">
        <f>IFERROR(P327/_xlfn.XLOOKUP(_xlfn.XLOOKUP($F327,Clientes!$B$4:$B$39,Clientes!$C$4:$C$39),Cadastros!$L$6:$L$12,Cadastros!$M$6:$M$12)," ")</f>
        <v xml:space="preserve"> </v>
      </c>
      <c r="R327" s="28"/>
      <c r="S327" s="28"/>
      <c r="T327" s="255" t="str">
        <f>IF(R327="","",(_xlfn.XLOOKUP(R327,Cadastros!$D$6:$D$90,Cadastros!$E$6:$E$90))*(1-_xlfn.XLOOKUP(_xlfn.XLOOKUP($F327,Clientes!$B$4:$B$39,Clientes!$C$4:$C$39),Cadastros!$L$6:$L$12,Cadastros!$N$6:$N$12)))</f>
        <v/>
      </c>
      <c r="U327" s="168" t="str">
        <f t="shared" si="55"/>
        <v/>
      </c>
      <c r="V327" s="168" t="str">
        <f>IFERROR(U327/_xlfn.XLOOKUP(_xlfn.XLOOKUP($F327,Clientes!$B$4:$B$39,Clientes!$C$4:$C$39),Cadastros!$L$6:$L$12,Cadastros!$M$6:$M$12)," ")</f>
        <v xml:space="preserve"> </v>
      </c>
      <c r="W327" s="28"/>
      <c r="X327" s="28"/>
      <c r="Y327" s="255" t="str">
        <f>IF(W327="","",(_xlfn.XLOOKUP(W327,Cadastros!$D$6:$D$90,Cadastros!$E$6:$E$90))*(1-_xlfn.XLOOKUP(_xlfn.XLOOKUP($F327,Clientes!$B$4:$B$39,Clientes!$C$4:$C$39),Cadastros!$L$6:$L$12,Cadastros!$N$6:$N$12)))</f>
        <v/>
      </c>
      <c r="Z327" s="168" t="str">
        <f t="shared" si="56"/>
        <v/>
      </c>
      <c r="AA327" s="168" t="str">
        <f>IFERROR(Z327/_xlfn.XLOOKUP(_xlfn.XLOOKUP($F327,Clientes!$B$4:$B$39,Clientes!$C$4:$C$39),Cadastros!$L$6:$L$12,Cadastros!$M$6:$M$12)," ")</f>
        <v xml:space="preserve"> </v>
      </c>
      <c r="AB327" s="28"/>
      <c r="AC327" s="28"/>
      <c r="AD327" s="20" t="str">
        <f>IF(AB327="","",IF($F327="Bernardino Furlan",_xlfn.XLOOKUP(AB327,Cadastros!$G$6:$G$90,Cadastros!$H$6:$H$90)*(1-0.18),IF($F327="Mauro José Salanti",_xlfn.XLOOKUP(AB327,Cadastros!$G$6:$G$90,Cadastros!$H$6:$H$90)*(1-0.18),_xlfn.XLOOKUP(AB327,Cadastros!$G$6:$G$90,Cadastros!$H$6:$H$90))))</f>
        <v/>
      </c>
      <c r="AE327" s="168" t="str">
        <f t="shared" si="57"/>
        <v/>
      </c>
      <c r="AF327" s="168" t="str">
        <f t="shared" si="58"/>
        <v/>
      </c>
      <c r="AG327" s="28"/>
      <c r="AH327" s="28"/>
      <c r="AI327" s="20" t="str">
        <f>IF(AG327="","",IF($F327="Bernardino Furlan",_xlfn.XLOOKUP(AG327,Cadastros!$G$6:$G$90,Cadastros!$H$6:$H$90)*(1-0.18),IF($F327="Mauro José Salanti",_xlfn.XLOOKUP(AG327,Cadastros!$G$6:$G$90,Cadastros!$H$6:$H$90)*(1-0.18),_xlfn.XLOOKUP(AG327,Cadastros!$G$6:$G$90,Cadastros!$H$6:$H$90))))</f>
        <v/>
      </c>
      <c r="AJ327" s="168" t="str">
        <f t="shared" si="59"/>
        <v/>
      </c>
      <c r="AK327" s="168" t="str">
        <f t="shared" si="60"/>
        <v/>
      </c>
      <c r="AL327" s="28"/>
      <c r="AM327" s="28"/>
      <c r="AN327" s="20" t="str">
        <f>IF(AL327="","",IF($F327="Bernardino Furlan",_xlfn.XLOOKUP(AL327,Cadastros!$G$6:$G$90,Cadastros!$H$6:$H$90)*(1-0.18),IF($F327="Mauro José Salanti",_xlfn.XLOOKUP(AL327,Cadastros!$G$6:$G$90,Cadastros!$H$6:$H$90)*(1-0.18),_xlfn.XLOOKUP(AL327,Cadastros!$G$6:$G$90,Cadastros!$H$6:$H$90))))</f>
        <v/>
      </c>
      <c r="AO327" s="168" t="str">
        <f t="shared" si="61"/>
        <v/>
      </c>
      <c r="AP327" s="168" t="str">
        <f t="shared" si="62"/>
        <v/>
      </c>
      <c r="AQ327" s="28"/>
      <c r="AR327" s="28"/>
      <c r="AS327" s="20" t="str">
        <f>IF(AQ327="","",IF($F327="Bernardino Furlan",_xlfn.XLOOKUP(AQ327,Cadastros!$G$6:$G$90,Cadastros!$H$6:$H$90)*(1-0.18),IF($F327="Mauro José Salanti",_xlfn.XLOOKUP(AQ327,Cadastros!$G$6:$G$90,Cadastros!$H$6:$H$90)*(1-0.18),_xlfn.XLOOKUP(AQ327,Cadastros!$G$6:$G$90,Cadastros!$H$6:$H$90))))</f>
        <v/>
      </c>
      <c r="AT327" s="168" t="str">
        <f t="shared" si="63"/>
        <v/>
      </c>
      <c r="AU327" s="168" t="str">
        <f t="shared" si="64"/>
        <v/>
      </c>
      <c r="AV327" s="227"/>
      <c r="AW327" s="30"/>
      <c r="AX327" s="267"/>
      <c r="AY327" s="267"/>
      <c r="AZ327" s="29"/>
      <c r="BA327" s="30"/>
      <c r="BB327" s="23" t="str" cm="1">
        <f t="array" ref="BB327">_xlfn.IFS(AW327="SIM",SUM(K327,P327,U327,Z327,AE327,AJ327,AO327,AT327,AX327,AY327),F327&lt;&gt;"",SUM(K327,P327,U327,Z327,AE327,AJ327,,AO327,AT327),F327="","")</f>
        <v/>
      </c>
      <c r="BC327" s="211" t="str" cm="1">
        <f t="array" ref="BC327">_xlfn.IFS(E327="","",G327&lt;=E327,BB327*(1-0.03),G327&lt;(E327+8),BB327,AZ327="Boleto",BB327*(1+0.001)^DATEDIF(E327,G327,"D"),AZ327="Cheque",BB327,AZ327="Dinheiro","Alterar forma pgto")</f>
        <v/>
      </c>
      <c r="BD327" s="276" t="str" cm="1">
        <f t="array" ref="BD327">IF(F327=0," ",IF(BC327&lt;BB327,(_xlfn.IFS(AW327="SIM",SUM(L327,Q327,V327,AA327,AF327,AK327,AP327,AU327)+AX327/_xlfn.XLOOKUP(_xlfn.XLOOKUP($F327,Clientes!$B$4:$B$39,Clientes!$C$4:$C$39),Cadastros!$L$6:$L$12,Cadastros!$M$6:$M$12)+IF($F327="Bernardino Furlan",AY327/2751.92,IF($F327="Mauro José Salanti",AY327/2751.92,AY327/3356)),F327&lt;&gt;0,SUM(L327,Q327,V327,AA327,AF327,AK327,AP327,AU327)))*(1-0.03),_xlfn.IFS(AW327="SIM",SUM(L327,Q327,V327,AA327,AF327,AK327,AP327,AU327)+AX327/_xlfn.XLOOKUP(_xlfn.XLOOKUP($F327,Clientes!$B$4:$B$39,Clientes!$C$4:$C$39),Cadastros!$L$6:$L$12,Cadastros!$M$6:$M$12)+IF($F327="Bernardino Furlan",AY327/2751.92,IF($F327="Mauro José Salanti",AY327/2751.92,AY327/3356)),F327&lt;&gt;0,SUM(L327,Q327,V327,AA327,AF327,AK327,AP327,AU327))))</f>
        <v xml:space="preserve"> </v>
      </c>
      <c r="BE327" s="120"/>
      <c r="BF327" s="120"/>
      <c r="BG327" s="120"/>
    </row>
    <row r="328" spans="1:59" s="3" customFormat="1" x14ac:dyDescent="0.3">
      <c r="A328" s="15" t="str">
        <f t="shared" ref="A328:A391" si="65">IF(C328="orçamento",25%,IF(C328="aprovado",50%,IF(C328="entregue",100%,IF(C328="não aceito",0%,""))))</f>
        <v/>
      </c>
      <c r="B328" s="25"/>
      <c r="C328" s="26"/>
      <c r="D328" s="279"/>
      <c r="E328" s="27"/>
      <c r="F328" s="28"/>
      <c r="G328" s="27"/>
      <c r="H328" s="28"/>
      <c r="I328" s="28"/>
      <c r="J328" s="255" t="str">
        <f>IF(H328="","",(_xlfn.XLOOKUP(H328,Cadastros!$D$6:$D$90,Cadastros!$E$6:$E$90))*(1-_xlfn.XLOOKUP(_xlfn.XLOOKUP($F328,Clientes!$B$4:$B$39,Clientes!$C$4:$C$39),Cadastros!$L$6:$L$12,Cadastros!$N$6:$N$12)))</f>
        <v/>
      </c>
      <c r="K328" s="168" t="str">
        <f t="shared" ref="K328:K391" si="66">IF(J328="","",I328*J328)</f>
        <v/>
      </c>
      <c r="L328" s="168" t="str">
        <f>IFERROR(K328/_xlfn.XLOOKUP(_xlfn.XLOOKUP($F328,Clientes!$B$4:$B$39,Clientes!$C$4:$C$39),Cadastros!$L$6:$L$12,Cadastros!$M$6:$M$12)," ")</f>
        <v xml:space="preserve"> </v>
      </c>
      <c r="M328" s="28"/>
      <c r="N328" s="28"/>
      <c r="O328" s="255" t="str">
        <f>IF(M328="","",(_xlfn.XLOOKUP(M328,Cadastros!$D$6:$D$90,Cadastros!$E$6:$E$90))*(1-_xlfn.XLOOKUP(_xlfn.XLOOKUP($F328,Clientes!$B$4:$B$39,Clientes!$C$4:$C$39),Cadastros!$L$6:$L$12,Cadastros!$N$6:$N$12)))</f>
        <v/>
      </c>
      <c r="P328" s="168" t="str">
        <f t="shared" ref="P328:P391" si="67">IF(O328="","",N328*O328)</f>
        <v/>
      </c>
      <c r="Q328" s="168" t="str">
        <f>IFERROR(P328/_xlfn.XLOOKUP(_xlfn.XLOOKUP($F328,Clientes!$B$4:$B$39,Clientes!$C$4:$C$39),Cadastros!$L$6:$L$12,Cadastros!$M$6:$M$12)," ")</f>
        <v xml:space="preserve"> </v>
      </c>
      <c r="R328" s="28"/>
      <c r="S328" s="28"/>
      <c r="T328" s="255" t="str">
        <f>IF(R328="","",(_xlfn.XLOOKUP(R328,Cadastros!$D$6:$D$90,Cadastros!$E$6:$E$90))*(1-_xlfn.XLOOKUP(_xlfn.XLOOKUP($F328,Clientes!$B$4:$B$39,Clientes!$C$4:$C$39),Cadastros!$L$6:$L$12,Cadastros!$N$6:$N$12)))</f>
        <v/>
      </c>
      <c r="U328" s="168" t="str">
        <f t="shared" ref="U328:U391" si="68">IF(T328="","",S328*T328)</f>
        <v/>
      </c>
      <c r="V328" s="168" t="str">
        <f>IFERROR(U328/_xlfn.XLOOKUP(_xlfn.XLOOKUP($F328,Clientes!$B$4:$B$39,Clientes!$C$4:$C$39),Cadastros!$L$6:$L$12,Cadastros!$M$6:$M$12)," ")</f>
        <v xml:space="preserve"> </v>
      </c>
      <c r="W328" s="28"/>
      <c r="X328" s="28"/>
      <c r="Y328" s="255" t="str">
        <f>IF(W328="","",(_xlfn.XLOOKUP(W328,Cadastros!$D$6:$D$90,Cadastros!$E$6:$E$90))*(1-_xlfn.XLOOKUP(_xlfn.XLOOKUP($F328,Clientes!$B$4:$B$39,Clientes!$C$4:$C$39),Cadastros!$L$6:$L$12,Cadastros!$N$6:$N$12)))</f>
        <v/>
      </c>
      <c r="Z328" s="168" t="str">
        <f t="shared" ref="Z328:Z391" si="69">IF(Y328="","",X328*Y328)</f>
        <v/>
      </c>
      <c r="AA328" s="168" t="str">
        <f>IFERROR(Z328/_xlfn.XLOOKUP(_xlfn.XLOOKUP($F328,Clientes!$B$4:$B$39,Clientes!$C$4:$C$39),Cadastros!$L$6:$L$12,Cadastros!$M$6:$M$12)," ")</f>
        <v xml:space="preserve"> </v>
      </c>
      <c r="AB328" s="28"/>
      <c r="AC328" s="28"/>
      <c r="AD328" s="20" t="str">
        <f>IF(AB328="","",IF($F328="Bernardino Furlan",_xlfn.XLOOKUP(AB328,Cadastros!$G$6:$G$90,Cadastros!$H$6:$H$90)*(1-0.18),IF($F328="Mauro José Salanti",_xlfn.XLOOKUP(AB328,Cadastros!$G$6:$G$90,Cadastros!$H$6:$H$90)*(1-0.18),_xlfn.XLOOKUP(AB328,Cadastros!$G$6:$G$90,Cadastros!$H$6:$H$90))))</f>
        <v/>
      </c>
      <c r="AE328" s="168" t="str">
        <f t="shared" ref="AE328:AE391" si="70">IF(AD328="","",AC328*AD328)</f>
        <v/>
      </c>
      <c r="AF328" s="168" t="str">
        <f t="shared" ref="AF328:AF391" si="71">IFERROR(IF($F328="Bernardino Furlan",AE328/2751.92,IF($F328="Mauro José Salanti",AE328/2751.92,AE328/3356)),"")</f>
        <v/>
      </c>
      <c r="AG328" s="28"/>
      <c r="AH328" s="28"/>
      <c r="AI328" s="20" t="str">
        <f>IF(AG328="","",IF($F328="Bernardino Furlan",_xlfn.XLOOKUP(AG328,Cadastros!$G$6:$G$90,Cadastros!$H$6:$H$90)*(1-0.18),IF($F328="Mauro José Salanti",_xlfn.XLOOKUP(AG328,Cadastros!$G$6:$G$90,Cadastros!$H$6:$H$90)*(1-0.18),_xlfn.XLOOKUP(AG328,Cadastros!$G$6:$G$90,Cadastros!$H$6:$H$90))))</f>
        <v/>
      </c>
      <c r="AJ328" s="168" t="str">
        <f t="shared" ref="AJ328:AJ391" si="72">IF(AI328="","",AH328*AI328)</f>
        <v/>
      </c>
      <c r="AK328" s="168" t="str">
        <f t="shared" ref="AK328:AK391" si="73">IFERROR(IF($F328="Bernardino Furlan",AJ328/2751.92,IF($F328="Mauro José Salanti",AJ328/2751.92,AJ328/3356)),"")</f>
        <v/>
      </c>
      <c r="AL328" s="28"/>
      <c r="AM328" s="28"/>
      <c r="AN328" s="20" t="str">
        <f>IF(AL328="","",IF($F328="Bernardino Furlan",_xlfn.XLOOKUP(AL328,Cadastros!$G$6:$G$90,Cadastros!$H$6:$H$90)*(1-0.18),IF($F328="Mauro José Salanti",_xlfn.XLOOKUP(AL328,Cadastros!$G$6:$G$90,Cadastros!$H$6:$H$90)*(1-0.18),_xlfn.XLOOKUP(AL328,Cadastros!$G$6:$G$90,Cadastros!$H$6:$H$90))))</f>
        <v/>
      </c>
      <c r="AO328" s="168" t="str">
        <f t="shared" ref="AO328:AO391" si="74">IF(AN328="","",AM328*AN328)</f>
        <v/>
      </c>
      <c r="AP328" s="168" t="str">
        <f t="shared" ref="AP328:AP391" si="75">IFERROR(IF($F328="Bernardino Furlan",AO328/2751.92,IF($F328="Mauro José Salanti",AO328/2751.92,AO328/3356)),"")</f>
        <v/>
      </c>
      <c r="AQ328" s="28"/>
      <c r="AR328" s="28"/>
      <c r="AS328" s="20" t="str">
        <f>IF(AQ328="","",IF($F328="Bernardino Furlan",_xlfn.XLOOKUP(AQ328,Cadastros!$G$6:$G$90,Cadastros!$H$6:$H$90)*(1-0.18),IF($F328="Mauro José Salanti",_xlfn.XLOOKUP(AQ328,Cadastros!$G$6:$G$90,Cadastros!$H$6:$H$90)*(1-0.18),_xlfn.XLOOKUP(AQ328,Cadastros!$G$6:$G$90,Cadastros!$H$6:$H$90))))</f>
        <v/>
      </c>
      <c r="AT328" s="168" t="str">
        <f t="shared" ref="AT328:AT391" si="76">IF(AS328="","",AR328*AS328)</f>
        <v/>
      </c>
      <c r="AU328" s="168" t="str">
        <f t="shared" ref="AU328:AU391" si="77">IFERROR(IF($F328="Bernardino Furlan",AT328/2751.92,IF($F328="Mauro José Salanti",AT328/2751.92,AT328/3356)),"")</f>
        <v/>
      </c>
      <c r="AV328" s="227"/>
      <c r="AW328" s="30"/>
      <c r="AX328" s="267"/>
      <c r="AY328" s="267"/>
      <c r="AZ328" s="29"/>
      <c r="BA328" s="30"/>
      <c r="BB328" s="23" t="str" cm="1">
        <f t="array" ref="BB328">_xlfn.IFS(AW328="SIM",SUM(K328,P328,U328,Z328,AE328,AJ328,AO328,AT328,AX328,AY328),F328&lt;&gt;"",SUM(K328,P328,U328,Z328,AE328,AJ328,,AO328,AT328),F328="","")</f>
        <v/>
      </c>
      <c r="BC328" s="211" t="str" cm="1">
        <f t="array" ref="BC328">_xlfn.IFS(E328="","",G328&lt;=E328,BB328*(1-0.03),G328&lt;(E328+8),BB328,AZ328="Boleto",BB328*(1+0.001)^DATEDIF(E328,G328,"D"),AZ328="Cheque",BB328,AZ328="Dinheiro","Alterar forma pgto")</f>
        <v/>
      </c>
      <c r="BD328" s="276" t="str" cm="1">
        <f t="array" ref="BD328">IF(F328=0," ",IF(BC328&lt;BB328,(_xlfn.IFS(AW328="SIM",SUM(L328,Q328,V328,AA328,AF328,AK328,AP328,AU328)+AX328/_xlfn.XLOOKUP(_xlfn.XLOOKUP($F328,Clientes!$B$4:$B$39,Clientes!$C$4:$C$39),Cadastros!$L$6:$L$12,Cadastros!$M$6:$M$12)+IF($F328="Bernardino Furlan",AY328/2751.92,IF($F328="Mauro José Salanti",AY328/2751.92,AY328/3356)),F328&lt;&gt;0,SUM(L328,Q328,V328,AA328,AF328,AK328,AP328,AU328)))*(1-0.03),_xlfn.IFS(AW328="SIM",SUM(L328,Q328,V328,AA328,AF328,AK328,AP328,AU328)+AX328/_xlfn.XLOOKUP(_xlfn.XLOOKUP($F328,Clientes!$B$4:$B$39,Clientes!$C$4:$C$39),Cadastros!$L$6:$L$12,Cadastros!$M$6:$M$12)+IF($F328="Bernardino Furlan",AY328/2751.92,IF($F328="Mauro José Salanti",AY328/2751.92,AY328/3356)),F328&lt;&gt;0,SUM(L328,Q328,V328,AA328,AF328,AK328,AP328,AU328))))</f>
        <v xml:space="preserve"> </v>
      </c>
      <c r="BE328" s="120"/>
      <c r="BF328" s="120"/>
      <c r="BG328" s="120"/>
    </row>
    <row r="329" spans="1:59" s="3" customFormat="1" x14ac:dyDescent="0.3">
      <c r="A329" s="15" t="str">
        <f t="shared" si="65"/>
        <v/>
      </c>
      <c r="B329" s="25"/>
      <c r="C329" s="26"/>
      <c r="D329" s="279"/>
      <c r="E329" s="27"/>
      <c r="F329" s="28"/>
      <c r="G329" s="27"/>
      <c r="H329" s="28"/>
      <c r="I329" s="28"/>
      <c r="J329" s="255" t="str">
        <f>IF(H329="","",(_xlfn.XLOOKUP(H329,Cadastros!$D$6:$D$90,Cadastros!$E$6:$E$90))*(1-_xlfn.XLOOKUP(_xlfn.XLOOKUP($F329,Clientes!$B$4:$B$39,Clientes!$C$4:$C$39),Cadastros!$L$6:$L$12,Cadastros!$N$6:$N$12)))</f>
        <v/>
      </c>
      <c r="K329" s="168" t="str">
        <f t="shared" si="66"/>
        <v/>
      </c>
      <c r="L329" s="168" t="str">
        <f>IFERROR(K329/_xlfn.XLOOKUP(_xlfn.XLOOKUP($F329,Clientes!$B$4:$B$39,Clientes!$C$4:$C$39),Cadastros!$L$6:$L$12,Cadastros!$M$6:$M$12)," ")</f>
        <v xml:space="preserve"> </v>
      </c>
      <c r="M329" s="28"/>
      <c r="N329" s="28"/>
      <c r="O329" s="255" t="str">
        <f>IF(M329="","",(_xlfn.XLOOKUP(M329,Cadastros!$D$6:$D$90,Cadastros!$E$6:$E$90))*(1-_xlfn.XLOOKUP(_xlfn.XLOOKUP($F329,Clientes!$B$4:$B$39,Clientes!$C$4:$C$39),Cadastros!$L$6:$L$12,Cadastros!$N$6:$N$12)))</f>
        <v/>
      </c>
      <c r="P329" s="168" t="str">
        <f t="shared" si="67"/>
        <v/>
      </c>
      <c r="Q329" s="168" t="str">
        <f>IFERROR(P329/_xlfn.XLOOKUP(_xlfn.XLOOKUP($F329,Clientes!$B$4:$B$39,Clientes!$C$4:$C$39),Cadastros!$L$6:$L$12,Cadastros!$M$6:$M$12)," ")</f>
        <v xml:space="preserve"> </v>
      </c>
      <c r="R329" s="28"/>
      <c r="S329" s="28"/>
      <c r="T329" s="255" t="str">
        <f>IF(R329="","",(_xlfn.XLOOKUP(R329,Cadastros!$D$6:$D$90,Cadastros!$E$6:$E$90))*(1-_xlfn.XLOOKUP(_xlfn.XLOOKUP($F329,Clientes!$B$4:$B$39,Clientes!$C$4:$C$39),Cadastros!$L$6:$L$12,Cadastros!$N$6:$N$12)))</f>
        <v/>
      </c>
      <c r="U329" s="168" t="str">
        <f t="shared" si="68"/>
        <v/>
      </c>
      <c r="V329" s="168" t="str">
        <f>IFERROR(U329/_xlfn.XLOOKUP(_xlfn.XLOOKUP($F329,Clientes!$B$4:$B$39,Clientes!$C$4:$C$39),Cadastros!$L$6:$L$12,Cadastros!$M$6:$M$12)," ")</f>
        <v xml:space="preserve"> </v>
      </c>
      <c r="W329" s="28"/>
      <c r="X329" s="28"/>
      <c r="Y329" s="255" t="str">
        <f>IF(W329="","",(_xlfn.XLOOKUP(W329,Cadastros!$D$6:$D$90,Cadastros!$E$6:$E$90))*(1-_xlfn.XLOOKUP(_xlfn.XLOOKUP($F329,Clientes!$B$4:$B$39,Clientes!$C$4:$C$39),Cadastros!$L$6:$L$12,Cadastros!$N$6:$N$12)))</f>
        <v/>
      </c>
      <c r="Z329" s="168" t="str">
        <f t="shared" si="69"/>
        <v/>
      </c>
      <c r="AA329" s="168" t="str">
        <f>IFERROR(Z329/_xlfn.XLOOKUP(_xlfn.XLOOKUP($F329,Clientes!$B$4:$B$39,Clientes!$C$4:$C$39),Cadastros!$L$6:$L$12,Cadastros!$M$6:$M$12)," ")</f>
        <v xml:space="preserve"> </v>
      </c>
      <c r="AB329" s="28"/>
      <c r="AC329" s="28"/>
      <c r="AD329" s="20" t="str">
        <f>IF(AB329="","",IF($F329="Bernardino Furlan",_xlfn.XLOOKUP(AB329,Cadastros!$G$6:$G$90,Cadastros!$H$6:$H$90)*(1-0.18),IF($F329="Mauro José Salanti",_xlfn.XLOOKUP(AB329,Cadastros!$G$6:$G$90,Cadastros!$H$6:$H$90)*(1-0.18),_xlfn.XLOOKUP(AB329,Cadastros!$G$6:$G$90,Cadastros!$H$6:$H$90))))</f>
        <v/>
      </c>
      <c r="AE329" s="168" t="str">
        <f t="shared" si="70"/>
        <v/>
      </c>
      <c r="AF329" s="168" t="str">
        <f t="shared" si="71"/>
        <v/>
      </c>
      <c r="AG329" s="28"/>
      <c r="AH329" s="28"/>
      <c r="AI329" s="20" t="str">
        <f>IF(AG329="","",IF($F329="Bernardino Furlan",_xlfn.XLOOKUP(AG329,Cadastros!$G$6:$G$90,Cadastros!$H$6:$H$90)*(1-0.18),IF($F329="Mauro José Salanti",_xlfn.XLOOKUP(AG329,Cadastros!$G$6:$G$90,Cadastros!$H$6:$H$90)*(1-0.18),_xlfn.XLOOKUP(AG329,Cadastros!$G$6:$G$90,Cadastros!$H$6:$H$90))))</f>
        <v/>
      </c>
      <c r="AJ329" s="168" t="str">
        <f t="shared" si="72"/>
        <v/>
      </c>
      <c r="AK329" s="168" t="str">
        <f t="shared" si="73"/>
        <v/>
      </c>
      <c r="AL329" s="28"/>
      <c r="AM329" s="28"/>
      <c r="AN329" s="20" t="str">
        <f>IF(AL329="","",IF($F329="Bernardino Furlan",_xlfn.XLOOKUP(AL329,Cadastros!$G$6:$G$90,Cadastros!$H$6:$H$90)*(1-0.18),IF($F329="Mauro José Salanti",_xlfn.XLOOKUP(AL329,Cadastros!$G$6:$G$90,Cadastros!$H$6:$H$90)*(1-0.18),_xlfn.XLOOKUP(AL329,Cadastros!$G$6:$G$90,Cadastros!$H$6:$H$90))))</f>
        <v/>
      </c>
      <c r="AO329" s="168" t="str">
        <f t="shared" si="74"/>
        <v/>
      </c>
      <c r="AP329" s="168" t="str">
        <f t="shared" si="75"/>
        <v/>
      </c>
      <c r="AQ329" s="28"/>
      <c r="AR329" s="28"/>
      <c r="AS329" s="20" t="str">
        <f>IF(AQ329="","",IF($F329="Bernardino Furlan",_xlfn.XLOOKUP(AQ329,Cadastros!$G$6:$G$90,Cadastros!$H$6:$H$90)*(1-0.18),IF($F329="Mauro José Salanti",_xlfn.XLOOKUP(AQ329,Cadastros!$G$6:$G$90,Cadastros!$H$6:$H$90)*(1-0.18),_xlfn.XLOOKUP(AQ329,Cadastros!$G$6:$G$90,Cadastros!$H$6:$H$90))))</f>
        <v/>
      </c>
      <c r="AT329" s="168" t="str">
        <f t="shared" si="76"/>
        <v/>
      </c>
      <c r="AU329" s="168" t="str">
        <f t="shared" si="77"/>
        <v/>
      </c>
      <c r="AV329" s="227"/>
      <c r="AW329" s="30"/>
      <c r="AX329" s="267"/>
      <c r="AY329" s="267"/>
      <c r="AZ329" s="29"/>
      <c r="BA329" s="30"/>
      <c r="BB329" s="23" t="str" cm="1">
        <f t="array" ref="BB329">_xlfn.IFS(AW329="SIM",SUM(K329,P329,U329,Z329,AE329,AJ329,AO329,AT329,AX329,AY329),F329&lt;&gt;"",SUM(K329,P329,U329,Z329,AE329,AJ329,,AO329,AT329),F329="","")</f>
        <v/>
      </c>
      <c r="BC329" s="211" t="str" cm="1">
        <f t="array" ref="BC329">_xlfn.IFS(E329="","",G329&lt;=E329,BB329*(1-0.03),G329&lt;(E329+8),BB329,AZ329="Boleto",BB329*(1+0.001)^DATEDIF(E329,G329,"D"),AZ329="Cheque",BB329,AZ329="Dinheiro","Alterar forma pgto")</f>
        <v/>
      </c>
      <c r="BD329" s="276" t="str" cm="1">
        <f t="array" ref="BD329">IF(F329=0," ",IF(BC329&lt;BB329,(_xlfn.IFS(AW329="SIM",SUM(L329,Q329,V329,AA329,AF329,AK329,AP329,AU329)+AX329/_xlfn.XLOOKUP(_xlfn.XLOOKUP($F329,Clientes!$B$4:$B$39,Clientes!$C$4:$C$39),Cadastros!$L$6:$L$12,Cadastros!$M$6:$M$12)+IF($F329="Bernardino Furlan",AY329/2751.92,IF($F329="Mauro José Salanti",AY329/2751.92,AY329/3356)),F329&lt;&gt;0,SUM(L329,Q329,V329,AA329,AF329,AK329,AP329,AU329)))*(1-0.03),_xlfn.IFS(AW329="SIM",SUM(L329,Q329,V329,AA329,AF329,AK329,AP329,AU329)+AX329/_xlfn.XLOOKUP(_xlfn.XLOOKUP($F329,Clientes!$B$4:$B$39,Clientes!$C$4:$C$39),Cadastros!$L$6:$L$12,Cadastros!$M$6:$M$12)+IF($F329="Bernardino Furlan",AY329/2751.92,IF($F329="Mauro José Salanti",AY329/2751.92,AY329/3356)),F329&lt;&gt;0,SUM(L329,Q329,V329,AA329,AF329,AK329,AP329,AU329))))</f>
        <v xml:space="preserve"> </v>
      </c>
      <c r="BE329" s="120"/>
      <c r="BF329" s="120"/>
      <c r="BG329" s="120"/>
    </row>
    <row r="330" spans="1:59" s="3" customFormat="1" x14ac:dyDescent="0.3">
      <c r="A330" s="15" t="str">
        <f t="shared" si="65"/>
        <v/>
      </c>
      <c r="B330" s="25"/>
      <c r="C330" s="26"/>
      <c r="D330" s="279"/>
      <c r="E330" s="27"/>
      <c r="F330" s="28"/>
      <c r="G330" s="27"/>
      <c r="H330" s="28"/>
      <c r="I330" s="28"/>
      <c r="J330" s="255" t="str">
        <f>IF(H330="","",(_xlfn.XLOOKUP(H330,Cadastros!$D$6:$D$90,Cadastros!$E$6:$E$90))*(1-_xlfn.XLOOKUP(_xlfn.XLOOKUP($F330,Clientes!$B$4:$B$39,Clientes!$C$4:$C$39),Cadastros!$L$6:$L$12,Cadastros!$N$6:$N$12)))</f>
        <v/>
      </c>
      <c r="K330" s="168" t="str">
        <f t="shared" si="66"/>
        <v/>
      </c>
      <c r="L330" s="168" t="str">
        <f>IFERROR(K330/_xlfn.XLOOKUP(_xlfn.XLOOKUP($F330,Clientes!$B$4:$B$39,Clientes!$C$4:$C$39),Cadastros!$L$6:$L$12,Cadastros!$M$6:$M$12)," ")</f>
        <v xml:space="preserve"> </v>
      </c>
      <c r="M330" s="28"/>
      <c r="N330" s="28"/>
      <c r="O330" s="255" t="str">
        <f>IF(M330="","",(_xlfn.XLOOKUP(M330,Cadastros!$D$6:$D$90,Cadastros!$E$6:$E$90))*(1-_xlfn.XLOOKUP(_xlfn.XLOOKUP($F330,Clientes!$B$4:$B$39,Clientes!$C$4:$C$39),Cadastros!$L$6:$L$12,Cadastros!$N$6:$N$12)))</f>
        <v/>
      </c>
      <c r="P330" s="168" t="str">
        <f t="shared" si="67"/>
        <v/>
      </c>
      <c r="Q330" s="168" t="str">
        <f>IFERROR(P330/_xlfn.XLOOKUP(_xlfn.XLOOKUP($F330,Clientes!$B$4:$B$39,Clientes!$C$4:$C$39),Cadastros!$L$6:$L$12,Cadastros!$M$6:$M$12)," ")</f>
        <v xml:space="preserve"> </v>
      </c>
      <c r="R330" s="28"/>
      <c r="S330" s="28"/>
      <c r="T330" s="255" t="str">
        <f>IF(R330="","",(_xlfn.XLOOKUP(R330,Cadastros!$D$6:$D$90,Cadastros!$E$6:$E$90))*(1-_xlfn.XLOOKUP(_xlfn.XLOOKUP($F330,Clientes!$B$4:$B$39,Clientes!$C$4:$C$39),Cadastros!$L$6:$L$12,Cadastros!$N$6:$N$12)))</f>
        <v/>
      </c>
      <c r="U330" s="168" t="str">
        <f t="shared" si="68"/>
        <v/>
      </c>
      <c r="V330" s="168" t="str">
        <f>IFERROR(U330/_xlfn.XLOOKUP(_xlfn.XLOOKUP($F330,Clientes!$B$4:$B$39,Clientes!$C$4:$C$39),Cadastros!$L$6:$L$12,Cadastros!$M$6:$M$12)," ")</f>
        <v xml:space="preserve"> </v>
      </c>
      <c r="W330" s="28"/>
      <c r="X330" s="28"/>
      <c r="Y330" s="255" t="str">
        <f>IF(W330="","",(_xlfn.XLOOKUP(W330,Cadastros!$D$6:$D$90,Cadastros!$E$6:$E$90))*(1-_xlfn.XLOOKUP(_xlfn.XLOOKUP($F330,Clientes!$B$4:$B$39,Clientes!$C$4:$C$39),Cadastros!$L$6:$L$12,Cadastros!$N$6:$N$12)))</f>
        <v/>
      </c>
      <c r="Z330" s="168" t="str">
        <f t="shared" si="69"/>
        <v/>
      </c>
      <c r="AA330" s="168" t="str">
        <f>IFERROR(Z330/_xlfn.XLOOKUP(_xlfn.XLOOKUP($F330,Clientes!$B$4:$B$39,Clientes!$C$4:$C$39),Cadastros!$L$6:$L$12,Cadastros!$M$6:$M$12)," ")</f>
        <v xml:space="preserve"> </v>
      </c>
      <c r="AB330" s="28"/>
      <c r="AC330" s="28"/>
      <c r="AD330" s="20" t="str">
        <f>IF(AB330="","",IF($F330="Bernardino Furlan",_xlfn.XLOOKUP(AB330,Cadastros!$G$6:$G$90,Cadastros!$H$6:$H$90)*(1-0.18),IF($F330="Mauro José Salanti",_xlfn.XLOOKUP(AB330,Cadastros!$G$6:$G$90,Cadastros!$H$6:$H$90)*(1-0.18),_xlfn.XLOOKUP(AB330,Cadastros!$G$6:$G$90,Cadastros!$H$6:$H$90))))</f>
        <v/>
      </c>
      <c r="AE330" s="168" t="str">
        <f t="shared" si="70"/>
        <v/>
      </c>
      <c r="AF330" s="168" t="str">
        <f t="shared" si="71"/>
        <v/>
      </c>
      <c r="AG330" s="28"/>
      <c r="AH330" s="28"/>
      <c r="AI330" s="20" t="str">
        <f>IF(AG330="","",IF($F330="Bernardino Furlan",_xlfn.XLOOKUP(AG330,Cadastros!$G$6:$G$90,Cadastros!$H$6:$H$90)*(1-0.18),IF($F330="Mauro José Salanti",_xlfn.XLOOKUP(AG330,Cadastros!$G$6:$G$90,Cadastros!$H$6:$H$90)*(1-0.18),_xlfn.XLOOKUP(AG330,Cadastros!$G$6:$G$90,Cadastros!$H$6:$H$90))))</f>
        <v/>
      </c>
      <c r="AJ330" s="168" t="str">
        <f t="shared" si="72"/>
        <v/>
      </c>
      <c r="AK330" s="168" t="str">
        <f t="shared" si="73"/>
        <v/>
      </c>
      <c r="AL330" s="28"/>
      <c r="AM330" s="28"/>
      <c r="AN330" s="20" t="str">
        <f>IF(AL330="","",IF($F330="Bernardino Furlan",_xlfn.XLOOKUP(AL330,Cadastros!$G$6:$G$90,Cadastros!$H$6:$H$90)*(1-0.18),IF($F330="Mauro José Salanti",_xlfn.XLOOKUP(AL330,Cadastros!$G$6:$G$90,Cadastros!$H$6:$H$90)*(1-0.18),_xlfn.XLOOKUP(AL330,Cadastros!$G$6:$G$90,Cadastros!$H$6:$H$90))))</f>
        <v/>
      </c>
      <c r="AO330" s="168" t="str">
        <f t="shared" si="74"/>
        <v/>
      </c>
      <c r="AP330" s="168" t="str">
        <f t="shared" si="75"/>
        <v/>
      </c>
      <c r="AQ330" s="28"/>
      <c r="AR330" s="28"/>
      <c r="AS330" s="20" t="str">
        <f>IF(AQ330="","",IF($F330="Bernardino Furlan",_xlfn.XLOOKUP(AQ330,Cadastros!$G$6:$G$90,Cadastros!$H$6:$H$90)*(1-0.18),IF($F330="Mauro José Salanti",_xlfn.XLOOKUP(AQ330,Cadastros!$G$6:$G$90,Cadastros!$H$6:$H$90)*(1-0.18),_xlfn.XLOOKUP(AQ330,Cadastros!$G$6:$G$90,Cadastros!$H$6:$H$90))))</f>
        <v/>
      </c>
      <c r="AT330" s="168" t="str">
        <f t="shared" si="76"/>
        <v/>
      </c>
      <c r="AU330" s="168" t="str">
        <f t="shared" si="77"/>
        <v/>
      </c>
      <c r="AV330" s="227"/>
      <c r="AW330" s="30"/>
      <c r="AX330" s="267"/>
      <c r="AY330" s="267"/>
      <c r="AZ330" s="29"/>
      <c r="BA330" s="30"/>
      <c r="BB330" s="23" t="str" cm="1">
        <f t="array" ref="BB330">_xlfn.IFS(AW330="SIM",SUM(K330,P330,U330,Z330,AE330,AJ330,AO330,AT330,AX330,AY330),F330&lt;&gt;"",SUM(K330,P330,U330,Z330,AE330,AJ330,,AO330,AT330),F330="","")</f>
        <v/>
      </c>
      <c r="BC330" s="211" t="str" cm="1">
        <f t="array" ref="BC330">_xlfn.IFS(E330="","",G330&lt;=E330,BB330*(1-0.03),G330&lt;(E330+8),BB330,AZ330="Boleto",BB330*(1+0.001)^DATEDIF(E330,G330,"D"),AZ330="Cheque",BB330,AZ330="Dinheiro","Alterar forma pgto")</f>
        <v/>
      </c>
      <c r="BD330" s="276" t="str" cm="1">
        <f t="array" ref="BD330">IF(F330=0," ",IF(BC330&lt;BB330,(_xlfn.IFS(AW330="SIM",SUM(L330,Q330,V330,AA330,AF330,AK330,AP330,AU330)+AX330/_xlfn.XLOOKUP(_xlfn.XLOOKUP($F330,Clientes!$B$4:$B$39,Clientes!$C$4:$C$39),Cadastros!$L$6:$L$12,Cadastros!$M$6:$M$12)+IF($F330="Bernardino Furlan",AY330/2751.92,IF($F330="Mauro José Salanti",AY330/2751.92,AY330/3356)),F330&lt;&gt;0,SUM(L330,Q330,V330,AA330,AF330,AK330,AP330,AU330)))*(1-0.03),_xlfn.IFS(AW330="SIM",SUM(L330,Q330,V330,AA330,AF330,AK330,AP330,AU330)+AX330/_xlfn.XLOOKUP(_xlfn.XLOOKUP($F330,Clientes!$B$4:$B$39,Clientes!$C$4:$C$39),Cadastros!$L$6:$L$12,Cadastros!$M$6:$M$12)+IF($F330="Bernardino Furlan",AY330/2751.92,IF($F330="Mauro José Salanti",AY330/2751.92,AY330/3356)),F330&lt;&gt;0,SUM(L330,Q330,V330,AA330,AF330,AK330,AP330,AU330))))</f>
        <v xml:space="preserve"> </v>
      </c>
      <c r="BE330" s="120"/>
      <c r="BF330" s="120"/>
      <c r="BG330" s="120"/>
    </row>
    <row r="331" spans="1:59" s="3" customFormat="1" x14ac:dyDescent="0.3">
      <c r="A331" s="15" t="str">
        <f t="shared" si="65"/>
        <v/>
      </c>
      <c r="B331" s="25"/>
      <c r="C331" s="26"/>
      <c r="D331" s="279"/>
      <c r="E331" s="27"/>
      <c r="F331" s="28"/>
      <c r="G331" s="27"/>
      <c r="H331" s="28"/>
      <c r="I331" s="31"/>
      <c r="J331" s="255" t="str">
        <f>IF(H331="","",(_xlfn.XLOOKUP(H331,Cadastros!$D$6:$D$90,Cadastros!$E$6:$E$90))*(1-_xlfn.XLOOKUP(_xlfn.XLOOKUP($F331,Clientes!$B$4:$B$39,Clientes!$C$4:$C$39),Cadastros!$L$6:$L$12,Cadastros!$N$6:$N$12)))</f>
        <v/>
      </c>
      <c r="K331" s="168" t="str">
        <f t="shared" si="66"/>
        <v/>
      </c>
      <c r="L331" s="168" t="str">
        <f>IFERROR(K331/_xlfn.XLOOKUP(_xlfn.XLOOKUP($F331,Clientes!$B$4:$B$39,Clientes!$C$4:$C$39),Cadastros!$L$6:$L$12,Cadastros!$M$6:$M$12)," ")</f>
        <v xml:space="preserve"> </v>
      </c>
      <c r="M331" s="28"/>
      <c r="N331" s="28"/>
      <c r="O331" s="255" t="str">
        <f>IF(M331="","",(_xlfn.XLOOKUP(M331,Cadastros!$D$6:$D$90,Cadastros!$E$6:$E$90))*(1-_xlfn.XLOOKUP(_xlfn.XLOOKUP($F331,Clientes!$B$4:$B$39,Clientes!$C$4:$C$39),Cadastros!$L$6:$L$12,Cadastros!$N$6:$N$12)))</f>
        <v/>
      </c>
      <c r="P331" s="168" t="str">
        <f t="shared" si="67"/>
        <v/>
      </c>
      <c r="Q331" s="168" t="str">
        <f>IFERROR(P331/_xlfn.XLOOKUP(_xlfn.XLOOKUP($F331,Clientes!$B$4:$B$39,Clientes!$C$4:$C$39),Cadastros!$L$6:$L$12,Cadastros!$M$6:$M$12)," ")</f>
        <v xml:space="preserve"> </v>
      </c>
      <c r="R331" s="28"/>
      <c r="S331" s="28"/>
      <c r="T331" s="255" t="str">
        <f>IF(R331="","",(_xlfn.XLOOKUP(R331,Cadastros!$D$6:$D$90,Cadastros!$E$6:$E$90))*(1-_xlfn.XLOOKUP(_xlfn.XLOOKUP($F331,Clientes!$B$4:$B$39,Clientes!$C$4:$C$39),Cadastros!$L$6:$L$12,Cadastros!$N$6:$N$12)))</f>
        <v/>
      </c>
      <c r="U331" s="168" t="str">
        <f t="shared" si="68"/>
        <v/>
      </c>
      <c r="V331" s="168" t="str">
        <f>IFERROR(U331/_xlfn.XLOOKUP(_xlfn.XLOOKUP($F331,Clientes!$B$4:$B$39,Clientes!$C$4:$C$39),Cadastros!$L$6:$L$12,Cadastros!$M$6:$M$12)," ")</f>
        <v xml:space="preserve"> </v>
      </c>
      <c r="W331" s="28"/>
      <c r="X331" s="28"/>
      <c r="Y331" s="255" t="str">
        <f>IF(W331="","",(_xlfn.XLOOKUP(W331,Cadastros!$D$6:$D$90,Cadastros!$E$6:$E$90))*(1-_xlfn.XLOOKUP(_xlfn.XLOOKUP($F331,Clientes!$B$4:$B$39,Clientes!$C$4:$C$39),Cadastros!$L$6:$L$12,Cadastros!$N$6:$N$12)))</f>
        <v/>
      </c>
      <c r="Z331" s="168" t="str">
        <f t="shared" si="69"/>
        <v/>
      </c>
      <c r="AA331" s="168" t="str">
        <f>IFERROR(Z331/_xlfn.XLOOKUP(_xlfn.XLOOKUP($F331,Clientes!$B$4:$B$39,Clientes!$C$4:$C$39),Cadastros!$L$6:$L$12,Cadastros!$M$6:$M$12)," ")</f>
        <v xml:space="preserve"> </v>
      </c>
      <c r="AB331" s="28"/>
      <c r="AC331" s="28"/>
      <c r="AD331" s="20" t="str">
        <f>IF(AB331="","",IF($F331="Bernardino Furlan",_xlfn.XLOOKUP(AB331,Cadastros!$G$6:$G$90,Cadastros!$H$6:$H$90)*(1-0.18),IF($F331="Mauro José Salanti",_xlfn.XLOOKUP(AB331,Cadastros!$G$6:$G$90,Cadastros!$H$6:$H$90)*(1-0.18),_xlfn.XLOOKUP(AB331,Cadastros!$G$6:$G$90,Cadastros!$H$6:$H$90))))</f>
        <v/>
      </c>
      <c r="AE331" s="168" t="str">
        <f t="shared" si="70"/>
        <v/>
      </c>
      <c r="AF331" s="168" t="str">
        <f t="shared" si="71"/>
        <v/>
      </c>
      <c r="AG331" s="28"/>
      <c r="AH331" s="28"/>
      <c r="AI331" s="20" t="str">
        <f>IF(AG331="","",IF($F331="Bernardino Furlan",_xlfn.XLOOKUP(AG331,Cadastros!$G$6:$G$90,Cadastros!$H$6:$H$90)*(1-0.18),IF($F331="Mauro José Salanti",_xlfn.XLOOKUP(AG331,Cadastros!$G$6:$G$90,Cadastros!$H$6:$H$90)*(1-0.18),_xlfn.XLOOKUP(AG331,Cadastros!$G$6:$G$90,Cadastros!$H$6:$H$90))))</f>
        <v/>
      </c>
      <c r="AJ331" s="168" t="str">
        <f t="shared" si="72"/>
        <v/>
      </c>
      <c r="AK331" s="168" t="str">
        <f t="shared" si="73"/>
        <v/>
      </c>
      <c r="AL331" s="28"/>
      <c r="AM331" s="28"/>
      <c r="AN331" s="20" t="str">
        <f>IF(AL331="","",IF($F331="Bernardino Furlan",_xlfn.XLOOKUP(AL331,Cadastros!$G$6:$G$90,Cadastros!$H$6:$H$90)*(1-0.18),IF($F331="Mauro José Salanti",_xlfn.XLOOKUP(AL331,Cadastros!$G$6:$G$90,Cadastros!$H$6:$H$90)*(1-0.18),_xlfn.XLOOKUP(AL331,Cadastros!$G$6:$G$90,Cadastros!$H$6:$H$90))))</f>
        <v/>
      </c>
      <c r="AO331" s="168" t="str">
        <f t="shared" si="74"/>
        <v/>
      </c>
      <c r="AP331" s="168" t="str">
        <f t="shared" si="75"/>
        <v/>
      </c>
      <c r="AQ331" s="28"/>
      <c r="AR331" s="28"/>
      <c r="AS331" s="20" t="str">
        <f>IF(AQ331="","",IF($F331="Bernardino Furlan",_xlfn.XLOOKUP(AQ331,Cadastros!$G$6:$G$90,Cadastros!$H$6:$H$90)*(1-0.18),IF($F331="Mauro José Salanti",_xlfn.XLOOKUP(AQ331,Cadastros!$G$6:$G$90,Cadastros!$H$6:$H$90)*(1-0.18),_xlfn.XLOOKUP(AQ331,Cadastros!$G$6:$G$90,Cadastros!$H$6:$H$90))))</f>
        <v/>
      </c>
      <c r="AT331" s="168" t="str">
        <f t="shared" si="76"/>
        <v/>
      </c>
      <c r="AU331" s="168" t="str">
        <f t="shared" si="77"/>
        <v/>
      </c>
      <c r="AV331" s="227"/>
      <c r="AW331" s="30"/>
      <c r="AX331" s="267"/>
      <c r="AY331" s="267"/>
      <c r="AZ331" s="29"/>
      <c r="BA331" s="30"/>
      <c r="BB331" s="23" t="str" cm="1">
        <f t="array" ref="BB331">_xlfn.IFS(AW331="SIM",SUM(K331,P331,U331,Z331,AE331,AJ331,AO331,AT331,AX331,AY331),F331&lt;&gt;"",SUM(K331,P331,U331,Z331,AE331,AJ331,,AO331,AT331),F331="","")</f>
        <v/>
      </c>
      <c r="BC331" s="211" t="str" cm="1">
        <f t="array" ref="BC331">_xlfn.IFS(E331="","",G331&lt;=E331,BB331*(1-0.03),G331&lt;(E331+8),BB331,AZ331="Boleto",BB331*(1+0.001)^DATEDIF(E331,G331,"D"),AZ331="Cheque",BB331,AZ331="Dinheiro","Alterar forma pgto")</f>
        <v/>
      </c>
      <c r="BD331" s="276" t="str" cm="1">
        <f t="array" ref="BD331">IF(F331=0," ",IF(BC331&lt;BB331,(_xlfn.IFS(AW331="SIM",SUM(L331,Q331,V331,AA331,AF331,AK331,AP331,AU331)+AX331/_xlfn.XLOOKUP(_xlfn.XLOOKUP($F331,Clientes!$B$4:$B$39,Clientes!$C$4:$C$39),Cadastros!$L$6:$L$12,Cadastros!$M$6:$M$12)+IF($F331="Bernardino Furlan",AY331/2751.92,IF($F331="Mauro José Salanti",AY331/2751.92,AY331/3356)),F331&lt;&gt;0,SUM(L331,Q331,V331,AA331,AF331,AK331,AP331,AU331)))*(1-0.03),_xlfn.IFS(AW331="SIM",SUM(L331,Q331,V331,AA331,AF331,AK331,AP331,AU331)+AX331/_xlfn.XLOOKUP(_xlfn.XLOOKUP($F331,Clientes!$B$4:$B$39,Clientes!$C$4:$C$39),Cadastros!$L$6:$L$12,Cadastros!$M$6:$M$12)+IF($F331="Bernardino Furlan",AY331/2751.92,IF($F331="Mauro José Salanti",AY331/2751.92,AY331/3356)),F331&lt;&gt;0,SUM(L331,Q331,V331,AA331,AF331,AK331,AP331,AU331))))</f>
        <v xml:space="preserve"> </v>
      </c>
      <c r="BE331" s="120"/>
      <c r="BF331" s="120"/>
      <c r="BG331" s="120"/>
    </row>
    <row r="332" spans="1:59" s="3" customFormat="1" x14ac:dyDescent="0.3">
      <c r="A332" s="15" t="str">
        <f t="shared" si="65"/>
        <v/>
      </c>
      <c r="B332" s="34"/>
      <c r="C332" s="35"/>
      <c r="D332" s="280"/>
      <c r="E332" s="36"/>
      <c r="F332" s="37"/>
      <c r="G332" s="36"/>
      <c r="H332" s="37"/>
      <c r="I332" s="37"/>
      <c r="J332" s="255" t="str">
        <f>IF(H332="","",(_xlfn.XLOOKUP(H332,Cadastros!$D$6:$D$90,Cadastros!$E$6:$E$90))*(1-_xlfn.XLOOKUP(_xlfn.XLOOKUP($F332,Clientes!$B$4:$B$39,Clientes!$C$4:$C$39),Cadastros!$L$6:$L$12,Cadastros!$N$6:$N$12)))</f>
        <v/>
      </c>
      <c r="K332" s="168" t="str">
        <f t="shared" si="66"/>
        <v/>
      </c>
      <c r="L332" s="168" t="str">
        <f>IFERROR(K332/_xlfn.XLOOKUP(_xlfn.XLOOKUP($F332,Clientes!$B$4:$B$39,Clientes!$C$4:$C$39),Cadastros!$L$6:$L$12,Cadastros!$M$6:$M$12)," ")</f>
        <v xml:space="preserve"> </v>
      </c>
      <c r="M332" s="37"/>
      <c r="N332" s="37"/>
      <c r="O332" s="255" t="str">
        <f>IF(M332="","",(_xlfn.XLOOKUP(M332,Cadastros!$D$6:$D$90,Cadastros!$E$6:$E$90))*(1-_xlfn.XLOOKUP(_xlfn.XLOOKUP($F332,Clientes!$B$4:$B$39,Clientes!$C$4:$C$39),Cadastros!$L$6:$L$12,Cadastros!$N$6:$N$12)))</f>
        <v/>
      </c>
      <c r="P332" s="168" t="str">
        <f t="shared" si="67"/>
        <v/>
      </c>
      <c r="Q332" s="168" t="str">
        <f>IFERROR(P332/_xlfn.XLOOKUP(_xlfn.XLOOKUP($F332,Clientes!$B$4:$B$39,Clientes!$C$4:$C$39),Cadastros!$L$6:$L$12,Cadastros!$M$6:$M$12)," ")</f>
        <v xml:space="preserve"> </v>
      </c>
      <c r="R332" s="37"/>
      <c r="S332" s="37"/>
      <c r="T332" s="255" t="str">
        <f>IF(R332="","",(_xlfn.XLOOKUP(R332,Cadastros!$D$6:$D$90,Cadastros!$E$6:$E$90))*(1-_xlfn.XLOOKUP(_xlfn.XLOOKUP($F332,Clientes!$B$4:$B$39,Clientes!$C$4:$C$39),Cadastros!$L$6:$L$12,Cadastros!$N$6:$N$12)))</f>
        <v/>
      </c>
      <c r="U332" s="168" t="str">
        <f t="shared" si="68"/>
        <v/>
      </c>
      <c r="V332" s="168" t="str">
        <f>IFERROR(U332/_xlfn.XLOOKUP(_xlfn.XLOOKUP($F332,Clientes!$B$4:$B$39,Clientes!$C$4:$C$39),Cadastros!$L$6:$L$12,Cadastros!$M$6:$M$12)," ")</f>
        <v xml:space="preserve"> </v>
      </c>
      <c r="W332" s="37"/>
      <c r="X332" s="37"/>
      <c r="Y332" s="255" t="str">
        <f>IF(W332="","",(_xlfn.XLOOKUP(W332,Cadastros!$D$6:$D$90,Cadastros!$E$6:$E$90))*(1-_xlfn.XLOOKUP(_xlfn.XLOOKUP($F332,Clientes!$B$4:$B$39,Clientes!$C$4:$C$39),Cadastros!$L$6:$L$12,Cadastros!$N$6:$N$12)))</f>
        <v/>
      </c>
      <c r="Z332" s="168" t="str">
        <f t="shared" si="69"/>
        <v/>
      </c>
      <c r="AA332" s="168" t="str">
        <f>IFERROR(Z332/_xlfn.XLOOKUP(_xlfn.XLOOKUP($F332,Clientes!$B$4:$B$39,Clientes!$C$4:$C$39),Cadastros!$L$6:$L$12,Cadastros!$M$6:$M$12)," ")</f>
        <v xml:space="preserve"> </v>
      </c>
      <c r="AB332" s="37"/>
      <c r="AC332" s="37"/>
      <c r="AD332" s="20" t="str">
        <f>IF(AB332="","",IF($F332="Bernardino Furlan",_xlfn.XLOOKUP(AB332,Cadastros!$G$6:$G$90,Cadastros!$H$6:$H$90)*(1-0.18),IF($F332="Mauro José Salanti",_xlfn.XLOOKUP(AB332,Cadastros!$G$6:$G$90,Cadastros!$H$6:$H$90)*(1-0.18),_xlfn.XLOOKUP(AB332,Cadastros!$G$6:$G$90,Cadastros!$H$6:$H$90))))</f>
        <v/>
      </c>
      <c r="AE332" s="168" t="str">
        <f t="shared" si="70"/>
        <v/>
      </c>
      <c r="AF332" s="168" t="str">
        <f t="shared" si="71"/>
        <v/>
      </c>
      <c r="AG332" s="37"/>
      <c r="AH332" s="37"/>
      <c r="AI332" s="20" t="str">
        <f>IF(AG332="","",IF($F332="Bernardino Furlan",_xlfn.XLOOKUP(AG332,Cadastros!$G$6:$G$90,Cadastros!$H$6:$H$90)*(1-0.18),IF($F332="Mauro José Salanti",_xlfn.XLOOKUP(AG332,Cadastros!$G$6:$G$90,Cadastros!$H$6:$H$90)*(1-0.18),_xlfn.XLOOKUP(AG332,Cadastros!$G$6:$G$90,Cadastros!$H$6:$H$90))))</f>
        <v/>
      </c>
      <c r="AJ332" s="168" t="str">
        <f t="shared" si="72"/>
        <v/>
      </c>
      <c r="AK332" s="168" t="str">
        <f t="shared" si="73"/>
        <v/>
      </c>
      <c r="AL332" s="37"/>
      <c r="AM332" s="37"/>
      <c r="AN332" s="20" t="str">
        <f>IF(AL332="","",IF($F332="Bernardino Furlan",_xlfn.XLOOKUP(AL332,Cadastros!$G$6:$G$90,Cadastros!$H$6:$H$90)*(1-0.18),IF($F332="Mauro José Salanti",_xlfn.XLOOKUP(AL332,Cadastros!$G$6:$G$90,Cadastros!$H$6:$H$90)*(1-0.18),_xlfn.XLOOKUP(AL332,Cadastros!$G$6:$G$90,Cadastros!$H$6:$H$90))))</f>
        <v/>
      </c>
      <c r="AO332" s="168" t="str">
        <f t="shared" si="74"/>
        <v/>
      </c>
      <c r="AP332" s="168" t="str">
        <f t="shared" si="75"/>
        <v/>
      </c>
      <c r="AQ332" s="37"/>
      <c r="AR332" s="37"/>
      <c r="AS332" s="20" t="str">
        <f>IF(AQ332="","",IF($F332="Bernardino Furlan",_xlfn.XLOOKUP(AQ332,Cadastros!$G$6:$G$90,Cadastros!$H$6:$H$90)*(1-0.18),IF($F332="Mauro José Salanti",_xlfn.XLOOKUP(AQ332,Cadastros!$G$6:$G$90,Cadastros!$H$6:$H$90)*(1-0.18),_xlfn.XLOOKUP(AQ332,Cadastros!$G$6:$G$90,Cadastros!$H$6:$H$90))))</f>
        <v/>
      </c>
      <c r="AT332" s="168" t="str">
        <f t="shared" si="76"/>
        <v/>
      </c>
      <c r="AU332" s="168" t="str">
        <f t="shared" si="77"/>
        <v/>
      </c>
      <c r="AV332" s="228"/>
      <c r="AW332" s="38"/>
      <c r="AX332" s="268"/>
      <c r="AY332" s="268"/>
      <c r="AZ332" s="33"/>
      <c r="BA332" s="38"/>
      <c r="BB332" s="23" t="str" cm="1">
        <f t="array" ref="BB332">_xlfn.IFS(AW332="SIM",SUM(K332,P332,U332,Z332,AE332,AJ332,AO332,AT332,AX332,AY332),F332&lt;&gt;"",SUM(K332,P332,U332,Z332,AE332,AJ332,,AO332,AT332),F332="","")</f>
        <v/>
      </c>
      <c r="BC332" s="211" t="str" cm="1">
        <f t="array" ref="BC332">_xlfn.IFS(E332="","",G332&lt;=E332,BB332*(1-0.03),G332&lt;(E332+8),BB332,AZ332="Boleto",BB332*(1+0.001)^DATEDIF(E332,G332,"D"),AZ332="Cheque",BB332,AZ332="Dinheiro","Alterar forma pgto")</f>
        <v/>
      </c>
      <c r="BD332" s="276" t="str" cm="1">
        <f t="array" ref="BD332">IF(F332=0," ",IF(BC332&lt;BB332,(_xlfn.IFS(AW332="SIM",SUM(L332,Q332,V332,AA332,AF332,AK332,AP332,AU332)+AX332/_xlfn.XLOOKUP(_xlfn.XLOOKUP($F332,Clientes!$B$4:$B$39,Clientes!$C$4:$C$39),Cadastros!$L$6:$L$12,Cadastros!$M$6:$M$12)+IF($F332="Bernardino Furlan",AY332/2751.92,IF($F332="Mauro José Salanti",AY332/2751.92,AY332/3356)),F332&lt;&gt;0,SUM(L332,Q332,V332,AA332,AF332,AK332,AP332,AU332)))*(1-0.03),_xlfn.IFS(AW332="SIM",SUM(L332,Q332,V332,AA332,AF332,AK332,AP332,AU332)+AX332/_xlfn.XLOOKUP(_xlfn.XLOOKUP($F332,Clientes!$B$4:$B$39,Clientes!$C$4:$C$39),Cadastros!$L$6:$L$12,Cadastros!$M$6:$M$12)+IF($F332="Bernardino Furlan",AY332/2751.92,IF($F332="Mauro José Salanti",AY332/2751.92,AY332/3356)),F332&lt;&gt;0,SUM(L332,Q332,V332,AA332,AF332,AK332,AP332,AU332))))</f>
        <v xml:space="preserve"> </v>
      </c>
      <c r="BE332" s="120"/>
      <c r="BF332" s="120"/>
      <c r="BG332" s="120"/>
    </row>
    <row r="333" spans="1:59" s="3" customFormat="1" x14ac:dyDescent="0.3">
      <c r="A333" s="15" t="str">
        <f t="shared" si="65"/>
        <v/>
      </c>
      <c r="B333" s="25"/>
      <c r="C333" s="26"/>
      <c r="D333" s="279"/>
      <c r="E333" s="27"/>
      <c r="F333" s="28"/>
      <c r="G333" s="27"/>
      <c r="H333" s="28"/>
      <c r="I333" s="28"/>
      <c r="J333" s="255" t="str">
        <f>IF(H333="","",(_xlfn.XLOOKUP(H333,Cadastros!$D$6:$D$90,Cadastros!$E$6:$E$90))*(1-_xlfn.XLOOKUP(_xlfn.XLOOKUP($F333,Clientes!$B$4:$B$39,Clientes!$C$4:$C$39),Cadastros!$L$6:$L$12,Cadastros!$N$6:$N$12)))</f>
        <v/>
      </c>
      <c r="K333" s="168" t="str">
        <f t="shared" si="66"/>
        <v/>
      </c>
      <c r="L333" s="168" t="str">
        <f>IFERROR(K333/_xlfn.XLOOKUP(_xlfn.XLOOKUP($F333,Clientes!$B$4:$B$39,Clientes!$C$4:$C$39),Cadastros!$L$6:$L$12,Cadastros!$M$6:$M$12)," ")</f>
        <v xml:space="preserve"> </v>
      </c>
      <c r="M333" s="28"/>
      <c r="N333" s="28"/>
      <c r="O333" s="255" t="str">
        <f>IF(M333="","",(_xlfn.XLOOKUP(M333,Cadastros!$D$6:$D$90,Cadastros!$E$6:$E$90))*(1-_xlfn.XLOOKUP(_xlfn.XLOOKUP($F333,Clientes!$B$4:$B$39,Clientes!$C$4:$C$39),Cadastros!$L$6:$L$12,Cadastros!$N$6:$N$12)))</f>
        <v/>
      </c>
      <c r="P333" s="168" t="str">
        <f t="shared" si="67"/>
        <v/>
      </c>
      <c r="Q333" s="168" t="str">
        <f>IFERROR(P333/_xlfn.XLOOKUP(_xlfn.XLOOKUP($F333,Clientes!$B$4:$B$39,Clientes!$C$4:$C$39),Cadastros!$L$6:$L$12,Cadastros!$M$6:$M$12)," ")</f>
        <v xml:space="preserve"> </v>
      </c>
      <c r="R333" s="28"/>
      <c r="S333" s="28"/>
      <c r="T333" s="255" t="str">
        <f>IF(R333="","",(_xlfn.XLOOKUP(R333,Cadastros!$D$6:$D$90,Cadastros!$E$6:$E$90))*(1-_xlfn.XLOOKUP(_xlfn.XLOOKUP($F333,Clientes!$B$4:$B$39,Clientes!$C$4:$C$39),Cadastros!$L$6:$L$12,Cadastros!$N$6:$N$12)))</f>
        <v/>
      </c>
      <c r="U333" s="168" t="str">
        <f t="shared" si="68"/>
        <v/>
      </c>
      <c r="V333" s="168" t="str">
        <f>IFERROR(U333/_xlfn.XLOOKUP(_xlfn.XLOOKUP($F333,Clientes!$B$4:$B$39,Clientes!$C$4:$C$39),Cadastros!$L$6:$L$12,Cadastros!$M$6:$M$12)," ")</f>
        <v xml:space="preserve"> </v>
      </c>
      <c r="W333" s="28"/>
      <c r="X333" s="28"/>
      <c r="Y333" s="255" t="str">
        <f>IF(W333="","",(_xlfn.XLOOKUP(W333,Cadastros!$D$6:$D$90,Cadastros!$E$6:$E$90))*(1-_xlfn.XLOOKUP(_xlfn.XLOOKUP($F333,Clientes!$B$4:$B$39,Clientes!$C$4:$C$39),Cadastros!$L$6:$L$12,Cadastros!$N$6:$N$12)))</f>
        <v/>
      </c>
      <c r="Z333" s="168" t="str">
        <f t="shared" si="69"/>
        <v/>
      </c>
      <c r="AA333" s="168" t="str">
        <f>IFERROR(Z333/_xlfn.XLOOKUP(_xlfn.XLOOKUP($F333,Clientes!$B$4:$B$39,Clientes!$C$4:$C$39),Cadastros!$L$6:$L$12,Cadastros!$M$6:$M$12)," ")</f>
        <v xml:space="preserve"> </v>
      </c>
      <c r="AB333" s="28"/>
      <c r="AC333" s="28"/>
      <c r="AD333" s="20" t="str">
        <f>IF(AB333="","",IF($F333="Bernardino Furlan",_xlfn.XLOOKUP(AB333,Cadastros!$G$6:$G$90,Cadastros!$H$6:$H$90)*(1-0.18),IF($F333="Mauro José Salanti",_xlfn.XLOOKUP(AB333,Cadastros!$G$6:$G$90,Cadastros!$H$6:$H$90)*(1-0.18),_xlfn.XLOOKUP(AB333,Cadastros!$G$6:$G$90,Cadastros!$H$6:$H$90))))</f>
        <v/>
      </c>
      <c r="AE333" s="168" t="str">
        <f t="shared" si="70"/>
        <v/>
      </c>
      <c r="AF333" s="168" t="str">
        <f t="shared" si="71"/>
        <v/>
      </c>
      <c r="AG333" s="28"/>
      <c r="AH333" s="28"/>
      <c r="AI333" s="20" t="str">
        <f>IF(AG333="","",IF($F333="Bernardino Furlan",_xlfn.XLOOKUP(AG333,Cadastros!$G$6:$G$90,Cadastros!$H$6:$H$90)*(1-0.18),IF($F333="Mauro José Salanti",_xlfn.XLOOKUP(AG333,Cadastros!$G$6:$G$90,Cadastros!$H$6:$H$90)*(1-0.18),_xlfn.XLOOKUP(AG333,Cadastros!$G$6:$G$90,Cadastros!$H$6:$H$90))))</f>
        <v/>
      </c>
      <c r="AJ333" s="168" t="str">
        <f t="shared" si="72"/>
        <v/>
      </c>
      <c r="AK333" s="168" t="str">
        <f t="shared" si="73"/>
        <v/>
      </c>
      <c r="AL333" s="28"/>
      <c r="AM333" s="28"/>
      <c r="AN333" s="20" t="str">
        <f>IF(AL333="","",IF($F333="Bernardino Furlan",_xlfn.XLOOKUP(AL333,Cadastros!$G$6:$G$90,Cadastros!$H$6:$H$90)*(1-0.18),IF($F333="Mauro José Salanti",_xlfn.XLOOKUP(AL333,Cadastros!$G$6:$G$90,Cadastros!$H$6:$H$90)*(1-0.18),_xlfn.XLOOKUP(AL333,Cadastros!$G$6:$G$90,Cadastros!$H$6:$H$90))))</f>
        <v/>
      </c>
      <c r="AO333" s="168" t="str">
        <f t="shared" si="74"/>
        <v/>
      </c>
      <c r="AP333" s="168" t="str">
        <f t="shared" si="75"/>
        <v/>
      </c>
      <c r="AQ333" s="28"/>
      <c r="AR333" s="28"/>
      <c r="AS333" s="20" t="str">
        <f>IF(AQ333="","",IF($F333="Bernardino Furlan",_xlfn.XLOOKUP(AQ333,Cadastros!$G$6:$G$90,Cadastros!$H$6:$H$90)*(1-0.18),IF($F333="Mauro José Salanti",_xlfn.XLOOKUP(AQ333,Cadastros!$G$6:$G$90,Cadastros!$H$6:$H$90)*(1-0.18),_xlfn.XLOOKUP(AQ333,Cadastros!$G$6:$G$90,Cadastros!$H$6:$H$90))))</f>
        <v/>
      </c>
      <c r="AT333" s="168" t="str">
        <f t="shared" si="76"/>
        <v/>
      </c>
      <c r="AU333" s="168" t="str">
        <f t="shared" si="77"/>
        <v/>
      </c>
      <c r="AV333" s="227"/>
      <c r="AW333" s="30"/>
      <c r="AX333" s="267"/>
      <c r="AY333" s="267"/>
      <c r="AZ333" s="29"/>
      <c r="BA333" s="30"/>
      <c r="BB333" s="23" t="str" cm="1">
        <f t="array" ref="BB333">_xlfn.IFS(AW333="SIM",SUM(K333,P333,U333,Z333,AE333,AJ333,AO333,AT333,AX333,AY333),F333&lt;&gt;"",SUM(K333,P333,U333,Z333,AE333,AJ333,,AO333,AT333),F333="","")</f>
        <v/>
      </c>
      <c r="BC333" s="211" t="str" cm="1">
        <f t="array" ref="BC333">_xlfn.IFS(E333="","",G333&lt;=E333,BB333*(1-0.03),G333&lt;(E333+8),BB333,AZ333="Boleto",BB333*(1+0.001)^DATEDIF(E333,G333,"D"),AZ333="Cheque",BB333,AZ333="Dinheiro","Alterar forma pgto")</f>
        <v/>
      </c>
      <c r="BD333" s="276" t="str" cm="1">
        <f t="array" ref="BD333">IF(F333=0," ",IF(BC333&lt;BB333,(_xlfn.IFS(AW333="SIM",SUM(L333,Q333,V333,AA333,AF333,AK333,AP333,AU333)+AX333/_xlfn.XLOOKUP(_xlfn.XLOOKUP($F333,Clientes!$B$4:$B$39,Clientes!$C$4:$C$39),Cadastros!$L$6:$L$12,Cadastros!$M$6:$M$12)+IF($F333="Bernardino Furlan",AY333/2751.92,IF($F333="Mauro José Salanti",AY333/2751.92,AY333/3356)),F333&lt;&gt;0,SUM(L333,Q333,V333,AA333,AF333,AK333,AP333,AU333)))*(1-0.03),_xlfn.IFS(AW333="SIM",SUM(L333,Q333,V333,AA333,AF333,AK333,AP333,AU333)+AX333/_xlfn.XLOOKUP(_xlfn.XLOOKUP($F333,Clientes!$B$4:$B$39,Clientes!$C$4:$C$39),Cadastros!$L$6:$L$12,Cadastros!$M$6:$M$12)+IF($F333="Bernardino Furlan",AY333/2751.92,IF($F333="Mauro José Salanti",AY333/2751.92,AY333/3356)),F333&lt;&gt;0,SUM(L333,Q333,V333,AA333,AF333,AK333,AP333,AU333))))</f>
        <v xml:space="preserve"> </v>
      </c>
      <c r="BE333" s="120"/>
      <c r="BF333" s="120"/>
      <c r="BG333" s="120"/>
    </row>
    <row r="334" spans="1:59" s="3" customFormat="1" x14ac:dyDescent="0.3">
      <c r="A334" s="15" t="str">
        <f t="shared" si="65"/>
        <v/>
      </c>
      <c r="B334" s="25"/>
      <c r="C334" s="26"/>
      <c r="D334" s="279"/>
      <c r="E334" s="27"/>
      <c r="F334" s="28"/>
      <c r="G334" s="27"/>
      <c r="H334" s="28"/>
      <c r="I334" s="28"/>
      <c r="J334" s="255" t="str">
        <f>IF(H334="","",(_xlfn.XLOOKUP(H334,Cadastros!$D$6:$D$90,Cadastros!$E$6:$E$90))*(1-_xlfn.XLOOKUP(_xlfn.XLOOKUP($F334,Clientes!$B$4:$B$39,Clientes!$C$4:$C$39),Cadastros!$L$6:$L$12,Cadastros!$N$6:$N$12)))</f>
        <v/>
      </c>
      <c r="K334" s="168" t="str">
        <f t="shared" si="66"/>
        <v/>
      </c>
      <c r="L334" s="168" t="str">
        <f>IFERROR(K334/_xlfn.XLOOKUP(_xlfn.XLOOKUP($F334,Clientes!$B$4:$B$39,Clientes!$C$4:$C$39),Cadastros!$L$6:$L$12,Cadastros!$M$6:$M$12)," ")</f>
        <v xml:space="preserve"> </v>
      </c>
      <c r="M334" s="28"/>
      <c r="N334" s="28"/>
      <c r="O334" s="255" t="str">
        <f>IF(M334="","",(_xlfn.XLOOKUP(M334,Cadastros!$D$6:$D$90,Cadastros!$E$6:$E$90))*(1-_xlfn.XLOOKUP(_xlfn.XLOOKUP($F334,Clientes!$B$4:$B$39,Clientes!$C$4:$C$39),Cadastros!$L$6:$L$12,Cadastros!$N$6:$N$12)))</f>
        <v/>
      </c>
      <c r="P334" s="168" t="str">
        <f t="shared" si="67"/>
        <v/>
      </c>
      <c r="Q334" s="168" t="str">
        <f>IFERROR(P334/_xlfn.XLOOKUP(_xlfn.XLOOKUP($F334,Clientes!$B$4:$B$39,Clientes!$C$4:$C$39),Cadastros!$L$6:$L$12,Cadastros!$M$6:$M$12)," ")</f>
        <v xml:space="preserve"> </v>
      </c>
      <c r="R334" s="28"/>
      <c r="S334" s="28"/>
      <c r="T334" s="255" t="str">
        <f>IF(R334="","",(_xlfn.XLOOKUP(R334,Cadastros!$D$6:$D$90,Cadastros!$E$6:$E$90))*(1-_xlfn.XLOOKUP(_xlfn.XLOOKUP($F334,Clientes!$B$4:$B$39,Clientes!$C$4:$C$39),Cadastros!$L$6:$L$12,Cadastros!$N$6:$N$12)))</f>
        <v/>
      </c>
      <c r="U334" s="168" t="str">
        <f t="shared" si="68"/>
        <v/>
      </c>
      <c r="V334" s="168" t="str">
        <f>IFERROR(U334/_xlfn.XLOOKUP(_xlfn.XLOOKUP($F334,Clientes!$B$4:$B$39,Clientes!$C$4:$C$39),Cadastros!$L$6:$L$12,Cadastros!$M$6:$M$12)," ")</f>
        <v xml:space="preserve"> </v>
      </c>
      <c r="W334" s="28"/>
      <c r="X334" s="28"/>
      <c r="Y334" s="255" t="str">
        <f>IF(W334="","",(_xlfn.XLOOKUP(W334,Cadastros!$D$6:$D$90,Cadastros!$E$6:$E$90))*(1-_xlfn.XLOOKUP(_xlfn.XLOOKUP($F334,Clientes!$B$4:$B$39,Clientes!$C$4:$C$39),Cadastros!$L$6:$L$12,Cadastros!$N$6:$N$12)))</f>
        <v/>
      </c>
      <c r="Z334" s="168" t="str">
        <f t="shared" si="69"/>
        <v/>
      </c>
      <c r="AA334" s="168" t="str">
        <f>IFERROR(Z334/_xlfn.XLOOKUP(_xlfn.XLOOKUP($F334,Clientes!$B$4:$B$39,Clientes!$C$4:$C$39),Cadastros!$L$6:$L$12,Cadastros!$M$6:$M$12)," ")</f>
        <v xml:space="preserve"> </v>
      </c>
      <c r="AB334" s="28"/>
      <c r="AC334" s="28"/>
      <c r="AD334" s="20" t="str">
        <f>IF(AB334="","",IF($F334="Bernardino Furlan",_xlfn.XLOOKUP(AB334,Cadastros!$G$6:$G$90,Cadastros!$H$6:$H$90)*(1-0.18),IF($F334="Mauro José Salanti",_xlfn.XLOOKUP(AB334,Cadastros!$G$6:$G$90,Cadastros!$H$6:$H$90)*(1-0.18),_xlfn.XLOOKUP(AB334,Cadastros!$G$6:$G$90,Cadastros!$H$6:$H$90))))</f>
        <v/>
      </c>
      <c r="AE334" s="168" t="str">
        <f t="shared" si="70"/>
        <v/>
      </c>
      <c r="AF334" s="168" t="str">
        <f t="shared" si="71"/>
        <v/>
      </c>
      <c r="AG334" s="28"/>
      <c r="AH334" s="28"/>
      <c r="AI334" s="20" t="str">
        <f>IF(AG334="","",IF($F334="Bernardino Furlan",_xlfn.XLOOKUP(AG334,Cadastros!$G$6:$G$90,Cadastros!$H$6:$H$90)*(1-0.18),IF($F334="Mauro José Salanti",_xlfn.XLOOKUP(AG334,Cadastros!$G$6:$G$90,Cadastros!$H$6:$H$90)*(1-0.18),_xlfn.XLOOKUP(AG334,Cadastros!$G$6:$G$90,Cadastros!$H$6:$H$90))))</f>
        <v/>
      </c>
      <c r="AJ334" s="168" t="str">
        <f t="shared" si="72"/>
        <v/>
      </c>
      <c r="AK334" s="168" t="str">
        <f t="shared" si="73"/>
        <v/>
      </c>
      <c r="AL334" s="28"/>
      <c r="AM334" s="28"/>
      <c r="AN334" s="20" t="str">
        <f>IF(AL334="","",IF($F334="Bernardino Furlan",_xlfn.XLOOKUP(AL334,Cadastros!$G$6:$G$90,Cadastros!$H$6:$H$90)*(1-0.18),IF($F334="Mauro José Salanti",_xlfn.XLOOKUP(AL334,Cadastros!$G$6:$G$90,Cadastros!$H$6:$H$90)*(1-0.18),_xlfn.XLOOKUP(AL334,Cadastros!$G$6:$G$90,Cadastros!$H$6:$H$90))))</f>
        <v/>
      </c>
      <c r="AO334" s="168" t="str">
        <f t="shared" si="74"/>
        <v/>
      </c>
      <c r="AP334" s="168" t="str">
        <f t="shared" si="75"/>
        <v/>
      </c>
      <c r="AQ334" s="28"/>
      <c r="AR334" s="28"/>
      <c r="AS334" s="20" t="str">
        <f>IF(AQ334="","",IF($F334="Bernardino Furlan",_xlfn.XLOOKUP(AQ334,Cadastros!$G$6:$G$90,Cadastros!$H$6:$H$90)*(1-0.18),IF($F334="Mauro José Salanti",_xlfn.XLOOKUP(AQ334,Cadastros!$G$6:$G$90,Cadastros!$H$6:$H$90)*(1-0.18),_xlfn.XLOOKUP(AQ334,Cadastros!$G$6:$G$90,Cadastros!$H$6:$H$90))))</f>
        <v/>
      </c>
      <c r="AT334" s="168" t="str">
        <f t="shared" si="76"/>
        <v/>
      </c>
      <c r="AU334" s="168" t="str">
        <f t="shared" si="77"/>
        <v/>
      </c>
      <c r="AV334" s="227"/>
      <c r="AW334" s="30"/>
      <c r="AX334" s="267"/>
      <c r="AY334" s="267"/>
      <c r="AZ334" s="29"/>
      <c r="BA334" s="30"/>
      <c r="BB334" s="23" t="str" cm="1">
        <f t="array" ref="BB334">_xlfn.IFS(AW334="SIM",SUM(K334,P334,U334,Z334,AE334,AJ334,AO334,AT334,AX334,AY334),F334&lt;&gt;"",SUM(K334,P334,U334,Z334,AE334,AJ334,,AO334,AT334),F334="","")</f>
        <v/>
      </c>
      <c r="BC334" s="211" t="str" cm="1">
        <f t="array" ref="BC334">_xlfn.IFS(E334="","",G334&lt;=E334,BB334*(1-0.03),G334&lt;(E334+8),BB334,AZ334="Boleto",BB334*(1+0.001)^DATEDIF(E334,G334,"D"),AZ334="Cheque",BB334,AZ334="Dinheiro","Alterar forma pgto")</f>
        <v/>
      </c>
      <c r="BD334" s="276" t="str" cm="1">
        <f t="array" ref="BD334">IF(F334=0," ",IF(BC334&lt;BB334,(_xlfn.IFS(AW334="SIM",SUM(L334,Q334,V334,AA334,AF334,AK334,AP334,AU334)+AX334/_xlfn.XLOOKUP(_xlfn.XLOOKUP($F334,Clientes!$B$4:$B$39,Clientes!$C$4:$C$39),Cadastros!$L$6:$L$12,Cadastros!$M$6:$M$12)+IF($F334="Bernardino Furlan",AY334/2751.92,IF($F334="Mauro José Salanti",AY334/2751.92,AY334/3356)),F334&lt;&gt;0,SUM(L334,Q334,V334,AA334,AF334,AK334,AP334,AU334)))*(1-0.03),_xlfn.IFS(AW334="SIM",SUM(L334,Q334,V334,AA334,AF334,AK334,AP334,AU334)+AX334/_xlfn.XLOOKUP(_xlfn.XLOOKUP($F334,Clientes!$B$4:$B$39,Clientes!$C$4:$C$39),Cadastros!$L$6:$L$12,Cadastros!$M$6:$M$12)+IF($F334="Bernardino Furlan",AY334/2751.92,IF($F334="Mauro José Salanti",AY334/2751.92,AY334/3356)),F334&lt;&gt;0,SUM(L334,Q334,V334,AA334,AF334,AK334,AP334,AU334))))</f>
        <v xml:space="preserve"> </v>
      </c>
      <c r="BE334" s="120"/>
      <c r="BF334" s="120"/>
      <c r="BG334" s="120"/>
    </row>
    <row r="335" spans="1:59" s="3" customFormat="1" x14ac:dyDescent="0.3">
      <c r="A335" s="15" t="str">
        <f t="shared" si="65"/>
        <v/>
      </c>
      <c r="B335" s="25"/>
      <c r="C335" s="26"/>
      <c r="D335" s="279"/>
      <c r="E335" s="27"/>
      <c r="F335" s="28"/>
      <c r="G335" s="27"/>
      <c r="H335" s="28"/>
      <c r="I335" s="28"/>
      <c r="J335" s="255" t="str">
        <f>IF(H335="","",(_xlfn.XLOOKUP(H335,Cadastros!$D$6:$D$90,Cadastros!$E$6:$E$90))*(1-_xlfn.XLOOKUP(_xlfn.XLOOKUP($F335,Clientes!$B$4:$B$39,Clientes!$C$4:$C$39),Cadastros!$L$6:$L$12,Cadastros!$N$6:$N$12)))</f>
        <v/>
      </c>
      <c r="K335" s="168" t="str">
        <f t="shared" si="66"/>
        <v/>
      </c>
      <c r="L335" s="168" t="str">
        <f>IFERROR(K335/_xlfn.XLOOKUP(_xlfn.XLOOKUP($F335,Clientes!$B$4:$B$39,Clientes!$C$4:$C$39),Cadastros!$L$6:$L$12,Cadastros!$M$6:$M$12)," ")</f>
        <v xml:space="preserve"> </v>
      </c>
      <c r="M335" s="28"/>
      <c r="N335" s="28"/>
      <c r="O335" s="255" t="str">
        <f>IF(M335="","",(_xlfn.XLOOKUP(M335,Cadastros!$D$6:$D$90,Cadastros!$E$6:$E$90))*(1-_xlfn.XLOOKUP(_xlfn.XLOOKUP($F335,Clientes!$B$4:$B$39,Clientes!$C$4:$C$39),Cadastros!$L$6:$L$12,Cadastros!$N$6:$N$12)))</f>
        <v/>
      </c>
      <c r="P335" s="168" t="str">
        <f t="shared" si="67"/>
        <v/>
      </c>
      <c r="Q335" s="168" t="str">
        <f>IFERROR(P335/_xlfn.XLOOKUP(_xlfn.XLOOKUP($F335,Clientes!$B$4:$B$39,Clientes!$C$4:$C$39),Cadastros!$L$6:$L$12,Cadastros!$M$6:$M$12)," ")</f>
        <v xml:space="preserve"> </v>
      </c>
      <c r="R335" s="28"/>
      <c r="S335" s="28"/>
      <c r="T335" s="255" t="str">
        <f>IF(R335="","",(_xlfn.XLOOKUP(R335,Cadastros!$D$6:$D$90,Cadastros!$E$6:$E$90))*(1-_xlfn.XLOOKUP(_xlfn.XLOOKUP($F335,Clientes!$B$4:$B$39,Clientes!$C$4:$C$39),Cadastros!$L$6:$L$12,Cadastros!$N$6:$N$12)))</f>
        <v/>
      </c>
      <c r="U335" s="168" t="str">
        <f t="shared" si="68"/>
        <v/>
      </c>
      <c r="V335" s="168" t="str">
        <f>IFERROR(U335/_xlfn.XLOOKUP(_xlfn.XLOOKUP($F335,Clientes!$B$4:$B$39,Clientes!$C$4:$C$39),Cadastros!$L$6:$L$12,Cadastros!$M$6:$M$12)," ")</f>
        <v xml:space="preserve"> </v>
      </c>
      <c r="W335" s="28"/>
      <c r="X335" s="28"/>
      <c r="Y335" s="255" t="str">
        <f>IF(W335="","",(_xlfn.XLOOKUP(W335,Cadastros!$D$6:$D$90,Cadastros!$E$6:$E$90))*(1-_xlfn.XLOOKUP(_xlfn.XLOOKUP($F335,Clientes!$B$4:$B$39,Clientes!$C$4:$C$39),Cadastros!$L$6:$L$12,Cadastros!$N$6:$N$12)))</f>
        <v/>
      </c>
      <c r="Z335" s="168" t="str">
        <f t="shared" si="69"/>
        <v/>
      </c>
      <c r="AA335" s="168" t="str">
        <f>IFERROR(Z335/_xlfn.XLOOKUP(_xlfn.XLOOKUP($F335,Clientes!$B$4:$B$39,Clientes!$C$4:$C$39),Cadastros!$L$6:$L$12,Cadastros!$M$6:$M$12)," ")</f>
        <v xml:space="preserve"> </v>
      </c>
      <c r="AB335" s="28"/>
      <c r="AC335" s="28"/>
      <c r="AD335" s="20" t="str">
        <f>IF(AB335="","",IF($F335="Bernardino Furlan",_xlfn.XLOOKUP(AB335,Cadastros!$G$6:$G$90,Cadastros!$H$6:$H$90)*(1-0.18),IF($F335="Mauro José Salanti",_xlfn.XLOOKUP(AB335,Cadastros!$G$6:$G$90,Cadastros!$H$6:$H$90)*(1-0.18),_xlfn.XLOOKUP(AB335,Cadastros!$G$6:$G$90,Cadastros!$H$6:$H$90))))</f>
        <v/>
      </c>
      <c r="AE335" s="168" t="str">
        <f t="shared" si="70"/>
        <v/>
      </c>
      <c r="AF335" s="168" t="str">
        <f t="shared" si="71"/>
        <v/>
      </c>
      <c r="AG335" s="28"/>
      <c r="AH335" s="28"/>
      <c r="AI335" s="20" t="str">
        <f>IF(AG335="","",IF($F335="Bernardino Furlan",_xlfn.XLOOKUP(AG335,Cadastros!$G$6:$G$90,Cadastros!$H$6:$H$90)*(1-0.18),IF($F335="Mauro José Salanti",_xlfn.XLOOKUP(AG335,Cadastros!$G$6:$G$90,Cadastros!$H$6:$H$90)*(1-0.18),_xlfn.XLOOKUP(AG335,Cadastros!$G$6:$G$90,Cadastros!$H$6:$H$90))))</f>
        <v/>
      </c>
      <c r="AJ335" s="168" t="str">
        <f t="shared" si="72"/>
        <v/>
      </c>
      <c r="AK335" s="168" t="str">
        <f t="shared" si="73"/>
        <v/>
      </c>
      <c r="AL335" s="28"/>
      <c r="AM335" s="28"/>
      <c r="AN335" s="20" t="str">
        <f>IF(AL335="","",IF($F335="Bernardino Furlan",_xlfn.XLOOKUP(AL335,Cadastros!$G$6:$G$90,Cadastros!$H$6:$H$90)*(1-0.18),IF($F335="Mauro José Salanti",_xlfn.XLOOKUP(AL335,Cadastros!$G$6:$G$90,Cadastros!$H$6:$H$90)*(1-0.18),_xlfn.XLOOKUP(AL335,Cadastros!$G$6:$G$90,Cadastros!$H$6:$H$90))))</f>
        <v/>
      </c>
      <c r="AO335" s="168" t="str">
        <f t="shared" si="74"/>
        <v/>
      </c>
      <c r="AP335" s="168" t="str">
        <f t="shared" si="75"/>
        <v/>
      </c>
      <c r="AQ335" s="28"/>
      <c r="AR335" s="28"/>
      <c r="AS335" s="20" t="str">
        <f>IF(AQ335="","",IF($F335="Bernardino Furlan",_xlfn.XLOOKUP(AQ335,Cadastros!$G$6:$G$90,Cadastros!$H$6:$H$90)*(1-0.18),IF($F335="Mauro José Salanti",_xlfn.XLOOKUP(AQ335,Cadastros!$G$6:$G$90,Cadastros!$H$6:$H$90)*(1-0.18),_xlfn.XLOOKUP(AQ335,Cadastros!$G$6:$G$90,Cadastros!$H$6:$H$90))))</f>
        <v/>
      </c>
      <c r="AT335" s="168" t="str">
        <f t="shared" si="76"/>
        <v/>
      </c>
      <c r="AU335" s="168" t="str">
        <f t="shared" si="77"/>
        <v/>
      </c>
      <c r="AV335" s="227"/>
      <c r="AW335" s="30"/>
      <c r="AX335" s="267"/>
      <c r="AY335" s="267"/>
      <c r="AZ335" s="29"/>
      <c r="BA335" s="30"/>
      <c r="BB335" s="23" t="str" cm="1">
        <f t="array" ref="BB335">_xlfn.IFS(AW335="SIM",SUM(K335,P335,U335,Z335,AE335,AJ335,AO335,AT335,AX335,AY335),F335&lt;&gt;"",SUM(K335,P335,U335,Z335,AE335,AJ335,,AO335,AT335),F335="","")</f>
        <v/>
      </c>
      <c r="BC335" s="211" t="str" cm="1">
        <f t="array" ref="BC335">_xlfn.IFS(E335="","",G335&lt;=E335,BB335*(1-0.03),G335&lt;(E335+8),BB335,AZ335="Boleto",BB335*(1+0.001)^DATEDIF(E335,G335,"D"),AZ335="Cheque",BB335,AZ335="Dinheiro","Alterar forma pgto")</f>
        <v/>
      </c>
      <c r="BD335" s="276" t="str" cm="1">
        <f t="array" ref="BD335">IF(F335=0," ",IF(BC335&lt;BB335,(_xlfn.IFS(AW335="SIM",SUM(L335,Q335,V335,AA335,AF335,AK335,AP335,AU335)+AX335/_xlfn.XLOOKUP(_xlfn.XLOOKUP($F335,Clientes!$B$4:$B$39,Clientes!$C$4:$C$39),Cadastros!$L$6:$L$12,Cadastros!$M$6:$M$12)+IF($F335="Bernardino Furlan",AY335/2751.92,IF($F335="Mauro José Salanti",AY335/2751.92,AY335/3356)),F335&lt;&gt;0,SUM(L335,Q335,V335,AA335,AF335,AK335,AP335,AU335)))*(1-0.03),_xlfn.IFS(AW335="SIM",SUM(L335,Q335,V335,AA335,AF335,AK335,AP335,AU335)+AX335/_xlfn.XLOOKUP(_xlfn.XLOOKUP($F335,Clientes!$B$4:$B$39,Clientes!$C$4:$C$39),Cadastros!$L$6:$L$12,Cadastros!$M$6:$M$12)+IF($F335="Bernardino Furlan",AY335/2751.92,IF($F335="Mauro José Salanti",AY335/2751.92,AY335/3356)),F335&lt;&gt;0,SUM(L335,Q335,V335,AA335,AF335,AK335,AP335,AU335))))</f>
        <v xml:space="preserve"> </v>
      </c>
      <c r="BE335" s="120"/>
      <c r="BF335" s="120"/>
      <c r="BG335" s="120"/>
    </row>
    <row r="336" spans="1:59" s="3" customFormat="1" x14ac:dyDescent="0.3">
      <c r="A336" s="15" t="str">
        <f t="shared" si="65"/>
        <v/>
      </c>
      <c r="B336" s="25"/>
      <c r="C336" s="26"/>
      <c r="D336" s="279"/>
      <c r="E336" s="27"/>
      <c r="F336" s="28"/>
      <c r="G336" s="27"/>
      <c r="H336" s="28"/>
      <c r="I336" s="28"/>
      <c r="J336" s="255" t="str">
        <f>IF(H336="","",(_xlfn.XLOOKUP(H336,Cadastros!$D$6:$D$90,Cadastros!$E$6:$E$90))*(1-_xlfn.XLOOKUP(_xlfn.XLOOKUP($F336,Clientes!$B$4:$B$39,Clientes!$C$4:$C$39),Cadastros!$L$6:$L$12,Cadastros!$N$6:$N$12)))</f>
        <v/>
      </c>
      <c r="K336" s="168" t="str">
        <f t="shared" si="66"/>
        <v/>
      </c>
      <c r="L336" s="168" t="str">
        <f>IFERROR(K336/_xlfn.XLOOKUP(_xlfn.XLOOKUP($F336,Clientes!$B$4:$B$39,Clientes!$C$4:$C$39),Cadastros!$L$6:$L$12,Cadastros!$M$6:$M$12)," ")</f>
        <v xml:space="preserve"> </v>
      </c>
      <c r="M336" s="28"/>
      <c r="N336" s="28"/>
      <c r="O336" s="255" t="str">
        <f>IF(M336="","",(_xlfn.XLOOKUP(M336,Cadastros!$D$6:$D$90,Cadastros!$E$6:$E$90))*(1-_xlfn.XLOOKUP(_xlfn.XLOOKUP($F336,Clientes!$B$4:$B$39,Clientes!$C$4:$C$39),Cadastros!$L$6:$L$12,Cadastros!$N$6:$N$12)))</f>
        <v/>
      </c>
      <c r="P336" s="168" t="str">
        <f t="shared" si="67"/>
        <v/>
      </c>
      <c r="Q336" s="168" t="str">
        <f>IFERROR(P336/_xlfn.XLOOKUP(_xlfn.XLOOKUP($F336,Clientes!$B$4:$B$39,Clientes!$C$4:$C$39),Cadastros!$L$6:$L$12,Cadastros!$M$6:$M$12)," ")</f>
        <v xml:space="preserve"> </v>
      </c>
      <c r="R336" s="28"/>
      <c r="S336" s="28"/>
      <c r="T336" s="255" t="str">
        <f>IF(R336="","",(_xlfn.XLOOKUP(R336,Cadastros!$D$6:$D$90,Cadastros!$E$6:$E$90))*(1-_xlfn.XLOOKUP(_xlfn.XLOOKUP($F336,Clientes!$B$4:$B$39,Clientes!$C$4:$C$39),Cadastros!$L$6:$L$12,Cadastros!$N$6:$N$12)))</f>
        <v/>
      </c>
      <c r="U336" s="168" t="str">
        <f t="shared" si="68"/>
        <v/>
      </c>
      <c r="V336" s="168" t="str">
        <f>IFERROR(U336/_xlfn.XLOOKUP(_xlfn.XLOOKUP($F336,Clientes!$B$4:$B$39,Clientes!$C$4:$C$39),Cadastros!$L$6:$L$12,Cadastros!$M$6:$M$12)," ")</f>
        <v xml:space="preserve"> </v>
      </c>
      <c r="W336" s="28"/>
      <c r="X336" s="28"/>
      <c r="Y336" s="255" t="str">
        <f>IF(W336="","",(_xlfn.XLOOKUP(W336,Cadastros!$D$6:$D$90,Cadastros!$E$6:$E$90))*(1-_xlfn.XLOOKUP(_xlfn.XLOOKUP($F336,Clientes!$B$4:$B$39,Clientes!$C$4:$C$39),Cadastros!$L$6:$L$12,Cadastros!$N$6:$N$12)))</f>
        <v/>
      </c>
      <c r="Z336" s="168" t="str">
        <f t="shared" si="69"/>
        <v/>
      </c>
      <c r="AA336" s="168" t="str">
        <f>IFERROR(Z336/_xlfn.XLOOKUP(_xlfn.XLOOKUP($F336,Clientes!$B$4:$B$39,Clientes!$C$4:$C$39),Cadastros!$L$6:$L$12,Cadastros!$M$6:$M$12)," ")</f>
        <v xml:space="preserve"> </v>
      </c>
      <c r="AB336" s="28"/>
      <c r="AC336" s="28"/>
      <c r="AD336" s="20" t="str">
        <f>IF(AB336="","",IF($F336="Bernardino Furlan",_xlfn.XLOOKUP(AB336,Cadastros!$G$6:$G$90,Cadastros!$H$6:$H$90)*(1-0.18),IF($F336="Mauro José Salanti",_xlfn.XLOOKUP(AB336,Cadastros!$G$6:$G$90,Cadastros!$H$6:$H$90)*(1-0.18),_xlfn.XLOOKUP(AB336,Cadastros!$G$6:$G$90,Cadastros!$H$6:$H$90))))</f>
        <v/>
      </c>
      <c r="AE336" s="168" t="str">
        <f t="shared" si="70"/>
        <v/>
      </c>
      <c r="AF336" s="168" t="str">
        <f t="shared" si="71"/>
        <v/>
      </c>
      <c r="AG336" s="28"/>
      <c r="AH336" s="28"/>
      <c r="AI336" s="20" t="str">
        <f>IF(AG336="","",IF($F336="Bernardino Furlan",_xlfn.XLOOKUP(AG336,Cadastros!$G$6:$G$90,Cadastros!$H$6:$H$90)*(1-0.18),IF($F336="Mauro José Salanti",_xlfn.XLOOKUP(AG336,Cadastros!$G$6:$G$90,Cadastros!$H$6:$H$90)*(1-0.18),_xlfn.XLOOKUP(AG336,Cadastros!$G$6:$G$90,Cadastros!$H$6:$H$90))))</f>
        <v/>
      </c>
      <c r="AJ336" s="168" t="str">
        <f t="shared" si="72"/>
        <v/>
      </c>
      <c r="AK336" s="168" t="str">
        <f t="shared" si="73"/>
        <v/>
      </c>
      <c r="AL336" s="28"/>
      <c r="AM336" s="28"/>
      <c r="AN336" s="20" t="str">
        <f>IF(AL336="","",IF($F336="Bernardino Furlan",_xlfn.XLOOKUP(AL336,Cadastros!$G$6:$G$90,Cadastros!$H$6:$H$90)*(1-0.18),IF($F336="Mauro José Salanti",_xlfn.XLOOKUP(AL336,Cadastros!$G$6:$G$90,Cadastros!$H$6:$H$90)*(1-0.18),_xlfn.XLOOKUP(AL336,Cadastros!$G$6:$G$90,Cadastros!$H$6:$H$90))))</f>
        <v/>
      </c>
      <c r="AO336" s="168" t="str">
        <f t="shared" si="74"/>
        <v/>
      </c>
      <c r="AP336" s="168" t="str">
        <f t="shared" si="75"/>
        <v/>
      </c>
      <c r="AQ336" s="28"/>
      <c r="AR336" s="28"/>
      <c r="AS336" s="20" t="str">
        <f>IF(AQ336="","",IF($F336="Bernardino Furlan",_xlfn.XLOOKUP(AQ336,Cadastros!$G$6:$G$90,Cadastros!$H$6:$H$90)*(1-0.18),IF($F336="Mauro José Salanti",_xlfn.XLOOKUP(AQ336,Cadastros!$G$6:$G$90,Cadastros!$H$6:$H$90)*(1-0.18),_xlfn.XLOOKUP(AQ336,Cadastros!$G$6:$G$90,Cadastros!$H$6:$H$90))))</f>
        <v/>
      </c>
      <c r="AT336" s="168" t="str">
        <f t="shared" si="76"/>
        <v/>
      </c>
      <c r="AU336" s="168" t="str">
        <f t="shared" si="77"/>
        <v/>
      </c>
      <c r="AV336" s="227"/>
      <c r="AW336" s="30"/>
      <c r="AX336" s="267"/>
      <c r="AY336" s="267"/>
      <c r="AZ336" s="29"/>
      <c r="BA336" s="30"/>
      <c r="BB336" s="23" t="str" cm="1">
        <f t="array" ref="BB336">_xlfn.IFS(AW336="SIM",SUM(K336,P336,U336,Z336,AE336,AJ336,AO336,AT336,AX336,AY336),F336&lt;&gt;"",SUM(K336,P336,U336,Z336,AE336,AJ336,,AO336,AT336),F336="","")</f>
        <v/>
      </c>
      <c r="BC336" s="211" t="str" cm="1">
        <f t="array" ref="BC336">_xlfn.IFS(E336="","",G336&lt;=E336,BB336*(1-0.03),G336&lt;(E336+8),BB336,AZ336="Boleto",BB336*(1+0.001)^DATEDIF(E336,G336,"D"),AZ336="Cheque",BB336,AZ336="Dinheiro","Alterar forma pgto")</f>
        <v/>
      </c>
      <c r="BD336" s="276" t="str" cm="1">
        <f t="array" ref="BD336">IF(F336=0," ",IF(BC336&lt;BB336,(_xlfn.IFS(AW336="SIM",SUM(L336,Q336,V336,AA336,AF336,AK336,AP336,AU336)+AX336/_xlfn.XLOOKUP(_xlfn.XLOOKUP($F336,Clientes!$B$4:$B$39,Clientes!$C$4:$C$39),Cadastros!$L$6:$L$12,Cadastros!$M$6:$M$12)+IF($F336="Bernardino Furlan",AY336/2751.92,IF($F336="Mauro José Salanti",AY336/2751.92,AY336/3356)),F336&lt;&gt;0,SUM(L336,Q336,V336,AA336,AF336,AK336,AP336,AU336)))*(1-0.03),_xlfn.IFS(AW336="SIM",SUM(L336,Q336,V336,AA336,AF336,AK336,AP336,AU336)+AX336/_xlfn.XLOOKUP(_xlfn.XLOOKUP($F336,Clientes!$B$4:$B$39,Clientes!$C$4:$C$39),Cadastros!$L$6:$L$12,Cadastros!$M$6:$M$12)+IF($F336="Bernardino Furlan",AY336/2751.92,IF($F336="Mauro José Salanti",AY336/2751.92,AY336/3356)),F336&lt;&gt;0,SUM(L336,Q336,V336,AA336,AF336,AK336,AP336,AU336))))</f>
        <v xml:space="preserve"> </v>
      </c>
      <c r="BE336" s="120"/>
      <c r="BF336" s="120"/>
      <c r="BG336" s="120"/>
    </row>
    <row r="337" spans="1:59" s="3" customFormat="1" x14ac:dyDescent="0.3">
      <c r="A337" s="15" t="str">
        <f t="shared" si="65"/>
        <v/>
      </c>
      <c r="B337" s="25"/>
      <c r="C337" s="26"/>
      <c r="D337" s="279"/>
      <c r="E337" s="27"/>
      <c r="F337" s="28"/>
      <c r="G337" s="27"/>
      <c r="H337" s="28"/>
      <c r="I337" s="28"/>
      <c r="J337" s="255" t="str">
        <f>IF(H337="","",(_xlfn.XLOOKUP(H337,Cadastros!$D$6:$D$90,Cadastros!$E$6:$E$90))*(1-_xlfn.XLOOKUP(_xlfn.XLOOKUP($F337,Clientes!$B$4:$B$39,Clientes!$C$4:$C$39),Cadastros!$L$6:$L$12,Cadastros!$N$6:$N$12)))</f>
        <v/>
      </c>
      <c r="K337" s="168" t="str">
        <f t="shared" si="66"/>
        <v/>
      </c>
      <c r="L337" s="168" t="str">
        <f>IFERROR(K337/_xlfn.XLOOKUP(_xlfn.XLOOKUP($F337,Clientes!$B$4:$B$39,Clientes!$C$4:$C$39),Cadastros!$L$6:$L$12,Cadastros!$M$6:$M$12)," ")</f>
        <v xml:space="preserve"> </v>
      </c>
      <c r="M337" s="28"/>
      <c r="N337" s="28"/>
      <c r="O337" s="255" t="str">
        <f>IF(M337="","",(_xlfn.XLOOKUP(M337,Cadastros!$D$6:$D$90,Cadastros!$E$6:$E$90))*(1-_xlfn.XLOOKUP(_xlfn.XLOOKUP($F337,Clientes!$B$4:$B$39,Clientes!$C$4:$C$39),Cadastros!$L$6:$L$12,Cadastros!$N$6:$N$12)))</f>
        <v/>
      </c>
      <c r="P337" s="168" t="str">
        <f t="shared" si="67"/>
        <v/>
      </c>
      <c r="Q337" s="168" t="str">
        <f>IFERROR(P337/_xlfn.XLOOKUP(_xlfn.XLOOKUP($F337,Clientes!$B$4:$B$39,Clientes!$C$4:$C$39),Cadastros!$L$6:$L$12,Cadastros!$M$6:$M$12)," ")</f>
        <v xml:space="preserve"> </v>
      </c>
      <c r="R337" s="28"/>
      <c r="S337" s="28"/>
      <c r="T337" s="255" t="str">
        <f>IF(R337="","",(_xlfn.XLOOKUP(R337,Cadastros!$D$6:$D$90,Cadastros!$E$6:$E$90))*(1-_xlfn.XLOOKUP(_xlfn.XLOOKUP($F337,Clientes!$B$4:$B$39,Clientes!$C$4:$C$39),Cadastros!$L$6:$L$12,Cadastros!$N$6:$N$12)))</f>
        <v/>
      </c>
      <c r="U337" s="168" t="str">
        <f t="shared" si="68"/>
        <v/>
      </c>
      <c r="V337" s="168" t="str">
        <f>IFERROR(U337/_xlfn.XLOOKUP(_xlfn.XLOOKUP($F337,Clientes!$B$4:$B$39,Clientes!$C$4:$C$39),Cadastros!$L$6:$L$12,Cadastros!$M$6:$M$12)," ")</f>
        <v xml:space="preserve"> </v>
      </c>
      <c r="W337" s="28"/>
      <c r="X337" s="28"/>
      <c r="Y337" s="255" t="str">
        <f>IF(W337="","",(_xlfn.XLOOKUP(W337,Cadastros!$D$6:$D$90,Cadastros!$E$6:$E$90))*(1-_xlfn.XLOOKUP(_xlfn.XLOOKUP($F337,Clientes!$B$4:$B$39,Clientes!$C$4:$C$39),Cadastros!$L$6:$L$12,Cadastros!$N$6:$N$12)))</f>
        <v/>
      </c>
      <c r="Z337" s="168" t="str">
        <f t="shared" si="69"/>
        <v/>
      </c>
      <c r="AA337" s="168" t="str">
        <f>IFERROR(Z337/_xlfn.XLOOKUP(_xlfn.XLOOKUP($F337,Clientes!$B$4:$B$39,Clientes!$C$4:$C$39),Cadastros!$L$6:$L$12,Cadastros!$M$6:$M$12)," ")</f>
        <v xml:space="preserve"> </v>
      </c>
      <c r="AB337" s="28"/>
      <c r="AC337" s="28"/>
      <c r="AD337" s="20" t="str">
        <f>IF(AB337="","",IF($F337="Bernardino Furlan",_xlfn.XLOOKUP(AB337,Cadastros!$G$6:$G$90,Cadastros!$H$6:$H$90)*(1-0.18),IF($F337="Mauro José Salanti",_xlfn.XLOOKUP(AB337,Cadastros!$G$6:$G$90,Cadastros!$H$6:$H$90)*(1-0.18),_xlfn.XLOOKUP(AB337,Cadastros!$G$6:$G$90,Cadastros!$H$6:$H$90))))</f>
        <v/>
      </c>
      <c r="AE337" s="168" t="str">
        <f t="shared" si="70"/>
        <v/>
      </c>
      <c r="AF337" s="168" t="str">
        <f t="shared" si="71"/>
        <v/>
      </c>
      <c r="AG337" s="28"/>
      <c r="AH337" s="28"/>
      <c r="AI337" s="20" t="str">
        <f>IF(AG337="","",IF($F337="Bernardino Furlan",_xlfn.XLOOKUP(AG337,Cadastros!$G$6:$G$90,Cadastros!$H$6:$H$90)*(1-0.18),IF($F337="Mauro José Salanti",_xlfn.XLOOKUP(AG337,Cadastros!$G$6:$G$90,Cadastros!$H$6:$H$90)*(1-0.18),_xlfn.XLOOKUP(AG337,Cadastros!$G$6:$G$90,Cadastros!$H$6:$H$90))))</f>
        <v/>
      </c>
      <c r="AJ337" s="168" t="str">
        <f t="shared" si="72"/>
        <v/>
      </c>
      <c r="AK337" s="168" t="str">
        <f t="shared" si="73"/>
        <v/>
      </c>
      <c r="AL337" s="28"/>
      <c r="AM337" s="28"/>
      <c r="AN337" s="20" t="str">
        <f>IF(AL337="","",IF($F337="Bernardino Furlan",_xlfn.XLOOKUP(AL337,Cadastros!$G$6:$G$90,Cadastros!$H$6:$H$90)*(1-0.18),IF($F337="Mauro José Salanti",_xlfn.XLOOKUP(AL337,Cadastros!$G$6:$G$90,Cadastros!$H$6:$H$90)*(1-0.18),_xlfn.XLOOKUP(AL337,Cadastros!$G$6:$G$90,Cadastros!$H$6:$H$90))))</f>
        <v/>
      </c>
      <c r="AO337" s="168" t="str">
        <f t="shared" si="74"/>
        <v/>
      </c>
      <c r="AP337" s="168" t="str">
        <f t="shared" si="75"/>
        <v/>
      </c>
      <c r="AQ337" s="28"/>
      <c r="AR337" s="28"/>
      <c r="AS337" s="20" t="str">
        <f>IF(AQ337="","",IF($F337="Bernardino Furlan",_xlfn.XLOOKUP(AQ337,Cadastros!$G$6:$G$90,Cadastros!$H$6:$H$90)*(1-0.18),IF($F337="Mauro José Salanti",_xlfn.XLOOKUP(AQ337,Cadastros!$G$6:$G$90,Cadastros!$H$6:$H$90)*(1-0.18),_xlfn.XLOOKUP(AQ337,Cadastros!$G$6:$G$90,Cadastros!$H$6:$H$90))))</f>
        <v/>
      </c>
      <c r="AT337" s="168" t="str">
        <f t="shared" si="76"/>
        <v/>
      </c>
      <c r="AU337" s="168" t="str">
        <f t="shared" si="77"/>
        <v/>
      </c>
      <c r="AV337" s="227"/>
      <c r="AW337" s="30"/>
      <c r="AX337" s="267"/>
      <c r="AY337" s="267"/>
      <c r="AZ337" s="29"/>
      <c r="BA337" s="30"/>
      <c r="BB337" s="23" t="str" cm="1">
        <f t="array" ref="BB337">_xlfn.IFS(AW337="SIM",SUM(K337,P337,U337,Z337,AE337,AJ337,AO337,AT337,AX337,AY337),F337&lt;&gt;"",SUM(K337,P337,U337,Z337,AE337,AJ337,,AO337,AT337),F337="","")</f>
        <v/>
      </c>
      <c r="BC337" s="211" t="str" cm="1">
        <f t="array" ref="BC337">_xlfn.IFS(E337="","",G337&lt;=E337,BB337*(1-0.03),G337&lt;(E337+8),BB337,AZ337="Boleto",BB337*(1+0.001)^DATEDIF(E337,G337,"D"),AZ337="Cheque",BB337,AZ337="Dinheiro","Alterar forma pgto")</f>
        <v/>
      </c>
      <c r="BD337" s="276" t="str" cm="1">
        <f t="array" ref="BD337">IF(F337=0," ",IF(BC337&lt;BB337,(_xlfn.IFS(AW337="SIM",SUM(L337,Q337,V337,AA337,AF337,AK337,AP337,AU337)+AX337/_xlfn.XLOOKUP(_xlfn.XLOOKUP($F337,Clientes!$B$4:$B$39,Clientes!$C$4:$C$39),Cadastros!$L$6:$L$12,Cadastros!$M$6:$M$12)+IF($F337="Bernardino Furlan",AY337/2751.92,IF($F337="Mauro José Salanti",AY337/2751.92,AY337/3356)),F337&lt;&gt;0,SUM(L337,Q337,V337,AA337,AF337,AK337,AP337,AU337)))*(1-0.03),_xlfn.IFS(AW337="SIM",SUM(L337,Q337,V337,AA337,AF337,AK337,AP337,AU337)+AX337/_xlfn.XLOOKUP(_xlfn.XLOOKUP($F337,Clientes!$B$4:$B$39,Clientes!$C$4:$C$39),Cadastros!$L$6:$L$12,Cadastros!$M$6:$M$12)+IF($F337="Bernardino Furlan",AY337/2751.92,IF($F337="Mauro José Salanti",AY337/2751.92,AY337/3356)),F337&lt;&gt;0,SUM(L337,Q337,V337,AA337,AF337,AK337,AP337,AU337))))</f>
        <v xml:space="preserve"> </v>
      </c>
      <c r="BE337" s="120"/>
      <c r="BF337" s="120"/>
      <c r="BG337" s="120"/>
    </row>
    <row r="338" spans="1:59" s="3" customFormat="1" x14ac:dyDescent="0.3">
      <c r="A338" s="15" t="str">
        <f t="shared" si="65"/>
        <v/>
      </c>
      <c r="B338" s="25"/>
      <c r="C338" s="26"/>
      <c r="D338" s="279"/>
      <c r="E338" s="27"/>
      <c r="F338" s="28"/>
      <c r="G338" s="27"/>
      <c r="H338" s="28"/>
      <c r="I338" s="28"/>
      <c r="J338" s="255" t="str">
        <f>IF(H338="","",(_xlfn.XLOOKUP(H338,Cadastros!$D$6:$D$90,Cadastros!$E$6:$E$90))*(1-_xlfn.XLOOKUP(_xlfn.XLOOKUP($F338,Clientes!$B$4:$B$39,Clientes!$C$4:$C$39),Cadastros!$L$6:$L$12,Cadastros!$N$6:$N$12)))</f>
        <v/>
      </c>
      <c r="K338" s="168" t="str">
        <f t="shared" si="66"/>
        <v/>
      </c>
      <c r="L338" s="168" t="str">
        <f>IFERROR(K338/_xlfn.XLOOKUP(_xlfn.XLOOKUP($F338,Clientes!$B$4:$B$39,Clientes!$C$4:$C$39),Cadastros!$L$6:$L$12,Cadastros!$M$6:$M$12)," ")</f>
        <v xml:space="preserve"> </v>
      </c>
      <c r="M338" s="28"/>
      <c r="N338" s="28"/>
      <c r="O338" s="255" t="str">
        <f>IF(M338="","",(_xlfn.XLOOKUP(M338,Cadastros!$D$6:$D$90,Cadastros!$E$6:$E$90))*(1-_xlfn.XLOOKUP(_xlfn.XLOOKUP($F338,Clientes!$B$4:$B$39,Clientes!$C$4:$C$39),Cadastros!$L$6:$L$12,Cadastros!$N$6:$N$12)))</f>
        <v/>
      </c>
      <c r="P338" s="168" t="str">
        <f t="shared" si="67"/>
        <v/>
      </c>
      <c r="Q338" s="168" t="str">
        <f>IFERROR(P338/_xlfn.XLOOKUP(_xlfn.XLOOKUP($F338,Clientes!$B$4:$B$39,Clientes!$C$4:$C$39),Cadastros!$L$6:$L$12,Cadastros!$M$6:$M$12)," ")</f>
        <v xml:space="preserve"> </v>
      </c>
      <c r="R338" s="28"/>
      <c r="S338" s="28"/>
      <c r="T338" s="255" t="str">
        <f>IF(R338="","",(_xlfn.XLOOKUP(R338,Cadastros!$D$6:$D$90,Cadastros!$E$6:$E$90))*(1-_xlfn.XLOOKUP(_xlfn.XLOOKUP($F338,Clientes!$B$4:$B$39,Clientes!$C$4:$C$39),Cadastros!$L$6:$L$12,Cadastros!$N$6:$N$12)))</f>
        <v/>
      </c>
      <c r="U338" s="168" t="str">
        <f t="shared" si="68"/>
        <v/>
      </c>
      <c r="V338" s="168" t="str">
        <f>IFERROR(U338/_xlfn.XLOOKUP(_xlfn.XLOOKUP($F338,Clientes!$B$4:$B$39,Clientes!$C$4:$C$39),Cadastros!$L$6:$L$12,Cadastros!$M$6:$M$12)," ")</f>
        <v xml:space="preserve"> </v>
      </c>
      <c r="W338" s="28"/>
      <c r="X338" s="28"/>
      <c r="Y338" s="255" t="str">
        <f>IF(W338="","",(_xlfn.XLOOKUP(W338,Cadastros!$D$6:$D$90,Cadastros!$E$6:$E$90))*(1-_xlfn.XLOOKUP(_xlfn.XLOOKUP($F338,Clientes!$B$4:$B$39,Clientes!$C$4:$C$39),Cadastros!$L$6:$L$12,Cadastros!$N$6:$N$12)))</f>
        <v/>
      </c>
      <c r="Z338" s="168" t="str">
        <f t="shared" si="69"/>
        <v/>
      </c>
      <c r="AA338" s="168" t="str">
        <f>IFERROR(Z338/_xlfn.XLOOKUP(_xlfn.XLOOKUP($F338,Clientes!$B$4:$B$39,Clientes!$C$4:$C$39),Cadastros!$L$6:$L$12,Cadastros!$M$6:$M$12)," ")</f>
        <v xml:space="preserve"> </v>
      </c>
      <c r="AB338" s="28"/>
      <c r="AC338" s="28"/>
      <c r="AD338" s="20" t="str">
        <f>IF(AB338="","",IF($F338="Bernardino Furlan",_xlfn.XLOOKUP(AB338,Cadastros!$G$6:$G$90,Cadastros!$H$6:$H$90)*(1-0.18),IF($F338="Mauro José Salanti",_xlfn.XLOOKUP(AB338,Cadastros!$G$6:$G$90,Cadastros!$H$6:$H$90)*(1-0.18),_xlfn.XLOOKUP(AB338,Cadastros!$G$6:$G$90,Cadastros!$H$6:$H$90))))</f>
        <v/>
      </c>
      <c r="AE338" s="168" t="str">
        <f t="shared" si="70"/>
        <v/>
      </c>
      <c r="AF338" s="168" t="str">
        <f t="shared" si="71"/>
        <v/>
      </c>
      <c r="AG338" s="28"/>
      <c r="AH338" s="28"/>
      <c r="AI338" s="20" t="str">
        <f>IF(AG338="","",IF($F338="Bernardino Furlan",_xlfn.XLOOKUP(AG338,Cadastros!$G$6:$G$90,Cadastros!$H$6:$H$90)*(1-0.18),IF($F338="Mauro José Salanti",_xlfn.XLOOKUP(AG338,Cadastros!$G$6:$G$90,Cadastros!$H$6:$H$90)*(1-0.18),_xlfn.XLOOKUP(AG338,Cadastros!$G$6:$G$90,Cadastros!$H$6:$H$90))))</f>
        <v/>
      </c>
      <c r="AJ338" s="168" t="str">
        <f t="shared" si="72"/>
        <v/>
      </c>
      <c r="AK338" s="168" t="str">
        <f t="shared" si="73"/>
        <v/>
      </c>
      <c r="AL338" s="28"/>
      <c r="AM338" s="28"/>
      <c r="AN338" s="20" t="str">
        <f>IF(AL338="","",IF($F338="Bernardino Furlan",_xlfn.XLOOKUP(AL338,Cadastros!$G$6:$G$90,Cadastros!$H$6:$H$90)*(1-0.18),IF($F338="Mauro José Salanti",_xlfn.XLOOKUP(AL338,Cadastros!$G$6:$G$90,Cadastros!$H$6:$H$90)*(1-0.18),_xlfn.XLOOKUP(AL338,Cadastros!$G$6:$G$90,Cadastros!$H$6:$H$90))))</f>
        <v/>
      </c>
      <c r="AO338" s="168" t="str">
        <f t="shared" si="74"/>
        <v/>
      </c>
      <c r="AP338" s="168" t="str">
        <f t="shared" si="75"/>
        <v/>
      </c>
      <c r="AQ338" s="28"/>
      <c r="AR338" s="28"/>
      <c r="AS338" s="20" t="str">
        <f>IF(AQ338="","",IF($F338="Bernardino Furlan",_xlfn.XLOOKUP(AQ338,Cadastros!$G$6:$G$90,Cadastros!$H$6:$H$90)*(1-0.18),IF($F338="Mauro José Salanti",_xlfn.XLOOKUP(AQ338,Cadastros!$G$6:$G$90,Cadastros!$H$6:$H$90)*(1-0.18),_xlfn.XLOOKUP(AQ338,Cadastros!$G$6:$G$90,Cadastros!$H$6:$H$90))))</f>
        <v/>
      </c>
      <c r="AT338" s="168" t="str">
        <f t="shared" si="76"/>
        <v/>
      </c>
      <c r="AU338" s="168" t="str">
        <f t="shared" si="77"/>
        <v/>
      </c>
      <c r="AV338" s="227"/>
      <c r="AW338" s="30"/>
      <c r="AX338" s="267"/>
      <c r="AY338" s="267"/>
      <c r="AZ338" s="29"/>
      <c r="BA338" s="30"/>
      <c r="BB338" s="23" t="str" cm="1">
        <f t="array" ref="BB338">_xlfn.IFS(AW338="SIM",SUM(K338,P338,U338,Z338,AE338,AJ338,AO338,AT338,AX338,AY338),F338&lt;&gt;"",SUM(K338,P338,U338,Z338,AE338,AJ338,,AO338,AT338),F338="","")</f>
        <v/>
      </c>
      <c r="BC338" s="211" t="str" cm="1">
        <f t="array" ref="BC338">_xlfn.IFS(E338="","",G338&lt;=E338,BB338*(1-0.03),G338&lt;(E338+8),BB338,AZ338="Boleto",BB338*(1+0.001)^DATEDIF(E338,G338,"D"),AZ338="Cheque",BB338,AZ338="Dinheiro","Alterar forma pgto")</f>
        <v/>
      </c>
      <c r="BD338" s="276" t="str" cm="1">
        <f t="array" ref="BD338">IF(F338=0," ",IF(BC338&lt;BB338,(_xlfn.IFS(AW338="SIM",SUM(L338,Q338,V338,AA338,AF338,AK338,AP338,AU338)+AX338/_xlfn.XLOOKUP(_xlfn.XLOOKUP($F338,Clientes!$B$4:$B$39,Clientes!$C$4:$C$39),Cadastros!$L$6:$L$12,Cadastros!$M$6:$M$12)+IF($F338="Bernardino Furlan",AY338/2751.92,IF($F338="Mauro José Salanti",AY338/2751.92,AY338/3356)),F338&lt;&gt;0,SUM(L338,Q338,V338,AA338,AF338,AK338,AP338,AU338)))*(1-0.03),_xlfn.IFS(AW338="SIM",SUM(L338,Q338,V338,AA338,AF338,AK338,AP338,AU338)+AX338/_xlfn.XLOOKUP(_xlfn.XLOOKUP($F338,Clientes!$B$4:$B$39,Clientes!$C$4:$C$39),Cadastros!$L$6:$L$12,Cadastros!$M$6:$M$12)+IF($F338="Bernardino Furlan",AY338/2751.92,IF($F338="Mauro José Salanti",AY338/2751.92,AY338/3356)),F338&lt;&gt;0,SUM(L338,Q338,V338,AA338,AF338,AK338,AP338,AU338))))</f>
        <v xml:space="preserve"> </v>
      </c>
      <c r="BE338" s="120"/>
      <c r="BF338" s="120"/>
      <c r="BG338" s="120"/>
    </row>
    <row r="339" spans="1:59" s="3" customFormat="1" x14ac:dyDescent="0.3">
      <c r="A339" s="15" t="str">
        <f t="shared" si="65"/>
        <v/>
      </c>
      <c r="B339" s="25"/>
      <c r="C339" s="26"/>
      <c r="D339" s="279"/>
      <c r="E339" s="27"/>
      <c r="F339" s="28"/>
      <c r="G339" s="27"/>
      <c r="H339" s="28"/>
      <c r="I339" s="28"/>
      <c r="J339" s="255" t="str">
        <f>IF(H339="","",(_xlfn.XLOOKUP(H339,Cadastros!$D$6:$D$90,Cadastros!$E$6:$E$90))*(1-_xlfn.XLOOKUP(_xlfn.XLOOKUP($F339,Clientes!$B$4:$B$39,Clientes!$C$4:$C$39),Cadastros!$L$6:$L$12,Cadastros!$N$6:$N$12)))</f>
        <v/>
      </c>
      <c r="K339" s="168" t="str">
        <f t="shared" si="66"/>
        <v/>
      </c>
      <c r="L339" s="168" t="str">
        <f>IFERROR(K339/_xlfn.XLOOKUP(_xlfn.XLOOKUP($F339,Clientes!$B$4:$B$39,Clientes!$C$4:$C$39),Cadastros!$L$6:$L$12,Cadastros!$M$6:$M$12)," ")</f>
        <v xml:space="preserve"> </v>
      </c>
      <c r="M339" s="28"/>
      <c r="N339" s="28"/>
      <c r="O339" s="255" t="str">
        <f>IF(M339="","",(_xlfn.XLOOKUP(M339,Cadastros!$D$6:$D$90,Cadastros!$E$6:$E$90))*(1-_xlfn.XLOOKUP(_xlfn.XLOOKUP($F339,Clientes!$B$4:$B$39,Clientes!$C$4:$C$39),Cadastros!$L$6:$L$12,Cadastros!$N$6:$N$12)))</f>
        <v/>
      </c>
      <c r="P339" s="168" t="str">
        <f t="shared" si="67"/>
        <v/>
      </c>
      <c r="Q339" s="168" t="str">
        <f>IFERROR(P339/_xlfn.XLOOKUP(_xlfn.XLOOKUP($F339,Clientes!$B$4:$B$39,Clientes!$C$4:$C$39),Cadastros!$L$6:$L$12,Cadastros!$M$6:$M$12)," ")</f>
        <v xml:space="preserve"> </v>
      </c>
      <c r="R339" s="28"/>
      <c r="S339" s="28"/>
      <c r="T339" s="255" t="str">
        <f>IF(R339="","",(_xlfn.XLOOKUP(R339,Cadastros!$D$6:$D$90,Cadastros!$E$6:$E$90))*(1-_xlfn.XLOOKUP(_xlfn.XLOOKUP($F339,Clientes!$B$4:$B$39,Clientes!$C$4:$C$39),Cadastros!$L$6:$L$12,Cadastros!$N$6:$N$12)))</f>
        <v/>
      </c>
      <c r="U339" s="168" t="str">
        <f t="shared" si="68"/>
        <v/>
      </c>
      <c r="V339" s="168" t="str">
        <f>IFERROR(U339/_xlfn.XLOOKUP(_xlfn.XLOOKUP($F339,Clientes!$B$4:$B$39,Clientes!$C$4:$C$39),Cadastros!$L$6:$L$12,Cadastros!$M$6:$M$12)," ")</f>
        <v xml:space="preserve"> </v>
      </c>
      <c r="W339" s="28"/>
      <c r="X339" s="28"/>
      <c r="Y339" s="255" t="str">
        <f>IF(W339="","",(_xlfn.XLOOKUP(W339,Cadastros!$D$6:$D$90,Cadastros!$E$6:$E$90))*(1-_xlfn.XLOOKUP(_xlfn.XLOOKUP($F339,Clientes!$B$4:$B$39,Clientes!$C$4:$C$39),Cadastros!$L$6:$L$12,Cadastros!$N$6:$N$12)))</f>
        <v/>
      </c>
      <c r="Z339" s="168" t="str">
        <f t="shared" si="69"/>
        <v/>
      </c>
      <c r="AA339" s="168" t="str">
        <f>IFERROR(Z339/_xlfn.XLOOKUP(_xlfn.XLOOKUP($F339,Clientes!$B$4:$B$39,Clientes!$C$4:$C$39),Cadastros!$L$6:$L$12,Cadastros!$M$6:$M$12)," ")</f>
        <v xml:space="preserve"> </v>
      </c>
      <c r="AB339" s="28"/>
      <c r="AC339" s="28"/>
      <c r="AD339" s="20" t="str">
        <f>IF(AB339="","",IF($F339="Bernardino Furlan",_xlfn.XLOOKUP(AB339,Cadastros!$G$6:$G$90,Cadastros!$H$6:$H$90)*(1-0.18),IF($F339="Mauro José Salanti",_xlfn.XLOOKUP(AB339,Cadastros!$G$6:$G$90,Cadastros!$H$6:$H$90)*(1-0.18),_xlfn.XLOOKUP(AB339,Cadastros!$G$6:$G$90,Cadastros!$H$6:$H$90))))</f>
        <v/>
      </c>
      <c r="AE339" s="168" t="str">
        <f t="shared" si="70"/>
        <v/>
      </c>
      <c r="AF339" s="168" t="str">
        <f t="shared" si="71"/>
        <v/>
      </c>
      <c r="AG339" s="28"/>
      <c r="AH339" s="28"/>
      <c r="AI339" s="20" t="str">
        <f>IF(AG339="","",IF($F339="Bernardino Furlan",_xlfn.XLOOKUP(AG339,Cadastros!$G$6:$G$90,Cadastros!$H$6:$H$90)*(1-0.18),IF($F339="Mauro José Salanti",_xlfn.XLOOKUP(AG339,Cadastros!$G$6:$G$90,Cadastros!$H$6:$H$90)*(1-0.18),_xlfn.XLOOKUP(AG339,Cadastros!$G$6:$G$90,Cadastros!$H$6:$H$90))))</f>
        <v/>
      </c>
      <c r="AJ339" s="168" t="str">
        <f t="shared" si="72"/>
        <v/>
      </c>
      <c r="AK339" s="168" t="str">
        <f t="shared" si="73"/>
        <v/>
      </c>
      <c r="AL339" s="28"/>
      <c r="AM339" s="28"/>
      <c r="AN339" s="20" t="str">
        <f>IF(AL339="","",IF($F339="Bernardino Furlan",_xlfn.XLOOKUP(AL339,Cadastros!$G$6:$G$90,Cadastros!$H$6:$H$90)*(1-0.18),IF($F339="Mauro José Salanti",_xlfn.XLOOKUP(AL339,Cadastros!$G$6:$G$90,Cadastros!$H$6:$H$90)*(1-0.18),_xlfn.XLOOKUP(AL339,Cadastros!$G$6:$G$90,Cadastros!$H$6:$H$90))))</f>
        <v/>
      </c>
      <c r="AO339" s="168" t="str">
        <f t="shared" si="74"/>
        <v/>
      </c>
      <c r="AP339" s="168" t="str">
        <f t="shared" si="75"/>
        <v/>
      </c>
      <c r="AQ339" s="28"/>
      <c r="AR339" s="28"/>
      <c r="AS339" s="20" t="str">
        <f>IF(AQ339="","",IF($F339="Bernardino Furlan",_xlfn.XLOOKUP(AQ339,Cadastros!$G$6:$G$90,Cadastros!$H$6:$H$90)*(1-0.18),IF($F339="Mauro José Salanti",_xlfn.XLOOKUP(AQ339,Cadastros!$G$6:$G$90,Cadastros!$H$6:$H$90)*(1-0.18),_xlfn.XLOOKUP(AQ339,Cadastros!$G$6:$G$90,Cadastros!$H$6:$H$90))))</f>
        <v/>
      </c>
      <c r="AT339" s="168" t="str">
        <f t="shared" si="76"/>
        <v/>
      </c>
      <c r="AU339" s="168" t="str">
        <f t="shared" si="77"/>
        <v/>
      </c>
      <c r="AV339" s="227"/>
      <c r="AW339" s="30"/>
      <c r="AX339" s="267"/>
      <c r="AY339" s="267"/>
      <c r="AZ339" s="29"/>
      <c r="BA339" s="30"/>
      <c r="BB339" s="23" t="str" cm="1">
        <f t="array" ref="BB339">_xlfn.IFS(AW339="SIM",SUM(K339,P339,U339,Z339,AE339,AJ339,AO339,AT339,AX339,AY339),F339&lt;&gt;"",SUM(K339,P339,U339,Z339,AE339,AJ339,,AO339,AT339),F339="","")</f>
        <v/>
      </c>
      <c r="BC339" s="211" t="str" cm="1">
        <f t="array" ref="BC339">_xlfn.IFS(E339="","",G339&lt;=E339,BB339*(1-0.03),G339&lt;(E339+8),BB339,AZ339="Boleto",BB339*(1+0.001)^DATEDIF(E339,G339,"D"),AZ339="Cheque",BB339,AZ339="Dinheiro","Alterar forma pgto")</f>
        <v/>
      </c>
      <c r="BD339" s="276" t="str" cm="1">
        <f t="array" ref="BD339">IF(F339=0," ",IF(BC339&lt;BB339,(_xlfn.IFS(AW339="SIM",SUM(L339,Q339,V339,AA339,AF339,AK339,AP339,AU339)+AX339/_xlfn.XLOOKUP(_xlfn.XLOOKUP($F339,Clientes!$B$4:$B$39,Clientes!$C$4:$C$39),Cadastros!$L$6:$L$12,Cadastros!$M$6:$M$12)+IF($F339="Bernardino Furlan",AY339/2751.92,IF($F339="Mauro José Salanti",AY339/2751.92,AY339/3356)),F339&lt;&gt;0,SUM(L339,Q339,V339,AA339,AF339,AK339,AP339,AU339)))*(1-0.03),_xlfn.IFS(AW339="SIM",SUM(L339,Q339,V339,AA339,AF339,AK339,AP339,AU339)+AX339/_xlfn.XLOOKUP(_xlfn.XLOOKUP($F339,Clientes!$B$4:$B$39,Clientes!$C$4:$C$39),Cadastros!$L$6:$L$12,Cadastros!$M$6:$M$12)+IF($F339="Bernardino Furlan",AY339/2751.92,IF($F339="Mauro José Salanti",AY339/2751.92,AY339/3356)),F339&lt;&gt;0,SUM(L339,Q339,V339,AA339,AF339,AK339,AP339,AU339))))</f>
        <v xml:space="preserve"> </v>
      </c>
      <c r="BE339" s="120"/>
      <c r="BF339" s="120"/>
      <c r="BG339" s="120"/>
    </row>
    <row r="340" spans="1:59" s="3" customFormat="1" x14ac:dyDescent="0.3">
      <c r="A340" s="15" t="str">
        <f t="shared" si="65"/>
        <v/>
      </c>
      <c r="B340" s="25"/>
      <c r="C340" s="26"/>
      <c r="D340" s="279"/>
      <c r="E340" s="27"/>
      <c r="F340" s="28"/>
      <c r="G340" s="27"/>
      <c r="H340" s="28"/>
      <c r="I340" s="28"/>
      <c r="J340" s="255" t="str">
        <f>IF(H340="","",(_xlfn.XLOOKUP(H340,Cadastros!$D$6:$D$90,Cadastros!$E$6:$E$90))*(1-_xlfn.XLOOKUP(_xlfn.XLOOKUP($F340,Clientes!$B$4:$B$39,Clientes!$C$4:$C$39),Cadastros!$L$6:$L$12,Cadastros!$N$6:$N$12)))</f>
        <v/>
      </c>
      <c r="K340" s="168" t="str">
        <f t="shared" si="66"/>
        <v/>
      </c>
      <c r="L340" s="168" t="str">
        <f>IFERROR(K340/_xlfn.XLOOKUP(_xlfn.XLOOKUP($F340,Clientes!$B$4:$B$39,Clientes!$C$4:$C$39),Cadastros!$L$6:$L$12,Cadastros!$M$6:$M$12)," ")</f>
        <v xml:space="preserve"> </v>
      </c>
      <c r="M340" s="28"/>
      <c r="N340" s="28"/>
      <c r="O340" s="255" t="str">
        <f>IF(M340="","",(_xlfn.XLOOKUP(M340,Cadastros!$D$6:$D$90,Cadastros!$E$6:$E$90))*(1-_xlfn.XLOOKUP(_xlfn.XLOOKUP($F340,Clientes!$B$4:$B$39,Clientes!$C$4:$C$39),Cadastros!$L$6:$L$12,Cadastros!$N$6:$N$12)))</f>
        <v/>
      </c>
      <c r="P340" s="168" t="str">
        <f t="shared" si="67"/>
        <v/>
      </c>
      <c r="Q340" s="168" t="str">
        <f>IFERROR(P340/_xlfn.XLOOKUP(_xlfn.XLOOKUP($F340,Clientes!$B$4:$B$39,Clientes!$C$4:$C$39),Cadastros!$L$6:$L$12,Cadastros!$M$6:$M$12)," ")</f>
        <v xml:space="preserve"> </v>
      </c>
      <c r="R340" s="28"/>
      <c r="S340" s="28"/>
      <c r="T340" s="255" t="str">
        <f>IF(R340="","",(_xlfn.XLOOKUP(R340,Cadastros!$D$6:$D$90,Cadastros!$E$6:$E$90))*(1-_xlfn.XLOOKUP(_xlfn.XLOOKUP($F340,Clientes!$B$4:$B$39,Clientes!$C$4:$C$39),Cadastros!$L$6:$L$12,Cadastros!$N$6:$N$12)))</f>
        <v/>
      </c>
      <c r="U340" s="168" t="str">
        <f t="shared" si="68"/>
        <v/>
      </c>
      <c r="V340" s="168" t="str">
        <f>IFERROR(U340/_xlfn.XLOOKUP(_xlfn.XLOOKUP($F340,Clientes!$B$4:$B$39,Clientes!$C$4:$C$39),Cadastros!$L$6:$L$12,Cadastros!$M$6:$M$12)," ")</f>
        <v xml:space="preserve"> </v>
      </c>
      <c r="W340" s="28"/>
      <c r="X340" s="28"/>
      <c r="Y340" s="255" t="str">
        <f>IF(W340="","",(_xlfn.XLOOKUP(W340,Cadastros!$D$6:$D$90,Cadastros!$E$6:$E$90))*(1-_xlfn.XLOOKUP(_xlfn.XLOOKUP($F340,Clientes!$B$4:$B$39,Clientes!$C$4:$C$39),Cadastros!$L$6:$L$12,Cadastros!$N$6:$N$12)))</f>
        <v/>
      </c>
      <c r="Z340" s="168" t="str">
        <f t="shared" si="69"/>
        <v/>
      </c>
      <c r="AA340" s="168" t="str">
        <f>IFERROR(Z340/_xlfn.XLOOKUP(_xlfn.XLOOKUP($F340,Clientes!$B$4:$B$39,Clientes!$C$4:$C$39),Cadastros!$L$6:$L$12,Cadastros!$M$6:$M$12)," ")</f>
        <v xml:space="preserve"> </v>
      </c>
      <c r="AB340" s="28"/>
      <c r="AC340" s="28"/>
      <c r="AD340" s="20" t="str">
        <f>IF(AB340="","",IF($F340="Bernardino Furlan",_xlfn.XLOOKUP(AB340,Cadastros!$G$6:$G$90,Cadastros!$H$6:$H$90)*(1-0.18),IF($F340="Mauro José Salanti",_xlfn.XLOOKUP(AB340,Cadastros!$G$6:$G$90,Cadastros!$H$6:$H$90)*(1-0.18),_xlfn.XLOOKUP(AB340,Cadastros!$G$6:$G$90,Cadastros!$H$6:$H$90))))</f>
        <v/>
      </c>
      <c r="AE340" s="168" t="str">
        <f t="shared" si="70"/>
        <v/>
      </c>
      <c r="AF340" s="168" t="str">
        <f t="shared" si="71"/>
        <v/>
      </c>
      <c r="AG340" s="28"/>
      <c r="AH340" s="28"/>
      <c r="AI340" s="20" t="str">
        <f>IF(AG340="","",IF($F340="Bernardino Furlan",_xlfn.XLOOKUP(AG340,Cadastros!$G$6:$G$90,Cadastros!$H$6:$H$90)*(1-0.18),IF($F340="Mauro José Salanti",_xlfn.XLOOKUP(AG340,Cadastros!$G$6:$G$90,Cadastros!$H$6:$H$90)*(1-0.18),_xlfn.XLOOKUP(AG340,Cadastros!$G$6:$G$90,Cadastros!$H$6:$H$90))))</f>
        <v/>
      </c>
      <c r="AJ340" s="168" t="str">
        <f t="shared" si="72"/>
        <v/>
      </c>
      <c r="AK340" s="168" t="str">
        <f t="shared" si="73"/>
        <v/>
      </c>
      <c r="AL340" s="28"/>
      <c r="AM340" s="28"/>
      <c r="AN340" s="20" t="str">
        <f>IF(AL340="","",IF($F340="Bernardino Furlan",_xlfn.XLOOKUP(AL340,Cadastros!$G$6:$G$90,Cadastros!$H$6:$H$90)*(1-0.18),IF($F340="Mauro José Salanti",_xlfn.XLOOKUP(AL340,Cadastros!$G$6:$G$90,Cadastros!$H$6:$H$90)*(1-0.18),_xlfn.XLOOKUP(AL340,Cadastros!$G$6:$G$90,Cadastros!$H$6:$H$90))))</f>
        <v/>
      </c>
      <c r="AO340" s="168" t="str">
        <f t="shared" si="74"/>
        <v/>
      </c>
      <c r="AP340" s="168" t="str">
        <f t="shared" si="75"/>
        <v/>
      </c>
      <c r="AQ340" s="28"/>
      <c r="AR340" s="28"/>
      <c r="AS340" s="20" t="str">
        <f>IF(AQ340="","",IF($F340="Bernardino Furlan",_xlfn.XLOOKUP(AQ340,Cadastros!$G$6:$G$90,Cadastros!$H$6:$H$90)*(1-0.18),IF($F340="Mauro José Salanti",_xlfn.XLOOKUP(AQ340,Cadastros!$G$6:$G$90,Cadastros!$H$6:$H$90)*(1-0.18),_xlfn.XLOOKUP(AQ340,Cadastros!$G$6:$G$90,Cadastros!$H$6:$H$90))))</f>
        <v/>
      </c>
      <c r="AT340" s="168" t="str">
        <f t="shared" si="76"/>
        <v/>
      </c>
      <c r="AU340" s="168" t="str">
        <f t="shared" si="77"/>
        <v/>
      </c>
      <c r="AV340" s="227"/>
      <c r="AW340" s="30"/>
      <c r="AX340" s="267"/>
      <c r="AY340" s="267"/>
      <c r="AZ340" s="29"/>
      <c r="BA340" s="30"/>
      <c r="BB340" s="23" t="str" cm="1">
        <f t="array" ref="BB340">_xlfn.IFS(AW340="SIM",SUM(K340,P340,U340,Z340,AE340,AJ340,AO340,AT340,AX340,AY340),F340&lt;&gt;"",SUM(K340,P340,U340,Z340,AE340,AJ340,,AO340,AT340),F340="","")</f>
        <v/>
      </c>
      <c r="BC340" s="211" t="str" cm="1">
        <f t="array" ref="BC340">_xlfn.IFS(E340="","",G340&lt;=E340,BB340*(1-0.03),G340&lt;(E340+8),BB340,AZ340="Boleto",BB340*(1+0.001)^DATEDIF(E340,G340,"D"),AZ340="Cheque",BB340,AZ340="Dinheiro","Alterar forma pgto")</f>
        <v/>
      </c>
      <c r="BD340" s="276" t="str" cm="1">
        <f t="array" ref="BD340">IF(F340=0," ",IF(BC340&lt;BB340,(_xlfn.IFS(AW340="SIM",SUM(L340,Q340,V340,AA340,AF340,AK340,AP340,AU340)+AX340/_xlfn.XLOOKUP(_xlfn.XLOOKUP($F340,Clientes!$B$4:$B$39,Clientes!$C$4:$C$39),Cadastros!$L$6:$L$12,Cadastros!$M$6:$M$12)+IF($F340="Bernardino Furlan",AY340/2751.92,IF($F340="Mauro José Salanti",AY340/2751.92,AY340/3356)),F340&lt;&gt;0,SUM(L340,Q340,V340,AA340,AF340,AK340,AP340,AU340)))*(1-0.03),_xlfn.IFS(AW340="SIM",SUM(L340,Q340,V340,AA340,AF340,AK340,AP340,AU340)+AX340/_xlfn.XLOOKUP(_xlfn.XLOOKUP($F340,Clientes!$B$4:$B$39,Clientes!$C$4:$C$39),Cadastros!$L$6:$L$12,Cadastros!$M$6:$M$12)+IF($F340="Bernardino Furlan",AY340/2751.92,IF($F340="Mauro José Salanti",AY340/2751.92,AY340/3356)),F340&lt;&gt;0,SUM(L340,Q340,V340,AA340,AF340,AK340,AP340,AU340))))</f>
        <v xml:space="preserve"> </v>
      </c>
      <c r="BE340" s="120"/>
      <c r="BF340" s="120"/>
      <c r="BG340" s="120"/>
    </row>
    <row r="341" spans="1:59" s="3" customFormat="1" x14ac:dyDescent="0.3">
      <c r="A341" s="15" t="str">
        <f t="shared" si="65"/>
        <v/>
      </c>
      <c r="B341" s="25"/>
      <c r="C341" s="26"/>
      <c r="D341" s="279"/>
      <c r="E341" s="27"/>
      <c r="F341" s="28"/>
      <c r="G341" s="27"/>
      <c r="H341" s="28"/>
      <c r="I341" s="28"/>
      <c r="J341" s="255" t="str">
        <f>IF(H341="","",(_xlfn.XLOOKUP(H341,Cadastros!$D$6:$D$90,Cadastros!$E$6:$E$90))*(1-_xlfn.XLOOKUP(_xlfn.XLOOKUP($F341,Clientes!$B$4:$B$39,Clientes!$C$4:$C$39),Cadastros!$L$6:$L$12,Cadastros!$N$6:$N$12)))</f>
        <v/>
      </c>
      <c r="K341" s="168" t="str">
        <f t="shared" si="66"/>
        <v/>
      </c>
      <c r="L341" s="168" t="str">
        <f>IFERROR(K341/_xlfn.XLOOKUP(_xlfn.XLOOKUP($F341,Clientes!$B$4:$B$39,Clientes!$C$4:$C$39),Cadastros!$L$6:$L$12,Cadastros!$M$6:$M$12)," ")</f>
        <v xml:space="preserve"> </v>
      </c>
      <c r="M341" s="28"/>
      <c r="N341" s="28"/>
      <c r="O341" s="255" t="str">
        <f>IF(M341="","",(_xlfn.XLOOKUP(M341,Cadastros!$D$6:$D$90,Cadastros!$E$6:$E$90))*(1-_xlfn.XLOOKUP(_xlfn.XLOOKUP($F341,Clientes!$B$4:$B$39,Clientes!$C$4:$C$39),Cadastros!$L$6:$L$12,Cadastros!$N$6:$N$12)))</f>
        <v/>
      </c>
      <c r="P341" s="168" t="str">
        <f t="shared" si="67"/>
        <v/>
      </c>
      <c r="Q341" s="168" t="str">
        <f>IFERROR(P341/_xlfn.XLOOKUP(_xlfn.XLOOKUP($F341,Clientes!$B$4:$B$39,Clientes!$C$4:$C$39),Cadastros!$L$6:$L$12,Cadastros!$M$6:$M$12)," ")</f>
        <v xml:space="preserve"> </v>
      </c>
      <c r="R341" s="28"/>
      <c r="S341" s="28"/>
      <c r="T341" s="255" t="str">
        <f>IF(R341="","",(_xlfn.XLOOKUP(R341,Cadastros!$D$6:$D$90,Cadastros!$E$6:$E$90))*(1-_xlfn.XLOOKUP(_xlfn.XLOOKUP($F341,Clientes!$B$4:$B$39,Clientes!$C$4:$C$39),Cadastros!$L$6:$L$12,Cadastros!$N$6:$N$12)))</f>
        <v/>
      </c>
      <c r="U341" s="168" t="str">
        <f t="shared" si="68"/>
        <v/>
      </c>
      <c r="V341" s="168" t="str">
        <f>IFERROR(U341/_xlfn.XLOOKUP(_xlfn.XLOOKUP($F341,Clientes!$B$4:$B$39,Clientes!$C$4:$C$39),Cadastros!$L$6:$L$12,Cadastros!$M$6:$M$12)," ")</f>
        <v xml:space="preserve"> </v>
      </c>
      <c r="W341" s="28"/>
      <c r="X341" s="28"/>
      <c r="Y341" s="255" t="str">
        <f>IF(W341="","",(_xlfn.XLOOKUP(W341,Cadastros!$D$6:$D$90,Cadastros!$E$6:$E$90))*(1-_xlfn.XLOOKUP(_xlfn.XLOOKUP($F341,Clientes!$B$4:$B$39,Clientes!$C$4:$C$39),Cadastros!$L$6:$L$12,Cadastros!$N$6:$N$12)))</f>
        <v/>
      </c>
      <c r="Z341" s="168" t="str">
        <f t="shared" si="69"/>
        <v/>
      </c>
      <c r="AA341" s="168" t="str">
        <f>IFERROR(Z341/_xlfn.XLOOKUP(_xlfn.XLOOKUP($F341,Clientes!$B$4:$B$39,Clientes!$C$4:$C$39),Cadastros!$L$6:$L$12,Cadastros!$M$6:$M$12)," ")</f>
        <v xml:space="preserve"> </v>
      </c>
      <c r="AB341" s="28"/>
      <c r="AC341" s="28"/>
      <c r="AD341" s="20" t="str">
        <f>IF(AB341="","",IF($F341="Bernardino Furlan",_xlfn.XLOOKUP(AB341,Cadastros!$G$6:$G$90,Cadastros!$H$6:$H$90)*(1-0.18),IF($F341="Mauro José Salanti",_xlfn.XLOOKUP(AB341,Cadastros!$G$6:$G$90,Cadastros!$H$6:$H$90)*(1-0.18),_xlfn.XLOOKUP(AB341,Cadastros!$G$6:$G$90,Cadastros!$H$6:$H$90))))</f>
        <v/>
      </c>
      <c r="AE341" s="168" t="str">
        <f t="shared" si="70"/>
        <v/>
      </c>
      <c r="AF341" s="168" t="str">
        <f t="shared" si="71"/>
        <v/>
      </c>
      <c r="AG341" s="28"/>
      <c r="AH341" s="28"/>
      <c r="AI341" s="20" t="str">
        <f>IF(AG341="","",IF($F341="Bernardino Furlan",_xlfn.XLOOKUP(AG341,Cadastros!$G$6:$G$90,Cadastros!$H$6:$H$90)*(1-0.18),IF($F341="Mauro José Salanti",_xlfn.XLOOKUP(AG341,Cadastros!$G$6:$G$90,Cadastros!$H$6:$H$90)*(1-0.18),_xlfn.XLOOKUP(AG341,Cadastros!$G$6:$G$90,Cadastros!$H$6:$H$90))))</f>
        <v/>
      </c>
      <c r="AJ341" s="168" t="str">
        <f t="shared" si="72"/>
        <v/>
      </c>
      <c r="AK341" s="168" t="str">
        <f t="shared" si="73"/>
        <v/>
      </c>
      <c r="AL341" s="28"/>
      <c r="AM341" s="28"/>
      <c r="AN341" s="20" t="str">
        <f>IF(AL341="","",IF($F341="Bernardino Furlan",_xlfn.XLOOKUP(AL341,Cadastros!$G$6:$G$90,Cadastros!$H$6:$H$90)*(1-0.18),IF($F341="Mauro José Salanti",_xlfn.XLOOKUP(AL341,Cadastros!$G$6:$G$90,Cadastros!$H$6:$H$90)*(1-0.18),_xlfn.XLOOKUP(AL341,Cadastros!$G$6:$G$90,Cadastros!$H$6:$H$90))))</f>
        <v/>
      </c>
      <c r="AO341" s="168" t="str">
        <f t="shared" si="74"/>
        <v/>
      </c>
      <c r="AP341" s="168" t="str">
        <f t="shared" si="75"/>
        <v/>
      </c>
      <c r="AQ341" s="28"/>
      <c r="AR341" s="28"/>
      <c r="AS341" s="20" t="str">
        <f>IF(AQ341="","",IF($F341="Bernardino Furlan",_xlfn.XLOOKUP(AQ341,Cadastros!$G$6:$G$90,Cadastros!$H$6:$H$90)*(1-0.18),IF($F341="Mauro José Salanti",_xlfn.XLOOKUP(AQ341,Cadastros!$G$6:$G$90,Cadastros!$H$6:$H$90)*(1-0.18),_xlfn.XLOOKUP(AQ341,Cadastros!$G$6:$G$90,Cadastros!$H$6:$H$90))))</f>
        <v/>
      </c>
      <c r="AT341" s="168" t="str">
        <f t="shared" si="76"/>
        <v/>
      </c>
      <c r="AU341" s="168" t="str">
        <f t="shared" si="77"/>
        <v/>
      </c>
      <c r="AV341" s="227"/>
      <c r="AW341" s="30"/>
      <c r="AX341" s="267"/>
      <c r="AY341" s="267"/>
      <c r="AZ341" s="29"/>
      <c r="BA341" s="30"/>
      <c r="BB341" s="23" t="str" cm="1">
        <f t="array" ref="BB341">_xlfn.IFS(AW341="SIM",SUM(K341,P341,U341,Z341,AE341,AJ341,AO341,AT341,AX341,AY341),F341&lt;&gt;"",SUM(K341,P341,U341,Z341,AE341,AJ341,,AO341,AT341),F341="","")</f>
        <v/>
      </c>
      <c r="BC341" s="211" t="str" cm="1">
        <f t="array" ref="BC341">_xlfn.IFS(E341="","",G341&lt;=E341,BB341*(1-0.03),G341&lt;(E341+8),BB341,AZ341="Boleto",BB341*(1+0.001)^DATEDIF(E341,G341,"D"),AZ341="Cheque",BB341,AZ341="Dinheiro","Alterar forma pgto")</f>
        <v/>
      </c>
      <c r="BD341" s="276" t="str" cm="1">
        <f t="array" ref="BD341">IF(F341=0," ",IF(BC341&lt;BB341,(_xlfn.IFS(AW341="SIM",SUM(L341,Q341,V341,AA341,AF341,AK341,AP341,AU341)+AX341/_xlfn.XLOOKUP(_xlfn.XLOOKUP($F341,Clientes!$B$4:$B$39,Clientes!$C$4:$C$39),Cadastros!$L$6:$L$12,Cadastros!$M$6:$M$12)+IF($F341="Bernardino Furlan",AY341/2751.92,IF($F341="Mauro José Salanti",AY341/2751.92,AY341/3356)),F341&lt;&gt;0,SUM(L341,Q341,V341,AA341,AF341,AK341,AP341,AU341)))*(1-0.03),_xlfn.IFS(AW341="SIM",SUM(L341,Q341,V341,AA341,AF341,AK341,AP341,AU341)+AX341/_xlfn.XLOOKUP(_xlfn.XLOOKUP($F341,Clientes!$B$4:$B$39,Clientes!$C$4:$C$39),Cadastros!$L$6:$L$12,Cadastros!$M$6:$M$12)+IF($F341="Bernardino Furlan",AY341/2751.92,IF($F341="Mauro José Salanti",AY341/2751.92,AY341/3356)),F341&lt;&gt;0,SUM(L341,Q341,V341,AA341,AF341,AK341,AP341,AU341))))</f>
        <v xml:space="preserve"> </v>
      </c>
      <c r="BE341" s="120"/>
      <c r="BF341" s="120"/>
      <c r="BG341" s="120"/>
    </row>
    <row r="342" spans="1:59" s="3" customFormat="1" x14ac:dyDescent="0.3">
      <c r="A342" s="15" t="str">
        <f t="shared" si="65"/>
        <v/>
      </c>
      <c r="B342" s="25"/>
      <c r="C342" s="26"/>
      <c r="D342" s="279"/>
      <c r="E342" s="27"/>
      <c r="F342" s="28"/>
      <c r="G342" s="27"/>
      <c r="H342" s="28"/>
      <c r="I342" s="28"/>
      <c r="J342" s="255" t="str">
        <f>IF(H342="","",(_xlfn.XLOOKUP(H342,Cadastros!$D$6:$D$90,Cadastros!$E$6:$E$90))*(1-_xlfn.XLOOKUP(_xlfn.XLOOKUP($F342,Clientes!$B$4:$B$39,Clientes!$C$4:$C$39),Cadastros!$L$6:$L$12,Cadastros!$N$6:$N$12)))</f>
        <v/>
      </c>
      <c r="K342" s="168" t="str">
        <f t="shared" si="66"/>
        <v/>
      </c>
      <c r="L342" s="168" t="str">
        <f>IFERROR(K342/_xlfn.XLOOKUP(_xlfn.XLOOKUP($F342,Clientes!$B$4:$B$39,Clientes!$C$4:$C$39),Cadastros!$L$6:$L$12,Cadastros!$M$6:$M$12)," ")</f>
        <v xml:space="preserve"> </v>
      </c>
      <c r="M342" s="28"/>
      <c r="N342" s="28"/>
      <c r="O342" s="255" t="str">
        <f>IF(M342="","",(_xlfn.XLOOKUP(M342,Cadastros!$D$6:$D$90,Cadastros!$E$6:$E$90))*(1-_xlfn.XLOOKUP(_xlfn.XLOOKUP($F342,Clientes!$B$4:$B$39,Clientes!$C$4:$C$39),Cadastros!$L$6:$L$12,Cadastros!$N$6:$N$12)))</f>
        <v/>
      </c>
      <c r="P342" s="168" t="str">
        <f t="shared" si="67"/>
        <v/>
      </c>
      <c r="Q342" s="168" t="str">
        <f>IFERROR(P342/_xlfn.XLOOKUP(_xlfn.XLOOKUP($F342,Clientes!$B$4:$B$39,Clientes!$C$4:$C$39),Cadastros!$L$6:$L$12,Cadastros!$M$6:$M$12)," ")</f>
        <v xml:space="preserve"> </v>
      </c>
      <c r="R342" s="28"/>
      <c r="S342" s="28"/>
      <c r="T342" s="255" t="str">
        <f>IF(R342="","",(_xlfn.XLOOKUP(R342,Cadastros!$D$6:$D$90,Cadastros!$E$6:$E$90))*(1-_xlfn.XLOOKUP(_xlfn.XLOOKUP($F342,Clientes!$B$4:$B$39,Clientes!$C$4:$C$39),Cadastros!$L$6:$L$12,Cadastros!$N$6:$N$12)))</f>
        <v/>
      </c>
      <c r="U342" s="168" t="str">
        <f t="shared" si="68"/>
        <v/>
      </c>
      <c r="V342" s="168" t="str">
        <f>IFERROR(U342/_xlfn.XLOOKUP(_xlfn.XLOOKUP($F342,Clientes!$B$4:$B$39,Clientes!$C$4:$C$39),Cadastros!$L$6:$L$12,Cadastros!$M$6:$M$12)," ")</f>
        <v xml:space="preserve"> </v>
      </c>
      <c r="W342" s="28"/>
      <c r="X342" s="28"/>
      <c r="Y342" s="255" t="str">
        <f>IF(W342="","",(_xlfn.XLOOKUP(W342,Cadastros!$D$6:$D$90,Cadastros!$E$6:$E$90))*(1-_xlfn.XLOOKUP(_xlfn.XLOOKUP($F342,Clientes!$B$4:$B$39,Clientes!$C$4:$C$39),Cadastros!$L$6:$L$12,Cadastros!$N$6:$N$12)))</f>
        <v/>
      </c>
      <c r="Z342" s="168" t="str">
        <f t="shared" si="69"/>
        <v/>
      </c>
      <c r="AA342" s="168" t="str">
        <f>IFERROR(Z342/_xlfn.XLOOKUP(_xlfn.XLOOKUP($F342,Clientes!$B$4:$B$39,Clientes!$C$4:$C$39),Cadastros!$L$6:$L$12,Cadastros!$M$6:$M$12)," ")</f>
        <v xml:space="preserve"> </v>
      </c>
      <c r="AB342" s="28"/>
      <c r="AC342" s="28"/>
      <c r="AD342" s="20" t="str">
        <f>IF(AB342="","",IF($F342="Bernardino Furlan",_xlfn.XLOOKUP(AB342,Cadastros!$G$6:$G$90,Cadastros!$H$6:$H$90)*(1-0.18),IF($F342="Mauro José Salanti",_xlfn.XLOOKUP(AB342,Cadastros!$G$6:$G$90,Cadastros!$H$6:$H$90)*(1-0.18),_xlfn.XLOOKUP(AB342,Cadastros!$G$6:$G$90,Cadastros!$H$6:$H$90))))</f>
        <v/>
      </c>
      <c r="AE342" s="168" t="str">
        <f t="shared" si="70"/>
        <v/>
      </c>
      <c r="AF342" s="168" t="str">
        <f t="shared" si="71"/>
        <v/>
      </c>
      <c r="AG342" s="28"/>
      <c r="AH342" s="28"/>
      <c r="AI342" s="20" t="str">
        <f>IF(AG342="","",IF($F342="Bernardino Furlan",_xlfn.XLOOKUP(AG342,Cadastros!$G$6:$G$90,Cadastros!$H$6:$H$90)*(1-0.18),IF($F342="Mauro José Salanti",_xlfn.XLOOKUP(AG342,Cadastros!$G$6:$G$90,Cadastros!$H$6:$H$90)*(1-0.18),_xlfn.XLOOKUP(AG342,Cadastros!$G$6:$G$90,Cadastros!$H$6:$H$90))))</f>
        <v/>
      </c>
      <c r="AJ342" s="168" t="str">
        <f t="shared" si="72"/>
        <v/>
      </c>
      <c r="AK342" s="168" t="str">
        <f t="shared" si="73"/>
        <v/>
      </c>
      <c r="AL342" s="28"/>
      <c r="AM342" s="28"/>
      <c r="AN342" s="20" t="str">
        <f>IF(AL342="","",IF($F342="Bernardino Furlan",_xlfn.XLOOKUP(AL342,Cadastros!$G$6:$G$90,Cadastros!$H$6:$H$90)*(1-0.18),IF($F342="Mauro José Salanti",_xlfn.XLOOKUP(AL342,Cadastros!$G$6:$G$90,Cadastros!$H$6:$H$90)*(1-0.18),_xlfn.XLOOKUP(AL342,Cadastros!$G$6:$G$90,Cadastros!$H$6:$H$90))))</f>
        <v/>
      </c>
      <c r="AO342" s="168" t="str">
        <f t="shared" si="74"/>
        <v/>
      </c>
      <c r="AP342" s="168" t="str">
        <f t="shared" si="75"/>
        <v/>
      </c>
      <c r="AQ342" s="28"/>
      <c r="AR342" s="28"/>
      <c r="AS342" s="20" t="str">
        <f>IF(AQ342="","",IF($F342="Bernardino Furlan",_xlfn.XLOOKUP(AQ342,Cadastros!$G$6:$G$90,Cadastros!$H$6:$H$90)*(1-0.18),IF($F342="Mauro José Salanti",_xlfn.XLOOKUP(AQ342,Cadastros!$G$6:$G$90,Cadastros!$H$6:$H$90)*(1-0.18),_xlfn.XLOOKUP(AQ342,Cadastros!$G$6:$G$90,Cadastros!$H$6:$H$90))))</f>
        <v/>
      </c>
      <c r="AT342" s="168" t="str">
        <f t="shared" si="76"/>
        <v/>
      </c>
      <c r="AU342" s="168" t="str">
        <f t="shared" si="77"/>
        <v/>
      </c>
      <c r="AV342" s="227"/>
      <c r="AW342" s="30"/>
      <c r="AX342" s="267"/>
      <c r="AY342" s="267"/>
      <c r="AZ342" s="29"/>
      <c r="BA342" s="30"/>
      <c r="BB342" s="23" t="str" cm="1">
        <f t="array" ref="BB342">_xlfn.IFS(AW342="SIM",SUM(K342,P342,U342,Z342,AE342,AJ342,AO342,AT342,AX342,AY342),F342&lt;&gt;"",SUM(K342,P342,U342,Z342,AE342,AJ342,,AO342,AT342),F342="","")</f>
        <v/>
      </c>
      <c r="BC342" s="211" t="str" cm="1">
        <f t="array" ref="BC342">_xlfn.IFS(E342="","",G342&lt;=E342,BB342*(1-0.03),G342&lt;(E342+8),BB342,AZ342="Boleto",BB342*(1+0.001)^DATEDIF(E342,G342,"D"),AZ342="Cheque",BB342,AZ342="Dinheiro","Alterar forma pgto")</f>
        <v/>
      </c>
      <c r="BD342" s="276" t="str" cm="1">
        <f t="array" ref="BD342">IF(F342=0," ",IF(BC342&lt;BB342,(_xlfn.IFS(AW342="SIM",SUM(L342,Q342,V342,AA342,AF342,AK342,AP342,AU342)+AX342/_xlfn.XLOOKUP(_xlfn.XLOOKUP($F342,Clientes!$B$4:$B$39,Clientes!$C$4:$C$39),Cadastros!$L$6:$L$12,Cadastros!$M$6:$M$12)+IF($F342="Bernardino Furlan",AY342/2751.92,IF($F342="Mauro José Salanti",AY342/2751.92,AY342/3356)),F342&lt;&gt;0,SUM(L342,Q342,V342,AA342,AF342,AK342,AP342,AU342)))*(1-0.03),_xlfn.IFS(AW342="SIM",SUM(L342,Q342,V342,AA342,AF342,AK342,AP342,AU342)+AX342/_xlfn.XLOOKUP(_xlfn.XLOOKUP($F342,Clientes!$B$4:$B$39,Clientes!$C$4:$C$39),Cadastros!$L$6:$L$12,Cadastros!$M$6:$M$12)+IF($F342="Bernardino Furlan",AY342/2751.92,IF($F342="Mauro José Salanti",AY342/2751.92,AY342/3356)),F342&lt;&gt;0,SUM(L342,Q342,V342,AA342,AF342,AK342,AP342,AU342))))</f>
        <v xml:space="preserve"> </v>
      </c>
      <c r="BE342" s="120"/>
      <c r="BF342" s="120"/>
      <c r="BG342" s="120"/>
    </row>
    <row r="343" spans="1:59" s="3" customFormat="1" x14ac:dyDescent="0.3">
      <c r="A343" s="15" t="str">
        <f t="shared" si="65"/>
        <v/>
      </c>
      <c r="B343" s="25"/>
      <c r="C343" s="26"/>
      <c r="D343" s="279"/>
      <c r="E343" s="27"/>
      <c r="F343" s="28"/>
      <c r="G343" s="27"/>
      <c r="H343" s="28"/>
      <c r="I343" s="28"/>
      <c r="J343" s="255" t="str">
        <f>IF(H343="","",(_xlfn.XLOOKUP(H343,Cadastros!$D$6:$D$90,Cadastros!$E$6:$E$90))*(1-_xlfn.XLOOKUP(_xlfn.XLOOKUP($F343,Clientes!$B$4:$B$39,Clientes!$C$4:$C$39),Cadastros!$L$6:$L$12,Cadastros!$N$6:$N$12)))</f>
        <v/>
      </c>
      <c r="K343" s="168" t="str">
        <f t="shared" si="66"/>
        <v/>
      </c>
      <c r="L343" s="168" t="str">
        <f>IFERROR(K343/_xlfn.XLOOKUP(_xlfn.XLOOKUP($F343,Clientes!$B$4:$B$39,Clientes!$C$4:$C$39),Cadastros!$L$6:$L$12,Cadastros!$M$6:$M$12)," ")</f>
        <v xml:space="preserve"> </v>
      </c>
      <c r="M343" s="28"/>
      <c r="N343" s="28"/>
      <c r="O343" s="255" t="str">
        <f>IF(M343="","",(_xlfn.XLOOKUP(M343,Cadastros!$D$6:$D$90,Cadastros!$E$6:$E$90))*(1-_xlfn.XLOOKUP(_xlfn.XLOOKUP($F343,Clientes!$B$4:$B$39,Clientes!$C$4:$C$39),Cadastros!$L$6:$L$12,Cadastros!$N$6:$N$12)))</f>
        <v/>
      </c>
      <c r="P343" s="168" t="str">
        <f t="shared" si="67"/>
        <v/>
      </c>
      <c r="Q343" s="168" t="str">
        <f>IFERROR(P343/_xlfn.XLOOKUP(_xlfn.XLOOKUP($F343,Clientes!$B$4:$B$39,Clientes!$C$4:$C$39),Cadastros!$L$6:$L$12,Cadastros!$M$6:$M$12)," ")</f>
        <v xml:space="preserve"> </v>
      </c>
      <c r="R343" s="28"/>
      <c r="S343" s="28"/>
      <c r="T343" s="255" t="str">
        <f>IF(R343="","",(_xlfn.XLOOKUP(R343,Cadastros!$D$6:$D$90,Cadastros!$E$6:$E$90))*(1-_xlfn.XLOOKUP(_xlfn.XLOOKUP($F343,Clientes!$B$4:$B$39,Clientes!$C$4:$C$39),Cadastros!$L$6:$L$12,Cadastros!$N$6:$N$12)))</f>
        <v/>
      </c>
      <c r="U343" s="168" t="str">
        <f t="shared" si="68"/>
        <v/>
      </c>
      <c r="V343" s="168" t="str">
        <f>IFERROR(U343/_xlfn.XLOOKUP(_xlfn.XLOOKUP($F343,Clientes!$B$4:$B$39,Clientes!$C$4:$C$39),Cadastros!$L$6:$L$12,Cadastros!$M$6:$M$12)," ")</f>
        <v xml:space="preserve"> </v>
      </c>
      <c r="W343" s="28"/>
      <c r="X343" s="28"/>
      <c r="Y343" s="255" t="str">
        <f>IF(W343="","",(_xlfn.XLOOKUP(W343,Cadastros!$D$6:$D$90,Cadastros!$E$6:$E$90))*(1-_xlfn.XLOOKUP(_xlfn.XLOOKUP($F343,Clientes!$B$4:$B$39,Clientes!$C$4:$C$39),Cadastros!$L$6:$L$12,Cadastros!$N$6:$N$12)))</f>
        <v/>
      </c>
      <c r="Z343" s="168" t="str">
        <f t="shared" si="69"/>
        <v/>
      </c>
      <c r="AA343" s="168" t="str">
        <f>IFERROR(Z343/_xlfn.XLOOKUP(_xlfn.XLOOKUP($F343,Clientes!$B$4:$B$39,Clientes!$C$4:$C$39),Cadastros!$L$6:$L$12,Cadastros!$M$6:$M$12)," ")</f>
        <v xml:space="preserve"> </v>
      </c>
      <c r="AB343" s="28"/>
      <c r="AC343" s="28"/>
      <c r="AD343" s="20" t="str">
        <f>IF(AB343="","",IF($F343="Bernardino Furlan",_xlfn.XLOOKUP(AB343,Cadastros!$G$6:$G$90,Cadastros!$H$6:$H$90)*(1-0.18),IF($F343="Mauro José Salanti",_xlfn.XLOOKUP(AB343,Cadastros!$G$6:$G$90,Cadastros!$H$6:$H$90)*(1-0.18),_xlfn.XLOOKUP(AB343,Cadastros!$G$6:$G$90,Cadastros!$H$6:$H$90))))</f>
        <v/>
      </c>
      <c r="AE343" s="168" t="str">
        <f t="shared" si="70"/>
        <v/>
      </c>
      <c r="AF343" s="168" t="str">
        <f t="shared" si="71"/>
        <v/>
      </c>
      <c r="AG343" s="28"/>
      <c r="AH343" s="28"/>
      <c r="AI343" s="20" t="str">
        <f>IF(AG343="","",IF($F343="Bernardino Furlan",_xlfn.XLOOKUP(AG343,Cadastros!$G$6:$G$90,Cadastros!$H$6:$H$90)*(1-0.18),IF($F343="Mauro José Salanti",_xlfn.XLOOKUP(AG343,Cadastros!$G$6:$G$90,Cadastros!$H$6:$H$90)*(1-0.18),_xlfn.XLOOKUP(AG343,Cadastros!$G$6:$G$90,Cadastros!$H$6:$H$90))))</f>
        <v/>
      </c>
      <c r="AJ343" s="168" t="str">
        <f t="shared" si="72"/>
        <v/>
      </c>
      <c r="AK343" s="168" t="str">
        <f t="shared" si="73"/>
        <v/>
      </c>
      <c r="AL343" s="28"/>
      <c r="AM343" s="28"/>
      <c r="AN343" s="20" t="str">
        <f>IF(AL343="","",IF($F343="Bernardino Furlan",_xlfn.XLOOKUP(AL343,Cadastros!$G$6:$G$90,Cadastros!$H$6:$H$90)*(1-0.18),IF($F343="Mauro José Salanti",_xlfn.XLOOKUP(AL343,Cadastros!$G$6:$G$90,Cadastros!$H$6:$H$90)*(1-0.18),_xlfn.XLOOKUP(AL343,Cadastros!$G$6:$G$90,Cadastros!$H$6:$H$90))))</f>
        <v/>
      </c>
      <c r="AO343" s="168" t="str">
        <f t="shared" si="74"/>
        <v/>
      </c>
      <c r="AP343" s="168" t="str">
        <f t="shared" si="75"/>
        <v/>
      </c>
      <c r="AQ343" s="28"/>
      <c r="AR343" s="28"/>
      <c r="AS343" s="20" t="str">
        <f>IF(AQ343="","",IF($F343="Bernardino Furlan",_xlfn.XLOOKUP(AQ343,Cadastros!$G$6:$G$90,Cadastros!$H$6:$H$90)*(1-0.18),IF($F343="Mauro José Salanti",_xlfn.XLOOKUP(AQ343,Cadastros!$G$6:$G$90,Cadastros!$H$6:$H$90)*(1-0.18),_xlfn.XLOOKUP(AQ343,Cadastros!$G$6:$G$90,Cadastros!$H$6:$H$90))))</f>
        <v/>
      </c>
      <c r="AT343" s="168" t="str">
        <f t="shared" si="76"/>
        <v/>
      </c>
      <c r="AU343" s="168" t="str">
        <f t="shared" si="77"/>
        <v/>
      </c>
      <c r="AV343" s="227"/>
      <c r="AW343" s="30"/>
      <c r="AX343" s="267"/>
      <c r="AY343" s="267"/>
      <c r="AZ343" s="29"/>
      <c r="BA343" s="30"/>
      <c r="BB343" s="23" t="str" cm="1">
        <f t="array" ref="BB343">_xlfn.IFS(AW343="SIM",SUM(K343,P343,U343,Z343,AE343,AJ343,AO343,AT343,AX343,AY343),F343&lt;&gt;"",SUM(K343,P343,U343,Z343,AE343,AJ343,,AO343,AT343),F343="","")</f>
        <v/>
      </c>
      <c r="BC343" s="211" t="str" cm="1">
        <f t="array" ref="BC343">_xlfn.IFS(E343="","",G343&lt;=E343,BB343*(1-0.03),G343&lt;(E343+8),BB343,AZ343="Boleto",BB343*(1+0.001)^DATEDIF(E343,G343,"D"),AZ343="Cheque",BB343,AZ343="Dinheiro","Alterar forma pgto")</f>
        <v/>
      </c>
      <c r="BD343" s="276" t="str" cm="1">
        <f t="array" ref="BD343">IF(F343=0," ",IF(BC343&lt;BB343,(_xlfn.IFS(AW343="SIM",SUM(L343,Q343,V343,AA343,AF343,AK343,AP343,AU343)+AX343/_xlfn.XLOOKUP(_xlfn.XLOOKUP($F343,Clientes!$B$4:$B$39,Clientes!$C$4:$C$39),Cadastros!$L$6:$L$12,Cadastros!$M$6:$M$12)+IF($F343="Bernardino Furlan",AY343/2751.92,IF($F343="Mauro José Salanti",AY343/2751.92,AY343/3356)),F343&lt;&gt;0,SUM(L343,Q343,V343,AA343,AF343,AK343,AP343,AU343)))*(1-0.03),_xlfn.IFS(AW343="SIM",SUM(L343,Q343,V343,AA343,AF343,AK343,AP343,AU343)+AX343/_xlfn.XLOOKUP(_xlfn.XLOOKUP($F343,Clientes!$B$4:$B$39,Clientes!$C$4:$C$39),Cadastros!$L$6:$L$12,Cadastros!$M$6:$M$12)+IF($F343="Bernardino Furlan",AY343/2751.92,IF($F343="Mauro José Salanti",AY343/2751.92,AY343/3356)),F343&lt;&gt;0,SUM(L343,Q343,V343,AA343,AF343,AK343,AP343,AU343))))</f>
        <v xml:space="preserve"> </v>
      </c>
      <c r="BE343" s="120"/>
      <c r="BF343" s="120"/>
      <c r="BG343" s="120"/>
    </row>
    <row r="344" spans="1:59" s="3" customFormat="1" x14ac:dyDescent="0.3">
      <c r="A344" s="15" t="str">
        <f t="shared" si="65"/>
        <v/>
      </c>
      <c r="B344" s="25"/>
      <c r="C344" s="26"/>
      <c r="D344" s="279"/>
      <c r="E344" s="27"/>
      <c r="F344" s="28"/>
      <c r="G344" s="27"/>
      <c r="H344" s="28"/>
      <c r="I344" s="28"/>
      <c r="J344" s="255" t="str">
        <f>IF(H344="","",(_xlfn.XLOOKUP(H344,Cadastros!$D$6:$D$90,Cadastros!$E$6:$E$90))*(1-_xlfn.XLOOKUP(_xlfn.XLOOKUP($F344,Clientes!$B$4:$B$39,Clientes!$C$4:$C$39),Cadastros!$L$6:$L$12,Cadastros!$N$6:$N$12)))</f>
        <v/>
      </c>
      <c r="K344" s="168" t="str">
        <f t="shared" si="66"/>
        <v/>
      </c>
      <c r="L344" s="168" t="str">
        <f>IFERROR(K344/_xlfn.XLOOKUP(_xlfn.XLOOKUP($F344,Clientes!$B$4:$B$39,Clientes!$C$4:$C$39),Cadastros!$L$6:$L$12,Cadastros!$M$6:$M$12)," ")</f>
        <v xml:space="preserve"> </v>
      </c>
      <c r="M344" s="28"/>
      <c r="N344" s="28"/>
      <c r="O344" s="255" t="str">
        <f>IF(M344="","",(_xlfn.XLOOKUP(M344,Cadastros!$D$6:$D$90,Cadastros!$E$6:$E$90))*(1-_xlfn.XLOOKUP(_xlfn.XLOOKUP($F344,Clientes!$B$4:$B$39,Clientes!$C$4:$C$39),Cadastros!$L$6:$L$12,Cadastros!$N$6:$N$12)))</f>
        <v/>
      </c>
      <c r="P344" s="168" t="str">
        <f t="shared" si="67"/>
        <v/>
      </c>
      <c r="Q344" s="168" t="str">
        <f>IFERROR(P344/_xlfn.XLOOKUP(_xlfn.XLOOKUP($F344,Clientes!$B$4:$B$39,Clientes!$C$4:$C$39),Cadastros!$L$6:$L$12,Cadastros!$M$6:$M$12)," ")</f>
        <v xml:space="preserve"> </v>
      </c>
      <c r="R344" s="28"/>
      <c r="S344" s="28"/>
      <c r="T344" s="255" t="str">
        <f>IF(R344="","",(_xlfn.XLOOKUP(R344,Cadastros!$D$6:$D$90,Cadastros!$E$6:$E$90))*(1-_xlfn.XLOOKUP(_xlfn.XLOOKUP($F344,Clientes!$B$4:$B$39,Clientes!$C$4:$C$39),Cadastros!$L$6:$L$12,Cadastros!$N$6:$N$12)))</f>
        <v/>
      </c>
      <c r="U344" s="168" t="str">
        <f t="shared" si="68"/>
        <v/>
      </c>
      <c r="V344" s="168" t="str">
        <f>IFERROR(U344/_xlfn.XLOOKUP(_xlfn.XLOOKUP($F344,Clientes!$B$4:$B$39,Clientes!$C$4:$C$39),Cadastros!$L$6:$L$12,Cadastros!$M$6:$M$12)," ")</f>
        <v xml:space="preserve"> </v>
      </c>
      <c r="W344" s="28"/>
      <c r="X344" s="28"/>
      <c r="Y344" s="255" t="str">
        <f>IF(W344="","",(_xlfn.XLOOKUP(W344,Cadastros!$D$6:$D$90,Cadastros!$E$6:$E$90))*(1-_xlfn.XLOOKUP(_xlfn.XLOOKUP($F344,Clientes!$B$4:$B$39,Clientes!$C$4:$C$39),Cadastros!$L$6:$L$12,Cadastros!$N$6:$N$12)))</f>
        <v/>
      </c>
      <c r="Z344" s="168" t="str">
        <f t="shared" si="69"/>
        <v/>
      </c>
      <c r="AA344" s="168" t="str">
        <f>IFERROR(Z344/_xlfn.XLOOKUP(_xlfn.XLOOKUP($F344,Clientes!$B$4:$B$39,Clientes!$C$4:$C$39),Cadastros!$L$6:$L$12,Cadastros!$M$6:$M$12)," ")</f>
        <v xml:space="preserve"> </v>
      </c>
      <c r="AB344" s="28"/>
      <c r="AC344" s="28"/>
      <c r="AD344" s="20" t="str">
        <f>IF(AB344="","",IF($F344="Bernardino Furlan",_xlfn.XLOOKUP(AB344,Cadastros!$G$6:$G$90,Cadastros!$H$6:$H$90)*(1-0.18),IF($F344="Mauro José Salanti",_xlfn.XLOOKUP(AB344,Cadastros!$G$6:$G$90,Cadastros!$H$6:$H$90)*(1-0.18),_xlfn.XLOOKUP(AB344,Cadastros!$G$6:$G$90,Cadastros!$H$6:$H$90))))</f>
        <v/>
      </c>
      <c r="AE344" s="168" t="str">
        <f t="shared" si="70"/>
        <v/>
      </c>
      <c r="AF344" s="168" t="str">
        <f t="shared" si="71"/>
        <v/>
      </c>
      <c r="AG344" s="28"/>
      <c r="AH344" s="28"/>
      <c r="AI344" s="20" t="str">
        <f>IF(AG344="","",IF($F344="Bernardino Furlan",_xlfn.XLOOKUP(AG344,Cadastros!$G$6:$G$90,Cadastros!$H$6:$H$90)*(1-0.18),IF($F344="Mauro José Salanti",_xlfn.XLOOKUP(AG344,Cadastros!$G$6:$G$90,Cadastros!$H$6:$H$90)*(1-0.18),_xlfn.XLOOKUP(AG344,Cadastros!$G$6:$G$90,Cadastros!$H$6:$H$90))))</f>
        <v/>
      </c>
      <c r="AJ344" s="168" t="str">
        <f t="shared" si="72"/>
        <v/>
      </c>
      <c r="AK344" s="168" t="str">
        <f t="shared" si="73"/>
        <v/>
      </c>
      <c r="AL344" s="28"/>
      <c r="AM344" s="28"/>
      <c r="AN344" s="20" t="str">
        <f>IF(AL344="","",IF($F344="Bernardino Furlan",_xlfn.XLOOKUP(AL344,Cadastros!$G$6:$G$90,Cadastros!$H$6:$H$90)*(1-0.18),IF($F344="Mauro José Salanti",_xlfn.XLOOKUP(AL344,Cadastros!$G$6:$G$90,Cadastros!$H$6:$H$90)*(1-0.18),_xlfn.XLOOKUP(AL344,Cadastros!$G$6:$G$90,Cadastros!$H$6:$H$90))))</f>
        <v/>
      </c>
      <c r="AO344" s="168" t="str">
        <f t="shared" si="74"/>
        <v/>
      </c>
      <c r="AP344" s="168" t="str">
        <f t="shared" si="75"/>
        <v/>
      </c>
      <c r="AQ344" s="28"/>
      <c r="AR344" s="28"/>
      <c r="AS344" s="20" t="str">
        <f>IF(AQ344="","",IF($F344="Bernardino Furlan",_xlfn.XLOOKUP(AQ344,Cadastros!$G$6:$G$90,Cadastros!$H$6:$H$90)*(1-0.18),IF($F344="Mauro José Salanti",_xlfn.XLOOKUP(AQ344,Cadastros!$G$6:$G$90,Cadastros!$H$6:$H$90)*(1-0.18),_xlfn.XLOOKUP(AQ344,Cadastros!$G$6:$G$90,Cadastros!$H$6:$H$90))))</f>
        <v/>
      </c>
      <c r="AT344" s="168" t="str">
        <f t="shared" si="76"/>
        <v/>
      </c>
      <c r="AU344" s="168" t="str">
        <f t="shared" si="77"/>
        <v/>
      </c>
      <c r="AV344" s="227"/>
      <c r="AW344" s="30"/>
      <c r="AX344" s="267"/>
      <c r="AY344" s="267"/>
      <c r="AZ344" s="29"/>
      <c r="BA344" s="30"/>
      <c r="BB344" s="23" t="str" cm="1">
        <f t="array" ref="BB344">_xlfn.IFS(AW344="SIM",SUM(K344,P344,U344,Z344,AE344,AJ344,AO344,AT344,AX344,AY344),F344&lt;&gt;"",SUM(K344,P344,U344,Z344,AE344,AJ344,,AO344,AT344),F344="","")</f>
        <v/>
      </c>
      <c r="BC344" s="211" t="str" cm="1">
        <f t="array" ref="BC344">_xlfn.IFS(E344="","",G344&lt;=E344,BB344*(1-0.03),G344&lt;(E344+8),BB344,AZ344="Boleto",BB344*(1+0.001)^DATEDIF(E344,G344,"D"),AZ344="Cheque",BB344,AZ344="Dinheiro","Alterar forma pgto")</f>
        <v/>
      </c>
      <c r="BD344" s="276" t="str" cm="1">
        <f t="array" ref="BD344">IF(F344=0," ",IF(BC344&lt;BB344,(_xlfn.IFS(AW344="SIM",SUM(L344,Q344,V344,AA344,AF344,AK344,AP344,AU344)+AX344/_xlfn.XLOOKUP(_xlfn.XLOOKUP($F344,Clientes!$B$4:$B$39,Clientes!$C$4:$C$39),Cadastros!$L$6:$L$12,Cadastros!$M$6:$M$12)+IF($F344="Bernardino Furlan",AY344/2751.92,IF($F344="Mauro José Salanti",AY344/2751.92,AY344/3356)),F344&lt;&gt;0,SUM(L344,Q344,V344,AA344,AF344,AK344,AP344,AU344)))*(1-0.03),_xlfn.IFS(AW344="SIM",SUM(L344,Q344,V344,AA344,AF344,AK344,AP344,AU344)+AX344/_xlfn.XLOOKUP(_xlfn.XLOOKUP($F344,Clientes!$B$4:$B$39,Clientes!$C$4:$C$39),Cadastros!$L$6:$L$12,Cadastros!$M$6:$M$12)+IF($F344="Bernardino Furlan",AY344/2751.92,IF($F344="Mauro José Salanti",AY344/2751.92,AY344/3356)),F344&lt;&gt;0,SUM(L344,Q344,V344,AA344,AF344,AK344,AP344,AU344))))</f>
        <v xml:space="preserve"> </v>
      </c>
      <c r="BE344" s="120"/>
      <c r="BF344" s="120"/>
      <c r="BG344" s="120"/>
    </row>
    <row r="345" spans="1:59" s="3" customFormat="1" x14ac:dyDescent="0.3">
      <c r="A345" s="15" t="str">
        <f t="shared" si="65"/>
        <v/>
      </c>
      <c r="B345" s="34"/>
      <c r="C345" s="35"/>
      <c r="D345" s="280"/>
      <c r="E345" s="36"/>
      <c r="F345" s="37"/>
      <c r="G345" s="36"/>
      <c r="H345" s="37"/>
      <c r="I345" s="37"/>
      <c r="J345" s="255" t="str">
        <f>IF(H345="","",(_xlfn.XLOOKUP(H345,Cadastros!$D$6:$D$90,Cadastros!$E$6:$E$90))*(1-_xlfn.XLOOKUP(_xlfn.XLOOKUP($F345,Clientes!$B$4:$B$39,Clientes!$C$4:$C$39),Cadastros!$L$6:$L$12,Cadastros!$N$6:$N$12)))</f>
        <v/>
      </c>
      <c r="K345" s="168" t="str">
        <f t="shared" si="66"/>
        <v/>
      </c>
      <c r="L345" s="168" t="str">
        <f>IFERROR(K345/_xlfn.XLOOKUP(_xlfn.XLOOKUP($F345,Clientes!$B$4:$B$39,Clientes!$C$4:$C$39),Cadastros!$L$6:$L$12,Cadastros!$M$6:$M$12)," ")</f>
        <v xml:space="preserve"> </v>
      </c>
      <c r="M345" s="37"/>
      <c r="N345" s="37"/>
      <c r="O345" s="255" t="str">
        <f>IF(M345="","",(_xlfn.XLOOKUP(M345,Cadastros!$D$6:$D$90,Cadastros!$E$6:$E$90))*(1-_xlfn.XLOOKUP(_xlfn.XLOOKUP($F345,Clientes!$B$4:$B$39,Clientes!$C$4:$C$39),Cadastros!$L$6:$L$12,Cadastros!$N$6:$N$12)))</f>
        <v/>
      </c>
      <c r="P345" s="168" t="str">
        <f t="shared" si="67"/>
        <v/>
      </c>
      <c r="Q345" s="168" t="str">
        <f>IFERROR(P345/_xlfn.XLOOKUP(_xlfn.XLOOKUP($F345,Clientes!$B$4:$B$39,Clientes!$C$4:$C$39),Cadastros!$L$6:$L$12,Cadastros!$M$6:$M$12)," ")</f>
        <v xml:space="preserve"> </v>
      </c>
      <c r="R345" s="37"/>
      <c r="S345" s="37"/>
      <c r="T345" s="255" t="str">
        <f>IF(R345="","",(_xlfn.XLOOKUP(R345,Cadastros!$D$6:$D$90,Cadastros!$E$6:$E$90))*(1-_xlfn.XLOOKUP(_xlfn.XLOOKUP($F345,Clientes!$B$4:$B$39,Clientes!$C$4:$C$39),Cadastros!$L$6:$L$12,Cadastros!$N$6:$N$12)))</f>
        <v/>
      </c>
      <c r="U345" s="168" t="str">
        <f t="shared" si="68"/>
        <v/>
      </c>
      <c r="V345" s="168" t="str">
        <f>IFERROR(U345/_xlfn.XLOOKUP(_xlfn.XLOOKUP($F345,Clientes!$B$4:$B$39,Clientes!$C$4:$C$39),Cadastros!$L$6:$L$12,Cadastros!$M$6:$M$12)," ")</f>
        <v xml:space="preserve"> </v>
      </c>
      <c r="W345" s="37"/>
      <c r="X345" s="37"/>
      <c r="Y345" s="255" t="str">
        <f>IF(W345="","",(_xlfn.XLOOKUP(W345,Cadastros!$D$6:$D$90,Cadastros!$E$6:$E$90))*(1-_xlfn.XLOOKUP(_xlfn.XLOOKUP($F345,Clientes!$B$4:$B$39,Clientes!$C$4:$C$39),Cadastros!$L$6:$L$12,Cadastros!$N$6:$N$12)))</f>
        <v/>
      </c>
      <c r="Z345" s="168" t="str">
        <f t="shared" si="69"/>
        <v/>
      </c>
      <c r="AA345" s="168" t="str">
        <f>IFERROR(Z345/_xlfn.XLOOKUP(_xlfn.XLOOKUP($F345,Clientes!$B$4:$B$39,Clientes!$C$4:$C$39),Cadastros!$L$6:$L$12,Cadastros!$M$6:$M$12)," ")</f>
        <v xml:space="preserve"> </v>
      </c>
      <c r="AB345" s="37"/>
      <c r="AC345" s="37"/>
      <c r="AD345" s="20" t="str">
        <f>IF(AB345="","",IF($F345="Bernardino Furlan",_xlfn.XLOOKUP(AB345,Cadastros!$G$6:$G$90,Cadastros!$H$6:$H$90)*(1-0.18),IF($F345="Mauro José Salanti",_xlfn.XLOOKUP(AB345,Cadastros!$G$6:$G$90,Cadastros!$H$6:$H$90)*(1-0.18),_xlfn.XLOOKUP(AB345,Cadastros!$G$6:$G$90,Cadastros!$H$6:$H$90))))</f>
        <v/>
      </c>
      <c r="AE345" s="168" t="str">
        <f t="shared" si="70"/>
        <v/>
      </c>
      <c r="AF345" s="168" t="str">
        <f t="shared" si="71"/>
        <v/>
      </c>
      <c r="AG345" s="37"/>
      <c r="AH345" s="37"/>
      <c r="AI345" s="20" t="str">
        <f>IF(AG345="","",IF($F345="Bernardino Furlan",_xlfn.XLOOKUP(AG345,Cadastros!$G$6:$G$90,Cadastros!$H$6:$H$90)*(1-0.18),IF($F345="Mauro José Salanti",_xlfn.XLOOKUP(AG345,Cadastros!$G$6:$G$90,Cadastros!$H$6:$H$90)*(1-0.18),_xlfn.XLOOKUP(AG345,Cadastros!$G$6:$G$90,Cadastros!$H$6:$H$90))))</f>
        <v/>
      </c>
      <c r="AJ345" s="168" t="str">
        <f t="shared" si="72"/>
        <v/>
      </c>
      <c r="AK345" s="168" t="str">
        <f t="shared" si="73"/>
        <v/>
      </c>
      <c r="AL345" s="37"/>
      <c r="AM345" s="37"/>
      <c r="AN345" s="20" t="str">
        <f>IF(AL345="","",IF($F345="Bernardino Furlan",_xlfn.XLOOKUP(AL345,Cadastros!$G$6:$G$90,Cadastros!$H$6:$H$90)*(1-0.18),IF($F345="Mauro José Salanti",_xlfn.XLOOKUP(AL345,Cadastros!$G$6:$G$90,Cadastros!$H$6:$H$90)*(1-0.18),_xlfn.XLOOKUP(AL345,Cadastros!$G$6:$G$90,Cadastros!$H$6:$H$90))))</f>
        <v/>
      </c>
      <c r="AO345" s="168" t="str">
        <f t="shared" si="74"/>
        <v/>
      </c>
      <c r="AP345" s="168" t="str">
        <f t="shared" si="75"/>
        <v/>
      </c>
      <c r="AQ345" s="37"/>
      <c r="AR345" s="37"/>
      <c r="AS345" s="20" t="str">
        <f>IF(AQ345="","",IF($F345="Bernardino Furlan",_xlfn.XLOOKUP(AQ345,Cadastros!$G$6:$G$90,Cadastros!$H$6:$H$90)*(1-0.18),IF($F345="Mauro José Salanti",_xlfn.XLOOKUP(AQ345,Cadastros!$G$6:$G$90,Cadastros!$H$6:$H$90)*(1-0.18),_xlfn.XLOOKUP(AQ345,Cadastros!$G$6:$G$90,Cadastros!$H$6:$H$90))))</f>
        <v/>
      </c>
      <c r="AT345" s="168" t="str">
        <f t="shared" si="76"/>
        <v/>
      </c>
      <c r="AU345" s="168" t="str">
        <f t="shared" si="77"/>
        <v/>
      </c>
      <c r="AV345" s="228"/>
      <c r="AW345" s="38"/>
      <c r="AX345" s="268"/>
      <c r="AY345" s="268"/>
      <c r="AZ345" s="33"/>
      <c r="BA345" s="38"/>
      <c r="BB345" s="23" t="str" cm="1">
        <f t="array" ref="BB345">_xlfn.IFS(AW345="SIM",SUM(K345,P345,U345,Z345,AE345,AJ345,AO345,AT345,AX345,AY345),F345&lt;&gt;"",SUM(K345,P345,U345,Z345,AE345,AJ345,,AO345,AT345),F345="","")</f>
        <v/>
      </c>
      <c r="BC345" s="211" t="str" cm="1">
        <f t="array" ref="BC345">_xlfn.IFS(E345="","",G345&lt;=E345,BB345*(1-0.03),G345&lt;(E345+8),BB345,AZ345="Boleto",BB345*(1+0.001)^DATEDIF(E345,G345,"D"),AZ345="Cheque",BB345,AZ345="Dinheiro","Alterar forma pgto")</f>
        <v/>
      </c>
      <c r="BD345" s="276" t="str" cm="1">
        <f t="array" ref="BD345">IF(F345=0," ",IF(BC345&lt;BB345,(_xlfn.IFS(AW345="SIM",SUM(L345,Q345,V345,AA345,AF345,AK345,AP345,AU345)+AX345/_xlfn.XLOOKUP(_xlfn.XLOOKUP($F345,Clientes!$B$4:$B$39,Clientes!$C$4:$C$39),Cadastros!$L$6:$L$12,Cadastros!$M$6:$M$12)+IF($F345="Bernardino Furlan",AY345/2751.92,IF($F345="Mauro José Salanti",AY345/2751.92,AY345/3356)),F345&lt;&gt;0,SUM(L345,Q345,V345,AA345,AF345,AK345,AP345,AU345)))*(1-0.03),_xlfn.IFS(AW345="SIM",SUM(L345,Q345,V345,AA345,AF345,AK345,AP345,AU345)+AX345/_xlfn.XLOOKUP(_xlfn.XLOOKUP($F345,Clientes!$B$4:$B$39,Clientes!$C$4:$C$39),Cadastros!$L$6:$L$12,Cadastros!$M$6:$M$12)+IF($F345="Bernardino Furlan",AY345/2751.92,IF($F345="Mauro José Salanti",AY345/2751.92,AY345/3356)),F345&lt;&gt;0,SUM(L345,Q345,V345,AA345,AF345,AK345,AP345,AU345))))</f>
        <v xml:space="preserve"> </v>
      </c>
      <c r="BE345" s="120"/>
      <c r="BF345" s="120"/>
      <c r="BG345" s="120"/>
    </row>
    <row r="346" spans="1:59" s="3" customFormat="1" x14ac:dyDescent="0.3">
      <c r="A346" s="15" t="str">
        <f t="shared" si="65"/>
        <v/>
      </c>
      <c r="B346" s="25"/>
      <c r="C346" s="26"/>
      <c r="D346" s="279"/>
      <c r="E346" s="27"/>
      <c r="F346" s="28"/>
      <c r="G346" s="27"/>
      <c r="H346" s="28"/>
      <c r="I346" s="28"/>
      <c r="J346" s="255" t="str">
        <f>IF(H346="","",(_xlfn.XLOOKUP(H346,Cadastros!$D$6:$D$90,Cadastros!$E$6:$E$90))*(1-_xlfn.XLOOKUP(_xlfn.XLOOKUP($F346,Clientes!$B$4:$B$39,Clientes!$C$4:$C$39),Cadastros!$L$6:$L$12,Cadastros!$N$6:$N$12)))</f>
        <v/>
      </c>
      <c r="K346" s="168" t="str">
        <f t="shared" si="66"/>
        <v/>
      </c>
      <c r="L346" s="168" t="str">
        <f>IFERROR(K346/_xlfn.XLOOKUP(_xlfn.XLOOKUP($F346,Clientes!$B$4:$B$39,Clientes!$C$4:$C$39),Cadastros!$L$6:$L$12,Cadastros!$M$6:$M$12)," ")</f>
        <v xml:space="preserve"> </v>
      </c>
      <c r="M346" s="28"/>
      <c r="N346" s="28"/>
      <c r="O346" s="255" t="str">
        <f>IF(M346="","",(_xlfn.XLOOKUP(M346,Cadastros!$D$6:$D$90,Cadastros!$E$6:$E$90))*(1-_xlfn.XLOOKUP(_xlfn.XLOOKUP($F346,Clientes!$B$4:$B$39,Clientes!$C$4:$C$39),Cadastros!$L$6:$L$12,Cadastros!$N$6:$N$12)))</f>
        <v/>
      </c>
      <c r="P346" s="168" t="str">
        <f t="shared" si="67"/>
        <v/>
      </c>
      <c r="Q346" s="168" t="str">
        <f>IFERROR(P346/_xlfn.XLOOKUP(_xlfn.XLOOKUP($F346,Clientes!$B$4:$B$39,Clientes!$C$4:$C$39),Cadastros!$L$6:$L$12,Cadastros!$M$6:$M$12)," ")</f>
        <v xml:space="preserve"> </v>
      </c>
      <c r="R346" s="28"/>
      <c r="S346" s="28"/>
      <c r="T346" s="255" t="str">
        <f>IF(R346="","",(_xlfn.XLOOKUP(R346,Cadastros!$D$6:$D$90,Cadastros!$E$6:$E$90))*(1-_xlfn.XLOOKUP(_xlfn.XLOOKUP($F346,Clientes!$B$4:$B$39,Clientes!$C$4:$C$39),Cadastros!$L$6:$L$12,Cadastros!$N$6:$N$12)))</f>
        <v/>
      </c>
      <c r="U346" s="168" t="str">
        <f t="shared" si="68"/>
        <v/>
      </c>
      <c r="V346" s="168" t="str">
        <f>IFERROR(U346/_xlfn.XLOOKUP(_xlfn.XLOOKUP($F346,Clientes!$B$4:$B$39,Clientes!$C$4:$C$39),Cadastros!$L$6:$L$12,Cadastros!$M$6:$M$12)," ")</f>
        <v xml:space="preserve"> </v>
      </c>
      <c r="W346" s="28"/>
      <c r="X346" s="28"/>
      <c r="Y346" s="255" t="str">
        <f>IF(W346="","",(_xlfn.XLOOKUP(W346,Cadastros!$D$6:$D$90,Cadastros!$E$6:$E$90))*(1-_xlfn.XLOOKUP(_xlfn.XLOOKUP($F346,Clientes!$B$4:$B$39,Clientes!$C$4:$C$39),Cadastros!$L$6:$L$12,Cadastros!$N$6:$N$12)))</f>
        <v/>
      </c>
      <c r="Z346" s="168" t="str">
        <f t="shared" si="69"/>
        <v/>
      </c>
      <c r="AA346" s="168" t="str">
        <f>IFERROR(Z346/_xlfn.XLOOKUP(_xlfn.XLOOKUP($F346,Clientes!$B$4:$B$39,Clientes!$C$4:$C$39),Cadastros!$L$6:$L$12,Cadastros!$M$6:$M$12)," ")</f>
        <v xml:space="preserve"> </v>
      </c>
      <c r="AB346" s="28"/>
      <c r="AC346" s="28"/>
      <c r="AD346" s="20" t="str">
        <f>IF(AB346="","",IF($F346="Bernardino Furlan",_xlfn.XLOOKUP(AB346,Cadastros!$G$6:$G$90,Cadastros!$H$6:$H$90)*(1-0.18),IF($F346="Mauro José Salanti",_xlfn.XLOOKUP(AB346,Cadastros!$G$6:$G$90,Cadastros!$H$6:$H$90)*(1-0.18),_xlfn.XLOOKUP(AB346,Cadastros!$G$6:$G$90,Cadastros!$H$6:$H$90))))</f>
        <v/>
      </c>
      <c r="AE346" s="168" t="str">
        <f t="shared" si="70"/>
        <v/>
      </c>
      <c r="AF346" s="168" t="str">
        <f t="shared" si="71"/>
        <v/>
      </c>
      <c r="AG346" s="28"/>
      <c r="AH346" s="28"/>
      <c r="AI346" s="20" t="str">
        <f>IF(AG346="","",IF($F346="Bernardino Furlan",_xlfn.XLOOKUP(AG346,Cadastros!$G$6:$G$90,Cadastros!$H$6:$H$90)*(1-0.18),IF($F346="Mauro José Salanti",_xlfn.XLOOKUP(AG346,Cadastros!$G$6:$G$90,Cadastros!$H$6:$H$90)*(1-0.18),_xlfn.XLOOKUP(AG346,Cadastros!$G$6:$G$90,Cadastros!$H$6:$H$90))))</f>
        <v/>
      </c>
      <c r="AJ346" s="168" t="str">
        <f t="shared" si="72"/>
        <v/>
      </c>
      <c r="AK346" s="168" t="str">
        <f t="shared" si="73"/>
        <v/>
      </c>
      <c r="AL346" s="28"/>
      <c r="AM346" s="28"/>
      <c r="AN346" s="20" t="str">
        <f>IF(AL346="","",IF($F346="Bernardino Furlan",_xlfn.XLOOKUP(AL346,Cadastros!$G$6:$G$90,Cadastros!$H$6:$H$90)*(1-0.18),IF($F346="Mauro José Salanti",_xlfn.XLOOKUP(AL346,Cadastros!$G$6:$G$90,Cadastros!$H$6:$H$90)*(1-0.18),_xlfn.XLOOKUP(AL346,Cadastros!$G$6:$G$90,Cadastros!$H$6:$H$90))))</f>
        <v/>
      </c>
      <c r="AO346" s="168" t="str">
        <f t="shared" si="74"/>
        <v/>
      </c>
      <c r="AP346" s="168" t="str">
        <f t="shared" si="75"/>
        <v/>
      </c>
      <c r="AQ346" s="28"/>
      <c r="AR346" s="28"/>
      <c r="AS346" s="20" t="str">
        <f>IF(AQ346="","",IF($F346="Bernardino Furlan",_xlfn.XLOOKUP(AQ346,Cadastros!$G$6:$G$90,Cadastros!$H$6:$H$90)*(1-0.18),IF($F346="Mauro José Salanti",_xlfn.XLOOKUP(AQ346,Cadastros!$G$6:$G$90,Cadastros!$H$6:$H$90)*(1-0.18),_xlfn.XLOOKUP(AQ346,Cadastros!$G$6:$G$90,Cadastros!$H$6:$H$90))))</f>
        <v/>
      </c>
      <c r="AT346" s="168" t="str">
        <f t="shared" si="76"/>
        <v/>
      </c>
      <c r="AU346" s="168" t="str">
        <f t="shared" si="77"/>
        <v/>
      </c>
      <c r="AV346" s="227"/>
      <c r="AW346" s="30"/>
      <c r="AX346" s="267"/>
      <c r="AY346" s="267"/>
      <c r="AZ346" s="29"/>
      <c r="BA346" s="30"/>
      <c r="BB346" s="23" t="str" cm="1">
        <f t="array" ref="BB346">_xlfn.IFS(AW346="SIM",SUM(K346,P346,U346,Z346,AE346,AJ346,AO346,AT346,AX346,AY346),F346&lt;&gt;"",SUM(K346,P346,U346,Z346,AE346,AJ346,,AO346,AT346),F346="","")</f>
        <v/>
      </c>
      <c r="BC346" s="211" t="str" cm="1">
        <f t="array" ref="BC346">_xlfn.IFS(E346="","",G346&lt;=E346,BB346*(1-0.03),G346&lt;(E346+8),BB346,AZ346="Boleto",BB346*(1+0.001)^DATEDIF(E346,G346,"D"),AZ346="Cheque",BB346,AZ346="Dinheiro","Alterar forma pgto")</f>
        <v/>
      </c>
      <c r="BD346" s="276" t="str" cm="1">
        <f t="array" ref="BD346">IF(F346=0," ",IF(BC346&lt;BB346,(_xlfn.IFS(AW346="SIM",SUM(L346,Q346,V346,AA346,AF346,AK346,AP346,AU346)+AX346/_xlfn.XLOOKUP(_xlfn.XLOOKUP($F346,Clientes!$B$4:$B$39,Clientes!$C$4:$C$39),Cadastros!$L$6:$L$12,Cadastros!$M$6:$M$12)+IF($F346="Bernardino Furlan",AY346/2751.92,IF($F346="Mauro José Salanti",AY346/2751.92,AY346/3356)),F346&lt;&gt;0,SUM(L346,Q346,V346,AA346,AF346,AK346,AP346,AU346)))*(1-0.03),_xlfn.IFS(AW346="SIM",SUM(L346,Q346,V346,AA346,AF346,AK346,AP346,AU346)+AX346/_xlfn.XLOOKUP(_xlfn.XLOOKUP($F346,Clientes!$B$4:$B$39,Clientes!$C$4:$C$39),Cadastros!$L$6:$L$12,Cadastros!$M$6:$M$12)+IF($F346="Bernardino Furlan",AY346/2751.92,IF($F346="Mauro José Salanti",AY346/2751.92,AY346/3356)),F346&lt;&gt;0,SUM(L346,Q346,V346,AA346,AF346,AK346,AP346,AU346))))</f>
        <v xml:space="preserve"> </v>
      </c>
      <c r="BE346" s="120"/>
      <c r="BF346" s="120"/>
      <c r="BG346" s="120"/>
    </row>
    <row r="347" spans="1:59" s="3" customFormat="1" x14ac:dyDescent="0.3">
      <c r="A347" s="15" t="str">
        <f t="shared" si="65"/>
        <v/>
      </c>
      <c r="B347" s="25"/>
      <c r="C347" s="26"/>
      <c r="D347" s="279"/>
      <c r="E347" s="27"/>
      <c r="F347" s="28"/>
      <c r="G347" s="27"/>
      <c r="H347" s="28"/>
      <c r="I347" s="28"/>
      <c r="J347" s="255" t="str">
        <f>IF(H347="","",(_xlfn.XLOOKUP(H347,Cadastros!$D$6:$D$90,Cadastros!$E$6:$E$90))*(1-_xlfn.XLOOKUP(_xlfn.XLOOKUP($F347,Clientes!$B$4:$B$39,Clientes!$C$4:$C$39),Cadastros!$L$6:$L$12,Cadastros!$N$6:$N$12)))</f>
        <v/>
      </c>
      <c r="K347" s="168" t="str">
        <f t="shared" si="66"/>
        <v/>
      </c>
      <c r="L347" s="168" t="str">
        <f>IFERROR(K347/_xlfn.XLOOKUP(_xlfn.XLOOKUP($F347,Clientes!$B$4:$B$39,Clientes!$C$4:$C$39),Cadastros!$L$6:$L$12,Cadastros!$M$6:$M$12)," ")</f>
        <v xml:space="preserve"> </v>
      </c>
      <c r="M347" s="28"/>
      <c r="N347" s="28"/>
      <c r="O347" s="255" t="str">
        <f>IF(M347="","",(_xlfn.XLOOKUP(M347,Cadastros!$D$6:$D$90,Cadastros!$E$6:$E$90))*(1-_xlfn.XLOOKUP(_xlfn.XLOOKUP($F347,Clientes!$B$4:$B$39,Clientes!$C$4:$C$39),Cadastros!$L$6:$L$12,Cadastros!$N$6:$N$12)))</f>
        <v/>
      </c>
      <c r="P347" s="168" t="str">
        <f t="shared" si="67"/>
        <v/>
      </c>
      <c r="Q347" s="168" t="str">
        <f>IFERROR(P347/_xlfn.XLOOKUP(_xlfn.XLOOKUP($F347,Clientes!$B$4:$B$39,Clientes!$C$4:$C$39),Cadastros!$L$6:$L$12,Cadastros!$M$6:$M$12)," ")</f>
        <v xml:space="preserve"> </v>
      </c>
      <c r="R347" s="28"/>
      <c r="S347" s="28"/>
      <c r="T347" s="255" t="str">
        <f>IF(R347="","",(_xlfn.XLOOKUP(R347,Cadastros!$D$6:$D$90,Cadastros!$E$6:$E$90))*(1-_xlfn.XLOOKUP(_xlfn.XLOOKUP($F347,Clientes!$B$4:$B$39,Clientes!$C$4:$C$39),Cadastros!$L$6:$L$12,Cadastros!$N$6:$N$12)))</f>
        <v/>
      </c>
      <c r="U347" s="168" t="str">
        <f t="shared" si="68"/>
        <v/>
      </c>
      <c r="V347" s="168" t="str">
        <f>IFERROR(U347/_xlfn.XLOOKUP(_xlfn.XLOOKUP($F347,Clientes!$B$4:$B$39,Clientes!$C$4:$C$39),Cadastros!$L$6:$L$12,Cadastros!$M$6:$M$12)," ")</f>
        <v xml:space="preserve"> </v>
      </c>
      <c r="W347" s="28"/>
      <c r="X347" s="28"/>
      <c r="Y347" s="255" t="str">
        <f>IF(W347="","",(_xlfn.XLOOKUP(W347,Cadastros!$D$6:$D$90,Cadastros!$E$6:$E$90))*(1-_xlfn.XLOOKUP(_xlfn.XLOOKUP($F347,Clientes!$B$4:$B$39,Clientes!$C$4:$C$39),Cadastros!$L$6:$L$12,Cadastros!$N$6:$N$12)))</f>
        <v/>
      </c>
      <c r="Z347" s="168" t="str">
        <f t="shared" si="69"/>
        <v/>
      </c>
      <c r="AA347" s="168" t="str">
        <f>IFERROR(Z347/_xlfn.XLOOKUP(_xlfn.XLOOKUP($F347,Clientes!$B$4:$B$39,Clientes!$C$4:$C$39),Cadastros!$L$6:$L$12,Cadastros!$M$6:$M$12)," ")</f>
        <v xml:space="preserve"> </v>
      </c>
      <c r="AB347" s="28"/>
      <c r="AC347" s="28"/>
      <c r="AD347" s="20" t="str">
        <f>IF(AB347="","",IF($F347="Bernardino Furlan",_xlfn.XLOOKUP(AB347,Cadastros!$G$6:$G$90,Cadastros!$H$6:$H$90)*(1-0.18),IF($F347="Mauro José Salanti",_xlfn.XLOOKUP(AB347,Cadastros!$G$6:$G$90,Cadastros!$H$6:$H$90)*(1-0.18),_xlfn.XLOOKUP(AB347,Cadastros!$G$6:$G$90,Cadastros!$H$6:$H$90))))</f>
        <v/>
      </c>
      <c r="AE347" s="168" t="str">
        <f t="shared" si="70"/>
        <v/>
      </c>
      <c r="AF347" s="168" t="str">
        <f t="shared" si="71"/>
        <v/>
      </c>
      <c r="AG347" s="28"/>
      <c r="AH347" s="28"/>
      <c r="AI347" s="20" t="str">
        <f>IF(AG347="","",IF($F347="Bernardino Furlan",_xlfn.XLOOKUP(AG347,Cadastros!$G$6:$G$90,Cadastros!$H$6:$H$90)*(1-0.18),IF($F347="Mauro José Salanti",_xlfn.XLOOKUP(AG347,Cadastros!$G$6:$G$90,Cadastros!$H$6:$H$90)*(1-0.18),_xlfn.XLOOKUP(AG347,Cadastros!$G$6:$G$90,Cadastros!$H$6:$H$90))))</f>
        <v/>
      </c>
      <c r="AJ347" s="168" t="str">
        <f t="shared" si="72"/>
        <v/>
      </c>
      <c r="AK347" s="168" t="str">
        <f t="shared" si="73"/>
        <v/>
      </c>
      <c r="AL347" s="28"/>
      <c r="AM347" s="28"/>
      <c r="AN347" s="20" t="str">
        <f>IF(AL347="","",IF($F347="Bernardino Furlan",_xlfn.XLOOKUP(AL347,Cadastros!$G$6:$G$90,Cadastros!$H$6:$H$90)*(1-0.18),IF($F347="Mauro José Salanti",_xlfn.XLOOKUP(AL347,Cadastros!$G$6:$G$90,Cadastros!$H$6:$H$90)*(1-0.18),_xlfn.XLOOKUP(AL347,Cadastros!$G$6:$G$90,Cadastros!$H$6:$H$90))))</f>
        <v/>
      </c>
      <c r="AO347" s="168" t="str">
        <f t="shared" si="74"/>
        <v/>
      </c>
      <c r="AP347" s="168" t="str">
        <f t="shared" si="75"/>
        <v/>
      </c>
      <c r="AQ347" s="28"/>
      <c r="AR347" s="28"/>
      <c r="AS347" s="20" t="str">
        <f>IF(AQ347="","",IF($F347="Bernardino Furlan",_xlfn.XLOOKUP(AQ347,Cadastros!$G$6:$G$90,Cadastros!$H$6:$H$90)*(1-0.18),IF($F347="Mauro José Salanti",_xlfn.XLOOKUP(AQ347,Cadastros!$G$6:$G$90,Cadastros!$H$6:$H$90)*(1-0.18),_xlfn.XLOOKUP(AQ347,Cadastros!$G$6:$G$90,Cadastros!$H$6:$H$90))))</f>
        <v/>
      </c>
      <c r="AT347" s="168" t="str">
        <f t="shared" si="76"/>
        <v/>
      </c>
      <c r="AU347" s="168" t="str">
        <f t="shared" si="77"/>
        <v/>
      </c>
      <c r="AV347" s="227"/>
      <c r="AW347" s="30"/>
      <c r="AX347" s="267"/>
      <c r="AY347" s="267"/>
      <c r="AZ347" s="29"/>
      <c r="BA347" s="30"/>
      <c r="BB347" s="23" t="str" cm="1">
        <f t="array" ref="BB347">_xlfn.IFS(AW347="SIM",SUM(K347,P347,U347,Z347,AE347,AJ347,AO347,AT347,AX347,AY347),F347&lt;&gt;"",SUM(K347,P347,U347,Z347,AE347,AJ347,,AO347,AT347),F347="","")</f>
        <v/>
      </c>
      <c r="BC347" s="211" t="str" cm="1">
        <f t="array" ref="BC347">_xlfn.IFS(E347="","",G347&lt;=E347,BB347*(1-0.03),G347&lt;(E347+8),BB347,AZ347="Boleto",BB347*(1+0.001)^DATEDIF(E347,G347,"D"),AZ347="Cheque",BB347,AZ347="Dinheiro","Alterar forma pgto")</f>
        <v/>
      </c>
      <c r="BD347" s="276" t="str" cm="1">
        <f t="array" ref="BD347">IF(F347=0," ",IF(BC347&lt;BB347,(_xlfn.IFS(AW347="SIM",SUM(L347,Q347,V347,AA347,AF347,AK347,AP347,AU347)+AX347/_xlfn.XLOOKUP(_xlfn.XLOOKUP($F347,Clientes!$B$4:$B$39,Clientes!$C$4:$C$39),Cadastros!$L$6:$L$12,Cadastros!$M$6:$M$12)+IF($F347="Bernardino Furlan",AY347/2751.92,IF($F347="Mauro José Salanti",AY347/2751.92,AY347/3356)),F347&lt;&gt;0,SUM(L347,Q347,V347,AA347,AF347,AK347,AP347,AU347)))*(1-0.03),_xlfn.IFS(AW347="SIM",SUM(L347,Q347,V347,AA347,AF347,AK347,AP347,AU347)+AX347/_xlfn.XLOOKUP(_xlfn.XLOOKUP($F347,Clientes!$B$4:$B$39,Clientes!$C$4:$C$39),Cadastros!$L$6:$L$12,Cadastros!$M$6:$M$12)+IF($F347="Bernardino Furlan",AY347/2751.92,IF($F347="Mauro José Salanti",AY347/2751.92,AY347/3356)),F347&lt;&gt;0,SUM(L347,Q347,V347,AA347,AF347,AK347,AP347,AU347))))</f>
        <v xml:space="preserve"> </v>
      </c>
      <c r="BE347" s="120"/>
      <c r="BF347" s="120"/>
      <c r="BG347" s="120"/>
    </row>
    <row r="348" spans="1:59" s="3" customFormat="1" x14ac:dyDescent="0.3">
      <c r="A348" s="15" t="str">
        <f t="shared" si="65"/>
        <v/>
      </c>
      <c r="B348" s="25"/>
      <c r="C348" s="26"/>
      <c r="D348" s="279"/>
      <c r="E348" s="27"/>
      <c r="F348" s="28"/>
      <c r="G348" s="27"/>
      <c r="H348" s="28"/>
      <c r="I348" s="28"/>
      <c r="J348" s="255" t="str">
        <f>IF(H348="","",(_xlfn.XLOOKUP(H348,Cadastros!$D$6:$D$90,Cadastros!$E$6:$E$90))*(1-_xlfn.XLOOKUP(_xlfn.XLOOKUP($F348,Clientes!$B$4:$B$39,Clientes!$C$4:$C$39),Cadastros!$L$6:$L$12,Cadastros!$N$6:$N$12)))</f>
        <v/>
      </c>
      <c r="K348" s="168" t="str">
        <f t="shared" si="66"/>
        <v/>
      </c>
      <c r="L348" s="168" t="str">
        <f>IFERROR(K348/_xlfn.XLOOKUP(_xlfn.XLOOKUP($F348,Clientes!$B$4:$B$39,Clientes!$C$4:$C$39),Cadastros!$L$6:$L$12,Cadastros!$M$6:$M$12)," ")</f>
        <v xml:space="preserve"> </v>
      </c>
      <c r="M348" s="28"/>
      <c r="N348" s="28"/>
      <c r="O348" s="255" t="str">
        <f>IF(M348="","",(_xlfn.XLOOKUP(M348,Cadastros!$D$6:$D$90,Cadastros!$E$6:$E$90))*(1-_xlfn.XLOOKUP(_xlfn.XLOOKUP($F348,Clientes!$B$4:$B$39,Clientes!$C$4:$C$39),Cadastros!$L$6:$L$12,Cadastros!$N$6:$N$12)))</f>
        <v/>
      </c>
      <c r="P348" s="168" t="str">
        <f t="shared" si="67"/>
        <v/>
      </c>
      <c r="Q348" s="168" t="str">
        <f>IFERROR(P348/_xlfn.XLOOKUP(_xlfn.XLOOKUP($F348,Clientes!$B$4:$B$39,Clientes!$C$4:$C$39),Cadastros!$L$6:$L$12,Cadastros!$M$6:$M$12)," ")</f>
        <v xml:space="preserve"> </v>
      </c>
      <c r="R348" s="28"/>
      <c r="S348" s="28"/>
      <c r="T348" s="255" t="str">
        <f>IF(R348="","",(_xlfn.XLOOKUP(R348,Cadastros!$D$6:$D$90,Cadastros!$E$6:$E$90))*(1-_xlfn.XLOOKUP(_xlfn.XLOOKUP($F348,Clientes!$B$4:$B$39,Clientes!$C$4:$C$39),Cadastros!$L$6:$L$12,Cadastros!$N$6:$N$12)))</f>
        <v/>
      </c>
      <c r="U348" s="168" t="str">
        <f t="shared" si="68"/>
        <v/>
      </c>
      <c r="V348" s="168" t="str">
        <f>IFERROR(U348/_xlfn.XLOOKUP(_xlfn.XLOOKUP($F348,Clientes!$B$4:$B$39,Clientes!$C$4:$C$39),Cadastros!$L$6:$L$12,Cadastros!$M$6:$M$12)," ")</f>
        <v xml:space="preserve"> </v>
      </c>
      <c r="W348" s="28"/>
      <c r="X348" s="28"/>
      <c r="Y348" s="255" t="str">
        <f>IF(W348="","",(_xlfn.XLOOKUP(W348,Cadastros!$D$6:$D$90,Cadastros!$E$6:$E$90))*(1-_xlfn.XLOOKUP(_xlfn.XLOOKUP($F348,Clientes!$B$4:$B$39,Clientes!$C$4:$C$39),Cadastros!$L$6:$L$12,Cadastros!$N$6:$N$12)))</f>
        <v/>
      </c>
      <c r="Z348" s="168" t="str">
        <f t="shared" si="69"/>
        <v/>
      </c>
      <c r="AA348" s="168" t="str">
        <f>IFERROR(Z348/_xlfn.XLOOKUP(_xlfn.XLOOKUP($F348,Clientes!$B$4:$B$39,Clientes!$C$4:$C$39),Cadastros!$L$6:$L$12,Cadastros!$M$6:$M$12)," ")</f>
        <v xml:space="preserve"> </v>
      </c>
      <c r="AB348" s="28"/>
      <c r="AC348" s="28"/>
      <c r="AD348" s="20" t="str">
        <f>IF(AB348="","",IF($F348="Bernardino Furlan",_xlfn.XLOOKUP(AB348,Cadastros!$G$6:$G$90,Cadastros!$H$6:$H$90)*(1-0.18),IF($F348="Mauro José Salanti",_xlfn.XLOOKUP(AB348,Cadastros!$G$6:$G$90,Cadastros!$H$6:$H$90)*(1-0.18),_xlfn.XLOOKUP(AB348,Cadastros!$G$6:$G$90,Cadastros!$H$6:$H$90))))</f>
        <v/>
      </c>
      <c r="AE348" s="168" t="str">
        <f t="shared" si="70"/>
        <v/>
      </c>
      <c r="AF348" s="168" t="str">
        <f t="shared" si="71"/>
        <v/>
      </c>
      <c r="AG348" s="28"/>
      <c r="AH348" s="28"/>
      <c r="AI348" s="20" t="str">
        <f>IF(AG348="","",IF($F348="Bernardino Furlan",_xlfn.XLOOKUP(AG348,Cadastros!$G$6:$G$90,Cadastros!$H$6:$H$90)*(1-0.18),IF($F348="Mauro José Salanti",_xlfn.XLOOKUP(AG348,Cadastros!$G$6:$G$90,Cadastros!$H$6:$H$90)*(1-0.18),_xlfn.XLOOKUP(AG348,Cadastros!$G$6:$G$90,Cadastros!$H$6:$H$90))))</f>
        <v/>
      </c>
      <c r="AJ348" s="168" t="str">
        <f t="shared" si="72"/>
        <v/>
      </c>
      <c r="AK348" s="168" t="str">
        <f t="shared" si="73"/>
        <v/>
      </c>
      <c r="AL348" s="28"/>
      <c r="AM348" s="28"/>
      <c r="AN348" s="20" t="str">
        <f>IF(AL348="","",IF($F348="Bernardino Furlan",_xlfn.XLOOKUP(AL348,Cadastros!$G$6:$G$90,Cadastros!$H$6:$H$90)*(1-0.18),IF($F348="Mauro José Salanti",_xlfn.XLOOKUP(AL348,Cadastros!$G$6:$G$90,Cadastros!$H$6:$H$90)*(1-0.18),_xlfn.XLOOKUP(AL348,Cadastros!$G$6:$G$90,Cadastros!$H$6:$H$90))))</f>
        <v/>
      </c>
      <c r="AO348" s="168" t="str">
        <f t="shared" si="74"/>
        <v/>
      </c>
      <c r="AP348" s="168" t="str">
        <f t="shared" si="75"/>
        <v/>
      </c>
      <c r="AQ348" s="28"/>
      <c r="AR348" s="28"/>
      <c r="AS348" s="20" t="str">
        <f>IF(AQ348="","",IF($F348="Bernardino Furlan",_xlfn.XLOOKUP(AQ348,Cadastros!$G$6:$G$90,Cadastros!$H$6:$H$90)*(1-0.18),IF($F348="Mauro José Salanti",_xlfn.XLOOKUP(AQ348,Cadastros!$G$6:$G$90,Cadastros!$H$6:$H$90)*(1-0.18),_xlfn.XLOOKUP(AQ348,Cadastros!$G$6:$G$90,Cadastros!$H$6:$H$90))))</f>
        <v/>
      </c>
      <c r="AT348" s="168" t="str">
        <f t="shared" si="76"/>
        <v/>
      </c>
      <c r="AU348" s="168" t="str">
        <f t="shared" si="77"/>
        <v/>
      </c>
      <c r="AV348" s="227"/>
      <c r="AW348" s="30"/>
      <c r="AX348" s="267"/>
      <c r="AY348" s="267"/>
      <c r="AZ348" s="29"/>
      <c r="BA348" s="30"/>
      <c r="BB348" s="23" t="str" cm="1">
        <f t="array" ref="BB348">_xlfn.IFS(AW348="SIM",SUM(K348,P348,U348,Z348,AE348,AJ348,AO348,AT348,AX348,AY348),F348&lt;&gt;"",SUM(K348,P348,U348,Z348,AE348,AJ348,,AO348,AT348),F348="","")</f>
        <v/>
      </c>
      <c r="BC348" s="211" t="str" cm="1">
        <f t="array" ref="BC348">_xlfn.IFS(E348="","",G348&lt;=E348,BB348*(1-0.03),G348&lt;(E348+8),BB348,AZ348="Boleto",BB348*(1+0.001)^DATEDIF(E348,G348,"D"),AZ348="Cheque",BB348,AZ348="Dinheiro","Alterar forma pgto")</f>
        <v/>
      </c>
      <c r="BD348" s="276" t="str" cm="1">
        <f t="array" ref="BD348">IF(F348=0," ",IF(BC348&lt;BB348,(_xlfn.IFS(AW348="SIM",SUM(L348,Q348,V348,AA348,AF348,AK348,AP348,AU348)+AX348/_xlfn.XLOOKUP(_xlfn.XLOOKUP($F348,Clientes!$B$4:$B$39,Clientes!$C$4:$C$39),Cadastros!$L$6:$L$12,Cadastros!$M$6:$M$12)+IF($F348="Bernardino Furlan",AY348/2751.92,IF($F348="Mauro José Salanti",AY348/2751.92,AY348/3356)),F348&lt;&gt;0,SUM(L348,Q348,V348,AA348,AF348,AK348,AP348,AU348)))*(1-0.03),_xlfn.IFS(AW348="SIM",SUM(L348,Q348,V348,AA348,AF348,AK348,AP348,AU348)+AX348/_xlfn.XLOOKUP(_xlfn.XLOOKUP($F348,Clientes!$B$4:$B$39,Clientes!$C$4:$C$39),Cadastros!$L$6:$L$12,Cadastros!$M$6:$M$12)+IF($F348="Bernardino Furlan",AY348/2751.92,IF($F348="Mauro José Salanti",AY348/2751.92,AY348/3356)),F348&lt;&gt;0,SUM(L348,Q348,V348,AA348,AF348,AK348,AP348,AU348))))</f>
        <v xml:space="preserve"> </v>
      </c>
      <c r="BE348" s="120"/>
      <c r="BF348" s="120"/>
      <c r="BG348" s="120"/>
    </row>
    <row r="349" spans="1:59" s="3" customFormat="1" x14ac:dyDescent="0.3">
      <c r="A349" s="15" t="str">
        <f t="shared" si="65"/>
        <v/>
      </c>
      <c r="B349" s="25"/>
      <c r="C349" s="26"/>
      <c r="D349" s="279"/>
      <c r="E349" s="27"/>
      <c r="F349" s="37"/>
      <c r="G349" s="27"/>
      <c r="H349" s="28"/>
      <c r="I349" s="28"/>
      <c r="J349" s="255" t="str">
        <f>IF(H349="","",(_xlfn.XLOOKUP(H349,Cadastros!$D$6:$D$90,Cadastros!$E$6:$E$90))*(1-_xlfn.XLOOKUP(_xlfn.XLOOKUP($F349,Clientes!$B$4:$B$39,Clientes!$C$4:$C$39),Cadastros!$L$6:$L$12,Cadastros!$N$6:$N$12)))</f>
        <v/>
      </c>
      <c r="K349" s="168" t="str">
        <f t="shared" si="66"/>
        <v/>
      </c>
      <c r="L349" s="168" t="str">
        <f>IFERROR(K349/_xlfn.XLOOKUP(_xlfn.XLOOKUP($F349,Clientes!$B$4:$B$39,Clientes!$C$4:$C$39),Cadastros!$L$6:$L$12,Cadastros!$M$6:$M$12)," ")</f>
        <v xml:space="preserve"> </v>
      </c>
      <c r="M349" s="28"/>
      <c r="N349" s="28"/>
      <c r="O349" s="255" t="str">
        <f>IF(M349="","",(_xlfn.XLOOKUP(M349,Cadastros!$D$6:$D$90,Cadastros!$E$6:$E$90))*(1-_xlfn.XLOOKUP(_xlfn.XLOOKUP($F349,Clientes!$B$4:$B$39,Clientes!$C$4:$C$39),Cadastros!$L$6:$L$12,Cadastros!$N$6:$N$12)))</f>
        <v/>
      </c>
      <c r="P349" s="168" t="str">
        <f t="shared" si="67"/>
        <v/>
      </c>
      <c r="Q349" s="168" t="str">
        <f>IFERROR(P349/_xlfn.XLOOKUP(_xlfn.XLOOKUP($F349,Clientes!$B$4:$B$39,Clientes!$C$4:$C$39),Cadastros!$L$6:$L$12,Cadastros!$M$6:$M$12)," ")</f>
        <v xml:space="preserve"> </v>
      </c>
      <c r="R349" s="28"/>
      <c r="S349" s="28"/>
      <c r="T349" s="255" t="str">
        <f>IF(R349="","",(_xlfn.XLOOKUP(R349,Cadastros!$D$6:$D$90,Cadastros!$E$6:$E$90))*(1-_xlfn.XLOOKUP(_xlfn.XLOOKUP($F349,Clientes!$B$4:$B$39,Clientes!$C$4:$C$39),Cadastros!$L$6:$L$12,Cadastros!$N$6:$N$12)))</f>
        <v/>
      </c>
      <c r="U349" s="168" t="str">
        <f t="shared" si="68"/>
        <v/>
      </c>
      <c r="V349" s="168" t="str">
        <f>IFERROR(U349/_xlfn.XLOOKUP(_xlfn.XLOOKUP($F349,Clientes!$B$4:$B$39,Clientes!$C$4:$C$39),Cadastros!$L$6:$L$12,Cadastros!$M$6:$M$12)," ")</f>
        <v xml:space="preserve"> </v>
      </c>
      <c r="W349" s="28"/>
      <c r="X349" s="28"/>
      <c r="Y349" s="255" t="str">
        <f>IF(W349="","",(_xlfn.XLOOKUP(W349,Cadastros!$D$6:$D$90,Cadastros!$E$6:$E$90))*(1-_xlfn.XLOOKUP(_xlfn.XLOOKUP($F349,Clientes!$B$4:$B$39,Clientes!$C$4:$C$39),Cadastros!$L$6:$L$12,Cadastros!$N$6:$N$12)))</f>
        <v/>
      </c>
      <c r="Z349" s="168" t="str">
        <f t="shared" si="69"/>
        <v/>
      </c>
      <c r="AA349" s="168" t="str">
        <f>IFERROR(Z349/_xlfn.XLOOKUP(_xlfn.XLOOKUP($F349,Clientes!$B$4:$B$39,Clientes!$C$4:$C$39),Cadastros!$L$6:$L$12,Cadastros!$M$6:$M$12)," ")</f>
        <v xml:space="preserve"> </v>
      </c>
      <c r="AB349" s="28"/>
      <c r="AC349" s="28"/>
      <c r="AD349" s="20" t="str">
        <f>IF(AB349="","",IF($F349="Bernardino Furlan",_xlfn.XLOOKUP(AB349,Cadastros!$G$6:$G$90,Cadastros!$H$6:$H$90)*(1-0.18),IF($F349="Mauro José Salanti",_xlfn.XLOOKUP(AB349,Cadastros!$G$6:$G$90,Cadastros!$H$6:$H$90)*(1-0.18),_xlfn.XLOOKUP(AB349,Cadastros!$G$6:$G$90,Cadastros!$H$6:$H$90))))</f>
        <v/>
      </c>
      <c r="AE349" s="168" t="str">
        <f t="shared" si="70"/>
        <v/>
      </c>
      <c r="AF349" s="168" t="str">
        <f t="shared" si="71"/>
        <v/>
      </c>
      <c r="AG349" s="28"/>
      <c r="AH349" s="28"/>
      <c r="AI349" s="20" t="str">
        <f>IF(AG349="","",IF($F349="Bernardino Furlan",_xlfn.XLOOKUP(AG349,Cadastros!$G$6:$G$90,Cadastros!$H$6:$H$90)*(1-0.18),IF($F349="Mauro José Salanti",_xlfn.XLOOKUP(AG349,Cadastros!$G$6:$G$90,Cadastros!$H$6:$H$90)*(1-0.18),_xlfn.XLOOKUP(AG349,Cadastros!$G$6:$G$90,Cadastros!$H$6:$H$90))))</f>
        <v/>
      </c>
      <c r="AJ349" s="168" t="str">
        <f t="shared" si="72"/>
        <v/>
      </c>
      <c r="AK349" s="168" t="str">
        <f t="shared" si="73"/>
        <v/>
      </c>
      <c r="AL349" s="28"/>
      <c r="AM349" s="28"/>
      <c r="AN349" s="20" t="str">
        <f>IF(AL349="","",IF($F349="Bernardino Furlan",_xlfn.XLOOKUP(AL349,Cadastros!$G$6:$G$90,Cadastros!$H$6:$H$90)*(1-0.18),IF($F349="Mauro José Salanti",_xlfn.XLOOKUP(AL349,Cadastros!$G$6:$G$90,Cadastros!$H$6:$H$90)*(1-0.18),_xlfn.XLOOKUP(AL349,Cadastros!$G$6:$G$90,Cadastros!$H$6:$H$90))))</f>
        <v/>
      </c>
      <c r="AO349" s="168" t="str">
        <f t="shared" si="74"/>
        <v/>
      </c>
      <c r="AP349" s="168" t="str">
        <f t="shared" si="75"/>
        <v/>
      </c>
      <c r="AQ349" s="28"/>
      <c r="AR349" s="28"/>
      <c r="AS349" s="20" t="str">
        <f>IF(AQ349="","",IF($F349="Bernardino Furlan",_xlfn.XLOOKUP(AQ349,Cadastros!$G$6:$G$90,Cadastros!$H$6:$H$90)*(1-0.18),IF($F349="Mauro José Salanti",_xlfn.XLOOKUP(AQ349,Cadastros!$G$6:$G$90,Cadastros!$H$6:$H$90)*(1-0.18),_xlfn.XLOOKUP(AQ349,Cadastros!$G$6:$G$90,Cadastros!$H$6:$H$90))))</f>
        <v/>
      </c>
      <c r="AT349" s="168" t="str">
        <f t="shared" si="76"/>
        <v/>
      </c>
      <c r="AU349" s="168" t="str">
        <f t="shared" si="77"/>
        <v/>
      </c>
      <c r="AV349" s="227"/>
      <c r="AW349" s="30"/>
      <c r="AX349" s="267"/>
      <c r="AY349" s="267"/>
      <c r="AZ349" s="29"/>
      <c r="BA349" s="30"/>
      <c r="BB349" s="23" t="str" cm="1">
        <f t="array" ref="BB349">_xlfn.IFS(AW349="SIM",SUM(K349,P349,U349,Z349,AE349,AJ349,AO349,AT349,AX349,AY349),F349&lt;&gt;"",SUM(K349,P349,U349,Z349,AE349,AJ349,,AO349,AT349),F349="","")</f>
        <v/>
      </c>
      <c r="BC349" s="211" t="str" cm="1">
        <f t="array" ref="BC349">_xlfn.IFS(E349="","",G349&lt;=E349,BB349*(1-0.03),G349&lt;(E349+8),BB349,AZ349="Boleto",BB349*(1+0.001)^DATEDIF(E349,G349,"D"),AZ349="Cheque",BB349,AZ349="Dinheiro","Alterar forma pgto")</f>
        <v/>
      </c>
      <c r="BD349" s="276" t="str" cm="1">
        <f t="array" ref="BD349">IF(F349=0," ",IF(BC349&lt;BB349,(_xlfn.IFS(AW349="SIM",SUM(L349,Q349,V349,AA349,AF349,AK349,AP349,AU349)+AX349/_xlfn.XLOOKUP(_xlfn.XLOOKUP($F349,Clientes!$B$4:$B$39,Clientes!$C$4:$C$39),Cadastros!$L$6:$L$12,Cadastros!$M$6:$M$12)+IF($F349="Bernardino Furlan",AY349/2751.92,IF($F349="Mauro José Salanti",AY349/2751.92,AY349/3356)),F349&lt;&gt;0,SUM(L349,Q349,V349,AA349,AF349,AK349,AP349,AU349)))*(1-0.03),_xlfn.IFS(AW349="SIM",SUM(L349,Q349,V349,AA349,AF349,AK349,AP349,AU349)+AX349/_xlfn.XLOOKUP(_xlfn.XLOOKUP($F349,Clientes!$B$4:$B$39,Clientes!$C$4:$C$39),Cadastros!$L$6:$L$12,Cadastros!$M$6:$M$12)+IF($F349="Bernardino Furlan",AY349/2751.92,IF($F349="Mauro José Salanti",AY349/2751.92,AY349/3356)),F349&lt;&gt;0,SUM(L349,Q349,V349,AA349,AF349,AK349,AP349,AU349))))</f>
        <v xml:space="preserve"> </v>
      </c>
      <c r="BE349" s="120"/>
      <c r="BF349" s="120"/>
      <c r="BG349" s="120"/>
    </row>
    <row r="350" spans="1:59" s="3" customFormat="1" x14ac:dyDescent="0.3">
      <c r="A350" s="15" t="str">
        <f t="shared" si="65"/>
        <v/>
      </c>
      <c r="B350" s="25"/>
      <c r="C350" s="26"/>
      <c r="D350" s="279"/>
      <c r="E350" s="27"/>
      <c r="F350" s="28"/>
      <c r="G350" s="27"/>
      <c r="H350" s="28"/>
      <c r="I350" s="28"/>
      <c r="J350" s="255" t="str">
        <f>IF(H350="","",(_xlfn.XLOOKUP(H350,Cadastros!$D$6:$D$90,Cadastros!$E$6:$E$90))*(1-_xlfn.XLOOKUP(_xlfn.XLOOKUP($F350,Clientes!$B$4:$B$39,Clientes!$C$4:$C$39),Cadastros!$L$6:$L$12,Cadastros!$N$6:$N$12)))</f>
        <v/>
      </c>
      <c r="K350" s="168" t="str">
        <f t="shared" si="66"/>
        <v/>
      </c>
      <c r="L350" s="168" t="str">
        <f>IFERROR(K350/_xlfn.XLOOKUP(_xlfn.XLOOKUP($F350,Clientes!$B$4:$B$39,Clientes!$C$4:$C$39),Cadastros!$L$6:$L$12,Cadastros!$M$6:$M$12)," ")</f>
        <v xml:space="preserve"> </v>
      </c>
      <c r="M350" s="28"/>
      <c r="N350" s="28"/>
      <c r="O350" s="255" t="str">
        <f>IF(M350="","",(_xlfn.XLOOKUP(M350,Cadastros!$D$6:$D$90,Cadastros!$E$6:$E$90))*(1-_xlfn.XLOOKUP(_xlfn.XLOOKUP($F350,Clientes!$B$4:$B$39,Clientes!$C$4:$C$39),Cadastros!$L$6:$L$12,Cadastros!$N$6:$N$12)))</f>
        <v/>
      </c>
      <c r="P350" s="168" t="str">
        <f t="shared" si="67"/>
        <v/>
      </c>
      <c r="Q350" s="168" t="str">
        <f>IFERROR(P350/_xlfn.XLOOKUP(_xlfn.XLOOKUP($F350,Clientes!$B$4:$B$39,Clientes!$C$4:$C$39),Cadastros!$L$6:$L$12,Cadastros!$M$6:$M$12)," ")</f>
        <v xml:space="preserve"> </v>
      </c>
      <c r="R350" s="28"/>
      <c r="S350" s="28"/>
      <c r="T350" s="255" t="str">
        <f>IF(R350="","",(_xlfn.XLOOKUP(R350,Cadastros!$D$6:$D$90,Cadastros!$E$6:$E$90))*(1-_xlfn.XLOOKUP(_xlfn.XLOOKUP($F350,Clientes!$B$4:$B$39,Clientes!$C$4:$C$39),Cadastros!$L$6:$L$12,Cadastros!$N$6:$N$12)))</f>
        <v/>
      </c>
      <c r="U350" s="168" t="str">
        <f t="shared" si="68"/>
        <v/>
      </c>
      <c r="V350" s="168" t="str">
        <f>IFERROR(U350/_xlfn.XLOOKUP(_xlfn.XLOOKUP($F350,Clientes!$B$4:$B$39,Clientes!$C$4:$C$39),Cadastros!$L$6:$L$12,Cadastros!$M$6:$M$12)," ")</f>
        <v xml:space="preserve"> </v>
      </c>
      <c r="W350" s="28"/>
      <c r="X350" s="28"/>
      <c r="Y350" s="255" t="str">
        <f>IF(W350="","",(_xlfn.XLOOKUP(W350,Cadastros!$D$6:$D$90,Cadastros!$E$6:$E$90))*(1-_xlfn.XLOOKUP(_xlfn.XLOOKUP($F350,Clientes!$B$4:$B$39,Clientes!$C$4:$C$39),Cadastros!$L$6:$L$12,Cadastros!$N$6:$N$12)))</f>
        <v/>
      </c>
      <c r="Z350" s="168" t="str">
        <f t="shared" si="69"/>
        <v/>
      </c>
      <c r="AA350" s="168" t="str">
        <f>IFERROR(Z350/_xlfn.XLOOKUP(_xlfn.XLOOKUP($F350,Clientes!$B$4:$B$39,Clientes!$C$4:$C$39),Cadastros!$L$6:$L$12,Cadastros!$M$6:$M$12)," ")</f>
        <v xml:space="preserve"> </v>
      </c>
      <c r="AB350" s="28"/>
      <c r="AC350" s="28"/>
      <c r="AD350" s="20" t="str">
        <f>IF(AB350="","",IF($F350="Bernardino Furlan",_xlfn.XLOOKUP(AB350,Cadastros!$G$6:$G$90,Cadastros!$H$6:$H$90)*(1-0.18),IF($F350="Mauro José Salanti",_xlfn.XLOOKUP(AB350,Cadastros!$G$6:$G$90,Cadastros!$H$6:$H$90)*(1-0.18),_xlfn.XLOOKUP(AB350,Cadastros!$G$6:$G$90,Cadastros!$H$6:$H$90))))</f>
        <v/>
      </c>
      <c r="AE350" s="168" t="str">
        <f t="shared" si="70"/>
        <v/>
      </c>
      <c r="AF350" s="168" t="str">
        <f t="shared" si="71"/>
        <v/>
      </c>
      <c r="AG350" s="28"/>
      <c r="AH350" s="28"/>
      <c r="AI350" s="20" t="str">
        <f>IF(AG350="","",IF($F350="Bernardino Furlan",_xlfn.XLOOKUP(AG350,Cadastros!$G$6:$G$90,Cadastros!$H$6:$H$90)*(1-0.18),IF($F350="Mauro José Salanti",_xlfn.XLOOKUP(AG350,Cadastros!$G$6:$G$90,Cadastros!$H$6:$H$90)*(1-0.18),_xlfn.XLOOKUP(AG350,Cadastros!$G$6:$G$90,Cadastros!$H$6:$H$90))))</f>
        <v/>
      </c>
      <c r="AJ350" s="168" t="str">
        <f t="shared" si="72"/>
        <v/>
      </c>
      <c r="AK350" s="168" t="str">
        <f t="shared" si="73"/>
        <v/>
      </c>
      <c r="AL350" s="28"/>
      <c r="AM350" s="28"/>
      <c r="AN350" s="20" t="str">
        <f>IF(AL350="","",IF($F350="Bernardino Furlan",_xlfn.XLOOKUP(AL350,Cadastros!$G$6:$G$90,Cadastros!$H$6:$H$90)*(1-0.18),IF($F350="Mauro José Salanti",_xlfn.XLOOKUP(AL350,Cadastros!$G$6:$G$90,Cadastros!$H$6:$H$90)*(1-0.18),_xlfn.XLOOKUP(AL350,Cadastros!$G$6:$G$90,Cadastros!$H$6:$H$90))))</f>
        <v/>
      </c>
      <c r="AO350" s="168" t="str">
        <f t="shared" si="74"/>
        <v/>
      </c>
      <c r="AP350" s="168" t="str">
        <f t="shared" si="75"/>
        <v/>
      </c>
      <c r="AQ350" s="28"/>
      <c r="AR350" s="28"/>
      <c r="AS350" s="20" t="str">
        <f>IF(AQ350="","",IF($F350="Bernardino Furlan",_xlfn.XLOOKUP(AQ350,Cadastros!$G$6:$G$90,Cadastros!$H$6:$H$90)*(1-0.18),IF($F350="Mauro José Salanti",_xlfn.XLOOKUP(AQ350,Cadastros!$G$6:$G$90,Cadastros!$H$6:$H$90)*(1-0.18),_xlfn.XLOOKUP(AQ350,Cadastros!$G$6:$G$90,Cadastros!$H$6:$H$90))))</f>
        <v/>
      </c>
      <c r="AT350" s="168" t="str">
        <f t="shared" si="76"/>
        <v/>
      </c>
      <c r="AU350" s="168" t="str">
        <f t="shared" si="77"/>
        <v/>
      </c>
      <c r="AV350" s="227"/>
      <c r="AW350" s="30"/>
      <c r="AX350" s="267"/>
      <c r="AY350" s="267"/>
      <c r="AZ350" s="29"/>
      <c r="BA350" s="30"/>
      <c r="BB350" s="23" t="str" cm="1">
        <f t="array" ref="BB350">_xlfn.IFS(AW350="SIM",SUM(K350,P350,U350,Z350,AE350,AJ350,AO350,AT350,AX350,AY350),F350&lt;&gt;"",SUM(K350,P350,U350,Z350,AE350,AJ350,,AO350,AT350),F350="","")</f>
        <v/>
      </c>
      <c r="BC350" s="211" t="str" cm="1">
        <f t="array" ref="BC350">_xlfn.IFS(E350="","",G350&lt;=E350,BB350*(1-0.03),G350&lt;(E350+8),BB350,AZ350="Boleto",BB350*(1+0.001)^DATEDIF(E350,G350,"D"),AZ350="Cheque",BB350,AZ350="Dinheiro","Alterar forma pgto")</f>
        <v/>
      </c>
      <c r="BD350" s="276" t="str" cm="1">
        <f t="array" ref="BD350">IF(F350=0," ",IF(BC350&lt;BB350,(_xlfn.IFS(AW350="SIM",SUM(L350,Q350,V350,AA350,AF350,AK350,AP350,AU350)+AX350/_xlfn.XLOOKUP(_xlfn.XLOOKUP($F350,Clientes!$B$4:$B$39,Clientes!$C$4:$C$39),Cadastros!$L$6:$L$12,Cadastros!$M$6:$M$12)+IF($F350="Bernardino Furlan",AY350/2751.92,IF($F350="Mauro José Salanti",AY350/2751.92,AY350/3356)),F350&lt;&gt;0,SUM(L350,Q350,V350,AA350,AF350,AK350,AP350,AU350)))*(1-0.03),_xlfn.IFS(AW350="SIM",SUM(L350,Q350,V350,AA350,AF350,AK350,AP350,AU350)+AX350/_xlfn.XLOOKUP(_xlfn.XLOOKUP($F350,Clientes!$B$4:$B$39,Clientes!$C$4:$C$39),Cadastros!$L$6:$L$12,Cadastros!$M$6:$M$12)+IF($F350="Bernardino Furlan",AY350/2751.92,IF($F350="Mauro José Salanti",AY350/2751.92,AY350/3356)),F350&lt;&gt;0,SUM(L350,Q350,V350,AA350,AF350,AK350,AP350,AU350))))</f>
        <v xml:space="preserve"> </v>
      </c>
      <c r="BE350" s="120"/>
      <c r="BF350" s="120"/>
      <c r="BG350" s="120"/>
    </row>
    <row r="351" spans="1:59" s="3" customFormat="1" x14ac:dyDescent="0.3">
      <c r="A351" s="15" t="str">
        <f t="shared" si="65"/>
        <v/>
      </c>
      <c r="B351" s="25"/>
      <c r="C351" s="26"/>
      <c r="D351" s="279"/>
      <c r="E351" s="27"/>
      <c r="F351" s="28"/>
      <c r="G351" s="27"/>
      <c r="H351" s="28"/>
      <c r="I351" s="28"/>
      <c r="J351" s="255" t="str">
        <f>IF(H351="","",(_xlfn.XLOOKUP(H351,Cadastros!$D$6:$D$90,Cadastros!$E$6:$E$90))*(1-_xlfn.XLOOKUP(_xlfn.XLOOKUP($F351,Clientes!$B$4:$B$39,Clientes!$C$4:$C$39),Cadastros!$L$6:$L$12,Cadastros!$N$6:$N$12)))</f>
        <v/>
      </c>
      <c r="K351" s="168" t="str">
        <f t="shared" si="66"/>
        <v/>
      </c>
      <c r="L351" s="168" t="str">
        <f>IFERROR(K351/_xlfn.XLOOKUP(_xlfn.XLOOKUP($F351,Clientes!$B$4:$B$39,Clientes!$C$4:$C$39),Cadastros!$L$6:$L$12,Cadastros!$M$6:$M$12)," ")</f>
        <v xml:space="preserve"> </v>
      </c>
      <c r="M351" s="28"/>
      <c r="N351" s="28"/>
      <c r="O351" s="255" t="str">
        <f>IF(M351="","",(_xlfn.XLOOKUP(M351,Cadastros!$D$6:$D$90,Cadastros!$E$6:$E$90))*(1-_xlfn.XLOOKUP(_xlfn.XLOOKUP($F351,Clientes!$B$4:$B$39,Clientes!$C$4:$C$39),Cadastros!$L$6:$L$12,Cadastros!$N$6:$N$12)))</f>
        <v/>
      </c>
      <c r="P351" s="168" t="str">
        <f t="shared" si="67"/>
        <v/>
      </c>
      <c r="Q351" s="168" t="str">
        <f>IFERROR(P351/_xlfn.XLOOKUP(_xlfn.XLOOKUP($F351,Clientes!$B$4:$B$39,Clientes!$C$4:$C$39),Cadastros!$L$6:$L$12,Cadastros!$M$6:$M$12)," ")</f>
        <v xml:space="preserve"> </v>
      </c>
      <c r="R351" s="28"/>
      <c r="S351" s="28"/>
      <c r="T351" s="255" t="str">
        <f>IF(R351="","",(_xlfn.XLOOKUP(R351,Cadastros!$D$6:$D$90,Cadastros!$E$6:$E$90))*(1-_xlfn.XLOOKUP(_xlfn.XLOOKUP($F351,Clientes!$B$4:$B$39,Clientes!$C$4:$C$39),Cadastros!$L$6:$L$12,Cadastros!$N$6:$N$12)))</f>
        <v/>
      </c>
      <c r="U351" s="168" t="str">
        <f t="shared" si="68"/>
        <v/>
      </c>
      <c r="V351" s="168" t="str">
        <f>IFERROR(U351/_xlfn.XLOOKUP(_xlfn.XLOOKUP($F351,Clientes!$B$4:$B$39,Clientes!$C$4:$C$39),Cadastros!$L$6:$L$12,Cadastros!$M$6:$M$12)," ")</f>
        <v xml:space="preserve"> </v>
      </c>
      <c r="W351" s="28"/>
      <c r="X351" s="28"/>
      <c r="Y351" s="255" t="str">
        <f>IF(W351="","",(_xlfn.XLOOKUP(W351,Cadastros!$D$6:$D$90,Cadastros!$E$6:$E$90))*(1-_xlfn.XLOOKUP(_xlfn.XLOOKUP($F351,Clientes!$B$4:$B$39,Clientes!$C$4:$C$39),Cadastros!$L$6:$L$12,Cadastros!$N$6:$N$12)))</f>
        <v/>
      </c>
      <c r="Z351" s="168" t="str">
        <f t="shared" si="69"/>
        <v/>
      </c>
      <c r="AA351" s="168" t="str">
        <f>IFERROR(Z351/_xlfn.XLOOKUP(_xlfn.XLOOKUP($F351,Clientes!$B$4:$B$39,Clientes!$C$4:$C$39),Cadastros!$L$6:$L$12,Cadastros!$M$6:$M$12)," ")</f>
        <v xml:space="preserve"> </v>
      </c>
      <c r="AB351" s="28"/>
      <c r="AC351" s="28"/>
      <c r="AD351" s="20" t="str">
        <f>IF(AB351="","",IF($F351="Bernardino Furlan",_xlfn.XLOOKUP(AB351,Cadastros!$G$6:$G$90,Cadastros!$H$6:$H$90)*(1-0.18),IF($F351="Mauro José Salanti",_xlfn.XLOOKUP(AB351,Cadastros!$G$6:$G$90,Cadastros!$H$6:$H$90)*(1-0.18),_xlfn.XLOOKUP(AB351,Cadastros!$G$6:$G$90,Cadastros!$H$6:$H$90))))</f>
        <v/>
      </c>
      <c r="AE351" s="168" t="str">
        <f t="shared" si="70"/>
        <v/>
      </c>
      <c r="AF351" s="168" t="str">
        <f t="shared" si="71"/>
        <v/>
      </c>
      <c r="AG351" s="28"/>
      <c r="AH351" s="28"/>
      <c r="AI351" s="20" t="str">
        <f>IF(AG351="","",IF($F351="Bernardino Furlan",_xlfn.XLOOKUP(AG351,Cadastros!$G$6:$G$90,Cadastros!$H$6:$H$90)*(1-0.18),IF($F351="Mauro José Salanti",_xlfn.XLOOKUP(AG351,Cadastros!$G$6:$G$90,Cadastros!$H$6:$H$90)*(1-0.18),_xlfn.XLOOKUP(AG351,Cadastros!$G$6:$G$90,Cadastros!$H$6:$H$90))))</f>
        <v/>
      </c>
      <c r="AJ351" s="168" t="str">
        <f t="shared" si="72"/>
        <v/>
      </c>
      <c r="AK351" s="168" t="str">
        <f t="shared" si="73"/>
        <v/>
      </c>
      <c r="AL351" s="28"/>
      <c r="AM351" s="28"/>
      <c r="AN351" s="20" t="str">
        <f>IF(AL351="","",IF($F351="Bernardino Furlan",_xlfn.XLOOKUP(AL351,Cadastros!$G$6:$G$90,Cadastros!$H$6:$H$90)*(1-0.18),IF($F351="Mauro José Salanti",_xlfn.XLOOKUP(AL351,Cadastros!$G$6:$G$90,Cadastros!$H$6:$H$90)*(1-0.18),_xlfn.XLOOKUP(AL351,Cadastros!$G$6:$G$90,Cadastros!$H$6:$H$90))))</f>
        <v/>
      </c>
      <c r="AO351" s="168" t="str">
        <f t="shared" si="74"/>
        <v/>
      </c>
      <c r="AP351" s="168" t="str">
        <f t="shared" si="75"/>
        <v/>
      </c>
      <c r="AQ351" s="28"/>
      <c r="AR351" s="28"/>
      <c r="AS351" s="20" t="str">
        <f>IF(AQ351="","",IF($F351="Bernardino Furlan",_xlfn.XLOOKUP(AQ351,Cadastros!$G$6:$G$90,Cadastros!$H$6:$H$90)*(1-0.18),IF($F351="Mauro José Salanti",_xlfn.XLOOKUP(AQ351,Cadastros!$G$6:$G$90,Cadastros!$H$6:$H$90)*(1-0.18),_xlfn.XLOOKUP(AQ351,Cadastros!$G$6:$G$90,Cadastros!$H$6:$H$90))))</f>
        <v/>
      </c>
      <c r="AT351" s="168" t="str">
        <f t="shared" si="76"/>
        <v/>
      </c>
      <c r="AU351" s="168" t="str">
        <f t="shared" si="77"/>
        <v/>
      </c>
      <c r="AV351" s="227"/>
      <c r="AW351" s="30"/>
      <c r="AX351" s="267"/>
      <c r="AY351" s="267"/>
      <c r="AZ351" s="29"/>
      <c r="BA351" s="30"/>
      <c r="BB351" s="23" t="str" cm="1">
        <f t="array" ref="BB351">_xlfn.IFS(AW351="SIM",SUM(K351,P351,U351,Z351,AE351,AJ351,AO351,AT351,AX351,AY351),F351&lt;&gt;"",SUM(K351,P351,U351,Z351,AE351,AJ351,,AO351,AT351),F351="","")</f>
        <v/>
      </c>
      <c r="BC351" s="211" t="str" cm="1">
        <f t="array" ref="BC351">_xlfn.IFS(E351="","",G351&lt;=E351,BB351*(1-0.03),G351&lt;(E351+8),BB351,AZ351="Boleto",BB351*(1+0.001)^DATEDIF(E351,G351,"D"),AZ351="Cheque",BB351,AZ351="Dinheiro","Alterar forma pgto")</f>
        <v/>
      </c>
      <c r="BD351" s="276" t="str" cm="1">
        <f t="array" ref="BD351">IF(F351=0," ",IF(BC351&lt;BB351,(_xlfn.IFS(AW351="SIM",SUM(L351,Q351,V351,AA351,AF351,AK351,AP351,AU351)+AX351/_xlfn.XLOOKUP(_xlfn.XLOOKUP($F351,Clientes!$B$4:$B$39,Clientes!$C$4:$C$39),Cadastros!$L$6:$L$12,Cadastros!$M$6:$M$12)+IF($F351="Bernardino Furlan",AY351/2751.92,IF($F351="Mauro José Salanti",AY351/2751.92,AY351/3356)),F351&lt;&gt;0,SUM(L351,Q351,V351,AA351,AF351,AK351,AP351,AU351)))*(1-0.03),_xlfn.IFS(AW351="SIM",SUM(L351,Q351,V351,AA351,AF351,AK351,AP351,AU351)+AX351/_xlfn.XLOOKUP(_xlfn.XLOOKUP($F351,Clientes!$B$4:$B$39,Clientes!$C$4:$C$39),Cadastros!$L$6:$L$12,Cadastros!$M$6:$M$12)+IF($F351="Bernardino Furlan",AY351/2751.92,IF($F351="Mauro José Salanti",AY351/2751.92,AY351/3356)),F351&lt;&gt;0,SUM(L351,Q351,V351,AA351,AF351,AK351,AP351,AU351))))</f>
        <v xml:space="preserve"> </v>
      </c>
      <c r="BE351" s="120"/>
      <c r="BF351" s="120"/>
      <c r="BG351" s="120"/>
    </row>
    <row r="352" spans="1:59" s="3" customFormat="1" x14ac:dyDescent="0.3">
      <c r="A352" s="15" t="str">
        <f t="shared" si="65"/>
        <v/>
      </c>
      <c r="B352" s="25"/>
      <c r="C352" s="26"/>
      <c r="D352" s="279"/>
      <c r="E352" s="27"/>
      <c r="F352" s="28"/>
      <c r="G352" s="27"/>
      <c r="H352" s="28"/>
      <c r="I352" s="28"/>
      <c r="J352" s="255" t="str">
        <f>IF(H352="","",(_xlfn.XLOOKUP(H352,Cadastros!$D$6:$D$90,Cadastros!$E$6:$E$90))*(1-_xlfn.XLOOKUP(_xlfn.XLOOKUP($F352,Clientes!$B$4:$B$39,Clientes!$C$4:$C$39),Cadastros!$L$6:$L$12,Cadastros!$N$6:$N$12)))</f>
        <v/>
      </c>
      <c r="K352" s="168" t="str">
        <f t="shared" si="66"/>
        <v/>
      </c>
      <c r="L352" s="168" t="str">
        <f>IFERROR(K352/_xlfn.XLOOKUP(_xlfn.XLOOKUP($F352,Clientes!$B$4:$B$39,Clientes!$C$4:$C$39),Cadastros!$L$6:$L$12,Cadastros!$M$6:$M$12)," ")</f>
        <v xml:space="preserve"> </v>
      </c>
      <c r="M352" s="28"/>
      <c r="N352" s="28"/>
      <c r="O352" s="255" t="str">
        <f>IF(M352="","",(_xlfn.XLOOKUP(M352,Cadastros!$D$6:$D$90,Cadastros!$E$6:$E$90))*(1-_xlfn.XLOOKUP(_xlfn.XLOOKUP($F352,Clientes!$B$4:$B$39,Clientes!$C$4:$C$39),Cadastros!$L$6:$L$12,Cadastros!$N$6:$N$12)))</f>
        <v/>
      </c>
      <c r="P352" s="168" t="str">
        <f t="shared" si="67"/>
        <v/>
      </c>
      <c r="Q352" s="168" t="str">
        <f>IFERROR(P352/_xlfn.XLOOKUP(_xlfn.XLOOKUP($F352,Clientes!$B$4:$B$39,Clientes!$C$4:$C$39),Cadastros!$L$6:$L$12,Cadastros!$M$6:$M$12)," ")</f>
        <v xml:space="preserve"> </v>
      </c>
      <c r="R352" s="28"/>
      <c r="S352" s="28"/>
      <c r="T352" s="255" t="str">
        <f>IF(R352="","",(_xlfn.XLOOKUP(R352,Cadastros!$D$6:$D$90,Cadastros!$E$6:$E$90))*(1-_xlfn.XLOOKUP(_xlfn.XLOOKUP($F352,Clientes!$B$4:$B$39,Clientes!$C$4:$C$39),Cadastros!$L$6:$L$12,Cadastros!$N$6:$N$12)))</f>
        <v/>
      </c>
      <c r="U352" s="168" t="str">
        <f t="shared" si="68"/>
        <v/>
      </c>
      <c r="V352" s="168" t="str">
        <f>IFERROR(U352/_xlfn.XLOOKUP(_xlfn.XLOOKUP($F352,Clientes!$B$4:$B$39,Clientes!$C$4:$C$39),Cadastros!$L$6:$L$12,Cadastros!$M$6:$M$12)," ")</f>
        <v xml:space="preserve"> </v>
      </c>
      <c r="W352" s="28"/>
      <c r="X352" s="28"/>
      <c r="Y352" s="255" t="str">
        <f>IF(W352="","",(_xlfn.XLOOKUP(W352,Cadastros!$D$6:$D$90,Cadastros!$E$6:$E$90))*(1-_xlfn.XLOOKUP(_xlfn.XLOOKUP($F352,Clientes!$B$4:$B$39,Clientes!$C$4:$C$39),Cadastros!$L$6:$L$12,Cadastros!$N$6:$N$12)))</f>
        <v/>
      </c>
      <c r="Z352" s="168" t="str">
        <f t="shared" si="69"/>
        <v/>
      </c>
      <c r="AA352" s="168" t="str">
        <f>IFERROR(Z352/_xlfn.XLOOKUP(_xlfn.XLOOKUP($F352,Clientes!$B$4:$B$39,Clientes!$C$4:$C$39),Cadastros!$L$6:$L$12,Cadastros!$M$6:$M$12)," ")</f>
        <v xml:space="preserve"> </v>
      </c>
      <c r="AB352" s="28"/>
      <c r="AC352" s="28"/>
      <c r="AD352" s="20" t="str">
        <f>IF(AB352="","",IF($F352="Bernardino Furlan",_xlfn.XLOOKUP(AB352,Cadastros!$G$6:$G$90,Cadastros!$H$6:$H$90)*(1-0.18),IF($F352="Mauro José Salanti",_xlfn.XLOOKUP(AB352,Cadastros!$G$6:$G$90,Cadastros!$H$6:$H$90)*(1-0.18),_xlfn.XLOOKUP(AB352,Cadastros!$G$6:$G$90,Cadastros!$H$6:$H$90))))</f>
        <v/>
      </c>
      <c r="AE352" s="168" t="str">
        <f t="shared" si="70"/>
        <v/>
      </c>
      <c r="AF352" s="168" t="str">
        <f t="shared" si="71"/>
        <v/>
      </c>
      <c r="AG352" s="28"/>
      <c r="AH352" s="28"/>
      <c r="AI352" s="20" t="str">
        <f>IF(AG352="","",IF($F352="Bernardino Furlan",_xlfn.XLOOKUP(AG352,Cadastros!$G$6:$G$90,Cadastros!$H$6:$H$90)*(1-0.18),IF($F352="Mauro José Salanti",_xlfn.XLOOKUP(AG352,Cadastros!$G$6:$G$90,Cadastros!$H$6:$H$90)*(1-0.18),_xlfn.XLOOKUP(AG352,Cadastros!$G$6:$G$90,Cadastros!$H$6:$H$90))))</f>
        <v/>
      </c>
      <c r="AJ352" s="168" t="str">
        <f t="shared" si="72"/>
        <v/>
      </c>
      <c r="AK352" s="168" t="str">
        <f t="shared" si="73"/>
        <v/>
      </c>
      <c r="AL352" s="28"/>
      <c r="AM352" s="28"/>
      <c r="AN352" s="20" t="str">
        <f>IF(AL352="","",IF($F352="Bernardino Furlan",_xlfn.XLOOKUP(AL352,Cadastros!$G$6:$G$90,Cadastros!$H$6:$H$90)*(1-0.18),IF($F352="Mauro José Salanti",_xlfn.XLOOKUP(AL352,Cadastros!$G$6:$G$90,Cadastros!$H$6:$H$90)*(1-0.18),_xlfn.XLOOKUP(AL352,Cadastros!$G$6:$G$90,Cadastros!$H$6:$H$90))))</f>
        <v/>
      </c>
      <c r="AO352" s="168" t="str">
        <f t="shared" si="74"/>
        <v/>
      </c>
      <c r="AP352" s="168" t="str">
        <f t="shared" si="75"/>
        <v/>
      </c>
      <c r="AQ352" s="28"/>
      <c r="AR352" s="28"/>
      <c r="AS352" s="20" t="str">
        <f>IF(AQ352="","",IF($F352="Bernardino Furlan",_xlfn.XLOOKUP(AQ352,Cadastros!$G$6:$G$90,Cadastros!$H$6:$H$90)*(1-0.18),IF($F352="Mauro José Salanti",_xlfn.XLOOKUP(AQ352,Cadastros!$G$6:$G$90,Cadastros!$H$6:$H$90)*(1-0.18),_xlfn.XLOOKUP(AQ352,Cadastros!$G$6:$G$90,Cadastros!$H$6:$H$90))))</f>
        <v/>
      </c>
      <c r="AT352" s="168" t="str">
        <f t="shared" si="76"/>
        <v/>
      </c>
      <c r="AU352" s="168" t="str">
        <f t="shared" si="77"/>
        <v/>
      </c>
      <c r="AV352" s="227"/>
      <c r="AW352" s="30"/>
      <c r="AX352" s="267"/>
      <c r="AY352" s="267"/>
      <c r="AZ352" s="29"/>
      <c r="BA352" s="30"/>
      <c r="BB352" s="23" t="str" cm="1">
        <f t="array" ref="BB352">_xlfn.IFS(AW352="SIM",SUM(K352,P352,U352,Z352,AE352,AJ352,AO352,AT352,AX352,AY352),F352&lt;&gt;"",SUM(K352,P352,U352,Z352,AE352,AJ352,,AO352,AT352),F352="","")</f>
        <v/>
      </c>
      <c r="BC352" s="211" t="str" cm="1">
        <f t="array" ref="BC352">_xlfn.IFS(E352="","",G352&lt;=E352,BB352*(1-0.03),G352&lt;(E352+8),BB352,AZ352="Boleto",BB352*(1+0.001)^DATEDIF(E352,G352,"D"),AZ352="Cheque",BB352,AZ352="Dinheiro","Alterar forma pgto")</f>
        <v/>
      </c>
      <c r="BD352" s="276" t="str" cm="1">
        <f t="array" ref="BD352">IF(F352=0," ",IF(BC352&lt;BB352,(_xlfn.IFS(AW352="SIM",SUM(L352,Q352,V352,AA352,AF352,AK352,AP352,AU352)+AX352/_xlfn.XLOOKUP(_xlfn.XLOOKUP($F352,Clientes!$B$4:$B$39,Clientes!$C$4:$C$39),Cadastros!$L$6:$L$12,Cadastros!$M$6:$M$12)+IF($F352="Bernardino Furlan",AY352/2751.92,IF($F352="Mauro José Salanti",AY352/2751.92,AY352/3356)),F352&lt;&gt;0,SUM(L352,Q352,V352,AA352,AF352,AK352,AP352,AU352)))*(1-0.03),_xlfn.IFS(AW352="SIM",SUM(L352,Q352,V352,AA352,AF352,AK352,AP352,AU352)+AX352/_xlfn.XLOOKUP(_xlfn.XLOOKUP($F352,Clientes!$B$4:$B$39,Clientes!$C$4:$C$39),Cadastros!$L$6:$L$12,Cadastros!$M$6:$M$12)+IF($F352="Bernardino Furlan",AY352/2751.92,IF($F352="Mauro José Salanti",AY352/2751.92,AY352/3356)),F352&lt;&gt;0,SUM(L352,Q352,V352,AA352,AF352,AK352,AP352,AU352))))</f>
        <v xml:space="preserve"> </v>
      </c>
      <c r="BE352" s="120"/>
      <c r="BF352" s="120"/>
      <c r="BG352" s="120"/>
    </row>
    <row r="353" spans="1:59" s="3" customFormat="1" x14ac:dyDescent="0.3">
      <c r="A353" s="15" t="str">
        <f t="shared" si="65"/>
        <v/>
      </c>
      <c r="B353" s="25"/>
      <c r="C353" s="26"/>
      <c r="D353" s="279"/>
      <c r="E353" s="27"/>
      <c r="F353" s="28"/>
      <c r="G353" s="27"/>
      <c r="H353" s="28"/>
      <c r="I353" s="28"/>
      <c r="J353" s="255" t="str">
        <f>IF(H353="","",(_xlfn.XLOOKUP(H353,Cadastros!$D$6:$D$90,Cadastros!$E$6:$E$90))*(1-_xlfn.XLOOKUP(_xlfn.XLOOKUP($F353,Clientes!$B$4:$B$39,Clientes!$C$4:$C$39),Cadastros!$L$6:$L$12,Cadastros!$N$6:$N$12)))</f>
        <v/>
      </c>
      <c r="K353" s="168" t="str">
        <f t="shared" si="66"/>
        <v/>
      </c>
      <c r="L353" s="168" t="str">
        <f>IFERROR(K353/_xlfn.XLOOKUP(_xlfn.XLOOKUP($F353,Clientes!$B$4:$B$39,Clientes!$C$4:$C$39),Cadastros!$L$6:$L$12,Cadastros!$M$6:$M$12)," ")</f>
        <v xml:space="preserve"> </v>
      </c>
      <c r="M353" s="28"/>
      <c r="N353" s="28"/>
      <c r="O353" s="255" t="str">
        <f>IF(M353="","",(_xlfn.XLOOKUP(M353,Cadastros!$D$6:$D$90,Cadastros!$E$6:$E$90))*(1-_xlfn.XLOOKUP(_xlfn.XLOOKUP($F353,Clientes!$B$4:$B$39,Clientes!$C$4:$C$39),Cadastros!$L$6:$L$12,Cadastros!$N$6:$N$12)))</f>
        <v/>
      </c>
      <c r="P353" s="168" t="str">
        <f t="shared" si="67"/>
        <v/>
      </c>
      <c r="Q353" s="168" t="str">
        <f>IFERROR(P353/_xlfn.XLOOKUP(_xlfn.XLOOKUP($F353,Clientes!$B$4:$B$39,Clientes!$C$4:$C$39),Cadastros!$L$6:$L$12,Cadastros!$M$6:$M$12)," ")</f>
        <v xml:space="preserve"> </v>
      </c>
      <c r="R353" s="28"/>
      <c r="S353" s="28"/>
      <c r="T353" s="255" t="str">
        <f>IF(R353="","",(_xlfn.XLOOKUP(R353,Cadastros!$D$6:$D$90,Cadastros!$E$6:$E$90))*(1-_xlfn.XLOOKUP(_xlfn.XLOOKUP($F353,Clientes!$B$4:$B$39,Clientes!$C$4:$C$39),Cadastros!$L$6:$L$12,Cadastros!$N$6:$N$12)))</f>
        <v/>
      </c>
      <c r="U353" s="168" t="str">
        <f t="shared" si="68"/>
        <v/>
      </c>
      <c r="V353" s="168" t="str">
        <f>IFERROR(U353/_xlfn.XLOOKUP(_xlfn.XLOOKUP($F353,Clientes!$B$4:$B$39,Clientes!$C$4:$C$39),Cadastros!$L$6:$L$12,Cadastros!$M$6:$M$12)," ")</f>
        <v xml:space="preserve"> </v>
      </c>
      <c r="W353" s="28"/>
      <c r="X353" s="28"/>
      <c r="Y353" s="255" t="str">
        <f>IF(W353="","",(_xlfn.XLOOKUP(W353,Cadastros!$D$6:$D$90,Cadastros!$E$6:$E$90))*(1-_xlfn.XLOOKUP(_xlfn.XLOOKUP($F353,Clientes!$B$4:$B$39,Clientes!$C$4:$C$39),Cadastros!$L$6:$L$12,Cadastros!$N$6:$N$12)))</f>
        <v/>
      </c>
      <c r="Z353" s="168" t="str">
        <f t="shared" si="69"/>
        <v/>
      </c>
      <c r="AA353" s="168" t="str">
        <f>IFERROR(Z353/_xlfn.XLOOKUP(_xlfn.XLOOKUP($F353,Clientes!$B$4:$B$39,Clientes!$C$4:$C$39),Cadastros!$L$6:$L$12,Cadastros!$M$6:$M$12)," ")</f>
        <v xml:space="preserve"> </v>
      </c>
      <c r="AB353" s="28"/>
      <c r="AC353" s="28"/>
      <c r="AD353" s="20" t="str">
        <f>IF(AB353="","",IF($F353="Bernardino Furlan",_xlfn.XLOOKUP(AB353,Cadastros!$G$6:$G$90,Cadastros!$H$6:$H$90)*(1-0.18),IF($F353="Mauro José Salanti",_xlfn.XLOOKUP(AB353,Cadastros!$G$6:$G$90,Cadastros!$H$6:$H$90)*(1-0.18),_xlfn.XLOOKUP(AB353,Cadastros!$G$6:$G$90,Cadastros!$H$6:$H$90))))</f>
        <v/>
      </c>
      <c r="AE353" s="168" t="str">
        <f t="shared" si="70"/>
        <v/>
      </c>
      <c r="AF353" s="168" t="str">
        <f t="shared" si="71"/>
        <v/>
      </c>
      <c r="AG353" s="28"/>
      <c r="AH353" s="28"/>
      <c r="AI353" s="20" t="str">
        <f>IF(AG353="","",IF($F353="Bernardino Furlan",_xlfn.XLOOKUP(AG353,Cadastros!$G$6:$G$90,Cadastros!$H$6:$H$90)*(1-0.18),IF($F353="Mauro José Salanti",_xlfn.XLOOKUP(AG353,Cadastros!$G$6:$G$90,Cadastros!$H$6:$H$90)*(1-0.18),_xlfn.XLOOKUP(AG353,Cadastros!$G$6:$G$90,Cadastros!$H$6:$H$90))))</f>
        <v/>
      </c>
      <c r="AJ353" s="168" t="str">
        <f t="shared" si="72"/>
        <v/>
      </c>
      <c r="AK353" s="168" t="str">
        <f t="shared" si="73"/>
        <v/>
      </c>
      <c r="AL353" s="28"/>
      <c r="AM353" s="28"/>
      <c r="AN353" s="20" t="str">
        <f>IF(AL353="","",IF($F353="Bernardino Furlan",_xlfn.XLOOKUP(AL353,Cadastros!$G$6:$G$90,Cadastros!$H$6:$H$90)*(1-0.18),IF($F353="Mauro José Salanti",_xlfn.XLOOKUP(AL353,Cadastros!$G$6:$G$90,Cadastros!$H$6:$H$90)*(1-0.18),_xlfn.XLOOKUP(AL353,Cadastros!$G$6:$G$90,Cadastros!$H$6:$H$90))))</f>
        <v/>
      </c>
      <c r="AO353" s="168" t="str">
        <f t="shared" si="74"/>
        <v/>
      </c>
      <c r="AP353" s="168" t="str">
        <f t="shared" si="75"/>
        <v/>
      </c>
      <c r="AQ353" s="28"/>
      <c r="AR353" s="28"/>
      <c r="AS353" s="20" t="str">
        <f>IF(AQ353="","",IF($F353="Bernardino Furlan",_xlfn.XLOOKUP(AQ353,Cadastros!$G$6:$G$90,Cadastros!$H$6:$H$90)*(1-0.18),IF($F353="Mauro José Salanti",_xlfn.XLOOKUP(AQ353,Cadastros!$G$6:$G$90,Cadastros!$H$6:$H$90)*(1-0.18),_xlfn.XLOOKUP(AQ353,Cadastros!$G$6:$G$90,Cadastros!$H$6:$H$90))))</f>
        <v/>
      </c>
      <c r="AT353" s="168" t="str">
        <f t="shared" si="76"/>
        <v/>
      </c>
      <c r="AU353" s="168" t="str">
        <f t="shared" si="77"/>
        <v/>
      </c>
      <c r="AV353" s="227"/>
      <c r="AW353" s="30"/>
      <c r="AX353" s="267"/>
      <c r="AY353" s="267"/>
      <c r="AZ353" s="29"/>
      <c r="BA353" s="30"/>
      <c r="BB353" s="23" t="str" cm="1">
        <f t="array" ref="BB353">_xlfn.IFS(AW353="SIM",SUM(K353,P353,U353,Z353,AE353,AJ353,AO353,AT353,AX353,AY353),F353&lt;&gt;"",SUM(K353,P353,U353,Z353,AE353,AJ353,,AO353,AT353),F353="","")</f>
        <v/>
      </c>
      <c r="BC353" s="211" t="str" cm="1">
        <f t="array" ref="BC353">_xlfn.IFS(E353="","",G353&lt;=E353,BB353*(1-0.03),G353&lt;(E353+8),BB353,AZ353="Boleto",BB353*(1+0.001)^DATEDIF(E353,G353,"D"),AZ353="Cheque",BB353,AZ353="Dinheiro","Alterar forma pgto")</f>
        <v/>
      </c>
      <c r="BD353" s="276" t="str" cm="1">
        <f t="array" ref="BD353">IF(F353=0," ",IF(BC353&lt;BB353,(_xlfn.IFS(AW353="SIM",SUM(L353,Q353,V353,AA353,AF353,AK353,AP353,AU353)+AX353/_xlfn.XLOOKUP(_xlfn.XLOOKUP($F353,Clientes!$B$4:$B$39,Clientes!$C$4:$C$39),Cadastros!$L$6:$L$12,Cadastros!$M$6:$M$12)+IF($F353="Bernardino Furlan",AY353/2751.92,IF($F353="Mauro José Salanti",AY353/2751.92,AY353/3356)),F353&lt;&gt;0,SUM(L353,Q353,V353,AA353,AF353,AK353,AP353,AU353)))*(1-0.03),_xlfn.IFS(AW353="SIM",SUM(L353,Q353,V353,AA353,AF353,AK353,AP353,AU353)+AX353/_xlfn.XLOOKUP(_xlfn.XLOOKUP($F353,Clientes!$B$4:$B$39,Clientes!$C$4:$C$39),Cadastros!$L$6:$L$12,Cadastros!$M$6:$M$12)+IF($F353="Bernardino Furlan",AY353/2751.92,IF($F353="Mauro José Salanti",AY353/2751.92,AY353/3356)),F353&lt;&gt;0,SUM(L353,Q353,V353,AA353,AF353,AK353,AP353,AU353))))</f>
        <v xml:space="preserve"> </v>
      </c>
      <c r="BE353" s="120"/>
      <c r="BF353" s="120"/>
      <c r="BG353" s="120"/>
    </row>
    <row r="354" spans="1:59" s="3" customFormat="1" x14ac:dyDescent="0.3">
      <c r="A354" s="15" t="str">
        <f t="shared" si="65"/>
        <v/>
      </c>
      <c r="B354" s="25"/>
      <c r="C354" s="26"/>
      <c r="D354" s="279"/>
      <c r="E354" s="27"/>
      <c r="F354" s="28"/>
      <c r="G354" s="27"/>
      <c r="H354" s="28"/>
      <c r="I354" s="28"/>
      <c r="J354" s="255" t="str">
        <f>IF(H354="","",(_xlfn.XLOOKUP(H354,Cadastros!$D$6:$D$90,Cadastros!$E$6:$E$90))*(1-_xlfn.XLOOKUP(_xlfn.XLOOKUP($F354,Clientes!$B$4:$B$39,Clientes!$C$4:$C$39),Cadastros!$L$6:$L$12,Cadastros!$N$6:$N$12)))</f>
        <v/>
      </c>
      <c r="K354" s="168" t="str">
        <f t="shared" si="66"/>
        <v/>
      </c>
      <c r="L354" s="168" t="str">
        <f>IFERROR(K354/_xlfn.XLOOKUP(_xlfn.XLOOKUP($F354,Clientes!$B$4:$B$39,Clientes!$C$4:$C$39),Cadastros!$L$6:$L$12,Cadastros!$M$6:$M$12)," ")</f>
        <v xml:space="preserve"> </v>
      </c>
      <c r="M354" s="28"/>
      <c r="N354" s="28"/>
      <c r="O354" s="255" t="str">
        <f>IF(M354="","",(_xlfn.XLOOKUP(M354,Cadastros!$D$6:$D$90,Cadastros!$E$6:$E$90))*(1-_xlfn.XLOOKUP(_xlfn.XLOOKUP($F354,Clientes!$B$4:$B$39,Clientes!$C$4:$C$39),Cadastros!$L$6:$L$12,Cadastros!$N$6:$N$12)))</f>
        <v/>
      </c>
      <c r="P354" s="168" t="str">
        <f t="shared" si="67"/>
        <v/>
      </c>
      <c r="Q354" s="168" t="str">
        <f>IFERROR(P354/_xlfn.XLOOKUP(_xlfn.XLOOKUP($F354,Clientes!$B$4:$B$39,Clientes!$C$4:$C$39),Cadastros!$L$6:$L$12,Cadastros!$M$6:$M$12)," ")</f>
        <v xml:space="preserve"> </v>
      </c>
      <c r="R354" s="28"/>
      <c r="S354" s="28"/>
      <c r="T354" s="255" t="str">
        <f>IF(R354="","",(_xlfn.XLOOKUP(R354,Cadastros!$D$6:$D$90,Cadastros!$E$6:$E$90))*(1-_xlfn.XLOOKUP(_xlfn.XLOOKUP($F354,Clientes!$B$4:$B$39,Clientes!$C$4:$C$39),Cadastros!$L$6:$L$12,Cadastros!$N$6:$N$12)))</f>
        <v/>
      </c>
      <c r="U354" s="168" t="str">
        <f t="shared" si="68"/>
        <v/>
      </c>
      <c r="V354" s="168" t="str">
        <f>IFERROR(U354/_xlfn.XLOOKUP(_xlfn.XLOOKUP($F354,Clientes!$B$4:$B$39,Clientes!$C$4:$C$39),Cadastros!$L$6:$L$12,Cadastros!$M$6:$M$12)," ")</f>
        <v xml:space="preserve"> </v>
      </c>
      <c r="W354" s="28"/>
      <c r="X354" s="28"/>
      <c r="Y354" s="255" t="str">
        <f>IF(W354="","",(_xlfn.XLOOKUP(W354,Cadastros!$D$6:$D$90,Cadastros!$E$6:$E$90))*(1-_xlfn.XLOOKUP(_xlfn.XLOOKUP($F354,Clientes!$B$4:$B$39,Clientes!$C$4:$C$39),Cadastros!$L$6:$L$12,Cadastros!$N$6:$N$12)))</f>
        <v/>
      </c>
      <c r="Z354" s="168" t="str">
        <f t="shared" si="69"/>
        <v/>
      </c>
      <c r="AA354" s="168" t="str">
        <f>IFERROR(Z354/_xlfn.XLOOKUP(_xlfn.XLOOKUP($F354,Clientes!$B$4:$B$39,Clientes!$C$4:$C$39),Cadastros!$L$6:$L$12,Cadastros!$M$6:$M$12)," ")</f>
        <v xml:space="preserve"> </v>
      </c>
      <c r="AB354" s="28"/>
      <c r="AC354" s="28"/>
      <c r="AD354" s="20" t="str">
        <f>IF(AB354="","",IF($F354="Bernardino Furlan",_xlfn.XLOOKUP(AB354,Cadastros!$G$6:$G$90,Cadastros!$H$6:$H$90)*(1-0.18),IF($F354="Mauro José Salanti",_xlfn.XLOOKUP(AB354,Cadastros!$G$6:$G$90,Cadastros!$H$6:$H$90)*(1-0.18),_xlfn.XLOOKUP(AB354,Cadastros!$G$6:$G$90,Cadastros!$H$6:$H$90))))</f>
        <v/>
      </c>
      <c r="AE354" s="168" t="str">
        <f t="shared" si="70"/>
        <v/>
      </c>
      <c r="AF354" s="168" t="str">
        <f t="shared" si="71"/>
        <v/>
      </c>
      <c r="AG354" s="28"/>
      <c r="AH354" s="28"/>
      <c r="AI354" s="20" t="str">
        <f>IF(AG354="","",IF($F354="Bernardino Furlan",_xlfn.XLOOKUP(AG354,Cadastros!$G$6:$G$90,Cadastros!$H$6:$H$90)*(1-0.18),IF($F354="Mauro José Salanti",_xlfn.XLOOKUP(AG354,Cadastros!$G$6:$G$90,Cadastros!$H$6:$H$90)*(1-0.18),_xlfn.XLOOKUP(AG354,Cadastros!$G$6:$G$90,Cadastros!$H$6:$H$90))))</f>
        <v/>
      </c>
      <c r="AJ354" s="168" t="str">
        <f t="shared" si="72"/>
        <v/>
      </c>
      <c r="AK354" s="168" t="str">
        <f t="shared" si="73"/>
        <v/>
      </c>
      <c r="AL354" s="28"/>
      <c r="AM354" s="28"/>
      <c r="AN354" s="20" t="str">
        <f>IF(AL354="","",IF($F354="Bernardino Furlan",_xlfn.XLOOKUP(AL354,Cadastros!$G$6:$G$90,Cadastros!$H$6:$H$90)*(1-0.18),IF($F354="Mauro José Salanti",_xlfn.XLOOKUP(AL354,Cadastros!$G$6:$G$90,Cadastros!$H$6:$H$90)*(1-0.18),_xlfn.XLOOKUP(AL354,Cadastros!$G$6:$G$90,Cadastros!$H$6:$H$90))))</f>
        <v/>
      </c>
      <c r="AO354" s="168" t="str">
        <f t="shared" si="74"/>
        <v/>
      </c>
      <c r="AP354" s="168" t="str">
        <f t="shared" si="75"/>
        <v/>
      </c>
      <c r="AQ354" s="28"/>
      <c r="AR354" s="28"/>
      <c r="AS354" s="20" t="str">
        <f>IF(AQ354="","",IF($F354="Bernardino Furlan",_xlfn.XLOOKUP(AQ354,Cadastros!$G$6:$G$90,Cadastros!$H$6:$H$90)*(1-0.18),IF($F354="Mauro José Salanti",_xlfn.XLOOKUP(AQ354,Cadastros!$G$6:$G$90,Cadastros!$H$6:$H$90)*(1-0.18),_xlfn.XLOOKUP(AQ354,Cadastros!$G$6:$G$90,Cadastros!$H$6:$H$90))))</f>
        <v/>
      </c>
      <c r="AT354" s="168" t="str">
        <f t="shared" si="76"/>
        <v/>
      </c>
      <c r="AU354" s="168" t="str">
        <f t="shared" si="77"/>
        <v/>
      </c>
      <c r="AV354" s="227"/>
      <c r="AW354" s="30"/>
      <c r="AX354" s="267"/>
      <c r="AY354" s="267"/>
      <c r="AZ354" s="29"/>
      <c r="BA354" s="30"/>
      <c r="BB354" s="23" t="str" cm="1">
        <f t="array" ref="BB354">_xlfn.IFS(AW354="SIM",SUM(K354,P354,U354,Z354,AE354,AJ354,AO354,AT354,AX354,AY354),F354&lt;&gt;"",SUM(K354,P354,U354,Z354,AE354,AJ354,,AO354,AT354),F354="","")</f>
        <v/>
      </c>
      <c r="BC354" s="211" t="str" cm="1">
        <f t="array" ref="BC354">_xlfn.IFS(E354="","",G354&lt;=E354,BB354*(1-0.03),G354&lt;(E354+8),BB354,AZ354="Boleto",BB354*(1+0.001)^DATEDIF(E354,G354,"D"),AZ354="Cheque",BB354,AZ354="Dinheiro","Alterar forma pgto")</f>
        <v/>
      </c>
      <c r="BD354" s="276" t="str" cm="1">
        <f t="array" ref="BD354">IF(F354=0," ",IF(BC354&lt;BB354,(_xlfn.IFS(AW354="SIM",SUM(L354,Q354,V354,AA354,AF354,AK354,AP354,AU354)+AX354/_xlfn.XLOOKUP(_xlfn.XLOOKUP($F354,Clientes!$B$4:$B$39,Clientes!$C$4:$C$39),Cadastros!$L$6:$L$12,Cadastros!$M$6:$M$12)+IF($F354="Bernardino Furlan",AY354/2751.92,IF($F354="Mauro José Salanti",AY354/2751.92,AY354/3356)),F354&lt;&gt;0,SUM(L354,Q354,V354,AA354,AF354,AK354,AP354,AU354)))*(1-0.03),_xlfn.IFS(AW354="SIM",SUM(L354,Q354,V354,AA354,AF354,AK354,AP354,AU354)+AX354/_xlfn.XLOOKUP(_xlfn.XLOOKUP($F354,Clientes!$B$4:$B$39,Clientes!$C$4:$C$39),Cadastros!$L$6:$L$12,Cadastros!$M$6:$M$12)+IF($F354="Bernardino Furlan",AY354/2751.92,IF($F354="Mauro José Salanti",AY354/2751.92,AY354/3356)),F354&lt;&gt;0,SUM(L354,Q354,V354,AA354,AF354,AK354,AP354,AU354))))</f>
        <v xml:space="preserve"> </v>
      </c>
      <c r="BE354" s="120"/>
      <c r="BF354" s="120"/>
      <c r="BG354" s="120"/>
    </row>
    <row r="355" spans="1:59" s="3" customFormat="1" x14ac:dyDescent="0.3">
      <c r="A355" s="15" t="str">
        <f t="shared" si="65"/>
        <v/>
      </c>
      <c r="B355" s="34"/>
      <c r="C355" s="35"/>
      <c r="D355" s="280"/>
      <c r="E355" s="36"/>
      <c r="F355" s="37"/>
      <c r="G355" s="36"/>
      <c r="H355" s="37"/>
      <c r="I355" s="37"/>
      <c r="J355" s="255" t="str">
        <f>IF(H355="","",(_xlfn.XLOOKUP(H355,Cadastros!$D$6:$D$90,Cadastros!$E$6:$E$90))*(1-_xlfn.XLOOKUP(_xlfn.XLOOKUP($F355,Clientes!$B$4:$B$39,Clientes!$C$4:$C$39),Cadastros!$L$6:$L$12,Cadastros!$N$6:$N$12)))</f>
        <v/>
      </c>
      <c r="K355" s="168" t="str">
        <f t="shared" si="66"/>
        <v/>
      </c>
      <c r="L355" s="168" t="str">
        <f>IFERROR(K355/_xlfn.XLOOKUP(_xlfn.XLOOKUP($F355,Clientes!$B$4:$B$39,Clientes!$C$4:$C$39),Cadastros!$L$6:$L$12,Cadastros!$M$6:$M$12)," ")</f>
        <v xml:space="preserve"> </v>
      </c>
      <c r="M355" s="37"/>
      <c r="N355" s="37"/>
      <c r="O355" s="255" t="str">
        <f>IF(M355="","",(_xlfn.XLOOKUP(M355,Cadastros!$D$6:$D$90,Cadastros!$E$6:$E$90))*(1-_xlfn.XLOOKUP(_xlfn.XLOOKUP($F355,Clientes!$B$4:$B$39,Clientes!$C$4:$C$39),Cadastros!$L$6:$L$12,Cadastros!$N$6:$N$12)))</f>
        <v/>
      </c>
      <c r="P355" s="168" t="str">
        <f t="shared" si="67"/>
        <v/>
      </c>
      <c r="Q355" s="168" t="str">
        <f>IFERROR(P355/_xlfn.XLOOKUP(_xlfn.XLOOKUP($F355,Clientes!$B$4:$B$39,Clientes!$C$4:$C$39),Cadastros!$L$6:$L$12,Cadastros!$M$6:$M$12)," ")</f>
        <v xml:space="preserve"> </v>
      </c>
      <c r="R355" s="37"/>
      <c r="S355" s="37"/>
      <c r="T355" s="255" t="str">
        <f>IF(R355="","",(_xlfn.XLOOKUP(R355,Cadastros!$D$6:$D$90,Cadastros!$E$6:$E$90))*(1-_xlfn.XLOOKUP(_xlfn.XLOOKUP($F355,Clientes!$B$4:$B$39,Clientes!$C$4:$C$39),Cadastros!$L$6:$L$12,Cadastros!$N$6:$N$12)))</f>
        <v/>
      </c>
      <c r="U355" s="168" t="str">
        <f t="shared" si="68"/>
        <v/>
      </c>
      <c r="V355" s="168" t="str">
        <f>IFERROR(U355/_xlfn.XLOOKUP(_xlfn.XLOOKUP($F355,Clientes!$B$4:$B$39,Clientes!$C$4:$C$39),Cadastros!$L$6:$L$12,Cadastros!$M$6:$M$12)," ")</f>
        <v xml:space="preserve"> </v>
      </c>
      <c r="W355" s="37"/>
      <c r="X355" s="37"/>
      <c r="Y355" s="255" t="str">
        <f>IF(W355="","",(_xlfn.XLOOKUP(W355,Cadastros!$D$6:$D$90,Cadastros!$E$6:$E$90))*(1-_xlfn.XLOOKUP(_xlfn.XLOOKUP($F355,Clientes!$B$4:$B$39,Clientes!$C$4:$C$39),Cadastros!$L$6:$L$12,Cadastros!$N$6:$N$12)))</f>
        <v/>
      </c>
      <c r="Z355" s="168" t="str">
        <f t="shared" si="69"/>
        <v/>
      </c>
      <c r="AA355" s="168" t="str">
        <f>IFERROR(Z355/_xlfn.XLOOKUP(_xlfn.XLOOKUP($F355,Clientes!$B$4:$B$39,Clientes!$C$4:$C$39),Cadastros!$L$6:$L$12,Cadastros!$M$6:$M$12)," ")</f>
        <v xml:space="preserve"> </v>
      </c>
      <c r="AB355" s="37"/>
      <c r="AC355" s="37"/>
      <c r="AD355" s="20" t="str">
        <f>IF(AB355="","",IF($F355="Bernardino Furlan",_xlfn.XLOOKUP(AB355,Cadastros!$G$6:$G$90,Cadastros!$H$6:$H$90)*(1-0.18),IF($F355="Mauro José Salanti",_xlfn.XLOOKUP(AB355,Cadastros!$G$6:$G$90,Cadastros!$H$6:$H$90)*(1-0.18),_xlfn.XLOOKUP(AB355,Cadastros!$G$6:$G$90,Cadastros!$H$6:$H$90))))</f>
        <v/>
      </c>
      <c r="AE355" s="168" t="str">
        <f t="shared" si="70"/>
        <v/>
      </c>
      <c r="AF355" s="168" t="str">
        <f t="shared" si="71"/>
        <v/>
      </c>
      <c r="AG355" s="37"/>
      <c r="AH355" s="37"/>
      <c r="AI355" s="20" t="str">
        <f>IF(AG355="","",IF($F355="Bernardino Furlan",_xlfn.XLOOKUP(AG355,Cadastros!$G$6:$G$90,Cadastros!$H$6:$H$90)*(1-0.18),IF($F355="Mauro José Salanti",_xlfn.XLOOKUP(AG355,Cadastros!$G$6:$G$90,Cadastros!$H$6:$H$90)*(1-0.18),_xlfn.XLOOKUP(AG355,Cadastros!$G$6:$G$90,Cadastros!$H$6:$H$90))))</f>
        <v/>
      </c>
      <c r="AJ355" s="168" t="str">
        <f t="shared" si="72"/>
        <v/>
      </c>
      <c r="AK355" s="168" t="str">
        <f t="shared" si="73"/>
        <v/>
      </c>
      <c r="AL355" s="37"/>
      <c r="AM355" s="37"/>
      <c r="AN355" s="20" t="str">
        <f>IF(AL355="","",IF($F355="Bernardino Furlan",_xlfn.XLOOKUP(AL355,Cadastros!$G$6:$G$90,Cadastros!$H$6:$H$90)*(1-0.18),IF($F355="Mauro José Salanti",_xlfn.XLOOKUP(AL355,Cadastros!$G$6:$G$90,Cadastros!$H$6:$H$90)*(1-0.18),_xlfn.XLOOKUP(AL355,Cadastros!$G$6:$G$90,Cadastros!$H$6:$H$90))))</f>
        <v/>
      </c>
      <c r="AO355" s="168" t="str">
        <f t="shared" si="74"/>
        <v/>
      </c>
      <c r="AP355" s="168" t="str">
        <f t="shared" si="75"/>
        <v/>
      </c>
      <c r="AQ355" s="37"/>
      <c r="AR355" s="37"/>
      <c r="AS355" s="20" t="str">
        <f>IF(AQ355="","",IF($F355="Bernardino Furlan",_xlfn.XLOOKUP(AQ355,Cadastros!$G$6:$G$90,Cadastros!$H$6:$H$90)*(1-0.18),IF($F355="Mauro José Salanti",_xlfn.XLOOKUP(AQ355,Cadastros!$G$6:$G$90,Cadastros!$H$6:$H$90)*(1-0.18),_xlfn.XLOOKUP(AQ355,Cadastros!$G$6:$G$90,Cadastros!$H$6:$H$90))))</f>
        <v/>
      </c>
      <c r="AT355" s="168" t="str">
        <f t="shared" si="76"/>
        <v/>
      </c>
      <c r="AU355" s="168" t="str">
        <f t="shared" si="77"/>
        <v/>
      </c>
      <c r="AV355" s="228"/>
      <c r="AW355" s="38"/>
      <c r="AX355" s="268"/>
      <c r="AY355" s="268"/>
      <c r="AZ355" s="33"/>
      <c r="BA355" s="38"/>
      <c r="BB355" s="23" t="str" cm="1">
        <f t="array" ref="BB355">_xlfn.IFS(AW355="SIM",SUM(K355,P355,U355,Z355,AE355,AJ355,AO355,AT355,AX355,AY355),F355&lt;&gt;"",SUM(K355,P355,U355,Z355,AE355,AJ355,,AO355,AT355),F355="","")</f>
        <v/>
      </c>
      <c r="BC355" s="211" t="str" cm="1">
        <f t="array" ref="BC355">_xlfn.IFS(E355="","",G355&lt;=E355,BB355*(1-0.03),G355&lt;(E355+8),BB355,AZ355="Boleto",BB355*(1+0.001)^DATEDIF(E355,G355,"D"),AZ355="Cheque",BB355,AZ355="Dinheiro","Alterar forma pgto")</f>
        <v/>
      </c>
      <c r="BD355" s="276" t="str" cm="1">
        <f t="array" ref="BD355">IF(F355=0," ",IF(BC355&lt;BB355,(_xlfn.IFS(AW355="SIM",SUM(L355,Q355,V355,AA355,AF355,AK355,AP355,AU355)+AX355/_xlfn.XLOOKUP(_xlfn.XLOOKUP($F355,Clientes!$B$4:$B$39,Clientes!$C$4:$C$39),Cadastros!$L$6:$L$12,Cadastros!$M$6:$M$12)+IF($F355="Bernardino Furlan",AY355/2751.92,IF($F355="Mauro José Salanti",AY355/2751.92,AY355/3356)),F355&lt;&gt;0,SUM(L355,Q355,V355,AA355,AF355,AK355,AP355,AU355)))*(1-0.03),_xlfn.IFS(AW355="SIM",SUM(L355,Q355,V355,AA355,AF355,AK355,AP355,AU355)+AX355/_xlfn.XLOOKUP(_xlfn.XLOOKUP($F355,Clientes!$B$4:$B$39,Clientes!$C$4:$C$39),Cadastros!$L$6:$L$12,Cadastros!$M$6:$M$12)+IF($F355="Bernardino Furlan",AY355/2751.92,IF($F355="Mauro José Salanti",AY355/2751.92,AY355/3356)),F355&lt;&gt;0,SUM(L355,Q355,V355,AA355,AF355,AK355,AP355,AU355))))</f>
        <v xml:space="preserve"> </v>
      </c>
      <c r="BE355" s="120"/>
      <c r="BF355" s="120"/>
      <c r="BG355" s="120"/>
    </row>
    <row r="356" spans="1:59" s="3" customFormat="1" x14ac:dyDescent="0.3">
      <c r="A356" s="15" t="str">
        <f t="shared" si="65"/>
        <v/>
      </c>
      <c r="B356" s="39"/>
      <c r="C356" s="40"/>
      <c r="D356" s="281"/>
      <c r="E356" s="41"/>
      <c r="F356" s="42"/>
      <c r="G356" s="41"/>
      <c r="H356" s="42"/>
      <c r="I356" s="42"/>
      <c r="J356" s="255" t="str">
        <f>IF(H356="","",(_xlfn.XLOOKUP(H356,Cadastros!$D$6:$D$90,Cadastros!$E$6:$E$90))*(1-_xlfn.XLOOKUP(_xlfn.XLOOKUP($F356,Clientes!$B$4:$B$39,Clientes!$C$4:$C$39),Cadastros!$L$6:$L$12,Cadastros!$N$6:$N$12)))</f>
        <v/>
      </c>
      <c r="K356" s="168" t="str">
        <f t="shared" si="66"/>
        <v/>
      </c>
      <c r="L356" s="168" t="str">
        <f>IFERROR(K356/_xlfn.XLOOKUP(_xlfn.XLOOKUP($F356,Clientes!$B$4:$B$39,Clientes!$C$4:$C$39),Cadastros!$L$6:$L$12,Cadastros!$M$6:$M$12)," ")</f>
        <v xml:space="preserve"> </v>
      </c>
      <c r="M356" s="42"/>
      <c r="N356" s="42"/>
      <c r="O356" s="255" t="str">
        <f>IF(M356="","",(_xlfn.XLOOKUP(M356,Cadastros!$D$6:$D$90,Cadastros!$E$6:$E$90))*(1-_xlfn.XLOOKUP(_xlfn.XLOOKUP($F356,Clientes!$B$4:$B$39,Clientes!$C$4:$C$39),Cadastros!$L$6:$L$12,Cadastros!$N$6:$N$12)))</f>
        <v/>
      </c>
      <c r="P356" s="168" t="str">
        <f t="shared" si="67"/>
        <v/>
      </c>
      <c r="Q356" s="168" t="str">
        <f>IFERROR(P356/_xlfn.XLOOKUP(_xlfn.XLOOKUP($F356,Clientes!$B$4:$B$39,Clientes!$C$4:$C$39),Cadastros!$L$6:$L$12,Cadastros!$M$6:$M$12)," ")</f>
        <v xml:space="preserve"> </v>
      </c>
      <c r="R356" s="42"/>
      <c r="S356" s="42"/>
      <c r="T356" s="255" t="str">
        <f>IF(R356="","",(_xlfn.XLOOKUP(R356,Cadastros!$D$6:$D$90,Cadastros!$E$6:$E$90))*(1-_xlfn.XLOOKUP(_xlfn.XLOOKUP($F356,Clientes!$B$4:$B$39,Clientes!$C$4:$C$39),Cadastros!$L$6:$L$12,Cadastros!$N$6:$N$12)))</f>
        <v/>
      </c>
      <c r="U356" s="168" t="str">
        <f t="shared" si="68"/>
        <v/>
      </c>
      <c r="V356" s="168" t="str">
        <f>IFERROR(U356/_xlfn.XLOOKUP(_xlfn.XLOOKUP($F356,Clientes!$B$4:$B$39,Clientes!$C$4:$C$39),Cadastros!$L$6:$L$12,Cadastros!$M$6:$M$12)," ")</f>
        <v xml:space="preserve"> </v>
      </c>
      <c r="W356" s="42"/>
      <c r="X356" s="42"/>
      <c r="Y356" s="255" t="str">
        <f>IF(W356="","",(_xlfn.XLOOKUP(W356,Cadastros!$D$6:$D$90,Cadastros!$E$6:$E$90))*(1-_xlfn.XLOOKUP(_xlfn.XLOOKUP($F356,Clientes!$B$4:$B$39,Clientes!$C$4:$C$39),Cadastros!$L$6:$L$12,Cadastros!$N$6:$N$12)))</f>
        <v/>
      </c>
      <c r="Z356" s="168" t="str">
        <f t="shared" si="69"/>
        <v/>
      </c>
      <c r="AA356" s="168" t="str">
        <f>IFERROR(Z356/_xlfn.XLOOKUP(_xlfn.XLOOKUP($F356,Clientes!$B$4:$B$39,Clientes!$C$4:$C$39),Cadastros!$L$6:$L$12,Cadastros!$M$6:$M$12)," ")</f>
        <v xml:space="preserve"> </v>
      </c>
      <c r="AB356" s="42"/>
      <c r="AC356" s="42"/>
      <c r="AD356" s="20" t="str">
        <f>IF(AB356="","",IF($F356="Bernardino Furlan",_xlfn.XLOOKUP(AB356,Cadastros!$G$6:$G$90,Cadastros!$H$6:$H$90)*(1-0.18),IF($F356="Mauro José Salanti",_xlfn.XLOOKUP(AB356,Cadastros!$G$6:$G$90,Cadastros!$H$6:$H$90)*(1-0.18),_xlfn.XLOOKUP(AB356,Cadastros!$G$6:$G$90,Cadastros!$H$6:$H$90))))</f>
        <v/>
      </c>
      <c r="AE356" s="168" t="str">
        <f t="shared" si="70"/>
        <v/>
      </c>
      <c r="AF356" s="168" t="str">
        <f t="shared" si="71"/>
        <v/>
      </c>
      <c r="AG356" s="42"/>
      <c r="AH356" s="42"/>
      <c r="AI356" s="20" t="str">
        <f>IF(AG356="","",IF($F356="Bernardino Furlan",_xlfn.XLOOKUP(AG356,Cadastros!$G$6:$G$90,Cadastros!$H$6:$H$90)*(1-0.18),IF($F356="Mauro José Salanti",_xlfn.XLOOKUP(AG356,Cadastros!$G$6:$G$90,Cadastros!$H$6:$H$90)*(1-0.18),_xlfn.XLOOKUP(AG356,Cadastros!$G$6:$G$90,Cadastros!$H$6:$H$90))))</f>
        <v/>
      </c>
      <c r="AJ356" s="168" t="str">
        <f t="shared" si="72"/>
        <v/>
      </c>
      <c r="AK356" s="168" t="str">
        <f t="shared" si="73"/>
        <v/>
      </c>
      <c r="AL356" s="42"/>
      <c r="AM356" s="42"/>
      <c r="AN356" s="20" t="str">
        <f>IF(AL356="","",IF($F356="Bernardino Furlan",_xlfn.XLOOKUP(AL356,Cadastros!$G$6:$G$90,Cadastros!$H$6:$H$90)*(1-0.18),IF($F356="Mauro José Salanti",_xlfn.XLOOKUP(AL356,Cadastros!$G$6:$G$90,Cadastros!$H$6:$H$90)*(1-0.18),_xlfn.XLOOKUP(AL356,Cadastros!$G$6:$G$90,Cadastros!$H$6:$H$90))))</f>
        <v/>
      </c>
      <c r="AO356" s="168" t="str">
        <f t="shared" si="74"/>
        <v/>
      </c>
      <c r="AP356" s="168" t="str">
        <f t="shared" si="75"/>
        <v/>
      </c>
      <c r="AQ356" s="42"/>
      <c r="AR356" s="42"/>
      <c r="AS356" s="20" t="str">
        <f>IF(AQ356="","",IF($F356="Bernardino Furlan",_xlfn.XLOOKUP(AQ356,Cadastros!$G$6:$G$90,Cadastros!$H$6:$H$90)*(1-0.18),IF($F356="Mauro José Salanti",_xlfn.XLOOKUP(AQ356,Cadastros!$G$6:$G$90,Cadastros!$H$6:$H$90)*(1-0.18),_xlfn.XLOOKUP(AQ356,Cadastros!$G$6:$G$90,Cadastros!$H$6:$H$90))))</f>
        <v/>
      </c>
      <c r="AT356" s="168" t="str">
        <f t="shared" si="76"/>
        <v/>
      </c>
      <c r="AU356" s="168" t="str">
        <f t="shared" si="77"/>
        <v/>
      </c>
      <c r="AV356" s="229"/>
      <c r="AW356" s="44"/>
      <c r="AX356" s="269"/>
      <c r="AY356" s="269"/>
      <c r="AZ356" s="43"/>
      <c r="BA356" s="44"/>
      <c r="BB356" s="23" t="str" cm="1">
        <f t="array" ref="BB356">_xlfn.IFS(AW356="SIM",SUM(K356,P356,U356,Z356,AE356,AJ356,AO356,AT356,AX356,AY356),F356&lt;&gt;"",SUM(K356,P356,U356,Z356,AE356,AJ356,,AO356,AT356),F356="","")</f>
        <v/>
      </c>
      <c r="BC356" s="211" t="str" cm="1">
        <f t="array" ref="BC356">_xlfn.IFS(E356="","",G356&lt;=E356,BB356*(1-0.03),G356&lt;(E356+8),BB356,AZ356="Boleto",BB356*(1+0.001)^DATEDIF(E356,G356,"D"),AZ356="Cheque",BB356,AZ356="Dinheiro","Alterar forma pgto")</f>
        <v/>
      </c>
      <c r="BD356" s="276" t="str" cm="1">
        <f t="array" ref="BD356">IF(F356=0," ",IF(BC356&lt;BB356,(_xlfn.IFS(AW356="SIM",SUM(L356,Q356,V356,AA356,AF356,AK356,AP356,AU356)+AX356/_xlfn.XLOOKUP(_xlfn.XLOOKUP($F356,Clientes!$B$4:$B$39,Clientes!$C$4:$C$39),Cadastros!$L$6:$L$12,Cadastros!$M$6:$M$12)+IF($F356="Bernardino Furlan",AY356/2751.92,IF($F356="Mauro José Salanti",AY356/2751.92,AY356/3356)),F356&lt;&gt;0,SUM(L356,Q356,V356,AA356,AF356,AK356,AP356,AU356)))*(1-0.03),_xlfn.IFS(AW356="SIM",SUM(L356,Q356,V356,AA356,AF356,AK356,AP356,AU356)+AX356/_xlfn.XLOOKUP(_xlfn.XLOOKUP($F356,Clientes!$B$4:$B$39,Clientes!$C$4:$C$39),Cadastros!$L$6:$L$12,Cadastros!$M$6:$M$12)+IF($F356="Bernardino Furlan",AY356/2751.92,IF($F356="Mauro José Salanti",AY356/2751.92,AY356/3356)),F356&lt;&gt;0,SUM(L356,Q356,V356,AA356,AF356,AK356,AP356,AU356))))</f>
        <v xml:space="preserve"> </v>
      </c>
      <c r="BE356" s="120"/>
      <c r="BF356" s="120"/>
      <c r="BG356" s="120"/>
    </row>
    <row r="357" spans="1:59" s="3" customFormat="1" x14ac:dyDescent="0.3">
      <c r="A357" s="15" t="str">
        <f t="shared" si="65"/>
        <v/>
      </c>
      <c r="B357" s="25"/>
      <c r="C357" s="26"/>
      <c r="D357" s="279"/>
      <c r="E357" s="27"/>
      <c r="F357" s="28"/>
      <c r="G357" s="27"/>
      <c r="H357" s="28"/>
      <c r="I357" s="28"/>
      <c r="J357" s="255" t="str">
        <f>IF(H357="","",(_xlfn.XLOOKUP(H357,Cadastros!$D$6:$D$90,Cadastros!$E$6:$E$90))*(1-_xlfn.XLOOKUP(_xlfn.XLOOKUP($F357,Clientes!$B$4:$B$39,Clientes!$C$4:$C$39),Cadastros!$L$6:$L$12,Cadastros!$N$6:$N$12)))</f>
        <v/>
      </c>
      <c r="K357" s="168" t="str">
        <f t="shared" si="66"/>
        <v/>
      </c>
      <c r="L357" s="168" t="str">
        <f>IFERROR(K357/_xlfn.XLOOKUP(_xlfn.XLOOKUP($F357,Clientes!$B$4:$B$39,Clientes!$C$4:$C$39),Cadastros!$L$6:$L$12,Cadastros!$M$6:$M$12)," ")</f>
        <v xml:space="preserve"> </v>
      </c>
      <c r="M357" s="28"/>
      <c r="N357" s="28"/>
      <c r="O357" s="255" t="str">
        <f>IF(M357="","",(_xlfn.XLOOKUP(M357,Cadastros!$D$6:$D$90,Cadastros!$E$6:$E$90))*(1-_xlfn.XLOOKUP(_xlfn.XLOOKUP($F357,Clientes!$B$4:$B$39,Clientes!$C$4:$C$39),Cadastros!$L$6:$L$12,Cadastros!$N$6:$N$12)))</f>
        <v/>
      </c>
      <c r="P357" s="168" t="str">
        <f t="shared" si="67"/>
        <v/>
      </c>
      <c r="Q357" s="168" t="str">
        <f>IFERROR(P357/_xlfn.XLOOKUP(_xlfn.XLOOKUP($F357,Clientes!$B$4:$B$39,Clientes!$C$4:$C$39),Cadastros!$L$6:$L$12,Cadastros!$M$6:$M$12)," ")</f>
        <v xml:space="preserve"> </v>
      </c>
      <c r="R357" s="28"/>
      <c r="S357" s="28"/>
      <c r="T357" s="255" t="str">
        <f>IF(R357="","",(_xlfn.XLOOKUP(R357,Cadastros!$D$6:$D$90,Cadastros!$E$6:$E$90))*(1-_xlfn.XLOOKUP(_xlfn.XLOOKUP($F357,Clientes!$B$4:$B$39,Clientes!$C$4:$C$39),Cadastros!$L$6:$L$12,Cadastros!$N$6:$N$12)))</f>
        <v/>
      </c>
      <c r="U357" s="168" t="str">
        <f t="shared" si="68"/>
        <v/>
      </c>
      <c r="V357" s="168" t="str">
        <f>IFERROR(U357/_xlfn.XLOOKUP(_xlfn.XLOOKUP($F357,Clientes!$B$4:$B$39,Clientes!$C$4:$C$39),Cadastros!$L$6:$L$12,Cadastros!$M$6:$M$12)," ")</f>
        <v xml:space="preserve"> </v>
      </c>
      <c r="W357" s="28"/>
      <c r="X357" s="28"/>
      <c r="Y357" s="255" t="str">
        <f>IF(W357="","",(_xlfn.XLOOKUP(W357,Cadastros!$D$6:$D$90,Cadastros!$E$6:$E$90))*(1-_xlfn.XLOOKUP(_xlfn.XLOOKUP($F357,Clientes!$B$4:$B$39,Clientes!$C$4:$C$39),Cadastros!$L$6:$L$12,Cadastros!$N$6:$N$12)))</f>
        <v/>
      </c>
      <c r="Z357" s="168" t="str">
        <f t="shared" si="69"/>
        <v/>
      </c>
      <c r="AA357" s="168" t="str">
        <f>IFERROR(Z357/_xlfn.XLOOKUP(_xlfn.XLOOKUP($F357,Clientes!$B$4:$B$39,Clientes!$C$4:$C$39),Cadastros!$L$6:$L$12,Cadastros!$M$6:$M$12)," ")</f>
        <v xml:space="preserve"> </v>
      </c>
      <c r="AB357" s="28"/>
      <c r="AC357" s="28"/>
      <c r="AD357" s="20" t="str">
        <f>IF(AB357="","",IF($F357="Bernardino Furlan",_xlfn.XLOOKUP(AB357,Cadastros!$G$6:$G$90,Cadastros!$H$6:$H$90)*(1-0.18),IF($F357="Mauro José Salanti",_xlfn.XLOOKUP(AB357,Cadastros!$G$6:$G$90,Cadastros!$H$6:$H$90)*(1-0.18),_xlfn.XLOOKUP(AB357,Cadastros!$G$6:$G$90,Cadastros!$H$6:$H$90))))</f>
        <v/>
      </c>
      <c r="AE357" s="168" t="str">
        <f t="shared" si="70"/>
        <v/>
      </c>
      <c r="AF357" s="168" t="str">
        <f t="shared" si="71"/>
        <v/>
      </c>
      <c r="AG357" s="28"/>
      <c r="AH357" s="28"/>
      <c r="AI357" s="20" t="str">
        <f>IF(AG357="","",IF($F357="Bernardino Furlan",_xlfn.XLOOKUP(AG357,Cadastros!$G$6:$G$90,Cadastros!$H$6:$H$90)*(1-0.18),IF($F357="Mauro José Salanti",_xlfn.XLOOKUP(AG357,Cadastros!$G$6:$G$90,Cadastros!$H$6:$H$90)*(1-0.18),_xlfn.XLOOKUP(AG357,Cadastros!$G$6:$G$90,Cadastros!$H$6:$H$90))))</f>
        <v/>
      </c>
      <c r="AJ357" s="168" t="str">
        <f t="shared" si="72"/>
        <v/>
      </c>
      <c r="AK357" s="168" t="str">
        <f t="shared" si="73"/>
        <v/>
      </c>
      <c r="AL357" s="28"/>
      <c r="AM357" s="28"/>
      <c r="AN357" s="20" t="str">
        <f>IF(AL357="","",IF($F357="Bernardino Furlan",_xlfn.XLOOKUP(AL357,Cadastros!$G$6:$G$90,Cadastros!$H$6:$H$90)*(1-0.18),IF($F357="Mauro José Salanti",_xlfn.XLOOKUP(AL357,Cadastros!$G$6:$G$90,Cadastros!$H$6:$H$90)*(1-0.18),_xlfn.XLOOKUP(AL357,Cadastros!$G$6:$G$90,Cadastros!$H$6:$H$90))))</f>
        <v/>
      </c>
      <c r="AO357" s="168" t="str">
        <f t="shared" si="74"/>
        <v/>
      </c>
      <c r="AP357" s="168" t="str">
        <f t="shared" si="75"/>
        <v/>
      </c>
      <c r="AQ357" s="28"/>
      <c r="AR357" s="28"/>
      <c r="AS357" s="20" t="str">
        <f>IF(AQ357="","",IF($F357="Bernardino Furlan",_xlfn.XLOOKUP(AQ357,Cadastros!$G$6:$G$90,Cadastros!$H$6:$H$90)*(1-0.18),IF($F357="Mauro José Salanti",_xlfn.XLOOKUP(AQ357,Cadastros!$G$6:$G$90,Cadastros!$H$6:$H$90)*(1-0.18),_xlfn.XLOOKUP(AQ357,Cadastros!$G$6:$G$90,Cadastros!$H$6:$H$90))))</f>
        <v/>
      </c>
      <c r="AT357" s="168" t="str">
        <f t="shared" si="76"/>
        <v/>
      </c>
      <c r="AU357" s="168" t="str">
        <f t="shared" si="77"/>
        <v/>
      </c>
      <c r="AV357" s="227"/>
      <c r="AW357" s="30"/>
      <c r="AX357" s="267"/>
      <c r="AY357" s="267"/>
      <c r="AZ357" s="29"/>
      <c r="BA357" s="30"/>
      <c r="BB357" s="23" t="str" cm="1">
        <f t="array" ref="BB357">_xlfn.IFS(AW357="SIM",SUM(K357,P357,U357,Z357,AE357,AJ357,AO357,AT357,AX357,AY357),F357&lt;&gt;"",SUM(K357,P357,U357,Z357,AE357,AJ357,,AO357,AT357),F357="","")</f>
        <v/>
      </c>
      <c r="BC357" s="211" t="str" cm="1">
        <f t="array" ref="BC357">_xlfn.IFS(E357="","",G357&lt;=E357,BB357*(1-0.03),G357&lt;(E357+8),BB357,AZ357="Boleto",BB357*(1+0.001)^DATEDIF(E357,G357,"D"),AZ357="Cheque",BB357,AZ357="Dinheiro","Alterar forma pgto")</f>
        <v/>
      </c>
      <c r="BD357" s="276" t="str" cm="1">
        <f t="array" ref="BD357">IF(F357=0," ",IF(BC357&lt;BB357,(_xlfn.IFS(AW357="SIM",SUM(L357,Q357,V357,AA357,AF357,AK357,AP357,AU357)+AX357/_xlfn.XLOOKUP(_xlfn.XLOOKUP($F357,Clientes!$B$4:$B$39,Clientes!$C$4:$C$39),Cadastros!$L$6:$L$12,Cadastros!$M$6:$M$12)+IF($F357="Bernardino Furlan",AY357/2751.92,IF($F357="Mauro José Salanti",AY357/2751.92,AY357/3356)),F357&lt;&gt;0,SUM(L357,Q357,V357,AA357,AF357,AK357,AP357,AU357)))*(1-0.03),_xlfn.IFS(AW357="SIM",SUM(L357,Q357,V357,AA357,AF357,AK357,AP357,AU357)+AX357/_xlfn.XLOOKUP(_xlfn.XLOOKUP($F357,Clientes!$B$4:$B$39,Clientes!$C$4:$C$39),Cadastros!$L$6:$L$12,Cadastros!$M$6:$M$12)+IF($F357="Bernardino Furlan",AY357/2751.92,IF($F357="Mauro José Salanti",AY357/2751.92,AY357/3356)),F357&lt;&gt;0,SUM(L357,Q357,V357,AA357,AF357,AK357,AP357,AU357))))</f>
        <v xml:space="preserve"> </v>
      </c>
      <c r="BE357" s="120"/>
      <c r="BF357" s="120"/>
      <c r="BG357" s="120"/>
    </row>
    <row r="358" spans="1:59" s="3" customFormat="1" x14ac:dyDescent="0.3">
      <c r="A358" s="15" t="str">
        <f t="shared" si="65"/>
        <v/>
      </c>
      <c r="B358" s="25"/>
      <c r="C358" s="26"/>
      <c r="D358" s="279"/>
      <c r="E358" s="27"/>
      <c r="F358" s="28"/>
      <c r="G358" s="27"/>
      <c r="H358" s="28"/>
      <c r="I358" s="28"/>
      <c r="J358" s="255" t="str">
        <f>IF(H358="","",(_xlfn.XLOOKUP(H358,Cadastros!$D$6:$D$90,Cadastros!$E$6:$E$90))*(1-_xlfn.XLOOKUP(_xlfn.XLOOKUP($F358,Clientes!$B$4:$B$39,Clientes!$C$4:$C$39),Cadastros!$L$6:$L$12,Cadastros!$N$6:$N$12)))</f>
        <v/>
      </c>
      <c r="K358" s="168" t="str">
        <f t="shared" si="66"/>
        <v/>
      </c>
      <c r="L358" s="168" t="str">
        <f>IFERROR(K358/_xlfn.XLOOKUP(_xlfn.XLOOKUP($F358,Clientes!$B$4:$B$39,Clientes!$C$4:$C$39),Cadastros!$L$6:$L$12,Cadastros!$M$6:$M$12)," ")</f>
        <v xml:space="preserve"> </v>
      </c>
      <c r="M358" s="28"/>
      <c r="N358" s="28"/>
      <c r="O358" s="255" t="str">
        <f>IF(M358="","",(_xlfn.XLOOKUP(M358,Cadastros!$D$6:$D$90,Cadastros!$E$6:$E$90))*(1-_xlfn.XLOOKUP(_xlfn.XLOOKUP($F358,Clientes!$B$4:$B$39,Clientes!$C$4:$C$39),Cadastros!$L$6:$L$12,Cadastros!$N$6:$N$12)))</f>
        <v/>
      </c>
      <c r="P358" s="168" t="str">
        <f t="shared" si="67"/>
        <v/>
      </c>
      <c r="Q358" s="168" t="str">
        <f>IFERROR(P358/_xlfn.XLOOKUP(_xlfn.XLOOKUP($F358,Clientes!$B$4:$B$39,Clientes!$C$4:$C$39),Cadastros!$L$6:$L$12,Cadastros!$M$6:$M$12)," ")</f>
        <v xml:space="preserve"> </v>
      </c>
      <c r="R358" s="28"/>
      <c r="S358" s="28"/>
      <c r="T358" s="255" t="str">
        <f>IF(R358="","",(_xlfn.XLOOKUP(R358,Cadastros!$D$6:$D$90,Cadastros!$E$6:$E$90))*(1-_xlfn.XLOOKUP(_xlfn.XLOOKUP($F358,Clientes!$B$4:$B$39,Clientes!$C$4:$C$39),Cadastros!$L$6:$L$12,Cadastros!$N$6:$N$12)))</f>
        <v/>
      </c>
      <c r="U358" s="168" t="str">
        <f t="shared" si="68"/>
        <v/>
      </c>
      <c r="V358" s="168" t="str">
        <f>IFERROR(U358/_xlfn.XLOOKUP(_xlfn.XLOOKUP($F358,Clientes!$B$4:$B$39,Clientes!$C$4:$C$39),Cadastros!$L$6:$L$12,Cadastros!$M$6:$M$12)," ")</f>
        <v xml:space="preserve"> </v>
      </c>
      <c r="W358" s="28"/>
      <c r="X358" s="28"/>
      <c r="Y358" s="255" t="str">
        <f>IF(W358="","",(_xlfn.XLOOKUP(W358,Cadastros!$D$6:$D$90,Cadastros!$E$6:$E$90))*(1-_xlfn.XLOOKUP(_xlfn.XLOOKUP($F358,Clientes!$B$4:$B$39,Clientes!$C$4:$C$39),Cadastros!$L$6:$L$12,Cadastros!$N$6:$N$12)))</f>
        <v/>
      </c>
      <c r="Z358" s="168" t="str">
        <f t="shared" si="69"/>
        <v/>
      </c>
      <c r="AA358" s="168" t="str">
        <f>IFERROR(Z358/_xlfn.XLOOKUP(_xlfn.XLOOKUP($F358,Clientes!$B$4:$B$39,Clientes!$C$4:$C$39),Cadastros!$L$6:$L$12,Cadastros!$M$6:$M$12)," ")</f>
        <v xml:space="preserve"> </v>
      </c>
      <c r="AB358" s="28"/>
      <c r="AC358" s="28"/>
      <c r="AD358" s="20" t="str">
        <f>IF(AB358="","",IF($F358="Bernardino Furlan",_xlfn.XLOOKUP(AB358,Cadastros!$G$6:$G$90,Cadastros!$H$6:$H$90)*(1-0.18),IF($F358="Mauro José Salanti",_xlfn.XLOOKUP(AB358,Cadastros!$G$6:$G$90,Cadastros!$H$6:$H$90)*(1-0.18),_xlfn.XLOOKUP(AB358,Cadastros!$G$6:$G$90,Cadastros!$H$6:$H$90))))</f>
        <v/>
      </c>
      <c r="AE358" s="168" t="str">
        <f t="shared" si="70"/>
        <v/>
      </c>
      <c r="AF358" s="168" t="str">
        <f t="shared" si="71"/>
        <v/>
      </c>
      <c r="AG358" s="28"/>
      <c r="AH358" s="28"/>
      <c r="AI358" s="20" t="str">
        <f>IF(AG358="","",IF($F358="Bernardino Furlan",_xlfn.XLOOKUP(AG358,Cadastros!$G$6:$G$90,Cadastros!$H$6:$H$90)*(1-0.18),IF($F358="Mauro José Salanti",_xlfn.XLOOKUP(AG358,Cadastros!$G$6:$G$90,Cadastros!$H$6:$H$90)*(1-0.18),_xlfn.XLOOKUP(AG358,Cadastros!$G$6:$G$90,Cadastros!$H$6:$H$90))))</f>
        <v/>
      </c>
      <c r="AJ358" s="168" t="str">
        <f t="shared" si="72"/>
        <v/>
      </c>
      <c r="AK358" s="168" t="str">
        <f t="shared" si="73"/>
        <v/>
      </c>
      <c r="AL358" s="28"/>
      <c r="AM358" s="28"/>
      <c r="AN358" s="20" t="str">
        <f>IF(AL358="","",IF($F358="Bernardino Furlan",_xlfn.XLOOKUP(AL358,Cadastros!$G$6:$G$90,Cadastros!$H$6:$H$90)*(1-0.18),IF($F358="Mauro José Salanti",_xlfn.XLOOKUP(AL358,Cadastros!$G$6:$G$90,Cadastros!$H$6:$H$90)*(1-0.18),_xlfn.XLOOKUP(AL358,Cadastros!$G$6:$G$90,Cadastros!$H$6:$H$90))))</f>
        <v/>
      </c>
      <c r="AO358" s="168" t="str">
        <f t="shared" si="74"/>
        <v/>
      </c>
      <c r="AP358" s="168" t="str">
        <f t="shared" si="75"/>
        <v/>
      </c>
      <c r="AQ358" s="28"/>
      <c r="AR358" s="28"/>
      <c r="AS358" s="20" t="str">
        <f>IF(AQ358="","",IF($F358="Bernardino Furlan",_xlfn.XLOOKUP(AQ358,Cadastros!$G$6:$G$90,Cadastros!$H$6:$H$90)*(1-0.18),IF($F358="Mauro José Salanti",_xlfn.XLOOKUP(AQ358,Cadastros!$G$6:$G$90,Cadastros!$H$6:$H$90)*(1-0.18),_xlfn.XLOOKUP(AQ358,Cadastros!$G$6:$G$90,Cadastros!$H$6:$H$90))))</f>
        <v/>
      </c>
      <c r="AT358" s="168" t="str">
        <f t="shared" si="76"/>
        <v/>
      </c>
      <c r="AU358" s="168" t="str">
        <f t="shared" si="77"/>
        <v/>
      </c>
      <c r="AV358" s="227"/>
      <c r="AW358" s="30"/>
      <c r="AX358" s="267"/>
      <c r="AY358" s="267"/>
      <c r="AZ358" s="29"/>
      <c r="BA358" s="30"/>
      <c r="BB358" s="23" t="str" cm="1">
        <f t="array" ref="BB358">_xlfn.IFS(AW358="SIM",SUM(K358,P358,U358,Z358,AE358,AJ358,AO358,AT358,AX358,AY358),F358&lt;&gt;"",SUM(K358,P358,U358,Z358,AE358,AJ358,,AO358,AT358),F358="","")</f>
        <v/>
      </c>
      <c r="BC358" s="211" t="str" cm="1">
        <f t="array" ref="BC358">_xlfn.IFS(E358="","",G358&lt;=E358,BB358*(1-0.03),G358&lt;(E358+8),BB358,AZ358="Boleto",BB358*(1+0.001)^DATEDIF(E358,G358,"D"),AZ358="Cheque",BB358,AZ358="Dinheiro","Alterar forma pgto")</f>
        <v/>
      </c>
      <c r="BD358" s="276" t="str" cm="1">
        <f t="array" ref="BD358">IF(F358=0," ",IF(BC358&lt;BB358,(_xlfn.IFS(AW358="SIM",SUM(L358,Q358,V358,AA358,AF358,AK358,AP358,AU358)+AX358/_xlfn.XLOOKUP(_xlfn.XLOOKUP($F358,Clientes!$B$4:$B$39,Clientes!$C$4:$C$39),Cadastros!$L$6:$L$12,Cadastros!$M$6:$M$12)+IF($F358="Bernardino Furlan",AY358/2751.92,IF($F358="Mauro José Salanti",AY358/2751.92,AY358/3356)),F358&lt;&gt;0,SUM(L358,Q358,V358,AA358,AF358,AK358,AP358,AU358)))*(1-0.03),_xlfn.IFS(AW358="SIM",SUM(L358,Q358,V358,AA358,AF358,AK358,AP358,AU358)+AX358/_xlfn.XLOOKUP(_xlfn.XLOOKUP($F358,Clientes!$B$4:$B$39,Clientes!$C$4:$C$39),Cadastros!$L$6:$L$12,Cadastros!$M$6:$M$12)+IF($F358="Bernardino Furlan",AY358/2751.92,IF($F358="Mauro José Salanti",AY358/2751.92,AY358/3356)),F358&lt;&gt;0,SUM(L358,Q358,V358,AA358,AF358,AK358,AP358,AU358))))</f>
        <v xml:space="preserve"> </v>
      </c>
      <c r="BE358" s="120"/>
      <c r="BF358" s="120"/>
      <c r="BG358" s="120"/>
    </row>
    <row r="359" spans="1:59" s="3" customFormat="1" x14ac:dyDescent="0.3">
      <c r="A359" s="15" t="str">
        <f t="shared" si="65"/>
        <v/>
      </c>
      <c r="B359" s="25"/>
      <c r="C359" s="26"/>
      <c r="D359" s="279"/>
      <c r="E359" s="27"/>
      <c r="F359" s="28"/>
      <c r="G359" s="27"/>
      <c r="H359" s="28"/>
      <c r="I359" s="28"/>
      <c r="J359" s="255" t="str">
        <f>IF(H359="","",(_xlfn.XLOOKUP(H359,Cadastros!$D$6:$D$90,Cadastros!$E$6:$E$90))*(1-_xlfn.XLOOKUP(_xlfn.XLOOKUP($F359,Clientes!$B$4:$B$39,Clientes!$C$4:$C$39),Cadastros!$L$6:$L$12,Cadastros!$N$6:$N$12)))</f>
        <v/>
      </c>
      <c r="K359" s="168" t="str">
        <f t="shared" si="66"/>
        <v/>
      </c>
      <c r="L359" s="168" t="str">
        <f>IFERROR(K359/_xlfn.XLOOKUP(_xlfn.XLOOKUP($F359,Clientes!$B$4:$B$39,Clientes!$C$4:$C$39),Cadastros!$L$6:$L$12,Cadastros!$M$6:$M$12)," ")</f>
        <v xml:space="preserve"> </v>
      </c>
      <c r="M359" s="28"/>
      <c r="N359" s="28"/>
      <c r="O359" s="255" t="str">
        <f>IF(M359="","",(_xlfn.XLOOKUP(M359,Cadastros!$D$6:$D$90,Cadastros!$E$6:$E$90))*(1-_xlfn.XLOOKUP(_xlfn.XLOOKUP($F359,Clientes!$B$4:$B$39,Clientes!$C$4:$C$39),Cadastros!$L$6:$L$12,Cadastros!$N$6:$N$12)))</f>
        <v/>
      </c>
      <c r="P359" s="168" t="str">
        <f t="shared" si="67"/>
        <v/>
      </c>
      <c r="Q359" s="168" t="str">
        <f>IFERROR(P359/_xlfn.XLOOKUP(_xlfn.XLOOKUP($F359,Clientes!$B$4:$B$39,Clientes!$C$4:$C$39),Cadastros!$L$6:$L$12,Cadastros!$M$6:$M$12)," ")</f>
        <v xml:space="preserve"> </v>
      </c>
      <c r="R359" s="28"/>
      <c r="S359" s="28"/>
      <c r="T359" s="255" t="str">
        <f>IF(R359="","",(_xlfn.XLOOKUP(R359,Cadastros!$D$6:$D$90,Cadastros!$E$6:$E$90))*(1-_xlfn.XLOOKUP(_xlfn.XLOOKUP($F359,Clientes!$B$4:$B$39,Clientes!$C$4:$C$39),Cadastros!$L$6:$L$12,Cadastros!$N$6:$N$12)))</f>
        <v/>
      </c>
      <c r="U359" s="168" t="str">
        <f t="shared" si="68"/>
        <v/>
      </c>
      <c r="V359" s="168" t="str">
        <f>IFERROR(U359/_xlfn.XLOOKUP(_xlfn.XLOOKUP($F359,Clientes!$B$4:$B$39,Clientes!$C$4:$C$39),Cadastros!$L$6:$L$12,Cadastros!$M$6:$M$12)," ")</f>
        <v xml:space="preserve"> </v>
      </c>
      <c r="W359" s="28"/>
      <c r="X359" s="28"/>
      <c r="Y359" s="255" t="str">
        <f>IF(W359="","",(_xlfn.XLOOKUP(W359,Cadastros!$D$6:$D$90,Cadastros!$E$6:$E$90))*(1-_xlfn.XLOOKUP(_xlfn.XLOOKUP($F359,Clientes!$B$4:$B$39,Clientes!$C$4:$C$39),Cadastros!$L$6:$L$12,Cadastros!$N$6:$N$12)))</f>
        <v/>
      </c>
      <c r="Z359" s="168" t="str">
        <f t="shared" si="69"/>
        <v/>
      </c>
      <c r="AA359" s="168" t="str">
        <f>IFERROR(Z359/_xlfn.XLOOKUP(_xlfn.XLOOKUP($F359,Clientes!$B$4:$B$39,Clientes!$C$4:$C$39),Cadastros!$L$6:$L$12,Cadastros!$M$6:$M$12)," ")</f>
        <v xml:space="preserve"> </v>
      </c>
      <c r="AB359" s="28"/>
      <c r="AC359" s="28"/>
      <c r="AD359" s="20" t="str">
        <f>IF(AB359="","",IF($F359="Bernardino Furlan",_xlfn.XLOOKUP(AB359,Cadastros!$G$6:$G$90,Cadastros!$H$6:$H$90)*(1-0.18),IF($F359="Mauro José Salanti",_xlfn.XLOOKUP(AB359,Cadastros!$G$6:$G$90,Cadastros!$H$6:$H$90)*(1-0.18),_xlfn.XLOOKUP(AB359,Cadastros!$G$6:$G$90,Cadastros!$H$6:$H$90))))</f>
        <v/>
      </c>
      <c r="AE359" s="168" t="str">
        <f t="shared" si="70"/>
        <v/>
      </c>
      <c r="AF359" s="168" t="str">
        <f t="shared" si="71"/>
        <v/>
      </c>
      <c r="AG359" s="28"/>
      <c r="AH359" s="28"/>
      <c r="AI359" s="20" t="str">
        <f>IF(AG359="","",IF($F359="Bernardino Furlan",_xlfn.XLOOKUP(AG359,Cadastros!$G$6:$G$90,Cadastros!$H$6:$H$90)*(1-0.18),IF($F359="Mauro José Salanti",_xlfn.XLOOKUP(AG359,Cadastros!$G$6:$G$90,Cadastros!$H$6:$H$90)*(1-0.18),_xlfn.XLOOKUP(AG359,Cadastros!$G$6:$G$90,Cadastros!$H$6:$H$90))))</f>
        <v/>
      </c>
      <c r="AJ359" s="168" t="str">
        <f t="shared" si="72"/>
        <v/>
      </c>
      <c r="AK359" s="168" t="str">
        <f t="shared" si="73"/>
        <v/>
      </c>
      <c r="AL359" s="28"/>
      <c r="AM359" s="28"/>
      <c r="AN359" s="20" t="str">
        <f>IF(AL359="","",IF($F359="Bernardino Furlan",_xlfn.XLOOKUP(AL359,Cadastros!$G$6:$G$90,Cadastros!$H$6:$H$90)*(1-0.18),IF($F359="Mauro José Salanti",_xlfn.XLOOKUP(AL359,Cadastros!$G$6:$G$90,Cadastros!$H$6:$H$90)*(1-0.18),_xlfn.XLOOKUP(AL359,Cadastros!$G$6:$G$90,Cadastros!$H$6:$H$90))))</f>
        <v/>
      </c>
      <c r="AO359" s="168" t="str">
        <f t="shared" si="74"/>
        <v/>
      </c>
      <c r="AP359" s="168" t="str">
        <f t="shared" si="75"/>
        <v/>
      </c>
      <c r="AQ359" s="28"/>
      <c r="AR359" s="28"/>
      <c r="AS359" s="20" t="str">
        <f>IF(AQ359="","",IF($F359="Bernardino Furlan",_xlfn.XLOOKUP(AQ359,Cadastros!$G$6:$G$90,Cadastros!$H$6:$H$90)*(1-0.18),IF($F359="Mauro José Salanti",_xlfn.XLOOKUP(AQ359,Cadastros!$G$6:$G$90,Cadastros!$H$6:$H$90)*(1-0.18),_xlfn.XLOOKUP(AQ359,Cadastros!$G$6:$G$90,Cadastros!$H$6:$H$90))))</f>
        <v/>
      </c>
      <c r="AT359" s="168" t="str">
        <f t="shared" si="76"/>
        <v/>
      </c>
      <c r="AU359" s="168" t="str">
        <f t="shared" si="77"/>
        <v/>
      </c>
      <c r="AV359" s="227"/>
      <c r="AW359" s="30"/>
      <c r="AX359" s="267"/>
      <c r="AY359" s="267"/>
      <c r="AZ359" s="29"/>
      <c r="BA359" s="30"/>
      <c r="BB359" s="23" t="str" cm="1">
        <f t="array" ref="BB359">_xlfn.IFS(AW359="SIM",SUM(K359,P359,U359,Z359,AE359,AJ359,AO359,AT359,AX359,AY359),F359&lt;&gt;"",SUM(K359,P359,U359,Z359,AE359,AJ359,,AO359,AT359),F359="","")</f>
        <v/>
      </c>
      <c r="BC359" s="211" t="str" cm="1">
        <f t="array" ref="BC359">_xlfn.IFS(E359="","",G359&lt;=E359,BB359*(1-0.03),G359&lt;(E359+8),BB359,AZ359="Boleto",BB359*(1+0.001)^DATEDIF(E359,G359,"D"),AZ359="Cheque",BB359,AZ359="Dinheiro","Alterar forma pgto")</f>
        <v/>
      </c>
      <c r="BD359" s="276" t="str" cm="1">
        <f t="array" ref="BD359">IF(F359=0," ",IF(BC359&lt;BB359,(_xlfn.IFS(AW359="SIM",SUM(L359,Q359,V359,AA359,AF359,AK359,AP359,AU359)+AX359/_xlfn.XLOOKUP(_xlfn.XLOOKUP($F359,Clientes!$B$4:$B$39,Clientes!$C$4:$C$39),Cadastros!$L$6:$L$12,Cadastros!$M$6:$M$12)+IF($F359="Bernardino Furlan",AY359/2751.92,IF($F359="Mauro José Salanti",AY359/2751.92,AY359/3356)),F359&lt;&gt;0,SUM(L359,Q359,V359,AA359,AF359,AK359,AP359,AU359)))*(1-0.03),_xlfn.IFS(AW359="SIM",SUM(L359,Q359,V359,AA359,AF359,AK359,AP359,AU359)+AX359/_xlfn.XLOOKUP(_xlfn.XLOOKUP($F359,Clientes!$B$4:$B$39,Clientes!$C$4:$C$39),Cadastros!$L$6:$L$12,Cadastros!$M$6:$M$12)+IF($F359="Bernardino Furlan",AY359/2751.92,IF($F359="Mauro José Salanti",AY359/2751.92,AY359/3356)),F359&lt;&gt;0,SUM(L359,Q359,V359,AA359,AF359,AK359,AP359,AU359))))</f>
        <v xml:space="preserve"> </v>
      </c>
      <c r="BE359" s="120"/>
      <c r="BF359" s="120"/>
      <c r="BG359" s="120"/>
    </row>
    <row r="360" spans="1:59" s="3" customFormat="1" x14ac:dyDescent="0.3">
      <c r="A360" s="15" t="str">
        <f t="shared" si="65"/>
        <v/>
      </c>
      <c r="B360" s="25"/>
      <c r="C360" s="26"/>
      <c r="D360" s="279"/>
      <c r="E360" s="27"/>
      <c r="F360" s="28"/>
      <c r="G360" s="27"/>
      <c r="H360" s="28"/>
      <c r="I360" s="28"/>
      <c r="J360" s="255" t="str">
        <f>IF(H360="","",(_xlfn.XLOOKUP(H360,Cadastros!$D$6:$D$90,Cadastros!$E$6:$E$90))*(1-_xlfn.XLOOKUP(_xlfn.XLOOKUP($F360,Clientes!$B$4:$B$39,Clientes!$C$4:$C$39),Cadastros!$L$6:$L$12,Cadastros!$N$6:$N$12)))</f>
        <v/>
      </c>
      <c r="K360" s="168" t="str">
        <f t="shared" si="66"/>
        <v/>
      </c>
      <c r="L360" s="168" t="str">
        <f>IFERROR(K360/_xlfn.XLOOKUP(_xlfn.XLOOKUP($F360,Clientes!$B$4:$B$39,Clientes!$C$4:$C$39),Cadastros!$L$6:$L$12,Cadastros!$M$6:$M$12)," ")</f>
        <v xml:space="preserve"> </v>
      </c>
      <c r="M360" s="28"/>
      <c r="N360" s="28"/>
      <c r="O360" s="255" t="str">
        <f>IF(M360="","",(_xlfn.XLOOKUP(M360,Cadastros!$D$6:$D$90,Cadastros!$E$6:$E$90))*(1-_xlfn.XLOOKUP(_xlfn.XLOOKUP($F360,Clientes!$B$4:$B$39,Clientes!$C$4:$C$39),Cadastros!$L$6:$L$12,Cadastros!$N$6:$N$12)))</f>
        <v/>
      </c>
      <c r="P360" s="168" t="str">
        <f t="shared" si="67"/>
        <v/>
      </c>
      <c r="Q360" s="168" t="str">
        <f>IFERROR(P360/_xlfn.XLOOKUP(_xlfn.XLOOKUP($F360,Clientes!$B$4:$B$39,Clientes!$C$4:$C$39),Cadastros!$L$6:$L$12,Cadastros!$M$6:$M$12)," ")</f>
        <v xml:space="preserve"> </v>
      </c>
      <c r="R360" s="28"/>
      <c r="S360" s="28"/>
      <c r="T360" s="255" t="str">
        <f>IF(R360="","",(_xlfn.XLOOKUP(R360,Cadastros!$D$6:$D$90,Cadastros!$E$6:$E$90))*(1-_xlfn.XLOOKUP(_xlfn.XLOOKUP($F360,Clientes!$B$4:$B$39,Clientes!$C$4:$C$39),Cadastros!$L$6:$L$12,Cadastros!$N$6:$N$12)))</f>
        <v/>
      </c>
      <c r="U360" s="168" t="str">
        <f t="shared" si="68"/>
        <v/>
      </c>
      <c r="V360" s="168" t="str">
        <f>IFERROR(U360/_xlfn.XLOOKUP(_xlfn.XLOOKUP($F360,Clientes!$B$4:$B$39,Clientes!$C$4:$C$39),Cadastros!$L$6:$L$12,Cadastros!$M$6:$M$12)," ")</f>
        <v xml:space="preserve"> </v>
      </c>
      <c r="W360" s="28"/>
      <c r="X360" s="28"/>
      <c r="Y360" s="255" t="str">
        <f>IF(W360="","",(_xlfn.XLOOKUP(W360,Cadastros!$D$6:$D$90,Cadastros!$E$6:$E$90))*(1-_xlfn.XLOOKUP(_xlfn.XLOOKUP($F360,Clientes!$B$4:$B$39,Clientes!$C$4:$C$39),Cadastros!$L$6:$L$12,Cadastros!$N$6:$N$12)))</f>
        <v/>
      </c>
      <c r="Z360" s="168" t="str">
        <f t="shared" si="69"/>
        <v/>
      </c>
      <c r="AA360" s="168" t="str">
        <f>IFERROR(Z360/_xlfn.XLOOKUP(_xlfn.XLOOKUP($F360,Clientes!$B$4:$B$39,Clientes!$C$4:$C$39),Cadastros!$L$6:$L$12,Cadastros!$M$6:$M$12)," ")</f>
        <v xml:space="preserve"> </v>
      </c>
      <c r="AB360" s="28"/>
      <c r="AC360" s="28"/>
      <c r="AD360" s="20" t="str">
        <f>IF(AB360="","",IF($F360="Bernardino Furlan",_xlfn.XLOOKUP(AB360,Cadastros!$G$6:$G$90,Cadastros!$H$6:$H$90)*(1-0.18),IF($F360="Mauro José Salanti",_xlfn.XLOOKUP(AB360,Cadastros!$G$6:$G$90,Cadastros!$H$6:$H$90)*(1-0.18),_xlfn.XLOOKUP(AB360,Cadastros!$G$6:$G$90,Cadastros!$H$6:$H$90))))</f>
        <v/>
      </c>
      <c r="AE360" s="168" t="str">
        <f t="shared" si="70"/>
        <v/>
      </c>
      <c r="AF360" s="168" t="str">
        <f t="shared" si="71"/>
        <v/>
      </c>
      <c r="AG360" s="28"/>
      <c r="AH360" s="28"/>
      <c r="AI360" s="20" t="str">
        <f>IF(AG360="","",IF($F360="Bernardino Furlan",_xlfn.XLOOKUP(AG360,Cadastros!$G$6:$G$90,Cadastros!$H$6:$H$90)*(1-0.18),IF($F360="Mauro José Salanti",_xlfn.XLOOKUP(AG360,Cadastros!$G$6:$G$90,Cadastros!$H$6:$H$90)*(1-0.18),_xlfn.XLOOKUP(AG360,Cadastros!$G$6:$G$90,Cadastros!$H$6:$H$90))))</f>
        <v/>
      </c>
      <c r="AJ360" s="168" t="str">
        <f t="shared" si="72"/>
        <v/>
      </c>
      <c r="AK360" s="168" t="str">
        <f t="shared" si="73"/>
        <v/>
      </c>
      <c r="AL360" s="28"/>
      <c r="AM360" s="28"/>
      <c r="AN360" s="20" t="str">
        <f>IF(AL360="","",IF($F360="Bernardino Furlan",_xlfn.XLOOKUP(AL360,Cadastros!$G$6:$G$90,Cadastros!$H$6:$H$90)*(1-0.18),IF($F360="Mauro José Salanti",_xlfn.XLOOKUP(AL360,Cadastros!$G$6:$G$90,Cadastros!$H$6:$H$90)*(1-0.18),_xlfn.XLOOKUP(AL360,Cadastros!$G$6:$G$90,Cadastros!$H$6:$H$90))))</f>
        <v/>
      </c>
      <c r="AO360" s="168" t="str">
        <f t="shared" si="74"/>
        <v/>
      </c>
      <c r="AP360" s="168" t="str">
        <f t="shared" si="75"/>
        <v/>
      </c>
      <c r="AQ360" s="28"/>
      <c r="AR360" s="28"/>
      <c r="AS360" s="20" t="str">
        <f>IF(AQ360="","",IF($F360="Bernardino Furlan",_xlfn.XLOOKUP(AQ360,Cadastros!$G$6:$G$90,Cadastros!$H$6:$H$90)*(1-0.18),IF($F360="Mauro José Salanti",_xlfn.XLOOKUP(AQ360,Cadastros!$G$6:$G$90,Cadastros!$H$6:$H$90)*(1-0.18),_xlfn.XLOOKUP(AQ360,Cadastros!$G$6:$G$90,Cadastros!$H$6:$H$90))))</f>
        <v/>
      </c>
      <c r="AT360" s="168" t="str">
        <f t="shared" si="76"/>
        <v/>
      </c>
      <c r="AU360" s="168" t="str">
        <f t="shared" si="77"/>
        <v/>
      </c>
      <c r="AV360" s="227"/>
      <c r="AW360" s="30"/>
      <c r="AX360" s="267"/>
      <c r="AY360" s="267"/>
      <c r="AZ360" s="29"/>
      <c r="BA360" s="30"/>
      <c r="BB360" s="23" t="str" cm="1">
        <f t="array" ref="BB360">_xlfn.IFS(AW360="SIM",SUM(K360,P360,U360,Z360,AE360,AJ360,AO360,AT360,AX360,AY360),F360&lt;&gt;"",SUM(K360,P360,U360,Z360,AE360,AJ360,,AO360,AT360),F360="","")</f>
        <v/>
      </c>
      <c r="BC360" s="211" t="str" cm="1">
        <f t="array" ref="BC360">_xlfn.IFS(E360="","",G360&lt;=E360,BB360*(1-0.03),G360&lt;(E360+8),BB360,AZ360="Boleto",BB360*(1+0.001)^DATEDIF(E360,G360,"D"),AZ360="Cheque",BB360,AZ360="Dinheiro","Alterar forma pgto")</f>
        <v/>
      </c>
      <c r="BD360" s="276" t="str" cm="1">
        <f t="array" ref="BD360">IF(F360=0," ",IF(BC360&lt;BB360,(_xlfn.IFS(AW360="SIM",SUM(L360,Q360,V360,AA360,AF360,AK360,AP360,AU360)+AX360/_xlfn.XLOOKUP(_xlfn.XLOOKUP($F360,Clientes!$B$4:$B$39,Clientes!$C$4:$C$39),Cadastros!$L$6:$L$12,Cadastros!$M$6:$M$12)+IF($F360="Bernardino Furlan",AY360/2751.92,IF($F360="Mauro José Salanti",AY360/2751.92,AY360/3356)),F360&lt;&gt;0,SUM(L360,Q360,V360,AA360,AF360,AK360,AP360,AU360)))*(1-0.03),_xlfn.IFS(AW360="SIM",SUM(L360,Q360,V360,AA360,AF360,AK360,AP360,AU360)+AX360/_xlfn.XLOOKUP(_xlfn.XLOOKUP($F360,Clientes!$B$4:$B$39,Clientes!$C$4:$C$39),Cadastros!$L$6:$L$12,Cadastros!$M$6:$M$12)+IF($F360="Bernardino Furlan",AY360/2751.92,IF($F360="Mauro José Salanti",AY360/2751.92,AY360/3356)),F360&lt;&gt;0,SUM(L360,Q360,V360,AA360,AF360,AK360,AP360,AU360))))</f>
        <v xml:space="preserve"> </v>
      </c>
      <c r="BE360" s="120"/>
      <c r="BF360" s="120"/>
      <c r="BG360" s="120"/>
    </row>
    <row r="361" spans="1:59" s="3" customFormat="1" x14ac:dyDescent="0.3">
      <c r="A361" s="15" t="str">
        <f t="shared" si="65"/>
        <v/>
      </c>
      <c r="B361" s="25"/>
      <c r="C361" s="26"/>
      <c r="D361" s="279"/>
      <c r="E361" s="27"/>
      <c r="F361" s="28"/>
      <c r="G361" s="27"/>
      <c r="H361" s="28"/>
      <c r="I361" s="28"/>
      <c r="J361" s="255" t="str">
        <f>IF(H361="","",(_xlfn.XLOOKUP(H361,Cadastros!$D$6:$D$90,Cadastros!$E$6:$E$90))*(1-_xlfn.XLOOKUP(_xlfn.XLOOKUP($F361,Clientes!$B$4:$B$39,Clientes!$C$4:$C$39),Cadastros!$L$6:$L$12,Cadastros!$N$6:$N$12)))</f>
        <v/>
      </c>
      <c r="K361" s="168" t="str">
        <f t="shared" si="66"/>
        <v/>
      </c>
      <c r="L361" s="168" t="str">
        <f>IFERROR(K361/_xlfn.XLOOKUP(_xlfn.XLOOKUP($F361,Clientes!$B$4:$B$39,Clientes!$C$4:$C$39),Cadastros!$L$6:$L$12,Cadastros!$M$6:$M$12)," ")</f>
        <v xml:space="preserve"> </v>
      </c>
      <c r="M361" s="28"/>
      <c r="N361" s="28"/>
      <c r="O361" s="255" t="str">
        <f>IF(M361="","",(_xlfn.XLOOKUP(M361,Cadastros!$D$6:$D$90,Cadastros!$E$6:$E$90))*(1-_xlfn.XLOOKUP(_xlfn.XLOOKUP($F361,Clientes!$B$4:$B$39,Clientes!$C$4:$C$39),Cadastros!$L$6:$L$12,Cadastros!$N$6:$N$12)))</f>
        <v/>
      </c>
      <c r="P361" s="168" t="str">
        <f t="shared" si="67"/>
        <v/>
      </c>
      <c r="Q361" s="168" t="str">
        <f>IFERROR(P361/_xlfn.XLOOKUP(_xlfn.XLOOKUP($F361,Clientes!$B$4:$B$39,Clientes!$C$4:$C$39),Cadastros!$L$6:$L$12,Cadastros!$M$6:$M$12)," ")</f>
        <v xml:space="preserve"> </v>
      </c>
      <c r="R361" s="28"/>
      <c r="S361" s="28"/>
      <c r="T361" s="255" t="str">
        <f>IF(R361="","",(_xlfn.XLOOKUP(R361,Cadastros!$D$6:$D$90,Cadastros!$E$6:$E$90))*(1-_xlfn.XLOOKUP(_xlfn.XLOOKUP($F361,Clientes!$B$4:$B$39,Clientes!$C$4:$C$39),Cadastros!$L$6:$L$12,Cadastros!$N$6:$N$12)))</f>
        <v/>
      </c>
      <c r="U361" s="168" t="str">
        <f t="shared" si="68"/>
        <v/>
      </c>
      <c r="V361" s="168" t="str">
        <f>IFERROR(U361/_xlfn.XLOOKUP(_xlfn.XLOOKUP($F361,Clientes!$B$4:$B$39,Clientes!$C$4:$C$39),Cadastros!$L$6:$L$12,Cadastros!$M$6:$M$12)," ")</f>
        <v xml:space="preserve"> </v>
      </c>
      <c r="W361" s="28"/>
      <c r="X361" s="28"/>
      <c r="Y361" s="255" t="str">
        <f>IF(W361="","",(_xlfn.XLOOKUP(W361,Cadastros!$D$6:$D$90,Cadastros!$E$6:$E$90))*(1-_xlfn.XLOOKUP(_xlfn.XLOOKUP($F361,Clientes!$B$4:$B$39,Clientes!$C$4:$C$39),Cadastros!$L$6:$L$12,Cadastros!$N$6:$N$12)))</f>
        <v/>
      </c>
      <c r="Z361" s="168" t="str">
        <f t="shared" si="69"/>
        <v/>
      </c>
      <c r="AA361" s="168" t="str">
        <f>IFERROR(Z361/_xlfn.XLOOKUP(_xlfn.XLOOKUP($F361,Clientes!$B$4:$B$39,Clientes!$C$4:$C$39),Cadastros!$L$6:$L$12,Cadastros!$M$6:$M$12)," ")</f>
        <v xml:space="preserve"> </v>
      </c>
      <c r="AB361" s="28"/>
      <c r="AC361" s="28"/>
      <c r="AD361" s="20" t="str">
        <f>IF(AB361="","",IF($F361="Bernardino Furlan",_xlfn.XLOOKUP(AB361,Cadastros!$G$6:$G$90,Cadastros!$H$6:$H$90)*(1-0.18),IF($F361="Mauro José Salanti",_xlfn.XLOOKUP(AB361,Cadastros!$G$6:$G$90,Cadastros!$H$6:$H$90)*(1-0.18),_xlfn.XLOOKUP(AB361,Cadastros!$G$6:$G$90,Cadastros!$H$6:$H$90))))</f>
        <v/>
      </c>
      <c r="AE361" s="168" t="str">
        <f t="shared" si="70"/>
        <v/>
      </c>
      <c r="AF361" s="168" t="str">
        <f t="shared" si="71"/>
        <v/>
      </c>
      <c r="AG361" s="28"/>
      <c r="AH361" s="28"/>
      <c r="AI361" s="20" t="str">
        <f>IF(AG361="","",IF($F361="Bernardino Furlan",_xlfn.XLOOKUP(AG361,Cadastros!$G$6:$G$90,Cadastros!$H$6:$H$90)*(1-0.18),IF($F361="Mauro José Salanti",_xlfn.XLOOKUP(AG361,Cadastros!$G$6:$G$90,Cadastros!$H$6:$H$90)*(1-0.18),_xlfn.XLOOKUP(AG361,Cadastros!$G$6:$G$90,Cadastros!$H$6:$H$90))))</f>
        <v/>
      </c>
      <c r="AJ361" s="168" t="str">
        <f t="shared" si="72"/>
        <v/>
      </c>
      <c r="AK361" s="168" t="str">
        <f t="shared" si="73"/>
        <v/>
      </c>
      <c r="AL361" s="28"/>
      <c r="AM361" s="28"/>
      <c r="AN361" s="20" t="str">
        <f>IF(AL361="","",IF($F361="Bernardino Furlan",_xlfn.XLOOKUP(AL361,Cadastros!$G$6:$G$90,Cadastros!$H$6:$H$90)*(1-0.18),IF($F361="Mauro José Salanti",_xlfn.XLOOKUP(AL361,Cadastros!$G$6:$G$90,Cadastros!$H$6:$H$90)*(1-0.18),_xlfn.XLOOKUP(AL361,Cadastros!$G$6:$G$90,Cadastros!$H$6:$H$90))))</f>
        <v/>
      </c>
      <c r="AO361" s="168" t="str">
        <f t="shared" si="74"/>
        <v/>
      </c>
      <c r="AP361" s="168" t="str">
        <f t="shared" si="75"/>
        <v/>
      </c>
      <c r="AQ361" s="28"/>
      <c r="AR361" s="28"/>
      <c r="AS361" s="20" t="str">
        <f>IF(AQ361="","",IF($F361="Bernardino Furlan",_xlfn.XLOOKUP(AQ361,Cadastros!$G$6:$G$90,Cadastros!$H$6:$H$90)*(1-0.18),IF($F361="Mauro José Salanti",_xlfn.XLOOKUP(AQ361,Cadastros!$G$6:$G$90,Cadastros!$H$6:$H$90)*(1-0.18),_xlfn.XLOOKUP(AQ361,Cadastros!$G$6:$G$90,Cadastros!$H$6:$H$90))))</f>
        <v/>
      </c>
      <c r="AT361" s="168" t="str">
        <f t="shared" si="76"/>
        <v/>
      </c>
      <c r="AU361" s="168" t="str">
        <f t="shared" si="77"/>
        <v/>
      </c>
      <c r="AV361" s="227"/>
      <c r="AW361" s="30"/>
      <c r="AX361" s="267"/>
      <c r="AY361" s="267"/>
      <c r="AZ361" s="29"/>
      <c r="BA361" s="30"/>
      <c r="BB361" s="23" t="str" cm="1">
        <f t="array" ref="BB361">_xlfn.IFS(AW361="SIM",SUM(K361,P361,U361,Z361,AE361,AJ361,AO361,AT361,AX361,AY361),F361&lt;&gt;"",SUM(K361,P361,U361,Z361,AE361,AJ361,,AO361,AT361),F361="","")</f>
        <v/>
      </c>
      <c r="BC361" s="211" t="str" cm="1">
        <f t="array" ref="BC361">_xlfn.IFS(E361="","",G361&lt;=E361,BB361*(1-0.03),G361&lt;(E361+8),BB361,AZ361="Boleto",BB361*(1+0.001)^DATEDIF(E361,G361,"D"),AZ361="Cheque",BB361,AZ361="Dinheiro","Alterar forma pgto")</f>
        <v/>
      </c>
      <c r="BD361" s="276" t="str" cm="1">
        <f t="array" ref="BD361">IF(F361=0," ",IF(BC361&lt;BB361,(_xlfn.IFS(AW361="SIM",SUM(L361,Q361,V361,AA361,AF361,AK361,AP361,AU361)+AX361/_xlfn.XLOOKUP(_xlfn.XLOOKUP($F361,Clientes!$B$4:$B$39,Clientes!$C$4:$C$39),Cadastros!$L$6:$L$12,Cadastros!$M$6:$M$12)+IF($F361="Bernardino Furlan",AY361/2751.92,IF($F361="Mauro José Salanti",AY361/2751.92,AY361/3356)),F361&lt;&gt;0,SUM(L361,Q361,V361,AA361,AF361,AK361,AP361,AU361)))*(1-0.03),_xlfn.IFS(AW361="SIM",SUM(L361,Q361,V361,AA361,AF361,AK361,AP361,AU361)+AX361/_xlfn.XLOOKUP(_xlfn.XLOOKUP($F361,Clientes!$B$4:$B$39,Clientes!$C$4:$C$39),Cadastros!$L$6:$L$12,Cadastros!$M$6:$M$12)+IF($F361="Bernardino Furlan",AY361/2751.92,IF($F361="Mauro José Salanti",AY361/2751.92,AY361/3356)),F361&lt;&gt;0,SUM(L361,Q361,V361,AA361,AF361,AK361,AP361,AU361))))</f>
        <v xml:space="preserve"> </v>
      </c>
      <c r="BE361" s="120"/>
      <c r="BF361" s="120"/>
      <c r="BG361" s="120"/>
    </row>
    <row r="362" spans="1:59" s="3" customFormat="1" x14ac:dyDescent="0.3">
      <c r="A362" s="15" t="str">
        <f t="shared" si="65"/>
        <v/>
      </c>
      <c r="B362" s="25"/>
      <c r="C362" s="26"/>
      <c r="D362" s="279"/>
      <c r="E362" s="27"/>
      <c r="F362" s="28"/>
      <c r="G362" s="27"/>
      <c r="H362" s="28"/>
      <c r="I362" s="28"/>
      <c r="J362" s="255" t="str">
        <f>IF(H362="","",(_xlfn.XLOOKUP(H362,Cadastros!$D$6:$D$90,Cadastros!$E$6:$E$90))*(1-_xlfn.XLOOKUP(_xlfn.XLOOKUP($F362,Clientes!$B$4:$B$39,Clientes!$C$4:$C$39),Cadastros!$L$6:$L$12,Cadastros!$N$6:$N$12)))</f>
        <v/>
      </c>
      <c r="K362" s="168" t="str">
        <f t="shared" si="66"/>
        <v/>
      </c>
      <c r="L362" s="168" t="str">
        <f>IFERROR(K362/_xlfn.XLOOKUP(_xlfn.XLOOKUP($F362,Clientes!$B$4:$B$39,Clientes!$C$4:$C$39),Cadastros!$L$6:$L$12,Cadastros!$M$6:$M$12)," ")</f>
        <v xml:space="preserve"> </v>
      </c>
      <c r="M362" s="28"/>
      <c r="N362" s="28"/>
      <c r="O362" s="255" t="str">
        <f>IF(M362="","",(_xlfn.XLOOKUP(M362,Cadastros!$D$6:$D$90,Cadastros!$E$6:$E$90))*(1-_xlfn.XLOOKUP(_xlfn.XLOOKUP($F362,Clientes!$B$4:$B$39,Clientes!$C$4:$C$39),Cadastros!$L$6:$L$12,Cadastros!$N$6:$N$12)))</f>
        <v/>
      </c>
      <c r="P362" s="168" t="str">
        <f t="shared" si="67"/>
        <v/>
      </c>
      <c r="Q362" s="168" t="str">
        <f>IFERROR(P362/_xlfn.XLOOKUP(_xlfn.XLOOKUP($F362,Clientes!$B$4:$B$39,Clientes!$C$4:$C$39),Cadastros!$L$6:$L$12,Cadastros!$M$6:$M$12)," ")</f>
        <v xml:space="preserve"> </v>
      </c>
      <c r="R362" s="28"/>
      <c r="S362" s="28"/>
      <c r="T362" s="255" t="str">
        <f>IF(R362="","",(_xlfn.XLOOKUP(R362,Cadastros!$D$6:$D$90,Cadastros!$E$6:$E$90))*(1-_xlfn.XLOOKUP(_xlfn.XLOOKUP($F362,Clientes!$B$4:$B$39,Clientes!$C$4:$C$39),Cadastros!$L$6:$L$12,Cadastros!$N$6:$N$12)))</f>
        <v/>
      </c>
      <c r="U362" s="168" t="str">
        <f t="shared" si="68"/>
        <v/>
      </c>
      <c r="V362" s="168" t="str">
        <f>IFERROR(U362/_xlfn.XLOOKUP(_xlfn.XLOOKUP($F362,Clientes!$B$4:$B$39,Clientes!$C$4:$C$39),Cadastros!$L$6:$L$12,Cadastros!$M$6:$M$12)," ")</f>
        <v xml:space="preserve"> </v>
      </c>
      <c r="W362" s="28"/>
      <c r="X362" s="28"/>
      <c r="Y362" s="255" t="str">
        <f>IF(W362="","",(_xlfn.XLOOKUP(W362,Cadastros!$D$6:$D$90,Cadastros!$E$6:$E$90))*(1-_xlfn.XLOOKUP(_xlfn.XLOOKUP($F362,Clientes!$B$4:$B$39,Clientes!$C$4:$C$39),Cadastros!$L$6:$L$12,Cadastros!$N$6:$N$12)))</f>
        <v/>
      </c>
      <c r="Z362" s="168" t="str">
        <f t="shared" si="69"/>
        <v/>
      </c>
      <c r="AA362" s="168" t="str">
        <f>IFERROR(Z362/_xlfn.XLOOKUP(_xlfn.XLOOKUP($F362,Clientes!$B$4:$B$39,Clientes!$C$4:$C$39),Cadastros!$L$6:$L$12,Cadastros!$M$6:$M$12)," ")</f>
        <v xml:space="preserve"> </v>
      </c>
      <c r="AB362" s="28"/>
      <c r="AC362" s="28"/>
      <c r="AD362" s="20" t="str">
        <f>IF(AB362="","",IF($F362="Bernardino Furlan",_xlfn.XLOOKUP(AB362,Cadastros!$G$6:$G$90,Cadastros!$H$6:$H$90)*(1-0.18),IF($F362="Mauro José Salanti",_xlfn.XLOOKUP(AB362,Cadastros!$G$6:$G$90,Cadastros!$H$6:$H$90)*(1-0.18),_xlfn.XLOOKUP(AB362,Cadastros!$G$6:$G$90,Cadastros!$H$6:$H$90))))</f>
        <v/>
      </c>
      <c r="AE362" s="168" t="str">
        <f t="shared" si="70"/>
        <v/>
      </c>
      <c r="AF362" s="168" t="str">
        <f t="shared" si="71"/>
        <v/>
      </c>
      <c r="AG362" s="28"/>
      <c r="AH362" s="28"/>
      <c r="AI362" s="20" t="str">
        <f>IF(AG362="","",IF($F362="Bernardino Furlan",_xlfn.XLOOKUP(AG362,Cadastros!$G$6:$G$90,Cadastros!$H$6:$H$90)*(1-0.18),IF($F362="Mauro José Salanti",_xlfn.XLOOKUP(AG362,Cadastros!$G$6:$G$90,Cadastros!$H$6:$H$90)*(1-0.18),_xlfn.XLOOKUP(AG362,Cadastros!$G$6:$G$90,Cadastros!$H$6:$H$90))))</f>
        <v/>
      </c>
      <c r="AJ362" s="168" t="str">
        <f t="shared" si="72"/>
        <v/>
      </c>
      <c r="AK362" s="168" t="str">
        <f t="shared" si="73"/>
        <v/>
      </c>
      <c r="AL362" s="28"/>
      <c r="AM362" s="28"/>
      <c r="AN362" s="20" t="str">
        <f>IF(AL362="","",IF($F362="Bernardino Furlan",_xlfn.XLOOKUP(AL362,Cadastros!$G$6:$G$90,Cadastros!$H$6:$H$90)*(1-0.18),IF($F362="Mauro José Salanti",_xlfn.XLOOKUP(AL362,Cadastros!$G$6:$G$90,Cadastros!$H$6:$H$90)*(1-0.18),_xlfn.XLOOKUP(AL362,Cadastros!$G$6:$G$90,Cadastros!$H$6:$H$90))))</f>
        <v/>
      </c>
      <c r="AO362" s="168" t="str">
        <f t="shared" si="74"/>
        <v/>
      </c>
      <c r="AP362" s="168" t="str">
        <f t="shared" si="75"/>
        <v/>
      </c>
      <c r="AQ362" s="28"/>
      <c r="AR362" s="28"/>
      <c r="AS362" s="20" t="str">
        <f>IF(AQ362="","",IF($F362="Bernardino Furlan",_xlfn.XLOOKUP(AQ362,Cadastros!$G$6:$G$90,Cadastros!$H$6:$H$90)*(1-0.18),IF($F362="Mauro José Salanti",_xlfn.XLOOKUP(AQ362,Cadastros!$G$6:$G$90,Cadastros!$H$6:$H$90)*(1-0.18),_xlfn.XLOOKUP(AQ362,Cadastros!$G$6:$G$90,Cadastros!$H$6:$H$90))))</f>
        <v/>
      </c>
      <c r="AT362" s="168" t="str">
        <f t="shared" si="76"/>
        <v/>
      </c>
      <c r="AU362" s="168" t="str">
        <f t="shared" si="77"/>
        <v/>
      </c>
      <c r="AV362" s="227"/>
      <c r="AW362" s="30"/>
      <c r="AX362" s="267"/>
      <c r="AY362" s="267"/>
      <c r="AZ362" s="29"/>
      <c r="BA362" s="30"/>
      <c r="BB362" s="23" t="str" cm="1">
        <f t="array" ref="BB362">_xlfn.IFS(AW362="SIM",SUM(K362,P362,U362,Z362,AE362,AJ362,AO362,AT362,AX362,AY362),F362&lt;&gt;"",SUM(K362,P362,U362,Z362,AE362,AJ362,,AO362,AT362),F362="","")</f>
        <v/>
      </c>
      <c r="BC362" s="211" t="str" cm="1">
        <f t="array" ref="BC362">_xlfn.IFS(E362="","",G362&lt;=E362,BB362*(1-0.03),G362&lt;(E362+8),BB362,AZ362="Boleto",BB362*(1+0.001)^DATEDIF(E362,G362,"D"),AZ362="Cheque",BB362,AZ362="Dinheiro","Alterar forma pgto")</f>
        <v/>
      </c>
      <c r="BD362" s="276" t="str" cm="1">
        <f t="array" ref="BD362">IF(F362=0," ",IF(BC362&lt;BB362,(_xlfn.IFS(AW362="SIM",SUM(L362,Q362,V362,AA362,AF362,AK362,AP362,AU362)+AX362/_xlfn.XLOOKUP(_xlfn.XLOOKUP($F362,Clientes!$B$4:$B$39,Clientes!$C$4:$C$39),Cadastros!$L$6:$L$12,Cadastros!$M$6:$M$12)+IF($F362="Bernardino Furlan",AY362/2751.92,IF($F362="Mauro José Salanti",AY362/2751.92,AY362/3356)),F362&lt;&gt;0,SUM(L362,Q362,V362,AA362,AF362,AK362,AP362,AU362)))*(1-0.03),_xlfn.IFS(AW362="SIM",SUM(L362,Q362,V362,AA362,AF362,AK362,AP362,AU362)+AX362/_xlfn.XLOOKUP(_xlfn.XLOOKUP($F362,Clientes!$B$4:$B$39,Clientes!$C$4:$C$39),Cadastros!$L$6:$L$12,Cadastros!$M$6:$M$12)+IF($F362="Bernardino Furlan",AY362/2751.92,IF($F362="Mauro José Salanti",AY362/2751.92,AY362/3356)),F362&lt;&gt;0,SUM(L362,Q362,V362,AA362,AF362,AK362,AP362,AU362))))</f>
        <v xml:space="preserve"> </v>
      </c>
      <c r="BE362" s="120"/>
      <c r="BF362" s="120"/>
      <c r="BG362" s="120"/>
    </row>
    <row r="363" spans="1:59" s="3" customFormat="1" x14ac:dyDescent="0.3">
      <c r="A363" s="15" t="str">
        <f t="shared" si="65"/>
        <v/>
      </c>
      <c r="B363" s="25"/>
      <c r="C363" s="26"/>
      <c r="D363" s="279"/>
      <c r="E363" s="27"/>
      <c r="F363" s="28"/>
      <c r="G363" s="27"/>
      <c r="H363" s="28"/>
      <c r="I363" s="28"/>
      <c r="J363" s="255" t="str">
        <f>IF(H363="","",(_xlfn.XLOOKUP(H363,Cadastros!$D$6:$D$90,Cadastros!$E$6:$E$90))*(1-_xlfn.XLOOKUP(_xlfn.XLOOKUP($F363,Clientes!$B$4:$B$39,Clientes!$C$4:$C$39),Cadastros!$L$6:$L$12,Cadastros!$N$6:$N$12)))</f>
        <v/>
      </c>
      <c r="K363" s="168" t="str">
        <f t="shared" si="66"/>
        <v/>
      </c>
      <c r="L363" s="168" t="str">
        <f>IFERROR(K363/_xlfn.XLOOKUP(_xlfn.XLOOKUP($F363,Clientes!$B$4:$B$39,Clientes!$C$4:$C$39),Cadastros!$L$6:$L$12,Cadastros!$M$6:$M$12)," ")</f>
        <v xml:space="preserve"> </v>
      </c>
      <c r="M363" s="28"/>
      <c r="N363" s="28"/>
      <c r="O363" s="255" t="str">
        <f>IF(M363="","",(_xlfn.XLOOKUP(M363,Cadastros!$D$6:$D$90,Cadastros!$E$6:$E$90))*(1-_xlfn.XLOOKUP(_xlfn.XLOOKUP($F363,Clientes!$B$4:$B$39,Clientes!$C$4:$C$39),Cadastros!$L$6:$L$12,Cadastros!$N$6:$N$12)))</f>
        <v/>
      </c>
      <c r="P363" s="168" t="str">
        <f t="shared" si="67"/>
        <v/>
      </c>
      <c r="Q363" s="168" t="str">
        <f>IFERROR(P363/_xlfn.XLOOKUP(_xlfn.XLOOKUP($F363,Clientes!$B$4:$B$39,Clientes!$C$4:$C$39),Cadastros!$L$6:$L$12,Cadastros!$M$6:$M$12)," ")</f>
        <v xml:space="preserve"> </v>
      </c>
      <c r="R363" s="28"/>
      <c r="S363" s="28"/>
      <c r="T363" s="255" t="str">
        <f>IF(R363="","",(_xlfn.XLOOKUP(R363,Cadastros!$D$6:$D$90,Cadastros!$E$6:$E$90))*(1-_xlfn.XLOOKUP(_xlfn.XLOOKUP($F363,Clientes!$B$4:$B$39,Clientes!$C$4:$C$39),Cadastros!$L$6:$L$12,Cadastros!$N$6:$N$12)))</f>
        <v/>
      </c>
      <c r="U363" s="168" t="str">
        <f t="shared" si="68"/>
        <v/>
      </c>
      <c r="V363" s="168" t="str">
        <f>IFERROR(U363/_xlfn.XLOOKUP(_xlfn.XLOOKUP($F363,Clientes!$B$4:$B$39,Clientes!$C$4:$C$39),Cadastros!$L$6:$L$12,Cadastros!$M$6:$M$12)," ")</f>
        <v xml:space="preserve"> </v>
      </c>
      <c r="W363" s="28"/>
      <c r="X363" s="28"/>
      <c r="Y363" s="255" t="str">
        <f>IF(W363="","",(_xlfn.XLOOKUP(W363,Cadastros!$D$6:$D$90,Cadastros!$E$6:$E$90))*(1-_xlfn.XLOOKUP(_xlfn.XLOOKUP($F363,Clientes!$B$4:$B$39,Clientes!$C$4:$C$39),Cadastros!$L$6:$L$12,Cadastros!$N$6:$N$12)))</f>
        <v/>
      </c>
      <c r="Z363" s="168" t="str">
        <f t="shared" si="69"/>
        <v/>
      </c>
      <c r="AA363" s="168" t="str">
        <f>IFERROR(Z363/_xlfn.XLOOKUP(_xlfn.XLOOKUP($F363,Clientes!$B$4:$B$39,Clientes!$C$4:$C$39),Cadastros!$L$6:$L$12,Cadastros!$M$6:$M$12)," ")</f>
        <v xml:space="preserve"> </v>
      </c>
      <c r="AB363" s="28"/>
      <c r="AC363" s="28"/>
      <c r="AD363" s="20" t="str">
        <f>IF(AB363="","",IF($F363="Bernardino Furlan",_xlfn.XLOOKUP(AB363,Cadastros!$G$6:$G$90,Cadastros!$H$6:$H$90)*(1-0.18),IF($F363="Mauro José Salanti",_xlfn.XLOOKUP(AB363,Cadastros!$G$6:$G$90,Cadastros!$H$6:$H$90)*(1-0.18),_xlfn.XLOOKUP(AB363,Cadastros!$G$6:$G$90,Cadastros!$H$6:$H$90))))</f>
        <v/>
      </c>
      <c r="AE363" s="168" t="str">
        <f t="shared" si="70"/>
        <v/>
      </c>
      <c r="AF363" s="168" t="str">
        <f t="shared" si="71"/>
        <v/>
      </c>
      <c r="AG363" s="28"/>
      <c r="AH363" s="28"/>
      <c r="AI363" s="20" t="str">
        <f>IF(AG363="","",IF($F363="Bernardino Furlan",_xlfn.XLOOKUP(AG363,Cadastros!$G$6:$G$90,Cadastros!$H$6:$H$90)*(1-0.18),IF($F363="Mauro José Salanti",_xlfn.XLOOKUP(AG363,Cadastros!$G$6:$G$90,Cadastros!$H$6:$H$90)*(1-0.18),_xlfn.XLOOKUP(AG363,Cadastros!$G$6:$G$90,Cadastros!$H$6:$H$90))))</f>
        <v/>
      </c>
      <c r="AJ363" s="168" t="str">
        <f t="shared" si="72"/>
        <v/>
      </c>
      <c r="AK363" s="168" t="str">
        <f t="shared" si="73"/>
        <v/>
      </c>
      <c r="AL363" s="28"/>
      <c r="AM363" s="28"/>
      <c r="AN363" s="20" t="str">
        <f>IF(AL363="","",IF($F363="Bernardino Furlan",_xlfn.XLOOKUP(AL363,Cadastros!$G$6:$G$90,Cadastros!$H$6:$H$90)*(1-0.18),IF($F363="Mauro José Salanti",_xlfn.XLOOKUP(AL363,Cadastros!$G$6:$G$90,Cadastros!$H$6:$H$90)*(1-0.18),_xlfn.XLOOKUP(AL363,Cadastros!$G$6:$G$90,Cadastros!$H$6:$H$90))))</f>
        <v/>
      </c>
      <c r="AO363" s="168" t="str">
        <f t="shared" si="74"/>
        <v/>
      </c>
      <c r="AP363" s="168" t="str">
        <f t="shared" si="75"/>
        <v/>
      </c>
      <c r="AQ363" s="28"/>
      <c r="AR363" s="28"/>
      <c r="AS363" s="20" t="str">
        <f>IF(AQ363="","",IF($F363="Bernardino Furlan",_xlfn.XLOOKUP(AQ363,Cadastros!$G$6:$G$90,Cadastros!$H$6:$H$90)*(1-0.18),IF($F363="Mauro José Salanti",_xlfn.XLOOKUP(AQ363,Cadastros!$G$6:$G$90,Cadastros!$H$6:$H$90)*(1-0.18),_xlfn.XLOOKUP(AQ363,Cadastros!$G$6:$G$90,Cadastros!$H$6:$H$90))))</f>
        <v/>
      </c>
      <c r="AT363" s="168" t="str">
        <f t="shared" si="76"/>
        <v/>
      </c>
      <c r="AU363" s="168" t="str">
        <f t="shared" si="77"/>
        <v/>
      </c>
      <c r="AV363" s="227"/>
      <c r="AW363" s="30"/>
      <c r="AX363" s="267"/>
      <c r="AY363" s="267"/>
      <c r="AZ363" s="29"/>
      <c r="BA363" s="30"/>
      <c r="BB363" s="23" t="str" cm="1">
        <f t="array" ref="BB363">_xlfn.IFS(AW363="SIM",SUM(K363,P363,U363,Z363,AE363,AJ363,AO363,AT363,AX363,AY363),F363&lt;&gt;"",SUM(K363,P363,U363,Z363,AE363,AJ363,,AO363,AT363),F363="","")</f>
        <v/>
      </c>
      <c r="BC363" s="211" t="str" cm="1">
        <f t="array" ref="BC363">_xlfn.IFS(E363="","",G363&lt;=E363,BB363*(1-0.03),G363&lt;(E363+8),BB363,AZ363="Boleto",BB363*(1+0.001)^DATEDIF(E363,G363,"D"),AZ363="Cheque",BB363,AZ363="Dinheiro","Alterar forma pgto")</f>
        <v/>
      </c>
      <c r="BD363" s="276" t="str" cm="1">
        <f t="array" ref="BD363">IF(F363=0," ",IF(BC363&lt;BB363,(_xlfn.IFS(AW363="SIM",SUM(L363,Q363,V363,AA363,AF363,AK363,AP363,AU363)+AX363/_xlfn.XLOOKUP(_xlfn.XLOOKUP($F363,Clientes!$B$4:$B$39,Clientes!$C$4:$C$39),Cadastros!$L$6:$L$12,Cadastros!$M$6:$M$12)+IF($F363="Bernardino Furlan",AY363/2751.92,IF($F363="Mauro José Salanti",AY363/2751.92,AY363/3356)),F363&lt;&gt;0,SUM(L363,Q363,V363,AA363,AF363,AK363,AP363,AU363)))*(1-0.03),_xlfn.IFS(AW363="SIM",SUM(L363,Q363,V363,AA363,AF363,AK363,AP363,AU363)+AX363/_xlfn.XLOOKUP(_xlfn.XLOOKUP($F363,Clientes!$B$4:$B$39,Clientes!$C$4:$C$39),Cadastros!$L$6:$L$12,Cadastros!$M$6:$M$12)+IF($F363="Bernardino Furlan",AY363/2751.92,IF($F363="Mauro José Salanti",AY363/2751.92,AY363/3356)),F363&lt;&gt;0,SUM(L363,Q363,V363,AA363,AF363,AK363,AP363,AU363))))</f>
        <v xml:space="preserve"> </v>
      </c>
      <c r="BE363" s="120"/>
      <c r="BF363" s="120"/>
      <c r="BG363" s="120"/>
    </row>
    <row r="364" spans="1:59" s="3" customFormat="1" x14ac:dyDescent="0.3">
      <c r="A364" s="15" t="str">
        <f t="shared" si="65"/>
        <v/>
      </c>
      <c r="B364" s="39"/>
      <c r="C364" s="40"/>
      <c r="D364" s="281"/>
      <c r="E364" s="41"/>
      <c r="F364" s="42"/>
      <c r="G364" s="41"/>
      <c r="H364" s="42"/>
      <c r="I364" s="42"/>
      <c r="J364" s="255" t="str">
        <f>IF(H364="","",(_xlfn.XLOOKUP(H364,Cadastros!$D$6:$D$90,Cadastros!$E$6:$E$90))*(1-_xlfn.XLOOKUP(_xlfn.XLOOKUP($F364,Clientes!$B$4:$B$39,Clientes!$C$4:$C$39),Cadastros!$L$6:$L$12,Cadastros!$N$6:$N$12)))</f>
        <v/>
      </c>
      <c r="K364" s="168" t="str">
        <f t="shared" si="66"/>
        <v/>
      </c>
      <c r="L364" s="168" t="str">
        <f>IFERROR(K364/_xlfn.XLOOKUP(_xlfn.XLOOKUP($F364,Clientes!$B$4:$B$39,Clientes!$C$4:$C$39),Cadastros!$L$6:$L$12,Cadastros!$M$6:$M$12)," ")</f>
        <v xml:space="preserve"> </v>
      </c>
      <c r="M364" s="42"/>
      <c r="N364" s="42"/>
      <c r="O364" s="255" t="str">
        <f>IF(M364="","",(_xlfn.XLOOKUP(M364,Cadastros!$D$6:$D$90,Cadastros!$E$6:$E$90))*(1-_xlfn.XLOOKUP(_xlfn.XLOOKUP($F364,Clientes!$B$4:$B$39,Clientes!$C$4:$C$39),Cadastros!$L$6:$L$12,Cadastros!$N$6:$N$12)))</f>
        <v/>
      </c>
      <c r="P364" s="168" t="str">
        <f t="shared" si="67"/>
        <v/>
      </c>
      <c r="Q364" s="168" t="str">
        <f>IFERROR(P364/_xlfn.XLOOKUP(_xlfn.XLOOKUP($F364,Clientes!$B$4:$B$39,Clientes!$C$4:$C$39),Cadastros!$L$6:$L$12,Cadastros!$M$6:$M$12)," ")</f>
        <v xml:space="preserve"> </v>
      </c>
      <c r="R364" s="42"/>
      <c r="S364" s="42"/>
      <c r="T364" s="255" t="str">
        <f>IF(R364="","",(_xlfn.XLOOKUP(R364,Cadastros!$D$6:$D$90,Cadastros!$E$6:$E$90))*(1-_xlfn.XLOOKUP(_xlfn.XLOOKUP($F364,Clientes!$B$4:$B$39,Clientes!$C$4:$C$39),Cadastros!$L$6:$L$12,Cadastros!$N$6:$N$12)))</f>
        <v/>
      </c>
      <c r="U364" s="168" t="str">
        <f t="shared" si="68"/>
        <v/>
      </c>
      <c r="V364" s="168" t="str">
        <f>IFERROR(U364/_xlfn.XLOOKUP(_xlfn.XLOOKUP($F364,Clientes!$B$4:$B$39,Clientes!$C$4:$C$39),Cadastros!$L$6:$L$12,Cadastros!$M$6:$M$12)," ")</f>
        <v xml:space="preserve"> </v>
      </c>
      <c r="W364" s="42"/>
      <c r="X364" s="42"/>
      <c r="Y364" s="255" t="str">
        <f>IF(W364="","",(_xlfn.XLOOKUP(W364,Cadastros!$D$6:$D$90,Cadastros!$E$6:$E$90))*(1-_xlfn.XLOOKUP(_xlfn.XLOOKUP($F364,Clientes!$B$4:$B$39,Clientes!$C$4:$C$39),Cadastros!$L$6:$L$12,Cadastros!$N$6:$N$12)))</f>
        <v/>
      </c>
      <c r="Z364" s="168" t="str">
        <f t="shared" si="69"/>
        <v/>
      </c>
      <c r="AA364" s="168" t="str">
        <f>IFERROR(Z364/_xlfn.XLOOKUP(_xlfn.XLOOKUP($F364,Clientes!$B$4:$B$39,Clientes!$C$4:$C$39),Cadastros!$L$6:$L$12,Cadastros!$M$6:$M$12)," ")</f>
        <v xml:space="preserve"> </v>
      </c>
      <c r="AB364" s="42"/>
      <c r="AC364" s="42"/>
      <c r="AD364" s="20" t="str">
        <f>IF(AB364="","",IF($F364="Bernardino Furlan",_xlfn.XLOOKUP(AB364,Cadastros!$G$6:$G$90,Cadastros!$H$6:$H$90)*(1-0.18),IF($F364="Mauro José Salanti",_xlfn.XLOOKUP(AB364,Cadastros!$G$6:$G$90,Cadastros!$H$6:$H$90)*(1-0.18),_xlfn.XLOOKUP(AB364,Cadastros!$G$6:$G$90,Cadastros!$H$6:$H$90))))</f>
        <v/>
      </c>
      <c r="AE364" s="168" t="str">
        <f t="shared" si="70"/>
        <v/>
      </c>
      <c r="AF364" s="168" t="str">
        <f t="shared" si="71"/>
        <v/>
      </c>
      <c r="AG364" s="42"/>
      <c r="AH364" s="42"/>
      <c r="AI364" s="20" t="str">
        <f>IF(AG364="","",IF($F364="Bernardino Furlan",_xlfn.XLOOKUP(AG364,Cadastros!$G$6:$G$90,Cadastros!$H$6:$H$90)*(1-0.18),IF($F364="Mauro José Salanti",_xlfn.XLOOKUP(AG364,Cadastros!$G$6:$G$90,Cadastros!$H$6:$H$90)*(1-0.18),_xlfn.XLOOKUP(AG364,Cadastros!$G$6:$G$90,Cadastros!$H$6:$H$90))))</f>
        <v/>
      </c>
      <c r="AJ364" s="168" t="str">
        <f t="shared" si="72"/>
        <v/>
      </c>
      <c r="AK364" s="168" t="str">
        <f t="shared" si="73"/>
        <v/>
      </c>
      <c r="AL364" s="42"/>
      <c r="AM364" s="42"/>
      <c r="AN364" s="20" t="str">
        <f>IF(AL364="","",IF($F364="Bernardino Furlan",_xlfn.XLOOKUP(AL364,Cadastros!$G$6:$G$90,Cadastros!$H$6:$H$90)*(1-0.18),IF($F364="Mauro José Salanti",_xlfn.XLOOKUP(AL364,Cadastros!$G$6:$G$90,Cadastros!$H$6:$H$90)*(1-0.18),_xlfn.XLOOKUP(AL364,Cadastros!$G$6:$G$90,Cadastros!$H$6:$H$90))))</f>
        <v/>
      </c>
      <c r="AO364" s="168" t="str">
        <f t="shared" si="74"/>
        <v/>
      </c>
      <c r="AP364" s="168" t="str">
        <f t="shared" si="75"/>
        <v/>
      </c>
      <c r="AQ364" s="42"/>
      <c r="AR364" s="42"/>
      <c r="AS364" s="20" t="str">
        <f>IF(AQ364="","",IF($F364="Bernardino Furlan",_xlfn.XLOOKUP(AQ364,Cadastros!$G$6:$G$90,Cadastros!$H$6:$H$90)*(1-0.18),IF($F364="Mauro José Salanti",_xlfn.XLOOKUP(AQ364,Cadastros!$G$6:$G$90,Cadastros!$H$6:$H$90)*(1-0.18),_xlfn.XLOOKUP(AQ364,Cadastros!$G$6:$G$90,Cadastros!$H$6:$H$90))))</f>
        <v/>
      </c>
      <c r="AT364" s="168" t="str">
        <f t="shared" si="76"/>
        <v/>
      </c>
      <c r="AU364" s="168" t="str">
        <f t="shared" si="77"/>
        <v/>
      </c>
      <c r="AV364" s="229"/>
      <c r="AW364" s="44"/>
      <c r="AX364" s="269"/>
      <c r="AY364" s="269"/>
      <c r="AZ364" s="43"/>
      <c r="BA364" s="44"/>
      <c r="BB364" s="23" t="str" cm="1">
        <f t="array" ref="BB364">_xlfn.IFS(AW364="SIM",SUM(K364,P364,U364,Z364,AE364,AJ364,AO364,AT364,AX364,AY364),F364&lt;&gt;"",SUM(K364,P364,U364,Z364,AE364,AJ364,,AO364,AT364),F364="","")</f>
        <v/>
      </c>
      <c r="BC364" s="211" t="str" cm="1">
        <f t="array" ref="BC364">_xlfn.IFS(E364="","",G364&lt;=E364,BB364*(1-0.03),G364&lt;(E364+8),BB364,AZ364="Boleto",BB364*(1+0.001)^DATEDIF(E364,G364,"D"),AZ364="Cheque",BB364,AZ364="Dinheiro","Alterar forma pgto")</f>
        <v/>
      </c>
      <c r="BD364" s="276" t="str" cm="1">
        <f t="array" ref="BD364">IF(F364=0," ",IF(BC364&lt;BB364,(_xlfn.IFS(AW364="SIM",SUM(L364,Q364,V364,AA364,AF364,AK364,AP364,AU364)+AX364/_xlfn.XLOOKUP(_xlfn.XLOOKUP($F364,Clientes!$B$4:$B$39,Clientes!$C$4:$C$39),Cadastros!$L$6:$L$12,Cadastros!$M$6:$M$12)+IF($F364="Bernardino Furlan",AY364/2751.92,IF($F364="Mauro José Salanti",AY364/2751.92,AY364/3356)),F364&lt;&gt;0,SUM(L364,Q364,V364,AA364,AF364,AK364,AP364,AU364)))*(1-0.03),_xlfn.IFS(AW364="SIM",SUM(L364,Q364,V364,AA364,AF364,AK364,AP364,AU364)+AX364/_xlfn.XLOOKUP(_xlfn.XLOOKUP($F364,Clientes!$B$4:$B$39,Clientes!$C$4:$C$39),Cadastros!$L$6:$L$12,Cadastros!$M$6:$M$12)+IF($F364="Bernardino Furlan",AY364/2751.92,IF($F364="Mauro José Salanti",AY364/2751.92,AY364/3356)),F364&lt;&gt;0,SUM(L364,Q364,V364,AA364,AF364,AK364,AP364,AU364))))</f>
        <v xml:space="preserve"> </v>
      </c>
      <c r="BE364" s="120"/>
      <c r="BF364" s="120"/>
      <c r="BG364" s="120"/>
    </row>
    <row r="365" spans="1:59" s="3" customFormat="1" x14ac:dyDescent="0.3">
      <c r="A365" s="15" t="str">
        <f t="shared" si="65"/>
        <v/>
      </c>
      <c r="B365" s="25"/>
      <c r="C365" s="26"/>
      <c r="D365" s="279"/>
      <c r="E365" s="27"/>
      <c r="F365" s="28"/>
      <c r="G365" s="27"/>
      <c r="H365" s="28"/>
      <c r="I365" s="28"/>
      <c r="J365" s="255" t="str">
        <f>IF(H365="","",(_xlfn.XLOOKUP(H365,Cadastros!$D$6:$D$90,Cadastros!$E$6:$E$90))*(1-_xlfn.XLOOKUP(_xlfn.XLOOKUP($F365,Clientes!$B$4:$B$39,Clientes!$C$4:$C$39),Cadastros!$L$6:$L$12,Cadastros!$N$6:$N$12)))</f>
        <v/>
      </c>
      <c r="K365" s="168" t="str">
        <f t="shared" si="66"/>
        <v/>
      </c>
      <c r="L365" s="168" t="str">
        <f>IFERROR(K365/_xlfn.XLOOKUP(_xlfn.XLOOKUP($F365,Clientes!$B$4:$B$39,Clientes!$C$4:$C$39),Cadastros!$L$6:$L$12,Cadastros!$M$6:$M$12)," ")</f>
        <v xml:space="preserve"> </v>
      </c>
      <c r="M365" s="28"/>
      <c r="N365" s="28"/>
      <c r="O365" s="255" t="str">
        <f>IF(M365="","",(_xlfn.XLOOKUP(M365,Cadastros!$D$6:$D$90,Cadastros!$E$6:$E$90))*(1-_xlfn.XLOOKUP(_xlfn.XLOOKUP($F365,Clientes!$B$4:$B$39,Clientes!$C$4:$C$39),Cadastros!$L$6:$L$12,Cadastros!$N$6:$N$12)))</f>
        <v/>
      </c>
      <c r="P365" s="168" t="str">
        <f t="shared" si="67"/>
        <v/>
      </c>
      <c r="Q365" s="168" t="str">
        <f>IFERROR(P365/_xlfn.XLOOKUP(_xlfn.XLOOKUP($F365,Clientes!$B$4:$B$39,Clientes!$C$4:$C$39),Cadastros!$L$6:$L$12,Cadastros!$M$6:$M$12)," ")</f>
        <v xml:space="preserve"> </v>
      </c>
      <c r="R365" s="28"/>
      <c r="S365" s="28"/>
      <c r="T365" s="255" t="str">
        <f>IF(R365="","",(_xlfn.XLOOKUP(R365,Cadastros!$D$6:$D$90,Cadastros!$E$6:$E$90))*(1-_xlfn.XLOOKUP(_xlfn.XLOOKUP($F365,Clientes!$B$4:$B$39,Clientes!$C$4:$C$39),Cadastros!$L$6:$L$12,Cadastros!$N$6:$N$12)))</f>
        <v/>
      </c>
      <c r="U365" s="168" t="str">
        <f t="shared" si="68"/>
        <v/>
      </c>
      <c r="V365" s="168" t="str">
        <f>IFERROR(U365/_xlfn.XLOOKUP(_xlfn.XLOOKUP($F365,Clientes!$B$4:$B$39,Clientes!$C$4:$C$39),Cadastros!$L$6:$L$12,Cadastros!$M$6:$M$12)," ")</f>
        <v xml:space="preserve"> </v>
      </c>
      <c r="W365" s="28"/>
      <c r="X365" s="28"/>
      <c r="Y365" s="255" t="str">
        <f>IF(W365="","",(_xlfn.XLOOKUP(W365,Cadastros!$D$6:$D$90,Cadastros!$E$6:$E$90))*(1-_xlfn.XLOOKUP(_xlfn.XLOOKUP($F365,Clientes!$B$4:$B$39,Clientes!$C$4:$C$39),Cadastros!$L$6:$L$12,Cadastros!$N$6:$N$12)))</f>
        <v/>
      </c>
      <c r="Z365" s="168" t="str">
        <f t="shared" si="69"/>
        <v/>
      </c>
      <c r="AA365" s="168" t="str">
        <f>IFERROR(Z365/_xlfn.XLOOKUP(_xlfn.XLOOKUP($F365,Clientes!$B$4:$B$39,Clientes!$C$4:$C$39),Cadastros!$L$6:$L$12,Cadastros!$M$6:$M$12)," ")</f>
        <v xml:space="preserve"> </v>
      </c>
      <c r="AB365" s="28"/>
      <c r="AC365" s="28"/>
      <c r="AD365" s="20" t="str">
        <f>IF(AB365="","",IF($F365="Bernardino Furlan",_xlfn.XLOOKUP(AB365,Cadastros!$G$6:$G$90,Cadastros!$H$6:$H$90)*(1-0.18),IF($F365="Mauro José Salanti",_xlfn.XLOOKUP(AB365,Cadastros!$G$6:$G$90,Cadastros!$H$6:$H$90)*(1-0.18),_xlfn.XLOOKUP(AB365,Cadastros!$G$6:$G$90,Cadastros!$H$6:$H$90))))</f>
        <v/>
      </c>
      <c r="AE365" s="168" t="str">
        <f t="shared" si="70"/>
        <v/>
      </c>
      <c r="AF365" s="168" t="str">
        <f t="shared" si="71"/>
        <v/>
      </c>
      <c r="AG365" s="28"/>
      <c r="AH365" s="28"/>
      <c r="AI365" s="20" t="str">
        <f>IF(AG365="","",IF($F365="Bernardino Furlan",_xlfn.XLOOKUP(AG365,Cadastros!$G$6:$G$90,Cadastros!$H$6:$H$90)*(1-0.18),IF($F365="Mauro José Salanti",_xlfn.XLOOKUP(AG365,Cadastros!$G$6:$G$90,Cadastros!$H$6:$H$90)*(1-0.18),_xlfn.XLOOKUP(AG365,Cadastros!$G$6:$G$90,Cadastros!$H$6:$H$90))))</f>
        <v/>
      </c>
      <c r="AJ365" s="168" t="str">
        <f t="shared" si="72"/>
        <v/>
      </c>
      <c r="AK365" s="168" t="str">
        <f t="shared" si="73"/>
        <v/>
      </c>
      <c r="AL365" s="28"/>
      <c r="AM365" s="28"/>
      <c r="AN365" s="20" t="str">
        <f>IF(AL365="","",IF($F365="Bernardino Furlan",_xlfn.XLOOKUP(AL365,Cadastros!$G$6:$G$90,Cadastros!$H$6:$H$90)*(1-0.18),IF($F365="Mauro José Salanti",_xlfn.XLOOKUP(AL365,Cadastros!$G$6:$G$90,Cadastros!$H$6:$H$90)*(1-0.18),_xlfn.XLOOKUP(AL365,Cadastros!$G$6:$G$90,Cadastros!$H$6:$H$90))))</f>
        <v/>
      </c>
      <c r="AO365" s="168" t="str">
        <f t="shared" si="74"/>
        <v/>
      </c>
      <c r="AP365" s="168" t="str">
        <f t="shared" si="75"/>
        <v/>
      </c>
      <c r="AQ365" s="28"/>
      <c r="AR365" s="28"/>
      <c r="AS365" s="20" t="str">
        <f>IF(AQ365="","",IF($F365="Bernardino Furlan",_xlfn.XLOOKUP(AQ365,Cadastros!$G$6:$G$90,Cadastros!$H$6:$H$90)*(1-0.18),IF($F365="Mauro José Salanti",_xlfn.XLOOKUP(AQ365,Cadastros!$G$6:$G$90,Cadastros!$H$6:$H$90)*(1-0.18),_xlfn.XLOOKUP(AQ365,Cadastros!$G$6:$G$90,Cadastros!$H$6:$H$90))))</f>
        <v/>
      </c>
      <c r="AT365" s="168" t="str">
        <f t="shared" si="76"/>
        <v/>
      </c>
      <c r="AU365" s="168" t="str">
        <f t="shared" si="77"/>
        <v/>
      </c>
      <c r="AV365" s="227"/>
      <c r="AW365" s="30"/>
      <c r="AX365" s="267"/>
      <c r="AY365" s="267"/>
      <c r="AZ365" s="29"/>
      <c r="BA365" s="30"/>
      <c r="BB365" s="23" t="str" cm="1">
        <f t="array" ref="BB365">_xlfn.IFS(AW365="SIM",SUM(K365,P365,U365,Z365,AE365,AJ365,AO365,AT365,AX365,AY365),F365&lt;&gt;"",SUM(K365,P365,U365,Z365,AE365,AJ365,,AO365,AT365),F365="","")</f>
        <v/>
      </c>
      <c r="BC365" s="211" t="str" cm="1">
        <f t="array" ref="BC365">_xlfn.IFS(E365="","",G365&lt;=E365,BB365*(1-0.03),G365&lt;(E365+8),BB365,AZ365="Boleto",BB365*(1+0.001)^DATEDIF(E365,G365,"D"),AZ365="Cheque",BB365,AZ365="Dinheiro","Alterar forma pgto")</f>
        <v/>
      </c>
      <c r="BD365" s="276" t="str" cm="1">
        <f t="array" ref="BD365">IF(F365=0," ",IF(BC365&lt;BB365,(_xlfn.IFS(AW365="SIM",SUM(L365,Q365,V365,AA365,AF365,AK365,AP365,AU365)+AX365/_xlfn.XLOOKUP(_xlfn.XLOOKUP($F365,Clientes!$B$4:$B$39,Clientes!$C$4:$C$39),Cadastros!$L$6:$L$12,Cadastros!$M$6:$M$12)+IF($F365="Bernardino Furlan",AY365/2751.92,IF($F365="Mauro José Salanti",AY365/2751.92,AY365/3356)),F365&lt;&gt;0,SUM(L365,Q365,V365,AA365,AF365,AK365,AP365,AU365)))*(1-0.03),_xlfn.IFS(AW365="SIM",SUM(L365,Q365,V365,AA365,AF365,AK365,AP365,AU365)+AX365/_xlfn.XLOOKUP(_xlfn.XLOOKUP($F365,Clientes!$B$4:$B$39,Clientes!$C$4:$C$39),Cadastros!$L$6:$L$12,Cadastros!$M$6:$M$12)+IF($F365="Bernardino Furlan",AY365/2751.92,IF($F365="Mauro José Salanti",AY365/2751.92,AY365/3356)),F365&lt;&gt;0,SUM(L365,Q365,V365,AA365,AF365,AK365,AP365,AU365))))</f>
        <v xml:space="preserve"> </v>
      </c>
      <c r="BE365" s="120"/>
      <c r="BF365" s="120"/>
      <c r="BG365" s="120"/>
    </row>
    <row r="366" spans="1:59" s="3" customFormat="1" x14ac:dyDescent="0.3">
      <c r="A366" s="15" t="str">
        <f t="shared" si="65"/>
        <v/>
      </c>
      <c r="B366" s="25"/>
      <c r="C366" s="26"/>
      <c r="D366" s="279"/>
      <c r="E366" s="27"/>
      <c r="F366" s="28"/>
      <c r="G366" s="27"/>
      <c r="H366" s="28"/>
      <c r="I366" s="28"/>
      <c r="J366" s="255" t="str">
        <f>IF(H366="","",(_xlfn.XLOOKUP(H366,Cadastros!$D$6:$D$90,Cadastros!$E$6:$E$90))*(1-_xlfn.XLOOKUP(_xlfn.XLOOKUP($F366,Clientes!$B$4:$B$39,Clientes!$C$4:$C$39),Cadastros!$L$6:$L$12,Cadastros!$N$6:$N$12)))</f>
        <v/>
      </c>
      <c r="K366" s="168" t="str">
        <f t="shared" si="66"/>
        <v/>
      </c>
      <c r="L366" s="168" t="str">
        <f>IFERROR(K366/_xlfn.XLOOKUP(_xlfn.XLOOKUP($F366,Clientes!$B$4:$B$39,Clientes!$C$4:$C$39),Cadastros!$L$6:$L$12,Cadastros!$M$6:$M$12)," ")</f>
        <v xml:space="preserve"> </v>
      </c>
      <c r="M366" s="28"/>
      <c r="N366" s="28"/>
      <c r="O366" s="255" t="str">
        <f>IF(M366="","",(_xlfn.XLOOKUP(M366,Cadastros!$D$6:$D$90,Cadastros!$E$6:$E$90))*(1-_xlfn.XLOOKUP(_xlfn.XLOOKUP($F366,Clientes!$B$4:$B$39,Clientes!$C$4:$C$39),Cadastros!$L$6:$L$12,Cadastros!$N$6:$N$12)))</f>
        <v/>
      </c>
      <c r="P366" s="168" t="str">
        <f t="shared" si="67"/>
        <v/>
      </c>
      <c r="Q366" s="168" t="str">
        <f>IFERROR(P366/_xlfn.XLOOKUP(_xlfn.XLOOKUP($F366,Clientes!$B$4:$B$39,Clientes!$C$4:$C$39),Cadastros!$L$6:$L$12,Cadastros!$M$6:$M$12)," ")</f>
        <v xml:space="preserve"> </v>
      </c>
      <c r="R366" s="28"/>
      <c r="S366" s="28"/>
      <c r="T366" s="255" t="str">
        <f>IF(R366="","",(_xlfn.XLOOKUP(R366,Cadastros!$D$6:$D$90,Cadastros!$E$6:$E$90))*(1-_xlfn.XLOOKUP(_xlfn.XLOOKUP($F366,Clientes!$B$4:$B$39,Clientes!$C$4:$C$39),Cadastros!$L$6:$L$12,Cadastros!$N$6:$N$12)))</f>
        <v/>
      </c>
      <c r="U366" s="168" t="str">
        <f t="shared" si="68"/>
        <v/>
      </c>
      <c r="V366" s="168" t="str">
        <f>IFERROR(U366/_xlfn.XLOOKUP(_xlfn.XLOOKUP($F366,Clientes!$B$4:$B$39,Clientes!$C$4:$C$39),Cadastros!$L$6:$L$12,Cadastros!$M$6:$M$12)," ")</f>
        <v xml:space="preserve"> </v>
      </c>
      <c r="W366" s="28"/>
      <c r="X366" s="28"/>
      <c r="Y366" s="255" t="str">
        <f>IF(W366="","",(_xlfn.XLOOKUP(W366,Cadastros!$D$6:$D$90,Cadastros!$E$6:$E$90))*(1-_xlfn.XLOOKUP(_xlfn.XLOOKUP($F366,Clientes!$B$4:$B$39,Clientes!$C$4:$C$39),Cadastros!$L$6:$L$12,Cadastros!$N$6:$N$12)))</f>
        <v/>
      </c>
      <c r="Z366" s="168" t="str">
        <f t="shared" si="69"/>
        <v/>
      </c>
      <c r="AA366" s="168" t="str">
        <f>IFERROR(Z366/_xlfn.XLOOKUP(_xlfn.XLOOKUP($F366,Clientes!$B$4:$B$39,Clientes!$C$4:$C$39),Cadastros!$L$6:$L$12,Cadastros!$M$6:$M$12)," ")</f>
        <v xml:space="preserve"> </v>
      </c>
      <c r="AB366" s="28"/>
      <c r="AC366" s="28"/>
      <c r="AD366" s="20" t="str">
        <f>IF(AB366="","",IF($F366="Bernardino Furlan",_xlfn.XLOOKUP(AB366,Cadastros!$G$6:$G$90,Cadastros!$H$6:$H$90)*(1-0.18),IF($F366="Mauro José Salanti",_xlfn.XLOOKUP(AB366,Cadastros!$G$6:$G$90,Cadastros!$H$6:$H$90)*(1-0.18),_xlfn.XLOOKUP(AB366,Cadastros!$G$6:$G$90,Cadastros!$H$6:$H$90))))</f>
        <v/>
      </c>
      <c r="AE366" s="168" t="str">
        <f t="shared" si="70"/>
        <v/>
      </c>
      <c r="AF366" s="168" t="str">
        <f t="shared" si="71"/>
        <v/>
      </c>
      <c r="AG366" s="28"/>
      <c r="AH366" s="28"/>
      <c r="AI366" s="20" t="str">
        <f>IF(AG366="","",IF($F366="Bernardino Furlan",_xlfn.XLOOKUP(AG366,Cadastros!$G$6:$G$90,Cadastros!$H$6:$H$90)*(1-0.18),IF($F366="Mauro José Salanti",_xlfn.XLOOKUP(AG366,Cadastros!$G$6:$G$90,Cadastros!$H$6:$H$90)*(1-0.18),_xlfn.XLOOKUP(AG366,Cadastros!$G$6:$G$90,Cadastros!$H$6:$H$90))))</f>
        <v/>
      </c>
      <c r="AJ366" s="168" t="str">
        <f t="shared" si="72"/>
        <v/>
      </c>
      <c r="AK366" s="168" t="str">
        <f t="shared" si="73"/>
        <v/>
      </c>
      <c r="AL366" s="28"/>
      <c r="AM366" s="28"/>
      <c r="AN366" s="20" t="str">
        <f>IF(AL366="","",IF($F366="Bernardino Furlan",_xlfn.XLOOKUP(AL366,Cadastros!$G$6:$G$90,Cadastros!$H$6:$H$90)*(1-0.18),IF($F366="Mauro José Salanti",_xlfn.XLOOKUP(AL366,Cadastros!$G$6:$G$90,Cadastros!$H$6:$H$90)*(1-0.18),_xlfn.XLOOKUP(AL366,Cadastros!$G$6:$G$90,Cadastros!$H$6:$H$90))))</f>
        <v/>
      </c>
      <c r="AO366" s="168" t="str">
        <f t="shared" si="74"/>
        <v/>
      </c>
      <c r="AP366" s="168" t="str">
        <f t="shared" si="75"/>
        <v/>
      </c>
      <c r="AQ366" s="28"/>
      <c r="AR366" s="28"/>
      <c r="AS366" s="20" t="str">
        <f>IF(AQ366="","",IF($F366="Bernardino Furlan",_xlfn.XLOOKUP(AQ366,Cadastros!$G$6:$G$90,Cadastros!$H$6:$H$90)*(1-0.18),IF($F366="Mauro José Salanti",_xlfn.XLOOKUP(AQ366,Cadastros!$G$6:$G$90,Cadastros!$H$6:$H$90)*(1-0.18),_xlfn.XLOOKUP(AQ366,Cadastros!$G$6:$G$90,Cadastros!$H$6:$H$90))))</f>
        <v/>
      </c>
      <c r="AT366" s="168" t="str">
        <f t="shared" si="76"/>
        <v/>
      </c>
      <c r="AU366" s="168" t="str">
        <f t="shared" si="77"/>
        <v/>
      </c>
      <c r="AV366" s="227"/>
      <c r="AW366" s="30"/>
      <c r="AX366" s="267"/>
      <c r="AY366" s="267"/>
      <c r="AZ366" s="29"/>
      <c r="BA366" s="30"/>
      <c r="BB366" s="23" t="str" cm="1">
        <f t="array" ref="BB366">_xlfn.IFS(AW366="SIM",SUM(K366,P366,U366,Z366,AE366,AJ366,AO366,AT366,AX366,AY366),F366&lt;&gt;"",SUM(K366,P366,U366,Z366,AE366,AJ366,,AO366,AT366),F366="","")</f>
        <v/>
      </c>
      <c r="BC366" s="211" t="str" cm="1">
        <f t="array" ref="BC366">_xlfn.IFS(E366="","",G366&lt;=E366,BB366*(1-0.03),G366&lt;(E366+8),BB366,AZ366="Boleto",BB366*(1+0.001)^DATEDIF(E366,G366,"D"),AZ366="Cheque",BB366,AZ366="Dinheiro","Alterar forma pgto")</f>
        <v/>
      </c>
      <c r="BD366" s="276" t="str" cm="1">
        <f t="array" ref="BD366">IF(F366=0," ",IF(BC366&lt;BB366,(_xlfn.IFS(AW366="SIM",SUM(L366,Q366,V366,AA366,AF366,AK366,AP366,AU366)+AX366/_xlfn.XLOOKUP(_xlfn.XLOOKUP($F366,Clientes!$B$4:$B$39,Clientes!$C$4:$C$39),Cadastros!$L$6:$L$12,Cadastros!$M$6:$M$12)+IF($F366="Bernardino Furlan",AY366/2751.92,IF($F366="Mauro José Salanti",AY366/2751.92,AY366/3356)),F366&lt;&gt;0,SUM(L366,Q366,V366,AA366,AF366,AK366,AP366,AU366)))*(1-0.03),_xlfn.IFS(AW366="SIM",SUM(L366,Q366,V366,AA366,AF366,AK366,AP366,AU366)+AX366/_xlfn.XLOOKUP(_xlfn.XLOOKUP($F366,Clientes!$B$4:$B$39,Clientes!$C$4:$C$39),Cadastros!$L$6:$L$12,Cadastros!$M$6:$M$12)+IF($F366="Bernardino Furlan",AY366/2751.92,IF($F366="Mauro José Salanti",AY366/2751.92,AY366/3356)),F366&lt;&gt;0,SUM(L366,Q366,V366,AA366,AF366,AK366,AP366,AU366))))</f>
        <v xml:space="preserve"> </v>
      </c>
      <c r="BE366" s="120"/>
      <c r="BF366" s="120"/>
      <c r="BG366" s="120"/>
    </row>
    <row r="367" spans="1:59" s="3" customFormat="1" x14ac:dyDescent="0.3">
      <c r="A367" s="15" t="str">
        <f t="shared" si="65"/>
        <v/>
      </c>
      <c r="B367" s="34"/>
      <c r="C367" s="35"/>
      <c r="D367" s="280"/>
      <c r="E367" s="36"/>
      <c r="F367" s="37"/>
      <c r="G367" s="36"/>
      <c r="H367" s="37"/>
      <c r="I367" s="37"/>
      <c r="J367" s="255" t="str">
        <f>IF(H367="","",(_xlfn.XLOOKUP(H367,Cadastros!$D$6:$D$90,Cadastros!$E$6:$E$90))*(1-_xlfn.XLOOKUP(_xlfn.XLOOKUP($F367,Clientes!$B$4:$B$39,Clientes!$C$4:$C$39),Cadastros!$L$6:$L$12,Cadastros!$N$6:$N$12)))</f>
        <v/>
      </c>
      <c r="K367" s="168" t="str">
        <f t="shared" si="66"/>
        <v/>
      </c>
      <c r="L367" s="168" t="str">
        <f>IFERROR(K367/_xlfn.XLOOKUP(_xlfn.XLOOKUP($F367,Clientes!$B$4:$B$39,Clientes!$C$4:$C$39),Cadastros!$L$6:$L$12,Cadastros!$M$6:$M$12)," ")</f>
        <v xml:space="preserve"> </v>
      </c>
      <c r="M367" s="37"/>
      <c r="N367" s="37"/>
      <c r="O367" s="255" t="str">
        <f>IF(M367="","",(_xlfn.XLOOKUP(M367,Cadastros!$D$6:$D$90,Cadastros!$E$6:$E$90))*(1-_xlfn.XLOOKUP(_xlfn.XLOOKUP($F367,Clientes!$B$4:$B$39,Clientes!$C$4:$C$39),Cadastros!$L$6:$L$12,Cadastros!$N$6:$N$12)))</f>
        <v/>
      </c>
      <c r="P367" s="168" t="str">
        <f t="shared" si="67"/>
        <v/>
      </c>
      <c r="Q367" s="168" t="str">
        <f>IFERROR(P367/_xlfn.XLOOKUP(_xlfn.XLOOKUP($F367,Clientes!$B$4:$B$39,Clientes!$C$4:$C$39),Cadastros!$L$6:$L$12,Cadastros!$M$6:$M$12)," ")</f>
        <v xml:space="preserve"> </v>
      </c>
      <c r="R367" s="37"/>
      <c r="S367" s="37"/>
      <c r="T367" s="255" t="str">
        <f>IF(R367="","",(_xlfn.XLOOKUP(R367,Cadastros!$D$6:$D$90,Cadastros!$E$6:$E$90))*(1-_xlfn.XLOOKUP(_xlfn.XLOOKUP($F367,Clientes!$B$4:$B$39,Clientes!$C$4:$C$39),Cadastros!$L$6:$L$12,Cadastros!$N$6:$N$12)))</f>
        <v/>
      </c>
      <c r="U367" s="168" t="str">
        <f t="shared" si="68"/>
        <v/>
      </c>
      <c r="V367" s="168" t="str">
        <f>IFERROR(U367/_xlfn.XLOOKUP(_xlfn.XLOOKUP($F367,Clientes!$B$4:$B$39,Clientes!$C$4:$C$39),Cadastros!$L$6:$L$12,Cadastros!$M$6:$M$12)," ")</f>
        <v xml:space="preserve"> </v>
      </c>
      <c r="W367" s="37"/>
      <c r="X367" s="37"/>
      <c r="Y367" s="255" t="str">
        <f>IF(W367="","",(_xlfn.XLOOKUP(W367,Cadastros!$D$6:$D$90,Cadastros!$E$6:$E$90))*(1-_xlfn.XLOOKUP(_xlfn.XLOOKUP($F367,Clientes!$B$4:$B$39,Clientes!$C$4:$C$39),Cadastros!$L$6:$L$12,Cadastros!$N$6:$N$12)))</f>
        <v/>
      </c>
      <c r="Z367" s="168" t="str">
        <f t="shared" si="69"/>
        <v/>
      </c>
      <c r="AA367" s="168" t="str">
        <f>IFERROR(Z367/_xlfn.XLOOKUP(_xlfn.XLOOKUP($F367,Clientes!$B$4:$B$39,Clientes!$C$4:$C$39),Cadastros!$L$6:$L$12,Cadastros!$M$6:$M$12)," ")</f>
        <v xml:space="preserve"> </v>
      </c>
      <c r="AB367" s="37"/>
      <c r="AC367" s="37"/>
      <c r="AD367" s="20" t="str">
        <f>IF(AB367="","",IF($F367="Bernardino Furlan",_xlfn.XLOOKUP(AB367,Cadastros!$G$6:$G$90,Cadastros!$H$6:$H$90)*(1-0.18),IF($F367="Mauro José Salanti",_xlfn.XLOOKUP(AB367,Cadastros!$G$6:$G$90,Cadastros!$H$6:$H$90)*(1-0.18),_xlfn.XLOOKUP(AB367,Cadastros!$G$6:$G$90,Cadastros!$H$6:$H$90))))</f>
        <v/>
      </c>
      <c r="AE367" s="168" t="str">
        <f t="shared" si="70"/>
        <v/>
      </c>
      <c r="AF367" s="168" t="str">
        <f t="shared" si="71"/>
        <v/>
      </c>
      <c r="AG367" s="37"/>
      <c r="AH367" s="37"/>
      <c r="AI367" s="20" t="str">
        <f>IF(AG367="","",IF($F367="Bernardino Furlan",_xlfn.XLOOKUP(AG367,Cadastros!$G$6:$G$90,Cadastros!$H$6:$H$90)*(1-0.18),IF($F367="Mauro José Salanti",_xlfn.XLOOKUP(AG367,Cadastros!$G$6:$G$90,Cadastros!$H$6:$H$90)*(1-0.18),_xlfn.XLOOKUP(AG367,Cadastros!$G$6:$G$90,Cadastros!$H$6:$H$90))))</f>
        <v/>
      </c>
      <c r="AJ367" s="168" t="str">
        <f t="shared" si="72"/>
        <v/>
      </c>
      <c r="AK367" s="168" t="str">
        <f t="shared" si="73"/>
        <v/>
      </c>
      <c r="AL367" s="37"/>
      <c r="AM367" s="37"/>
      <c r="AN367" s="20" t="str">
        <f>IF(AL367="","",IF($F367="Bernardino Furlan",_xlfn.XLOOKUP(AL367,Cadastros!$G$6:$G$90,Cadastros!$H$6:$H$90)*(1-0.18),IF($F367="Mauro José Salanti",_xlfn.XLOOKUP(AL367,Cadastros!$G$6:$G$90,Cadastros!$H$6:$H$90)*(1-0.18),_xlfn.XLOOKUP(AL367,Cadastros!$G$6:$G$90,Cadastros!$H$6:$H$90))))</f>
        <v/>
      </c>
      <c r="AO367" s="168" t="str">
        <f t="shared" si="74"/>
        <v/>
      </c>
      <c r="AP367" s="168" t="str">
        <f t="shared" si="75"/>
        <v/>
      </c>
      <c r="AQ367" s="37"/>
      <c r="AR367" s="37"/>
      <c r="AS367" s="20" t="str">
        <f>IF(AQ367="","",IF($F367="Bernardino Furlan",_xlfn.XLOOKUP(AQ367,Cadastros!$G$6:$G$90,Cadastros!$H$6:$H$90)*(1-0.18),IF($F367="Mauro José Salanti",_xlfn.XLOOKUP(AQ367,Cadastros!$G$6:$G$90,Cadastros!$H$6:$H$90)*(1-0.18),_xlfn.XLOOKUP(AQ367,Cadastros!$G$6:$G$90,Cadastros!$H$6:$H$90))))</f>
        <v/>
      </c>
      <c r="AT367" s="168" t="str">
        <f t="shared" si="76"/>
        <v/>
      </c>
      <c r="AU367" s="168" t="str">
        <f t="shared" si="77"/>
        <v/>
      </c>
      <c r="AV367" s="228"/>
      <c r="AW367" s="38"/>
      <c r="AX367" s="268"/>
      <c r="AY367" s="268"/>
      <c r="AZ367" s="33"/>
      <c r="BA367" s="38"/>
      <c r="BB367" s="23" t="str" cm="1">
        <f t="array" ref="BB367">_xlfn.IFS(AW367="SIM",SUM(K367,P367,U367,Z367,AE367,AJ367,AO367,AT367,AX367,AY367),F367&lt;&gt;"",SUM(K367,P367,U367,Z367,AE367,AJ367,,AO367,AT367),F367="","")</f>
        <v/>
      </c>
      <c r="BC367" s="211" t="str" cm="1">
        <f t="array" ref="BC367">_xlfn.IFS(E367="","",G367&lt;=E367,BB367*(1-0.03),G367&lt;(E367+8),BB367,AZ367="Boleto",BB367*(1+0.001)^DATEDIF(E367,G367,"D"),AZ367="Cheque",BB367,AZ367="Dinheiro","Alterar forma pgto")</f>
        <v/>
      </c>
      <c r="BD367" s="276" t="str" cm="1">
        <f t="array" ref="BD367">IF(F367=0," ",IF(BC367&lt;BB367,(_xlfn.IFS(AW367="SIM",SUM(L367,Q367,V367,AA367,AF367,AK367,AP367,AU367)+AX367/_xlfn.XLOOKUP(_xlfn.XLOOKUP($F367,Clientes!$B$4:$B$39,Clientes!$C$4:$C$39),Cadastros!$L$6:$L$12,Cadastros!$M$6:$M$12)+IF($F367="Bernardino Furlan",AY367/2751.92,IF($F367="Mauro José Salanti",AY367/2751.92,AY367/3356)),F367&lt;&gt;0,SUM(L367,Q367,V367,AA367,AF367,AK367,AP367,AU367)))*(1-0.03),_xlfn.IFS(AW367="SIM",SUM(L367,Q367,V367,AA367,AF367,AK367,AP367,AU367)+AX367/_xlfn.XLOOKUP(_xlfn.XLOOKUP($F367,Clientes!$B$4:$B$39,Clientes!$C$4:$C$39),Cadastros!$L$6:$L$12,Cadastros!$M$6:$M$12)+IF($F367="Bernardino Furlan",AY367/2751.92,IF($F367="Mauro José Salanti",AY367/2751.92,AY367/3356)),F367&lt;&gt;0,SUM(L367,Q367,V367,AA367,AF367,AK367,AP367,AU367))))</f>
        <v xml:space="preserve"> </v>
      </c>
      <c r="BE367" s="120"/>
      <c r="BF367" s="120"/>
      <c r="BG367" s="120"/>
    </row>
    <row r="368" spans="1:59" s="3" customFormat="1" x14ac:dyDescent="0.3">
      <c r="A368" s="15" t="str">
        <f t="shared" si="65"/>
        <v/>
      </c>
      <c r="B368" s="25"/>
      <c r="C368" s="26"/>
      <c r="D368" s="279"/>
      <c r="E368" s="27"/>
      <c r="F368" s="28"/>
      <c r="G368" s="27"/>
      <c r="H368" s="28"/>
      <c r="I368" s="28"/>
      <c r="J368" s="255" t="str">
        <f>IF(H368="","",(_xlfn.XLOOKUP(H368,Cadastros!$D$6:$D$90,Cadastros!$E$6:$E$90))*(1-_xlfn.XLOOKUP(_xlfn.XLOOKUP($F368,Clientes!$B$4:$B$39,Clientes!$C$4:$C$39),Cadastros!$L$6:$L$12,Cadastros!$N$6:$N$12)))</f>
        <v/>
      </c>
      <c r="K368" s="168" t="str">
        <f t="shared" si="66"/>
        <v/>
      </c>
      <c r="L368" s="168" t="str">
        <f>IFERROR(K368/_xlfn.XLOOKUP(_xlfn.XLOOKUP($F368,Clientes!$B$4:$B$39,Clientes!$C$4:$C$39),Cadastros!$L$6:$L$12,Cadastros!$M$6:$M$12)," ")</f>
        <v xml:space="preserve"> </v>
      </c>
      <c r="M368" s="28"/>
      <c r="N368" s="28"/>
      <c r="O368" s="255" t="str">
        <f>IF(M368="","",(_xlfn.XLOOKUP(M368,Cadastros!$D$6:$D$90,Cadastros!$E$6:$E$90))*(1-_xlfn.XLOOKUP(_xlfn.XLOOKUP($F368,Clientes!$B$4:$B$39,Clientes!$C$4:$C$39),Cadastros!$L$6:$L$12,Cadastros!$N$6:$N$12)))</f>
        <v/>
      </c>
      <c r="P368" s="168" t="str">
        <f t="shared" si="67"/>
        <v/>
      </c>
      <c r="Q368" s="168" t="str">
        <f>IFERROR(P368/_xlfn.XLOOKUP(_xlfn.XLOOKUP($F368,Clientes!$B$4:$B$39,Clientes!$C$4:$C$39),Cadastros!$L$6:$L$12,Cadastros!$M$6:$M$12)," ")</f>
        <v xml:space="preserve"> </v>
      </c>
      <c r="R368" s="28"/>
      <c r="S368" s="28"/>
      <c r="T368" s="255" t="str">
        <f>IF(R368="","",(_xlfn.XLOOKUP(R368,Cadastros!$D$6:$D$90,Cadastros!$E$6:$E$90))*(1-_xlfn.XLOOKUP(_xlfn.XLOOKUP($F368,Clientes!$B$4:$B$39,Clientes!$C$4:$C$39),Cadastros!$L$6:$L$12,Cadastros!$N$6:$N$12)))</f>
        <v/>
      </c>
      <c r="U368" s="168" t="str">
        <f t="shared" si="68"/>
        <v/>
      </c>
      <c r="V368" s="168" t="str">
        <f>IFERROR(U368/_xlfn.XLOOKUP(_xlfn.XLOOKUP($F368,Clientes!$B$4:$B$39,Clientes!$C$4:$C$39),Cadastros!$L$6:$L$12,Cadastros!$M$6:$M$12)," ")</f>
        <v xml:space="preserve"> </v>
      </c>
      <c r="W368" s="28"/>
      <c r="X368" s="28"/>
      <c r="Y368" s="255" t="str">
        <f>IF(W368="","",(_xlfn.XLOOKUP(W368,Cadastros!$D$6:$D$90,Cadastros!$E$6:$E$90))*(1-_xlfn.XLOOKUP(_xlfn.XLOOKUP($F368,Clientes!$B$4:$B$39,Clientes!$C$4:$C$39),Cadastros!$L$6:$L$12,Cadastros!$N$6:$N$12)))</f>
        <v/>
      </c>
      <c r="Z368" s="168" t="str">
        <f t="shared" si="69"/>
        <v/>
      </c>
      <c r="AA368" s="168" t="str">
        <f>IFERROR(Z368/_xlfn.XLOOKUP(_xlfn.XLOOKUP($F368,Clientes!$B$4:$B$39,Clientes!$C$4:$C$39),Cadastros!$L$6:$L$12,Cadastros!$M$6:$M$12)," ")</f>
        <v xml:space="preserve"> </v>
      </c>
      <c r="AB368" s="28"/>
      <c r="AC368" s="28"/>
      <c r="AD368" s="20" t="str">
        <f>IF(AB368="","",IF($F368="Bernardino Furlan",_xlfn.XLOOKUP(AB368,Cadastros!$G$6:$G$90,Cadastros!$H$6:$H$90)*(1-0.18),IF($F368="Mauro José Salanti",_xlfn.XLOOKUP(AB368,Cadastros!$G$6:$G$90,Cadastros!$H$6:$H$90)*(1-0.18),_xlfn.XLOOKUP(AB368,Cadastros!$G$6:$G$90,Cadastros!$H$6:$H$90))))</f>
        <v/>
      </c>
      <c r="AE368" s="168" t="str">
        <f t="shared" si="70"/>
        <v/>
      </c>
      <c r="AF368" s="168" t="str">
        <f t="shared" si="71"/>
        <v/>
      </c>
      <c r="AG368" s="28"/>
      <c r="AH368" s="28"/>
      <c r="AI368" s="20" t="str">
        <f>IF(AG368="","",IF($F368="Bernardino Furlan",_xlfn.XLOOKUP(AG368,Cadastros!$G$6:$G$90,Cadastros!$H$6:$H$90)*(1-0.18),IF($F368="Mauro José Salanti",_xlfn.XLOOKUP(AG368,Cadastros!$G$6:$G$90,Cadastros!$H$6:$H$90)*(1-0.18),_xlfn.XLOOKUP(AG368,Cadastros!$G$6:$G$90,Cadastros!$H$6:$H$90))))</f>
        <v/>
      </c>
      <c r="AJ368" s="168" t="str">
        <f t="shared" si="72"/>
        <v/>
      </c>
      <c r="AK368" s="168" t="str">
        <f t="shared" si="73"/>
        <v/>
      </c>
      <c r="AL368" s="28"/>
      <c r="AM368" s="28"/>
      <c r="AN368" s="20" t="str">
        <f>IF(AL368="","",IF($F368="Bernardino Furlan",_xlfn.XLOOKUP(AL368,Cadastros!$G$6:$G$90,Cadastros!$H$6:$H$90)*(1-0.18),IF($F368="Mauro José Salanti",_xlfn.XLOOKUP(AL368,Cadastros!$G$6:$G$90,Cadastros!$H$6:$H$90)*(1-0.18),_xlfn.XLOOKUP(AL368,Cadastros!$G$6:$G$90,Cadastros!$H$6:$H$90))))</f>
        <v/>
      </c>
      <c r="AO368" s="168" t="str">
        <f t="shared" si="74"/>
        <v/>
      </c>
      <c r="AP368" s="168" t="str">
        <f t="shared" si="75"/>
        <v/>
      </c>
      <c r="AQ368" s="28"/>
      <c r="AR368" s="28"/>
      <c r="AS368" s="20" t="str">
        <f>IF(AQ368="","",IF($F368="Bernardino Furlan",_xlfn.XLOOKUP(AQ368,Cadastros!$G$6:$G$90,Cadastros!$H$6:$H$90)*(1-0.18),IF($F368="Mauro José Salanti",_xlfn.XLOOKUP(AQ368,Cadastros!$G$6:$G$90,Cadastros!$H$6:$H$90)*(1-0.18),_xlfn.XLOOKUP(AQ368,Cadastros!$G$6:$G$90,Cadastros!$H$6:$H$90))))</f>
        <v/>
      </c>
      <c r="AT368" s="168" t="str">
        <f t="shared" si="76"/>
        <v/>
      </c>
      <c r="AU368" s="168" t="str">
        <f t="shared" si="77"/>
        <v/>
      </c>
      <c r="AV368" s="227"/>
      <c r="AW368" s="30"/>
      <c r="AX368" s="267"/>
      <c r="AY368" s="267"/>
      <c r="AZ368" s="29"/>
      <c r="BA368" s="30"/>
      <c r="BB368" s="23" t="str" cm="1">
        <f t="array" ref="BB368">_xlfn.IFS(AW368="SIM",SUM(K368,P368,U368,Z368,AE368,AJ368,AO368,AT368,AX368,AY368),F368&lt;&gt;"",SUM(K368,P368,U368,Z368,AE368,AJ368,,AO368,AT368),F368="","")</f>
        <v/>
      </c>
      <c r="BC368" s="211" t="str" cm="1">
        <f t="array" ref="BC368">_xlfn.IFS(E368="","",G368&lt;=E368,BB368*(1-0.03),G368&lt;(E368+8),BB368,AZ368="Boleto",BB368*(1+0.001)^DATEDIF(E368,G368,"D"),AZ368="Cheque",BB368,AZ368="Dinheiro","Alterar forma pgto")</f>
        <v/>
      </c>
      <c r="BD368" s="276" t="str" cm="1">
        <f t="array" ref="BD368">IF(F368=0," ",IF(BC368&lt;BB368,(_xlfn.IFS(AW368="SIM",SUM(L368,Q368,V368,AA368,AF368,AK368,AP368,AU368)+AX368/_xlfn.XLOOKUP(_xlfn.XLOOKUP($F368,Clientes!$B$4:$B$39,Clientes!$C$4:$C$39),Cadastros!$L$6:$L$12,Cadastros!$M$6:$M$12)+IF($F368="Bernardino Furlan",AY368/2751.92,IF($F368="Mauro José Salanti",AY368/2751.92,AY368/3356)),F368&lt;&gt;0,SUM(L368,Q368,V368,AA368,AF368,AK368,AP368,AU368)))*(1-0.03),_xlfn.IFS(AW368="SIM",SUM(L368,Q368,V368,AA368,AF368,AK368,AP368,AU368)+AX368/_xlfn.XLOOKUP(_xlfn.XLOOKUP($F368,Clientes!$B$4:$B$39,Clientes!$C$4:$C$39),Cadastros!$L$6:$L$12,Cadastros!$M$6:$M$12)+IF($F368="Bernardino Furlan",AY368/2751.92,IF($F368="Mauro José Salanti",AY368/2751.92,AY368/3356)),F368&lt;&gt;0,SUM(L368,Q368,V368,AA368,AF368,AK368,AP368,AU368))))</f>
        <v xml:space="preserve"> </v>
      </c>
      <c r="BE368" s="120"/>
      <c r="BF368" s="120"/>
      <c r="BG368" s="120"/>
    </row>
    <row r="369" spans="1:59" s="3" customFormat="1" x14ac:dyDescent="0.3">
      <c r="A369" s="15" t="str">
        <f t="shared" si="65"/>
        <v/>
      </c>
      <c r="B369" s="25"/>
      <c r="C369" s="26"/>
      <c r="D369" s="279"/>
      <c r="E369" s="27"/>
      <c r="F369" s="28"/>
      <c r="G369" s="27"/>
      <c r="H369" s="28"/>
      <c r="I369" s="28"/>
      <c r="J369" s="255" t="str">
        <f>IF(H369="","",(_xlfn.XLOOKUP(H369,Cadastros!$D$6:$D$90,Cadastros!$E$6:$E$90))*(1-_xlfn.XLOOKUP(_xlfn.XLOOKUP($F369,Clientes!$B$4:$B$39,Clientes!$C$4:$C$39),Cadastros!$L$6:$L$12,Cadastros!$N$6:$N$12)))</f>
        <v/>
      </c>
      <c r="K369" s="168" t="str">
        <f t="shared" si="66"/>
        <v/>
      </c>
      <c r="L369" s="168" t="str">
        <f>IFERROR(K369/_xlfn.XLOOKUP(_xlfn.XLOOKUP($F369,Clientes!$B$4:$B$39,Clientes!$C$4:$C$39),Cadastros!$L$6:$L$12,Cadastros!$M$6:$M$12)," ")</f>
        <v xml:space="preserve"> </v>
      </c>
      <c r="M369" s="28"/>
      <c r="N369" s="28"/>
      <c r="O369" s="255" t="str">
        <f>IF(M369="","",(_xlfn.XLOOKUP(M369,Cadastros!$D$6:$D$90,Cadastros!$E$6:$E$90))*(1-_xlfn.XLOOKUP(_xlfn.XLOOKUP($F369,Clientes!$B$4:$B$39,Clientes!$C$4:$C$39),Cadastros!$L$6:$L$12,Cadastros!$N$6:$N$12)))</f>
        <v/>
      </c>
      <c r="P369" s="168" t="str">
        <f t="shared" si="67"/>
        <v/>
      </c>
      <c r="Q369" s="168" t="str">
        <f>IFERROR(P369/_xlfn.XLOOKUP(_xlfn.XLOOKUP($F369,Clientes!$B$4:$B$39,Clientes!$C$4:$C$39),Cadastros!$L$6:$L$12,Cadastros!$M$6:$M$12)," ")</f>
        <v xml:space="preserve"> </v>
      </c>
      <c r="R369" s="28"/>
      <c r="S369" s="28"/>
      <c r="T369" s="255" t="str">
        <f>IF(R369="","",(_xlfn.XLOOKUP(R369,Cadastros!$D$6:$D$90,Cadastros!$E$6:$E$90))*(1-_xlfn.XLOOKUP(_xlfn.XLOOKUP($F369,Clientes!$B$4:$B$39,Clientes!$C$4:$C$39),Cadastros!$L$6:$L$12,Cadastros!$N$6:$N$12)))</f>
        <v/>
      </c>
      <c r="U369" s="168" t="str">
        <f t="shared" si="68"/>
        <v/>
      </c>
      <c r="V369" s="168" t="str">
        <f>IFERROR(U369/_xlfn.XLOOKUP(_xlfn.XLOOKUP($F369,Clientes!$B$4:$B$39,Clientes!$C$4:$C$39),Cadastros!$L$6:$L$12,Cadastros!$M$6:$M$12)," ")</f>
        <v xml:space="preserve"> </v>
      </c>
      <c r="W369" s="28"/>
      <c r="X369" s="28"/>
      <c r="Y369" s="255" t="str">
        <f>IF(W369="","",(_xlfn.XLOOKUP(W369,Cadastros!$D$6:$D$90,Cadastros!$E$6:$E$90))*(1-_xlfn.XLOOKUP(_xlfn.XLOOKUP($F369,Clientes!$B$4:$B$39,Clientes!$C$4:$C$39),Cadastros!$L$6:$L$12,Cadastros!$N$6:$N$12)))</f>
        <v/>
      </c>
      <c r="Z369" s="168" t="str">
        <f t="shared" si="69"/>
        <v/>
      </c>
      <c r="AA369" s="168" t="str">
        <f>IFERROR(Z369/_xlfn.XLOOKUP(_xlfn.XLOOKUP($F369,Clientes!$B$4:$B$39,Clientes!$C$4:$C$39),Cadastros!$L$6:$L$12,Cadastros!$M$6:$M$12)," ")</f>
        <v xml:space="preserve"> </v>
      </c>
      <c r="AB369" s="28"/>
      <c r="AC369" s="28"/>
      <c r="AD369" s="20" t="str">
        <f>IF(AB369="","",IF($F369="Bernardino Furlan",_xlfn.XLOOKUP(AB369,Cadastros!$G$6:$G$90,Cadastros!$H$6:$H$90)*(1-0.18),IF($F369="Mauro José Salanti",_xlfn.XLOOKUP(AB369,Cadastros!$G$6:$G$90,Cadastros!$H$6:$H$90)*(1-0.18),_xlfn.XLOOKUP(AB369,Cadastros!$G$6:$G$90,Cadastros!$H$6:$H$90))))</f>
        <v/>
      </c>
      <c r="AE369" s="168" t="str">
        <f t="shared" si="70"/>
        <v/>
      </c>
      <c r="AF369" s="168" t="str">
        <f t="shared" si="71"/>
        <v/>
      </c>
      <c r="AG369" s="28"/>
      <c r="AH369" s="28"/>
      <c r="AI369" s="20" t="str">
        <f>IF(AG369="","",IF($F369="Bernardino Furlan",_xlfn.XLOOKUP(AG369,Cadastros!$G$6:$G$90,Cadastros!$H$6:$H$90)*(1-0.18),IF($F369="Mauro José Salanti",_xlfn.XLOOKUP(AG369,Cadastros!$G$6:$G$90,Cadastros!$H$6:$H$90)*(1-0.18),_xlfn.XLOOKUP(AG369,Cadastros!$G$6:$G$90,Cadastros!$H$6:$H$90))))</f>
        <v/>
      </c>
      <c r="AJ369" s="168" t="str">
        <f t="shared" si="72"/>
        <v/>
      </c>
      <c r="AK369" s="168" t="str">
        <f t="shared" si="73"/>
        <v/>
      </c>
      <c r="AL369" s="28"/>
      <c r="AM369" s="28"/>
      <c r="AN369" s="20" t="str">
        <f>IF(AL369="","",IF($F369="Bernardino Furlan",_xlfn.XLOOKUP(AL369,Cadastros!$G$6:$G$90,Cadastros!$H$6:$H$90)*(1-0.18),IF($F369="Mauro José Salanti",_xlfn.XLOOKUP(AL369,Cadastros!$G$6:$G$90,Cadastros!$H$6:$H$90)*(1-0.18),_xlfn.XLOOKUP(AL369,Cadastros!$G$6:$G$90,Cadastros!$H$6:$H$90))))</f>
        <v/>
      </c>
      <c r="AO369" s="168" t="str">
        <f t="shared" si="74"/>
        <v/>
      </c>
      <c r="AP369" s="168" t="str">
        <f t="shared" si="75"/>
        <v/>
      </c>
      <c r="AQ369" s="28"/>
      <c r="AR369" s="28"/>
      <c r="AS369" s="20" t="str">
        <f>IF(AQ369="","",IF($F369="Bernardino Furlan",_xlfn.XLOOKUP(AQ369,Cadastros!$G$6:$G$90,Cadastros!$H$6:$H$90)*(1-0.18),IF($F369="Mauro José Salanti",_xlfn.XLOOKUP(AQ369,Cadastros!$G$6:$G$90,Cadastros!$H$6:$H$90)*(1-0.18),_xlfn.XLOOKUP(AQ369,Cadastros!$G$6:$G$90,Cadastros!$H$6:$H$90))))</f>
        <v/>
      </c>
      <c r="AT369" s="168" t="str">
        <f t="shared" si="76"/>
        <v/>
      </c>
      <c r="AU369" s="168" t="str">
        <f t="shared" si="77"/>
        <v/>
      </c>
      <c r="AV369" s="227"/>
      <c r="AW369" s="30"/>
      <c r="AX369" s="267"/>
      <c r="AY369" s="267"/>
      <c r="AZ369" s="29"/>
      <c r="BA369" s="30"/>
      <c r="BB369" s="23" t="str" cm="1">
        <f t="array" ref="BB369">_xlfn.IFS(AW369="SIM",SUM(K369,P369,U369,Z369,AE369,AJ369,AO369,AT369,AX369,AY369),F369&lt;&gt;"",SUM(K369,P369,U369,Z369,AE369,AJ369,,AO369,AT369),F369="","")</f>
        <v/>
      </c>
      <c r="BC369" s="211" t="str" cm="1">
        <f t="array" ref="BC369">_xlfn.IFS(E369="","",G369&lt;=E369,BB369*(1-0.03),G369&lt;(E369+8),BB369,AZ369="Boleto",BB369*(1+0.001)^DATEDIF(E369,G369,"D"),AZ369="Cheque",BB369,AZ369="Dinheiro","Alterar forma pgto")</f>
        <v/>
      </c>
      <c r="BD369" s="276" t="str" cm="1">
        <f t="array" ref="BD369">IF(F369=0," ",IF(BC369&lt;BB369,(_xlfn.IFS(AW369="SIM",SUM(L369,Q369,V369,AA369,AF369,AK369,AP369,AU369)+AX369/_xlfn.XLOOKUP(_xlfn.XLOOKUP($F369,Clientes!$B$4:$B$39,Clientes!$C$4:$C$39),Cadastros!$L$6:$L$12,Cadastros!$M$6:$M$12)+IF($F369="Bernardino Furlan",AY369/2751.92,IF($F369="Mauro José Salanti",AY369/2751.92,AY369/3356)),F369&lt;&gt;0,SUM(L369,Q369,V369,AA369,AF369,AK369,AP369,AU369)))*(1-0.03),_xlfn.IFS(AW369="SIM",SUM(L369,Q369,V369,AA369,AF369,AK369,AP369,AU369)+AX369/_xlfn.XLOOKUP(_xlfn.XLOOKUP($F369,Clientes!$B$4:$B$39,Clientes!$C$4:$C$39),Cadastros!$L$6:$L$12,Cadastros!$M$6:$M$12)+IF($F369="Bernardino Furlan",AY369/2751.92,IF($F369="Mauro José Salanti",AY369/2751.92,AY369/3356)),F369&lt;&gt;0,SUM(L369,Q369,V369,AA369,AF369,AK369,AP369,AU369))))</f>
        <v xml:space="preserve"> </v>
      </c>
      <c r="BE369" s="120"/>
      <c r="BF369" s="120"/>
      <c r="BG369" s="120"/>
    </row>
    <row r="370" spans="1:59" s="3" customFormat="1" x14ac:dyDescent="0.3">
      <c r="A370" s="15" t="str">
        <f t="shared" si="65"/>
        <v/>
      </c>
      <c r="B370" s="25"/>
      <c r="C370" s="26"/>
      <c r="D370" s="279"/>
      <c r="E370" s="27"/>
      <c r="F370" s="28"/>
      <c r="G370" s="27"/>
      <c r="H370" s="28"/>
      <c r="I370" s="28"/>
      <c r="J370" s="255" t="str">
        <f>IF(H370="","",(_xlfn.XLOOKUP(H370,Cadastros!$D$6:$D$90,Cadastros!$E$6:$E$90))*(1-_xlfn.XLOOKUP(_xlfn.XLOOKUP($F370,Clientes!$B$4:$B$39,Clientes!$C$4:$C$39),Cadastros!$L$6:$L$12,Cadastros!$N$6:$N$12)))</f>
        <v/>
      </c>
      <c r="K370" s="168" t="str">
        <f t="shared" si="66"/>
        <v/>
      </c>
      <c r="L370" s="168" t="str">
        <f>IFERROR(K370/_xlfn.XLOOKUP(_xlfn.XLOOKUP($F370,Clientes!$B$4:$B$39,Clientes!$C$4:$C$39),Cadastros!$L$6:$L$12,Cadastros!$M$6:$M$12)," ")</f>
        <v xml:space="preserve"> </v>
      </c>
      <c r="M370" s="28"/>
      <c r="N370" s="28"/>
      <c r="O370" s="255" t="str">
        <f>IF(M370="","",(_xlfn.XLOOKUP(M370,Cadastros!$D$6:$D$90,Cadastros!$E$6:$E$90))*(1-_xlfn.XLOOKUP(_xlfn.XLOOKUP($F370,Clientes!$B$4:$B$39,Clientes!$C$4:$C$39),Cadastros!$L$6:$L$12,Cadastros!$N$6:$N$12)))</f>
        <v/>
      </c>
      <c r="P370" s="168" t="str">
        <f t="shared" si="67"/>
        <v/>
      </c>
      <c r="Q370" s="168" t="str">
        <f>IFERROR(P370/_xlfn.XLOOKUP(_xlfn.XLOOKUP($F370,Clientes!$B$4:$B$39,Clientes!$C$4:$C$39),Cadastros!$L$6:$L$12,Cadastros!$M$6:$M$12)," ")</f>
        <v xml:space="preserve"> </v>
      </c>
      <c r="R370" s="28"/>
      <c r="S370" s="28"/>
      <c r="T370" s="255" t="str">
        <f>IF(R370="","",(_xlfn.XLOOKUP(R370,Cadastros!$D$6:$D$90,Cadastros!$E$6:$E$90))*(1-_xlfn.XLOOKUP(_xlfn.XLOOKUP($F370,Clientes!$B$4:$B$39,Clientes!$C$4:$C$39),Cadastros!$L$6:$L$12,Cadastros!$N$6:$N$12)))</f>
        <v/>
      </c>
      <c r="U370" s="168" t="str">
        <f t="shared" si="68"/>
        <v/>
      </c>
      <c r="V370" s="168" t="str">
        <f>IFERROR(U370/_xlfn.XLOOKUP(_xlfn.XLOOKUP($F370,Clientes!$B$4:$B$39,Clientes!$C$4:$C$39),Cadastros!$L$6:$L$12,Cadastros!$M$6:$M$12)," ")</f>
        <v xml:space="preserve"> </v>
      </c>
      <c r="W370" s="28"/>
      <c r="X370" s="28"/>
      <c r="Y370" s="255" t="str">
        <f>IF(W370="","",(_xlfn.XLOOKUP(W370,Cadastros!$D$6:$D$90,Cadastros!$E$6:$E$90))*(1-_xlfn.XLOOKUP(_xlfn.XLOOKUP($F370,Clientes!$B$4:$B$39,Clientes!$C$4:$C$39),Cadastros!$L$6:$L$12,Cadastros!$N$6:$N$12)))</f>
        <v/>
      </c>
      <c r="Z370" s="168" t="str">
        <f t="shared" si="69"/>
        <v/>
      </c>
      <c r="AA370" s="168" t="str">
        <f>IFERROR(Z370/_xlfn.XLOOKUP(_xlfn.XLOOKUP($F370,Clientes!$B$4:$B$39,Clientes!$C$4:$C$39),Cadastros!$L$6:$L$12,Cadastros!$M$6:$M$12)," ")</f>
        <v xml:space="preserve"> </v>
      </c>
      <c r="AB370" s="28"/>
      <c r="AC370" s="28"/>
      <c r="AD370" s="20" t="str">
        <f>IF(AB370="","",IF($F370="Bernardino Furlan",_xlfn.XLOOKUP(AB370,Cadastros!$G$6:$G$90,Cadastros!$H$6:$H$90)*(1-0.18),IF($F370="Mauro José Salanti",_xlfn.XLOOKUP(AB370,Cadastros!$G$6:$G$90,Cadastros!$H$6:$H$90)*(1-0.18),_xlfn.XLOOKUP(AB370,Cadastros!$G$6:$G$90,Cadastros!$H$6:$H$90))))</f>
        <v/>
      </c>
      <c r="AE370" s="168" t="str">
        <f t="shared" si="70"/>
        <v/>
      </c>
      <c r="AF370" s="168" t="str">
        <f t="shared" si="71"/>
        <v/>
      </c>
      <c r="AG370" s="28"/>
      <c r="AH370" s="28"/>
      <c r="AI370" s="20" t="str">
        <f>IF(AG370="","",IF($F370="Bernardino Furlan",_xlfn.XLOOKUP(AG370,Cadastros!$G$6:$G$90,Cadastros!$H$6:$H$90)*(1-0.18),IF($F370="Mauro José Salanti",_xlfn.XLOOKUP(AG370,Cadastros!$G$6:$G$90,Cadastros!$H$6:$H$90)*(1-0.18),_xlfn.XLOOKUP(AG370,Cadastros!$G$6:$G$90,Cadastros!$H$6:$H$90))))</f>
        <v/>
      </c>
      <c r="AJ370" s="168" t="str">
        <f t="shared" si="72"/>
        <v/>
      </c>
      <c r="AK370" s="168" t="str">
        <f t="shared" si="73"/>
        <v/>
      </c>
      <c r="AL370" s="28"/>
      <c r="AM370" s="28"/>
      <c r="AN370" s="20" t="str">
        <f>IF(AL370="","",IF($F370="Bernardino Furlan",_xlfn.XLOOKUP(AL370,Cadastros!$G$6:$G$90,Cadastros!$H$6:$H$90)*(1-0.18),IF($F370="Mauro José Salanti",_xlfn.XLOOKUP(AL370,Cadastros!$G$6:$G$90,Cadastros!$H$6:$H$90)*(1-0.18),_xlfn.XLOOKUP(AL370,Cadastros!$G$6:$G$90,Cadastros!$H$6:$H$90))))</f>
        <v/>
      </c>
      <c r="AO370" s="168" t="str">
        <f t="shared" si="74"/>
        <v/>
      </c>
      <c r="AP370" s="168" t="str">
        <f t="shared" si="75"/>
        <v/>
      </c>
      <c r="AQ370" s="28"/>
      <c r="AR370" s="28"/>
      <c r="AS370" s="20" t="str">
        <f>IF(AQ370="","",IF($F370="Bernardino Furlan",_xlfn.XLOOKUP(AQ370,Cadastros!$G$6:$G$90,Cadastros!$H$6:$H$90)*(1-0.18),IF($F370="Mauro José Salanti",_xlfn.XLOOKUP(AQ370,Cadastros!$G$6:$G$90,Cadastros!$H$6:$H$90)*(1-0.18),_xlfn.XLOOKUP(AQ370,Cadastros!$G$6:$G$90,Cadastros!$H$6:$H$90))))</f>
        <v/>
      </c>
      <c r="AT370" s="168" t="str">
        <f t="shared" si="76"/>
        <v/>
      </c>
      <c r="AU370" s="168" t="str">
        <f t="shared" si="77"/>
        <v/>
      </c>
      <c r="AV370" s="227"/>
      <c r="AW370" s="30"/>
      <c r="AX370" s="267"/>
      <c r="AY370" s="267"/>
      <c r="AZ370" s="29"/>
      <c r="BA370" s="30"/>
      <c r="BB370" s="23" t="str" cm="1">
        <f t="array" ref="BB370">_xlfn.IFS(AW370="SIM",SUM(K370,P370,U370,Z370,AE370,AJ370,AO370,AT370,AX370,AY370),F370&lt;&gt;"",SUM(K370,P370,U370,Z370,AE370,AJ370,,AO370,AT370),F370="","")</f>
        <v/>
      </c>
      <c r="BC370" s="211" t="str" cm="1">
        <f t="array" ref="BC370">_xlfn.IFS(E370="","",G370&lt;=E370,BB370*(1-0.03),G370&lt;(E370+8),BB370,AZ370="Boleto",BB370*(1+0.001)^DATEDIF(E370,G370,"D"),AZ370="Cheque",BB370,AZ370="Dinheiro","Alterar forma pgto")</f>
        <v/>
      </c>
      <c r="BD370" s="276" t="str" cm="1">
        <f t="array" ref="BD370">IF(F370=0," ",IF(BC370&lt;BB370,(_xlfn.IFS(AW370="SIM",SUM(L370,Q370,V370,AA370,AF370,AK370,AP370,AU370)+AX370/_xlfn.XLOOKUP(_xlfn.XLOOKUP($F370,Clientes!$B$4:$B$39,Clientes!$C$4:$C$39),Cadastros!$L$6:$L$12,Cadastros!$M$6:$M$12)+IF($F370="Bernardino Furlan",AY370/2751.92,IF($F370="Mauro José Salanti",AY370/2751.92,AY370/3356)),F370&lt;&gt;0,SUM(L370,Q370,V370,AA370,AF370,AK370,AP370,AU370)))*(1-0.03),_xlfn.IFS(AW370="SIM",SUM(L370,Q370,V370,AA370,AF370,AK370,AP370,AU370)+AX370/_xlfn.XLOOKUP(_xlfn.XLOOKUP($F370,Clientes!$B$4:$B$39,Clientes!$C$4:$C$39),Cadastros!$L$6:$L$12,Cadastros!$M$6:$M$12)+IF($F370="Bernardino Furlan",AY370/2751.92,IF($F370="Mauro José Salanti",AY370/2751.92,AY370/3356)),F370&lt;&gt;0,SUM(L370,Q370,V370,AA370,AF370,AK370,AP370,AU370))))</f>
        <v xml:space="preserve"> </v>
      </c>
      <c r="BE370" s="120"/>
      <c r="BF370" s="120"/>
      <c r="BG370" s="120"/>
    </row>
    <row r="371" spans="1:59" s="3" customFormat="1" x14ac:dyDescent="0.3">
      <c r="A371" s="15" t="str">
        <f t="shared" si="65"/>
        <v/>
      </c>
      <c r="B371" s="25"/>
      <c r="C371" s="26"/>
      <c r="D371" s="279"/>
      <c r="E371" s="27"/>
      <c r="F371" s="28"/>
      <c r="G371" s="27"/>
      <c r="H371" s="28"/>
      <c r="I371" s="28"/>
      <c r="J371" s="255" t="str">
        <f>IF(H371="","",(_xlfn.XLOOKUP(H371,Cadastros!$D$6:$D$90,Cadastros!$E$6:$E$90))*(1-_xlfn.XLOOKUP(_xlfn.XLOOKUP($F371,Clientes!$B$4:$B$39,Clientes!$C$4:$C$39),Cadastros!$L$6:$L$12,Cadastros!$N$6:$N$12)))</f>
        <v/>
      </c>
      <c r="K371" s="168" t="str">
        <f t="shared" si="66"/>
        <v/>
      </c>
      <c r="L371" s="168" t="str">
        <f>IFERROR(K371/_xlfn.XLOOKUP(_xlfn.XLOOKUP($F371,Clientes!$B$4:$B$39,Clientes!$C$4:$C$39),Cadastros!$L$6:$L$12,Cadastros!$M$6:$M$12)," ")</f>
        <v xml:space="preserve"> </v>
      </c>
      <c r="M371" s="28"/>
      <c r="N371" s="28"/>
      <c r="O371" s="255" t="str">
        <f>IF(M371="","",(_xlfn.XLOOKUP(M371,Cadastros!$D$6:$D$90,Cadastros!$E$6:$E$90))*(1-_xlfn.XLOOKUP(_xlfn.XLOOKUP($F371,Clientes!$B$4:$B$39,Clientes!$C$4:$C$39),Cadastros!$L$6:$L$12,Cadastros!$N$6:$N$12)))</f>
        <v/>
      </c>
      <c r="P371" s="168" t="str">
        <f t="shared" si="67"/>
        <v/>
      </c>
      <c r="Q371" s="168" t="str">
        <f>IFERROR(P371/_xlfn.XLOOKUP(_xlfn.XLOOKUP($F371,Clientes!$B$4:$B$39,Clientes!$C$4:$C$39),Cadastros!$L$6:$L$12,Cadastros!$M$6:$M$12)," ")</f>
        <v xml:space="preserve"> </v>
      </c>
      <c r="R371" s="28"/>
      <c r="S371" s="28"/>
      <c r="T371" s="255" t="str">
        <f>IF(R371="","",(_xlfn.XLOOKUP(R371,Cadastros!$D$6:$D$90,Cadastros!$E$6:$E$90))*(1-_xlfn.XLOOKUP(_xlfn.XLOOKUP($F371,Clientes!$B$4:$B$39,Clientes!$C$4:$C$39),Cadastros!$L$6:$L$12,Cadastros!$N$6:$N$12)))</f>
        <v/>
      </c>
      <c r="U371" s="168" t="str">
        <f t="shared" si="68"/>
        <v/>
      </c>
      <c r="V371" s="168" t="str">
        <f>IFERROR(U371/_xlfn.XLOOKUP(_xlfn.XLOOKUP($F371,Clientes!$B$4:$B$39,Clientes!$C$4:$C$39),Cadastros!$L$6:$L$12,Cadastros!$M$6:$M$12)," ")</f>
        <v xml:space="preserve"> </v>
      </c>
      <c r="W371" s="28"/>
      <c r="X371" s="28"/>
      <c r="Y371" s="255" t="str">
        <f>IF(W371="","",(_xlfn.XLOOKUP(W371,Cadastros!$D$6:$D$90,Cadastros!$E$6:$E$90))*(1-_xlfn.XLOOKUP(_xlfn.XLOOKUP($F371,Clientes!$B$4:$B$39,Clientes!$C$4:$C$39),Cadastros!$L$6:$L$12,Cadastros!$N$6:$N$12)))</f>
        <v/>
      </c>
      <c r="Z371" s="168" t="str">
        <f t="shared" si="69"/>
        <v/>
      </c>
      <c r="AA371" s="168" t="str">
        <f>IFERROR(Z371/_xlfn.XLOOKUP(_xlfn.XLOOKUP($F371,Clientes!$B$4:$B$39,Clientes!$C$4:$C$39),Cadastros!$L$6:$L$12,Cadastros!$M$6:$M$12)," ")</f>
        <v xml:space="preserve"> </v>
      </c>
      <c r="AB371" s="28"/>
      <c r="AC371" s="28"/>
      <c r="AD371" s="20" t="str">
        <f>IF(AB371="","",IF($F371="Bernardino Furlan",_xlfn.XLOOKUP(AB371,Cadastros!$G$6:$G$90,Cadastros!$H$6:$H$90)*(1-0.18),IF($F371="Mauro José Salanti",_xlfn.XLOOKUP(AB371,Cadastros!$G$6:$G$90,Cadastros!$H$6:$H$90)*(1-0.18),_xlfn.XLOOKUP(AB371,Cadastros!$G$6:$G$90,Cadastros!$H$6:$H$90))))</f>
        <v/>
      </c>
      <c r="AE371" s="168" t="str">
        <f t="shared" si="70"/>
        <v/>
      </c>
      <c r="AF371" s="168" t="str">
        <f t="shared" si="71"/>
        <v/>
      </c>
      <c r="AG371" s="28"/>
      <c r="AH371" s="28"/>
      <c r="AI371" s="20" t="str">
        <f>IF(AG371="","",IF($F371="Bernardino Furlan",_xlfn.XLOOKUP(AG371,Cadastros!$G$6:$G$90,Cadastros!$H$6:$H$90)*(1-0.18),IF($F371="Mauro José Salanti",_xlfn.XLOOKUP(AG371,Cadastros!$G$6:$G$90,Cadastros!$H$6:$H$90)*(1-0.18),_xlfn.XLOOKUP(AG371,Cadastros!$G$6:$G$90,Cadastros!$H$6:$H$90))))</f>
        <v/>
      </c>
      <c r="AJ371" s="168" t="str">
        <f t="shared" si="72"/>
        <v/>
      </c>
      <c r="AK371" s="168" t="str">
        <f t="shared" si="73"/>
        <v/>
      </c>
      <c r="AL371" s="28"/>
      <c r="AM371" s="28"/>
      <c r="AN371" s="20" t="str">
        <f>IF(AL371="","",IF($F371="Bernardino Furlan",_xlfn.XLOOKUP(AL371,Cadastros!$G$6:$G$90,Cadastros!$H$6:$H$90)*(1-0.18),IF($F371="Mauro José Salanti",_xlfn.XLOOKUP(AL371,Cadastros!$G$6:$G$90,Cadastros!$H$6:$H$90)*(1-0.18),_xlfn.XLOOKUP(AL371,Cadastros!$G$6:$G$90,Cadastros!$H$6:$H$90))))</f>
        <v/>
      </c>
      <c r="AO371" s="168" t="str">
        <f t="shared" si="74"/>
        <v/>
      </c>
      <c r="AP371" s="168" t="str">
        <f t="shared" si="75"/>
        <v/>
      </c>
      <c r="AQ371" s="28"/>
      <c r="AR371" s="28"/>
      <c r="AS371" s="20" t="str">
        <f>IF(AQ371="","",IF($F371="Bernardino Furlan",_xlfn.XLOOKUP(AQ371,Cadastros!$G$6:$G$90,Cadastros!$H$6:$H$90)*(1-0.18),IF($F371="Mauro José Salanti",_xlfn.XLOOKUP(AQ371,Cadastros!$G$6:$G$90,Cadastros!$H$6:$H$90)*(1-0.18),_xlfn.XLOOKUP(AQ371,Cadastros!$G$6:$G$90,Cadastros!$H$6:$H$90))))</f>
        <v/>
      </c>
      <c r="AT371" s="168" t="str">
        <f t="shared" si="76"/>
        <v/>
      </c>
      <c r="AU371" s="168" t="str">
        <f t="shared" si="77"/>
        <v/>
      </c>
      <c r="AV371" s="227"/>
      <c r="AW371" s="30"/>
      <c r="AX371" s="267"/>
      <c r="AY371" s="267"/>
      <c r="AZ371" s="29"/>
      <c r="BA371" s="30"/>
      <c r="BB371" s="23" t="str" cm="1">
        <f t="array" ref="BB371">_xlfn.IFS(AW371="SIM",SUM(K371,P371,U371,Z371,AE371,AJ371,AO371,AT371,AX371,AY371),F371&lt;&gt;"",SUM(K371,P371,U371,Z371,AE371,AJ371,,AO371,AT371),F371="","")</f>
        <v/>
      </c>
      <c r="BC371" s="211" t="str" cm="1">
        <f t="array" ref="BC371">_xlfn.IFS(E371="","",G371&lt;=E371,BB371*(1-0.03),G371&lt;(E371+8),BB371,AZ371="Boleto",BB371*(1+0.001)^DATEDIF(E371,G371,"D"),AZ371="Cheque",BB371,AZ371="Dinheiro","Alterar forma pgto")</f>
        <v/>
      </c>
      <c r="BD371" s="276" t="str" cm="1">
        <f t="array" ref="BD371">IF(F371=0," ",IF(BC371&lt;BB371,(_xlfn.IFS(AW371="SIM",SUM(L371,Q371,V371,AA371,AF371,AK371,AP371,AU371)+AX371/_xlfn.XLOOKUP(_xlfn.XLOOKUP($F371,Clientes!$B$4:$B$39,Clientes!$C$4:$C$39),Cadastros!$L$6:$L$12,Cadastros!$M$6:$M$12)+IF($F371="Bernardino Furlan",AY371/2751.92,IF($F371="Mauro José Salanti",AY371/2751.92,AY371/3356)),F371&lt;&gt;0,SUM(L371,Q371,V371,AA371,AF371,AK371,AP371,AU371)))*(1-0.03),_xlfn.IFS(AW371="SIM",SUM(L371,Q371,V371,AA371,AF371,AK371,AP371,AU371)+AX371/_xlfn.XLOOKUP(_xlfn.XLOOKUP($F371,Clientes!$B$4:$B$39,Clientes!$C$4:$C$39),Cadastros!$L$6:$L$12,Cadastros!$M$6:$M$12)+IF($F371="Bernardino Furlan",AY371/2751.92,IF($F371="Mauro José Salanti",AY371/2751.92,AY371/3356)),F371&lt;&gt;0,SUM(L371,Q371,V371,AA371,AF371,AK371,AP371,AU371))))</f>
        <v xml:space="preserve"> </v>
      </c>
      <c r="BE371" s="120"/>
      <c r="BF371" s="120"/>
      <c r="BG371" s="120"/>
    </row>
    <row r="372" spans="1:59" s="3" customFormat="1" x14ac:dyDescent="0.3">
      <c r="A372" s="15" t="str">
        <f t="shared" si="65"/>
        <v/>
      </c>
      <c r="B372" s="25"/>
      <c r="C372" s="26"/>
      <c r="D372" s="279"/>
      <c r="E372" s="27"/>
      <c r="F372" s="28"/>
      <c r="G372" s="27"/>
      <c r="H372" s="28"/>
      <c r="I372" s="28"/>
      <c r="J372" s="255" t="str">
        <f>IF(H372="","",(_xlfn.XLOOKUP(H372,Cadastros!$D$6:$D$90,Cadastros!$E$6:$E$90))*(1-_xlfn.XLOOKUP(_xlfn.XLOOKUP($F372,Clientes!$B$4:$B$39,Clientes!$C$4:$C$39),Cadastros!$L$6:$L$12,Cadastros!$N$6:$N$12)))</f>
        <v/>
      </c>
      <c r="K372" s="168" t="str">
        <f t="shared" si="66"/>
        <v/>
      </c>
      <c r="L372" s="168" t="str">
        <f>IFERROR(K372/_xlfn.XLOOKUP(_xlfn.XLOOKUP($F372,Clientes!$B$4:$B$39,Clientes!$C$4:$C$39),Cadastros!$L$6:$L$12,Cadastros!$M$6:$M$12)," ")</f>
        <v xml:space="preserve"> </v>
      </c>
      <c r="M372" s="28"/>
      <c r="N372" s="28"/>
      <c r="O372" s="255" t="str">
        <f>IF(M372="","",(_xlfn.XLOOKUP(M372,Cadastros!$D$6:$D$90,Cadastros!$E$6:$E$90))*(1-_xlfn.XLOOKUP(_xlfn.XLOOKUP($F372,Clientes!$B$4:$B$39,Clientes!$C$4:$C$39),Cadastros!$L$6:$L$12,Cadastros!$N$6:$N$12)))</f>
        <v/>
      </c>
      <c r="P372" s="168" t="str">
        <f t="shared" si="67"/>
        <v/>
      </c>
      <c r="Q372" s="168" t="str">
        <f>IFERROR(P372/_xlfn.XLOOKUP(_xlfn.XLOOKUP($F372,Clientes!$B$4:$B$39,Clientes!$C$4:$C$39),Cadastros!$L$6:$L$12,Cadastros!$M$6:$M$12)," ")</f>
        <v xml:space="preserve"> </v>
      </c>
      <c r="R372" s="28"/>
      <c r="S372" s="28"/>
      <c r="T372" s="255" t="str">
        <f>IF(R372="","",(_xlfn.XLOOKUP(R372,Cadastros!$D$6:$D$90,Cadastros!$E$6:$E$90))*(1-_xlfn.XLOOKUP(_xlfn.XLOOKUP($F372,Clientes!$B$4:$B$39,Clientes!$C$4:$C$39),Cadastros!$L$6:$L$12,Cadastros!$N$6:$N$12)))</f>
        <v/>
      </c>
      <c r="U372" s="168" t="str">
        <f t="shared" si="68"/>
        <v/>
      </c>
      <c r="V372" s="168" t="str">
        <f>IFERROR(U372/_xlfn.XLOOKUP(_xlfn.XLOOKUP($F372,Clientes!$B$4:$B$39,Clientes!$C$4:$C$39),Cadastros!$L$6:$L$12,Cadastros!$M$6:$M$12)," ")</f>
        <v xml:space="preserve"> </v>
      </c>
      <c r="W372" s="28"/>
      <c r="X372" s="28"/>
      <c r="Y372" s="255" t="str">
        <f>IF(W372="","",(_xlfn.XLOOKUP(W372,Cadastros!$D$6:$D$90,Cadastros!$E$6:$E$90))*(1-_xlfn.XLOOKUP(_xlfn.XLOOKUP($F372,Clientes!$B$4:$B$39,Clientes!$C$4:$C$39),Cadastros!$L$6:$L$12,Cadastros!$N$6:$N$12)))</f>
        <v/>
      </c>
      <c r="Z372" s="168" t="str">
        <f t="shared" si="69"/>
        <v/>
      </c>
      <c r="AA372" s="168" t="str">
        <f>IFERROR(Z372/_xlfn.XLOOKUP(_xlfn.XLOOKUP($F372,Clientes!$B$4:$B$39,Clientes!$C$4:$C$39),Cadastros!$L$6:$L$12,Cadastros!$M$6:$M$12)," ")</f>
        <v xml:space="preserve"> </v>
      </c>
      <c r="AB372" s="28"/>
      <c r="AC372" s="28"/>
      <c r="AD372" s="20" t="str">
        <f>IF(AB372="","",IF($F372="Bernardino Furlan",_xlfn.XLOOKUP(AB372,Cadastros!$G$6:$G$90,Cadastros!$H$6:$H$90)*(1-0.18),IF($F372="Mauro José Salanti",_xlfn.XLOOKUP(AB372,Cadastros!$G$6:$G$90,Cadastros!$H$6:$H$90)*(1-0.18),_xlfn.XLOOKUP(AB372,Cadastros!$G$6:$G$90,Cadastros!$H$6:$H$90))))</f>
        <v/>
      </c>
      <c r="AE372" s="168" t="str">
        <f t="shared" si="70"/>
        <v/>
      </c>
      <c r="AF372" s="168" t="str">
        <f t="shared" si="71"/>
        <v/>
      </c>
      <c r="AG372" s="28"/>
      <c r="AH372" s="28"/>
      <c r="AI372" s="20" t="str">
        <f>IF(AG372="","",IF($F372="Bernardino Furlan",_xlfn.XLOOKUP(AG372,Cadastros!$G$6:$G$90,Cadastros!$H$6:$H$90)*(1-0.18),IF($F372="Mauro José Salanti",_xlfn.XLOOKUP(AG372,Cadastros!$G$6:$G$90,Cadastros!$H$6:$H$90)*(1-0.18),_xlfn.XLOOKUP(AG372,Cadastros!$G$6:$G$90,Cadastros!$H$6:$H$90))))</f>
        <v/>
      </c>
      <c r="AJ372" s="168" t="str">
        <f t="shared" si="72"/>
        <v/>
      </c>
      <c r="AK372" s="168" t="str">
        <f t="shared" si="73"/>
        <v/>
      </c>
      <c r="AL372" s="28"/>
      <c r="AM372" s="28"/>
      <c r="AN372" s="20" t="str">
        <f>IF(AL372="","",IF($F372="Bernardino Furlan",_xlfn.XLOOKUP(AL372,Cadastros!$G$6:$G$90,Cadastros!$H$6:$H$90)*(1-0.18),IF($F372="Mauro José Salanti",_xlfn.XLOOKUP(AL372,Cadastros!$G$6:$G$90,Cadastros!$H$6:$H$90)*(1-0.18),_xlfn.XLOOKUP(AL372,Cadastros!$G$6:$G$90,Cadastros!$H$6:$H$90))))</f>
        <v/>
      </c>
      <c r="AO372" s="168" t="str">
        <f t="shared" si="74"/>
        <v/>
      </c>
      <c r="AP372" s="168" t="str">
        <f t="shared" si="75"/>
        <v/>
      </c>
      <c r="AQ372" s="28"/>
      <c r="AR372" s="28"/>
      <c r="AS372" s="20" t="str">
        <f>IF(AQ372="","",IF($F372="Bernardino Furlan",_xlfn.XLOOKUP(AQ372,Cadastros!$G$6:$G$90,Cadastros!$H$6:$H$90)*(1-0.18),IF($F372="Mauro José Salanti",_xlfn.XLOOKUP(AQ372,Cadastros!$G$6:$G$90,Cadastros!$H$6:$H$90)*(1-0.18),_xlfn.XLOOKUP(AQ372,Cadastros!$G$6:$G$90,Cadastros!$H$6:$H$90))))</f>
        <v/>
      </c>
      <c r="AT372" s="168" t="str">
        <f t="shared" si="76"/>
        <v/>
      </c>
      <c r="AU372" s="168" t="str">
        <f t="shared" si="77"/>
        <v/>
      </c>
      <c r="AV372" s="227"/>
      <c r="AW372" s="30"/>
      <c r="AX372" s="267"/>
      <c r="AY372" s="267"/>
      <c r="AZ372" s="29"/>
      <c r="BA372" s="30"/>
      <c r="BB372" s="23" t="str" cm="1">
        <f t="array" ref="BB372">_xlfn.IFS(AW372="SIM",SUM(K372,P372,U372,Z372,AE372,AJ372,AO372,AT372,AX372,AY372),F372&lt;&gt;"",SUM(K372,P372,U372,Z372,AE372,AJ372,,AO372,AT372),F372="","")</f>
        <v/>
      </c>
      <c r="BC372" s="211" t="str" cm="1">
        <f t="array" ref="BC372">_xlfn.IFS(E372="","",G372&lt;=E372,BB372*(1-0.03),G372&lt;(E372+8),BB372,AZ372="Boleto",BB372*(1+0.001)^DATEDIF(E372,G372,"D"),AZ372="Cheque",BB372,AZ372="Dinheiro","Alterar forma pgto")</f>
        <v/>
      </c>
      <c r="BD372" s="276" t="str" cm="1">
        <f t="array" ref="BD372">IF(F372=0," ",IF(BC372&lt;BB372,(_xlfn.IFS(AW372="SIM",SUM(L372,Q372,V372,AA372,AF372,AK372,AP372,AU372)+AX372/_xlfn.XLOOKUP(_xlfn.XLOOKUP($F372,Clientes!$B$4:$B$39,Clientes!$C$4:$C$39),Cadastros!$L$6:$L$12,Cadastros!$M$6:$M$12)+IF($F372="Bernardino Furlan",AY372/2751.92,IF($F372="Mauro José Salanti",AY372/2751.92,AY372/3356)),F372&lt;&gt;0,SUM(L372,Q372,V372,AA372,AF372,AK372,AP372,AU372)))*(1-0.03),_xlfn.IFS(AW372="SIM",SUM(L372,Q372,V372,AA372,AF372,AK372,AP372,AU372)+AX372/_xlfn.XLOOKUP(_xlfn.XLOOKUP($F372,Clientes!$B$4:$B$39,Clientes!$C$4:$C$39),Cadastros!$L$6:$L$12,Cadastros!$M$6:$M$12)+IF($F372="Bernardino Furlan",AY372/2751.92,IF($F372="Mauro José Salanti",AY372/2751.92,AY372/3356)),F372&lt;&gt;0,SUM(L372,Q372,V372,AA372,AF372,AK372,AP372,AU372))))</f>
        <v xml:space="preserve"> </v>
      </c>
      <c r="BE372" s="120"/>
      <c r="BF372" s="120"/>
      <c r="BG372" s="120"/>
    </row>
    <row r="373" spans="1:59" s="3" customFormat="1" x14ac:dyDescent="0.3">
      <c r="A373" s="15" t="str">
        <f t="shared" si="65"/>
        <v/>
      </c>
      <c r="B373" s="25"/>
      <c r="C373" s="26"/>
      <c r="D373" s="279"/>
      <c r="E373" s="27"/>
      <c r="F373" s="28"/>
      <c r="G373" s="27"/>
      <c r="H373" s="28"/>
      <c r="I373" s="28"/>
      <c r="J373" s="255" t="str">
        <f>IF(H373="","",(_xlfn.XLOOKUP(H373,Cadastros!$D$6:$D$90,Cadastros!$E$6:$E$90))*(1-_xlfn.XLOOKUP(_xlfn.XLOOKUP($F373,Clientes!$B$4:$B$39,Clientes!$C$4:$C$39),Cadastros!$L$6:$L$12,Cadastros!$N$6:$N$12)))</f>
        <v/>
      </c>
      <c r="K373" s="168" t="str">
        <f t="shared" si="66"/>
        <v/>
      </c>
      <c r="L373" s="168" t="str">
        <f>IFERROR(K373/_xlfn.XLOOKUP(_xlfn.XLOOKUP($F373,Clientes!$B$4:$B$39,Clientes!$C$4:$C$39),Cadastros!$L$6:$L$12,Cadastros!$M$6:$M$12)," ")</f>
        <v xml:space="preserve"> </v>
      </c>
      <c r="M373" s="28"/>
      <c r="N373" s="28"/>
      <c r="O373" s="255" t="str">
        <f>IF(M373="","",(_xlfn.XLOOKUP(M373,Cadastros!$D$6:$D$90,Cadastros!$E$6:$E$90))*(1-_xlfn.XLOOKUP(_xlfn.XLOOKUP($F373,Clientes!$B$4:$B$39,Clientes!$C$4:$C$39),Cadastros!$L$6:$L$12,Cadastros!$N$6:$N$12)))</f>
        <v/>
      </c>
      <c r="P373" s="168" t="str">
        <f t="shared" si="67"/>
        <v/>
      </c>
      <c r="Q373" s="168" t="str">
        <f>IFERROR(P373/_xlfn.XLOOKUP(_xlfn.XLOOKUP($F373,Clientes!$B$4:$B$39,Clientes!$C$4:$C$39),Cadastros!$L$6:$L$12,Cadastros!$M$6:$M$12)," ")</f>
        <v xml:space="preserve"> </v>
      </c>
      <c r="R373" s="28"/>
      <c r="S373" s="28"/>
      <c r="T373" s="255" t="str">
        <f>IF(R373="","",(_xlfn.XLOOKUP(R373,Cadastros!$D$6:$D$90,Cadastros!$E$6:$E$90))*(1-_xlfn.XLOOKUP(_xlfn.XLOOKUP($F373,Clientes!$B$4:$B$39,Clientes!$C$4:$C$39),Cadastros!$L$6:$L$12,Cadastros!$N$6:$N$12)))</f>
        <v/>
      </c>
      <c r="U373" s="168" t="str">
        <f t="shared" si="68"/>
        <v/>
      </c>
      <c r="V373" s="168" t="str">
        <f>IFERROR(U373/_xlfn.XLOOKUP(_xlfn.XLOOKUP($F373,Clientes!$B$4:$B$39,Clientes!$C$4:$C$39),Cadastros!$L$6:$L$12,Cadastros!$M$6:$M$12)," ")</f>
        <v xml:space="preserve"> </v>
      </c>
      <c r="W373" s="28"/>
      <c r="X373" s="28"/>
      <c r="Y373" s="255" t="str">
        <f>IF(W373="","",(_xlfn.XLOOKUP(W373,Cadastros!$D$6:$D$90,Cadastros!$E$6:$E$90))*(1-_xlfn.XLOOKUP(_xlfn.XLOOKUP($F373,Clientes!$B$4:$B$39,Clientes!$C$4:$C$39),Cadastros!$L$6:$L$12,Cadastros!$N$6:$N$12)))</f>
        <v/>
      </c>
      <c r="Z373" s="168" t="str">
        <f t="shared" si="69"/>
        <v/>
      </c>
      <c r="AA373" s="168" t="str">
        <f>IFERROR(Z373/_xlfn.XLOOKUP(_xlfn.XLOOKUP($F373,Clientes!$B$4:$B$39,Clientes!$C$4:$C$39),Cadastros!$L$6:$L$12,Cadastros!$M$6:$M$12)," ")</f>
        <v xml:space="preserve"> </v>
      </c>
      <c r="AB373" s="28"/>
      <c r="AC373" s="28"/>
      <c r="AD373" s="20" t="str">
        <f>IF(AB373="","",IF($F373="Bernardino Furlan",_xlfn.XLOOKUP(AB373,Cadastros!$G$6:$G$90,Cadastros!$H$6:$H$90)*(1-0.18),IF($F373="Mauro José Salanti",_xlfn.XLOOKUP(AB373,Cadastros!$G$6:$G$90,Cadastros!$H$6:$H$90)*(1-0.18),_xlfn.XLOOKUP(AB373,Cadastros!$G$6:$G$90,Cadastros!$H$6:$H$90))))</f>
        <v/>
      </c>
      <c r="AE373" s="168" t="str">
        <f t="shared" si="70"/>
        <v/>
      </c>
      <c r="AF373" s="168" t="str">
        <f t="shared" si="71"/>
        <v/>
      </c>
      <c r="AG373" s="28"/>
      <c r="AH373" s="28"/>
      <c r="AI373" s="20" t="str">
        <f>IF(AG373="","",IF($F373="Bernardino Furlan",_xlfn.XLOOKUP(AG373,Cadastros!$G$6:$G$90,Cadastros!$H$6:$H$90)*(1-0.18),IF($F373="Mauro José Salanti",_xlfn.XLOOKUP(AG373,Cadastros!$G$6:$G$90,Cadastros!$H$6:$H$90)*(1-0.18),_xlfn.XLOOKUP(AG373,Cadastros!$G$6:$G$90,Cadastros!$H$6:$H$90))))</f>
        <v/>
      </c>
      <c r="AJ373" s="168" t="str">
        <f t="shared" si="72"/>
        <v/>
      </c>
      <c r="AK373" s="168" t="str">
        <f t="shared" si="73"/>
        <v/>
      </c>
      <c r="AL373" s="28"/>
      <c r="AM373" s="28"/>
      <c r="AN373" s="20" t="str">
        <f>IF(AL373="","",IF($F373="Bernardino Furlan",_xlfn.XLOOKUP(AL373,Cadastros!$G$6:$G$90,Cadastros!$H$6:$H$90)*(1-0.18),IF($F373="Mauro José Salanti",_xlfn.XLOOKUP(AL373,Cadastros!$G$6:$G$90,Cadastros!$H$6:$H$90)*(1-0.18),_xlfn.XLOOKUP(AL373,Cadastros!$G$6:$G$90,Cadastros!$H$6:$H$90))))</f>
        <v/>
      </c>
      <c r="AO373" s="168" t="str">
        <f t="shared" si="74"/>
        <v/>
      </c>
      <c r="AP373" s="168" t="str">
        <f t="shared" si="75"/>
        <v/>
      </c>
      <c r="AQ373" s="28"/>
      <c r="AR373" s="28"/>
      <c r="AS373" s="20" t="str">
        <f>IF(AQ373="","",IF($F373="Bernardino Furlan",_xlfn.XLOOKUP(AQ373,Cadastros!$G$6:$G$90,Cadastros!$H$6:$H$90)*(1-0.18),IF($F373="Mauro José Salanti",_xlfn.XLOOKUP(AQ373,Cadastros!$G$6:$G$90,Cadastros!$H$6:$H$90)*(1-0.18),_xlfn.XLOOKUP(AQ373,Cadastros!$G$6:$G$90,Cadastros!$H$6:$H$90))))</f>
        <v/>
      </c>
      <c r="AT373" s="168" t="str">
        <f t="shared" si="76"/>
        <v/>
      </c>
      <c r="AU373" s="168" t="str">
        <f t="shared" si="77"/>
        <v/>
      </c>
      <c r="AV373" s="227"/>
      <c r="AW373" s="30"/>
      <c r="AX373" s="267"/>
      <c r="AY373" s="267"/>
      <c r="AZ373" s="29"/>
      <c r="BA373" s="30"/>
      <c r="BB373" s="23" t="str" cm="1">
        <f t="array" ref="BB373">_xlfn.IFS(AW373="SIM",SUM(K373,P373,U373,Z373,AE373,AJ373,AO373,AT373,AX373,AY373),F373&lt;&gt;"",SUM(K373,P373,U373,Z373,AE373,AJ373,,AO373,AT373),F373="","")</f>
        <v/>
      </c>
      <c r="BC373" s="211" t="str" cm="1">
        <f t="array" ref="BC373">_xlfn.IFS(E373="","",G373&lt;=E373,BB373*(1-0.03),G373&lt;(E373+8),BB373,AZ373="Boleto",BB373*(1+0.001)^DATEDIF(E373,G373,"D"),AZ373="Cheque",BB373,AZ373="Dinheiro","Alterar forma pgto")</f>
        <v/>
      </c>
      <c r="BD373" s="276" t="str" cm="1">
        <f t="array" ref="BD373">IF(F373=0," ",IF(BC373&lt;BB373,(_xlfn.IFS(AW373="SIM",SUM(L373,Q373,V373,AA373,AF373,AK373,AP373,AU373)+AX373/_xlfn.XLOOKUP(_xlfn.XLOOKUP($F373,Clientes!$B$4:$B$39,Clientes!$C$4:$C$39),Cadastros!$L$6:$L$12,Cadastros!$M$6:$M$12)+IF($F373="Bernardino Furlan",AY373/2751.92,IF($F373="Mauro José Salanti",AY373/2751.92,AY373/3356)),F373&lt;&gt;0,SUM(L373,Q373,V373,AA373,AF373,AK373,AP373,AU373)))*(1-0.03),_xlfn.IFS(AW373="SIM",SUM(L373,Q373,V373,AA373,AF373,AK373,AP373,AU373)+AX373/_xlfn.XLOOKUP(_xlfn.XLOOKUP($F373,Clientes!$B$4:$B$39,Clientes!$C$4:$C$39),Cadastros!$L$6:$L$12,Cadastros!$M$6:$M$12)+IF($F373="Bernardino Furlan",AY373/2751.92,IF($F373="Mauro José Salanti",AY373/2751.92,AY373/3356)),F373&lt;&gt;0,SUM(L373,Q373,V373,AA373,AF373,AK373,AP373,AU373))))</f>
        <v xml:space="preserve"> </v>
      </c>
      <c r="BE373" s="120"/>
      <c r="BF373" s="120"/>
      <c r="BG373" s="120"/>
    </row>
    <row r="374" spans="1:59" s="3" customFormat="1" x14ac:dyDescent="0.3">
      <c r="A374" s="15" t="str">
        <f t="shared" si="65"/>
        <v/>
      </c>
      <c r="B374" s="25"/>
      <c r="C374" s="26"/>
      <c r="D374" s="279"/>
      <c r="E374" s="27"/>
      <c r="F374" s="28"/>
      <c r="G374" s="27"/>
      <c r="H374" s="28"/>
      <c r="I374" s="28"/>
      <c r="J374" s="255" t="str">
        <f>IF(H374="","",(_xlfn.XLOOKUP(H374,Cadastros!$D$6:$D$90,Cadastros!$E$6:$E$90))*(1-_xlfn.XLOOKUP(_xlfn.XLOOKUP($F374,Clientes!$B$4:$B$39,Clientes!$C$4:$C$39),Cadastros!$L$6:$L$12,Cadastros!$N$6:$N$12)))</f>
        <v/>
      </c>
      <c r="K374" s="168" t="str">
        <f t="shared" si="66"/>
        <v/>
      </c>
      <c r="L374" s="168" t="str">
        <f>IFERROR(K374/_xlfn.XLOOKUP(_xlfn.XLOOKUP($F374,Clientes!$B$4:$B$39,Clientes!$C$4:$C$39),Cadastros!$L$6:$L$12,Cadastros!$M$6:$M$12)," ")</f>
        <v xml:space="preserve"> </v>
      </c>
      <c r="M374" s="28"/>
      <c r="N374" s="28"/>
      <c r="O374" s="255" t="str">
        <f>IF(M374="","",(_xlfn.XLOOKUP(M374,Cadastros!$D$6:$D$90,Cadastros!$E$6:$E$90))*(1-_xlfn.XLOOKUP(_xlfn.XLOOKUP($F374,Clientes!$B$4:$B$39,Clientes!$C$4:$C$39),Cadastros!$L$6:$L$12,Cadastros!$N$6:$N$12)))</f>
        <v/>
      </c>
      <c r="P374" s="168" t="str">
        <f t="shared" si="67"/>
        <v/>
      </c>
      <c r="Q374" s="168" t="str">
        <f>IFERROR(P374/_xlfn.XLOOKUP(_xlfn.XLOOKUP($F374,Clientes!$B$4:$B$39,Clientes!$C$4:$C$39),Cadastros!$L$6:$L$12,Cadastros!$M$6:$M$12)," ")</f>
        <v xml:space="preserve"> </v>
      </c>
      <c r="R374" s="28"/>
      <c r="S374" s="28"/>
      <c r="T374" s="255" t="str">
        <f>IF(R374="","",(_xlfn.XLOOKUP(R374,Cadastros!$D$6:$D$90,Cadastros!$E$6:$E$90))*(1-_xlfn.XLOOKUP(_xlfn.XLOOKUP($F374,Clientes!$B$4:$B$39,Clientes!$C$4:$C$39),Cadastros!$L$6:$L$12,Cadastros!$N$6:$N$12)))</f>
        <v/>
      </c>
      <c r="U374" s="168" t="str">
        <f t="shared" si="68"/>
        <v/>
      </c>
      <c r="V374" s="168" t="str">
        <f>IFERROR(U374/_xlfn.XLOOKUP(_xlfn.XLOOKUP($F374,Clientes!$B$4:$B$39,Clientes!$C$4:$C$39),Cadastros!$L$6:$L$12,Cadastros!$M$6:$M$12)," ")</f>
        <v xml:space="preserve"> </v>
      </c>
      <c r="W374" s="28"/>
      <c r="X374" s="28"/>
      <c r="Y374" s="255" t="str">
        <f>IF(W374="","",(_xlfn.XLOOKUP(W374,Cadastros!$D$6:$D$90,Cadastros!$E$6:$E$90))*(1-_xlfn.XLOOKUP(_xlfn.XLOOKUP($F374,Clientes!$B$4:$B$39,Clientes!$C$4:$C$39),Cadastros!$L$6:$L$12,Cadastros!$N$6:$N$12)))</f>
        <v/>
      </c>
      <c r="Z374" s="168" t="str">
        <f t="shared" si="69"/>
        <v/>
      </c>
      <c r="AA374" s="168" t="str">
        <f>IFERROR(Z374/_xlfn.XLOOKUP(_xlfn.XLOOKUP($F374,Clientes!$B$4:$B$39,Clientes!$C$4:$C$39),Cadastros!$L$6:$L$12,Cadastros!$M$6:$M$12)," ")</f>
        <v xml:space="preserve"> </v>
      </c>
      <c r="AB374" s="28"/>
      <c r="AC374" s="28"/>
      <c r="AD374" s="20" t="str">
        <f>IF(AB374="","",IF($F374="Bernardino Furlan",_xlfn.XLOOKUP(AB374,Cadastros!$G$6:$G$90,Cadastros!$H$6:$H$90)*(1-0.18),IF($F374="Mauro José Salanti",_xlfn.XLOOKUP(AB374,Cadastros!$G$6:$G$90,Cadastros!$H$6:$H$90)*(1-0.18),_xlfn.XLOOKUP(AB374,Cadastros!$G$6:$G$90,Cadastros!$H$6:$H$90))))</f>
        <v/>
      </c>
      <c r="AE374" s="168" t="str">
        <f t="shared" si="70"/>
        <v/>
      </c>
      <c r="AF374" s="168" t="str">
        <f t="shared" si="71"/>
        <v/>
      </c>
      <c r="AG374" s="28"/>
      <c r="AH374" s="28"/>
      <c r="AI374" s="20" t="str">
        <f>IF(AG374="","",IF($F374="Bernardino Furlan",_xlfn.XLOOKUP(AG374,Cadastros!$G$6:$G$90,Cadastros!$H$6:$H$90)*(1-0.18),IF($F374="Mauro José Salanti",_xlfn.XLOOKUP(AG374,Cadastros!$G$6:$G$90,Cadastros!$H$6:$H$90)*(1-0.18),_xlfn.XLOOKUP(AG374,Cadastros!$G$6:$G$90,Cadastros!$H$6:$H$90))))</f>
        <v/>
      </c>
      <c r="AJ374" s="168" t="str">
        <f t="shared" si="72"/>
        <v/>
      </c>
      <c r="AK374" s="168" t="str">
        <f t="shared" si="73"/>
        <v/>
      </c>
      <c r="AL374" s="28"/>
      <c r="AM374" s="28"/>
      <c r="AN374" s="20" t="str">
        <f>IF(AL374="","",IF($F374="Bernardino Furlan",_xlfn.XLOOKUP(AL374,Cadastros!$G$6:$G$90,Cadastros!$H$6:$H$90)*(1-0.18),IF($F374="Mauro José Salanti",_xlfn.XLOOKUP(AL374,Cadastros!$G$6:$G$90,Cadastros!$H$6:$H$90)*(1-0.18),_xlfn.XLOOKUP(AL374,Cadastros!$G$6:$G$90,Cadastros!$H$6:$H$90))))</f>
        <v/>
      </c>
      <c r="AO374" s="168" t="str">
        <f t="shared" si="74"/>
        <v/>
      </c>
      <c r="AP374" s="168" t="str">
        <f t="shared" si="75"/>
        <v/>
      </c>
      <c r="AQ374" s="28"/>
      <c r="AR374" s="28"/>
      <c r="AS374" s="20" t="str">
        <f>IF(AQ374="","",IF($F374="Bernardino Furlan",_xlfn.XLOOKUP(AQ374,Cadastros!$G$6:$G$90,Cadastros!$H$6:$H$90)*(1-0.18),IF($F374="Mauro José Salanti",_xlfn.XLOOKUP(AQ374,Cadastros!$G$6:$G$90,Cadastros!$H$6:$H$90)*(1-0.18),_xlfn.XLOOKUP(AQ374,Cadastros!$G$6:$G$90,Cadastros!$H$6:$H$90))))</f>
        <v/>
      </c>
      <c r="AT374" s="168" t="str">
        <f t="shared" si="76"/>
        <v/>
      </c>
      <c r="AU374" s="168" t="str">
        <f t="shared" si="77"/>
        <v/>
      </c>
      <c r="AV374" s="227"/>
      <c r="AW374" s="30"/>
      <c r="AX374" s="267"/>
      <c r="AY374" s="267"/>
      <c r="AZ374" s="29"/>
      <c r="BA374" s="30"/>
      <c r="BB374" s="23" t="str" cm="1">
        <f t="array" ref="BB374">_xlfn.IFS(AW374="SIM",SUM(K374,P374,U374,Z374,AE374,AJ374,AO374,AT374,AX374,AY374),F374&lt;&gt;"",SUM(K374,P374,U374,Z374,AE374,AJ374,,AO374,AT374),F374="","")</f>
        <v/>
      </c>
      <c r="BC374" s="211" t="str" cm="1">
        <f t="array" ref="BC374">_xlfn.IFS(E374="","",G374&lt;=E374,BB374*(1-0.03),G374&lt;(E374+8),BB374,AZ374="Boleto",BB374*(1+0.001)^DATEDIF(E374,G374,"D"),AZ374="Cheque",BB374,AZ374="Dinheiro","Alterar forma pgto")</f>
        <v/>
      </c>
      <c r="BD374" s="276" t="str" cm="1">
        <f t="array" ref="BD374">IF(F374=0," ",IF(BC374&lt;BB374,(_xlfn.IFS(AW374="SIM",SUM(L374,Q374,V374,AA374,AF374,AK374,AP374,AU374)+AX374/_xlfn.XLOOKUP(_xlfn.XLOOKUP($F374,Clientes!$B$4:$B$39,Clientes!$C$4:$C$39),Cadastros!$L$6:$L$12,Cadastros!$M$6:$M$12)+IF($F374="Bernardino Furlan",AY374/2751.92,IF($F374="Mauro José Salanti",AY374/2751.92,AY374/3356)),F374&lt;&gt;0,SUM(L374,Q374,V374,AA374,AF374,AK374,AP374,AU374)))*(1-0.03),_xlfn.IFS(AW374="SIM",SUM(L374,Q374,V374,AA374,AF374,AK374,AP374,AU374)+AX374/_xlfn.XLOOKUP(_xlfn.XLOOKUP($F374,Clientes!$B$4:$B$39,Clientes!$C$4:$C$39),Cadastros!$L$6:$L$12,Cadastros!$M$6:$M$12)+IF($F374="Bernardino Furlan",AY374/2751.92,IF($F374="Mauro José Salanti",AY374/2751.92,AY374/3356)),F374&lt;&gt;0,SUM(L374,Q374,V374,AA374,AF374,AK374,AP374,AU374))))</f>
        <v xml:space="preserve"> </v>
      </c>
      <c r="BE374" s="120"/>
      <c r="BF374" s="120"/>
      <c r="BG374" s="120"/>
    </row>
    <row r="375" spans="1:59" s="3" customFormat="1" x14ac:dyDescent="0.3">
      <c r="A375" s="15" t="str">
        <f t="shared" si="65"/>
        <v/>
      </c>
      <c r="B375" s="25"/>
      <c r="C375" s="26"/>
      <c r="D375" s="279"/>
      <c r="E375" s="27"/>
      <c r="F375" s="28"/>
      <c r="G375" s="27"/>
      <c r="H375" s="28"/>
      <c r="I375" s="28"/>
      <c r="J375" s="255" t="str">
        <f>IF(H375="","",(_xlfn.XLOOKUP(H375,Cadastros!$D$6:$D$90,Cadastros!$E$6:$E$90))*(1-_xlfn.XLOOKUP(_xlfn.XLOOKUP($F375,Clientes!$B$4:$B$39,Clientes!$C$4:$C$39),Cadastros!$L$6:$L$12,Cadastros!$N$6:$N$12)))</f>
        <v/>
      </c>
      <c r="K375" s="168" t="str">
        <f t="shared" si="66"/>
        <v/>
      </c>
      <c r="L375" s="168" t="str">
        <f>IFERROR(K375/_xlfn.XLOOKUP(_xlfn.XLOOKUP($F375,Clientes!$B$4:$B$39,Clientes!$C$4:$C$39),Cadastros!$L$6:$L$12,Cadastros!$M$6:$M$12)," ")</f>
        <v xml:space="preserve"> </v>
      </c>
      <c r="M375" s="28"/>
      <c r="N375" s="28"/>
      <c r="O375" s="255" t="str">
        <f>IF(M375="","",(_xlfn.XLOOKUP(M375,Cadastros!$D$6:$D$90,Cadastros!$E$6:$E$90))*(1-_xlfn.XLOOKUP(_xlfn.XLOOKUP($F375,Clientes!$B$4:$B$39,Clientes!$C$4:$C$39),Cadastros!$L$6:$L$12,Cadastros!$N$6:$N$12)))</f>
        <v/>
      </c>
      <c r="P375" s="168" t="str">
        <f t="shared" si="67"/>
        <v/>
      </c>
      <c r="Q375" s="168" t="str">
        <f>IFERROR(P375/_xlfn.XLOOKUP(_xlfn.XLOOKUP($F375,Clientes!$B$4:$B$39,Clientes!$C$4:$C$39),Cadastros!$L$6:$L$12,Cadastros!$M$6:$M$12)," ")</f>
        <v xml:space="preserve"> </v>
      </c>
      <c r="R375" s="28"/>
      <c r="S375" s="28"/>
      <c r="T375" s="255" t="str">
        <f>IF(R375="","",(_xlfn.XLOOKUP(R375,Cadastros!$D$6:$D$90,Cadastros!$E$6:$E$90))*(1-_xlfn.XLOOKUP(_xlfn.XLOOKUP($F375,Clientes!$B$4:$B$39,Clientes!$C$4:$C$39),Cadastros!$L$6:$L$12,Cadastros!$N$6:$N$12)))</f>
        <v/>
      </c>
      <c r="U375" s="168" t="str">
        <f t="shared" si="68"/>
        <v/>
      </c>
      <c r="V375" s="168" t="str">
        <f>IFERROR(U375/_xlfn.XLOOKUP(_xlfn.XLOOKUP($F375,Clientes!$B$4:$B$39,Clientes!$C$4:$C$39),Cadastros!$L$6:$L$12,Cadastros!$M$6:$M$12)," ")</f>
        <v xml:space="preserve"> </v>
      </c>
      <c r="W375" s="28"/>
      <c r="X375" s="28"/>
      <c r="Y375" s="255" t="str">
        <f>IF(W375="","",(_xlfn.XLOOKUP(W375,Cadastros!$D$6:$D$90,Cadastros!$E$6:$E$90))*(1-_xlfn.XLOOKUP(_xlfn.XLOOKUP($F375,Clientes!$B$4:$B$39,Clientes!$C$4:$C$39),Cadastros!$L$6:$L$12,Cadastros!$N$6:$N$12)))</f>
        <v/>
      </c>
      <c r="Z375" s="168" t="str">
        <f t="shared" si="69"/>
        <v/>
      </c>
      <c r="AA375" s="168" t="str">
        <f>IFERROR(Z375/_xlfn.XLOOKUP(_xlfn.XLOOKUP($F375,Clientes!$B$4:$B$39,Clientes!$C$4:$C$39),Cadastros!$L$6:$L$12,Cadastros!$M$6:$M$12)," ")</f>
        <v xml:space="preserve"> </v>
      </c>
      <c r="AB375" s="28"/>
      <c r="AC375" s="28"/>
      <c r="AD375" s="20" t="str">
        <f>IF(AB375="","",IF($F375="Bernardino Furlan",_xlfn.XLOOKUP(AB375,Cadastros!$G$6:$G$90,Cadastros!$H$6:$H$90)*(1-0.18),IF($F375="Mauro José Salanti",_xlfn.XLOOKUP(AB375,Cadastros!$G$6:$G$90,Cadastros!$H$6:$H$90)*(1-0.18),_xlfn.XLOOKUP(AB375,Cadastros!$G$6:$G$90,Cadastros!$H$6:$H$90))))</f>
        <v/>
      </c>
      <c r="AE375" s="168" t="str">
        <f t="shared" si="70"/>
        <v/>
      </c>
      <c r="AF375" s="168" t="str">
        <f t="shared" si="71"/>
        <v/>
      </c>
      <c r="AG375" s="28"/>
      <c r="AH375" s="28"/>
      <c r="AI375" s="20" t="str">
        <f>IF(AG375="","",IF($F375="Bernardino Furlan",_xlfn.XLOOKUP(AG375,Cadastros!$G$6:$G$90,Cadastros!$H$6:$H$90)*(1-0.18),IF($F375="Mauro José Salanti",_xlfn.XLOOKUP(AG375,Cadastros!$G$6:$G$90,Cadastros!$H$6:$H$90)*(1-0.18),_xlfn.XLOOKUP(AG375,Cadastros!$G$6:$G$90,Cadastros!$H$6:$H$90))))</f>
        <v/>
      </c>
      <c r="AJ375" s="168" t="str">
        <f t="shared" si="72"/>
        <v/>
      </c>
      <c r="AK375" s="168" t="str">
        <f t="shared" si="73"/>
        <v/>
      </c>
      <c r="AL375" s="28"/>
      <c r="AM375" s="28"/>
      <c r="AN375" s="20" t="str">
        <f>IF(AL375="","",IF($F375="Bernardino Furlan",_xlfn.XLOOKUP(AL375,Cadastros!$G$6:$G$90,Cadastros!$H$6:$H$90)*(1-0.18),IF($F375="Mauro José Salanti",_xlfn.XLOOKUP(AL375,Cadastros!$G$6:$G$90,Cadastros!$H$6:$H$90)*(1-0.18),_xlfn.XLOOKUP(AL375,Cadastros!$G$6:$G$90,Cadastros!$H$6:$H$90))))</f>
        <v/>
      </c>
      <c r="AO375" s="168" t="str">
        <f t="shared" si="74"/>
        <v/>
      </c>
      <c r="AP375" s="168" t="str">
        <f t="shared" si="75"/>
        <v/>
      </c>
      <c r="AQ375" s="28"/>
      <c r="AR375" s="28"/>
      <c r="AS375" s="20" t="str">
        <f>IF(AQ375="","",IF($F375="Bernardino Furlan",_xlfn.XLOOKUP(AQ375,Cadastros!$G$6:$G$90,Cadastros!$H$6:$H$90)*(1-0.18),IF($F375="Mauro José Salanti",_xlfn.XLOOKUP(AQ375,Cadastros!$G$6:$G$90,Cadastros!$H$6:$H$90)*(1-0.18),_xlfn.XLOOKUP(AQ375,Cadastros!$G$6:$G$90,Cadastros!$H$6:$H$90))))</f>
        <v/>
      </c>
      <c r="AT375" s="168" t="str">
        <f t="shared" si="76"/>
        <v/>
      </c>
      <c r="AU375" s="168" t="str">
        <f t="shared" si="77"/>
        <v/>
      </c>
      <c r="AV375" s="227"/>
      <c r="AW375" s="30"/>
      <c r="AX375" s="267"/>
      <c r="AY375" s="267"/>
      <c r="AZ375" s="29"/>
      <c r="BA375" s="30"/>
      <c r="BB375" s="23" t="str" cm="1">
        <f t="array" ref="BB375">_xlfn.IFS(AW375="SIM",SUM(K375,P375,U375,Z375,AE375,AJ375,AO375,AT375,AX375,AY375),F375&lt;&gt;"",SUM(K375,P375,U375,Z375,AE375,AJ375,,AO375,AT375),F375="","")</f>
        <v/>
      </c>
      <c r="BC375" s="211" t="str" cm="1">
        <f t="array" ref="BC375">_xlfn.IFS(E375="","",G375&lt;=E375,BB375*(1-0.03),G375&lt;(E375+8),BB375,AZ375="Boleto",BB375*(1+0.001)^DATEDIF(E375,G375,"D"),AZ375="Cheque",BB375,AZ375="Dinheiro","Alterar forma pgto")</f>
        <v/>
      </c>
      <c r="BD375" s="276" t="str" cm="1">
        <f t="array" ref="BD375">IF(F375=0," ",IF(BC375&lt;BB375,(_xlfn.IFS(AW375="SIM",SUM(L375,Q375,V375,AA375,AF375,AK375,AP375,AU375)+AX375/_xlfn.XLOOKUP(_xlfn.XLOOKUP($F375,Clientes!$B$4:$B$39,Clientes!$C$4:$C$39),Cadastros!$L$6:$L$12,Cadastros!$M$6:$M$12)+IF($F375="Bernardino Furlan",AY375/2751.92,IF($F375="Mauro José Salanti",AY375/2751.92,AY375/3356)),F375&lt;&gt;0,SUM(L375,Q375,V375,AA375,AF375,AK375,AP375,AU375)))*(1-0.03),_xlfn.IFS(AW375="SIM",SUM(L375,Q375,V375,AA375,AF375,AK375,AP375,AU375)+AX375/_xlfn.XLOOKUP(_xlfn.XLOOKUP($F375,Clientes!$B$4:$B$39,Clientes!$C$4:$C$39),Cadastros!$L$6:$L$12,Cadastros!$M$6:$M$12)+IF($F375="Bernardino Furlan",AY375/2751.92,IF($F375="Mauro José Salanti",AY375/2751.92,AY375/3356)),F375&lt;&gt;0,SUM(L375,Q375,V375,AA375,AF375,AK375,AP375,AU375))))</f>
        <v xml:space="preserve"> </v>
      </c>
      <c r="BE375" s="120"/>
      <c r="BF375" s="120"/>
      <c r="BG375" s="120"/>
    </row>
    <row r="376" spans="1:59" s="3" customFormat="1" x14ac:dyDescent="0.3">
      <c r="A376" s="15" t="str">
        <f t="shared" si="65"/>
        <v/>
      </c>
      <c r="B376" s="25"/>
      <c r="C376" s="26"/>
      <c r="D376" s="279"/>
      <c r="E376" s="27"/>
      <c r="F376" s="28"/>
      <c r="G376" s="27"/>
      <c r="H376" s="28"/>
      <c r="I376" s="28"/>
      <c r="J376" s="255" t="str">
        <f>IF(H376="","",(_xlfn.XLOOKUP(H376,Cadastros!$D$6:$D$90,Cadastros!$E$6:$E$90))*(1-_xlfn.XLOOKUP(_xlfn.XLOOKUP($F376,Clientes!$B$4:$B$39,Clientes!$C$4:$C$39),Cadastros!$L$6:$L$12,Cadastros!$N$6:$N$12)))</f>
        <v/>
      </c>
      <c r="K376" s="168" t="str">
        <f t="shared" si="66"/>
        <v/>
      </c>
      <c r="L376" s="168" t="str">
        <f>IFERROR(K376/_xlfn.XLOOKUP(_xlfn.XLOOKUP($F376,Clientes!$B$4:$B$39,Clientes!$C$4:$C$39),Cadastros!$L$6:$L$12,Cadastros!$M$6:$M$12)," ")</f>
        <v xml:space="preserve"> </v>
      </c>
      <c r="M376" s="28"/>
      <c r="N376" s="28"/>
      <c r="O376" s="255" t="str">
        <f>IF(M376="","",(_xlfn.XLOOKUP(M376,Cadastros!$D$6:$D$90,Cadastros!$E$6:$E$90))*(1-_xlfn.XLOOKUP(_xlfn.XLOOKUP($F376,Clientes!$B$4:$B$39,Clientes!$C$4:$C$39),Cadastros!$L$6:$L$12,Cadastros!$N$6:$N$12)))</f>
        <v/>
      </c>
      <c r="P376" s="168" t="str">
        <f t="shared" si="67"/>
        <v/>
      </c>
      <c r="Q376" s="168" t="str">
        <f>IFERROR(P376/_xlfn.XLOOKUP(_xlfn.XLOOKUP($F376,Clientes!$B$4:$B$39,Clientes!$C$4:$C$39),Cadastros!$L$6:$L$12,Cadastros!$M$6:$M$12)," ")</f>
        <v xml:space="preserve"> </v>
      </c>
      <c r="R376" s="28"/>
      <c r="S376" s="28"/>
      <c r="T376" s="255" t="str">
        <f>IF(R376="","",(_xlfn.XLOOKUP(R376,Cadastros!$D$6:$D$90,Cadastros!$E$6:$E$90))*(1-_xlfn.XLOOKUP(_xlfn.XLOOKUP($F376,Clientes!$B$4:$B$39,Clientes!$C$4:$C$39),Cadastros!$L$6:$L$12,Cadastros!$N$6:$N$12)))</f>
        <v/>
      </c>
      <c r="U376" s="168" t="str">
        <f t="shared" si="68"/>
        <v/>
      </c>
      <c r="V376" s="168" t="str">
        <f>IFERROR(U376/_xlfn.XLOOKUP(_xlfn.XLOOKUP($F376,Clientes!$B$4:$B$39,Clientes!$C$4:$C$39),Cadastros!$L$6:$L$12,Cadastros!$M$6:$M$12)," ")</f>
        <v xml:space="preserve"> </v>
      </c>
      <c r="W376" s="28"/>
      <c r="X376" s="28"/>
      <c r="Y376" s="255" t="str">
        <f>IF(W376="","",(_xlfn.XLOOKUP(W376,Cadastros!$D$6:$D$90,Cadastros!$E$6:$E$90))*(1-_xlfn.XLOOKUP(_xlfn.XLOOKUP($F376,Clientes!$B$4:$B$39,Clientes!$C$4:$C$39),Cadastros!$L$6:$L$12,Cadastros!$N$6:$N$12)))</f>
        <v/>
      </c>
      <c r="Z376" s="168" t="str">
        <f t="shared" si="69"/>
        <v/>
      </c>
      <c r="AA376" s="168" t="str">
        <f>IFERROR(Z376/_xlfn.XLOOKUP(_xlfn.XLOOKUP($F376,Clientes!$B$4:$B$39,Clientes!$C$4:$C$39),Cadastros!$L$6:$L$12,Cadastros!$M$6:$M$12)," ")</f>
        <v xml:space="preserve"> </v>
      </c>
      <c r="AB376" s="28"/>
      <c r="AC376" s="28"/>
      <c r="AD376" s="20" t="str">
        <f>IF(AB376="","",IF($F376="Bernardino Furlan",_xlfn.XLOOKUP(AB376,Cadastros!$G$6:$G$90,Cadastros!$H$6:$H$90)*(1-0.18),IF($F376="Mauro José Salanti",_xlfn.XLOOKUP(AB376,Cadastros!$G$6:$G$90,Cadastros!$H$6:$H$90)*(1-0.18),_xlfn.XLOOKUP(AB376,Cadastros!$G$6:$G$90,Cadastros!$H$6:$H$90))))</f>
        <v/>
      </c>
      <c r="AE376" s="168" t="str">
        <f t="shared" si="70"/>
        <v/>
      </c>
      <c r="AF376" s="168" t="str">
        <f t="shared" si="71"/>
        <v/>
      </c>
      <c r="AG376" s="28"/>
      <c r="AH376" s="28"/>
      <c r="AI376" s="20" t="str">
        <f>IF(AG376="","",IF($F376="Bernardino Furlan",_xlfn.XLOOKUP(AG376,Cadastros!$G$6:$G$90,Cadastros!$H$6:$H$90)*(1-0.18),IF($F376="Mauro José Salanti",_xlfn.XLOOKUP(AG376,Cadastros!$G$6:$G$90,Cadastros!$H$6:$H$90)*(1-0.18),_xlfn.XLOOKUP(AG376,Cadastros!$G$6:$G$90,Cadastros!$H$6:$H$90))))</f>
        <v/>
      </c>
      <c r="AJ376" s="168" t="str">
        <f t="shared" si="72"/>
        <v/>
      </c>
      <c r="AK376" s="168" t="str">
        <f t="shared" si="73"/>
        <v/>
      </c>
      <c r="AL376" s="28"/>
      <c r="AM376" s="28"/>
      <c r="AN376" s="20" t="str">
        <f>IF(AL376="","",IF($F376="Bernardino Furlan",_xlfn.XLOOKUP(AL376,Cadastros!$G$6:$G$90,Cadastros!$H$6:$H$90)*(1-0.18),IF($F376="Mauro José Salanti",_xlfn.XLOOKUP(AL376,Cadastros!$G$6:$G$90,Cadastros!$H$6:$H$90)*(1-0.18),_xlfn.XLOOKUP(AL376,Cadastros!$G$6:$G$90,Cadastros!$H$6:$H$90))))</f>
        <v/>
      </c>
      <c r="AO376" s="168" t="str">
        <f t="shared" si="74"/>
        <v/>
      </c>
      <c r="AP376" s="168" t="str">
        <f t="shared" si="75"/>
        <v/>
      </c>
      <c r="AQ376" s="28"/>
      <c r="AR376" s="28"/>
      <c r="AS376" s="20" t="str">
        <f>IF(AQ376="","",IF($F376="Bernardino Furlan",_xlfn.XLOOKUP(AQ376,Cadastros!$G$6:$G$90,Cadastros!$H$6:$H$90)*(1-0.18),IF($F376="Mauro José Salanti",_xlfn.XLOOKUP(AQ376,Cadastros!$G$6:$G$90,Cadastros!$H$6:$H$90)*(1-0.18),_xlfn.XLOOKUP(AQ376,Cadastros!$G$6:$G$90,Cadastros!$H$6:$H$90))))</f>
        <v/>
      </c>
      <c r="AT376" s="168" t="str">
        <f t="shared" si="76"/>
        <v/>
      </c>
      <c r="AU376" s="168" t="str">
        <f t="shared" si="77"/>
        <v/>
      </c>
      <c r="AV376" s="227"/>
      <c r="AW376" s="30"/>
      <c r="AX376" s="267"/>
      <c r="AY376" s="267"/>
      <c r="AZ376" s="29"/>
      <c r="BA376" s="30"/>
      <c r="BB376" s="23" t="str" cm="1">
        <f t="array" ref="BB376">_xlfn.IFS(AW376="SIM",SUM(K376,P376,U376,Z376,AE376,AJ376,AO376,AT376,AX376,AY376),F376&lt;&gt;"",SUM(K376,P376,U376,Z376,AE376,AJ376,,AO376,AT376),F376="","")</f>
        <v/>
      </c>
      <c r="BC376" s="211" t="str" cm="1">
        <f t="array" ref="BC376">_xlfn.IFS(E376="","",G376&lt;=E376,BB376*(1-0.03),G376&lt;(E376+8),BB376,AZ376="Boleto",BB376*(1+0.001)^DATEDIF(E376,G376,"D"),AZ376="Cheque",BB376,AZ376="Dinheiro","Alterar forma pgto")</f>
        <v/>
      </c>
      <c r="BD376" s="276" t="str" cm="1">
        <f t="array" ref="BD376">IF(F376=0," ",IF(BC376&lt;BB376,(_xlfn.IFS(AW376="SIM",SUM(L376,Q376,V376,AA376,AF376,AK376,AP376,AU376)+AX376/_xlfn.XLOOKUP(_xlfn.XLOOKUP($F376,Clientes!$B$4:$B$39,Clientes!$C$4:$C$39),Cadastros!$L$6:$L$12,Cadastros!$M$6:$M$12)+IF($F376="Bernardino Furlan",AY376/2751.92,IF($F376="Mauro José Salanti",AY376/2751.92,AY376/3356)),F376&lt;&gt;0,SUM(L376,Q376,V376,AA376,AF376,AK376,AP376,AU376)))*(1-0.03),_xlfn.IFS(AW376="SIM",SUM(L376,Q376,V376,AA376,AF376,AK376,AP376,AU376)+AX376/_xlfn.XLOOKUP(_xlfn.XLOOKUP($F376,Clientes!$B$4:$B$39,Clientes!$C$4:$C$39),Cadastros!$L$6:$L$12,Cadastros!$M$6:$M$12)+IF($F376="Bernardino Furlan",AY376/2751.92,IF($F376="Mauro José Salanti",AY376/2751.92,AY376/3356)),F376&lt;&gt;0,SUM(L376,Q376,V376,AA376,AF376,AK376,AP376,AU376))))</f>
        <v xml:space="preserve"> </v>
      </c>
      <c r="BE376" s="120"/>
      <c r="BF376" s="120"/>
      <c r="BG376" s="120"/>
    </row>
    <row r="377" spans="1:59" s="3" customFormat="1" x14ac:dyDescent="0.3">
      <c r="A377" s="15" t="str">
        <f t="shared" si="65"/>
        <v/>
      </c>
      <c r="B377" s="25"/>
      <c r="C377" s="26"/>
      <c r="D377" s="279"/>
      <c r="E377" s="27"/>
      <c r="F377" s="28"/>
      <c r="G377" s="27"/>
      <c r="H377" s="28"/>
      <c r="I377" s="28"/>
      <c r="J377" s="255" t="str">
        <f>IF(H377="","",(_xlfn.XLOOKUP(H377,Cadastros!$D$6:$D$90,Cadastros!$E$6:$E$90))*(1-_xlfn.XLOOKUP(_xlfn.XLOOKUP($F377,Clientes!$B$4:$B$39,Clientes!$C$4:$C$39),Cadastros!$L$6:$L$12,Cadastros!$N$6:$N$12)))</f>
        <v/>
      </c>
      <c r="K377" s="168" t="str">
        <f t="shared" si="66"/>
        <v/>
      </c>
      <c r="L377" s="168" t="str">
        <f>IFERROR(K377/_xlfn.XLOOKUP(_xlfn.XLOOKUP($F377,Clientes!$B$4:$B$39,Clientes!$C$4:$C$39),Cadastros!$L$6:$L$12,Cadastros!$M$6:$M$12)," ")</f>
        <v xml:space="preserve"> </v>
      </c>
      <c r="M377" s="28"/>
      <c r="N377" s="28"/>
      <c r="O377" s="255" t="str">
        <f>IF(M377="","",(_xlfn.XLOOKUP(M377,Cadastros!$D$6:$D$90,Cadastros!$E$6:$E$90))*(1-_xlfn.XLOOKUP(_xlfn.XLOOKUP($F377,Clientes!$B$4:$B$39,Clientes!$C$4:$C$39),Cadastros!$L$6:$L$12,Cadastros!$N$6:$N$12)))</f>
        <v/>
      </c>
      <c r="P377" s="168" t="str">
        <f t="shared" si="67"/>
        <v/>
      </c>
      <c r="Q377" s="168" t="str">
        <f>IFERROR(P377/_xlfn.XLOOKUP(_xlfn.XLOOKUP($F377,Clientes!$B$4:$B$39,Clientes!$C$4:$C$39),Cadastros!$L$6:$L$12,Cadastros!$M$6:$M$12)," ")</f>
        <v xml:space="preserve"> </v>
      </c>
      <c r="R377" s="28"/>
      <c r="S377" s="28"/>
      <c r="T377" s="255" t="str">
        <f>IF(R377="","",(_xlfn.XLOOKUP(R377,Cadastros!$D$6:$D$90,Cadastros!$E$6:$E$90))*(1-_xlfn.XLOOKUP(_xlfn.XLOOKUP($F377,Clientes!$B$4:$B$39,Clientes!$C$4:$C$39),Cadastros!$L$6:$L$12,Cadastros!$N$6:$N$12)))</f>
        <v/>
      </c>
      <c r="U377" s="168" t="str">
        <f t="shared" si="68"/>
        <v/>
      </c>
      <c r="V377" s="168" t="str">
        <f>IFERROR(U377/_xlfn.XLOOKUP(_xlfn.XLOOKUP($F377,Clientes!$B$4:$B$39,Clientes!$C$4:$C$39),Cadastros!$L$6:$L$12,Cadastros!$M$6:$M$12)," ")</f>
        <v xml:space="preserve"> </v>
      </c>
      <c r="W377" s="28"/>
      <c r="X377" s="28"/>
      <c r="Y377" s="255" t="str">
        <f>IF(W377="","",(_xlfn.XLOOKUP(W377,Cadastros!$D$6:$D$90,Cadastros!$E$6:$E$90))*(1-_xlfn.XLOOKUP(_xlfn.XLOOKUP($F377,Clientes!$B$4:$B$39,Clientes!$C$4:$C$39),Cadastros!$L$6:$L$12,Cadastros!$N$6:$N$12)))</f>
        <v/>
      </c>
      <c r="Z377" s="168" t="str">
        <f t="shared" si="69"/>
        <v/>
      </c>
      <c r="AA377" s="168" t="str">
        <f>IFERROR(Z377/_xlfn.XLOOKUP(_xlfn.XLOOKUP($F377,Clientes!$B$4:$B$39,Clientes!$C$4:$C$39),Cadastros!$L$6:$L$12,Cadastros!$M$6:$M$12)," ")</f>
        <v xml:space="preserve"> </v>
      </c>
      <c r="AB377" s="28"/>
      <c r="AC377" s="28"/>
      <c r="AD377" s="20" t="str">
        <f>IF(AB377="","",IF($F377="Bernardino Furlan",_xlfn.XLOOKUP(AB377,Cadastros!$G$6:$G$90,Cadastros!$H$6:$H$90)*(1-0.18),IF($F377="Mauro José Salanti",_xlfn.XLOOKUP(AB377,Cadastros!$G$6:$G$90,Cadastros!$H$6:$H$90)*(1-0.18),_xlfn.XLOOKUP(AB377,Cadastros!$G$6:$G$90,Cadastros!$H$6:$H$90))))</f>
        <v/>
      </c>
      <c r="AE377" s="168" t="str">
        <f t="shared" si="70"/>
        <v/>
      </c>
      <c r="AF377" s="168" t="str">
        <f t="shared" si="71"/>
        <v/>
      </c>
      <c r="AG377" s="28"/>
      <c r="AH377" s="28"/>
      <c r="AI377" s="20" t="str">
        <f>IF(AG377="","",IF($F377="Bernardino Furlan",_xlfn.XLOOKUP(AG377,Cadastros!$G$6:$G$90,Cadastros!$H$6:$H$90)*(1-0.18),IF($F377="Mauro José Salanti",_xlfn.XLOOKUP(AG377,Cadastros!$G$6:$G$90,Cadastros!$H$6:$H$90)*(1-0.18),_xlfn.XLOOKUP(AG377,Cadastros!$G$6:$G$90,Cadastros!$H$6:$H$90))))</f>
        <v/>
      </c>
      <c r="AJ377" s="168" t="str">
        <f t="shared" si="72"/>
        <v/>
      </c>
      <c r="AK377" s="168" t="str">
        <f t="shared" si="73"/>
        <v/>
      </c>
      <c r="AL377" s="28"/>
      <c r="AM377" s="28"/>
      <c r="AN377" s="20" t="str">
        <f>IF(AL377="","",IF($F377="Bernardino Furlan",_xlfn.XLOOKUP(AL377,Cadastros!$G$6:$G$90,Cadastros!$H$6:$H$90)*(1-0.18),IF($F377="Mauro José Salanti",_xlfn.XLOOKUP(AL377,Cadastros!$G$6:$G$90,Cadastros!$H$6:$H$90)*(1-0.18),_xlfn.XLOOKUP(AL377,Cadastros!$G$6:$G$90,Cadastros!$H$6:$H$90))))</f>
        <v/>
      </c>
      <c r="AO377" s="168" t="str">
        <f t="shared" si="74"/>
        <v/>
      </c>
      <c r="AP377" s="168" t="str">
        <f t="shared" si="75"/>
        <v/>
      </c>
      <c r="AQ377" s="28"/>
      <c r="AR377" s="28"/>
      <c r="AS377" s="20" t="str">
        <f>IF(AQ377="","",IF($F377="Bernardino Furlan",_xlfn.XLOOKUP(AQ377,Cadastros!$G$6:$G$90,Cadastros!$H$6:$H$90)*(1-0.18),IF($F377="Mauro José Salanti",_xlfn.XLOOKUP(AQ377,Cadastros!$G$6:$G$90,Cadastros!$H$6:$H$90)*(1-0.18),_xlfn.XLOOKUP(AQ377,Cadastros!$G$6:$G$90,Cadastros!$H$6:$H$90))))</f>
        <v/>
      </c>
      <c r="AT377" s="168" t="str">
        <f t="shared" si="76"/>
        <v/>
      </c>
      <c r="AU377" s="168" t="str">
        <f t="shared" si="77"/>
        <v/>
      </c>
      <c r="AV377" s="227"/>
      <c r="AW377" s="30"/>
      <c r="AX377" s="267"/>
      <c r="AY377" s="267"/>
      <c r="AZ377" s="29"/>
      <c r="BA377" s="30"/>
      <c r="BB377" s="23" t="str" cm="1">
        <f t="array" ref="BB377">_xlfn.IFS(AW377="SIM",SUM(K377,P377,U377,Z377,AE377,AJ377,AO377,AT377,AX377,AY377),F377&lt;&gt;"",SUM(K377,P377,U377,Z377,AE377,AJ377,,AO377,AT377),F377="","")</f>
        <v/>
      </c>
      <c r="BC377" s="211" t="str" cm="1">
        <f t="array" ref="BC377">_xlfn.IFS(E377="","",G377&lt;=E377,BB377*(1-0.03),G377&lt;(E377+8),BB377,AZ377="Boleto",BB377*(1+0.001)^DATEDIF(E377,G377,"D"),AZ377="Cheque",BB377,AZ377="Dinheiro","Alterar forma pgto")</f>
        <v/>
      </c>
      <c r="BD377" s="276" t="str" cm="1">
        <f t="array" ref="BD377">IF(F377=0," ",IF(BC377&lt;BB377,(_xlfn.IFS(AW377="SIM",SUM(L377,Q377,V377,AA377,AF377,AK377,AP377,AU377)+AX377/_xlfn.XLOOKUP(_xlfn.XLOOKUP($F377,Clientes!$B$4:$B$39,Clientes!$C$4:$C$39),Cadastros!$L$6:$L$12,Cadastros!$M$6:$M$12)+IF($F377="Bernardino Furlan",AY377/2751.92,IF($F377="Mauro José Salanti",AY377/2751.92,AY377/3356)),F377&lt;&gt;0,SUM(L377,Q377,V377,AA377,AF377,AK377,AP377,AU377)))*(1-0.03),_xlfn.IFS(AW377="SIM",SUM(L377,Q377,V377,AA377,AF377,AK377,AP377,AU377)+AX377/_xlfn.XLOOKUP(_xlfn.XLOOKUP($F377,Clientes!$B$4:$B$39,Clientes!$C$4:$C$39),Cadastros!$L$6:$L$12,Cadastros!$M$6:$M$12)+IF($F377="Bernardino Furlan",AY377/2751.92,IF($F377="Mauro José Salanti",AY377/2751.92,AY377/3356)),F377&lt;&gt;0,SUM(L377,Q377,V377,AA377,AF377,AK377,AP377,AU377))))</f>
        <v xml:space="preserve"> </v>
      </c>
      <c r="BE377" s="120"/>
      <c r="BF377" s="120"/>
      <c r="BG377" s="120"/>
    </row>
    <row r="378" spans="1:59" s="3" customFormat="1" x14ac:dyDescent="0.3">
      <c r="A378" s="15" t="str">
        <f t="shared" si="65"/>
        <v/>
      </c>
      <c r="B378" s="34"/>
      <c r="C378" s="35"/>
      <c r="D378" s="280"/>
      <c r="E378" s="36"/>
      <c r="F378" s="37"/>
      <c r="G378" s="36"/>
      <c r="H378" s="37"/>
      <c r="I378" s="37"/>
      <c r="J378" s="255" t="str">
        <f>IF(H378="","",(_xlfn.XLOOKUP(H378,Cadastros!$D$6:$D$90,Cadastros!$E$6:$E$90))*(1-_xlfn.XLOOKUP(_xlfn.XLOOKUP($F378,Clientes!$B$4:$B$39,Clientes!$C$4:$C$39),Cadastros!$L$6:$L$12,Cadastros!$N$6:$N$12)))</f>
        <v/>
      </c>
      <c r="K378" s="168" t="str">
        <f t="shared" si="66"/>
        <v/>
      </c>
      <c r="L378" s="168" t="str">
        <f>IFERROR(K378/_xlfn.XLOOKUP(_xlfn.XLOOKUP($F378,Clientes!$B$4:$B$39,Clientes!$C$4:$C$39),Cadastros!$L$6:$L$12,Cadastros!$M$6:$M$12)," ")</f>
        <v xml:space="preserve"> </v>
      </c>
      <c r="M378" s="37"/>
      <c r="N378" s="37"/>
      <c r="O378" s="255" t="str">
        <f>IF(M378="","",(_xlfn.XLOOKUP(M378,Cadastros!$D$6:$D$90,Cadastros!$E$6:$E$90))*(1-_xlfn.XLOOKUP(_xlfn.XLOOKUP($F378,Clientes!$B$4:$B$39,Clientes!$C$4:$C$39),Cadastros!$L$6:$L$12,Cadastros!$N$6:$N$12)))</f>
        <v/>
      </c>
      <c r="P378" s="168" t="str">
        <f t="shared" si="67"/>
        <v/>
      </c>
      <c r="Q378" s="168" t="str">
        <f>IFERROR(P378/_xlfn.XLOOKUP(_xlfn.XLOOKUP($F378,Clientes!$B$4:$B$39,Clientes!$C$4:$C$39),Cadastros!$L$6:$L$12,Cadastros!$M$6:$M$12)," ")</f>
        <v xml:space="preserve"> </v>
      </c>
      <c r="R378" s="37"/>
      <c r="S378" s="37"/>
      <c r="T378" s="255" t="str">
        <f>IF(R378="","",(_xlfn.XLOOKUP(R378,Cadastros!$D$6:$D$90,Cadastros!$E$6:$E$90))*(1-_xlfn.XLOOKUP(_xlfn.XLOOKUP($F378,Clientes!$B$4:$B$39,Clientes!$C$4:$C$39),Cadastros!$L$6:$L$12,Cadastros!$N$6:$N$12)))</f>
        <v/>
      </c>
      <c r="U378" s="168" t="str">
        <f t="shared" si="68"/>
        <v/>
      </c>
      <c r="V378" s="168" t="str">
        <f>IFERROR(U378/_xlfn.XLOOKUP(_xlfn.XLOOKUP($F378,Clientes!$B$4:$B$39,Clientes!$C$4:$C$39),Cadastros!$L$6:$L$12,Cadastros!$M$6:$M$12)," ")</f>
        <v xml:space="preserve"> </v>
      </c>
      <c r="W378" s="37"/>
      <c r="X378" s="37"/>
      <c r="Y378" s="255" t="str">
        <f>IF(W378="","",(_xlfn.XLOOKUP(W378,Cadastros!$D$6:$D$90,Cadastros!$E$6:$E$90))*(1-_xlfn.XLOOKUP(_xlfn.XLOOKUP($F378,Clientes!$B$4:$B$39,Clientes!$C$4:$C$39),Cadastros!$L$6:$L$12,Cadastros!$N$6:$N$12)))</f>
        <v/>
      </c>
      <c r="Z378" s="168" t="str">
        <f t="shared" si="69"/>
        <v/>
      </c>
      <c r="AA378" s="168" t="str">
        <f>IFERROR(Z378/_xlfn.XLOOKUP(_xlfn.XLOOKUP($F378,Clientes!$B$4:$B$39,Clientes!$C$4:$C$39),Cadastros!$L$6:$L$12,Cadastros!$M$6:$M$12)," ")</f>
        <v xml:space="preserve"> </v>
      </c>
      <c r="AB378" s="37"/>
      <c r="AC378" s="37"/>
      <c r="AD378" s="20" t="str">
        <f>IF(AB378="","",IF($F378="Bernardino Furlan",_xlfn.XLOOKUP(AB378,Cadastros!$G$6:$G$90,Cadastros!$H$6:$H$90)*(1-0.18),IF($F378="Mauro José Salanti",_xlfn.XLOOKUP(AB378,Cadastros!$G$6:$G$90,Cadastros!$H$6:$H$90)*(1-0.18),_xlfn.XLOOKUP(AB378,Cadastros!$G$6:$G$90,Cadastros!$H$6:$H$90))))</f>
        <v/>
      </c>
      <c r="AE378" s="168" t="str">
        <f t="shared" si="70"/>
        <v/>
      </c>
      <c r="AF378" s="168" t="str">
        <f t="shared" si="71"/>
        <v/>
      </c>
      <c r="AG378" s="37"/>
      <c r="AH378" s="37"/>
      <c r="AI378" s="20" t="str">
        <f>IF(AG378="","",IF($F378="Bernardino Furlan",_xlfn.XLOOKUP(AG378,Cadastros!$G$6:$G$90,Cadastros!$H$6:$H$90)*(1-0.18),IF($F378="Mauro José Salanti",_xlfn.XLOOKUP(AG378,Cadastros!$G$6:$G$90,Cadastros!$H$6:$H$90)*(1-0.18),_xlfn.XLOOKUP(AG378,Cadastros!$G$6:$G$90,Cadastros!$H$6:$H$90))))</f>
        <v/>
      </c>
      <c r="AJ378" s="168" t="str">
        <f t="shared" si="72"/>
        <v/>
      </c>
      <c r="AK378" s="168" t="str">
        <f t="shared" si="73"/>
        <v/>
      </c>
      <c r="AL378" s="37"/>
      <c r="AM378" s="37"/>
      <c r="AN378" s="20" t="str">
        <f>IF(AL378="","",IF($F378="Bernardino Furlan",_xlfn.XLOOKUP(AL378,Cadastros!$G$6:$G$90,Cadastros!$H$6:$H$90)*(1-0.18),IF($F378="Mauro José Salanti",_xlfn.XLOOKUP(AL378,Cadastros!$G$6:$G$90,Cadastros!$H$6:$H$90)*(1-0.18),_xlfn.XLOOKUP(AL378,Cadastros!$G$6:$G$90,Cadastros!$H$6:$H$90))))</f>
        <v/>
      </c>
      <c r="AO378" s="168" t="str">
        <f t="shared" si="74"/>
        <v/>
      </c>
      <c r="AP378" s="168" t="str">
        <f t="shared" si="75"/>
        <v/>
      </c>
      <c r="AQ378" s="37"/>
      <c r="AR378" s="37"/>
      <c r="AS378" s="20" t="str">
        <f>IF(AQ378="","",IF($F378="Bernardino Furlan",_xlfn.XLOOKUP(AQ378,Cadastros!$G$6:$G$90,Cadastros!$H$6:$H$90)*(1-0.18),IF($F378="Mauro José Salanti",_xlfn.XLOOKUP(AQ378,Cadastros!$G$6:$G$90,Cadastros!$H$6:$H$90)*(1-0.18),_xlfn.XLOOKUP(AQ378,Cadastros!$G$6:$G$90,Cadastros!$H$6:$H$90))))</f>
        <v/>
      </c>
      <c r="AT378" s="168" t="str">
        <f t="shared" si="76"/>
        <v/>
      </c>
      <c r="AU378" s="168" t="str">
        <f t="shared" si="77"/>
        <v/>
      </c>
      <c r="AV378" s="228"/>
      <c r="AW378" s="38"/>
      <c r="AX378" s="268"/>
      <c r="AY378" s="268"/>
      <c r="AZ378" s="33"/>
      <c r="BA378" s="38"/>
      <c r="BB378" s="23" t="str" cm="1">
        <f t="array" ref="BB378">_xlfn.IFS(AW378="SIM",SUM(K378,P378,U378,Z378,AE378,AJ378,AO378,AT378,AX378,AY378),F378&lt;&gt;"",SUM(K378,P378,U378,Z378,AE378,AJ378,,AO378,AT378),F378="","")</f>
        <v/>
      </c>
      <c r="BC378" s="211" t="str" cm="1">
        <f t="array" ref="BC378">_xlfn.IFS(E378="","",G378&lt;=E378,BB378*(1-0.03),G378&lt;(E378+8),BB378,AZ378="Boleto",BB378*(1+0.001)^DATEDIF(E378,G378,"D"),AZ378="Cheque",BB378,AZ378="Dinheiro","Alterar forma pgto")</f>
        <v/>
      </c>
      <c r="BD378" s="276" t="str" cm="1">
        <f t="array" ref="BD378">IF(F378=0," ",IF(BC378&lt;BB378,(_xlfn.IFS(AW378="SIM",SUM(L378,Q378,V378,AA378,AF378,AK378,AP378,AU378)+AX378/_xlfn.XLOOKUP(_xlfn.XLOOKUP($F378,Clientes!$B$4:$B$39,Clientes!$C$4:$C$39),Cadastros!$L$6:$L$12,Cadastros!$M$6:$M$12)+IF($F378="Bernardino Furlan",AY378/2751.92,IF($F378="Mauro José Salanti",AY378/2751.92,AY378/3356)),F378&lt;&gt;0,SUM(L378,Q378,V378,AA378,AF378,AK378,AP378,AU378)))*(1-0.03),_xlfn.IFS(AW378="SIM",SUM(L378,Q378,V378,AA378,AF378,AK378,AP378,AU378)+AX378/_xlfn.XLOOKUP(_xlfn.XLOOKUP($F378,Clientes!$B$4:$B$39,Clientes!$C$4:$C$39),Cadastros!$L$6:$L$12,Cadastros!$M$6:$M$12)+IF($F378="Bernardino Furlan",AY378/2751.92,IF($F378="Mauro José Salanti",AY378/2751.92,AY378/3356)),F378&lt;&gt;0,SUM(L378,Q378,V378,AA378,AF378,AK378,AP378,AU378))))</f>
        <v xml:space="preserve"> </v>
      </c>
      <c r="BE378" s="120"/>
      <c r="BF378" s="120"/>
      <c r="BG378" s="120"/>
    </row>
    <row r="379" spans="1:59" s="3" customFormat="1" x14ac:dyDescent="0.3">
      <c r="A379" s="15" t="str">
        <f t="shared" si="65"/>
        <v/>
      </c>
      <c r="B379" s="25"/>
      <c r="C379" s="26"/>
      <c r="D379" s="279"/>
      <c r="E379" s="27"/>
      <c r="F379" s="28"/>
      <c r="G379" s="27"/>
      <c r="H379" s="28"/>
      <c r="I379" s="28"/>
      <c r="J379" s="255" t="str">
        <f>IF(H379="","",(_xlfn.XLOOKUP(H379,Cadastros!$D$6:$D$90,Cadastros!$E$6:$E$90))*(1-_xlfn.XLOOKUP(_xlfn.XLOOKUP($F379,Clientes!$B$4:$B$39,Clientes!$C$4:$C$39),Cadastros!$L$6:$L$12,Cadastros!$N$6:$N$12)))</f>
        <v/>
      </c>
      <c r="K379" s="168" t="str">
        <f t="shared" si="66"/>
        <v/>
      </c>
      <c r="L379" s="168" t="str">
        <f>IFERROR(K379/_xlfn.XLOOKUP(_xlfn.XLOOKUP($F379,Clientes!$B$4:$B$39,Clientes!$C$4:$C$39),Cadastros!$L$6:$L$12,Cadastros!$M$6:$M$12)," ")</f>
        <v xml:space="preserve"> </v>
      </c>
      <c r="M379" s="28"/>
      <c r="N379" s="28"/>
      <c r="O379" s="255" t="str">
        <f>IF(M379="","",(_xlfn.XLOOKUP(M379,Cadastros!$D$6:$D$90,Cadastros!$E$6:$E$90))*(1-_xlfn.XLOOKUP(_xlfn.XLOOKUP($F379,Clientes!$B$4:$B$39,Clientes!$C$4:$C$39),Cadastros!$L$6:$L$12,Cadastros!$N$6:$N$12)))</f>
        <v/>
      </c>
      <c r="P379" s="168" t="str">
        <f t="shared" si="67"/>
        <v/>
      </c>
      <c r="Q379" s="168" t="str">
        <f>IFERROR(P379/_xlfn.XLOOKUP(_xlfn.XLOOKUP($F379,Clientes!$B$4:$B$39,Clientes!$C$4:$C$39),Cadastros!$L$6:$L$12,Cadastros!$M$6:$M$12)," ")</f>
        <v xml:space="preserve"> </v>
      </c>
      <c r="R379" s="28"/>
      <c r="S379" s="28"/>
      <c r="T379" s="255" t="str">
        <f>IF(R379="","",(_xlfn.XLOOKUP(R379,Cadastros!$D$6:$D$90,Cadastros!$E$6:$E$90))*(1-_xlfn.XLOOKUP(_xlfn.XLOOKUP($F379,Clientes!$B$4:$B$39,Clientes!$C$4:$C$39),Cadastros!$L$6:$L$12,Cadastros!$N$6:$N$12)))</f>
        <v/>
      </c>
      <c r="U379" s="168" t="str">
        <f t="shared" si="68"/>
        <v/>
      </c>
      <c r="V379" s="168" t="str">
        <f>IFERROR(U379/_xlfn.XLOOKUP(_xlfn.XLOOKUP($F379,Clientes!$B$4:$B$39,Clientes!$C$4:$C$39),Cadastros!$L$6:$L$12,Cadastros!$M$6:$M$12)," ")</f>
        <v xml:space="preserve"> </v>
      </c>
      <c r="W379" s="28"/>
      <c r="X379" s="28"/>
      <c r="Y379" s="255" t="str">
        <f>IF(W379="","",(_xlfn.XLOOKUP(W379,Cadastros!$D$6:$D$90,Cadastros!$E$6:$E$90))*(1-_xlfn.XLOOKUP(_xlfn.XLOOKUP($F379,Clientes!$B$4:$B$39,Clientes!$C$4:$C$39),Cadastros!$L$6:$L$12,Cadastros!$N$6:$N$12)))</f>
        <v/>
      </c>
      <c r="Z379" s="168" t="str">
        <f t="shared" si="69"/>
        <v/>
      </c>
      <c r="AA379" s="168" t="str">
        <f>IFERROR(Z379/_xlfn.XLOOKUP(_xlfn.XLOOKUP($F379,Clientes!$B$4:$B$39,Clientes!$C$4:$C$39),Cadastros!$L$6:$L$12,Cadastros!$M$6:$M$12)," ")</f>
        <v xml:space="preserve"> </v>
      </c>
      <c r="AB379" s="28"/>
      <c r="AC379" s="28"/>
      <c r="AD379" s="20" t="str">
        <f>IF(AB379="","",IF($F379="Bernardino Furlan",_xlfn.XLOOKUP(AB379,Cadastros!$G$6:$G$90,Cadastros!$H$6:$H$90)*(1-0.18),IF($F379="Mauro José Salanti",_xlfn.XLOOKUP(AB379,Cadastros!$G$6:$G$90,Cadastros!$H$6:$H$90)*(1-0.18),_xlfn.XLOOKUP(AB379,Cadastros!$G$6:$G$90,Cadastros!$H$6:$H$90))))</f>
        <v/>
      </c>
      <c r="AE379" s="168" t="str">
        <f t="shared" si="70"/>
        <v/>
      </c>
      <c r="AF379" s="168" t="str">
        <f t="shared" si="71"/>
        <v/>
      </c>
      <c r="AG379" s="28"/>
      <c r="AH379" s="28"/>
      <c r="AI379" s="20" t="str">
        <f>IF(AG379="","",IF($F379="Bernardino Furlan",_xlfn.XLOOKUP(AG379,Cadastros!$G$6:$G$90,Cadastros!$H$6:$H$90)*(1-0.18),IF($F379="Mauro José Salanti",_xlfn.XLOOKUP(AG379,Cadastros!$G$6:$G$90,Cadastros!$H$6:$H$90)*(1-0.18),_xlfn.XLOOKUP(AG379,Cadastros!$G$6:$G$90,Cadastros!$H$6:$H$90))))</f>
        <v/>
      </c>
      <c r="AJ379" s="168" t="str">
        <f t="shared" si="72"/>
        <v/>
      </c>
      <c r="AK379" s="168" t="str">
        <f t="shared" si="73"/>
        <v/>
      </c>
      <c r="AL379" s="28"/>
      <c r="AM379" s="28"/>
      <c r="AN379" s="20" t="str">
        <f>IF(AL379="","",IF($F379="Bernardino Furlan",_xlfn.XLOOKUP(AL379,Cadastros!$G$6:$G$90,Cadastros!$H$6:$H$90)*(1-0.18),IF($F379="Mauro José Salanti",_xlfn.XLOOKUP(AL379,Cadastros!$G$6:$G$90,Cadastros!$H$6:$H$90)*(1-0.18),_xlfn.XLOOKUP(AL379,Cadastros!$G$6:$G$90,Cadastros!$H$6:$H$90))))</f>
        <v/>
      </c>
      <c r="AO379" s="168" t="str">
        <f t="shared" si="74"/>
        <v/>
      </c>
      <c r="AP379" s="168" t="str">
        <f t="shared" si="75"/>
        <v/>
      </c>
      <c r="AQ379" s="28"/>
      <c r="AR379" s="28"/>
      <c r="AS379" s="20" t="str">
        <f>IF(AQ379="","",IF($F379="Bernardino Furlan",_xlfn.XLOOKUP(AQ379,Cadastros!$G$6:$G$90,Cadastros!$H$6:$H$90)*(1-0.18),IF($F379="Mauro José Salanti",_xlfn.XLOOKUP(AQ379,Cadastros!$G$6:$G$90,Cadastros!$H$6:$H$90)*(1-0.18),_xlfn.XLOOKUP(AQ379,Cadastros!$G$6:$G$90,Cadastros!$H$6:$H$90))))</f>
        <v/>
      </c>
      <c r="AT379" s="168" t="str">
        <f t="shared" si="76"/>
        <v/>
      </c>
      <c r="AU379" s="168" t="str">
        <f t="shared" si="77"/>
        <v/>
      </c>
      <c r="AV379" s="227"/>
      <c r="AW379" s="30"/>
      <c r="AX379" s="267"/>
      <c r="AY379" s="267"/>
      <c r="AZ379" s="29"/>
      <c r="BA379" s="30"/>
      <c r="BB379" s="23" t="str" cm="1">
        <f t="array" ref="BB379">_xlfn.IFS(AW379="SIM",SUM(K379,P379,U379,Z379,AE379,AJ379,AO379,AT379,AX379,AY379),F379&lt;&gt;"",SUM(K379,P379,U379,Z379,AE379,AJ379,,AO379,AT379),F379="","")</f>
        <v/>
      </c>
      <c r="BC379" s="211" t="str" cm="1">
        <f t="array" ref="BC379">_xlfn.IFS(E379="","",G379&lt;=E379,BB379*(1-0.03),G379&lt;(E379+8),BB379,AZ379="Boleto",BB379*(1+0.001)^DATEDIF(E379,G379,"D"),AZ379="Cheque",BB379,AZ379="Dinheiro","Alterar forma pgto")</f>
        <v/>
      </c>
      <c r="BD379" s="276" t="str" cm="1">
        <f t="array" ref="BD379">IF(F379=0," ",IF(BC379&lt;BB379,(_xlfn.IFS(AW379="SIM",SUM(L379,Q379,V379,AA379,AF379,AK379,AP379,AU379)+AX379/_xlfn.XLOOKUP(_xlfn.XLOOKUP($F379,Clientes!$B$4:$B$39,Clientes!$C$4:$C$39),Cadastros!$L$6:$L$12,Cadastros!$M$6:$M$12)+IF($F379="Bernardino Furlan",AY379/2751.92,IF($F379="Mauro José Salanti",AY379/2751.92,AY379/3356)),F379&lt;&gt;0,SUM(L379,Q379,V379,AA379,AF379,AK379,AP379,AU379)))*(1-0.03),_xlfn.IFS(AW379="SIM",SUM(L379,Q379,V379,AA379,AF379,AK379,AP379,AU379)+AX379/_xlfn.XLOOKUP(_xlfn.XLOOKUP($F379,Clientes!$B$4:$B$39,Clientes!$C$4:$C$39),Cadastros!$L$6:$L$12,Cadastros!$M$6:$M$12)+IF($F379="Bernardino Furlan",AY379/2751.92,IF($F379="Mauro José Salanti",AY379/2751.92,AY379/3356)),F379&lt;&gt;0,SUM(L379,Q379,V379,AA379,AF379,AK379,AP379,AU379))))</f>
        <v xml:space="preserve"> </v>
      </c>
      <c r="BE379" s="120"/>
      <c r="BF379" s="120"/>
      <c r="BG379" s="120"/>
    </row>
    <row r="380" spans="1:59" s="3" customFormat="1" x14ac:dyDescent="0.3">
      <c r="A380" s="15" t="str">
        <f t="shared" si="65"/>
        <v/>
      </c>
      <c r="B380" s="25"/>
      <c r="C380" s="26"/>
      <c r="D380" s="279"/>
      <c r="E380" s="27"/>
      <c r="F380" s="28"/>
      <c r="G380" s="27"/>
      <c r="H380" s="28"/>
      <c r="I380" s="28"/>
      <c r="J380" s="255" t="str">
        <f>IF(H380="","",(_xlfn.XLOOKUP(H380,Cadastros!$D$6:$D$90,Cadastros!$E$6:$E$90))*(1-_xlfn.XLOOKUP(_xlfn.XLOOKUP($F380,Clientes!$B$4:$B$39,Clientes!$C$4:$C$39),Cadastros!$L$6:$L$12,Cadastros!$N$6:$N$12)))</f>
        <v/>
      </c>
      <c r="K380" s="168" t="str">
        <f t="shared" si="66"/>
        <v/>
      </c>
      <c r="L380" s="168" t="str">
        <f>IFERROR(K380/_xlfn.XLOOKUP(_xlfn.XLOOKUP($F380,Clientes!$B$4:$B$39,Clientes!$C$4:$C$39),Cadastros!$L$6:$L$12,Cadastros!$M$6:$M$12)," ")</f>
        <v xml:space="preserve"> </v>
      </c>
      <c r="M380" s="28"/>
      <c r="N380" s="28"/>
      <c r="O380" s="255" t="str">
        <f>IF(M380="","",(_xlfn.XLOOKUP(M380,Cadastros!$D$6:$D$90,Cadastros!$E$6:$E$90))*(1-_xlfn.XLOOKUP(_xlfn.XLOOKUP($F380,Clientes!$B$4:$B$39,Clientes!$C$4:$C$39),Cadastros!$L$6:$L$12,Cadastros!$N$6:$N$12)))</f>
        <v/>
      </c>
      <c r="P380" s="168" t="str">
        <f t="shared" si="67"/>
        <v/>
      </c>
      <c r="Q380" s="168" t="str">
        <f>IFERROR(P380/_xlfn.XLOOKUP(_xlfn.XLOOKUP($F380,Clientes!$B$4:$B$39,Clientes!$C$4:$C$39),Cadastros!$L$6:$L$12,Cadastros!$M$6:$M$12)," ")</f>
        <v xml:space="preserve"> </v>
      </c>
      <c r="R380" s="28"/>
      <c r="S380" s="28"/>
      <c r="T380" s="255" t="str">
        <f>IF(R380="","",(_xlfn.XLOOKUP(R380,Cadastros!$D$6:$D$90,Cadastros!$E$6:$E$90))*(1-_xlfn.XLOOKUP(_xlfn.XLOOKUP($F380,Clientes!$B$4:$B$39,Clientes!$C$4:$C$39),Cadastros!$L$6:$L$12,Cadastros!$N$6:$N$12)))</f>
        <v/>
      </c>
      <c r="U380" s="168" t="str">
        <f t="shared" si="68"/>
        <v/>
      </c>
      <c r="V380" s="168" t="str">
        <f>IFERROR(U380/_xlfn.XLOOKUP(_xlfn.XLOOKUP($F380,Clientes!$B$4:$B$39,Clientes!$C$4:$C$39),Cadastros!$L$6:$L$12,Cadastros!$M$6:$M$12)," ")</f>
        <v xml:space="preserve"> </v>
      </c>
      <c r="W380" s="28"/>
      <c r="X380" s="28"/>
      <c r="Y380" s="255" t="str">
        <f>IF(W380="","",(_xlfn.XLOOKUP(W380,Cadastros!$D$6:$D$90,Cadastros!$E$6:$E$90))*(1-_xlfn.XLOOKUP(_xlfn.XLOOKUP($F380,Clientes!$B$4:$B$39,Clientes!$C$4:$C$39),Cadastros!$L$6:$L$12,Cadastros!$N$6:$N$12)))</f>
        <v/>
      </c>
      <c r="Z380" s="168" t="str">
        <f t="shared" si="69"/>
        <v/>
      </c>
      <c r="AA380" s="168" t="str">
        <f>IFERROR(Z380/_xlfn.XLOOKUP(_xlfn.XLOOKUP($F380,Clientes!$B$4:$B$39,Clientes!$C$4:$C$39),Cadastros!$L$6:$L$12,Cadastros!$M$6:$M$12)," ")</f>
        <v xml:space="preserve"> </v>
      </c>
      <c r="AB380" s="28"/>
      <c r="AC380" s="28"/>
      <c r="AD380" s="20" t="str">
        <f>IF(AB380="","",IF($F380="Bernardino Furlan",_xlfn.XLOOKUP(AB380,Cadastros!$G$6:$G$90,Cadastros!$H$6:$H$90)*(1-0.18),IF($F380="Mauro José Salanti",_xlfn.XLOOKUP(AB380,Cadastros!$G$6:$G$90,Cadastros!$H$6:$H$90)*(1-0.18),_xlfn.XLOOKUP(AB380,Cadastros!$G$6:$G$90,Cadastros!$H$6:$H$90))))</f>
        <v/>
      </c>
      <c r="AE380" s="168" t="str">
        <f t="shared" si="70"/>
        <v/>
      </c>
      <c r="AF380" s="168" t="str">
        <f t="shared" si="71"/>
        <v/>
      </c>
      <c r="AG380" s="28"/>
      <c r="AH380" s="28"/>
      <c r="AI380" s="20" t="str">
        <f>IF(AG380="","",IF($F380="Bernardino Furlan",_xlfn.XLOOKUP(AG380,Cadastros!$G$6:$G$90,Cadastros!$H$6:$H$90)*(1-0.18),IF($F380="Mauro José Salanti",_xlfn.XLOOKUP(AG380,Cadastros!$G$6:$G$90,Cadastros!$H$6:$H$90)*(1-0.18),_xlfn.XLOOKUP(AG380,Cadastros!$G$6:$G$90,Cadastros!$H$6:$H$90))))</f>
        <v/>
      </c>
      <c r="AJ380" s="168" t="str">
        <f t="shared" si="72"/>
        <v/>
      </c>
      <c r="AK380" s="168" t="str">
        <f t="shared" si="73"/>
        <v/>
      </c>
      <c r="AL380" s="28"/>
      <c r="AM380" s="28"/>
      <c r="AN380" s="20" t="str">
        <f>IF(AL380="","",IF($F380="Bernardino Furlan",_xlfn.XLOOKUP(AL380,Cadastros!$G$6:$G$90,Cadastros!$H$6:$H$90)*(1-0.18),IF($F380="Mauro José Salanti",_xlfn.XLOOKUP(AL380,Cadastros!$G$6:$G$90,Cadastros!$H$6:$H$90)*(1-0.18),_xlfn.XLOOKUP(AL380,Cadastros!$G$6:$G$90,Cadastros!$H$6:$H$90))))</f>
        <v/>
      </c>
      <c r="AO380" s="168" t="str">
        <f t="shared" si="74"/>
        <v/>
      </c>
      <c r="AP380" s="168" t="str">
        <f t="shared" si="75"/>
        <v/>
      </c>
      <c r="AQ380" s="28"/>
      <c r="AR380" s="28"/>
      <c r="AS380" s="20" t="str">
        <f>IF(AQ380="","",IF($F380="Bernardino Furlan",_xlfn.XLOOKUP(AQ380,Cadastros!$G$6:$G$90,Cadastros!$H$6:$H$90)*(1-0.18),IF($F380="Mauro José Salanti",_xlfn.XLOOKUP(AQ380,Cadastros!$G$6:$G$90,Cadastros!$H$6:$H$90)*(1-0.18),_xlfn.XLOOKUP(AQ380,Cadastros!$G$6:$G$90,Cadastros!$H$6:$H$90))))</f>
        <v/>
      </c>
      <c r="AT380" s="168" t="str">
        <f t="shared" si="76"/>
        <v/>
      </c>
      <c r="AU380" s="168" t="str">
        <f t="shared" si="77"/>
        <v/>
      </c>
      <c r="AV380" s="227"/>
      <c r="AW380" s="30"/>
      <c r="AX380" s="267"/>
      <c r="AY380" s="267"/>
      <c r="AZ380" s="29"/>
      <c r="BA380" s="30"/>
      <c r="BB380" s="23" t="str" cm="1">
        <f t="array" ref="BB380">_xlfn.IFS(AW380="SIM",SUM(K380,P380,U380,Z380,AE380,AJ380,AO380,AT380,AX380,AY380),F380&lt;&gt;"",SUM(K380,P380,U380,Z380,AE380,AJ380,,AO380,AT380),F380="","")</f>
        <v/>
      </c>
      <c r="BC380" s="211" t="str" cm="1">
        <f t="array" ref="BC380">_xlfn.IFS(E380="","",G380&lt;=E380,BB380*(1-0.03),G380&lt;(E380+8),BB380,AZ380="Boleto",BB380*(1+0.001)^DATEDIF(E380,G380,"D"),AZ380="Cheque",BB380,AZ380="Dinheiro","Alterar forma pgto")</f>
        <v/>
      </c>
      <c r="BD380" s="276" t="str" cm="1">
        <f t="array" ref="BD380">IF(F380=0," ",IF(BC380&lt;BB380,(_xlfn.IFS(AW380="SIM",SUM(L380,Q380,V380,AA380,AF380,AK380,AP380,AU380)+AX380/_xlfn.XLOOKUP(_xlfn.XLOOKUP($F380,Clientes!$B$4:$B$39,Clientes!$C$4:$C$39),Cadastros!$L$6:$L$12,Cadastros!$M$6:$M$12)+IF($F380="Bernardino Furlan",AY380/2751.92,IF($F380="Mauro José Salanti",AY380/2751.92,AY380/3356)),F380&lt;&gt;0,SUM(L380,Q380,V380,AA380,AF380,AK380,AP380,AU380)))*(1-0.03),_xlfn.IFS(AW380="SIM",SUM(L380,Q380,V380,AA380,AF380,AK380,AP380,AU380)+AX380/_xlfn.XLOOKUP(_xlfn.XLOOKUP($F380,Clientes!$B$4:$B$39,Clientes!$C$4:$C$39),Cadastros!$L$6:$L$12,Cadastros!$M$6:$M$12)+IF($F380="Bernardino Furlan",AY380/2751.92,IF($F380="Mauro José Salanti",AY380/2751.92,AY380/3356)),F380&lt;&gt;0,SUM(L380,Q380,V380,AA380,AF380,AK380,AP380,AU380))))</f>
        <v xml:space="preserve"> </v>
      </c>
      <c r="BE380" s="120"/>
      <c r="BF380" s="120"/>
      <c r="BG380" s="120"/>
    </row>
    <row r="381" spans="1:59" s="3" customFormat="1" x14ac:dyDescent="0.3">
      <c r="A381" s="15" t="str">
        <f t="shared" si="65"/>
        <v/>
      </c>
      <c r="B381" s="25"/>
      <c r="C381" s="26"/>
      <c r="D381" s="279"/>
      <c r="E381" s="27"/>
      <c r="F381" s="28"/>
      <c r="G381" s="27"/>
      <c r="H381" s="28"/>
      <c r="I381" s="28"/>
      <c r="J381" s="255" t="str">
        <f>IF(H381="","",(_xlfn.XLOOKUP(H381,Cadastros!$D$6:$D$90,Cadastros!$E$6:$E$90))*(1-_xlfn.XLOOKUP(_xlfn.XLOOKUP($F381,Clientes!$B$4:$B$39,Clientes!$C$4:$C$39),Cadastros!$L$6:$L$12,Cadastros!$N$6:$N$12)))</f>
        <v/>
      </c>
      <c r="K381" s="168" t="str">
        <f t="shared" si="66"/>
        <v/>
      </c>
      <c r="L381" s="168" t="str">
        <f>IFERROR(K381/_xlfn.XLOOKUP(_xlfn.XLOOKUP($F381,Clientes!$B$4:$B$39,Clientes!$C$4:$C$39),Cadastros!$L$6:$L$12,Cadastros!$M$6:$M$12)," ")</f>
        <v xml:space="preserve"> </v>
      </c>
      <c r="M381" s="28"/>
      <c r="N381" s="28"/>
      <c r="O381" s="255" t="str">
        <f>IF(M381="","",(_xlfn.XLOOKUP(M381,Cadastros!$D$6:$D$90,Cadastros!$E$6:$E$90))*(1-_xlfn.XLOOKUP(_xlfn.XLOOKUP($F381,Clientes!$B$4:$B$39,Clientes!$C$4:$C$39),Cadastros!$L$6:$L$12,Cadastros!$N$6:$N$12)))</f>
        <v/>
      </c>
      <c r="P381" s="168" t="str">
        <f t="shared" si="67"/>
        <v/>
      </c>
      <c r="Q381" s="168" t="str">
        <f>IFERROR(P381/_xlfn.XLOOKUP(_xlfn.XLOOKUP($F381,Clientes!$B$4:$B$39,Clientes!$C$4:$C$39),Cadastros!$L$6:$L$12,Cadastros!$M$6:$M$12)," ")</f>
        <v xml:space="preserve"> </v>
      </c>
      <c r="R381" s="28"/>
      <c r="S381" s="28"/>
      <c r="T381" s="255" t="str">
        <f>IF(R381="","",(_xlfn.XLOOKUP(R381,Cadastros!$D$6:$D$90,Cadastros!$E$6:$E$90))*(1-_xlfn.XLOOKUP(_xlfn.XLOOKUP($F381,Clientes!$B$4:$B$39,Clientes!$C$4:$C$39),Cadastros!$L$6:$L$12,Cadastros!$N$6:$N$12)))</f>
        <v/>
      </c>
      <c r="U381" s="168" t="str">
        <f t="shared" si="68"/>
        <v/>
      </c>
      <c r="V381" s="168" t="str">
        <f>IFERROR(U381/_xlfn.XLOOKUP(_xlfn.XLOOKUP($F381,Clientes!$B$4:$B$39,Clientes!$C$4:$C$39),Cadastros!$L$6:$L$12,Cadastros!$M$6:$M$12)," ")</f>
        <v xml:space="preserve"> </v>
      </c>
      <c r="W381" s="28"/>
      <c r="X381" s="28"/>
      <c r="Y381" s="255" t="str">
        <f>IF(W381="","",(_xlfn.XLOOKUP(W381,Cadastros!$D$6:$D$90,Cadastros!$E$6:$E$90))*(1-_xlfn.XLOOKUP(_xlfn.XLOOKUP($F381,Clientes!$B$4:$B$39,Clientes!$C$4:$C$39),Cadastros!$L$6:$L$12,Cadastros!$N$6:$N$12)))</f>
        <v/>
      </c>
      <c r="Z381" s="168" t="str">
        <f t="shared" si="69"/>
        <v/>
      </c>
      <c r="AA381" s="168" t="str">
        <f>IFERROR(Z381/_xlfn.XLOOKUP(_xlfn.XLOOKUP($F381,Clientes!$B$4:$B$39,Clientes!$C$4:$C$39),Cadastros!$L$6:$L$12,Cadastros!$M$6:$M$12)," ")</f>
        <v xml:space="preserve"> </v>
      </c>
      <c r="AB381" s="28"/>
      <c r="AC381" s="28"/>
      <c r="AD381" s="20" t="str">
        <f>IF(AB381="","",IF($F381="Bernardino Furlan",_xlfn.XLOOKUP(AB381,Cadastros!$G$6:$G$90,Cadastros!$H$6:$H$90)*(1-0.18),IF($F381="Mauro José Salanti",_xlfn.XLOOKUP(AB381,Cadastros!$G$6:$G$90,Cadastros!$H$6:$H$90)*(1-0.18),_xlfn.XLOOKUP(AB381,Cadastros!$G$6:$G$90,Cadastros!$H$6:$H$90))))</f>
        <v/>
      </c>
      <c r="AE381" s="168" t="str">
        <f t="shared" si="70"/>
        <v/>
      </c>
      <c r="AF381" s="168" t="str">
        <f t="shared" si="71"/>
        <v/>
      </c>
      <c r="AG381" s="28"/>
      <c r="AH381" s="28"/>
      <c r="AI381" s="20" t="str">
        <f>IF(AG381="","",IF($F381="Bernardino Furlan",_xlfn.XLOOKUP(AG381,Cadastros!$G$6:$G$90,Cadastros!$H$6:$H$90)*(1-0.18),IF($F381="Mauro José Salanti",_xlfn.XLOOKUP(AG381,Cadastros!$G$6:$G$90,Cadastros!$H$6:$H$90)*(1-0.18),_xlfn.XLOOKUP(AG381,Cadastros!$G$6:$G$90,Cadastros!$H$6:$H$90))))</f>
        <v/>
      </c>
      <c r="AJ381" s="168" t="str">
        <f t="shared" si="72"/>
        <v/>
      </c>
      <c r="AK381" s="168" t="str">
        <f t="shared" si="73"/>
        <v/>
      </c>
      <c r="AL381" s="28"/>
      <c r="AM381" s="28"/>
      <c r="AN381" s="20" t="str">
        <f>IF(AL381="","",IF($F381="Bernardino Furlan",_xlfn.XLOOKUP(AL381,Cadastros!$G$6:$G$90,Cadastros!$H$6:$H$90)*(1-0.18),IF($F381="Mauro José Salanti",_xlfn.XLOOKUP(AL381,Cadastros!$G$6:$G$90,Cadastros!$H$6:$H$90)*(1-0.18),_xlfn.XLOOKUP(AL381,Cadastros!$G$6:$G$90,Cadastros!$H$6:$H$90))))</f>
        <v/>
      </c>
      <c r="AO381" s="168" t="str">
        <f t="shared" si="74"/>
        <v/>
      </c>
      <c r="AP381" s="168" t="str">
        <f t="shared" si="75"/>
        <v/>
      </c>
      <c r="AQ381" s="28"/>
      <c r="AR381" s="28"/>
      <c r="AS381" s="20" t="str">
        <f>IF(AQ381="","",IF($F381="Bernardino Furlan",_xlfn.XLOOKUP(AQ381,Cadastros!$G$6:$G$90,Cadastros!$H$6:$H$90)*(1-0.18),IF($F381="Mauro José Salanti",_xlfn.XLOOKUP(AQ381,Cadastros!$G$6:$G$90,Cadastros!$H$6:$H$90)*(1-0.18),_xlfn.XLOOKUP(AQ381,Cadastros!$G$6:$G$90,Cadastros!$H$6:$H$90))))</f>
        <v/>
      </c>
      <c r="AT381" s="168" t="str">
        <f t="shared" si="76"/>
        <v/>
      </c>
      <c r="AU381" s="168" t="str">
        <f t="shared" si="77"/>
        <v/>
      </c>
      <c r="AV381" s="227"/>
      <c r="AW381" s="30"/>
      <c r="AX381" s="267"/>
      <c r="AY381" s="267"/>
      <c r="AZ381" s="29"/>
      <c r="BA381" s="30"/>
      <c r="BB381" s="23" t="str" cm="1">
        <f t="array" ref="BB381">_xlfn.IFS(AW381="SIM",SUM(K381,P381,U381,Z381,AE381,AJ381,AO381,AT381,AX381,AY381),F381&lt;&gt;"",SUM(K381,P381,U381,Z381,AE381,AJ381,,AO381,AT381),F381="","")</f>
        <v/>
      </c>
      <c r="BC381" s="211" t="str" cm="1">
        <f t="array" ref="BC381">_xlfn.IFS(E381="","",G381&lt;=E381,BB381*(1-0.03),G381&lt;(E381+8),BB381,AZ381="Boleto",BB381*(1+0.001)^DATEDIF(E381,G381,"D"),AZ381="Cheque",BB381,AZ381="Dinheiro","Alterar forma pgto")</f>
        <v/>
      </c>
      <c r="BD381" s="276" t="str" cm="1">
        <f t="array" ref="BD381">IF(F381=0," ",IF(BC381&lt;BB381,(_xlfn.IFS(AW381="SIM",SUM(L381,Q381,V381,AA381,AF381,AK381,AP381,AU381)+AX381/_xlfn.XLOOKUP(_xlfn.XLOOKUP($F381,Clientes!$B$4:$B$39,Clientes!$C$4:$C$39),Cadastros!$L$6:$L$12,Cadastros!$M$6:$M$12)+IF($F381="Bernardino Furlan",AY381/2751.92,IF($F381="Mauro José Salanti",AY381/2751.92,AY381/3356)),F381&lt;&gt;0,SUM(L381,Q381,V381,AA381,AF381,AK381,AP381,AU381)))*(1-0.03),_xlfn.IFS(AW381="SIM",SUM(L381,Q381,V381,AA381,AF381,AK381,AP381,AU381)+AX381/_xlfn.XLOOKUP(_xlfn.XLOOKUP($F381,Clientes!$B$4:$B$39,Clientes!$C$4:$C$39),Cadastros!$L$6:$L$12,Cadastros!$M$6:$M$12)+IF($F381="Bernardino Furlan",AY381/2751.92,IF($F381="Mauro José Salanti",AY381/2751.92,AY381/3356)),F381&lt;&gt;0,SUM(L381,Q381,V381,AA381,AF381,AK381,AP381,AU381))))</f>
        <v xml:space="preserve"> </v>
      </c>
      <c r="BE381" s="120"/>
      <c r="BF381" s="120"/>
      <c r="BG381" s="120"/>
    </row>
    <row r="382" spans="1:59" s="3" customFormat="1" x14ac:dyDescent="0.3">
      <c r="A382" s="15" t="str">
        <f t="shared" si="65"/>
        <v/>
      </c>
      <c r="B382" s="25"/>
      <c r="C382" s="26"/>
      <c r="D382" s="279"/>
      <c r="E382" s="27"/>
      <c r="F382" s="28"/>
      <c r="G382" s="27"/>
      <c r="H382" s="28"/>
      <c r="I382" s="28"/>
      <c r="J382" s="255" t="str">
        <f>IF(H382="","",(_xlfn.XLOOKUP(H382,Cadastros!$D$6:$D$90,Cadastros!$E$6:$E$90))*(1-_xlfn.XLOOKUP(_xlfn.XLOOKUP($F382,Clientes!$B$4:$B$39,Clientes!$C$4:$C$39),Cadastros!$L$6:$L$12,Cadastros!$N$6:$N$12)))</f>
        <v/>
      </c>
      <c r="K382" s="168" t="str">
        <f t="shared" si="66"/>
        <v/>
      </c>
      <c r="L382" s="168" t="str">
        <f>IFERROR(K382/_xlfn.XLOOKUP(_xlfn.XLOOKUP($F382,Clientes!$B$4:$B$39,Clientes!$C$4:$C$39),Cadastros!$L$6:$L$12,Cadastros!$M$6:$M$12)," ")</f>
        <v xml:space="preserve"> </v>
      </c>
      <c r="M382" s="28"/>
      <c r="N382" s="28"/>
      <c r="O382" s="255" t="str">
        <f>IF(M382="","",(_xlfn.XLOOKUP(M382,Cadastros!$D$6:$D$90,Cadastros!$E$6:$E$90))*(1-_xlfn.XLOOKUP(_xlfn.XLOOKUP($F382,Clientes!$B$4:$B$39,Clientes!$C$4:$C$39),Cadastros!$L$6:$L$12,Cadastros!$N$6:$N$12)))</f>
        <v/>
      </c>
      <c r="P382" s="168" t="str">
        <f t="shared" si="67"/>
        <v/>
      </c>
      <c r="Q382" s="168" t="str">
        <f>IFERROR(P382/_xlfn.XLOOKUP(_xlfn.XLOOKUP($F382,Clientes!$B$4:$B$39,Clientes!$C$4:$C$39),Cadastros!$L$6:$L$12,Cadastros!$M$6:$M$12)," ")</f>
        <v xml:space="preserve"> </v>
      </c>
      <c r="R382" s="28"/>
      <c r="S382" s="28"/>
      <c r="T382" s="255" t="str">
        <f>IF(R382="","",(_xlfn.XLOOKUP(R382,Cadastros!$D$6:$D$90,Cadastros!$E$6:$E$90))*(1-_xlfn.XLOOKUP(_xlfn.XLOOKUP($F382,Clientes!$B$4:$B$39,Clientes!$C$4:$C$39),Cadastros!$L$6:$L$12,Cadastros!$N$6:$N$12)))</f>
        <v/>
      </c>
      <c r="U382" s="168" t="str">
        <f t="shared" si="68"/>
        <v/>
      </c>
      <c r="V382" s="168" t="str">
        <f>IFERROR(U382/_xlfn.XLOOKUP(_xlfn.XLOOKUP($F382,Clientes!$B$4:$B$39,Clientes!$C$4:$C$39),Cadastros!$L$6:$L$12,Cadastros!$M$6:$M$12)," ")</f>
        <v xml:space="preserve"> </v>
      </c>
      <c r="W382" s="28"/>
      <c r="X382" s="28"/>
      <c r="Y382" s="255" t="str">
        <f>IF(W382="","",(_xlfn.XLOOKUP(W382,Cadastros!$D$6:$D$90,Cadastros!$E$6:$E$90))*(1-_xlfn.XLOOKUP(_xlfn.XLOOKUP($F382,Clientes!$B$4:$B$39,Clientes!$C$4:$C$39),Cadastros!$L$6:$L$12,Cadastros!$N$6:$N$12)))</f>
        <v/>
      </c>
      <c r="Z382" s="168" t="str">
        <f t="shared" si="69"/>
        <v/>
      </c>
      <c r="AA382" s="168" t="str">
        <f>IFERROR(Z382/_xlfn.XLOOKUP(_xlfn.XLOOKUP($F382,Clientes!$B$4:$B$39,Clientes!$C$4:$C$39),Cadastros!$L$6:$L$12,Cadastros!$M$6:$M$12)," ")</f>
        <v xml:space="preserve"> </v>
      </c>
      <c r="AB382" s="28"/>
      <c r="AC382" s="28"/>
      <c r="AD382" s="20" t="str">
        <f>IF(AB382="","",IF($F382="Bernardino Furlan",_xlfn.XLOOKUP(AB382,Cadastros!$G$6:$G$90,Cadastros!$H$6:$H$90)*(1-0.18),IF($F382="Mauro José Salanti",_xlfn.XLOOKUP(AB382,Cadastros!$G$6:$G$90,Cadastros!$H$6:$H$90)*(1-0.18),_xlfn.XLOOKUP(AB382,Cadastros!$G$6:$G$90,Cadastros!$H$6:$H$90))))</f>
        <v/>
      </c>
      <c r="AE382" s="168" t="str">
        <f t="shared" si="70"/>
        <v/>
      </c>
      <c r="AF382" s="168" t="str">
        <f t="shared" si="71"/>
        <v/>
      </c>
      <c r="AG382" s="28"/>
      <c r="AH382" s="28"/>
      <c r="AI382" s="20" t="str">
        <f>IF(AG382="","",IF($F382="Bernardino Furlan",_xlfn.XLOOKUP(AG382,Cadastros!$G$6:$G$90,Cadastros!$H$6:$H$90)*(1-0.18),IF($F382="Mauro José Salanti",_xlfn.XLOOKUP(AG382,Cadastros!$G$6:$G$90,Cadastros!$H$6:$H$90)*(1-0.18),_xlfn.XLOOKUP(AG382,Cadastros!$G$6:$G$90,Cadastros!$H$6:$H$90))))</f>
        <v/>
      </c>
      <c r="AJ382" s="168" t="str">
        <f t="shared" si="72"/>
        <v/>
      </c>
      <c r="AK382" s="168" t="str">
        <f t="shared" si="73"/>
        <v/>
      </c>
      <c r="AL382" s="28"/>
      <c r="AM382" s="28"/>
      <c r="AN382" s="20" t="str">
        <f>IF(AL382="","",IF($F382="Bernardino Furlan",_xlfn.XLOOKUP(AL382,Cadastros!$G$6:$G$90,Cadastros!$H$6:$H$90)*(1-0.18),IF($F382="Mauro José Salanti",_xlfn.XLOOKUP(AL382,Cadastros!$G$6:$G$90,Cadastros!$H$6:$H$90)*(1-0.18),_xlfn.XLOOKUP(AL382,Cadastros!$G$6:$G$90,Cadastros!$H$6:$H$90))))</f>
        <v/>
      </c>
      <c r="AO382" s="168" t="str">
        <f t="shared" si="74"/>
        <v/>
      </c>
      <c r="AP382" s="168" t="str">
        <f t="shared" si="75"/>
        <v/>
      </c>
      <c r="AQ382" s="28"/>
      <c r="AR382" s="28"/>
      <c r="AS382" s="20" t="str">
        <f>IF(AQ382="","",IF($F382="Bernardino Furlan",_xlfn.XLOOKUP(AQ382,Cadastros!$G$6:$G$90,Cadastros!$H$6:$H$90)*(1-0.18),IF($F382="Mauro José Salanti",_xlfn.XLOOKUP(AQ382,Cadastros!$G$6:$G$90,Cadastros!$H$6:$H$90)*(1-0.18),_xlfn.XLOOKUP(AQ382,Cadastros!$G$6:$G$90,Cadastros!$H$6:$H$90))))</f>
        <v/>
      </c>
      <c r="AT382" s="168" t="str">
        <f t="shared" si="76"/>
        <v/>
      </c>
      <c r="AU382" s="168" t="str">
        <f t="shared" si="77"/>
        <v/>
      </c>
      <c r="AV382" s="227"/>
      <c r="AW382" s="30"/>
      <c r="AX382" s="267"/>
      <c r="AY382" s="267"/>
      <c r="AZ382" s="29"/>
      <c r="BA382" s="30"/>
      <c r="BB382" s="23" t="str" cm="1">
        <f t="array" ref="BB382">_xlfn.IFS(AW382="SIM",SUM(K382,P382,U382,Z382,AE382,AJ382,AO382,AT382,AX382,AY382),F382&lt;&gt;"",SUM(K382,P382,U382,Z382,AE382,AJ382,,AO382,AT382),F382="","")</f>
        <v/>
      </c>
      <c r="BC382" s="211" t="str" cm="1">
        <f t="array" ref="BC382">_xlfn.IFS(E382="","",G382&lt;=E382,BB382*(1-0.03),G382&lt;(E382+8),BB382,AZ382="Boleto",BB382*(1+0.001)^DATEDIF(E382,G382,"D"),AZ382="Cheque",BB382,AZ382="Dinheiro","Alterar forma pgto")</f>
        <v/>
      </c>
      <c r="BD382" s="276" t="str" cm="1">
        <f t="array" ref="BD382">IF(F382=0," ",IF(BC382&lt;BB382,(_xlfn.IFS(AW382="SIM",SUM(L382,Q382,V382,AA382,AF382,AK382,AP382,AU382)+AX382/_xlfn.XLOOKUP(_xlfn.XLOOKUP($F382,Clientes!$B$4:$B$39,Clientes!$C$4:$C$39),Cadastros!$L$6:$L$12,Cadastros!$M$6:$M$12)+IF($F382="Bernardino Furlan",AY382/2751.92,IF($F382="Mauro José Salanti",AY382/2751.92,AY382/3356)),F382&lt;&gt;0,SUM(L382,Q382,V382,AA382,AF382,AK382,AP382,AU382)))*(1-0.03),_xlfn.IFS(AW382="SIM",SUM(L382,Q382,V382,AA382,AF382,AK382,AP382,AU382)+AX382/_xlfn.XLOOKUP(_xlfn.XLOOKUP($F382,Clientes!$B$4:$B$39,Clientes!$C$4:$C$39),Cadastros!$L$6:$L$12,Cadastros!$M$6:$M$12)+IF($F382="Bernardino Furlan",AY382/2751.92,IF($F382="Mauro José Salanti",AY382/2751.92,AY382/3356)),F382&lt;&gt;0,SUM(L382,Q382,V382,AA382,AF382,AK382,AP382,AU382))))</f>
        <v xml:space="preserve"> </v>
      </c>
      <c r="BE382" s="120"/>
      <c r="BF382" s="120"/>
      <c r="BG382" s="120"/>
    </row>
    <row r="383" spans="1:59" s="3" customFormat="1" x14ac:dyDescent="0.3">
      <c r="A383" s="15" t="str">
        <f t="shared" si="65"/>
        <v/>
      </c>
      <c r="B383" s="25"/>
      <c r="C383" s="26"/>
      <c r="D383" s="279"/>
      <c r="E383" s="27"/>
      <c r="F383" s="28"/>
      <c r="G383" s="27"/>
      <c r="H383" s="28"/>
      <c r="I383" s="28"/>
      <c r="J383" s="255" t="str">
        <f>IF(H383="","",(_xlfn.XLOOKUP(H383,Cadastros!$D$6:$D$90,Cadastros!$E$6:$E$90))*(1-_xlfn.XLOOKUP(_xlfn.XLOOKUP($F383,Clientes!$B$4:$B$39,Clientes!$C$4:$C$39),Cadastros!$L$6:$L$12,Cadastros!$N$6:$N$12)))</f>
        <v/>
      </c>
      <c r="K383" s="168" t="str">
        <f t="shared" si="66"/>
        <v/>
      </c>
      <c r="L383" s="168" t="str">
        <f>IFERROR(K383/_xlfn.XLOOKUP(_xlfn.XLOOKUP($F383,Clientes!$B$4:$B$39,Clientes!$C$4:$C$39),Cadastros!$L$6:$L$12,Cadastros!$M$6:$M$12)," ")</f>
        <v xml:space="preserve"> </v>
      </c>
      <c r="M383" s="28"/>
      <c r="N383" s="28"/>
      <c r="O383" s="255" t="str">
        <f>IF(M383="","",(_xlfn.XLOOKUP(M383,Cadastros!$D$6:$D$90,Cadastros!$E$6:$E$90))*(1-_xlfn.XLOOKUP(_xlfn.XLOOKUP($F383,Clientes!$B$4:$B$39,Clientes!$C$4:$C$39),Cadastros!$L$6:$L$12,Cadastros!$N$6:$N$12)))</f>
        <v/>
      </c>
      <c r="P383" s="168" t="str">
        <f t="shared" si="67"/>
        <v/>
      </c>
      <c r="Q383" s="168" t="str">
        <f>IFERROR(P383/_xlfn.XLOOKUP(_xlfn.XLOOKUP($F383,Clientes!$B$4:$B$39,Clientes!$C$4:$C$39),Cadastros!$L$6:$L$12,Cadastros!$M$6:$M$12)," ")</f>
        <v xml:space="preserve"> </v>
      </c>
      <c r="R383" s="28"/>
      <c r="S383" s="28"/>
      <c r="T383" s="255" t="str">
        <f>IF(R383="","",(_xlfn.XLOOKUP(R383,Cadastros!$D$6:$D$90,Cadastros!$E$6:$E$90))*(1-_xlfn.XLOOKUP(_xlfn.XLOOKUP($F383,Clientes!$B$4:$B$39,Clientes!$C$4:$C$39),Cadastros!$L$6:$L$12,Cadastros!$N$6:$N$12)))</f>
        <v/>
      </c>
      <c r="U383" s="168" t="str">
        <f t="shared" si="68"/>
        <v/>
      </c>
      <c r="V383" s="168" t="str">
        <f>IFERROR(U383/_xlfn.XLOOKUP(_xlfn.XLOOKUP($F383,Clientes!$B$4:$B$39,Clientes!$C$4:$C$39),Cadastros!$L$6:$L$12,Cadastros!$M$6:$M$12)," ")</f>
        <v xml:space="preserve"> </v>
      </c>
      <c r="W383" s="28"/>
      <c r="X383" s="28"/>
      <c r="Y383" s="255" t="str">
        <f>IF(W383="","",(_xlfn.XLOOKUP(W383,Cadastros!$D$6:$D$90,Cadastros!$E$6:$E$90))*(1-_xlfn.XLOOKUP(_xlfn.XLOOKUP($F383,Clientes!$B$4:$B$39,Clientes!$C$4:$C$39),Cadastros!$L$6:$L$12,Cadastros!$N$6:$N$12)))</f>
        <v/>
      </c>
      <c r="Z383" s="168" t="str">
        <f t="shared" si="69"/>
        <v/>
      </c>
      <c r="AA383" s="168" t="str">
        <f>IFERROR(Z383/_xlfn.XLOOKUP(_xlfn.XLOOKUP($F383,Clientes!$B$4:$B$39,Clientes!$C$4:$C$39),Cadastros!$L$6:$L$12,Cadastros!$M$6:$M$12)," ")</f>
        <v xml:space="preserve"> </v>
      </c>
      <c r="AB383" s="28"/>
      <c r="AC383" s="28"/>
      <c r="AD383" s="20" t="str">
        <f>IF(AB383="","",IF($F383="Bernardino Furlan",_xlfn.XLOOKUP(AB383,Cadastros!$G$6:$G$90,Cadastros!$H$6:$H$90)*(1-0.18),IF($F383="Mauro José Salanti",_xlfn.XLOOKUP(AB383,Cadastros!$G$6:$G$90,Cadastros!$H$6:$H$90)*(1-0.18),_xlfn.XLOOKUP(AB383,Cadastros!$G$6:$G$90,Cadastros!$H$6:$H$90))))</f>
        <v/>
      </c>
      <c r="AE383" s="168" t="str">
        <f t="shared" si="70"/>
        <v/>
      </c>
      <c r="AF383" s="168" t="str">
        <f t="shared" si="71"/>
        <v/>
      </c>
      <c r="AG383" s="28"/>
      <c r="AH383" s="28"/>
      <c r="AI383" s="20" t="str">
        <f>IF(AG383="","",IF($F383="Bernardino Furlan",_xlfn.XLOOKUP(AG383,Cadastros!$G$6:$G$90,Cadastros!$H$6:$H$90)*(1-0.18),IF($F383="Mauro José Salanti",_xlfn.XLOOKUP(AG383,Cadastros!$G$6:$G$90,Cadastros!$H$6:$H$90)*(1-0.18),_xlfn.XLOOKUP(AG383,Cadastros!$G$6:$G$90,Cadastros!$H$6:$H$90))))</f>
        <v/>
      </c>
      <c r="AJ383" s="168" t="str">
        <f t="shared" si="72"/>
        <v/>
      </c>
      <c r="AK383" s="168" t="str">
        <f t="shared" si="73"/>
        <v/>
      </c>
      <c r="AL383" s="28"/>
      <c r="AM383" s="28"/>
      <c r="AN383" s="20" t="str">
        <f>IF(AL383="","",IF($F383="Bernardino Furlan",_xlfn.XLOOKUP(AL383,Cadastros!$G$6:$G$90,Cadastros!$H$6:$H$90)*(1-0.18),IF($F383="Mauro José Salanti",_xlfn.XLOOKUP(AL383,Cadastros!$G$6:$G$90,Cadastros!$H$6:$H$90)*(1-0.18),_xlfn.XLOOKUP(AL383,Cadastros!$G$6:$G$90,Cadastros!$H$6:$H$90))))</f>
        <v/>
      </c>
      <c r="AO383" s="168" t="str">
        <f t="shared" si="74"/>
        <v/>
      </c>
      <c r="AP383" s="168" t="str">
        <f t="shared" si="75"/>
        <v/>
      </c>
      <c r="AQ383" s="28"/>
      <c r="AR383" s="28"/>
      <c r="AS383" s="20" t="str">
        <f>IF(AQ383="","",IF($F383="Bernardino Furlan",_xlfn.XLOOKUP(AQ383,Cadastros!$G$6:$G$90,Cadastros!$H$6:$H$90)*(1-0.18),IF($F383="Mauro José Salanti",_xlfn.XLOOKUP(AQ383,Cadastros!$G$6:$G$90,Cadastros!$H$6:$H$90)*(1-0.18),_xlfn.XLOOKUP(AQ383,Cadastros!$G$6:$G$90,Cadastros!$H$6:$H$90))))</f>
        <v/>
      </c>
      <c r="AT383" s="168" t="str">
        <f t="shared" si="76"/>
        <v/>
      </c>
      <c r="AU383" s="168" t="str">
        <f t="shared" si="77"/>
        <v/>
      </c>
      <c r="AV383" s="227"/>
      <c r="AW383" s="30"/>
      <c r="AX383" s="267"/>
      <c r="AY383" s="267"/>
      <c r="AZ383" s="29"/>
      <c r="BA383" s="30"/>
      <c r="BB383" s="23" t="str" cm="1">
        <f t="array" ref="BB383">_xlfn.IFS(AW383="SIM",SUM(K383,P383,U383,Z383,AE383,AJ383,AO383,AT383,AX383,AY383),F383&lt;&gt;"",SUM(K383,P383,U383,Z383,AE383,AJ383,,AO383,AT383),F383="","")</f>
        <v/>
      </c>
      <c r="BC383" s="211" t="str" cm="1">
        <f t="array" ref="BC383">_xlfn.IFS(E383="","",G383&lt;=E383,BB383*(1-0.03),G383&lt;(E383+8),BB383,AZ383="Boleto",BB383*(1+0.001)^DATEDIF(E383,G383,"D"),AZ383="Cheque",BB383,AZ383="Dinheiro","Alterar forma pgto")</f>
        <v/>
      </c>
      <c r="BD383" s="276" t="str" cm="1">
        <f t="array" ref="BD383">IF(F383=0," ",IF(BC383&lt;BB383,(_xlfn.IFS(AW383="SIM",SUM(L383,Q383,V383,AA383,AF383,AK383,AP383,AU383)+AX383/_xlfn.XLOOKUP(_xlfn.XLOOKUP($F383,Clientes!$B$4:$B$39,Clientes!$C$4:$C$39),Cadastros!$L$6:$L$12,Cadastros!$M$6:$M$12)+IF($F383="Bernardino Furlan",AY383/2751.92,IF($F383="Mauro José Salanti",AY383/2751.92,AY383/3356)),F383&lt;&gt;0,SUM(L383,Q383,V383,AA383,AF383,AK383,AP383,AU383)))*(1-0.03),_xlfn.IFS(AW383="SIM",SUM(L383,Q383,V383,AA383,AF383,AK383,AP383,AU383)+AX383/_xlfn.XLOOKUP(_xlfn.XLOOKUP($F383,Clientes!$B$4:$B$39,Clientes!$C$4:$C$39),Cadastros!$L$6:$L$12,Cadastros!$M$6:$M$12)+IF($F383="Bernardino Furlan",AY383/2751.92,IF($F383="Mauro José Salanti",AY383/2751.92,AY383/3356)),F383&lt;&gt;0,SUM(L383,Q383,V383,AA383,AF383,AK383,AP383,AU383))))</f>
        <v xml:space="preserve"> </v>
      </c>
      <c r="BE383" s="120"/>
      <c r="BF383" s="120"/>
      <c r="BG383" s="120"/>
    </row>
    <row r="384" spans="1:59" s="3" customFormat="1" x14ac:dyDescent="0.3">
      <c r="A384" s="15" t="str">
        <f t="shared" si="65"/>
        <v/>
      </c>
      <c r="B384" s="25"/>
      <c r="C384" s="26"/>
      <c r="D384" s="279"/>
      <c r="E384" s="27"/>
      <c r="F384" s="28"/>
      <c r="G384" s="27"/>
      <c r="H384" s="28"/>
      <c r="I384" s="28"/>
      <c r="J384" s="255" t="str">
        <f>IF(H384="","",(_xlfn.XLOOKUP(H384,Cadastros!$D$6:$D$90,Cadastros!$E$6:$E$90))*(1-_xlfn.XLOOKUP(_xlfn.XLOOKUP($F384,Clientes!$B$4:$B$39,Clientes!$C$4:$C$39),Cadastros!$L$6:$L$12,Cadastros!$N$6:$N$12)))</f>
        <v/>
      </c>
      <c r="K384" s="168" t="str">
        <f t="shared" si="66"/>
        <v/>
      </c>
      <c r="L384" s="168" t="str">
        <f>IFERROR(K384/_xlfn.XLOOKUP(_xlfn.XLOOKUP($F384,Clientes!$B$4:$B$39,Clientes!$C$4:$C$39),Cadastros!$L$6:$L$12,Cadastros!$M$6:$M$12)," ")</f>
        <v xml:space="preserve"> </v>
      </c>
      <c r="M384" s="28"/>
      <c r="N384" s="28"/>
      <c r="O384" s="255" t="str">
        <f>IF(M384="","",(_xlfn.XLOOKUP(M384,Cadastros!$D$6:$D$90,Cadastros!$E$6:$E$90))*(1-_xlfn.XLOOKUP(_xlfn.XLOOKUP($F384,Clientes!$B$4:$B$39,Clientes!$C$4:$C$39),Cadastros!$L$6:$L$12,Cadastros!$N$6:$N$12)))</f>
        <v/>
      </c>
      <c r="P384" s="168" t="str">
        <f t="shared" si="67"/>
        <v/>
      </c>
      <c r="Q384" s="168" t="str">
        <f>IFERROR(P384/_xlfn.XLOOKUP(_xlfn.XLOOKUP($F384,Clientes!$B$4:$B$39,Clientes!$C$4:$C$39),Cadastros!$L$6:$L$12,Cadastros!$M$6:$M$12)," ")</f>
        <v xml:space="preserve"> </v>
      </c>
      <c r="R384" s="28"/>
      <c r="S384" s="28"/>
      <c r="T384" s="255" t="str">
        <f>IF(R384="","",(_xlfn.XLOOKUP(R384,Cadastros!$D$6:$D$90,Cadastros!$E$6:$E$90))*(1-_xlfn.XLOOKUP(_xlfn.XLOOKUP($F384,Clientes!$B$4:$B$39,Clientes!$C$4:$C$39),Cadastros!$L$6:$L$12,Cadastros!$N$6:$N$12)))</f>
        <v/>
      </c>
      <c r="U384" s="168" t="str">
        <f t="shared" si="68"/>
        <v/>
      </c>
      <c r="V384" s="168" t="str">
        <f>IFERROR(U384/_xlfn.XLOOKUP(_xlfn.XLOOKUP($F384,Clientes!$B$4:$B$39,Clientes!$C$4:$C$39),Cadastros!$L$6:$L$12,Cadastros!$M$6:$M$12)," ")</f>
        <v xml:space="preserve"> </v>
      </c>
      <c r="W384" s="28"/>
      <c r="X384" s="28"/>
      <c r="Y384" s="255" t="str">
        <f>IF(W384="","",(_xlfn.XLOOKUP(W384,Cadastros!$D$6:$D$90,Cadastros!$E$6:$E$90))*(1-_xlfn.XLOOKUP(_xlfn.XLOOKUP($F384,Clientes!$B$4:$B$39,Clientes!$C$4:$C$39),Cadastros!$L$6:$L$12,Cadastros!$N$6:$N$12)))</f>
        <v/>
      </c>
      <c r="Z384" s="168" t="str">
        <f t="shared" si="69"/>
        <v/>
      </c>
      <c r="AA384" s="168" t="str">
        <f>IFERROR(Z384/_xlfn.XLOOKUP(_xlfn.XLOOKUP($F384,Clientes!$B$4:$B$39,Clientes!$C$4:$C$39),Cadastros!$L$6:$L$12,Cadastros!$M$6:$M$12)," ")</f>
        <v xml:space="preserve"> </v>
      </c>
      <c r="AB384" s="28"/>
      <c r="AC384" s="28"/>
      <c r="AD384" s="20" t="str">
        <f>IF(AB384="","",IF($F384="Bernardino Furlan",_xlfn.XLOOKUP(AB384,Cadastros!$G$6:$G$90,Cadastros!$H$6:$H$90)*(1-0.18),IF($F384="Mauro José Salanti",_xlfn.XLOOKUP(AB384,Cadastros!$G$6:$G$90,Cadastros!$H$6:$H$90)*(1-0.18),_xlfn.XLOOKUP(AB384,Cadastros!$G$6:$G$90,Cadastros!$H$6:$H$90))))</f>
        <v/>
      </c>
      <c r="AE384" s="168" t="str">
        <f t="shared" si="70"/>
        <v/>
      </c>
      <c r="AF384" s="168" t="str">
        <f t="shared" si="71"/>
        <v/>
      </c>
      <c r="AG384" s="28"/>
      <c r="AH384" s="28"/>
      <c r="AI384" s="20" t="str">
        <f>IF(AG384="","",IF($F384="Bernardino Furlan",_xlfn.XLOOKUP(AG384,Cadastros!$G$6:$G$90,Cadastros!$H$6:$H$90)*(1-0.18),IF($F384="Mauro José Salanti",_xlfn.XLOOKUP(AG384,Cadastros!$G$6:$G$90,Cadastros!$H$6:$H$90)*(1-0.18),_xlfn.XLOOKUP(AG384,Cadastros!$G$6:$G$90,Cadastros!$H$6:$H$90))))</f>
        <v/>
      </c>
      <c r="AJ384" s="168" t="str">
        <f t="shared" si="72"/>
        <v/>
      </c>
      <c r="AK384" s="168" t="str">
        <f t="shared" si="73"/>
        <v/>
      </c>
      <c r="AL384" s="28"/>
      <c r="AM384" s="28"/>
      <c r="AN384" s="20" t="str">
        <f>IF(AL384="","",IF($F384="Bernardino Furlan",_xlfn.XLOOKUP(AL384,Cadastros!$G$6:$G$90,Cadastros!$H$6:$H$90)*(1-0.18),IF($F384="Mauro José Salanti",_xlfn.XLOOKUP(AL384,Cadastros!$G$6:$G$90,Cadastros!$H$6:$H$90)*(1-0.18),_xlfn.XLOOKUP(AL384,Cadastros!$G$6:$G$90,Cadastros!$H$6:$H$90))))</f>
        <v/>
      </c>
      <c r="AO384" s="168" t="str">
        <f t="shared" si="74"/>
        <v/>
      </c>
      <c r="AP384" s="168" t="str">
        <f t="shared" si="75"/>
        <v/>
      </c>
      <c r="AQ384" s="28"/>
      <c r="AR384" s="28"/>
      <c r="AS384" s="20" t="str">
        <f>IF(AQ384="","",IF($F384="Bernardino Furlan",_xlfn.XLOOKUP(AQ384,Cadastros!$G$6:$G$90,Cadastros!$H$6:$H$90)*(1-0.18),IF($F384="Mauro José Salanti",_xlfn.XLOOKUP(AQ384,Cadastros!$G$6:$G$90,Cadastros!$H$6:$H$90)*(1-0.18),_xlfn.XLOOKUP(AQ384,Cadastros!$G$6:$G$90,Cadastros!$H$6:$H$90))))</f>
        <v/>
      </c>
      <c r="AT384" s="168" t="str">
        <f t="shared" si="76"/>
        <v/>
      </c>
      <c r="AU384" s="168" t="str">
        <f t="shared" si="77"/>
        <v/>
      </c>
      <c r="AV384" s="227"/>
      <c r="AW384" s="30"/>
      <c r="AX384" s="267"/>
      <c r="AY384" s="267"/>
      <c r="AZ384" s="29"/>
      <c r="BA384" s="30"/>
      <c r="BB384" s="23" t="str" cm="1">
        <f t="array" ref="BB384">_xlfn.IFS(AW384="SIM",SUM(K384,P384,U384,Z384,AE384,AJ384,AO384,AT384,AX384,AY384),F384&lt;&gt;"",SUM(K384,P384,U384,Z384,AE384,AJ384,,AO384,AT384),F384="","")</f>
        <v/>
      </c>
      <c r="BC384" s="211" t="str" cm="1">
        <f t="array" ref="BC384">_xlfn.IFS(E384="","",G384&lt;=E384,BB384*(1-0.03),G384&lt;(E384+8),BB384,AZ384="Boleto",BB384*(1+0.001)^DATEDIF(E384,G384,"D"),AZ384="Cheque",BB384,AZ384="Dinheiro","Alterar forma pgto")</f>
        <v/>
      </c>
      <c r="BD384" s="276" t="str" cm="1">
        <f t="array" ref="BD384">IF(F384=0," ",IF(BC384&lt;BB384,(_xlfn.IFS(AW384="SIM",SUM(L384,Q384,V384,AA384,AF384,AK384,AP384,AU384)+AX384/_xlfn.XLOOKUP(_xlfn.XLOOKUP($F384,Clientes!$B$4:$B$39,Clientes!$C$4:$C$39),Cadastros!$L$6:$L$12,Cadastros!$M$6:$M$12)+IF($F384="Bernardino Furlan",AY384/2751.92,IF($F384="Mauro José Salanti",AY384/2751.92,AY384/3356)),F384&lt;&gt;0,SUM(L384,Q384,V384,AA384,AF384,AK384,AP384,AU384)))*(1-0.03),_xlfn.IFS(AW384="SIM",SUM(L384,Q384,V384,AA384,AF384,AK384,AP384,AU384)+AX384/_xlfn.XLOOKUP(_xlfn.XLOOKUP($F384,Clientes!$B$4:$B$39,Clientes!$C$4:$C$39),Cadastros!$L$6:$L$12,Cadastros!$M$6:$M$12)+IF($F384="Bernardino Furlan",AY384/2751.92,IF($F384="Mauro José Salanti",AY384/2751.92,AY384/3356)),F384&lt;&gt;0,SUM(L384,Q384,V384,AA384,AF384,AK384,AP384,AU384))))</f>
        <v xml:space="preserve"> </v>
      </c>
      <c r="BE384" s="120"/>
      <c r="BF384" s="120"/>
      <c r="BG384" s="120"/>
    </row>
    <row r="385" spans="1:59" s="3" customFormat="1" x14ac:dyDescent="0.3">
      <c r="A385" s="15" t="str">
        <f t="shared" si="65"/>
        <v/>
      </c>
      <c r="B385" s="25"/>
      <c r="C385" s="26"/>
      <c r="D385" s="279"/>
      <c r="E385" s="27"/>
      <c r="F385" s="28"/>
      <c r="G385" s="27"/>
      <c r="H385" s="28"/>
      <c r="I385" s="28"/>
      <c r="J385" s="255" t="str">
        <f>IF(H385="","",(_xlfn.XLOOKUP(H385,Cadastros!$D$6:$D$90,Cadastros!$E$6:$E$90))*(1-_xlfn.XLOOKUP(_xlfn.XLOOKUP($F385,Clientes!$B$4:$B$39,Clientes!$C$4:$C$39),Cadastros!$L$6:$L$12,Cadastros!$N$6:$N$12)))</f>
        <v/>
      </c>
      <c r="K385" s="168" t="str">
        <f t="shared" si="66"/>
        <v/>
      </c>
      <c r="L385" s="168" t="str">
        <f>IFERROR(K385/_xlfn.XLOOKUP(_xlfn.XLOOKUP($F385,Clientes!$B$4:$B$39,Clientes!$C$4:$C$39),Cadastros!$L$6:$L$12,Cadastros!$M$6:$M$12)," ")</f>
        <v xml:space="preserve"> </v>
      </c>
      <c r="M385" s="28"/>
      <c r="N385" s="28"/>
      <c r="O385" s="255" t="str">
        <f>IF(M385="","",(_xlfn.XLOOKUP(M385,Cadastros!$D$6:$D$90,Cadastros!$E$6:$E$90))*(1-_xlfn.XLOOKUP(_xlfn.XLOOKUP($F385,Clientes!$B$4:$B$39,Clientes!$C$4:$C$39),Cadastros!$L$6:$L$12,Cadastros!$N$6:$N$12)))</f>
        <v/>
      </c>
      <c r="P385" s="168" t="str">
        <f t="shared" si="67"/>
        <v/>
      </c>
      <c r="Q385" s="168" t="str">
        <f>IFERROR(P385/_xlfn.XLOOKUP(_xlfn.XLOOKUP($F385,Clientes!$B$4:$B$39,Clientes!$C$4:$C$39),Cadastros!$L$6:$L$12,Cadastros!$M$6:$M$12)," ")</f>
        <v xml:space="preserve"> </v>
      </c>
      <c r="R385" s="28"/>
      <c r="S385" s="28"/>
      <c r="T385" s="255" t="str">
        <f>IF(R385="","",(_xlfn.XLOOKUP(R385,Cadastros!$D$6:$D$90,Cadastros!$E$6:$E$90))*(1-_xlfn.XLOOKUP(_xlfn.XLOOKUP($F385,Clientes!$B$4:$B$39,Clientes!$C$4:$C$39),Cadastros!$L$6:$L$12,Cadastros!$N$6:$N$12)))</f>
        <v/>
      </c>
      <c r="U385" s="168" t="str">
        <f t="shared" si="68"/>
        <v/>
      </c>
      <c r="V385" s="168" t="str">
        <f>IFERROR(U385/_xlfn.XLOOKUP(_xlfn.XLOOKUP($F385,Clientes!$B$4:$B$39,Clientes!$C$4:$C$39),Cadastros!$L$6:$L$12,Cadastros!$M$6:$M$12)," ")</f>
        <v xml:space="preserve"> </v>
      </c>
      <c r="W385" s="28"/>
      <c r="X385" s="28"/>
      <c r="Y385" s="255" t="str">
        <f>IF(W385="","",(_xlfn.XLOOKUP(W385,Cadastros!$D$6:$D$90,Cadastros!$E$6:$E$90))*(1-_xlfn.XLOOKUP(_xlfn.XLOOKUP($F385,Clientes!$B$4:$B$39,Clientes!$C$4:$C$39),Cadastros!$L$6:$L$12,Cadastros!$N$6:$N$12)))</f>
        <v/>
      </c>
      <c r="Z385" s="168" t="str">
        <f t="shared" si="69"/>
        <v/>
      </c>
      <c r="AA385" s="168" t="str">
        <f>IFERROR(Z385/_xlfn.XLOOKUP(_xlfn.XLOOKUP($F385,Clientes!$B$4:$B$39,Clientes!$C$4:$C$39),Cadastros!$L$6:$L$12,Cadastros!$M$6:$M$12)," ")</f>
        <v xml:space="preserve"> </v>
      </c>
      <c r="AB385" s="28"/>
      <c r="AC385" s="28"/>
      <c r="AD385" s="20" t="str">
        <f>IF(AB385="","",IF($F385="Bernardino Furlan",_xlfn.XLOOKUP(AB385,Cadastros!$G$6:$G$90,Cadastros!$H$6:$H$90)*(1-0.18),IF($F385="Mauro José Salanti",_xlfn.XLOOKUP(AB385,Cadastros!$G$6:$G$90,Cadastros!$H$6:$H$90)*(1-0.18),_xlfn.XLOOKUP(AB385,Cadastros!$G$6:$G$90,Cadastros!$H$6:$H$90))))</f>
        <v/>
      </c>
      <c r="AE385" s="168" t="str">
        <f t="shared" si="70"/>
        <v/>
      </c>
      <c r="AF385" s="168" t="str">
        <f t="shared" si="71"/>
        <v/>
      </c>
      <c r="AG385" s="28"/>
      <c r="AH385" s="28"/>
      <c r="AI385" s="20" t="str">
        <f>IF(AG385="","",IF($F385="Bernardino Furlan",_xlfn.XLOOKUP(AG385,Cadastros!$G$6:$G$90,Cadastros!$H$6:$H$90)*(1-0.18),IF($F385="Mauro José Salanti",_xlfn.XLOOKUP(AG385,Cadastros!$G$6:$G$90,Cadastros!$H$6:$H$90)*(1-0.18),_xlfn.XLOOKUP(AG385,Cadastros!$G$6:$G$90,Cadastros!$H$6:$H$90))))</f>
        <v/>
      </c>
      <c r="AJ385" s="168" t="str">
        <f t="shared" si="72"/>
        <v/>
      </c>
      <c r="AK385" s="168" t="str">
        <f t="shared" si="73"/>
        <v/>
      </c>
      <c r="AL385" s="28"/>
      <c r="AM385" s="28"/>
      <c r="AN385" s="20" t="str">
        <f>IF(AL385="","",IF($F385="Bernardino Furlan",_xlfn.XLOOKUP(AL385,Cadastros!$G$6:$G$90,Cadastros!$H$6:$H$90)*(1-0.18),IF($F385="Mauro José Salanti",_xlfn.XLOOKUP(AL385,Cadastros!$G$6:$G$90,Cadastros!$H$6:$H$90)*(1-0.18),_xlfn.XLOOKUP(AL385,Cadastros!$G$6:$G$90,Cadastros!$H$6:$H$90))))</f>
        <v/>
      </c>
      <c r="AO385" s="168" t="str">
        <f t="shared" si="74"/>
        <v/>
      </c>
      <c r="AP385" s="168" t="str">
        <f t="shared" si="75"/>
        <v/>
      </c>
      <c r="AQ385" s="28"/>
      <c r="AR385" s="28"/>
      <c r="AS385" s="20" t="str">
        <f>IF(AQ385="","",IF($F385="Bernardino Furlan",_xlfn.XLOOKUP(AQ385,Cadastros!$G$6:$G$90,Cadastros!$H$6:$H$90)*(1-0.18),IF($F385="Mauro José Salanti",_xlfn.XLOOKUP(AQ385,Cadastros!$G$6:$G$90,Cadastros!$H$6:$H$90)*(1-0.18),_xlfn.XLOOKUP(AQ385,Cadastros!$G$6:$G$90,Cadastros!$H$6:$H$90))))</f>
        <v/>
      </c>
      <c r="AT385" s="168" t="str">
        <f t="shared" si="76"/>
        <v/>
      </c>
      <c r="AU385" s="168" t="str">
        <f t="shared" si="77"/>
        <v/>
      </c>
      <c r="AV385" s="227"/>
      <c r="AW385" s="30"/>
      <c r="AX385" s="267"/>
      <c r="AY385" s="267"/>
      <c r="AZ385" s="29"/>
      <c r="BA385" s="30"/>
      <c r="BB385" s="23" t="str" cm="1">
        <f t="array" ref="BB385">_xlfn.IFS(AW385="SIM",SUM(K385,P385,U385,Z385,AE385,AJ385,AO385,AT385,AX385,AY385),F385&lt;&gt;"",SUM(K385,P385,U385,Z385,AE385,AJ385,,AO385,AT385),F385="","")</f>
        <v/>
      </c>
      <c r="BC385" s="211" t="str" cm="1">
        <f t="array" ref="BC385">_xlfn.IFS(E385="","",G385&lt;=E385,BB385*(1-0.03),G385&lt;(E385+8),BB385,AZ385="Boleto",BB385*(1+0.001)^DATEDIF(E385,G385,"D"),AZ385="Cheque",BB385,AZ385="Dinheiro","Alterar forma pgto")</f>
        <v/>
      </c>
      <c r="BD385" s="276" t="str" cm="1">
        <f t="array" ref="BD385">IF(F385=0," ",IF(BC385&lt;BB385,(_xlfn.IFS(AW385="SIM",SUM(L385,Q385,V385,AA385,AF385,AK385,AP385,AU385)+AX385/_xlfn.XLOOKUP(_xlfn.XLOOKUP($F385,Clientes!$B$4:$B$39,Clientes!$C$4:$C$39),Cadastros!$L$6:$L$12,Cadastros!$M$6:$M$12)+IF($F385="Bernardino Furlan",AY385/2751.92,IF($F385="Mauro José Salanti",AY385/2751.92,AY385/3356)),F385&lt;&gt;0,SUM(L385,Q385,V385,AA385,AF385,AK385,AP385,AU385)))*(1-0.03),_xlfn.IFS(AW385="SIM",SUM(L385,Q385,V385,AA385,AF385,AK385,AP385,AU385)+AX385/_xlfn.XLOOKUP(_xlfn.XLOOKUP($F385,Clientes!$B$4:$B$39,Clientes!$C$4:$C$39),Cadastros!$L$6:$L$12,Cadastros!$M$6:$M$12)+IF($F385="Bernardino Furlan",AY385/2751.92,IF($F385="Mauro José Salanti",AY385/2751.92,AY385/3356)),F385&lt;&gt;0,SUM(L385,Q385,V385,AA385,AF385,AK385,AP385,AU385))))</f>
        <v xml:space="preserve"> </v>
      </c>
      <c r="BE385" s="120"/>
      <c r="BF385" s="120"/>
      <c r="BG385" s="120"/>
    </row>
    <row r="386" spans="1:59" s="3" customFormat="1" x14ac:dyDescent="0.3">
      <c r="A386" s="15" t="str">
        <f t="shared" si="65"/>
        <v/>
      </c>
      <c r="B386" s="25"/>
      <c r="C386" s="26"/>
      <c r="D386" s="279"/>
      <c r="E386" s="27"/>
      <c r="F386" s="28"/>
      <c r="G386" s="27"/>
      <c r="H386" s="28"/>
      <c r="I386" s="28"/>
      <c r="J386" s="255" t="str">
        <f>IF(H386="","",(_xlfn.XLOOKUP(H386,Cadastros!$D$6:$D$90,Cadastros!$E$6:$E$90))*(1-_xlfn.XLOOKUP(_xlfn.XLOOKUP($F386,Clientes!$B$4:$B$39,Clientes!$C$4:$C$39),Cadastros!$L$6:$L$12,Cadastros!$N$6:$N$12)))</f>
        <v/>
      </c>
      <c r="K386" s="168" t="str">
        <f t="shared" si="66"/>
        <v/>
      </c>
      <c r="L386" s="168" t="str">
        <f>IFERROR(K386/_xlfn.XLOOKUP(_xlfn.XLOOKUP($F386,Clientes!$B$4:$B$39,Clientes!$C$4:$C$39),Cadastros!$L$6:$L$12,Cadastros!$M$6:$M$12)," ")</f>
        <v xml:space="preserve"> </v>
      </c>
      <c r="M386" s="28"/>
      <c r="N386" s="28"/>
      <c r="O386" s="255" t="str">
        <f>IF(M386="","",(_xlfn.XLOOKUP(M386,Cadastros!$D$6:$D$90,Cadastros!$E$6:$E$90))*(1-_xlfn.XLOOKUP(_xlfn.XLOOKUP($F386,Clientes!$B$4:$B$39,Clientes!$C$4:$C$39),Cadastros!$L$6:$L$12,Cadastros!$N$6:$N$12)))</f>
        <v/>
      </c>
      <c r="P386" s="168" t="str">
        <f t="shared" si="67"/>
        <v/>
      </c>
      <c r="Q386" s="168" t="str">
        <f>IFERROR(P386/_xlfn.XLOOKUP(_xlfn.XLOOKUP($F386,Clientes!$B$4:$B$39,Clientes!$C$4:$C$39),Cadastros!$L$6:$L$12,Cadastros!$M$6:$M$12)," ")</f>
        <v xml:space="preserve"> </v>
      </c>
      <c r="R386" s="28"/>
      <c r="S386" s="28"/>
      <c r="T386" s="255" t="str">
        <f>IF(R386="","",(_xlfn.XLOOKUP(R386,Cadastros!$D$6:$D$90,Cadastros!$E$6:$E$90))*(1-_xlfn.XLOOKUP(_xlfn.XLOOKUP($F386,Clientes!$B$4:$B$39,Clientes!$C$4:$C$39),Cadastros!$L$6:$L$12,Cadastros!$N$6:$N$12)))</f>
        <v/>
      </c>
      <c r="U386" s="168" t="str">
        <f t="shared" si="68"/>
        <v/>
      </c>
      <c r="V386" s="168" t="str">
        <f>IFERROR(U386/_xlfn.XLOOKUP(_xlfn.XLOOKUP($F386,Clientes!$B$4:$B$39,Clientes!$C$4:$C$39),Cadastros!$L$6:$L$12,Cadastros!$M$6:$M$12)," ")</f>
        <v xml:space="preserve"> </v>
      </c>
      <c r="W386" s="28"/>
      <c r="X386" s="28"/>
      <c r="Y386" s="255" t="str">
        <f>IF(W386="","",(_xlfn.XLOOKUP(W386,Cadastros!$D$6:$D$90,Cadastros!$E$6:$E$90))*(1-_xlfn.XLOOKUP(_xlfn.XLOOKUP($F386,Clientes!$B$4:$B$39,Clientes!$C$4:$C$39),Cadastros!$L$6:$L$12,Cadastros!$N$6:$N$12)))</f>
        <v/>
      </c>
      <c r="Z386" s="168" t="str">
        <f t="shared" si="69"/>
        <v/>
      </c>
      <c r="AA386" s="168" t="str">
        <f>IFERROR(Z386/_xlfn.XLOOKUP(_xlfn.XLOOKUP($F386,Clientes!$B$4:$B$39,Clientes!$C$4:$C$39),Cadastros!$L$6:$L$12,Cadastros!$M$6:$M$12)," ")</f>
        <v xml:space="preserve"> </v>
      </c>
      <c r="AB386" s="28"/>
      <c r="AC386" s="28"/>
      <c r="AD386" s="20" t="str">
        <f>IF(AB386="","",IF($F386="Bernardino Furlan",_xlfn.XLOOKUP(AB386,Cadastros!$G$6:$G$90,Cadastros!$H$6:$H$90)*(1-0.18),IF($F386="Mauro José Salanti",_xlfn.XLOOKUP(AB386,Cadastros!$G$6:$G$90,Cadastros!$H$6:$H$90)*(1-0.18),_xlfn.XLOOKUP(AB386,Cadastros!$G$6:$G$90,Cadastros!$H$6:$H$90))))</f>
        <v/>
      </c>
      <c r="AE386" s="168" t="str">
        <f t="shared" si="70"/>
        <v/>
      </c>
      <c r="AF386" s="168" t="str">
        <f t="shared" si="71"/>
        <v/>
      </c>
      <c r="AG386" s="28"/>
      <c r="AH386" s="28"/>
      <c r="AI386" s="20" t="str">
        <f>IF(AG386="","",IF($F386="Bernardino Furlan",_xlfn.XLOOKUP(AG386,Cadastros!$G$6:$G$90,Cadastros!$H$6:$H$90)*(1-0.18),IF($F386="Mauro José Salanti",_xlfn.XLOOKUP(AG386,Cadastros!$G$6:$G$90,Cadastros!$H$6:$H$90)*(1-0.18),_xlfn.XLOOKUP(AG386,Cadastros!$G$6:$G$90,Cadastros!$H$6:$H$90))))</f>
        <v/>
      </c>
      <c r="AJ386" s="168" t="str">
        <f t="shared" si="72"/>
        <v/>
      </c>
      <c r="AK386" s="168" t="str">
        <f t="shared" si="73"/>
        <v/>
      </c>
      <c r="AL386" s="28"/>
      <c r="AM386" s="28"/>
      <c r="AN386" s="20" t="str">
        <f>IF(AL386="","",IF($F386="Bernardino Furlan",_xlfn.XLOOKUP(AL386,Cadastros!$G$6:$G$90,Cadastros!$H$6:$H$90)*(1-0.18),IF($F386="Mauro José Salanti",_xlfn.XLOOKUP(AL386,Cadastros!$G$6:$G$90,Cadastros!$H$6:$H$90)*(1-0.18),_xlfn.XLOOKUP(AL386,Cadastros!$G$6:$G$90,Cadastros!$H$6:$H$90))))</f>
        <v/>
      </c>
      <c r="AO386" s="168" t="str">
        <f t="shared" si="74"/>
        <v/>
      </c>
      <c r="AP386" s="168" t="str">
        <f t="shared" si="75"/>
        <v/>
      </c>
      <c r="AQ386" s="28"/>
      <c r="AR386" s="28"/>
      <c r="AS386" s="20" t="str">
        <f>IF(AQ386="","",IF($F386="Bernardino Furlan",_xlfn.XLOOKUP(AQ386,Cadastros!$G$6:$G$90,Cadastros!$H$6:$H$90)*(1-0.18),IF($F386="Mauro José Salanti",_xlfn.XLOOKUP(AQ386,Cadastros!$G$6:$G$90,Cadastros!$H$6:$H$90)*(1-0.18),_xlfn.XLOOKUP(AQ386,Cadastros!$G$6:$G$90,Cadastros!$H$6:$H$90))))</f>
        <v/>
      </c>
      <c r="AT386" s="168" t="str">
        <f t="shared" si="76"/>
        <v/>
      </c>
      <c r="AU386" s="168" t="str">
        <f t="shared" si="77"/>
        <v/>
      </c>
      <c r="AV386" s="227"/>
      <c r="AW386" s="30"/>
      <c r="AX386" s="267"/>
      <c r="AY386" s="267"/>
      <c r="AZ386" s="29"/>
      <c r="BA386" s="30"/>
      <c r="BB386" s="23" t="str" cm="1">
        <f t="array" ref="BB386">_xlfn.IFS(AW386="SIM",SUM(K386,P386,U386,Z386,AE386,AJ386,AO386,AT386,AX386,AY386),F386&lt;&gt;"",SUM(K386,P386,U386,Z386,AE386,AJ386,,AO386,AT386),F386="","")</f>
        <v/>
      </c>
      <c r="BC386" s="211" t="str" cm="1">
        <f t="array" ref="BC386">_xlfn.IFS(E386="","",G386&lt;=E386,BB386*(1-0.03),G386&lt;(E386+8),BB386,AZ386="Boleto",BB386*(1+0.001)^DATEDIF(E386,G386,"D"),AZ386="Cheque",BB386,AZ386="Dinheiro","Alterar forma pgto")</f>
        <v/>
      </c>
      <c r="BD386" s="276" t="str" cm="1">
        <f t="array" ref="BD386">IF(F386=0," ",IF(BC386&lt;BB386,(_xlfn.IFS(AW386="SIM",SUM(L386,Q386,V386,AA386,AF386,AK386,AP386,AU386)+AX386/_xlfn.XLOOKUP(_xlfn.XLOOKUP($F386,Clientes!$B$4:$B$39,Clientes!$C$4:$C$39),Cadastros!$L$6:$L$12,Cadastros!$M$6:$M$12)+IF($F386="Bernardino Furlan",AY386/2751.92,IF($F386="Mauro José Salanti",AY386/2751.92,AY386/3356)),F386&lt;&gt;0,SUM(L386,Q386,V386,AA386,AF386,AK386,AP386,AU386)))*(1-0.03),_xlfn.IFS(AW386="SIM",SUM(L386,Q386,V386,AA386,AF386,AK386,AP386,AU386)+AX386/_xlfn.XLOOKUP(_xlfn.XLOOKUP($F386,Clientes!$B$4:$B$39,Clientes!$C$4:$C$39),Cadastros!$L$6:$L$12,Cadastros!$M$6:$M$12)+IF($F386="Bernardino Furlan",AY386/2751.92,IF($F386="Mauro José Salanti",AY386/2751.92,AY386/3356)),F386&lt;&gt;0,SUM(L386,Q386,V386,AA386,AF386,AK386,AP386,AU386))))</f>
        <v xml:space="preserve"> </v>
      </c>
      <c r="BE386" s="120"/>
      <c r="BF386" s="120"/>
      <c r="BG386" s="120"/>
    </row>
    <row r="387" spans="1:59" s="3" customFormat="1" x14ac:dyDescent="0.3">
      <c r="A387" s="15" t="str">
        <f t="shared" si="65"/>
        <v/>
      </c>
      <c r="B387" s="25"/>
      <c r="C387" s="26"/>
      <c r="D387" s="279"/>
      <c r="E387" s="27"/>
      <c r="F387" s="28"/>
      <c r="G387" s="27"/>
      <c r="H387" s="28"/>
      <c r="I387" s="28"/>
      <c r="J387" s="255" t="str">
        <f>IF(H387="","",(_xlfn.XLOOKUP(H387,Cadastros!$D$6:$D$90,Cadastros!$E$6:$E$90))*(1-_xlfn.XLOOKUP(_xlfn.XLOOKUP($F387,Clientes!$B$4:$B$39,Clientes!$C$4:$C$39),Cadastros!$L$6:$L$12,Cadastros!$N$6:$N$12)))</f>
        <v/>
      </c>
      <c r="K387" s="168" t="str">
        <f t="shared" si="66"/>
        <v/>
      </c>
      <c r="L387" s="168" t="str">
        <f>IFERROR(K387/_xlfn.XLOOKUP(_xlfn.XLOOKUP($F387,Clientes!$B$4:$B$39,Clientes!$C$4:$C$39),Cadastros!$L$6:$L$12,Cadastros!$M$6:$M$12)," ")</f>
        <v xml:space="preserve"> </v>
      </c>
      <c r="M387" s="28"/>
      <c r="N387" s="28"/>
      <c r="O387" s="255" t="str">
        <f>IF(M387="","",(_xlfn.XLOOKUP(M387,Cadastros!$D$6:$D$90,Cadastros!$E$6:$E$90))*(1-_xlfn.XLOOKUP(_xlfn.XLOOKUP($F387,Clientes!$B$4:$B$39,Clientes!$C$4:$C$39),Cadastros!$L$6:$L$12,Cadastros!$N$6:$N$12)))</f>
        <v/>
      </c>
      <c r="P387" s="168" t="str">
        <f t="shared" si="67"/>
        <v/>
      </c>
      <c r="Q387" s="168" t="str">
        <f>IFERROR(P387/_xlfn.XLOOKUP(_xlfn.XLOOKUP($F387,Clientes!$B$4:$B$39,Clientes!$C$4:$C$39),Cadastros!$L$6:$L$12,Cadastros!$M$6:$M$12)," ")</f>
        <v xml:space="preserve"> </v>
      </c>
      <c r="R387" s="28"/>
      <c r="S387" s="28"/>
      <c r="T387" s="255" t="str">
        <f>IF(R387="","",(_xlfn.XLOOKUP(R387,Cadastros!$D$6:$D$90,Cadastros!$E$6:$E$90))*(1-_xlfn.XLOOKUP(_xlfn.XLOOKUP($F387,Clientes!$B$4:$B$39,Clientes!$C$4:$C$39),Cadastros!$L$6:$L$12,Cadastros!$N$6:$N$12)))</f>
        <v/>
      </c>
      <c r="U387" s="168" t="str">
        <f t="shared" si="68"/>
        <v/>
      </c>
      <c r="V387" s="168" t="str">
        <f>IFERROR(U387/_xlfn.XLOOKUP(_xlfn.XLOOKUP($F387,Clientes!$B$4:$B$39,Clientes!$C$4:$C$39),Cadastros!$L$6:$L$12,Cadastros!$M$6:$M$12)," ")</f>
        <v xml:space="preserve"> </v>
      </c>
      <c r="W387" s="28"/>
      <c r="X387" s="28"/>
      <c r="Y387" s="255" t="str">
        <f>IF(W387="","",(_xlfn.XLOOKUP(W387,Cadastros!$D$6:$D$90,Cadastros!$E$6:$E$90))*(1-_xlfn.XLOOKUP(_xlfn.XLOOKUP($F387,Clientes!$B$4:$B$39,Clientes!$C$4:$C$39),Cadastros!$L$6:$L$12,Cadastros!$N$6:$N$12)))</f>
        <v/>
      </c>
      <c r="Z387" s="168" t="str">
        <f t="shared" si="69"/>
        <v/>
      </c>
      <c r="AA387" s="168" t="str">
        <f>IFERROR(Z387/_xlfn.XLOOKUP(_xlfn.XLOOKUP($F387,Clientes!$B$4:$B$39,Clientes!$C$4:$C$39),Cadastros!$L$6:$L$12,Cadastros!$M$6:$M$12)," ")</f>
        <v xml:space="preserve"> </v>
      </c>
      <c r="AB387" s="28"/>
      <c r="AC387" s="28"/>
      <c r="AD387" s="20" t="str">
        <f>IF(AB387="","",IF($F387="Bernardino Furlan",_xlfn.XLOOKUP(AB387,Cadastros!$G$6:$G$90,Cadastros!$H$6:$H$90)*(1-0.18),IF($F387="Mauro José Salanti",_xlfn.XLOOKUP(AB387,Cadastros!$G$6:$G$90,Cadastros!$H$6:$H$90)*(1-0.18),_xlfn.XLOOKUP(AB387,Cadastros!$G$6:$G$90,Cadastros!$H$6:$H$90))))</f>
        <v/>
      </c>
      <c r="AE387" s="168" t="str">
        <f t="shared" si="70"/>
        <v/>
      </c>
      <c r="AF387" s="168" t="str">
        <f t="shared" si="71"/>
        <v/>
      </c>
      <c r="AG387" s="28"/>
      <c r="AH387" s="28"/>
      <c r="AI387" s="20" t="str">
        <f>IF(AG387="","",IF($F387="Bernardino Furlan",_xlfn.XLOOKUP(AG387,Cadastros!$G$6:$G$90,Cadastros!$H$6:$H$90)*(1-0.18),IF($F387="Mauro José Salanti",_xlfn.XLOOKUP(AG387,Cadastros!$G$6:$G$90,Cadastros!$H$6:$H$90)*(1-0.18),_xlfn.XLOOKUP(AG387,Cadastros!$G$6:$G$90,Cadastros!$H$6:$H$90))))</f>
        <v/>
      </c>
      <c r="AJ387" s="168" t="str">
        <f t="shared" si="72"/>
        <v/>
      </c>
      <c r="AK387" s="168" t="str">
        <f t="shared" si="73"/>
        <v/>
      </c>
      <c r="AL387" s="28"/>
      <c r="AM387" s="28"/>
      <c r="AN387" s="20" t="str">
        <f>IF(AL387="","",IF($F387="Bernardino Furlan",_xlfn.XLOOKUP(AL387,Cadastros!$G$6:$G$90,Cadastros!$H$6:$H$90)*(1-0.18),IF($F387="Mauro José Salanti",_xlfn.XLOOKUP(AL387,Cadastros!$G$6:$G$90,Cadastros!$H$6:$H$90)*(1-0.18),_xlfn.XLOOKUP(AL387,Cadastros!$G$6:$G$90,Cadastros!$H$6:$H$90))))</f>
        <v/>
      </c>
      <c r="AO387" s="168" t="str">
        <f t="shared" si="74"/>
        <v/>
      </c>
      <c r="AP387" s="168" t="str">
        <f t="shared" si="75"/>
        <v/>
      </c>
      <c r="AQ387" s="28"/>
      <c r="AR387" s="28"/>
      <c r="AS387" s="20" t="str">
        <f>IF(AQ387="","",IF($F387="Bernardino Furlan",_xlfn.XLOOKUP(AQ387,Cadastros!$G$6:$G$90,Cadastros!$H$6:$H$90)*(1-0.18),IF($F387="Mauro José Salanti",_xlfn.XLOOKUP(AQ387,Cadastros!$G$6:$G$90,Cadastros!$H$6:$H$90)*(1-0.18),_xlfn.XLOOKUP(AQ387,Cadastros!$G$6:$G$90,Cadastros!$H$6:$H$90))))</f>
        <v/>
      </c>
      <c r="AT387" s="168" t="str">
        <f t="shared" si="76"/>
        <v/>
      </c>
      <c r="AU387" s="168" t="str">
        <f t="shared" si="77"/>
        <v/>
      </c>
      <c r="AV387" s="227"/>
      <c r="AW387" s="30"/>
      <c r="AX387" s="267"/>
      <c r="AY387" s="267"/>
      <c r="AZ387" s="29"/>
      <c r="BA387" s="30"/>
      <c r="BB387" s="23" t="str" cm="1">
        <f t="array" ref="BB387">_xlfn.IFS(AW387="SIM",SUM(K387,P387,U387,Z387,AE387,AJ387,AO387,AT387,AX387,AY387),F387&lt;&gt;"",SUM(K387,P387,U387,Z387,AE387,AJ387,,AO387,AT387),F387="","")</f>
        <v/>
      </c>
      <c r="BC387" s="211" t="str" cm="1">
        <f t="array" ref="BC387">_xlfn.IFS(E387="","",G387&lt;=E387,BB387*(1-0.03),G387&lt;(E387+8),BB387,AZ387="Boleto",BB387*(1+0.001)^DATEDIF(E387,G387,"D"),AZ387="Cheque",BB387,AZ387="Dinheiro","Alterar forma pgto")</f>
        <v/>
      </c>
      <c r="BD387" s="276" t="str" cm="1">
        <f t="array" ref="BD387">IF(F387=0," ",IF(BC387&lt;BB387,(_xlfn.IFS(AW387="SIM",SUM(L387,Q387,V387,AA387,AF387,AK387,AP387,AU387)+AX387/_xlfn.XLOOKUP(_xlfn.XLOOKUP($F387,Clientes!$B$4:$B$39,Clientes!$C$4:$C$39),Cadastros!$L$6:$L$12,Cadastros!$M$6:$M$12)+IF($F387="Bernardino Furlan",AY387/2751.92,IF($F387="Mauro José Salanti",AY387/2751.92,AY387/3356)),F387&lt;&gt;0,SUM(L387,Q387,V387,AA387,AF387,AK387,AP387,AU387)))*(1-0.03),_xlfn.IFS(AW387="SIM",SUM(L387,Q387,V387,AA387,AF387,AK387,AP387,AU387)+AX387/_xlfn.XLOOKUP(_xlfn.XLOOKUP($F387,Clientes!$B$4:$B$39,Clientes!$C$4:$C$39),Cadastros!$L$6:$L$12,Cadastros!$M$6:$M$12)+IF($F387="Bernardino Furlan",AY387/2751.92,IF($F387="Mauro José Salanti",AY387/2751.92,AY387/3356)),F387&lt;&gt;0,SUM(L387,Q387,V387,AA387,AF387,AK387,AP387,AU387))))</f>
        <v xml:space="preserve"> </v>
      </c>
      <c r="BE387" s="120"/>
      <c r="BF387" s="120"/>
      <c r="BG387" s="120"/>
    </row>
    <row r="388" spans="1:59" s="3" customFormat="1" x14ac:dyDescent="0.3">
      <c r="A388" s="15" t="str">
        <f t="shared" si="65"/>
        <v/>
      </c>
      <c r="B388" s="25"/>
      <c r="C388" s="26"/>
      <c r="D388" s="279"/>
      <c r="E388" s="27"/>
      <c r="F388" s="28"/>
      <c r="G388" s="27"/>
      <c r="H388" s="28"/>
      <c r="I388" s="28"/>
      <c r="J388" s="255" t="str">
        <f>IF(H388="","",(_xlfn.XLOOKUP(H388,Cadastros!$D$6:$D$90,Cadastros!$E$6:$E$90))*(1-_xlfn.XLOOKUP(_xlfn.XLOOKUP($F388,Clientes!$B$4:$B$39,Clientes!$C$4:$C$39),Cadastros!$L$6:$L$12,Cadastros!$N$6:$N$12)))</f>
        <v/>
      </c>
      <c r="K388" s="168" t="str">
        <f t="shared" si="66"/>
        <v/>
      </c>
      <c r="L388" s="168" t="str">
        <f>IFERROR(K388/_xlfn.XLOOKUP(_xlfn.XLOOKUP($F388,Clientes!$B$4:$B$39,Clientes!$C$4:$C$39),Cadastros!$L$6:$L$12,Cadastros!$M$6:$M$12)," ")</f>
        <v xml:space="preserve"> </v>
      </c>
      <c r="M388" s="28"/>
      <c r="N388" s="28"/>
      <c r="O388" s="255" t="str">
        <f>IF(M388="","",(_xlfn.XLOOKUP(M388,Cadastros!$D$6:$D$90,Cadastros!$E$6:$E$90))*(1-_xlfn.XLOOKUP(_xlfn.XLOOKUP($F388,Clientes!$B$4:$B$39,Clientes!$C$4:$C$39),Cadastros!$L$6:$L$12,Cadastros!$N$6:$N$12)))</f>
        <v/>
      </c>
      <c r="P388" s="168" t="str">
        <f t="shared" si="67"/>
        <v/>
      </c>
      <c r="Q388" s="168" t="str">
        <f>IFERROR(P388/_xlfn.XLOOKUP(_xlfn.XLOOKUP($F388,Clientes!$B$4:$B$39,Clientes!$C$4:$C$39),Cadastros!$L$6:$L$12,Cadastros!$M$6:$M$12)," ")</f>
        <v xml:space="preserve"> </v>
      </c>
      <c r="R388" s="28"/>
      <c r="S388" s="28"/>
      <c r="T388" s="255" t="str">
        <f>IF(R388="","",(_xlfn.XLOOKUP(R388,Cadastros!$D$6:$D$90,Cadastros!$E$6:$E$90))*(1-_xlfn.XLOOKUP(_xlfn.XLOOKUP($F388,Clientes!$B$4:$B$39,Clientes!$C$4:$C$39),Cadastros!$L$6:$L$12,Cadastros!$N$6:$N$12)))</f>
        <v/>
      </c>
      <c r="U388" s="168" t="str">
        <f t="shared" si="68"/>
        <v/>
      </c>
      <c r="V388" s="168" t="str">
        <f>IFERROR(U388/_xlfn.XLOOKUP(_xlfn.XLOOKUP($F388,Clientes!$B$4:$B$39,Clientes!$C$4:$C$39),Cadastros!$L$6:$L$12,Cadastros!$M$6:$M$12)," ")</f>
        <v xml:space="preserve"> </v>
      </c>
      <c r="W388" s="28"/>
      <c r="X388" s="28"/>
      <c r="Y388" s="255" t="str">
        <f>IF(W388="","",(_xlfn.XLOOKUP(W388,Cadastros!$D$6:$D$90,Cadastros!$E$6:$E$90))*(1-_xlfn.XLOOKUP(_xlfn.XLOOKUP($F388,Clientes!$B$4:$B$39,Clientes!$C$4:$C$39),Cadastros!$L$6:$L$12,Cadastros!$N$6:$N$12)))</f>
        <v/>
      </c>
      <c r="Z388" s="168" t="str">
        <f t="shared" si="69"/>
        <v/>
      </c>
      <c r="AA388" s="168" t="str">
        <f>IFERROR(Z388/_xlfn.XLOOKUP(_xlfn.XLOOKUP($F388,Clientes!$B$4:$B$39,Clientes!$C$4:$C$39),Cadastros!$L$6:$L$12,Cadastros!$M$6:$M$12)," ")</f>
        <v xml:space="preserve"> </v>
      </c>
      <c r="AB388" s="28"/>
      <c r="AC388" s="28"/>
      <c r="AD388" s="20" t="str">
        <f>IF(AB388="","",IF($F388="Bernardino Furlan",_xlfn.XLOOKUP(AB388,Cadastros!$G$6:$G$90,Cadastros!$H$6:$H$90)*(1-0.18),IF($F388="Mauro José Salanti",_xlfn.XLOOKUP(AB388,Cadastros!$G$6:$G$90,Cadastros!$H$6:$H$90)*(1-0.18),_xlfn.XLOOKUP(AB388,Cadastros!$G$6:$G$90,Cadastros!$H$6:$H$90))))</f>
        <v/>
      </c>
      <c r="AE388" s="168" t="str">
        <f t="shared" si="70"/>
        <v/>
      </c>
      <c r="AF388" s="168" t="str">
        <f t="shared" si="71"/>
        <v/>
      </c>
      <c r="AG388" s="28"/>
      <c r="AH388" s="28"/>
      <c r="AI388" s="20" t="str">
        <f>IF(AG388="","",IF($F388="Bernardino Furlan",_xlfn.XLOOKUP(AG388,Cadastros!$G$6:$G$90,Cadastros!$H$6:$H$90)*(1-0.18),IF($F388="Mauro José Salanti",_xlfn.XLOOKUP(AG388,Cadastros!$G$6:$G$90,Cadastros!$H$6:$H$90)*(1-0.18),_xlfn.XLOOKUP(AG388,Cadastros!$G$6:$G$90,Cadastros!$H$6:$H$90))))</f>
        <v/>
      </c>
      <c r="AJ388" s="168" t="str">
        <f t="shared" si="72"/>
        <v/>
      </c>
      <c r="AK388" s="168" t="str">
        <f t="shared" si="73"/>
        <v/>
      </c>
      <c r="AL388" s="28"/>
      <c r="AM388" s="28"/>
      <c r="AN388" s="20" t="str">
        <f>IF(AL388="","",IF($F388="Bernardino Furlan",_xlfn.XLOOKUP(AL388,Cadastros!$G$6:$G$90,Cadastros!$H$6:$H$90)*(1-0.18),IF($F388="Mauro José Salanti",_xlfn.XLOOKUP(AL388,Cadastros!$G$6:$G$90,Cadastros!$H$6:$H$90)*(1-0.18),_xlfn.XLOOKUP(AL388,Cadastros!$G$6:$G$90,Cadastros!$H$6:$H$90))))</f>
        <v/>
      </c>
      <c r="AO388" s="168" t="str">
        <f t="shared" si="74"/>
        <v/>
      </c>
      <c r="AP388" s="168" t="str">
        <f t="shared" si="75"/>
        <v/>
      </c>
      <c r="AQ388" s="28"/>
      <c r="AR388" s="28"/>
      <c r="AS388" s="20" t="str">
        <f>IF(AQ388="","",IF($F388="Bernardino Furlan",_xlfn.XLOOKUP(AQ388,Cadastros!$G$6:$G$90,Cadastros!$H$6:$H$90)*(1-0.18),IF($F388="Mauro José Salanti",_xlfn.XLOOKUP(AQ388,Cadastros!$G$6:$G$90,Cadastros!$H$6:$H$90)*(1-0.18),_xlfn.XLOOKUP(AQ388,Cadastros!$G$6:$G$90,Cadastros!$H$6:$H$90))))</f>
        <v/>
      </c>
      <c r="AT388" s="168" t="str">
        <f t="shared" si="76"/>
        <v/>
      </c>
      <c r="AU388" s="168" t="str">
        <f t="shared" si="77"/>
        <v/>
      </c>
      <c r="AV388" s="227"/>
      <c r="AW388" s="30"/>
      <c r="AX388" s="267"/>
      <c r="AY388" s="267"/>
      <c r="AZ388" s="29"/>
      <c r="BA388" s="30"/>
      <c r="BB388" s="23" t="str" cm="1">
        <f t="array" ref="BB388">_xlfn.IFS(AW388="SIM",SUM(K388,P388,U388,Z388,AE388,AJ388,AO388,AT388,AX388,AY388),F388&lt;&gt;"",SUM(K388,P388,U388,Z388,AE388,AJ388,,AO388,AT388),F388="","")</f>
        <v/>
      </c>
      <c r="BC388" s="211" t="str" cm="1">
        <f t="array" ref="BC388">_xlfn.IFS(E388="","",G388&lt;=E388,BB388*(1-0.03),G388&lt;(E388+8),BB388,AZ388="Boleto",BB388*(1+0.001)^DATEDIF(E388,G388,"D"),AZ388="Cheque",BB388,AZ388="Dinheiro","Alterar forma pgto")</f>
        <v/>
      </c>
      <c r="BD388" s="276" t="str" cm="1">
        <f t="array" ref="BD388">IF(F388=0," ",IF(BC388&lt;BB388,(_xlfn.IFS(AW388="SIM",SUM(L388,Q388,V388,AA388,AF388,AK388,AP388,AU388)+AX388/_xlfn.XLOOKUP(_xlfn.XLOOKUP($F388,Clientes!$B$4:$B$39,Clientes!$C$4:$C$39),Cadastros!$L$6:$L$12,Cadastros!$M$6:$M$12)+IF($F388="Bernardino Furlan",AY388/2751.92,IF($F388="Mauro José Salanti",AY388/2751.92,AY388/3356)),F388&lt;&gt;0,SUM(L388,Q388,V388,AA388,AF388,AK388,AP388,AU388)))*(1-0.03),_xlfn.IFS(AW388="SIM",SUM(L388,Q388,V388,AA388,AF388,AK388,AP388,AU388)+AX388/_xlfn.XLOOKUP(_xlfn.XLOOKUP($F388,Clientes!$B$4:$B$39,Clientes!$C$4:$C$39),Cadastros!$L$6:$L$12,Cadastros!$M$6:$M$12)+IF($F388="Bernardino Furlan",AY388/2751.92,IF($F388="Mauro José Salanti",AY388/2751.92,AY388/3356)),F388&lt;&gt;0,SUM(L388,Q388,V388,AA388,AF388,AK388,AP388,AU388))))</f>
        <v xml:space="preserve"> </v>
      </c>
      <c r="BE388" s="120"/>
      <c r="BF388" s="120"/>
      <c r="BG388" s="120"/>
    </row>
    <row r="389" spans="1:59" s="3" customFormat="1" x14ac:dyDescent="0.3">
      <c r="A389" s="15" t="str">
        <f t="shared" si="65"/>
        <v/>
      </c>
      <c r="B389" s="25"/>
      <c r="C389" s="26"/>
      <c r="D389" s="279"/>
      <c r="E389" s="27"/>
      <c r="F389" s="28"/>
      <c r="G389" s="27"/>
      <c r="H389" s="28"/>
      <c r="I389" s="28"/>
      <c r="J389" s="255" t="str">
        <f>IF(H389="","",(_xlfn.XLOOKUP(H389,Cadastros!$D$6:$D$90,Cadastros!$E$6:$E$90))*(1-_xlfn.XLOOKUP(_xlfn.XLOOKUP($F389,Clientes!$B$4:$B$39,Clientes!$C$4:$C$39),Cadastros!$L$6:$L$12,Cadastros!$N$6:$N$12)))</f>
        <v/>
      </c>
      <c r="K389" s="168" t="str">
        <f t="shared" si="66"/>
        <v/>
      </c>
      <c r="L389" s="168" t="str">
        <f>IFERROR(K389/_xlfn.XLOOKUP(_xlfn.XLOOKUP($F389,Clientes!$B$4:$B$39,Clientes!$C$4:$C$39),Cadastros!$L$6:$L$12,Cadastros!$M$6:$M$12)," ")</f>
        <v xml:space="preserve"> </v>
      </c>
      <c r="M389" s="28"/>
      <c r="N389" s="28"/>
      <c r="O389" s="255" t="str">
        <f>IF(M389="","",(_xlfn.XLOOKUP(M389,Cadastros!$D$6:$D$90,Cadastros!$E$6:$E$90))*(1-_xlfn.XLOOKUP(_xlfn.XLOOKUP($F389,Clientes!$B$4:$B$39,Clientes!$C$4:$C$39),Cadastros!$L$6:$L$12,Cadastros!$N$6:$N$12)))</f>
        <v/>
      </c>
      <c r="P389" s="168" t="str">
        <f t="shared" si="67"/>
        <v/>
      </c>
      <c r="Q389" s="168" t="str">
        <f>IFERROR(P389/_xlfn.XLOOKUP(_xlfn.XLOOKUP($F389,Clientes!$B$4:$B$39,Clientes!$C$4:$C$39),Cadastros!$L$6:$L$12,Cadastros!$M$6:$M$12)," ")</f>
        <v xml:space="preserve"> </v>
      </c>
      <c r="R389" s="28"/>
      <c r="S389" s="28"/>
      <c r="T389" s="255" t="str">
        <f>IF(R389="","",(_xlfn.XLOOKUP(R389,Cadastros!$D$6:$D$90,Cadastros!$E$6:$E$90))*(1-_xlfn.XLOOKUP(_xlfn.XLOOKUP($F389,Clientes!$B$4:$B$39,Clientes!$C$4:$C$39),Cadastros!$L$6:$L$12,Cadastros!$N$6:$N$12)))</f>
        <v/>
      </c>
      <c r="U389" s="168" t="str">
        <f t="shared" si="68"/>
        <v/>
      </c>
      <c r="V389" s="168" t="str">
        <f>IFERROR(U389/_xlfn.XLOOKUP(_xlfn.XLOOKUP($F389,Clientes!$B$4:$B$39,Clientes!$C$4:$C$39),Cadastros!$L$6:$L$12,Cadastros!$M$6:$M$12)," ")</f>
        <v xml:space="preserve"> </v>
      </c>
      <c r="W389" s="28"/>
      <c r="X389" s="28"/>
      <c r="Y389" s="255" t="str">
        <f>IF(W389="","",(_xlfn.XLOOKUP(W389,Cadastros!$D$6:$D$90,Cadastros!$E$6:$E$90))*(1-_xlfn.XLOOKUP(_xlfn.XLOOKUP($F389,Clientes!$B$4:$B$39,Clientes!$C$4:$C$39),Cadastros!$L$6:$L$12,Cadastros!$N$6:$N$12)))</f>
        <v/>
      </c>
      <c r="Z389" s="168" t="str">
        <f t="shared" si="69"/>
        <v/>
      </c>
      <c r="AA389" s="168" t="str">
        <f>IFERROR(Z389/_xlfn.XLOOKUP(_xlfn.XLOOKUP($F389,Clientes!$B$4:$B$39,Clientes!$C$4:$C$39),Cadastros!$L$6:$L$12,Cadastros!$M$6:$M$12)," ")</f>
        <v xml:space="preserve"> </v>
      </c>
      <c r="AB389" s="28"/>
      <c r="AC389" s="28"/>
      <c r="AD389" s="20" t="str">
        <f>IF(AB389="","",IF($F389="Bernardino Furlan",_xlfn.XLOOKUP(AB389,Cadastros!$G$6:$G$90,Cadastros!$H$6:$H$90)*(1-0.18),IF($F389="Mauro José Salanti",_xlfn.XLOOKUP(AB389,Cadastros!$G$6:$G$90,Cadastros!$H$6:$H$90)*(1-0.18),_xlfn.XLOOKUP(AB389,Cadastros!$G$6:$G$90,Cadastros!$H$6:$H$90))))</f>
        <v/>
      </c>
      <c r="AE389" s="168" t="str">
        <f t="shared" si="70"/>
        <v/>
      </c>
      <c r="AF389" s="168" t="str">
        <f t="shared" si="71"/>
        <v/>
      </c>
      <c r="AG389" s="28"/>
      <c r="AH389" s="28"/>
      <c r="AI389" s="20" t="str">
        <f>IF(AG389="","",IF($F389="Bernardino Furlan",_xlfn.XLOOKUP(AG389,Cadastros!$G$6:$G$90,Cadastros!$H$6:$H$90)*(1-0.18),IF($F389="Mauro José Salanti",_xlfn.XLOOKUP(AG389,Cadastros!$G$6:$G$90,Cadastros!$H$6:$H$90)*(1-0.18),_xlfn.XLOOKUP(AG389,Cadastros!$G$6:$G$90,Cadastros!$H$6:$H$90))))</f>
        <v/>
      </c>
      <c r="AJ389" s="168" t="str">
        <f t="shared" si="72"/>
        <v/>
      </c>
      <c r="AK389" s="168" t="str">
        <f t="shared" si="73"/>
        <v/>
      </c>
      <c r="AL389" s="28"/>
      <c r="AM389" s="28"/>
      <c r="AN389" s="20" t="str">
        <f>IF(AL389="","",IF($F389="Bernardino Furlan",_xlfn.XLOOKUP(AL389,Cadastros!$G$6:$G$90,Cadastros!$H$6:$H$90)*(1-0.18),IF($F389="Mauro José Salanti",_xlfn.XLOOKUP(AL389,Cadastros!$G$6:$G$90,Cadastros!$H$6:$H$90)*(1-0.18),_xlfn.XLOOKUP(AL389,Cadastros!$G$6:$G$90,Cadastros!$H$6:$H$90))))</f>
        <v/>
      </c>
      <c r="AO389" s="168" t="str">
        <f t="shared" si="74"/>
        <v/>
      </c>
      <c r="AP389" s="168" t="str">
        <f t="shared" si="75"/>
        <v/>
      </c>
      <c r="AQ389" s="28"/>
      <c r="AR389" s="28"/>
      <c r="AS389" s="20" t="str">
        <f>IF(AQ389="","",IF($F389="Bernardino Furlan",_xlfn.XLOOKUP(AQ389,Cadastros!$G$6:$G$90,Cadastros!$H$6:$H$90)*(1-0.18),IF($F389="Mauro José Salanti",_xlfn.XLOOKUP(AQ389,Cadastros!$G$6:$G$90,Cadastros!$H$6:$H$90)*(1-0.18),_xlfn.XLOOKUP(AQ389,Cadastros!$G$6:$G$90,Cadastros!$H$6:$H$90))))</f>
        <v/>
      </c>
      <c r="AT389" s="168" t="str">
        <f t="shared" si="76"/>
        <v/>
      </c>
      <c r="AU389" s="168" t="str">
        <f t="shared" si="77"/>
        <v/>
      </c>
      <c r="AV389" s="227"/>
      <c r="AW389" s="30"/>
      <c r="AX389" s="267"/>
      <c r="AY389" s="267"/>
      <c r="AZ389" s="29"/>
      <c r="BA389" s="30"/>
      <c r="BB389" s="23" t="str" cm="1">
        <f t="array" ref="BB389">_xlfn.IFS(AW389="SIM",SUM(K389,P389,U389,Z389,AE389,AJ389,AO389,AT389,AX389,AY389),F389&lt;&gt;"",SUM(K389,P389,U389,Z389,AE389,AJ389,,AO389,AT389),F389="","")</f>
        <v/>
      </c>
      <c r="BC389" s="211" t="str" cm="1">
        <f t="array" ref="BC389">_xlfn.IFS(E389="","",G389&lt;=E389,BB389*(1-0.03),G389&lt;(E389+8),BB389,AZ389="Boleto",BB389*(1+0.001)^DATEDIF(E389,G389,"D"),AZ389="Cheque",BB389,AZ389="Dinheiro","Alterar forma pgto")</f>
        <v/>
      </c>
      <c r="BD389" s="276" t="str" cm="1">
        <f t="array" ref="BD389">IF(F389=0," ",IF(BC389&lt;BB389,(_xlfn.IFS(AW389="SIM",SUM(L389,Q389,V389,AA389,AF389,AK389,AP389,AU389)+AX389/_xlfn.XLOOKUP(_xlfn.XLOOKUP($F389,Clientes!$B$4:$B$39,Clientes!$C$4:$C$39),Cadastros!$L$6:$L$12,Cadastros!$M$6:$M$12)+IF($F389="Bernardino Furlan",AY389/2751.92,IF($F389="Mauro José Salanti",AY389/2751.92,AY389/3356)),F389&lt;&gt;0,SUM(L389,Q389,V389,AA389,AF389,AK389,AP389,AU389)))*(1-0.03),_xlfn.IFS(AW389="SIM",SUM(L389,Q389,V389,AA389,AF389,AK389,AP389,AU389)+AX389/_xlfn.XLOOKUP(_xlfn.XLOOKUP($F389,Clientes!$B$4:$B$39,Clientes!$C$4:$C$39),Cadastros!$L$6:$L$12,Cadastros!$M$6:$M$12)+IF($F389="Bernardino Furlan",AY389/2751.92,IF($F389="Mauro José Salanti",AY389/2751.92,AY389/3356)),F389&lt;&gt;0,SUM(L389,Q389,V389,AA389,AF389,AK389,AP389,AU389))))</f>
        <v xml:space="preserve"> </v>
      </c>
      <c r="BE389" s="120"/>
      <c r="BF389" s="120"/>
      <c r="BG389" s="120"/>
    </row>
    <row r="390" spans="1:59" s="3" customFormat="1" x14ac:dyDescent="0.3">
      <c r="A390" s="15" t="str">
        <f t="shared" si="65"/>
        <v/>
      </c>
      <c r="B390" s="25"/>
      <c r="C390" s="26"/>
      <c r="D390" s="279"/>
      <c r="E390" s="27"/>
      <c r="F390" s="28"/>
      <c r="G390" s="27"/>
      <c r="H390" s="28"/>
      <c r="I390" s="28"/>
      <c r="J390" s="255" t="str">
        <f>IF(H390="","",(_xlfn.XLOOKUP(H390,Cadastros!$D$6:$D$90,Cadastros!$E$6:$E$90))*(1-_xlfn.XLOOKUP(_xlfn.XLOOKUP($F390,Clientes!$B$4:$B$39,Clientes!$C$4:$C$39),Cadastros!$L$6:$L$12,Cadastros!$N$6:$N$12)))</f>
        <v/>
      </c>
      <c r="K390" s="168" t="str">
        <f t="shared" si="66"/>
        <v/>
      </c>
      <c r="L390" s="168" t="str">
        <f>IFERROR(K390/_xlfn.XLOOKUP(_xlfn.XLOOKUP($F390,Clientes!$B$4:$B$39,Clientes!$C$4:$C$39),Cadastros!$L$6:$L$12,Cadastros!$M$6:$M$12)," ")</f>
        <v xml:space="preserve"> </v>
      </c>
      <c r="M390" s="28"/>
      <c r="N390" s="28"/>
      <c r="O390" s="255" t="str">
        <f>IF(M390="","",(_xlfn.XLOOKUP(M390,Cadastros!$D$6:$D$90,Cadastros!$E$6:$E$90))*(1-_xlfn.XLOOKUP(_xlfn.XLOOKUP($F390,Clientes!$B$4:$B$39,Clientes!$C$4:$C$39),Cadastros!$L$6:$L$12,Cadastros!$N$6:$N$12)))</f>
        <v/>
      </c>
      <c r="P390" s="168" t="str">
        <f t="shared" si="67"/>
        <v/>
      </c>
      <c r="Q390" s="168" t="str">
        <f>IFERROR(P390/_xlfn.XLOOKUP(_xlfn.XLOOKUP($F390,Clientes!$B$4:$B$39,Clientes!$C$4:$C$39),Cadastros!$L$6:$L$12,Cadastros!$M$6:$M$12)," ")</f>
        <v xml:space="preserve"> </v>
      </c>
      <c r="R390" s="28"/>
      <c r="S390" s="28"/>
      <c r="T390" s="255" t="str">
        <f>IF(R390="","",(_xlfn.XLOOKUP(R390,Cadastros!$D$6:$D$90,Cadastros!$E$6:$E$90))*(1-_xlfn.XLOOKUP(_xlfn.XLOOKUP($F390,Clientes!$B$4:$B$39,Clientes!$C$4:$C$39),Cadastros!$L$6:$L$12,Cadastros!$N$6:$N$12)))</f>
        <v/>
      </c>
      <c r="U390" s="168" t="str">
        <f t="shared" si="68"/>
        <v/>
      </c>
      <c r="V390" s="168" t="str">
        <f>IFERROR(U390/_xlfn.XLOOKUP(_xlfn.XLOOKUP($F390,Clientes!$B$4:$B$39,Clientes!$C$4:$C$39),Cadastros!$L$6:$L$12,Cadastros!$M$6:$M$12)," ")</f>
        <v xml:space="preserve"> </v>
      </c>
      <c r="W390" s="28"/>
      <c r="X390" s="28"/>
      <c r="Y390" s="255" t="str">
        <f>IF(W390="","",(_xlfn.XLOOKUP(W390,Cadastros!$D$6:$D$90,Cadastros!$E$6:$E$90))*(1-_xlfn.XLOOKUP(_xlfn.XLOOKUP($F390,Clientes!$B$4:$B$39,Clientes!$C$4:$C$39),Cadastros!$L$6:$L$12,Cadastros!$N$6:$N$12)))</f>
        <v/>
      </c>
      <c r="Z390" s="168" t="str">
        <f t="shared" si="69"/>
        <v/>
      </c>
      <c r="AA390" s="168" t="str">
        <f>IFERROR(Z390/_xlfn.XLOOKUP(_xlfn.XLOOKUP($F390,Clientes!$B$4:$B$39,Clientes!$C$4:$C$39),Cadastros!$L$6:$L$12,Cadastros!$M$6:$M$12)," ")</f>
        <v xml:space="preserve"> </v>
      </c>
      <c r="AB390" s="28"/>
      <c r="AC390" s="28"/>
      <c r="AD390" s="20" t="str">
        <f>IF(AB390="","",IF($F390="Bernardino Furlan",_xlfn.XLOOKUP(AB390,Cadastros!$G$6:$G$90,Cadastros!$H$6:$H$90)*(1-0.18),IF($F390="Mauro José Salanti",_xlfn.XLOOKUP(AB390,Cadastros!$G$6:$G$90,Cadastros!$H$6:$H$90)*(1-0.18),_xlfn.XLOOKUP(AB390,Cadastros!$G$6:$G$90,Cadastros!$H$6:$H$90))))</f>
        <v/>
      </c>
      <c r="AE390" s="168" t="str">
        <f t="shared" si="70"/>
        <v/>
      </c>
      <c r="AF390" s="168" t="str">
        <f t="shared" si="71"/>
        <v/>
      </c>
      <c r="AG390" s="28"/>
      <c r="AH390" s="28"/>
      <c r="AI390" s="20" t="str">
        <f>IF(AG390="","",IF($F390="Bernardino Furlan",_xlfn.XLOOKUP(AG390,Cadastros!$G$6:$G$90,Cadastros!$H$6:$H$90)*(1-0.18),IF($F390="Mauro José Salanti",_xlfn.XLOOKUP(AG390,Cadastros!$G$6:$G$90,Cadastros!$H$6:$H$90)*(1-0.18),_xlfn.XLOOKUP(AG390,Cadastros!$G$6:$G$90,Cadastros!$H$6:$H$90))))</f>
        <v/>
      </c>
      <c r="AJ390" s="168" t="str">
        <f t="shared" si="72"/>
        <v/>
      </c>
      <c r="AK390" s="168" t="str">
        <f t="shared" si="73"/>
        <v/>
      </c>
      <c r="AL390" s="28"/>
      <c r="AM390" s="28"/>
      <c r="AN390" s="20" t="str">
        <f>IF(AL390="","",IF($F390="Bernardino Furlan",_xlfn.XLOOKUP(AL390,Cadastros!$G$6:$G$90,Cadastros!$H$6:$H$90)*(1-0.18),IF($F390="Mauro José Salanti",_xlfn.XLOOKUP(AL390,Cadastros!$G$6:$G$90,Cadastros!$H$6:$H$90)*(1-0.18),_xlfn.XLOOKUP(AL390,Cadastros!$G$6:$G$90,Cadastros!$H$6:$H$90))))</f>
        <v/>
      </c>
      <c r="AO390" s="168" t="str">
        <f t="shared" si="74"/>
        <v/>
      </c>
      <c r="AP390" s="168" t="str">
        <f t="shared" si="75"/>
        <v/>
      </c>
      <c r="AQ390" s="28"/>
      <c r="AR390" s="28"/>
      <c r="AS390" s="20" t="str">
        <f>IF(AQ390="","",IF($F390="Bernardino Furlan",_xlfn.XLOOKUP(AQ390,Cadastros!$G$6:$G$90,Cadastros!$H$6:$H$90)*(1-0.18),IF($F390="Mauro José Salanti",_xlfn.XLOOKUP(AQ390,Cadastros!$G$6:$G$90,Cadastros!$H$6:$H$90)*(1-0.18),_xlfn.XLOOKUP(AQ390,Cadastros!$G$6:$G$90,Cadastros!$H$6:$H$90))))</f>
        <v/>
      </c>
      <c r="AT390" s="168" t="str">
        <f t="shared" si="76"/>
        <v/>
      </c>
      <c r="AU390" s="168" t="str">
        <f t="shared" si="77"/>
        <v/>
      </c>
      <c r="AV390" s="227"/>
      <c r="AW390" s="30"/>
      <c r="AX390" s="267"/>
      <c r="AY390" s="267"/>
      <c r="AZ390" s="29"/>
      <c r="BA390" s="30"/>
      <c r="BB390" s="23" t="str" cm="1">
        <f t="array" ref="BB390">_xlfn.IFS(AW390="SIM",SUM(K390,P390,U390,Z390,AE390,AJ390,AO390,AT390,AX390,AY390),F390&lt;&gt;"",SUM(K390,P390,U390,Z390,AE390,AJ390,,AO390,AT390),F390="","")</f>
        <v/>
      </c>
      <c r="BC390" s="211" t="str" cm="1">
        <f t="array" ref="BC390">_xlfn.IFS(E390="","",G390&lt;=E390,BB390*(1-0.03),G390&lt;(E390+8),BB390,AZ390="Boleto",BB390*(1+0.001)^DATEDIF(E390,G390,"D"),AZ390="Cheque",BB390,AZ390="Dinheiro","Alterar forma pgto")</f>
        <v/>
      </c>
      <c r="BD390" s="276" t="str" cm="1">
        <f t="array" ref="BD390">IF(F390=0," ",IF(BC390&lt;BB390,(_xlfn.IFS(AW390="SIM",SUM(L390,Q390,V390,AA390,AF390,AK390,AP390,AU390)+AX390/_xlfn.XLOOKUP(_xlfn.XLOOKUP($F390,Clientes!$B$4:$B$39,Clientes!$C$4:$C$39),Cadastros!$L$6:$L$12,Cadastros!$M$6:$M$12)+IF($F390="Bernardino Furlan",AY390/2751.92,IF($F390="Mauro José Salanti",AY390/2751.92,AY390/3356)),F390&lt;&gt;0,SUM(L390,Q390,V390,AA390,AF390,AK390,AP390,AU390)))*(1-0.03),_xlfn.IFS(AW390="SIM",SUM(L390,Q390,V390,AA390,AF390,AK390,AP390,AU390)+AX390/_xlfn.XLOOKUP(_xlfn.XLOOKUP($F390,Clientes!$B$4:$B$39,Clientes!$C$4:$C$39),Cadastros!$L$6:$L$12,Cadastros!$M$6:$M$12)+IF($F390="Bernardino Furlan",AY390/2751.92,IF($F390="Mauro José Salanti",AY390/2751.92,AY390/3356)),F390&lt;&gt;0,SUM(L390,Q390,V390,AA390,AF390,AK390,AP390,AU390))))</f>
        <v xml:space="preserve"> </v>
      </c>
      <c r="BE390" s="120"/>
      <c r="BF390" s="120"/>
      <c r="BG390" s="120"/>
    </row>
    <row r="391" spans="1:59" s="3" customFormat="1" x14ac:dyDescent="0.3">
      <c r="A391" s="15" t="str">
        <f t="shared" si="65"/>
        <v/>
      </c>
      <c r="B391" s="25"/>
      <c r="C391" s="26"/>
      <c r="D391" s="279"/>
      <c r="E391" s="27"/>
      <c r="F391" s="28"/>
      <c r="G391" s="27"/>
      <c r="H391" s="28"/>
      <c r="I391" s="28"/>
      <c r="J391" s="255" t="str">
        <f>IF(H391="","",(_xlfn.XLOOKUP(H391,Cadastros!$D$6:$D$90,Cadastros!$E$6:$E$90))*(1-_xlfn.XLOOKUP(_xlfn.XLOOKUP($F391,Clientes!$B$4:$B$39,Clientes!$C$4:$C$39),Cadastros!$L$6:$L$12,Cadastros!$N$6:$N$12)))</f>
        <v/>
      </c>
      <c r="K391" s="168" t="str">
        <f t="shared" si="66"/>
        <v/>
      </c>
      <c r="L391" s="168" t="str">
        <f>IFERROR(K391/_xlfn.XLOOKUP(_xlfn.XLOOKUP($F391,Clientes!$B$4:$B$39,Clientes!$C$4:$C$39),Cadastros!$L$6:$L$12,Cadastros!$M$6:$M$12)," ")</f>
        <v xml:space="preserve"> </v>
      </c>
      <c r="M391" s="28"/>
      <c r="N391" s="28"/>
      <c r="O391" s="255" t="str">
        <f>IF(M391="","",(_xlfn.XLOOKUP(M391,Cadastros!$D$6:$D$90,Cadastros!$E$6:$E$90))*(1-_xlfn.XLOOKUP(_xlfn.XLOOKUP($F391,Clientes!$B$4:$B$39,Clientes!$C$4:$C$39),Cadastros!$L$6:$L$12,Cadastros!$N$6:$N$12)))</f>
        <v/>
      </c>
      <c r="P391" s="168" t="str">
        <f t="shared" si="67"/>
        <v/>
      </c>
      <c r="Q391" s="168" t="str">
        <f>IFERROR(P391/_xlfn.XLOOKUP(_xlfn.XLOOKUP($F391,Clientes!$B$4:$B$39,Clientes!$C$4:$C$39),Cadastros!$L$6:$L$12,Cadastros!$M$6:$M$12)," ")</f>
        <v xml:space="preserve"> </v>
      </c>
      <c r="R391" s="28"/>
      <c r="S391" s="28"/>
      <c r="T391" s="255" t="str">
        <f>IF(R391="","",(_xlfn.XLOOKUP(R391,Cadastros!$D$6:$D$90,Cadastros!$E$6:$E$90))*(1-_xlfn.XLOOKUP(_xlfn.XLOOKUP($F391,Clientes!$B$4:$B$39,Clientes!$C$4:$C$39),Cadastros!$L$6:$L$12,Cadastros!$N$6:$N$12)))</f>
        <v/>
      </c>
      <c r="U391" s="168" t="str">
        <f t="shared" si="68"/>
        <v/>
      </c>
      <c r="V391" s="168" t="str">
        <f>IFERROR(U391/_xlfn.XLOOKUP(_xlfn.XLOOKUP($F391,Clientes!$B$4:$B$39,Clientes!$C$4:$C$39),Cadastros!$L$6:$L$12,Cadastros!$M$6:$M$12)," ")</f>
        <v xml:space="preserve"> </v>
      </c>
      <c r="W391" s="28"/>
      <c r="X391" s="28"/>
      <c r="Y391" s="255" t="str">
        <f>IF(W391="","",(_xlfn.XLOOKUP(W391,Cadastros!$D$6:$D$90,Cadastros!$E$6:$E$90))*(1-_xlfn.XLOOKUP(_xlfn.XLOOKUP($F391,Clientes!$B$4:$B$39,Clientes!$C$4:$C$39),Cadastros!$L$6:$L$12,Cadastros!$N$6:$N$12)))</f>
        <v/>
      </c>
      <c r="Z391" s="168" t="str">
        <f t="shared" si="69"/>
        <v/>
      </c>
      <c r="AA391" s="168" t="str">
        <f>IFERROR(Z391/_xlfn.XLOOKUP(_xlfn.XLOOKUP($F391,Clientes!$B$4:$B$39,Clientes!$C$4:$C$39),Cadastros!$L$6:$L$12,Cadastros!$M$6:$M$12)," ")</f>
        <v xml:space="preserve"> </v>
      </c>
      <c r="AB391" s="28"/>
      <c r="AC391" s="28"/>
      <c r="AD391" s="20" t="str">
        <f>IF(AB391="","",IF($F391="Bernardino Furlan",_xlfn.XLOOKUP(AB391,Cadastros!$G$6:$G$90,Cadastros!$H$6:$H$90)*(1-0.18),IF($F391="Mauro José Salanti",_xlfn.XLOOKUP(AB391,Cadastros!$G$6:$G$90,Cadastros!$H$6:$H$90)*(1-0.18),_xlfn.XLOOKUP(AB391,Cadastros!$G$6:$G$90,Cadastros!$H$6:$H$90))))</f>
        <v/>
      </c>
      <c r="AE391" s="168" t="str">
        <f t="shared" si="70"/>
        <v/>
      </c>
      <c r="AF391" s="168" t="str">
        <f t="shared" si="71"/>
        <v/>
      </c>
      <c r="AG391" s="28"/>
      <c r="AH391" s="28"/>
      <c r="AI391" s="20" t="str">
        <f>IF(AG391="","",IF($F391="Bernardino Furlan",_xlfn.XLOOKUP(AG391,Cadastros!$G$6:$G$90,Cadastros!$H$6:$H$90)*(1-0.18),IF($F391="Mauro José Salanti",_xlfn.XLOOKUP(AG391,Cadastros!$G$6:$G$90,Cadastros!$H$6:$H$90)*(1-0.18),_xlfn.XLOOKUP(AG391,Cadastros!$G$6:$G$90,Cadastros!$H$6:$H$90))))</f>
        <v/>
      </c>
      <c r="AJ391" s="168" t="str">
        <f t="shared" si="72"/>
        <v/>
      </c>
      <c r="AK391" s="168" t="str">
        <f t="shared" si="73"/>
        <v/>
      </c>
      <c r="AL391" s="28"/>
      <c r="AM391" s="28"/>
      <c r="AN391" s="20" t="str">
        <f>IF(AL391="","",IF($F391="Bernardino Furlan",_xlfn.XLOOKUP(AL391,Cadastros!$G$6:$G$90,Cadastros!$H$6:$H$90)*(1-0.18),IF($F391="Mauro José Salanti",_xlfn.XLOOKUP(AL391,Cadastros!$G$6:$G$90,Cadastros!$H$6:$H$90)*(1-0.18),_xlfn.XLOOKUP(AL391,Cadastros!$G$6:$G$90,Cadastros!$H$6:$H$90))))</f>
        <v/>
      </c>
      <c r="AO391" s="168" t="str">
        <f t="shared" si="74"/>
        <v/>
      </c>
      <c r="AP391" s="168" t="str">
        <f t="shared" si="75"/>
        <v/>
      </c>
      <c r="AQ391" s="28"/>
      <c r="AR391" s="28"/>
      <c r="AS391" s="20" t="str">
        <f>IF(AQ391="","",IF($F391="Bernardino Furlan",_xlfn.XLOOKUP(AQ391,Cadastros!$G$6:$G$90,Cadastros!$H$6:$H$90)*(1-0.18),IF($F391="Mauro José Salanti",_xlfn.XLOOKUP(AQ391,Cadastros!$G$6:$G$90,Cadastros!$H$6:$H$90)*(1-0.18),_xlfn.XLOOKUP(AQ391,Cadastros!$G$6:$G$90,Cadastros!$H$6:$H$90))))</f>
        <v/>
      </c>
      <c r="AT391" s="168" t="str">
        <f t="shared" si="76"/>
        <v/>
      </c>
      <c r="AU391" s="168" t="str">
        <f t="shared" si="77"/>
        <v/>
      </c>
      <c r="AV391" s="227"/>
      <c r="AW391" s="30"/>
      <c r="AX391" s="267"/>
      <c r="AY391" s="267"/>
      <c r="AZ391" s="29"/>
      <c r="BA391" s="30"/>
      <c r="BB391" s="23" t="str" cm="1">
        <f t="array" ref="BB391">_xlfn.IFS(AW391="SIM",SUM(K391,P391,U391,Z391,AE391,AJ391,AO391,AT391,AX391,AY391),F391&lt;&gt;"",SUM(K391,P391,U391,Z391,AE391,AJ391,,AO391,AT391),F391="","")</f>
        <v/>
      </c>
      <c r="BC391" s="211" t="str" cm="1">
        <f t="array" ref="BC391">_xlfn.IFS(E391="","",G391&lt;=E391,BB391*(1-0.03),G391&lt;(E391+8),BB391,AZ391="Boleto",BB391*(1+0.001)^DATEDIF(E391,G391,"D"),AZ391="Cheque",BB391,AZ391="Dinheiro","Alterar forma pgto")</f>
        <v/>
      </c>
      <c r="BD391" s="276" t="str" cm="1">
        <f t="array" ref="BD391">IF(F391=0," ",IF(BC391&lt;BB391,(_xlfn.IFS(AW391="SIM",SUM(L391,Q391,V391,AA391,AF391,AK391,AP391,AU391)+AX391/_xlfn.XLOOKUP(_xlfn.XLOOKUP($F391,Clientes!$B$4:$B$39,Clientes!$C$4:$C$39),Cadastros!$L$6:$L$12,Cadastros!$M$6:$M$12)+IF($F391="Bernardino Furlan",AY391/2751.92,IF($F391="Mauro José Salanti",AY391/2751.92,AY391/3356)),F391&lt;&gt;0,SUM(L391,Q391,V391,AA391,AF391,AK391,AP391,AU391)))*(1-0.03),_xlfn.IFS(AW391="SIM",SUM(L391,Q391,V391,AA391,AF391,AK391,AP391,AU391)+AX391/_xlfn.XLOOKUP(_xlfn.XLOOKUP($F391,Clientes!$B$4:$B$39,Clientes!$C$4:$C$39),Cadastros!$L$6:$L$12,Cadastros!$M$6:$M$12)+IF($F391="Bernardino Furlan",AY391/2751.92,IF($F391="Mauro José Salanti",AY391/2751.92,AY391/3356)),F391&lt;&gt;0,SUM(L391,Q391,V391,AA391,AF391,AK391,AP391,AU391))))</f>
        <v xml:space="preserve"> </v>
      </c>
      <c r="BE391" s="120"/>
      <c r="BF391" s="120"/>
      <c r="BG391" s="120"/>
    </row>
    <row r="392" spans="1:59" s="3" customFormat="1" x14ac:dyDescent="0.3">
      <c r="A392" s="15" t="str">
        <f t="shared" ref="A392:A455" si="78">IF(C392="orçamento",25%,IF(C392="aprovado",50%,IF(C392="entregue",100%,IF(C392="não aceito",0%,""))))</f>
        <v/>
      </c>
      <c r="B392" s="25"/>
      <c r="C392" s="26"/>
      <c r="D392" s="279"/>
      <c r="E392" s="27"/>
      <c r="F392" s="28"/>
      <c r="G392" s="27"/>
      <c r="H392" s="28"/>
      <c r="I392" s="28"/>
      <c r="J392" s="255" t="str">
        <f>IF(H392="","",(_xlfn.XLOOKUP(H392,Cadastros!$D$6:$D$90,Cadastros!$E$6:$E$90))*(1-_xlfn.XLOOKUP(_xlfn.XLOOKUP($F392,Clientes!$B$4:$B$39,Clientes!$C$4:$C$39),Cadastros!$L$6:$L$12,Cadastros!$N$6:$N$12)))</f>
        <v/>
      </c>
      <c r="K392" s="168" t="str">
        <f t="shared" ref="K392:K455" si="79">IF(J392="","",I392*J392)</f>
        <v/>
      </c>
      <c r="L392" s="168" t="str">
        <f>IFERROR(K392/_xlfn.XLOOKUP(_xlfn.XLOOKUP($F392,Clientes!$B$4:$B$39,Clientes!$C$4:$C$39),Cadastros!$L$6:$L$12,Cadastros!$M$6:$M$12)," ")</f>
        <v xml:space="preserve"> </v>
      </c>
      <c r="M392" s="28"/>
      <c r="N392" s="28"/>
      <c r="O392" s="255" t="str">
        <f>IF(M392="","",(_xlfn.XLOOKUP(M392,Cadastros!$D$6:$D$90,Cadastros!$E$6:$E$90))*(1-_xlfn.XLOOKUP(_xlfn.XLOOKUP($F392,Clientes!$B$4:$B$39,Clientes!$C$4:$C$39),Cadastros!$L$6:$L$12,Cadastros!$N$6:$N$12)))</f>
        <v/>
      </c>
      <c r="P392" s="168" t="str">
        <f t="shared" ref="P392:P455" si="80">IF(O392="","",N392*O392)</f>
        <v/>
      </c>
      <c r="Q392" s="168" t="str">
        <f>IFERROR(P392/_xlfn.XLOOKUP(_xlfn.XLOOKUP($F392,Clientes!$B$4:$B$39,Clientes!$C$4:$C$39),Cadastros!$L$6:$L$12,Cadastros!$M$6:$M$12)," ")</f>
        <v xml:space="preserve"> </v>
      </c>
      <c r="R392" s="28"/>
      <c r="S392" s="28"/>
      <c r="T392" s="255" t="str">
        <f>IF(R392="","",(_xlfn.XLOOKUP(R392,Cadastros!$D$6:$D$90,Cadastros!$E$6:$E$90))*(1-_xlfn.XLOOKUP(_xlfn.XLOOKUP($F392,Clientes!$B$4:$B$39,Clientes!$C$4:$C$39),Cadastros!$L$6:$L$12,Cadastros!$N$6:$N$12)))</f>
        <v/>
      </c>
      <c r="U392" s="168" t="str">
        <f t="shared" ref="U392:U455" si="81">IF(T392="","",S392*T392)</f>
        <v/>
      </c>
      <c r="V392" s="168" t="str">
        <f>IFERROR(U392/_xlfn.XLOOKUP(_xlfn.XLOOKUP($F392,Clientes!$B$4:$B$39,Clientes!$C$4:$C$39),Cadastros!$L$6:$L$12,Cadastros!$M$6:$M$12)," ")</f>
        <v xml:space="preserve"> </v>
      </c>
      <c r="W392" s="28"/>
      <c r="X392" s="28"/>
      <c r="Y392" s="255" t="str">
        <f>IF(W392="","",(_xlfn.XLOOKUP(W392,Cadastros!$D$6:$D$90,Cadastros!$E$6:$E$90))*(1-_xlfn.XLOOKUP(_xlfn.XLOOKUP($F392,Clientes!$B$4:$B$39,Clientes!$C$4:$C$39),Cadastros!$L$6:$L$12,Cadastros!$N$6:$N$12)))</f>
        <v/>
      </c>
      <c r="Z392" s="168" t="str">
        <f t="shared" ref="Z392:Z455" si="82">IF(Y392="","",X392*Y392)</f>
        <v/>
      </c>
      <c r="AA392" s="168" t="str">
        <f>IFERROR(Z392/_xlfn.XLOOKUP(_xlfn.XLOOKUP($F392,Clientes!$B$4:$B$39,Clientes!$C$4:$C$39),Cadastros!$L$6:$L$12,Cadastros!$M$6:$M$12)," ")</f>
        <v xml:space="preserve"> </v>
      </c>
      <c r="AB392" s="28"/>
      <c r="AC392" s="28"/>
      <c r="AD392" s="20" t="str">
        <f>IF(AB392="","",IF($F392="Bernardino Furlan",_xlfn.XLOOKUP(AB392,Cadastros!$G$6:$G$90,Cadastros!$H$6:$H$90)*(1-0.18),IF($F392="Mauro José Salanti",_xlfn.XLOOKUP(AB392,Cadastros!$G$6:$G$90,Cadastros!$H$6:$H$90)*(1-0.18),_xlfn.XLOOKUP(AB392,Cadastros!$G$6:$G$90,Cadastros!$H$6:$H$90))))</f>
        <v/>
      </c>
      <c r="AE392" s="168" t="str">
        <f t="shared" ref="AE392:AE455" si="83">IF(AD392="","",AC392*AD392)</f>
        <v/>
      </c>
      <c r="AF392" s="168" t="str">
        <f t="shared" ref="AF392:AF455" si="84">IFERROR(IF($F392="Bernardino Furlan",AE392/2751.92,IF($F392="Mauro José Salanti",AE392/2751.92,AE392/3356)),"")</f>
        <v/>
      </c>
      <c r="AG392" s="28"/>
      <c r="AH392" s="28"/>
      <c r="AI392" s="20" t="str">
        <f>IF(AG392="","",IF($F392="Bernardino Furlan",_xlfn.XLOOKUP(AG392,Cadastros!$G$6:$G$90,Cadastros!$H$6:$H$90)*(1-0.18),IF($F392="Mauro José Salanti",_xlfn.XLOOKUP(AG392,Cadastros!$G$6:$G$90,Cadastros!$H$6:$H$90)*(1-0.18),_xlfn.XLOOKUP(AG392,Cadastros!$G$6:$G$90,Cadastros!$H$6:$H$90))))</f>
        <v/>
      </c>
      <c r="AJ392" s="168" t="str">
        <f t="shared" ref="AJ392:AJ455" si="85">IF(AI392="","",AH392*AI392)</f>
        <v/>
      </c>
      <c r="AK392" s="168" t="str">
        <f t="shared" ref="AK392:AK455" si="86">IFERROR(IF($F392="Bernardino Furlan",AJ392/2751.92,IF($F392="Mauro José Salanti",AJ392/2751.92,AJ392/3356)),"")</f>
        <v/>
      </c>
      <c r="AL392" s="28"/>
      <c r="AM392" s="28"/>
      <c r="AN392" s="20" t="str">
        <f>IF(AL392="","",IF($F392="Bernardino Furlan",_xlfn.XLOOKUP(AL392,Cadastros!$G$6:$G$90,Cadastros!$H$6:$H$90)*(1-0.18),IF($F392="Mauro José Salanti",_xlfn.XLOOKUP(AL392,Cadastros!$G$6:$G$90,Cadastros!$H$6:$H$90)*(1-0.18),_xlfn.XLOOKUP(AL392,Cadastros!$G$6:$G$90,Cadastros!$H$6:$H$90))))</f>
        <v/>
      </c>
      <c r="AO392" s="168" t="str">
        <f t="shared" ref="AO392:AO455" si="87">IF(AN392="","",AM392*AN392)</f>
        <v/>
      </c>
      <c r="AP392" s="168" t="str">
        <f t="shared" ref="AP392:AP455" si="88">IFERROR(IF($F392="Bernardino Furlan",AO392/2751.92,IF($F392="Mauro José Salanti",AO392/2751.92,AO392/3356)),"")</f>
        <v/>
      </c>
      <c r="AQ392" s="28"/>
      <c r="AR392" s="28"/>
      <c r="AS392" s="20" t="str">
        <f>IF(AQ392="","",IF($F392="Bernardino Furlan",_xlfn.XLOOKUP(AQ392,Cadastros!$G$6:$G$90,Cadastros!$H$6:$H$90)*(1-0.18),IF($F392="Mauro José Salanti",_xlfn.XLOOKUP(AQ392,Cadastros!$G$6:$G$90,Cadastros!$H$6:$H$90)*(1-0.18),_xlfn.XLOOKUP(AQ392,Cadastros!$G$6:$G$90,Cadastros!$H$6:$H$90))))</f>
        <v/>
      </c>
      <c r="AT392" s="168" t="str">
        <f t="shared" ref="AT392:AT455" si="89">IF(AS392="","",AR392*AS392)</f>
        <v/>
      </c>
      <c r="AU392" s="168" t="str">
        <f t="shared" ref="AU392:AU455" si="90">IFERROR(IF($F392="Bernardino Furlan",AT392/2751.92,IF($F392="Mauro José Salanti",AT392/2751.92,AT392/3356)),"")</f>
        <v/>
      </c>
      <c r="AV392" s="227"/>
      <c r="AW392" s="30"/>
      <c r="AX392" s="267"/>
      <c r="AY392" s="267"/>
      <c r="AZ392" s="29"/>
      <c r="BA392" s="30"/>
      <c r="BB392" s="23" t="str" cm="1">
        <f t="array" ref="BB392">_xlfn.IFS(AW392="SIM",SUM(K392,P392,U392,Z392,AE392,AJ392,AO392,AT392,AX392,AY392),F392&lt;&gt;"",SUM(K392,P392,U392,Z392,AE392,AJ392,,AO392,AT392),F392="","")</f>
        <v/>
      </c>
      <c r="BC392" s="211" t="str" cm="1">
        <f t="array" ref="BC392">_xlfn.IFS(E392="","",G392&lt;=E392,BB392*(1-0.03),G392&lt;(E392+8),BB392,AZ392="Boleto",BB392*(1+0.001)^DATEDIF(E392,G392,"D"),AZ392="Cheque",BB392,AZ392="Dinheiro","Alterar forma pgto")</f>
        <v/>
      </c>
      <c r="BD392" s="276" t="str" cm="1">
        <f t="array" ref="BD392">IF(F392=0," ",IF(BC392&lt;BB392,(_xlfn.IFS(AW392="SIM",SUM(L392,Q392,V392,AA392,AF392,AK392,AP392,AU392)+AX392/_xlfn.XLOOKUP(_xlfn.XLOOKUP($F392,Clientes!$B$4:$B$39,Clientes!$C$4:$C$39),Cadastros!$L$6:$L$12,Cadastros!$M$6:$M$12)+IF($F392="Bernardino Furlan",AY392/2751.92,IF($F392="Mauro José Salanti",AY392/2751.92,AY392/3356)),F392&lt;&gt;0,SUM(L392,Q392,V392,AA392,AF392,AK392,AP392,AU392)))*(1-0.03),_xlfn.IFS(AW392="SIM",SUM(L392,Q392,V392,AA392,AF392,AK392,AP392,AU392)+AX392/_xlfn.XLOOKUP(_xlfn.XLOOKUP($F392,Clientes!$B$4:$B$39,Clientes!$C$4:$C$39),Cadastros!$L$6:$L$12,Cadastros!$M$6:$M$12)+IF($F392="Bernardino Furlan",AY392/2751.92,IF($F392="Mauro José Salanti",AY392/2751.92,AY392/3356)),F392&lt;&gt;0,SUM(L392,Q392,V392,AA392,AF392,AK392,AP392,AU392))))</f>
        <v xml:space="preserve"> </v>
      </c>
      <c r="BE392" s="120"/>
      <c r="BF392" s="120"/>
      <c r="BG392" s="120"/>
    </row>
    <row r="393" spans="1:59" s="3" customFormat="1" x14ac:dyDescent="0.3">
      <c r="A393" s="15" t="str">
        <f t="shared" si="78"/>
        <v/>
      </c>
      <c r="B393" s="25"/>
      <c r="C393" s="26"/>
      <c r="D393" s="279"/>
      <c r="E393" s="27"/>
      <c r="F393" s="28"/>
      <c r="G393" s="27"/>
      <c r="H393" s="28"/>
      <c r="I393" s="28"/>
      <c r="J393" s="255" t="str">
        <f>IF(H393="","",(_xlfn.XLOOKUP(H393,Cadastros!$D$6:$D$90,Cadastros!$E$6:$E$90))*(1-_xlfn.XLOOKUP(_xlfn.XLOOKUP($F393,Clientes!$B$4:$B$39,Clientes!$C$4:$C$39),Cadastros!$L$6:$L$12,Cadastros!$N$6:$N$12)))</f>
        <v/>
      </c>
      <c r="K393" s="168" t="str">
        <f t="shared" si="79"/>
        <v/>
      </c>
      <c r="L393" s="168" t="str">
        <f>IFERROR(K393/_xlfn.XLOOKUP(_xlfn.XLOOKUP($F393,Clientes!$B$4:$B$39,Clientes!$C$4:$C$39),Cadastros!$L$6:$L$12,Cadastros!$M$6:$M$12)," ")</f>
        <v xml:space="preserve"> </v>
      </c>
      <c r="M393" s="28"/>
      <c r="N393" s="28"/>
      <c r="O393" s="255" t="str">
        <f>IF(M393="","",(_xlfn.XLOOKUP(M393,Cadastros!$D$6:$D$90,Cadastros!$E$6:$E$90))*(1-_xlfn.XLOOKUP(_xlfn.XLOOKUP($F393,Clientes!$B$4:$B$39,Clientes!$C$4:$C$39),Cadastros!$L$6:$L$12,Cadastros!$N$6:$N$12)))</f>
        <v/>
      </c>
      <c r="P393" s="168" t="str">
        <f t="shared" si="80"/>
        <v/>
      </c>
      <c r="Q393" s="168" t="str">
        <f>IFERROR(P393/_xlfn.XLOOKUP(_xlfn.XLOOKUP($F393,Clientes!$B$4:$B$39,Clientes!$C$4:$C$39),Cadastros!$L$6:$L$12,Cadastros!$M$6:$M$12)," ")</f>
        <v xml:space="preserve"> </v>
      </c>
      <c r="R393" s="28"/>
      <c r="S393" s="28"/>
      <c r="T393" s="255" t="str">
        <f>IF(R393="","",(_xlfn.XLOOKUP(R393,Cadastros!$D$6:$D$90,Cadastros!$E$6:$E$90))*(1-_xlfn.XLOOKUP(_xlfn.XLOOKUP($F393,Clientes!$B$4:$B$39,Clientes!$C$4:$C$39),Cadastros!$L$6:$L$12,Cadastros!$N$6:$N$12)))</f>
        <v/>
      </c>
      <c r="U393" s="168" t="str">
        <f t="shared" si="81"/>
        <v/>
      </c>
      <c r="V393" s="168" t="str">
        <f>IFERROR(U393/_xlfn.XLOOKUP(_xlfn.XLOOKUP($F393,Clientes!$B$4:$B$39,Clientes!$C$4:$C$39),Cadastros!$L$6:$L$12,Cadastros!$M$6:$M$12)," ")</f>
        <v xml:space="preserve"> </v>
      </c>
      <c r="W393" s="28"/>
      <c r="X393" s="28"/>
      <c r="Y393" s="255" t="str">
        <f>IF(W393="","",(_xlfn.XLOOKUP(W393,Cadastros!$D$6:$D$90,Cadastros!$E$6:$E$90))*(1-_xlfn.XLOOKUP(_xlfn.XLOOKUP($F393,Clientes!$B$4:$B$39,Clientes!$C$4:$C$39),Cadastros!$L$6:$L$12,Cadastros!$N$6:$N$12)))</f>
        <v/>
      </c>
      <c r="Z393" s="168" t="str">
        <f t="shared" si="82"/>
        <v/>
      </c>
      <c r="AA393" s="168" t="str">
        <f>IFERROR(Z393/_xlfn.XLOOKUP(_xlfn.XLOOKUP($F393,Clientes!$B$4:$B$39,Clientes!$C$4:$C$39),Cadastros!$L$6:$L$12,Cadastros!$M$6:$M$12)," ")</f>
        <v xml:space="preserve"> </v>
      </c>
      <c r="AB393" s="28"/>
      <c r="AC393" s="28"/>
      <c r="AD393" s="20" t="str">
        <f>IF(AB393="","",IF($F393="Bernardino Furlan",_xlfn.XLOOKUP(AB393,Cadastros!$G$6:$G$90,Cadastros!$H$6:$H$90)*(1-0.18),IF($F393="Mauro José Salanti",_xlfn.XLOOKUP(AB393,Cadastros!$G$6:$G$90,Cadastros!$H$6:$H$90)*(1-0.18),_xlfn.XLOOKUP(AB393,Cadastros!$G$6:$G$90,Cadastros!$H$6:$H$90))))</f>
        <v/>
      </c>
      <c r="AE393" s="168" t="str">
        <f t="shared" si="83"/>
        <v/>
      </c>
      <c r="AF393" s="168" t="str">
        <f t="shared" si="84"/>
        <v/>
      </c>
      <c r="AG393" s="28"/>
      <c r="AH393" s="28"/>
      <c r="AI393" s="20" t="str">
        <f>IF(AG393="","",IF($F393="Bernardino Furlan",_xlfn.XLOOKUP(AG393,Cadastros!$G$6:$G$90,Cadastros!$H$6:$H$90)*(1-0.18),IF($F393="Mauro José Salanti",_xlfn.XLOOKUP(AG393,Cadastros!$G$6:$G$90,Cadastros!$H$6:$H$90)*(1-0.18),_xlfn.XLOOKUP(AG393,Cadastros!$G$6:$G$90,Cadastros!$H$6:$H$90))))</f>
        <v/>
      </c>
      <c r="AJ393" s="168" t="str">
        <f t="shared" si="85"/>
        <v/>
      </c>
      <c r="AK393" s="168" t="str">
        <f t="shared" si="86"/>
        <v/>
      </c>
      <c r="AL393" s="28"/>
      <c r="AM393" s="28"/>
      <c r="AN393" s="20" t="str">
        <f>IF(AL393="","",IF($F393="Bernardino Furlan",_xlfn.XLOOKUP(AL393,Cadastros!$G$6:$G$90,Cadastros!$H$6:$H$90)*(1-0.18),IF($F393="Mauro José Salanti",_xlfn.XLOOKUP(AL393,Cadastros!$G$6:$G$90,Cadastros!$H$6:$H$90)*(1-0.18),_xlfn.XLOOKUP(AL393,Cadastros!$G$6:$G$90,Cadastros!$H$6:$H$90))))</f>
        <v/>
      </c>
      <c r="AO393" s="168" t="str">
        <f t="shared" si="87"/>
        <v/>
      </c>
      <c r="AP393" s="168" t="str">
        <f t="shared" si="88"/>
        <v/>
      </c>
      <c r="AQ393" s="28"/>
      <c r="AR393" s="28"/>
      <c r="AS393" s="20" t="str">
        <f>IF(AQ393="","",IF($F393="Bernardino Furlan",_xlfn.XLOOKUP(AQ393,Cadastros!$G$6:$G$90,Cadastros!$H$6:$H$90)*(1-0.18),IF($F393="Mauro José Salanti",_xlfn.XLOOKUP(AQ393,Cadastros!$G$6:$G$90,Cadastros!$H$6:$H$90)*(1-0.18),_xlfn.XLOOKUP(AQ393,Cadastros!$G$6:$G$90,Cadastros!$H$6:$H$90))))</f>
        <v/>
      </c>
      <c r="AT393" s="168" t="str">
        <f t="shared" si="89"/>
        <v/>
      </c>
      <c r="AU393" s="168" t="str">
        <f t="shared" si="90"/>
        <v/>
      </c>
      <c r="AV393" s="227"/>
      <c r="AW393" s="30"/>
      <c r="AX393" s="267"/>
      <c r="AY393" s="267"/>
      <c r="AZ393" s="29"/>
      <c r="BA393" s="30"/>
      <c r="BB393" s="23" t="str" cm="1">
        <f t="array" ref="BB393">_xlfn.IFS(AW393="SIM",SUM(K393,P393,U393,Z393,AE393,AJ393,AO393,AT393,AX393,AY393),F393&lt;&gt;"",SUM(K393,P393,U393,Z393,AE393,AJ393,,AO393,AT393),F393="","")</f>
        <v/>
      </c>
      <c r="BC393" s="211" t="str" cm="1">
        <f t="array" ref="BC393">_xlfn.IFS(E393="","",G393&lt;=E393,BB393*(1-0.03),G393&lt;(E393+8),BB393,AZ393="Boleto",BB393*(1+0.001)^DATEDIF(E393,G393,"D"),AZ393="Cheque",BB393,AZ393="Dinheiro","Alterar forma pgto")</f>
        <v/>
      </c>
      <c r="BD393" s="276" t="str" cm="1">
        <f t="array" ref="BD393">IF(F393=0," ",IF(BC393&lt;BB393,(_xlfn.IFS(AW393="SIM",SUM(L393,Q393,V393,AA393,AF393,AK393,AP393,AU393)+AX393/_xlfn.XLOOKUP(_xlfn.XLOOKUP($F393,Clientes!$B$4:$B$39,Clientes!$C$4:$C$39),Cadastros!$L$6:$L$12,Cadastros!$M$6:$M$12)+IF($F393="Bernardino Furlan",AY393/2751.92,IF($F393="Mauro José Salanti",AY393/2751.92,AY393/3356)),F393&lt;&gt;0,SUM(L393,Q393,V393,AA393,AF393,AK393,AP393,AU393)))*(1-0.03),_xlfn.IFS(AW393="SIM",SUM(L393,Q393,V393,AA393,AF393,AK393,AP393,AU393)+AX393/_xlfn.XLOOKUP(_xlfn.XLOOKUP($F393,Clientes!$B$4:$B$39,Clientes!$C$4:$C$39),Cadastros!$L$6:$L$12,Cadastros!$M$6:$M$12)+IF($F393="Bernardino Furlan",AY393/2751.92,IF($F393="Mauro José Salanti",AY393/2751.92,AY393/3356)),F393&lt;&gt;0,SUM(L393,Q393,V393,AA393,AF393,AK393,AP393,AU393))))</f>
        <v xml:space="preserve"> </v>
      </c>
      <c r="BE393" s="120"/>
      <c r="BF393" s="120"/>
      <c r="BG393" s="120"/>
    </row>
    <row r="394" spans="1:59" s="3" customFormat="1" x14ac:dyDescent="0.3">
      <c r="A394" s="15" t="str">
        <f t="shared" si="78"/>
        <v/>
      </c>
      <c r="B394" s="25"/>
      <c r="C394" s="26"/>
      <c r="D394" s="279"/>
      <c r="E394" s="27"/>
      <c r="F394" s="28"/>
      <c r="G394" s="27"/>
      <c r="H394" s="28"/>
      <c r="I394" s="28"/>
      <c r="J394" s="255" t="str">
        <f>IF(H394="","",(_xlfn.XLOOKUP(H394,Cadastros!$D$6:$D$90,Cadastros!$E$6:$E$90))*(1-_xlfn.XLOOKUP(_xlfn.XLOOKUP($F394,Clientes!$B$4:$B$39,Clientes!$C$4:$C$39),Cadastros!$L$6:$L$12,Cadastros!$N$6:$N$12)))</f>
        <v/>
      </c>
      <c r="K394" s="168" t="str">
        <f t="shared" si="79"/>
        <v/>
      </c>
      <c r="L394" s="168" t="str">
        <f>IFERROR(K394/_xlfn.XLOOKUP(_xlfn.XLOOKUP($F394,Clientes!$B$4:$B$39,Clientes!$C$4:$C$39),Cadastros!$L$6:$L$12,Cadastros!$M$6:$M$12)," ")</f>
        <v xml:space="preserve"> </v>
      </c>
      <c r="M394" s="28"/>
      <c r="N394" s="28"/>
      <c r="O394" s="255" t="str">
        <f>IF(M394="","",(_xlfn.XLOOKUP(M394,Cadastros!$D$6:$D$90,Cadastros!$E$6:$E$90))*(1-_xlfn.XLOOKUP(_xlfn.XLOOKUP($F394,Clientes!$B$4:$B$39,Clientes!$C$4:$C$39),Cadastros!$L$6:$L$12,Cadastros!$N$6:$N$12)))</f>
        <v/>
      </c>
      <c r="P394" s="168" t="str">
        <f t="shared" si="80"/>
        <v/>
      </c>
      <c r="Q394" s="168" t="str">
        <f>IFERROR(P394/_xlfn.XLOOKUP(_xlfn.XLOOKUP($F394,Clientes!$B$4:$B$39,Clientes!$C$4:$C$39),Cadastros!$L$6:$L$12,Cadastros!$M$6:$M$12)," ")</f>
        <v xml:space="preserve"> </v>
      </c>
      <c r="R394" s="28"/>
      <c r="S394" s="28"/>
      <c r="T394" s="255" t="str">
        <f>IF(R394="","",(_xlfn.XLOOKUP(R394,Cadastros!$D$6:$D$90,Cadastros!$E$6:$E$90))*(1-_xlfn.XLOOKUP(_xlfn.XLOOKUP($F394,Clientes!$B$4:$B$39,Clientes!$C$4:$C$39),Cadastros!$L$6:$L$12,Cadastros!$N$6:$N$12)))</f>
        <v/>
      </c>
      <c r="U394" s="168" t="str">
        <f t="shared" si="81"/>
        <v/>
      </c>
      <c r="V394" s="168" t="str">
        <f>IFERROR(U394/_xlfn.XLOOKUP(_xlfn.XLOOKUP($F394,Clientes!$B$4:$B$39,Clientes!$C$4:$C$39),Cadastros!$L$6:$L$12,Cadastros!$M$6:$M$12)," ")</f>
        <v xml:space="preserve"> </v>
      </c>
      <c r="W394" s="28"/>
      <c r="X394" s="28"/>
      <c r="Y394" s="255" t="str">
        <f>IF(W394="","",(_xlfn.XLOOKUP(W394,Cadastros!$D$6:$D$90,Cadastros!$E$6:$E$90))*(1-_xlfn.XLOOKUP(_xlfn.XLOOKUP($F394,Clientes!$B$4:$B$39,Clientes!$C$4:$C$39),Cadastros!$L$6:$L$12,Cadastros!$N$6:$N$12)))</f>
        <v/>
      </c>
      <c r="Z394" s="168" t="str">
        <f t="shared" si="82"/>
        <v/>
      </c>
      <c r="AA394" s="168" t="str">
        <f>IFERROR(Z394/_xlfn.XLOOKUP(_xlfn.XLOOKUP($F394,Clientes!$B$4:$B$39,Clientes!$C$4:$C$39),Cadastros!$L$6:$L$12,Cadastros!$M$6:$M$12)," ")</f>
        <v xml:space="preserve"> </v>
      </c>
      <c r="AB394" s="28"/>
      <c r="AC394" s="28"/>
      <c r="AD394" s="20" t="str">
        <f>IF(AB394="","",IF($F394="Bernardino Furlan",_xlfn.XLOOKUP(AB394,Cadastros!$G$6:$G$90,Cadastros!$H$6:$H$90)*(1-0.18),IF($F394="Mauro José Salanti",_xlfn.XLOOKUP(AB394,Cadastros!$G$6:$G$90,Cadastros!$H$6:$H$90)*(1-0.18),_xlfn.XLOOKUP(AB394,Cadastros!$G$6:$G$90,Cadastros!$H$6:$H$90))))</f>
        <v/>
      </c>
      <c r="AE394" s="168" t="str">
        <f t="shared" si="83"/>
        <v/>
      </c>
      <c r="AF394" s="168" t="str">
        <f t="shared" si="84"/>
        <v/>
      </c>
      <c r="AG394" s="28"/>
      <c r="AH394" s="28"/>
      <c r="AI394" s="20" t="str">
        <f>IF(AG394="","",IF($F394="Bernardino Furlan",_xlfn.XLOOKUP(AG394,Cadastros!$G$6:$G$90,Cadastros!$H$6:$H$90)*(1-0.18),IF($F394="Mauro José Salanti",_xlfn.XLOOKUP(AG394,Cadastros!$G$6:$G$90,Cadastros!$H$6:$H$90)*(1-0.18),_xlfn.XLOOKUP(AG394,Cadastros!$G$6:$G$90,Cadastros!$H$6:$H$90))))</f>
        <v/>
      </c>
      <c r="AJ394" s="168" t="str">
        <f t="shared" si="85"/>
        <v/>
      </c>
      <c r="AK394" s="168" t="str">
        <f t="shared" si="86"/>
        <v/>
      </c>
      <c r="AL394" s="28"/>
      <c r="AM394" s="28"/>
      <c r="AN394" s="20" t="str">
        <f>IF(AL394="","",IF($F394="Bernardino Furlan",_xlfn.XLOOKUP(AL394,Cadastros!$G$6:$G$90,Cadastros!$H$6:$H$90)*(1-0.18),IF($F394="Mauro José Salanti",_xlfn.XLOOKUP(AL394,Cadastros!$G$6:$G$90,Cadastros!$H$6:$H$90)*(1-0.18),_xlfn.XLOOKUP(AL394,Cadastros!$G$6:$G$90,Cadastros!$H$6:$H$90))))</f>
        <v/>
      </c>
      <c r="AO394" s="168" t="str">
        <f t="shared" si="87"/>
        <v/>
      </c>
      <c r="AP394" s="168" t="str">
        <f t="shared" si="88"/>
        <v/>
      </c>
      <c r="AQ394" s="28"/>
      <c r="AR394" s="28"/>
      <c r="AS394" s="20" t="str">
        <f>IF(AQ394="","",IF($F394="Bernardino Furlan",_xlfn.XLOOKUP(AQ394,Cadastros!$G$6:$G$90,Cadastros!$H$6:$H$90)*(1-0.18),IF($F394="Mauro José Salanti",_xlfn.XLOOKUP(AQ394,Cadastros!$G$6:$G$90,Cadastros!$H$6:$H$90)*(1-0.18),_xlfn.XLOOKUP(AQ394,Cadastros!$G$6:$G$90,Cadastros!$H$6:$H$90))))</f>
        <v/>
      </c>
      <c r="AT394" s="168" t="str">
        <f t="shared" si="89"/>
        <v/>
      </c>
      <c r="AU394" s="168" t="str">
        <f t="shared" si="90"/>
        <v/>
      </c>
      <c r="AV394" s="227"/>
      <c r="AW394" s="30"/>
      <c r="AX394" s="267"/>
      <c r="AY394" s="267"/>
      <c r="AZ394" s="29"/>
      <c r="BA394" s="30"/>
      <c r="BB394" s="23" t="str" cm="1">
        <f t="array" ref="BB394">_xlfn.IFS(AW394="SIM",SUM(K394,P394,U394,Z394,AE394,AJ394,AO394,AT394,AX394,AY394),F394&lt;&gt;"",SUM(K394,P394,U394,Z394,AE394,AJ394,,AO394,AT394),F394="","")</f>
        <v/>
      </c>
      <c r="BC394" s="211" t="str" cm="1">
        <f t="array" ref="BC394">_xlfn.IFS(E394="","",G394&lt;=E394,BB394*(1-0.03),G394&lt;(E394+8),BB394,AZ394="Boleto",BB394*(1+0.001)^DATEDIF(E394,G394,"D"),AZ394="Cheque",BB394,AZ394="Dinheiro","Alterar forma pgto")</f>
        <v/>
      </c>
      <c r="BD394" s="276" t="str" cm="1">
        <f t="array" ref="BD394">IF(F394=0," ",IF(BC394&lt;BB394,(_xlfn.IFS(AW394="SIM",SUM(L394,Q394,V394,AA394,AF394,AK394,AP394,AU394)+AX394/_xlfn.XLOOKUP(_xlfn.XLOOKUP($F394,Clientes!$B$4:$B$39,Clientes!$C$4:$C$39),Cadastros!$L$6:$L$12,Cadastros!$M$6:$M$12)+IF($F394="Bernardino Furlan",AY394/2751.92,IF($F394="Mauro José Salanti",AY394/2751.92,AY394/3356)),F394&lt;&gt;0,SUM(L394,Q394,V394,AA394,AF394,AK394,AP394,AU394)))*(1-0.03),_xlfn.IFS(AW394="SIM",SUM(L394,Q394,V394,AA394,AF394,AK394,AP394,AU394)+AX394/_xlfn.XLOOKUP(_xlfn.XLOOKUP($F394,Clientes!$B$4:$B$39,Clientes!$C$4:$C$39),Cadastros!$L$6:$L$12,Cadastros!$M$6:$M$12)+IF($F394="Bernardino Furlan",AY394/2751.92,IF($F394="Mauro José Salanti",AY394/2751.92,AY394/3356)),F394&lt;&gt;0,SUM(L394,Q394,V394,AA394,AF394,AK394,AP394,AU394))))</f>
        <v xml:space="preserve"> </v>
      </c>
      <c r="BE394" s="120"/>
      <c r="BF394" s="120"/>
      <c r="BG394" s="120"/>
    </row>
    <row r="395" spans="1:59" s="3" customFormat="1" x14ac:dyDescent="0.3">
      <c r="A395" s="15" t="str">
        <f t="shared" si="78"/>
        <v/>
      </c>
      <c r="B395" s="25"/>
      <c r="C395" s="26"/>
      <c r="D395" s="279"/>
      <c r="E395" s="27"/>
      <c r="F395" s="28"/>
      <c r="G395" s="27"/>
      <c r="H395" s="28"/>
      <c r="I395" s="28"/>
      <c r="J395" s="255" t="str">
        <f>IF(H395="","",(_xlfn.XLOOKUP(H395,Cadastros!$D$6:$D$90,Cadastros!$E$6:$E$90))*(1-_xlfn.XLOOKUP(_xlfn.XLOOKUP($F395,Clientes!$B$4:$B$39,Clientes!$C$4:$C$39),Cadastros!$L$6:$L$12,Cadastros!$N$6:$N$12)))</f>
        <v/>
      </c>
      <c r="K395" s="168" t="str">
        <f t="shared" si="79"/>
        <v/>
      </c>
      <c r="L395" s="168" t="str">
        <f>IFERROR(K395/_xlfn.XLOOKUP(_xlfn.XLOOKUP($F395,Clientes!$B$4:$B$39,Clientes!$C$4:$C$39),Cadastros!$L$6:$L$12,Cadastros!$M$6:$M$12)," ")</f>
        <v xml:space="preserve"> </v>
      </c>
      <c r="M395" s="28"/>
      <c r="N395" s="28"/>
      <c r="O395" s="255" t="str">
        <f>IF(M395="","",(_xlfn.XLOOKUP(M395,Cadastros!$D$6:$D$90,Cadastros!$E$6:$E$90))*(1-_xlfn.XLOOKUP(_xlfn.XLOOKUP($F395,Clientes!$B$4:$B$39,Clientes!$C$4:$C$39),Cadastros!$L$6:$L$12,Cadastros!$N$6:$N$12)))</f>
        <v/>
      </c>
      <c r="P395" s="168" t="str">
        <f t="shared" si="80"/>
        <v/>
      </c>
      <c r="Q395" s="168" t="str">
        <f>IFERROR(P395/_xlfn.XLOOKUP(_xlfn.XLOOKUP($F395,Clientes!$B$4:$B$39,Clientes!$C$4:$C$39),Cadastros!$L$6:$L$12,Cadastros!$M$6:$M$12)," ")</f>
        <v xml:space="preserve"> </v>
      </c>
      <c r="R395" s="28"/>
      <c r="S395" s="28"/>
      <c r="T395" s="255" t="str">
        <f>IF(R395="","",(_xlfn.XLOOKUP(R395,Cadastros!$D$6:$D$90,Cadastros!$E$6:$E$90))*(1-_xlfn.XLOOKUP(_xlfn.XLOOKUP($F395,Clientes!$B$4:$B$39,Clientes!$C$4:$C$39),Cadastros!$L$6:$L$12,Cadastros!$N$6:$N$12)))</f>
        <v/>
      </c>
      <c r="U395" s="168" t="str">
        <f t="shared" si="81"/>
        <v/>
      </c>
      <c r="V395" s="168" t="str">
        <f>IFERROR(U395/_xlfn.XLOOKUP(_xlfn.XLOOKUP($F395,Clientes!$B$4:$B$39,Clientes!$C$4:$C$39),Cadastros!$L$6:$L$12,Cadastros!$M$6:$M$12)," ")</f>
        <v xml:space="preserve"> </v>
      </c>
      <c r="W395" s="28"/>
      <c r="X395" s="28"/>
      <c r="Y395" s="255" t="str">
        <f>IF(W395="","",(_xlfn.XLOOKUP(W395,Cadastros!$D$6:$D$90,Cadastros!$E$6:$E$90))*(1-_xlfn.XLOOKUP(_xlfn.XLOOKUP($F395,Clientes!$B$4:$B$39,Clientes!$C$4:$C$39),Cadastros!$L$6:$L$12,Cadastros!$N$6:$N$12)))</f>
        <v/>
      </c>
      <c r="Z395" s="168" t="str">
        <f t="shared" si="82"/>
        <v/>
      </c>
      <c r="AA395" s="168" t="str">
        <f>IFERROR(Z395/_xlfn.XLOOKUP(_xlfn.XLOOKUP($F395,Clientes!$B$4:$B$39,Clientes!$C$4:$C$39),Cadastros!$L$6:$L$12,Cadastros!$M$6:$M$12)," ")</f>
        <v xml:space="preserve"> </v>
      </c>
      <c r="AB395" s="28"/>
      <c r="AC395" s="28"/>
      <c r="AD395" s="20" t="str">
        <f>IF(AB395="","",IF($F395="Bernardino Furlan",_xlfn.XLOOKUP(AB395,Cadastros!$G$6:$G$90,Cadastros!$H$6:$H$90)*(1-0.18),IF($F395="Mauro José Salanti",_xlfn.XLOOKUP(AB395,Cadastros!$G$6:$G$90,Cadastros!$H$6:$H$90)*(1-0.18),_xlfn.XLOOKUP(AB395,Cadastros!$G$6:$G$90,Cadastros!$H$6:$H$90))))</f>
        <v/>
      </c>
      <c r="AE395" s="168" t="str">
        <f t="shared" si="83"/>
        <v/>
      </c>
      <c r="AF395" s="168" t="str">
        <f t="shared" si="84"/>
        <v/>
      </c>
      <c r="AG395" s="28"/>
      <c r="AH395" s="28"/>
      <c r="AI395" s="20" t="str">
        <f>IF(AG395="","",IF($F395="Bernardino Furlan",_xlfn.XLOOKUP(AG395,Cadastros!$G$6:$G$90,Cadastros!$H$6:$H$90)*(1-0.18),IF($F395="Mauro José Salanti",_xlfn.XLOOKUP(AG395,Cadastros!$G$6:$G$90,Cadastros!$H$6:$H$90)*(1-0.18),_xlfn.XLOOKUP(AG395,Cadastros!$G$6:$G$90,Cadastros!$H$6:$H$90))))</f>
        <v/>
      </c>
      <c r="AJ395" s="168" t="str">
        <f t="shared" si="85"/>
        <v/>
      </c>
      <c r="AK395" s="168" t="str">
        <f t="shared" si="86"/>
        <v/>
      </c>
      <c r="AL395" s="28"/>
      <c r="AM395" s="28"/>
      <c r="AN395" s="20" t="str">
        <f>IF(AL395="","",IF($F395="Bernardino Furlan",_xlfn.XLOOKUP(AL395,Cadastros!$G$6:$G$90,Cadastros!$H$6:$H$90)*(1-0.18),IF($F395="Mauro José Salanti",_xlfn.XLOOKUP(AL395,Cadastros!$G$6:$G$90,Cadastros!$H$6:$H$90)*(1-0.18),_xlfn.XLOOKUP(AL395,Cadastros!$G$6:$G$90,Cadastros!$H$6:$H$90))))</f>
        <v/>
      </c>
      <c r="AO395" s="168" t="str">
        <f t="shared" si="87"/>
        <v/>
      </c>
      <c r="AP395" s="168" t="str">
        <f t="shared" si="88"/>
        <v/>
      </c>
      <c r="AQ395" s="28"/>
      <c r="AR395" s="28"/>
      <c r="AS395" s="20" t="str">
        <f>IF(AQ395="","",IF($F395="Bernardino Furlan",_xlfn.XLOOKUP(AQ395,Cadastros!$G$6:$G$90,Cadastros!$H$6:$H$90)*(1-0.18),IF($F395="Mauro José Salanti",_xlfn.XLOOKUP(AQ395,Cadastros!$G$6:$G$90,Cadastros!$H$6:$H$90)*(1-0.18),_xlfn.XLOOKUP(AQ395,Cadastros!$G$6:$G$90,Cadastros!$H$6:$H$90))))</f>
        <v/>
      </c>
      <c r="AT395" s="168" t="str">
        <f t="shared" si="89"/>
        <v/>
      </c>
      <c r="AU395" s="168" t="str">
        <f t="shared" si="90"/>
        <v/>
      </c>
      <c r="AV395" s="227"/>
      <c r="AW395" s="30"/>
      <c r="AX395" s="267"/>
      <c r="AY395" s="267"/>
      <c r="AZ395" s="29"/>
      <c r="BA395" s="30"/>
      <c r="BB395" s="23" t="str" cm="1">
        <f t="array" ref="BB395">_xlfn.IFS(AW395="SIM",SUM(K395,P395,U395,Z395,AE395,AJ395,AO395,AT395,AX395,AY395),F395&lt;&gt;"",SUM(K395,P395,U395,Z395,AE395,AJ395,,AO395,AT395),F395="","")</f>
        <v/>
      </c>
      <c r="BC395" s="211" t="str" cm="1">
        <f t="array" ref="BC395">_xlfn.IFS(E395="","",G395&lt;=E395,BB395*(1-0.03),G395&lt;(E395+8),BB395,AZ395="Boleto",BB395*(1+0.001)^DATEDIF(E395,G395,"D"),AZ395="Cheque",BB395,AZ395="Dinheiro","Alterar forma pgto")</f>
        <v/>
      </c>
      <c r="BD395" s="276" t="str" cm="1">
        <f t="array" ref="BD395">IF(F395=0," ",IF(BC395&lt;BB395,(_xlfn.IFS(AW395="SIM",SUM(L395,Q395,V395,AA395,AF395,AK395,AP395,AU395)+AX395/_xlfn.XLOOKUP(_xlfn.XLOOKUP($F395,Clientes!$B$4:$B$39,Clientes!$C$4:$C$39),Cadastros!$L$6:$L$12,Cadastros!$M$6:$M$12)+IF($F395="Bernardino Furlan",AY395/2751.92,IF($F395="Mauro José Salanti",AY395/2751.92,AY395/3356)),F395&lt;&gt;0,SUM(L395,Q395,V395,AA395,AF395,AK395,AP395,AU395)))*(1-0.03),_xlfn.IFS(AW395="SIM",SUM(L395,Q395,V395,AA395,AF395,AK395,AP395,AU395)+AX395/_xlfn.XLOOKUP(_xlfn.XLOOKUP($F395,Clientes!$B$4:$B$39,Clientes!$C$4:$C$39),Cadastros!$L$6:$L$12,Cadastros!$M$6:$M$12)+IF($F395="Bernardino Furlan",AY395/2751.92,IF($F395="Mauro José Salanti",AY395/2751.92,AY395/3356)),F395&lt;&gt;0,SUM(L395,Q395,V395,AA395,AF395,AK395,AP395,AU395))))</f>
        <v xml:space="preserve"> </v>
      </c>
      <c r="BE395" s="120"/>
      <c r="BF395" s="120"/>
      <c r="BG395" s="120"/>
    </row>
    <row r="396" spans="1:59" s="3" customFormat="1" x14ac:dyDescent="0.3">
      <c r="A396" s="15" t="str">
        <f t="shared" si="78"/>
        <v/>
      </c>
      <c r="B396" s="25"/>
      <c r="C396" s="26"/>
      <c r="D396" s="279"/>
      <c r="E396" s="27"/>
      <c r="F396" s="28"/>
      <c r="G396" s="27"/>
      <c r="H396" s="28"/>
      <c r="I396" s="28"/>
      <c r="J396" s="255" t="str">
        <f>IF(H396="","",(_xlfn.XLOOKUP(H396,Cadastros!$D$6:$D$90,Cadastros!$E$6:$E$90))*(1-_xlfn.XLOOKUP(_xlfn.XLOOKUP($F396,Clientes!$B$4:$B$39,Clientes!$C$4:$C$39),Cadastros!$L$6:$L$12,Cadastros!$N$6:$N$12)))</f>
        <v/>
      </c>
      <c r="K396" s="168" t="str">
        <f t="shared" si="79"/>
        <v/>
      </c>
      <c r="L396" s="168" t="str">
        <f>IFERROR(K396/_xlfn.XLOOKUP(_xlfn.XLOOKUP($F396,Clientes!$B$4:$B$39,Clientes!$C$4:$C$39),Cadastros!$L$6:$L$12,Cadastros!$M$6:$M$12)," ")</f>
        <v xml:space="preserve"> </v>
      </c>
      <c r="M396" s="28"/>
      <c r="N396" s="28"/>
      <c r="O396" s="255" t="str">
        <f>IF(M396="","",(_xlfn.XLOOKUP(M396,Cadastros!$D$6:$D$90,Cadastros!$E$6:$E$90))*(1-_xlfn.XLOOKUP(_xlfn.XLOOKUP($F396,Clientes!$B$4:$B$39,Clientes!$C$4:$C$39),Cadastros!$L$6:$L$12,Cadastros!$N$6:$N$12)))</f>
        <v/>
      </c>
      <c r="P396" s="168" t="str">
        <f t="shared" si="80"/>
        <v/>
      </c>
      <c r="Q396" s="168" t="str">
        <f>IFERROR(P396/_xlfn.XLOOKUP(_xlfn.XLOOKUP($F396,Clientes!$B$4:$B$39,Clientes!$C$4:$C$39),Cadastros!$L$6:$L$12,Cadastros!$M$6:$M$12)," ")</f>
        <v xml:space="preserve"> </v>
      </c>
      <c r="R396" s="28"/>
      <c r="S396" s="28"/>
      <c r="T396" s="255" t="str">
        <f>IF(R396="","",(_xlfn.XLOOKUP(R396,Cadastros!$D$6:$D$90,Cadastros!$E$6:$E$90))*(1-_xlfn.XLOOKUP(_xlfn.XLOOKUP($F396,Clientes!$B$4:$B$39,Clientes!$C$4:$C$39),Cadastros!$L$6:$L$12,Cadastros!$N$6:$N$12)))</f>
        <v/>
      </c>
      <c r="U396" s="168" t="str">
        <f t="shared" si="81"/>
        <v/>
      </c>
      <c r="V396" s="168" t="str">
        <f>IFERROR(U396/_xlfn.XLOOKUP(_xlfn.XLOOKUP($F396,Clientes!$B$4:$B$39,Clientes!$C$4:$C$39),Cadastros!$L$6:$L$12,Cadastros!$M$6:$M$12)," ")</f>
        <v xml:space="preserve"> </v>
      </c>
      <c r="W396" s="28"/>
      <c r="X396" s="28"/>
      <c r="Y396" s="255" t="str">
        <f>IF(W396="","",(_xlfn.XLOOKUP(W396,Cadastros!$D$6:$D$90,Cadastros!$E$6:$E$90))*(1-_xlfn.XLOOKUP(_xlfn.XLOOKUP($F396,Clientes!$B$4:$B$39,Clientes!$C$4:$C$39),Cadastros!$L$6:$L$12,Cadastros!$N$6:$N$12)))</f>
        <v/>
      </c>
      <c r="Z396" s="168" t="str">
        <f t="shared" si="82"/>
        <v/>
      </c>
      <c r="AA396" s="168" t="str">
        <f>IFERROR(Z396/_xlfn.XLOOKUP(_xlfn.XLOOKUP($F396,Clientes!$B$4:$B$39,Clientes!$C$4:$C$39),Cadastros!$L$6:$L$12,Cadastros!$M$6:$M$12)," ")</f>
        <v xml:space="preserve"> </v>
      </c>
      <c r="AB396" s="28"/>
      <c r="AC396" s="28"/>
      <c r="AD396" s="20" t="str">
        <f>IF(AB396="","",IF($F396="Bernardino Furlan",_xlfn.XLOOKUP(AB396,Cadastros!$G$6:$G$90,Cadastros!$H$6:$H$90)*(1-0.18),IF($F396="Mauro José Salanti",_xlfn.XLOOKUP(AB396,Cadastros!$G$6:$G$90,Cadastros!$H$6:$H$90)*(1-0.18),_xlfn.XLOOKUP(AB396,Cadastros!$G$6:$G$90,Cadastros!$H$6:$H$90))))</f>
        <v/>
      </c>
      <c r="AE396" s="168" t="str">
        <f t="shared" si="83"/>
        <v/>
      </c>
      <c r="AF396" s="168" t="str">
        <f t="shared" si="84"/>
        <v/>
      </c>
      <c r="AG396" s="28"/>
      <c r="AH396" s="28"/>
      <c r="AI396" s="20" t="str">
        <f>IF(AG396="","",IF($F396="Bernardino Furlan",_xlfn.XLOOKUP(AG396,Cadastros!$G$6:$G$90,Cadastros!$H$6:$H$90)*(1-0.18),IF($F396="Mauro José Salanti",_xlfn.XLOOKUP(AG396,Cadastros!$G$6:$G$90,Cadastros!$H$6:$H$90)*(1-0.18),_xlfn.XLOOKUP(AG396,Cadastros!$G$6:$G$90,Cadastros!$H$6:$H$90))))</f>
        <v/>
      </c>
      <c r="AJ396" s="168" t="str">
        <f t="shared" si="85"/>
        <v/>
      </c>
      <c r="AK396" s="168" t="str">
        <f t="shared" si="86"/>
        <v/>
      </c>
      <c r="AL396" s="28"/>
      <c r="AM396" s="28"/>
      <c r="AN396" s="20" t="str">
        <f>IF(AL396="","",IF($F396="Bernardino Furlan",_xlfn.XLOOKUP(AL396,Cadastros!$G$6:$G$90,Cadastros!$H$6:$H$90)*(1-0.18),IF($F396="Mauro José Salanti",_xlfn.XLOOKUP(AL396,Cadastros!$G$6:$G$90,Cadastros!$H$6:$H$90)*(1-0.18),_xlfn.XLOOKUP(AL396,Cadastros!$G$6:$G$90,Cadastros!$H$6:$H$90))))</f>
        <v/>
      </c>
      <c r="AO396" s="168" t="str">
        <f t="shared" si="87"/>
        <v/>
      </c>
      <c r="AP396" s="168" t="str">
        <f t="shared" si="88"/>
        <v/>
      </c>
      <c r="AQ396" s="28"/>
      <c r="AR396" s="28"/>
      <c r="AS396" s="20" t="str">
        <f>IF(AQ396="","",IF($F396="Bernardino Furlan",_xlfn.XLOOKUP(AQ396,Cadastros!$G$6:$G$90,Cadastros!$H$6:$H$90)*(1-0.18),IF($F396="Mauro José Salanti",_xlfn.XLOOKUP(AQ396,Cadastros!$G$6:$G$90,Cadastros!$H$6:$H$90)*(1-0.18),_xlfn.XLOOKUP(AQ396,Cadastros!$G$6:$G$90,Cadastros!$H$6:$H$90))))</f>
        <v/>
      </c>
      <c r="AT396" s="168" t="str">
        <f t="shared" si="89"/>
        <v/>
      </c>
      <c r="AU396" s="168" t="str">
        <f t="shared" si="90"/>
        <v/>
      </c>
      <c r="AV396" s="227"/>
      <c r="AW396" s="30"/>
      <c r="AX396" s="267"/>
      <c r="AY396" s="267"/>
      <c r="AZ396" s="29"/>
      <c r="BA396" s="30"/>
      <c r="BB396" s="23" t="str" cm="1">
        <f t="array" ref="BB396">_xlfn.IFS(AW396="SIM",SUM(K396,P396,U396,Z396,AE396,AJ396,AO396,AT396,AX396,AY396),F396&lt;&gt;"",SUM(K396,P396,U396,Z396,AE396,AJ396,,AO396,AT396),F396="","")</f>
        <v/>
      </c>
      <c r="BC396" s="211" t="str" cm="1">
        <f t="array" ref="BC396">_xlfn.IFS(E396="","",G396&lt;=E396,BB396*(1-0.03),G396&lt;(E396+8),BB396,AZ396="Boleto",BB396*(1+0.001)^DATEDIF(E396,G396,"D"),AZ396="Cheque",BB396,AZ396="Dinheiro","Alterar forma pgto")</f>
        <v/>
      </c>
      <c r="BD396" s="276" t="str" cm="1">
        <f t="array" ref="BD396">IF(F396=0," ",IF(BC396&lt;BB396,(_xlfn.IFS(AW396="SIM",SUM(L396,Q396,V396,AA396,AF396,AK396,AP396,AU396)+AX396/_xlfn.XLOOKUP(_xlfn.XLOOKUP($F396,Clientes!$B$4:$B$39,Clientes!$C$4:$C$39),Cadastros!$L$6:$L$12,Cadastros!$M$6:$M$12)+IF($F396="Bernardino Furlan",AY396/2751.92,IF($F396="Mauro José Salanti",AY396/2751.92,AY396/3356)),F396&lt;&gt;0,SUM(L396,Q396,V396,AA396,AF396,AK396,AP396,AU396)))*(1-0.03),_xlfn.IFS(AW396="SIM",SUM(L396,Q396,V396,AA396,AF396,AK396,AP396,AU396)+AX396/_xlfn.XLOOKUP(_xlfn.XLOOKUP($F396,Clientes!$B$4:$B$39,Clientes!$C$4:$C$39),Cadastros!$L$6:$L$12,Cadastros!$M$6:$M$12)+IF($F396="Bernardino Furlan",AY396/2751.92,IF($F396="Mauro José Salanti",AY396/2751.92,AY396/3356)),F396&lt;&gt;0,SUM(L396,Q396,V396,AA396,AF396,AK396,AP396,AU396))))</f>
        <v xml:space="preserve"> </v>
      </c>
      <c r="BE396" s="120"/>
      <c r="BF396" s="120"/>
      <c r="BG396" s="120"/>
    </row>
    <row r="397" spans="1:59" s="3" customFormat="1" x14ac:dyDescent="0.3">
      <c r="A397" s="15" t="str">
        <f t="shared" si="78"/>
        <v/>
      </c>
      <c r="B397" s="25"/>
      <c r="C397" s="26"/>
      <c r="D397" s="279"/>
      <c r="E397" s="27"/>
      <c r="F397" s="28"/>
      <c r="G397" s="27"/>
      <c r="H397" s="28"/>
      <c r="I397" s="28"/>
      <c r="J397" s="255" t="str">
        <f>IF(H397="","",(_xlfn.XLOOKUP(H397,Cadastros!$D$6:$D$90,Cadastros!$E$6:$E$90))*(1-_xlfn.XLOOKUP(_xlfn.XLOOKUP($F397,Clientes!$B$4:$B$39,Clientes!$C$4:$C$39),Cadastros!$L$6:$L$12,Cadastros!$N$6:$N$12)))</f>
        <v/>
      </c>
      <c r="K397" s="168" t="str">
        <f t="shared" si="79"/>
        <v/>
      </c>
      <c r="L397" s="168" t="str">
        <f>IFERROR(K397/_xlfn.XLOOKUP(_xlfn.XLOOKUP($F397,Clientes!$B$4:$B$39,Clientes!$C$4:$C$39),Cadastros!$L$6:$L$12,Cadastros!$M$6:$M$12)," ")</f>
        <v xml:space="preserve"> </v>
      </c>
      <c r="M397" s="28"/>
      <c r="N397" s="28"/>
      <c r="O397" s="255" t="str">
        <f>IF(M397="","",(_xlfn.XLOOKUP(M397,Cadastros!$D$6:$D$90,Cadastros!$E$6:$E$90))*(1-_xlfn.XLOOKUP(_xlfn.XLOOKUP($F397,Clientes!$B$4:$B$39,Clientes!$C$4:$C$39),Cadastros!$L$6:$L$12,Cadastros!$N$6:$N$12)))</f>
        <v/>
      </c>
      <c r="P397" s="168" t="str">
        <f t="shared" si="80"/>
        <v/>
      </c>
      <c r="Q397" s="168" t="str">
        <f>IFERROR(P397/_xlfn.XLOOKUP(_xlfn.XLOOKUP($F397,Clientes!$B$4:$B$39,Clientes!$C$4:$C$39),Cadastros!$L$6:$L$12,Cadastros!$M$6:$M$12)," ")</f>
        <v xml:space="preserve"> </v>
      </c>
      <c r="R397" s="28"/>
      <c r="S397" s="28"/>
      <c r="T397" s="255" t="str">
        <f>IF(R397="","",(_xlfn.XLOOKUP(R397,Cadastros!$D$6:$D$90,Cadastros!$E$6:$E$90))*(1-_xlfn.XLOOKUP(_xlfn.XLOOKUP($F397,Clientes!$B$4:$B$39,Clientes!$C$4:$C$39),Cadastros!$L$6:$L$12,Cadastros!$N$6:$N$12)))</f>
        <v/>
      </c>
      <c r="U397" s="168" t="str">
        <f t="shared" si="81"/>
        <v/>
      </c>
      <c r="V397" s="168" t="str">
        <f>IFERROR(U397/_xlfn.XLOOKUP(_xlfn.XLOOKUP($F397,Clientes!$B$4:$B$39,Clientes!$C$4:$C$39),Cadastros!$L$6:$L$12,Cadastros!$M$6:$M$12)," ")</f>
        <v xml:space="preserve"> </v>
      </c>
      <c r="W397" s="28"/>
      <c r="X397" s="28"/>
      <c r="Y397" s="255" t="str">
        <f>IF(W397="","",(_xlfn.XLOOKUP(W397,Cadastros!$D$6:$D$90,Cadastros!$E$6:$E$90))*(1-_xlfn.XLOOKUP(_xlfn.XLOOKUP($F397,Clientes!$B$4:$B$39,Clientes!$C$4:$C$39),Cadastros!$L$6:$L$12,Cadastros!$N$6:$N$12)))</f>
        <v/>
      </c>
      <c r="Z397" s="168" t="str">
        <f t="shared" si="82"/>
        <v/>
      </c>
      <c r="AA397" s="168" t="str">
        <f>IFERROR(Z397/_xlfn.XLOOKUP(_xlfn.XLOOKUP($F397,Clientes!$B$4:$B$39,Clientes!$C$4:$C$39),Cadastros!$L$6:$L$12,Cadastros!$M$6:$M$12)," ")</f>
        <v xml:space="preserve"> </v>
      </c>
      <c r="AB397" s="28"/>
      <c r="AC397" s="28"/>
      <c r="AD397" s="20" t="str">
        <f>IF(AB397="","",IF($F397="Bernardino Furlan",_xlfn.XLOOKUP(AB397,Cadastros!$G$6:$G$90,Cadastros!$H$6:$H$90)*(1-0.18),IF($F397="Mauro José Salanti",_xlfn.XLOOKUP(AB397,Cadastros!$G$6:$G$90,Cadastros!$H$6:$H$90)*(1-0.18),_xlfn.XLOOKUP(AB397,Cadastros!$G$6:$G$90,Cadastros!$H$6:$H$90))))</f>
        <v/>
      </c>
      <c r="AE397" s="168" t="str">
        <f t="shared" si="83"/>
        <v/>
      </c>
      <c r="AF397" s="168" t="str">
        <f t="shared" si="84"/>
        <v/>
      </c>
      <c r="AG397" s="28"/>
      <c r="AH397" s="28"/>
      <c r="AI397" s="20" t="str">
        <f>IF(AG397="","",IF($F397="Bernardino Furlan",_xlfn.XLOOKUP(AG397,Cadastros!$G$6:$G$90,Cadastros!$H$6:$H$90)*(1-0.18),IF($F397="Mauro José Salanti",_xlfn.XLOOKUP(AG397,Cadastros!$G$6:$G$90,Cadastros!$H$6:$H$90)*(1-0.18),_xlfn.XLOOKUP(AG397,Cadastros!$G$6:$G$90,Cadastros!$H$6:$H$90))))</f>
        <v/>
      </c>
      <c r="AJ397" s="168" t="str">
        <f t="shared" si="85"/>
        <v/>
      </c>
      <c r="AK397" s="168" t="str">
        <f t="shared" si="86"/>
        <v/>
      </c>
      <c r="AL397" s="28"/>
      <c r="AM397" s="28"/>
      <c r="AN397" s="20" t="str">
        <f>IF(AL397="","",IF($F397="Bernardino Furlan",_xlfn.XLOOKUP(AL397,Cadastros!$G$6:$G$90,Cadastros!$H$6:$H$90)*(1-0.18),IF($F397="Mauro José Salanti",_xlfn.XLOOKUP(AL397,Cadastros!$G$6:$G$90,Cadastros!$H$6:$H$90)*(1-0.18),_xlfn.XLOOKUP(AL397,Cadastros!$G$6:$G$90,Cadastros!$H$6:$H$90))))</f>
        <v/>
      </c>
      <c r="AO397" s="168" t="str">
        <f t="shared" si="87"/>
        <v/>
      </c>
      <c r="AP397" s="168" t="str">
        <f t="shared" si="88"/>
        <v/>
      </c>
      <c r="AQ397" s="28"/>
      <c r="AR397" s="28"/>
      <c r="AS397" s="20" t="str">
        <f>IF(AQ397="","",IF($F397="Bernardino Furlan",_xlfn.XLOOKUP(AQ397,Cadastros!$G$6:$G$90,Cadastros!$H$6:$H$90)*(1-0.18),IF($F397="Mauro José Salanti",_xlfn.XLOOKUP(AQ397,Cadastros!$G$6:$G$90,Cadastros!$H$6:$H$90)*(1-0.18),_xlfn.XLOOKUP(AQ397,Cadastros!$G$6:$G$90,Cadastros!$H$6:$H$90))))</f>
        <v/>
      </c>
      <c r="AT397" s="168" t="str">
        <f t="shared" si="89"/>
        <v/>
      </c>
      <c r="AU397" s="168" t="str">
        <f t="shared" si="90"/>
        <v/>
      </c>
      <c r="AV397" s="227"/>
      <c r="AW397" s="30"/>
      <c r="AX397" s="267"/>
      <c r="AY397" s="267"/>
      <c r="AZ397" s="29"/>
      <c r="BA397" s="30"/>
      <c r="BB397" s="23" t="str" cm="1">
        <f t="array" ref="BB397">_xlfn.IFS(AW397="SIM",SUM(K397,P397,U397,Z397,AE397,AJ397,AO397,AT397,AX397,AY397),F397&lt;&gt;"",SUM(K397,P397,U397,Z397,AE397,AJ397,,AO397,AT397),F397="","")</f>
        <v/>
      </c>
      <c r="BC397" s="211" t="str" cm="1">
        <f t="array" ref="BC397">_xlfn.IFS(E397="","",G397&lt;=E397,BB397*(1-0.03),G397&lt;(E397+8),BB397,AZ397="Boleto",BB397*(1+0.001)^DATEDIF(E397,G397,"D"),AZ397="Cheque",BB397,AZ397="Dinheiro","Alterar forma pgto")</f>
        <v/>
      </c>
      <c r="BD397" s="276" t="str" cm="1">
        <f t="array" ref="BD397">IF(F397=0," ",IF(BC397&lt;BB397,(_xlfn.IFS(AW397="SIM",SUM(L397,Q397,V397,AA397,AF397,AK397,AP397,AU397)+AX397/_xlfn.XLOOKUP(_xlfn.XLOOKUP($F397,Clientes!$B$4:$B$39,Clientes!$C$4:$C$39),Cadastros!$L$6:$L$12,Cadastros!$M$6:$M$12)+IF($F397="Bernardino Furlan",AY397/2751.92,IF($F397="Mauro José Salanti",AY397/2751.92,AY397/3356)),F397&lt;&gt;0,SUM(L397,Q397,V397,AA397,AF397,AK397,AP397,AU397)))*(1-0.03),_xlfn.IFS(AW397="SIM",SUM(L397,Q397,V397,AA397,AF397,AK397,AP397,AU397)+AX397/_xlfn.XLOOKUP(_xlfn.XLOOKUP($F397,Clientes!$B$4:$B$39,Clientes!$C$4:$C$39),Cadastros!$L$6:$L$12,Cadastros!$M$6:$M$12)+IF($F397="Bernardino Furlan",AY397/2751.92,IF($F397="Mauro José Salanti",AY397/2751.92,AY397/3356)),F397&lt;&gt;0,SUM(L397,Q397,V397,AA397,AF397,AK397,AP397,AU397))))</f>
        <v xml:space="preserve"> </v>
      </c>
      <c r="BE397" s="120"/>
      <c r="BF397" s="120"/>
      <c r="BG397" s="120"/>
    </row>
    <row r="398" spans="1:59" s="3" customFormat="1" x14ac:dyDescent="0.3">
      <c r="A398" s="15" t="str">
        <f t="shared" si="78"/>
        <v/>
      </c>
      <c r="B398" s="25"/>
      <c r="C398" s="26"/>
      <c r="D398" s="279"/>
      <c r="E398" s="27"/>
      <c r="F398" s="28"/>
      <c r="G398" s="27"/>
      <c r="H398" s="28"/>
      <c r="I398" s="28"/>
      <c r="J398" s="255" t="str">
        <f>IF(H398="","",(_xlfn.XLOOKUP(H398,Cadastros!$D$6:$D$90,Cadastros!$E$6:$E$90))*(1-_xlfn.XLOOKUP(_xlfn.XLOOKUP($F398,Clientes!$B$4:$B$39,Clientes!$C$4:$C$39),Cadastros!$L$6:$L$12,Cadastros!$N$6:$N$12)))</f>
        <v/>
      </c>
      <c r="K398" s="168" t="str">
        <f t="shared" si="79"/>
        <v/>
      </c>
      <c r="L398" s="168" t="str">
        <f>IFERROR(K398/_xlfn.XLOOKUP(_xlfn.XLOOKUP($F398,Clientes!$B$4:$B$39,Clientes!$C$4:$C$39),Cadastros!$L$6:$L$12,Cadastros!$M$6:$M$12)," ")</f>
        <v xml:space="preserve"> </v>
      </c>
      <c r="M398" s="28"/>
      <c r="N398" s="28"/>
      <c r="O398" s="255" t="str">
        <f>IF(M398="","",(_xlfn.XLOOKUP(M398,Cadastros!$D$6:$D$90,Cadastros!$E$6:$E$90))*(1-_xlfn.XLOOKUP(_xlfn.XLOOKUP($F398,Clientes!$B$4:$B$39,Clientes!$C$4:$C$39),Cadastros!$L$6:$L$12,Cadastros!$N$6:$N$12)))</f>
        <v/>
      </c>
      <c r="P398" s="168" t="str">
        <f t="shared" si="80"/>
        <v/>
      </c>
      <c r="Q398" s="168" t="str">
        <f>IFERROR(P398/_xlfn.XLOOKUP(_xlfn.XLOOKUP($F398,Clientes!$B$4:$B$39,Clientes!$C$4:$C$39),Cadastros!$L$6:$L$12,Cadastros!$M$6:$M$12)," ")</f>
        <v xml:space="preserve"> </v>
      </c>
      <c r="R398" s="28"/>
      <c r="S398" s="28"/>
      <c r="T398" s="255" t="str">
        <f>IF(R398="","",(_xlfn.XLOOKUP(R398,Cadastros!$D$6:$D$90,Cadastros!$E$6:$E$90))*(1-_xlfn.XLOOKUP(_xlfn.XLOOKUP($F398,Clientes!$B$4:$B$39,Clientes!$C$4:$C$39),Cadastros!$L$6:$L$12,Cadastros!$N$6:$N$12)))</f>
        <v/>
      </c>
      <c r="U398" s="168" t="str">
        <f t="shared" si="81"/>
        <v/>
      </c>
      <c r="V398" s="168" t="str">
        <f>IFERROR(U398/_xlfn.XLOOKUP(_xlfn.XLOOKUP($F398,Clientes!$B$4:$B$39,Clientes!$C$4:$C$39),Cadastros!$L$6:$L$12,Cadastros!$M$6:$M$12)," ")</f>
        <v xml:space="preserve"> </v>
      </c>
      <c r="W398" s="28"/>
      <c r="X398" s="28"/>
      <c r="Y398" s="255" t="str">
        <f>IF(W398="","",(_xlfn.XLOOKUP(W398,Cadastros!$D$6:$D$90,Cadastros!$E$6:$E$90))*(1-_xlfn.XLOOKUP(_xlfn.XLOOKUP($F398,Clientes!$B$4:$B$39,Clientes!$C$4:$C$39),Cadastros!$L$6:$L$12,Cadastros!$N$6:$N$12)))</f>
        <v/>
      </c>
      <c r="Z398" s="168" t="str">
        <f t="shared" si="82"/>
        <v/>
      </c>
      <c r="AA398" s="168" t="str">
        <f>IFERROR(Z398/_xlfn.XLOOKUP(_xlfn.XLOOKUP($F398,Clientes!$B$4:$B$39,Clientes!$C$4:$C$39),Cadastros!$L$6:$L$12,Cadastros!$M$6:$M$12)," ")</f>
        <v xml:space="preserve"> </v>
      </c>
      <c r="AB398" s="28"/>
      <c r="AC398" s="28"/>
      <c r="AD398" s="20" t="str">
        <f>IF(AB398="","",IF($F398="Bernardino Furlan",_xlfn.XLOOKUP(AB398,Cadastros!$G$6:$G$90,Cadastros!$H$6:$H$90)*(1-0.18),IF($F398="Mauro José Salanti",_xlfn.XLOOKUP(AB398,Cadastros!$G$6:$G$90,Cadastros!$H$6:$H$90)*(1-0.18),_xlfn.XLOOKUP(AB398,Cadastros!$G$6:$G$90,Cadastros!$H$6:$H$90))))</f>
        <v/>
      </c>
      <c r="AE398" s="168" t="str">
        <f t="shared" si="83"/>
        <v/>
      </c>
      <c r="AF398" s="168" t="str">
        <f t="shared" si="84"/>
        <v/>
      </c>
      <c r="AG398" s="28"/>
      <c r="AH398" s="28"/>
      <c r="AI398" s="20" t="str">
        <f>IF(AG398="","",IF($F398="Bernardino Furlan",_xlfn.XLOOKUP(AG398,Cadastros!$G$6:$G$90,Cadastros!$H$6:$H$90)*(1-0.18),IF($F398="Mauro José Salanti",_xlfn.XLOOKUP(AG398,Cadastros!$G$6:$G$90,Cadastros!$H$6:$H$90)*(1-0.18),_xlfn.XLOOKUP(AG398,Cadastros!$G$6:$G$90,Cadastros!$H$6:$H$90))))</f>
        <v/>
      </c>
      <c r="AJ398" s="168" t="str">
        <f t="shared" si="85"/>
        <v/>
      </c>
      <c r="AK398" s="168" t="str">
        <f t="shared" si="86"/>
        <v/>
      </c>
      <c r="AL398" s="28"/>
      <c r="AM398" s="28"/>
      <c r="AN398" s="20" t="str">
        <f>IF(AL398="","",IF($F398="Bernardino Furlan",_xlfn.XLOOKUP(AL398,Cadastros!$G$6:$G$90,Cadastros!$H$6:$H$90)*(1-0.18),IF($F398="Mauro José Salanti",_xlfn.XLOOKUP(AL398,Cadastros!$G$6:$G$90,Cadastros!$H$6:$H$90)*(1-0.18),_xlfn.XLOOKUP(AL398,Cadastros!$G$6:$G$90,Cadastros!$H$6:$H$90))))</f>
        <v/>
      </c>
      <c r="AO398" s="168" t="str">
        <f t="shared" si="87"/>
        <v/>
      </c>
      <c r="AP398" s="168" t="str">
        <f t="shared" si="88"/>
        <v/>
      </c>
      <c r="AQ398" s="28"/>
      <c r="AR398" s="28"/>
      <c r="AS398" s="20" t="str">
        <f>IF(AQ398="","",IF($F398="Bernardino Furlan",_xlfn.XLOOKUP(AQ398,Cadastros!$G$6:$G$90,Cadastros!$H$6:$H$90)*(1-0.18),IF($F398="Mauro José Salanti",_xlfn.XLOOKUP(AQ398,Cadastros!$G$6:$G$90,Cadastros!$H$6:$H$90)*(1-0.18),_xlfn.XLOOKUP(AQ398,Cadastros!$G$6:$G$90,Cadastros!$H$6:$H$90))))</f>
        <v/>
      </c>
      <c r="AT398" s="168" t="str">
        <f t="shared" si="89"/>
        <v/>
      </c>
      <c r="AU398" s="168" t="str">
        <f t="shared" si="90"/>
        <v/>
      </c>
      <c r="AV398" s="227"/>
      <c r="AW398" s="30"/>
      <c r="AX398" s="267"/>
      <c r="AY398" s="267"/>
      <c r="AZ398" s="29"/>
      <c r="BA398" s="30"/>
      <c r="BB398" s="23" t="str" cm="1">
        <f t="array" ref="BB398">_xlfn.IFS(AW398="SIM",SUM(K398,P398,U398,Z398,AE398,AJ398,AO398,AT398,AX398,AY398),F398&lt;&gt;"",SUM(K398,P398,U398,Z398,AE398,AJ398,,AO398,AT398),F398="","")</f>
        <v/>
      </c>
      <c r="BC398" s="211" t="str" cm="1">
        <f t="array" ref="BC398">_xlfn.IFS(E398="","",G398&lt;=E398,BB398*(1-0.03),G398&lt;(E398+8),BB398,AZ398="Boleto",BB398*(1+0.001)^DATEDIF(E398,G398,"D"),AZ398="Cheque",BB398,AZ398="Dinheiro","Alterar forma pgto")</f>
        <v/>
      </c>
      <c r="BD398" s="276" t="str" cm="1">
        <f t="array" ref="BD398">IF(F398=0," ",IF(BC398&lt;BB398,(_xlfn.IFS(AW398="SIM",SUM(L398,Q398,V398,AA398,AF398,AK398,AP398,AU398)+AX398/_xlfn.XLOOKUP(_xlfn.XLOOKUP($F398,Clientes!$B$4:$B$39,Clientes!$C$4:$C$39),Cadastros!$L$6:$L$12,Cadastros!$M$6:$M$12)+IF($F398="Bernardino Furlan",AY398/2751.92,IF($F398="Mauro José Salanti",AY398/2751.92,AY398/3356)),F398&lt;&gt;0,SUM(L398,Q398,V398,AA398,AF398,AK398,AP398,AU398)))*(1-0.03),_xlfn.IFS(AW398="SIM",SUM(L398,Q398,V398,AA398,AF398,AK398,AP398,AU398)+AX398/_xlfn.XLOOKUP(_xlfn.XLOOKUP($F398,Clientes!$B$4:$B$39,Clientes!$C$4:$C$39),Cadastros!$L$6:$L$12,Cadastros!$M$6:$M$12)+IF($F398="Bernardino Furlan",AY398/2751.92,IF($F398="Mauro José Salanti",AY398/2751.92,AY398/3356)),F398&lt;&gt;0,SUM(L398,Q398,V398,AA398,AF398,AK398,AP398,AU398))))</f>
        <v xml:space="preserve"> </v>
      </c>
      <c r="BE398" s="120"/>
      <c r="BF398" s="120"/>
      <c r="BG398" s="120"/>
    </row>
    <row r="399" spans="1:59" s="3" customFormat="1" x14ac:dyDescent="0.3">
      <c r="A399" s="15" t="str">
        <f t="shared" si="78"/>
        <v/>
      </c>
      <c r="B399" s="25"/>
      <c r="C399" s="26"/>
      <c r="D399" s="279"/>
      <c r="E399" s="27"/>
      <c r="F399" s="28"/>
      <c r="G399" s="27"/>
      <c r="H399" s="28"/>
      <c r="I399" s="28"/>
      <c r="J399" s="255" t="str">
        <f>IF(H399="","",(_xlfn.XLOOKUP(H399,Cadastros!$D$6:$D$90,Cadastros!$E$6:$E$90))*(1-_xlfn.XLOOKUP(_xlfn.XLOOKUP($F399,Clientes!$B$4:$B$39,Clientes!$C$4:$C$39),Cadastros!$L$6:$L$12,Cadastros!$N$6:$N$12)))</f>
        <v/>
      </c>
      <c r="K399" s="168" t="str">
        <f t="shared" si="79"/>
        <v/>
      </c>
      <c r="L399" s="168" t="str">
        <f>IFERROR(K399/_xlfn.XLOOKUP(_xlfn.XLOOKUP($F399,Clientes!$B$4:$B$39,Clientes!$C$4:$C$39),Cadastros!$L$6:$L$12,Cadastros!$M$6:$M$12)," ")</f>
        <v xml:space="preserve"> </v>
      </c>
      <c r="M399" s="28"/>
      <c r="N399" s="28"/>
      <c r="O399" s="255" t="str">
        <f>IF(M399="","",(_xlfn.XLOOKUP(M399,Cadastros!$D$6:$D$90,Cadastros!$E$6:$E$90))*(1-_xlfn.XLOOKUP(_xlfn.XLOOKUP($F399,Clientes!$B$4:$B$39,Clientes!$C$4:$C$39),Cadastros!$L$6:$L$12,Cadastros!$N$6:$N$12)))</f>
        <v/>
      </c>
      <c r="P399" s="168" t="str">
        <f t="shared" si="80"/>
        <v/>
      </c>
      <c r="Q399" s="168" t="str">
        <f>IFERROR(P399/_xlfn.XLOOKUP(_xlfn.XLOOKUP($F399,Clientes!$B$4:$B$39,Clientes!$C$4:$C$39),Cadastros!$L$6:$L$12,Cadastros!$M$6:$M$12)," ")</f>
        <v xml:space="preserve"> </v>
      </c>
      <c r="R399" s="28"/>
      <c r="S399" s="28"/>
      <c r="T399" s="255" t="str">
        <f>IF(R399="","",(_xlfn.XLOOKUP(R399,Cadastros!$D$6:$D$90,Cadastros!$E$6:$E$90))*(1-_xlfn.XLOOKUP(_xlfn.XLOOKUP($F399,Clientes!$B$4:$B$39,Clientes!$C$4:$C$39),Cadastros!$L$6:$L$12,Cadastros!$N$6:$N$12)))</f>
        <v/>
      </c>
      <c r="U399" s="168" t="str">
        <f t="shared" si="81"/>
        <v/>
      </c>
      <c r="V399" s="168" t="str">
        <f>IFERROR(U399/_xlfn.XLOOKUP(_xlfn.XLOOKUP($F399,Clientes!$B$4:$B$39,Clientes!$C$4:$C$39),Cadastros!$L$6:$L$12,Cadastros!$M$6:$M$12)," ")</f>
        <v xml:space="preserve"> </v>
      </c>
      <c r="W399" s="28"/>
      <c r="X399" s="28"/>
      <c r="Y399" s="255" t="str">
        <f>IF(W399="","",(_xlfn.XLOOKUP(W399,Cadastros!$D$6:$D$90,Cadastros!$E$6:$E$90))*(1-_xlfn.XLOOKUP(_xlfn.XLOOKUP($F399,Clientes!$B$4:$B$39,Clientes!$C$4:$C$39),Cadastros!$L$6:$L$12,Cadastros!$N$6:$N$12)))</f>
        <v/>
      </c>
      <c r="Z399" s="168" t="str">
        <f t="shared" si="82"/>
        <v/>
      </c>
      <c r="AA399" s="168" t="str">
        <f>IFERROR(Z399/_xlfn.XLOOKUP(_xlfn.XLOOKUP($F399,Clientes!$B$4:$B$39,Clientes!$C$4:$C$39),Cadastros!$L$6:$L$12,Cadastros!$M$6:$M$12)," ")</f>
        <v xml:space="preserve"> </v>
      </c>
      <c r="AB399" s="28"/>
      <c r="AC399" s="28"/>
      <c r="AD399" s="20" t="str">
        <f>IF(AB399="","",IF($F399="Bernardino Furlan",_xlfn.XLOOKUP(AB399,Cadastros!$G$6:$G$90,Cadastros!$H$6:$H$90)*(1-0.18),IF($F399="Mauro José Salanti",_xlfn.XLOOKUP(AB399,Cadastros!$G$6:$G$90,Cadastros!$H$6:$H$90)*(1-0.18),_xlfn.XLOOKUP(AB399,Cadastros!$G$6:$G$90,Cadastros!$H$6:$H$90))))</f>
        <v/>
      </c>
      <c r="AE399" s="168" t="str">
        <f t="shared" si="83"/>
        <v/>
      </c>
      <c r="AF399" s="168" t="str">
        <f t="shared" si="84"/>
        <v/>
      </c>
      <c r="AG399" s="28"/>
      <c r="AH399" s="28"/>
      <c r="AI399" s="20" t="str">
        <f>IF(AG399="","",IF($F399="Bernardino Furlan",_xlfn.XLOOKUP(AG399,Cadastros!$G$6:$G$90,Cadastros!$H$6:$H$90)*(1-0.18),IF($F399="Mauro José Salanti",_xlfn.XLOOKUP(AG399,Cadastros!$G$6:$G$90,Cadastros!$H$6:$H$90)*(1-0.18),_xlfn.XLOOKUP(AG399,Cadastros!$G$6:$G$90,Cadastros!$H$6:$H$90))))</f>
        <v/>
      </c>
      <c r="AJ399" s="168" t="str">
        <f t="shared" si="85"/>
        <v/>
      </c>
      <c r="AK399" s="168" t="str">
        <f t="shared" si="86"/>
        <v/>
      </c>
      <c r="AL399" s="28"/>
      <c r="AM399" s="28"/>
      <c r="AN399" s="20" t="str">
        <f>IF(AL399="","",IF($F399="Bernardino Furlan",_xlfn.XLOOKUP(AL399,Cadastros!$G$6:$G$90,Cadastros!$H$6:$H$90)*(1-0.18),IF($F399="Mauro José Salanti",_xlfn.XLOOKUP(AL399,Cadastros!$G$6:$G$90,Cadastros!$H$6:$H$90)*(1-0.18),_xlfn.XLOOKUP(AL399,Cadastros!$G$6:$G$90,Cadastros!$H$6:$H$90))))</f>
        <v/>
      </c>
      <c r="AO399" s="168" t="str">
        <f t="shared" si="87"/>
        <v/>
      </c>
      <c r="AP399" s="168" t="str">
        <f t="shared" si="88"/>
        <v/>
      </c>
      <c r="AQ399" s="28"/>
      <c r="AR399" s="28"/>
      <c r="AS399" s="20" t="str">
        <f>IF(AQ399="","",IF($F399="Bernardino Furlan",_xlfn.XLOOKUP(AQ399,Cadastros!$G$6:$G$90,Cadastros!$H$6:$H$90)*(1-0.18),IF($F399="Mauro José Salanti",_xlfn.XLOOKUP(AQ399,Cadastros!$G$6:$G$90,Cadastros!$H$6:$H$90)*(1-0.18),_xlfn.XLOOKUP(AQ399,Cadastros!$G$6:$G$90,Cadastros!$H$6:$H$90))))</f>
        <v/>
      </c>
      <c r="AT399" s="168" t="str">
        <f t="shared" si="89"/>
        <v/>
      </c>
      <c r="AU399" s="168" t="str">
        <f t="shared" si="90"/>
        <v/>
      </c>
      <c r="AV399" s="227"/>
      <c r="AW399" s="30"/>
      <c r="AX399" s="267"/>
      <c r="AY399" s="267"/>
      <c r="AZ399" s="29"/>
      <c r="BA399" s="30"/>
      <c r="BB399" s="23" t="str" cm="1">
        <f t="array" ref="BB399">_xlfn.IFS(AW399="SIM",SUM(K399,P399,U399,Z399,AE399,AJ399,AO399,AT399,AX399,AY399),F399&lt;&gt;"",SUM(K399,P399,U399,Z399,AE399,AJ399,,AO399,AT399),F399="","")</f>
        <v/>
      </c>
      <c r="BC399" s="211" t="str" cm="1">
        <f t="array" ref="BC399">_xlfn.IFS(E399="","",G399&lt;=E399,BB399*(1-0.03),G399&lt;(E399+8),BB399,AZ399="Boleto",BB399*(1+0.001)^DATEDIF(E399,G399,"D"),AZ399="Cheque",BB399,AZ399="Dinheiro","Alterar forma pgto")</f>
        <v/>
      </c>
      <c r="BD399" s="276" t="str" cm="1">
        <f t="array" ref="BD399">IF(F399=0," ",IF(BC399&lt;BB399,(_xlfn.IFS(AW399="SIM",SUM(L399,Q399,V399,AA399,AF399,AK399,AP399,AU399)+AX399/_xlfn.XLOOKUP(_xlfn.XLOOKUP($F399,Clientes!$B$4:$B$39,Clientes!$C$4:$C$39),Cadastros!$L$6:$L$12,Cadastros!$M$6:$M$12)+IF($F399="Bernardino Furlan",AY399/2751.92,IF($F399="Mauro José Salanti",AY399/2751.92,AY399/3356)),F399&lt;&gt;0,SUM(L399,Q399,V399,AA399,AF399,AK399,AP399,AU399)))*(1-0.03),_xlfn.IFS(AW399="SIM",SUM(L399,Q399,V399,AA399,AF399,AK399,AP399,AU399)+AX399/_xlfn.XLOOKUP(_xlfn.XLOOKUP($F399,Clientes!$B$4:$B$39,Clientes!$C$4:$C$39),Cadastros!$L$6:$L$12,Cadastros!$M$6:$M$12)+IF($F399="Bernardino Furlan",AY399/2751.92,IF($F399="Mauro José Salanti",AY399/2751.92,AY399/3356)),F399&lt;&gt;0,SUM(L399,Q399,V399,AA399,AF399,AK399,AP399,AU399))))</f>
        <v xml:space="preserve"> </v>
      </c>
      <c r="BE399" s="120"/>
      <c r="BF399" s="120"/>
      <c r="BG399" s="120"/>
    </row>
    <row r="400" spans="1:59" s="3" customFormat="1" x14ac:dyDescent="0.3">
      <c r="A400" s="15" t="str">
        <f t="shared" si="78"/>
        <v/>
      </c>
      <c r="B400" s="25"/>
      <c r="C400" s="26"/>
      <c r="D400" s="279"/>
      <c r="E400" s="27"/>
      <c r="F400" s="28"/>
      <c r="G400" s="27"/>
      <c r="H400" s="28"/>
      <c r="I400" s="28"/>
      <c r="J400" s="255" t="str">
        <f>IF(H400="","",(_xlfn.XLOOKUP(H400,Cadastros!$D$6:$D$90,Cadastros!$E$6:$E$90))*(1-_xlfn.XLOOKUP(_xlfn.XLOOKUP($F400,Clientes!$B$4:$B$39,Clientes!$C$4:$C$39),Cadastros!$L$6:$L$12,Cadastros!$N$6:$N$12)))</f>
        <v/>
      </c>
      <c r="K400" s="168" t="str">
        <f t="shared" si="79"/>
        <v/>
      </c>
      <c r="L400" s="168" t="str">
        <f>IFERROR(K400/_xlfn.XLOOKUP(_xlfn.XLOOKUP($F400,Clientes!$B$4:$B$39,Clientes!$C$4:$C$39),Cadastros!$L$6:$L$12,Cadastros!$M$6:$M$12)," ")</f>
        <v xml:space="preserve"> </v>
      </c>
      <c r="M400" s="28"/>
      <c r="N400" s="28"/>
      <c r="O400" s="255" t="str">
        <f>IF(M400="","",(_xlfn.XLOOKUP(M400,Cadastros!$D$6:$D$90,Cadastros!$E$6:$E$90))*(1-_xlfn.XLOOKUP(_xlfn.XLOOKUP($F400,Clientes!$B$4:$B$39,Clientes!$C$4:$C$39),Cadastros!$L$6:$L$12,Cadastros!$N$6:$N$12)))</f>
        <v/>
      </c>
      <c r="P400" s="168" t="str">
        <f t="shared" si="80"/>
        <v/>
      </c>
      <c r="Q400" s="168" t="str">
        <f>IFERROR(P400/_xlfn.XLOOKUP(_xlfn.XLOOKUP($F400,Clientes!$B$4:$B$39,Clientes!$C$4:$C$39),Cadastros!$L$6:$L$12,Cadastros!$M$6:$M$12)," ")</f>
        <v xml:space="preserve"> </v>
      </c>
      <c r="R400" s="28"/>
      <c r="S400" s="28"/>
      <c r="T400" s="255" t="str">
        <f>IF(R400="","",(_xlfn.XLOOKUP(R400,Cadastros!$D$6:$D$90,Cadastros!$E$6:$E$90))*(1-_xlfn.XLOOKUP(_xlfn.XLOOKUP($F400,Clientes!$B$4:$B$39,Clientes!$C$4:$C$39),Cadastros!$L$6:$L$12,Cadastros!$N$6:$N$12)))</f>
        <v/>
      </c>
      <c r="U400" s="168" t="str">
        <f t="shared" si="81"/>
        <v/>
      </c>
      <c r="V400" s="168" t="str">
        <f>IFERROR(U400/_xlfn.XLOOKUP(_xlfn.XLOOKUP($F400,Clientes!$B$4:$B$39,Clientes!$C$4:$C$39),Cadastros!$L$6:$L$12,Cadastros!$M$6:$M$12)," ")</f>
        <v xml:space="preserve"> </v>
      </c>
      <c r="W400" s="28"/>
      <c r="X400" s="28"/>
      <c r="Y400" s="255" t="str">
        <f>IF(W400="","",(_xlfn.XLOOKUP(W400,Cadastros!$D$6:$D$90,Cadastros!$E$6:$E$90))*(1-_xlfn.XLOOKUP(_xlfn.XLOOKUP($F400,Clientes!$B$4:$B$39,Clientes!$C$4:$C$39),Cadastros!$L$6:$L$12,Cadastros!$N$6:$N$12)))</f>
        <v/>
      </c>
      <c r="Z400" s="168" t="str">
        <f t="shared" si="82"/>
        <v/>
      </c>
      <c r="AA400" s="168" t="str">
        <f>IFERROR(Z400/_xlfn.XLOOKUP(_xlfn.XLOOKUP($F400,Clientes!$B$4:$B$39,Clientes!$C$4:$C$39),Cadastros!$L$6:$L$12,Cadastros!$M$6:$M$12)," ")</f>
        <v xml:space="preserve"> </v>
      </c>
      <c r="AB400" s="28"/>
      <c r="AC400" s="28"/>
      <c r="AD400" s="20" t="str">
        <f>IF(AB400="","",IF($F400="Bernardino Furlan",_xlfn.XLOOKUP(AB400,Cadastros!$G$6:$G$90,Cadastros!$H$6:$H$90)*(1-0.18),IF($F400="Mauro José Salanti",_xlfn.XLOOKUP(AB400,Cadastros!$G$6:$G$90,Cadastros!$H$6:$H$90)*(1-0.18),_xlfn.XLOOKUP(AB400,Cadastros!$G$6:$G$90,Cadastros!$H$6:$H$90))))</f>
        <v/>
      </c>
      <c r="AE400" s="168" t="str">
        <f t="shared" si="83"/>
        <v/>
      </c>
      <c r="AF400" s="168" t="str">
        <f t="shared" si="84"/>
        <v/>
      </c>
      <c r="AG400" s="28"/>
      <c r="AH400" s="28"/>
      <c r="AI400" s="20" t="str">
        <f>IF(AG400="","",IF($F400="Bernardino Furlan",_xlfn.XLOOKUP(AG400,Cadastros!$G$6:$G$90,Cadastros!$H$6:$H$90)*(1-0.18),IF($F400="Mauro José Salanti",_xlfn.XLOOKUP(AG400,Cadastros!$G$6:$G$90,Cadastros!$H$6:$H$90)*(1-0.18),_xlfn.XLOOKUP(AG400,Cadastros!$G$6:$G$90,Cadastros!$H$6:$H$90))))</f>
        <v/>
      </c>
      <c r="AJ400" s="168" t="str">
        <f t="shared" si="85"/>
        <v/>
      </c>
      <c r="AK400" s="168" t="str">
        <f t="shared" si="86"/>
        <v/>
      </c>
      <c r="AL400" s="28"/>
      <c r="AM400" s="28"/>
      <c r="AN400" s="20" t="str">
        <f>IF(AL400="","",IF($F400="Bernardino Furlan",_xlfn.XLOOKUP(AL400,Cadastros!$G$6:$G$90,Cadastros!$H$6:$H$90)*(1-0.18),IF($F400="Mauro José Salanti",_xlfn.XLOOKUP(AL400,Cadastros!$G$6:$G$90,Cadastros!$H$6:$H$90)*(1-0.18),_xlfn.XLOOKUP(AL400,Cadastros!$G$6:$G$90,Cadastros!$H$6:$H$90))))</f>
        <v/>
      </c>
      <c r="AO400" s="168" t="str">
        <f t="shared" si="87"/>
        <v/>
      </c>
      <c r="AP400" s="168" t="str">
        <f t="shared" si="88"/>
        <v/>
      </c>
      <c r="AQ400" s="28"/>
      <c r="AR400" s="28"/>
      <c r="AS400" s="20" t="str">
        <f>IF(AQ400="","",IF($F400="Bernardino Furlan",_xlfn.XLOOKUP(AQ400,Cadastros!$G$6:$G$90,Cadastros!$H$6:$H$90)*(1-0.18),IF($F400="Mauro José Salanti",_xlfn.XLOOKUP(AQ400,Cadastros!$G$6:$G$90,Cadastros!$H$6:$H$90)*(1-0.18),_xlfn.XLOOKUP(AQ400,Cadastros!$G$6:$G$90,Cadastros!$H$6:$H$90))))</f>
        <v/>
      </c>
      <c r="AT400" s="168" t="str">
        <f t="shared" si="89"/>
        <v/>
      </c>
      <c r="AU400" s="168" t="str">
        <f t="shared" si="90"/>
        <v/>
      </c>
      <c r="AV400" s="227"/>
      <c r="AW400" s="30"/>
      <c r="AX400" s="267"/>
      <c r="AY400" s="267"/>
      <c r="AZ400" s="29"/>
      <c r="BA400" s="30"/>
      <c r="BB400" s="23" t="str" cm="1">
        <f t="array" ref="BB400">_xlfn.IFS(AW400="SIM",SUM(K400,P400,U400,Z400,AE400,AJ400,AO400,AT400,AX400,AY400),F400&lt;&gt;"",SUM(K400,P400,U400,Z400,AE400,AJ400,,AO400,AT400),F400="","")</f>
        <v/>
      </c>
      <c r="BC400" s="211" t="str" cm="1">
        <f t="array" ref="BC400">_xlfn.IFS(E400="","",G400&lt;=E400,BB400*(1-0.03),G400&lt;(E400+8),BB400,AZ400="Boleto",BB400*(1+0.001)^DATEDIF(E400,G400,"D"),AZ400="Cheque",BB400,AZ400="Dinheiro","Alterar forma pgto")</f>
        <v/>
      </c>
      <c r="BD400" s="276" t="str" cm="1">
        <f t="array" ref="BD400">IF(F400=0," ",IF(BC400&lt;BB400,(_xlfn.IFS(AW400="SIM",SUM(L400,Q400,V400,AA400,AF400,AK400,AP400,AU400)+AX400/_xlfn.XLOOKUP(_xlfn.XLOOKUP($F400,Clientes!$B$4:$B$39,Clientes!$C$4:$C$39),Cadastros!$L$6:$L$12,Cadastros!$M$6:$M$12)+IF($F400="Bernardino Furlan",AY400/2751.92,IF($F400="Mauro José Salanti",AY400/2751.92,AY400/3356)),F400&lt;&gt;0,SUM(L400,Q400,V400,AA400,AF400,AK400,AP400,AU400)))*(1-0.03),_xlfn.IFS(AW400="SIM",SUM(L400,Q400,V400,AA400,AF400,AK400,AP400,AU400)+AX400/_xlfn.XLOOKUP(_xlfn.XLOOKUP($F400,Clientes!$B$4:$B$39,Clientes!$C$4:$C$39),Cadastros!$L$6:$L$12,Cadastros!$M$6:$M$12)+IF($F400="Bernardino Furlan",AY400/2751.92,IF($F400="Mauro José Salanti",AY400/2751.92,AY400/3356)),F400&lt;&gt;0,SUM(L400,Q400,V400,AA400,AF400,AK400,AP400,AU400))))</f>
        <v xml:space="preserve"> </v>
      </c>
      <c r="BE400" s="120"/>
      <c r="BF400" s="120"/>
      <c r="BG400" s="120"/>
    </row>
    <row r="401" spans="1:59" s="3" customFormat="1" x14ac:dyDescent="0.3">
      <c r="A401" s="15" t="str">
        <f t="shared" si="78"/>
        <v/>
      </c>
      <c r="B401" s="25"/>
      <c r="C401" s="26"/>
      <c r="D401" s="279"/>
      <c r="E401" s="27"/>
      <c r="F401" s="28"/>
      <c r="G401" s="27"/>
      <c r="H401" s="28"/>
      <c r="I401" s="28"/>
      <c r="J401" s="255" t="str">
        <f>IF(H401="","",(_xlfn.XLOOKUP(H401,Cadastros!$D$6:$D$90,Cadastros!$E$6:$E$90))*(1-_xlfn.XLOOKUP(_xlfn.XLOOKUP($F401,Clientes!$B$4:$B$39,Clientes!$C$4:$C$39),Cadastros!$L$6:$L$12,Cadastros!$N$6:$N$12)))</f>
        <v/>
      </c>
      <c r="K401" s="168" t="str">
        <f t="shared" si="79"/>
        <v/>
      </c>
      <c r="L401" s="168" t="str">
        <f>IFERROR(K401/_xlfn.XLOOKUP(_xlfn.XLOOKUP($F401,Clientes!$B$4:$B$39,Clientes!$C$4:$C$39),Cadastros!$L$6:$L$12,Cadastros!$M$6:$M$12)," ")</f>
        <v xml:space="preserve"> </v>
      </c>
      <c r="M401" s="28"/>
      <c r="N401" s="28"/>
      <c r="O401" s="255" t="str">
        <f>IF(M401="","",(_xlfn.XLOOKUP(M401,Cadastros!$D$6:$D$90,Cadastros!$E$6:$E$90))*(1-_xlfn.XLOOKUP(_xlfn.XLOOKUP($F401,Clientes!$B$4:$B$39,Clientes!$C$4:$C$39),Cadastros!$L$6:$L$12,Cadastros!$N$6:$N$12)))</f>
        <v/>
      </c>
      <c r="P401" s="168" t="str">
        <f t="shared" si="80"/>
        <v/>
      </c>
      <c r="Q401" s="168" t="str">
        <f>IFERROR(P401/_xlfn.XLOOKUP(_xlfn.XLOOKUP($F401,Clientes!$B$4:$B$39,Clientes!$C$4:$C$39),Cadastros!$L$6:$L$12,Cadastros!$M$6:$M$12)," ")</f>
        <v xml:space="preserve"> </v>
      </c>
      <c r="R401" s="28"/>
      <c r="S401" s="28"/>
      <c r="T401" s="255" t="str">
        <f>IF(R401="","",(_xlfn.XLOOKUP(R401,Cadastros!$D$6:$D$90,Cadastros!$E$6:$E$90))*(1-_xlfn.XLOOKUP(_xlfn.XLOOKUP($F401,Clientes!$B$4:$B$39,Clientes!$C$4:$C$39),Cadastros!$L$6:$L$12,Cadastros!$N$6:$N$12)))</f>
        <v/>
      </c>
      <c r="U401" s="168" t="str">
        <f t="shared" si="81"/>
        <v/>
      </c>
      <c r="V401" s="168" t="str">
        <f>IFERROR(U401/_xlfn.XLOOKUP(_xlfn.XLOOKUP($F401,Clientes!$B$4:$B$39,Clientes!$C$4:$C$39),Cadastros!$L$6:$L$12,Cadastros!$M$6:$M$12)," ")</f>
        <v xml:space="preserve"> </v>
      </c>
      <c r="W401" s="28"/>
      <c r="X401" s="28"/>
      <c r="Y401" s="255" t="str">
        <f>IF(W401="","",(_xlfn.XLOOKUP(W401,Cadastros!$D$6:$D$90,Cadastros!$E$6:$E$90))*(1-_xlfn.XLOOKUP(_xlfn.XLOOKUP($F401,Clientes!$B$4:$B$39,Clientes!$C$4:$C$39),Cadastros!$L$6:$L$12,Cadastros!$N$6:$N$12)))</f>
        <v/>
      </c>
      <c r="Z401" s="168" t="str">
        <f t="shared" si="82"/>
        <v/>
      </c>
      <c r="AA401" s="168" t="str">
        <f>IFERROR(Z401/_xlfn.XLOOKUP(_xlfn.XLOOKUP($F401,Clientes!$B$4:$B$39,Clientes!$C$4:$C$39),Cadastros!$L$6:$L$12,Cadastros!$M$6:$M$12)," ")</f>
        <v xml:space="preserve"> </v>
      </c>
      <c r="AB401" s="28"/>
      <c r="AC401" s="28"/>
      <c r="AD401" s="20" t="str">
        <f>IF(AB401="","",IF($F401="Bernardino Furlan",_xlfn.XLOOKUP(AB401,Cadastros!$G$6:$G$90,Cadastros!$H$6:$H$90)*(1-0.18),IF($F401="Mauro José Salanti",_xlfn.XLOOKUP(AB401,Cadastros!$G$6:$G$90,Cadastros!$H$6:$H$90)*(1-0.18),_xlfn.XLOOKUP(AB401,Cadastros!$G$6:$G$90,Cadastros!$H$6:$H$90))))</f>
        <v/>
      </c>
      <c r="AE401" s="168" t="str">
        <f t="shared" si="83"/>
        <v/>
      </c>
      <c r="AF401" s="168" t="str">
        <f t="shared" si="84"/>
        <v/>
      </c>
      <c r="AG401" s="28"/>
      <c r="AH401" s="28"/>
      <c r="AI401" s="20" t="str">
        <f>IF(AG401="","",IF($F401="Bernardino Furlan",_xlfn.XLOOKUP(AG401,Cadastros!$G$6:$G$90,Cadastros!$H$6:$H$90)*(1-0.18),IF($F401="Mauro José Salanti",_xlfn.XLOOKUP(AG401,Cadastros!$G$6:$G$90,Cadastros!$H$6:$H$90)*(1-0.18),_xlfn.XLOOKUP(AG401,Cadastros!$G$6:$G$90,Cadastros!$H$6:$H$90))))</f>
        <v/>
      </c>
      <c r="AJ401" s="168" t="str">
        <f t="shared" si="85"/>
        <v/>
      </c>
      <c r="AK401" s="168" t="str">
        <f t="shared" si="86"/>
        <v/>
      </c>
      <c r="AL401" s="28"/>
      <c r="AM401" s="28"/>
      <c r="AN401" s="20" t="str">
        <f>IF(AL401="","",IF($F401="Bernardino Furlan",_xlfn.XLOOKUP(AL401,Cadastros!$G$6:$G$90,Cadastros!$H$6:$H$90)*(1-0.18),IF($F401="Mauro José Salanti",_xlfn.XLOOKUP(AL401,Cadastros!$G$6:$G$90,Cadastros!$H$6:$H$90)*(1-0.18),_xlfn.XLOOKUP(AL401,Cadastros!$G$6:$G$90,Cadastros!$H$6:$H$90))))</f>
        <v/>
      </c>
      <c r="AO401" s="168" t="str">
        <f t="shared" si="87"/>
        <v/>
      </c>
      <c r="AP401" s="168" t="str">
        <f t="shared" si="88"/>
        <v/>
      </c>
      <c r="AQ401" s="28"/>
      <c r="AR401" s="28"/>
      <c r="AS401" s="20" t="str">
        <f>IF(AQ401="","",IF($F401="Bernardino Furlan",_xlfn.XLOOKUP(AQ401,Cadastros!$G$6:$G$90,Cadastros!$H$6:$H$90)*(1-0.18),IF($F401="Mauro José Salanti",_xlfn.XLOOKUP(AQ401,Cadastros!$G$6:$G$90,Cadastros!$H$6:$H$90)*(1-0.18),_xlfn.XLOOKUP(AQ401,Cadastros!$G$6:$G$90,Cadastros!$H$6:$H$90))))</f>
        <v/>
      </c>
      <c r="AT401" s="168" t="str">
        <f t="shared" si="89"/>
        <v/>
      </c>
      <c r="AU401" s="168" t="str">
        <f t="shared" si="90"/>
        <v/>
      </c>
      <c r="AV401" s="227"/>
      <c r="AW401" s="30"/>
      <c r="AX401" s="267"/>
      <c r="AY401" s="267"/>
      <c r="AZ401" s="29"/>
      <c r="BA401" s="30"/>
      <c r="BB401" s="23" t="str" cm="1">
        <f t="array" ref="BB401">_xlfn.IFS(AW401="SIM",SUM(K401,P401,U401,Z401,AE401,AJ401,AO401,AT401,AX401,AY401),F401&lt;&gt;"",SUM(K401,P401,U401,Z401,AE401,AJ401,,AO401,AT401),F401="","")</f>
        <v/>
      </c>
      <c r="BC401" s="211" t="str" cm="1">
        <f t="array" ref="BC401">_xlfn.IFS(E401="","",G401&lt;=E401,BB401*(1-0.03),G401&lt;(E401+8),BB401,AZ401="Boleto",BB401*(1+0.001)^DATEDIF(E401,G401,"D"),AZ401="Cheque",BB401,AZ401="Dinheiro","Alterar forma pgto")</f>
        <v/>
      </c>
      <c r="BD401" s="276" t="str" cm="1">
        <f t="array" ref="BD401">IF(F401=0," ",IF(BC401&lt;BB401,(_xlfn.IFS(AW401="SIM",SUM(L401,Q401,V401,AA401,AF401,AK401,AP401,AU401)+AX401/_xlfn.XLOOKUP(_xlfn.XLOOKUP($F401,Clientes!$B$4:$B$39,Clientes!$C$4:$C$39),Cadastros!$L$6:$L$12,Cadastros!$M$6:$M$12)+IF($F401="Bernardino Furlan",AY401/2751.92,IF($F401="Mauro José Salanti",AY401/2751.92,AY401/3356)),F401&lt;&gt;0,SUM(L401,Q401,V401,AA401,AF401,AK401,AP401,AU401)))*(1-0.03),_xlfn.IFS(AW401="SIM",SUM(L401,Q401,V401,AA401,AF401,AK401,AP401,AU401)+AX401/_xlfn.XLOOKUP(_xlfn.XLOOKUP($F401,Clientes!$B$4:$B$39,Clientes!$C$4:$C$39),Cadastros!$L$6:$L$12,Cadastros!$M$6:$M$12)+IF($F401="Bernardino Furlan",AY401/2751.92,IF($F401="Mauro José Salanti",AY401/2751.92,AY401/3356)),F401&lt;&gt;0,SUM(L401,Q401,V401,AA401,AF401,AK401,AP401,AU401))))</f>
        <v xml:space="preserve"> </v>
      </c>
      <c r="BE401" s="120"/>
      <c r="BF401" s="120"/>
      <c r="BG401" s="120"/>
    </row>
    <row r="402" spans="1:59" s="3" customFormat="1" x14ac:dyDescent="0.3">
      <c r="A402" s="15" t="str">
        <f t="shared" si="78"/>
        <v/>
      </c>
      <c r="B402" s="25"/>
      <c r="C402" s="26"/>
      <c r="D402" s="279"/>
      <c r="E402" s="27"/>
      <c r="F402" s="28"/>
      <c r="G402" s="27"/>
      <c r="H402" s="28"/>
      <c r="I402" s="28"/>
      <c r="J402" s="255" t="str">
        <f>IF(H402="","",(_xlfn.XLOOKUP(H402,Cadastros!$D$6:$D$90,Cadastros!$E$6:$E$90))*(1-_xlfn.XLOOKUP(_xlfn.XLOOKUP($F402,Clientes!$B$4:$B$39,Clientes!$C$4:$C$39),Cadastros!$L$6:$L$12,Cadastros!$N$6:$N$12)))</f>
        <v/>
      </c>
      <c r="K402" s="168" t="str">
        <f t="shared" si="79"/>
        <v/>
      </c>
      <c r="L402" s="168" t="str">
        <f>IFERROR(K402/_xlfn.XLOOKUP(_xlfn.XLOOKUP($F402,Clientes!$B$4:$B$39,Clientes!$C$4:$C$39),Cadastros!$L$6:$L$12,Cadastros!$M$6:$M$12)," ")</f>
        <v xml:space="preserve"> </v>
      </c>
      <c r="M402" s="28"/>
      <c r="N402" s="28"/>
      <c r="O402" s="255" t="str">
        <f>IF(M402="","",(_xlfn.XLOOKUP(M402,Cadastros!$D$6:$D$90,Cadastros!$E$6:$E$90))*(1-_xlfn.XLOOKUP(_xlfn.XLOOKUP($F402,Clientes!$B$4:$B$39,Clientes!$C$4:$C$39),Cadastros!$L$6:$L$12,Cadastros!$N$6:$N$12)))</f>
        <v/>
      </c>
      <c r="P402" s="168" t="str">
        <f t="shared" si="80"/>
        <v/>
      </c>
      <c r="Q402" s="168" t="str">
        <f>IFERROR(P402/_xlfn.XLOOKUP(_xlfn.XLOOKUP($F402,Clientes!$B$4:$B$39,Clientes!$C$4:$C$39),Cadastros!$L$6:$L$12,Cadastros!$M$6:$M$12)," ")</f>
        <v xml:space="preserve"> </v>
      </c>
      <c r="R402" s="28"/>
      <c r="S402" s="28"/>
      <c r="T402" s="255" t="str">
        <f>IF(R402="","",(_xlfn.XLOOKUP(R402,Cadastros!$D$6:$D$90,Cadastros!$E$6:$E$90))*(1-_xlfn.XLOOKUP(_xlfn.XLOOKUP($F402,Clientes!$B$4:$B$39,Clientes!$C$4:$C$39),Cadastros!$L$6:$L$12,Cadastros!$N$6:$N$12)))</f>
        <v/>
      </c>
      <c r="U402" s="168" t="str">
        <f t="shared" si="81"/>
        <v/>
      </c>
      <c r="V402" s="168" t="str">
        <f>IFERROR(U402/_xlfn.XLOOKUP(_xlfn.XLOOKUP($F402,Clientes!$B$4:$B$39,Clientes!$C$4:$C$39),Cadastros!$L$6:$L$12,Cadastros!$M$6:$M$12)," ")</f>
        <v xml:space="preserve"> </v>
      </c>
      <c r="W402" s="28"/>
      <c r="X402" s="28"/>
      <c r="Y402" s="255" t="str">
        <f>IF(W402="","",(_xlfn.XLOOKUP(W402,Cadastros!$D$6:$D$90,Cadastros!$E$6:$E$90))*(1-_xlfn.XLOOKUP(_xlfn.XLOOKUP($F402,Clientes!$B$4:$B$39,Clientes!$C$4:$C$39),Cadastros!$L$6:$L$12,Cadastros!$N$6:$N$12)))</f>
        <v/>
      </c>
      <c r="Z402" s="168" t="str">
        <f t="shared" si="82"/>
        <v/>
      </c>
      <c r="AA402" s="168" t="str">
        <f>IFERROR(Z402/_xlfn.XLOOKUP(_xlfn.XLOOKUP($F402,Clientes!$B$4:$B$39,Clientes!$C$4:$C$39),Cadastros!$L$6:$L$12,Cadastros!$M$6:$M$12)," ")</f>
        <v xml:space="preserve"> </v>
      </c>
      <c r="AB402" s="28"/>
      <c r="AC402" s="28"/>
      <c r="AD402" s="20" t="str">
        <f>IF(AB402="","",IF($F402="Bernardino Furlan",_xlfn.XLOOKUP(AB402,Cadastros!$G$6:$G$90,Cadastros!$H$6:$H$90)*(1-0.18),IF($F402="Mauro José Salanti",_xlfn.XLOOKUP(AB402,Cadastros!$G$6:$G$90,Cadastros!$H$6:$H$90)*(1-0.18),_xlfn.XLOOKUP(AB402,Cadastros!$G$6:$G$90,Cadastros!$H$6:$H$90))))</f>
        <v/>
      </c>
      <c r="AE402" s="168" t="str">
        <f t="shared" si="83"/>
        <v/>
      </c>
      <c r="AF402" s="168" t="str">
        <f t="shared" si="84"/>
        <v/>
      </c>
      <c r="AG402" s="28"/>
      <c r="AH402" s="28"/>
      <c r="AI402" s="20" t="str">
        <f>IF(AG402="","",IF($F402="Bernardino Furlan",_xlfn.XLOOKUP(AG402,Cadastros!$G$6:$G$90,Cadastros!$H$6:$H$90)*(1-0.18),IF($F402="Mauro José Salanti",_xlfn.XLOOKUP(AG402,Cadastros!$G$6:$G$90,Cadastros!$H$6:$H$90)*(1-0.18),_xlfn.XLOOKUP(AG402,Cadastros!$G$6:$G$90,Cadastros!$H$6:$H$90))))</f>
        <v/>
      </c>
      <c r="AJ402" s="168" t="str">
        <f t="shared" si="85"/>
        <v/>
      </c>
      <c r="AK402" s="168" t="str">
        <f t="shared" si="86"/>
        <v/>
      </c>
      <c r="AL402" s="28"/>
      <c r="AM402" s="28"/>
      <c r="AN402" s="20" t="str">
        <f>IF(AL402="","",IF($F402="Bernardino Furlan",_xlfn.XLOOKUP(AL402,Cadastros!$G$6:$G$90,Cadastros!$H$6:$H$90)*(1-0.18),IF($F402="Mauro José Salanti",_xlfn.XLOOKUP(AL402,Cadastros!$G$6:$G$90,Cadastros!$H$6:$H$90)*(1-0.18),_xlfn.XLOOKUP(AL402,Cadastros!$G$6:$G$90,Cadastros!$H$6:$H$90))))</f>
        <v/>
      </c>
      <c r="AO402" s="168" t="str">
        <f t="shared" si="87"/>
        <v/>
      </c>
      <c r="AP402" s="168" t="str">
        <f t="shared" si="88"/>
        <v/>
      </c>
      <c r="AQ402" s="28"/>
      <c r="AR402" s="28"/>
      <c r="AS402" s="20" t="str">
        <f>IF(AQ402="","",IF($F402="Bernardino Furlan",_xlfn.XLOOKUP(AQ402,Cadastros!$G$6:$G$90,Cadastros!$H$6:$H$90)*(1-0.18),IF($F402="Mauro José Salanti",_xlfn.XLOOKUP(AQ402,Cadastros!$G$6:$G$90,Cadastros!$H$6:$H$90)*(1-0.18),_xlfn.XLOOKUP(AQ402,Cadastros!$G$6:$G$90,Cadastros!$H$6:$H$90))))</f>
        <v/>
      </c>
      <c r="AT402" s="168" t="str">
        <f t="shared" si="89"/>
        <v/>
      </c>
      <c r="AU402" s="168" t="str">
        <f t="shared" si="90"/>
        <v/>
      </c>
      <c r="AV402" s="227"/>
      <c r="AW402" s="30"/>
      <c r="AX402" s="267"/>
      <c r="AY402" s="267"/>
      <c r="AZ402" s="29"/>
      <c r="BA402" s="30"/>
      <c r="BB402" s="23" t="str" cm="1">
        <f t="array" ref="BB402">_xlfn.IFS(AW402="SIM",SUM(K402,P402,U402,Z402,AE402,AJ402,AO402,AT402,AX402,AY402),F402&lt;&gt;"",SUM(K402,P402,U402,Z402,AE402,AJ402,,AO402,AT402),F402="","")</f>
        <v/>
      </c>
      <c r="BC402" s="211" t="str" cm="1">
        <f t="array" ref="BC402">_xlfn.IFS(E402="","",G402&lt;=E402,BB402*(1-0.03),G402&lt;(E402+8),BB402,AZ402="Boleto",BB402*(1+0.001)^DATEDIF(E402,G402,"D"),AZ402="Cheque",BB402,AZ402="Dinheiro","Alterar forma pgto")</f>
        <v/>
      </c>
      <c r="BD402" s="276" t="str" cm="1">
        <f t="array" ref="BD402">IF(F402=0," ",IF(BC402&lt;BB402,(_xlfn.IFS(AW402="SIM",SUM(L402,Q402,V402,AA402,AF402,AK402,AP402,AU402)+AX402/_xlfn.XLOOKUP(_xlfn.XLOOKUP($F402,Clientes!$B$4:$B$39,Clientes!$C$4:$C$39),Cadastros!$L$6:$L$12,Cadastros!$M$6:$M$12)+IF($F402="Bernardino Furlan",AY402/2751.92,IF($F402="Mauro José Salanti",AY402/2751.92,AY402/3356)),F402&lt;&gt;0,SUM(L402,Q402,V402,AA402,AF402,AK402,AP402,AU402)))*(1-0.03),_xlfn.IFS(AW402="SIM",SUM(L402,Q402,V402,AA402,AF402,AK402,AP402,AU402)+AX402/_xlfn.XLOOKUP(_xlfn.XLOOKUP($F402,Clientes!$B$4:$B$39,Clientes!$C$4:$C$39),Cadastros!$L$6:$L$12,Cadastros!$M$6:$M$12)+IF($F402="Bernardino Furlan",AY402/2751.92,IF($F402="Mauro José Salanti",AY402/2751.92,AY402/3356)),F402&lt;&gt;0,SUM(L402,Q402,V402,AA402,AF402,AK402,AP402,AU402))))</f>
        <v xml:space="preserve"> </v>
      </c>
      <c r="BE402" s="120"/>
      <c r="BF402" s="120"/>
      <c r="BG402" s="120"/>
    </row>
    <row r="403" spans="1:59" s="3" customFormat="1" x14ac:dyDescent="0.3">
      <c r="A403" s="15" t="str">
        <f t="shared" si="78"/>
        <v/>
      </c>
      <c r="B403" s="25"/>
      <c r="C403" s="26"/>
      <c r="D403" s="279"/>
      <c r="E403" s="27"/>
      <c r="F403" s="28"/>
      <c r="G403" s="27"/>
      <c r="H403" s="28"/>
      <c r="I403" s="28"/>
      <c r="J403" s="255" t="str">
        <f>IF(H403="","",(_xlfn.XLOOKUP(H403,Cadastros!$D$6:$D$90,Cadastros!$E$6:$E$90))*(1-_xlfn.XLOOKUP(_xlfn.XLOOKUP($F403,Clientes!$B$4:$B$39,Clientes!$C$4:$C$39),Cadastros!$L$6:$L$12,Cadastros!$N$6:$N$12)))</f>
        <v/>
      </c>
      <c r="K403" s="168" t="str">
        <f t="shared" si="79"/>
        <v/>
      </c>
      <c r="L403" s="168" t="str">
        <f>IFERROR(K403/_xlfn.XLOOKUP(_xlfn.XLOOKUP($F403,Clientes!$B$4:$B$39,Clientes!$C$4:$C$39),Cadastros!$L$6:$L$12,Cadastros!$M$6:$M$12)," ")</f>
        <v xml:space="preserve"> </v>
      </c>
      <c r="M403" s="28"/>
      <c r="N403" s="28"/>
      <c r="O403" s="255" t="str">
        <f>IF(M403="","",(_xlfn.XLOOKUP(M403,Cadastros!$D$6:$D$90,Cadastros!$E$6:$E$90))*(1-_xlfn.XLOOKUP(_xlfn.XLOOKUP($F403,Clientes!$B$4:$B$39,Clientes!$C$4:$C$39),Cadastros!$L$6:$L$12,Cadastros!$N$6:$N$12)))</f>
        <v/>
      </c>
      <c r="P403" s="168" t="str">
        <f t="shared" si="80"/>
        <v/>
      </c>
      <c r="Q403" s="168" t="str">
        <f>IFERROR(P403/_xlfn.XLOOKUP(_xlfn.XLOOKUP($F403,Clientes!$B$4:$B$39,Clientes!$C$4:$C$39),Cadastros!$L$6:$L$12,Cadastros!$M$6:$M$12)," ")</f>
        <v xml:space="preserve"> </v>
      </c>
      <c r="R403" s="28"/>
      <c r="S403" s="28"/>
      <c r="T403" s="255" t="str">
        <f>IF(R403="","",(_xlfn.XLOOKUP(R403,Cadastros!$D$6:$D$90,Cadastros!$E$6:$E$90))*(1-_xlfn.XLOOKUP(_xlfn.XLOOKUP($F403,Clientes!$B$4:$B$39,Clientes!$C$4:$C$39),Cadastros!$L$6:$L$12,Cadastros!$N$6:$N$12)))</f>
        <v/>
      </c>
      <c r="U403" s="168" t="str">
        <f t="shared" si="81"/>
        <v/>
      </c>
      <c r="V403" s="168" t="str">
        <f>IFERROR(U403/_xlfn.XLOOKUP(_xlfn.XLOOKUP($F403,Clientes!$B$4:$B$39,Clientes!$C$4:$C$39),Cadastros!$L$6:$L$12,Cadastros!$M$6:$M$12)," ")</f>
        <v xml:space="preserve"> </v>
      </c>
      <c r="W403" s="28"/>
      <c r="X403" s="28"/>
      <c r="Y403" s="255" t="str">
        <f>IF(W403="","",(_xlfn.XLOOKUP(W403,Cadastros!$D$6:$D$90,Cadastros!$E$6:$E$90))*(1-_xlfn.XLOOKUP(_xlfn.XLOOKUP($F403,Clientes!$B$4:$B$39,Clientes!$C$4:$C$39),Cadastros!$L$6:$L$12,Cadastros!$N$6:$N$12)))</f>
        <v/>
      </c>
      <c r="Z403" s="168" t="str">
        <f t="shared" si="82"/>
        <v/>
      </c>
      <c r="AA403" s="168" t="str">
        <f>IFERROR(Z403/_xlfn.XLOOKUP(_xlfn.XLOOKUP($F403,Clientes!$B$4:$B$39,Clientes!$C$4:$C$39),Cadastros!$L$6:$L$12,Cadastros!$M$6:$M$12)," ")</f>
        <v xml:space="preserve"> </v>
      </c>
      <c r="AB403" s="28"/>
      <c r="AC403" s="28"/>
      <c r="AD403" s="20" t="str">
        <f>IF(AB403="","",IF($F403="Bernardino Furlan",_xlfn.XLOOKUP(AB403,Cadastros!$G$6:$G$90,Cadastros!$H$6:$H$90)*(1-0.18),IF($F403="Mauro José Salanti",_xlfn.XLOOKUP(AB403,Cadastros!$G$6:$G$90,Cadastros!$H$6:$H$90)*(1-0.18),_xlfn.XLOOKUP(AB403,Cadastros!$G$6:$G$90,Cadastros!$H$6:$H$90))))</f>
        <v/>
      </c>
      <c r="AE403" s="168" t="str">
        <f t="shared" si="83"/>
        <v/>
      </c>
      <c r="AF403" s="168" t="str">
        <f t="shared" si="84"/>
        <v/>
      </c>
      <c r="AG403" s="28"/>
      <c r="AH403" s="28"/>
      <c r="AI403" s="20" t="str">
        <f>IF(AG403="","",IF($F403="Bernardino Furlan",_xlfn.XLOOKUP(AG403,Cadastros!$G$6:$G$90,Cadastros!$H$6:$H$90)*(1-0.18),IF($F403="Mauro José Salanti",_xlfn.XLOOKUP(AG403,Cadastros!$G$6:$G$90,Cadastros!$H$6:$H$90)*(1-0.18),_xlfn.XLOOKUP(AG403,Cadastros!$G$6:$G$90,Cadastros!$H$6:$H$90))))</f>
        <v/>
      </c>
      <c r="AJ403" s="168" t="str">
        <f t="shared" si="85"/>
        <v/>
      </c>
      <c r="AK403" s="168" t="str">
        <f t="shared" si="86"/>
        <v/>
      </c>
      <c r="AL403" s="28"/>
      <c r="AM403" s="28"/>
      <c r="AN403" s="20" t="str">
        <f>IF(AL403="","",IF($F403="Bernardino Furlan",_xlfn.XLOOKUP(AL403,Cadastros!$G$6:$G$90,Cadastros!$H$6:$H$90)*(1-0.18),IF($F403="Mauro José Salanti",_xlfn.XLOOKUP(AL403,Cadastros!$G$6:$G$90,Cadastros!$H$6:$H$90)*(1-0.18),_xlfn.XLOOKUP(AL403,Cadastros!$G$6:$G$90,Cadastros!$H$6:$H$90))))</f>
        <v/>
      </c>
      <c r="AO403" s="168" t="str">
        <f t="shared" si="87"/>
        <v/>
      </c>
      <c r="AP403" s="168" t="str">
        <f t="shared" si="88"/>
        <v/>
      </c>
      <c r="AQ403" s="28"/>
      <c r="AR403" s="28"/>
      <c r="AS403" s="20" t="str">
        <f>IF(AQ403="","",IF($F403="Bernardino Furlan",_xlfn.XLOOKUP(AQ403,Cadastros!$G$6:$G$90,Cadastros!$H$6:$H$90)*(1-0.18),IF($F403="Mauro José Salanti",_xlfn.XLOOKUP(AQ403,Cadastros!$G$6:$G$90,Cadastros!$H$6:$H$90)*(1-0.18),_xlfn.XLOOKUP(AQ403,Cadastros!$G$6:$G$90,Cadastros!$H$6:$H$90))))</f>
        <v/>
      </c>
      <c r="AT403" s="168" t="str">
        <f t="shared" si="89"/>
        <v/>
      </c>
      <c r="AU403" s="168" t="str">
        <f t="shared" si="90"/>
        <v/>
      </c>
      <c r="AV403" s="227"/>
      <c r="AW403" s="30"/>
      <c r="AX403" s="267"/>
      <c r="AY403" s="267"/>
      <c r="AZ403" s="29"/>
      <c r="BA403" s="30"/>
      <c r="BB403" s="23" t="str" cm="1">
        <f t="array" ref="BB403">_xlfn.IFS(AW403="SIM",SUM(K403,P403,U403,Z403,AE403,AJ403,AO403,AT403,AX403,AY403),F403&lt;&gt;"",SUM(K403,P403,U403,Z403,AE403,AJ403,,AO403,AT403),F403="","")</f>
        <v/>
      </c>
      <c r="BC403" s="211" t="str" cm="1">
        <f t="array" ref="BC403">_xlfn.IFS(E403="","",G403&lt;=E403,BB403*(1-0.03),G403&lt;(E403+8),BB403,AZ403="Boleto",BB403*(1+0.001)^DATEDIF(E403,G403,"D"),AZ403="Cheque",BB403,AZ403="Dinheiro","Alterar forma pgto")</f>
        <v/>
      </c>
      <c r="BD403" s="276" t="str" cm="1">
        <f t="array" ref="BD403">IF(F403=0," ",IF(BC403&lt;BB403,(_xlfn.IFS(AW403="SIM",SUM(L403,Q403,V403,AA403,AF403,AK403,AP403,AU403)+AX403/_xlfn.XLOOKUP(_xlfn.XLOOKUP($F403,Clientes!$B$4:$B$39,Clientes!$C$4:$C$39),Cadastros!$L$6:$L$12,Cadastros!$M$6:$M$12)+IF($F403="Bernardino Furlan",AY403/2751.92,IF($F403="Mauro José Salanti",AY403/2751.92,AY403/3356)),F403&lt;&gt;0,SUM(L403,Q403,V403,AA403,AF403,AK403,AP403,AU403)))*(1-0.03),_xlfn.IFS(AW403="SIM",SUM(L403,Q403,V403,AA403,AF403,AK403,AP403,AU403)+AX403/_xlfn.XLOOKUP(_xlfn.XLOOKUP($F403,Clientes!$B$4:$B$39,Clientes!$C$4:$C$39),Cadastros!$L$6:$L$12,Cadastros!$M$6:$M$12)+IF($F403="Bernardino Furlan",AY403/2751.92,IF($F403="Mauro José Salanti",AY403/2751.92,AY403/3356)),F403&lt;&gt;0,SUM(L403,Q403,V403,AA403,AF403,AK403,AP403,AU403))))</f>
        <v xml:space="preserve"> </v>
      </c>
      <c r="BE403" s="120"/>
      <c r="BF403" s="120"/>
      <c r="BG403" s="120"/>
    </row>
    <row r="404" spans="1:59" s="3" customFormat="1" x14ac:dyDescent="0.3">
      <c r="A404" s="15" t="str">
        <f t="shared" si="78"/>
        <v/>
      </c>
      <c r="B404" s="34"/>
      <c r="C404" s="35"/>
      <c r="D404" s="280"/>
      <c r="E404" s="36"/>
      <c r="F404" s="37"/>
      <c r="G404" s="36"/>
      <c r="H404" s="37"/>
      <c r="I404" s="37"/>
      <c r="J404" s="255" t="str">
        <f>IF(H404="","",(_xlfn.XLOOKUP(H404,Cadastros!$D$6:$D$90,Cadastros!$E$6:$E$90))*(1-_xlfn.XLOOKUP(_xlfn.XLOOKUP($F404,Clientes!$B$4:$B$39,Clientes!$C$4:$C$39),Cadastros!$L$6:$L$12,Cadastros!$N$6:$N$12)))</f>
        <v/>
      </c>
      <c r="K404" s="168" t="str">
        <f t="shared" si="79"/>
        <v/>
      </c>
      <c r="L404" s="168" t="str">
        <f>IFERROR(K404/_xlfn.XLOOKUP(_xlfn.XLOOKUP($F404,Clientes!$B$4:$B$39,Clientes!$C$4:$C$39),Cadastros!$L$6:$L$12,Cadastros!$M$6:$M$12)," ")</f>
        <v xml:space="preserve"> </v>
      </c>
      <c r="M404" s="37"/>
      <c r="N404" s="37"/>
      <c r="O404" s="255" t="str">
        <f>IF(M404="","",(_xlfn.XLOOKUP(M404,Cadastros!$D$6:$D$90,Cadastros!$E$6:$E$90))*(1-_xlfn.XLOOKUP(_xlfn.XLOOKUP($F404,Clientes!$B$4:$B$39,Clientes!$C$4:$C$39),Cadastros!$L$6:$L$12,Cadastros!$N$6:$N$12)))</f>
        <v/>
      </c>
      <c r="P404" s="168" t="str">
        <f t="shared" si="80"/>
        <v/>
      </c>
      <c r="Q404" s="168" t="str">
        <f>IFERROR(P404/_xlfn.XLOOKUP(_xlfn.XLOOKUP($F404,Clientes!$B$4:$B$39,Clientes!$C$4:$C$39),Cadastros!$L$6:$L$12,Cadastros!$M$6:$M$12)," ")</f>
        <v xml:space="preserve"> </v>
      </c>
      <c r="R404" s="37"/>
      <c r="S404" s="37"/>
      <c r="T404" s="255" t="str">
        <f>IF(R404="","",(_xlfn.XLOOKUP(R404,Cadastros!$D$6:$D$90,Cadastros!$E$6:$E$90))*(1-_xlfn.XLOOKUP(_xlfn.XLOOKUP($F404,Clientes!$B$4:$B$39,Clientes!$C$4:$C$39),Cadastros!$L$6:$L$12,Cadastros!$N$6:$N$12)))</f>
        <v/>
      </c>
      <c r="U404" s="168" t="str">
        <f t="shared" si="81"/>
        <v/>
      </c>
      <c r="V404" s="168" t="str">
        <f>IFERROR(U404/_xlfn.XLOOKUP(_xlfn.XLOOKUP($F404,Clientes!$B$4:$B$39,Clientes!$C$4:$C$39),Cadastros!$L$6:$L$12,Cadastros!$M$6:$M$12)," ")</f>
        <v xml:space="preserve"> </v>
      </c>
      <c r="W404" s="37"/>
      <c r="X404" s="37"/>
      <c r="Y404" s="255" t="str">
        <f>IF(W404="","",(_xlfn.XLOOKUP(W404,Cadastros!$D$6:$D$90,Cadastros!$E$6:$E$90))*(1-_xlfn.XLOOKUP(_xlfn.XLOOKUP($F404,Clientes!$B$4:$B$39,Clientes!$C$4:$C$39),Cadastros!$L$6:$L$12,Cadastros!$N$6:$N$12)))</f>
        <v/>
      </c>
      <c r="Z404" s="168" t="str">
        <f t="shared" si="82"/>
        <v/>
      </c>
      <c r="AA404" s="168" t="str">
        <f>IFERROR(Z404/_xlfn.XLOOKUP(_xlfn.XLOOKUP($F404,Clientes!$B$4:$B$39,Clientes!$C$4:$C$39),Cadastros!$L$6:$L$12,Cadastros!$M$6:$M$12)," ")</f>
        <v xml:space="preserve"> </v>
      </c>
      <c r="AB404" s="37"/>
      <c r="AC404" s="37"/>
      <c r="AD404" s="20" t="str">
        <f>IF(AB404="","",IF($F404="Bernardino Furlan",_xlfn.XLOOKUP(AB404,Cadastros!$G$6:$G$90,Cadastros!$H$6:$H$90)*(1-0.18),IF($F404="Mauro José Salanti",_xlfn.XLOOKUP(AB404,Cadastros!$G$6:$G$90,Cadastros!$H$6:$H$90)*(1-0.18),_xlfn.XLOOKUP(AB404,Cadastros!$G$6:$G$90,Cadastros!$H$6:$H$90))))</f>
        <v/>
      </c>
      <c r="AE404" s="168" t="str">
        <f t="shared" si="83"/>
        <v/>
      </c>
      <c r="AF404" s="168" t="str">
        <f t="shared" si="84"/>
        <v/>
      </c>
      <c r="AG404" s="37"/>
      <c r="AH404" s="37"/>
      <c r="AI404" s="20" t="str">
        <f>IF(AG404="","",IF($F404="Bernardino Furlan",_xlfn.XLOOKUP(AG404,Cadastros!$G$6:$G$90,Cadastros!$H$6:$H$90)*(1-0.18),IF($F404="Mauro José Salanti",_xlfn.XLOOKUP(AG404,Cadastros!$G$6:$G$90,Cadastros!$H$6:$H$90)*(1-0.18),_xlfn.XLOOKUP(AG404,Cadastros!$G$6:$G$90,Cadastros!$H$6:$H$90))))</f>
        <v/>
      </c>
      <c r="AJ404" s="168" t="str">
        <f t="shared" si="85"/>
        <v/>
      </c>
      <c r="AK404" s="168" t="str">
        <f t="shared" si="86"/>
        <v/>
      </c>
      <c r="AL404" s="37"/>
      <c r="AM404" s="37"/>
      <c r="AN404" s="20" t="str">
        <f>IF(AL404="","",IF($F404="Bernardino Furlan",_xlfn.XLOOKUP(AL404,Cadastros!$G$6:$G$90,Cadastros!$H$6:$H$90)*(1-0.18),IF($F404="Mauro José Salanti",_xlfn.XLOOKUP(AL404,Cadastros!$G$6:$G$90,Cadastros!$H$6:$H$90)*(1-0.18),_xlfn.XLOOKUP(AL404,Cadastros!$G$6:$G$90,Cadastros!$H$6:$H$90))))</f>
        <v/>
      </c>
      <c r="AO404" s="168" t="str">
        <f t="shared" si="87"/>
        <v/>
      </c>
      <c r="AP404" s="168" t="str">
        <f t="shared" si="88"/>
        <v/>
      </c>
      <c r="AQ404" s="37"/>
      <c r="AR404" s="37"/>
      <c r="AS404" s="20" t="str">
        <f>IF(AQ404="","",IF($F404="Bernardino Furlan",_xlfn.XLOOKUP(AQ404,Cadastros!$G$6:$G$90,Cadastros!$H$6:$H$90)*(1-0.18),IF($F404="Mauro José Salanti",_xlfn.XLOOKUP(AQ404,Cadastros!$G$6:$G$90,Cadastros!$H$6:$H$90)*(1-0.18),_xlfn.XLOOKUP(AQ404,Cadastros!$G$6:$G$90,Cadastros!$H$6:$H$90))))</f>
        <v/>
      </c>
      <c r="AT404" s="168" t="str">
        <f t="shared" si="89"/>
        <v/>
      </c>
      <c r="AU404" s="168" t="str">
        <f t="shared" si="90"/>
        <v/>
      </c>
      <c r="AV404" s="228"/>
      <c r="AW404" s="38"/>
      <c r="AX404" s="268"/>
      <c r="AY404" s="268"/>
      <c r="AZ404" s="33"/>
      <c r="BA404" s="38"/>
      <c r="BB404" s="23" t="str" cm="1">
        <f t="array" ref="BB404">_xlfn.IFS(AW404="SIM",SUM(K404,P404,U404,Z404,AE404,AJ404,AO404,AT404,AX404,AY404),F404&lt;&gt;"",SUM(K404,P404,U404,Z404,AE404,AJ404,,AO404,AT404),F404="","")</f>
        <v/>
      </c>
      <c r="BC404" s="211" t="str" cm="1">
        <f t="array" ref="BC404">_xlfn.IFS(E404="","",G404&lt;=E404,BB404*(1-0.03),G404&lt;(E404+8),BB404,AZ404="Boleto",BB404*(1+0.001)^DATEDIF(E404,G404,"D"),AZ404="Cheque",BB404,AZ404="Dinheiro","Alterar forma pgto")</f>
        <v/>
      </c>
      <c r="BD404" s="276" t="str" cm="1">
        <f t="array" ref="BD404">IF(F404=0," ",IF(BC404&lt;BB404,(_xlfn.IFS(AW404="SIM",SUM(L404,Q404,V404,AA404,AF404,AK404,AP404,AU404)+AX404/_xlfn.XLOOKUP(_xlfn.XLOOKUP($F404,Clientes!$B$4:$B$39,Clientes!$C$4:$C$39),Cadastros!$L$6:$L$12,Cadastros!$M$6:$M$12)+IF($F404="Bernardino Furlan",AY404/2751.92,IF($F404="Mauro José Salanti",AY404/2751.92,AY404/3356)),F404&lt;&gt;0,SUM(L404,Q404,V404,AA404,AF404,AK404,AP404,AU404)))*(1-0.03),_xlfn.IFS(AW404="SIM",SUM(L404,Q404,V404,AA404,AF404,AK404,AP404,AU404)+AX404/_xlfn.XLOOKUP(_xlfn.XLOOKUP($F404,Clientes!$B$4:$B$39,Clientes!$C$4:$C$39),Cadastros!$L$6:$L$12,Cadastros!$M$6:$M$12)+IF($F404="Bernardino Furlan",AY404/2751.92,IF($F404="Mauro José Salanti",AY404/2751.92,AY404/3356)),F404&lt;&gt;0,SUM(L404,Q404,V404,AA404,AF404,AK404,AP404,AU404))))</f>
        <v xml:space="preserve"> </v>
      </c>
      <c r="BE404" s="120"/>
      <c r="BF404" s="120"/>
      <c r="BG404" s="120"/>
    </row>
    <row r="405" spans="1:59" s="3" customFormat="1" x14ac:dyDescent="0.3">
      <c r="A405" s="15" t="str">
        <f t="shared" si="78"/>
        <v/>
      </c>
      <c r="B405" s="25"/>
      <c r="C405" s="26"/>
      <c r="D405" s="279"/>
      <c r="E405" s="27"/>
      <c r="F405" s="28"/>
      <c r="G405" s="27"/>
      <c r="H405" s="28"/>
      <c r="I405" s="28"/>
      <c r="J405" s="255" t="str">
        <f>IF(H405="","",(_xlfn.XLOOKUP(H405,Cadastros!$D$6:$D$90,Cadastros!$E$6:$E$90))*(1-_xlfn.XLOOKUP(_xlfn.XLOOKUP($F405,Clientes!$B$4:$B$39,Clientes!$C$4:$C$39),Cadastros!$L$6:$L$12,Cadastros!$N$6:$N$12)))</f>
        <v/>
      </c>
      <c r="K405" s="168" t="str">
        <f t="shared" si="79"/>
        <v/>
      </c>
      <c r="L405" s="168" t="str">
        <f>IFERROR(K405/_xlfn.XLOOKUP(_xlfn.XLOOKUP($F405,Clientes!$B$4:$B$39,Clientes!$C$4:$C$39),Cadastros!$L$6:$L$12,Cadastros!$M$6:$M$12)," ")</f>
        <v xml:space="preserve"> </v>
      </c>
      <c r="M405" s="28"/>
      <c r="N405" s="28"/>
      <c r="O405" s="255" t="str">
        <f>IF(M405="","",(_xlfn.XLOOKUP(M405,Cadastros!$D$6:$D$90,Cadastros!$E$6:$E$90))*(1-_xlfn.XLOOKUP(_xlfn.XLOOKUP($F405,Clientes!$B$4:$B$39,Clientes!$C$4:$C$39),Cadastros!$L$6:$L$12,Cadastros!$N$6:$N$12)))</f>
        <v/>
      </c>
      <c r="P405" s="168" t="str">
        <f t="shared" si="80"/>
        <v/>
      </c>
      <c r="Q405" s="168" t="str">
        <f>IFERROR(P405/_xlfn.XLOOKUP(_xlfn.XLOOKUP($F405,Clientes!$B$4:$B$39,Clientes!$C$4:$C$39),Cadastros!$L$6:$L$12,Cadastros!$M$6:$M$12)," ")</f>
        <v xml:space="preserve"> </v>
      </c>
      <c r="R405" s="28"/>
      <c r="S405" s="28"/>
      <c r="T405" s="255" t="str">
        <f>IF(R405="","",(_xlfn.XLOOKUP(R405,Cadastros!$D$6:$D$90,Cadastros!$E$6:$E$90))*(1-_xlfn.XLOOKUP(_xlfn.XLOOKUP($F405,Clientes!$B$4:$B$39,Clientes!$C$4:$C$39),Cadastros!$L$6:$L$12,Cadastros!$N$6:$N$12)))</f>
        <v/>
      </c>
      <c r="U405" s="168" t="str">
        <f t="shared" si="81"/>
        <v/>
      </c>
      <c r="V405" s="168" t="str">
        <f>IFERROR(U405/_xlfn.XLOOKUP(_xlfn.XLOOKUP($F405,Clientes!$B$4:$B$39,Clientes!$C$4:$C$39),Cadastros!$L$6:$L$12,Cadastros!$M$6:$M$12)," ")</f>
        <v xml:space="preserve"> </v>
      </c>
      <c r="W405" s="28"/>
      <c r="X405" s="28"/>
      <c r="Y405" s="255" t="str">
        <f>IF(W405="","",(_xlfn.XLOOKUP(W405,Cadastros!$D$6:$D$90,Cadastros!$E$6:$E$90))*(1-_xlfn.XLOOKUP(_xlfn.XLOOKUP($F405,Clientes!$B$4:$B$39,Clientes!$C$4:$C$39),Cadastros!$L$6:$L$12,Cadastros!$N$6:$N$12)))</f>
        <v/>
      </c>
      <c r="Z405" s="168" t="str">
        <f t="shared" si="82"/>
        <v/>
      </c>
      <c r="AA405" s="168" t="str">
        <f>IFERROR(Z405/_xlfn.XLOOKUP(_xlfn.XLOOKUP($F405,Clientes!$B$4:$B$39,Clientes!$C$4:$C$39),Cadastros!$L$6:$L$12,Cadastros!$M$6:$M$12)," ")</f>
        <v xml:space="preserve"> </v>
      </c>
      <c r="AB405" s="28"/>
      <c r="AC405" s="28"/>
      <c r="AD405" s="20" t="str">
        <f>IF(AB405="","",IF($F405="Bernardino Furlan",_xlfn.XLOOKUP(AB405,Cadastros!$G$6:$G$90,Cadastros!$H$6:$H$90)*(1-0.18),IF($F405="Mauro José Salanti",_xlfn.XLOOKUP(AB405,Cadastros!$G$6:$G$90,Cadastros!$H$6:$H$90)*(1-0.18),_xlfn.XLOOKUP(AB405,Cadastros!$G$6:$G$90,Cadastros!$H$6:$H$90))))</f>
        <v/>
      </c>
      <c r="AE405" s="168" t="str">
        <f t="shared" si="83"/>
        <v/>
      </c>
      <c r="AF405" s="168" t="str">
        <f t="shared" si="84"/>
        <v/>
      </c>
      <c r="AG405" s="28"/>
      <c r="AH405" s="28"/>
      <c r="AI405" s="20" t="str">
        <f>IF(AG405="","",IF($F405="Bernardino Furlan",_xlfn.XLOOKUP(AG405,Cadastros!$G$6:$G$90,Cadastros!$H$6:$H$90)*(1-0.18),IF($F405="Mauro José Salanti",_xlfn.XLOOKUP(AG405,Cadastros!$G$6:$G$90,Cadastros!$H$6:$H$90)*(1-0.18),_xlfn.XLOOKUP(AG405,Cadastros!$G$6:$G$90,Cadastros!$H$6:$H$90))))</f>
        <v/>
      </c>
      <c r="AJ405" s="168" t="str">
        <f t="shared" si="85"/>
        <v/>
      </c>
      <c r="AK405" s="168" t="str">
        <f t="shared" si="86"/>
        <v/>
      </c>
      <c r="AL405" s="28"/>
      <c r="AM405" s="28"/>
      <c r="AN405" s="20" t="str">
        <f>IF(AL405="","",IF($F405="Bernardino Furlan",_xlfn.XLOOKUP(AL405,Cadastros!$G$6:$G$90,Cadastros!$H$6:$H$90)*(1-0.18),IF($F405="Mauro José Salanti",_xlfn.XLOOKUP(AL405,Cadastros!$G$6:$G$90,Cadastros!$H$6:$H$90)*(1-0.18),_xlfn.XLOOKUP(AL405,Cadastros!$G$6:$G$90,Cadastros!$H$6:$H$90))))</f>
        <v/>
      </c>
      <c r="AO405" s="168" t="str">
        <f t="shared" si="87"/>
        <v/>
      </c>
      <c r="AP405" s="168" t="str">
        <f t="shared" si="88"/>
        <v/>
      </c>
      <c r="AQ405" s="28"/>
      <c r="AR405" s="28"/>
      <c r="AS405" s="20" t="str">
        <f>IF(AQ405="","",IF($F405="Bernardino Furlan",_xlfn.XLOOKUP(AQ405,Cadastros!$G$6:$G$90,Cadastros!$H$6:$H$90)*(1-0.18),IF($F405="Mauro José Salanti",_xlfn.XLOOKUP(AQ405,Cadastros!$G$6:$G$90,Cadastros!$H$6:$H$90)*(1-0.18),_xlfn.XLOOKUP(AQ405,Cadastros!$G$6:$G$90,Cadastros!$H$6:$H$90))))</f>
        <v/>
      </c>
      <c r="AT405" s="168" t="str">
        <f t="shared" si="89"/>
        <v/>
      </c>
      <c r="AU405" s="168" t="str">
        <f t="shared" si="90"/>
        <v/>
      </c>
      <c r="AV405" s="227"/>
      <c r="AW405" s="30"/>
      <c r="AX405" s="267"/>
      <c r="AY405" s="267"/>
      <c r="AZ405" s="29"/>
      <c r="BA405" s="30"/>
      <c r="BB405" s="23" t="str" cm="1">
        <f t="array" ref="BB405">_xlfn.IFS(AW405="SIM",SUM(K405,P405,U405,Z405,AE405,AJ405,AO405,AT405,AX405,AY405),F405&lt;&gt;"",SUM(K405,P405,U405,Z405,AE405,AJ405,,AO405,AT405),F405="","")</f>
        <v/>
      </c>
      <c r="BC405" s="211" t="str" cm="1">
        <f t="array" ref="BC405">_xlfn.IFS(E405="","",G405&lt;=E405,BB405*(1-0.03),G405&lt;(E405+8),BB405,AZ405="Boleto",BB405*(1+0.001)^DATEDIF(E405,G405,"D"),AZ405="Cheque",BB405,AZ405="Dinheiro","Alterar forma pgto")</f>
        <v/>
      </c>
      <c r="BD405" s="276" t="str" cm="1">
        <f t="array" ref="BD405">IF(F405=0," ",IF(BC405&lt;BB405,(_xlfn.IFS(AW405="SIM",SUM(L405,Q405,V405,AA405,AF405,AK405,AP405,AU405)+AX405/_xlfn.XLOOKUP(_xlfn.XLOOKUP($F405,Clientes!$B$4:$B$39,Clientes!$C$4:$C$39),Cadastros!$L$6:$L$12,Cadastros!$M$6:$M$12)+IF($F405="Bernardino Furlan",AY405/2751.92,IF($F405="Mauro José Salanti",AY405/2751.92,AY405/3356)),F405&lt;&gt;0,SUM(L405,Q405,V405,AA405,AF405,AK405,AP405,AU405)))*(1-0.03),_xlfn.IFS(AW405="SIM",SUM(L405,Q405,V405,AA405,AF405,AK405,AP405,AU405)+AX405/_xlfn.XLOOKUP(_xlfn.XLOOKUP($F405,Clientes!$B$4:$B$39,Clientes!$C$4:$C$39),Cadastros!$L$6:$L$12,Cadastros!$M$6:$M$12)+IF($F405="Bernardino Furlan",AY405/2751.92,IF($F405="Mauro José Salanti",AY405/2751.92,AY405/3356)),F405&lt;&gt;0,SUM(L405,Q405,V405,AA405,AF405,AK405,AP405,AU405))))</f>
        <v xml:space="preserve"> </v>
      </c>
      <c r="BE405" s="120"/>
      <c r="BF405" s="120"/>
      <c r="BG405" s="120"/>
    </row>
    <row r="406" spans="1:59" s="3" customFormat="1" x14ac:dyDescent="0.3">
      <c r="A406" s="15" t="str">
        <f t="shared" si="78"/>
        <v/>
      </c>
      <c r="B406" s="25"/>
      <c r="C406" s="26"/>
      <c r="D406" s="279"/>
      <c r="E406" s="27"/>
      <c r="F406" s="28"/>
      <c r="G406" s="27"/>
      <c r="H406" s="28"/>
      <c r="I406" s="28"/>
      <c r="J406" s="255" t="str">
        <f>IF(H406="","",(_xlfn.XLOOKUP(H406,Cadastros!$D$6:$D$90,Cadastros!$E$6:$E$90))*(1-_xlfn.XLOOKUP(_xlfn.XLOOKUP($F406,Clientes!$B$4:$B$39,Clientes!$C$4:$C$39),Cadastros!$L$6:$L$12,Cadastros!$N$6:$N$12)))</f>
        <v/>
      </c>
      <c r="K406" s="168" t="str">
        <f t="shared" si="79"/>
        <v/>
      </c>
      <c r="L406" s="168" t="str">
        <f>IFERROR(K406/_xlfn.XLOOKUP(_xlfn.XLOOKUP($F406,Clientes!$B$4:$B$39,Clientes!$C$4:$C$39),Cadastros!$L$6:$L$12,Cadastros!$M$6:$M$12)," ")</f>
        <v xml:space="preserve"> </v>
      </c>
      <c r="M406" s="28"/>
      <c r="N406" s="28"/>
      <c r="O406" s="255" t="str">
        <f>IF(M406="","",(_xlfn.XLOOKUP(M406,Cadastros!$D$6:$D$90,Cadastros!$E$6:$E$90))*(1-_xlfn.XLOOKUP(_xlfn.XLOOKUP($F406,Clientes!$B$4:$B$39,Clientes!$C$4:$C$39),Cadastros!$L$6:$L$12,Cadastros!$N$6:$N$12)))</f>
        <v/>
      </c>
      <c r="P406" s="168" t="str">
        <f t="shared" si="80"/>
        <v/>
      </c>
      <c r="Q406" s="168" t="str">
        <f>IFERROR(P406/_xlfn.XLOOKUP(_xlfn.XLOOKUP($F406,Clientes!$B$4:$B$39,Clientes!$C$4:$C$39),Cadastros!$L$6:$L$12,Cadastros!$M$6:$M$12)," ")</f>
        <v xml:space="preserve"> </v>
      </c>
      <c r="R406" s="28"/>
      <c r="S406" s="28"/>
      <c r="T406" s="255" t="str">
        <f>IF(R406="","",(_xlfn.XLOOKUP(R406,Cadastros!$D$6:$D$90,Cadastros!$E$6:$E$90))*(1-_xlfn.XLOOKUP(_xlfn.XLOOKUP($F406,Clientes!$B$4:$B$39,Clientes!$C$4:$C$39),Cadastros!$L$6:$L$12,Cadastros!$N$6:$N$12)))</f>
        <v/>
      </c>
      <c r="U406" s="168" t="str">
        <f t="shared" si="81"/>
        <v/>
      </c>
      <c r="V406" s="168" t="str">
        <f>IFERROR(U406/_xlfn.XLOOKUP(_xlfn.XLOOKUP($F406,Clientes!$B$4:$B$39,Clientes!$C$4:$C$39),Cadastros!$L$6:$L$12,Cadastros!$M$6:$M$12)," ")</f>
        <v xml:space="preserve"> </v>
      </c>
      <c r="W406" s="28"/>
      <c r="X406" s="28"/>
      <c r="Y406" s="255" t="str">
        <f>IF(W406="","",(_xlfn.XLOOKUP(W406,Cadastros!$D$6:$D$90,Cadastros!$E$6:$E$90))*(1-_xlfn.XLOOKUP(_xlfn.XLOOKUP($F406,Clientes!$B$4:$B$39,Clientes!$C$4:$C$39),Cadastros!$L$6:$L$12,Cadastros!$N$6:$N$12)))</f>
        <v/>
      </c>
      <c r="Z406" s="168" t="str">
        <f t="shared" si="82"/>
        <v/>
      </c>
      <c r="AA406" s="168" t="str">
        <f>IFERROR(Z406/_xlfn.XLOOKUP(_xlfn.XLOOKUP($F406,Clientes!$B$4:$B$39,Clientes!$C$4:$C$39),Cadastros!$L$6:$L$12,Cadastros!$M$6:$M$12)," ")</f>
        <v xml:space="preserve"> </v>
      </c>
      <c r="AB406" s="28"/>
      <c r="AC406" s="28"/>
      <c r="AD406" s="20" t="str">
        <f>IF(AB406="","",IF($F406="Bernardino Furlan",_xlfn.XLOOKUP(AB406,Cadastros!$G$6:$G$90,Cadastros!$H$6:$H$90)*(1-0.18),IF($F406="Mauro José Salanti",_xlfn.XLOOKUP(AB406,Cadastros!$G$6:$G$90,Cadastros!$H$6:$H$90)*(1-0.18),_xlfn.XLOOKUP(AB406,Cadastros!$G$6:$G$90,Cadastros!$H$6:$H$90))))</f>
        <v/>
      </c>
      <c r="AE406" s="168" t="str">
        <f t="shared" si="83"/>
        <v/>
      </c>
      <c r="AF406" s="168" t="str">
        <f t="shared" si="84"/>
        <v/>
      </c>
      <c r="AG406" s="28"/>
      <c r="AH406" s="28"/>
      <c r="AI406" s="20" t="str">
        <f>IF(AG406="","",IF($F406="Bernardino Furlan",_xlfn.XLOOKUP(AG406,Cadastros!$G$6:$G$90,Cadastros!$H$6:$H$90)*(1-0.18),IF($F406="Mauro José Salanti",_xlfn.XLOOKUP(AG406,Cadastros!$G$6:$G$90,Cadastros!$H$6:$H$90)*(1-0.18),_xlfn.XLOOKUP(AG406,Cadastros!$G$6:$G$90,Cadastros!$H$6:$H$90))))</f>
        <v/>
      </c>
      <c r="AJ406" s="168" t="str">
        <f t="shared" si="85"/>
        <v/>
      </c>
      <c r="AK406" s="168" t="str">
        <f t="shared" si="86"/>
        <v/>
      </c>
      <c r="AL406" s="28"/>
      <c r="AM406" s="28"/>
      <c r="AN406" s="20" t="str">
        <f>IF(AL406="","",IF($F406="Bernardino Furlan",_xlfn.XLOOKUP(AL406,Cadastros!$G$6:$G$90,Cadastros!$H$6:$H$90)*(1-0.18),IF($F406="Mauro José Salanti",_xlfn.XLOOKUP(AL406,Cadastros!$G$6:$G$90,Cadastros!$H$6:$H$90)*(1-0.18),_xlfn.XLOOKUP(AL406,Cadastros!$G$6:$G$90,Cadastros!$H$6:$H$90))))</f>
        <v/>
      </c>
      <c r="AO406" s="168" t="str">
        <f t="shared" si="87"/>
        <v/>
      </c>
      <c r="AP406" s="168" t="str">
        <f t="shared" si="88"/>
        <v/>
      </c>
      <c r="AQ406" s="28"/>
      <c r="AR406" s="28"/>
      <c r="AS406" s="20" t="str">
        <f>IF(AQ406="","",IF($F406="Bernardino Furlan",_xlfn.XLOOKUP(AQ406,Cadastros!$G$6:$G$90,Cadastros!$H$6:$H$90)*(1-0.18),IF($F406="Mauro José Salanti",_xlfn.XLOOKUP(AQ406,Cadastros!$G$6:$G$90,Cadastros!$H$6:$H$90)*(1-0.18),_xlfn.XLOOKUP(AQ406,Cadastros!$G$6:$G$90,Cadastros!$H$6:$H$90))))</f>
        <v/>
      </c>
      <c r="AT406" s="168" t="str">
        <f t="shared" si="89"/>
        <v/>
      </c>
      <c r="AU406" s="168" t="str">
        <f t="shared" si="90"/>
        <v/>
      </c>
      <c r="AV406" s="227"/>
      <c r="AW406" s="30"/>
      <c r="AX406" s="267"/>
      <c r="AY406" s="267"/>
      <c r="AZ406" s="29"/>
      <c r="BA406" s="30"/>
      <c r="BB406" s="23" t="str" cm="1">
        <f t="array" ref="BB406">_xlfn.IFS(AW406="SIM",SUM(K406,P406,U406,Z406,AE406,AJ406,AO406,AT406,AX406,AY406),F406&lt;&gt;"",SUM(K406,P406,U406,Z406,AE406,AJ406,,AO406,AT406),F406="","")</f>
        <v/>
      </c>
      <c r="BC406" s="211" t="str" cm="1">
        <f t="array" ref="BC406">_xlfn.IFS(E406="","",G406&lt;=E406,BB406*(1-0.03),G406&lt;(E406+8),BB406,AZ406="Boleto",BB406*(1+0.001)^DATEDIF(E406,G406,"D"),AZ406="Cheque",BB406,AZ406="Dinheiro","Alterar forma pgto")</f>
        <v/>
      </c>
      <c r="BD406" s="276" t="str" cm="1">
        <f t="array" ref="BD406">IF(F406=0," ",IF(BC406&lt;BB406,(_xlfn.IFS(AW406="SIM",SUM(L406,Q406,V406,AA406,AF406,AK406,AP406,AU406)+AX406/_xlfn.XLOOKUP(_xlfn.XLOOKUP($F406,Clientes!$B$4:$B$39,Clientes!$C$4:$C$39),Cadastros!$L$6:$L$12,Cadastros!$M$6:$M$12)+IF($F406="Bernardino Furlan",AY406/2751.92,IF($F406="Mauro José Salanti",AY406/2751.92,AY406/3356)),F406&lt;&gt;0,SUM(L406,Q406,V406,AA406,AF406,AK406,AP406,AU406)))*(1-0.03),_xlfn.IFS(AW406="SIM",SUM(L406,Q406,V406,AA406,AF406,AK406,AP406,AU406)+AX406/_xlfn.XLOOKUP(_xlfn.XLOOKUP($F406,Clientes!$B$4:$B$39,Clientes!$C$4:$C$39),Cadastros!$L$6:$L$12,Cadastros!$M$6:$M$12)+IF($F406="Bernardino Furlan",AY406/2751.92,IF($F406="Mauro José Salanti",AY406/2751.92,AY406/3356)),F406&lt;&gt;0,SUM(L406,Q406,V406,AA406,AF406,AK406,AP406,AU406))))</f>
        <v xml:space="preserve"> </v>
      </c>
      <c r="BE406" s="120"/>
      <c r="BF406" s="120"/>
      <c r="BG406" s="120"/>
    </row>
    <row r="407" spans="1:59" s="3" customFormat="1" x14ac:dyDescent="0.3">
      <c r="A407" s="15" t="str">
        <f t="shared" si="78"/>
        <v/>
      </c>
      <c r="B407" s="25"/>
      <c r="C407" s="26"/>
      <c r="D407" s="279"/>
      <c r="E407" s="27"/>
      <c r="F407" s="28"/>
      <c r="G407" s="27"/>
      <c r="H407" s="28"/>
      <c r="I407" s="28"/>
      <c r="J407" s="255" t="str">
        <f>IF(H407="","",(_xlfn.XLOOKUP(H407,Cadastros!$D$6:$D$90,Cadastros!$E$6:$E$90))*(1-_xlfn.XLOOKUP(_xlfn.XLOOKUP($F407,Clientes!$B$4:$B$39,Clientes!$C$4:$C$39),Cadastros!$L$6:$L$12,Cadastros!$N$6:$N$12)))</f>
        <v/>
      </c>
      <c r="K407" s="168" t="str">
        <f t="shared" si="79"/>
        <v/>
      </c>
      <c r="L407" s="168" t="str">
        <f>IFERROR(K407/_xlfn.XLOOKUP(_xlfn.XLOOKUP($F407,Clientes!$B$4:$B$39,Clientes!$C$4:$C$39),Cadastros!$L$6:$L$12,Cadastros!$M$6:$M$12)," ")</f>
        <v xml:space="preserve"> </v>
      </c>
      <c r="M407" s="28"/>
      <c r="N407" s="28"/>
      <c r="O407" s="255" t="str">
        <f>IF(M407="","",(_xlfn.XLOOKUP(M407,Cadastros!$D$6:$D$90,Cadastros!$E$6:$E$90))*(1-_xlfn.XLOOKUP(_xlfn.XLOOKUP($F407,Clientes!$B$4:$B$39,Clientes!$C$4:$C$39),Cadastros!$L$6:$L$12,Cadastros!$N$6:$N$12)))</f>
        <v/>
      </c>
      <c r="P407" s="168" t="str">
        <f t="shared" si="80"/>
        <v/>
      </c>
      <c r="Q407" s="168" t="str">
        <f>IFERROR(P407/_xlfn.XLOOKUP(_xlfn.XLOOKUP($F407,Clientes!$B$4:$B$39,Clientes!$C$4:$C$39),Cadastros!$L$6:$L$12,Cadastros!$M$6:$M$12)," ")</f>
        <v xml:space="preserve"> </v>
      </c>
      <c r="R407" s="28"/>
      <c r="S407" s="28"/>
      <c r="T407" s="255" t="str">
        <f>IF(R407="","",(_xlfn.XLOOKUP(R407,Cadastros!$D$6:$D$90,Cadastros!$E$6:$E$90))*(1-_xlfn.XLOOKUP(_xlfn.XLOOKUP($F407,Clientes!$B$4:$B$39,Clientes!$C$4:$C$39),Cadastros!$L$6:$L$12,Cadastros!$N$6:$N$12)))</f>
        <v/>
      </c>
      <c r="U407" s="168" t="str">
        <f t="shared" si="81"/>
        <v/>
      </c>
      <c r="V407" s="168" t="str">
        <f>IFERROR(U407/_xlfn.XLOOKUP(_xlfn.XLOOKUP($F407,Clientes!$B$4:$B$39,Clientes!$C$4:$C$39),Cadastros!$L$6:$L$12,Cadastros!$M$6:$M$12)," ")</f>
        <v xml:space="preserve"> </v>
      </c>
      <c r="W407" s="28"/>
      <c r="X407" s="28"/>
      <c r="Y407" s="255" t="str">
        <f>IF(W407="","",(_xlfn.XLOOKUP(W407,Cadastros!$D$6:$D$90,Cadastros!$E$6:$E$90))*(1-_xlfn.XLOOKUP(_xlfn.XLOOKUP($F407,Clientes!$B$4:$B$39,Clientes!$C$4:$C$39),Cadastros!$L$6:$L$12,Cadastros!$N$6:$N$12)))</f>
        <v/>
      </c>
      <c r="Z407" s="168" t="str">
        <f t="shared" si="82"/>
        <v/>
      </c>
      <c r="AA407" s="168" t="str">
        <f>IFERROR(Z407/_xlfn.XLOOKUP(_xlfn.XLOOKUP($F407,Clientes!$B$4:$B$39,Clientes!$C$4:$C$39),Cadastros!$L$6:$L$12,Cadastros!$M$6:$M$12)," ")</f>
        <v xml:space="preserve"> </v>
      </c>
      <c r="AB407" s="28"/>
      <c r="AC407" s="28"/>
      <c r="AD407" s="20" t="str">
        <f>IF(AB407="","",IF($F407="Bernardino Furlan",_xlfn.XLOOKUP(AB407,Cadastros!$G$6:$G$90,Cadastros!$H$6:$H$90)*(1-0.18),IF($F407="Mauro José Salanti",_xlfn.XLOOKUP(AB407,Cadastros!$G$6:$G$90,Cadastros!$H$6:$H$90)*(1-0.18),_xlfn.XLOOKUP(AB407,Cadastros!$G$6:$G$90,Cadastros!$H$6:$H$90))))</f>
        <v/>
      </c>
      <c r="AE407" s="168" t="str">
        <f t="shared" si="83"/>
        <v/>
      </c>
      <c r="AF407" s="168" t="str">
        <f t="shared" si="84"/>
        <v/>
      </c>
      <c r="AG407" s="28"/>
      <c r="AH407" s="28"/>
      <c r="AI407" s="20" t="str">
        <f>IF(AG407="","",IF($F407="Bernardino Furlan",_xlfn.XLOOKUP(AG407,Cadastros!$G$6:$G$90,Cadastros!$H$6:$H$90)*(1-0.18),IF($F407="Mauro José Salanti",_xlfn.XLOOKUP(AG407,Cadastros!$G$6:$G$90,Cadastros!$H$6:$H$90)*(1-0.18),_xlfn.XLOOKUP(AG407,Cadastros!$G$6:$G$90,Cadastros!$H$6:$H$90))))</f>
        <v/>
      </c>
      <c r="AJ407" s="168" t="str">
        <f t="shared" si="85"/>
        <v/>
      </c>
      <c r="AK407" s="168" t="str">
        <f t="shared" si="86"/>
        <v/>
      </c>
      <c r="AL407" s="28"/>
      <c r="AM407" s="28"/>
      <c r="AN407" s="20" t="str">
        <f>IF(AL407="","",IF($F407="Bernardino Furlan",_xlfn.XLOOKUP(AL407,Cadastros!$G$6:$G$90,Cadastros!$H$6:$H$90)*(1-0.18),IF($F407="Mauro José Salanti",_xlfn.XLOOKUP(AL407,Cadastros!$G$6:$G$90,Cadastros!$H$6:$H$90)*(1-0.18),_xlfn.XLOOKUP(AL407,Cadastros!$G$6:$G$90,Cadastros!$H$6:$H$90))))</f>
        <v/>
      </c>
      <c r="AO407" s="168" t="str">
        <f t="shared" si="87"/>
        <v/>
      </c>
      <c r="AP407" s="168" t="str">
        <f t="shared" si="88"/>
        <v/>
      </c>
      <c r="AQ407" s="28"/>
      <c r="AR407" s="28"/>
      <c r="AS407" s="20" t="str">
        <f>IF(AQ407="","",IF($F407="Bernardino Furlan",_xlfn.XLOOKUP(AQ407,Cadastros!$G$6:$G$90,Cadastros!$H$6:$H$90)*(1-0.18),IF($F407="Mauro José Salanti",_xlfn.XLOOKUP(AQ407,Cadastros!$G$6:$G$90,Cadastros!$H$6:$H$90)*(1-0.18),_xlfn.XLOOKUP(AQ407,Cadastros!$G$6:$G$90,Cadastros!$H$6:$H$90))))</f>
        <v/>
      </c>
      <c r="AT407" s="168" t="str">
        <f t="shared" si="89"/>
        <v/>
      </c>
      <c r="AU407" s="168" t="str">
        <f t="shared" si="90"/>
        <v/>
      </c>
      <c r="AV407" s="227"/>
      <c r="AW407" s="30"/>
      <c r="AX407" s="267"/>
      <c r="AY407" s="267"/>
      <c r="AZ407" s="29"/>
      <c r="BA407" s="30"/>
      <c r="BB407" s="23" t="str" cm="1">
        <f t="array" ref="BB407">_xlfn.IFS(AW407="SIM",SUM(K407,P407,U407,Z407,AE407,AJ407,AO407,AT407,AX407,AY407),F407&lt;&gt;"",SUM(K407,P407,U407,Z407,AE407,AJ407,,AO407,AT407),F407="","")</f>
        <v/>
      </c>
      <c r="BC407" s="211" t="str" cm="1">
        <f t="array" ref="BC407">_xlfn.IFS(E407="","",G407&lt;=E407,BB407*(1-0.03),G407&lt;(E407+8),BB407,AZ407="Boleto",BB407*(1+0.001)^DATEDIF(E407,G407,"D"),AZ407="Cheque",BB407,AZ407="Dinheiro","Alterar forma pgto")</f>
        <v/>
      </c>
      <c r="BD407" s="276" t="str" cm="1">
        <f t="array" ref="BD407">IF(F407=0," ",IF(BC407&lt;BB407,(_xlfn.IFS(AW407="SIM",SUM(L407,Q407,V407,AA407,AF407,AK407,AP407,AU407)+AX407/_xlfn.XLOOKUP(_xlfn.XLOOKUP($F407,Clientes!$B$4:$B$39,Clientes!$C$4:$C$39),Cadastros!$L$6:$L$12,Cadastros!$M$6:$M$12)+IF($F407="Bernardino Furlan",AY407/2751.92,IF($F407="Mauro José Salanti",AY407/2751.92,AY407/3356)),F407&lt;&gt;0,SUM(L407,Q407,V407,AA407,AF407,AK407,AP407,AU407)))*(1-0.03),_xlfn.IFS(AW407="SIM",SUM(L407,Q407,V407,AA407,AF407,AK407,AP407,AU407)+AX407/_xlfn.XLOOKUP(_xlfn.XLOOKUP($F407,Clientes!$B$4:$B$39,Clientes!$C$4:$C$39),Cadastros!$L$6:$L$12,Cadastros!$M$6:$M$12)+IF($F407="Bernardino Furlan",AY407/2751.92,IF($F407="Mauro José Salanti",AY407/2751.92,AY407/3356)),F407&lt;&gt;0,SUM(L407,Q407,V407,AA407,AF407,AK407,AP407,AU407))))</f>
        <v xml:space="preserve"> </v>
      </c>
      <c r="BE407" s="120"/>
      <c r="BF407" s="120"/>
      <c r="BG407" s="120"/>
    </row>
    <row r="408" spans="1:59" s="3" customFormat="1" x14ac:dyDescent="0.3">
      <c r="A408" s="15" t="str">
        <f t="shared" si="78"/>
        <v/>
      </c>
      <c r="B408" s="25"/>
      <c r="C408" s="26"/>
      <c r="D408" s="279"/>
      <c r="E408" s="27"/>
      <c r="F408" s="28"/>
      <c r="G408" s="27"/>
      <c r="H408" s="28"/>
      <c r="I408" s="28"/>
      <c r="J408" s="255" t="str">
        <f>IF(H408="","",(_xlfn.XLOOKUP(H408,Cadastros!$D$6:$D$90,Cadastros!$E$6:$E$90))*(1-_xlfn.XLOOKUP(_xlfn.XLOOKUP($F408,Clientes!$B$4:$B$39,Clientes!$C$4:$C$39),Cadastros!$L$6:$L$12,Cadastros!$N$6:$N$12)))</f>
        <v/>
      </c>
      <c r="K408" s="168" t="str">
        <f t="shared" si="79"/>
        <v/>
      </c>
      <c r="L408" s="168" t="str">
        <f>IFERROR(K408/_xlfn.XLOOKUP(_xlfn.XLOOKUP($F408,Clientes!$B$4:$B$39,Clientes!$C$4:$C$39),Cadastros!$L$6:$L$12,Cadastros!$M$6:$M$12)," ")</f>
        <v xml:space="preserve"> </v>
      </c>
      <c r="M408" s="28"/>
      <c r="N408" s="28"/>
      <c r="O408" s="255" t="str">
        <f>IF(M408="","",(_xlfn.XLOOKUP(M408,Cadastros!$D$6:$D$90,Cadastros!$E$6:$E$90))*(1-_xlfn.XLOOKUP(_xlfn.XLOOKUP($F408,Clientes!$B$4:$B$39,Clientes!$C$4:$C$39),Cadastros!$L$6:$L$12,Cadastros!$N$6:$N$12)))</f>
        <v/>
      </c>
      <c r="P408" s="168" t="str">
        <f t="shared" si="80"/>
        <v/>
      </c>
      <c r="Q408" s="168" t="str">
        <f>IFERROR(P408/_xlfn.XLOOKUP(_xlfn.XLOOKUP($F408,Clientes!$B$4:$B$39,Clientes!$C$4:$C$39),Cadastros!$L$6:$L$12,Cadastros!$M$6:$M$12)," ")</f>
        <v xml:space="preserve"> </v>
      </c>
      <c r="R408" s="28"/>
      <c r="S408" s="28"/>
      <c r="T408" s="255" t="str">
        <f>IF(R408="","",(_xlfn.XLOOKUP(R408,Cadastros!$D$6:$D$90,Cadastros!$E$6:$E$90))*(1-_xlfn.XLOOKUP(_xlfn.XLOOKUP($F408,Clientes!$B$4:$B$39,Clientes!$C$4:$C$39),Cadastros!$L$6:$L$12,Cadastros!$N$6:$N$12)))</f>
        <v/>
      </c>
      <c r="U408" s="168" t="str">
        <f t="shared" si="81"/>
        <v/>
      </c>
      <c r="V408" s="168" t="str">
        <f>IFERROR(U408/_xlfn.XLOOKUP(_xlfn.XLOOKUP($F408,Clientes!$B$4:$B$39,Clientes!$C$4:$C$39),Cadastros!$L$6:$L$12,Cadastros!$M$6:$M$12)," ")</f>
        <v xml:space="preserve"> </v>
      </c>
      <c r="W408" s="28"/>
      <c r="X408" s="28"/>
      <c r="Y408" s="255" t="str">
        <f>IF(W408="","",(_xlfn.XLOOKUP(W408,Cadastros!$D$6:$D$90,Cadastros!$E$6:$E$90))*(1-_xlfn.XLOOKUP(_xlfn.XLOOKUP($F408,Clientes!$B$4:$B$39,Clientes!$C$4:$C$39),Cadastros!$L$6:$L$12,Cadastros!$N$6:$N$12)))</f>
        <v/>
      </c>
      <c r="Z408" s="168" t="str">
        <f t="shared" si="82"/>
        <v/>
      </c>
      <c r="AA408" s="168" t="str">
        <f>IFERROR(Z408/_xlfn.XLOOKUP(_xlfn.XLOOKUP($F408,Clientes!$B$4:$B$39,Clientes!$C$4:$C$39),Cadastros!$L$6:$L$12,Cadastros!$M$6:$M$12)," ")</f>
        <v xml:space="preserve"> </v>
      </c>
      <c r="AB408" s="28"/>
      <c r="AC408" s="28"/>
      <c r="AD408" s="20" t="str">
        <f>IF(AB408="","",IF($F408="Bernardino Furlan",_xlfn.XLOOKUP(AB408,Cadastros!$G$6:$G$90,Cadastros!$H$6:$H$90)*(1-0.18),IF($F408="Mauro José Salanti",_xlfn.XLOOKUP(AB408,Cadastros!$G$6:$G$90,Cadastros!$H$6:$H$90)*(1-0.18),_xlfn.XLOOKUP(AB408,Cadastros!$G$6:$G$90,Cadastros!$H$6:$H$90))))</f>
        <v/>
      </c>
      <c r="AE408" s="168" t="str">
        <f t="shared" si="83"/>
        <v/>
      </c>
      <c r="AF408" s="168" t="str">
        <f t="shared" si="84"/>
        <v/>
      </c>
      <c r="AG408" s="28"/>
      <c r="AH408" s="28"/>
      <c r="AI408" s="20" t="str">
        <f>IF(AG408="","",IF($F408="Bernardino Furlan",_xlfn.XLOOKUP(AG408,Cadastros!$G$6:$G$90,Cadastros!$H$6:$H$90)*(1-0.18),IF($F408="Mauro José Salanti",_xlfn.XLOOKUP(AG408,Cadastros!$G$6:$G$90,Cadastros!$H$6:$H$90)*(1-0.18),_xlfn.XLOOKUP(AG408,Cadastros!$G$6:$G$90,Cadastros!$H$6:$H$90))))</f>
        <v/>
      </c>
      <c r="AJ408" s="168" t="str">
        <f t="shared" si="85"/>
        <v/>
      </c>
      <c r="AK408" s="168" t="str">
        <f t="shared" si="86"/>
        <v/>
      </c>
      <c r="AL408" s="28"/>
      <c r="AM408" s="28"/>
      <c r="AN408" s="20" t="str">
        <f>IF(AL408="","",IF($F408="Bernardino Furlan",_xlfn.XLOOKUP(AL408,Cadastros!$G$6:$G$90,Cadastros!$H$6:$H$90)*(1-0.18),IF($F408="Mauro José Salanti",_xlfn.XLOOKUP(AL408,Cadastros!$G$6:$G$90,Cadastros!$H$6:$H$90)*(1-0.18),_xlfn.XLOOKUP(AL408,Cadastros!$G$6:$G$90,Cadastros!$H$6:$H$90))))</f>
        <v/>
      </c>
      <c r="AO408" s="168" t="str">
        <f t="shared" si="87"/>
        <v/>
      </c>
      <c r="AP408" s="168" t="str">
        <f t="shared" si="88"/>
        <v/>
      </c>
      <c r="AQ408" s="28"/>
      <c r="AR408" s="28"/>
      <c r="AS408" s="20" t="str">
        <f>IF(AQ408="","",IF($F408="Bernardino Furlan",_xlfn.XLOOKUP(AQ408,Cadastros!$G$6:$G$90,Cadastros!$H$6:$H$90)*(1-0.18),IF($F408="Mauro José Salanti",_xlfn.XLOOKUP(AQ408,Cadastros!$G$6:$G$90,Cadastros!$H$6:$H$90)*(1-0.18),_xlfn.XLOOKUP(AQ408,Cadastros!$G$6:$G$90,Cadastros!$H$6:$H$90))))</f>
        <v/>
      </c>
      <c r="AT408" s="168" t="str">
        <f t="shared" si="89"/>
        <v/>
      </c>
      <c r="AU408" s="168" t="str">
        <f t="shared" si="90"/>
        <v/>
      </c>
      <c r="AV408" s="227"/>
      <c r="AW408" s="30"/>
      <c r="AX408" s="267"/>
      <c r="AY408" s="267"/>
      <c r="AZ408" s="29"/>
      <c r="BA408" s="30"/>
      <c r="BB408" s="23" t="str" cm="1">
        <f t="array" ref="BB408">_xlfn.IFS(AW408="SIM",SUM(K408,P408,U408,Z408,AE408,AJ408,AO408,AT408,AX408,AY408),F408&lt;&gt;"",SUM(K408,P408,U408,Z408,AE408,AJ408,,AO408,AT408),F408="","")</f>
        <v/>
      </c>
      <c r="BC408" s="211" t="str" cm="1">
        <f t="array" ref="BC408">_xlfn.IFS(E408="","",G408&lt;=E408,BB408*(1-0.03),G408&lt;(E408+8),BB408,AZ408="Boleto",BB408*(1+0.001)^DATEDIF(E408,G408,"D"),AZ408="Cheque",BB408,AZ408="Dinheiro","Alterar forma pgto")</f>
        <v/>
      </c>
      <c r="BD408" s="276" t="str" cm="1">
        <f t="array" ref="BD408">IF(F408=0," ",IF(BC408&lt;BB408,(_xlfn.IFS(AW408="SIM",SUM(L408,Q408,V408,AA408,AF408,AK408,AP408,AU408)+AX408/_xlfn.XLOOKUP(_xlfn.XLOOKUP($F408,Clientes!$B$4:$B$39,Clientes!$C$4:$C$39),Cadastros!$L$6:$L$12,Cadastros!$M$6:$M$12)+IF($F408="Bernardino Furlan",AY408/2751.92,IF($F408="Mauro José Salanti",AY408/2751.92,AY408/3356)),F408&lt;&gt;0,SUM(L408,Q408,V408,AA408,AF408,AK408,AP408,AU408)))*(1-0.03),_xlfn.IFS(AW408="SIM",SUM(L408,Q408,V408,AA408,AF408,AK408,AP408,AU408)+AX408/_xlfn.XLOOKUP(_xlfn.XLOOKUP($F408,Clientes!$B$4:$B$39,Clientes!$C$4:$C$39),Cadastros!$L$6:$L$12,Cadastros!$M$6:$M$12)+IF($F408="Bernardino Furlan",AY408/2751.92,IF($F408="Mauro José Salanti",AY408/2751.92,AY408/3356)),F408&lt;&gt;0,SUM(L408,Q408,V408,AA408,AF408,AK408,AP408,AU408))))</f>
        <v xml:space="preserve"> </v>
      </c>
      <c r="BE408" s="120"/>
      <c r="BF408" s="120"/>
      <c r="BG408" s="120"/>
    </row>
    <row r="409" spans="1:59" s="3" customFormat="1" x14ac:dyDescent="0.3">
      <c r="A409" s="15" t="str">
        <f t="shared" si="78"/>
        <v/>
      </c>
      <c r="B409" s="25"/>
      <c r="C409" s="26"/>
      <c r="D409" s="279"/>
      <c r="E409" s="27"/>
      <c r="F409" s="28"/>
      <c r="G409" s="27"/>
      <c r="H409" s="28"/>
      <c r="I409" s="28"/>
      <c r="J409" s="255" t="str">
        <f>IF(H409="","",(_xlfn.XLOOKUP(H409,Cadastros!$D$6:$D$90,Cadastros!$E$6:$E$90))*(1-_xlfn.XLOOKUP(_xlfn.XLOOKUP($F409,Clientes!$B$4:$B$39,Clientes!$C$4:$C$39),Cadastros!$L$6:$L$12,Cadastros!$N$6:$N$12)))</f>
        <v/>
      </c>
      <c r="K409" s="168" t="str">
        <f t="shared" si="79"/>
        <v/>
      </c>
      <c r="L409" s="168" t="str">
        <f>IFERROR(K409/_xlfn.XLOOKUP(_xlfn.XLOOKUP($F409,Clientes!$B$4:$B$39,Clientes!$C$4:$C$39),Cadastros!$L$6:$L$12,Cadastros!$M$6:$M$12)," ")</f>
        <v xml:space="preserve"> </v>
      </c>
      <c r="M409" s="28"/>
      <c r="N409" s="28"/>
      <c r="O409" s="255" t="str">
        <f>IF(M409="","",(_xlfn.XLOOKUP(M409,Cadastros!$D$6:$D$90,Cadastros!$E$6:$E$90))*(1-_xlfn.XLOOKUP(_xlfn.XLOOKUP($F409,Clientes!$B$4:$B$39,Clientes!$C$4:$C$39),Cadastros!$L$6:$L$12,Cadastros!$N$6:$N$12)))</f>
        <v/>
      </c>
      <c r="P409" s="168" t="str">
        <f t="shared" si="80"/>
        <v/>
      </c>
      <c r="Q409" s="168" t="str">
        <f>IFERROR(P409/_xlfn.XLOOKUP(_xlfn.XLOOKUP($F409,Clientes!$B$4:$B$39,Clientes!$C$4:$C$39),Cadastros!$L$6:$L$12,Cadastros!$M$6:$M$12)," ")</f>
        <v xml:space="preserve"> </v>
      </c>
      <c r="R409" s="28"/>
      <c r="S409" s="28"/>
      <c r="T409" s="255" t="str">
        <f>IF(R409="","",(_xlfn.XLOOKUP(R409,Cadastros!$D$6:$D$90,Cadastros!$E$6:$E$90))*(1-_xlfn.XLOOKUP(_xlfn.XLOOKUP($F409,Clientes!$B$4:$B$39,Clientes!$C$4:$C$39),Cadastros!$L$6:$L$12,Cadastros!$N$6:$N$12)))</f>
        <v/>
      </c>
      <c r="U409" s="168" t="str">
        <f t="shared" si="81"/>
        <v/>
      </c>
      <c r="V409" s="168" t="str">
        <f>IFERROR(U409/_xlfn.XLOOKUP(_xlfn.XLOOKUP($F409,Clientes!$B$4:$B$39,Clientes!$C$4:$C$39),Cadastros!$L$6:$L$12,Cadastros!$M$6:$M$12)," ")</f>
        <v xml:space="preserve"> </v>
      </c>
      <c r="W409" s="28"/>
      <c r="X409" s="28"/>
      <c r="Y409" s="255" t="str">
        <f>IF(W409="","",(_xlfn.XLOOKUP(W409,Cadastros!$D$6:$D$90,Cadastros!$E$6:$E$90))*(1-_xlfn.XLOOKUP(_xlfn.XLOOKUP($F409,Clientes!$B$4:$B$39,Clientes!$C$4:$C$39),Cadastros!$L$6:$L$12,Cadastros!$N$6:$N$12)))</f>
        <v/>
      </c>
      <c r="Z409" s="168" t="str">
        <f t="shared" si="82"/>
        <v/>
      </c>
      <c r="AA409" s="168" t="str">
        <f>IFERROR(Z409/_xlfn.XLOOKUP(_xlfn.XLOOKUP($F409,Clientes!$B$4:$B$39,Clientes!$C$4:$C$39),Cadastros!$L$6:$L$12,Cadastros!$M$6:$M$12)," ")</f>
        <v xml:space="preserve"> </v>
      </c>
      <c r="AB409" s="28"/>
      <c r="AC409" s="28"/>
      <c r="AD409" s="20" t="str">
        <f>IF(AB409="","",IF($F409="Bernardino Furlan",_xlfn.XLOOKUP(AB409,Cadastros!$G$6:$G$90,Cadastros!$H$6:$H$90)*(1-0.18),IF($F409="Mauro José Salanti",_xlfn.XLOOKUP(AB409,Cadastros!$G$6:$G$90,Cadastros!$H$6:$H$90)*(1-0.18),_xlfn.XLOOKUP(AB409,Cadastros!$G$6:$G$90,Cadastros!$H$6:$H$90))))</f>
        <v/>
      </c>
      <c r="AE409" s="168" t="str">
        <f t="shared" si="83"/>
        <v/>
      </c>
      <c r="AF409" s="168" t="str">
        <f t="shared" si="84"/>
        <v/>
      </c>
      <c r="AG409" s="28"/>
      <c r="AH409" s="28"/>
      <c r="AI409" s="20" t="str">
        <f>IF(AG409="","",IF($F409="Bernardino Furlan",_xlfn.XLOOKUP(AG409,Cadastros!$G$6:$G$90,Cadastros!$H$6:$H$90)*(1-0.18),IF($F409="Mauro José Salanti",_xlfn.XLOOKUP(AG409,Cadastros!$G$6:$G$90,Cadastros!$H$6:$H$90)*(1-0.18),_xlfn.XLOOKUP(AG409,Cadastros!$G$6:$G$90,Cadastros!$H$6:$H$90))))</f>
        <v/>
      </c>
      <c r="AJ409" s="168" t="str">
        <f t="shared" si="85"/>
        <v/>
      </c>
      <c r="AK409" s="168" t="str">
        <f t="shared" si="86"/>
        <v/>
      </c>
      <c r="AL409" s="28"/>
      <c r="AM409" s="28"/>
      <c r="AN409" s="20" t="str">
        <f>IF(AL409="","",IF($F409="Bernardino Furlan",_xlfn.XLOOKUP(AL409,Cadastros!$G$6:$G$90,Cadastros!$H$6:$H$90)*(1-0.18),IF($F409="Mauro José Salanti",_xlfn.XLOOKUP(AL409,Cadastros!$G$6:$G$90,Cadastros!$H$6:$H$90)*(1-0.18),_xlfn.XLOOKUP(AL409,Cadastros!$G$6:$G$90,Cadastros!$H$6:$H$90))))</f>
        <v/>
      </c>
      <c r="AO409" s="168" t="str">
        <f t="shared" si="87"/>
        <v/>
      </c>
      <c r="AP409" s="168" t="str">
        <f t="shared" si="88"/>
        <v/>
      </c>
      <c r="AQ409" s="28"/>
      <c r="AR409" s="28"/>
      <c r="AS409" s="20" t="str">
        <f>IF(AQ409="","",IF($F409="Bernardino Furlan",_xlfn.XLOOKUP(AQ409,Cadastros!$G$6:$G$90,Cadastros!$H$6:$H$90)*(1-0.18),IF($F409="Mauro José Salanti",_xlfn.XLOOKUP(AQ409,Cadastros!$G$6:$G$90,Cadastros!$H$6:$H$90)*(1-0.18),_xlfn.XLOOKUP(AQ409,Cadastros!$G$6:$G$90,Cadastros!$H$6:$H$90))))</f>
        <v/>
      </c>
      <c r="AT409" s="168" t="str">
        <f t="shared" si="89"/>
        <v/>
      </c>
      <c r="AU409" s="168" t="str">
        <f t="shared" si="90"/>
        <v/>
      </c>
      <c r="AV409" s="227"/>
      <c r="AW409" s="30"/>
      <c r="AX409" s="267"/>
      <c r="AY409" s="267"/>
      <c r="AZ409" s="29"/>
      <c r="BA409" s="30"/>
      <c r="BB409" s="23" t="str" cm="1">
        <f t="array" ref="BB409">_xlfn.IFS(AW409="SIM",SUM(K409,P409,U409,Z409,AE409,AJ409,AO409,AT409,AX409,AY409),F409&lt;&gt;"",SUM(K409,P409,U409,Z409,AE409,AJ409,,AO409,AT409),F409="","")</f>
        <v/>
      </c>
      <c r="BC409" s="211" t="str" cm="1">
        <f t="array" ref="BC409">_xlfn.IFS(E409="","",G409&lt;=E409,BB409*(1-0.03),G409&lt;(E409+8),BB409,AZ409="Boleto",BB409*(1+0.001)^DATEDIF(E409,G409,"D"),AZ409="Cheque",BB409,AZ409="Dinheiro","Alterar forma pgto")</f>
        <v/>
      </c>
      <c r="BD409" s="276" t="str" cm="1">
        <f t="array" ref="BD409">IF(F409=0," ",IF(BC409&lt;BB409,(_xlfn.IFS(AW409="SIM",SUM(L409,Q409,V409,AA409,AF409,AK409,AP409,AU409)+AX409/_xlfn.XLOOKUP(_xlfn.XLOOKUP($F409,Clientes!$B$4:$B$39,Clientes!$C$4:$C$39),Cadastros!$L$6:$L$12,Cadastros!$M$6:$M$12)+IF($F409="Bernardino Furlan",AY409/2751.92,IF($F409="Mauro José Salanti",AY409/2751.92,AY409/3356)),F409&lt;&gt;0,SUM(L409,Q409,V409,AA409,AF409,AK409,AP409,AU409)))*(1-0.03),_xlfn.IFS(AW409="SIM",SUM(L409,Q409,V409,AA409,AF409,AK409,AP409,AU409)+AX409/_xlfn.XLOOKUP(_xlfn.XLOOKUP($F409,Clientes!$B$4:$B$39,Clientes!$C$4:$C$39),Cadastros!$L$6:$L$12,Cadastros!$M$6:$M$12)+IF($F409="Bernardino Furlan",AY409/2751.92,IF($F409="Mauro José Salanti",AY409/2751.92,AY409/3356)),F409&lt;&gt;0,SUM(L409,Q409,V409,AA409,AF409,AK409,AP409,AU409))))</f>
        <v xml:space="preserve"> </v>
      </c>
      <c r="BE409" s="120"/>
      <c r="BF409" s="120"/>
      <c r="BG409" s="120"/>
    </row>
    <row r="410" spans="1:59" s="3" customFormat="1" x14ac:dyDescent="0.3">
      <c r="A410" s="15" t="str">
        <f t="shared" si="78"/>
        <v/>
      </c>
      <c r="B410" s="25"/>
      <c r="C410" s="26"/>
      <c r="D410" s="279"/>
      <c r="E410" s="27"/>
      <c r="F410" s="28"/>
      <c r="G410" s="27"/>
      <c r="H410" s="28"/>
      <c r="I410" s="28"/>
      <c r="J410" s="255" t="str">
        <f>IF(H410="","",(_xlfn.XLOOKUP(H410,Cadastros!$D$6:$D$90,Cadastros!$E$6:$E$90))*(1-_xlfn.XLOOKUP(_xlfn.XLOOKUP($F410,Clientes!$B$4:$B$39,Clientes!$C$4:$C$39),Cadastros!$L$6:$L$12,Cadastros!$N$6:$N$12)))</f>
        <v/>
      </c>
      <c r="K410" s="168" t="str">
        <f t="shared" si="79"/>
        <v/>
      </c>
      <c r="L410" s="168" t="str">
        <f>IFERROR(K410/_xlfn.XLOOKUP(_xlfn.XLOOKUP($F410,Clientes!$B$4:$B$39,Clientes!$C$4:$C$39),Cadastros!$L$6:$L$12,Cadastros!$M$6:$M$12)," ")</f>
        <v xml:space="preserve"> </v>
      </c>
      <c r="M410" s="28"/>
      <c r="N410" s="28"/>
      <c r="O410" s="255" t="str">
        <f>IF(M410="","",(_xlfn.XLOOKUP(M410,Cadastros!$D$6:$D$90,Cadastros!$E$6:$E$90))*(1-_xlfn.XLOOKUP(_xlfn.XLOOKUP($F410,Clientes!$B$4:$B$39,Clientes!$C$4:$C$39),Cadastros!$L$6:$L$12,Cadastros!$N$6:$N$12)))</f>
        <v/>
      </c>
      <c r="P410" s="168" t="str">
        <f t="shared" si="80"/>
        <v/>
      </c>
      <c r="Q410" s="168" t="str">
        <f>IFERROR(P410/_xlfn.XLOOKUP(_xlfn.XLOOKUP($F410,Clientes!$B$4:$B$39,Clientes!$C$4:$C$39),Cadastros!$L$6:$L$12,Cadastros!$M$6:$M$12)," ")</f>
        <v xml:space="preserve"> </v>
      </c>
      <c r="R410" s="28"/>
      <c r="S410" s="28"/>
      <c r="T410" s="255" t="str">
        <f>IF(R410="","",(_xlfn.XLOOKUP(R410,Cadastros!$D$6:$D$90,Cadastros!$E$6:$E$90))*(1-_xlfn.XLOOKUP(_xlfn.XLOOKUP($F410,Clientes!$B$4:$B$39,Clientes!$C$4:$C$39),Cadastros!$L$6:$L$12,Cadastros!$N$6:$N$12)))</f>
        <v/>
      </c>
      <c r="U410" s="168" t="str">
        <f t="shared" si="81"/>
        <v/>
      </c>
      <c r="V410" s="168" t="str">
        <f>IFERROR(U410/_xlfn.XLOOKUP(_xlfn.XLOOKUP($F410,Clientes!$B$4:$B$39,Clientes!$C$4:$C$39),Cadastros!$L$6:$L$12,Cadastros!$M$6:$M$12)," ")</f>
        <v xml:space="preserve"> </v>
      </c>
      <c r="W410" s="28"/>
      <c r="X410" s="28"/>
      <c r="Y410" s="255" t="str">
        <f>IF(W410="","",(_xlfn.XLOOKUP(W410,Cadastros!$D$6:$D$90,Cadastros!$E$6:$E$90))*(1-_xlfn.XLOOKUP(_xlfn.XLOOKUP($F410,Clientes!$B$4:$B$39,Clientes!$C$4:$C$39),Cadastros!$L$6:$L$12,Cadastros!$N$6:$N$12)))</f>
        <v/>
      </c>
      <c r="Z410" s="168" t="str">
        <f t="shared" si="82"/>
        <v/>
      </c>
      <c r="AA410" s="168" t="str">
        <f>IFERROR(Z410/_xlfn.XLOOKUP(_xlfn.XLOOKUP($F410,Clientes!$B$4:$B$39,Clientes!$C$4:$C$39),Cadastros!$L$6:$L$12,Cadastros!$M$6:$M$12)," ")</f>
        <v xml:space="preserve"> </v>
      </c>
      <c r="AB410" s="28"/>
      <c r="AC410" s="28"/>
      <c r="AD410" s="20" t="str">
        <f>IF(AB410="","",IF($F410="Bernardino Furlan",_xlfn.XLOOKUP(AB410,Cadastros!$G$6:$G$90,Cadastros!$H$6:$H$90)*(1-0.18),IF($F410="Mauro José Salanti",_xlfn.XLOOKUP(AB410,Cadastros!$G$6:$G$90,Cadastros!$H$6:$H$90)*(1-0.18),_xlfn.XLOOKUP(AB410,Cadastros!$G$6:$G$90,Cadastros!$H$6:$H$90))))</f>
        <v/>
      </c>
      <c r="AE410" s="168" t="str">
        <f t="shared" si="83"/>
        <v/>
      </c>
      <c r="AF410" s="168" t="str">
        <f t="shared" si="84"/>
        <v/>
      </c>
      <c r="AG410" s="28"/>
      <c r="AH410" s="28"/>
      <c r="AI410" s="20" t="str">
        <f>IF(AG410="","",IF($F410="Bernardino Furlan",_xlfn.XLOOKUP(AG410,Cadastros!$G$6:$G$90,Cadastros!$H$6:$H$90)*(1-0.18),IF($F410="Mauro José Salanti",_xlfn.XLOOKUP(AG410,Cadastros!$G$6:$G$90,Cadastros!$H$6:$H$90)*(1-0.18),_xlfn.XLOOKUP(AG410,Cadastros!$G$6:$G$90,Cadastros!$H$6:$H$90))))</f>
        <v/>
      </c>
      <c r="AJ410" s="168" t="str">
        <f t="shared" si="85"/>
        <v/>
      </c>
      <c r="AK410" s="168" t="str">
        <f t="shared" si="86"/>
        <v/>
      </c>
      <c r="AL410" s="28"/>
      <c r="AM410" s="28"/>
      <c r="AN410" s="20" t="str">
        <f>IF(AL410="","",IF($F410="Bernardino Furlan",_xlfn.XLOOKUP(AL410,Cadastros!$G$6:$G$90,Cadastros!$H$6:$H$90)*(1-0.18),IF($F410="Mauro José Salanti",_xlfn.XLOOKUP(AL410,Cadastros!$G$6:$G$90,Cadastros!$H$6:$H$90)*(1-0.18),_xlfn.XLOOKUP(AL410,Cadastros!$G$6:$G$90,Cadastros!$H$6:$H$90))))</f>
        <v/>
      </c>
      <c r="AO410" s="168" t="str">
        <f t="shared" si="87"/>
        <v/>
      </c>
      <c r="AP410" s="168" t="str">
        <f t="shared" si="88"/>
        <v/>
      </c>
      <c r="AQ410" s="28"/>
      <c r="AR410" s="28"/>
      <c r="AS410" s="20" t="str">
        <f>IF(AQ410="","",IF($F410="Bernardino Furlan",_xlfn.XLOOKUP(AQ410,Cadastros!$G$6:$G$90,Cadastros!$H$6:$H$90)*(1-0.18),IF($F410="Mauro José Salanti",_xlfn.XLOOKUP(AQ410,Cadastros!$G$6:$G$90,Cadastros!$H$6:$H$90)*(1-0.18),_xlfn.XLOOKUP(AQ410,Cadastros!$G$6:$G$90,Cadastros!$H$6:$H$90))))</f>
        <v/>
      </c>
      <c r="AT410" s="168" t="str">
        <f t="shared" si="89"/>
        <v/>
      </c>
      <c r="AU410" s="168" t="str">
        <f t="shared" si="90"/>
        <v/>
      </c>
      <c r="AV410" s="227"/>
      <c r="AW410" s="30"/>
      <c r="AX410" s="267"/>
      <c r="AY410" s="267"/>
      <c r="AZ410" s="29"/>
      <c r="BA410" s="30"/>
      <c r="BB410" s="23" t="str" cm="1">
        <f t="array" ref="BB410">_xlfn.IFS(AW410="SIM",SUM(K410,P410,U410,Z410,AE410,AJ410,AO410,AT410,AX410,AY410),F410&lt;&gt;"",SUM(K410,P410,U410,Z410,AE410,AJ410,,AO410,AT410),F410="","")</f>
        <v/>
      </c>
      <c r="BC410" s="211" t="str" cm="1">
        <f t="array" ref="BC410">_xlfn.IFS(E410="","",G410&lt;=E410,BB410*(1-0.03),G410&lt;(E410+8),BB410,AZ410="Boleto",BB410*(1+0.001)^DATEDIF(E410,G410,"D"),AZ410="Cheque",BB410,AZ410="Dinheiro","Alterar forma pgto")</f>
        <v/>
      </c>
      <c r="BD410" s="276" t="str" cm="1">
        <f t="array" ref="BD410">IF(F410=0," ",IF(BC410&lt;BB410,(_xlfn.IFS(AW410="SIM",SUM(L410,Q410,V410,AA410,AF410,AK410,AP410,AU410)+AX410/_xlfn.XLOOKUP(_xlfn.XLOOKUP($F410,Clientes!$B$4:$B$39,Clientes!$C$4:$C$39),Cadastros!$L$6:$L$12,Cadastros!$M$6:$M$12)+IF($F410="Bernardino Furlan",AY410/2751.92,IF($F410="Mauro José Salanti",AY410/2751.92,AY410/3356)),F410&lt;&gt;0,SUM(L410,Q410,V410,AA410,AF410,AK410,AP410,AU410)))*(1-0.03),_xlfn.IFS(AW410="SIM",SUM(L410,Q410,V410,AA410,AF410,AK410,AP410,AU410)+AX410/_xlfn.XLOOKUP(_xlfn.XLOOKUP($F410,Clientes!$B$4:$B$39,Clientes!$C$4:$C$39),Cadastros!$L$6:$L$12,Cadastros!$M$6:$M$12)+IF($F410="Bernardino Furlan",AY410/2751.92,IF($F410="Mauro José Salanti",AY410/2751.92,AY410/3356)),F410&lt;&gt;0,SUM(L410,Q410,V410,AA410,AF410,AK410,AP410,AU410))))</f>
        <v xml:space="preserve"> </v>
      </c>
      <c r="BE410" s="120"/>
      <c r="BF410" s="120"/>
      <c r="BG410" s="120"/>
    </row>
    <row r="411" spans="1:59" s="3" customFormat="1" x14ac:dyDescent="0.3">
      <c r="A411" s="15" t="str">
        <f t="shared" si="78"/>
        <v/>
      </c>
      <c r="B411" s="25"/>
      <c r="C411" s="26"/>
      <c r="D411" s="279"/>
      <c r="E411" s="27"/>
      <c r="F411" s="28"/>
      <c r="G411" s="27"/>
      <c r="H411" s="28"/>
      <c r="I411" s="28"/>
      <c r="J411" s="255" t="str">
        <f>IF(H411="","",(_xlfn.XLOOKUP(H411,Cadastros!$D$6:$D$90,Cadastros!$E$6:$E$90))*(1-_xlfn.XLOOKUP(_xlfn.XLOOKUP($F411,Clientes!$B$4:$B$39,Clientes!$C$4:$C$39),Cadastros!$L$6:$L$12,Cadastros!$N$6:$N$12)))</f>
        <v/>
      </c>
      <c r="K411" s="168" t="str">
        <f t="shared" si="79"/>
        <v/>
      </c>
      <c r="L411" s="168" t="str">
        <f>IFERROR(K411/_xlfn.XLOOKUP(_xlfn.XLOOKUP($F411,Clientes!$B$4:$B$39,Clientes!$C$4:$C$39),Cadastros!$L$6:$L$12,Cadastros!$M$6:$M$12)," ")</f>
        <v xml:space="preserve"> </v>
      </c>
      <c r="M411" s="28"/>
      <c r="N411" s="28"/>
      <c r="O411" s="255" t="str">
        <f>IF(M411="","",(_xlfn.XLOOKUP(M411,Cadastros!$D$6:$D$90,Cadastros!$E$6:$E$90))*(1-_xlfn.XLOOKUP(_xlfn.XLOOKUP($F411,Clientes!$B$4:$B$39,Clientes!$C$4:$C$39),Cadastros!$L$6:$L$12,Cadastros!$N$6:$N$12)))</f>
        <v/>
      </c>
      <c r="P411" s="168" t="str">
        <f t="shared" si="80"/>
        <v/>
      </c>
      <c r="Q411" s="168" t="str">
        <f>IFERROR(P411/_xlfn.XLOOKUP(_xlfn.XLOOKUP($F411,Clientes!$B$4:$B$39,Clientes!$C$4:$C$39),Cadastros!$L$6:$L$12,Cadastros!$M$6:$M$12)," ")</f>
        <v xml:space="preserve"> </v>
      </c>
      <c r="R411" s="28"/>
      <c r="S411" s="28"/>
      <c r="T411" s="255" t="str">
        <f>IF(R411="","",(_xlfn.XLOOKUP(R411,Cadastros!$D$6:$D$90,Cadastros!$E$6:$E$90))*(1-_xlfn.XLOOKUP(_xlfn.XLOOKUP($F411,Clientes!$B$4:$B$39,Clientes!$C$4:$C$39),Cadastros!$L$6:$L$12,Cadastros!$N$6:$N$12)))</f>
        <v/>
      </c>
      <c r="U411" s="168" t="str">
        <f t="shared" si="81"/>
        <v/>
      </c>
      <c r="V411" s="168" t="str">
        <f>IFERROR(U411/_xlfn.XLOOKUP(_xlfn.XLOOKUP($F411,Clientes!$B$4:$B$39,Clientes!$C$4:$C$39),Cadastros!$L$6:$L$12,Cadastros!$M$6:$M$12)," ")</f>
        <v xml:space="preserve"> </v>
      </c>
      <c r="W411" s="28"/>
      <c r="X411" s="28"/>
      <c r="Y411" s="255" t="str">
        <f>IF(W411="","",(_xlfn.XLOOKUP(W411,Cadastros!$D$6:$D$90,Cadastros!$E$6:$E$90))*(1-_xlfn.XLOOKUP(_xlfn.XLOOKUP($F411,Clientes!$B$4:$B$39,Clientes!$C$4:$C$39),Cadastros!$L$6:$L$12,Cadastros!$N$6:$N$12)))</f>
        <v/>
      </c>
      <c r="Z411" s="168" t="str">
        <f t="shared" si="82"/>
        <v/>
      </c>
      <c r="AA411" s="168" t="str">
        <f>IFERROR(Z411/_xlfn.XLOOKUP(_xlfn.XLOOKUP($F411,Clientes!$B$4:$B$39,Clientes!$C$4:$C$39),Cadastros!$L$6:$L$12,Cadastros!$M$6:$M$12)," ")</f>
        <v xml:space="preserve"> </v>
      </c>
      <c r="AB411" s="28"/>
      <c r="AC411" s="28"/>
      <c r="AD411" s="20" t="str">
        <f>IF(AB411="","",IF($F411="Bernardino Furlan",_xlfn.XLOOKUP(AB411,Cadastros!$G$6:$G$90,Cadastros!$H$6:$H$90)*(1-0.18),IF($F411="Mauro José Salanti",_xlfn.XLOOKUP(AB411,Cadastros!$G$6:$G$90,Cadastros!$H$6:$H$90)*(1-0.18),_xlfn.XLOOKUP(AB411,Cadastros!$G$6:$G$90,Cadastros!$H$6:$H$90))))</f>
        <v/>
      </c>
      <c r="AE411" s="168" t="str">
        <f t="shared" si="83"/>
        <v/>
      </c>
      <c r="AF411" s="168" t="str">
        <f t="shared" si="84"/>
        <v/>
      </c>
      <c r="AG411" s="28"/>
      <c r="AH411" s="28"/>
      <c r="AI411" s="20" t="str">
        <f>IF(AG411="","",IF($F411="Bernardino Furlan",_xlfn.XLOOKUP(AG411,Cadastros!$G$6:$G$90,Cadastros!$H$6:$H$90)*(1-0.18),IF($F411="Mauro José Salanti",_xlfn.XLOOKUP(AG411,Cadastros!$G$6:$G$90,Cadastros!$H$6:$H$90)*(1-0.18),_xlfn.XLOOKUP(AG411,Cadastros!$G$6:$G$90,Cadastros!$H$6:$H$90))))</f>
        <v/>
      </c>
      <c r="AJ411" s="168" t="str">
        <f t="shared" si="85"/>
        <v/>
      </c>
      <c r="AK411" s="168" t="str">
        <f t="shared" si="86"/>
        <v/>
      </c>
      <c r="AL411" s="28"/>
      <c r="AM411" s="28"/>
      <c r="AN411" s="20" t="str">
        <f>IF(AL411="","",IF($F411="Bernardino Furlan",_xlfn.XLOOKUP(AL411,Cadastros!$G$6:$G$90,Cadastros!$H$6:$H$90)*(1-0.18),IF($F411="Mauro José Salanti",_xlfn.XLOOKUP(AL411,Cadastros!$G$6:$G$90,Cadastros!$H$6:$H$90)*(1-0.18),_xlfn.XLOOKUP(AL411,Cadastros!$G$6:$G$90,Cadastros!$H$6:$H$90))))</f>
        <v/>
      </c>
      <c r="AO411" s="168" t="str">
        <f t="shared" si="87"/>
        <v/>
      </c>
      <c r="AP411" s="168" t="str">
        <f t="shared" si="88"/>
        <v/>
      </c>
      <c r="AQ411" s="28"/>
      <c r="AR411" s="28"/>
      <c r="AS411" s="20" t="str">
        <f>IF(AQ411="","",IF($F411="Bernardino Furlan",_xlfn.XLOOKUP(AQ411,Cadastros!$G$6:$G$90,Cadastros!$H$6:$H$90)*(1-0.18),IF($F411="Mauro José Salanti",_xlfn.XLOOKUP(AQ411,Cadastros!$G$6:$G$90,Cadastros!$H$6:$H$90)*(1-0.18),_xlfn.XLOOKUP(AQ411,Cadastros!$G$6:$G$90,Cadastros!$H$6:$H$90))))</f>
        <v/>
      </c>
      <c r="AT411" s="168" t="str">
        <f t="shared" si="89"/>
        <v/>
      </c>
      <c r="AU411" s="168" t="str">
        <f t="shared" si="90"/>
        <v/>
      </c>
      <c r="AV411" s="227"/>
      <c r="AW411" s="30"/>
      <c r="AX411" s="267"/>
      <c r="AY411" s="267"/>
      <c r="AZ411" s="29"/>
      <c r="BA411" s="30"/>
      <c r="BB411" s="23" t="str" cm="1">
        <f t="array" ref="BB411">_xlfn.IFS(AW411="SIM",SUM(K411,P411,U411,Z411,AE411,AJ411,AO411,AT411,AX411,AY411),F411&lt;&gt;"",SUM(K411,P411,U411,Z411,AE411,AJ411,,AO411,AT411),F411="","")</f>
        <v/>
      </c>
      <c r="BC411" s="211" t="str" cm="1">
        <f t="array" ref="BC411">_xlfn.IFS(E411="","",G411&lt;=E411,BB411*(1-0.03),G411&lt;(E411+8),BB411,AZ411="Boleto",BB411*(1+0.001)^DATEDIF(E411,G411,"D"),AZ411="Cheque",BB411,AZ411="Dinheiro","Alterar forma pgto")</f>
        <v/>
      </c>
      <c r="BD411" s="276" t="str" cm="1">
        <f t="array" ref="BD411">IF(F411=0," ",IF(BC411&lt;BB411,(_xlfn.IFS(AW411="SIM",SUM(L411,Q411,V411,AA411,AF411,AK411,AP411,AU411)+AX411/_xlfn.XLOOKUP(_xlfn.XLOOKUP($F411,Clientes!$B$4:$B$39,Clientes!$C$4:$C$39),Cadastros!$L$6:$L$12,Cadastros!$M$6:$M$12)+IF($F411="Bernardino Furlan",AY411/2751.92,IF($F411="Mauro José Salanti",AY411/2751.92,AY411/3356)),F411&lt;&gt;0,SUM(L411,Q411,V411,AA411,AF411,AK411,AP411,AU411)))*(1-0.03),_xlfn.IFS(AW411="SIM",SUM(L411,Q411,V411,AA411,AF411,AK411,AP411,AU411)+AX411/_xlfn.XLOOKUP(_xlfn.XLOOKUP($F411,Clientes!$B$4:$B$39,Clientes!$C$4:$C$39),Cadastros!$L$6:$L$12,Cadastros!$M$6:$M$12)+IF($F411="Bernardino Furlan",AY411/2751.92,IF($F411="Mauro José Salanti",AY411/2751.92,AY411/3356)),F411&lt;&gt;0,SUM(L411,Q411,V411,AA411,AF411,AK411,AP411,AU411))))</f>
        <v xml:space="preserve"> </v>
      </c>
      <c r="BE411" s="120"/>
      <c r="BF411" s="120"/>
      <c r="BG411" s="120"/>
    </row>
    <row r="412" spans="1:59" s="3" customFormat="1" x14ac:dyDescent="0.3">
      <c r="A412" s="15" t="str">
        <f t="shared" si="78"/>
        <v/>
      </c>
      <c r="B412" s="34"/>
      <c r="C412" s="35"/>
      <c r="D412" s="280"/>
      <c r="E412" s="36"/>
      <c r="F412" s="37"/>
      <c r="G412" s="36"/>
      <c r="H412" s="37"/>
      <c r="I412" s="37"/>
      <c r="J412" s="255" t="str">
        <f>IF(H412="","",(_xlfn.XLOOKUP(H412,Cadastros!$D$6:$D$90,Cadastros!$E$6:$E$90))*(1-_xlfn.XLOOKUP(_xlfn.XLOOKUP($F412,Clientes!$B$4:$B$39,Clientes!$C$4:$C$39),Cadastros!$L$6:$L$12,Cadastros!$N$6:$N$12)))</f>
        <v/>
      </c>
      <c r="K412" s="168" t="str">
        <f t="shared" si="79"/>
        <v/>
      </c>
      <c r="L412" s="168" t="str">
        <f>IFERROR(K412/_xlfn.XLOOKUP(_xlfn.XLOOKUP($F412,Clientes!$B$4:$B$39,Clientes!$C$4:$C$39),Cadastros!$L$6:$L$12,Cadastros!$M$6:$M$12)," ")</f>
        <v xml:space="preserve"> </v>
      </c>
      <c r="M412" s="37"/>
      <c r="N412" s="37"/>
      <c r="O412" s="255" t="str">
        <f>IF(M412="","",(_xlfn.XLOOKUP(M412,Cadastros!$D$6:$D$90,Cadastros!$E$6:$E$90))*(1-_xlfn.XLOOKUP(_xlfn.XLOOKUP($F412,Clientes!$B$4:$B$39,Clientes!$C$4:$C$39),Cadastros!$L$6:$L$12,Cadastros!$N$6:$N$12)))</f>
        <v/>
      </c>
      <c r="P412" s="168" t="str">
        <f t="shared" si="80"/>
        <v/>
      </c>
      <c r="Q412" s="168" t="str">
        <f>IFERROR(P412/_xlfn.XLOOKUP(_xlfn.XLOOKUP($F412,Clientes!$B$4:$B$39,Clientes!$C$4:$C$39),Cadastros!$L$6:$L$12,Cadastros!$M$6:$M$12)," ")</f>
        <v xml:space="preserve"> </v>
      </c>
      <c r="R412" s="37"/>
      <c r="S412" s="37"/>
      <c r="T412" s="255" t="str">
        <f>IF(R412="","",(_xlfn.XLOOKUP(R412,Cadastros!$D$6:$D$90,Cadastros!$E$6:$E$90))*(1-_xlfn.XLOOKUP(_xlfn.XLOOKUP($F412,Clientes!$B$4:$B$39,Clientes!$C$4:$C$39),Cadastros!$L$6:$L$12,Cadastros!$N$6:$N$12)))</f>
        <v/>
      </c>
      <c r="U412" s="168" t="str">
        <f t="shared" si="81"/>
        <v/>
      </c>
      <c r="V412" s="168" t="str">
        <f>IFERROR(U412/_xlfn.XLOOKUP(_xlfn.XLOOKUP($F412,Clientes!$B$4:$B$39,Clientes!$C$4:$C$39),Cadastros!$L$6:$L$12,Cadastros!$M$6:$M$12)," ")</f>
        <v xml:space="preserve"> </v>
      </c>
      <c r="W412" s="37"/>
      <c r="X412" s="37"/>
      <c r="Y412" s="255" t="str">
        <f>IF(W412="","",(_xlfn.XLOOKUP(W412,Cadastros!$D$6:$D$90,Cadastros!$E$6:$E$90))*(1-_xlfn.XLOOKUP(_xlfn.XLOOKUP($F412,Clientes!$B$4:$B$39,Clientes!$C$4:$C$39),Cadastros!$L$6:$L$12,Cadastros!$N$6:$N$12)))</f>
        <v/>
      </c>
      <c r="Z412" s="168" t="str">
        <f t="shared" si="82"/>
        <v/>
      </c>
      <c r="AA412" s="168" t="str">
        <f>IFERROR(Z412/_xlfn.XLOOKUP(_xlfn.XLOOKUP($F412,Clientes!$B$4:$B$39,Clientes!$C$4:$C$39),Cadastros!$L$6:$L$12,Cadastros!$M$6:$M$12)," ")</f>
        <v xml:space="preserve"> </v>
      </c>
      <c r="AB412" s="37"/>
      <c r="AC412" s="37"/>
      <c r="AD412" s="20" t="str">
        <f>IF(AB412="","",IF($F412="Bernardino Furlan",_xlfn.XLOOKUP(AB412,Cadastros!$G$6:$G$90,Cadastros!$H$6:$H$90)*(1-0.18),IF($F412="Mauro José Salanti",_xlfn.XLOOKUP(AB412,Cadastros!$G$6:$G$90,Cadastros!$H$6:$H$90)*(1-0.18),_xlfn.XLOOKUP(AB412,Cadastros!$G$6:$G$90,Cadastros!$H$6:$H$90))))</f>
        <v/>
      </c>
      <c r="AE412" s="168" t="str">
        <f t="shared" si="83"/>
        <v/>
      </c>
      <c r="AF412" s="168" t="str">
        <f t="shared" si="84"/>
        <v/>
      </c>
      <c r="AG412" s="37"/>
      <c r="AH412" s="37"/>
      <c r="AI412" s="20" t="str">
        <f>IF(AG412="","",IF($F412="Bernardino Furlan",_xlfn.XLOOKUP(AG412,Cadastros!$G$6:$G$90,Cadastros!$H$6:$H$90)*(1-0.18),IF($F412="Mauro José Salanti",_xlfn.XLOOKUP(AG412,Cadastros!$G$6:$G$90,Cadastros!$H$6:$H$90)*(1-0.18),_xlfn.XLOOKUP(AG412,Cadastros!$G$6:$G$90,Cadastros!$H$6:$H$90))))</f>
        <v/>
      </c>
      <c r="AJ412" s="168" t="str">
        <f t="shared" si="85"/>
        <v/>
      </c>
      <c r="AK412" s="168" t="str">
        <f t="shared" si="86"/>
        <v/>
      </c>
      <c r="AL412" s="37"/>
      <c r="AM412" s="37"/>
      <c r="AN412" s="20" t="str">
        <f>IF(AL412="","",IF($F412="Bernardino Furlan",_xlfn.XLOOKUP(AL412,Cadastros!$G$6:$G$90,Cadastros!$H$6:$H$90)*(1-0.18),IF($F412="Mauro José Salanti",_xlfn.XLOOKUP(AL412,Cadastros!$G$6:$G$90,Cadastros!$H$6:$H$90)*(1-0.18),_xlfn.XLOOKUP(AL412,Cadastros!$G$6:$G$90,Cadastros!$H$6:$H$90))))</f>
        <v/>
      </c>
      <c r="AO412" s="168" t="str">
        <f t="shared" si="87"/>
        <v/>
      </c>
      <c r="AP412" s="168" t="str">
        <f t="shared" si="88"/>
        <v/>
      </c>
      <c r="AQ412" s="37"/>
      <c r="AR412" s="37"/>
      <c r="AS412" s="20" t="str">
        <f>IF(AQ412="","",IF($F412="Bernardino Furlan",_xlfn.XLOOKUP(AQ412,Cadastros!$G$6:$G$90,Cadastros!$H$6:$H$90)*(1-0.18),IF($F412="Mauro José Salanti",_xlfn.XLOOKUP(AQ412,Cadastros!$G$6:$G$90,Cadastros!$H$6:$H$90)*(1-0.18),_xlfn.XLOOKUP(AQ412,Cadastros!$G$6:$G$90,Cadastros!$H$6:$H$90))))</f>
        <v/>
      </c>
      <c r="AT412" s="168" t="str">
        <f t="shared" si="89"/>
        <v/>
      </c>
      <c r="AU412" s="168" t="str">
        <f t="shared" si="90"/>
        <v/>
      </c>
      <c r="AV412" s="228"/>
      <c r="AW412" s="38"/>
      <c r="AX412" s="268"/>
      <c r="AY412" s="268"/>
      <c r="AZ412" s="33"/>
      <c r="BA412" s="38"/>
      <c r="BB412" s="23" t="str" cm="1">
        <f t="array" ref="BB412">_xlfn.IFS(AW412="SIM",SUM(K412,P412,U412,Z412,AE412,AJ412,AO412,AT412,AX412,AY412),F412&lt;&gt;"",SUM(K412,P412,U412,Z412,AE412,AJ412,,AO412,AT412),F412="","")</f>
        <v/>
      </c>
      <c r="BC412" s="211" t="str" cm="1">
        <f t="array" ref="BC412">_xlfn.IFS(E412="","",G412&lt;=E412,BB412*(1-0.03),G412&lt;(E412+8),BB412,AZ412="Boleto",BB412*(1+0.001)^DATEDIF(E412,G412,"D"),AZ412="Cheque",BB412,AZ412="Dinheiro","Alterar forma pgto")</f>
        <v/>
      </c>
      <c r="BD412" s="276" t="str" cm="1">
        <f t="array" ref="BD412">IF(F412=0," ",IF(BC412&lt;BB412,(_xlfn.IFS(AW412="SIM",SUM(L412,Q412,V412,AA412,AF412,AK412,AP412,AU412)+AX412/_xlfn.XLOOKUP(_xlfn.XLOOKUP($F412,Clientes!$B$4:$B$39,Clientes!$C$4:$C$39),Cadastros!$L$6:$L$12,Cadastros!$M$6:$M$12)+IF($F412="Bernardino Furlan",AY412/2751.92,IF($F412="Mauro José Salanti",AY412/2751.92,AY412/3356)),F412&lt;&gt;0,SUM(L412,Q412,V412,AA412,AF412,AK412,AP412,AU412)))*(1-0.03),_xlfn.IFS(AW412="SIM",SUM(L412,Q412,V412,AA412,AF412,AK412,AP412,AU412)+AX412/_xlfn.XLOOKUP(_xlfn.XLOOKUP($F412,Clientes!$B$4:$B$39,Clientes!$C$4:$C$39),Cadastros!$L$6:$L$12,Cadastros!$M$6:$M$12)+IF($F412="Bernardino Furlan",AY412/2751.92,IF($F412="Mauro José Salanti",AY412/2751.92,AY412/3356)),F412&lt;&gt;0,SUM(L412,Q412,V412,AA412,AF412,AK412,AP412,AU412))))</f>
        <v xml:space="preserve"> </v>
      </c>
      <c r="BE412" s="120"/>
      <c r="BF412" s="120"/>
      <c r="BG412" s="120"/>
    </row>
    <row r="413" spans="1:59" s="3" customFormat="1" x14ac:dyDescent="0.3">
      <c r="A413" s="15" t="str">
        <f t="shared" si="78"/>
        <v/>
      </c>
      <c r="B413" s="25"/>
      <c r="C413" s="45"/>
      <c r="D413" s="282"/>
      <c r="E413" s="46"/>
      <c r="F413" s="47"/>
      <c r="G413" s="46"/>
      <c r="H413" s="47"/>
      <c r="I413" s="47"/>
      <c r="J413" s="255" t="str">
        <f>IF(H413="","",(_xlfn.XLOOKUP(H413,Cadastros!$D$6:$D$90,Cadastros!$E$6:$E$90))*(1-_xlfn.XLOOKUP(_xlfn.XLOOKUP($F413,Clientes!$B$4:$B$39,Clientes!$C$4:$C$39),Cadastros!$L$6:$L$12,Cadastros!$N$6:$N$12)))</f>
        <v/>
      </c>
      <c r="K413" s="168" t="str">
        <f t="shared" si="79"/>
        <v/>
      </c>
      <c r="L413" s="168" t="str">
        <f>IFERROR(K413/_xlfn.XLOOKUP(_xlfn.XLOOKUP($F413,Clientes!$B$4:$B$39,Clientes!$C$4:$C$39),Cadastros!$L$6:$L$12,Cadastros!$M$6:$M$12)," ")</f>
        <v xml:space="preserve"> </v>
      </c>
      <c r="M413" s="47"/>
      <c r="N413" s="47"/>
      <c r="O413" s="255" t="str">
        <f>IF(M413="","",(_xlfn.XLOOKUP(M413,Cadastros!$D$6:$D$90,Cadastros!$E$6:$E$90))*(1-_xlfn.XLOOKUP(_xlfn.XLOOKUP($F413,Clientes!$B$4:$B$39,Clientes!$C$4:$C$39),Cadastros!$L$6:$L$12,Cadastros!$N$6:$N$12)))</f>
        <v/>
      </c>
      <c r="P413" s="168" t="str">
        <f t="shared" si="80"/>
        <v/>
      </c>
      <c r="Q413" s="168" t="str">
        <f>IFERROR(P413/_xlfn.XLOOKUP(_xlfn.XLOOKUP($F413,Clientes!$B$4:$B$39,Clientes!$C$4:$C$39),Cadastros!$L$6:$L$12,Cadastros!$M$6:$M$12)," ")</f>
        <v xml:space="preserve"> </v>
      </c>
      <c r="R413" s="47"/>
      <c r="S413" s="47"/>
      <c r="T413" s="255" t="str">
        <f>IF(R413="","",(_xlfn.XLOOKUP(R413,Cadastros!$D$6:$D$90,Cadastros!$E$6:$E$90))*(1-_xlfn.XLOOKUP(_xlfn.XLOOKUP($F413,Clientes!$B$4:$B$39,Clientes!$C$4:$C$39),Cadastros!$L$6:$L$12,Cadastros!$N$6:$N$12)))</f>
        <v/>
      </c>
      <c r="U413" s="168" t="str">
        <f t="shared" si="81"/>
        <v/>
      </c>
      <c r="V413" s="168" t="str">
        <f>IFERROR(U413/_xlfn.XLOOKUP(_xlfn.XLOOKUP($F413,Clientes!$B$4:$B$39,Clientes!$C$4:$C$39),Cadastros!$L$6:$L$12,Cadastros!$M$6:$M$12)," ")</f>
        <v xml:space="preserve"> </v>
      </c>
      <c r="W413" s="47"/>
      <c r="X413" s="47"/>
      <c r="Y413" s="255" t="str">
        <f>IF(W413="","",(_xlfn.XLOOKUP(W413,Cadastros!$D$6:$D$90,Cadastros!$E$6:$E$90))*(1-_xlfn.XLOOKUP(_xlfn.XLOOKUP($F413,Clientes!$B$4:$B$39,Clientes!$C$4:$C$39),Cadastros!$L$6:$L$12,Cadastros!$N$6:$N$12)))</f>
        <v/>
      </c>
      <c r="Z413" s="168" t="str">
        <f t="shared" si="82"/>
        <v/>
      </c>
      <c r="AA413" s="168" t="str">
        <f>IFERROR(Z413/_xlfn.XLOOKUP(_xlfn.XLOOKUP($F413,Clientes!$B$4:$B$39,Clientes!$C$4:$C$39),Cadastros!$L$6:$L$12,Cadastros!$M$6:$M$12)," ")</f>
        <v xml:space="preserve"> </v>
      </c>
      <c r="AB413" s="47"/>
      <c r="AC413" s="47"/>
      <c r="AD413" s="20" t="str">
        <f>IF(AB413="","",IF($F413="Bernardino Furlan",_xlfn.XLOOKUP(AB413,Cadastros!$G$6:$G$90,Cadastros!$H$6:$H$90)*(1-0.18),IF($F413="Mauro José Salanti",_xlfn.XLOOKUP(AB413,Cadastros!$G$6:$G$90,Cadastros!$H$6:$H$90)*(1-0.18),_xlfn.XLOOKUP(AB413,Cadastros!$G$6:$G$90,Cadastros!$H$6:$H$90))))</f>
        <v/>
      </c>
      <c r="AE413" s="168" t="str">
        <f t="shared" si="83"/>
        <v/>
      </c>
      <c r="AF413" s="168" t="str">
        <f t="shared" si="84"/>
        <v/>
      </c>
      <c r="AG413" s="47"/>
      <c r="AH413" s="47"/>
      <c r="AI413" s="20" t="str">
        <f>IF(AG413="","",IF($F413="Bernardino Furlan",_xlfn.XLOOKUP(AG413,Cadastros!$G$6:$G$90,Cadastros!$H$6:$H$90)*(1-0.18),IF($F413="Mauro José Salanti",_xlfn.XLOOKUP(AG413,Cadastros!$G$6:$G$90,Cadastros!$H$6:$H$90)*(1-0.18),_xlfn.XLOOKUP(AG413,Cadastros!$G$6:$G$90,Cadastros!$H$6:$H$90))))</f>
        <v/>
      </c>
      <c r="AJ413" s="168" t="str">
        <f t="shared" si="85"/>
        <v/>
      </c>
      <c r="AK413" s="168" t="str">
        <f t="shared" si="86"/>
        <v/>
      </c>
      <c r="AL413" s="47"/>
      <c r="AM413" s="47"/>
      <c r="AN413" s="20" t="str">
        <f>IF(AL413="","",IF($F413="Bernardino Furlan",_xlfn.XLOOKUP(AL413,Cadastros!$G$6:$G$90,Cadastros!$H$6:$H$90)*(1-0.18),IF($F413="Mauro José Salanti",_xlfn.XLOOKUP(AL413,Cadastros!$G$6:$G$90,Cadastros!$H$6:$H$90)*(1-0.18),_xlfn.XLOOKUP(AL413,Cadastros!$G$6:$G$90,Cadastros!$H$6:$H$90))))</f>
        <v/>
      </c>
      <c r="AO413" s="168" t="str">
        <f t="shared" si="87"/>
        <v/>
      </c>
      <c r="AP413" s="168" t="str">
        <f t="shared" si="88"/>
        <v/>
      </c>
      <c r="AQ413" s="47"/>
      <c r="AR413" s="47"/>
      <c r="AS413" s="20" t="str">
        <f>IF(AQ413="","",IF($F413="Bernardino Furlan",_xlfn.XLOOKUP(AQ413,Cadastros!$G$6:$G$90,Cadastros!$H$6:$H$90)*(1-0.18),IF($F413="Mauro José Salanti",_xlfn.XLOOKUP(AQ413,Cadastros!$G$6:$G$90,Cadastros!$H$6:$H$90)*(1-0.18),_xlfn.XLOOKUP(AQ413,Cadastros!$G$6:$G$90,Cadastros!$H$6:$H$90))))</f>
        <v/>
      </c>
      <c r="AT413" s="168" t="str">
        <f t="shared" si="89"/>
        <v/>
      </c>
      <c r="AU413" s="168" t="str">
        <f t="shared" si="90"/>
        <v/>
      </c>
      <c r="AV413" s="230"/>
      <c r="AW413" s="49"/>
      <c r="AX413" s="270"/>
      <c r="AY413" s="270"/>
      <c r="AZ413" s="48"/>
      <c r="BA413" s="49"/>
      <c r="BB413" s="23" t="str" cm="1">
        <f t="array" ref="BB413">_xlfn.IFS(AW413="SIM",SUM(K413,P413,U413,Z413,AE413,AJ413,AO413,AT413,AX413,AY413),F413&lt;&gt;"",SUM(K413,P413,U413,Z413,AE413,AJ413,,AO413,AT413),F413="","")</f>
        <v/>
      </c>
      <c r="BC413" s="211" t="str" cm="1">
        <f t="array" ref="BC413">_xlfn.IFS(E413="","",G413&lt;=E413,BB413*(1-0.03),G413&lt;(E413+8),BB413,AZ413="Boleto",BB413*(1+0.001)^DATEDIF(E413,G413,"D"),AZ413="Cheque",BB413,AZ413="Dinheiro","Alterar forma pgto")</f>
        <v/>
      </c>
      <c r="BD413" s="276" t="str" cm="1">
        <f t="array" ref="BD413">IF(F413=0," ",IF(BC413&lt;BB413,(_xlfn.IFS(AW413="SIM",SUM(L413,Q413,V413,AA413,AF413,AK413,AP413,AU413)+AX413/_xlfn.XLOOKUP(_xlfn.XLOOKUP($F413,Clientes!$B$4:$B$39,Clientes!$C$4:$C$39),Cadastros!$L$6:$L$12,Cadastros!$M$6:$M$12)+IF($F413="Bernardino Furlan",AY413/2751.92,IF($F413="Mauro José Salanti",AY413/2751.92,AY413/3356)),F413&lt;&gt;0,SUM(L413,Q413,V413,AA413,AF413,AK413,AP413,AU413)))*(1-0.03),_xlfn.IFS(AW413="SIM",SUM(L413,Q413,V413,AA413,AF413,AK413,AP413,AU413)+AX413/_xlfn.XLOOKUP(_xlfn.XLOOKUP($F413,Clientes!$B$4:$B$39,Clientes!$C$4:$C$39),Cadastros!$L$6:$L$12,Cadastros!$M$6:$M$12)+IF($F413="Bernardino Furlan",AY413/2751.92,IF($F413="Mauro José Salanti",AY413/2751.92,AY413/3356)),F413&lt;&gt;0,SUM(L413,Q413,V413,AA413,AF413,AK413,AP413,AU413))))</f>
        <v xml:space="preserve"> </v>
      </c>
      <c r="BE413" s="120"/>
      <c r="BF413" s="120"/>
      <c r="BG413" s="120"/>
    </row>
    <row r="414" spans="1:59" s="3" customFormat="1" x14ac:dyDescent="0.3">
      <c r="A414" s="15" t="str">
        <f t="shared" si="78"/>
        <v/>
      </c>
      <c r="B414" s="25"/>
      <c r="C414" s="26"/>
      <c r="D414" s="279"/>
      <c r="E414" s="27"/>
      <c r="F414" s="28"/>
      <c r="G414" s="27"/>
      <c r="H414" s="28"/>
      <c r="I414" s="28"/>
      <c r="J414" s="255" t="str">
        <f>IF(H414="","",(_xlfn.XLOOKUP(H414,Cadastros!$D$6:$D$90,Cadastros!$E$6:$E$90))*(1-_xlfn.XLOOKUP(_xlfn.XLOOKUP($F414,Clientes!$B$4:$B$39,Clientes!$C$4:$C$39),Cadastros!$L$6:$L$12,Cadastros!$N$6:$N$12)))</f>
        <v/>
      </c>
      <c r="K414" s="168" t="str">
        <f t="shared" si="79"/>
        <v/>
      </c>
      <c r="L414" s="168" t="str">
        <f>IFERROR(K414/_xlfn.XLOOKUP(_xlfn.XLOOKUP($F414,Clientes!$B$4:$B$39,Clientes!$C$4:$C$39),Cadastros!$L$6:$L$12,Cadastros!$M$6:$M$12)," ")</f>
        <v xml:space="preserve"> </v>
      </c>
      <c r="M414" s="28"/>
      <c r="N414" s="28"/>
      <c r="O414" s="255" t="str">
        <f>IF(M414="","",(_xlfn.XLOOKUP(M414,Cadastros!$D$6:$D$90,Cadastros!$E$6:$E$90))*(1-_xlfn.XLOOKUP(_xlfn.XLOOKUP($F414,Clientes!$B$4:$B$39,Clientes!$C$4:$C$39),Cadastros!$L$6:$L$12,Cadastros!$N$6:$N$12)))</f>
        <v/>
      </c>
      <c r="P414" s="168" t="str">
        <f t="shared" si="80"/>
        <v/>
      </c>
      <c r="Q414" s="168" t="str">
        <f>IFERROR(P414/_xlfn.XLOOKUP(_xlfn.XLOOKUP($F414,Clientes!$B$4:$B$39,Clientes!$C$4:$C$39),Cadastros!$L$6:$L$12,Cadastros!$M$6:$M$12)," ")</f>
        <v xml:space="preserve"> </v>
      </c>
      <c r="R414" s="28"/>
      <c r="S414" s="28"/>
      <c r="T414" s="255" t="str">
        <f>IF(R414="","",(_xlfn.XLOOKUP(R414,Cadastros!$D$6:$D$90,Cadastros!$E$6:$E$90))*(1-_xlfn.XLOOKUP(_xlfn.XLOOKUP($F414,Clientes!$B$4:$B$39,Clientes!$C$4:$C$39),Cadastros!$L$6:$L$12,Cadastros!$N$6:$N$12)))</f>
        <v/>
      </c>
      <c r="U414" s="168" t="str">
        <f t="shared" si="81"/>
        <v/>
      </c>
      <c r="V414" s="168" t="str">
        <f>IFERROR(U414/_xlfn.XLOOKUP(_xlfn.XLOOKUP($F414,Clientes!$B$4:$B$39,Clientes!$C$4:$C$39),Cadastros!$L$6:$L$12,Cadastros!$M$6:$M$12)," ")</f>
        <v xml:space="preserve"> </v>
      </c>
      <c r="W414" s="28"/>
      <c r="X414" s="28"/>
      <c r="Y414" s="255" t="str">
        <f>IF(W414="","",(_xlfn.XLOOKUP(W414,Cadastros!$D$6:$D$90,Cadastros!$E$6:$E$90))*(1-_xlfn.XLOOKUP(_xlfn.XLOOKUP($F414,Clientes!$B$4:$B$39,Clientes!$C$4:$C$39),Cadastros!$L$6:$L$12,Cadastros!$N$6:$N$12)))</f>
        <v/>
      </c>
      <c r="Z414" s="168" t="str">
        <f t="shared" si="82"/>
        <v/>
      </c>
      <c r="AA414" s="168" t="str">
        <f>IFERROR(Z414/_xlfn.XLOOKUP(_xlfn.XLOOKUP($F414,Clientes!$B$4:$B$39,Clientes!$C$4:$C$39),Cadastros!$L$6:$L$12,Cadastros!$M$6:$M$12)," ")</f>
        <v xml:space="preserve"> </v>
      </c>
      <c r="AB414" s="28"/>
      <c r="AC414" s="28"/>
      <c r="AD414" s="20" t="str">
        <f>IF(AB414="","",IF($F414="Bernardino Furlan",_xlfn.XLOOKUP(AB414,Cadastros!$G$6:$G$90,Cadastros!$H$6:$H$90)*(1-0.18),IF($F414="Mauro José Salanti",_xlfn.XLOOKUP(AB414,Cadastros!$G$6:$G$90,Cadastros!$H$6:$H$90)*(1-0.18),_xlfn.XLOOKUP(AB414,Cadastros!$G$6:$G$90,Cadastros!$H$6:$H$90))))</f>
        <v/>
      </c>
      <c r="AE414" s="168" t="str">
        <f t="shared" si="83"/>
        <v/>
      </c>
      <c r="AF414" s="168" t="str">
        <f t="shared" si="84"/>
        <v/>
      </c>
      <c r="AG414" s="28"/>
      <c r="AH414" s="28"/>
      <c r="AI414" s="20" t="str">
        <f>IF(AG414="","",IF($F414="Bernardino Furlan",_xlfn.XLOOKUP(AG414,Cadastros!$G$6:$G$90,Cadastros!$H$6:$H$90)*(1-0.18),IF($F414="Mauro José Salanti",_xlfn.XLOOKUP(AG414,Cadastros!$G$6:$G$90,Cadastros!$H$6:$H$90)*(1-0.18),_xlfn.XLOOKUP(AG414,Cadastros!$G$6:$G$90,Cadastros!$H$6:$H$90))))</f>
        <v/>
      </c>
      <c r="AJ414" s="168" t="str">
        <f t="shared" si="85"/>
        <v/>
      </c>
      <c r="AK414" s="168" t="str">
        <f t="shared" si="86"/>
        <v/>
      </c>
      <c r="AL414" s="28"/>
      <c r="AM414" s="28"/>
      <c r="AN414" s="20" t="str">
        <f>IF(AL414="","",IF($F414="Bernardino Furlan",_xlfn.XLOOKUP(AL414,Cadastros!$G$6:$G$90,Cadastros!$H$6:$H$90)*(1-0.18),IF($F414="Mauro José Salanti",_xlfn.XLOOKUP(AL414,Cadastros!$G$6:$G$90,Cadastros!$H$6:$H$90)*(1-0.18),_xlfn.XLOOKUP(AL414,Cadastros!$G$6:$G$90,Cadastros!$H$6:$H$90))))</f>
        <v/>
      </c>
      <c r="AO414" s="168" t="str">
        <f t="shared" si="87"/>
        <v/>
      </c>
      <c r="AP414" s="168" t="str">
        <f t="shared" si="88"/>
        <v/>
      </c>
      <c r="AQ414" s="28"/>
      <c r="AR414" s="28"/>
      <c r="AS414" s="20" t="str">
        <f>IF(AQ414="","",IF($F414="Bernardino Furlan",_xlfn.XLOOKUP(AQ414,Cadastros!$G$6:$G$90,Cadastros!$H$6:$H$90)*(1-0.18),IF($F414="Mauro José Salanti",_xlfn.XLOOKUP(AQ414,Cadastros!$G$6:$G$90,Cadastros!$H$6:$H$90)*(1-0.18),_xlfn.XLOOKUP(AQ414,Cadastros!$G$6:$G$90,Cadastros!$H$6:$H$90))))</f>
        <v/>
      </c>
      <c r="AT414" s="168" t="str">
        <f t="shared" si="89"/>
        <v/>
      </c>
      <c r="AU414" s="168" t="str">
        <f t="shared" si="90"/>
        <v/>
      </c>
      <c r="AV414" s="227"/>
      <c r="AW414" s="30"/>
      <c r="AX414" s="267"/>
      <c r="AY414" s="267"/>
      <c r="AZ414" s="29"/>
      <c r="BA414" s="30"/>
      <c r="BB414" s="23" t="str" cm="1">
        <f t="array" ref="BB414">_xlfn.IFS(AW414="SIM",SUM(K414,P414,U414,Z414,AE414,AJ414,AO414,AT414,AX414,AY414),F414&lt;&gt;"",SUM(K414,P414,U414,Z414,AE414,AJ414,,AO414,AT414),F414="","")</f>
        <v/>
      </c>
      <c r="BC414" s="211" t="str" cm="1">
        <f t="array" ref="BC414">_xlfn.IFS(E414="","",G414&lt;=E414,BB414*(1-0.03),G414&lt;(E414+8),BB414,AZ414="Boleto",BB414*(1+0.001)^DATEDIF(E414,G414,"D"),AZ414="Cheque",BB414,AZ414="Dinheiro","Alterar forma pgto")</f>
        <v/>
      </c>
      <c r="BD414" s="276" t="str" cm="1">
        <f t="array" ref="BD414">IF(F414=0," ",IF(BC414&lt;BB414,(_xlfn.IFS(AW414="SIM",SUM(L414,Q414,V414,AA414,AF414,AK414,AP414,AU414)+AX414/_xlfn.XLOOKUP(_xlfn.XLOOKUP($F414,Clientes!$B$4:$B$39,Clientes!$C$4:$C$39),Cadastros!$L$6:$L$12,Cadastros!$M$6:$M$12)+IF($F414="Bernardino Furlan",AY414/2751.92,IF($F414="Mauro José Salanti",AY414/2751.92,AY414/3356)),F414&lt;&gt;0,SUM(L414,Q414,V414,AA414,AF414,AK414,AP414,AU414)))*(1-0.03),_xlfn.IFS(AW414="SIM",SUM(L414,Q414,V414,AA414,AF414,AK414,AP414,AU414)+AX414/_xlfn.XLOOKUP(_xlfn.XLOOKUP($F414,Clientes!$B$4:$B$39,Clientes!$C$4:$C$39),Cadastros!$L$6:$L$12,Cadastros!$M$6:$M$12)+IF($F414="Bernardino Furlan",AY414/2751.92,IF($F414="Mauro José Salanti",AY414/2751.92,AY414/3356)),F414&lt;&gt;0,SUM(L414,Q414,V414,AA414,AF414,AK414,AP414,AU414))))</f>
        <v xml:space="preserve"> </v>
      </c>
      <c r="BE414" s="120"/>
      <c r="BF414" s="120"/>
      <c r="BG414" s="120"/>
    </row>
    <row r="415" spans="1:59" s="3" customFormat="1" x14ac:dyDescent="0.3">
      <c r="A415" s="15" t="str">
        <f t="shared" si="78"/>
        <v/>
      </c>
      <c r="B415" s="25"/>
      <c r="C415" s="26"/>
      <c r="D415" s="279"/>
      <c r="E415" s="27"/>
      <c r="F415" s="28"/>
      <c r="G415" s="27"/>
      <c r="H415" s="28"/>
      <c r="I415" s="28"/>
      <c r="J415" s="255" t="str">
        <f>IF(H415="","",(_xlfn.XLOOKUP(H415,Cadastros!$D$6:$D$90,Cadastros!$E$6:$E$90))*(1-_xlfn.XLOOKUP(_xlfn.XLOOKUP($F415,Clientes!$B$4:$B$39,Clientes!$C$4:$C$39),Cadastros!$L$6:$L$12,Cadastros!$N$6:$N$12)))</f>
        <v/>
      </c>
      <c r="K415" s="168" t="str">
        <f t="shared" si="79"/>
        <v/>
      </c>
      <c r="L415" s="168" t="str">
        <f>IFERROR(K415/_xlfn.XLOOKUP(_xlfn.XLOOKUP($F415,Clientes!$B$4:$B$39,Clientes!$C$4:$C$39),Cadastros!$L$6:$L$12,Cadastros!$M$6:$M$12)," ")</f>
        <v xml:space="preserve"> </v>
      </c>
      <c r="M415" s="28"/>
      <c r="N415" s="28"/>
      <c r="O415" s="255" t="str">
        <f>IF(M415="","",(_xlfn.XLOOKUP(M415,Cadastros!$D$6:$D$90,Cadastros!$E$6:$E$90))*(1-_xlfn.XLOOKUP(_xlfn.XLOOKUP($F415,Clientes!$B$4:$B$39,Clientes!$C$4:$C$39),Cadastros!$L$6:$L$12,Cadastros!$N$6:$N$12)))</f>
        <v/>
      </c>
      <c r="P415" s="168" t="str">
        <f t="shared" si="80"/>
        <v/>
      </c>
      <c r="Q415" s="168" t="str">
        <f>IFERROR(P415/_xlfn.XLOOKUP(_xlfn.XLOOKUP($F415,Clientes!$B$4:$B$39,Clientes!$C$4:$C$39),Cadastros!$L$6:$L$12,Cadastros!$M$6:$M$12)," ")</f>
        <v xml:space="preserve"> </v>
      </c>
      <c r="R415" s="28"/>
      <c r="S415" s="28"/>
      <c r="T415" s="255" t="str">
        <f>IF(R415="","",(_xlfn.XLOOKUP(R415,Cadastros!$D$6:$D$90,Cadastros!$E$6:$E$90))*(1-_xlfn.XLOOKUP(_xlfn.XLOOKUP($F415,Clientes!$B$4:$B$39,Clientes!$C$4:$C$39),Cadastros!$L$6:$L$12,Cadastros!$N$6:$N$12)))</f>
        <v/>
      </c>
      <c r="U415" s="168" t="str">
        <f t="shared" si="81"/>
        <v/>
      </c>
      <c r="V415" s="168" t="str">
        <f>IFERROR(U415/_xlfn.XLOOKUP(_xlfn.XLOOKUP($F415,Clientes!$B$4:$B$39,Clientes!$C$4:$C$39),Cadastros!$L$6:$L$12,Cadastros!$M$6:$M$12)," ")</f>
        <v xml:space="preserve"> </v>
      </c>
      <c r="W415" s="28"/>
      <c r="X415" s="28"/>
      <c r="Y415" s="255" t="str">
        <f>IF(W415="","",(_xlfn.XLOOKUP(W415,Cadastros!$D$6:$D$90,Cadastros!$E$6:$E$90))*(1-_xlfn.XLOOKUP(_xlfn.XLOOKUP($F415,Clientes!$B$4:$B$39,Clientes!$C$4:$C$39),Cadastros!$L$6:$L$12,Cadastros!$N$6:$N$12)))</f>
        <v/>
      </c>
      <c r="Z415" s="168" t="str">
        <f t="shared" si="82"/>
        <v/>
      </c>
      <c r="AA415" s="168" t="str">
        <f>IFERROR(Z415/_xlfn.XLOOKUP(_xlfn.XLOOKUP($F415,Clientes!$B$4:$B$39,Clientes!$C$4:$C$39),Cadastros!$L$6:$L$12,Cadastros!$M$6:$M$12)," ")</f>
        <v xml:space="preserve"> </v>
      </c>
      <c r="AB415" s="28"/>
      <c r="AC415" s="28"/>
      <c r="AD415" s="20" t="str">
        <f>IF(AB415="","",IF($F415="Bernardino Furlan",_xlfn.XLOOKUP(AB415,Cadastros!$G$6:$G$90,Cadastros!$H$6:$H$90)*(1-0.18),IF($F415="Mauro José Salanti",_xlfn.XLOOKUP(AB415,Cadastros!$G$6:$G$90,Cadastros!$H$6:$H$90)*(1-0.18),_xlfn.XLOOKUP(AB415,Cadastros!$G$6:$G$90,Cadastros!$H$6:$H$90))))</f>
        <v/>
      </c>
      <c r="AE415" s="168" t="str">
        <f t="shared" si="83"/>
        <v/>
      </c>
      <c r="AF415" s="168" t="str">
        <f t="shared" si="84"/>
        <v/>
      </c>
      <c r="AG415" s="28"/>
      <c r="AH415" s="28"/>
      <c r="AI415" s="20" t="str">
        <f>IF(AG415="","",IF($F415="Bernardino Furlan",_xlfn.XLOOKUP(AG415,Cadastros!$G$6:$G$90,Cadastros!$H$6:$H$90)*(1-0.18),IF($F415="Mauro José Salanti",_xlfn.XLOOKUP(AG415,Cadastros!$G$6:$G$90,Cadastros!$H$6:$H$90)*(1-0.18),_xlfn.XLOOKUP(AG415,Cadastros!$G$6:$G$90,Cadastros!$H$6:$H$90))))</f>
        <v/>
      </c>
      <c r="AJ415" s="168" t="str">
        <f t="shared" si="85"/>
        <v/>
      </c>
      <c r="AK415" s="168" t="str">
        <f t="shared" si="86"/>
        <v/>
      </c>
      <c r="AL415" s="28"/>
      <c r="AM415" s="28"/>
      <c r="AN415" s="20" t="str">
        <f>IF(AL415="","",IF($F415="Bernardino Furlan",_xlfn.XLOOKUP(AL415,Cadastros!$G$6:$G$90,Cadastros!$H$6:$H$90)*(1-0.18),IF($F415="Mauro José Salanti",_xlfn.XLOOKUP(AL415,Cadastros!$G$6:$G$90,Cadastros!$H$6:$H$90)*(1-0.18),_xlfn.XLOOKUP(AL415,Cadastros!$G$6:$G$90,Cadastros!$H$6:$H$90))))</f>
        <v/>
      </c>
      <c r="AO415" s="168" t="str">
        <f t="shared" si="87"/>
        <v/>
      </c>
      <c r="AP415" s="168" t="str">
        <f t="shared" si="88"/>
        <v/>
      </c>
      <c r="AQ415" s="28"/>
      <c r="AR415" s="28"/>
      <c r="AS415" s="20" t="str">
        <f>IF(AQ415="","",IF($F415="Bernardino Furlan",_xlfn.XLOOKUP(AQ415,Cadastros!$G$6:$G$90,Cadastros!$H$6:$H$90)*(1-0.18),IF($F415="Mauro José Salanti",_xlfn.XLOOKUP(AQ415,Cadastros!$G$6:$G$90,Cadastros!$H$6:$H$90)*(1-0.18),_xlfn.XLOOKUP(AQ415,Cadastros!$G$6:$G$90,Cadastros!$H$6:$H$90))))</f>
        <v/>
      </c>
      <c r="AT415" s="168" t="str">
        <f t="shared" si="89"/>
        <v/>
      </c>
      <c r="AU415" s="168" t="str">
        <f t="shared" si="90"/>
        <v/>
      </c>
      <c r="AV415" s="227"/>
      <c r="AW415" s="30"/>
      <c r="AX415" s="267"/>
      <c r="AY415" s="267"/>
      <c r="AZ415" s="29"/>
      <c r="BA415" s="30"/>
      <c r="BB415" s="23" t="str" cm="1">
        <f t="array" ref="BB415">_xlfn.IFS(AW415="SIM",SUM(K415,P415,U415,Z415,AE415,AJ415,AO415,AT415,AX415,AY415),F415&lt;&gt;"",SUM(K415,P415,U415,Z415,AE415,AJ415,,AO415,AT415),F415="","")</f>
        <v/>
      </c>
      <c r="BC415" s="211" t="str" cm="1">
        <f t="array" ref="BC415">_xlfn.IFS(E415="","",G415&lt;=E415,BB415*(1-0.03),G415&lt;(E415+8),BB415,AZ415="Boleto",BB415*(1+0.001)^DATEDIF(E415,G415,"D"),AZ415="Cheque",BB415,AZ415="Dinheiro","Alterar forma pgto")</f>
        <v/>
      </c>
      <c r="BD415" s="276" t="str" cm="1">
        <f t="array" ref="BD415">IF(F415=0," ",IF(BC415&lt;BB415,(_xlfn.IFS(AW415="SIM",SUM(L415,Q415,V415,AA415,AF415,AK415,AP415,AU415)+AX415/_xlfn.XLOOKUP(_xlfn.XLOOKUP($F415,Clientes!$B$4:$B$39,Clientes!$C$4:$C$39),Cadastros!$L$6:$L$12,Cadastros!$M$6:$M$12)+IF($F415="Bernardino Furlan",AY415/2751.92,IF($F415="Mauro José Salanti",AY415/2751.92,AY415/3356)),F415&lt;&gt;0,SUM(L415,Q415,V415,AA415,AF415,AK415,AP415,AU415)))*(1-0.03),_xlfn.IFS(AW415="SIM",SUM(L415,Q415,V415,AA415,AF415,AK415,AP415,AU415)+AX415/_xlfn.XLOOKUP(_xlfn.XLOOKUP($F415,Clientes!$B$4:$B$39,Clientes!$C$4:$C$39),Cadastros!$L$6:$L$12,Cadastros!$M$6:$M$12)+IF($F415="Bernardino Furlan",AY415/2751.92,IF($F415="Mauro José Salanti",AY415/2751.92,AY415/3356)),F415&lt;&gt;0,SUM(L415,Q415,V415,AA415,AF415,AK415,AP415,AU415))))</f>
        <v xml:space="preserve"> </v>
      </c>
      <c r="BE415" s="120"/>
      <c r="BF415" s="120"/>
      <c r="BG415" s="120"/>
    </row>
    <row r="416" spans="1:59" s="3" customFormat="1" x14ac:dyDescent="0.3">
      <c r="A416" s="15" t="str">
        <f t="shared" si="78"/>
        <v/>
      </c>
      <c r="B416" s="25"/>
      <c r="C416" s="26"/>
      <c r="D416" s="279"/>
      <c r="E416" s="27"/>
      <c r="F416" s="28"/>
      <c r="G416" s="27"/>
      <c r="H416" s="28"/>
      <c r="I416" s="28"/>
      <c r="J416" s="255" t="str">
        <f>IF(H416="","",(_xlfn.XLOOKUP(H416,Cadastros!$D$6:$D$90,Cadastros!$E$6:$E$90))*(1-_xlfn.XLOOKUP(_xlfn.XLOOKUP($F416,Clientes!$B$4:$B$39,Clientes!$C$4:$C$39),Cadastros!$L$6:$L$12,Cadastros!$N$6:$N$12)))</f>
        <v/>
      </c>
      <c r="K416" s="168" t="str">
        <f t="shared" si="79"/>
        <v/>
      </c>
      <c r="L416" s="168" t="str">
        <f>IFERROR(K416/_xlfn.XLOOKUP(_xlfn.XLOOKUP($F416,Clientes!$B$4:$B$39,Clientes!$C$4:$C$39),Cadastros!$L$6:$L$12,Cadastros!$M$6:$M$12)," ")</f>
        <v xml:space="preserve"> </v>
      </c>
      <c r="M416" s="28"/>
      <c r="N416" s="28"/>
      <c r="O416" s="255" t="str">
        <f>IF(M416="","",(_xlfn.XLOOKUP(M416,Cadastros!$D$6:$D$90,Cadastros!$E$6:$E$90))*(1-_xlfn.XLOOKUP(_xlfn.XLOOKUP($F416,Clientes!$B$4:$B$39,Clientes!$C$4:$C$39),Cadastros!$L$6:$L$12,Cadastros!$N$6:$N$12)))</f>
        <v/>
      </c>
      <c r="P416" s="168" t="str">
        <f t="shared" si="80"/>
        <v/>
      </c>
      <c r="Q416" s="168" t="str">
        <f>IFERROR(P416/_xlfn.XLOOKUP(_xlfn.XLOOKUP($F416,Clientes!$B$4:$B$39,Clientes!$C$4:$C$39),Cadastros!$L$6:$L$12,Cadastros!$M$6:$M$12)," ")</f>
        <v xml:space="preserve"> </v>
      </c>
      <c r="R416" s="28"/>
      <c r="S416" s="28"/>
      <c r="T416" s="255" t="str">
        <f>IF(R416="","",(_xlfn.XLOOKUP(R416,Cadastros!$D$6:$D$90,Cadastros!$E$6:$E$90))*(1-_xlfn.XLOOKUP(_xlfn.XLOOKUP($F416,Clientes!$B$4:$B$39,Clientes!$C$4:$C$39),Cadastros!$L$6:$L$12,Cadastros!$N$6:$N$12)))</f>
        <v/>
      </c>
      <c r="U416" s="168" t="str">
        <f t="shared" si="81"/>
        <v/>
      </c>
      <c r="V416" s="168" t="str">
        <f>IFERROR(U416/_xlfn.XLOOKUP(_xlfn.XLOOKUP($F416,Clientes!$B$4:$B$39,Clientes!$C$4:$C$39),Cadastros!$L$6:$L$12,Cadastros!$M$6:$M$12)," ")</f>
        <v xml:space="preserve"> </v>
      </c>
      <c r="W416" s="28"/>
      <c r="X416" s="28"/>
      <c r="Y416" s="255" t="str">
        <f>IF(W416="","",(_xlfn.XLOOKUP(W416,Cadastros!$D$6:$D$90,Cadastros!$E$6:$E$90))*(1-_xlfn.XLOOKUP(_xlfn.XLOOKUP($F416,Clientes!$B$4:$B$39,Clientes!$C$4:$C$39),Cadastros!$L$6:$L$12,Cadastros!$N$6:$N$12)))</f>
        <v/>
      </c>
      <c r="Z416" s="168" t="str">
        <f t="shared" si="82"/>
        <v/>
      </c>
      <c r="AA416" s="168" t="str">
        <f>IFERROR(Z416/_xlfn.XLOOKUP(_xlfn.XLOOKUP($F416,Clientes!$B$4:$B$39,Clientes!$C$4:$C$39),Cadastros!$L$6:$L$12,Cadastros!$M$6:$M$12)," ")</f>
        <v xml:space="preserve"> </v>
      </c>
      <c r="AB416" s="28"/>
      <c r="AC416" s="28"/>
      <c r="AD416" s="20" t="str">
        <f>IF(AB416="","",IF($F416="Bernardino Furlan",_xlfn.XLOOKUP(AB416,Cadastros!$G$6:$G$90,Cadastros!$H$6:$H$90)*(1-0.18),IF($F416="Mauro José Salanti",_xlfn.XLOOKUP(AB416,Cadastros!$G$6:$G$90,Cadastros!$H$6:$H$90)*(1-0.18),_xlfn.XLOOKUP(AB416,Cadastros!$G$6:$G$90,Cadastros!$H$6:$H$90))))</f>
        <v/>
      </c>
      <c r="AE416" s="168" t="str">
        <f t="shared" si="83"/>
        <v/>
      </c>
      <c r="AF416" s="168" t="str">
        <f t="shared" si="84"/>
        <v/>
      </c>
      <c r="AG416" s="28"/>
      <c r="AH416" s="28"/>
      <c r="AI416" s="20" t="str">
        <f>IF(AG416="","",IF($F416="Bernardino Furlan",_xlfn.XLOOKUP(AG416,Cadastros!$G$6:$G$90,Cadastros!$H$6:$H$90)*(1-0.18),IF($F416="Mauro José Salanti",_xlfn.XLOOKUP(AG416,Cadastros!$G$6:$G$90,Cadastros!$H$6:$H$90)*(1-0.18),_xlfn.XLOOKUP(AG416,Cadastros!$G$6:$G$90,Cadastros!$H$6:$H$90))))</f>
        <v/>
      </c>
      <c r="AJ416" s="168" t="str">
        <f t="shared" si="85"/>
        <v/>
      </c>
      <c r="AK416" s="168" t="str">
        <f t="shared" si="86"/>
        <v/>
      </c>
      <c r="AL416" s="28"/>
      <c r="AM416" s="28"/>
      <c r="AN416" s="20" t="str">
        <f>IF(AL416="","",IF($F416="Bernardino Furlan",_xlfn.XLOOKUP(AL416,Cadastros!$G$6:$G$90,Cadastros!$H$6:$H$90)*(1-0.18),IF($F416="Mauro José Salanti",_xlfn.XLOOKUP(AL416,Cadastros!$G$6:$G$90,Cadastros!$H$6:$H$90)*(1-0.18),_xlfn.XLOOKUP(AL416,Cadastros!$G$6:$G$90,Cadastros!$H$6:$H$90))))</f>
        <v/>
      </c>
      <c r="AO416" s="168" t="str">
        <f t="shared" si="87"/>
        <v/>
      </c>
      <c r="AP416" s="168" t="str">
        <f t="shared" si="88"/>
        <v/>
      </c>
      <c r="AQ416" s="28"/>
      <c r="AR416" s="28"/>
      <c r="AS416" s="20" t="str">
        <f>IF(AQ416="","",IF($F416="Bernardino Furlan",_xlfn.XLOOKUP(AQ416,Cadastros!$G$6:$G$90,Cadastros!$H$6:$H$90)*(1-0.18),IF($F416="Mauro José Salanti",_xlfn.XLOOKUP(AQ416,Cadastros!$G$6:$G$90,Cadastros!$H$6:$H$90)*(1-0.18),_xlfn.XLOOKUP(AQ416,Cadastros!$G$6:$G$90,Cadastros!$H$6:$H$90))))</f>
        <v/>
      </c>
      <c r="AT416" s="168" t="str">
        <f t="shared" si="89"/>
        <v/>
      </c>
      <c r="AU416" s="168" t="str">
        <f t="shared" si="90"/>
        <v/>
      </c>
      <c r="AV416" s="227"/>
      <c r="AW416" s="30"/>
      <c r="AX416" s="267"/>
      <c r="AY416" s="267"/>
      <c r="AZ416" s="29"/>
      <c r="BA416" s="30"/>
      <c r="BB416" s="23" t="str" cm="1">
        <f t="array" ref="BB416">_xlfn.IFS(AW416="SIM",SUM(K416,P416,U416,Z416,AE416,AJ416,AO416,AT416,AX416,AY416),F416&lt;&gt;"",SUM(K416,P416,U416,Z416,AE416,AJ416,,AO416,AT416),F416="","")</f>
        <v/>
      </c>
      <c r="BC416" s="211" t="str" cm="1">
        <f t="array" ref="BC416">_xlfn.IFS(E416="","",G416&lt;=E416,BB416*(1-0.03),G416&lt;(E416+8),BB416,AZ416="Boleto",BB416*(1+0.001)^DATEDIF(E416,G416,"D"),AZ416="Cheque",BB416,AZ416="Dinheiro","Alterar forma pgto")</f>
        <v/>
      </c>
      <c r="BD416" s="276" t="str" cm="1">
        <f t="array" ref="BD416">IF(F416=0," ",IF(BC416&lt;BB416,(_xlfn.IFS(AW416="SIM",SUM(L416,Q416,V416,AA416,AF416,AK416,AP416,AU416)+AX416/_xlfn.XLOOKUP(_xlfn.XLOOKUP($F416,Clientes!$B$4:$B$39,Clientes!$C$4:$C$39),Cadastros!$L$6:$L$12,Cadastros!$M$6:$M$12)+IF($F416="Bernardino Furlan",AY416/2751.92,IF($F416="Mauro José Salanti",AY416/2751.92,AY416/3356)),F416&lt;&gt;0,SUM(L416,Q416,V416,AA416,AF416,AK416,AP416,AU416)))*(1-0.03),_xlfn.IFS(AW416="SIM",SUM(L416,Q416,V416,AA416,AF416,AK416,AP416,AU416)+AX416/_xlfn.XLOOKUP(_xlfn.XLOOKUP($F416,Clientes!$B$4:$B$39,Clientes!$C$4:$C$39),Cadastros!$L$6:$L$12,Cadastros!$M$6:$M$12)+IF($F416="Bernardino Furlan",AY416/2751.92,IF($F416="Mauro José Salanti",AY416/2751.92,AY416/3356)),F416&lt;&gt;0,SUM(L416,Q416,V416,AA416,AF416,AK416,AP416,AU416))))</f>
        <v xml:space="preserve"> </v>
      </c>
      <c r="BE416" s="120"/>
      <c r="BF416" s="120"/>
      <c r="BG416" s="120"/>
    </row>
    <row r="417" spans="1:59" s="3" customFormat="1" x14ac:dyDescent="0.3">
      <c r="A417" s="15" t="str">
        <f t="shared" si="78"/>
        <v/>
      </c>
      <c r="B417" s="25"/>
      <c r="C417" s="26"/>
      <c r="D417" s="279"/>
      <c r="E417" s="27"/>
      <c r="F417" s="28"/>
      <c r="G417" s="27"/>
      <c r="H417" s="28"/>
      <c r="I417" s="28"/>
      <c r="J417" s="255" t="str">
        <f>IF(H417="","",(_xlfn.XLOOKUP(H417,Cadastros!$D$6:$D$90,Cadastros!$E$6:$E$90))*(1-_xlfn.XLOOKUP(_xlfn.XLOOKUP($F417,Clientes!$B$4:$B$39,Clientes!$C$4:$C$39),Cadastros!$L$6:$L$12,Cadastros!$N$6:$N$12)))</f>
        <v/>
      </c>
      <c r="K417" s="168" t="str">
        <f t="shared" si="79"/>
        <v/>
      </c>
      <c r="L417" s="168" t="str">
        <f>IFERROR(K417/_xlfn.XLOOKUP(_xlfn.XLOOKUP($F417,Clientes!$B$4:$B$39,Clientes!$C$4:$C$39),Cadastros!$L$6:$L$12,Cadastros!$M$6:$M$12)," ")</f>
        <v xml:space="preserve"> </v>
      </c>
      <c r="M417" s="28"/>
      <c r="N417" s="28"/>
      <c r="O417" s="255" t="str">
        <f>IF(M417="","",(_xlfn.XLOOKUP(M417,Cadastros!$D$6:$D$90,Cadastros!$E$6:$E$90))*(1-_xlfn.XLOOKUP(_xlfn.XLOOKUP($F417,Clientes!$B$4:$B$39,Clientes!$C$4:$C$39),Cadastros!$L$6:$L$12,Cadastros!$N$6:$N$12)))</f>
        <v/>
      </c>
      <c r="P417" s="168" t="str">
        <f t="shared" si="80"/>
        <v/>
      </c>
      <c r="Q417" s="168" t="str">
        <f>IFERROR(P417/_xlfn.XLOOKUP(_xlfn.XLOOKUP($F417,Clientes!$B$4:$B$39,Clientes!$C$4:$C$39),Cadastros!$L$6:$L$12,Cadastros!$M$6:$M$12)," ")</f>
        <v xml:space="preserve"> </v>
      </c>
      <c r="R417" s="28"/>
      <c r="S417" s="28"/>
      <c r="T417" s="255" t="str">
        <f>IF(R417="","",(_xlfn.XLOOKUP(R417,Cadastros!$D$6:$D$90,Cadastros!$E$6:$E$90))*(1-_xlfn.XLOOKUP(_xlfn.XLOOKUP($F417,Clientes!$B$4:$B$39,Clientes!$C$4:$C$39),Cadastros!$L$6:$L$12,Cadastros!$N$6:$N$12)))</f>
        <v/>
      </c>
      <c r="U417" s="168" t="str">
        <f t="shared" si="81"/>
        <v/>
      </c>
      <c r="V417" s="168" t="str">
        <f>IFERROR(U417/_xlfn.XLOOKUP(_xlfn.XLOOKUP($F417,Clientes!$B$4:$B$39,Clientes!$C$4:$C$39),Cadastros!$L$6:$L$12,Cadastros!$M$6:$M$12)," ")</f>
        <v xml:space="preserve"> </v>
      </c>
      <c r="W417" s="28"/>
      <c r="X417" s="28"/>
      <c r="Y417" s="255" t="str">
        <f>IF(W417="","",(_xlfn.XLOOKUP(W417,Cadastros!$D$6:$D$90,Cadastros!$E$6:$E$90))*(1-_xlfn.XLOOKUP(_xlfn.XLOOKUP($F417,Clientes!$B$4:$B$39,Clientes!$C$4:$C$39),Cadastros!$L$6:$L$12,Cadastros!$N$6:$N$12)))</f>
        <v/>
      </c>
      <c r="Z417" s="168" t="str">
        <f t="shared" si="82"/>
        <v/>
      </c>
      <c r="AA417" s="168" t="str">
        <f>IFERROR(Z417/_xlfn.XLOOKUP(_xlfn.XLOOKUP($F417,Clientes!$B$4:$B$39,Clientes!$C$4:$C$39),Cadastros!$L$6:$L$12,Cadastros!$M$6:$M$12)," ")</f>
        <v xml:space="preserve"> </v>
      </c>
      <c r="AB417" s="28"/>
      <c r="AC417" s="28"/>
      <c r="AD417" s="20" t="str">
        <f>IF(AB417="","",IF($F417="Bernardino Furlan",_xlfn.XLOOKUP(AB417,Cadastros!$G$6:$G$90,Cadastros!$H$6:$H$90)*(1-0.18),IF($F417="Mauro José Salanti",_xlfn.XLOOKUP(AB417,Cadastros!$G$6:$G$90,Cadastros!$H$6:$H$90)*(1-0.18),_xlfn.XLOOKUP(AB417,Cadastros!$G$6:$G$90,Cadastros!$H$6:$H$90))))</f>
        <v/>
      </c>
      <c r="AE417" s="168" t="str">
        <f t="shared" si="83"/>
        <v/>
      </c>
      <c r="AF417" s="168" t="str">
        <f t="shared" si="84"/>
        <v/>
      </c>
      <c r="AG417" s="28"/>
      <c r="AH417" s="28"/>
      <c r="AI417" s="20" t="str">
        <f>IF(AG417="","",IF($F417="Bernardino Furlan",_xlfn.XLOOKUP(AG417,Cadastros!$G$6:$G$90,Cadastros!$H$6:$H$90)*(1-0.18),IF($F417="Mauro José Salanti",_xlfn.XLOOKUP(AG417,Cadastros!$G$6:$G$90,Cadastros!$H$6:$H$90)*(1-0.18),_xlfn.XLOOKUP(AG417,Cadastros!$G$6:$G$90,Cadastros!$H$6:$H$90))))</f>
        <v/>
      </c>
      <c r="AJ417" s="168" t="str">
        <f t="shared" si="85"/>
        <v/>
      </c>
      <c r="AK417" s="168" t="str">
        <f t="shared" si="86"/>
        <v/>
      </c>
      <c r="AL417" s="28"/>
      <c r="AM417" s="28"/>
      <c r="AN417" s="20" t="str">
        <f>IF(AL417="","",IF($F417="Bernardino Furlan",_xlfn.XLOOKUP(AL417,Cadastros!$G$6:$G$90,Cadastros!$H$6:$H$90)*(1-0.18),IF($F417="Mauro José Salanti",_xlfn.XLOOKUP(AL417,Cadastros!$G$6:$G$90,Cadastros!$H$6:$H$90)*(1-0.18),_xlfn.XLOOKUP(AL417,Cadastros!$G$6:$G$90,Cadastros!$H$6:$H$90))))</f>
        <v/>
      </c>
      <c r="AO417" s="168" t="str">
        <f t="shared" si="87"/>
        <v/>
      </c>
      <c r="AP417" s="168" t="str">
        <f t="shared" si="88"/>
        <v/>
      </c>
      <c r="AQ417" s="28"/>
      <c r="AR417" s="28"/>
      <c r="AS417" s="20" t="str">
        <f>IF(AQ417="","",IF($F417="Bernardino Furlan",_xlfn.XLOOKUP(AQ417,Cadastros!$G$6:$G$90,Cadastros!$H$6:$H$90)*(1-0.18),IF($F417="Mauro José Salanti",_xlfn.XLOOKUP(AQ417,Cadastros!$G$6:$G$90,Cadastros!$H$6:$H$90)*(1-0.18),_xlfn.XLOOKUP(AQ417,Cadastros!$G$6:$G$90,Cadastros!$H$6:$H$90))))</f>
        <v/>
      </c>
      <c r="AT417" s="168" t="str">
        <f t="shared" si="89"/>
        <v/>
      </c>
      <c r="AU417" s="168" t="str">
        <f t="shared" si="90"/>
        <v/>
      </c>
      <c r="AV417" s="227"/>
      <c r="AW417" s="30"/>
      <c r="AX417" s="267"/>
      <c r="AY417" s="267"/>
      <c r="AZ417" s="29"/>
      <c r="BA417" s="30"/>
      <c r="BB417" s="23" t="str" cm="1">
        <f t="array" ref="BB417">_xlfn.IFS(AW417="SIM",SUM(K417,P417,U417,Z417,AE417,AJ417,AO417,AT417,AX417,AY417),F417&lt;&gt;"",SUM(K417,P417,U417,Z417,AE417,AJ417,,AO417,AT417),F417="","")</f>
        <v/>
      </c>
      <c r="BC417" s="211" t="str" cm="1">
        <f t="array" ref="BC417">_xlfn.IFS(E417="","",G417&lt;=E417,BB417*(1-0.03),G417&lt;(E417+8),BB417,AZ417="Boleto",BB417*(1+0.001)^DATEDIF(E417,G417,"D"),AZ417="Cheque",BB417,AZ417="Dinheiro","Alterar forma pgto")</f>
        <v/>
      </c>
      <c r="BD417" s="276" t="str" cm="1">
        <f t="array" ref="BD417">IF(F417=0," ",IF(BC417&lt;BB417,(_xlfn.IFS(AW417="SIM",SUM(L417,Q417,V417,AA417,AF417,AK417,AP417,AU417)+AX417/_xlfn.XLOOKUP(_xlfn.XLOOKUP($F417,Clientes!$B$4:$B$39,Clientes!$C$4:$C$39),Cadastros!$L$6:$L$12,Cadastros!$M$6:$M$12)+IF($F417="Bernardino Furlan",AY417/2751.92,IF($F417="Mauro José Salanti",AY417/2751.92,AY417/3356)),F417&lt;&gt;0,SUM(L417,Q417,V417,AA417,AF417,AK417,AP417,AU417)))*(1-0.03),_xlfn.IFS(AW417="SIM",SUM(L417,Q417,V417,AA417,AF417,AK417,AP417,AU417)+AX417/_xlfn.XLOOKUP(_xlfn.XLOOKUP($F417,Clientes!$B$4:$B$39,Clientes!$C$4:$C$39),Cadastros!$L$6:$L$12,Cadastros!$M$6:$M$12)+IF($F417="Bernardino Furlan",AY417/2751.92,IF($F417="Mauro José Salanti",AY417/2751.92,AY417/3356)),F417&lt;&gt;0,SUM(L417,Q417,V417,AA417,AF417,AK417,AP417,AU417))))</f>
        <v xml:space="preserve"> </v>
      </c>
      <c r="BE417" s="120"/>
      <c r="BF417" s="120"/>
      <c r="BG417" s="120"/>
    </row>
    <row r="418" spans="1:59" s="3" customFormat="1" x14ac:dyDescent="0.3">
      <c r="A418" s="15" t="str">
        <f t="shared" si="78"/>
        <v/>
      </c>
      <c r="B418" s="25"/>
      <c r="C418" s="26"/>
      <c r="D418" s="279"/>
      <c r="E418" s="27"/>
      <c r="F418" s="28"/>
      <c r="G418" s="27"/>
      <c r="H418" s="28"/>
      <c r="I418" s="28"/>
      <c r="J418" s="255" t="str">
        <f>IF(H418="","",(_xlfn.XLOOKUP(H418,Cadastros!$D$6:$D$90,Cadastros!$E$6:$E$90))*(1-_xlfn.XLOOKUP(_xlfn.XLOOKUP($F418,Clientes!$B$4:$B$39,Clientes!$C$4:$C$39),Cadastros!$L$6:$L$12,Cadastros!$N$6:$N$12)))</f>
        <v/>
      </c>
      <c r="K418" s="168" t="str">
        <f t="shared" si="79"/>
        <v/>
      </c>
      <c r="L418" s="168" t="str">
        <f>IFERROR(K418/_xlfn.XLOOKUP(_xlfn.XLOOKUP($F418,Clientes!$B$4:$B$39,Clientes!$C$4:$C$39),Cadastros!$L$6:$L$12,Cadastros!$M$6:$M$12)," ")</f>
        <v xml:space="preserve"> </v>
      </c>
      <c r="M418" s="28"/>
      <c r="N418" s="28"/>
      <c r="O418" s="255" t="str">
        <f>IF(M418="","",(_xlfn.XLOOKUP(M418,Cadastros!$D$6:$D$90,Cadastros!$E$6:$E$90))*(1-_xlfn.XLOOKUP(_xlfn.XLOOKUP($F418,Clientes!$B$4:$B$39,Clientes!$C$4:$C$39),Cadastros!$L$6:$L$12,Cadastros!$N$6:$N$12)))</f>
        <v/>
      </c>
      <c r="P418" s="168" t="str">
        <f t="shared" si="80"/>
        <v/>
      </c>
      <c r="Q418" s="168" t="str">
        <f>IFERROR(P418/_xlfn.XLOOKUP(_xlfn.XLOOKUP($F418,Clientes!$B$4:$B$39,Clientes!$C$4:$C$39),Cadastros!$L$6:$L$12,Cadastros!$M$6:$M$12)," ")</f>
        <v xml:space="preserve"> </v>
      </c>
      <c r="R418" s="28"/>
      <c r="S418" s="28"/>
      <c r="T418" s="255" t="str">
        <f>IF(R418="","",(_xlfn.XLOOKUP(R418,Cadastros!$D$6:$D$90,Cadastros!$E$6:$E$90))*(1-_xlfn.XLOOKUP(_xlfn.XLOOKUP($F418,Clientes!$B$4:$B$39,Clientes!$C$4:$C$39),Cadastros!$L$6:$L$12,Cadastros!$N$6:$N$12)))</f>
        <v/>
      </c>
      <c r="U418" s="168" t="str">
        <f t="shared" si="81"/>
        <v/>
      </c>
      <c r="V418" s="168" t="str">
        <f>IFERROR(U418/_xlfn.XLOOKUP(_xlfn.XLOOKUP($F418,Clientes!$B$4:$B$39,Clientes!$C$4:$C$39),Cadastros!$L$6:$L$12,Cadastros!$M$6:$M$12)," ")</f>
        <v xml:space="preserve"> </v>
      </c>
      <c r="W418" s="28"/>
      <c r="X418" s="28"/>
      <c r="Y418" s="255" t="str">
        <f>IF(W418="","",(_xlfn.XLOOKUP(W418,Cadastros!$D$6:$D$90,Cadastros!$E$6:$E$90))*(1-_xlfn.XLOOKUP(_xlfn.XLOOKUP($F418,Clientes!$B$4:$B$39,Clientes!$C$4:$C$39),Cadastros!$L$6:$L$12,Cadastros!$N$6:$N$12)))</f>
        <v/>
      </c>
      <c r="Z418" s="168" t="str">
        <f t="shared" si="82"/>
        <v/>
      </c>
      <c r="AA418" s="168" t="str">
        <f>IFERROR(Z418/_xlfn.XLOOKUP(_xlfn.XLOOKUP($F418,Clientes!$B$4:$B$39,Clientes!$C$4:$C$39),Cadastros!$L$6:$L$12,Cadastros!$M$6:$M$12)," ")</f>
        <v xml:space="preserve"> </v>
      </c>
      <c r="AB418" s="28"/>
      <c r="AC418" s="28"/>
      <c r="AD418" s="20" t="str">
        <f>IF(AB418="","",IF($F418="Bernardino Furlan",_xlfn.XLOOKUP(AB418,Cadastros!$G$6:$G$90,Cadastros!$H$6:$H$90)*(1-0.18),IF($F418="Mauro José Salanti",_xlfn.XLOOKUP(AB418,Cadastros!$G$6:$G$90,Cadastros!$H$6:$H$90)*(1-0.18),_xlfn.XLOOKUP(AB418,Cadastros!$G$6:$G$90,Cadastros!$H$6:$H$90))))</f>
        <v/>
      </c>
      <c r="AE418" s="168" t="str">
        <f t="shared" si="83"/>
        <v/>
      </c>
      <c r="AF418" s="168" t="str">
        <f t="shared" si="84"/>
        <v/>
      </c>
      <c r="AG418" s="28"/>
      <c r="AH418" s="28"/>
      <c r="AI418" s="20" t="str">
        <f>IF(AG418="","",IF($F418="Bernardino Furlan",_xlfn.XLOOKUP(AG418,Cadastros!$G$6:$G$90,Cadastros!$H$6:$H$90)*(1-0.18),IF($F418="Mauro José Salanti",_xlfn.XLOOKUP(AG418,Cadastros!$G$6:$G$90,Cadastros!$H$6:$H$90)*(1-0.18),_xlfn.XLOOKUP(AG418,Cadastros!$G$6:$G$90,Cadastros!$H$6:$H$90))))</f>
        <v/>
      </c>
      <c r="AJ418" s="168" t="str">
        <f t="shared" si="85"/>
        <v/>
      </c>
      <c r="AK418" s="168" t="str">
        <f t="shared" si="86"/>
        <v/>
      </c>
      <c r="AL418" s="28"/>
      <c r="AM418" s="28"/>
      <c r="AN418" s="20" t="str">
        <f>IF(AL418="","",IF($F418="Bernardino Furlan",_xlfn.XLOOKUP(AL418,Cadastros!$G$6:$G$90,Cadastros!$H$6:$H$90)*(1-0.18),IF($F418="Mauro José Salanti",_xlfn.XLOOKUP(AL418,Cadastros!$G$6:$G$90,Cadastros!$H$6:$H$90)*(1-0.18),_xlfn.XLOOKUP(AL418,Cadastros!$G$6:$G$90,Cadastros!$H$6:$H$90))))</f>
        <v/>
      </c>
      <c r="AO418" s="168" t="str">
        <f t="shared" si="87"/>
        <v/>
      </c>
      <c r="AP418" s="168" t="str">
        <f t="shared" si="88"/>
        <v/>
      </c>
      <c r="AQ418" s="28"/>
      <c r="AR418" s="28"/>
      <c r="AS418" s="20" t="str">
        <f>IF(AQ418="","",IF($F418="Bernardino Furlan",_xlfn.XLOOKUP(AQ418,Cadastros!$G$6:$G$90,Cadastros!$H$6:$H$90)*(1-0.18),IF($F418="Mauro José Salanti",_xlfn.XLOOKUP(AQ418,Cadastros!$G$6:$G$90,Cadastros!$H$6:$H$90)*(1-0.18),_xlfn.XLOOKUP(AQ418,Cadastros!$G$6:$G$90,Cadastros!$H$6:$H$90))))</f>
        <v/>
      </c>
      <c r="AT418" s="168" t="str">
        <f t="shared" si="89"/>
        <v/>
      </c>
      <c r="AU418" s="168" t="str">
        <f t="shared" si="90"/>
        <v/>
      </c>
      <c r="AV418" s="227"/>
      <c r="AW418" s="30"/>
      <c r="AX418" s="267"/>
      <c r="AY418" s="267"/>
      <c r="AZ418" s="29"/>
      <c r="BA418" s="30"/>
      <c r="BB418" s="23" t="str" cm="1">
        <f t="array" ref="BB418">_xlfn.IFS(AW418="SIM",SUM(K418,P418,U418,Z418,AE418,AJ418,AO418,AT418,AX418,AY418),F418&lt;&gt;"",SUM(K418,P418,U418,Z418,AE418,AJ418,,AO418,AT418),F418="","")</f>
        <v/>
      </c>
      <c r="BC418" s="211" t="str" cm="1">
        <f t="array" ref="BC418">_xlfn.IFS(E418="","",G418&lt;=E418,BB418*(1-0.03),G418&lt;(E418+8),BB418,AZ418="Boleto",BB418*(1+0.001)^DATEDIF(E418,G418,"D"),AZ418="Cheque",BB418,AZ418="Dinheiro","Alterar forma pgto")</f>
        <v/>
      </c>
      <c r="BD418" s="276" t="str" cm="1">
        <f t="array" ref="BD418">IF(F418=0," ",IF(BC418&lt;BB418,(_xlfn.IFS(AW418="SIM",SUM(L418,Q418,V418,AA418,AF418,AK418,AP418,AU418)+AX418/_xlfn.XLOOKUP(_xlfn.XLOOKUP($F418,Clientes!$B$4:$B$39,Clientes!$C$4:$C$39),Cadastros!$L$6:$L$12,Cadastros!$M$6:$M$12)+IF($F418="Bernardino Furlan",AY418/2751.92,IF($F418="Mauro José Salanti",AY418/2751.92,AY418/3356)),F418&lt;&gt;0,SUM(L418,Q418,V418,AA418,AF418,AK418,AP418,AU418)))*(1-0.03),_xlfn.IFS(AW418="SIM",SUM(L418,Q418,V418,AA418,AF418,AK418,AP418,AU418)+AX418/_xlfn.XLOOKUP(_xlfn.XLOOKUP($F418,Clientes!$B$4:$B$39,Clientes!$C$4:$C$39),Cadastros!$L$6:$L$12,Cadastros!$M$6:$M$12)+IF($F418="Bernardino Furlan",AY418/2751.92,IF($F418="Mauro José Salanti",AY418/2751.92,AY418/3356)),F418&lt;&gt;0,SUM(L418,Q418,V418,AA418,AF418,AK418,AP418,AU418))))</f>
        <v xml:space="preserve"> </v>
      </c>
      <c r="BE418" s="120"/>
      <c r="BF418" s="120"/>
      <c r="BG418" s="120"/>
    </row>
    <row r="419" spans="1:59" s="3" customFormat="1" x14ac:dyDescent="0.3">
      <c r="A419" s="15" t="str">
        <f t="shared" si="78"/>
        <v/>
      </c>
      <c r="B419" s="34"/>
      <c r="C419" s="35"/>
      <c r="D419" s="280"/>
      <c r="E419" s="36"/>
      <c r="F419" s="37"/>
      <c r="G419" s="36"/>
      <c r="H419" s="37"/>
      <c r="I419" s="37"/>
      <c r="J419" s="255" t="str">
        <f>IF(H419="","",(_xlfn.XLOOKUP(H419,Cadastros!$D$6:$D$90,Cadastros!$E$6:$E$90))*(1-_xlfn.XLOOKUP(_xlfn.XLOOKUP($F419,Clientes!$B$4:$B$39,Clientes!$C$4:$C$39),Cadastros!$L$6:$L$12,Cadastros!$N$6:$N$12)))</f>
        <v/>
      </c>
      <c r="K419" s="168" t="str">
        <f t="shared" si="79"/>
        <v/>
      </c>
      <c r="L419" s="168" t="str">
        <f>IFERROR(K419/_xlfn.XLOOKUP(_xlfn.XLOOKUP($F419,Clientes!$B$4:$B$39,Clientes!$C$4:$C$39),Cadastros!$L$6:$L$12,Cadastros!$M$6:$M$12)," ")</f>
        <v xml:space="preserve"> </v>
      </c>
      <c r="M419" s="37"/>
      <c r="N419" s="37"/>
      <c r="O419" s="255" t="str">
        <f>IF(M419="","",(_xlfn.XLOOKUP(M419,Cadastros!$D$6:$D$90,Cadastros!$E$6:$E$90))*(1-_xlfn.XLOOKUP(_xlfn.XLOOKUP($F419,Clientes!$B$4:$B$39,Clientes!$C$4:$C$39),Cadastros!$L$6:$L$12,Cadastros!$N$6:$N$12)))</f>
        <v/>
      </c>
      <c r="P419" s="168" t="str">
        <f t="shared" si="80"/>
        <v/>
      </c>
      <c r="Q419" s="168" t="str">
        <f>IFERROR(P419/_xlfn.XLOOKUP(_xlfn.XLOOKUP($F419,Clientes!$B$4:$B$39,Clientes!$C$4:$C$39),Cadastros!$L$6:$L$12,Cadastros!$M$6:$M$12)," ")</f>
        <v xml:space="preserve"> </v>
      </c>
      <c r="R419" s="37"/>
      <c r="S419" s="37"/>
      <c r="T419" s="255" t="str">
        <f>IF(R419="","",(_xlfn.XLOOKUP(R419,Cadastros!$D$6:$D$90,Cadastros!$E$6:$E$90))*(1-_xlfn.XLOOKUP(_xlfn.XLOOKUP($F419,Clientes!$B$4:$B$39,Clientes!$C$4:$C$39),Cadastros!$L$6:$L$12,Cadastros!$N$6:$N$12)))</f>
        <v/>
      </c>
      <c r="U419" s="168" t="str">
        <f t="shared" si="81"/>
        <v/>
      </c>
      <c r="V419" s="168" t="str">
        <f>IFERROR(U419/_xlfn.XLOOKUP(_xlfn.XLOOKUP($F419,Clientes!$B$4:$B$39,Clientes!$C$4:$C$39),Cadastros!$L$6:$L$12,Cadastros!$M$6:$M$12)," ")</f>
        <v xml:space="preserve"> </v>
      </c>
      <c r="W419" s="37"/>
      <c r="X419" s="37"/>
      <c r="Y419" s="255" t="str">
        <f>IF(W419="","",(_xlfn.XLOOKUP(W419,Cadastros!$D$6:$D$90,Cadastros!$E$6:$E$90))*(1-_xlfn.XLOOKUP(_xlfn.XLOOKUP($F419,Clientes!$B$4:$B$39,Clientes!$C$4:$C$39),Cadastros!$L$6:$L$12,Cadastros!$N$6:$N$12)))</f>
        <v/>
      </c>
      <c r="Z419" s="168" t="str">
        <f t="shared" si="82"/>
        <v/>
      </c>
      <c r="AA419" s="168" t="str">
        <f>IFERROR(Z419/_xlfn.XLOOKUP(_xlfn.XLOOKUP($F419,Clientes!$B$4:$B$39,Clientes!$C$4:$C$39),Cadastros!$L$6:$L$12,Cadastros!$M$6:$M$12)," ")</f>
        <v xml:space="preserve"> </v>
      </c>
      <c r="AB419" s="37"/>
      <c r="AC419" s="37"/>
      <c r="AD419" s="20" t="str">
        <f>IF(AB419="","",IF($F419="Bernardino Furlan",_xlfn.XLOOKUP(AB419,Cadastros!$G$6:$G$90,Cadastros!$H$6:$H$90)*(1-0.18),IF($F419="Mauro José Salanti",_xlfn.XLOOKUP(AB419,Cadastros!$G$6:$G$90,Cadastros!$H$6:$H$90)*(1-0.18),_xlfn.XLOOKUP(AB419,Cadastros!$G$6:$G$90,Cadastros!$H$6:$H$90))))</f>
        <v/>
      </c>
      <c r="AE419" s="168" t="str">
        <f t="shared" si="83"/>
        <v/>
      </c>
      <c r="AF419" s="168" t="str">
        <f t="shared" si="84"/>
        <v/>
      </c>
      <c r="AG419" s="37"/>
      <c r="AH419" s="37"/>
      <c r="AI419" s="20" t="str">
        <f>IF(AG419="","",IF($F419="Bernardino Furlan",_xlfn.XLOOKUP(AG419,Cadastros!$G$6:$G$90,Cadastros!$H$6:$H$90)*(1-0.18),IF($F419="Mauro José Salanti",_xlfn.XLOOKUP(AG419,Cadastros!$G$6:$G$90,Cadastros!$H$6:$H$90)*(1-0.18),_xlfn.XLOOKUP(AG419,Cadastros!$G$6:$G$90,Cadastros!$H$6:$H$90))))</f>
        <v/>
      </c>
      <c r="AJ419" s="168" t="str">
        <f t="shared" si="85"/>
        <v/>
      </c>
      <c r="AK419" s="168" t="str">
        <f t="shared" si="86"/>
        <v/>
      </c>
      <c r="AL419" s="37"/>
      <c r="AM419" s="37"/>
      <c r="AN419" s="20" t="str">
        <f>IF(AL419="","",IF($F419="Bernardino Furlan",_xlfn.XLOOKUP(AL419,Cadastros!$G$6:$G$90,Cadastros!$H$6:$H$90)*(1-0.18),IF($F419="Mauro José Salanti",_xlfn.XLOOKUP(AL419,Cadastros!$G$6:$G$90,Cadastros!$H$6:$H$90)*(1-0.18),_xlfn.XLOOKUP(AL419,Cadastros!$G$6:$G$90,Cadastros!$H$6:$H$90))))</f>
        <v/>
      </c>
      <c r="AO419" s="168" t="str">
        <f t="shared" si="87"/>
        <v/>
      </c>
      <c r="AP419" s="168" t="str">
        <f t="shared" si="88"/>
        <v/>
      </c>
      <c r="AQ419" s="37"/>
      <c r="AR419" s="37"/>
      <c r="AS419" s="20" t="str">
        <f>IF(AQ419="","",IF($F419="Bernardino Furlan",_xlfn.XLOOKUP(AQ419,Cadastros!$G$6:$G$90,Cadastros!$H$6:$H$90)*(1-0.18),IF($F419="Mauro José Salanti",_xlfn.XLOOKUP(AQ419,Cadastros!$G$6:$G$90,Cadastros!$H$6:$H$90)*(1-0.18),_xlfn.XLOOKUP(AQ419,Cadastros!$G$6:$G$90,Cadastros!$H$6:$H$90))))</f>
        <v/>
      </c>
      <c r="AT419" s="168" t="str">
        <f t="shared" si="89"/>
        <v/>
      </c>
      <c r="AU419" s="168" t="str">
        <f t="shared" si="90"/>
        <v/>
      </c>
      <c r="AV419" s="228"/>
      <c r="AW419" s="38"/>
      <c r="AX419" s="268"/>
      <c r="AY419" s="268"/>
      <c r="AZ419" s="33"/>
      <c r="BA419" s="38"/>
      <c r="BB419" s="23" t="str" cm="1">
        <f t="array" ref="BB419">_xlfn.IFS(AW419="SIM",SUM(K419,P419,U419,Z419,AE419,AJ419,AO419,AT419,AX419,AY419),F419&lt;&gt;"",SUM(K419,P419,U419,Z419,AE419,AJ419,,AO419,AT419),F419="","")</f>
        <v/>
      </c>
      <c r="BC419" s="211" t="str" cm="1">
        <f t="array" ref="BC419">_xlfn.IFS(E419="","",G419&lt;=E419,BB419*(1-0.03),G419&lt;(E419+8),BB419,AZ419="Boleto",BB419*(1+0.001)^DATEDIF(E419,G419,"D"),AZ419="Cheque",BB419,AZ419="Dinheiro","Alterar forma pgto")</f>
        <v/>
      </c>
      <c r="BD419" s="276" t="str" cm="1">
        <f t="array" ref="BD419">IF(F419=0," ",IF(BC419&lt;BB419,(_xlfn.IFS(AW419="SIM",SUM(L419,Q419,V419,AA419,AF419,AK419,AP419,AU419)+AX419/_xlfn.XLOOKUP(_xlfn.XLOOKUP($F419,Clientes!$B$4:$B$39,Clientes!$C$4:$C$39),Cadastros!$L$6:$L$12,Cadastros!$M$6:$M$12)+IF($F419="Bernardino Furlan",AY419/2751.92,IF($F419="Mauro José Salanti",AY419/2751.92,AY419/3356)),F419&lt;&gt;0,SUM(L419,Q419,V419,AA419,AF419,AK419,AP419,AU419)))*(1-0.03),_xlfn.IFS(AW419="SIM",SUM(L419,Q419,V419,AA419,AF419,AK419,AP419,AU419)+AX419/_xlfn.XLOOKUP(_xlfn.XLOOKUP($F419,Clientes!$B$4:$B$39,Clientes!$C$4:$C$39),Cadastros!$L$6:$L$12,Cadastros!$M$6:$M$12)+IF($F419="Bernardino Furlan",AY419/2751.92,IF($F419="Mauro José Salanti",AY419/2751.92,AY419/3356)),F419&lt;&gt;0,SUM(L419,Q419,V419,AA419,AF419,AK419,AP419,AU419))))</f>
        <v xml:space="preserve"> </v>
      </c>
      <c r="BE419" s="120"/>
      <c r="BF419" s="120"/>
      <c r="BG419" s="120"/>
    </row>
    <row r="420" spans="1:59" s="3" customFormat="1" x14ac:dyDescent="0.3">
      <c r="A420" s="15" t="str">
        <f t="shared" si="78"/>
        <v/>
      </c>
      <c r="B420" s="25"/>
      <c r="C420" s="26"/>
      <c r="D420" s="279"/>
      <c r="E420" s="27"/>
      <c r="F420" s="28"/>
      <c r="G420" s="27"/>
      <c r="H420" s="28"/>
      <c r="I420" s="28"/>
      <c r="J420" s="255" t="str">
        <f>IF(H420="","",(_xlfn.XLOOKUP(H420,Cadastros!$D$6:$D$90,Cadastros!$E$6:$E$90))*(1-_xlfn.XLOOKUP(_xlfn.XLOOKUP($F420,Clientes!$B$4:$B$39,Clientes!$C$4:$C$39),Cadastros!$L$6:$L$12,Cadastros!$N$6:$N$12)))</f>
        <v/>
      </c>
      <c r="K420" s="168" t="str">
        <f t="shared" si="79"/>
        <v/>
      </c>
      <c r="L420" s="168" t="str">
        <f>IFERROR(K420/_xlfn.XLOOKUP(_xlfn.XLOOKUP($F420,Clientes!$B$4:$B$39,Clientes!$C$4:$C$39),Cadastros!$L$6:$L$12,Cadastros!$M$6:$M$12)," ")</f>
        <v xml:space="preserve"> </v>
      </c>
      <c r="M420" s="28"/>
      <c r="N420" s="28"/>
      <c r="O420" s="255" t="str">
        <f>IF(M420="","",(_xlfn.XLOOKUP(M420,Cadastros!$D$6:$D$90,Cadastros!$E$6:$E$90))*(1-_xlfn.XLOOKUP(_xlfn.XLOOKUP($F420,Clientes!$B$4:$B$39,Clientes!$C$4:$C$39),Cadastros!$L$6:$L$12,Cadastros!$N$6:$N$12)))</f>
        <v/>
      </c>
      <c r="P420" s="168" t="str">
        <f t="shared" si="80"/>
        <v/>
      </c>
      <c r="Q420" s="168" t="str">
        <f>IFERROR(P420/_xlfn.XLOOKUP(_xlfn.XLOOKUP($F420,Clientes!$B$4:$B$39,Clientes!$C$4:$C$39),Cadastros!$L$6:$L$12,Cadastros!$M$6:$M$12)," ")</f>
        <v xml:space="preserve"> </v>
      </c>
      <c r="R420" s="28"/>
      <c r="S420" s="28"/>
      <c r="T420" s="255" t="str">
        <f>IF(R420="","",(_xlfn.XLOOKUP(R420,Cadastros!$D$6:$D$90,Cadastros!$E$6:$E$90))*(1-_xlfn.XLOOKUP(_xlfn.XLOOKUP($F420,Clientes!$B$4:$B$39,Clientes!$C$4:$C$39),Cadastros!$L$6:$L$12,Cadastros!$N$6:$N$12)))</f>
        <v/>
      </c>
      <c r="U420" s="168" t="str">
        <f t="shared" si="81"/>
        <v/>
      </c>
      <c r="V420" s="168" t="str">
        <f>IFERROR(U420/_xlfn.XLOOKUP(_xlfn.XLOOKUP($F420,Clientes!$B$4:$B$39,Clientes!$C$4:$C$39),Cadastros!$L$6:$L$12,Cadastros!$M$6:$M$12)," ")</f>
        <v xml:space="preserve"> </v>
      </c>
      <c r="W420" s="28"/>
      <c r="X420" s="28"/>
      <c r="Y420" s="255" t="str">
        <f>IF(W420="","",(_xlfn.XLOOKUP(W420,Cadastros!$D$6:$D$90,Cadastros!$E$6:$E$90))*(1-_xlfn.XLOOKUP(_xlfn.XLOOKUP($F420,Clientes!$B$4:$B$39,Clientes!$C$4:$C$39),Cadastros!$L$6:$L$12,Cadastros!$N$6:$N$12)))</f>
        <v/>
      </c>
      <c r="Z420" s="168" t="str">
        <f t="shared" si="82"/>
        <v/>
      </c>
      <c r="AA420" s="168" t="str">
        <f>IFERROR(Z420/_xlfn.XLOOKUP(_xlfn.XLOOKUP($F420,Clientes!$B$4:$B$39,Clientes!$C$4:$C$39),Cadastros!$L$6:$L$12,Cadastros!$M$6:$M$12)," ")</f>
        <v xml:space="preserve"> </v>
      </c>
      <c r="AB420" s="28"/>
      <c r="AC420" s="28"/>
      <c r="AD420" s="20" t="str">
        <f>IF(AB420="","",IF($F420="Bernardino Furlan",_xlfn.XLOOKUP(AB420,Cadastros!$G$6:$G$90,Cadastros!$H$6:$H$90)*(1-0.18),IF($F420="Mauro José Salanti",_xlfn.XLOOKUP(AB420,Cadastros!$G$6:$G$90,Cadastros!$H$6:$H$90)*(1-0.18),_xlfn.XLOOKUP(AB420,Cadastros!$G$6:$G$90,Cadastros!$H$6:$H$90))))</f>
        <v/>
      </c>
      <c r="AE420" s="168" t="str">
        <f t="shared" si="83"/>
        <v/>
      </c>
      <c r="AF420" s="168" t="str">
        <f t="shared" si="84"/>
        <v/>
      </c>
      <c r="AG420" s="28"/>
      <c r="AH420" s="28"/>
      <c r="AI420" s="20" t="str">
        <f>IF(AG420="","",IF($F420="Bernardino Furlan",_xlfn.XLOOKUP(AG420,Cadastros!$G$6:$G$90,Cadastros!$H$6:$H$90)*(1-0.18),IF($F420="Mauro José Salanti",_xlfn.XLOOKUP(AG420,Cadastros!$G$6:$G$90,Cadastros!$H$6:$H$90)*(1-0.18),_xlfn.XLOOKUP(AG420,Cadastros!$G$6:$G$90,Cadastros!$H$6:$H$90))))</f>
        <v/>
      </c>
      <c r="AJ420" s="168" t="str">
        <f t="shared" si="85"/>
        <v/>
      </c>
      <c r="AK420" s="168" t="str">
        <f t="shared" si="86"/>
        <v/>
      </c>
      <c r="AL420" s="28"/>
      <c r="AM420" s="28"/>
      <c r="AN420" s="20" t="str">
        <f>IF(AL420="","",IF($F420="Bernardino Furlan",_xlfn.XLOOKUP(AL420,Cadastros!$G$6:$G$90,Cadastros!$H$6:$H$90)*(1-0.18),IF($F420="Mauro José Salanti",_xlfn.XLOOKUP(AL420,Cadastros!$G$6:$G$90,Cadastros!$H$6:$H$90)*(1-0.18),_xlfn.XLOOKUP(AL420,Cadastros!$G$6:$G$90,Cadastros!$H$6:$H$90))))</f>
        <v/>
      </c>
      <c r="AO420" s="168" t="str">
        <f t="shared" si="87"/>
        <v/>
      </c>
      <c r="AP420" s="168" t="str">
        <f t="shared" si="88"/>
        <v/>
      </c>
      <c r="AQ420" s="28"/>
      <c r="AR420" s="28"/>
      <c r="AS420" s="20" t="str">
        <f>IF(AQ420="","",IF($F420="Bernardino Furlan",_xlfn.XLOOKUP(AQ420,Cadastros!$G$6:$G$90,Cadastros!$H$6:$H$90)*(1-0.18),IF($F420="Mauro José Salanti",_xlfn.XLOOKUP(AQ420,Cadastros!$G$6:$G$90,Cadastros!$H$6:$H$90)*(1-0.18),_xlfn.XLOOKUP(AQ420,Cadastros!$G$6:$G$90,Cadastros!$H$6:$H$90))))</f>
        <v/>
      </c>
      <c r="AT420" s="168" t="str">
        <f t="shared" si="89"/>
        <v/>
      </c>
      <c r="AU420" s="168" t="str">
        <f t="shared" si="90"/>
        <v/>
      </c>
      <c r="AV420" s="227"/>
      <c r="AW420" s="30"/>
      <c r="AX420" s="267"/>
      <c r="AY420" s="267"/>
      <c r="AZ420" s="29"/>
      <c r="BA420" s="30"/>
      <c r="BB420" s="23" t="str" cm="1">
        <f t="array" ref="BB420">_xlfn.IFS(AW420="SIM",SUM(K420,P420,U420,Z420,AE420,AJ420,AO420,AT420,AX420,AY420),F420&lt;&gt;"",SUM(K420,P420,U420,Z420,AE420,AJ420,,AO420,AT420),F420="","")</f>
        <v/>
      </c>
      <c r="BC420" s="211" t="str" cm="1">
        <f t="array" ref="BC420">_xlfn.IFS(E420="","",G420&lt;=E420,BB420*(1-0.03),G420&lt;(E420+8),BB420,AZ420="Boleto",BB420*(1+0.001)^DATEDIF(E420,G420,"D"),AZ420="Cheque",BB420,AZ420="Dinheiro","Alterar forma pgto")</f>
        <v/>
      </c>
      <c r="BD420" s="276" t="str" cm="1">
        <f t="array" ref="BD420">IF(F420=0," ",IF(BC420&lt;BB420,(_xlfn.IFS(AW420="SIM",SUM(L420,Q420,V420,AA420,AF420,AK420,AP420,AU420)+AX420/_xlfn.XLOOKUP(_xlfn.XLOOKUP($F420,Clientes!$B$4:$B$39,Clientes!$C$4:$C$39),Cadastros!$L$6:$L$12,Cadastros!$M$6:$M$12)+IF($F420="Bernardino Furlan",AY420/2751.92,IF($F420="Mauro José Salanti",AY420/2751.92,AY420/3356)),F420&lt;&gt;0,SUM(L420,Q420,V420,AA420,AF420,AK420,AP420,AU420)))*(1-0.03),_xlfn.IFS(AW420="SIM",SUM(L420,Q420,V420,AA420,AF420,AK420,AP420,AU420)+AX420/_xlfn.XLOOKUP(_xlfn.XLOOKUP($F420,Clientes!$B$4:$B$39,Clientes!$C$4:$C$39),Cadastros!$L$6:$L$12,Cadastros!$M$6:$M$12)+IF($F420="Bernardino Furlan",AY420/2751.92,IF($F420="Mauro José Salanti",AY420/2751.92,AY420/3356)),F420&lt;&gt;0,SUM(L420,Q420,V420,AA420,AF420,AK420,AP420,AU420))))</f>
        <v xml:space="preserve"> </v>
      </c>
      <c r="BE420" s="120"/>
      <c r="BF420" s="120"/>
      <c r="BG420" s="120"/>
    </row>
    <row r="421" spans="1:59" s="3" customFormat="1" x14ac:dyDescent="0.3">
      <c r="A421" s="15" t="str">
        <f t="shared" si="78"/>
        <v/>
      </c>
      <c r="B421" s="25"/>
      <c r="C421" s="26"/>
      <c r="D421" s="279"/>
      <c r="E421" s="27"/>
      <c r="F421" s="28"/>
      <c r="G421" s="27"/>
      <c r="H421" s="28"/>
      <c r="I421" s="28"/>
      <c r="J421" s="255" t="str">
        <f>IF(H421="","",(_xlfn.XLOOKUP(H421,Cadastros!$D$6:$D$90,Cadastros!$E$6:$E$90))*(1-_xlfn.XLOOKUP(_xlfn.XLOOKUP($F421,Clientes!$B$4:$B$39,Clientes!$C$4:$C$39),Cadastros!$L$6:$L$12,Cadastros!$N$6:$N$12)))</f>
        <v/>
      </c>
      <c r="K421" s="168" t="str">
        <f t="shared" si="79"/>
        <v/>
      </c>
      <c r="L421" s="168" t="str">
        <f>IFERROR(K421/_xlfn.XLOOKUP(_xlfn.XLOOKUP($F421,Clientes!$B$4:$B$39,Clientes!$C$4:$C$39),Cadastros!$L$6:$L$12,Cadastros!$M$6:$M$12)," ")</f>
        <v xml:space="preserve"> </v>
      </c>
      <c r="M421" s="28"/>
      <c r="N421" s="28"/>
      <c r="O421" s="255" t="str">
        <f>IF(M421="","",(_xlfn.XLOOKUP(M421,Cadastros!$D$6:$D$90,Cadastros!$E$6:$E$90))*(1-_xlfn.XLOOKUP(_xlfn.XLOOKUP($F421,Clientes!$B$4:$B$39,Clientes!$C$4:$C$39),Cadastros!$L$6:$L$12,Cadastros!$N$6:$N$12)))</f>
        <v/>
      </c>
      <c r="P421" s="168" t="str">
        <f t="shared" si="80"/>
        <v/>
      </c>
      <c r="Q421" s="168" t="str">
        <f>IFERROR(P421/_xlfn.XLOOKUP(_xlfn.XLOOKUP($F421,Clientes!$B$4:$B$39,Clientes!$C$4:$C$39),Cadastros!$L$6:$L$12,Cadastros!$M$6:$M$12)," ")</f>
        <v xml:space="preserve"> </v>
      </c>
      <c r="R421" s="28"/>
      <c r="S421" s="28"/>
      <c r="T421" s="255" t="str">
        <f>IF(R421="","",(_xlfn.XLOOKUP(R421,Cadastros!$D$6:$D$90,Cadastros!$E$6:$E$90))*(1-_xlfn.XLOOKUP(_xlfn.XLOOKUP($F421,Clientes!$B$4:$B$39,Clientes!$C$4:$C$39),Cadastros!$L$6:$L$12,Cadastros!$N$6:$N$12)))</f>
        <v/>
      </c>
      <c r="U421" s="168" t="str">
        <f t="shared" si="81"/>
        <v/>
      </c>
      <c r="V421" s="168" t="str">
        <f>IFERROR(U421/_xlfn.XLOOKUP(_xlfn.XLOOKUP($F421,Clientes!$B$4:$B$39,Clientes!$C$4:$C$39),Cadastros!$L$6:$L$12,Cadastros!$M$6:$M$12)," ")</f>
        <v xml:space="preserve"> </v>
      </c>
      <c r="W421" s="28"/>
      <c r="X421" s="28"/>
      <c r="Y421" s="255" t="str">
        <f>IF(W421="","",(_xlfn.XLOOKUP(W421,Cadastros!$D$6:$D$90,Cadastros!$E$6:$E$90))*(1-_xlfn.XLOOKUP(_xlfn.XLOOKUP($F421,Clientes!$B$4:$B$39,Clientes!$C$4:$C$39),Cadastros!$L$6:$L$12,Cadastros!$N$6:$N$12)))</f>
        <v/>
      </c>
      <c r="Z421" s="168" t="str">
        <f t="shared" si="82"/>
        <v/>
      </c>
      <c r="AA421" s="168" t="str">
        <f>IFERROR(Z421/_xlfn.XLOOKUP(_xlfn.XLOOKUP($F421,Clientes!$B$4:$B$39,Clientes!$C$4:$C$39),Cadastros!$L$6:$L$12,Cadastros!$M$6:$M$12)," ")</f>
        <v xml:space="preserve"> </v>
      </c>
      <c r="AB421" s="28"/>
      <c r="AC421" s="28"/>
      <c r="AD421" s="20" t="str">
        <f>IF(AB421="","",IF($F421="Bernardino Furlan",_xlfn.XLOOKUP(AB421,Cadastros!$G$6:$G$90,Cadastros!$H$6:$H$90)*(1-0.18),IF($F421="Mauro José Salanti",_xlfn.XLOOKUP(AB421,Cadastros!$G$6:$G$90,Cadastros!$H$6:$H$90)*(1-0.18),_xlfn.XLOOKUP(AB421,Cadastros!$G$6:$G$90,Cadastros!$H$6:$H$90))))</f>
        <v/>
      </c>
      <c r="AE421" s="168" t="str">
        <f t="shared" si="83"/>
        <v/>
      </c>
      <c r="AF421" s="168" t="str">
        <f t="shared" si="84"/>
        <v/>
      </c>
      <c r="AG421" s="28"/>
      <c r="AH421" s="28"/>
      <c r="AI421" s="20" t="str">
        <f>IF(AG421="","",IF($F421="Bernardino Furlan",_xlfn.XLOOKUP(AG421,Cadastros!$G$6:$G$90,Cadastros!$H$6:$H$90)*(1-0.18),IF($F421="Mauro José Salanti",_xlfn.XLOOKUP(AG421,Cadastros!$G$6:$G$90,Cadastros!$H$6:$H$90)*(1-0.18),_xlfn.XLOOKUP(AG421,Cadastros!$G$6:$G$90,Cadastros!$H$6:$H$90))))</f>
        <v/>
      </c>
      <c r="AJ421" s="168" t="str">
        <f t="shared" si="85"/>
        <v/>
      </c>
      <c r="AK421" s="168" t="str">
        <f t="shared" si="86"/>
        <v/>
      </c>
      <c r="AL421" s="28"/>
      <c r="AM421" s="28"/>
      <c r="AN421" s="20" t="str">
        <f>IF(AL421="","",IF($F421="Bernardino Furlan",_xlfn.XLOOKUP(AL421,Cadastros!$G$6:$G$90,Cadastros!$H$6:$H$90)*(1-0.18),IF($F421="Mauro José Salanti",_xlfn.XLOOKUP(AL421,Cadastros!$G$6:$G$90,Cadastros!$H$6:$H$90)*(1-0.18),_xlfn.XLOOKUP(AL421,Cadastros!$G$6:$G$90,Cadastros!$H$6:$H$90))))</f>
        <v/>
      </c>
      <c r="AO421" s="168" t="str">
        <f t="shared" si="87"/>
        <v/>
      </c>
      <c r="AP421" s="168" t="str">
        <f t="shared" si="88"/>
        <v/>
      </c>
      <c r="AQ421" s="28"/>
      <c r="AR421" s="28"/>
      <c r="AS421" s="20" t="str">
        <f>IF(AQ421="","",IF($F421="Bernardino Furlan",_xlfn.XLOOKUP(AQ421,Cadastros!$G$6:$G$90,Cadastros!$H$6:$H$90)*(1-0.18),IF($F421="Mauro José Salanti",_xlfn.XLOOKUP(AQ421,Cadastros!$G$6:$G$90,Cadastros!$H$6:$H$90)*(1-0.18),_xlfn.XLOOKUP(AQ421,Cadastros!$G$6:$G$90,Cadastros!$H$6:$H$90))))</f>
        <v/>
      </c>
      <c r="AT421" s="168" t="str">
        <f t="shared" si="89"/>
        <v/>
      </c>
      <c r="AU421" s="168" t="str">
        <f t="shared" si="90"/>
        <v/>
      </c>
      <c r="AV421" s="227"/>
      <c r="AW421" s="30"/>
      <c r="AX421" s="267"/>
      <c r="AY421" s="267"/>
      <c r="AZ421" s="29"/>
      <c r="BA421" s="30"/>
      <c r="BB421" s="23" t="str" cm="1">
        <f t="array" ref="BB421">_xlfn.IFS(AW421="SIM",SUM(K421,P421,U421,Z421,AE421,AJ421,AO421,AT421,AX421,AY421),F421&lt;&gt;"",SUM(K421,P421,U421,Z421,AE421,AJ421,,AO421,AT421),F421="","")</f>
        <v/>
      </c>
      <c r="BC421" s="211" t="str" cm="1">
        <f t="array" ref="BC421">_xlfn.IFS(E421="","",G421&lt;=E421,BB421*(1-0.03),G421&lt;(E421+8),BB421,AZ421="Boleto",BB421*(1+0.001)^DATEDIF(E421,G421,"D"),AZ421="Cheque",BB421,AZ421="Dinheiro","Alterar forma pgto")</f>
        <v/>
      </c>
      <c r="BD421" s="276" t="str" cm="1">
        <f t="array" ref="BD421">IF(F421=0," ",IF(BC421&lt;BB421,(_xlfn.IFS(AW421="SIM",SUM(L421,Q421,V421,AA421,AF421,AK421,AP421,AU421)+AX421/_xlfn.XLOOKUP(_xlfn.XLOOKUP($F421,Clientes!$B$4:$B$39,Clientes!$C$4:$C$39),Cadastros!$L$6:$L$12,Cadastros!$M$6:$M$12)+IF($F421="Bernardino Furlan",AY421/2751.92,IF($F421="Mauro José Salanti",AY421/2751.92,AY421/3356)),F421&lt;&gt;0,SUM(L421,Q421,V421,AA421,AF421,AK421,AP421,AU421)))*(1-0.03),_xlfn.IFS(AW421="SIM",SUM(L421,Q421,V421,AA421,AF421,AK421,AP421,AU421)+AX421/_xlfn.XLOOKUP(_xlfn.XLOOKUP($F421,Clientes!$B$4:$B$39,Clientes!$C$4:$C$39),Cadastros!$L$6:$L$12,Cadastros!$M$6:$M$12)+IF($F421="Bernardino Furlan",AY421/2751.92,IF($F421="Mauro José Salanti",AY421/2751.92,AY421/3356)),F421&lt;&gt;0,SUM(L421,Q421,V421,AA421,AF421,AK421,AP421,AU421))))</f>
        <v xml:space="preserve"> </v>
      </c>
      <c r="BE421" s="120"/>
      <c r="BF421" s="120"/>
      <c r="BG421" s="120"/>
    </row>
    <row r="422" spans="1:59" s="50" customFormat="1" x14ac:dyDescent="0.3">
      <c r="A422" s="15" t="str">
        <f t="shared" si="78"/>
        <v/>
      </c>
      <c r="B422" s="34"/>
      <c r="C422" s="35"/>
      <c r="D422" s="280"/>
      <c r="E422" s="36"/>
      <c r="F422" s="37"/>
      <c r="G422" s="36"/>
      <c r="H422" s="37"/>
      <c r="I422" s="37"/>
      <c r="J422" s="255" t="str">
        <f>IF(H422="","",(_xlfn.XLOOKUP(H422,Cadastros!$D$6:$D$90,Cadastros!$E$6:$E$90))*(1-_xlfn.XLOOKUP(_xlfn.XLOOKUP($F422,Clientes!$B$4:$B$39,Clientes!$C$4:$C$39),Cadastros!$L$6:$L$12,Cadastros!$N$6:$N$12)))</f>
        <v/>
      </c>
      <c r="K422" s="168" t="str">
        <f t="shared" si="79"/>
        <v/>
      </c>
      <c r="L422" s="168" t="str">
        <f>IFERROR(K422/_xlfn.XLOOKUP(_xlfn.XLOOKUP($F422,Clientes!$B$4:$B$39,Clientes!$C$4:$C$39),Cadastros!$L$6:$L$12,Cadastros!$M$6:$M$12)," ")</f>
        <v xml:space="preserve"> </v>
      </c>
      <c r="M422" s="37"/>
      <c r="N422" s="37"/>
      <c r="O422" s="255" t="str">
        <f>IF(M422="","",(_xlfn.XLOOKUP(M422,Cadastros!$D$6:$D$90,Cadastros!$E$6:$E$90))*(1-_xlfn.XLOOKUP(_xlfn.XLOOKUP($F422,Clientes!$B$4:$B$39,Clientes!$C$4:$C$39),Cadastros!$L$6:$L$12,Cadastros!$N$6:$N$12)))</f>
        <v/>
      </c>
      <c r="P422" s="168" t="str">
        <f t="shared" si="80"/>
        <v/>
      </c>
      <c r="Q422" s="168" t="str">
        <f>IFERROR(P422/_xlfn.XLOOKUP(_xlfn.XLOOKUP($F422,Clientes!$B$4:$B$39,Clientes!$C$4:$C$39),Cadastros!$L$6:$L$12,Cadastros!$M$6:$M$12)," ")</f>
        <v xml:space="preserve"> </v>
      </c>
      <c r="R422" s="37"/>
      <c r="S422" s="37"/>
      <c r="T422" s="255" t="str">
        <f>IF(R422="","",(_xlfn.XLOOKUP(R422,Cadastros!$D$6:$D$90,Cadastros!$E$6:$E$90))*(1-_xlfn.XLOOKUP(_xlfn.XLOOKUP($F422,Clientes!$B$4:$B$39,Clientes!$C$4:$C$39),Cadastros!$L$6:$L$12,Cadastros!$N$6:$N$12)))</f>
        <v/>
      </c>
      <c r="U422" s="168" t="str">
        <f t="shared" si="81"/>
        <v/>
      </c>
      <c r="V422" s="168" t="str">
        <f>IFERROR(U422/_xlfn.XLOOKUP(_xlfn.XLOOKUP($F422,Clientes!$B$4:$B$39,Clientes!$C$4:$C$39),Cadastros!$L$6:$L$12,Cadastros!$M$6:$M$12)," ")</f>
        <v xml:space="preserve"> </v>
      </c>
      <c r="W422" s="37"/>
      <c r="X422" s="37"/>
      <c r="Y422" s="255" t="str">
        <f>IF(W422="","",(_xlfn.XLOOKUP(W422,Cadastros!$D$6:$D$90,Cadastros!$E$6:$E$90))*(1-_xlfn.XLOOKUP(_xlfn.XLOOKUP($F422,Clientes!$B$4:$B$39,Clientes!$C$4:$C$39),Cadastros!$L$6:$L$12,Cadastros!$N$6:$N$12)))</f>
        <v/>
      </c>
      <c r="Z422" s="168" t="str">
        <f t="shared" si="82"/>
        <v/>
      </c>
      <c r="AA422" s="168" t="str">
        <f>IFERROR(Z422/_xlfn.XLOOKUP(_xlfn.XLOOKUP($F422,Clientes!$B$4:$B$39,Clientes!$C$4:$C$39),Cadastros!$L$6:$L$12,Cadastros!$M$6:$M$12)," ")</f>
        <v xml:space="preserve"> </v>
      </c>
      <c r="AB422" s="37"/>
      <c r="AC422" s="37"/>
      <c r="AD422" s="20" t="str">
        <f>IF(AB422="","",IF($F422="Bernardino Furlan",_xlfn.XLOOKUP(AB422,Cadastros!$G$6:$G$90,Cadastros!$H$6:$H$90)*(1-0.18),IF($F422="Mauro José Salanti",_xlfn.XLOOKUP(AB422,Cadastros!$G$6:$G$90,Cadastros!$H$6:$H$90)*(1-0.18),_xlfn.XLOOKUP(AB422,Cadastros!$G$6:$G$90,Cadastros!$H$6:$H$90))))</f>
        <v/>
      </c>
      <c r="AE422" s="168" t="str">
        <f t="shared" si="83"/>
        <v/>
      </c>
      <c r="AF422" s="168" t="str">
        <f t="shared" si="84"/>
        <v/>
      </c>
      <c r="AG422" s="37"/>
      <c r="AH422" s="37"/>
      <c r="AI422" s="20" t="str">
        <f>IF(AG422="","",IF($F422="Bernardino Furlan",_xlfn.XLOOKUP(AG422,Cadastros!$G$6:$G$90,Cadastros!$H$6:$H$90)*(1-0.18),IF($F422="Mauro José Salanti",_xlfn.XLOOKUP(AG422,Cadastros!$G$6:$G$90,Cadastros!$H$6:$H$90)*(1-0.18),_xlfn.XLOOKUP(AG422,Cadastros!$G$6:$G$90,Cadastros!$H$6:$H$90))))</f>
        <v/>
      </c>
      <c r="AJ422" s="168" t="str">
        <f t="shared" si="85"/>
        <v/>
      </c>
      <c r="AK422" s="168" t="str">
        <f t="shared" si="86"/>
        <v/>
      </c>
      <c r="AL422" s="37"/>
      <c r="AM422" s="37"/>
      <c r="AN422" s="20" t="str">
        <f>IF(AL422="","",IF($F422="Bernardino Furlan",_xlfn.XLOOKUP(AL422,Cadastros!$G$6:$G$90,Cadastros!$H$6:$H$90)*(1-0.18),IF($F422="Mauro José Salanti",_xlfn.XLOOKUP(AL422,Cadastros!$G$6:$G$90,Cadastros!$H$6:$H$90)*(1-0.18),_xlfn.XLOOKUP(AL422,Cadastros!$G$6:$G$90,Cadastros!$H$6:$H$90))))</f>
        <v/>
      </c>
      <c r="AO422" s="168" t="str">
        <f t="shared" si="87"/>
        <v/>
      </c>
      <c r="AP422" s="168" t="str">
        <f t="shared" si="88"/>
        <v/>
      </c>
      <c r="AQ422" s="37"/>
      <c r="AR422" s="37"/>
      <c r="AS422" s="20" t="str">
        <f>IF(AQ422="","",IF($F422="Bernardino Furlan",_xlfn.XLOOKUP(AQ422,Cadastros!$G$6:$G$90,Cadastros!$H$6:$H$90)*(1-0.18),IF($F422="Mauro José Salanti",_xlfn.XLOOKUP(AQ422,Cadastros!$G$6:$G$90,Cadastros!$H$6:$H$90)*(1-0.18),_xlfn.XLOOKUP(AQ422,Cadastros!$G$6:$G$90,Cadastros!$H$6:$H$90))))</f>
        <v/>
      </c>
      <c r="AT422" s="168" t="str">
        <f t="shared" si="89"/>
        <v/>
      </c>
      <c r="AU422" s="168" t="str">
        <f t="shared" si="90"/>
        <v/>
      </c>
      <c r="AV422" s="228"/>
      <c r="AW422" s="38"/>
      <c r="AX422" s="268"/>
      <c r="AY422" s="268"/>
      <c r="AZ422" s="33"/>
      <c r="BA422" s="38"/>
      <c r="BB422" s="23" t="str" cm="1">
        <f t="array" ref="BB422">_xlfn.IFS(AW422="SIM",SUM(K422,P422,U422,Z422,AE422,AJ422,AO422,AT422,AX422,AY422),F422&lt;&gt;"",SUM(K422,P422,U422,Z422,AE422,AJ422,,AO422,AT422),F422="","")</f>
        <v/>
      </c>
      <c r="BC422" s="211" t="str" cm="1">
        <f t="array" ref="BC422">_xlfn.IFS(E422="","",G422&lt;=E422,BB422*(1-0.03),G422&lt;(E422+8),BB422,AZ422="Boleto",BB422*(1+0.001)^DATEDIF(E422,G422,"D"),AZ422="Cheque",BB422,AZ422="Dinheiro","Alterar forma pgto")</f>
        <v/>
      </c>
      <c r="BD422" s="276" t="str" cm="1">
        <f t="array" ref="BD422">IF(F422=0," ",IF(BC422&lt;BB422,(_xlfn.IFS(AW422="SIM",SUM(L422,Q422,V422,AA422,AF422,AK422,AP422,AU422)+AX422/_xlfn.XLOOKUP(_xlfn.XLOOKUP($F422,Clientes!$B$4:$B$39,Clientes!$C$4:$C$39),Cadastros!$L$6:$L$12,Cadastros!$M$6:$M$12)+IF($F422="Bernardino Furlan",AY422/2751.92,IF($F422="Mauro José Salanti",AY422/2751.92,AY422/3356)),F422&lt;&gt;0,SUM(L422,Q422,V422,AA422,AF422,AK422,AP422,AU422)))*(1-0.03),_xlfn.IFS(AW422="SIM",SUM(L422,Q422,V422,AA422,AF422,AK422,AP422,AU422)+AX422/_xlfn.XLOOKUP(_xlfn.XLOOKUP($F422,Clientes!$B$4:$B$39,Clientes!$C$4:$C$39),Cadastros!$L$6:$L$12,Cadastros!$M$6:$M$12)+IF($F422="Bernardino Furlan",AY422/2751.92,IF($F422="Mauro José Salanti",AY422/2751.92,AY422/3356)),F422&lt;&gt;0,SUM(L422,Q422,V422,AA422,AF422,AK422,AP422,AU422))))</f>
        <v xml:space="preserve"> </v>
      </c>
      <c r="BE422" s="120"/>
      <c r="BF422" s="120"/>
      <c r="BG422" s="120"/>
    </row>
    <row r="423" spans="1:59" s="3" customFormat="1" x14ac:dyDescent="0.3">
      <c r="A423" s="15" t="str">
        <f t="shared" si="78"/>
        <v/>
      </c>
      <c r="B423" s="25"/>
      <c r="C423" s="26"/>
      <c r="D423" s="279"/>
      <c r="E423" s="27"/>
      <c r="F423" s="37"/>
      <c r="G423" s="36"/>
      <c r="H423" s="37"/>
      <c r="I423" s="37"/>
      <c r="J423" s="255" t="str">
        <f>IF(H423="","",(_xlfn.XLOOKUP(H423,Cadastros!$D$6:$D$90,Cadastros!$E$6:$E$90))*(1-_xlfn.XLOOKUP(_xlfn.XLOOKUP($F423,Clientes!$B$4:$B$39,Clientes!$C$4:$C$39),Cadastros!$L$6:$L$12,Cadastros!$N$6:$N$12)))</f>
        <v/>
      </c>
      <c r="K423" s="168" t="str">
        <f t="shared" si="79"/>
        <v/>
      </c>
      <c r="L423" s="168" t="str">
        <f>IFERROR(K423/_xlfn.XLOOKUP(_xlfn.XLOOKUP($F423,Clientes!$B$4:$B$39,Clientes!$C$4:$C$39),Cadastros!$L$6:$L$12,Cadastros!$M$6:$M$12)," ")</f>
        <v xml:space="preserve"> </v>
      </c>
      <c r="M423" s="37"/>
      <c r="N423" s="37"/>
      <c r="O423" s="255" t="str">
        <f>IF(M423="","",(_xlfn.XLOOKUP(M423,Cadastros!$D$6:$D$90,Cadastros!$E$6:$E$90))*(1-_xlfn.XLOOKUP(_xlfn.XLOOKUP($F423,Clientes!$B$4:$B$39,Clientes!$C$4:$C$39),Cadastros!$L$6:$L$12,Cadastros!$N$6:$N$12)))</f>
        <v/>
      </c>
      <c r="P423" s="168" t="str">
        <f t="shared" si="80"/>
        <v/>
      </c>
      <c r="Q423" s="168" t="str">
        <f>IFERROR(P423/_xlfn.XLOOKUP(_xlfn.XLOOKUP($F423,Clientes!$B$4:$B$39,Clientes!$C$4:$C$39),Cadastros!$L$6:$L$12,Cadastros!$M$6:$M$12)," ")</f>
        <v xml:space="preserve"> </v>
      </c>
      <c r="R423" s="37"/>
      <c r="S423" s="37"/>
      <c r="T423" s="255" t="str">
        <f>IF(R423="","",(_xlfn.XLOOKUP(R423,Cadastros!$D$6:$D$90,Cadastros!$E$6:$E$90))*(1-_xlfn.XLOOKUP(_xlfn.XLOOKUP($F423,Clientes!$B$4:$B$39,Clientes!$C$4:$C$39),Cadastros!$L$6:$L$12,Cadastros!$N$6:$N$12)))</f>
        <v/>
      </c>
      <c r="U423" s="168" t="str">
        <f t="shared" si="81"/>
        <v/>
      </c>
      <c r="V423" s="168" t="str">
        <f>IFERROR(U423/_xlfn.XLOOKUP(_xlfn.XLOOKUP($F423,Clientes!$B$4:$B$39,Clientes!$C$4:$C$39),Cadastros!$L$6:$L$12,Cadastros!$M$6:$M$12)," ")</f>
        <v xml:space="preserve"> </v>
      </c>
      <c r="W423" s="37"/>
      <c r="X423" s="37"/>
      <c r="Y423" s="255" t="str">
        <f>IF(W423="","",(_xlfn.XLOOKUP(W423,Cadastros!$D$6:$D$90,Cadastros!$E$6:$E$90))*(1-_xlfn.XLOOKUP(_xlfn.XLOOKUP($F423,Clientes!$B$4:$B$39,Clientes!$C$4:$C$39),Cadastros!$L$6:$L$12,Cadastros!$N$6:$N$12)))</f>
        <v/>
      </c>
      <c r="Z423" s="168" t="str">
        <f t="shared" si="82"/>
        <v/>
      </c>
      <c r="AA423" s="168" t="str">
        <f>IFERROR(Z423/_xlfn.XLOOKUP(_xlfn.XLOOKUP($F423,Clientes!$B$4:$B$39,Clientes!$C$4:$C$39),Cadastros!$L$6:$L$12,Cadastros!$M$6:$M$12)," ")</f>
        <v xml:space="preserve"> </v>
      </c>
      <c r="AB423" s="37"/>
      <c r="AC423" s="37"/>
      <c r="AD423" s="20" t="str">
        <f>IF(AB423="","",IF($F423="Bernardino Furlan",_xlfn.XLOOKUP(AB423,Cadastros!$G$6:$G$90,Cadastros!$H$6:$H$90)*(1-0.18),IF($F423="Mauro José Salanti",_xlfn.XLOOKUP(AB423,Cadastros!$G$6:$G$90,Cadastros!$H$6:$H$90)*(1-0.18),_xlfn.XLOOKUP(AB423,Cadastros!$G$6:$G$90,Cadastros!$H$6:$H$90))))</f>
        <v/>
      </c>
      <c r="AE423" s="168" t="str">
        <f t="shared" si="83"/>
        <v/>
      </c>
      <c r="AF423" s="168" t="str">
        <f t="shared" si="84"/>
        <v/>
      </c>
      <c r="AG423" s="37"/>
      <c r="AH423" s="37"/>
      <c r="AI423" s="20" t="str">
        <f>IF(AG423="","",IF($F423="Bernardino Furlan",_xlfn.XLOOKUP(AG423,Cadastros!$G$6:$G$90,Cadastros!$H$6:$H$90)*(1-0.18),IF($F423="Mauro José Salanti",_xlfn.XLOOKUP(AG423,Cadastros!$G$6:$G$90,Cadastros!$H$6:$H$90)*(1-0.18),_xlfn.XLOOKUP(AG423,Cadastros!$G$6:$G$90,Cadastros!$H$6:$H$90))))</f>
        <v/>
      </c>
      <c r="AJ423" s="168" t="str">
        <f t="shared" si="85"/>
        <v/>
      </c>
      <c r="AK423" s="168" t="str">
        <f t="shared" si="86"/>
        <v/>
      </c>
      <c r="AL423" s="37"/>
      <c r="AM423" s="37"/>
      <c r="AN423" s="20" t="str">
        <f>IF(AL423="","",IF($F423="Bernardino Furlan",_xlfn.XLOOKUP(AL423,Cadastros!$G$6:$G$90,Cadastros!$H$6:$H$90)*(1-0.18),IF($F423="Mauro José Salanti",_xlfn.XLOOKUP(AL423,Cadastros!$G$6:$G$90,Cadastros!$H$6:$H$90)*(1-0.18),_xlfn.XLOOKUP(AL423,Cadastros!$G$6:$G$90,Cadastros!$H$6:$H$90))))</f>
        <v/>
      </c>
      <c r="AO423" s="168" t="str">
        <f t="shared" si="87"/>
        <v/>
      </c>
      <c r="AP423" s="168" t="str">
        <f t="shared" si="88"/>
        <v/>
      </c>
      <c r="AQ423" s="37"/>
      <c r="AR423" s="37"/>
      <c r="AS423" s="20" t="str">
        <f>IF(AQ423="","",IF($F423="Bernardino Furlan",_xlfn.XLOOKUP(AQ423,Cadastros!$G$6:$G$90,Cadastros!$H$6:$H$90)*(1-0.18),IF($F423="Mauro José Salanti",_xlfn.XLOOKUP(AQ423,Cadastros!$G$6:$G$90,Cadastros!$H$6:$H$90)*(1-0.18),_xlfn.XLOOKUP(AQ423,Cadastros!$G$6:$G$90,Cadastros!$H$6:$H$90))))</f>
        <v/>
      </c>
      <c r="AT423" s="168" t="str">
        <f t="shared" si="89"/>
        <v/>
      </c>
      <c r="AU423" s="168" t="str">
        <f t="shared" si="90"/>
        <v/>
      </c>
      <c r="AV423" s="228"/>
      <c r="AW423" s="38"/>
      <c r="AX423" s="268"/>
      <c r="AY423" s="268"/>
      <c r="AZ423" s="33"/>
      <c r="BA423" s="38"/>
      <c r="BB423" s="23" t="str" cm="1">
        <f t="array" ref="BB423">_xlfn.IFS(AW423="SIM",SUM(K423,P423,U423,Z423,AE423,AJ423,AO423,AT423,AX423,AY423),F423&lt;&gt;"",SUM(K423,P423,U423,Z423,AE423,AJ423,,AO423,AT423),F423="","")</f>
        <v/>
      </c>
      <c r="BC423" s="211" t="str" cm="1">
        <f t="array" ref="BC423">_xlfn.IFS(E423="","",G423&lt;=E423,BB423*(1-0.03),G423&lt;(E423+8),BB423,AZ423="Boleto",BB423*(1+0.001)^DATEDIF(E423,G423,"D"),AZ423="Cheque",BB423,AZ423="Dinheiro","Alterar forma pgto")</f>
        <v/>
      </c>
      <c r="BD423" s="276" t="str" cm="1">
        <f t="array" ref="BD423">IF(F423=0," ",IF(BC423&lt;BB423,(_xlfn.IFS(AW423="SIM",SUM(L423,Q423,V423,AA423,AF423,AK423,AP423,AU423)+AX423/_xlfn.XLOOKUP(_xlfn.XLOOKUP($F423,Clientes!$B$4:$B$39,Clientes!$C$4:$C$39),Cadastros!$L$6:$L$12,Cadastros!$M$6:$M$12)+IF($F423="Bernardino Furlan",AY423/2751.92,IF($F423="Mauro José Salanti",AY423/2751.92,AY423/3356)),F423&lt;&gt;0,SUM(L423,Q423,V423,AA423,AF423,AK423,AP423,AU423)))*(1-0.03),_xlfn.IFS(AW423="SIM",SUM(L423,Q423,V423,AA423,AF423,AK423,AP423,AU423)+AX423/_xlfn.XLOOKUP(_xlfn.XLOOKUP($F423,Clientes!$B$4:$B$39,Clientes!$C$4:$C$39),Cadastros!$L$6:$L$12,Cadastros!$M$6:$M$12)+IF($F423="Bernardino Furlan",AY423/2751.92,IF($F423="Mauro José Salanti",AY423/2751.92,AY423/3356)),F423&lt;&gt;0,SUM(L423,Q423,V423,AA423,AF423,AK423,AP423,AU423))))</f>
        <v xml:space="preserve"> </v>
      </c>
      <c r="BE423" s="120"/>
      <c r="BF423" s="120"/>
      <c r="BG423" s="120"/>
    </row>
    <row r="424" spans="1:59" s="3" customFormat="1" x14ac:dyDescent="0.3">
      <c r="A424" s="15" t="str">
        <f t="shared" si="78"/>
        <v/>
      </c>
      <c r="B424" s="25"/>
      <c r="C424" s="26"/>
      <c r="D424" s="279"/>
      <c r="E424" s="27"/>
      <c r="F424" s="28"/>
      <c r="G424" s="27"/>
      <c r="H424" s="28"/>
      <c r="I424" s="28"/>
      <c r="J424" s="255" t="str">
        <f>IF(H424="","",(_xlfn.XLOOKUP(H424,Cadastros!$D$6:$D$90,Cadastros!$E$6:$E$90))*(1-_xlfn.XLOOKUP(_xlfn.XLOOKUP($F424,Clientes!$B$4:$B$39,Clientes!$C$4:$C$39),Cadastros!$L$6:$L$12,Cadastros!$N$6:$N$12)))</f>
        <v/>
      </c>
      <c r="K424" s="168" t="str">
        <f t="shared" si="79"/>
        <v/>
      </c>
      <c r="L424" s="168" t="str">
        <f>IFERROR(K424/_xlfn.XLOOKUP(_xlfn.XLOOKUP($F424,Clientes!$B$4:$B$39,Clientes!$C$4:$C$39),Cadastros!$L$6:$L$12,Cadastros!$M$6:$M$12)," ")</f>
        <v xml:space="preserve"> </v>
      </c>
      <c r="M424" s="28"/>
      <c r="N424" s="28"/>
      <c r="O424" s="255" t="str">
        <f>IF(M424="","",(_xlfn.XLOOKUP(M424,Cadastros!$D$6:$D$90,Cadastros!$E$6:$E$90))*(1-_xlfn.XLOOKUP(_xlfn.XLOOKUP($F424,Clientes!$B$4:$B$39,Clientes!$C$4:$C$39),Cadastros!$L$6:$L$12,Cadastros!$N$6:$N$12)))</f>
        <v/>
      </c>
      <c r="P424" s="168" t="str">
        <f t="shared" si="80"/>
        <v/>
      </c>
      <c r="Q424" s="168" t="str">
        <f>IFERROR(P424/_xlfn.XLOOKUP(_xlfn.XLOOKUP($F424,Clientes!$B$4:$B$39,Clientes!$C$4:$C$39),Cadastros!$L$6:$L$12,Cadastros!$M$6:$M$12)," ")</f>
        <v xml:space="preserve"> </v>
      </c>
      <c r="R424" s="28"/>
      <c r="S424" s="28"/>
      <c r="T424" s="255" t="str">
        <f>IF(R424="","",(_xlfn.XLOOKUP(R424,Cadastros!$D$6:$D$90,Cadastros!$E$6:$E$90))*(1-_xlfn.XLOOKUP(_xlfn.XLOOKUP($F424,Clientes!$B$4:$B$39,Clientes!$C$4:$C$39),Cadastros!$L$6:$L$12,Cadastros!$N$6:$N$12)))</f>
        <v/>
      </c>
      <c r="U424" s="168" t="str">
        <f t="shared" si="81"/>
        <v/>
      </c>
      <c r="V424" s="168" t="str">
        <f>IFERROR(U424/_xlfn.XLOOKUP(_xlfn.XLOOKUP($F424,Clientes!$B$4:$B$39,Clientes!$C$4:$C$39),Cadastros!$L$6:$L$12,Cadastros!$M$6:$M$12)," ")</f>
        <v xml:space="preserve"> </v>
      </c>
      <c r="W424" s="28"/>
      <c r="X424" s="28"/>
      <c r="Y424" s="255" t="str">
        <f>IF(W424="","",(_xlfn.XLOOKUP(W424,Cadastros!$D$6:$D$90,Cadastros!$E$6:$E$90))*(1-_xlfn.XLOOKUP(_xlfn.XLOOKUP($F424,Clientes!$B$4:$B$39,Clientes!$C$4:$C$39),Cadastros!$L$6:$L$12,Cadastros!$N$6:$N$12)))</f>
        <v/>
      </c>
      <c r="Z424" s="168" t="str">
        <f t="shared" si="82"/>
        <v/>
      </c>
      <c r="AA424" s="168" t="str">
        <f>IFERROR(Z424/_xlfn.XLOOKUP(_xlfn.XLOOKUP($F424,Clientes!$B$4:$B$39,Clientes!$C$4:$C$39),Cadastros!$L$6:$L$12,Cadastros!$M$6:$M$12)," ")</f>
        <v xml:space="preserve"> </v>
      </c>
      <c r="AB424" s="28"/>
      <c r="AC424" s="28"/>
      <c r="AD424" s="20" t="str">
        <f>IF(AB424="","",IF($F424="Bernardino Furlan",_xlfn.XLOOKUP(AB424,Cadastros!$G$6:$G$90,Cadastros!$H$6:$H$90)*(1-0.18),IF($F424="Mauro José Salanti",_xlfn.XLOOKUP(AB424,Cadastros!$G$6:$G$90,Cadastros!$H$6:$H$90)*(1-0.18),_xlfn.XLOOKUP(AB424,Cadastros!$G$6:$G$90,Cadastros!$H$6:$H$90))))</f>
        <v/>
      </c>
      <c r="AE424" s="168" t="str">
        <f t="shared" si="83"/>
        <v/>
      </c>
      <c r="AF424" s="168" t="str">
        <f t="shared" si="84"/>
        <v/>
      </c>
      <c r="AG424" s="28"/>
      <c r="AH424" s="28"/>
      <c r="AI424" s="20" t="str">
        <f>IF(AG424="","",IF($F424="Bernardino Furlan",_xlfn.XLOOKUP(AG424,Cadastros!$G$6:$G$90,Cadastros!$H$6:$H$90)*(1-0.18),IF($F424="Mauro José Salanti",_xlfn.XLOOKUP(AG424,Cadastros!$G$6:$G$90,Cadastros!$H$6:$H$90)*(1-0.18),_xlfn.XLOOKUP(AG424,Cadastros!$G$6:$G$90,Cadastros!$H$6:$H$90))))</f>
        <v/>
      </c>
      <c r="AJ424" s="168" t="str">
        <f t="shared" si="85"/>
        <v/>
      </c>
      <c r="AK424" s="168" t="str">
        <f t="shared" si="86"/>
        <v/>
      </c>
      <c r="AL424" s="28"/>
      <c r="AM424" s="28"/>
      <c r="AN424" s="20" t="str">
        <f>IF(AL424="","",IF($F424="Bernardino Furlan",_xlfn.XLOOKUP(AL424,Cadastros!$G$6:$G$90,Cadastros!$H$6:$H$90)*(1-0.18),IF($F424="Mauro José Salanti",_xlfn.XLOOKUP(AL424,Cadastros!$G$6:$G$90,Cadastros!$H$6:$H$90)*(1-0.18),_xlfn.XLOOKUP(AL424,Cadastros!$G$6:$G$90,Cadastros!$H$6:$H$90))))</f>
        <v/>
      </c>
      <c r="AO424" s="168" t="str">
        <f t="shared" si="87"/>
        <v/>
      </c>
      <c r="AP424" s="168" t="str">
        <f t="shared" si="88"/>
        <v/>
      </c>
      <c r="AQ424" s="28"/>
      <c r="AR424" s="28"/>
      <c r="AS424" s="20" t="str">
        <f>IF(AQ424="","",IF($F424="Bernardino Furlan",_xlfn.XLOOKUP(AQ424,Cadastros!$G$6:$G$90,Cadastros!$H$6:$H$90)*(1-0.18),IF($F424="Mauro José Salanti",_xlfn.XLOOKUP(AQ424,Cadastros!$G$6:$G$90,Cadastros!$H$6:$H$90)*(1-0.18),_xlfn.XLOOKUP(AQ424,Cadastros!$G$6:$G$90,Cadastros!$H$6:$H$90))))</f>
        <v/>
      </c>
      <c r="AT424" s="168" t="str">
        <f t="shared" si="89"/>
        <v/>
      </c>
      <c r="AU424" s="168" t="str">
        <f t="shared" si="90"/>
        <v/>
      </c>
      <c r="AV424" s="227"/>
      <c r="AW424" s="30"/>
      <c r="AX424" s="267"/>
      <c r="AY424" s="267"/>
      <c r="AZ424" s="29"/>
      <c r="BA424" s="30"/>
      <c r="BB424" s="23" t="str" cm="1">
        <f t="array" ref="BB424">_xlfn.IFS(AW424="SIM",SUM(K424,P424,U424,Z424,AE424,AJ424,AO424,AT424,AX424,AY424),F424&lt;&gt;"",SUM(K424,P424,U424,Z424,AE424,AJ424,,AO424,AT424),F424="","")</f>
        <v/>
      </c>
      <c r="BC424" s="211" t="str" cm="1">
        <f t="array" ref="BC424">_xlfn.IFS(E424="","",G424&lt;=E424,BB424*(1-0.03),G424&lt;(E424+8),BB424,AZ424="Boleto",BB424*(1+0.001)^DATEDIF(E424,G424,"D"),AZ424="Cheque",BB424,AZ424="Dinheiro","Alterar forma pgto")</f>
        <v/>
      </c>
      <c r="BD424" s="276" t="str" cm="1">
        <f t="array" ref="BD424">IF(F424=0," ",IF(BC424&lt;BB424,(_xlfn.IFS(AW424="SIM",SUM(L424,Q424,V424,AA424,AF424,AK424,AP424,AU424)+AX424/_xlfn.XLOOKUP(_xlfn.XLOOKUP($F424,Clientes!$B$4:$B$39,Clientes!$C$4:$C$39),Cadastros!$L$6:$L$12,Cadastros!$M$6:$M$12)+IF($F424="Bernardino Furlan",AY424/2751.92,IF($F424="Mauro José Salanti",AY424/2751.92,AY424/3356)),F424&lt;&gt;0,SUM(L424,Q424,V424,AA424,AF424,AK424,AP424,AU424)))*(1-0.03),_xlfn.IFS(AW424="SIM",SUM(L424,Q424,V424,AA424,AF424,AK424,AP424,AU424)+AX424/_xlfn.XLOOKUP(_xlfn.XLOOKUP($F424,Clientes!$B$4:$B$39,Clientes!$C$4:$C$39),Cadastros!$L$6:$L$12,Cadastros!$M$6:$M$12)+IF($F424="Bernardino Furlan",AY424/2751.92,IF($F424="Mauro José Salanti",AY424/2751.92,AY424/3356)),F424&lt;&gt;0,SUM(L424,Q424,V424,AA424,AF424,AK424,AP424,AU424))))</f>
        <v xml:space="preserve"> </v>
      </c>
      <c r="BE424" s="120"/>
      <c r="BF424" s="120"/>
      <c r="BG424" s="120"/>
    </row>
    <row r="425" spans="1:59" s="3" customFormat="1" x14ac:dyDescent="0.3">
      <c r="A425" s="15" t="str">
        <f t="shared" si="78"/>
        <v/>
      </c>
      <c r="B425" s="25"/>
      <c r="C425" s="26"/>
      <c r="D425" s="279"/>
      <c r="E425" s="27"/>
      <c r="F425" s="28"/>
      <c r="G425" s="27"/>
      <c r="H425" s="28"/>
      <c r="I425" s="28"/>
      <c r="J425" s="255" t="str">
        <f>IF(H425="","",(_xlfn.XLOOKUP(H425,Cadastros!$D$6:$D$90,Cadastros!$E$6:$E$90))*(1-_xlfn.XLOOKUP(_xlfn.XLOOKUP($F425,Clientes!$B$4:$B$39,Clientes!$C$4:$C$39),Cadastros!$L$6:$L$12,Cadastros!$N$6:$N$12)))</f>
        <v/>
      </c>
      <c r="K425" s="168" t="str">
        <f t="shared" si="79"/>
        <v/>
      </c>
      <c r="L425" s="168" t="str">
        <f>IFERROR(K425/_xlfn.XLOOKUP(_xlfn.XLOOKUP($F425,Clientes!$B$4:$B$39,Clientes!$C$4:$C$39),Cadastros!$L$6:$L$12,Cadastros!$M$6:$M$12)," ")</f>
        <v xml:space="preserve"> </v>
      </c>
      <c r="M425" s="28"/>
      <c r="N425" s="28"/>
      <c r="O425" s="255" t="str">
        <f>IF(M425="","",(_xlfn.XLOOKUP(M425,Cadastros!$D$6:$D$90,Cadastros!$E$6:$E$90))*(1-_xlfn.XLOOKUP(_xlfn.XLOOKUP($F425,Clientes!$B$4:$B$39,Clientes!$C$4:$C$39),Cadastros!$L$6:$L$12,Cadastros!$N$6:$N$12)))</f>
        <v/>
      </c>
      <c r="P425" s="168" t="str">
        <f t="shared" si="80"/>
        <v/>
      </c>
      <c r="Q425" s="168" t="str">
        <f>IFERROR(P425/_xlfn.XLOOKUP(_xlfn.XLOOKUP($F425,Clientes!$B$4:$B$39,Clientes!$C$4:$C$39),Cadastros!$L$6:$L$12,Cadastros!$M$6:$M$12)," ")</f>
        <v xml:space="preserve"> </v>
      </c>
      <c r="R425" s="28"/>
      <c r="S425" s="28"/>
      <c r="T425" s="255" t="str">
        <f>IF(R425="","",(_xlfn.XLOOKUP(R425,Cadastros!$D$6:$D$90,Cadastros!$E$6:$E$90))*(1-_xlfn.XLOOKUP(_xlfn.XLOOKUP($F425,Clientes!$B$4:$B$39,Clientes!$C$4:$C$39),Cadastros!$L$6:$L$12,Cadastros!$N$6:$N$12)))</f>
        <v/>
      </c>
      <c r="U425" s="168" t="str">
        <f t="shared" si="81"/>
        <v/>
      </c>
      <c r="V425" s="168" t="str">
        <f>IFERROR(U425/_xlfn.XLOOKUP(_xlfn.XLOOKUP($F425,Clientes!$B$4:$B$39,Clientes!$C$4:$C$39),Cadastros!$L$6:$L$12,Cadastros!$M$6:$M$12)," ")</f>
        <v xml:space="preserve"> </v>
      </c>
      <c r="W425" s="28"/>
      <c r="X425" s="28"/>
      <c r="Y425" s="255" t="str">
        <f>IF(W425="","",(_xlfn.XLOOKUP(W425,Cadastros!$D$6:$D$90,Cadastros!$E$6:$E$90))*(1-_xlfn.XLOOKUP(_xlfn.XLOOKUP($F425,Clientes!$B$4:$B$39,Clientes!$C$4:$C$39),Cadastros!$L$6:$L$12,Cadastros!$N$6:$N$12)))</f>
        <v/>
      </c>
      <c r="Z425" s="168" t="str">
        <f t="shared" si="82"/>
        <v/>
      </c>
      <c r="AA425" s="168" t="str">
        <f>IFERROR(Z425/_xlfn.XLOOKUP(_xlfn.XLOOKUP($F425,Clientes!$B$4:$B$39,Clientes!$C$4:$C$39),Cadastros!$L$6:$L$12,Cadastros!$M$6:$M$12)," ")</f>
        <v xml:space="preserve"> </v>
      </c>
      <c r="AB425" s="28"/>
      <c r="AC425" s="28"/>
      <c r="AD425" s="20" t="str">
        <f>IF(AB425="","",IF($F425="Bernardino Furlan",_xlfn.XLOOKUP(AB425,Cadastros!$G$6:$G$90,Cadastros!$H$6:$H$90)*(1-0.18),IF($F425="Mauro José Salanti",_xlfn.XLOOKUP(AB425,Cadastros!$G$6:$G$90,Cadastros!$H$6:$H$90)*(1-0.18),_xlfn.XLOOKUP(AB425,Cadastros!$G$6:$G$90,Cadastros!$H$6:$H$90))))</f>
        <v/>
      </c>
      <c r="AE425" s="168" t="str">
        <f t="shared" si="83"/>
        <v/>
      </c>
      <c r="AF425" s="168" t="str">
        <f t="shared" si="84"/>
        <v/>
      </c>
      <c r="AG425" s="28"/>
      <c r="AH425" s="28"/>
      <c r="AI425" s="20" t="str">
        <f>IF(AG425="","",IF($F425="Bernardino Furlan",_xlfn.XLOOKUP(AG425,Cadastros!$G$6:$G$90,Cadastros!$H$6:$H$90)*(1-0.18),IF($F425="Mauro José Salanti",_xlfn.XLOOKUP(AG425,Cadastros!$G$6:$G$90,Cadastros!$H$6:$H$90)*(1-0.18),_xlfn.XLOOKUP(AG425,Cadastros!$G$6:$G$90,Cadastros!$H$6:$H$90))))</f>
        <v/>
      </c>
      <c r="AJ425" s="168" t="str">
        <f t="shared" si="85"/>
        <v/>
      </c>
      <c r="AK425" s="168" t="str">
        <f t="shared" si="86"/>
        <v/>
      </c>
      <c r="AL425" s="28"/>
      <c r="AM425" s="28"/>
      <c r="AN425" s="20" t="str">
        <f>IF(AL425="","",IF($F425="Bernardino Furlan",_xlfn.XLOOKUP(AL425,Cadastros!$G$6:$G$90,Cadastros!$H$6:$H$90)*(1-0.18),IF($F425="Mauro José Salanti",_xlfn.XLOOKUP(AL425,Cadastros!$G$6:$G$90,Cadastros!$H$6:$H$90)*(1-0.18),_xlfn.XLOOKUP(AL425,Cadastros!$G$6:$G$90,Cadastros!$H$6:$H$90))))</f>
        <v/>
      </c>
      <c r="AO425" s="168" t="str">
        <f t="shared" si="87"/>
        <v/>
      </c>
      <c r="AP425" s="168" t="str">
        <f t="shared" si="88"/>
        <v/>
      </c>
      <c r="AQ425" s="28"/>
      <c r="AR425" s="28"/>
      <c r="AS425" s="20" t="str">
        <f>IF(AQ425="","",IF($F425="Bernardino Furlan",_xlfn.XLOOKUP(AQ425,Cadastros!$G$6:$G$90,Cadastros!$H$6:$H$90)*(1-0.18),IF($F425="Mauro José Salanti",_xlfn.XLOOKUP(AQ425,Cadastros!$G$6:$G$90,Cadastros!$H$6:$H$90)*(1-0.18),_xlfn.XLOOKUP(AQ425,Cadastros!$G$6:$G$90,Cadastros!$H$6:$H$90))))</f>
        <v/>
      </c>
      <c r="AT425" s="168" t="str">
        <f t="shared" si="89"/>
        <v/>
      </c>
      <c r="AU425" s="168" t="str">
        <f t="shared" si="90"/>
        <v/>
      </c>
      <c r="AV425" s="227"/>
      <c r="AW425" s="30"/>
      <c r="AX425" s="267"/>
      <c r="AY425" s="267"/>
      <c r="AZ425" s="29"/>
      <c r="BA425" s="30"/>
      <c r="BB425" s="23" t="str" cm="1">
        <f t="array" ref="BB425">_xlfn.IFS(AW425="SIM",SUM(K425,P425,U425,Z425,AE425,AJ425,AO425,AT425,AX425,AY425),F425&lt;&gt;"",SUM(K425,P425,U425,Z425,AE425,AJ425,,AO425,AT425),F425="","")</f>
        <v/>
      </c>
      <c r="BC425" s="211" t="str" cm="1">
        <f t="array" ref="BC425">_xlfn.IFS(E425="","",G425&lt;=E425,BB425*(1-0.03),G425&lt;(E425+8),BB425,AZ425="Boleto",BB425*(1+0.001)^DATEDIF(E425,G425,"D"),AZ425="Cheque",BB425,AZ425="Dinheiro","Alterar forma pgto")</f>
        <v/>
      </c>
      <c r="BD425" s="276" t="str" cm="1">
        <f t="array" ref="BD425">IF(F425=0," ",IF(BC425&lt;BB425,(_xlfn.IFS(AW425="SIM",SUM(L425,Q425,V425,AA425,AF425,AK425,AP425,AU425)+AX425/_xlfn.XLOOKUP(_xlfn.XLOOKUP($F425,Clientes!$B$4:$B$39,Clientes!$C$4:$C$39),Cadastros!$L$6:$L$12,Cadastros!$M$6:$M$12)+IF($F425="Bernardino Furlan",AY425/2751.92,IF($F425="Mauro José Salanti",AY425/2751.92,AY425/3356)),F425&lt;&gt;0,SUM(L425,Q425,V425,AA425,AF425,AK425,AP425,AU425)))*(1-0.03),_xlfn.IFS(AW425="SIM",SUM(L425,Q425,V425,AA425,AF425,AK425,AP425,AU425)+AX425/_xlfn.XLOOKUP(_xlfn.XLOOKUP($F425,Clientes!$B$4:$B$39,Clientes!$C$4:$C$39),Cadastros!$L$6:$L$12,Cadastros!$M$6:$M$12)+IF($F425="Bernardino Furlan",AY425/2751.92,IF($F425="Mauro José Salanti",AY425/2751.92,AY425/3356)),F425&lt;&gt;0,SUM(L425,Q425,V425,AA425,AF425,AK425,AP425,AU425))))</f>
        <v xml:space="preserve"> </v>
      </c>
      <c r="BE425" s="120"/>
      <c r="BF425" s="120"/>
      <c r="BG425" s="120"/>
    </row>
    <row r="426" spans="1:59" s="3" customFormat="1" x14ac:dyDescent="0.3">
      <c r="A426" s="15" t="str">
        <f t="shared" si="78"/>
        <v/>
      </c>
      <c r="B426" s="25"/>
      <c r="C426" s="26"/>
      <c r="D426" s="279"/>
      <c r="E426" s="27"/>
      <c r="F426" s="28"/>
      <c r="G426" s="27"/>
      <c r="H426" s="28"/>
      <c r="I426" s="28"/>
      <c r="J426" s="255" t="str">
        <f>IF(H426="","",(_xlfn.XLOOKUP(H426,Cadastros!$D$6:$D$90,Cadastros!$E$6:$E$90))*(1-_xlfn.XLOOKUP(_xlfn.XLOOKUP($F426,Clientes!$B$4:$B$39,Clientes!$C$4:$C$39),Cadastros!$L$6:$L$12,Cadastros!$N$6:$N$12)))</f>
        <v/>
      </c>
      <c r="K426" s="168" t="str">
        <f t="shared" si="79"/>
        <v/>
      </c>
      <c r="L426" s="168" t="str">
        <f>IFERROR(K426/_xlfn.XLOOKUP(_xlfn.XLOOKUP($F426,Clientes!$B$4:$B$39,Clientes!$C$4:$C$39),Cadastros!$L$6:$L$12,Cadastros!$M$6:$M$12)," ")</f>
        <v xml:space="preserve"> </v>
      </c>
      <c r="M426" s="28"/>
      <c r="N426" s="28"/>
      <c r="O426" s="255" t="str">
        <f>IF(M426="","",(_xlfn.XLOOKUP(M426,Cadastros!$D$6:$D$90,Cadastros!$E$6:$E$90))*(1-_xlfn.XLOOKUP(_xlfn.XLOOKUP($F426,Clientes!$B$4:$B$39,Clientes!$C$4:$C$39),Cadastros!$L$6:$L$12,Cadastros!$N$6:$N$12)))</f>
        <v/>
      </c>
      <c r="P426" s="168" t="str">
        <f t="shared" si="80"/>
        <v/>
      </c>
      <c r="Q426" s="168" t="str">
        <f>IFERROR(P426/_xlfn.XLOOKUP(_xlfn.XLOOKUP($F426,Clientes!$B$4:$B$39,Clientes!$C$4:$C$39),Cadastros!$L$6:$L$12,Cadastros!$M$6:$M$12)," ")</f>
        <v xml:space="preserve"> </v>
      </c>
      <c r="R426" s="28"/>
      <c r="S426" s="28"/>
      <c r="T426" s="255" t="str">
        <f>IF(R426="","",(_xlfn.XLOOKUP(R426,Cadastros!$D$6:$D$90,Cadastros!$E$6:$E$90))*(1-_xlfn.XLOOKUP(_xlfn.XLOOKUP($F426,Clientes!$B$4:$B$39,Clientes!$C$4:$C$39),Cadastros!$L$6:$L$12,Cadastros!$N$6:$N$12)))</f>
        <v/>
      </c>
      <c r="U426" s="168" t="str">
        <f t="shared" si="81"/>
        <v/>
      </c>
      <c r="V426" s="168" t="str">
        <f>IFERROR(U426/_xlfn.XLOOKUP(_xlfn.XLOOKUP($F426,Clientes!$B$4:$B$39,Clientes!$C$4:$C$39),Cadastros!$L$6:$L$12,Cadastros!$M$6:$M$12)," ")</f>
        <v xml:space="preserve"> </v>
      </c>
      <c r="W426" s="28"/>
      <c r="X426" s="28"/>
      <c r="Y426" s="255" t="str">
        <f>IF(W426="","",(_xlfn.XLOOKUP(W426,Cadastros!$D$6:$D$90,Cadastros!$E$6:$E$90))*(1-_xlfn.XLOOKUP(_xlfn.XLOOKUP($F426,Clientes!$B$4:$B$39,Clientes!$C$4:$C$39),Cadastros!$L$6:$L$12,Cadastros!$N$6:$N$12)))</f>
        <v/>
      </c>
      <c r="Z426" s="168" t="str">
        <f t="shared" si="82"/>
        <v/>
      </c>
      <c r="AA426" s="168" t="str">
        <f>IFERROR(Z426/_xlfn.XLOOKUP(_xlfn.XLOOKUP($F426,Clientes!$B$4:$B$39,Clientes!$C$4:$C$39),Cadastros!$L$6:$L$12,Cadastros!$M$6:$M$12)," ")</f>
        <v xml:space="preserve"> </v>
      </c>
      <c r="AB426" s="28"/>
      <c r="AC426" s="28"/>
      <c r="AD426" s="20" t="str">
        <f>IF(AB426="","",IF($F426="Bernardino Furlan",_xlfn.XLOOKUP(AB426,Cadastros!$G$6:$G$90,Cadastros!$H$6:$H$90)*(1-0.18),IF($F426="Mauro José Salanti",_xlfn.XLOOKUP(AB426,Cadastros!$G$6:$G$90,Cadastros!$H$6:$H$90)*(1-0.18),_xlfn.XLOOKUP(AB426,Cadastros!$G$6:$G$90,Cadastros!$H$6:$H$90))))</f>
        <v/>
      </c>
      <c r="AE426" s="168" t="str">
        <f t="shared" si="83"/>
        <v/>
      </c>
      <c r="AF426" s="168" t="str">
        <f t="shared" si="84"/>
        <v/>
      </c>
      <c r="AG426" s="28"/>
      <c r="AH426" s="28"/>
      <c r="AI426" s="20" t="str">
        <f>IF(AG426="","",IF($F426="Bernardino Furlan",_xlfn.XLOOKUP(AG426,Cadastros!$G$6:$G$90,Cadastros!$H$6:$H$90)*(1-0.18),IF($F426="Mauro José Salanti",_xlfn.XLOOKUP(AG426,Cadastros!$G$6:$G$90,Cadastros!$H$6:$H$90)*(1-0.18),_xlfn.XLOOKUP(AG426,Cadastros!$G$6:$G$90,Cadastros!$H$6:$H$90))))</f>
        <v/>
      </c>
      <c r="AJ426" s="168" t="str">
        <f t="shared" si="85"/>
        <v/>
      </c>
      <c r="AK426" s="168" t="str">
        <f t="shared" si="86"/>
        <v/>
      </c>
      <c r="AL426" s="28"/>
      <c r="AM426" s="28"/>
      <c r="AN426" s="20" t="str">
        <f>IF(AL426="","",IF($F426="Bernardino Furlan",_xlfn.XLOOKUP(AL426,Cadastros!$G$6:$G$90,Cadastros!$H$6:$H$90)*(1-0.18),IF($F426="Mauro José Salanti",_xlfn.XLOOKUP(AL426,Cadastros!$G$6:$G$90,Cadastros!$H$6:$H$90)*(1-0.18),_xlfn.XLOOKUP(AL426,Cadastros!$G$6:$G$90,Cadastros!$H$6:$H$90))))</f>
        <v/>
      </c>
      <c r="AO426" s="168" t="str">
        <f t="shared" si="87"/>
        <v/>
      </c>
      <c r="AP426" s="168" t="str">
        <f t="shared" si="88"/>
        <v/>
      </c>
      <c r="AQ426" s="28"/>
      <c r="AR426" s="28"/>
      <c r="AS426" s="20" t="str">
        <f>IF(AQ426="","",IF($F426="Bernardino Furlan",_xlfn.XLOOKUP(AQ426,Cadastros!$G$6:$G$90,Cadastros!$H$6:$H$90)*(1-0.18),IF($F426="Mauro José Salanti",_xlfn.XLOOKUP(AQ426,Cadastros!$G$6:$G$90,Cadastros!$H$6:$H$90)*(1-0.18),_xlfn.XLOOKUP(AQ426,Cadastros!$G$6:$G$90,Cadastros!$H$6:$H$90))))</f>
        <v/>
      </c>
      <c r="AT426" s="168" t="str">
        <f t="shared" si="89"/>
        <v/>
      </c>
      <c r="AU426" s="168" t="str">
        <f t="shared" si="90"/>
        <v/>
      </c>
      <c r="AV426" s="227"/>
      <c r="AW426" s="30"/>
      <c r="AX426" s="267"/>
      <c r="AY426" s="267"/>
      <c r="AZ426" s="29"/>
      <c r="BA426" s="30"/>
      <c r="BB426" s="23" t="str" cm="1">
        <f t="array" ref="BB426">_xlfn.IFS(AW426="SIM",SUM(K426,P426,U426,Z426,AE426,AJ426,AO426,AT426,AX426,AY426),F426&lt;&gt;"",SUM(K426,P426,U426,Z426,AE426,AJ426,,AO426,AT426),F426="","")</f>
        <v/>
      </c>
      <c r="BC426" s="211" t="str" cm="1">
        <f t="array" ref="BC426">_xlfn.IFS(E426="","",G426&lt;=E426,BB426*(1-0.03),G426&lt;(E426+8),BB426,AZ426="Boleto",BB426*(1+0.001)^DATEDIF(E426,G426,"D"),AZ426="Cheque",BB426,AZ426="Dinheiro","Alterar forma pgto")</f>
        <v/>
      </c>
      <c r="BD426" s="276" t="str" cm="1">
        <f t="array" ref="BD426">IF(F426=0," ",IF(BC426&lt;BB426,(_xlfn.IFS(AW426="SIM",SUM(L426,Q426,V426,AA426,AF426,AK426,AP426,AU426)+AX426/_xlfn.XLOOKUP(_xlfn.XLOOKUP($F426,Clientes!$B$4:$B$39,Clientes!$C$4:$C$39),Cadastros!$L$6:$L$12,Cadastros!$M$6:$M$12)+IF($F426="Bernardino Furlan",AY426/2751.92,IF($F426="Mauro José Salanti",AY426/2751.92,AY426/3356)),F426&lt;&gt;0,SUM(L426,Q426,V426,AA426,AF426,AK426,AP426,AU426)))*(1-0.03),_xlfn.IFS(AW426="SIM",SUM(L426,Q426,V426,AA426,AF426,AK426,AP426,AU426)+AX426/_xlfn.XLOOKUP(_xlfn.XLOOKUP($F426,Clientes!$B$4:$B$39,Clientes!$C$4:$C$39),Cadastros!$L$6:$L$12,Cadastros!$M$6:$M$12)+IF($F426="Bernardino Furlan",AY426/2751.92,IF($F426="Mauro José Salanti",AY426/2751.92,AY426/3356)),F426&lt;&gt;0,SUM(L426,Q426,V426,AA426,AF426,AK426,AP426,AU426))))</f>
        <v xml:space="preserve"> </v>
      </c>
      <c r="BE426" s="120"/>
      <c r="BF426" s="120"/>
      <c r="BG426" s="120"/>
    </row>
    <row r="427" spans="1:59" s="3" customFormat="1" x14ac:dyDescent="0.3">
      <c r="A427" s="15" t="str">
        <f t="shared" si="78"/>
        <v/>
      </c>
      <c r="B427" s="25"/>
      <c r="C427" s="26"/>
      <c r="D427" s="279"/>
      <c r="E427" s="27"/>
      <c r="F427" s="28"/>
      <c r="G427" s="27"/>
      <c r="H427" s="28"/>
      <c r="I427" s="28"/>
      <c r="J427" s="255" t="str">
        <f>IF(H427="","",(_xlfn.XLOOKUP(H427,Cadastros!$D$6:$D$90,Cadastros!$E$6:$E$90))*(1-_xlfn.XLOOKUP(_xlfn.XLOOKUP($F427,Clientes!$B$4:$B$39,Clientes!$C$4:$C$39),Cadastros!$L$6:$L$12,Cadastros!$N$6:$N$12)))</f>
        <v/>
      </c>
      <c r="K427" s="168" t="str">
        <f t="shared" si="79"/>
        <v/>
      </c>
      <c r="L427" s="168" t="str">
        <f>IFERROR(K427/_xlfn.XLOOKUP(_xlfn.XLOOKUP($F427,Clientes!$B$4:$B$39,Clientes!$C$4:$C$39),Cadastros!$L$6:$L$12,Cadastros!$M$6:$M$12)," ")</f>
        <v xml:space="preserve"> </v>
      </c>
      <c r="M427" s="28"/>
      <c r="N427" s="28"/>
      <c r="O427" s="255" t="str">
        <f>IF(M427="","",(_xlfn.XLOOKUP(M427,Cadastros!$D$6:$D$90,Cadastros!$E$6:$E$90))*(1-_xlfn.XLOOKUP(_xlfn.XLOOKUP($F427,Clientes!$B$4:$B$39,Clientes!$C$4:$C$39),Cadastros!$L$6:$L$12,Cadastros!$N$6:$N$12)))</f>
        <v/>
      </c>
      <c r="P427" s="168" t="str">
        <f t="shared" si="80"/>
        <v/>
      </c>
      <c r="Q427" s="168" t="str">
        <f>IFERROR(P427/_xlfn.XLOOKUP(_xlfn.XLOOKUP($F427,Clientes!$B$4:$B$39,Clientes!$C$4:$C$39),Cadastros!$L$6:$L$12,Cadastros!$M$6:$M$12)," ")</f>
        <v xml:space="preserve"> </v>
      </c>
      <c r="R427" s="28"/>
      <c r="S427" s="28"/>
      <c r="T427" s="255" t="str">
        <f>IF(R427="","",(_xlfn.XLOOKUP(R427,Cadastros!$D$6:$D$90,Cadastros!$E$6:$E$90))*(1-_xlfn.XLOOKUP(_xlfn.XLOOKUP($F427,Clientes!$B$4:$B$39,Clientes!$C$4:$C$39),Cadastros!$L$6:$L$12,Cadastros!$N$6:$N$12)))</f>
        <v/>
      </c>
      <c r="U427" s="168" t="str">
        <f t="shared" si="81"/>
        <v/>
      </c>
      <c r="V427" s="168" t="str">
        <f>IFERROR(U427/_xlfn.XLOOKUP(_xlfn.XLOOKUP($F427,Clientes!$B$4:$B$39,Clientes!$C$4:$C$39),Cadastros!$L$6:$L$12,Cadastros!$M$6:$M$12)," ")</f>
        <v xml:space="preserve"> </v>
      </c>
      <c r="W427" s="28"/>
      <c r="X427" s="28"/>
      <c r="Y427" s="255" t="str">
        <f>IF(W427="","",(_xlfn.XLOOKUP(W427,Cadastros!$D$6:$D$90,Cadastros!$E$6:$E$90))*(1-_xlfn.XLOOKUP(_xlfn.XLOOKUP($F427,Clientes!$B$4:$B$39,Clientes!$C$4:$C$39),Cadastros!$L$6:$L$12,Cadastros!$N$6:$N$12)))</f>
        <v/>
      </c>
      <c r="Z427" s="168" t="str">
        <f t="shared" si="82"/>
        <v/>
      </c>
      <c r="AA427" s="168" t="str">
        <f>IFERROR(Z427/_xlfn.XLOOKUP(_xlfn.XLOOKUP($F427,Clientes!$B$4:$B$39,Clientes!$C$4:$C$39),Cadastros!$L$6:$L$12,Cadastros!$M$6:$M$12)," ")</f>
        <v xml:space="preserve"> </v>
      </c>
      <c r="AB427" s="28"/>
      <c r="AC427" s="28"/>
      <c r="AD427" s="20" t="str">
        <f>IF(AB427="","",IF($F427="Bernardino Furlan",_xlfn.XLOOKUP(AB427,Cadastros!$G$6:$G$90,Cadastros!$H$6:$H$90)*(1-0.18),IF($F427="Mauro José Salanti",_xlfn.XLOOKUP(AB427,Cadastros!$G$6:$G$90,Cadastros!$H$6:$H$90)*(1-0.18),_xlfn.XLOOKUP(AB427,Cadastros!$G$6:$G$90,Cadastros!$H$6:$H$90))))</f>
        <v/>
      </c>
      <c r="AE427" s="168" t="str">
        <f t="shared" si="83"/>
        <v/>
      </c>
      <c r="AF427" s="168" t="str">
        <f t="shared" si="84"/>
        <v/>
      </c>
      <c r="AG427" s="28"/>
      <c r="AH427" s="28"/>
      <c r="AI427" s="20" t="str">
        <f>IF(AG427="","",IF($F427="Bernardino Furlan",_xlfn.XLOOKUP(AG427,Cadastros!$G$6:$G$90,Cadastros!$H$6:$H$90)*(1-0.18),IF($F427="Mauro José Salanti",_xlfn.XLOOKUP(AG427,Cadastros!$G$6:$G$90,Cadastros!$H$6:$H$90)*(1-0.18),_xlfn.XLOOKUP(AG427,Cadastros!$G$6:$G$90,Cadastros!$H$6:$H$90))))</f>
        <v/>
      </c>
      <c r="AJ427" s="168" t="str">
        <f t="shared" si="85"/>
        <v/>
      </c>
      <c r="AK427" s="168" t="str">
        <f t="shared" si="86"/>
        <v/>
      </c>
      <c r="AL427" s="28"/>
      <c r="AM427" s="28"/>
      <c r="AN427" s="20" t="str">
        <f>IF(AL427="","",IF($F427="Bernardino Furlan",_xlfn.XLOOKUP(AL427,Cadastros!$G$6:$G$90,Cadastros!$H$6:$H$90)*(1-0.18),IF($F427="Mauro José Salanti",_xlfn.XLOOKUP(AL427,Cadastros!$G$6:$G$90,Cadastros!$H$6:$H$90)*(1-0.18),_xlfn.XLOOKUP(AL427,Cadastros!$G$6:$G$90,Cadastros!$H$6:$H$90))))</f>
        <v/>
      </c>
      <c r="AO427" s="168" t="str">
        <f t="shared" si="87"/>
        <v/>
      </c>
      <c r="AP427" s="168" t="str">
        <f t="shared" si="88"/>
        <v/>
      </c>
      <c r="AQ427" s="28"/>
      <c r="AR427" s="28"/>
      <c r="AS427" s="20" t="str">
        <f>IF(AQ427="","",IF($F427="Bernardino Furlan",_xlfn.XLOOKUP(AQ427,Cadastros!$G$6:$G$90,Cadastros!$H$6:$H$90)*(1-0.18),IF($F427="Mauro José Salanti",_xlfn.XLOOKUP(AQ427,Cadastros!$G$6:$G$90,Cadastros!$H$6:$H$90)*(1-0.18),_xlfn.XLOOKUP(AQ427,Cadastros!$G$6:$G$90,Cadastros!$H$6:$H$90))))</f>
        <v/>
      </c>
      <c r="AT427" s="168" t="str">
        <f t="shared" si="89"/>
        <v/>
      </c>
      <c r="AU427" s="168" t="str">
        <f t="shared" si="90"/>
        <v/>
      </c>
      <c r="AV427" s="227"/>
      <c r="AW427" s="30"/>
      <c r="AX427" s="267"/>
      <c r="AY427" s="267"/>
      <c r="AZ427" s="29"/>
      <c r="BA427" s="30"/>
      <c r="BB427" s="23" t="str" cm="1">
        <f t="array" ref="BB427">_xlfn.IFS(AW427="SIM",SUM(K427,P427,U427,Z427,AE427,AJ427,AO427,AT427,AX427,AY427),F427&lt;&gt;"",SUM(K427,P427,U427,Z427,AE427,AJ427,,AO427,AT427),F427="","")</f>
        <v/>
      </c>
      <c r="BC427" s="211" t="str" cm="1">
        <f t="array" ref="BC427">_xlfn.IFS(E427="","",G427&lt;=E427,BB427*(1-0.03),G427&lt;(E427+8),BB427,AZ427="Boleto",BB427*(1+0.001)^DATEDIF(E427,G427,"D"),AZ427="Cheque",BB427,AZ427="Dinheiro","Alterar forma pgto")</f>
        <v/>
      </c>
      <c r="BD427" s="276" t="str" cm="1">
        <f t="array" ref="BD427">IF(F427=0," ",IF(BC427&lt;BB427,(_xlfn.IFS(AW427="SIM",SUM(L427,Q427,V427,AA427,AF427,AK427,AP427,AU427)+AX427/_xlfn.XLOOKUP(_xlfn.XLOOKUP($F427,Clientes!$B$4:$B$39,Clientes!$C$4:$C$39),Cadastros!$L$6:$L$12,Cadastros!$M$6:$M$12)+IF($F427="Bernardino Furlan",AY427/2751.92,IF($F427="Mauro José Salanti",AY427/2751.92,AY427/3356)),F427&lt;&gt;0,SUM(L427,Q427,V427,AA427,AF427,AK427,AP427,AU427)))*(1-0.03),_xlfn.IFS(AW427="SIM",SUM(L427,Q427,V427,AA427,AF427,AK427,AP427,AU427)+AX427/_xlfn.XLOOKUP(_xlfn.XLOOKUP($F427,Clientes!$B$4:$B$39,Clientes!$C$4:$C$39),Cadastros!$L$6:$L$12,Cadastros!$M$6:$M$12)+IF($F427="Bernardino Furlan",AY427/2751.92,IF($F427="Mauro José Salanti",AY427/2751.92,AY427/3356)),F427&lt;&gt;0,SUM(L427,Q427,V427,AA427,AF427,AK427,AP427,AU427))))</f>
        <v xml:space="preserve"> </v>
      </c>
      <c r="BE427" s="120"/>
      <c r="BF427" s="120"/>
      <c r="BG427" s="120"/>
    </row>
    <row r="428" spans="1:59" s="3" customFormat="1" x14ac:dyDescent="0.3">
      <c r="A428" s="15" t="str">
        <f t="shared" si="78"/>
        <v/>
      </c>
      <c r="B428" s="25"/>
      <c r="C428" s="26"/>
      <c r="D428" s="279"/>
      <c r="E428" s="27"/>
      <c r="F428" s="28"/>
      <c r="G428" s="27"/>
      <c r="H428" s="28"/>
      <c r="I428" s="28"/>
      <c r="J428" s="255" t="str">
        <f>IF(H428="","",(_xlfn.XLOOKUP(H428,Cadastros!$D$6:$D$90,Cadastros!$E$6:$E$90))*(1-_xlfn.XLOOKUP(_xlfn.XLOOKUP($F428,Clientes!$B$4:$B$39,Clientes!$C$4:$C$39),Cadastros!$L$6:$L$12,Cadastros!$N$6:$N$12)))</f>
        <v/>
      </c>
      <c r="K428" s="168" t="str">
        <f t="shared" si="79"/>
        <v/>
      </c>
      <c r="L428" s="168" t="str">
        <f>IFERROR(K428/_xlfn.XLOOKUP(_xlfn.XLOOKUP($F428,Clientes!$B$4:$B$39,Clientes!$C$4:$C$39),Cadastros!$L$6:$L$12,Cadastros!$M$6:$M$12)," ")</f>
        <v xml:space="preserve"> </v>
      </c>
      <c r="M428" s="28"/>
      <c r="N428" s="28"/>
      <c r="O428" s="255" t="str">
        <f>IF(M428="","",(_xlfn.XLOOKUP(M428,Cadastros!$D$6:$D$90,Cadastros!$E$6:$E$90))*(1-_xlfn.XLOOKUP(_xlfn.XLOOKUP($F428,Clientes!$B$4:$B$39,Clientes!$C$4:$C$39),Cadastros!$L$6:$L$12,Cadastros!$N$6:$N$12)))</f>
        <v/>
      </c>
      <c r="P428" s="168" t="str">
        <f t="shared" si="80"/>
        <v/>
      </c>
      <c r="Q428" s="168" t="str">
        <f>IFERROR(P428/_xlfn.XLOOKUP(_xlfn.XLOOKUP($F428,Clientes!$B$4:$B$39,Clientes!$C$4:$C$39),Cadastros!$L$6:$L$12,Cadastros!$M$6:$M$12)," ")</f>
        <v xml:space="preserve"> </v>
      </c>
      <c r="R428" s="28"/>
      <c r="S428" s="28"/>
      <c r="T428" s="255" t="str">
        <f>IF(R428="","",(_xlfn.XLOOKUP(R428,Cadastros!$D$6:$D$90,Cadastros!$E$6:$E$90))*(1-_xlfn.XLOOKUP(_xlfn.XLOOKUP($F428,Clientes!$B$4:$B$39,Clientes!$C$4:$C$39),Cadastros!$L$6:$L$12,Cadastros!$N$6:$N$12)))</f>
        <v/>
      </c>
      <c r="U428" s="168" t="str">
        <f t="shared" si="81"/>
        <v/>
      </c>
      <c r="V428" s="168" t="str">
        <f>IFERROR(U428/_xlfn.XLOOKUP(_xlfn.XLOOKUP($F428,Clientes!$B$4:$B$39,Clientes!$C$4:$C$39),Cadastros!$L$6:$L$12,Cadastros!$M$6:$M$12)," ")</f>
        <v xml:space="preserve"> </v>
      </c>
      <c r="W428" s="28"/>
      <c r="X428" s="28"/>
      <c r="Y428" s="255" t="str">
        <f>IF(W428="","",(_xlfn.XLOOKUP(W428,Cadastros!$D$6:$D$90,Cadastros!$E$6:$E$90))*(1-_xlfn.XLOOKUP(_xlfn.XLOOKUP($F428,Clientes!$B$4:$B$39,Clientes!$C$4:$C$39),Cadastros!$L$6:$L$12,Cadastros!$N$6:$N$12)))</f>
        <v/>
      </c>
      <c r="Z428" s="168" t="str">
        <f t="shared" si="82"/>
        <v/>
      </c>
      <c r="AA428" s="168" t="str">
        <f>IFERROR(Z428/_xlfn.XLOOKUP(_xlfn.XLOOKUP($F428,Clientes!$B$4:$B$39,Clientes!$C$4:$C$39),Cadastros!$L$6:$L$12,Cadastros!$M$6:$M$12)," ")</f>
        <v xml:space="preserve"> </v>
      </c>
      <c r="AB428" s="28"/>
      <c r="AC428" s="28"/>
      <c r="AD428" s="20" t="str">
        <f>IF(AB428="","",IF($F428="Bernardino Furlan",_xlfn.XLOOKUP(AB428,Cadastros!$G$6:$G$90,Cadastros!$H$6:$H$90)*(1-0.18),IF($F428="Mauro José Salanti",_xlfn.XLOOKUP(AB428,Cadastros!$G$6:$G$90,Cadastros!$H$6:$H$90)*(1-0.18),_xlfn.XLOOKUP(AB428,Cadastros!$G$6:$G$90,Cadastros!$H$6:$H$90))))</f>
        <v/>
      </c>
      <c r="AE428" s="168" t="str">
        <f t="shared" si="83"/>
        <v/>
      </c>
      <c r="AF428" s="168" t="str">
        <f t="shared" si="84"/>
        <v/>
      </c>
      <c r="AG428" s="28"/>
      <c r="AH428" s="28"/>
      <c r="AI428" s="20" t="str">
        <f>IF(AG428="","",IF($F428="Bernardino Furlan",_xlfn.XLOOKUP(AG428,Cadastros!$G$6:$G$90,Cadastros!$H$6:$H$90)*(1-0.18),IF($F428="Mauro José Salanti",_xlfn.XLOOKUP(AG428,Cadastros!$G$6:$G$90,Cadastros!$H$6:$H$90)*(1-0.18),_xlfn.XLOOKUP(AG428,Cadastros!$G$6:$G$90,Cadastros!$H$6:$H$90))))</f>
        <v/>
      </c>
      <c r="AJ428" s="168" t="str">
        <f t="shared" si="85"/>
        <v/>
      </c>
      <c r="AK428" s="168" t="str">
        <f t="shared" si="86"/>
        <v/>
      </c>
      <c r="AL428" s="28"/>
      <c r="AM428" s="28"/>
      <c r="AN428" s="20" t="str">
        <f>IF(AL428="","",IF($F428="Bernardino Furlan",_xlfn.XLOOKUP(AL428,Cadastros!$G$6:$G$90,Cadastros!$H$6:$H$90)*(1-0.18),IF($F428="Mauro José Salanti",_xlfn.XLOOKUP(AL428,Cadastros!$G$6:$G$90,Cadastros!$H$6:$H$90)*(1-0.18),_xlfn.XLOOKUP(AL428,Cadastros!$G$6:$G$90,Cadastros!$H$6:$H$90))))</f>
        <v/>
      </c>
      <c r="AO428" s="168" t="str">
        <f t="shared" si="87"/>
        <v/>
      </c>
      <c r="AP428" s="168" t="str">
        <f t="shared" si="88"/>
        <v/>
      </c>
      <c r="AQ428" s="28"/>
      <c r="AR428" s="28"/>
      <c r="AS428" s="20" t="str">
        <f>IF(AQ428="","",IF($F428="Bernardino Furlan",_xlfn.XLOOKUP(AQ428,Cadastros!$G$6:$G$90,Cadastros!$H$6:$H$90)*(1-0.18),IF($F428="Mauro José Salanti",_xlfn.XLOOKUP(AQ428,Cadastros!$G$6:$G$90,Cadastros!$H$6:$H$90)*(1-0.18),_xlfn.XLOOKUP(AQ428,Cadastros!$G$6:$G$90,Cadastros!$H$6:$H$90))))</f>
        <v/>
      </c>
      <c r="AT428" s="168" t="str">
        <f t="shared" si="89"/>
        <v/>
      </c>
      <c r="AU428" s="168" t="str">
        <f t="shared" si="90"/>
        <v/>
      </c>
      <c r="AV428" s="227"/>
      <c r="AW428" s="30"/>
      <c r="AX428" s="267"/>
      <c r="AY428" s="267"/>
      <c r="AZ428" s="29"/>
      <c r="BA428" s="30"/>
      <c r="BB428" s="23" t="str" cm="1">
        <f t="array" ref="BB428">_xlfn.IFS(AW428="SIM",SUM(K428,P428,U428,Z428,AE428,AJ428,AO428,AT428,AX428,AY428),F428&lt;&gt;"",SUM(K428,P428,U428,Z428,AE428,AJ428,,AO428,AT428),F428="","")</f>
        <v/>
      </c>
      <c r="BC428" s="211" t="str" cm="1">
        <f t="array" ref="BC428">_xlfn.IFS(E428="","",G428&lt;=E428,BB428*(1-0.03),G428&lt;(E428+8),BB428,AZ428="Boleto",BB428*(1+0.001)^DATEDIF(E428,G428,"D"),AZ428="Cheque",BB428,AZ428="Dinheiro","Alterar forma pgto")</f>
        <v/>
      </c>
      <c r="BD428" s="276" t="str" cm="1">
        <f t="array" ref="BD428">IF(F428=0," ",IF(BC428&lt;BB428,(_xlfn.IFS(AW428="SIM",SUM(L428,Q428,V428,AA428,AF428,AK428,AP428,AU428)+AX428/_xlfn.XLOOKUP(_xlfn.XLOOKUP($F428,Clientes!$B$4:$B$39,Clientes!$C$4:$C$39),Cadastros!$L$6:$L$12,Cadastros!$M$6:$M$12)+IF($F428="Bernardino Furlan",AY428/2751.92,IF($F428="Mauro José Salanti",AY428/2751.92,AY428/3356)),F428&lt;&gt;0,SUM(L428,Q428,V428,AA428,AF428,AK428,AP428,AU428)))*(1-0.03),_xlfn.IFS(AW428="SIM",SUM(L428,Q428,V428,AA428,AF428,AK428,AP428,AU428)+AX428/_xlfn.XLOOKUP(_xlfn.XLOOKUP($F428,Clientes!$B$4:$B$39,Clientes!$C$4:$C$39),Cadastros!$L$6:$L$12,Cadastros!$M$6:$M$12)+IF($F428="Bernardino Furlan",AY428/2751.92,IF($F428="Mauro José Salanti",AY428/2751.92,AY428/3356)),F428&lt;&gt;0,SUM(L428,Q428,V428,AA428,AF428,AK428,AP428,AU428))))</f>
        <v xml:space="preserve"> </v>
      </c>
      <c r="BE428" s="120"/>
      <c r="BF428" s="120"/>
      <c r="BG428" s="120"/>
    </row>
    <row r="429" spans="1:59" s="3" customFormat="1" x14ac:dyDescent="0.3">
      <c r="A429" s="15" t="str">
        <f t="shared" si="78"/>
        <v/>
      </c>
      <c r="B429" s="25"/>
      <c r="C429" s="26"/>
      <c r="D429" s="279"/>
      <c r="E429" s="27"/>
      <c r="F429" s="28"/>
      <c r="G429" s="27"/>
      <c r="H429" s="28"/>
      <c r="I429" s="28"/>
      <c r="J429" s="255" t="str">
        <f>IF(H429="","",(_xlfn.XLOOKUP(H429,Cadastros!$D$6:$D$90,Cadastros!$E$6:$E$90))*(1-_xlfn.XLOOKUP(_xlfn.XLOOKUP($F429,Clientes!$B$4:$B$39,Clientes!$C$4:$C$39),Cadastros!$L$6:$L$12,Cadastros!$N$6:$N$12)))</f>
        <v/>
      </c>
      <c r="K429" s="168" t="str">
        <f t="shared" si="79"/>
        <v/>
      </c>
      <c r="L429" s="168" t="str">
        <f>IFERROR(K429/_xlfn.XLOOKUP(_xlfn.XLOOKUP($F429,Clientes!$B$4:$B$39,Clientes!$C$4:$C$39),Cadastros!$L$6:$L$12,Cadastros!$M$6:$M$12)," ")</f>
        <v xml:space="preserve"> </v>
      </c>
      <c r="M429" s="28"/>
      <c r="N429" s="28"/>
      <c r="O429" s="255" t="str">
        <f>IF(M429="","",(_xlfn.XLOOKUP(M429,Cadastros!$D$6:$D$90,Cadastros!$E$6:$E$90))*(1-_xlfn.XLOOKUP(_xlfn.XLOOKUP($F429,Clientes!$B$4:$B$39,Clientes!$C$4:$C$39),Cadastros!$L$6:$L$12,Cadastros!$N$6:$N$12)))</f>
        <v/>
      </c>
      <c r="P429" s="168" t="str">
        <f t="shared" si="80"/>
        <v/>
      </c>
      <c r="Q429" s="168" t="str">
        <f>IFERROR(P429/_xlfn.XLOOKUP(_xlfn.XLOOKUP($F429,Clientes!$B$4:$B$39,Clientes!$C$4:$C$39),Cadastros!$L$6:$L$12,Cadastros!$M$6:$M$12)," ")</f>
        <v xml:space="preserve"> </v>
      </c>
      <c r="R429" s="28"/>
      <c r="S429" s="28"/>
      <c r="T429" s="255" t="str">
        <f>IF(R429="","",(_xlfn.XLOOKUP(R429,Cadastros!$D$6:$D$90,Cadastros!$E$6:$E$90))*(1-_xlfn.XLOOKUP(_xlfn.XLOOKUP($F429,Clientes!$B$4:$B$39,Clientes!$C$4:$C$39),Cadastros!$L$6:$L$12,Cadastros!$N$6:$N$12)))</f>
        <v/>
      </c>
      <c r="U429" s="168" t="str">
        <f t="shared" si="81"/>
        <v/>
      </c>
      <c r="V429" s="168" t="str">
        <f>IFERROR(U429/_xlfn.XLOOKUP(_xlfn.XLOOKUP($F429,Clientes!$B$4:$B$39,Clientes!$C$4:$C$39),Cadastros!$L$6:$L$12,Cadastros!$M$6:$M$12)," ")</f>
        <v xml:space="preserve"> </v>
      </c>
      <c r="W429" s="28"/>
      <c r="X429" s="28"/>
      <c r="Y429" s="255" t="str">
        <f>IF(W429="","",(_xlfn.XLOOKUP(W429,Cadastros!$D$6:$D$90,Cadastros!$E$6:$E$90))*(1-_xlfn.XLOOKUP(_xlfn.XLOOKUP($F429,Clientes!$B$4:$B$39,Clientes!$C$4:$C$39),Cadastros!$L$6:$L$12,Cadastros!$N$6:$N$12)))</f>
        <v/>
      </c>
      <c r="Z429" s="168" t="str">
        <f t="shared" si="82"/>
        <v/>
      </c>
      <c r="AA429" s="168" t="str">
        <f>IFERROR(Z429/_xlfn.XLOOKUP(_xlfn.XLOOKUP($F429,Clientes!$B$4:$B$39,Clientes!$C$4:$C$39),Cadastros!$L$6:$L$12,Cadastros!$M$6:$M$12)," ")</f>
        <v xml:space="preserve"> </v>
      </c>
      <c r="AB429" s="28"/>
      <c r="AC429" s="28"/>
      <c r="AD429" s="20" t="str">
        <f>IF(AB429="","",IF($F429="Bernardino Furlan",_xlfn.XLOOKUP(AB429,Cadastros!$G$6:$G$90,Cadastros!$H$6:$H$90)*(1-0.18),IF($F429="Mauro José Salanti",_xlfn.XLOOKUP(AB429,Cadastros!$G$6:$G$90,Cadastros!$H$6:$H$90)*(1-0.18),_xlfn.XLOOKUP(AB429,Cadastros!$G$6:$G$90,Cadastros!$H$6:$H$90))))</f>
        <v/>
      </c>
      <c r="AE429" s="168" t="str">
        <f t="shared" si="83"/>
        <v/>
      </c>
      <c r="AF429" s="168" t="str">
        <f t="shared" si="84"/>
        <v/>
      </c>
      <c r="AG429" s="28"/>
      <c r="AH429" s="28"/>
      <c r="AI429" s="20" t="str">
        <f>IF(AG429="","",IF($F429="Bernardino Furlan",_xlfn.XLOOKUP(AG429,Cadastros!$G$6:$G$90,Cadastros!$H$6:$H$90)*(1-0.18),IF($F429="Mauro José Salanti",_xlfn.XLOOKUP(AG429,Cadastros!$G$6:$G$90,Cadastros!$H$6:$H$90)*(1-0.18),_xlfn.XLOOKUP(AG429,Cadastros!$G$6:$G$90,Cadastros!$H$6:$H$90))))</f>
        <v/>
      </c>
      <c r="AJ429" s="168" t="str">
        <f t="shared" si="85"/>
        <v/>
      </c>
      <c r="AK429" s="168" t="str">
        <f t="shared" si="86"/>
        <v/>
      </c>
      <c r="AL429" s="28"/>
      <c r="AM429" s="28"/>
      <c r="AN429" s="20" t="str">
        <f>IF(AL429="","",IF($F429="Bernardino Furlan",_xlfn.XLOOKUP(AL429,Cadastros!$G$6:$G$90,Cadastros!$H$6:$H$90)*(1-0.18),IF($F429="Mauro José Salanti",_xlfn.XLOOKUP(AL429,Cadastros!$G$6:$G$90,Cadastros!$H$6:$H$90)*(1-0.18),_xlfn.XLOOKUP(AL429,Cadastros!$G$6:$G$90,Cadastros!$H$6:$H$90))))</f>
        <v/>
      </c>
      <c r="AO429" s="168" t="str">
        <f t="shared" si="87"/>
        <v/>
      </c>
      <c r="AP429" s="168" t="str">
        <f t="shared" si="88"/>
        <v/>
      </c>
      <c r="AQ429" s="28"/>
      <c r="AR429" s="28"/>
      <c r="AS429" s="20" t="str">
        <f>IF(AQ429="","",IF($F429="Bernardino Furlan",_xlfn.XLOOKUP(AQ429,Cadastros!$G$6:$G$90,Cadastros!$H$6:$H$90)*(1-0.18),IF($F429="Mauro José Salanti",_xlfn.XLOOKUP(AQ429,Cadastros!$G$6:$G$90,Cadastros!$H$6:$H$90)*(1-0.18),_xlfn.XLOOKUP(AQ429,Cadastros!$G$6:$G$90,Cadastros!$H$6:$H$90))))</f>
        <v/>
      </c>
      <c r="AT429" s="168" t="str">
        <f t="shared" si="89"/>
        <v/>
      </c>
      <c r="AU429" s="168" t="str">
        <f t="shared" si="90"/>
        <v/>
      </c>
      <c r="AV429" s="227"/>
      <c r="AW429" s="30"/>
      <c r="AX429" s="267"/>
      <c r="AY429" s="267"/>
      <c r="AZ429" s="29"/>
      <c r="BA429" s="30"/>
      <c r="BB429" s="23" t="str" cm="1">
        <f t="array" ref="BB429">_xlfn.IFS(AW429="SIM",SUM(K429,P429,U429,Z429,AE429,AJ429,AO429,AT429,AX429,AY429),F429&lt;&gt;"",SUM(K429,P429,U429,Z429,AE429,AJ429,,AO429,AT429),F429="","")</f>
        <v/>
      </c>
      <c r="BC429" s="211" t="str" cm="1">
        <f t="array" ref="BC429">_xlfn.IFS(E429="","",G429&lt;=E429,BB429*(1-0.03),G429&lt;(E429+8),BB429,AZ429="Boleto",BB429*(1+0.001)^DATEDIF(E429,G429,"D"),AZ429="Cheque",BB429,AZ429="Dinheiro","Alterar forma pgto")</f>
        <v/>
      </c>
      <c r="BD429" s="276" t="str" cm="1">
        <f t="array" ref="BD429">IF(F429=0," ",IF(BC429&lt;BB429,(_xlfn.IFS(AW429="SIM",SUM(L429,Q429,V429,AA429,AF429,AK429,AP429,AU429)+AX429/_xlfn.XLOOKUP(_xlfn.XLOOKUP($F429,Clientes!$B$4:$B$39,Clientes!$C$4:$C$39),Cadastros!$L$6:$L$12,Cadastros!$M$6:$M$12)+IF($F429="Bernardino Furlan",AY429/2751.92,IF($F429="Mauro José Salanti",AY429/2751.92,AY429/3356)),F429&lt;&gt;0,SUM(L429,Q429,V429,AA429,AF429,AK429,AP429,AU429)))*(1-0.03),_xlfn.IFS(AW429="SIM",SUM(L429,Q429,V429,AA429,AF429,AK429,AP429,AU429)+AX429/_xlfn.XLOOKUP(_xlfn.XLOOKUP($F429,Clientes!$B$4:$B$39,Clientes!$C$4:$C$39),Cadastros!$L$6:$L$12,Cadastros!$M$6:$M$12)+IF($F429="Bernardino Furlan",AY429/2751.92,IF($F429="Mauro José Salanti",AY429/2751.92,AY429/3356)),F429&lt;&gt;0,SUM(L429,Q429,V429,AA429,AF429,AK429,AP429,AU429))))</f>
        <v xml:space="preserve"> </v>
      </c>
      <c r="BE429" s="120"/>
      <c r="BF429" s="120"/>
      <c r="BG429" s="120"/>
    </row>
    <row r="430" spans="1:59" s="3" customFormat="1" x14ac:dyDescent="0.3">
      <c r="A430" s="15" t="str">
        <f t="shared" si="78"/>
        <v/>
      </c>
      <c r="B430" s="25"/>
      <c r="C430" s="26"/>
      <c r="D430" s="279"/>
      <c r="E430" s="27"/>
      <c r="F430" s="28"/>
      <c r="G430" s="27"/>
      <c r="H430" s="28"/>
      <c r="I430" s="28"/>
      <c r="J430" s="255" t="str">
        <f>IF(H430="","",(_xlfn.XLOOKUP(H430,Cadastros!$D$6:$D$90,Cadastros!$E$6:$E$90))*(1-_xlfn.XLOOKUP(_xlfn.XLOOKUP($F430,Clientes!$B$4:$B$39,Clientes!$C$4:$C$39),Cadastros!$L$6:$L$12,Cadastros!$N$6:$N$12)))</f>
        <v/>
      </c>
      <c r="K430" s="168" t="str">
        <f t="shared" si="79"/>
        <v/>
      </c>
      <c r="L430" s="168" t="str">
        <f>IFERROR(K430/_xlfn.XLOOKUP(_xlfn.XLOOKUP($F430,Clientes!$B$4:$B$39,Clientes!$C$4:$C$39),Cadastros!$L$6:$L$12,Cadastros!$M$6:$M$12)," ")</f>
        <v xml:space="preserve"> </v>
      </c>
      <c r="M430" s="28"/>
      <c r="N430" s="28"/>
      <c r="O430" s="255" t="str">
        <f>IF(M430="","",(_xlfn.XLOOKUP(M430,Cadastros!$D$6:$D$90,Cadastros!$E$6:$E$90))*(1-_xlfn.XLOOKUP(_xlfn.XLOOKUP($F430,Clientes!$B$4:$B$39,Clientes!$C$4:$C$39),Cadastros!$L$6:$L$12,Cadastros!$N$6:$N$12)))</f>
        <v/>
      </c>
      <c r="P430" s="168" t="str">
        <f t="shared" si="80"/>
        <v/>
      </c>
      <c r="Q430" s="168" t="str">
        <f>IFERROR(P430/_xlfn.XLOOKUP(_xlfn.XLOOKUP($F430,Clientes!$B$4:$B$39,Clientes!$C$4:$C$39),Cadastros!$L$6:$L$12,Cadastros!$M$6:$M$12)," ")</f>
        <v xml:space="preserve"> </v>
      </c>
      <c r="R430" s="28"/>
      <c r="S430" s="28"/>
      <c r="T430" s="255" t="str">
        <f>IF(R430="","",(_xlfn.XLOOKUP(R430,Cadastros!$D$6:$D$90,Cadastros!$E$6:$E$90))*(1-_xlfn.XLOOKUP(_xlfn.XLOOKUP($F430,Clientes!$B$4:$B$39,Clientes!$C$4:$C$39),Cadastros!$L$6:$L$12,Cadastros!$N$6:$N$12)))</f>
        <v/>
      </c>
      <c r="U430" s="168" t="str">
        <f t="shared" si="81"/>
        <v/>
      </c>
      <c r="V430" s="168" t="str">
        <f>IFERROR(U430/_xlfn.XLOOKUP(_xlfn.XLOOKUP($F430,Clientes!$B$4:$B$39,Clientes!$C$4:$C$39),Cadastros!$L$6:$L$12,Cadastros!$M$6:$M$12)," ")</f>
        <v xml:space="preserve"> </v>
      </c>
      <c r="W430" s="28"/>
      <c r="X430" s="28"/>
      <c r="Y430" s="255" t="str">
        <f>IF(W430="","",(_xlfn.XLOOKUP(W430,Cadastros!$D$6:$D$90,Cadastros!$E$6:$E$90))*(1-_xlfn.XLOOKUP(_xlfn.XLOOKUP($F430,Clientes!$B$4:$B$39,Clientes!$C$4:$C$39),Cadastros!$L$6:$L$12,Cadastros!$N$6:$N$12)))</f>
        <v/>
      </c>
      <c r="Z430" s="168" t="str">
        <f t="shared" si="82"/>
        <v/>
      </c>
      <c r="AA430" s="168" t="str">
        <f>IFERROR(Z430/_xlfn.XLOOKUP(_xlfn.XLOOKUP($F430,Clientes!$B$4:$B$39,Clientes!$C$4:$C$39),Cadastros!$L$6:$L$12,Cadastros!$M$6:$M$12)," ")</f>
        <v xml:space="preserve"> </v>
      </c>
      <c r="AB430" s="28"/>
      <c r="AC430" s="28"/>
      <c r="AD430" s="20" t="str">
        <f>IF(AB430="","",IF($F430="Bernardino Furlan",_xlfn.XLOOKUP(AB430,Cadastros!$G$6:$G$90,Cadastros!$H$6:$H$90)*(1-0.18),IF($F430="Mauro José Salanti",_xlfn.XLOOKUP(AB430,Cadastros!$G$6:$G$90,Cadastros!$H$6:$H$90)*(1-0.18),_xlfn.XLOOKUP(AB430,Cadastros!$G$6:$G$90,Cadastros!$H$6:$H$90))))</f>
        <v/>
      </c>
      <c r="AE430" s="168" t="str">
        <f t="shared" si="83"/>
        <v/>
      </c>
      <c r="AF430" s="168" t="str">
        <f t="shared" si="84"/>
        <v/>
      </c>
      <c r="AG430" s="28"/>
      <c r="AH430" s="28"/>
      <c r="AI430" s="20" t="str">
        <f>IF(AG430="","",IF($F430="Bernardino Furlan",_xlfn.XLOOKUP(AG430,Cadastros!$G$6:$G$90,Cadastros!$H$6:$H$90)*(1-0.18),IF($F430="Mauro José Salanti",_xlfn.XLOOKUP(AG430,Cadastros!$G$6:$G$90,Cadastros!$H$6:$H$90)*(1-0.18),_xlfn.XLOOKUP(AG430,Cadastros!$G$6:$G$90,Cadastros!$H$6:$H$90))))</f>
        <v/>
      </c>
      <c r="AJ430" s="168" t="str">
        <f t="shared" si="85"/>
        <v/>
      </c>
      <c r="AK430" s="168" t="str">
        <f t="shared" si="86"/>
        <v/>
      </c>
      <c r="AL430" s="28"/>
      <c r="AM430" s="28"/>
      <c r="AN430" s="20" t="str">
        <f>IF(AL430="","",IF($F430="Bernardino Furlan",_xlfn.XLOOKUP(AL430,Cadastros!$G$6:$G$90,Cadastros!$H$6:$H$90)*(1-0.18),IF($F430="Mauro José Salanti",_xlfn.XLOOKUP(AL430,Cadastros!$G$6:$G$90,Cadastros!$H$6:$H$90)*(1-0.18),_xlfn.XLOOKUP(AL430,Cadastros!$G$6:$G$90,Cadastros!$H$6:$H$90))))</f>
        <v/>
      </c>
      <c r="AO430" s="168" t="str">
        <f t="shared" si="87"/>
        <v/>
      </c>
      <c r="AP430" s="168" t="str">
        <f t="shared" si="88"/>
        <v/>
      </c>
      <c r="AQ430" s="28"/>
      <c r="AR430" s="28"/>
      <c r="AS430" s="20" t="str">
        <f>IF(AQ430="","",IF($F430="Bernardino Furlan",_xlfn.XLOOKUP(AQ430,Cadastros!$G$6:$G$90,Cadastros!$H$6:$H$90)*(1-0.18),IF($F430="Mauro José Salanti",_xlfn.XLOOKUP(AQ430,Cadastros!$G$6:$G$90,Cadastros!$H$6:$H$90)*(1-0.18),_xlfn.XLOOKUP(AQ430,Cadastros!$G$6:$G$90,Cadastros!$H$6:$H$90))))</f>
        <v/>
      </c>
      <c r="AT430" s="168" t="str">
        <f t="shared" si="89"/>
        <v/>
      </c>
      <c r="AU430" s="168" t="str">
        <f t="shared" si="90"/>
        <v/>
      </c>
      <c r="AV430" s="227"/>
      <c r="AW430" s="30"/>
      <c r="AX430" s="267"/>
      <c r="AY430" s="267"/>
      <c r="AZ430" s="29"/>
      <c r="BA430" s="30"/>
      <c r="BB430" s="23" t="str" cm="1">
        <f t="array" ref="BB430">_xlfn.IFS(AW430="SIM",SUM(K430,P430,U430,Z430,AE430,AJ430,AO430,AT430,AX430,AY430),F430&lt;&gt;"",SUM(K430,P430,U430,Z430,AE430,AJ430,,AO430,AT430),F430="","")</f>
        <v/>
      </c>
      <c r="BC430" s="211" t="str" cm="1">
        <f t="array" ref="BC430">_xlfn.IFS(E430="","",G430&lt;=E430,BB430*(1-0.03),G430&lt;(E430+8),BB430,AZ430="Boleto",BB430*(1+0.001)^DATEDIF(E430,G430,"D"),AZ430="Cheque",BB430,AZ430="Dinheiro","Alterar forma pgto")</f>
        <v/>
      </c>
      <c r="BD430" s="276" t="str" cm="1">
        <f t="array" ref="BD430">IF(F430=0," ",IF(BC430&lt;BB430,(_xlfn.IFS(AW430="SIM",SUM(L430,Q430,V430,AA430,AF430,AK430,AP430,AU430)+AX430/_xlfn.XLOOKUP(_xlfn.XLOOKUP($F430,Clientes!$B$4:$B$39,Clientes!$C$4:$C$39),Cadastros!$L$6:$L$12,Cadastros!$M$6:$M$12)+IF($F430="Bernardino Furlan",AY430/2751.92,IF($F430="Mauro José Salanti",AY430/2751.92,AY430/3356)),F430&lt;&gt;0,SUM(L430,Q430,V430,AA430,AF430,AK430,AP430,AU430)))*(1-0.03),_xlfn.IFS(AW430="SIM",SUM(L430,Q430,V430,AA430,AF430,AK430,AP430,AU430)+AX430/_xlfn.XLOOKUP(_xlfn.XLOOKUP($F430,Clientes!$B$4:$B$39,Clientes!$C$4:$C$39),Cadastros!$L$6:$L$12,Cadastros!$M$6:$M$12)+IF($F430="Bernardino Furlan",AY430/2751.92,IF($F430="Mauro José Salanti",AY430/2751.92,AY430/3356)),F430&lt;&gt;0,SUM(L430,Q430,V430,AA430,AF430,AK430,AP430,AU430))))</f>
        <v xml:space="preserve"> </v>
      </c>
      <c r="BE430" s="120"/>
      <c r="BF430" s="120"/>
      <c r="BG430" s="120"/>
    </row>
    <row r="431" spans="1:59" s="3" customFormat="1" x14ac:dyDescent="0.3">
      <c r="A431" s="15" t="str">
        <f t="shared" si="78"/>
        <v/>
      </c>
      <c r="B431" s="25"/>
      <c r="C431" s="26"/>
      <c r="D431" s="279"/>
      <c r="E431" s="27"/>
      <c r="F431" s="28"/>
      <c r="G431" s="27"/>
      <c r="H431" s="28"/>
      <c r="I431" s="28"/>
      <c r="J431" s="255" t="str">
        <f>IF(H431="","",(_xlfn.XLOOKUP(H431,Cadastros!$D$6:$D$90,Cadastros!$E$6:$E$90))*(1-_xlfn.XLOOKUP(_xlfn.XLOOKUP($F431,Clientes!$B$4:$B$39,Clientes!$C$4:$C$39),Cadastros!$L$6:$L$12,Cadastros!$N$6:$N$12)))</f>
        <v/>
      </c>
      <c r="K431" s="168" t="str">
        <f t="shared" si="79"/>
        <v/>
      </c>
      <c r="L431" s="168" t="str">
        <f>IFERROR(K431/_xlfn.XLOOKUP(_xlfn.XLOOKUP($F431,Clientes!$B$4:$B$39,Clientes!$C$4:$C$39),Cadastros!$L$6:$L$12,Cadastros!$M$6:$M$12)," ")</f>
        <v xml:space="preserve"> </v>
      </c>
      <c r="M431" s="28"/>
      <c r="N431" s="28"/>
      <c r="O431" s="255" t="str">
        <f>IF(M431="","",(_xlfn.XLOOKUP(M431,Cadastros!$D$6:$D$90,Cadastros!$E$6:$E$90))*(1-_xlfn.XLOOKUP(_xlfn.XLOOKUP($F431,Clientes!$B$4:$B$39,Clientes!$C$4:$C$39),Cadastros!$L$6:$L$12,Cadastros!$N$6:$N$12)))</f>
        <v/>
      </c>
      <c r="P431" s="168" t="str">
        <f t="shared" si="80"/>
        <v/>
      </c>
      <c r="Q431" s="168" t="str">
        <f>IFERROR(P431/_xlfn.XLOOKUP(_xlfn.XLOOKUP($F431,Clientes!$B$4:$B$39,Clientes!$C$4:$C$39),Cadastros!$L$6:$L$12,Cadastros!$M$6:$M$12)," ")</f>
        <v xml:space="preserve"> </v>
      </c>
      <c r="R431" s="28"/>
      <c r="S431" s="28"/>
      <c r="T431" s="255" t="str">
        <f>IF(R431="","",(_xlfn.XLOOKUP(R431,Cadastros!$D$6:$D$90,Cadastros!$E$6:$E$90))*(1-_xlfn.XLOOKUP(_xlfn.XLOOKUP($F431,Clientes!$B$4:$B$39,Clientes!$C$4:$C$39),Cadastros!$L$6:$L$12,Cadastros!$N$6:$N$12)))</f>
        <v/>
      </c>
      <c r="U431" s="168" t="str">
        <f t="shared" si="81"/>
        <v/>
      </c>
      <c r="V431" s="168" t="str">
        <f>IFERROR(U431/_xlfn.XLOOKUP(_xlfn.XLOOKUP($F431,Clientes!$B$4:$B$39,Clientes!$C$4:$C$39),Cadastros!$L$6:$L$12,Cadastros!$M$6:$M$12)," ")</f>
        <v xml:space="preserve"> </v>
      </c>
      <c r="W431" s="28"/>
      <c r="X431" s="28"/>
      <c r="Y431" s="255" t="str">
        <f>IF(W431="","",(_xlfn.XLOOKUP(W431,Cadastros!$D$6:$D$90,Cadastros!$E$6:$E$90))*(1-_xlfn.XLOOKUP(_xlfn.XLOOKUP($F431,Clientes!$B$4:$B$39,Clientes!$C$4:$C$39),Cadastros!$L$6:$L$12,Cadastros!$N$6:$N$12)))</f>
        <v/>
      </c>
      <c r="Z431" s="168" t="str">
        <f t="shared" si="82"/>
        <v/>
      </c>
      <c r="AA431" s="168" t="str">
        <f>IFERROR(Z431/_xlfn.XLOOKUP(_xlfn.XLOOKUP($F431,Clientes!$B$4:$B$39,Clientes!$C$4:$C$39),Cadastros!$L$6:$L$12,Cadastros!$M$6:$M$12)," ")</f>
        <v xml:space="preserve"> </v>
      </c>
      <c r="AB431" s="28"/>
      <c r="AC431" s="28"/>
      <c r="AD431" s="20" t="str">
        <f>IF(AB431="","",IF($F431="Bernardino Furlan",_xlfn.XLOOKUP(AB431,Cadastros!$G$6:$G$90,Cadastros!$H$6:$H$90)*(1-0.18),IF($F431="Mauro José Salanti",_xlfn.XLOOKUP(AB431,Cadastros!$G$6:$G$90,Cadastros!$H$6:$H$90)*(1-0.18),_xlfn.XLOOKUP(AB431,Cadastros!$G$6:$G$90,Cadastros!$H$6:$H$90))))</f>
        <v/>
      </c>
      <c r="AE431" s="168" t="str">
        <f t="shared" si="83"/>
        <v/>
      </c>
      <c r="AF431" s="168" t="str">
        <f t="shared" si="84"/>
        <v/>
      </c>
      <c r="AG431" s="28"/>
      <c r="AH431" s="28"/>
      <c r="AI431" s="20" t="str">
        <f>IF(AG431="","",IF($F431="Bernardino Furlan",_xlfn.XLOOKUP(AG431,Cadastros!$G$6:$G$90,Cadastros!$H$6:$H$90)*(1-0.18),IF($F431="Mauro José Salanti",_xlfn.XLOOKUP(AG431,Cadastros!$G$6:$G$90,Cadastros!$H$6:$H$90)*(1-0.18),_xlfn.XLOOKUP(AG431,Cadastros!$G$6:$G$90,Cadastros!$H$6:$H$90))))</f>
        <v/>
      </c>
      <c r="AJ431" s="168" t="str">
        <f t="shared" si="85"/>
        <v/>
      </c>
      <c r="AK431" s="168" t="str">
        <f t="shared" si="86"/>
        <v/>
      </c>
      <c r="AL431" s="28"/>
      <c r="AM431" s="28"/>
      <c r="AN431" s="20" t="str">
        <f>IF(AL431="","",IF($F431="Bernardino Furlan",_xlfn.XLOOKUP(AL431,Cadastros!$G$6:$G$90,Cadastros!$H$6:$H$90)*(1-0.18),IF($F431="Mauro José Salanti",_xlfn.XLOOKUP(AL431,Cadastros!$G$6:$G$90,Cadastros!$H$6:$H$90)*(1-0.18),_xlfn.XLOOKUP(AL431,Cadastros!$G$6:$G$90,Cadastros!$H$6:$H$90))))</f>
        <v/>
      </c>
      <c r="AO431" s="168" t="str">
        <f t="shared" si="87"/>
        <v/>
      </c>
      <c r="AP431" s="168" t="str">
        <f t="shared" si="88"/>
        <v/>
      </c>
      <c r="AQ431" s="28"/>
      <c r="AR431" s="28"/>
      <c r="AS431" s="20" t="str">
        <f>IF(AQ431="","",IF($F431="Bernardino Furlan",_xlfn.XLOOKUP(AQ431,Cadastros!$G$6:$G$90,Cadastros!$H$6:$H$90)*(1-0.18),IF($F431="Mauro José Salanti",_xlfn.XLOOKUP(AQ431,Cadastros!$G$6:$G$90,Cadastros!$H$6:$H$90)*(1-0.18),_xlfn.XLOOKUP(AQ431,Cadastros!$G$6:$G$90,Cadastros!$H$6:$H$90))))</f>
        <v/>
      </c>
      <c r="AT431" s="168" t="str">
        <f t="shared" si="89"/>
        <v/>
      </c>
      <c r="AU431" s="168" t="str">
        <f t="shared" si="90"/>
        <v/>
      </c>
      <c r="AV431" s="227"/>
      <c r="AW431" s="30"/>
      <c r="AX431" s="267"/>
      <c r="AY431" s="267"/>
      <c r="AZ431" s="29"/>
      <c r="BA431" s="30"/>
      <c r="BB431" s="23" t="str" cm="1">
        <f t="array" ref="BB431">_xlfn.IFS(AW431="SIM",SUM(K431,P431,U431,Z431,AE431,AJ431,AO431,AT431,AX431,AY431),F431&lt;&gt;"",SUM(K431,P431,U431,Z431,AE431,AJ431,,AO431,AT431),F431="","")</f>
        <v/>
      </c>
      <c r="BC431" s="211" t="str" cm="1">
        <f t="array" ref="BC431">_xlfn.IFS(E431="","",G431&lt;=E431,BB431*(1-0.03),G431&lt;(E431+8),BB431,AZ431="Boleto",BB431*(1+0.001)^DATEDIF(E431,G431,"D"),AZ431="Cheque",BB431,AZ431="Dinheiro","Alterar forma pgto")</f>
        <v/>
      </c>
      <c r="BD431" s="276" t="str" cm="1">
        <f t="array" ref="BD431">IF(F431=0," ",IF(BC431&lt;BB431,(_xlfn.IFS(AW431="SIM",SUM(L431,Q431,V431,AA431,AF431,AK431,AP431,AU431)+AX431/_xlfn.XLOOKUP(_xlfn.XLOOKUP($F431,Clientes!$B$4:$B$39,Clientes!$C$4:$C$39),Cadastros!$L$6:$L$12,Cadastros!$M$6:$M$12)+IF($F431="Bernardino Furlan",AY431/2751.92,IF($F431="Mauro José Salanti",AY431/2751.92,AY431/3356)),F431&lt;&gt;0,SUM(L431,Q431,V431,AA431,AF431,AK431,AP431,AU431)))*(1-0.03),_xlfn.IFS(AW431="SIM",SUM(L431,Q431,V431,AA431,AF431,AK431,AP431,AU431)+AX431/_xlfn.XLOOKUP(_xlfn.XLOOKUP($F431,Clientes!$B$4:$B$39,Clientes!$C$4:$C$39),Cadastros!$L$6:$L$12,Cadastros!$M$6:$M$12)+IF($F431="Bernardino Furlan",AY431/2751.92,IF($F431="Mauro José Salanti",AY431/2751.92,AY431/3356)),F431&lt;&gt;0,SUM(L431,Q431,V431,AA431,AF431,AK431,AP431,AU431))))</f>
        <v xml:space="preserve"> </v>
      </c>
      <c r="BE431" s="120"/>
      <c r="BF431" s="120"/>
      <c r="BG431" s="120"/>
    </row>
    <row r="432" spans="1:59" s="3" customFormat="1" x14ac:dyDescent="0.3">
      <c r="A432" s="15" t="str">
        <f t="shared" si="78"/>
        <v/>
      </c>
      <c r="B432" s="25"/>
      <c r="C432" s="26"/>
      <c r="D432" s="279"/>
      <c r="E432" s="27"/>
      <c r="F432" s="28"/>
      <c r="G432" s="27"/>
      <c r="H432" s="28"/>
      <c r="I432" s="28"/>
      <c r="J432" s="255" t="str">
        <f>IF(H432="","",(_xlfn.XLOOKUP(H432,Cadastros!$D$6:$D$90,Cadastros!$E$6:$E$90))*(1-_xlfn.XLOOKUP(_xlfn.XLOOKUP($F432,Clientes!$B$4:$B$39,Clientes!$C$4:$C$39),Cadastros!$L$6:$L$12,Cadastros!$N$6:$N$12)))</f>
        <v/>
      </c>
      <c r="K432" s="168" t="str">
        <f t="shared" si="79"/>
        <v/>
      </c>
      <c r="L432" s="168" t="str">
        <f>IFERROR(K432/_xlfn.XLOOKUP(_xlfn.XLOOKUP($F432,Clientes!$B$4:$B$39,Clientes!$C$4:$C$39),Cadastros!$L$6:$L$12,Cadastros!$M$6:$M$12)," ")</f>
        <v xml:space="preserve"> </v>
      </c>
      <c r="M432" s="28"/>
      <c r="N432" s="28"/>
      <c r="O432" s="255" t="str">
        <f>IF(M432="","",(_xlfn.XLOOKUP(M432,Cadastros!$D$6:$D$90,Cadastros!$E$6:$E$90))*(1-_xlfn.XLOOKUP(_xlfn.XLOOKUP($F432,Clientes!$B$4:$B$39,Clientes!$C$4:$C$39),Cadastros!$L$6:$L$12,Cadastros!$N$6:$N$12)))</f>
        <v/>
      </c>
      <c r="P432" s="168" t="str">
        <f t="shared" si="80"/>
        <v/>
      </c>
      <c r="Q432" s="168" t="str">
        <f>IFERROR(P432/_xlfn.XLOOKUP(_xlfn.XLOOKUP($F432,Clientes!$B$4:$B$39,Clientes!$C$4:$C$39),Cadastros!$L$6:$L$12,Cadastros!$M$6:$M$12)," ")</f>
        <v xml:space="preserve"> </v>
      </c>
      <c r="R432" s="28"/>
      <c r="S432" s="28"/>
      <c r="T432" s="255" t="str">
        <f>IF(R432="","",(_xlfn.XLOOKUP(R432,Cadastros!$D$6:$D$90,Cadastros!$E$6:$E$90))*(1-_xlfn.XLOOKUP(_xlfn.XLOOKUP($F432,Clientes!$B$4:$B$39,Clientes!$C$4:$C$39),Cadastros!$L$6:$L$12,Cadastros!$N$6:$N$12)))</f>
        <v/>
      </c>
      <c r="U432" s="168" t="str">
        <f t="shared" si="81"/>
        <v/>
      </c>
      <c r="V432" s="168" t="str">
        <f>IFERROR(U432/_xlfn.XLOOKUP(_xlfn.XLOOKUP($F432,Clientes!$B$4:$B$39,Clientes!$C$4:$C$39),Cadastros!$L$6:$L$12,Cadastros!$M$6:$M$12)," ")</f>
        <v xml:space="preserve"> </v>
      </c>
      <c r="W432" s="28"/>
      <c r="X432" s="28"/>
      <c r="Y432" s="255" t="str">
        <f>IF(W432="","",(_xlfn.XLOOKUP(W432,Cadastros!$D$6:$D$90,Cadastros!$E$6:$E$90))*(1-_xlfn.XLOOKUP(_xlfn.XLOOKUP($F432,Clientes!$B$4:$B$39,Clientes!$C$4:$C$39),Cadastros!$L$6:$L$12,Cadastros!$N$6:$N$12)))</f>
        <v/>
      </c>
      <c r="Z432" s="168" t="str">
        <f t="shared" si="82"/>
        <v/>
      </c>
      <c r="AA432" s="168" t="str">
        <f>IFERROR(Z432/_xlfn.XLOOKUP(_xlfn.XLOOKUP($F432,Clientes!$B$4:$B$39,Clientes!$C$4:$C$39),Cadastros!$L$6:$L$12,Cadastros!$M$6:$M$12)," ")</f>
        <v xml:space="preserve"> </v>
      </c>
      <c r="AB432" s="28"/>
      <c r="AC432" s="28"/>
      <c r="AD432" s="20" t="str">
        <f>IF(AB432="","",IF($F432="Bernardino Furlan",_xlfn.XLOOKUP(AB432,Cadastros!$G$6:$G$90,Cadastros!$H$6:$H$90)*(1-0.18),IF($F432="Mauro José Salanti",_xlfn.XLOOKUP(AB432,Cadastros!$G$6:$G$90,Cadastros!$H$6:$H$90)*(1-0.18),_xlfn.XLOOKUP(AB432,Cadastros!$G$6:$G$90,Cadastros!$H$6:$H$90))))</f>
        <v/>
      </c>
      <c r="AE432" s="168" t="str">
        <f t="shared" si="83"/>
        <v/>
      </c>
      <c r="AF432" s="168" t="str">
        <f t="shared" si="84"/>
        <v/>
      </c>
      <c r="AG432" s="28"/>
      <c r="AH432" s="28"/>
      <c r="AI432" s="20" t="str">
        <f>IF(AG432="","",IF($F432="Bernardino Furlan",_xlfn.XLOOKUP(AG432,Cadastros!$G$6:$G$90,Cadastros!$H$6:$H$90)*(1-0.18),IF($F432="Mauro José Salanti",_xlfn.XLOOKUP(AG432,Cadastros!$G$6:$G$90,Cadastros!$H$6:$H$90)*(1-0.18),_xlfn.XLOOKUP(AG432,Cadastros!$G$6:$G$90,Cadastros!$H$6:$H$90))))</f>
        <v/>
      </c>
      <c r="AJ432" s="168" t="str">
        <f t="shared" si="85"/>
        <v/>
      </c>
      <c r="AK432" s="168" t="str">
        <f t="shared" si="86"/>
        <v/>
      </c>
      <c r="AL432" s="28"/>
      <c r="AM432" s="28"/>
      <c r="AN432" s="20" t="str">
        <f>IF(AL432="","",IF($F432="Bernardino Furlan",_xlfn.XLOOKUP(AL432,Cadastros!$G$6:$G$90,Cadastros!$H$6:$H$90)*(1-0.18),IF($F432="Mauro José Salanti",_xlfn.XLOOKUP(AL432,Cadastros!$G$6:$G$90,Cadastros!$H$6:$H$90)*(1-0.18),_xlfn.XLOOKUP(AL432,Cadastros!$G$6:$G$90,Cadastros!$H$6:$H$90))))</f>
        <v/>
      </c>
      <c r="AO432" s="168" t="str">
        <f t="shared" si="87"/>
        <v/>
      </c>
      <c r="AP432" s="168" t="str">
        <f t="shared" si="88"/>
        <v/>
      </c>
      <c r="AQ432" s="28"/>
      <c r="AR432" s="28"/>
      <c r="AS432" s="20" t="str">
        <f>IF(AQ432="","",IF($F432="Bernardino Furlan",_xlfn.XLOOKUP(AQ432,Cadastros!$G$6:$G$90,Cadastros!$H$6:$H$90)*(1-0.18),IF($F432="Mauro José Salanti",_xlfn.XLOOKUP(AQ432,Cadastros!$G$6:$G$90,Cadastros!$H$6:$H$90)*(1-0.18),_xlfn.XLOOKUP(AQ432,Cadastros!$G$6:$G$90,Cadastros!$H$6:$H$90))))</f>
        <v/>
      </c>
      <c r="AT432" s="168" t="str">
        <f t="shared" si="89"/>
        <v/>
      </c>
      <c r="AU432" s="168" t="str">
        <f t="shared" si="90"/>
        <v/>
      </c>
      <c r="AV432" s="227"/>
      <c r="AW432" s="30"/>
      <c r="AX432" s="267"/>
      <c r="AY432" s="267"/>
      <c r="AZ432" s="29"/>
      <c r="BA432" s="30"/>
      <c r="BB432" s="23" t="str" cm="1">
        <f t="array" ref="BB432">_xlfn.IFS(AW432="SIM",SUM(K432,P432,U432,Z432,AE432,AJ432,AO432,AT432,AX432,AY432),F432&lt;&gt;"",SUM(K432,P432,U432,Z432,AE432,AJ432,,AO432,AT432),F432="","")</f>
        <v/>
      </c>
      <c r="BC432" s="211" t="str" cm="1">
        <f t="array" ref="BC432">_xlfn.IFS(E432="","",G432&lt;=E432,BB432*(1-0.03),G432&lt;(E432+8),BB432,AZ432="Boleto",BB432*(1+0.001)^DATEDIF(E432,G432,"D"),AZ432="Cheque",BB432,AZ432="Dinheiro","Alterar forma pgto")</f>
        <v/>
      </c>
      <c r="BD432" s="276" t="str" cm="1">
        <f t="array" ref="BD432">IF(F432=0," ",IF(BC432&lt;BB432,(_xlfn.IFS(AW432="SIM",SUM(L432,Q432,V432,AA432,AF432,AK432,AP432,AU432)+AX432/_xlfn.XLOOKUP(_xlfn.XLOOKUP($F432,Clientes!$B$4:$B$39,Clientes!$C$4:$C$39),Cadastros!$L$6:$L$12,Cadastros!$M$6:$M$12)+IF($F432="Bernardino Furlan",AY432/2751.92,IF($F432="Mauro José Salanti",AY432/2751.92,AY432/3356)),F432&lt;&gt;0,SUM(L432,Q432,V432,AA432,AF432,AK432,AP432,AU432)))*(1-0.03),_xlfn.IFS(AW432="SIM",SUM(L432,Q432,V432,AA432,AF432,AK432,AP432,AU432)+AX432/_xlfn.XLOOKUP(_xlfn.XLOOKUP($F432,Clientes!$B$4:$B$39,Clientes!$C$4:$C$39),Cadastros!$L$6:$L$12,Cadastros!$M$6:$M$12)+IF($F432="Bernardino Furlan",AY432/2751.92,IF($F432="Mauro José Salanti",AY432/2751.92,AY432/3356)),F432&lt;&gt;0,SUM(L432,Q432,V432,AA432,AF432,AK432,AP432,AU432))))</f>
        <v xml:space="preserve"> </v>
      </c>
      <c r="BE432" s="120"/>
      <c r="BF432" s="120"/>
      <c r="BG432" s="120"/>
    </row>
    <row r="433" spans="1:59" s="3" customFormat="1" x14ac:dyDescent="0.3">
      <c r="A433" s="15" t="str">
        <f t="shared" si="78"/>
        <v/>
      </c>
      <c r="B433" s="25"/>
      <c r="C433" s="26"/>
      <c r="D433" s="279"/>
      <c r="E433" s="27"/>
      <c r="F433" s="28"/>
      <c r="G433" s="27"/>
      <c r="H433" s="28"/>
      <c r="I433" s="28"/>
      <c r="J433" s="255" t="str">
        <f>IF(H433="","",(_xlfn.XLOOKUP(H433,Cadastros!$D$6:$D$90,Cadastros!$E$6:$E$90))*(1-_xlfn.XLOOKUP(_xlfn.XLOOKUP($F433,Clientes!$B$4:$B$39,Clientes!$C$4:$C$39),Cadastros!$L$6:$L$12,Cadastros!$N$6:$N$12)))</f>
        <v/>
      </c>
      <c r="K433" s="168" t="str">
        <f t="shared" si="79"/>
        <v/>
      </c>
      <c r="L433" s="168" t="str">
        <f>IFERROR(K433/_xlfn.XLOOKUP(_xlfn.XLOOKUP($F433,Clientes!$B$4:$B$39,Clientes!$C$4:$C$39),Cadastros!$L$6:$L$12,Cadastros!$M$6:$M$12)," ")</f>
        <v xml:space="preserve"> </v>
      </c>
      <c r="M433" s="28"/>
      <c r="N433" s="28"/>
      <c r="O433" s="255" t="str">
        <f>IF(M433="","",(_xlfn.XLOOKUP(M433,Cadastros!$D$6:$D$90,Cadastros!$E$6:$E$90))*(1-_xlfn.XLOOKUP(_xlfn.XLOOKUP($F433,Clientes!$B$4:$B$39,Clientes!$C$4:$C$39),Cadastros!$L$6:$L$12,Cadastros!$N$6:$N$12)))</f>
        <v/>
      </c>
      <c r="P433" s="168" t="str">
        <f t="shared" si="80"/>
        <v/>
      </c>
      <c r="Q433" s="168" t="str">
        <f>IFERROR(P433/_xlfn.XLOOKUP(_xlfn.XLOOKUP($F433,Clientes!$B$4:$B$39,Clientes!$C$4:$C$39),Cadastros!$L$6:$L$12,Cadastros!$M$6:$M$12)," ")</f>
        <v xml:space="preserve"> </v>
      </c>
      <c r="R433" s="28"/>
      <c r="S433" s="28"/>
      <c r="T433" s="255" t="str">
        <f>IF(R433="","",(_xlfn.XLOOKUP(R433,Cadastros!$D$6:$D$90,Cadastros!$E$6:$E$90))*(1-_xlfn.XLOOKUP(_xlfn.XLOOKUP($F433,Clientes!$B$4:$B$39,Clientes!$C$4:$C$39),Cadastros!$L$6:$L$12,Cadastros!$N$6:$N$12)))</f>
        <v/>
      </c>
      <c r="U433" s="168" t="str">
        <f t="shared" si="81"/>
        <v/>
      </c>
      <c r="V433" s="168" t="str">
        <f>IFERROR(U433/_xlfn.XLOOKUP(_xlfn.XLOOKUP($F433,Clientes!$B$4:$B$39,Clientes!$C$4:$C$39),Cadastros!$L$6:$L$12,Cadastros!$M$6:$M$12)," ")</f>
        <v xml:space="preserve"> </v>
      </c>
      <c r="W433" s="28"/>
      <c r="X433" s="28"/>
      <c r="Y433" s="255" t="str">
        <f>IF(W433="","",(_xlfn.XLOOKUP(W433,Cadastros!$D$6:$D$90,Cadastros!$E$6:$E$90))*(1-_xlfn.XLOOKUP(_xlfn.XLOOKUP($F433,Clientes!$B$4:$B$39,Clientes!$C$4:$C$39),Cadastros!$L$6:$L$12,Cadastros!$N$6:$N$12)))</f>
        <v/>
      </c>
      <c r="Z433" s="168" t="str">
        <f t="shared" si="82"/>
        <v/>
      </c>
      <c r="AA433" s="168" t="str">
        <f>IFERROR(Z433/_xlfn.XLOOKUP(_xlfn.XLOOKUP($F433,Clientes!$B$4:$B$39,Clientes!$C$4:$C$39),Cadastros!$L$6:$L$12,Cadastros!$M$6:$M$12)," ")</f>
        <v xml:space="preserve"> </v>
      </c>
      <c r="AB433" s="28"/>
      <c r="AC433" s="28"/>
      <c r="AD433" s="20" t="str">
        <f>IF(AB433="","",IF($F433="Bernardino Furlan",_xlfn.XLOOKUP(AB433,Cadastros!$G$6:$G$90,Cadastros!$H$6:$H$90)*(1-0.18),IF($F433="Mauro José Salanti",_xlfn.XLOOKUP(AB433,Cadastros!$G$6:$G$90,Cadastros!$H$6:$H$90)*(1-0.18),_xlfn.XLOOKUP(AB433,Cadastros!$G$6:$G$90,Cadastros!$H$6:$H$90))))</f>
        <v/>
      </c>
      <c r="AE433" s="168" t="str">
        <f t="shared" si="83"/>
        <v/>
      </c>
      <c r="AF433" s="168" t="str">
        <f t="shared" si="84"/>
        <v/>
      </c>
      <c r="AG433" s="28"/>
      <c r="AH433" s="28"/>
      <c r="AI433" s="20" t="str">
        <f>IF(AG433="","",IF($F433="Bernardino Furlan",_xlfn.XLOOKUP(AG433,Cadastros!$G$6:$G$90,Cadastros!$H$6:$H$90)*(1-0.18),IF($F433="Mauro José Salanti",_xlfn.XLOOKUP(AG433,Cadastros!$G$6:$G$90,Cadastros!$H$6:$H$90)*(1-0.18),_xlfn.XLOOKUP(AG433,Cadastros!$G$6:$G$90,Cadastros!$H$6:$H$90))))</f>
        <v/>
      </c>
      <c r="AJ433" s="168" t="str">
        <f t="shared" si="85"/>
        <v/>
      </c>
      <c r="AK433" s="168" t="str">
        <f t="shared" si="86"/>
        <v/>
      </c>
      <c r="AL433" s="28"/>
      <c r="AM433" s="28"/>
      <c r="AN433" s="20" t="str">
        <f>IF(AL433="","",IF($F433="Bernardino Furlan",_xlfn.XLOOKUP(AL433,Cadastros!$G$6:$G$90,Cadastros!$H$6:$H$90)*(1-0.18),IF($F433="Mauro José Salanti",_xlfn.XLOOKUP(AL433,Cadastros!$G$6:$G$90,Cadastros!$H$6:$H$90)*(1-0.18),_xlfn.XLOOKUP(AL433,Cadastros!$G$6:$G$90,Cadastros!$H$6:$H$90))))</f>
        <v/>
      </c>
      <c r="AO433" s="168" t="str">
        <f t="shared" si="87"/>
        <v/>
      </c>
      <c r="AP433" s="168" t="str">
        <f t="shared" si="88"/>
        <v/>
      </c>
      <c r="AQ433" s="28"/>
      <c r="AR433" s="28"/>
      <c r="AS433" s="20" t="str">
        <f>IF(AQ433="","",IF($F433="Bernardino Furlan",_xlfn.XLOOKUP(AQ433,Cadastros!$G$6:$G$90,Cadastros!$H$6:$H$90)*(1-0.18),IF($F433="Mauro José Salanti",_xlfn.XLOOKUP(AQ433,Cadastros!$G$6:$G$90,Cadastros!$H$6:$H$90)*(1-0.18),_xlfn.XLOOKUP(AQ433,Cadastros!$G$6:$G$90,Cadastros!$H$6:$H$90))))</f>
        <v/>
      </c>
      <c r="AT433" s="168" t="str">
        <f t="shared" si="89"/>
        <v/>
      </c>
      <c r="AU433" s="168" t="str">
        <f t="shared" si="90"/>
        <v/>
      </c>
      <c r="AV433" s="227"/>
      <c r="AW433" s="30"/>
      <c r="AX433" s="267"/>
      <c r="AY433" s="267"/>
      <c r="AZ433" s="29"/>
      <c r="BA433" s="30"/>
      <c r="BB433" s="23" t="str" cm="1">
        <f t="array" ref="BB433">_xlfn.IFS(AW433="SIM",SUM(K433,P433,U433,Z433,AE433,AJ433,AO433,AT433,AX433,AY433),F433&lt;&gt;"",SUM(K433,P433,U433,Z433,AE433,AJ433,,AO433,AT433),F433="","")</f>
        <v/>
      </c>
      <c r="BC433" s="211" t="str" cm="1">
        <f t="array" ref="BC433">_xlfn.IFS(E433="","",G433&lt;=E433,BB433*(1-0.03),G433&lt;(E433+8),BB433,AZ433="Boleto",BB433*(1+0.001)^DATEDIF(E433,G433,"D"),AZ433="Cheque",BB433,AZ433="Dinheiro","Alterar forma pgto")</f>
        <v/>
      </c>
      <c r="BD433" s="276" t="str" cm="1">
        <f t="array" ref="BD433">IF(F433=0," ",IF(BC433&lt;BB433,(_xlfn.IFS(AW433="SIM",SUM(L433,Q433,V433,AA433,AF433,AK433,AP433,AU433)+AX433/_xlfn.XLOOKUP(_xlfn.XLOOKUP($F433,Clientes!$B$4:$B$39,Clientes!$C$4:$C$39),Cadastros!$L$6:$L$12,Cadastros!$M$6:$M$12)+IF($F433="Bernardino Furlan",AY433/2751.92,IF($F433="Mauro José Salanti",AY433/2751.92,AY433/3356)),F433&lt;&gt;0,SUM(L433,Q433,V433,AA433,AF433,AK433,AP433,AU433)))*(1-0.03),_xlfn.IFS(AW433="SIM",SUM(L433,Q433,V433,AA433,AF433,AK433,AP433,AU433)+AX433/_xlfn.XLOOKUP(_xlfn.XLOOKUP($F433,Clientes!$B$4:$B$39,Clientes!$C$4:$C$39),Cadastros!$L$6:$L$12,Cadastros!$M$6:$M$12)+IF($F433="Bernardino Furlan",AY433/2751.92,IF($F433="Mauro José Salanti",AY433/2751.92,AY433/3356)),F433&lt;&gt;0,SUM(L433,Q433,V433,AA433,AF433,AK433,AP433,AU433))))</f>
        <v xml:space="preserve"> </v>
      </c>
      <c r="BE433" s="120"/>
      <c r="BF433" s="120"/>
      <c r="BG433" s="120"/>
    </row>
    <row r="434" spans="1:59" s="3" customFormat="1" x14ac:dyDescent="0.3">
      <c r="A434" s="15" t="str">
        <f t="shared" si="78"/>
        <v/>
      </c>
      <c r="B434" s="25"/>
      <c r="C434" s="26"/>
      <c r="D434" s="279"/>
      <c r="E434" s="27"/>
      <c r="F434" s="28"/>
      <c r="G434" s="27"/>
      <c r="H434" s="28"/>
      <c r="I434" s="28"/>
      <c r="J434" s="255" t="str">
        <f>IF(H434="","",(_xlfn.XLOOKUP(H434,Cadastros!$D$6:$D$90,Cadastros!$E$6:$E$90))*(1-_xlfn.XLOOKUP(_xlfn.XLOOKUP($F434,Clientes!$B$4:$B$39,Clientes!$C$4:$C$39),Cadastros!$L$6:$L$12,Cadastros!$N$6:$N$12)))</f>
        <v/>
      </c>
      <c r="K434" s="168" t="str">
        <f t="shared" si="79"/>
        <v/>
      </c>
      <c r="L434" s="168" t="str">
        <f>IFERROR(K434/_xlfn.XLOOKUP(_xlfn.XLOOKUP($F434,Clientes!$B$4:$B$39,Clientes!$C$4:$C$39),Cadastros!$L$6:$L$12,Cadastros!$M$6:$M$12)," ")</f>
        <v xml:space="preserve"> </v>
      </c>
      <c r="M434" s="28"/>
      <c r="N434" s="28"/>
      <c r="O434" s="255" t="str">
        <f>IF(M434="","",(_xlfn.XLOOKUP(M434,Cadastros!$D$6:$D$90,Cadastros!$E$6:$E$90))*(1-_xlfn.XLOOKUP(_xlfn.XLOOKUP($F434,Clientes!$B$4:$B$39,Clientes!$C$4:$C$39),Cadastros!$L$6:$L$12,Cadastros!$N$6:$N$12)))</f>
        <v/>
      </c>
      <c r="P434" s="168" t="str">
        <f t="shared" si="80"/>
        <v/>
      </c>
      <c r="Q434" s="168" t="str">
        <f>IFERROR(P434/_xlfn.XLOOKUP(_xlfn.XLOOKUP($F434,Clientes!$B$4:$B$39,Clientes!$C$4:$C$39),Cadastros!$L$6:$L$12,Cadastros!$M$6:$M$12)," ")</f>
        <v xml:space="preserve"> </v>
      </c>
      <c r="R434" s="28"/>
      <c r="S434" s="28"/>
      <c r="T434" s="255" t="str">
        <f>IF(R434="","",(_xlfn.XLOOKUP(R434,Cadastros!$D$6:$D$90,Cadastros!$E$6:$E$90))*(1-_xlfn.XLOOKUP(_xlfn.XLOOKUP($F434,Clientes!$B$4:$B$39,Clientes!$C$4:$C$39),Cadastros!$L$6:$L$12,Cadastros!$N$6:$N$12)))</f>
        <v/>
      </c>
      <c r="U434" s="168" t="str">
        <f t="shared" si="81"/>
        <v/>
      </c>
      <c r="V434" s="168" t="str">
        <f>IFERROR(U434/_xlfn.XLOOKUP(_xlfn.XLOOKUP($F434,Clientes!$B$4:$B$39,Clientes!$C$4:$C$39),Cadastros!$L$6:$L$12,Cadastros!$M$6:$M$12)," ")</f>
        <v xml:space="preserve"> </v>
      </c>
      <c r="W434" s="28"/>
      <c r="X434" s="28"/>
      <c r="Y434" s="255" t="str">
        <f>IF(W434="","",(_xlfn.XLOOKUP(W434,Cadastros!$D$6:$D$90,Cadastros!$E$6:$E$90))*(1-_xlfn.XLOOKUP(_xlfn.XLOOKUP($F434,Clientes!$B$4:$B$39,Clientes!$C$4:$C$39),Cadastros!$L$6:$L$12,Cadastros!$N$6:$N$12)))</f>
        <v/>
      </c>
      <c r="Z434" s="168" t="str">
        <f t="shared" si="82"/>
        <v/>
      </c>
      <c r="AA434" s="168" t="str">
        <f>IFERROR(Z434/_xlfn.XLOOKUP(_xlfn.XLOOKUP($F434,Clientes!$B$4:$B$39,Clientes!$C$4:$C$39),Cadastros!$L$6:$L$12,Cadastros!$M$6:$M$12)," ")</f>
        <v xml:space="preserve"> </v>
      </c>
      <c r="AB434" s="28"/>
      <c r="AC434" s="28"/>
      <c r="AD434" s="20" t="str">
        <f>IF(AB434="","",IF($F434="Bernardino Furlan",_xlfn.XLOOKUP(AB434,Cadastros!$G$6:$G$90,Cadastros!$H$6:$H$90)*(1-0.18),IF($F434="Mauro José Salanti",_xlfn.XLOOKUP(AB434,Cadastros!$G$6:$G$90,Cadastros!$H$6:$H$90)*(1-0.18),_xlfn.XLOOKUP(AB434,Cadastros!$G$6:$G$90,Cadastros!$H$6:$H$90))))</f>
        <v/>
      </c>
      <c r="AE434" s="168" t="str">
        <f t="shared" si="83"/>
        <v/>
      </c>
      <c r="AF434" s="168" t="str">
        <f t="shared" si="84"/>
        <v/>
      </c>
      <c r="AG434" s="28"/>
      <c r="AH434" s="28"/>
      <c r="AI434" s="20" t="str">
        <f>IF(AG434="","",IF($F434="Bernardino Furlan",_xlfn.XLOOKUP(AG434,Cadastros!$G$6:$G$90,Cadastros!$H$6:$H$90)*(1-0.18),IF($F434="Mauro José Salanti",_xlfn.XLOOKUP(AG434,Cadastros!$G$6:$G$90,Cadastros!$H$6:$H$90)*(1-0.18),_xlfn.XLOOKUP(AG434,Cadastros!$G$6:$G$90,Cadastros!$H$6:$H$90))))</f>
        <v/>
      </c>
      <c r="AJ434" s="168" t="str">
        <f t="shared" si="85"/>
        <v/>
      </c>
      <c r="AK434" s="168" t="str">
        <f t="shared" si="86"/>
        <v/>
      </c>
      <c r="AL434" s="28"/>
      <c r="AM434" s="28"/>
      <c r="AN434" s="20" t="str">
        <f>IF(AL434="","",IF($F434="Bernardino Furlan",_xlfn.XLOOKUP(AL434,Cadastros!$G$6:$G$90,Cadastros!$H$6:$H$90)*(1-0.18),IF($F434="Mauro José Salanti",_xlfn.XLOOKUP(AL434,Cadastros!$G$6:$G$90,Cadastros!$H$6:$H$90)*(1-0.18),_xlfn.XLOOKUP(AL434,Cadastros!$G$6:$G$90,Cadastros!$H$6:$H$90))))</f>
        <v/>
      </c>
      <c r="AO434" s="168" t="str">
        <f t="shared" si="87"/>
        <v/>
      </c>
      <c r="AP434" s="168" t="str">
        <f t="shared" si="88"/>
        <v/>
      </c>
      <c r="AQ434" s="28"/>
      <c r="AR434" s="28"/>
      <c r="AS434" s="20" t="str">
        <f>IF(AQ434="","",IF($F434="Bernardino Furlan",_xlfn.XLOOKUP(AQ434,Cadastros!$G$6:$G$90,Cadastros!$H$6:$H$90)*(1-0.18),IF($F434="Mauro José Salanti",_xlfn.XLOOKUP(AQ434,Cadastros!$G$6:$G$90,Cadastros!$H$6:$H$90)*(1-0.18),_xlfn.XLOOKUP(AQ434,Cadastros!$G$6:$G$90,Cadastros!$H$6:$H$90))))</f>
        <v/>
      </c>
      <c r="AT434" s="168" t="str">
        <f t="shared" si="89"/>
        <v/>
      </c>
      <c r="AU434" s="168" t="str">
        <f t="shared" si="90"/>
        <v/>
      </c>
      <c r="AV434" s="227"/>
      <c r="AW434" s="30"/>
      <c r="AX434" s="267"/>
      <c r="AY434" s="267"/>
      <c r="AZ434" s="29"/>
      <c r="BA434" s="30"/>
      <c r="BB434" s="23" t="str" cm="1">
        <f t="array" ref="BB434">_xlfn.IFS(AW434="SIM",SUM(K434,P434,U434,Z434,AE434,AJ434,AO434,AT434,AX434,AY434),F434&lt;&gt;"",SUM(K434,P434,U434,Z434,AE434,AJ434,,AO434,AT434),F434="","")</f>
        <v/>
      </c>
      <c r="BC434" s="211" t="str" cm="1">
        <f t="array" ref="BC434">_xlfn.IFS(E434="","",G434&lt;=E434,BB434*(1-0.03),G434&lt;(E434+8),BB434,AZ434="Boleto",BB434*(1+0.001)^DATEDIF(E434,G434,"D"),AZ434="Cheque",BB434,AZ434="Dinheiro","Alterar forma pgto")</f>
        <v/>
      </c>
      <c r="BD434" s="276" t="str" cm="1">
        <f t="array" ref="BD434">IF(F434=0," ",IF(BC434&lt;BB434,(_xlfn.IFS(AW434="SIM",SUM(L434,Q434,V434,AA434,AF434,AK434,AP434,AU434)+AX434/_xlfn.XLOOKUP(_xlfn.XLOOKUP($F434,Clientes!$B$4:$B$39,Clientes!$C$4:$C$39),Cadastros!$L$6:$L$12,Cadastros!$M$6:$M$12)+IF($F434="Bernardino Furlan",AY434/2751.92,IF($F434="Mauro José Salanti",AY434/2751.92,AY434/3356)),F434&lt;&gt;0,SUM(L434,Q434,V434,AA434,AF434,AK434,AP434,AU434)))*(1-0.03),_xlfn.IFS(AW434="SIM",SUM(L434,Q434,V434,AA434,AF434,AK434,AP434,AU434)+AX434/_xlfn.XLOOKUP(_xlfn.XLOOKUP($F434,Clientes!$B$4:$B$39,Clientes!$C$4:$C$39),Cadastros!$L$6:$L$12,Cadastros!$M$6:$M$12)+IF($F434="Bernardino Furlan",AY434/2751.92,IF($F434="Mauro José Salanti",AY434/2751.92,AY434/3356)),F434&lt;&gt;0,SUM(L434,Q434,V434,AA434,AF434,AK434,AP434,AU434))))</f>
        <v xml:space="preserve"> </v>
      </c>
      <c r="BE434" s="120"/>
      <c r="BF434" s="120"/>
      <c r="BG434" s="120"/>
    </row>
    <row r="435" spans="1:59" s="3" customFormat="1" x14ac:dyDescent="0.3">
      <c r="A435" s="15" t="str">
        <f t="shared" si="78"/>
        <v/>
      </c>
      <c r="B435" s="25"/>
      <c r="C435" s="26"/>
      <c r="D435" s="279"/>
      <c r="E435" s="27"/>
      <c r="F435" s="28"/>
      <c r="G435" s="27"/>
      <c r="H435" s="28"/>
      <c r="I435" s="28"/>
      <c r="J435" s="255" t="str">
        <f>IF(H435="","",(_xlfn.XLOOKUP(H435,Cadastros!$D$6:$D$90,Cadastros!$E$6:$E$90))*(1-_xlfn.XLOOKUP(_xlfn.XLOOKUP($F435,Clientes!$B$4:$B$39,Clientes!$C$4:$C$39),Cadastros!$L$6:$L$12,Cadastros!$N$6:$N$12)))</f>
        <v/>
      </c>
      <c r="K435" s="168" t="str">
        <f t="shared" si="79"/>
        <v/>
      </c>
      <c r="L435" s="168" t="str">
        <f>IFERROR(K435/_xlfn.XLOOKUP(_xlfn.XLOOKUP($F435,Clientes!$B$4:$B$39,Clientes!$C$4:$C$39),Cadastros!$L$6:$L$12,Cadastros!$M$6:$M$12)," ")</f>
        <v xml:space="preserve"> </v>
      </c>
      <c r="M435" s="28"/>
      <c r="N435" s="28"/>
      <c r="O435" s="255" t="str">
        <f>IF(M435="","",(_xlfn.XLOOKUP(M435,Cadastros!$D$6:$D$90,Cadastros!$E$6:$E$90))*(1-_xlfn.XLOOKUP(_xlfn.XLOOKUP($F435,Clientes!$B$4:$B$39,Clientes!$C$4:$C$39),Cadastros!$L$6:$L$12,Cadastros!$N$6:$N$12)))</f>
        <v/>
      </c>
      <c r="P435" s="168" t="str">
        <f t="shared" si="80"/>
        <v/>
      </c>
      <c r="Q435" s="168" t="str">
        <f>IFERROR(P435/_xlfn.XLOOKUP(_xlfn.XLOOKUP($F435,Clientes!$B$4:$B$39,Clientes!$C$4:$C$39),Cadastros!$L$6:$L$12,Cadastros!$M$6:$M$12)," ")</f>
        <v xml:space="preserve"> </v>
      </c>
      <c r="R435" s="28"/>
      <c r="S435" s="28"/>
      <c r="T435" s="255" t="str">
        <f>IF(R435="","",(_xlfn.XLOOKUP(R435,Cadastros!$D$6:$D$90,Cadastros!$E$6:$E$90))*(1-_xlfn.XLOOKUP(_xlfn.XLOOKUP($F435,Clientes!$B$4:$B$39,Clientes!$C$4:$C$39),Cadastros!$L$6:$L$12,Cadastros!$N$6:$N$12)))</f>
        <v/>
      </c>
      <c r="U435" s="168" t="str">
        <f t="shared" si="81"/>
        <v/>
      </c>
      <c r="V435" s="168" t="str">
        <f>IFERROR(U435/_xlfn.XLOOKUP(_xlfn.XLOOKUP($F435,Clientes!$B$4:$B$39,Clientes!$C$4:$C$39),Cadastros!$L$6:$L$12,Cadastros!$M$6:$M$12)," ")</f>
        <v xml:space="preserve"> </v>
      </c>
      <c r="W435" s="28"/>
      <c r="X435" s="28"/>
      <c r="Y435" s="255" t="str">
        <f>IF(W435="","",(_xlfn.XLOOKUP(W435,Cadastros!$D$6:$D$90,Cadastros!$E$6:$E$90))*(1-_xlfn.XLOOKUP(_xlfn.XLOOKUP($F435,Clientes!$B$4:$B$39,Clientes!$C$4:$C$39),Cadastros!$L$6:$L$12,Cadastros!$N$6:$N$12)))</f>
        <v/>
      </c>
      <c r="Z435" s="168" t="str">
        <f t="shared" si="82"/>
        <v/>
      </c>
      <c r="AA435" s="168" t="str">
        <f>IFERROR(Z435/_xlfn.XLOOKUP(_xlfn.XLOOKUP($F435,Clientes!$B$4:$B$39,Clientes!$C$4:$C$39),Cadastros!$L$6:$L$12,Cadastros!$M$6:$M$12)," ")</f>
        <v xml:space="preserve"> </v>
      </c>
      <c r="AB435" s="28"/>
      <c r="AC435" s="28"/>
      <c r="AD435" s="20" t="str">
        <f>IF(AB435="","",IF($F435="Bernardino Furlan",_xlfn.XLOOKUP(AB435,Cadastros!$G$6:$G$90,Cadastros!$H$6:$H$90)*(1-0.18),IF($F435="Mauro José Salanti",_xlfn.XLOOKUP(AB435,Cadastros!$G$6:$G$90,Cadastros!$H$6:$H$90)*(1-0.18),_xlfn.XLOOKUP(AB435,Cadastros!$G$6:$G$90,Cadastros!$H$6:$H$90))))</f>
        <v/>
      </c>
      <c r="AE435" s="168" t="str">
        <f t="shared" si="83"/>
        <v/>
      </c>
      <c r="AF435" s="168" t="str">
        <f t="shared" si="84"/>
        <v/>
      </c>
      <c r="AG435" s="28"/>
      <c r="AH435" s="28"/>
      <c r="AI435" s="20" t="str">
        <f>IF(AG435="","",IF($F435="Bernardino Furlan",_xlfn.XLOOKUP(AG435,Cadastros!$G$6:$G$90,Cadastros!$H$6:$H$90)*(1-0.18),IF($F435="Mauro José Salanti",_xlfn.XLOOKUP(AG435,Cadastros!$G$6:$G$90,Cadastros!$H$6:$H$90)*(1-0.18),_xlfn.XLOOKUP(AG435,Cadastros!$G$6:$G$90,Cadastros!$H$6:$H$90))))</f>
        <v/>
      </c>
      <c r="AJ435" s="168" t="str">
        <f t="shared" si="85"/>
        <v/>
      </c>
      <c r="AK435" s="168" t="str">
        <f t="shared" si="86"/>
        <v/>
      </c>
      <c r="AL435" s="28"/>
      <c r="AM435" s="28"/>
      <c r="AN435" s="20" t="str">
        <f>IF(AL435="","",IF($F435="Bernardino Furlan",_xlfn.XLOOKUP(AL435,Cadastros!$G$6:$G$90,Cadastros!$H$6:$H$90)*(1-0.18),IF($F435="Mauro José Salanti",_xlfn.XLOOKUP(AL435,Cadastros!$G$6:$G$90,Cadastros!$H$6:$H$90)*(1-0.18),_xlfn.XLOOKUP(AL435,Cadastros!$G$6:$G$90,Cadastros!$H$6:$H$90))))</f>
        <v/>
      </c>
      <c r="AO435" s="168" t="str">
        <f t="shared" si="87"/>
        <v/>
      </c>
      <c r="AP435" s="168" t="str">
        <f t="shared" si="88"/>
        <v/>
      </c>
      <c r="AQ435" s="28"/>
      <c r="AR435" s="28"/>
      <c r="AS435" s="20" t="str">
        <f>IF(AQ435="","",IF($F435="Bernardino Furlan",_xlfn.XLOOKUP(AQ435,Cadastros!$G$6:$G$90,Cadastros!$H$6:$H$90)*(1-0.18),IF($F435="Mauro José Salanti",_xlfn.XLOOKUP(AQ435,Cadastros!$G$6:$G$90,Cadastros!$H$6:$H$90)*(1-0.18),_xlfn.XLOOKUP(AQ435,Cadastros!$G$6:$G$90,Cadastros!$H$6:$H$90))))</f>
        <v/>
      </c>
      <c r="AT435" s="168" t="str">
        <f t="shared" si="89"/>
        <v/>
      </c>
      <c r="AU435" s="168" t="str">
        <f t="shared" si="90"/>
        <v/>
      </c>
      <c r="AV435" s="227"/>
      <c r="AW435" s="30"/>
      <c r="AX435" s="267"/>
      <c r="AY435" s="267"/>
      <c r="AZ435" s="29"/>
      <c r="BA435" s="30"/>
      <c r="BB435" s="23" t="str" cm="1">
        <f t="array" ref="BB435">_xlfn.IFS(AW435="SIM",SUM(K435,P435,U435,Z435,AE435,AJ435,AO435,AT435,AX435,AY435),F435&lt;&gt;"",SUM(K435,P435,U435,Z435,AE435,AJ435,,AO435,AT435),F435="","")</f>
        <v/>
      </c>
      <c r="BC435" s="211" t="str" cm="1">
        <f t="array" ref="BC435">_xlfn.IFS(E435="","",G435&lt;=E435,BB435*(1-0.03),G435&lt;(E435+8),BB435,AZ435="Boleto",BB435*(1+0.001)^DATEDIF(E435,G435,"D"),AZ435="Cheque",BB435,AZ435="Dinheiro","Alterar forma pgto")</f>
        <v/>
      </c>
      <c r="BD435" s="276" t="str" cm="1">
        <f t="array" ref="BD435">IF(F435=0," ",IF(BC435&lt;BB435,(_xlfn.IFS(AW435="SIM",SUM(L435,Q435,V435,AA435,AF435,AK435,AP435,AU435)+AX435/_xlfn.XLOOKUP(_xlfn.XLOOKUP($F435,Clientes!$B$4:$B$39,Clientes!$C$4:$C$39),Cadastros!$L$6:$L$12,Cadastros!$M$6:$M$12)+IF($F435="Bernardino Furlan",AY435/2751.92,IF($F435="Mauro José Salanti",AY435/2751.92,AY435/3356)),F435&lt;&gt;0,SUM(L435,Q435,V435,AA435,AF435,AK435,AP435,AU435)))*(1-0.03),_xlfn.IFS(AW435="SIM",SUM(L435,Q435,V435,AA435,AF435,AK435,AP435,AU435)+AX435/_xlfn.XLOOKUP(_xlfn.XLOOKUP($F435,Clientes!$B$4:$B$39,Clientes!$C$4:$C$39),Cadastros!$L$6:$L$12,Cadastros!$M$6:$M$12)+IF($F435="Bernardino Furlan",AY435/2751.92,IF($F435="Mauro José Salanti",AY435/2751.92,AY435/3356)),F435&lt;&gt;0,SUM(L435,Q435,V435,AA435,AF435,AK435,AP435,AU435))))</f>
        <v xml:space="preserve"> </v>
      </c>
      <c r="BE435" s="120"/>
      <c r="BF435" s="120"/>
      <c r="BG435" s="120"/>
    </row>
    <row r="436" spans="1:59" s="3" customFormat="1" x14ac:dyDescent="0.3">
      <c r="A436" s="15" t="str">
        <f t="shared" si="78"/>
        <v/>
      </c>
      <c r="B436" s="25"/>
      <c r="C436" s="26"/>
      <c r="D436" s="279"/>
      <c r="E436" s="27"/>
      <c r="F436" s="28"/>
      <c r="G436" s="27"/>
      <c r="H436" s="28"/>
      <c r="I436" s="28"/>
      <c r="J436" s="255" t="str">
        <f>IF(H436="","",(_xlfn.XLOOKUP(H436,Cadastros!$D$6:$D$90,Cadastros!$E$6:$E$90))*(1-_xlfn.XLOOKUP(_xlfn.XLOOKUP($F436,Clientes!$B$4:$B$39,Clientes!$C$4:$C$39),Cadastros!$L$6:$L$12,Cadastros!$N$6:$N$12)))</f>
        <v/>
      </c>
      <c r="K436" s="168" t="str">
        <f t="shared" si="79"/>
        <v/>
      </c>
      <c r="L436" s="168" t="str">
        <f>IFERROR(K436/_xlfn.XLOOKUP(_xlfn.XLOOKUP($F436,Clientes!$B$4:$B$39,Clientes!$C$4:$C$39),Cadastros!$L$6:$L$12,Cadastros!$M$6:$M$12)," ")</f>
        <v xml:space="preserve"> </v>
      </c>
      <c r="M436" s="28"/>
      <c r="N436" s="28"/>
      <c r="O436" s="255" t="str">
        <f>IF(M436="","",(_xlfn.XLOOKUP(M436,Cadastros!$D$6:$D$90,Cadastros!$E$6:$E$90))*(1-_xlfn.XLOOKUP(_xlfn.XLOOKUP($F436,Clientes!$B$4:$B$39,Clientes!$C$4:$C$39),Cadastros!$L$6:$L$12,Cadastros!$N$6:$N$12)))</f>
        <v/>
      </c>
      <c r="P436" s="168" t="str">
        <f t="shared" si="80"/>
        <v/>
      </c>
      <c r="Q436" s="168" t="str">
        <f>IFERROR(P436/_xlfn.XLOOKUP(_xlfn.XLOOKUP($F436,Clientes!$B$4:$B$39,Clientes!$C$4:$C$39),Cadastros!$L$6:$L$12,Cadastros!$M$6:$M$12)," ")</f>
        <v xml:space="preserve"> </v>
      </c>
      <c r="R436" s="28"/>
      <c r="S436" s="28"/>
      <c r="T436" s="255" t="str">
        <f>IF(R436="","",(_xlfn.XLOOKUP(R436,Cadastros!$D$6:$D$90,Cadastros!$E$6:$E$90))*(1-_xlfn.XLOOKUP(_xlfn.XLOOKUP($F436,Clientes!$B$4:$B$39,Clientes!$C$4:$C$39),Cadastros!$L$6:$L$12,Cadastros!$N$6:$N$12)))</f>
        <v/>
      </c>
      <c r="U436" s="168" t="str">
        <f t="shared" si="81"/>
        <v/>
      </c>
      <c r="V436" s="168" t="str">
        <f>IFERROR(U436/_xlfn.XLOOKUP(_xlfn.XLOOKUP($F436,Clientes!$B$4:$B$39,Clientes!$C$4:$C$39),Cadastros!$L$6:$L$12,Cadastros!$M$6:$M$12)," ")</f>
        <v xml:space="preserve"> </v>
      </c>
      <c r="W436" s="28"/>
      <c r="X436" s="28"/>
      <c r="Y436" s="255" t="str">
        <f>IF(W436="","",(_xlfn.XLOOKUP(W436,Cadastros!$D$6:$D$90,Cadastros!$E$6:$E$90))*(1-_xlfn.XLOOKUP(_xlfn.XLOOKUP($F436,Clientes!$B$4:$B$39,Clientes!$C$4:$C$39),Cadastros!$L$6:$L$12,Cadastros!$N$6:$N$12)))</f>
        <v/>
      </c>
      <c r="Z436" s="168" t="str">
        <f t="shared" si="82"/>
        <v/>
      </c>
      <c r="AA436" s="168" t="str">
        <f>IFERROR(Z436/_xlfn.XLOOKUP(_xlfn.XLOOKUP($F436,Clientes!$B$4:$B$39,Clientes!$C$4:$C$39),Cadastros!$L$6:$L$12,Cadastros!$M$6:$M$12)," ")</f>
        <v xml:space="preserve"> </v>
      </c>
      <c r="AB436" s="28"/>
      <c r="AC436" s="28"/>
      <c r="AD436" s="20" t="str">
        <f>IF(AB436="","",IF($F436="Bernardino Furlan",_xlfn.XLOOKUP(AB436,Cadastros!$G$6:$G$90,Cadastros!$H$6:$H$90)*(1-0.18),IF($F436="Mauro José Salanti",_xlfn.XLOOKUP(AB436,Cadastros!$G$6:$G$90,Cadastros!$H$6:$H$90)*(1-0.18),_xlfn.XLOOKUP(AB436,Cadastros!$G$6:$G$90,Cadastros!$H$6:$H$90))))</f>
        <v/>
      </c>
      <c r="AE436" s="168" t="str">
        <f t="shared" si="83"/>
        <v/>
      </c>
      <c r="AF436" s="168" t="str">
        <f t="shared" si="84"/>
        <v/>
      </c>
      <c r="AG436" s="28"/>
      <c r="AH436" s="28"/>
      <c r="AI436" s="20" t="str">
        <f>IF(AG436="","",IF($F436="Bernardino Furlan",_xlfn.XLOOKUP(AG436,Cadastros!$G$6:$G$90,Cadastros!$H$6:$H$90)*(1-0.18),IF($F436="Mauro José Salanti",_xlfn.XLOOKUP(AG436,Cadastros!$G$6:$G$90,Cadastros!$H$6:$H$90)*(1-0.18),_xlfn.XLOOKUP(AG436,Cadastros!$G$6:$G$90,Cadastros!$H$6:$H$90))))</f>
        <v/>
      </c>
      <c r="AJ436" s="168" t="str">
        <f t="shared" si="85"/>
        <v/>
      </c>
      <c r="AK436" s="168" t="str">
        <f t="shared" si="86"/>
        <v/>
      </c>
      <c r="AL436" s="28"/>
      <c r="AM436" s="28"/>
      <c r="AN436" s="20" t="str">
        <f>IF(AL436="","",IF($F436="Bernardino Furlan",_xlfn.XLOOKUP(AL436,Cadastros!$G$6:$G$90,Cadastros!$H$6:$H$90)*(1-0.18),IF($F436="Mauro José Salanti",_xlfn.XLOOKUP(AL436,Cadastros!$G$6:$G$90,Cadastros!$H$6:$H$90)*(1-0.18),_xlfn.XLOOKUP(AL436,Cadastros!$G$6:$G$90,Cadastros!$H$6:$H$90))))</f>
        <v/>
      </c>
      <c r="AO436" s="168" t="str">
        <f t="shared" si="87"/>
        <v/>
      </c>
      <c r="AP436" s="168" t="str">
        <f t="shared" si="88"/>
        <v/>
      </c>
      <c r="AQ436" s="28"/>
      <c r="AR436" s="28"/>
      <c r="AS436" s="20" t="str">
        <f>IF(AQ436="","",IF($F436="Bernardino Furlan",_xlfn.XLOOKUP(AQ436,Cadastros!$G$6:$G$90,Cadastros!$H$6:$H$90)*(1-0.18),IF($F436="Mauro José Salanti",_xlfn.XLOOKUP(AQ436,Cadastros!$G$6:$G$90,Cadastros!$H$6:$H$90)*(1-0.18),_xlfn.XLOOKUP(AQ436,Cadastros!$G$6:$G$90,Cadastros!$H$6:$H$90))))</f>
        <v/>
      </c>
      <c r="AT436" s="168" t="str">
        <f t="shared" si="89"/>
        <v/>
      </c>
      <c r="AU436" s="168" t="str">
        <f t="shared" si="90"/>
        <v/>
      </c>
      <c r="AV436" s="227"/>
      <c r="AW436" s="30"/>
      <c r="AX436" s="267"/>
      <c r="AY436" s="267"/>
      <c r="AZ436" s="29"/>
      <c r="BA436" s="30"/>
      <c r="BB436" s="23" t="str" cm="1">
        <f t="array" ref="BB436">_xlfn.IFS(AW436="SIM",SUM(K436,P436,U436,Z436,AE436,AJ436,AO436,AT436,AX436,AY436),F436&lt;&gt;"",SUM(K436,P436,U436,Z436,AE436,AJ436,,AO436,AT436),F436="","")</f>
        <v/>
      </c>
      <c r="BC436" s="211" t="str" cm="1">
        <f t="array" ref="BC436">_xlfn.IFS(E436="","",G436&lt;=E436,BB436*(1-0.03),G436&lt;(E436+8),BB436,AZ436="Boleto",BB436*(1+0.001)^DATEDIF(E436,G436,"D"),AZ436="Cheque",BB436,AZ436="Dinheiro","Alterar forma pgto")</f>
        <v/>
      </c>
      <c r="BD436" s="276" t="str" cm="1">
        <f t="array" ref="BD436">IF(F436=0," ",IF(BC436&lt;BB436,(_xlfn.IFS(AW436="SIM",SUM(L436,Q436,V436,AA436,AF436,AK436,AP436,AU436)+AX436/_xlfn.XLOOKUP(_xlfn.XLOOKUP($F436,Clientes!$B$4:$B$39,Clientes!$C$4:$C$39),Cadastros!$L$6:$L$12,Cadastros!$M$6:$M$12)+IF($F436="Bernardino Furlan",AY436/2751.92,IF($F436="Mauro José Salanti",AY436/2751.92,AY436/3356)),F436&lt;&gt;0,SUM(L436,Q436,V436,AA436,AF436,AK436,AP436,AU436)))*(1-0.03),_xlfn.IFS(AW436="SIM",SUM(L436,Q436,V436,AA436,AF436,AK436,AP436,AU436)+AX436/_xlfn.XLOOKUP(_xlfn.XLOOKUP($F436,Clientes!$B$4:$B$39,Clientes!$C$4:$C$39),Cadastros!$L$6:$L$12,Cadastros!$M$6:$M$12)+IF($F436="Bernardino Furlan",AY436/2751.92,IF($F436="Mauro José Salanti",AY436/2751.92,AY436/3356)),F436&lt;&gt;0,SUM(L436,Q436,V436,AA436,AF436,AK436,AP436,AU436))))</f>
        <v xml:space="preserve"> </v>
      </c>
      <c r="BE436" s="120"/>
      <c r="BF436" s="120"/>
      <c r="BG436" s="120"/>
    </row>
    <row r="437" spans="1:59" s="3" customFormat="1" x14ac:dyDescent="0.3">
      <c r="A437" s="15" t="str">
        <f t="shared" si="78"/>
        <v/>
      </c>
      <c r="B437" s="25"/>
      <c r="C437" s="26"/>
      <c r="D437" s="279"/>
      <c r="E437" s="27"/>
      <c r="F437" s="28"/>
      <c r="G437" s="27"/>
      <c r="H437" s="28"/>
      <c r="I437" s="28"/>
      <c r="J437" s="255" t="str">
        <f>IF(H437="","",(_xlfn.XLOOKUP(H437,Cadastros!$D$6:$D$90,Cadastros!$E$6:$E$90))*(1-_xlfn.XLOOKUP(_xlfn.XLOOKUP($F437,Clientes!$B$4:$B$39,Clientes!$C$4:$C$39),Cadastros!$L$6:$L$12,Cadastros!$N$6:$N$12)))</f>
        <v/>
      </c>
      <c r="K437" s="168" t="str">
        <f t="shared" si="79"/>
        <v/>
      </c>
      <c r="L437" s="168" t="str">
        <f>IFERROR(K437/_xlfn.XLOOKUP(_xlfn.XLOOKUP($F437,Clientes!$B$4:$B$39,Clientes!$C$4:$C$39),Cadastros!$L$6:$L$12,Cadastros!$M$6:$M$12)," ")</f>
        <v xml:space="preserve"> </v>
      </c>
      <c r="M437" s="28"/>
      <c r="N437" s="28"/>
      <c r="O437" s="255" t="str">
        <f>IF(M437="","",(_xlfn.XLOOKUP(M437,Cadastros!$D$6:$D$90,Cadastros!$E$6:$E$90))*(1-_xlfn.XLOOKUP(_xlfn.XLOOKUP($F437,Clientes!$B$4:$B$39,Clientes!$C$4:$C$39),Cadastros!$L$6:$L$12,Cadastros!$N$6:$N$12)))</f>
        <v/>
      </c>
      <c r="P437" s="168" t="str">
        <f t="shared" si="80"/>
        <v/>
      </c>
      <c r="Q437" s="168" t="str">
        <f>IFERROR(P437/_xlfn.XLOOKUP(_xlfn.XLOOKUP($F437,Clientes!$B$4:$B$39,Clientes!$C$4:$C$39),Cadastros!$L$6:$L$12,Cadastros!$M$6:$M$12)," ")</f>
        <v xml:space="preserve"> </v>
      </c>
      <c r="R437" s="28"/>
      <c r="S437" s="28"/>
      <c r="T437" s="255" t="str">
        <f>IF(R437="","",(_xlfn.XLOOKUP(R437,Cadastros!$D$6:$D$90,Cadastros!$E$6:$E$90))*(1-_xlfn.XLOOKUP(_xlfn.XLOOKUP($F437,Clientes!$B$4:$B$39,Clientes!$C$4:$C$39),Cadastros!$L$6:$L$12,Cadastros!$N$6:$N$12)))</f>
        <v/>
      </c>
      <c r="U437" s="168" t="str">
        <f t="shared" si="81"/>
        <v/>
      </c>
      <c r="V437" s="168" t="str">
        <f>IFERROR(U437/_xlfn.XLOOKUP(_xlfn.XLOOKUP($F437,Clientes!$B$4:$B$39,Clientes!$C$4:$C$39),Cadastros!$L$6:$L$12,Cadastros!$M$6:$M$12)," ")</f>
        <v xml:space="preserve"> </v>
      </c>
      <c r="W437" s="28"/>
      <c r="X437" s="28"/>
      <c r="Y437" s="255" t="str">
        <f>IF(W437="","",(_xlfn.XLOOKUP(W437,Cadastros!$D$6:$D$90,Cadastros!$E$6:$E$90))*(1-_xlfn.XLOOKUP(_xlfn.XLOOKUP($F437,Clientes!$B$4:$B$39,Clientes!$C$4:$C$39),Cadastros!$L$6:$L$12,Cadastros!$N$6:$N$12)))</f>
        <v/>
      </c>
      <c r="Z437" s="168" t="str">
        <f t="shared" si="82"/>
        <v/>
      </c>
      <c r="AA437" s="168" t="str">
        <f>IFERROR(Z437/_xlfn.XLOOKUP(_xlfn.XLOOKUP($F437,Clientes!$B$4:$B$39,Clientes!$C$4:$C$39),Cadastros!$L$6:$L$12,Cadastros!$M$6:$M$12)," ")</f>
        <v xml:space="preserve"> </v>
      </c>
      <c r="AB437" s="28"/>
      <c r="AC437" s="28"/>
      <c r="AD437" s="20" t="str">
        <f>IF(AB437="","",IF($F437="Bernardino Furlan",_xlfn.XLOOKUP(AB437,Cadastros!$G$6:$G$90,Cadastros!$H$6:$H$90)*(1-0.18),IF($F437="Mauro José Salanti",_xlfn.XLOOKUP(AB437,Cadastros!$G$6:$G$90,Cadastros!$H$6:$H$90)*(1-0.18),_xlfn.XLOOKUP(AB437,Cadastros!$G$6:$G$90,Cadastros!$H$6:$H$90))))</f>
        <v/>
      </c>
      <c r="AE437" s="168" t="str">
        <f t="shared" si="83"/>
        <v/>
      </c>
      <c r="AF437" s="168" t="str">
        <f t="shared" si="84"/>
        <v/>
      </c>
      <c r="AG437" s="28"/>
      <c r="AH437" s="28"/>
      <c r="AI437" s="20" t="str">
        <f>IF(AG437="","",IF($F437="Bernardino Furlan",_xlfn.XLOOKUP(AG437,Cadastros!$G$6:$G$90,Cadastros!$H$6:$H$90)*(1-0.18),IF($F437="Mauro José Salanti",_xlfn.XLOOKUP(AG437,Cadastros!$G$6:$G$90,Cadastros!$H$6:$H$90)*(1-0.18),_xlfn.XLOOKUP(AG437,Cadastros!$G$6:$G$90,Cadastros!$H$6:$H$90))))</f>
        <v/>
      </c>
      <c r="AJ437" s="168" t="str">
        <f t="shared" si="85"/>
        <v/>
      </c>
      <c r="AK437" s="168" t="str">
        <f t="shared" si="86"/>
        <v/>
      </c>
      <c r="AL437" s="28"/>
      <c r="AM437" s="28"/>
      <c r="AN437" s="20" t="str">
        <f>IF(AL437="","",IF($F437="Bernardino Furlan",_xlfn.XLOOKUP(AL437,Cadastros!$G$6:$G$90,Cadastros!$H$6:$H$90)*(1-0.18),IF($F437="Mauro José Salanti",_xlfn.XLOOKUP(AL437,Cadastros!$G$6:$G$90,Cadastros!$H$6:$H$90)*(1-0.18),_xlfn.XLOOKUP(AL437,Cadastros!$G$6:$G$90,Cadastros!$H$6:$H$90))))</f>
        <v/>
      </c>
      <c r="AO437" s="168" t="str">
        <f t="shared" si="87"/>
        <v/>
      </c>
      <c r="AP437" s="168" t="str">
        <f t="shared" si="88"/>
        <v/>
      </c>
      <c r="AQ437" s="28"/>
      <c r="AR437" s="28"/>
      <c r="AS437" s="20" t="str">
        <f>IF(AQ437="","",IF($F437="Bernardino Furlan",_xlfn.XLOOKUP(AQ437,Cadastros!$G$6:$G$90,Cadastros!$H$6:$H$90)*(1-0.18),IF($F437="Mauro José Salanti",_xlfn.XLOOKUP(AQ437,Cadastros!$G$6:$G$90,Cadastros!$H$6:$H$90)*(1-0.18),_xlfn.XLOOKUP(AQ437,Cadastros!$G$6:$G$90,Cadastros!$H$6:$H$90))))</f>
        <v/>
      </c>
      <c r="AT437" s="168" t="str">
        <f t="shared" si="89"/>
        <v/>
      </c>
      <c r="AU437" s="168" t="str">
        <f t="shared" si="90"/>
        <v/>
      </c>
      <c r="AV437" s="227"/>
      <c r="AW437" s="30"/>
      <c r="AX437" s="267"/>
      <c r="AY437" s="267"/>
      <c r="AZ437" s="29"/>
      <c r="BA437" s="30"/>
      <c r="BB437" s="23" t="str" cm="1">
        <f t="array" ref="BB437">_xlfn.IFS(AW437="SIM",SUM(K437,P437,U437,Z437,AE437,AJ437,AO437,AT437,AX437,AY437),F437&lt;&gt;"",SUM(K437,P437,U437,Z437,AE437,AJ437,,AO437,AT437),F437="","")</f>
        <v/>
      </c>
      <c r="BC437" s="211" t="str" cm="1">
        <f t="array" ref="BC437">_xlfn.IFS(E437="","",G437&lt;=E437,BB437*(1-0.03),G437&lt;(E437+8),BB437,AZ437="Boleto",BB437*(1+0.001)^DATEDIF(E437,G437,"D"),AZ437="Cheque",BB437,AZ437="Dinheiro","Alterar forma pgto")</f>
        <v/>
      </c>
      <c r="BD437" s="276" t="str" cm="1">
        <f t="array" ref="BD437">IF(F437=0," ",IF(BC437&lt;BB437,(_xlfn.IFS(AW437="SIM",SUM(L437,Q437,V437,AA437,AF437,AK437,AP437,AU437)+AX437/_xlfn.XLOOKUP(_xlfn.XLOOKUP($F437,Clientes!$B$4:$B$39,Clientes!$C$4:$C$39),Cadastros!$L$6:$L$12,Cadastros!$M$6:$M$12)+IF($F437="Bernardino Furlan",AY437/2751.92,IF($F437="Mauro José Salanti",AY437/2751.92,AY437/3356)),F437&lt;&gt;0,SUM(L437,Q437,V437,AA437,AF437,AK437,AP437,AU437)))*(1-0.03),_xlfn.IFS(AW437="SIM",SUM(L437,Q437,V437,AA437,AF437,AK437,AP437,AU437)+AX437/_xlfn.XLOOKUP(_xlfn.XLOOKUP($F437,Clientes!$B$4:$B$39,Clientes!$C$4:$C$39),Cadastros!$L$6:$L$12,Cadastros!$M$6:$M$12)+IF($F437="Bernardino Furlan",AY437/2751.92,IF($F437="Mauro José Salanti",AY437/2751.92,AY437/3356)),F437&lt;&gt;0,SUM(L437,Q437,V437,AA437,AF437,AK437,AP437,AU437))))</f>
        <v xml:space="preserve"> </v>
      </c>
      <c r="BE437" s="120"/>
      <c r="BF437" s="120"/>
      <c r="BG437" s="120"/>
    </row>
    <row r="438" spans="1:59" s="3" customFormat="1" x14ac:dyDescent="0.3">
      <c r="A438" s="15" t="str">
        <f t="shared" si="78"/>
        <v/>
      </c>
      <c r="B438" s="25"/>
      <c r="C438" s="26"/>
      <c r="D438" s="279"/>
      <c r="E438" s="27"/>
      <c r="F438" s="28"/>
      <c r="G438" s="27"/>
      <c r="H438" s="28"/>
      <c r="I438" s="28"/>
      <c r="J438" s="255" t="str">
        <f>IF(H438="","",(_xlfn.XLOOKUP(H438,Cadastros!$D$6:$D$90,Cadastros!$E$6:$E$90))*(1-_xlfn.XLOOKUP(_xlfn.XLOOKUP($F438,Clientes!$B$4:$B$39,Clientes!$C$4:$C$39),Cadastros!$L$6:$L$12,Cadastros!$N$6:$N$12)))</f>
        <v/>
      </c>
      <c r="K438" s="168" t="str">
        <f t="shared" si="79"/>
        <v/>
      </c>
      <c r="L438" s="168" t="str">
        <f>IFERROR(K438/_xlfn.XLOOKUP(_xlfn.XLOOKUP($F438,Clientes!$B$4:$B$39,Clientes!$C$4:$C$39),Cadastros!$L$6:$L$12,Cadastros!$M$6:$M$12)," ")</f>
        <v xml:space="preserve"> </v>
      </c>
      <c r="M438" s="28"/>
      <c r="N438" s="28"/>
      <c r="O438" s="255" t="str">
        <f>IF(M438="","",(_xlfn.XLOOKUP(M438,Cadastros!$D$6:$D$90,Cadastros!$E$6:$E$90))*(1-_xlfn.XLOOKUP(_xlfn.XLOOKUP($F438,Clientes!$B$4:$B$39,Clientes!$C$4:$C$39),Cadastros!$L$6:$L$12,Cadastros!$N$6:$N$12)))</f>
        <v/>
      </c>
      <c r="P438" s="168" t="str">
        <f t="shared" si="80"/>
        <v/>
      </c>
      <c r="Q438" s="168" t="str">
        <f>IFERROR(P438/_xlfn.XLOOKUP(_xlfn.XLOOKUP($F438,Clientes!$B$4:$B$39,Clientes!$C$4:$C$39),Cadastros!$L$6:$L$12,Cadastros!$M$6:$M$12)," ")</f>
        <v xml:space="preserve"> </v>
      </c>
      <c r="R438" s="28"/>
      <c r="S438" s="28"/>
      <c r="T438" s="255" t="str">
        <f>IF(R438="","",(_xlfn.XLOOKUP(R438,Cadastros!$D$6:$D$90,Cadastros!$E$6:$E$90))*(1-_xlfn.XLOOKUP(_xlfn.XLOOKUP($F438,Clientes!$B$4:$B$39,Clientes!$C$4:$C$39),Cadastros!$L$6:$L$12,Cadastros!$N$6:$N$12)))</f>
        <v/>
      </c>
      <c r="U438" s="168" t="str">
        <f t="shared" si="81"/>
        <v/>
      </c>
      <c r="V438" s="168" t="str">
        <f>IFERROR(U438/_xlfn.XLOOKUP(_xlfn.XLOOKUP($F438,Clientes!$B$4:$B$39,Clientes!$C$4:$C$39),Cadastros!$L$6:$L$12,Cadastros!$M$6:$M$12)," ")</f>
        <v xml:space="preserve"> </v>
      </c>
      <c r="W438" s="28"/>
      <c r="X438" s="28"/>
      <c r="Y438" s="255" t="str">
        <f>IF(W438="","",(_xlfn.XLOOKUP(W438,Cadastros!$D$6:$D$90,Cadastros!$E$6:$E$90))*(1-_xlfn.XLOOKUP(_xlfn.XLOOKUP($F438,Clientes!$B$4:$B$39,Clientes!$C$4:$C$39),Cadastros!$L$6:$L$12,Cadastros!$N$6:$N$12)))</f>
        <v/>
      </c>
      <c r="Z438" s="168" t="str">
        <f t="shared" si="82"/>
        <v/>
      </c>
      <c r="AA438" s="168" t="str">
        <f>IFERROR(Z438/_xlfn.XLOOKUP(_xlfn.XLOOKUP($F438,Clientes!$B$4:$B$39,Clientes!$C$4:$C$39),Cadastros!$L$6:$L$12,Cadastros!$M$6:$M$12)," ")</f>
        <v xml:space="preserve"> </v>
      </c>
      <c r="AB438" s="28"/>
      <c r="AC438" s="28"/>
      <c r="AD438" s="20" t="str">
        <f>IF(AB438="","",IF($F438="Bernardino Furlan",_xlfn.XLOOKUP(AB438,Cadastros!$G$6:$G$90,Cadastros!$H$6:$H$90)*(1-0.18),IF($F438="Mauro José Salanti",_xlfn.XLOOKUP(AB438,Cadastros!$G$6:$G$90,Cadastros!$H$6:$H$90)*(1-0.18),_xlfn.XLOOKUP(AB438,Cadastros!$G$6:$G$90,Cadastros!$H$6:$H$90))))</f>
        <v/>
      </c>
      <c r="AE438" s="168" t="str">
        <f t="shared" si="83"/>
        <v/>
      </c>
      <c r="AF438" s="168" t="str">
        <f t="shared" si="84"/>
        <v/>
      </c>
      <c r="AG438" s="28"/>
      <c r="AH438" s="28"/>
      <c r="AI438" s="20" t="str">
        <f>IF(AG438="","",IF($F438="Bernardino Furlan",_xlfn.XLOOKUP(AG438,Cadastros!$G$6:$G$90,Cadastros!$H$6:$H$90)*(1-0.18),IF($F438="Mauro José Salanti",_xlfn.XLOOKUP(AG438,Cadastros!$G$6:$G$90,Cadastros!$H$6:$H$90)*(1-0.18),_xlfn.XLOOKUP(AG438,Cadastros!$G$6:$G$90,Cadastros!$H$6:$H$90))))</f>
        <v/>
      </c>
      <c r="AJ438" s="168" t="str">
        <f t="shared" si="85"/>
        <v/>
      </c>
      <c r="AK438" s="168" t="str">
        <f t="shared" si="86"/>
        <v/>
      </c>
      <c r="AL438" s="28"/>
      <c r="AM438" s="28"/>
      <c r="AN438" s="20" t="str">
        <f>IF(AL438="","",IF($F438="Bernardino Furlan",_xlfn.XLOOKUP(AL438,Cadastros!$G$6:$G$90,Cadastros!$H$6:$H$90)*(1-0.18),IF($F438="Mauro José Salanti",_xlfn.XLOOKUP(AL438,Cadastros!$G$6:$G$90,Cadastros!$H$6:$H$90)*(1-0.18),_xlfn.XLOOKUP(AL438,Cadastros!$G$6:$G$90,Cadastros!$H$6:$H$90))))</f>
        <v/>
      </c>
      <c r="AO438" s="168" t="str">
        <f t="shared" si="87"/>
        <v/>
      </c>
      <c r="AP438" s="168" t="str">
        <f t="shared" si="88"/>
        <v/>
      </c>
      <c r="AQ438" s="28"/>
      <c r="AR438" s="28"/>
      <c r="AS438" s="20" t="str">
        <f>IF(AQ438="","",IF($F438="Bernardino Furlan",_xlfn.XLOOKUP(AQ438,Cadastros!$G$6:$G$90,Cadastros!$H$6:$H$90)*(1-0.18),IF($F438="Mauro José Salanti",_xlfn.XLOOKUP(AQ438,Cadastros!$G$6:$G$90,Cadastros!$H$6:$H$90)*(1-0.18),_xlfn.XLOOKUP(AQ438,Cadastros!$G$6:$G$90,Cadastros!$H$6:$H$90))))</f>
        <v/>
      </c>
      <c r="AT438" s="168" t="str">
        <f t="shared" si="89"/>
        <v/>
      </c>
      <c r="AU438" s="168" t="str">
        <f t="shared" si="90"/>
        <v/>
      </c>
      <c r="AV438" s="227"/>
      <c r="AW438" s="30"/>
      <c r="AX438" s="267"/>
      <c r="AY438" s="267"/>
      <c r="AZ438" s="29"/>
      <c r="BA438" s="30"/>
      <c r="BB438" s="23" t="str" cm="1">
        <f t="array" ref="BB438">_xlfn.IFS(AW438="SIM",SUM(K438,P438,U438,Z438,AE438,AJ438,AO438,AT438,AX438,AY438),F438&lt;&gt;"",SUM(K438,P438,U438,Z438,AE438,AJ438,,AO438,AT438),F438="","")</f>
        <v/>
      </c>
      <c r="BC438" s="211" t="str" cm="1">
        <f t="array" ref="BC438">_xlfn.IFS(E438="","",G438&lt;=E438,BB438*(1-0.03),G438&lt;(E438+8),BB438,AZ438="Boleto",BB438*(1+0.001)^DATEDIF(E438,G438,"D"),AZ438="Cheque",BB438,AZ438="Dinheiro","Alterar forma pgto")</f>
        <v/>
      </c>
      <c r="BD438" s="276" t="str" cm="1">
        <f t="array" ref="BD438">IF(F438=0," ",IF(BC438&lt;BB438,(_xlfn.IFS(AW438="SIM",SUM(L438,Q438,V438,AA438,AF438,AK438,AP438,AU438)+AX438/_xlfn.XLOOKUP(_xlfn.XLOOKUP($F438,Clientes!$B$4:$B$39,Clientes!$C$4:$C$39),Cadastros!$L$6:$L$12,Cadastros!$M$6:$M$12)+IF($F438="Bernardino Furlan",AY438/2751.92,IF($F438="Mauro José Salanti",AY438/2751.92,AY438/3356)),F438&lt;&gt;0,SUM(L438,Q438,V438,AA438,AF438,AK438,AP438,AU438)))*(1-0.03),_xlfn.IFS(AW438="SIM",SUM(L438,Q438,V438,AA438,AF438,AK438,AP438,AU438)+AX438/_xlfn.XLOOKUP(_xlfn.XLOOKUP($F438,Clientes!$B$4:$B$39,Clientes!$C$4:$C$39),Cadastros!$L$6:$L$12,Cadastros!$M$6:$M$12)+IF($F438="Bernardino Furlan",AY438/2751.92,IF($F438="Mauro José Salanti",AY438/2751.92,AY438/3356)),F438&lt;&gt;0,SUM(L438,Q438,V438,AA438,AF438,AK438,AP438,AU438))))</f>
        <v xml:space="preserve"> </v>
      </c>
      <c r="BE438" s="120"/>
      <c r="BF438" s="120"/>
      <c r="BG438" s="120"/>
    </row>
    <row r="439" spans="1:59" s="3" customFormat="1" x14ac:dyDescent="0.3">
      <c r="A439" s="15" t="str">
        <f t="shared" si="78"/>
        <v/>
      </c>
      <c r="B439" s="25"/>
      <c r="C439" s="26"/>
      <c r="D439" s="279"/>
      <c r="E439" s="27"/>
      <c r="F439" s="28"/>
      <c r="G439" s="27"/>
      <c r="H439" s="28"/>
      <c r="I439" s="28"/>
      <c r="J439" s="255" t="str">
        <f>IF(H439="","",(_xlfn.XLOOKUP(H439,Cadastros!$D$6:$D$90,Cadastros!$E$6:$E$90))*(1-_xlfn.XLOOKUP(_xlfn.XLOOKUP($F439,Clientes!$B$4:$B$39,Clientes!$C$4:$C$39),Cadastros!$L$6:$L$12,Cadastros!$N$6:$N$12)))</f>
        <v/>
      </c>
      <c r="K439" s="168" t="str">
        <f t="shared" si="79"/>
        <v/>
      </c>
      <c r="L439" s="168" t="str">
        <f>IFERROR(K439/_xlfn.XLOOKUP(_xlfn.XLOOKUP($F439,Clientes!$B$4:$B$39,Clientes!$C$4:$C$39),Cadastros!$L$6:$L$12,Cadastros!$M$6:$M$12)," ")</f>
        <v xml:space="preserve"> </v>
      </c>
      <c r="M439" s="28"/>
      <c r="N439" s="28"/>
      <c r="O439" s="255" t="str">
        <f>IF(M439="","",(_xlfn.XLOOKUP(M439,Cadastros!$D$6:$D$90,Cadastros!$E$6:$E$90))*(1-_xlfn.XLOOKUP(_xlfn.XLOOKUP($F439,Clientes!$B$4:$B$39,Clientes!$C$4:$C$39),Cadastros!$L$6:$L$12,Cadastros!$N$6:$N$12)))</f>
        <v/>
      </c>
      <c r="P439" s="168" t="str">
        <f t="shared" si="80"/>
        <v/>
      </c>
      <c r="Q439" s="168" t="str">
        <f>IFERROR(P439/_xlfn.XLOOKUP(_xlfn.XLOOKUP($F439,Clientes!$B$4:$B$39,Clientes!$C$4:$C$39),Cadastros!$L$6:$L$12,Cadastros!$M$6:$M$12)," ")</f>
        <v xml:space="preserve"> </v>
      </c>
      <c r="R439" s="28"/>
      <c r="S439" s="28"/>
      <c r="T439" s="255" t="str">
        <f>IF(R439="","",(_xlfn.XLOOKUP(R439,Cadastros!$D$6:$D$90,Cadastros!$E$6:$E$90))*(1-_xlfn.XLOOKUP(_xlfn.XLOOKUP($F439,Clientes!$B$4:$B$39,Clientes!$C$4:$C$39),Cadastros!$L$6:$L$12,Cadastros!$N$6:$N$12)))</f>
        <v/>
      </c>
      <c r="U439" s="168" t="str">
        <f t="shared" si="81"/>
        <v/>
      </c>
      <c r="V439" s="168" t="str">
        <f>IFERROR(U439/_xlfn.XLOOKUP(_xlfn.XLOOKUP($F439,Clientes!$B$4:$B$39,Clientes!$C$4:$C$39),Cadastros!$L$6:$L$12,Cadastros!$M$6:$M$12)," ")</f>
        <v xml:space="preserve"> </v>
      </c>
      <c r="W439" s="28"/>
      <c r="X439" s="28"/>
      <c r="Y439" s="255" t="str">
        <f>IF(W439="","",(_xlfn.XLOOKUP(W439,Cadastros!$D$6:$D$90,Cadastros!$E$6:$E$90))*(1-_xlfn.XLOOKUP(_xlfn.XLOOKUP($F439,Clientes!$B$4:$B$39,Clientes!$C$4:$C$39),Cadastros!$L$6:$L$12,Cadastros!$N$6:$N$12)))</f>
        <v/>
      </c>
      <c r="Z439" s="168" t="str">
        <f t="shared" si="82"/>
        <v/>
      </c>
      <c r="AA439" s="168" t="str">
        <f>IFERROR(Z439/_xlfn.XLOOKUP(_xlfn.XLOOKUP($F439,Clientes!$B$4:$B$39,Clientes!$C$4:$C$39),Cadastros!$L$6:$L$12,Cadastros!$M$6:$M$12)," ")</f>
        <v xml:space="preserve"> </v>
      </c>
      <c r="AB439" s="28"/>
      <c r="AC439" s="28"/>
      <c r="AD439" s="20" t="str">
        <f>IF(AB439="","",IF($F439="Bernardino Furlan",_xlfn.XLOOKUP(AB439,Cadastros!$G$6:$G$90,Cadastros!$H$6:$H$90)*(1-0.18),IF($F439="Mauro José Salanti",_xlfn.XLOOKUP(AB439,Cadastros!$G$6:$G$90,Cadastros!$H$6:$H$90)*(1-0.18),_xlfn.XLOOKUP(AB439,Cadastros!$G$6:$G$90,Cadastros!$H$6:$H$90))))</f>
        <v/>
      </c>
      <c r="AE439" s="168" t="str">
        <f t="shared" si="83"/>
        <v/>
      </c>
      <c r="AF439" s="168" t="str">
        <f t="shared" si="84"/>
        <v/>
      </c>
      <c r="AG439" s="28"/>
      <c r="AH439" s="28"/>
      <c r="AI439" s="20" t="str">
        <f>IF(AG439="","",IF($F439="Bernardino Furlan",_xlfn.XLOOKUP(AG439,Cadastros!$G$6:$G$90,Cadastros!$H$6:$H$90)*(1-0.18),IF($F439="Mauro José Salanti",_xlfn.XLOOKUP(AG439,Cadastros!$G$6:$G$90,Cadastros!$H$6:$H$90)*(1-0.18),_xlfn.XLOOKUP(AG439,Cadastros!$G$6:$G$90,Cadastros!$H$6:$H$90))))</f>
        <v/>
      </c>
      <c r="AJ439" s="168" t="str">
        <f t="shared" si="85"/>
        <v/>
      </c>
      <c r="AK439" s="168" t="str">
        <f t="shared" si="86"/>
        <v/>
      </c>
      <c r="AL439" s="28"/>
      <c r="AM439" s="28"/>
      <c r="AN439" s="20" t="str">
        <f>IF(AL439="","",IF($F439="Bernardino Furlan",_xlfn.XLOOKUP(AL439,Cadastros!$G$6:$G$90,Cadastros!$H$6:$H$90)*(1-0.18),IF($F439="Mauro José Salanti",_xlfn.XLOOKUP(AL439,Cadastros!$G$6:$G$90,Cadastros!$H$6:$H$90)*(1-0.18),_xlfn.XLOOKUP(AL439,Cadastros!$G$6:$G$90,Cadastros!$H$6:$H$90))))</f>
        <v/>
      </c>
      <c r="AO439" s="168" t="str">
        <f t="shared" si="87"/>
        <v/>
      </c>
      <c r="AP439" s="168" t="str">
        <f t="shared" si="88"/>
        <v/>
      </c>
      <c r="AQ439" s="28"/>
      <c r="AR439" s="28"/>
      <c r="AS439" s="20" t="str">
        <f>IF(AQ439="","",IF($F439="Bernardino Furlan",_xlfn.XLOOKUP(AQ439,Cadastros!$G$6:$G$90,Cadastros!$H$6:$H$90)*(1-0.18),IF($F439="Mauro José Salanti",_xlfn.XLOOKUP(AQ439,Cadastros!$G$6:$G$90,Cadastros!$H$6:$H$90)*(1-0.18),_xlfn.XLOOKUP(AQ439,Cadastros!$G$6:$G$90,Cadastros!$H$6:$H$90))))</f>
        <v/>
      </c>
      <c r="AT439" s="168" t="str">
        <f t="shared" si="89"/>
        <v/>
      </c>
      <c r="AU439" s="168" t="str">
        <f t="shared" si="90"/>
        <v/>
      </c>
      <c r="AV439" s="227"/>
      <c r="AW439" s="30"/>
      <c r="AX439" s="267"/>
      <c r="AY439" s="267"/>
      <c r="AZ439" s="29"/>
      <c r="BA439" s="30"/>
      <c r="BB439" s="23" t="str" cm="1">
        <f t="array" ref="BB439">_xlfn.IFS(AW439="SIM",SUM(K439,P439,U439,Z439,AE439,AJ439,AO439,AT439,AX439,AY439),F439&lt;&gt;"",SUM(K439,P439,U439,Z439,AE439,AJ439,,AO439,AT439),F439="","")</f>
        <v/>
      </c>
      <c r="BC439" s="211" t="str" cm="1">
        <f t="array" ref="BC439">_xlfn.IFS(E439="","",G439&lt;=E439,BB439*(1-0.03),G439&lt;(E439+8),BB439,AZ439="Boleto",BB439*(1+0.001)^DATEDIF(E439,G439,"D"),AZ439="Cheque",BB439,AZ439="Dinheiro","Alterar forma pgto")</f>
        <v/>
      </c>
      <c r="BD439" s="276" t="str" cm="1">
        <f t="array" ref="BD439">IF(F439=0," ",IF(BC439&lt;BB439,(_xlfn.IFS(AW439="SIM",SUM(L439,Q439,V439,AA439,AF439,AK439,AP439,AU439)+AX439/_xlfn.XLOOKUP(_xlfn.XLOOKUP($F439,Clientes!$B$4:$B$39,Clientes!$C$4:$C$39),Cadastros!$L$6:$L$12,Cadastros!$M$6:$M$12)+IF($F439="Bernardino Furlan",AY439/2751.92,IF($F439="Mauro José Salanti",AY439/2751.92,AY439/3356)),F439&lt;&gt;0,SUM(L439,Q439,V439,AA439,AF439,AK439,AP439,AU439)))*(1-0.03),_xlfn.IFS(AW439="SIM",SUM(L439,Q439,V439,AA439,AF439,AK439,AP439,AU439)+AX439/_xlfn.XLOOKUP(_xlfn.XLOOKUP($F439,Clientes!$B$4:$B$39,Clientes!$C$4:$C$39),Cadastros!$L$6:$L$12,Cadastros!$M$6:$M$12)+IF($F439="Bernardino Furlan",AY439/2751.92,IF($F439="Mauro José Salanti",AY439/2751.92,AY439/3356)),F439&lt;&gt;0,SUM(L439,Q439,V439,AA439,AF439,AK439,AP439,AU439))))</f>
        <v xml:space="preserve"> </v>
      </c>
      <c r="BE439" s="120"/>
      <c r="BF439" s="120"/>
      <c r="BG439" s="120"/>
    </row>
    <row r="440" spans="1:59" s="3" customFormat="1" x14ac:dyDescent="0.3">
      <c r="A440" s="15" t="str">
        <f t="shared" si="78"/>
        <v/>
      </c>
      <c r="B440" s="25"/>
      <c r="C440" s="26"/>
      <c r="D440" s="279"/>
      <c r="E440" s="27"/>
      <c r="F440" s="28"/>
      <c r="G440" s="27"/>
      <c r="H440" s="28"/>
      <c r="I440" s="28"/>
      <c r="J440" s="255" t="str">
        <f>IF(H440="","",(_xlfn.XLOOKUP(H440,Cadastros!$D$6:$D$90,Cadastros!$E$6:$E$90))*(1-_xlfn.XLOOKUP(_xlfn.XLOOKUP($F440,Clientes!$B$4:$B$39,Clientes!$C$4:$C$39),Cadastros!$L$6:$L$12,Cadastros!$N$6:$N$12)))</f>
        <v/>
      </c>
      <c r="K440" s="168" t="str">
        <f t="shared" si="79"/>
        <v/>
      </c>
      <c r="L440" s="168" t="str">
        <f>IFERROR(K440/_xlfn.XLOOKUP(_xlfn.XLOOKUP($F440,Clientes!$B$4:$B$39,Clientes!$C$4:$C$39),Cadastros!$L$6:$L$12,Cadastros!$M$6:$M$12)," ")</f>
        <v xml:space="preserve"> </v>
      </c>
      <c r="M440" s="28"/>
      <c r="N440" s="28"/>
      <c r="O440" s="255" t="str">
        <f>IF(M440="","",(_xlfn.XLOOKUP(M440,Cadastros!$D$6:$D$90,Cadastros!$E$6:$E$90))*(1-_xlfn.XLOOKUP(_xlfn.XLOOKUP($F440,Clientes!$B$4:$B$39,Clientes!$C$4:$C$39),Cadastros!$L$6:$L$12,Cadastros!$N$6:$N$12)))</f>
        <v/>
      </c>
      <c r="P440" s="168" t="str">
        <f t="shared" si="80"/>
        <v/>
      </c>
      <c r="Q440" s="168" t="str">
        <f>IFERROR(P440/_xlfn.XLOOKUP(_xlfn.XLOOKUP($F440,Clientes!$B$4:$B$39,Clientes!$C$4:$C$39),Cadastros!$L$6:$L$12,Cadastros!$M$6:$M$12)," ")</f>
        <v xml:space="preserve"> </v>
      </c>
      <c r="R440" s="28"/>
      <c r="S440" s="28"/>
      <c r="T440" s="255" t="str">
        <f>IF(R440="","",(_xlfn.XLOOKUP(R440,Cadastros!$D$6:$D$90,Cadastros!$E$6:$E$90))*(1-_xlfn.XLOOKUP(_xlfn.XLOOKUP($F440,Clientes!$B$4:$B$39,Clientes!$C$4:$C$39),Cadastros!$L$6:$L$12,Cadastros!$N$6:$N$12)))</f>
        <v/>
      </c>
      <c r="U440" s="168" t="str">
        <f t="shared" si="81"/>
        <v/>
      </c>
      <c r="V440" s="168" t="str">
        <f>IFERROR(U440/_xlfn.XLOOKUP(_xlfn.XLOOKUP($F440,Clientes!$B$4:$B$39,Clientes!$C$4:$C$39),Cadastros!$L$6:$L$12,Cadastros!$M$6:$M$12)," ")</f>
        <v xml:space="preserve"> </v>
      </c>
      <c r="W440" s="28"/>
      <c r="X440" s="28"/>
      <c r="Y440" s="255" t="str">
        <f>IF(W440="","",(_xlfn.XLOOKUP(W440,Cadastros!$D$6:$D$90,Cadastros!$E$6:$E$90))*(1-_xlfn.XLOOKUP(_xlfn.XLOOKUP($F440,Clientes!$B$4:$B$39,Clientes!$C$4:$C$39),Cadastros!$L$6:$L$12,Cadastros!$N$6:$N$12)))</f>
        <v/>
      </c>
      <c r="Z440" s="168" t="str">
        <f t="shared" si="82"/>
        <v/>
      </c>
      <c r="AA440" s="168" t="str">
        <f>IFERROR(Z440/_xlfn.XLOOKUP(_xlfn.XLOOKUP($F440,Clientes!$B$4:$B$39,Clientes!$C$4:$C$39),Cadastros!$L$6:$L$12,Cadastros!$M$6:$M$12)," ")</f>
        <v xml:space="preserve"> </v>
      </c>
      <c r="AB440" s="28"/>
      <c r="AC440" s="28"/>
      <c r="AD440" s="20" t="str">
        <f>IF(AB440="","",IF($F440="Bernardino Furlan",_xlfn.XLOOKUP(AB440,Cadastros!$G$6:$G$90,Cadastros!$H$6:$H$90)*(1-0.18),IF($F440="Mauro José Salanti",_xlfn.XLOOKUP(AB440,Cadastros!$G$6:$G$90,Cadastros!$H$6:$H$90)*(1-0.18),_xlfn.XLOOKUP(AB440,Cadastros!$G$6:$G$90,Cadastros!$H$6:$H$90))))</f>
        <v/>
      </c>
      <c r="AE440" s="168" t="str">
        <f t="shared" si="83"/>
        <v/>
      </c>
      <c r="AF440" s="168" t="str">
        <f t="shared" si="84"/>
        <v/>
      </c>
      <c r="AG440" s="28"/>
      <c r="AH440" s="28"/>
      <c r="AI440" s="20" t="str">
        <f>IF(AG440="","",IF($F440="Bernardino Furlan",_xlfn.XLOOKUP(AG440,Cadastros!$G$6:$G$90,Cadastros!$H$6:$H$90)*(1-0.18),IF($F440="Mauro José Salanti",_xlfn.XLOOKUP(AG440,Cadastros!$G$6:$G$90,Cadastros!$H$6:$H$90)*(1-0.18),_xlfn.XLOOKUP(AG440,Cadastros!$G$6:$G$90,Cadastros!$H$6:$H$90))))</f>
        <v/>
      </c>
      <c r="AJ440" s="168" t="str">
        <f t="shared" si="85"/>
        <v/>
      </c>
      <c r="AK440" s="168" t="str">
        <f t="shared" si="86"/>
        <v/>
      </c>
      <c r="AL440" s="28"/>
      <c r="AM440" s="28"/>
      <c r="AN440" s="20" t="str">
        <f>IF(AL440="","",IF($F440="Bernardino Furlan",_xlfn.XLOOKUP(AL440,Cadastros!$G$6:$G$90,Cadastros!$H$6:$H$90)*(1-0.18),IF($F440="Mauro José Salanti",_xlfn.XLOOKUP(AL440,Cadastros!$G$6:$G$90,Cadastros!$H$6:$H$90)*(1-0.18),_xlfn.XLOOKUP(AL440,Cadastros!$G$6:$G$90,Cadastros!$H$6:$H$90))))</f>
        <v/>
      </c>
      <c r="AO440" s="168" t="str">
        <f t="shared" si="87"/>
        <v/>
      </c>
      <c r="AP440" s="168" t="str">
        <f t="shared" si="88"/>
        <v/>
      </c>
      <c r="AQ440" s="28"/>
      <c r="AR440" s="28"/>
      <c r="AS440" s="20" t="str">
        <f>IF(AQ440="","",IF($F440="Bernardino Furlan",_xlfn.XLOOKUP(AQ440,Cadastros!$G$6:$G$90,Cadastros!$H$6:$H$90)*(1-0.18),IF($F440="Mauro José Salanti",_xlfn.XLOOKUP(AQ440,Cadastros!$G$6:$G$90,Cadastros!$H$6:$H$90)*(1-0.18),_xlfn.XLOOKUP(AQ440,Cadastros!$G$6:$G$90,Cadastros!$H$6:$H$90))))</f>
        <v/>
      </c>
      <c r="AT440" s="168" t="str">
        <f t="shared" si="89"/>
        <v/>
      </c>
      <c r="AU440" s="168" t="str">
        <f t="shared" si="90"/>
        <v/>
      </c>
      <c r="AV440" s="227"/>
      <c r="AW440" s="30"/>
      <c r="AX440" s="267"/>
      <c r="AY440" s="267"/>
      <c r="AZ440" s="29"/>
      <c r="BA440" s="30"/>
      <c r="BB440" s="23" t="str" cm="1">
        <f t="array" ref="BB440">_xlfn.IFS(AW440="SIM",SUM(K440,P440,U440,Z440,AE440,AJ440,AO440,AT440,AX440,AY440),F440&lt;&gt;"",SUM(K440,P440,U440,Z440,AE440,AJ440,,AO440,AT440),F440="","")</f>
        <v/>
      </c>
      <c r="BC440" s="211" t="str" cm="1">
        <f t="array" ref="BC440">_xlfn.IFS(E440="","",G440&lt;=E440,BB440*(1-0.03),G440&lt;(E440+8),BB440,AZ440="Boleto",BB440*(1+0.001)^DATEDIF(E440,G440,"D"),AZ440="Cheque",BB440,AZ440="Dinheiro","Alterar forma pgto")</f>
        <v/>
      </c>
      <c r="BD440" s="276" t="str" cm="1">
        <f t="array" ref="BD440">IF(F440=0," ",IF(BC440&lt;BB440,(_xlfn.IFS(AW440="SIM",SUM(L440,Q440,V440,AA440,AF440,AK440,AP440,AU440)+AX440/_xlfn.XLOOKUP(_xlfn.XLOOKUP($F440,Clientes!$B$4:$B$39,Clientes!$C$4:$C$39),Cadastros!$L$6:$L$12,Cadastros!$M$6:$M$12)+IF($F440="Bernardino Furlan",AY440/2751.92,IF($F440="Mauro José Salanti",AY440/2751.92,AY440/3356)),F440&lt;&gt;0,SUM(L440,Q440,V440,AA440,AF440,AK440,AP440,AU440)))*(1-0.03),_xlfn.IFS(AW440="SIM",SUM(L440,Q440,V440,AA440,AF440,AK440,AP440,AU440)+AX440/_xlfn.XLOOKUP(_xlfn.XLOOKUP($F440,Clientes!$B$4:$B$39,Clientes!$C$4:$C$39),Cadastros!$L$6:$L$12,Cadastros!$M$6:$M$12)+IF($F440="Bernardino Furlan",AY440/2751.92,IF($F440="Mauro José Salanti",AY440/2751.92,AY440/3356)),F440&lt;&gt;0,SUM(L440,Q440,V440,AA440,AF440,AK440,AP440,AU440))))</f>
        <v xml:space="preserve"> </v>
      </c>
      <c r="BE440" s="120"/>
      <c r="BF440" s="120"/>
      <c r="BG440" s="120"/>
    </row>
    <row r="441" spans="1:59" s="3" customFormat="1" x14ac:dyDescent="0.3">
      <c r="A441" s="15" t="str">
        <f t="shared" si="78"/>
        <v/>
      </c>
      <c r="B441" s="25"/>
      <c r="C441" s="26"/>
      <c r="D441" s="279"/>
      <c r="E441" s="27"/>
      <c r="F441" s="28"/>
      <c r="G441" s="27"/>
      <c r="H441" s="28"/>
      <c r="I441" s="28"/>
      <c r="J441" s="255" t="str">
        <f>IF(H441="","",(_xlfn.XLOOKUP(H441,Cadastros!$D$6:$D$90,Cadastros!$E$6:$E$90))*(1-_xlfn.XLOOKUP(_xlfn.XLOOKUP($F441,Clientes!$B$4:$B$39,Clientes!$C$4:$C$39),Cadastros!$L$6:$L$12,Cadastros!$N$6:$N$12)))</f>
        <v/>
      </c>
      <c r="K441" s="168" t="str">
        <f t="shared" si="79"/>
        <v/>
      </c>
      <c r="L441" s="168" t="str">
        <f>IFERROR(K441/_xlfn.XLOOKUP(_xlfn.XLOOKUP($F441,Clientes!$B$4:$B$39,Clientes!$C$4:$C$39),Cadastros!$L$6:$L$12,Cadastros!$M$6:$M$12)," ")</f>
        <v xml:space="preserve"> </v>
      </c>
      <c r="M441" s="28"/>
      <c r="N441" s="28"/>
      <c r="O441" s="255" t="str">
        <f>IF(M441="","",(_xlfn.XLOOKUP(M441,Cadastros!$D$6:$D$90,Cadastros!$E$6:$E$90))*(1-_xlfn.XLOOKUP(_xlfn.XLOOKUP($F441,Clientes!$B$4:$B$39,Clientes!$C$4:$C$39),Cadastros!$L$6:$L$12,Cadastros!$N$6:$N$12)))</f>
        <v/>
      </c>
      <c r="P441" s="168" t="str">
        <f t="shared" si="80"/>
        <v/>
      </c>
      <c r="Q441" s="168" t="str">
        <f>IFERROR(P441/_xlfn.XLOOKUP(_xlfn.XLOOKUP($F441,Clientes!$B$4:$B$39,Clientes!$C$4:$C$39),Cadastros!$L$6:$L$12,Cadastros!$M$6:$M$12)," ")</f>
        <v xml:space="preserve"> </v>
      </c>
      <c r="R441" s="28"/>
      <c r="S441" s="28"/>
      <c r="T441" s="255" t="str">
        <f>IF(R441="","",(_xlfn.XLOOKUP(R441,Cadastros!$D$6:$D$90,Cadastros!$E$6:$E$90))*(1-_xlfn.XLOOKUP(_xlfn.XLOOKUP($F441,Clientes!$B$4:$B$39,Clientes!$C$4:$C$39),Cadastros!$L$6:$L$12,Cadastros!$N$6:$N$12)))</f>
        <v/>
      </c>
      <c r="U441" s="168" t="str">
        <f t="shared" si="81"/>
        <v/>
      </c>
      <c r="V441" s="168" t="str">
        <f>IFERROR(U441/_xlfn.XLOOKUP(_xlfn.XLOOKUP($F441,Clientes!$B$4:$B$39,Clientes!$C$4:$C$39),Cadastros!$L$6:$L$12,Cadastros!$M$6:$M$12)," ")</f>
        <v xml:space="preserve"> </v>
      </c>
      <c r="W441" s="28"/>
      <c r="X441" s="28"/>
      <c r="Y441" s="255" t="str">
        <f>IF(W441="","",(_xlfn.XLOOKUP(W441,Cadastros!$D$6:$D$90,Cadastros!$E$6:$E$90))*(1-_xlfn.XLOOKUP(_xlfn.XLOOKUP($F441,Clientes!$B$4:$B$39,Clientes!$C$4:$C$39),Cadastros!$L$6:$L$12,Cadastros!$N$6:$N$12)))</f>
        <v/>
      </c>
      <c r="Z441" s="168" t="str">
        <f t="shared" si="82"/>
        <v/>
      </c>
      <c r="AA441" s="168" t="str">
        <f>IFERROR(Z441/_xlfn.XLOOKUP(_xlfn.XLOOKUP($F441,Clientes!$B$4:$B$39,Clientes!$C$4:$C$39),Cadastros!$L$6:$L$12,Cadastros!$M$6:$M$12)," ")</f>
        <v xml:space="preserve"> </v>
      </c>
      <c r="AB441" s="28"/>
      <c r="AC441" s="28"/>
      <c r="AD441" s="20" t="str">
        <f>IF(AB441="","",IF($F441="Bernardino Furlan",_xlfn.XLOOKUP(AB441,Cadastros!$G$6:$G$90,Cadastros!$H$6:$H$90)*(1-0.18),IF($F441="Mauro José Salanti",_xlfn.XLOOKUP(AB441,Cadastros!$G$6:$G$90,Cadastros!$H$6:$H$90)*(1-0.18),_xlfn.XLOOKUP(AB441,Cadastros!$G$6:$G$90,Cadastros!$H$6:$H$90))))</f>
        <v/>
      </c>
      <c r="AE441" s="168" t="str">
        <f t="shared" si="83"/>
        <v/>
      </c>
      <c r="AF441" s="168" t="str">
        <f t="shared" si="84"/>
        <v/>
      </c>
      <c r="AG441" s="28"/>
      <c r="AH441" s="28"/>
      <c r="AI441" s="20" t="str">
        <f>IF(AG441="","",IF($F441="Bernardino Furlan",_xlfn.XLOOKUP(AG441,Cadastros!$G$6:$G$90,Cadastros!$H$6:$H$90)*(1-0.18),IF($F441="Mauro José Salanti",_xlfn.XLOOKUP(AG441,Cadastros!$G$6:$G$90,Cadastros!$H$6:$H$90)*(1-0.18),_xlfn.XLOOKUP(AG441,Cadastros!$G$6:$G$90,Cadastros!$H$6:$H$90))))</f>
        <v/>
      </c>
      <c r="AJ441" s="168" t="str">
        <f t="shared" si="85"/>
        <v/>
      </c>
      <c r="AK441" s="168" t="str">
        <f t="shared" si="86"/>
        <v/>
      </c>
      <c r="AL441" s="28"/>
      <c r="AM441" s="28"/>
      <c r="AN441" s="20" t="str">
        <f>IF(AL441="","",IF($F441="Bernardino Furlan",_xlfn.XLOOKUP(AL441,Cadastros!$G$6:$G$90,Cadastros!$H$6:$H$90)*(1-0.18),IF($F441="Mauro José Salanti",_xlfn.XLOOKUP(AL441,Cadastros!$G$6:$G$90,Cadastros!$H$6:$H$90)*(1-0.18),_xlfn.XLOOKUP(AL441,Cadastros!$G$6:$G$90,Cadastros!$H$6:$H$90))))</f>
        <v/>
      </c>
      <c r="AO441" s="168" t="str">
        <f t="shared" si="87"/>
        <v/>
      </c>
      <c r="AP441" s="168" t="str">
        <f t="shared" si="88"/>
        <v/>
      </c>
      <c r="AQ441" s="28"/>
      <c r="AR441" s="28"/>
      <c r="AS441" s="20" t="str">
        <f>IF(AQ441="","",IF($F441="Bernardino Furlan",_xlfn.XLOOKUP(AQ441,Cadastros!$G$6:$G$90,Cadastros!$H$6:$H$90)*(1-0.18),IF($F441="Mauro José Salanti",_xlfn.XLOOKUP(AQ441,Cadastros!$G$6:$G$90,Cadastros!$H$6:$H$90)*(1-0.18),_xlfn.XLOOKUP(AQ441,Cadastros!$G$6:$G$90,Cadastros!$H$6:$H$90))))</f>
        <v/>
      </c>
      <c r="AT441" s="168" t="str">
        <f t="shared" si="89"/>
        <v/>
      </c>
      <c r="AU441" s="168" t="str">
        <f t="shared" si="90"/>
        <v/>
      </c>
      <c r="AV441" s="227"/>
      <c r="AW441" s="30"/>
      <c r="AX441" s="267"/>
      <c r="AY441" s="267"/>
      <c r="AZ441" s="29"/>
      <c r="BA441" s="30"/>
      <c r="BB441" s="23" t="str" cm="1">
        <f t="array" ref="BB441">_xlfn.IFS(AW441="SIM",SUM(K441,P441,U441,Z441,AE441,AJ441,AO441,AT441,AX441,AY441),F441&lt;&gt;"",SUM(K441,P441,U441,Z441,AE441,AJ441,,AO441,AT441),F441="","")</f>
        <v/>
      </c>
      <c r="BC441" s="211" t="str" cm="1">
        <f t="array" ref="BC441">_xlfn.IFS(E441="","",G441&lt;=E441,BB441*(1-0.03),G441&lt;(E441+8),BB441,AZ441="Boleto",BB441*(1+0.001)^DATEDIF(E441,G441,"D"),AZ441="Cheque",BB441,AZ441="Dinheiro","Alterar forma pgto")</f>
        <v/>
      </c>
      <c r="BD441" s="276" t="str" cm="1">
        <f t="array" ref="BD441">IF(F441=0," ",IF(BC441&lt;BB441,(_xlfn.IFS(AW441="SIM",SUM(L441,Q441,V441,AA441,AF441,AK441,AP441,AU441)+AX441/_xlfn.XLOOKUP(_xlfn.XLOOKUP($F441,Clientes!$B$4:$B$39,Clientes!$C$4:$C$39),Cadastros!$L$6:$L$12,Cadastros!$M$6:$M$12)+IF($F441="Bernardino Furlan",AY441/2751.92,IF($F441="Mauro José Salanti",AY441/2751.92,AY441/3356)),F441&lt;&gt;0,SUM(L441,Q441,V441,AA441,AF441,AK441,AP441,AU441)))*(1-0.03),_xlfn.IFS(AW441="SIM",SUM(L441,Q441,V441,AA441,AF441,AK441,AP441,AU441)+AX441/_xlfn.XLOOKUP(_xlfn.XLOOKUP($F441,Clientes!$B$4:$B$39,Clientes!$C$4:$C$39),Cadastros!$L$6:$L$12,Cadastros!$M$6:$M$12)+IF($F441="Bernardino Furlan",AY441/2751.92,IF($F441="Mauro José Salanti",AY441/2751.92,AY441/3356)),F441&lt;&gt;0,SUM(L441,Q441,V441,AA441,AF441,AK441,AP441,AU441))))</f>
        <v xml:space="preserve"> </v>
      </c>
      <c r="BE441" s="120"/>
      <c r="BF441" s="120"/>
      <c r="BG441" s="120"/>
    </row>
    <row r="442" spans="1:59" s="3" customFormat="1" x14ac:dyDescent="0.3">
      <c r="A442" s="15" t="str">
        <f t="shared" si="78"/>
        <v/>
      </c>
      <c r="B442" s="25"/>
      <c r="C442" s="26"/>
      <c r="D442" s="279"/>
      <c r="E442" s="27"/>
      <c r="F442" s="28"/>
      <c r="G442" s="27"/>
      <c r="H442" s="28"/>
      <c r="I442" s="28"/>
      <c r="J442" s="255" t="str">
        <f>IF(H442="","",(_xlfn.XLOOKUP(H442,Cadastros!$D$6:$D$90,Cadastros!$E$6:$E$90))*(1-_xlfn.XLOOKUP(_xlfn.XLOOKUP($F442,Clientes!$B$4:$B$39,Clientes!$C$4:$C$39),Cadastros!$L$6:$L$12,Cadastros!$N$6:$N$12)))</f>
        <v/>
      </c>
      <c r="K442" s="168" t="str">
        <f t="shared" si="79"/>
        <v/>
      </c>
      <c r="L442" s="168" t="str">
        <f>IFERROR(K442/_xlfn.XLOOKUP(_xlfn.XLOOKUP($F442,Clientes!$B$4:$B$39,Clientes!$C$4:$C$39),Cadastros!$L$6:$L$12,Cadastros!$M$6:$M$12)," ")</f>
        <v xml:space="preserve"> </v>
      </c>
      <c r="M442" s="28"/>
      <c r="N442" s="28"/>
      <c r="O442" s="255" t="str">
        <f>IF(M442="","",(_xlfn.XLOOKUP(M442,Cadastros!$D$6:$D$90,Cadastros!$E$6:$E$90))*(1-_xlfn.XLOOKUP(_xlfn.XLOOKUP($F442,Clientes!$B$4:$B$39,Clientes!$C$4:$C$39),Cadastros!$L$6:$L$12,Cadastros!$N$6:$N$12)))</f>
        <v/>
      </c>
      <c r="P442" s="168" t="str">
        <f t="shared" si="80"/>
        <v/>
      </c>
      <c r="Q442" s="168" t="str">
        <f>IFERROR(P442/_xlfn.XLOOKUP(_xlfn.XLOOKUP($F442,Clientes!$B$4:$B$39,Clientes!$C$4:$C$39),Cadastros!$L$6:$L$12,Cadastros!$M$6:$M$12)," ")</f>
        <v xml:space="preserve"> </v>
      </c>
      <c r="R442" s="28"/>
      <c r="S442" s="28"/>
      <c r="T442" s="255" t="str">
        <f>IF(R442="","",(_xlfn.XLOOKUP(R442,Cadastros!$D$6:$D$90,Cadastros!$E$6:$E$90))*(1-_xlfn.XLOOKUP(_xlfn.XLOOKUP($F442,Clientes!$B$4:$B$39,Clientes!$C$4:$C$39),Cadastros!$L$6:$L$12,Cadastros!$N$6:$N$12)))</f>
        <v/>
      </c>
      <c r="U442" s="168" t="str">
        <f t="shared" si="81"/>
        <v/>
      </c>
      <c r="V442" s="168" t="str">
        <f>IFERROR(U442/_xlfn.XLOOKUP(_xlfn.XLOOKUP($F442,Clientes!$B$4:$B$39,Clientes!$C$4:$C$39),Cadastros!$L$6:$L$12,Cadastros!$M$6:$M$12)," ")</f>
        <v xml:space="preserve"> </v>
      </c>
      <c r="W442" s="28"/>
      <c r="X442" s="28"/>
      <c r="Y442" s="255" t="str">
        <f>IF(W442="","",(_xlfn.XLOOKUP(W442,Cadastros!$D$6:$D$90,Cadastros!$E$6:$E$90))*(1-_xlfn.XLOOKUP(_xlfn.XLOOKUP($F442,Clientes!$B$4:$B$39,Clientes!$C$4:$C$39),Cadastros!$L$6:$L$12,Cadastros!$N$6:$N$12)))</f>
        <v/>
      </c>
      <c r="Z442" s="168" t="str">
        <f t="shared" si="82"/>
        <v/>
      </c>
      <c r="AA442" s="168" t="str">
        <f>IFERROR(Z442/_xlfn.XLOOKUP(_xlfn.XLOOKUP($F442,Clientes!$B$4:$B$39,Clientes!$C$4:$C$39),Cadastros!$L$6:$L$12,Cadastros!$M$6:$M$12)," ")</f>
        <v xml:space="preserve"> </v>
      </c>
      <c r="AB442" s="28"/>
      <c r="AC442" s="28"/>
      <c r="AD442" s="20" t="str">
        <f>IF(AB442="","",IF($F442="Bernardino Furlan",_xlfn.XLOOKUP(AB442,Cadastros!$G$6:$G$90,Cadastros!$H$6:$H$90)*(1-0.18),IF($F442="Mauro José Salanti",_xlfn.XLOOKUP(AB442,Cadastros!$G$6:$G$90,Cadastros!$H$6:$H$90)*(1-0.18),_xlfn.XLOOKUP(AB442,Cadastros!$G$6:$G$90,Cadastros!$H$6:$H$90))))</f>
        <v/>
      </c>
      <c r="AE442" s="168" t="str">
        <f t="shared" si="83"/>
        <v/>
      </c>
      <c r="AF442" s="168" t="str">
        <f t="shared" si="84"/>
        <v/>
      </c>
      <c r="AG442" s="28"/>
      <c r="AH442" s="28"/>
      <c r="AI442" s="20" t="str">
        <f>IF(AG442="","",IF($F442="Bernardino Furlan",_xlfn.XLOOKUP(AG442,Cadastros!$G$6:$G$90,Cadastros!$H$6:$H$90)*(1-0.18),IF($F442="Mauro José Salanti",_xlfn.XLOOKUP(AG442,Cadastros!$G$6:$G$90,Cadastros!$H$6:$H$90)*(1-0.18),_xlfn.XLOOKUP(AG442,Cadastros!$G$6:$G$90,Cadastros!$H$6:$H$90))))</f>
        <v/>
      </c>
      <c r="AJ442" s="168" t="str">
        <f t="shared" si="85"/>
        <v/>
      </c>
      <c r="AK442" s="168" t="str">
        <f t="shared" si="86"/>
        <v/>
      </c>
      <c r="AL442" s="28"/>
      <c r="AM442" s="28"/>
      <c r="AN442" s="20" t="str">
        <f>IF(AL442="","",IF($F442="Bernardino Furlan",_xlfn.XLOOKUP(AL442,Cadastros!$G$6:$G$90,Cadastros!$H$6:$H$90)*(1-0.18),IF($F442="Mauro José Salanti",_xlfn.XLOOKUP(AL442,Cadastros!$G$6:$G$90,Cadastros!$H$6:$H$90)*(1-0.18),_xlfn.XLOOKUP(AL442,Cadastros!$G$6:$G$90,Cadastros!$H$6:$H$90))))</f>
        <v/>
      </c>
      <c r="AO442" s="168" t="str">
        <f t="shared" si="87"/>
        <v/>
      </c>
      <c r="AP442" s="168" t="str">
        <f t="shared" si="88"/>
        <v/>
      </c>
      <c r="AQ442" s="28"/>
      <c r="AR442" s="28"/>
      <c r="AS442" s="20" t="str">
        <f>IF(AQ442="","",IF($F442="Bernardino Furlan",_xlfn.XLOOKUP(AQ442,Cadastros!$G$6:$G$90,Cadastros!$H$6:$H$90)*(1-0.18),IF($F442="Mauro José Salanti",_xlfn.XLOOKUP(AQ442,Cadastros!$G$6:$G$90,Cadastros!$H$6:$H$90)*(1-0.18),_xlfn.XLOOKUP(AQ442,Cadastros!$G$6:$G$90,Cadastros!$H$6:$H$90))))</f>
        <v/>
      </c>
      <c r="AT442" s="168" t="str">
        <f t="shared" si="89"/>
        <v/>
      </c>
      <c r="AU442" s="168" t="str">
        <f t="shared" si="90"/>
        <v/>
      </c>
      <c r="AV442" s="227"/>
      <c r="AW442" s="30"/>
      <c r="AX442" s="267"/>
      <c r="AY442" s="267"/>
      <c r="AZ442" s="29"/>
      <c r="BA442" s="30"/>
      <c r="BB442" s="23" t="str" cm="1">
        <f t="array" ref="BB442">_xlfn.IFS(AW442="SIM",SUM(K442,P442,U442,Z442,AE442,AJ442,AO442,AT442,AX442,AY442),F442&lt;&gt;"",SUM(K442,P442,U442,Z442,AE442,AJ442,,AO442,AT442),F442="","")</f>
        <v/>
      </c>
      <c r="BC442" s="211" t="str" cm="1">
        <f t="array" ref="BC442">_xlfn.IFS(E442="","",G442&lt;=E442,BB442*(1-0.03),G442&lt;(E442+8),BB442,AZ442="Boleto",BB442*(1+0.001)^DATEDIF(E442,G442,"D"),AZ442="Cheque",BB442,AZ442="Dinheiro","Alterar forma pgto")</f>
        <v/>
      </c>
      <c r="BD442" s="276" t="str" cm="1">
        <f t="array" ref="BD442">IF(F442=0," ",IF(BC442&lt;BB442,(_xlfn.IFS(AW442="SIM",SUM(L442,Q442,V442,AA442,AF442,AK442,AP442,AU442)+AX442/_xlfn.XLOOKUP(_xlfn.XLOOKUP($F442,Clientes!$B$4:$B$39,Clientes!$C$4:$C$39),Cadastros!$L$6:$L$12,Cadastros!$M$6:$M$12)+IF($F442="Bernardino Furlan",AY442/2751.92,IF($F442="Mauro José Salanti",AY442/2751.92,AY442/3356)),F442&lt;&gt;0,SUM(L442,Q442,V442,AA442,AF442,AK442,AP442,AU442)))*(1-0.03),_xlfn.IFS(AW442="SIM",SUM(L442,Q442,V442,AA442,AF442,AK442,AP442,AU442)+AX442/_xlfn.XLOOKUP(_xlfn.XLOOKUP($F442,Clientes!$B$4:$B$39,Clientes!$C$4:$C$39),Cadastros!$L$6:$L$12,Cadastros!$M$6:$M$12)+IF($F442="Bernardino Furlan",AY442/2751.92,IF($F442="Mauro José Salanti",AY442/2751.92,AY442/3356)),F442&lt;&gt;0,SUM(L442,Q442,V442,AA442,AF442,AK442,AP442,AU442))))</f>
        <v xml:space="preserve"> </v>
      </c>
      <c r="BE442" s="120"/>
      <c r="BF442" s="120"/>
      <c r="BG442" s="120"/>
    </row>
    <row r="443" spans="1:59" s="3" customFormat="1" x14ac:dyDescent="0.3">
      <c r="A443" s="15" t="str">
        <f t="shared" si="78"/>
        <v/>
      </c>
      <c r="B443" s="25"/>
      <c r="C443" s="26"/>
      <c r="D443" s="279"/>
      <c r="E443" s="27"/>
      <c r="F443" s="28"/>
      <c r="G443" s="27"/>
      <c r="H443" s="28"/>
      <c r="I443" s="28"/>
      <c r="J443" s="255" t="str">
        <f>IF(H443="","",(_xlfn.XLOOKUP(H443,Cadastros!$D$6:$D$90,Cadastros!$E$6:$E$90))*(1-_xlfn.XLOOKUP(_xlfn.XLOOKUP($F443,Clientes!$B$4:$B$39,Clientes!$C$4:$C$39),Cadastros!$L$6:$L$12,Cadastros!$N$6:$N$12)))</f>
        <v/>
      </c>
      <c r="K443" s="168" t="str">
        <f t="shared" si="79"/>
        <v/>
      </c>
      <c r="L443" s="168" t="str">
        <f>IFERROR(K443/_xlfn.XLOOKUP(_xlfn.XLOOKUP($F443,Clientes!$B$4:$B$39,Clientes!$C$4:$C$39),Cadastros!$L$6:$L$12,Cadastros!$M$6:$M$12)," ")</f>
        <v xml:space="preserve"> </v>
      </c>
      <c r="M443" s="28"/>
      <c r="N443" s="28"/>
      <c r="O443" s="255" t="str">
        <f>IF(M443="","",(_xlfn.XLOOKUP(M443,Cadastros!$D$6:$D$90,Cadastros!$E$6:$E$90))*(1-_xlfn.XLOOKUP(_xlfn.XLOOKUP($F443,Clientes!$B$4:$B$39,Clientes!$C$4:$C$39),Cadastros!$L$6:$L$12,Cadastros!$N$6:$N$12)))</f>
        <v/>
      </c>
      <c r="P443" s="168" t="str">
        <f t="shared" si="80"/>
        <v/>
      </c>
      <c r="Q443" s="168" t="str">
        <f>IFERROR(P443/_xlfn.XLOOKUP(_xlfn.XLOOKUP($F443,Clientes!$B$4:$B$39,Clientes!$C$4:$C$39),Cadastros!$L$6:$L$12,Cadastros!$M$6:$M$12)," ")</f>
        <v xml:space="preserve"> </v>
      </c>
      <c r="R443" s="28"/>
      <c r="S443" s="28"/>
      <c r="T443" s="255" t="str">
        <f>IF(R443="","",(_xlfn.XLOOKUP(R443,Cadastros!$D$6:$D$90,Cadastros!$E$6:$E$90))*(1-_xlfn.XLOOKUP(_xlfn.XLOOKUP($F443,Clientes!$B$4:$B$39,Clientes!$C$4:$C$39),Cadastros!$L$6:$L$12,Cadastros!$N$6:$N$12)))</f>
        <v/>
      </c>
      <c r="U443" s="168" t="str">
        <f t="shared" si="81"/>
        <v/>
      </c>
      <c r="V443" s="168" t="str">
        <f>IFERROR(U443/_xlfn.XLOOKUP(_xlfn.XLOOKUP($F443,Clientes!$B$4:$B$39,Clientes!$C$4:$C$39),Cadastros!$L$6:$L$12,Cadastros!$M$6:$M$12)," ")</f>
        <v xml:space="preserve"> </v>
      </c>
      <c r="W443" s="28"/>
      <c r="X443" s="28"/>
      <c r="Y443" s="255" t="str">
        <f>IF(W443="","",(_xlfn.XLOOKUP(W443,Cadastros!$D$6:$D$90,Cadastros!$E$6:$E$90))*(1-_xlfn.XLOOKUP(_xlfn.XLOOKUP($F443,Clientes!$B$4:$B$39,Clientes!$C$4:$C$39),Cadastros!$L$6:$L$12,Cadastros!$N$6:$N$12)))</f>
        <v/>
      </c>
      <c r="Z443" s="168" t="str">
        <f t="shared" si="82"/>
        <v/>
      </c>
      <c r="AA443" s="168" t="str">
        <f>IFERROR(Z443/_xlfn.XLOOKUP(_xlfn.XLOOKUP($F443,Clientes!$B$4:$B$39,Clientes!$C$4:$C$39),Cadastros!$L$6:$L$12,Cadastros!$M$6:$M$12)," ")</f>
        <v xml:space="preserve"> </v>
      </c>
      <c r="AB443" s="28"/>
      <c r="AC443" s="28"/>
      <c r="AD443" s="20" t="str">
        <f>IF(AB443="","",IF($F443="Bernardino Furlan",_xlfn.XLOOKUP(AB443,Cadastros!$G$6:$G$90,Cadastros!$H$6:$H$90)*(1-0.18),IF($F443="Mauro José Salanti",_xlfn.XLOOKUP(AB443,Cadastros!$G$6:$G$90,Cadastros!$H$6:$H$90)*(1-0.18),_xlfn.XLOOKUP(AB443,Cadastros!$G$6:$G$90,Cadastros!$H$6:$H$90))))</f>
        <v/>
      </c>
      <c r="AE443" s="168" t="str">
        <f t="shared" si="83"/>
        <v/>
      </c>
      <c r="AF443" s="168" t="str">
        <f t="shared" si="84"/>
        <v/>
      </c>
      <c r="AG443" s="28"/>
      <c r="AH443" s="28"/>
      <c r="AI443" s="20" t="str">
        <f>IF(AG443="","",IF($F443="Bernardino Furlan",_xlfn.XLOOKUP(AG443,Cadastros!$G$6:$G$90,Cadastros!$H$6:$H$90)*(1-0.18),IF($F443="Mauro José Salanti",_xlfn.XLOOKUP(AG443,Cadastros!$G$6:$G$90,Cadastros!$H$6:$H$90)*(1-0.18),_xlfn.XLOOKUP(AG443,Cadastros!$G$6:$G$90,Cadastros!$H$6:$H$90))))</f>
        <v/>
      </c>
      <c r="AJ443" s="168" t="str">
        <f t="shared" si="85"/>
        <v/>
      </c>
      <c r="AK443" s="168" t="str">
        <f t="shared" si="86"/>
        <v/>
      </c>
      <c r="AL443" s="28"/>
      <c r="AM443" s="28"/>
      <c r="AN443" s="20" t="str">
        <f>IF(AL443="","",IF($F443="Bernardino Furlan",_xlfn.XLOOKUP(AL443,Cadastros!$G$6:$G$90,Cadastros!$H$6:$H$90)*(1-0.18),IF($F443="Mauro José Salanti",_xlfn.XLOOKUP(AL443,Cadastros!$G$6:$G$90,Cadastros!$H$6:$H$90)*(1-0.18),_xlfn.XLOOKUP(AL443,Cadastros!$G$6:$G$90,Cadastros!$H$6:$H$90))))</f>
        <v/>
      </c>
      <c r="AO443" s="168" t="str">
        <f t="shared" si="87"/>
        <v/>
      </c>
      <c r="AP443" s="168" t="str">
        <f t="shared" si="88"/>
        <v/>
      </c>
      <c r="AQ443" s="28"/>
      <c r="AR443" s="28"/>
      <c r="AS443" s="20" t="str">
        <f>IF(AQ443="","",IF($F443="Bernardino Furlan",_xlfn.XLOOKUP(AQ443,Cadastros!$G$6:$G$90,Cadastros!$H$6:$H$90)*(1-0.18),IF($F443="Mauro José Salanti",_xlfn.XLOOKUP(AQ443,Cadastros!$G$6:$G$90,Cadastros!$H$6:$H$90)*(1-0.18),_xlfn.XLOOKUP(AQ443,Cadastros!$G$6:$G$90,Cadastros!$H$6:$H$90))))</f>
        <v/>
      </c>
      <c r="AT443" s="168" t="str">
        <f t="shared" si="89"/>
        <v/>
      </c>
      <c r="AU443" s="168" t="str">
        <f t="shared" si="90"/>
        <v/>
      </c>
      <c r="AV443" s="227"/>
      <c r="AW443" s="30"/>
      <c r="AX443" s="267"/>
      <c r="AY443" s="267"/>
      <c r="AZ443" s="29"/>
      <c r="BA443" s="30"/>
      <c r="BB443" s="23" t="str" cm="1">
        <f t="array" ref="BB443">_xlfn.IFS(AW443="SIM",SUM(K443,P443,U443,Z443,AE443,AJ443,AO443,AT443,AX443,AY443),F443&lt;&gt;"",SUM(K443,P443,U443,Z443,AE443,AJ443,,AO443,AT443),F443="","")</f>
        <v/>
      </c>
      <c r="BC443" s="211" t="str" cm="1">
        <f t="array" ref="BC443">_xlfn.IFS(E443="","",G443&lt;=E443,BB443*(1-0.03),G443&lt;(E443+8),BB443,AZ443="Boleto",BB443*(1+0.001)^DATEDIF(E443,G443,"D"),AZ443="Cheque",BB443,AZ443="Dinheiro","Alterar forma pgto")</f>
        <v/>
      </c>
      <c r="BD443" s="276" t="str" cm="1">
        <f t="array" ref="BD443">IF(F443=0," ",IF(BC443&lt;BB443,(_xlfn.IFS(AW443="SIM",SUM(L443,Q443,V443,AA443,AF443,AK443,AP443,AU443)+AX443/_xlfn.XLOOKUP(_xlfn.XLOOKUP($F443,Clientes!$B$4:$B$39,Clientes!$C$4:$C$39),Cadastros!$L$6:$L$12,Cadastros!$M$6:$M$12)+IF($F443="Bernardino Furlan",AY443/2751.92,IF($F443="Mauro José Salanti",AY443/2751.92,AY443/3356)),F443&lt;&gt;0,SUM(L443,Q443,V443,AA443,AF443,AK443,AP443,AU443)))*(1-0.03),_xlfn.IFS(AW443="SIM",SUM(L443,Q443,V443,AA443,AF443,AK443,AP443,AU443)+AX443/_xlfn.XLOOKUP(_xlfn.XLOOKUP($F443,Clientes!$B$4:$B$39,Clientes!$C$4:$C$39),Cadastros!$L$6:$L$12,Cadastros!$M$6:$M$12)+IF($F443="Bernardino Furlan",AY443/2751.92,IF($F443="Mauro José Salanti",AY443/2751.92,AY443/3356)),F443&lt;&gt;0,SUM(L443,Q443,V443,AA443,AF443,AK443,AP443,AU443))))</f>
        <v xml:space="preserve"> </v>
      </c>
      <c r="BE443" s="120"/>
      <c r="BF443" s="120"/>
      <c r="BG443" s="120"/>
    </row>
    <row r="444" spans="1:59" s="3" customFormat="1" x14ac:dyDescent="0.3">
      <c r="A444" s="15" t="str">
        <f t="shared" si="78"/>
        <v/>
      </c>
      <c r="B444" s="25"/>
      <c r="C444" s="26"/>
      <c r="D444" s="279"/>
      <c r="E444" s="27"/>
      <c r="F444" s="28"/>
      <c r="G444" s="27"/>
      <c r="H444" s="28"/>
      <c r="I444" s="28"/>
      <c r="J444" s="255" t="str">
        <f>IF(H444="","",(_xlfn.XLOOKUP(H444,Cadastros!$D$6:$D$90,Cadastros!$E$6:$E$90))*(1-_xlfn.XLOOKUP(_xlfn.XLOOKUP($F444,Clientes!$B$4:$B$39,Clientes!$C$4:$C$39),Cadastros!$L$6:$L$12,Cadastros!$N$6:$N$12)))</f>
        <v/>
      </c>
      <c r="K444" s="168" t="str">
        <f t="shared" si="79"/>
        <v/>
      </c>
      <c r="L444" s="168" t="str">
        <f>IFERROR(K444/_xlfn.XLOOKUP(_xlfn.XLOOKUP($F444,Clientes!$B$4:$B$39,Clientes!$C$4:$C$39),Cadastros!$L$6:$L$12,Cadastros!$M$6:$M$12)," ")</f>
        <v xml:space="preserve"> </v>
      </c>
      <c r="M444" s="28"/>
      <c r="N444" s="28"/>
      <c r="O444" s="255" t="str">
        <f>IF(M444="","",(_xlfn.XLOOKUP(M444,Cadastros!$D$6:$D$90,Cadastros!$E$6:$E$90))*(1-_xlfn.XLOOKUP(_xlfn.XLOOKUP($F444,Clientes!$B$4:$B$39,Clientes!$C$4:$C$39),Cadastros!$L$6:$L$12,Cadastros!$N$6:$N$12)))</f>
        <v/>
      </c>
      <c r="P444" s="168" t="str">
        <f t="shared" si="80"/>
        <v/>
      </c>
      <c r="Q444" s="168" t="str">
        <f>IFERROR(P444/_xlfn.XLOOKUP(_xlfn.XLOOKUP($F444,Clientes!$B$4:$B$39,Clientes!$C$4:$C$39),Cadastros!$L$6:$L$12,Cadastros!$M$6:$M$12)," ")</f>
        <v xml:space="preserve"> </v>
      </c>
      <c r="R444" s="28"/>
      <c r="S444" s="28"/>
      <c r="T444" s="255" t="str">
        <f>IF(R444="","",(_xlfn.XLOOKUP(R444,Cadastros!$D$6:$D$90,Cadastros!$E$6:$E$90))*(1-_xlfn.XLOOKUP(_xlfn.XLOOKUP($F444,Clientes!$B$4:$B$39,Clientes!$C$4:$C$39),Cadastros!$L$6:$L$12,Cadastros!$N$6:$N$12)))</f>
        <v/>
      </c>
      <c r="U444" s="168" t="str">
        <f t="shared" si="81"/>
        <v/>
      </c>
      <c r="V444" s="168" t="str">
        <f>IFERROR(U444/_xlfn.XLOOKUP(_xlfn.XLOOKUP($F444,Clientes!$B$4:$B$39,Clientes!$C$4:$C$39),Cadastros!$L$6:$L$12,Cadastros!$M$6:$M$12)," ")</f>
        <v xml:space="preserve"> </v>
      </c>
      <c r="W444" s="28"/>
      <c r="X444" s="28"/>
      <c r="Y444" s="255" t="str">
        <f>IF(W444="","",(_xlfn.XLOOKUP(W444,Cadastros!$D$6:$D$90,Cadastros!$E$6:$E$90))*(1-_xlfn.XLOOKUP(_xlfn.XLOOKUP($F444,Clientes!$B$4:$B$39,Clientes!$C$4:$C$39),Cadastros!$L$6:$L$12,Cadastros!$N$6:$N$12)))</f>
        <v/>
      </c>
      <c r="Z444" s="168" t="str">
        <f t="shared" si="82"/>
        <v/>
      </c>
      <c r="AA444" s="168" t="str">
        <f>IFERROR(Z444/_xlfn.XLOOKUP(_xlfn.XLOOKUP($F444,Clientes!$B$4:$B$39,Clientes!$C$4:$C$39),Cadastros!$L$6:$L$12,Cadastros!$M$6:$M$12)," ")</f>
        <v xml:space="preserve"> </v>
      </c>
      <c r="AB444" s="28"/>
      <c r="AC444" s="28"/>
      <c r="AD444" s="20" t="str">
        <f>IF(AB444="","",IF($F444="Bernardino Furlan",_xlfn.XLOOKUP(AB444,Cadastros!$G$6:$G$90,Cadastros!$H$6:$H$90)*(1-0.18),IF($F444="Mauro José Salanti",_xlfn.XLOOKUP(AB444,Cadastros!$G$6:$G$90,Cadastros!$H$6:$H$90)*(1-0.18),_xlfn.XLOOKUP(AB444,Cadastros!$G$6:$G$90,Cadastros!$H$6:$H$90))))</f>
        <v/>
      </c>
      <c r="AE444" s="168" t="str">
        <f t="shared" si="83"/>
        <v/>
      </c>
      <c r="AF444" s="168" t="str">
        <f t="shared" si="84"/>
        <v/>
      </c>
      <c r="AG444" s="28"/>
      <c r="AH444" s="28"/>
      <c r="AI444" s="20" t="str">
        <f>IF(AG444="","",IF($F444="Bernardino Furlan",_xlfn.XLOOKUP(AG444,Cadastros!$G$6:$G$90,Cadastros!$H$6:$H$90)*(1-0.18),IF($F444="Mauro José Salanti",_xlfn.XLOOKUP(AG444,Cadastros!$G$6:$G$90,Cadastros!$H$6:$H$90)*(1-0.18),_xlfn.XLOOKUP(AG444,Cadastros!$G$6:$G$90,Cadastros!$H$6:$H$90))))</f>
        <v/>
      </c>
      <c r="AJ444" s="168" t="str">
        <f t="shared" si="85"/>
        <v/>
      </c>
      <c r="AK444" s="168" t="str">
        <f t="shared" si="86"/>
        <v/>
      </c>
      <c r="AL444" s="28"/>
      <c r="AM444" s="28"/>
      <c r="AN444" s="20" t="str">
        <f>IF(AL444="","",IF($F444="Bernardino Furlan",_xlfn.XLOOKUP(AL444,Cadastros!$G$6:$G$90,Cadastros!$H$6:$H$90)*(1-0.18),IF($F444="Mauro José Salanti",_xlfn.XLOOKUP(AL444,Cadastros!$G$6:$G$90,Cadastros!$H$6:$H$90)*(1-0.18),_xlfn.XLOOKUP(AL444,Cadastros!$G$6:$G$90,Cadastros!$H$6:$H$90))))</f>
        <v/>
      </c>
      <c r="AO444" s="168" t="str">
        <f t="shared" si="87"/>
        <v/>
      </c>
      <c r="AP444" s="168" t="str">
        <f t="shared" si="88"/>
        <v/>
      </c>
      <c r="AQ444" s="28"/>
      <c r="AR444" s="28"/>
      <c r="AS444" s="20" t="str">
        <f>IF(AQ444="","",IF($F444="Bernardino Furlan",_xlfn.XLOOKUP(AQ444,Cadastros!$G$6:$G$90,Cadastros!$H$6:$H$90)*(1-0.18),IF($F444="Mauro José Salanti",_xlfn.XLOOKUP(AQ444,Cadastros!$G$6:$G$90,Cadastros!$H$6:$H$90)*(1-0.18),_xlfn.XLOOKUP(AQ444,Cadastros!$G$6:$G$90,Cadastros!$H$6:$H$90))))</f>
        <v/>
      </c>
      <c r="AT444" s="168" t="str">
        <f t="shared" si="89"/>
        <v/>
      </c>
      <c r="AU444" s="168" t="str">
        <f t="shared" si="90"/>
        <v/>
      </c>
      <c r="AV444" s="227"/>
      <c r="AW444" s="30"/>
      <c r="AX444" s="267"/>
      <c r="AY444" s="267"/>
      <c r="AZ444" s="29"/>
      <c r="BA444" s="30"/>
      <c r="BB444" s="23" t="str" cm="1">
        <f t="array" ref="BB444">_xlfn.IFS(AW444="SIM",SUM(K444,P444,U444,Z444,AE444,AJ444,AO444,AT444,AX444,AY444),F444&lt;&gt;"",SUM(K444,P444,U444,Z444,AE444,AJ444,,AO444,AT444),F444="","")</f>
        <v/>
      </c>
      <c r="BC444" s="211" t="str" cm="1">
        <f t="array" ref="BC444">_xlfn.IFS(E444="","",G444&lt;=E444,BB444*(1-0.03),G444&lt;(E444+8),BB444,AZ444="Boleto",BB444*(1+0.001)^DATEDIF(E444,G444,"D"),AZ444="Cheque",BB444,AZ444="Dinheiro","Alterar forma pgto")</f>
        <v/>
      </c>
      <c r="BD444" s="276" t="str" cm="1">
        <f t="array" ref="BD444">IF(F444=0," ",IF(BC444&lt;BB444,(_xlfn.IFS(AW444="SIM",SUM(L444,Q444,V444,AA444,AF444,AK444,AP444,AU444)+AX444/_xlfn.XLOOKUP(_xlfn.XLOOKUP($F444,Clientes!$B$4:$B$39,Clientes!$C$4:$C$39),Cadastros!$L$6:$L$12,Cadastros!$M$6:$M$12)+IF($F444="Bernardino Furlan",AY444/2751.92,IF($F444="Mauro José Salanti",AY444/2751.92,AY444/3356)),F444&lt;&gt;0,SUM(L444,Q444,V444,AA444,AF444,AK444,AP444,AU444)))*(1-0.03),_xlfn.IFS(AW444="SIM",SUM(L444,Q444,V444,AA444,AF444,AK444,AP444,AU444)+AX444/_xlfn.XLOOKUP(_xlfn.XLOOKUP($F444,Clientes!$B$4:$B$39,Clientes!$C$4:$C$39),Cadastros!$L$6:$L$12,Cadastros!$M$6:$M$12)+IF($F444="Bernardino Furlan",AY444/2751.92,IF($F444="Mauro José Salanti",AY444/2751.92,AY444/3356)),F444&lt;&gt;0,SUM(L444,Q444,V444,AA444,AF444,AK444,AP444,AU444))))</f>
        <v xml:space="preserve"> </v>
      </c>
      <c r="BE444" s="120"/>
      <c r="BF444" s="120"/>
      <c r="BG444" s="120"/>
    </row>
    <row r="445" spans="1:59" s="3" customFormat="1" x14ac:dyDescent="0.3">
      <c r="A445" s="15" t="str">
        <f t="shared" si="78"/>
        <v/>
      </c>
      <c r="B445" s="25"/>
      <c r="C445" s="26"/>
      <c r="D445" s="279"/>
      <c r="E445" s="27"/>
      <c r="F445" s="28"/>
      <c r="G445" s="27"/>
      <c r="H445" s="28"/>
      <c r="I445" s="28"/>
      <c r="J445" s="255" t="str">
        <f>IF(H445="","",(_xlfn.XLOOKUP(H445,Cadastros!$D$6:$D$90,Cadastros!$E$6:$E$90))*(1-_xlfn.XLOOKUP(_xlfn.XLOOKUP($F445,Clientes!$B$4:$B$39,Clientes!$C$4:$C$39),Cadastros!$L$6:$L$12,Cadastros!$N$6:$N$12)))</f>
        <v/>
      </c>
      <c r="K445" s="168" t="str">
        <f t="shared" si="79"/>
        <v/>
      </c>
      <c r="L445" s="168" t="str">
        <f>IFERROR(K445/_xlfn.XLOOKUP(_xlfn.XLOOKUP($F445,Clientes!$B$4:$B$39,Clientes!$C$4:$C$39),Cadastros!$L$6:$L$12,Cadastros!$M$6:$M$12)," ")</f>
        <v xml:space="preserve"> </v>
      </c>
      <c r="M445" s="28"/>
      <c r="N445" s="28"/>
      <c r="O445" s="255" t="str">
        <f>IF(M445="","",(_xlfn.XLOOKUP(M445,Cadastros!$D$6:$D$90,Cadastros!$E$6:$E$90))*(1-_xlfn.XLOOKUP(_xlfn.XLOOKUP($F445,Clientes!$B$4:$B$39,Clientes!$C$4:$C$39),Cadastros!$L$6:$L$12,Cadastros!$N$6:$N$12)))</f>
        <v/>
      </c>
      <c r="P445" s="168" t="str">
        <f t="shared" si="80"/>
        <v/>
      </c>
      <c r="Q445" s="168" t="str">
        <f>IFERROR(P445/_xlfn.XLOOKUP(_xlfn.XLOOKUP($F445,Clientes!$B$4:$B$39,Clientes!$C$4:$C$39),Cadastros!$L$6:$L$12,Cadastros!$M$6:$M$12)," ")</f>
        <v xml:space="preserve"> </v>
      </c>
      <c r="R445" s="28"/>
      <c r="S445" s="28"/>
      <c r="T445" s="255" t="str">
        <f>IF(R445="","",(_xlfn.XLOOKUP(R445,Cadastros!$D$6:$D$90,Cadastros!$E$6:$E$90))*(1-_xlfn.XLOOKUP(_xlfn.XLOOKUP($F445,Clientes!$B$4:$B$39,Clientes!$C$4:$C$39),Cadastros!$L$6:$L$12,Cadastros!$N$6:$N$12)))</f>
        <v/>
      </c>
      <c r="U445" s="168" t="str">
        <f t="shared" si="81"/>
        <v/>
      </c>
      <c r="V445" s="168" t="str">
        <f>IFERROR(U445/_xlfn.XLOOKUP(_xlfn.XLOOKUP($F445,Clientes!$B$4:$B$39,Clientes!$C$4:$C$39),Cadastros!$L$6:$L$12,Cadastros!$M$6:$M$12)," ")</f>
        <v xml:space="preserve"> </v>
      </c>
      <c r="W445" s="28"/>
      <c r="X445" s="28"/>
      <c r="Y445" s="255" t="str">
        <f>IF(W445="","",(_xlfn.XLOOKUP(W445,Cadastros!$D$6:$D$90,Cadastros!$E$6:$E$90))*(1-_xlfn.XLOOKUP(_xlfn.XLOOKUP($F445,Clientes!$B$4:$B$39,Clientes!$C$4:$C$39),Cadastros!$L$6:$L$12,Cadastros!$N$6:$N$12)))</f>
        <v/>
      </c>
      <c r="Z445" s="168" t="str">
        <f t="shared" si="82"/>
        <v/>
      </c>
      <c r="AA445" s="168" t="str">
        <f>IFERROR(Z445/_xlfn.XLOOKUP(_xlfn.XLOOKUP($F445,Clientes!$B$4:$B$39,Clientes!$C$4:$C$39),Cadastros!$L$6:$L$12,Cadastros!$M$6:$M$12)," ")</f>
        <v xml:space="preserve"> </v>
      </c>
      <c r="AB445" s="28"/>
      <c r="AC445" s="28"/>
      <c r="AD445" s="20" t="str">
        <f>IF(AB445="","",IF($F445="Bernardino Furlan",_xlfn.XLOOKUP(AB445,Cadastros!$G$6:$G$90,Cadastros!$H$6:$H$90)*(1-0.18),IF($F445="Mauro José Salanti",_xlfn.XLOOKUP(AB445,Cadastros!$G$6:$G$90,Cadastros!$H$6:$H$90)*(1-0.18),_xlfn.XLOOKUP(AB445,Cadastros!$G$6:$G$90,Cadastros!$H$6:$H$90))))</f>
        <v/>
      </c>
      <c r="AE445" s="168" t="str">
        <f t="shared" si="83"/>
        <v/>
      </c>
      <c r="AF445" s="168" t="str">
        <f t="shared" si="84"/>
        <v/>
      </c>
      <c r="AG445" s="28"/>
      <c r="AH445" s="28"/>
      <c r="AI445" s="20" t="str">
        <f>IF(AG445="","",IF($F445="Bernardino Furlan",_xlfn.XLOOKUP(AG445,Cadastros!$G$6:$G$90,Cadastros!$H$6:$H$90)*(1-0.18),IF($F445="Mauro José Salanti",_xlfn.XLOOKUP(AG445,Cadastros!$G$6:$G$90,Cadastros!$H$6:$H$90)*(1-0.18),_xlfn.XLOOKUP(AG445,Cadastros!$G$6:$G$90,Cadastros!$H$6:$H$90))))</f>
        <v/>
      </c>
      <c r="AJ445" s="168" t="str">
        <f t="shared" si="85"/>
        <v/>
      </c>
      <c r="AK445" s="168" t="str">
        <f t="shared" si="86"/>
        <v/>
      </c>
      <c r="AL445" s="28"/>
      <c r="AM445" s="28"/>
      <c r="AN445" s="20" t="str">
        <f>IF(AL445="","",IF($F445="Bernardino Furlan",_xlfn.XLOOKUP(AL445,Cadastros!$G$6:$G$90,Cadastros!$H$6:$H$90)*(1-0.18),IF($F445="Mauro José Salanti",_xlfn.XLOOKUP(AL445,Cadastros!$G$6:$G$90,Cadastros!$H$6:$H$90)*(1-0.18),_xlfn.XLOOKUP(AL445,Cadastros!$G$6:$G$90,Cadastros!$H$6:$H$90))))</f>
        <v/>
      </c>
      <c r="AO445" s="168" t="str">
        <f t="shared" si="87"/>
        <v/>
      </c>
      <c r="AP445" s="168" t="str">
        <f t="shared" si="88"/>
        <v/>
      </c>
      <c r="AQ445" s="28"/>
      <c r="AR445" s="28"/>
      <c r="AS445" s="20" t="str">
        <f>IF(AQ445="","",IF($F445="Bernardino Furlan",_xlfn.XLOOKUP(AQ445,Cadastros!$G$6:$G$90,Cadastros!$H$6:$H$90)*(1-0.18),IF($F445="Mauro José Salanti",_xlfn.XLOOKUP(AQ445,Cadastros!$G$6:$G$90,Cadastros!$H$6:$H$90)*(1-0.18),_xlfn.XLOOKUP(AQ445,Cadastros!$G$6:$G$90,Cadastros!$H$6:$H$90))))</f>
        <v/>
      </c>
      <c r="AT445" s="168" t="str">
        <f t="shared" si="89"/>
        <v/>
      </c>
      <c r="AU445" s="168" t="str">
        <f t="shared" si="90"/>
        <v/>
      </c>
      <c r="AV445" s="227"/>
      <c r="AW445" s="30"/>
      <c r="AX445" s="267"/>
      <c r="AY445" s="267"/>
      <c r="AZ445" s="29"/>
      <c r="BA445" s="30"/>
      <c r="BB445" s="23" t="str" cm="1">
        <f t="array" ref="BB445">_xlfn.IFS(AW445="SIM",SUM(K445,P445,U445,Z445,AE445,AJ445,AO445,AT445,AX445,AY445),F445&lt;&gt;"",SUM(K445,P445,U445,Z445,AE445,AJ445,,AO445,AT445),F445="","")</f>
        <v/>
      </c>
      <c r="BC445" s="211" t="str" cm="1">
        <f t="array" ref="BC445">_xlfn.IFS(E445="","",G445&lt;=E445,BB445*(1-0.03),G445&lt;(E445+8),BB445,AZ445="Boleto",BB445*(1+0.001)^DATEDIF(E445,G445,"D"),AZ445="Cheque",BB445,AZ445="Dinheiro","Alterar forma pgto")</f>
        <v/>
      </c>
      <c r="BD445" s="276" t="str" cm="1">
        <f t="array" ref="BD445">IF(F445=0," ",IF(BC445&lt;BB445,(_xlfn.IFS(AW445="SIM",SUM(L445,Q445,V445,AA445,AF445,AK445,AP445,AU445)+AX445/_xlfn.XLOOKUP(_xlfn.XLOOKUP($F445,Clientes!$B$4:$B$39,Clientes!$C$4:$C$39),Cadastros!$L$6:$L$12,Cadastros!$M$6:$M$12)+IF($F445="Bernardino Furlan",AY445/2751.92,IF($F445="Mauro José Salanti",AY445/2751.92,AY445/3356)),F445&lt;&gt;0,SUM(L445,Q445,V445,AA445,AF445,AK445,AP445,AU445)))*(1-0.03),_xlfn.IFS(AW445="SIM",SUM(L445,Q445,V445,AA445,AF445,AK445,AP445,AU445)+AX445/_xlfn.XLOOKUP(_xlfn.XLOOKUP($F445,Clientes!$B$4:$B$39,Clientes!$C$4:$C$39),Cadastros!$L$6:$L$12,Cadastros!$M$6:$M$12)+IF($F445="Bernardino Furlan",AY445/2751.92,IF($F445="Mauro José Salanti",AY445/2751.92,AY445/3356)),F445&lt;&gt;0,SUM(L445,Q445,V445,AA445,AF445,AK445,AP445,AU445))))</f>
        <v xml:space="preserve"> </v>
      </c>
      <c r="BE445" s="120"/>
      <c r="BF445" s="120"/>
      <c r="BG445" s="120"/>
    </row>
    <row r="446" spans="1:59" s="3" customFormat="1" x14ac:dyDescent="0.3">
      <c r="A446" s="15" t="str">
        <f t="shared" si="78"/>
        <v/>
      </c>
      <c r="B446" s="25"/>
      <c r="C446" s="26"/>
      <c r="D446" s="279"/>
      <c r="E446" s="27"/>
      <c r="F446" s="28"/>
      <c r="G446" s="27"/>
      <c r="H446" s="28"/>
      <c r="I446" s="28"/>
      <c r="J446" s="255" t="str">
        <f>IF(H446="","",(_xlfn.XLOOKUP(H446,Cadastros!$D$6:$D$90,Cadastros!$E$6:$E$90))*(1-_xlfn.XLOOKUP(_xlfn.XLOOKUP($F446,Clientes!$B$4:$B$39,Clientes!$C$4:$C$39),Cadastros!$L$6:$L$12,Cadastros!$N$6:$N$12)))</f>
        <v/>
      </c>
      <c r="K446" s="168" t="str">
        <f t="shared" si="79"/>
        <v/>
      </c>
      <c r="L446" s="168" t="str">
        <f>IFERROR(K446/_xlfn.XLOOKUP(_xlfn.XLOOKUP($F446,Clientes!$B$4:$B$39,Clientes!$C$4:$C$39),Cadastros!$L$6:$L$12,Cadastros!$M$6:$M$12)," ")</f>
        <v xml:space="preserve"> </v>
      </c>
      <c r="M446" s="28"/>
      <c r="N446" s="28"/>
      <c r="O446" s="255" t="str">
        <f>IF(M446="","",(_xlfn.XLOOKUP(M446,Cadastros!$D$6:$D$90,Cadastros!$E$6:$E$90))*(1-_xlfn.XLOOKUP(_xlfn.XLOOKUP($F446,Clientes!$B$4:$B$39,Clientes!$C$4:$C$39),Cadastros!$L$6:$L$12,Cadastros!$N$6:$N$12)))</f>
        <v/>
      </c>
      <c r="P446" s="168" t="str">
        <f t="shared" si="80"/>
        <v/>
      </c>
      <c r="Q446" s="168" t="str">
        <f>IFERROR(P446/_xlfn.XLOOKUP(_xlfn.XLOOKUP($F446,Clientes!$B$4:$B$39,Clientes!$C$4:$C$39),Cadastros!$L$6:$L$12,Cadastros!$M$6:$M$12)," ")</f>
        <v xml:space="preserve"> </v>
      </c>
      <c r="R446" s="28"/>
      <c r="S446" s="28"/>
      <c r="T446" s="255" t="str">
        <f>IF(R446="","",(_xlfn.XLOOKUP(R446,Cadastros!$D$6:$D$90,Cadastros!$E$6:$E$90))*(1-_xlfn.XLOOKUP(_xlfn.XLOOKUP($F446,Clientes!$B$4:$B$39,Clientes!$C$4:$C$39),Cadastros!$L$6:$L$12,Cadastros!$N$6:$N$12)))</f>
        <v/>
      </c>
      <c r="U446" s="168" t="str">
        <f t="shared" si="81"/>
        <v/>
      </c>
      <c r="V446" s="168" t="str">
        <f>IFERROR(U446/_xlfn.XLOOKUP(_xlfn.XLOOKUP($F446,Clientes!$B$4:$B$39,Clientes!$C$4:$C$39),Cadastros!$L$6:$L$12,Cadastros!$M$6:$M$12)," ")</f>
        <v xml:space="preserve"> </v>
      </c>
      <c r="W446" s="28"/>
      <c r="X446" s="28"/>
      <c r="Y446" s="255" t="str">
        <f>IF(W446="","",(_xlfn.XLOOKUP(W446,Cadastros!$D$6:$D$90,Cadastros!$E$6:$E$90))*(1-_xlfn.XLOOKUP(_xlfn.XLOOKUP($F446,Clientes!$B$4:$B$39,Clientes!$C$4:$C$39),Cadastros!$L$6:$L$12,Cadastros!$N$6:$N$12)))</f>
        <v/>
      </c>
      <c r="Z446" s="168" t="str">
        <f t="shared" si="82"/>
        <v/>
      </c>
      <c r="AA446" s="168" t="str">
        <f>IFERROR(Z446/_xlfn.XLOOKUP(_xlfn.XLOOKUP($F446,Clientes!$B$4:$B$39,Clientes!$C$4:$C$39),Cadastros!$L$6:$L$12,Cadastros!$M$6:$M$12)," ")</f>
        <v xml:space="preserve"> </v>
      </c>
      <c r="AB446" s="28"/>
      <c r="AC446" s="28"/>
      <c r="AD446" s="20" t="str">
        <f>IF(AB446="","",IF($F446="Bernardino Furlan",_xlfn.XLOOKUP(AB446,Cadastros!$G$6:$G$90,Cadastros!$H$6:$H$90)*(1-0.18),IF($F446="Mauro José Salanti",_xlfn.XLOOKUP(AB446,Cadastros!$G$6:$G$90,Cadastros!$H$6:$H$90)*(1-0.18),_xlfn.XLOOKUP(AB446,Cadastros!$G$6:$G$90,Cadastros!$H$6:$H$90))))</f>
        <v/>
      </c>
      <c r="AE446" s="168" t="str">
        <f t="shared" si="83"/>
        <v/>
      </c>
      <c r="AF446" s="168" t="str">
        <f t="shared" si="84"/>
        <v/>
      </c>
      <c r="AG446" s="28"/>
      <c r="AH446" s="28"/>
      <c r="AI446" s="20" t="str">
        <f>IF(AG446="","",IF($F446="Bernardino Furlan",_xlfn.XLOOKUP(AG446,Cadastros!$G$6:$G$90,Cadastros!$H$6:$H$90)*(1-0.18),IF($F446="Mauro José Salanti",_xlfn.XLOOKUP(AG446,Cadastros!$G$6:$G$90,Cadastros!$H$6:$H$90)*(1-0.18),_xlfn.XLOOKUP(AG446,Cadastros!$G$6:$G$90,Cadastros!$H$6:$H$90))))</f>
        <v/>
      </c>
      <c r="AJ446" s="168" t="str">
        <f t="shared" si="85"/>
        <v/>
      </c>
      <c r="AK446" s="168" t="str">
        <f t="shared" si="86"/>
        <v/>
      </c>
      <c r="AL446" s="28"/>
      <c r="AM446" s="28"/>
      <c r="AN446" s="20" t="str">
        <f>IF(AL446="","",IF($F446="Bernardino Furlan",_xlfn.XLOOKUP(AL446,Cadastros!$G$6:$G$90,Cadastros!$H$6:$H$90)*(1-0.18),IF($F446="Mauro José Salanti",_xlfn.XLOOKUP(AL446,Cadastros!$G$6:$G$90,Cadastros!$H$6:$H$90)*(1-0.18),_xlfn.XLOOKUP(AL446,Cadastros!$G$6:$G$90,Cadastros!$H$6:$H$90))))</f>
        <v/>
      </c>
      <c r="AO446" s="168" t="str">
        <f t="shared" si="87"/>
        <v/>
      </c>
      <c r="AP446" s="168" t="str">
        <f t="shared" si="88"/>
        <v/>
      </c>
      <c r="AQ446" s="28"/>
      <c r="AR446" s="28"/>
      <c r="AS446" s="20" t="str">
        <f>IF(AQ446="","",IF($F446="Bernardino Furlan",_xlfn.XLOOKUP(AQ446,Cadastros!$G$6:$G$90,Cadastros!$H$6:$H$90)*(1-0.18),IF($F446="Mauro José Salanti",_xlfn.XLOOKUP(AQ446,Cadastros!$G$6:$G$90,Cadastros!$H$6:$H$90)*(1-0.18),_xlfn.XLOOKUP(AQ446,Cadastros!$G$6:$G$90,Cadastros!$H$6:$H$90))))</f>
        <v/>
      </c>
      <c r="AT446" s="168" t="str">
        <f t="shared" si="89"/>
        <v/>
      </c>
      <c r="AU446" s="168" t="str">
        <f t="shared" si="90"/>
        <v/>
      </c>
      <c r="AV446" s="227"/>
      <c r="AW446" s="30"/>
      <c r="AX446" s="267"/>
      <c r="AY446" s="267"/>
      <c r="AZ446" s="29"/>
      <c r="BA446" s="30"/>
      <c r="BB446" s="23" t="str" cm="1">
        <f t="array" ref="BB446">_xlfn.IFS(AW446="SIM",SUM(K446,P446,U446,Z446,AE446,AJ446,AO446,AT446,AX446,AY446),F446&lt;&gt;"",SUM(K446,P446,U446,Z446,AE446,AJ446,,AO446,AT446),F446="","")</f>
        <v/>
      </c>
      <c r="BC446" s="211" t="str" cm="1">
        <f t="array" ref="BC446">_xlfn.IFS(E446="","",G446&lt;=E446,BB446*(1-0.03),G446&lt;(E446+8),BB446,AZ446="Boleto",BB446*(1+0.001)^DATEDIF(E446,G446,"D"),AZ446="Cheque",BB446,AZ446="Dinheiro","Alterar forma pgto")</f>
        <v/>
      </c>
      <c r="BD446" s="276" t="str" cm="1">
        <f t="array" ref="BD446">IF(F446=0," ",IF(BC446&lt;BB446,(_xlfn.IFS(AW446="SIM",SUM(L446,Q446,V446,AA446,AF446,AK446,AP446,AU446)+AX446/_xlfn.XLOOKUP(_xlfn.XLOOKUP($F446,Clientes!$B$4:$B$39,Clientes!$C$4:$C$39),Cadastros!$L$6:$L$12,Cadastros!$M$6:$M$12)+IF($F446="Bernardino Furlan",AY446/2751.92,IF($F446="Mauro José Salanti",AY446/2751.92,AY446/3356)),F446&lt;&gt;0,SUM(L446,Q446,V446,AA446,AF446,AK446,AP446,AU446)))*(1-0.03),_xlfn.IFS(AW446="SIM",SUM(L446,Q446,V446,AA446,AF446,AK446,AP446,AU446)+AX446/_xlfn.XLOOKUP(_xlfn.XLOOKUP($F446,Clientes!$B$4:$B$39,Clientes!$C$4:$C$39),Cadastros!$L$6:$L$12,Cadastros!$M$6:$M$12)+IF($F446="Bernardino Furlan",AY446/2751.92,IF($F446="Mauro José Salanti",AY446/2751.92,AY446/3356)),F446&lt;&gt;0,SUM(L446,Q446,V446,AA446,AF446,AK446,AP446,AU446))))</f>
        <v xml:space="preserve"> </v>
      </c>
      <c r="BE446" s="120"/>
      <c r="BF446" s="120"/>
      <c r="BG446" s="120"/>
    </row>
    <row r="447" spans="1:59" s="3" customFormat="1" x14ac:dyDescent="0.3">
      <c r="A447" s="15" t="str">
        <f t="shared" si="78"/>
        <v/>
      </c>
      <c r="B447" s="25"/>
      <c r="C447" s="26"/>
      <c r="D447" s="279"/>
      <c r="E447" s="27"/>
      <c r="F447" s="28"/>
      <c r="G447" s="27"/>
      <c r="H447" s="28"/>
      <c r="I447" s="28"/>
      <c r="J447" s="255" t="str">
        <f>IF(H447="","",(_xlfn.XLOOKUP(H447,Cadastros!$D$6:$D$90,Cadastros!$E$6:$E$90))*(1-_xlfn.XLOOKUP(_xlfn.XLOOKUP($F447,Clientes!$B$4:$B$39,Clientes!$C$4:$C$39),Cadastros!$L$6:$L$12,Cadastros!$N$6:$N$12)))</f>
        <v/>
      </c>
      <c r="K447" s="168" t="str">
        <f t="shared" si="79"/>
        <v/>
      </c>
      <c r="L447" s="168" t="str">
        <f>IFERROR(K447/_xlfn.XLOOKUP(_xlfn.XLOOKUP($F447,Clientes!$B$4:$B$39,Clientes!$C$4:$C$39),Cadastros!$L$6:$L$12,Cadastros!$M$6:$M$12)," ")</f>
        <v xml:space="preserve"> </v>
      </c>
      <c r="M447" s="28"/>
      <c r="N447" s="28"/>
      <c r="O447" s="255" t="str">
        <f>IF(M447="","",(_xlfn.XLOOKUP(M447,Cadastros!$D$6:$D$90,Cadastros!$E$6:$E$90))*(1-_xlfn.XLOOKUP(_xlfn.XLOOKUP($F447,Clientes!$B$4:$B$39,Clientes!$C$4:$C$39),Cadastros!$L$6:$L$12,Cadastros!$N$6:$N$12)))</f>
        <v/>
      </c>
      <c r="P447" s="168" t="str">
        <f t="shared" si="80"/>
        <v/>
      </c>
      <c r="Q447" s="168" t="str">
        <f>IFERROR(P447/_xlfn.XLOOKUP(_xlfn.XLOOKUP($F447,Clientes!$B$4:$B$39,Clientes!$C$4:$C$39),Cadastros!$L$6:$L$12,Cadastros!$M$6:$M$12)," ")</f>
        <v xml:space="preserve"> </v>
      </c>
      <c r="R447" s="28"/>
      <c r="S447" s="28"/>
      <c r="T447" s="255" t="str">
        <f>IF(R447="","",(_xlfn.XLOOKUP(R447,Cadastros!$D$6:$D$90,Cadastros!$E$6:$E$90))*(1-_xlfn.XLOOKUP(_xlfn.XLOOKUP($F447,Clientes!$B$4:$B$39,Clientes!$C$4:$C$39),Cadastros!$L$6:$L$12,Cadastros!$N$6:$N$12)))</f>
        <v/>
      </c>
      <c r="U447" s="168" t="str">
        <f t="shared" si="81"/>
        <v/>
      </c>
      <c r="V447" s="168" t="str">
        <f>IFERROR(U447/_xlfn.XLOOKUP(_xlfn.XLOOKUP($F447,Clientes!$B$4:$B$39,Clientes!$C$4:$C$39),Cadastros!$L$6:$L$12,Cadastros!$M$6:$M$12)," ")</f>
        <v xml:space="preserve"> </v>
      </c>
      <c r="W447" s="28"/>
      <c r="X447" s="28"/>
      <c r="Y447" s="255" t="str">
        <f>IF(W447="","",(_xlfn.XLOOKUP(W447,Cadastros!$D$6:$D$90,Cadastros!$E$6:$E$90))*(1-_xlfn.XLOOKUP(_xlfn.XLOOKUP($F447,Clientes!$B$4:$B$39,Clientes!$C$4:$C$39),Cadastros!$L$6:$L$12,Cadastros!$N$6:$N$12)))</f>
        <v/>
      </c>
      <c r="Z447" s="168" t="str">
        <f t="shared" si="82"/>
        <v/>
      </c>
      <c r="AA447" s="168" t="str">
        <f>IFERROR(Z447/_xlfn.XLOOKUP(_xlfn.XLOOKUP($F447,Clientes!$B$4:$B$39,Clientes!$C$4:$C$39),Cadastros!$L$6:$L$12,Cadastros!$M$6:$M$12)," ")</f>
        <v xml:space="preserve"> </v>
      </c>
      <c r="AB447" s="28"/>
      <c r="AC447" s="28"/>
      <c r="AD447" s="20" t="str">
        <f>IF(AB447="","",IF($F447="Bernardino Furlan",_xlfn.XLOOKUP(AB447,Cadastros!$G$6:$G$90,Cadastros!$H$6:$H$90)*(1-0.18),IF($F447="Mauro José Salanti",_xlfn.XLOOKUP(AB447,Cadastros!$G$6:$G$90,Cadastros!$H$6:$H$90)*(1-0.18),_xlfn.XLOOKUP(AB447,Cadastros!$G$6:$G$90,Cadastros!$H$6:$H$90))))</f>
        <v/>
      </c>
      <c r="AE447" s="168" t="str">
        <f t="shared" si="83"/>
        <v/>
      </c>
      <c r="AF447" s="168" t="str">
        <f t="shared" si="84"/>
        <v/>
      </c>
      <c r="AG447" s="28"/>
      <c r="AH447" s="28"/>
      <c r="AI447" s="20" t="str">
        <f>IF(AG447="","",IF($F447="Bernardino Furlan",_xlfn.XLOOKUP(AG447,Cadastros!$G$6:$G$90,Cadastros!$H$6:$H$90)*(1-0.18),IF($F447="Mauro José Salanti",_xlfn.XLOOKUP(AG447,Cadastros!$G$6:$G$90,Cadastros!$H$6:$H$90)*(1-0.18),_xlfn.XLOOKUP(AG447,Cadastros!$G$6:$G$90,Cadastros!$H$6:$H$90))))</f>
        <v/>
      </c>
      <c r="AJ447" s="168" t="str">
        <f t="shared" si="85"/>
        <v/>
      </c>
      <c r="AK447" s="168" t="str">
        <f t="shared" si="86"/>
        <v/>
      </c>
      <c r="AL447" s="28"/>
      <c r="AM447" s="28"/>
      <c r="AN447" s="20" t="str">
        <f>IF(AL447="","",IF($F447="Bernardino Furlan",_xlfn.XLOOKUP(AL447,Cadastros!$G$6:$G$90,Cadastros!$H$6:$H$90)*(1-0.18),IF($F447="Mauro José Salanti",_xlfn.XLOOKUP(AL447,Cadastros!$G$6:$G$90,Cadastros!$H$6:$H$90)*(1-0.18),_xlfn.XLOOKUP(AL447,Cadastros!$G$6:$G$90,Cadastros!$H$6:$H$90))))</f>
        <v/>
      </c>
      <c r="AO447" s="168" t="str">
        <f t="shared" si="87"/>
        <v/>
      </c>
      <c r="AP447" s="168" t="str">
        <f t="shared" si="88"/>
        <v/>
      </c>
      <c r="AQ447" s="28"/>
      <c r="AR447" s="28"/>
      <c r="AS447" s="20" t="str">
        <f>IF(AQ447="","",IF($F447="Bernardino Furlan",_xlfn.XLOOKUP(AQ447,Cadastros!$G$6:$G$90,Cadastros!$H$6:$H$90)*(1-0.18),IF($F447="Mauro José Salanti",_xlfn.XLOOKUP(AQ447,Cadastros!$G$6:$G$90,Cadastros!$H$6:$H$90)*(1-0.18),_xlfn.XLOOKUP(AQ447,Cadastros!$G$6:$G$90,Cadastros!$H$6:$H$90))))</f>
        <v/>
      </c>
      <c r="AT447" s="168" t="str">
        <f t="shared" si="89"/>
        <v/>
      </c>
      <c r="AU447" s="168" t="str">
        <f t="shared" si="90"/>
        <v/>
      </c>
      <c r="AV447" s="227"/>
      <c r="AW447" s="30"/>
      <c r="AX447" s="267"/>
      <c r="AY447" s="267"/>
      <c r="AZ447" s="29"/>
      <c r="BA447" s="30"/>
      <c r="BB447" s="23" t="str" cm="1">
        <f t="array" ref="BB447">_xlfn.IFS(AW447="SIM",SUM(K447,P447,U447,Z447,AE447,AJ447,AO447,AT447,AX447,AY447),F447&lt;&gt;"",SUM(K447,P447,U447,Z447,AE447,AJ447,,AO447,AT447),F447="","")</f>
        <v/>
      </c>
      <c r="BC447" s="211" t="str" cm="1">
        <f t="array" ref="BC447">_xlfn.IFS(E447="","",G447&lt;=E447,BB447*(1-0.03),G447&lt;(E447+8),BB447,AZ447="Boleto",BB447*(1+0.001)^DATEDIF(E447,G447,"D"),AZ447="Cheque",BB447,AZ447="Dinheiro","Alterar forma pgto")</f>
        <v/>
      </c>
      <c r="BD447" s="276" t="str" cm="1">
        <f t="array" ref="BD447">IF(F447=0," ",IF(BC447&lt;BB447,(_xlfn.IFS(AW447="SIM",SUM(L447,Q447,V447,AA447,AF447,AK447,AP447,AU447)+AX447/_xlfn.XLOOKUP(_xlfn.XLOOKUP($F447,Clientes!$B$4:$B$39,Clientes!$C$4:$C$39),Cadastros!$L$6:$L$12,Cadastros!$M$6:$M$12)+IF($F447="Bernardino Furlan",AY447/2751.92,IF($F447="Mauro José Salanti",AY447/2751.92,AY447/3356)),F447&lt;&gt;0,SUM(L447,Q447,V447,AA447,AF447,AK447,AP447,AU447)))*(1-0.03),_xlfn.IFS(AW447="SIM",SUM(L447,Q447,V447,AA447,AF447,AK447,AP447,AU447)+AX447/_xlfn.XLOOKUP(_xlfn.XLOOKUP($F447,Clientes!$B$4:$B$39,Clientes!$C$4:$C$39),Cadastros!$L$6:$L$12,Cadastros!$M$6:$M$12)+IF($F447="Bernardino Furlan",AY447/2751.92,IF($F447="Mauro José Salanti",AY447/2751.92,AY447/3356)),F447&lt;&gt;0,SUM(L447,Q447,V447,AA447,AF447,AK447,AP447,AU447))))</f>
        <v xml:space="preserve"> </v>
      </c>
      <c r="BE447" s="120"/>
      <c r="BF447" s="120"/>
      <c r="BG447" s="120"/>
    </row>
    <row r="448" spans="1:59" s="3" customFormat="1" x14ac:dyDescent="0.3">
      <c r="A448" s="15" t="str">
        <f t="shared" si="78"/>
        <v/>
      </c>
      <c r="B448" s="25"/>
      <c r="C448" s="26"/>
      <c r="D448" s="279"/>
      <c r="E448" s="27"/>
      <c r="F448" s="28"/>
      <c r="G448" s="27"/>
      <c r="H448" s="28"/>
      <c r="I448" s="28"/>
      <c r="J448" s="255" t="str">
        <f>IF(H448="","",(_xlfn.XLOOKUP(H448,Cadastros!$D$6:$D$90,Cadastros!$E$6:$E$90))*(1-_xlfn.XLOOKUP(_xlfn.XLOOKUP($F448,Clientes!$B$4:$B$39,Clientes!$C$4:$C$39),Cadastros!$L$6:$L$12,Cadastros!$N$6:$N$12)))</f>
        <v/>
      </c>
      <c r="K448" s="168" t="str">
        <f t="shared" si="79"/>
        <v/>
      </c>
      <c r="L448" s="168" t="str">
        <f>IFERROR(K448/_xlfn.XLOOKUP(_xlfn.XLOOKUP($F448,Clientes!$B$4:$B$39,Clientes!$C$4:$C$39),Cadastros!$L$6:$L$12,Cadastros!$M$6:$M$12)," ")</f>
        <v xml:space="preserve"> </v>
      </c>
      <c r="M448" s="28"/>
      <c r="N448" s="28"/>
      <c r="O448" s="255" t="str">
        <f>IF(M448="","",(_xlfn.XLOOKUP(M448,Cadastros!$D$6:$D$90,Cadastros!$E$6:$E$90))*(1-_xlfn.XLOOKUP(_xlfn.XLOOKUP($F448,Clientes!$B$4:$B$39,Clientes!$C$4:$C$39),Cadastros!$L$6:$L$12,Cadastros!$N$6:$N$12)))</f>
        <v/>
      </c>
      <c r="P448" s="168" t="str">
        <f t="shared" si="80"/>
        <v/>
      </c>
      <c r="Q448" s="168" t="str">
        <f>IFERROR(P448/_xlfn.XLOOKUP(_xlfn.XLOOKUP($F448,Clientes!$B$4:$B$39,Clientes!$C$4:$C$39),Cadastros!$L$6:$L$12,Cadastros!$M$6:$M$12)," ")</f>
        <v xml:space="preserve"> </v>
      </c>
      <c r="R448" s="28"/>
      <c r="S448" s="28"/>
      <c r="T448" s="255" t="str">
        <f>IF(R448="","",(_xlfn.XLOOKUP(R448,Cadastros!$D$6:$D$90,Cadastros!$E$6:$E$90))*(1-_xlfn.XLOOKUP(_xlfn.XLOOKUP($F448,Clientes!$B$4:$B$39,Clientes!$C$4:$C$39),Cadastros!$L$6:$L$12,Cadastros!$N$6:$N$12)))</f>
        <v/>
      </c>
      <c r="U448" s="168" t="str">
        <f t="shared" si="81"/>
        <v/>
      </c>
      <c r="V448" s="168" t="str">
        <f>IFERROR(U448/_xlfn.XLOOKUP(_xlfn.XLOOKUP($F448,Clientes!$B$4:$B$39,Clientes!$C$4:$C$39),Cadastros!$L$6:$L$12,Cadastros!$M$6:$M$12)," ")</f>
        <v xml:space="preserve"> </v>
      </c>
      <c r="W448" s="28"/>
      <c r="X448" s="28"/>
      <c r="Y448" s="255" t="str">
        <f>IF(W448="","",(_xlfn.XLOOKUP(W448,Cadastros!$D$6:$D$90,Cadastros!$E$6:$E$90))*(1-_xlfn.XLOOKUP(_xlfn.XLOOKUP($F448,Clientes!$B$4:$B$39,Clientes!$C$4:$C$39),Cadastros!$L$6:$L$12,Cadastros!$N$6:$N$12)))</f>
        <v/>
      </c>
      <c r="Z448" s="168" t="str">
        <f t="shared" si="82"/>
        <v/>
      </c>
      <c r="AA448" s="168" t="str">
        <f>IFERROR(Z448/_xlfn.XLOOKUP(_xlfn.XLOOKUP($F448,Clientes!$B$4:$B$39,Clientes!$C$4:$C$39),Cadastros!$L$6:$L$12,Cadastros!$M$6:$M$12)," ")</f>
        <v xml:space="preserve"> </v>
      </c>
      <c r="AB448" s="28"/>
      <c r="AC448" s="28"/>
      <c r="AD448" s="20" t="str">
        <f>IF(AB448="","",IF($F448="Bernardino Furlan",_xlfn.XLOOKUP(AB448,Cadastros!$G$6:$G$90,Cadastros!$H$6:$H$90)*(1-0.18),IF($F448="Mauro José Salanti",_xlfn.XLOOKUP(AB448,Cadastros!$G$6:$G$90,Cadastros!$H$6:$H$90)*(1-0.18),_xlfn.XLOOKUP(AB448,Cadastros!$G$6:$G$90,Cadastros!$H$6:$H$90))))</f>
        <v/>
      </c>
      <c r="AE448" s="168" t="str">
        <f t="shared" si="83"/>
        <v/>
      </c>
      <c r="AF448" s="168" t="str">
        <f t="shared" si="84"/>
        <v/>
      </c>
      <c r="AG448" s="28"/>
      <c r="AH448" s="28"/>
      <c r="AI448" s="20" t="str">
        <f>IF(AG448="","",IF($F448="Bernardino Furlan",_xlfn.XLOOKUP(AG448,Cadastros!$G$6:$G$90,Cadastros!$H$6:$H$90)*(1-0.18),IF($F448="Mauro José Salanti",_xlfn.XLOOKUP(AG448,Cadastros!$G$6:$G$90,Cadastros!$H$6:$H$90)*(1-0.18),_xlfn.XLOOKUP(AG448,Cadastros!$G$6:$G$90,Cadastros!$H$6:$H$90))))</f>
        <v/>
      </c>
      <c r="AJ448" s="168" t="str">
        <f t="shared" si="85"/>
        <v/>
      </c>
      <c r="AK448" s="168" t="str">
        <f t="shared" si="86"/>
        <v/>
      </c>
      <c r="AL448" s="28"/>
      <c r="AM448" s="28"/>
      <c r="AN448" s="20" t="str">
        <f>IF(AL448="","",IF($F448="Bernardino Furlan",_xlfn.XLOOKUP(AL448,Cadastros!$G$6:$G$90,Cadastros!$H$6:$H$90)*(1-0.18),IF($F448="Mauro José Salanti",_xlfn.XLOOKUP(AL448,Cadastros!$G$6:$G$90,Cadastros!$H$6:$H$90)*(1-0.18),_xlfn.XLOOKUP(AL448,Cadastros!$G$6:$G$90,Cadastros!$H$6:$H$90))))</f>
        <v/>
      </c>
      <c r="AO448" s="168" t="str">
        <f t="shared" si="87"/>
        <v/>
      </c>
      <c r="AP448" s="168" t="str">
        <f t="shared" si="88"/>
        <v/>
      </c>
      <c r="AQ448" s="28"/>
      <c r="AR448" s="28"/>
      <c r="AS448" s="20" t="str">
        <f>IF(AQ448="","",IF($F448="Bernardino Furlan",_xlfn.XLOOKUP(AQ448,Cadastros!$G$6:$G$90,Cadastros!$H$6:$H$90)*(1-0.18),IF($F448="Mauro José Salanti",_xlfn.XLOOKUP(AQ448,Cadastros!$G$6:$G$90,Cadastros!$H$6:$H$90)*(1-0.18),_xlfn.XLOOKUP(AQ448,Cadastros!$G$6:$G$90,Cadastros!$H$6:$H$90))))</f>
        <v/>
      </c>
      <c r="AT448" s="168" t="str">
        <f t="shared" si="89"/>
        <v/>
      </c>
      <c r="AU448" s="168" t="str">
        <f t="shared" si="90"/>
        <v/>
      </c>
      <c r="AV448" s="227"/>
      <c r="AW448" s="30"/>
      <c r="AX448" s="267"/>
      <c r="AY448" s="267"/>
      <c r="AZ448" s="29"/>
      <c r="BA448" s="30"/>
      <c r="BB448" s="23" t="str" cm="1">
        <f t="array" ref="BB448">_xlfn.IFS(AW448="SIM",SUM(K448,P448,U448,Z448,AE448,AJ448,AO448,AT448,AX448,AY448),F448&lt;&gt;"",SUM(K448,P448,U448,Z448,AE448,AJ448,,AO448,AT448),F448="","")</f>
        <v/>
      </c>
      <c r="BC448" s="211" t="str" cm="1">
        <f t="array" ref="BC448">_xlfn.IFS(E448="","",G448&lt;=E448,BB448*(1-0.03),G448&lt;(E448+8),BB448,AZ448="Boleto",BB448*(1+0.001)^DATEDIF(E448,G448,"D"),AZ448="Cheque",BB448,AZ448="Dinheiro","Alterar forma pgto")</f>
        <v/>
      </c>
      <c r="BD448" s="276" t="str" cm="1">
        <f t="array" ref="BD448">IF(F448=0," ",IF(BC448&lt;BB448,(_xlfn.IFS(AW448="SIM",SUM(L448,Q448,V448,AA448,AF448,AK448,AP448,AU448)+AX448/_xlfn.XLOOKUP(_xlfn.XLOOKUP($F448,Clientes!$B$4:$B$39,Clientes!$C$4:$C$39),Cadastros!$L$6:$L$12,Cadastros!$M$6:$M$12)+IF($F448="Bernardino Furlan",AY448/2751.92,IF($F448="Mauro José Salanti",AY448/2751.92,AY448/3356)),F448&lt;&gt;0,SUM(L448,Q448,V448,AA448,AF448,AK448,AP448,AU448)))*(1-0.03),_xlfn.IFS(AW448="SIM",SUM(L448,Q448,V448,AA448,AF448,AK448,AP448,AU448)+AX448/_xlfn.XLOOKUP(_xlfn.XLOOKUP($F448,Clientes!$B$4:$B$39,Clientes!$C$4:$C$39),Cadastros!$L$6:$L$12,Cadastros!$M$6:$M$12)+IF($F448="Bernardino Furlan",AY448/2751.92,IF($F448="Mauro José Salanti",AY448/2751.92,AY448/3356)),F448&lt;&gt;0,SUM(L448,Q448,V448,AA448,AF448,AK448,AP448,AU448))))</f>
        <v xml:space="preserve"> </v>
      </c>
      <c r="BE448" s="120"/>
      <c r="BF448" s="120"/>
      <c r="BG448" s="120"/>
    </row>
    <row r="449" spans="1:59" s="3" customFormat="1" x14ac:dyDescent="0.3">
      <c r="A449" s="15" t="str">
        <f t="shared" si="78"/>
        <v/>
      </c>
      <c r="B449" s="25"/>
      <c r="C449" s="26"/>
      <c r="D449" s="279"/>
      <c r="E449" s="27"/>
      <c r="F449" s="28"/>
      <c r="G449" s="27"/>
      <c r="H449" s="28"/>
      <c r="I449" s="28"/>
      <c r="J449" s="255" t="str">
        <f>IF(H449="","",(_xlfn.XLOOKUP(H449,Cadastros!$D$6:$D$90,Cadastros!$E$6:$E$90))*(1-_xlfn.XLOOKUP(_xlfn.XLOOKUP($F449,Clientes!$B$4:$B$39,Clientes!$C$4:$C$39),Cadastros!$L$6:$L$12,Cadastros!$N$6:$N$12)))</f>
        <v/>
      </c>
      <c r="K449" s="168" t="str">
        <f t="shared" si="79"/>
        <v/>
      </c>
      <c r="L449" s="168" t="str">
        <f>IFERROR(K449/_xlfn.XLOOKUP(_xlfn.XLOOKUP($F449,Clientes!$B$4:$B$39,Clientes!$C$4:$C$39),Cadastros!$L$6:$L$12,Cadastros!$M$6:$M$12)," ")</f>
        <v xml:space="preserve"> </v>
      </c>
      <c r="M449" s="28"/>
      <c r="N449" s="28"/>
      <c r="O449" s="255" t="str">
        <f>IF(M449="","",(_xlfn.XLOOKUP(M449,Cadastros!$D$6:$D$90,Cadastros!$E$6:$E$90))*(1-_xlfn.XLOOKUP(_xlfn.XLOOKUP($F449,Clientes!$B$4:$B$39,Clientes!$C$4:$C$39),Cadastros!$L$6:$L$12,Cadastros!$N$6:$N$12)))</f>
        <v/>
      </c>
      <c r="P449" s="168" t="str">
        <f t="shared" si="80"/>
        <v/>
      </c>
      <c r="Q449" s="168" t="str">
        <f>IFERROR(P449/_xlfn.XLOOKUP(_xlfn.XLOOKUP($F449,Clientes!$B$4:$B$39,Clientes!$C$4:$C$39),Cadastros!$L$6:$L$12,Cadastros!$M$6:$M$12)," ")</f>
        <v xml:space="preserve"> </v>
      </c>
      <c r="R449" s="28"/>
      <c r="S449" s="28"/>
      <c r="T449" s="255" t="str">
        <f>IF(R449="","",(_xlfn.XLOOKUP(R449,Cadastros!$D$6:$D$90,Cadastros!$E$6:$E$90))*(1-_xlfn.XLOOKUP(_xlfn.XLOOKUP($F449,Clientes!$B$4:$B$39,Clientes!$C$4:$C$39),Cadastros!$L$6:$L$12,Cadastros!$N$6:$N$12)))</f>
        <v/>
      </c>
      <c r="U449" s="168" t="str">
        <f t="shared" si="81"/>
        <v/>
      </c>
      <c r="V449" s="168" t="str">
        <f>IFERROR(U449/_xlfn.XLOOKUP(_xlfn.XLOOKUP($F449,Clientes!$B$4:$B$39,Clientes!$C$4:$C$39),Cadastros!$L$6:$L$12,Cadastros!$M$6:$M$12)," ")</f>
        <v xml:space="preserve"> </v>
      </c>
      <c r="W449" s="28"/>
      <c r="X449" s="28"/>
      <c r="Y449" s="255" t="str">
        <f>IF(W449="","",(_xlfn.XLOOKUP(W449,Cadastros!$D$6:$D$90,Cadastros!$E$6:$E$90))*(1-_xlfn.XLOOKUP(_xlfn.XLOOKUP($F449,Clientes!$B$4:$B$39,Clientes!$C$4:$C$39),Cadastros!$L$6:$L$12,Cadastros!$N$6:$N$12)))</f>
        <v/>
      </c>
      <c r="Z449" s="168" t="str">
        <f t="shared" si="82"/>
        <v/>
      </c>
      <c r="AA449" s="168" t="str">
        <f>IFERROR(Z449/_xlfn.XLOOKUP(_xlfn.XLOOKUP($F449,Clientes!$B$4:$B$39,Clientes!$C$4:$C$39),Cadastros!$L$6:$L$12,Cadastros!$M$6:$M$12)," ")</f>
        <v xml:space="preserve"> </v>
      </c>
      <c r="AB449" s="28"/>
      <c r="AC449" s="28"/>
      <c r="AD449" s="20" t="str">
        <f>IF(AB449="","",IF($F449="Bernardino Furlan",_xlfn.XLOOKUP(AB449,Cadastros!$G$6:$G$90,Cadastros!$H$6:$H$90)*(1-0.18),IF($F449="Mauro José Salanti",_xlfn.XLOOKUP(AB449,Cadastros!$G$6:$G$90,Cadastros!$H$6:$H$90)*(1-0.18),_xlfn.XLOOKUP(AB449,Cadastros!$G$6:$G$90,Cadastros!$H$6:$H$90))))</f>
        <v/>
      </c>
      <c r="AE449" s="168" t="str">
        <f t="shared" si="83"/>
        <v/>
      </c>
      <c r="AF449" s="168" t="str">
        <f t="shared" si="84"/>
        <v/>
      </c>
      <c r="AG449" s="28"/>
      <c r="AH449" s="28"/>
      <c r="AI449" s="20" t="str">
        <f>IF(AG449="","",IF($F449="Bernardino Furlan",_xlfn.XLOOKUP(AG449,Cadastros!$G$6:$G$90,Cadastros!$H$6:$H$90)*(1-0.18),IF($F449="Mauro José Salanti",_xlfn.XLOOKUP(AG449,Cadastros!$G$6:$G$90,Cadastros!$H$6:$H$90)*(1-0.18),_xlfn.XLOOKUP(AG449,Cadastros!$G$6:$G$90,Cadastros!$H$6:$H$90))))</f>
        <v/>
      </c>
      <c r="AJ449" s="168" t="str">
        <f t="shared" si="85"/>
        <v/>
      </c>
      <c r="AK449" s="168" t="str">
        <f t="shared" si="86"/>
        <v/>
      </c>
      <c r="AL449" s="28"/>
      <c r="AM449" s="28"/>
      <c r="AN449" s="20" t="str">
        <f>IF(AL449="","",IF($F449="Bernardino Furlan",_xlfn.XLOOKUP(AL449,Cadastros!$G$6:$G$90,Cadastros!$H$6:$H$90)*(1-0.18),IF($F449="Mauro José Salanti",_xlfn.XLOOKUP(AL449,Cadastros!$G$6:$G$90,Cadastros!$H$6:$H$90)*(1-0.18),_xlfn.XLOOKUP(AL449,Cadastros!$G$6:$G$90,Cadastros!$H$6:$H$90))))</f>
        <v/>
      </c>
      <c r="AO449" s="168" t="str">
        <f t="shared" si="87"/>
        <v/>
      </c>
      <c r="AP449" s="168" t="str">
        <f t="shared" si="88"/>
        <v/>
      </c>
      <c r="AQ449" s="28"/>
      <c r="AR449" s="28"/>
      <c r="AS449" s="20" t="str">
        <f>IF(AQ449="","",IF($F449="Bernardino Furlan",_xlfn.XLOOKUP(AQ449,Cadastros!$G$6:$G$90,Cadastros!$H$6:$H$90)*(1-0.18),IF($F449="Mauro José Salanti",_xlfn.XLOOKUP(AQ449,Cadastros!$G$6:$G$90,Cadastros!$H$6:$H$90)*(1-0.18),_xlfn.XLOOKUP(AQ449,Cadastros!$G$6:$G$90,Cadastros!$H$6:$H$90))))</f>
        <v/>
      </c>
      <c r="AT449" s="168" t="str">
        <f t="shared" si="89"/>
        <v/>
      </c>
      <c r="AU449" s="168" t="str">
        <f t="shared" si="90"/>
        <v/>
      </c>
      <c r="AV449" s="227"/>
      <c r="AW449" s="30"/>
      <c r="AX449" s="267"/>
      <c r="AY449" s="267"/>
      <c r="AZ449" s="29"/>
      <c r="BA449" s="30"/>
      <c r="BB449" s="23" t="str" cm="1">
        <f t="array" ref="BB449">_xlfn.IFS(AW449="SIM",SUM(K449,P449,U449,Z449,AE449,AJ449,AO449,AT449,AX449,AY449),F449&lt;&gt;"",SUM(K449,P449,U449,Z449,AE449,AJ449,,AO449,AT449),F449="","")</f>
        <v/>
      </c>
      <c r="BC449" s="211" t="str" cm="1">
        <f t="array" ref="BC449">_xlfn.IFS(E449="","",G449&lt;=E449,BB449*(1-0.03),G449&lt;(E449+8),BB449,AZ449="Boleto",BB449*(1+0.001)^DATEDIF(E449,G449,"D"),AZ449="Cheque",BB449,AZ449="Dinheiro","Alterar forma pgto")</f>
        <v/>
      </c>
      <c r="BD449" s="276" t="str" cm="1">
        <f t="array" ref="BD449">IF(F449=0," ",IF(BC449&lt;BB449,(_xlfn.IFS(AW449="SIM",SUM(L449,Q449,V449,AA449,AF449,AK449,AP449,AU449)+AX449/_xlfn.XLOOKUP(_xlfn.XLOOKUP($F449,Clientes!$B$4:$B$39,Clientes!$C$4:$C$39),Cadastros!$L$6:$L$12,Cadastros!$M$6:$M$12)+IF($F449="Bernardino Furlan",AY449/2751.92,IF($F449="Mauro José Salanti",AY449/2751.92,AY449/3356)),F449&lt;&gt;0,SUM(L449,Q449,V449,AA449,AF449,AK449,AP449,AU449)))*(1-0.03),_xlfn.IFS(AW449="SIM",SUM(L449,Q449,V449,AA449,AF449,AK449,AP449,AU449)+AX449/_xlfn.XLOOKUP(_xlfn.XLOOKUP($F449,Clientes!$B$4:$B$39,Clientes!$C$4:$C$39),Cadastros!$L$6:$L$12,Cadastros!$M$6:$M$12)+IF($F449="Bernardino Furlan",AY449/2751.92,IF($F449="Mauro José Salanti",AY449/2751.92,AY449/3356)),F449&lt;&gt;0,SUM(L449,Q449,V449,AA449,AF449,AK449,AP449,AU449))))</f>
        <v xml:space="preserve"> </v>
      </c>
      <c r="BE449" s="120"/>
      <c r="BF449" s="120"/>
      <c r="BG449" s="120"/>
    </row>
    <row r="450" spans="1:59" s="3" customFormat="1" x14ac:dyDescent="0.3">
      <c r="A450" s="15" t="str">
        <f t="shared" si="78"/>
        <v/>
      </c>
      <c r="B450" s="25"/>
      <c r="C450" s="26"/>
      <c r="D450" s="279"/>
      <c r="E450" s="27"/>
      <c r="F450" s="28"/>
      <c r="G450" s="27"/>
      <c r="H450" s="28"/>
      <c r="I450" s="28"/>
      <c r="J450" s="255" t="str">
        <f>IF(H450="","",(_xlfn.XLOOKUP(H450,Cadastros!$D$6:$D$90,Cadastros!$E$6:$E$90))*(1-_xlfn.XLOOKUP(_xlfn.XLOOKUP($F450,Clientes!$B$4:$B$39,Clientes!$C$4:$C$39),Cadastros!$L$6:$L$12,Cadastros!$N$6:$N$12)))</f>
        <v/>
      </c>
      <c r="K450" s="168" t="str">
        <f t="shared" si="79"/>
        <v/>
      </c>
      <c r="L450" s="168" t="str">
        <f>IFERROR(K450/_xlfn.XLOOKUP(_xlfn.XLOOKUP($F450,Clientes!$B$4:$B$39,Clientes!$C$4:$C$39),Cadastros!$L$6:$L$12,Cadastros!$M$6:$M$12)," ")</f>
        <v xml:space="preserve"> </v>
      </c>
      <c r="M450" s="28"/>
      <c r="N450" s="28"/>
      <c r="O450" s="255" t="str">
        <f>IF(M450="","",(_xlfn.XLOOKUP(M450,Cadastros!$D$6:$D$90,Cadastros!$E$6:$E$90))*(1-_xlfn.XLOOKUP(_xlfn.XLOOKUP($F450,Clientes!$B$4:$B$39,Clientes!$C$4:$C$39),Cadastros!$L$6:$L$12,Cadastros!$N$6:$N$12)))</f>
        <v/>
      </c>
      <c r="P450" s="168" t="str">
        <f t="shared" si="80"/>
        <v/>
      </c>
      <c r="Q450" s="168" t="str">
        <f>IFERROR(P450/_xlfn.XLOOKUP(_xlfn.XLOOKUP($F450,Clientes!$B$4:$B$39,Clientes!$C$4:$C$39),Cadastros!$L$6:$L$12,Cadastros!$M$6:$M$12)," ")</f>
        <v xml:space="preserve"> </v>
      </c>
      <c r="R450" s="28"/>
      <c r="S450" s="28"/>
      <c r="T450" s="255" t="str">
        <f>IF(R450="","",(_xlfn.XLOOKUP(R450,Cadastros!$D$6:$D$90,Cadastros!$E$6:$E$90))*(1-_xlfn.XLOOKUP(_xlfn.XLOOKUP($F450,Clientes!$B$4:$B$39,Clientes!$C$4:$C$39),Cadastros!$L$6:$L$12,Cadastros!$N$6:$N$12)))</f>
        <v/>
      </c>
      <c r="U450" s="168" t="str">
        <f t="shared" si="81"/>
        <v/>
      </c>
      <c r="V450" s="168" t="str">
        <f>IFERROR(U450/_xlfn.XLOOKUP(_xlfn.XLOOKUP($F450,Clientes!$B$4:$B$39,Clientes!$C$4:$C$39),Cadastros!$L$6:$L$12,Cadastros!$M$6:$M$12)," ")</f>
        <v xml:space="preserve"> </v>
      </c>
      <c r="W450" s="28"/>
      <c r="X450" s="28"/>
      <c r="Y450" s="255" t="str">
        <f>IF(W450="","",(_xlfn.XLOOKUP(W450,Cadastros!$D$6:$D$90,Cadastros!$E$6:$E$90))*(1-_xlfn.XLOOKUP(_xlfn.XLOOKUP($F450,Clientes!$B$4:$B$39,Clientes!$C$4:$C$39),Cadastros!$L$6:$L$12,Cadastros!$N$6:$N$12)))</f>
        <v/>
      </c>
      <c r="Z450" s="168" t="str">
        <f t="shared" si="82"/>
        <v/>
      </c>
      <c r="AA450" s="168" t="str">
        <f>IFERROR(Z450/_xlfn.XLOOKUP(_xlfn.XLOOKUP($F450,Clientes!$B$4:$B$39,Clientes!$C$4:$C$39),Cadastros!$L$6:$L$12,Cadastros!$M$6:$M$12)," ")</f>
        <v xml:space="preserve"> </v>
      </c>
      <c r="AB450" s="28"/>
      <c r="AC450" s="28"/>
      <c r="AD450" s="20" t="str">
        <f>IF(AB450="","",IF($F450="Bernardino Furlan",_xlfn.XLOOKUP(AB450,Cadastros!$G$6:$G$90,Cadastros!$H$6:$H$90)*(1-0.18),IF($F450="Mauro José Salanti",_xlfn.XLOOKUP(AB450,Cadastros!$G$6:$G$90,Cadastros!$H$6:$H$90)*(1-0.18),_xlfn.XLOOKUP(AB450,Cadastros!$G$6:$G$90,Cadastros!$H$6:$H$90))))</f>
        <v/>
      </c>
      <c r="AE450" s="168" t="str">
        <f t="shared" si="83"/>
        <v/>
      </c>
      <c r="AF450" s="168" t="str">
        <f t="shared" si="84"/>
        <v/>
      </c>
      <c r="AG450" s="28"/>
      <c r="AH450" s="28"/>
      <c r="AI450" s="20" t="str">
        <f>IF(AG450="","",IF($F450="Bernardino Furlan",_xlfn.XLOOKUP(AG450,Cadastros!$G$6:$G$90,Cadastros!$H$6:$H$90)*(1-0.18),IF($F450="Mauro José Salanti",_xlfn.XLOOKUP(AG450,Cadastros!$G$6:$G$90,Cadastros!$H$6:$H$90)*(1-0.18),_xlfn.XLOOKUP(AG450,Cadastros!$G$6:$G$90,Cadastros!$H$6:$H$90))))</f>
        <v/>
      </c>
      <c r="AJ450" s="168" t="str">
        <f t="shared" si="85"/>
        <v/>
      </c>
      <c r="AK450" s="168" t="str">
        <f t="shared" si="86"/>
        <v/>
      </c>
      <c r="AL450" s="28"/>
      <c r="AM450" s="28"/>
      <c r="AN450" s="20" t="str">
        <f>IF(AL450="","",IF($F450="Bernardino Furlan",_xlfn.XLOOKUP(AL450,Cadastros!$G$6:$G$90,Cadastros!$H$6:$H$90)*(1-0.18),IF($F450="Mauro José Salanti",_xlfn.XLOOKUP(AL450,Cadastros!$G$6:$G$90,Cadastros!$H$6:$H$90)*(1-0.18),_xlfn.XLOOKUP(AL450,Cadastros!$G$6:$G$90,Cadastros!$H$6:$H$90))))</f>
        <v/>
      </c>
      <c r="AO450" s="168" t="str">
        <f t="shared" si="87"/>
        <v/>
      </c>
      <c r="AP450" s="168" t="str">
        <f t="shared" si="88"/>
        <v/>
      </c>
      <c r="AQ450" s="28"/>
      <c r="AR450" s="28"/>
      <c r="AS450" s="20" t="str">
        <f>IF(AQ450="","",IF($F450="Bernardino Furlan",_xlfn.XLOOKUP(AQ450,Cadastros!$G$6:$G$90,Cadastros!$H$6:$H$90)*(1-0.18),IF($F450="Mauro José Salanti",_xlfn.XLOOKUP(AQ450,Cadastros!$G$6:$G$90,Cadastros!$H$6:$H$90)*(1-0.18),_xlfn.XLOOKUP(AQ450,Cadastros!$G$6:$G$90,Cadastros!$H$6:$H$90))))</f>
        <v/>
      </c>
      <c r="AT450" s="168" t="str">
        <f t="shared" si="89"/>
        <v/>
      </c>
      <c r="AU450" s="168" t="str">
        <f t="shared" si="90"/>
        <v/>
      </c>
      <c r="AV450" s="227"/>
      <c r="AW450" s="30"/>
      <c r="AX450" s="267"/>
      <c r="AY450" s="267"/>
      <c r="AZ450" s="29"/>
      <c r="BA450" s="30"/>
      <c r="BB450" s="23" t="str" cm="1">
        <f t="array" ref="BB450">_xlfn.IFS(AW450="SIM",SUM(K450,P450,U450,Z450,AE450,AJ450,AO450,AT450,AX450,AY450),F450&lt;&gt;"",SUM(K450,P450,U450,Z450,AE450,AJ450,,AO450,AT450),F450="","")</f>
        <v/>
      </c>
      <c r="BC450" s="211" t="str" cm="1">
        <f t="array" ref="BC450">_xlfn.IFS(E450="","",G450&lt;=E450,BB450*(1-0.03),G450&lt;(E450+8),BB450,AZ450="Boleto",BB450*(1+0.001)^DATEDIF(E450,G450,"D"),AZ450="Cheque",BB450,AZ450="Dinheiro","Alterar forma pgto")</f>
        <v/>
      </c>
      <c r="BD450" s="276" t="str" cm="1">
        <f t="array" ref="BD450">IF(F450=0," ",IF(BC450&lt;BB450,(_xlfn.IFS(AW450="SIM",SUM(L450,Q450,V450,AA450,AF450,AK450,AP450,AU450)+AX450/_xlfn.XLOOKUP(_xlfn.XLOOKUP($F450,Clientes!$B$4:$B$39,Clientes!$C$4:$C$39),Cadastros!$L$6:$L$12,Cadastros!$M$6:$M$12)+IF($F450="Bernardino Furlan",AY450/2751.92,IF($F450="Mauro José Salanti",AY450/2751.92,AY450/3356)),F450&lt;&gt;0,SUM(L450,Q450,V450,AA450,AF450,AK450,AP450,AU450)))*(1-0.03),_xlfn.IFS(AW450="SIM",SUM(L450,Q450,V450,AA450,AF450,AK450,AP450,AU450)+AX450/_xlfn.XLOOKUP(_xlfn.XLOOKUP($F450,Clientes!$B$4:$B$39,Clientes!$C$4:$C$39),Cadastros!$L$6:$L$12,Cadastros!$M$6:$M$12)+IF($F450="Bernardino Furlan",AY450/2751.92,IF($F450="Mauro José Salanti",AY450/2751.92,AY450/3356)),F450&lt;&gt;0,SUM(L450,Q450,V450,AA450,AF450,AK450,AP450,AU450))))</f>
        <v xml:space="preserve"> </v>
      </c>
      <c r="BE450" s="120"/>
      <c r="BF450" s="120"/>
      <c r="BG450" s="120"/>
    </row>
    <row r="451" spans="1:59" s="3" customFormat="1" x14ac:dyDescent="0.3">
      <c r="A451" s="15" t="str">
        <f t="shared" si="78"/>
        <v/>
      </c>
      <c r="B451" s="25"/>
      <c r="C451" s="26"/>
      <c r="D451" s="279"/>
      <c r="E451" s="27"/>
      <c r="F451" s="28"/>
      <c r="G451" s="27"/>
      <c r="H451" s="28"/>
      <c r="I451" s="28"/>
      <c r="J451" s="255" t="str">
        <f>IF(H451="","",(_xlfn.XLOOKUP(H451,Cadastros!$D$6:$D$90,Cadastros!$E$6:$E$90))*(1-_xlfn.XLOOKUP(_xlfn.XLOOKUP($F451,Clientes!$B$4:$B$39,Clientes!$C$4:$C$39),Cadastros!$L$6:$L$12,Cadastros!$N$6:$N$12)))</f>
        <v/>
      </c>
      <c r="K451" s="168" t="str">
        <f t="shared" si="79"/>
        <v/>
      </c>
      <c r="L451" s="168" t="str">
        <f>IFERROR(K451/_xlfn.XLOOKUP(_xlfn.XLOOKUP($F451,Clientes!$B$4:$B$39,Clientes!$C$4:$C$39),Cadastros!$L$6:$L$12,Cadastros!$M$6:$M$12)," ")</f>
        <v xml:space="preserve"> </v>
      </c>
      <c r="M451" s="28"/>
      <c r="N451" s="28"/>
      <c r="O451" s="255" t="str">
        <f>IF(M451="","",(_xlfn.XLOOKUP(M451,Cadastros!$D$6:$D$90,Cadastros!$E$6:$E$90))*(1-_xlfn.XLOOKUP(_xlfn.XLOOKUP($F451,Clientes!$B$4:$B$39,Clientes!$C$4:$C$39),Cadastros!$L$6:$L$12,Cadastros!$N$6:$N$12)))</f>
        <v/>
      </c>
      <c r="P451" s="168" t="str">
        <f t="shared" si="80"/>
        <v/>
      </c>
      <c r="Q451" s="168" t="str">
        <f>IFERROR(P451/_xlfn.XLOOKUP(_xlfn.XLOOKUP($F451,Clientes!$B$4:$B$39,Clientes!$C$4:$C$39),Cadastros!$L$6:$L$12,Cadastros!$M$6:$M$12)," ")</f>
        <v xml:space="preserve"> </v>
      </c>
      <c r="R451" s="28"/>
      <c r="S451" s="28"/>
      <c r="T451" s="255" t="str">
        <f>IF(R451="","",(_xlfn.XLOOKUP(R451,Cadastros!$D$6:$D$90,Cadastros!$E$6:$E$90))*(1-_xlfn.XLOOKUP(_xlfn.XLOOKUP($F451,Clientes!$B$4:$B$39,Clientes!$C$4:$C$39),Cadastros!$L$6:$L$12,Cadastros!$N$6:$N$12)))</f>
        <v/>
      </c>
      <c r="U451" s="168" t="str">
        <f t="shared" si="81"/>
        <v/>
      </c>
      <c r="V451" s="168" t="str">
        <f>IFERROR(U451/_xlfn.XLOOKUP(_xlfn.XLOOKUP($F451,Clientes!$B$4:$B$39,Clientes!$C$4:$C$39),Cadastros!$L$6:$L$12,Cadastros!$M$6:$M$12)," ")</f>
        <v xml:space="preserve"> </v>
      </c>
      <c r="W451" s="28"/>
      <c r="X451" s="28"/>
      <c r="Y451" s="255" t="str">
        <f>IF(W451="","",(_xlfn.XLOOKUP(W451,Cadastros!$D$6:$D$90,Cadastros!$E$6:$E$90))*(1-_xlfn.XLOOKUP(_xlfn.XLOOKUP($F451,Clientes!$B$4:$B$39,Clientes!$C$4:$C$39),Cadastros!$L$6:$L$12,Cadastros!$N$6:$N$12)))</f>
        <v/>
      </c>
      <c r="Z451" s="168" t="str">
        <f t="shared" si="82"/>
        <v/>
      </c>
      <c r="AA451" s="168" t="str">
        <f>IFERROR(Z451/_xlfn.XLOOKUP(_xlfn.XLOOKUP($F451,Clientes!$B$4:$B$39,Clientes!$C$4:$C$39),Cadastros!$L$6:$L$12,Cadastros!$M$6:$M$12)," ")</f>
        <v xml:space="preserve"> </v>
      </c>
      <c r="AB451" s="28"/>
      <c r="AC451" s="28"/>
      <c r="AD451" s="20" t="str">
        <f>IF(AB451="","",IF($F451="Bernardino Furlan",_xlfn.XLOOKUP(AB451,Cadastros!$G$6:$G$90,Cadastros!$H$6:$H$90)*(1-0.18),IF($F451="Mauro José Salanti",_xlfn.XLOOKUP(AB451,Cadastros!$G$6:$G$90,Cadastros!$H$6:$H$90)*(1-0.18),_xlfn.XLOOKUP(AB451,Cadastros!$G$6:$G$90,Cadastros!$H$6:$H$90))))</f>
        <v/>
      </c>
      <c r="AE451" s="168" t="str">
        <f t="shared" si="83"/>
        <v/>
      </c>
      <c r="AF451" s="168" t="str">
        <f t="shared" si="84"/>
        <v/>
      </c>
      <c r="AG451" s="28"/>
      <c r="AH451" s="28"/>
      <c r="AI451" s="20" t="str">
        <f>IF(AG451="","",IF($F451="Bernardino Furlan",_xlfn.XLOOKUP(AG451,Cadastros!$G$6:$G$90,Cadastros!$H$6:$H$90)*(1-0.18),IF($F451="Mauro José Salanti",_xlfn.XLOOKUP(AG451,Cadastros!$G$6:$G$90,Cadastros!$H$6:$H$90)*(1-0.18),_xlfn.XLOOKUP(AG451,Cadastros!$G$6:$G$90,Cadastros!$H$6:$H$90))))</f>
        <v/>
      </c>
      <c r="AJ451" s="168" t="str">
        <f t="shared" si="85"/>
        <v/>
      </c>
      <c r="AK451" s="168" t="str">
        <f t="shared" si="86"/>
        <v/>
      </c>
      <c r="AL451" s="28"/>
      <c r="AM451" s="28"/>
      <c r="AN451" s="20" t="str">
        <f>IF(AL451="","",IF($F451="Bernardino Furlan",_xlfn.XLOOKUP(AL451,Cadastros!$G$6:$G$90,Cadastros!$H$6:$H$90)*(1-0.18),IF($F451="Mauro José Salanti",_xlfn.XLOOKUP(AL451,Cadastros!$G$6:$G$90,Cadastros!$H$6:$H$90)*(1-0.18),_xlfn.XLOOKUP(AL451,Cadastros!$G$6:$G$90,Cadastros!$H$6:$H$90))))</f>
        <v/>
      </c>
      <c r="AO451" s="168" t="str">
        <f t="shared" si="87"/>
        <v/>
      </c>
      <c r="AP451" s="168" t="str">
        <f t="shared" si="88"/>
        <v/>
      </c>
      <c r="AQ451" s="28"/>
      <c r="AR451" s="28"/>
      <c r="AS451" s="20" t="str">
        <f>IF(AQ451="","",IF($F451="Bernardino Furlan",_xlfn.XLOOKUP(AQ451,Cadastros!$G$6:$G$90,Cadastros!$H$6:$H$90)*(1-0.18),IF($F451="Mauro José Salanti",_xlfn.XLOOKUP(AQ451,Cadastros!$G$6:$G$90,Cadastros!$H$6:$H$90)*(1-0.18),_xlfn.XLOOKUP(AQ451,Cadastros!$G$6:$G$90,Cadastros!$H$6:$H$90))))</f>
        <v/>
      </c>
      <c r="AT451" s="168" t="str">
        <f t="shared" si="89"/>
        <v/>
      </c>
      <c r="AU451" s="168" t="str">
        <f t="shared" si="90"/>
        <v/>
      </c>
      <c r="AV451" s="227"/>
      <c r="AW451" s="30"/>
      <c r="AX451" s="267"/>
      <c r="AY451" s="267"/>
      <c r="AZ451" s="29"/>
      <c r="BA451" s="30"/>
      <c r="BB451" s="23" t="str" cm="1">
        <f t="array" ref="BB451">_xlfn.IFS(AW451="SIM",SUM(K451,P451,U451,Z451,AE451,AJ451,AO451,AT451,AX451,AY451),F451&lt;&gt;"",SUM(K451,P451,U451,Z451,AE451,AJ451,,AO451,AT451),F451="","")</f>
        <v/>
      </c>
      <c r="BC451" s="211" t="str" cm="1">
        <f t="array" ref="BC451">_xlfn.IFS(E451="","",G451&lt;=E451,BB451*(1-0.03),G451&lt;(E451+8),BB451,AZ451="Boleto",BB451*(1+0.001)^DATEDIF(E451,G451,"D"),AZ451="Cheque",BB451,AZ451="Dinheiro","Alterar forma pgto")</f>
        <v/>
      </c>
      <c r="BD451" s="276" t="str" cm="1">
        <f t="array" ref="BD451">IF(F451=0," ",IF(BC451&lt;BB451,(_xlfn.IFS(AW451="SIM",SUM(L451,Q451,V451,AA451,AF451,AK451,AP451,AU451)+AX451/_xlfn.XLOOKUP(_xlfn.XLOOKUP($F451,Clientes!$B$4:$B$39,Clientes!$C$4:$C$39),Cadastros!$L$6:$L$12,Cadastros!$M$6:$M$12)+IF($F451="Bernardino Furlan",AY451/2751.92,IF($F451="Mauro José Salanti",AY451/2751.92,AY451/3356)),F451&lt;&gt;0,SUM(L451,Q451,V451,AA451,AF451,AK451,AP451,AU451)))*(1-0.03),_xlfn.IFS(AW451="SIM",SUM(L451,Q451,V451,AA451,AF451,AK451,AP451,AU451)+AX451/_xlfn.XLOOKUP(_xlfn.XLOOKUP($F451,Clientes!$B$4:$B$39,Clientes!$C$4:$C$39),Cadastros!$L$6:$L$12,Cadastros!$M$6:$M$12)+IF($F451="Bernardino Furlan",AY451/2751.92,IF($F451="Mauro José Salanti",AY451/2751.92,AY451/3356)),F451&lt;&gt;0,SUM(L451,Q451,V451,AA451,AF451,AK451,AP451,AU451))))</f>
        <v xml:space="preserve"> </v>
      </c>
      <c r="BE451" s="120"/>
      <c r="BF451" s="120"/>
      <c r="BG451" s="120"/>
    </row>
    <row r="452" spans="1:59" s="3" customFormat="1" x14ac:dyDescent="0.3">
      <c r="A452" s="15" t="str">
        <f t="shared" si="78"/>
        <v/>
      </c>
      <c r="B452" s="25"/>
      <c r="C452" s="26"/>
      <c r="D452" s="279"/>
      <c r="E452" s="27"/>
      <c r="F452" s="28"/>
      <c r="G452" s="27"/>
      <c r="H452" s="28"/>
      <c r="I452" s="28"/>
      <c r="J452" s="255" t="str">
        <f>IF(H452="","",(_xlfn.XLOOKUP(H452,Cadastros!$D$6:$D$90,Cadastros!$E$6:$E$90))*(1-_xlfn.XLOOKUP(_xlfn.XLOOKUP($F452,Clientes!$B$4:$B$39,Clientes!$C$4:$C$39),Cadastros!$L$6:$L$12,Cadastros!$N$6:$N$12)))</f>
        <v/>
      </c>
      <c r="K452" s="168" t="str">
        <f t="shared" si="79"/>
        <v/>
      </c>
      <c r="L452" s="168" t="str">
        <f>IFERROR(K452/_xlfn.XLOOKUP(_xlfn.XLOOKUP($F452,Clientes!$B$4:$B$39,Clientes!$C$4:$C$39),Cadastros!$L$6:$L$12,Cadastros!$M$6:$M$12)," ")</f>
        <v xml:space="preserve"> </v>
      </c>
      <c r="M452" s="28"/>
      <c r="N452" s="28"/>
      <c r="O452" s="255" t="str">
        <f>IF(M452="","",(_xlfn.XLOOKUP(M452,Cadastros!$D$6:$D$90,Cadastros!$E$6:$E$90))*(1-_xlfn.XLOOKUP(_xlfn.XLOOKUP($F452,Clientes!$B$4:$B$39,Clientes!$C$4:$C$39),Cadastros!$L$6:$L$12,Cadastros!$N$6:$N$12)))</f>
        <v/>
      </c>
      <c r="P452" s="168" t="str">
        <f t="shared" si="80"/>
        <v/>
      </c>
      <c r="Q452" s="168" t="str">
        <f>IFERROR(P452/_xlfn.XLOOKUP(_xlfn.XLOOKUP($F452,Clientes!$B$4:$B$39,Clientes!$C$4:$C$39),Cadastros!$L$6:$L$12,Cadastros!$M$6:$M$12)," ")</f>
        <v xml:space="preserve"> </v>
      </c>
      <c r="R452" s="28"/>
      <c r="S452" s="28"/>
      <c r="T452" s="255" t="str">
        <f>IF(R452="","",(_xlfn.XLOOKUP(R452,Cadastros!$D$6:$D$90,Cadastros!$E$6:$E$90))*(1-_xlfn.XLOOKUP(_xlfn.XLOOKUP($F452,Clientes!$B$4:$B$39,Clientes!$C$4:$C$39),Cadastros!$L$6:$L$12,Cadastros!$N$6:$N$12)))</f>
        <v/>
      </c>
      <c r="U452" s="168" t="str">
        <f t="shared" si="81"/>
        <v/>
      </c>
      <c r="V452" s="168" t="str">
        <f>IFERROR(U452/_xlfn.XLOOKUP(_xlfn.XLOOKUP($F452,Clientes!$B$4:$B$39,Clientes!$C$4:$C$39),Cadastros!$L$6:$L$12,Cadastros!$M$6:$M$12)," ")</f>
        <v xml:space="preserve"> </v>
      </c>
      <c r="W452" s="28"/>
      <c r="X452" s="28"/>
      <c r="Y452" s="255" t="str">
        <f>IF(W452="","",(_xlfn.XLOOKUP(W452,Cadastros!$D$6:$D$90,Cadastros!$E$6:$E$90))*(1-_xlfn.XLOOKUP(_xlfn.XLOOKUP($F452,Clientes!$B$4:$B$39,Clientes!$C$4:$C$39),Cadastros!$L$6:$L$12,Cadastros!$N$6:$N$12)))</f>
        <v/>
      </c>
      <c r="Z452" s="168" t="str">
        <f t="shared" si="82"/>
        <v/>
      </c>
      <c r="AA452" s="168" t="str">
        <f>IFERROR(Z452/_xlfn.XLOOKUP(_xlfn.XLOOKUP($F452,Clientes!$B$4:$B$39,Clientes!$C$4:$C$39),Cadastros!$L$6:$L$12,Cadastros!$M$6:$M$12)," ")</f>
        <v xml:space="preserve"> </v>
      </c>
      <c r="AB452" s="28"/>
      <c r="AC452" s="28"/>
      <c r="AD452" s="20" t="str">
        <f>IF(AB452="","",IF($F452="Bernardino Furlan",_xlfn.XLOOKUP(AB452,Cadastros!$G$6:$G$90,Cadastros!$H$6:$H$90)*(1-0.18),IF($F452="Mauro José Salanti",_xlfn.XLOOKUP(AB452,Cadastros!$G$6:$G$90,Cadastros!$H$6:$H$90)*(1-0.18),_xlfn.XLOOKUP(AB452,Cadastros!$G$6:$G$90,Cadastros!$H$6:$H$90))))</f>
        <v/>
      </c>
      <c r="AE452" s="168" t="str">
        <f t="shared" si="83"/>
        <v/>
      </c>
      <c r="AF452" s="168" t="str">
        <f t="shared" si="84"/>
        <v/>
      </c>
      <c r="AG452" s="28"/>
      <c r="AH452" s="28"/>
      <c r="AI452" s="20" t="str">
        <f>IF(AG452="","",IF($F452="Bernardino Furlan",_xlfn.XLOOKUP(AG452,Cadastros!$G$6:$G$90,Cadastros!$H$6:$H$90)*(1-0.18),IF($F452="Mauro José Salanti",_xlfn.XLOOKUP(AG452,Cadastros!$G$6:$G$90,Cadastros!$H$6:$H$90)*(1-0.18),_xlfn.XLOOKUP(AG452,Cadastros!$G$6:$G$90,Cadastros!$H$6:$H$90))))</f>
        <v/>
      </c>
      <c r="AJ452" s="168" t="str">
        <f t="shared" si="85"/>
        <v/>
      </c>
      <c r="AK452" s="168" t="str">
        <f t="shared" si="86"/>
        <v/>
      </c>
      <c r="AL452" s="28"/>
      <c r="AM452" s="28"/>
      <c r="AN452" s="20" t="str">
        <f>IF(AL452="","",IF($F452="Bernardino Furlan",_xlfn.XLOOKUP(AL452,Cadastros!$G$6:$G$90,Cadastros!$H$6:$H$90)*(1-0.18),IF($F452="Mauro José Salanti",_xlfn.XLOOKUP(AL452,Cadastros!$G$6:$G$90,Cadastros!$H$6:$H$90)*(1-0.18),_xlfn.XLOOKUP(AL452,Cadastros!$G$6:$G$90,Cadastros!$H$6:$H$90))))</f>
        <v/>
      </c>
      <c r="AO452" s="168" t="str">
        <f t="shared" si="87"/>
        <v/>
      </c>
      <c r="AP452" s="168" t="str">
        <f t="shared" si="88"/>
        <v/>
      </c>
      <c r="AQ452" s="28"/>
      <c r="AR452" s="28"/>
      <c r="AS452" s="20" t="str">
        <f>IF(AQ452="","",IF($F452="Bernardino Furlan",_xlfn.XLOOKUP(AQ452,Cadastros!$G$6:$G$90,Cadastros!$H$6:$H$90)*(1-0.18),IF($F452="Mauro José Salanti",_xlfn.XLOOKUP(AQ452,Cadastros!$G$6:$G$90,Cadastros!$H$6:$H$90)*(1-0.18),_xlfn.XLOOKUP(AQ452,Cadastros!$G$6:$G$90,Cadastros!$H$6:$H$90))))</f>
        <v/>
      </c>
      <c r="AT452" s="168" t="str">
        <f t="shared" si="89"/>
        <v/>
      </c>
      <c r="AU452" s="168" t="str">
        <f t="shared" si="90"/>
        <v/>
      </c>
      <c r="AV452" s="227"/>
      <c r="AW452" s="30"/>
      <c r="AX452" s="267"/>
      <c r="AY452" s="267"/>
      <c r="AZ452" s="29"/>
      <c r="BA452" s="30"/>
      <c r="BB452" s="23" t="str" cm="1">
        <f t="array" ref="BB452">_xlfn.IFS(AW452="SIM",SUM(K452,P452,U452,Z452,AE452,AJ452,AO452,AT452,AX452,AY452),F452&lt;&gt;"",SUM(K452,P452,U452,Z452,AE452,AJ452,,AO452,AT452),F452="","")</f>
        <v/>
      </c>
      <c r="BC452" s="211" t="str" cm="1">
        <f t="array" ref="BC452">_xlfn.IFS(E452="","",G452&lt;=E452,BB452*(1-0.03),G452&lt;(E452+8),BB452,AZ452="Boleto",BB452*(1+0.001)^DATEDIF(E452,G452,"D"),AZ452="Cheque",BB452,AZ452="Dinheiro","Alterar forma pgto")</f>
        <v/>
      </c>
      <c r="BD452" s="276" t="str" cm="1">
        <f t="array" ref="BD452">IF(F452=0," ",IF(BC452&lt;BB452,(_xlfn.IFS(AW452="SIM",SUM(L452,Q452,V452,AA452,AF452,AK452,AP452,AU452)+AX452/_xlfn.XLOOKUP(_xlfn.XLOOKUP($F452,Clientes!$B$4:$B$39,Clientes!$C$4:$C$39),Cadastros!$L$6:$L$12,Cadastros!$M$6:$M$12)+IF($F452="Bernardino Furlan",AY452/2751.92,IF($F452="Mauro José Salanti",AY452/2751.92,AY452/3356)),F452&lt;&gt;0,SUM(L452,Q452,V452,AA452,AF452,AK452,AP452,AU452)))*(1-0.03),_xlfn.IFS(AW452="SIM",SUM(L452,Q452,V452,AA452,AF452,AK452,AP452,AU452)+AX452/_xlfn.XLOOKUP(_xlfn.XLOOKUP($F452,Clientes!$B$4:$B$39,Clientes!$C$4:$C$39),Cadastros!$L$6:$L$12,Cadastros!$M$6:$M$12)+IF($F452="Bernardino Furlan",AY452/2751.92,IF($F452="Mauro José Salanti",AY452/2751.92,AY452/3356)),F452&lt;&gt;0,SUM(L452,Q452,V452,AA452,AF452,AK452,AP452,AU452))))</f>
        <v xml:space="preserve"> </v>
      </c>
      <c r="BE452" s="120"/>
      <c r="BF452" s="120"/>
      <c r="BG452" s="120"/>
    </row>
    <row r="453" spans="1:59" s="3" customFormat="1" x14ac:dyDescent="0.3">
      <c r="A453" s="15" t="str">
        <f t="shared" si="78"/>
        <v/>
      </c>
      <c r="B453" s="25"/>
      <c r="C453" s="26"/>
      <c r="D453" s="279"/>
      <c r="E453" s="27"/>
      <c r="F453" s="28"/>
      <c r="G453" s="27"/>
      <c r="H453" s="28"/>
      <c r="I453" s="28"/>
      <c r="J453" s="255" t="str">
        <f>IF(H453="","",(_xlfn.XLOOKUP(H453,Cadastros!$D$6:$D$90,Cadastros!$E$6:$E$90))*(1-_xlfn.XLOOKUP(_xlfn.XLOOKUP($F453,Clientes!$B$4:$B$39,Clientes!$C$4:$C$39),Cadastros!$L$6:$L$12,Cadastros!$N$6:$N$12)))</f>
        <v/>
      </c>
      <c r="K453" s="168" t="str">
        <f t="shared" si="79"/>
        <v/>
      </c>
      <c r="L453" s="168" t="str">
        <f>IFERROR(K453/_xlfn.XLOOKUP(_xlfn.XLOOKUP($F453,Clientes!$B$4:$B$39,Clientes!$C$4:$C$39),Cadastros!$L$6:$L$12,Cadastros!$M$6:$M$12)," ")</f>
        <v xml:space="preserve"> </v>
      </c>
      <c r="M453" s="28"/>
      <c r="N453" s="28"/>
      <c r="O453" s="255" t="str">
        <f>IF(M453="","",(_xlfn.XLOOKUP(M453,Cadastros!$D$6:$D$90,Cadastros!$E$6:$E$90))*(1-_xlfn.XLOOKUP(_xlfn.XLOOKUP($F453,Clientes!$B$4:$B$39,Clientes!$C$4:$C$39),Cadastros!$L$6:$L$12,Cadastros!$N$6:$N$12)))</f>
        <v/>
      </c>
      <c r="P453" s="168" t="str">
        <f t="shared" si="80"/>
        <v/>
      </c>
      <c r="Q453" s="168" t="str">
        <f>IFERROR(P453/_xlfn.XLOOKUP(_xlfn.XLOOKUP($F453,Clientes!$B$4:$B$39,Clientes!$C$4:$C$39),Cadastros!$L$6:$L$12,Cadastros!$M$6:$M$12)," ")</f>
        <v xml:space="preserve"> </v>
      </c>
      <c r="R453" s="28"/>
      <c r="S453" s="28"/>
      <c r="T453" s="255" t="str">
        <f>IF(R453="","",(_xlfn.XLOOKUP(R453,Cadastros!$D$6:$D$90,Cadastros!$E$6:$E$90))*(1-_xlfn.XLOOKUP(_xlfn.XLOOKUP($F453,Clientes!$B$4:$B$39,Clientes!$C$4:$C$39),Cadastros!$L$6:$L$12,Cadastros!$N$6:$N$12)))</f>
        <v/>
      </c>
      <c r="U453" s="168" t="str">
        <f t="shared" si="81"/>
        <v/>
      </c>
      <c r="V453" s="168" t="str">
        <f>IFERROR(U453/_xlfn.XLOOKUP(_xlfn.XLOOKUP($F453,Clientes!$B$4:$B$39,Clientes!$C$4:$C$39),Cadastros!$L$6:$L$12,Cadastros!$M$6:$M$12)," ")</f>
        <v xml:space="preserve"> </v>
      </c>
      <c r="W453" s="28"/>
      <c r="X453" s="28"/>
      <c r="Y453" s="255" t="str">
        <f>IF(W453="","",(_xlfn.XLOOKUP(W453,Cadastros!$D$6:$D$90,Cadastros!$E$6:$E$90))*(1-_xlfn.XLOOKUP(_xlfn.XLOOKUP($F453,Clientes!$B$4:$B$39,Clientes!$C$4:$C$39),Cadastros!$L$6:$L$12,Cadastros!$N$6:$N$12)))</f>
        <v/>
      </c>
      <c r="Z453" s="168" t="str">
        <f t="shared" si="82"/>
        <v/>
      </c>
      <c r="AA453" s="168" t="str">
        <f>IFERROR(Z453/_xlfn.XLOOKUP(_xlfn.XLOOKUP($F453,Clientes!$B$4:$B$39,Clientes!$C$4:$C$39),Cadastros!$L$6:$L$12,Cadastros!$M$6:$M$12)," ")</f>
        <v xml:space="preserve"> </v>
      </c>
      <c r="AB453" s="28"/>
      <c r="AC453" s="28"/>
      <c r="AD453" s="20" t="str">
        <f>IF(AB453="","",IF($F453="Bernardino Furlan",_xlfn.XLOOKUP(AB453,Cadastros!$G$6:$G$90,Cadastros!$H$6:$H$90)*(1-0.18),IF($F453="Mauro José Salanti",_xlfn.XLOOKUP(AB453,Cadastros!$G$6:$G$90,Cadastros!$H$6:$H$90)*(1-0.18),_xlfn.XLOOKUP(AB453,Cadastros!$G$6:$G$90,Cadastros!$H$6:$H$90))))</f>
        <v/>
      </c>
      <c r="AE453" s="168" t="str">
        <f t="shared" si="83"/>
        <v/>
      </c>
      <c r="AF453" s="168" t="str">
        <f t="shared" si="84"/>
        <v/>
      </c>
      <c r="AG453" s="28"/>
      <c r="AH453" s="28"/>
      <c r="AI453" s="20" t="str">
        <f>IF(AG453="","",IF($F453="Bernardino Furlan",_xlfn.XLOOKUP(AG453,Cadastros!$G$6:$G$90,Cadastros!$H$6:$H$90)*(1-0.18),IF($F453="Mauro José Salanti",_xlfn.XLOOKUP(AG453,Cadastros!$G$6:$G$90,Cadastros!$H$6:$H$90)*(1-0.18),_xlfn.XLOOKUP(AG453,Cadastros!$G$6:$G$90,Cadastros!$H$6:$H$90))))</f>
        <v/>
      </c>
      <c r="AJ453" s="168" t="str">
        <f t="shared" si="85"/>
        <v/>
      </c>
      <c r="AK453" s="168" t="str">
        <f t="shared" si="86"/>
        <v/>
      </c>
      <c r="AL453" s="28"/>
      <c r="AM453" s="28"/>
      <c r="AN453" s="20" t="str">
        <f>IF(AL453="","",IF($F453="Bernardino Furlan",_xlfn.XLOOKUP(AL453,Cadastros!$G$6:$G$90,Cadastros!$H$6:$H$90)*(1-0.18),IF($F453="Mauro José Salanti",_xlfn.XLOOKUP(AL453,Cadastros!$G$6:$G$90,Cadastros!$H$6:$H$90)*(1-0.18),_xlfn.XLOOKUP(AL453,Cadastros!$G$6:$G$90,Cadastros!$H$6:$H$90))))</f>
        <v/>
      </c>
      <c r="AO453" s="168" t="str">
        <f t="shared" si="87"/>
        <v/>
      </c>
      <c r="AP453" s="168" t="str">
        <f t="shared" si="88"/>
        <v/>
      </c>
      <c r="AQ453" s="28"/>
      <c r="AR453" s="28"/>
      <c r="AS453" s="20" t="str">
        <f>IF(AQ453="","",IF($F453="Bernardino Furlan",_xlfn.XLOOKUP(AQ453,Cadastros!$G$6:$G$90,Cadastros!$H$6:$H$90)*(1-0.18),IF($F453="Mauro José Salanti",_xlfn.XLOOKUP(AQ453,Cadastros!$G$6:$G$90,Cadastros!$H$6:$H$90)*(1-0.18),_xlfn.XLOOKUP(AQ453,Cadastros!$G$6:$G$90,Cadastros!$H$6:$H$90))))</f>
        <v/>
      </c>
      <c r="AT453" s="168" t="str">
        <f t="shared" si="89"/>
        <v/>
      </c>
      <c r="AU453" s="168" t="str">
        <f t="shared" si="90"/>
        <v/>
      </c>
      <c r="AV453" s="227"/>
      <c r="AW453" s="30"/>
      <c r="AX453" s="267"/>
      <c r="AY453" s="267"/>
      <c r="AZ453" s="29"/>
      <c r="BA453" s="30"/>
      <c r="BB453" s="23" t="str" cm="1">
        <f t="array" ref="BB453">_xlfn.IFS(AW453="SIM",SUM(K453,P453,U453,Z453,AE453,AJ453,AO453,AT453,AX453,AY453),F453&lt;&gt;"",SUM(K453,P453,U453,Z453,AE453,AJ453,,AO453,AT453),F453="","")</f>
        <v/>
      </c>
      <c r="BC453" s="211" t="str" cm="1">
        <f t="array" ref="BC453">_xlfn.IFS(E453="","",G453&lt;=E453,BB453*(1-0.03),G453&lt;(E453+8),BB453,AZ453="Boleto",BB453*(1+0.001)^DATEDIF(E453,G453,"D"),AZ453="Cheque",BB453,AZ453="Dinheiro","Alterar forma pgto")</f>
        <v/>
      </c>
      <c r="BD453" s="276" t="str" cm="1">
        <f t="array" ref="BD453">IF(F453=0," ",IF(BC453&lt;BB453,(_xlfn.IFS(AW453="SIM",SUM(L453,Q453,V453,AA453,AF453,AK453,AP453,AU453)+AX453/_xlfn.XLOOKUP(_xlfn.XLOOKUP($F453,Clientes!$B$4:$B$39,Clientes!$C$4:$C$39),Cadastros!$L$6:$L$12,Cadastros!$M$6:$M$12)+IF($F453="Bernardino Furlan",AY453/2751.92,IF($F453="Mauro José Salanti",AY453/2751.92,AY453/3356)),F453&lt;&gt;0,SUM(L453,Q453,V453,AA453,AF453,AK453,AP453,AU453)))*(1-0.03),_xlfn.IFS(AW453="SIM",SUM(L453,Q453,V453,AA453,AF453,AK453,AP453,AU453)+AX453/_xlfn.XLOOKUP(_xlfn.XLOOKUP($F453,Clientes!$B$4:$B$39,Clientes!$C$4:$C$39),Cadastros!$L$6:$L$12,Cadastros!$M$6:$M$12)+IF($F453="Bernardino Furlan",AY453/2751.92,IF($F453="Mauro José Salanti",AY453/2751.92,AY453/3356)),F453&lt;&gt;0,SUM(L453,Q453,V453,AA453,AF453,AK453,AP453,AU453))))</f>
        <v xml:space="preserve"> </v>
      </c>
      <c r="BE453" s="120"/>
      <c r="BF453" s="120"/>
      <c r="BG453" s="120"/>
    </row>
    <row r="454" spans="1:59" s="3" customFormat="1" x14ac:dyDescent="0.3">
      <c r="A454" s="15" t="str">
        <f t="shared" si="78"/>
        <v/>
      </c>
      <c r="B454" s="25"/>
      <c r="C454" s="26"/>
      <c r="D454" s="279"/>
      <c r="E454" s="27"/>
      <c r="F454" s="28"/>
      <c r="G454" s="27"/>
      <c r="H454" s="28"/>
      <c r="I454" s="28"/>
      <c r="J454" s="255" t="str">
        <f>IF(H454="","",(_xlfn.XLOOKUP(H454,Cadastros!$D$6:$D$90,Cadastros!$E$6:$E$90))*(1-_xlfn.XLOOKUP(_xlfn.XLOOKUP($F454,Clientes!$B$4:$B$39,Clientes!$C$4:$C$39),Cadastros!$L$6:$L$12,Cadastros!$N$6:$N$12)))</f>
        <v/>
      </c>
      <c r="K454" s="168" t="str">
        <f t="shared" si="79"/>
        <v/>
      </c>
      <c r="L454" s="168" t="str">
        <f>IFERROR(K454/_xlfn.XLOOKUP(_xlfn.XLOOKUP($F454,Clientes!$B$4:$B$39,Clientes!$C$4:$C$39),Cadastros!$L$6:$L$12,Cadastros!$M$6:$M$12)," ")</f>
        <v xml:space="preserve"> </v>
      </c>
      <c r="M454" s="28"/>
      <c r="N454" s="28"/>
      <c r="O454" s="255" t="str">
        <f>IF(M454="","",(_xlfn.XLOOKUP(M454,Cadastros!$D$6:$D$90,Cadastros!$E$6:$E$90))*(1-_xlfn.XLOOKUP(_xlfn.XLOOKUP($F454,Clientes!$B$4:$B$39,Clientes!$C$4:$C$39),Cadastros!$L$6:$L$12,Cadastros!$N$6:$N$12)))</f>
        <v/>
      </c>
      <c r="P454" s="168" t="str">
        <f t="shared" si="80"/>
        <v/>
      </c>
      <c r="Q454" s="168" t="str">
        <f>IFERROR(P454/_xlfn.XLOOKUP(_xlfn.XLOOKUP($F454,Clientes!$B$4:$B$39,Clientes!$C$4:$C$39),Cadastros!$L$6:$L$12,Cadastros!$M$6:$M$12)," ")</f>
        <v xml:space="preserve"> </v>
      </c>
      <c r="R454" s="28"/>
      <c r="S454" s="28"/>
      <c r="T454" s="255" t="str">
        <f>IF(R454="","",(_xlfn.XLOOKUP(R454,Cadastros!$D$6:$D$90,Cadastros!$E$6:$E$90))*(1-_xlfn.XLOOKUP(_xlfn.XLOOKUP($F454,Clientes!$B$4:$B$39,Clientes!$C$4:$C$39),Cadastros!$L$6:$L$12,Cadastros!$N$6:$N$12)))</f>
        <v/>
      </c>
      <c r="U454" s="168" t="str">
        <f t="shared" si="81"/>
        <v/>
      </c>
      <c r="V454" s="168" t="str">
        <f>IFERROR(U454/_xlfn.XLOOKUP(_xlfn.XLOOKUP($F454,Clientes!$B$4:$B$39,Clientes!$C$4:$C$39),Cadastros!$L$6:$L$12,Cadastros!$M$6:$M$12)," ")</f>
        <v xml:space="preserve"> </v>
      </c>
      <c r="W454" s="28"/>
      <c r="X454" s="28"/>
      <c r="Y454" s="255" t="str">
        <f>IF(W454="","",(_xlfn.XLOOKUP(W454,Cadastros!$D$6:$D$90,Cadastros!$E$6:$E$90))*(1-_xlfn.XLOOKUP(_xlfn.XLOOKUP($F454,Clientes!$B$4:$B$39,Clientes!$C$4:$C$39),Cadastros!$L$6:$L$12,Cadastros!$N$6:$N$12)))</f>
        <v/>
      </c>
      <c r="Z454" s="168" t="str">
        <f t="shared" si="82"/>
        <v/>
      </c>
      <c r="AA454" s="168" t="str">
        <f>IFERROR(Z454/_xlfn.XLOOKUP(_xlfn.XLOOKUP($F454,Clientes!$B$4:$B$39,Clientes!$C$4:$C$39),Cadastros!$L$6:$L$12,Cadastros!$M$6:$M$12)," ")</f>
        <v xml:space="preserve"> </v>
      </c>
      <c r="AB454" s="28"/>
      <c r="AC454" s="28"/>
      <c r="AD454" s="20" t="str">
        <f>IF(AB454="","",IF($F454="Bernardino Furlan",_xlfn.XLOOKUP(AB454,Cadastros!$G$6:$G$90,Cadastros!$H$6:$H$90)*(1-0.18),IF($F454="Mauro José Salanti",_xlfn.XLOOKUP(AB454,Cadastros!$G$6:$G$90,Cadastros!$H$6:$H$90)*(1-0.18),_xlfn.XLOOKUP(AB454,Cadastros!$G$6:$G$90,Cadastros!$H$6:$H$90))))</f>
        <v/>
      </c>
      <c r="AE454" s="168" t="str">
        <f t="shared" si="83"/>
        <v/>
      </c>
      <c r="AF454" s="168" t="str">
        <f t="shared" si="84"/>
        <v/>
      </c>
      <c r="AG454" s="28"/>
      <c r="AH454" s="28"/>
      <c r="AI454" s="20" t="str">
        <f>IF(AG454="","",IF($F454="Bernardino Furlan",_xlfn.XLOOKUP(AG454,Cadastros!$G$6:$G$90,Cadastros!$H$6:$H$90)*(1-0.18),IF($F454="Mauro José Salanti",_xlfn.XLOOKUP(AG454,Cadastros!$G$6:$G$90,Cadastros!$H$6:$H$90)*(1-0.18),_xlfn.XLOOKUP(AG454,Cadastros!$G$6:$G$90,Cadastros!$H$6:$H$90))))</f>
        <v/>
      </c>
      <c r="AJ454" s="168" t="str">
        <f t="shared" si="85"/>
        <v/>
      </c>
      <c r="AK454" s="168" t="str">
        <f t="shared" si="86"/>
        <v/>
      </c>
      <c r="AL454" s="28"/>
      <c r="AM454" s="28"/>
      <c r="AN454" s="20" t="str">
        <f>IF(AL454="","",IF($F454="Bernardino Furlan",_xlfn.XLOOKUP(AL454,Cadastros!$G$6:$G$90,Cadastros!$H$6:$H$90)*(1-0.18),IF($F454="Mauro José Salanti",_xlfn.XLOOKUP(AL454,Cadastros!$G$6:$G$90,Cadastros!$H$6:$H$90)*(1-0.18),_xlfn.XLOOKUP(AL454,Cadastros!$G$6:$G$90,Cadastros!$H$6:$H$90))))</f>
        <v/>
      </c>
      <c r="AO454" s="168" t="str">
        <f t="shared" si="87"/>
        <v/>
      </c>
      <c r="AP454" s="168" t="str">
        <f t="shared" si="88"/>
        <v/>
      </c>
      <c r="AQ454" s="28"/>
      <c r="AR454" s="28"/>
      <c r="AS454" s="20" t="str">
        <f>IF(AQ454="","",IF($F454="Bernardino Furlan",_xlfn.XLOOKUP(AQ454,Cadastros!$G$6:$G$90,Cadastros!$H$6:$H$90)*(1-0.18),IF($F454="Mauro José Salanti",_xlfn.XLOOKUP(AQ454,Cadastros!$G$6:$G$90,Cadastros!$H$6:$H$90)*(1-0.18),_xlfn.XLOOKUP(AQ454,Cadastros!$G$6:$G$90,Cadastros!$H$6:$H$90))))</f>
        <v/>
      </c>
      <c r="AT454" s="168" t="str">
        <f t="shared" si="89"/>
        <v/>
      </c>
      <c r="AU454" s="168" t="str">
        <f t="shared" si="90"/>
        <v/>
      </c>
      <c r="AV454" s="227"/>
      <c r="AW454" s="30"/>
      <c r="AX454" s="267"/>
      <c r="AY454" s="267"/>
      <c r="AZ454" s="29"/>
      <c r="BA454" s="30"/>
      <c r="BB454" s="23" t="str" cm="1">
        <f t="array" ref="BB454">_xlfn.IFS(AW454="SIM",SUM(K454,P454,U454,Z454,AE454,AJ454,AO454,AT454,AX454,AY454),F454&lt;&gt;"",SUM(K454,P454,U454,Z454,AE454,AJ454,,AO454,AT454),F454="","")</f>
        <v/>
      </c>
      <c r="BC454" s="211" t="str" cm="1">
        <f t="array" ref="BC454">_xlfn.IFS(E454="","",G454&lt;=E454,BB454*(1-0.03),G454&lt;(E454+8),BB454,AZ454="Boleto",BB454*(1+0.001)^DATEDIF(E454,G454,"D"),AZ454="Cheque",BB454,AZ454="Dinheiro","Alterar forma pgto")</f>
        <v/>
      </c>
      <c r="BD454" s="276" t="str" cm="1">
        <f t="array" ref="BD454">IF(F454=0," ",IF(BC454&lt;BB454,(_xlfn.IFS(AW454="SIM",SUM(L454,Q454,V454,AA454,AF454,AK454,AP454,AU454)+AX454/_xlfn.XLOOKUP(_xlfn.XLOOKUP($F454,Clientes!$B$4:$B$39,Clientes!$C$4:$C$39),Cadastros!$L$6:$L$12,Cadastros!$M$6:$M$12)+IF($F454="Bernardino Furlan",AY454/2751.92,IF($F454="Mauro José Salanti",AY454/2751.92,AY454/3356)),F454&lt;&gt;0,SUM(L454,Q454,V454,AA454,AF454,AK454,AP454,AU454)))*(1-0.03),_xlfn.IFS(AW454="SIM",SUM(L454,Q454,V454,AA454,AF454,AK454,AP454,AU454)+AX454/_xlfn.XLOOKUP(_xlfn.XLOOKUP($F454,Clientes!$B$4:$B$39,Clientes!$C$4:$C$39),Cadastros!$L$6:$L$12,Cadastros!$M$6:$M$12)+IF($F454="Bernardino Furlan",AY454/2751.92,IF($F454="Mauro José Salanti",AY454/2751.92,AY454/3356)),F454&lt;&gt;0,SUM(L454,Q454,V454,AA454,AF454,AK454,AP454,AU454))))</f>
        <v xml:space="preserve"> </v>
      </c>
      <c r="BE454" s="120"/>
      <c r="BF454" s="120"/>
      <c r="BG454" s="120"/>
    </row>
    <row r="455" spans="1:59" s="3" customFormat="1" x14ac:dyDescent="0.3">
      <c r="A455" s="15" t="str">
        <f t="shared" si="78"/>
        <v/>
      </c>
      <c r="B455" s="25"/>
      <c r="C455" s="26"/>
      <c r="D455" s="279"/>
      <c r="E455" s="27"/>
      <c r="F455" s="28"/>
      <c r="G455" s="27"/>
      <c r="H455" s="28"/>
      <c r="I455" s="28"/>
      <c r="J455" s="255" t="str">
        <f>IF(H455="","",(_xlfn.XLOOKUP(H455,Cadastros!$D$6:$D$90,Cadastros!$E$6:$E$90))*(1-_xlfn.XLOOKUP(_xlfn.XLOOKUP($F455,Clientes!$B$4:$B$39,Clientes!$C$4:$C$39),Cadastros!$L$6:$L$12,Cadastros!$N$6:$N$12)))</f>
        <v/>
      </c>
      <c r="K455" s="168" t="str">
        <f t="shared" si="79"/>
        <v/>
      </c>
      <c r="L455" s="168" t="str">
        <f>IFERROR(K455/_xlfn.XLOOKUP(_xlfn.XLOOKUP($F455,Clientes!$B$4:$B$39,Clientes!$C$4:$C$39),Cadastros!$L$6:$L$12,Cadastros!$M$6:$M$12)," ")</f>
        <v xml:space="preserve"> </v>
      </c>
      <c r="M455" s="28"/>
      <c r="N455" s="28"/>
      <c r="O455" s="255" t="str">
        <f>IF(M455="","",(_xlfn.XLOOKUP(M455,Cadastros!$D$6:$D$90,Cadastros!$E$6:$E$90))*(1-_xlfn.XLOOKUP(_xlfn.XLOOKUP($F455,Clientes!$B$4:$B$39,Clientes!$C$4:$C$39),Cadastros!$L$6:$L$12,Cadastros!$N$6:$N$12)))</f>
        <v/>
      </c>
      <c r="P455" s="168" t="str">
        <f t="shared" si="80"/>
        <v/>
      </c>
      <c r="Q455" s="168" t="str">
        <f>IFERROR(P455/_xlfn.XLOOKUP(_xlfn.XLOOKUP($F455,Clientes!$B$4:$B$39,Clientes!$C$4:$C$39),Cadastros!$L$6:$L$12,Cadastros!$M$6:$M$12)," ")</f>
        <v xml:space="preserve"> </v>
      </c>
      <c r="R455" s="28"/>
      <c r="S455" s="28"/>
      <c r="T455" s="255" t="str">
        <f>IF(R455="","",(_xlfn.XLOOKUP(R455,Cadastros!$D$6:$D$90,Cadastros!$E$6:$E$90))*(1-_xlfn.XLOOKUP(_xlfn.XLOOKUP($F455,Clientes!$B$4:$B$39,Clientes!$C$4:$C$39),Cadastros!$L$6:$L$12,Cadastros!$N$6:$N$12)))</f>
        <v/>
      </c>
      <c r="U455" s="168" t="str">
        <f t="shared" si="81"/>
        <v/>
      </c>
      <c r="V455" s="168" t="str">
        <f>IFERROR(U455/_xlfn.XLOOKUP(_xlfn.XLOOKUP($F455,Clientes!$B$4:$B$39,Clientes!$C$4:$C$39),Cadastros!$L$6:$L$12,Cadastros!$M$6:$M$12)," ")</f>
        <v xml:space="preserve"> </v>
      </c>
      <c r="W455" s="28"/>
      <c r="X455" s="28"/>
      <c r="Y455" s="255" t="str">
        <f>IF(W455="","",(_xlfn.XLOOKUP(W455,Cadastros!$D$6:$D$90,Cadastros!$E$6:$E$90))*(1-_xlfn.XLOOKUP(_xlfn.XLOOKUP($F455,Clientes!$B$4:$B$39,Clientes!$C$4:$C$39),Cadastros!$L$6:$L$12,Cadastros!$N$6:$N$12)))</f>
        <v/>
      </c>
      <c r="Z455" s="168" t="str">
        <f t="shared" si="82"/>
        <v/>
      </c>
      <c r="AA455" s="168" t="str">
        <f>IFERROR(Z455/_xlfn.XLOOKUP(_xlfn.XLOOKUP($F455,Clientes!$B$4:$B$39,Clientes!$C$4:$C$39),Cadastros!$L$6:$L$12,Cadastros!$M$6:$M$12)," ")</f>
        <v xml:space="preserve"> </v>
      </c>
      <c r="AB455" s="28"/>
      <c r="AC455" s="28"/>
      <c r="AD455" s="20" t="str">
        <f>IF(AB455="","",IF($F455="Bernardino Furlan",_xlfn.XLOOKUP(AB455,Cadastros!$G$6:$G$90,Cadastros!$H$6:$H$90)*(1-0.18),IF($F455="Mauro José Salanti",_xlfn.XLOOKUP(AB455,Cadastros!$G$6:$G$90,Cadastros!$H$6:$H$90)*(1-0.18),_xlfn.XLOOKUP(AB455,Cadastros!$G$6:$G$90,Cadastros!$H$6:$H$90))))</f>
        <v/>
      </c>
      <c r="AE455" s="168" t="str">
        <f t="shared" si="83"/>
        <v/>
      </c>
      <c r="AF455" s="168" t="str">
        <f t="shared" si="84"/>
        <v/>
      </c>
      <c r="AG455" s="28"/>
      <c r="AH455" s="28"/>
      <c r="AI455" s="20" t="str">
        <f>IF(AG455="","",IF($F455="Bernardino Furlan",_xlfn.XLOOKUP(AG455,Cadastros!$G$6:$G$90,Cadastros!$H$6:$H$90)*(1-0.18),IF($F455="Mauro José Salanti",_xlfn.XLOOKUP(AG455,Cadastros!$G$6:$G$90,Cadastros!$H$6:$H$90)*(1-0.18),_xlfn.XLOOKUP(AG455,Cadastros!$G$6:$G$90,Cadastros!$H$6:$H$90))))</f>
        <v/>
      </c>
      <c r="AJ455" s="168" t="str">
        <f t="shared" si="85"/>
        <v/>
      </c>
      <c r="AK455" s="168" t="str">
        <f t="shared" si="86"/>
        <v/>
      </c>
      <c r="AL455" s="28"/>
      <c r="AM455" s="28"/>
      <c r="AN455" s="20" t="str">
        <f>IF(AL455="","",IF($F455="Bernardino Furlan",_xlfn.XLOOKUP(AL455,Cadastros!$G$6:$G$90,Cadastros!$H$6:$H$90)*(1-0.18),IF($F455="Mauro José Salanti",_xlfn.XLOOKUP(AL455,Cadastros!$G$6:$G$90,Cadastros!$H$6:$H$90)*(1-0.18),_xlfn.XLOOKUP(AL455,Cadastros!$G$6:$G$90,Cadastros!$H$6:$H$90))))</f>
        <v/>
      </c>
      <c r="AO455" s="168" t="str">
        <f t="shared" si="87"/>
        <v/>
      </c>
      <c r="AP455" s="168" t="str">
        <f t="shared" si="88"/>
        <v/>
      </c>
      <c r="AQ455" s="28"/>
      <c r="AR455" s="28"/>
      <c r="AS455" s="20" t="str">
        <f>IF(AQ455="","",IF($F455="Bernardino Furlan",_xlfn.XLOOKUP(AQ455,Cadastros!$G$6:$G$90,Cadastros!$H$6:$H$90)*(1-0.18),IF($F455="Mauro José Salanti",_xlfn.XLOOKUP(AQ455,Cadastros!$G$6:$G$90,Cadastros!$H$6:$H$90)*(1-0.18),_xlfn.XLOOKUP(AQ455,Cadastros!$G$6:$G$90,Cadastros!$H$6:$H$90))))</f>
        <v/>
      </c>
      <c r="AT455" s="168" t="str">
        <f t="shared" si="89"/>
        <v/>
      </c>
      <c r="AU455" s="168" t="str">
        <f t="shared" si="90"/>
        <v/>
      </c>
      <c r="AV455" s="227"/>
      <c r="AW455" s="30"/>
      <c r="AX455" s="267"/>
      <c r="AY455" s="267"/>
      <c r="AZ455" s="29"/>
      <c r="BA455" s="30"/>
      <c r="BB455" s="23" t="str" cm="1">
        <f t="array" ref="BB455">_xlfn.IFS(AW455="SIM",SUM(K455,P455,U455,Z455,AE455,AJ455,AO455,AT455,AX455,AY455),F455&lt;&gt;"",SUM(K455,P455,U455,Z455,AE455,AJ455,,AO455,AT455),F455="","")</f>
        <v/>
      </c>
      <c r="BC455" s="211" t="str" cm="1">
        <f t="array" ref="BC455">_xlfn.IFS(E455="","",G455&lt;=E455,BB455*(1-0.03),G455&lt;(E455+8),BB455,AZ455="Boleto",BB455*(1+0.001)^DATEDIF(E455,G455,"D"),AZ455="Cheque",BB455,AZ455="Dinheiro","Alterar forma pgto")</f>
        <v/>
      </c>
      <c r="BD455" s="276" t="str" cm="1">
        <f t="array" ref="BD455">IF(F455=0," ",IF(BC455&lt;BB455,(_xlfn.IFS(AW455="SIM",SUM(L455,Q455,V455,AA455,AF455,AK455,AP455,AU455)+AX455/_xlfn.XLOOKUP(_xlfn.XLOOKUP($F455,Clientes!$B$4:$B$39,Clientes!$C$4:$C$39),Cadastros!$L$6:$L$12,Cadastros!$M$6:$M$12)+IF($F455="Bernardino Furlan",AY455/2751.92,IF($F455="Mauro José Salanti",AY455/2751.92,AY455/3356)),F455&lt;&gt;0,SUM(L455,Q455,V455,AA455,AF455,AK455,AP455,AU455)))*(1-0.03),_xlfn.IFS(AW455="SIM",SUM(L455,Q455,V455,AA455,AF455,AK455,AP455,AU455)+AX455/_xlfn.XLOOKUP(_xlfn.XLOOKUP($F455,Clientes!$B$4:$B$39,Clientes!$C$4:$C$39),Cadastros!$L$6:$L$12,Cadastros!$M$6:$M$12)+IF($F455="Bernardino Furlan",AY455/2751.92,IF($F455="Mauro José Salanti",AY455/2751.92,AY455/3356)),F455&lt;&gt;0,SUM(L455,Q455,V455,AA455,AF455,AK455,AP455,AU455))))</f>
        <v xml:space="preserve"> </v>
      </c>
      <c r="BE455" s="120"/>
      <c r="BF455" s="120"/>
      <c r="BG455" s="120"/>
    </row>
    <row r="456" spans="1:59" s="3" customFormat="1" x14ac:dyDescent="0.3">
      <c r="A456" s="15" t="str">
        <f t="shared" ref="A456:A519" si="91">IF(C456="orçamento",25%,IF(C456="aprovado",50%,IF(C456="entregue",100%,IF(C456="não aceito",0%,""))))</f>
        <v/>
      </c>
      <c r="B456" s="25"/>
      <c r="C456" s="26"/>
      <c r="D456" s="279"/>
      <c r="E456" s="27"/>
      <c r="F456" s="28"/>
      <c r="G456" s="27"/>
      <c r="H456" s="28"/>
      <c r="I456" s="28"/>
      <c r="J456" s="255" t="str">
        <f>IF(H456="","",(_xlfn.XLOOKUP(H456,Cadastros!$D$6:$D$90,Cadastros!$E$6:$E$90))*(1-_xlfn.XLOOKUP(_xlfn.XLOOKUP($F456,Clientes!$B$4:$B$39,Clientes!$C$4:$C$39),Cadastros!$L$6:$L$12,Cadastros!$N$6:$N$12)))</f>
        <v/>
      </c>
      <c r="K456" s="168" t="str">
        <f t="shared" ref="K456:K519" si="92">IF(J456="","",I456*J456)</f>
        <v/>
      </c>
      <c r="L456" s="168" t="str">
        <f>IFERROR(K456/_xlfn.XLOOKUP(_xlfn.XLOOKUP($F456,Clientes!$B$4:$B$39,Clientes!$C$4:$C$39),Cadastros!$L$6:$L$12,Cadastros!$M$6:$M$12)," ")</f>
        <v xml:space="preserve"> </v>
      </c>
      <c r="M456" s="28"/>
      <c r="N456" s="28"/>
      <c r="O456" s="255" t="str">
        <f>IF(M456="","",(_xlfn.XLOOKUP(M456,Cadastros!$D$6:$D$90,Cadastros!$E$6:$E$90))*(1-_xlfn.XLOOKUP(_xlfn.XLOOKUP($F456,Clientes!$B$4:$B$39,Clientes!$C$4:$C$39),Cadastros!$L$6:$L$12,Cadastros!$N$6:$N$12)))</f>
        <v/>
      </c>
      <c r="P456" s="168" t="str">
        <f t="shared" ref="P456:P519" si="93">IF(O456="","",N456*O456)</f>
        <v/>
      </c>
      <c r="Q456" s="168" t="str">
        <f>IFERROR(P456/_xlfn.XLOOKUP(_xlfn.XLOOKUP($F456,Clientes!$B$4:$B$39,Clientes!$C$4:$C$39),Cadastros!$L$6:$L$12,Cadastros!$M$6:$M$12)," ")</f>
        <v xml:space="preserve"> </v>
      </c>
      <c r="R456" s="28"/>
      <c r="S456" s="28"/>
      <c r="T456" s="255" t="str">
        <f>IF(R456="","",(_xlfn.XLOOKUP(R456,Cadastros!$D$6:$D$90,Cadastros!$E$6:$E$90))*(1-_xlfn.XLOOKUP(_xlfn.XLOOKUP($F456,Clientes!$B$4:$B$39,Clientes!$C$4:$C$39),Cadastros!$L$6:$L$12,Cadastros!$N$6:$N$12)))</f>
        <v/>
      </c>
      <c r="U456" s="168" t="str">
        <f t="shared" ref="U456:U519" si="94">IF(T456="","",S456*T456)</f>
        <v/>
      </c>
      <c r="V456" s="168" t="str">
        <f>IFERROR(U456/_xlfn.XLOOKUP(_xlfn.XLOOKUP($F456,Clientes!$B$4:$B$39,Clientes!$C$4:$C$39),Cadastros!$L$6:$L$12,Cadastros!$M$6:$M$12)," ")</f>
        <v xml:space="preserve"> </v>
      </c>
      <c r="W456" s="28"/>
      <c r="X456" s="28"/>
      <c r="Y456" s="255" t="str">
        <f>IF(W456="","",(_xlfn.XLOOKUP(W456,Cadastros!$D$6:$D$90,Cadastros!$E$6:$E$90))*(1-_xlfn.XLOOKUP(_xlfn.XLOOKUP($F456,Clientes!$B$4:$B$39,Clientes!$C$4:$C$39),Cadastros!$L$6:$L$12,Cadastros!$N$6:$N$12)))</f>
        <v/>
      </c>
      <c r="Z456" s="168" t="str">
        <f t="shared" ref="Z456:Z519" si="95">IF(Y456="","",X456*Y456)</f>
        <v/>
      </c>
      <c r="AA456" s="168" t="str">
        <f>IFERROR(Z456/_xlfn.XLOOKUP(_xlfn.XLOOKUP($F456,Clientes!$B$4:$B$39,Clientes!$C$4:$C$39),Cadastros!$L$6:$L$12,Cadastros!$M$6:$M$12)," ")</f>
        <v xml:space="preserve"> </v>
      </c>
      <c r="AB456" s="28"/>
      <c r="AC456" s="28"/>
      <c r="AD456" s="20" t="str">
        <f>IF(AB456="","",IF($F456="Bernardino Furlan",_xlfn.XLOOKUP(AB456,Cadastros!$G$6:$G$90,Cadastros!$H$6:$H$90)*(1-0.18),IF($F456="Mauro José Salanti",_xlfn.XLOOKUP(AB456,Cadastros!$G$6:$G$90,Cadastros!$H$6:$H$90)*(1-0.18),_xlfn.XLOOKUP(AB456,Cadastros!$G$6:$G$90,Cadastros!$H$6:$H$90))))</f>
        <v/>
      </c>
      <c r="AE456" s="168" t="str">
        <f t="shared" ref="AE456:AE519" si="96">IF(AD456="","",AC456*AD456)</f>
        <v/>
      </c>
      <c r="AF456" s="168" t="str">
        <f t="shared" ref="AF456:AF519" si="97">IFERROR(IF($F456="Bernardino Furlan",AE456/2751.92,IF($F456="Mauro José Salanti",AE456/2751.92,AE456/3356)),"")</f>
        <v/>
      </c>
      <c r="AG456" s="28"/>
      <c r="AH456" s="28"/>
      <c r="AI456" s="20" t="str">
        <f>IF(AG456="","",IF($F456="Bernardino Furlan",_xlfn.XLOOKUP(AG456,Cadastros!$G$6:$G$90,Cadastros!$H$6:$H$90)*(1-0.18),IF($F456="Mauro José Salanti",_xlfn.XLOOKUP(AG456,Cadastros!$G$6:$G$90,Cadastros!$H$6:$H$90)*(1-0.18),_xlfn.XLOOKUP(AG456,Cadastros!$G$6:$G$90,Cadastros!$H$6:$H$90))))</f>
        <v/>
      </c>
      <c r="AJ456" s="168" t="str">
        <f t="shared" ref="AJ456:AJ519" si="98">IF(AI456="","",AH456*AI456)</f>
        <v/>
      </c>
      <c r="AK456" s="168" t="str">
        <f t="shared" ref="AK456:AK519" si="99">IFERROR(IF($F456="Bernardino Furlan",AJ456/2751.92,IF($F456="Mauro José Salanti",AJ456/2751.92,AJ456/3356)),"")</f>
        <v/>
      </c>
      <c r="AL456" s="28"/>
      <c r="AM456" s="28"/>
      <c r="AN456" s="20" t="str">
        <f>IF(AL456="","",IF($F456="Bernardino Furlan",_xlfn.XLOOKUP(AL456,Cadastros!$G$6:$G$90,Cadastros!$H$6:$H$90)*(1-0.18),IF($F456="Mauro José Salanti",_xlfn.XLOOKUP(AL456,Cadastros!$G$6:$G$90,Cadastros!$H$6:$H$90)*(1-0.18),_xlfn.XLOOKUP(AL456,Cadastros!$G$6:$G$90,Cadastros!$H$6:$H$90))))</f>
        <v/>
      </c>
      <c r="AO456" s="168" t="str">
        <f t="shared" ref="AO456:AO519" si="100">IF(AN456="","",AM456*AN456)</f>
        <v/>
      </c>
      <c r="AP456" s="168" t="str">
        <f t="shared" ref="AP456:AP519" si="101">IFERROR(IF($F456="Bernardino Furlan",AO456/2751.92,IF($F456="Mauro José Salanti",AO456/2751.92,AO456/3356)),"")</f>
        <v/>
      </c>
      <c r="AQ456" s="28"/>
      <c r="AR456" s="28"/>
      <c r="AS456" s="20" t="str">
        <f>IF(AQ456="","",IF($F456="Bernardino Furlan",_xlfn.XLOOKUP(AQ456,Cadastros!$G$6:$G$90,Cadastros!$H$6:$H$90)*(1-0.18),IF($F456="Mauro José Salanti",_xlfn.XLOOKUP(AQ456,Cadastros!$G$6:$G$90,Cadastros!$H$6:$H$90)*(1-0.18),_xlfn.XLOOKUP(AQ456,Cadastros!$G$6:$G$90,Cadastros!$H$6:$H$90))))</f>
        <v/>
      </c>
      <c r="AT456" s="168" t="str">
        <f t="shared" ref="AT456:AT519" si="102">IF(AS456="","",AR456*AS456)</f>
        <v/>
      </c>
      <c r="AU456" s="168" t="str">
        <f t="shared" ref="AU456:AU519" si="103">IFERROR(IF($F456="Bernardino Furlan",AT456/2751.92,IF($F456="Mauro José Salanti",AT456/2751.92,AT456/3356)),"")</f>
        <v/>
      </c>
      <c r="AV456" s="227"/>
      <c r="AW456" s="30"/>
      <c r="AX456" s="267"/>
      <c r="AY456" s="267"/>
      <c r="AZ456" s="29"/>
      <c r="BA456" s="30"/>
      <c r="BB456" s="23" t="str" cm="1">
        <f t="array" ref="BB456">_xlfn.IFS(AW456="SIM",SUM(K456,P456,U456,Z456,AE456,AJ456,AO456,AT456,AX456,AY456),F456&lt;&gt;"",SUM(K456,P456,U456,Z456,AE456,AJ456,,AO456,AT456),F456="","")</f>
        <v/>
      </c>
      <c r="BC456" s="211" t="str" cm="1">
        <f t="array" ref="BC456">_xlfn.IFS(E456="","",G456&lt;=E456,BB456*(1-0.03),G456&lt;(E456+8),BB456,AZ456="Boleto",BB456*(1+0.001)^DATEDIF(E456,G456,"D"),AZ456="Cheque",BB456,AZ456="Dinheiro","Alterar forma pgto")</f>
        <v/>
      </c>
      <c r="BD456" s="276" t="str" cm="1">
        <f t="array" ref="BD456">IF(F456=0," ",IF(BC456&lt;BB456,(_xlfn.IFS(AW456="SIM",SUM(L456,Q456,V456,AA456,AF456,AK456,AP456,AU456)+AX456/_xlfn.XLOOKUP(_xlfn.XLOOKUP($F456,Clientes!$B$4:$B$39,Clientes!$C$4:$C$39),Cadastros!$L$6:$L$12,Cadastros!$M$6:$M$12)+IF($F456="Bernardino Furlan",AY456/2751.92,IF($F456="Mauro José Salanti",AY456/2751.92,AY456/3356)),F456&lt;&gt;0,SUM(L456,Q456,V456,AA456,AF456,AK456,AP456,AU456)))*(1-0.03),_xlfn.IFS(AW456="SIM",SUM(L456,Q456,V456,AA456,AF456,AK456,AP456,AU456)+AX456/_xlfn.XLOOKUP(_xlfn.XLOOKUP($F456,Clientes!$B$4:$B$39,Clientes!$C$4:$C$39),Cadastros!$L$6:$L$12,Cadastros!$M$6:$M$12)+IF($F456="Bernardino Furlan",AY456/2751.92,IF($F456="Mauro José Salanti",AY456/2751.92,AY456/3356)),F456&lt;&gt;0,SUM(L456,Q456,V456,AA456,AF456,AK456,AP456,AU456))))</f>
        <v xml:space="preserve"> </v>
      </c>
      <c r="BE456" s="120"/>
      <c r="BF456" s="120"/>
      <c r="BG456" s="120"/>
    </row>
    <row r="457" spans="1:59" s="3" customFormat="1" x14ac:dyDescent="0.3">
      <c r="A457" s="15" t="str">
        <f t="shared" si="91"/>
        <v/>
      </c>
      <c r="B457" s="25"/>
      <c r="C457" s="26"/>
      <c r="D457" s="279"/>
      <c r="E457" s="27"/>
      <c r="F457" s="28"/>
      <c r="G457" s="27"/>
      <c r="H457" s="28"/>
      <c r="I457" s="28"/>
      <c r="J457" s="255" t="str">
        <f>IF(H457="","",(_xlfn.XLOOKUP(H457,Cadastros!$D$6:$D$90,Cadastros!$E$6:$E$90))*(1-_xlfn.XLOOKUP(_xlfn.XLOOKUP($F457,Clientes!$B$4:$B$39,Clientes!$C$4:$C$39),Cadastros!$L$6:$L$12,Cadastros!$N$6:$N$12)))</f>
        <v/>
      </c>
      <c r="K457" s="168" t="str">
        <f t="shared" si="92"/>
        <v/>
      </c>
      <c r="L457" s="168" t="str">
        <f>IFERROR(K457/_xlfn.XLOOKUP(_xlfn.XLOOKUP($F457,Clientes!$B$4:$B$39,Clientes!$C$4:$C$39),Cadastros!$L$6:$L$12,Cadastros!$M$6:$M$12)," ")</f>
        <v xml:space="preserve"> </v>
      </c>
      <c r="M457" s="28"/>
      <c r="N457" s="28"/>
      <c r="O457" s="255" t="str">
        <f>IF(M457="","",(_xlfn.XLOOKUP(M457,Cadastros!$D$6:$D$90,Cadastros!$E$6:$E$90))*(1-_xlfn.XLOOKUP(_xlfn.XLOOKUP($F457,Clientes!$B$4:$B$39,Clientes!$C$4:$C$39),Cadastros!$L$6:$L$12,Cadastros!$N$6:$N$12)))</f>
        <v/>
      </c>
      <c r="P457" s="168" t="str">
        <f t="shared" si="93"/>
        <v/>
      </c>
      <c r="Q457" s="168" t="str">
        <f>IFERROR(P457/_xlfn.XLOOKUP(_xlfn.XLOOKUP($F457,Clientes!$B$4:$B$39,Clientes!$C$4:$C$39),Cadastros!$L$6:$L$12,Cadastros!$M$6:$M$12)," ")</f>
        <v xml:space="preserve"> </v>
      </c>
      <c r="R457" s="28"/>
      <c r="S457" s="28"/>
      <c r="T457" s="255" t="str">
        <f>IF(R457="","",(_xlfn.XLOOKUP(R457,Cadastros!$D$6:$D$90,Cadastros!$E$6:$E$90))*(1-_xlfn.XLOOKUP(_xlfn.XLOOKUP($F457,Clientes!$B$4:$B$39,Clientes!$C$4:$C$39),Cadastros!$L$6:$L$12,Cadastros!$N$6:$N$12)))</f>
        <v/>
      </c>
      <c r="U457" s="168" t="str">
        <f t="shared" si="94"/>
        <v/>
      </c>
      <c r="V457" s="168" t="str">
        <f>IFERROR(U457/_xlfn.XLOOKUP(_xlfn.XLOOKUP($F457,Clientes!$B$4:$B$39,Clientes!$C$4:$C$39),Cadastros!$L$6:$L$12,Cadastros!$M$6:$M$12)," ")</f>
        <v xml:space="preserve"> </v>
      </c>
      <c r="W457" s="28"/>
      <c r="X457" s="28"/>
      <c r="Y457" s="255" t="str">
        <f>IF(W457="","",(_xlfn.XLOOKUP(W457,Cadastros!$D$6:$D$90,Cadastros!$E$6:$E$90))*(1-_xlfn.XLOOKUP(_xlfn.XLOOKUP($F457,Clientes!$B$4:$B$39,Clientes!$C$4:$C$39),Cadastros!$L$6:$L$12,Cadastros!$N$6:$N$12)))</f>
        <v/>
      </c>
      <c r="Z457" s="168" t="str">
        <f t="shared" si="95"/>
        <v/>
      </c>
      <c r="AA457" s="168" t="str">
        <f>IFERROR(Z457/_xlfn.XLOOKUP(_xlfn.XLOOKUP($F457,Clientes!$B$4:$B$39,Clientes!$C$4:$C$39),Cadastros!$L$6:$L$12,Cadastros!$M$6:$M$12)," ")</f>
        <v xml:space="preserve"> </v>
      </c>
      <c r="AB457" s="28"/>
      <c r="AC457" s="28"/>
      <c r="AD457" s="20" t="str">
        <f>IF(AB457="","",IF($F457="Bernardino Furlan",_xlfn.XLOOKUP(AB457,Cadastros!$G$6:$G$90,Cadastros!$H$6:$H$90)*(1-0.18),IF($F457="Mauro José Salanti",_xlfn.XLOOKUP(AB457,Cadastros!$G$6:$G$90,Cadastros!$H$6:$H$90)*(1-0.18),_xlfn.XLOOKUP(AB457,Cadastros!$G$6:$G$90,Cadastros!$H$6:$H$90))))</f>
        <v/>
      </c>
      <c r="AE457" s="168" t="str">
        <f t="shared" si="96"/>
        <v/>
      </c>
      <c r="AF457" s="168" t="str">
        <f t="shared" si="97"/>
        <v/>
      </c>
      <c r="AG457" s="28"/>
      <c r="AH457" s="28"/>
      <c r="AI457" s="20" t="str">
        <f>IF(AG457="","",IF($F457="Bernardino Furlan",_xlfn.XLOOKUP(AG457,Cadastros!$G$6:$G$90,Cadastros!$H$6:$H$90)*(1-0.18),IF($F457="Mauro José Salanti",_xlfn.XLOOKUP(AG457,Cadastros!$G$6:$G$90,Cadastros!$H$6:$H$90)*(1-0.18),_xlfn.XLOOKUP(AG457,Cadastros!$G$6:$G$90,Cadastros!$H$6:$H$90))))</f>
        <v/>
      </c>
      <c r="AJ457" s="168" t="str">
        <f t="shared" si="98"/>
        <v/>
      </c>
      <c r="AK457" s="168" t="str">
        <f t="shared" si="99"/>
        <v/>
      </c>
      <c r="AL457" s="28"/>
      <c r="AM457" s="28"/>
      <c r="AN457" s="20" t="str">
        <f>IF(AL457="","",IF($F457="Bernardino Furlan",_xlfn.XLOOKUP(AL457,Cadastros!$G$6:$G$90,Cadastros!$H$6:$H$90)*(1-0.18),IF($F457="Mauro José Salanti",_xlfn.XLOOKUP(AL457,Cadastros!$G$6:$G$90,Cadastros!$H$6:$H$90)*(1-0.18),_xlfn.XLOOKUP(AL457,Cadastros!$G$6:$G$90,Cadastros!$H$6:$H$90))))</f>
        <v/>
      </c>
      <c r="AO457" s="168" t="str">
        <f t="shared" si="100"/>
        <v/>
      </c>
      <c r="AP457" s="168" t="str">
        <f t="shared" si="101"/>
        <v/>
      </c>
      <c r="AQ457" s="28"/>
      <c r="AR457" s="28"/>
      <c r="AS457" s="20" t="str">
        <f>IF(AQ457="","",IF($F457="Bernardino Furlan",_xlfn.XLOOKUP(AQ457,Cadastros!$G$6:$G$90,Cadastros!$H$6:$H$90)*(1-0.18),IF($F457="Mauro José Salanti",_xlfn.XLOOKUP(AQ457,Cadastros!$G$6:$G$90,Cadastros!$H$6:$H$90)*(1-0.18),_xlfn.XLOOKUP(AQ457,Cadastros!$G$6:$G$90,Cadastros!$H$6:$H$90))))</f>
        <v/>
      </c>
      <c r="AT457" s="168" t="str">
        <f t="shared" si="102"/>
        <v/>
      </c>
      <c r="AU457" s="168" t="str">
        <f t="shared" si="103"/>
        <v/>
      </c>
      <c r="AV457" s="227"/>
      <c r="AW457" s="30"/>
      <c r="AX457" s="267"/>
      <c r="AY457" s="267"/>
      <c r="AZ457" s="29"/>
      <c r="BA457" s="30"/>
      <c r="BB457" s="23" t="str" cm="1">
        <f t="array" ref="BB457">_xlfn.IFS(AW457="SIM",SUM(K457,P457,U457,Z457,AE457,AJ457,AO457,AT457,AX457,AY457),F457&lt;&gt;"",SUM(K457,P457,U457,Z457,AE457,AJ457,,AO457,AT457),F457="","")</f>
        <v/>
      </c>
      <c r="BC457" s="211" t="str" cm="1">
        <f t="array" ref="BC457">_xlfn.IFS(E457="","",G457&lt;=E457,BB457*(1-0.03),G457&lt;(E457+8),BB457,AZ457="Boleto",BB457*(1+0.001)^DATEDIF(E457,G457,"D"),AZ457="Cheque",BB457,AZ457="Dinheiro","Alterar forma pgto")</f>
        <v/>
      </c>
      <c r="BD457" s="276" t="str" cm="1">
        <f t="array" ref="BD457">IF(F457=0," ",IF(BC457&lt;BB457,(_xlfn.IFS(AW457="SIM",SUM(L457,Q457,V457,AA457,AF457,AK457,AP457,AU457)+AX457/_xlfn.XLOOKUP(_xlfn.XLOOKUP($F457,Clientes!$B$4:$B$39,Clientes!$C$4:$C$39),Cadastros!$L$6:$L$12,Cadastros!$M$6:$M$12)+IF($F457="Bernardino Furlan",AY457/2751.92,IF($F457="Mauro José Salanti",AY457/2751.92,AY457/3356)),F457&lt;&gt;0,SUM(L457,Q457,V457,AA457,AF457,AK457,AP457,AU457)))*(1-0.03),_xlfn.IFS(AW457="SIM",SUM(L457,Q457,V457,AA457,AF457,AK457,AP457,AU457)+AX457/_xlfn.XLOOKUP(_xlfn.XLOOKUP($F457,Clientes!$B$4:$B$39,Clientes!$C$4:$C$39),Cadastros!$L$6:$L$12,Cadastros!$M$6:$M$12)+IF($F457="Bernardino Furlan",AY457/2751.92,IF($F457="Mauro José Salanti",AY457/2751.92,AY457/3356)),F457&lt;&gt;0,SUM(L457,Q457,V457,AA457,AF457,AK457,AP457,AU457))))</f>
        <v xml:space="preserve"> </v>
      </c>
      <c r="BE457" s="120"/>
      <c r="BF457" s="120"/>
      <c r="BG457" s="120"/>
    </row>
    <row r="458" spans="1:59" s="3" customFormat="1" x14ac:dyDescent="0.3">
      <c r="A458" s="15" t="str">
        <f t="shared" si="91"/>
        <v/>
      </c>
      <c r="B458" s="25"/>
      <c r="C458" s="26"/>
      <c r="D458" s="279"/>
      <c r="E458" s="27"/>
      <c r="F458" s="28"/>
      <c r="G458" s="27"/>
      <c r="H458" s="28"/>
      <c r="I458" s="28"/>
      <c r="J458" s="255" t="str">
        <f>IF(H458="","",(_xlfn.XLOOKUP(H458,Cadastros!$D$6:$D$90,Cadastros!$E$6:$E$90))*(1-_xlfn.XLOOKUP(_xlfn.XLOOKUP($F458,Clientes!$B$4:$B$39,Clientes!$C$4:$C$39),Cadastros!$L$6:$L$12,Cadastros!$N$6:$N$12)))</f>
        <v/>
      </c>
      <c r="K458" s="168" t="str">
        <f t="shared" si="92"/>
        <v/>
      </c>
      <c r="L458" s="168" t="str">
        <f>IFERROR(K458/_xlfn.XLOOKUP(_xlfn.XLOOKUP($F458,Clientes!$B$4:$B$39,Clientes!$C$4:$C$39),Cadastros!$L$6:$L$12,Cadastros!$M$6:$M$12)," ")</f>
        <v xml:space="preserve"> </v>
      </c>
      <c r="M458" s="28"/>
      <c r="N458" s="28"/>
      <c r="O458" s="255" t="str">
        <f>IF(M458="","",(_xlfn.XLOOKUP(M458,Cadastros!$D$6:$D$90,Cadastros!$E$6:$E$90))*(1-_xlfn.XLOOKUP(_xlfn.XLOOKUP($F458,Clientes!$B$4:$B$39,Clientes!$C$4:$C$39),Cadastros!$L$6:$L$12,Cadastros!$N$6:$N$12)))</f>
        <v/>
      </c>
      <c r="P458" s="168" t="str">
        <f t="shared" si="93"/>
        <v/>
      </c>
      <c r="Q458" s="168" t="str">
        <f>IFERROR(P458/_xlfn.XLOOKUP(_xlfn.XLOOKUP($F458,Clientes!$B$4:$B$39,Clientes!$C$4:$C$39),Cadastros!$L$6:$L$12,Cadastros!$M$6:$M$12)," ")</f>
        <v xml:space="preserve"> </v>
      </c>
      <c r="R458" s="28"/>
      <c r="S458" s="28"/>
      <c r="T458" s="255" t="str">
        <f>IF(R458="","",(_xlfn.XLOOKUP(R458,Cadastros!$D$6:$D$90,Cadastros!$E$6:$E$90))*(1-_xlfn.XLOOKUP(_xlfn.XLOOKUP($F458,Clientes!$B$4:$B$39,Clientes!$C$4:$C$39),Cadastros!$L$6:$L$12,Cadastros!$N$6:$N$12)))</f>
        <v/>
      </c>
      <c r="U458" s="168" t="str">
        <f t="shared" si="94"/>
        <v/>
      </c>
      <c r="V458" s="168" t="str">
        <f>IFERROR(U458/_xlfn.XLOOKUP(_xlfn.XLOOKUP($F458,Clientes!$B$4:$B$39,Clientes!$C$4:$C$39),Cadastros!$L$6:$L$12,Cadastros!$M$6:$M$12)," ")</f>
        <v xml:space="preserve"> </v>
      </c>
      <c r="W458" s="28"/>
      <c r="X458" s="28"/>
      <c r="Y458" s="255" t="str">
        <f>IF(W458="","",(_xlfn.XLOOKUP(W458,Cadastros!$D$6:$D$90,Cadastros!$E$6:$E$90))*(1-_xlfn.XLOOKUP(_xlfn.XLOOKUP($F458,Clientes!$B$4:$B$39,Clientes!$C$4:$C$39),Cadastros!$L$6:$L$12,Cadastros!$N$6:$N$12)))</f>
        <v/>
      </c>
      <c r="Z458" s="168" t="str">
        <f t="shared" si="95"/>
        <v/>
      </c>
      <c r="AA458" s="168" t="str">
        <f>IFERROR(Z458/_xlfn.XLOOKUP(_xlfn.XLOOKUP($F458,Clientes!$B$4:$B$39,Clientes!$C$4:$C$39),Cadastros!$L$6:$L$12,Cadastros!$M$6:$M$12)," ")</f>
        <v xml:space="preserve"> </v>
      </c>
      <c r="AB458" s="28"/>
      <c r="AC458" s="28"/>
      <c r="AD458" s="20" t="str">
        <f>IF(AB458="","",IF($F458="Bernardino Furlan",_xlfn.XLOOKUP(AB458,Cadastros!$G$6:$G$90,Cadastros!$H$6:$H$90)*(1-0.18),IF($F458="Mauro José Salanti",_xlfn.XLOOKUP(AB458,Cadastros!$G$6:$G$90,Cadastros!$H$6:$H$90)*(1-0.18),_xlfn.XLOOKUP(AB458,Cadastros!$G$6:$G$90,Cadastros!$H$6:$H$90))))</f>
        <v/>
      </c>
      <c r="AE458" s="168" t="str">
        <f t="shared" si="96"/>
        <v/>
      </c>
      <c r="AF458" s="168" t="str">
        <f t="shared" si="97"/>
        <v/>
      </c>
      <c r="AG458" s="28"/>
      <c r="AH458" s="28"/>
      <c r="AI458" s="20" t="str">
        <f>IF(AG458="","",IF($F458="Bernardino Furlan",_xlfn.XLOOKUP(AG458,Cadastros!$G$6:$G$90,Cadastros!$H$6:$H$90)*(1-0.18),IF($F458="Mauro José Salanti",_xlfn.XLOOKUP(AG458,Cadastros!$G$6:$G$90,Cadastros!$H$6:$H$90)*(1-0.18),_xlfn.XLOOKUP(AG458,Cadastros!$G$6:$G$90,Cadastros!$H$6:$H$90))))</f>
        <v/>
      </c>
      <c r="AJ458" s="168" t="str">
        <f t="shared" si="98"/>
        <v/>
      </c>
      <c r="AK458" s="168" t="str">
        <f t="shared" si="99"/>
        <v/>
      </c>
      <c r="AL458" s="28"/>
      <c r="AM458" s="28"/>
      <c r="AN458" s="20" t="str">
        <f>IF(AL458="","",IF($F458="Bernardino Furlan",_xlfn.XLOOKUP(AL458,Cadastros!$G$6:$G$90,Cadastros!$H$6:$H$90)*(1-0.18),IF($F458="Mauro José Salanti",_xlfn.XLOOKUP(AL458,Cadastros!$G$6:$G$90,Cadastros!$H$6:$H$90)*(1-0.18),_xlfn.XLOOKUP(AL458,Cadastros!$G$6:$G$90,Cadastros!$H$6:$H$90))))</f>
        <v/>
      </c>
      <c r="AO458" s="168" t="str">
        <f t="shared" si="100"/>
        <v/>
      </c>
      <c r="AP458" s="168" t="str">
        <f t="shared" si="101"/>
        <v/>
      </c>
      <c r="AQ458" s="28"/>
      <c r="AR458" s="28"/>
      <c r="AS458" s="20" t="str">
        <f>IF(AQ458="","",IF($F458="Bernardino Furlan",_xlfn.XLOOKUP(AQ458,Cadastros!$G$6:$G$90,Cadastros!$H$6:$H$90)*(1-0.18),IF($F458="Mauro José Salanti",_xlfn.XLOOKUP(AQ458,Cadastros!$G$6:$G$90,Cadastros!$H$6:$H$90)*(1-0.18),_xlfn.XLOOKUP(AQ458,Cadastros!$G$6:$G$90,Cadastros!$H$6:$H$90))))</f>
        <v/>
      </c>
      <c r="AT458" s="168" t="str">
        <f t="shared" si="102"/>
        <v/>
      </c>
      <c r="AU458" s="168" t="str">
        <f t="shared" si="103"/>
        <v/>
      </c>
      <c r="AV458" s="227"/>
      <c r="AW458" s="30"/>
      <c r="AX458" s="267"/>
      <c r="AY458" s="267"/>
      <c r="AZ458" s="29"/>
      <c r="BA458" s="30"/>
      <c r="BB458" s="23" t="str" cm="1">
        <f t="array" ref="BB458">_xlfn.IFS(AW458="SIM",SUM(K458,P458,U458,Z458,AE458,AJ458,AO458,AT458,AX458,AY458),F458&lt;&gt;"",SUM(K458,P458,U458,Z458,AE458,AJ458,,AO458,AT458),F458="","")</f>
        <v/>
      </c>
      <c r="BC458" s="211" t="str" cm="1">
        <f t="array" ref="BC458">_xlfn.IFS(E458="","",G458&lt;=E458,BB458*(1-0.03),G458&lt;(E458+8),BB458,AZ458="Boleto",BB458*(1+0.001)^DATEDIF(E458,G458,"D"),AZ458="Cheque",BB458,AZ458="Dinheiro","Alterar forma pgto")</f>
        <v/>
      </c>
      <c r="BD458" s="276" t="str" cm="1">
        <f t="array" ref="BD458">IF(F458=0," ",IF(BC458&lt;BB458,(_xlfn.IFS(AW458="SIM",SUM(L458,Q458,V458,AA458,AF458,AK458,AP458,AU458)+AX458/_xlfn.XLOOKUP(_xlfn.XLOOKUP($F458,Clientes!$B$4:$B$39,Clientes!$C$4:$C$39),Cadastros!$L$6:$L$12,Cadastros!$M$6:$M$12)+IF($F458="Bernardino Furlan",AY458/2751.92,IF($F458="Mauro José Salanti",AY458/2751.92,AY458/3356)),F458&lt;&gt;0,SUM(L458,Q458,V458,AA458,AF458,AK458,AP458,AU458)))*(1-0.03),_xlfn.IFS(AW458="SIM",SUM(L458,Q458,V458,AA458,AF458,AK458,AP458,AU458)+AX458/_xlfn.XLOOKUP(_xlfn.XLOOKUP($F458,Clientes!$B$4:$B$39,Clientes!$C$4:$C$39),Cadastros!$L$6:$L$12,Cadastros!$M$6:$M$12)+IF($F458="Bernardino Furlan",AY458/2751.92,IF($F458="Mauro José Salanti",AY458/2751.92,AY458/3356)),F458&lt;&gt;0,SUM(L458,Q458,V458,AA458,AF458,AK458,AP458,AU458))))</f>
        <v xml:space="preserve"> </v>
      </c>
      <c r="BE458" s="120"/>
      <c r="BF458" s="120"/>
      <c r="BG458" s="120"/>
    </row>
    <row r="459" spans="1:59" s="3" customFormat="1" x14ac:dyDescent="0.3">
      <c r="A459" s="15" t="str">
        <f t="shared" si="91"/>
        <v/>
      </c>
      <c r="B459" s="25"/>
      <c r="C459" s="26"/>
      <c r="D459" s="279"/>
      <c r="E459" s="27"/>
      <c r="F459" s="28"/>
      <c r="G459" s="27"/>
      <c r="H459" s="28"/>
      <c r="I459" s="28"/>
      <c r="J459" s="255" t="str">
        <f>IF(H459="","",(_xlfn.XLOOKUP(H459,Cadastros!$D$6:$D$90,Cadastros!$E$6:$E$90))*(1-_xlfn.XLOOKUP(_xlfn.XLOOKUP($F459,Clientes!$B$4:$B$39,Clientes!$C$4:$C$39),Cadastros!$L$6:$L$12,Cadastros!$N$6:$N$12)))</f>
        <v/>
      </c>
      <c r="K459" s="168" t="str">
        <f t="shared" si="92"/>
        <v/>
      </c>
      <c r="L459" s="168" t="str">
        <f>IFERROR(K459/_xlfn.XLOOKUP(_xlfn.XLOOKUP($F459,Clientes!$B$4:$B$39,Clientes!$C$4:$C$39),Cadastros!$L$6:$L$12,Cadastros!$M$6:$M$12)," ")</f>
        <v xml:space="preserve"> </v>
      </c>
      <c r="M459" s="28"/>
      <c r="N459" s="28"/>
      <c r="O459" s="255" t="str">
        <f>IF(M459="","",(_xlfn.XLOOKUP(M459,Cadastros!$D$6:$D$90,Cadastros!$E$6:$E$90))*(1-_xlfn.XLOOKUP(_xlfn.XLOOKUP($F459,Clientes!$B$4:$B$39,Clientes!$C$4:$C$39),Cadastros!$L$6:$L$12,Cadastros!$N$6:$N$12)))</f>
        <v/>
      </c>
      <c r="P459" s="168" t="str">
        <f t="shared" si="93"/>
        <v/>
      </c>
      <c r="Q459" s="168" t="str">
        <f>IFERROR(P459/_xlfn.XLOOKUP(_xlfn.XLOOKUP($F459,Clientes!$B$4:$B$39,Clientes!$C$4:$C$39),Cadastros!$L$6:$L$12,Cadastros!$M$6:$M$12)," ")</f>
        <v xml:space="preserve"> </v>
      </c>
      <c r="R459" s="28"/>
      <c r="S459" s="28"/>
      <c r="T459" s="255" t="str">
        <f>IF(R459="","",(_xlfn.XLOOKUP(R459,Cadastros!$D$6:$D$90,Cadastros!$E$6:$E$90))*(1-_xlfn.XLOOKUP(_xlfn.XLOOKUP($F459,Clientes!$B$4:$B$39,Clientes!$C$4:$C$39),Cadastros!$L$6:$L$12,Cadastros!$N$6:$N$12)))</f>
        <v/>
      </c>
      <c r="U459" s="168" t="str">
        <f t="shared" si="94"/>
        <v/>
      </c>
      <c r="V459" s="168" t="str">
        <f>IFERROR(U459/_xlfn.XLOOKUP(_xlfn.XLOOKUP($F459,Clientes!$B$4:$B$39,Clientes!$C$4:$C$39),Cadastros!$L$6:$L$12,Cadastros!$M$6:$M$12)," ")</f>
        <v xml:space="preserve"> </v>
      </c>
      <c r="W459" s="28"/>
      <c r="X459" s="28"/>
      <c r="Y459" s="255" t="str">
        <f>IF(W459="","",(_xlfn.XLOOKUP(W459,Cadastros!$D$6:$D$90,Cadastros!$E$6:$E$90))*(1-_xlfn.XLOOKUP(_xlfn.XLOOKUP($F459,Clientes!$B$4:$B$39,Clientes!$C$4:$C$39),Cadastros!$L$6:$L$12,Cadastros!$N$6:$N$12)))</f>
        <v/>
      </c>
      <c r="Z459" s="168" t="str">
        <f t="shared" si="95"/>
        <v/>
      </c>
      <c r="AA459" s="168" t="str">
        <f>IFERROR(Z459/_xlfn.XLOOKUP(_xlfn.XLOOKUP($F459,Clientes!$B$4:$B$39,Clientes!$C$4:$C$39),Cadastros!$L$6:$L$12,Cadastros!$M$6:$M$12)," ")</f>
        <v xml:space="preserve"> </v>
      </c>
      <c r="AB459" s="28"/>
      <c r="AC459" s="28"/>
      <c r="AD459" s="20" t="str">
        <f>IF(AB459="","",IF($F459="Bernardino Furlan",_xlfn.XLOOKUP(AB459,Cadastros!$G$6:$G$90,Cadastros!$H$6:$H$90)*(1-0.18),IF($F459="Mauro José Salanti",_xlfn.XLOOKUP(AB459,Cadastros!$G$6:$G$90,Cadastros!$H$6:$H$90)*(1-0.18),_xlfn.XLOOKUP(AB459,Cadastros!$G$6:$G$90,Cadastros!$H$6:$H$90))))</f>
        <v/>
      </c>
      <c r="AE459" s="168" t="str">
        <f t="shared" si="96"/>
        <v/>
      </c>
      <c r="AF459" s="168" t="str">
        <f t="shared" si="97"/>
        <v/>
      </c>
      <c r="AG459" s="28"/>
      <c r="AH459" s="28"/>
      <c r="AI459" s="20" t="str">
        <f>IF(AG459="","",IF($F459="Bernardino Furlan",_xlfn.XLOOKUP(AG459,Cadastros!$G$6:$G$90,Cadastros!$H$6:$H$90)*(1-0.18),IF($F459="Mauro José Salanti",_xlfn.XLOOKUP(AG459,Cadastros!$G$6:$G$90,Cadastros!$H$6:$H$90)*(1-0.18),_xlfn.XLOOKUP(AG459,Cadastros!$G$6:$G$90,Cadastros!$H$6:$H$90))))</f>
        <v/>
      </c>
      <c r="AJ459" s="168" t="str">
        <f t="shared" si="98"/>
        <v/>
      </c>
      <c r="AK459" s="168" t="str">
        <f t="shared" si="99"/>
        <v/>
      </c>
      <c r="AL459" s="28"/>
      <c r="AM459" s="28"/>
      <c r="AN459" s="20" t="str">
        <f>IF(AL459="","",IF($F459="Bernardino Furlan",_xlfn.XLOOKUP(AL459,Cadastros!$G$6:$G$90,Cadastros!$H$6:$H$90)*(1-0.18),IF($F459="Mauro José Salanti",_xlfn.XLOOKUP(AL459,Cadastros!$G$6:$G$90,Cadastros!$H$6:$H$90)*(1-0.18),_xlfn.XLOOKUP(AL459,Cadastros!$G$6:$G$90,Cadastros!$H$6:$H$90))))</f>
        <v/>
      </c>
      <c r="AO459" s="168" t="str">
        <f t="shared" si="100"/>
        <v/>
      </c>
      <c r="AP459" s="168" t="str">
        <f t="shared" si="101"/>
        <v/>
      </c>
      <c r="AQ459" s="28"/>
      <c r="AR459" s="28"/>
      <c r="AS459" s="20" t="str">
        <f>IF(AQ459="","",IF($F459="Bernardino Furlan",_xlfn.XLOOKUP(AQ459,Cadastros!$G$6:$G$90,Cadastros!$H$6:$H$90)*(1-0.18),IF($F459="Mauro José Salanti",_xlfn.XLOOKUP(AQ459,Cadastros!$G$6:$G$90,Cadastros!$H$6:$H$90)*(1-0.18),_xlfn.XLOOKUP(AQ459,Cadastros!$G$6:$G$90,Cadastros!$H$6:$H$90))))</f>
        <v/>
      </c>
      <c r="AT459" s="168" t="str">
        <f t="shared" si="102"/>
        <v/>
      </c>
      <c r="AU459" s="168" t="str">
        <f t="shared" si="103"/>
        <v/>
      </c>
      <c r="AV459" s="227"/>
      <c r="AW459" s="30"/>
      <c r="AX459" s="267"/>
      <c r="AY459" s="267"/>
      <c r="AZ459" s="29"/>
      <c r="BA459" s="30"/>
      <c r="BB459" s="23" t="str" cm="1">
        <f t="array" ref="BB459">_xlfn.IFS(AW459="SIM",SUM(K459,P459,U459,Z459,AE459,AJ459,AO459,AT459,AX459,AY459),F459&lt;&gt;"",SUM(K459,P459,U459,Z459,AE459,AJ459,,AO459,AT459),F459="","")</f>
        <v/>
      </c>
      <c r="BC459" s="211" t="str" cm="1">
        <f t="array" ref="BC459">_xlfn.IFS(E459="","",G459&lt;=E459,BB459*(1-0.03),G459&lt;(E459+8),BB459,AZ459="Boleto",BB459*(1+0.001)^DATEDIF(E459,G459,"D"),AZ459="Cheque",BB459,AZ459="Dinheiro","Alterar forma pgto")</f>
        <v/>
      </c>
      <c r="BD459" s="276" t="str" cm="1">
        <f t="array" ref="BD459">IF(F459=0," ",IF(BC459&lt;BB459,(_xlfn.IFS(AW459="SIM",SUM(L459,Q459,V459,AA459,AF459,AK459,AP459,AU459)+AX459/_xlfn.XLOOKUP(_xlfn.XLOOKUP($F459,Clientes!$B$4:$B$39,Clientes!$C$4:$C$39),Cadastros!$L$6:$L$12,Cadastros!$M$6:$M$12)+IF($F459="Bernardino Furlan",AY459/2751.92,IF($F459="Mauro José Salanti",AY459/2751.92,AY459/3356)),F459&lt;&gt;0,SUM(L459,Q459,V459,AA459,AF459,AK459,AP459,AU459)))*(1-0.03),_xlfn.IFS(AW459="SIM",SUM(L459,Q459,V459,AA459,AF459,AK459,AP459,AU459)+AX459/_xlfn.XLOOKUP(_xlfn.XLOOKUP($F459,Clientes!$B$4:$B$39,Clientes!$C$4:$C$39),Cadastros!$L$6:$L$12,Cadastros!$M$6:$M$12)+IF($F459="Bernardino Furlan",AY459/2751.92,IF($F459="Mauro José Salanti",AY459/2751.92,AY459/3356)),F459&lt;&gt;0,SUM(L459,Q459,V459,AA459,AF459,AK459,AP459,AU459))))</f>
        <v xml:space="preserve"> </v>
      </c>
      <c r="BE459" s="120"/>
      <c r="BF459" s="120"/>
      <c r="BG459" s="120"/>
    </row>
    <row r="460" spans="1:59" s="3" customFormat="1" x14ac:dyDescent="0.3">
      <c r="A460" s="15" t="str">
        <f t="shared" si="91"/>
        <v/>
      </c>
      <c r="B460" s="25"/>
      <c r="C460" s="26"/>
      <c r="D460" s="279"/>
      <c r="E460" s="27"/>
      <c r="F460" s="28"/>
      <c r="G460" s="27"/>
      <c r="H460" s="28"/>
      <c r="I460" s="28"/>
      <c r="J460" s="255" t="str">
        <f>IF(H460="","",(_xlfn.XLOOKUP(H460,Cadastros!$D$6:$D$90,Cadastros!$E$6:$E$90))*(1-_xlfn.XLOOKUP(_xlfn.XLOOKUP($F460,Clientes!$B$4:$B$39,Clientes!$C$4:$C$39),Cadastros!$L$6:$L$12,Cadastros!$N$6:$N$12)))</f>
        <v/>
      </c>
      <c r="K460" s="168" t="str">
        <f t="shared" si="92"/>
        <v/>
      </c>
      <c r="L460" s="168" t="str">
        <f>IFERROR(K460/_xlfn.XLOOKUP(_xlfn.XLOOKUP($F460,Clientes!$B$4:$B$39,Clientes!$C$4:$C$39),Cadastros!$L$6:$L$12,Cadastros!$M$6:$M$12)," ")</f>
        <v xml:space="preserve"> </v>
      </c>
      <c r="M460" s="28"/>
      <c r="N460" s="28"/>
      <c r="O460" s="255" t="str">
        <f>IF(M460="","",(_xlfn.XLOOKUP(M460,Cadastros!$D$6:$D$90,Cadastros!$E$6:$E$90))*(1-_xlfn.XLOOKUP(_xlfn.XLOOKUP($F460,Clientes!$B$4:$B$39,Clientes!$C$4:$C$39),Cadastros!$L$6:$L$12,Cadastros!$N$6:$N$12)))</f>
        <v/>
      </c>
      <c r="P460" s="168" t="str">
        <f t="shared" si="93"/>
        <v/>
      </c>
      <c r="Q460" s="168" t="str">
        <f>IFERROR(P460/_xlfn.XLOOKUP(_xlfn.XLOOKUP($F460,Clientes!$B$4:$B$39,Clientes!$C$4:$C$39),Cadastros!$L$6:$L$12,Cadastros!$M$6:$M$12)," ")</f>
        <v xml:space="preserve"> </v>
      </c>
      <c r="R460" s="28"/>
      <c r="S460" s="28"/>
      <c r="T460" s="255" t="str">
        <f>IF(R460="","",(_xlfn.XLOOKUP(R460,Cadastros!$D$6:$D$90,Cadastros!$E$6:$E$90))*(1-_xlfn.XLOOKUP(_xlfn.XLOOKUP($F460,Clientes!$B$4:$B$39,Clientes!$C$4:$C$39),Cadastros!$L$6:$L$12,Cadastros!$N$6:$N$12)))</f>
        <v/>
      </c>
      <c r="U460" s="168" t="str">
        <f t="shared" si="94"/>
        <v/>
      </c>
      <c r="V460" s="168" t="str">
        <f>IFERROR(U460/_xlfn.XLOOKUP(_xlfn.XLOOKUP($F460,Clientes!$B$4:$B$39,Clientes!$C$4:$C$39),Cadastros!$L$6:$L$12,Cadastros!$M$6:$M$12)," ")</f>
        <v xml:space="preserve"> </v>
      </c>
      <c r="W460" s="28"/>
      <c r="X460" s="28"/>
      <c r="Y460" s="255" t="str">
        <f>IF(W460="","",(_xlfn.XLOOKUP(W460,Cadastros!$D$6:$D$90,Cadastros!$E$6:$E$90))*(1-_xlfn.XLOOKUP(_xlfn.XLOOKUP($F460,Clientes!$B$4:$B$39,Clientes!$C$4:$C$39),Cadastros!$L$6:$L$12,Cadastros!$N$6:$N$12)))</f>
        <v/>
      </c>
      <c r="Z460" s="168" t="str">
        <f t="shared" si="95"/>
        <v/>
      </c>
      <c r="AA460" s="168" t="str">
        <f>IFERROR(Z460/_xlfn.XLOOKUP(_xlfn.XLOOKUP($F460,Clientes!$B$4:$B$39,Clientes!$C$4:$C$39),Cadastros!$L$6:$L$12,Cadastros!$M$6:$M$12)," ")</f>
        <v xml:space="preserve"> </v>
      </c>
      <c r="AB460" s="28"/>
      <c r="AC460" s="28"/>
      <c r="AD460" s="20" t="str">
        <f>IF(AB460="","",IF($F460="Bernardino Furlan",_xlfn.XLOOKUP(AB460,Cadastros!$G$6:$G$90,Cadastros!$H$6:$H$90)*(1-0.18),IF($F460="Mauro José Salanti",_xlfn.XLOOKUP(AB460,Cadastros!$G$6:$G$90,Cadastros!$H$6:$H$90)*(1-0.18),_xlfn.XLOOKUP(AB460,Cadastros!$G$6:$G$90,Cadastros!$H$6:$H$90))))</f>
        <v/>
      </c>
      <c r="AE460" s="168" t="str">
        <f t="shared" si="96"/>
        <v/>
      </c>
      <c r="AF460" s="168" t="str">
        <f t="shared" si="97"/>
        <v/>
      </c>
      <c r="AG460" s="28"/>
      <c r="AH460" s="28"/>
      <c r="AI460" s="20" t="str">
        <f>IF(AG460="","",IF($F460="Bernardino Furlan",_xlfn.XLOOKUP(AG460,Cadastros!$G$6:$G$90,Cadastros!$H$6:$H$90)*(1-0.18),IF($F460="Mauro José Salanti",_xlfn.XLOOKUP(AG460,Cadastros!$G$6:$G$90,Cadastros!$H$6:$H$90)*(1-0.18),_xlfn.XLOOKUP(AG460,Cadastros!$G$6:$G$90,Cadastros!$H$6:$H$90))))</f>
        <v/>
      </c>
      <c r="AJ460" s="168" t="str">
        <f t="shared" si="98"/>
        <v/>
      </c>
      <c r="AK460" s="168" t="str">
        <f t="shared" si="99"/>
        <v/>
      </c>
      <c r="AL460" s="28"/>
      <c r="AM460" s="28"/>
      <c r="AN460" s="20" t="str">
        <f>IF(AL460="","",IF($F460="Bernardino Furlan",_xlfn.XLOOKUP(AL460,Cadastros!$G$6:$G$90,Cadastros!$H$6:$H$90)*(1-0.18),IF($F460="Mauro José Salanti",_xlfn.XLOOKUP(AL460,Cadastros!$G$6:$G$90,Cadastros!$H$6:$H$90)*(1-0.18),_xlfn.XLOOKUP(AL460,Cadastros!$G$6:$G$90,Cadastros!$H$6:$H$90))))</f>
        <v/>
      </c>
      <c r="AO460" s="168" t="str">
        <f t="shared" si="100"/>
        <v/>
      </c>
      <c r="AP460" s="168" t="str">
        <f t="shared" si="101"/>
        <v/>
      </c>
      <c r="AQ460" s="28"/>
      <c r="AR460" s="28"/>
      <c r="AS460" s="20" t="str">
        <f>IF(AQ460="","",IF($F460="Bernardino Furlan",_xlfn.XLOOKUP(AQ460,Cadastros!$G$6:$G$90,Cadastros!$H$6:$H$90)*(1-0.18),IF($F460="Mauro José Salanti",_xlfn.XLOOKUP(AQ460,Cadastros!$G$6:$G$90,Cadastros!$H$6:$H$90)*(1-0.18),_xlfn.XLOOKUP(AQ460,Cadastros!$G$6:$G$90,Cadastros!$H$6:$H$90))))</f>
        <v/>
      </c>
      <c r="AT460" s="168" t="str">
        <f t="shared" si="102"/>
        <v/>
      </c>
      <c r="AU460" s="168" t="str">
        <f t="shared" si="103"/>
        <v/>
      </c>
      <c r="AV460" s="227"/>
      <c r="AW460" s="30"/>
      <c r="AX460" s="267"/>
      <c r="AY460" s="267"/>
      <c r="AZ460" s="29"/>
      <c r="BA460" s="30"/>
      <c r="BB460" s="23" t="str" cm="1">
        <f t="array" ref="BB460">_xlfn.IFS(AW460="SIM",SUM(K460,P460,U460,Z460,AE460,AJ460,AO460,AT460,AX460,AY460),F460&lt;&gt;"",SUM(K460,P460,U460,Z460,AE460,AJ460,,AO460,AT460),F460="","")</f>
        <v/>
      </c>
      <c r="BC460" s="211" t="str" cm="1">
        <f t="array" ref="BC460">_xlfn.IFS(E460="","",G460&lt;=E460,BB460*(1-0.03),G460&lt;(E460+8),BB460,AZ460="Boleto",BB460*(1+0.001)^DATEDIF(E460,G460,"D"),AZ460="Cheque",BB460,AZ460="Dinheiro","Alterar forma pgto")</f>
        <v/>
      </c>
      <c r="BD460" s="276" t="str" cm="1">
        <f t="array" ref="BD460">IF(F460=0," ",IF(BC460&lt;BB460,(_xlfn.IFS(AW460="SIM",SUM(L460,Q460,V460,AA460,AF460,AK460,AP460,AU460)+AX460/_xlfn.XLOOKUP(_xlfn.XLOOKUP($F460,Clientes!$B$4:$B$39,Clientes!$C$4:$C$39),Cadastros!$L$6:$L$12,Cadastros!$M$6:$M$12)+IF($F460="Bernardino Furlan",AY460/2751.92,IF($F460="Mauro José Salanti",AY460/2751.92,AY460/3356)),F460&lt;&gt;0,SUM(L460,Q460,V460,AA460,AF460,AK460,AP460,AU460)))*(1-0.03),_xlfn.IFS(AW460="SIM",SUM(L460,Q460,V460,AA460,AF460,AK460,AP460,AU460)+AX460/_xlfn.XLOOKUP(_xlfn.XLOOKUP($F460,Clientes!$B$4:$B$39,Clientes!$C$4:$C$39),Cadastros!$L$6:$L$12,Cadastros!$M$6:$M$12)+IF($F460="Bernardino Furlan",AY460/2751.92,IF($F460="Mauro José Salanti",AY460/2751.92,AY460/3356)),F460&lt;&gt;0,SUM(L460,Q460,V460,AA460,AF460,AK460,AP460,AU460))))</f>
        <v xml:space="preserve"> </v>
      </c>
      <c r="BE460" s="120"/>
      <c r="BF460" s="120"/>
      <c r="BG460" s="120"/>
    </row>
    <row r="461" spans="1:59" s="3" customFormat="1" x14ac:dyDescent="0.3">
      <c r="A461" s="15" t="str">
        <f t="shared" si="91"/>
        <v/>
      </c>
      <c r="B461" s="25"/>
      <c r="C461" s="26"/>
      <c r="D461" s="279"/>
      <c r="E461" s="27"/>
      <c r="F461" s="28"/>
      <c r="G461" s="27"/>
      <c r="H461" s="28"/>
      <c r="I461" s="31"/>
      <c r="J461" s="255" t="str">
        <f>IF(H461="","",(_xlfn.XLOOKUP(H461,Cadastros!$D$6:$D$90,Cadastros!$E$6:$E$90))*(1-_xlfn.XLOOKUP(_xlfn.XLOOKUP($F461,Clientes!$B$4:$B$39,Clientes!$C$4:$C$39),Cadastros!$L$6:$L$12,Cadastros!$N$6:$N$12)))</f>
        <v/>
      </c>
      <c r="K461" s="168" t="str">
        <f t="shared" si="92"/>
        <v/>
      </c>
      <c r="L461" s="168" t="str">
        <f>IFERROR(K461/_xlfn.XLOOKUP(_xlfn.XLOOKUP($F461,Clientes!$B$4:$B$39,Clientes!$C$4:$C$39),Cadastros!$L$6:$L$12,Cadastros!$M$6:$M$12)," ")</f>
        <v xml:space="preserve"> </v>
      </c>
      <c r="M461" s="28"/>
      <c r="N461" s="28"/>
      <c r="O461" s="255" t="str">
        <f>IF(M461="","",(_xlfn.XLOOKUP(M461,Cadastros!$D$6:$D$90,Cadastros!$E$6:$E$90))*(1-_xlfn.XLOOKUP(_xlfn.XLOOKUP($F461,Clientes!$B$4:$B$39,Clientes!$C$4:$C$39),Cadastros!$L$6:$L$12,Cadastros!$N$6:$N$12)))</f>
        <v/>
      </c>
      <c r="P461" s="168" t="str">
        <f t="shared" si="93"/>
        <v/>
      </c>
      <c r="Q461" s="168" t="str">
        <f>IFERROR(P461/_xlfn.XLOOKUP(_xlfn.XLOOKUP($F461,Clientes!$B$4:$B$39,Clientes!$C$4:$C$39),Cadastros!$L$6:$L$12,Cadastros!$M$6:$M$12)," ")</f>
        <v xml:space="preserve"> </v>
      </c>
      <c r="R461" s="28"/>
      <c r="S461" s="28"/>
      <c r="T461" s="255" t="str">
        <f>IF(R461="","",(_xlfn.XLOOKUP(R461,Cadastros!$D$6:$D$90,Cadastros!$E$6:$E$90))*(1-_xlfn.XLOOKUP(_xlfn.XLOOKUP($F461,Clientes!$B$4:$B$39,Clientes!$C$4:$C$39),Cadastros!$L$6:$L$12,Cadastros!$N$6:$N$12)))</f>
        <v/>
      </c>
      <c r="U461" s="168" t="str">
        <f t="shared" si="94"/>
        <v/>
      </c>
      <c r="V461" s="168" t="str">
        <f>IFERROR(U461/_xlfn.XLOOKUP(_xlfn.XLOOKUP($F461,Clientes!$B$4:$B$39,Clientes!$C$4:$C$39),Cadastros!$L$6:$L$12,Cadastros!$M$6:$M$12)," ")</f>
        <v xml:space="preserve"> </v>
      </c>
      <c r="W461" s="28"/>
      <c r="X461" s="28"/>
      <c r="Y461" s="255" t="str">
        <f>IF(W461="","",(_xlfn.XLOOKUP(W461,Cadastros!$D$6:$D$90,Cadastros!$E$6:$E$90))*(1-_xlfn.XLOOKUP(_xlfn.XLOOKUP($F461,Clientes!$B$4:$B$39,Clientes!$C$4:$C$39),Cadastros!$L$6:$L$12,Cadastros!$N$6:$N$12)))</f>
        <v/>
      </c>
      <c r="Z461" s="168" t="str">
        <f t="shared" si="95"/>
        <v/>
      </c>
      <c r="AA461" s="168" t="str">
        <f>IFERROR(Z461/_xlfn.XLOOKUP(_xlfn.XLOOKUP($F461,Clientes!$B$4:$B$39,Clientes!$C$4:$C$39),Cadastros!$L$6:$L$12,Cadastros!$M$6:$M$12)," ")</f>
        <v xml:space="preserve"> </v>
      </c>
      <c r="AB461" s="28"/>
      <c r="AC461" s="28"/>
      <c r="AD461" s="20" t="str">
        <f>IF(AB461="","",IF($F461="Bernardino Furlan",_xlfn.XLOOKUP(AB461,Cadastros!$G$6:$G$90,Cadastros!$H$6:$H$90)*(1-0.18),IF($F461="Mauro José Salanti",_xlfn.XLOOKUP(AB461,Cadastros!$G$6:$G$90,Cadastros!$H$6:$H$90)*(1-0.18),_xlfn.XLOOKUP(AB461,Cadastros!$G$6:$G$90,Cadastros!$H$6:$H$90))))</f>
        <v/>
      </c>
      <c r="AE461" s="168" t="str">
        <f t="shared" si="96"/>
        <v/>
      </c>
      <c r="AF461" s="168" t="str">
        <f t="shared" si="97"/>
        <v/>
      </c>
      <c r="AG461" s="28"/>
      <c r="AH461" s="28"/>
      <c r="AI461" s="20" t="str">
        <f>IF(AG461="","",IF($F461="Bernardino Furlan",_xlfn.XLOOKUP(AG461,Cadastros!$G$6:$G$90,Cadastros!$H$6:$H$90)*(1-0.18),IF($F461="Mauro José Salanti",_xlfn.XLOOKUP(AG461,Cadastros!$G$6:$G$90,Cadastros!$H$6:$H$90)*(1-0.18),_xlfn.XLOOKUP(AG461,Cadastros!$G$6:$G$90,Cadastros!$H$6:$H$90))))</f>
        <v/>
      </c>
      <c r="AJ461" s="168" t="str">
        <f t="shared" si="98"/>
        <v/>
      </c>
      <c r="AK461" s="168" t="str">
        <f t="shared" si="99"/>
        <v/>
      </c>
      <c r="AL461" s="28"/>
      <c r="AM461" s="28"/>
      <c r="AN461" s="20" t="str">
        <f>IF(AL461="","",IF($F461="Bernardino Furlan",_xlfn.XLOOKUP(AL461,Cadastros!$G$6:$G$90,Cadastros!$H$6:$H$90)*(1-0.18),IF($F461="Mauro José Salanti",_xlfn.XLOOKUP(AL461,Cadastros!$G$6:$G$90,Cadastros!$H$6:$H$90)*(1-0.18),_xlfn.XLOOKUP(AL461,Cadastros!$G$6:$G$90,Cadastros!$H$6:$H$90))))</f>
        <v/>
      </c>
      <c r="AO461" s="168" t="str">
        <f t="shared" si="100"/>
        <v/>
      </c>
      <c r="AP461" s="168" t="str">
        <f t="shared" si="101"/>
        <v/>
      </c>
      <c r="AQ461" s="28"/>
      <c r="AR461" s="28"/>
      <c r="AS461" s="20" t="str">
        <f>IF(AQ461="","",IF($F461="Bernardino Furlan",_xlfn.XLOOKUP(AQ461,Cadastros!$G$6:$G$90,Cadastros!$H$6:$H$90)*(1-0.18),IF($F461="Mauro José Salanti",_xlfn.XLOOKUP(AQ461,Cadastros!$G$6:$G$90,Cadastros!$H$6:$H$90)*(1-0.18),_xlfn.XLOOKUP(AQ461,Cadastros!$G$6:$G$90,Cadastros!$H$6:$H$90))))</f>
        <v/>
      </c>
      <c r="AT461" s="168" t="str">
        <f t="shared" si="102"/>
        <v/>
      </c>
      <c r="AU461" s="168" t="str">
        <f t="shared" si="103"/>
        <v/>
      </c>
      <c r="AV461" s="227"/>
      <c r="AW461" s="30"/>
      <c r="AX461" s="267"/>
      <c r="AY461" s="267"/>
      <c r="AZ461" s="29"/>
      <c r="BA461" s="30"/>
      <c r="BB461" s="23" t="str" cm="1">
        <f t="array" ref="BB461">_xlfn.IFS(AW461="SIM",SUM(K461,P461,U461,Z461,AE461,AJ461,AO461,AT461,AX461,AY461),F461&lt;&gt;"",SUM(K461,P461,U461,Z461,AE461,AJ461,,AO461,AT461),F461="","")</f>
        <v/>
      </c>
      <c r="BC461" s="211" t="str" cm="1">
        <f t="array" ref="BC461">_xlfn.IFS(E461="","",G461&lt;=E461,BB461*(1-0.03),G461&lt;(E461+8),BB461,AZ461="Boleto",BB461*(1+0.001)^DATEDIF(E461,G461,"D"),AZ461="Cheque",BB461,AZ461="Dinheiro","Alterar forma pgto")</f>
        <v/>
      </c>
      <c r="BD461" s="276" t="str" cm="1">
        <f t="array" ref="BD461">IF(F461=0," ",IF(BC461&lt;BB461,(_xlfn.IFS(AW461="SIM",SUM(L461,Q461,V461,AA461,AF461,AK461,AP461,AU461)+AX461/_xlfn.XLOOKUP(_xlfn.XLOOKUP($F461,Clientes!$B$4:$B$39,Clientes!$C$4:$C$39),Cadastros!$L$6:$L$12,Cadastros!$M$6:$M$12)+IF($F461="Bernardino Furlan",AY461/2751.92,IF($F461="Mauro José Salanti",AY461/2751.92,AY461/3356)),F461&lt;&gt;0,SUM(L461,Q461,V461,AA461,AF461,AK461,AP461,AU461)))*(1-0.03),_xlfn.IFS(AW461="SIM",SUM(L461,Q461,V461,AA461,AF461,AK461,AP461,AU461)+AX461/_xlfn.XLOOKUP(_xlfn.XLOOKUP($F461,Clientes!$B$4:$B$39,Clientes!$C$4:$C$39),Cadastros!$L$6:$L$12,Cadastros!$M$6:$M$12)+IF($F461="Bernardino Furlan",AY461/2751.92,IF($F461="Mauro José Salanti",AY461/2751.92,AY461/3356)),F461&lt;&gt;0,SUM(L461,Q461,V461,AA461,AF461,AK461,AP461,AU461))))</f>
        <v xml:space="preserve"> </v>
      </c>
      <c r="BE461" s="120"/>
      <c r="BF461" s="120"/>
      <c r="BG461" s="120"/>
    </row>
    <row r="462" spans="1:59" s="3" customFormat="1" x14ac:dyDescent="0.3">
      <c r="A462" s="15" t="str">
        <f t="shared" si="91"/>
        <v/>
      </c>
      <c r="B462" s="25"/>
      <c r="C462" s="26"/>
      <c r="D462" s="279"/>
      <c r="E462" s="27"/>
      <c r="F462" s="28"/>
      <c r="G462" s="27"/>
      <c r="H462" s="28"/>
      <c r="I462" s="28"/>
      <c r="J462" s="255" t="str">
        <f>IF(H462="","",(_xlfn.XLOOKUP(H462,Cadastros!$D$6:$D$90,Cadastros!$E$6:$E$90))*(1-_xlfn.XLOOKUP(_xlfn.XLOOKUP($F462,Clientes!$B$4:$B$39,Clientes!$C$4:$C$39),Cadastros!$L$6:$L$12,Cadastros!$N$6:$N$12)))</f>
        <v/>
      </c>
      <c r="K462" s="168" t="str">
        <f t="shared" si="92"/>
        <v/>
      </c>
      <c r="L462" s="168" t="str">
        <f>IFERROR(K462/_xlfn.XLOOKUP(_xlfn.XLOOKUP($F462,Clientes!$B$4:$B$39,Clientes!$C$4:$C$39),Cadastros!$L$6:$L$12,Cadastros!$M$6:$M$12)," ")</f>
        <v xml:space="preserve"> </v>
      </c>
      <c r="M462" s="28"/>
      <c r="N462" s="28"/>
      <c r="O462" s="255" t="str">
        <f>IF(M462="","",(_xlfn.XLOOKUP(M462,Cadastros!$D$6:$D$90,Cadastros!$E$6:$E$90))*(1-_xlfn.XLOOKUP(_xlfn.XLOOKUP($F462,Clientes!$B$4:$B$39,Clientes!$C$4:$C$39),Cadastros!$L$6:$L$12,Cadastros!$N$6:$N$12)))</f>
        <v/>
      </c>
      <c r="P462" s="168" t="str">
        <f t="shared" si="93"/>
        <v/>
      </c>
      <c r="Q462" s="168" t="str">
        <f>IFERROR(P462/_xlfn.XLOOKUP(_xlfn.XLOOKUP($F462,Clientes!$B$4:$B$39,Clientes!$C$4:$C$39),Cadastros!$L$6:$L$12,Cadastros!$M$6:$M$12)," ")</f>
        <v xml:space="preserve"> </v>
      </c>
      <c r="R462" s="28"/>
      <c r="S462" s="28"/>
      <c r="T462" s="255" t="str">
        <f>IF(R462="","",(_xlfn.XLOOKUP(R462,Cadastros!$D$6:$D$90,Cadastros!$E$6:$E$90))*(1-_xlfn.XLOOKUP(_xlfn.XLOOKUP($F462,Clientes!$B$4:$B$39,Clientes!$C$4:$C$39),Cadastros!$L$6:$L$12,Cadastros!$N$6:$N$12)))</f>
        <v/>
      </c>
      <c r="U462" s="168" t="str">
        <f t="shared" si="94"/>
        <v/>
      </c>
      <c r="V462" s="168" t="str">
        <f>IFERROR(U462/_xlfn.XLOOKUP(_xlfn.XLOOKUP($F462,Clientes!$B$4:$B$39,Clientes!$C$4:$C$39),Cadastros!$L$6:$L$12,Cadastros!$M$6:$M$12)," ")</f>
        <v xml:space="preserve"> </v>
      </c>
      <c r="W462" s="28"/>
      <c r="X462" s="28"/>
      <c r="Y462" s="255" t="str">
        <f>IF(W462="","",(_xlfn.XLOOKUP(W462,Cadastros!$D$6:$D$90,Cadastros!$E$6:$E$90))*(1-_xlfn.XLOOKUP(_xlfn.XLOOKUP($F462,Clientes!$B$4:$B$39,Clientes!$C$4:$C$39),Cadastros!$L$6:$L$12,Cadastros!$N$6:$N$12)))</f>
        <v/>
      </c>
      <c r="Z462" s="168" t="str">
        <f t="shared" si="95"/>
        <v/>
      </c>
      <c r="AA462" s="168" t="str">
        <f>IFERROR(Z462/_xlfn.XLOOKUP(_xlfn.XLOOKUP($F462,Clientes!$B$4:$B$39,Clientes!$C$4:$C$39),Cadastros!$L$6:$L$12,Cadastros!$M$6:$M$12)," ")</f>
        <v xml:space="preserve"> </v>
      </c>
      <c r="AB462" s="28"/>
      <c r="AC462" s="28"/>
      <c r="AD462" s="20" t="str">
        <f>IF(AB462="","",IF($F462="Bernardino Furlan",_xlfn.XLOOKUP(AB462,Cadastros!$G$6:$G$90,Cadastros!$H$6:$H$90)*(1-0.18),IF($F462="Mauro José Salanti",_xlfn.XLOOKUP(AB462,Cadastros!$G$6:$G$90,Cadastros!$H$6:$H$90)*(1-0.18),_xlfn.XLOOKUP(AB462,Cadastros!$G$6:$G$90,Cadastros!$H$6:$H$90))))</f>
        <v/>
      </c>
      <c r="AE462" s="168" t="str">
        <f t="shared" si="96"/>
        <v/>
      </c>
      <c r="AF462" s="168" t="str">
        <f t="shared" si="97"/>
        <v/>
      </c>
      <c r="AG462" s="28"/>
      <c r="AH462" s="28"/>
      <c r="AI462" s="20" t="str">
        <f>IF(AG462="","",IF($F462="Bernardino Furlan",_xlfn.XLOOKUP(AG462,Cadastros!$G$6:$G$90,Cadastros!$H$6:$H$90)*(1-0.18),IF($F462="Mauro José Salanti",_xlfn.XLOOKUP(AG462,Cadastros!$G$6:$G$90,Cadastros!$H$6:$H$90)*(1-0.18),_xlfn.XLOOKUP(AG462,Cadastros!$G$6:$G$90,Cadastros!$H$6:$H$90))))</f>
        <v/>
      </c>
      <c r="AJ462" s="168" t="str">
        <f t="shared" si="98"/>
        <v/>
      </c>
      <c r="AK462" s="168" t="str">
        <f t="shared" si="99"/>
        <v/>
      </c>
      <c r="AL462" s="28"/>
      <c r="AM462" s="28"/>
      <c r="AN462" s="20" t="str">
        <f>IF(AL462="","",IF($F462="Bernardino Furlan",_xlfn.XLOOKUP(AL462,Cadastros!$G$6:$G$90,Cadastros!$H$6:$H$90)*(1-0.18),IF($F462="Mauro José Salanti",_xlfn.XLOOKUP(AL462,Cadastros!$G$6:$G$90,Cadastros!$H$6:$H$90)*(1-0.18),_xlfn.XLOOKUP(AL462,Cadastros!$G$6:$G$90,Cadastros!$H$6:$H$90))))</f>
        <v/>
      </c>
      <c r="AO462" s="168" t="str">
        <f t="shared" si="100"/>
        <v/>
      </c>
      <c r="AP462" s="168" t="str">
        <f t="shared" si="101"/>
        <v/>
      </c>
      <c r="AQ462" s="28"/>
      <c r="AR462" s="28"/>
      <c r="AS462" s="20" t="str">
        <f>IF(AQ462="","",IF($F462="Bernardino Furlan",_xlfn.XLOOKUP(AQ462,Cadastros!$G$6:$G$90,Cadastros!$H$6:$H$90)*(1-0.18),IF($F462="Mauro José Salanti",_xlfn.XLOOKUP(AQ462,Cadastros!$G$6:$G$90,Cadastros!$H$6:$H$90)*(1-0.18),_xlfn.XLOOKUP(AQ462,Cadastros!$G$6:$G$90,Cadastros!$H$6:$H$90))))</f>
        <v/>
      </c>
      <c r="AT462" s="168" t="str">
        <f t="shared" si="102"/>
        <v/>
      </c>
      <c r="AU462" s="168" t="str">
        <f t="shared" si="103"/>
        <v/>
      </c>
      <c r="AV462" s="227"/>
      <c r="AW462" s="30"/>
      <c r="AX462" s="267"/>
      <c r="AY462" s="267"/>
      <c r="AZ462" s="29"/>
      <c r="BA462" s="30"/>
      <c r="BB462" s="23" t="str" cm="1">
        <f t="array" ref="BB462">_xlfn.IFS(AW462="SIM",SUM(K462,P462,U462,Z462,AE462,AJ462,AO462,AT462,AX462,AY462),F462&lt;&gt;"",SUM(K462,P462,U462,Z462,AE462,AJ462,,AO462,AT462),F462="","")</f>
        <v/>
      </c>
      <c r="BC462" s="211" t="str" cm="1">
        <f t="array" ref="BC462">_xlfn.IFS(E462="","",G462&lt;=E462,BB462*(1-0.03),G462&lt;(E462+8),BB462,AZ462="Boleto",BB462*(1+0.001)^DATEDIF(E462,G462,"D"),AZ462="Cheque",BB462,AZ462="Dinheiro","Alterar forma pgto")</f>
        <v/>
      </c>
      <c r="BD462" s="276" t="str" cm="1">
        <f t="array" ref="BD462">IF(F462=0," ",IF(BC462&lt;BB462,(_xlfn.IFS(AW462="SIM",SUM(L462,Q462,V462,AA462,AF462,AK462,AP462,AU462)+AX462/_xlfn.XLOOKUP(_xlfn.XLOOKUP($F462,Clientes!$B$4:$B$39,Clientes!$C$4:$C$39),Cadastros!$L$6:$L$12,Cadastros!$M$6:$M$12)+IF($F462="Bernardino Furlan",AY462/2751.92,IF($F462="Mauro José Salanti",AY462/2751.92,AY462/3356)),F462&lt;&gt;0,SUM(L462,Q462,V462,AA462,AF462,AK462,AP462,AU462)))*(1-0.03),_xlfn.IFS(AW462="SIM",SUM(L462,Q462,V462,AA462,AF462,AK462,AP462,AU462)+AX462/_xlfn.XLOOKUP(_xlfn.XLOOKUP($F462,Clientes!$B$4:$B$39,Clientes!$C$4:$C$39),Cadastros!$L$6:$L$12,Cadastros!$M$6:$M$12)+IF($F462="Bernardino Furlan",AY462/2751.92,IF($F462="Mauro José Salanti",AY462/2751.92,AY462/3356)),F462&lt;&gt;0,SUM(L462,Q462,V462,AA462,AF462,AK462,AP462,AU462))))</f>
        <v xml:space="preserve"> </v>
      </c>
      <c r="BE462" s="120"/>
      <c r="BF462" s="120"/>
      <c r="BG462" s="120"/>
    </row>
    <row r="463" spans="1:59" s="3" customFormat="1" x14ac:dyDescent="0.3">
      <c r="A463" s="15" t="str">
        <f t="shared" si="91"/>
        <v/>
      </c>
      <c r="B463" s="25"/>
      <c r="C463" s="26"/>
      <c r="D463" s="279"/>
      <c r="E463" s="27"/>
      <c r="F463" s="28"/>
      <c r="G463" s="27"/>
      <c r="H463" s="28"/>
      <c r="I463" s="28"/>
      <c r="J463" s="255" t="str">
        <f>IF(H463="","",(_xlfn.XLOOKUP(H463,Cadastros!$D$6:$D$90,Cadastros!$E$6:$E$90))*(1-_xlfn.XLOOKUP(_xlfn.XLOOKUP($F463,Clientes!$B$4:$B$39,Clientes!$C$4:$C$39),Cadastros!$L$6:$L$12,Cadastros!$N$6:$N$12)))</f>
        <v/>
      </c>
      <c r="K463" s="168" t="str">
        <f t="shared" si="92"/>
        <v/>
      </c>
      <c r="L463" s="168" t="str">
        <f>IFERROR(K463/_xlfn.XLOOKUP(_xlfn.XLOOKUP($F463,Clientes!$B$4:$B$39,Clientes!$C$4:$C$39),Cadastros!$L$6:$L$12,Cadastros!$M$6:$M$12)," ")</f>
        <v xml:space="preserve"> </v>
      </c>
      <c r="M463" s="28"/>
      <c r="N463" s="28"/>
      <c r="O463" s="255" t="str">
        <f>IF(M463="","",(_xlfn.XLOOKUP(M463,Cadastros!$D$6:$D$90,Cadastros!$E$6:$E$90))*(1-_xlfn.XLOOKUP(_xlfn.XLOOKUP($F463,Clientes!$B$4:$B$39,Clientes!$C$4:$C$39),Cadastros!$L$6:$L$12,Cadastros!$N$6:$N$12)))</f>
        <v/>
      </c>
      <c r="P463" s="168" t="str">
        <f t="shared" si="93"/>
        <v/>
      </c>
      <c r="Q463" s="168" t="str">
        <f>IFERROR(P463/_xlfn.XLOOKUP(_xlfn.XLOOKUP($F463,Clientes!$B$4:$B$39,Clientes!$C$4:$C$39),Cadastros!$L$6:$L$12,Cadastros!$M$6:$M$12)," ")</f>
        <v xml:space="preserve"> </v>
      </c>
      <c r="R463" s="28"/>
      <c r="S463" s="28"/>
      <c r="T463" s="255" t="str">
        <f>IF(R463="","",(_xlfn.XLOOKUP(R463,Cadastros!$D$6:$D$90,Cadastros!$E$6:$E$90))*(1-_xlfn.XLOOKUP(_xlfn.XLOOKUP($F463,Clientes!$B$4:$B$39,Clientes!$C$4:$C$39),Cadastros!$L$6:$L$12,Cadastros!$N$6:$N$12)))</f>
        <v/>
      </c>
      <c r="U463" s="168" t="str">
        <f t="shared" si="94"/>
        <v/>
      </c>
      <c r="V463" s="168" t="str">
        <f>IFERROR(U463/_xlfn.XLOOKUP(_xlfn.XLOOKUP($F463,Clientes!$B$4:$B$39,Clientes!$C$4:$C$39),Cadastros!$L$6:$L$12,Cadastros!$M$6:$M$12)," ")</f>
        <v xml:space="preserve"> </v>
      </c>
      <c r="W463" s="28"/>
      <c r="X463" s="28"/>
      <c r="Y463" s="255" t="str">
        <f>IF(W463="","",(_xlfn.XLOOKUP(W463,Cadastros!$D$6:$D$90,Cadastros!$E$6:$E$90))*(1-_xlfn.XLOOKUP(_xlfn.XLOOKUP($F463,Clientes!$B$4:$B$39,Clientes!$C$4:$C$39),Cadastros!$L$6:$L$12,Cadastros!$N$6:$N$12)))</f>
        <v/>
      </c>
      <c r="Z463" s="168" t="str">
        <f t="shared" si="95"/>
        <v/>
      </c>
      <c r="AA463" s="168" t="str">
        <f>IFERROR(Z463/_xlfn.XLOOKUP(_xlfn.XLOOKUP($F463,Clientes!$B$4:$B$39,Clientes!$C$4:$C$39),Cadastros!$L$6:$L$12,Cadastros!$M$6:$M$12)," ")</f>
        <v xml:space="preserve"> </v>
      </c>
      <c r="AB463" s="28"/>
      <c r="AC463" s="28"/>
      <c r="AD463" s="20" t="str">
        <f>IF(AB463="","",IF($F463="Bernardino Furlan",_xlfn.XLOOKUP(AB463,Cadastros!$G$6:$G$90,Cadastros!$H$6:$H$90)*(1-0.18),IF($F463="Mauro José Salanti",_xlfn.XLOOKUP(AB463,Cadastros!$G$6:$G$90,Cadastros!$H$6:$H$90)*(1-0.18),_xlfn.XLOOKUP(AB463,Cadastros!$G$6:$G$90,Cadastros!$H$6:$H$90))))</f>
        <v/>
      </c>
      <c r="AE463" s="168" t="str">
        <f t="shared" si="96"/>
        <v/>
      </c>
      <c r="AF463" s="168" t="str">
        <f t="shared" si="97"/>
        <v/>
      </c>
      <c r="AG463" s="28"/>
      <c r="AH463" s="28"/>
      <c r="AI463" s="20" t="str">
        <f>IF(AG463="","",IF($F463="Bernardino Furlan",_xlfn.XLOOKUP(AG463,Cadastros!$G$6:$G$90,Cadastros!$H$6:$H$90)*(1-0.18),IF($F463="Mauro José Salanti",_xlfn.XLOOKUP(AG463,Cadastros!$G$6:$G$90,Cadastros!$H$6:$H$90)*(1-0.18),_xlfn.XLOOKUP(AG463,Cadastros!$G$6:$G$90,Cadastros!$H$6:$H$90))))</f>
        <v/>
      </c>
      <c r="AJ463" s="168" t="str">
        <f t="shared" si="98"/>
        <v/>
      </c>
      <c r="AK463" s="168" t="str">
        <f t="shared" si="99"/>
        <v/>
      </c>
      <c r="AL463" s="28"/>
      <c r="AM463" s="28"/>
      <c r="AN463" s="20" t="str">
        <f>IF(AL463="","",IF($F463="Bernardino Furlan",_xlfn.XLOOKUP(AL463,Cadastros!$G$6:$G$90,Cadastros!$H$6:$H$90)*(1-0.18),IF($F463="Mauro José Salanti",_xlfn.XLOOKUP(AL463,Cadastros!$G$6:$G$90,Cadastros!$H$6:$H$90)*(1-0.18),_xlfn.XLOOKUP(AL463,Cadastros!$G$6:$G$90,Cadastros!$H$6:$H$90))))</f>
        <v/>
      </c>
      <c r="AO463" s="168" t="str">
        <f t="shared" si="100"/>
        <v/>
      </c>
      <c r="AP463" s="168" t="str">
        <f t="shared" si="101"/>
        <v/>
      </c>
      <c r="AQ463" s="28"/>
      <c r="AR463" s="28"/>
      <c r="AS463" s="20" t="str">
        <f>IF(AQ463="","",IF($F463="Bernardino Furlan",_xlfn.XLOOKUP(AQ463,Cadastros!$G$6:$G$90,Cadastros!$H$6:$H$90)*(1-0.18),IF($F463="Mauro José Salanti",_xlfn.XLOOKUP(AQ463,Cadastros!$G$6:$G$90,Cadastros!$H$6:$H$90)*(1-0.18),_xlfn.XLOOKUP(AQ463,Cadastros!$G$6:$G$90,Cadastros!$H$6:$H$90))))</f>
        <v/>
      </c>
      <c r="AT463" s="168" t="str">
        <f t="shared" si="102"/>
        <v/>
      </c>
      <c r="AU463" s="168" t="str">
        <f t="shared" si="103"/>
        <v/>
      </c>
      <c r="AV463" s="227"/>
      <c r="AW463" s="30"/>
      <c r="AX463" s="267"/>
      <c r="AY463" s="267"/>
      <c r="AZ463" s="29"/>
      <c r="BA463" s="30"/>
      <c r="BB463" s="23" t="str" cm="1">
        <f t="array" ref="BB463">_xlfn.IFS(AW463="SIM",SUM(K463,P463,U463,Z463,AE463,AJ463,AO463,AT463,AX463,AY463),F463&lt;&gt;"",SUM(K463,P463,U463,Z463,AE463,AJ463,,AO463,AT463),F463="","")</f>
        <v/>
      </c>
      <c r="BC463" s="211" t="str" cm="1">
        <f t="array" ref="BC463">_xlfn.IFS(E463="","",G463&lt;=E463,BB463*(1-0.03),G463&lt;(E463+8),BB463,AZ463="Boleto",BB463*(1+0.001)^DATEDIF(E463,G463,"D"),AZ463="Cheque",BB463,AZ463="Dinheiro","Alterar forma pgto")</f>
        <v/>
      </c>
      <c r="BD463" s="276" t="str" cm="1">
        <f t="array" ref="BD463">IF(F463=0," ",IF(BC463&lt;BB463,(_xlfn.IFS(AW463="SIM",SUM(L463,Q463,V463,AA463,AF463,AK463,AP463,AU463)+AX463/_xlfn.XLOOKUP(_xlfn.XLOOKUP($F463,Clientes!$B$4:$B$39,Clientes!$C$4:$C$39),Cadastros!$L$6:$L$12,Cadastros!$M$6:$M$12)+IF($F463="Bernardino Furlan",AY463/2751.92,IF($F463="Mauro José Salanti",AY463/2751.92,AY463/3356)),F463&lt;&gt;0,SUM(L463,Q463,V463,AA463,AF463,AK463,AP463,AU463)))*(1-0.03),_xlfn.IFS(AW463="SIM",SUM(L463,Q463,V463,AA463,AF463,AK463,AP463,AU463)+AX463/_xlfn.XLOOKUP(_xlfn.XLOOKUP($F463,Clientes!$B$4:$B$39,Clientes!$C$4:$C$39),Cadastros!$L$6:$L$12,Cadastros!$M$6:$M$12)+IF($F463="Bernardino Furlan",AY463/2751.92,IF($F463="Mauro José Salanti",AY463/2751.92,AY463/3356)),F463&lt;&gt;0,SUM(L463,Q463,V463,AA463,AF463,AK463,AP463,AU463))))</f>
        <v xml:space="preserve"> </v>
      </c>
      <c r="BE463" s="120"/>
      <c r="BF463" s="120"/>
      <c r="BG463" s="120"/>
    </row>
    <row r="464" spans="1:59" s="3" customFormat="1" x14ac:dyDescent="0.3">
      <c r="A464" s="15" t="str">
        <f t="shared" si="91"/>
        <v/>
      </c>
      <c r="B464" s="25"/>
      <c r="C464" s="26"/>
      <c r="D464" s="279"/>
      <c r="E464" s="27"/>
      <c r="F464" s="28"/>
      <c r="G464" s="27"/>
      <c r="H464" s="28"/>
      <c r="I464" s="28"/>
      <c r="J464" s="255" t="str">
        <f>IF(H464="","",(_xlfn.XLOOKUP(H464,Cadastros!$D$6:$D$90,Cadastros!$E$6:$E$90))*(1-_xlfn.XLOOKUP(_xlfn.XLOOKUP($F464,Clientes!$B$4:$B$39,Clientes!$C$4:$C$39),Cadastros!$L$6:$L$12,Cadastros!$N$6:$N$12)))</f>
        <v/>
      </c>
      <c r="K464" s="168" t="str">
        <f t="shared" si="92"/>
        <v/>
      </c>
      <c r="L464" s="168" t="str">
        <f>IFERROR(K464/_xlfn.XLOOKUP(_xlfn.XLOOKUP($F464,Clientes!$B$4:$B$39,Clientes!$C$4:$C$39),Cadastros!$L$6:$L$12,Cadastros!$M$6:$M$12)," ")</f>
        <v xml:space="preserve"> </v>
      </c>
      <c r="M464" s="28"/>
      <c r="N464" s="28"/>
      <c r="O464" s="255" t="str">
        <f>IF(M464="","",(_xlfn.XLOOKUP(M464,Cadastros!$D$6:$D$90,Cadastros!$E$6:$E$90))*(1-_xlfn.XLOOKUP(_xlfn.XLOOKUP($F464,Clientes!$B$4:$B$39,Clientes!$C$4:$C$39),Cadastros!$L$6:$L$12,Cadastros!$N$6:$N$12)))</f>
        <v/>
      </c>
      <c r="P464" s="168" t="str">
        <f t="shared" si="93"/>
        <v/>
      </c>
      <c r="Q464" s="168" t="str">
        <f>IFERROR(P464/_xlfn.XLOOKUP(_xlfn.XLOOKUP($F464,Clientes!$B$4:$B$39,Clientes!$C$4:$C$39),Cadastros!$L$6:$L$12,Cadastros!$M$6:$M$12)," ")</f>
        <v xml:space="preserve"> </v>
      </c>
      <c r="R464" s="28"/>
      <c r="S464" s="28"/>
      <c r="T464" s="255" t="str">
        <f>IF(R464="","",(_xlfn.XLOOKUP(R464,Cadastros!$D$6:$D$90,Cadastros!$E$6:$E$90))*(1-_xlfn.XLOOKUP(_xlfn.XLOOKUP($F464,Clientes!$B$4:$B$39,Clientes!$C$4:$C$39),Cadastros!$L$6:$L$12,Cadastros!$N$6:$N$12)))</f>
        <v/>
      </c>
      <c r="U464" s="168" t="str">
        <f t="shared" si="94"/>
        <v/>
      </c>
      <c r="V464" s="168" t="str">
        <f>IFERROR(U464/_xlfn.XLOOKUP(_xlfn.XLOOKUP($F464,Clientes!$B$4:$B$39,Clientes!$C$4:$C$39),Cadastros!$L$6:$L$12,Cadastros!$M$6:$M$12)," ")</f>
        <v xml:space="preserve"> </v>
      </c>
      <c r="W464" s="28"/>
      <c r="X464" s="28"/>
      <c r="Y464" s="255" t="str">
        <f>IF(W464="","",(_xlfn.XLOOKUP(W464,Cadastros!$D$6:$D$90,Cadastros!$E$6:$E$90))*(1-_xlfn.XLOOKUP(_xlfn.XLOOKUP($F464,Clientes!$B$4:$B$39,Clientes!$C$4:$C$39),Cadastros!$L$6:$L$12,Cadastros!$N$6:$N$12)))</f>
        <v/>
      </c>
      <c r="Z464" s="168" t="str">
        <f t="shared" si="95"/>
        <v/>
      </c>
      <c r="AA464" s="168" t="str">
        <f>IFERROR(Z464/_xlfn.XLOOKUP(_xlfn.XLOOKUP($F464,Clientes!$B$4:$B$39,Clientes!$C$4:$C$39),Cadastros!$L$6:$L$12,Cadastros!$M$6:$M$12)," ")</f>
        <v xml:space="preserve"> </v>
      </c>
      <c r="AB464" s="28"/>
      <c r="AC464" s="28"/>
      <c r="AD464" s="20" t="str">
        <f>IF(AB464="","",IF($F464="Bernardino Furlan",_xlfn.XLOOKUP(AB464,Cadastros!$G$6:$G$90,Cadastros!$H$6:$H$90)*(1-0.18),IF($F464="Mauro José Salanti",_xlfn.XLOOKUP(AB464,Cadastros!$G$6:$G$90,Cadastros!$H$6:$H$90)*(1-0.18),_xlfn.XLOOKUP(AB464,Cadastros!$G$6:$G$90,Cadastros!$H$6:$H$90))))</f>
        <v/>
      </c>
      <c r="AE464" s="168" t="str">
        <f t="shared" si="96"/>
        <v/>
      </c>
      <c r="AF464" s="168" t="str">
        <f t="shared" si="97"/>
        <v/>
      </c>
      <c r="AG464" s="28"/>
      <c r="AH464" s="28"/>
      <c r="AI464" s="20" t="str">
        <f>IF(AG464="","",IF($F464="Bernardino Furlan",_xlfn.XLOOKUP(AG464,Cadastros!$G$6:$G$90,Cadastros!$H$6:$H$90)*(1-0.18),IF($F464="Mauro José Salanti",_xlfn.XLOOKUP(AG464,Cadastros!$G$6:$G$90,Cadastros!$H$6:$H$90)*(1-0.18),_xlfn.XLOOKUP(AG464,Cadastros!$G$6:$G$90,Cadastros!$H$6:$H$90))))</f>
        <v/>
      </c>
      <c r="AJ464" s="168" t="str">
        <f t="shared" si="98"/>
        <v/>
      </c>
      <c r="AK464" s="168" t="str">
        <f t="shared" si="99"/>
        <v/>
      </c>
      <c r="AL464" s="28"/>
      <c r="AM464" s="28"/>
      <c r="AN464" s="20" t="str">
        <f>IF(AL464="","",IF($F464="Bernardino Furlan",_xlfn.XLOOKUP(AL464,Cadastros!$G$6:$G$90,Cadastros!$H$6:$H$90)*(1-0.18),IF($F464="Mauro José Salanti",_xlfn.XLOOKUP(AL464,Cadastros!$G$6:$G$90,Cadastros!$H$6:$H$90)*(1-0.18),_xlfn.XLOOKUP(AL464,Cadastros!$G$6:$G$90,Cadastros!$H$6:$H$90))))</f>
        <v/>
      </c>
      <c r="AO464" s="168" t="str">
        <f t="shared" si="100"/>
        <v/>
      </c>
      <c r="AP464" s="168" t="str">
        <f t="shared" si="101"/>
        <v/>
      </c>
      <c r="AQ464" s="28"/>
      <c r="AR464" s="28"/>
      <c r="AS464" s="20" t="str">
        <f>IF(AQ464="","",IF($F464="Bernardino Furlan",_xlfn.XLOOKUP(AQ464,Cadastros!$G$6:$G$90,Cadastros!$H$6:$H$90)*(1-0.18),IF($F464="Mauro José Salanti",_xlfn.XLOOKUP(AQ464,Cadastros!$G$6:$G$90,Cadastros!$H$6:$H$90)*(1-0.18),_xlfn.XLOOKUP(AQ464,Cadastros!$G$6:$G$90,Cadastros!$H$6:$H$90))))</f>
        <v/>
      </c>
      <c r="AT464" s="168" t="str">
        <f t="shared" si="102"/>
        <v/>
      </c>
      <c r="AU464" s="168" t="str">
        <f t="shared" si="103"/>
        <v/>
      </c>
      <c r="AV464" s="227"/>
      <c r="AW464" s="30"/>
      <c r="AX464" s="267"/>
      <c r="AY464" s="267"/>
      <c r="AZ464" s="29"/>
      <c r="BA464" s="30"/>
      <c r="BB464" s="23" t="str" cm="1">
        <f t="array" ref="BB464">_xlfn.IFS(AW464="SIM",SUM(K464,P464,U464,Z464,AE464,AJ464,AO464,AT464,AX464,AY464),F464&lt;&gt;"",SUM(K464,P464,U464,Z464,AE464,AJ464,,AO464,AT464),F464="","")</f>
        <v/>
      </c>
      <c r="BC464" s="211" t="str" cm="1">
        <f t="array" ref="BC464">_xlfn.IFS(E464="","",G464&lt;=E464,BB464*(1-0.03),G464&lt;(E464+8),BB464,AZ464="Boleto",BB464*(1+0.001)^DATEDIF(E464,G464,"D"),AZ464="Cheque",BB464,AZ464="Dinheiro","Alterar forma pgto")</f>
        <v/>
      </c>
      <c r="BD464" s="276" t="str" cm="1">
        <f t="array" ref="BD464">IF(F464=0," ",IF(BC464&lt;BB464,(_xlfn.IFS(AW464="SIM",SUM(L464,Q464,V464,AA464,AF464,AK464,AP464,AU464)+AX464/_xlfn.XLOOKUP(_xlfn.XLOOKUP($F464,Clientes!$B$4:$B$39,Clientes!$C$4:$C$39),Cadastros!$L$6:$L$12,Cadastros!$M$6:$M$12)+IF($F464="Bernardino Furlan",AY464/2751.92,IF($F464="Mauro José Salanti",AY464/2751.92,AY464/3356)),F464&lt;&gt;0,SUM(L464,Q464,V464,AA464,AF464,AK464,AP464,AU464)))*(1-0.03),_xlfn.IFS(AW464="SIM",SUM(L464,Q464,V464,AA464,AF464,AK464,AP464,AU464)+AX464/_xlfn.XLOOKUP(_xlfn.XLOOKUP($F464,Clientes!$B$4:$B$39,Clientes!$C$4:$C$39),Cadastros!$L$6:$L$12,Cadastros!$M$6:$M$12)+IF($F464="Bernardino Furlan",AY464/2751.92,IF($F464="Mauro José Salanti",AY464/2751.92,AY464/3356)),F464&lt;&gt;0,SUM(L464,Q464,V464,AA464,AF464,AK464,AP464,AU464))))</f>
        <v xml:space="preserve"> </v>
      </c>
      <c r="BE464" s="120"/>
      <c r="BF464" s="120"/>
      <c r="BG464" s="120"/>
    </row>
    <row r="465" spans="1:59" s="3" customFormat="1" x14ac:dyDescent="0.3">
      <c r="A465" s="15" t="str">
        <f t="shared" si="91"/>
        <v/>
      </c>
      <c r="B465" s="25"/>
      <c r="C465" s="26"/>
      <c r="D465" s="279"/>
      <c r="E465" s="27"/>
      <c r="F465" s="28"/>
      <c r="G465" s="27"/>
      <c r="H465" s="28"/>
      <c r="I465" s="28"/>
      <c r="J465" s="255" t="str">
        <f>IF(H465="","",(_xlfn.XLOOKUP(H465,Cadastros!$D$6:$D$90,Cadastros!$E$6:$E$90))*(1-_xlfn.XLOOKUP(_xlfn.XLOOKUP($F465,Clientes!$B$4:$B$39,Clientes!$C$4:$C$39),Cadastros!$L$6:$L$12,Cadastros!$N$6:$N$12)))</f>
        <v/>
      </c>
      <c r="K465" s="168" t="str">
        <f t="shared" si="92"/>
        <v/>
      </c>
      <c r="L465" s="168" t="str">
        <f>IFERROR(K465/_xlfn.XLOOKUP(_xlfn.XLOOKUP($F465,Clientes!$B$4:$B$39,Clientes!$C$4:$C$39),Cadastros!$L$6:$L$12,Cadastros!$M$6:$M$12)," ")</f>
        <v xml:space="preserve"> </v>
      </c>
      <c r="M465" s="28"/>
      <c r="N465" s="28"/>
      <c r="O465" s="255" t="str">
        <f>IF(M465="","",(_xlfn.XLOOKUP(M465,Cadastros!$D$6:$D$90,Cadastros!$E$6:$E$90))*(1-_xlfn.XLOOKUP(_xlfn.XLOOKUP($F465,Clientes!$B$4:$B$39,Clientes!$C$4:$C$39),Cadastros!$L$6:$L$12,Cadastros!$N$6:$N$12)))</f>
        <v/>
      </c>
      <c r="P465" s="168" t="str">
        <f t="shared" si="93"/>
        <v/>
      </c>
      <c r="Q465" s="168" t="str">
        <f>IFERROR(P465/_xlfn.XLOOKUP(_xlfn.XLOOKUP($F465,Clientes!$B$4:$B$39,Clientes!$C$4:$C$39),Cadastros!$L$6:$L$12,Cadastros!$M$6:$M$12)," ")</f>
        <v xml:space="preserve"> </v>
      </c>
      <c r="R465" s="28"/>
      <c r="S465" s="28"/>
      <c r="T465" s="255" t="str">
        <f>IF(R465="","",(_xlfn.XLOOKUP(R465,Cadastros!$D$6:$D$90,Cadastros!$E$6:$E$90))*(1-_xlfn.XLOOKUP(_xlfn.XLOOKUP($F465,Clientes!$B$4:$B$39,Clientes!$C$4:$C$39),Cadastros!$L$6:$L$12,Cadastros!$N$6:$N$12)))</f>
        <v/>
      </c>
      <c r="U465" s="168" t="str">
        <f t="shared" si="94"/>
        <v/>
      </c>
      <c r="V465" s="168" t="str">
        <f>IFERROR(U465/_xlfn.XLOOKUP(_xlfn.XLOOKUP($F465,Clientes!$B$4:$B$39,Clientes!$C$4:$C$39),Cadastros!$L$6:$L$12,Cadastros!$M$6:$M$12)," ")</f>
        <v xml:space="preserve"> </v>
      </c>
      <c r="W465" s="28"/>
      <c r="X465" s="28"/>
      <c r="Y465" s="255" t="str">
        <f>IF(W465="","",(_xlfn.XLOOKUP(W465,Cadastros!$D$6:$D$90,Cadastros!$E$6:$E$90))*(1-_xlfn.XLOOKUP(_xlfn.XLOOKUP($F465,Clientes!$B$4:$B$39,Clientes!$C$4:$C$39),Cadastros!$L$6:$L$12,Cadastros!$N$6:$N$12)))</f>
        <v/>
      </c>
      <c r="Z465" s="168" t="str">
        <f t="shared" si="95"/>
        <v/>
      </c>
      <c r="AA465" s="168" t="str">
        <f>IFERROR(Z465/_xlfn.XLOOKUP(_xlfn.XLOOKUP($F465,Clientes!$B$4:$B$39,Clientes!$C$4:$C$39),Cadastros!$L$6:$L$12,Cadastros!$M$6:$M$12)," ")</f>
        <v xml:space="preserve"> </v>
      </c>
      <c r="AB465" s="28"/>
      <c r="AC465" s="28"/>
      <c r="AD465" s="20" t="str">
        <f>IF(AB465="","",IF($F465="Bernardino Furlan",_xlfn.XLOOKUP(AB465,Cadastros!$G$6:$G$90,Cadastros!$H$6:$H$90)*(1-0.18),IF($F465="Mauro José Salanti",_xlfn.XLOOKUP(AB465,Cadastros!$G$6:$G$90,Cadastros!$H$6:$H$90)*(1-0.18),_xlfn.XLOOKUP(AB465,Cadastros!$G$6:$G$90,Cadastros!$H$6:$H$90))))</f>
        <v/>
      </c>
      <c r="AE465" s="168" t="str">
        <f t="shared" si="96"/>
        <v/>
      </c>
      <c r="AF465" s="168" t="str">
        <f t="shared" si="97"/>
        <v/>
      </c>
      <c r="AG465" s="28"/>
      <c r="AH465" s="28"/>
      <c r="AI465" s="20" t="str">
        <f>IF(AG465="","",IF($F465="Bernardino Furlan",_xlfn.XLOOKUP(AG465,Cadastros!$G$6:$G$90,Cadastros!$H$6:$H$90)*(1-0.18),IF($F465="Mauro José Salanti",_xlfn.XLOOKUP(AG465,Cadastros!$G$6:$G$90,Cadastros!$H$6:$H$90)*(1-0.18),_xlfn.XLOOKUP(AG465,Cadastros!$G$6:$G$90,Cadastros!$H$6:$H$90))))</f>
        <v/>
      </c>
      <c r="AJ465" s="168" t="str">
        <f t="shared" si="98"/>
        <v/>
      </c>
      <c r="AK465" s="168" t="str">
        <f t="shared" si="99"/>
        <v/>
      </c>
      <c r="AL465" s="28"/>
      <c r="AM465" s="28"/>
      <c r="AN465" s="20" t="str">
        <f>IF(AL465="","",IF($F465="Bernardino Furlan",_xlfn.XLOOKUP(AL465,Cadastros!$G$6:$G$90,Cadastros!$H$6:$H$90)*(1-0.18),IF($F465="Mauro José Salanti",_xlfn.XLOOKUP(AL465,Cadastros!$G$6:$G$90,Cadastros!$H$6:$H$90)*(1-0.18),_xlfn.XLOOKUP(AL465,Cadastros!$G$6:$G$90,Cadastros!$H$6:$H$90))))</f>
        <v/>
      </c>
      <c r="AO465" s="168" t="str">
        <f t="shared" si="100"/>
        <v/>
      </c>
      <c r="AP465" s="168" t="str">
        <f t="shared" si="101"/>
        <v/>
      </c>
      <c r="AQ465" s="28"/>
      <c r="AR465" s="28"/>
      <c r="AS465" s="20" t="str">
        <f>IF(AQ465="","",IF($F465="Bernardino Furlan",_xlfn.XLOOKUP(AQ465,Cadastros!$G$6:$G$90,Cadastros!$H$6:$H$90)*(1-0.18),IF($F465="Mauro José Salanti",_xlfn.XLOOKUP(AQ465,Cadastros!$G$6:$G$90,Cadastros!$H$6:$H$90)*(1-0.18),_xlfn.XLOOKUP(AQ465,Cadastros!$G$6:$G$90,Cadastros!$H$6:$H$90))))</f>
        <v/>
      </c>
      <c r="AT465" s="168" t="str">
        <f t="shared" si="102"/>
        <v/>
      </c>
      <c r="AU465" s="168" t="str">
        <f t="shared" si="103"/>
        <v/>
      </c>
      <c r="AV465" s="227"/>
      <c r="AW465" s="30"/>
      <c r="AX465" s="267"/>
      <c r="AY465" s="267"/>
      <c r="AZ465" s="29"/>
      <c r="BA465" s="30"/>
      <c r="BB465" s="23" t="str" cm="1">
        <f t="array" ref="BB465">_xlfn.IFS(AW465="SIM",SUM(K465,P465,U465,Z465,AE465,AJ465,AO465,AT465,AX465,AY465),F465&lt;&gt;"",SUM(K465,P465,U465,Z465,AE465,AJ465,,AO465,AT465),F465="","")</f>
        <v/>
      </c>
      <c r="BC465" s="211" t="str" cm="1">
        <f t="array" ref="BC465">_xlfn.IFS(E465="","",G465&lt;=E465,BB465*(1-0.03),G465&lt;(E465+8),BB465,AZ465="Boleto",BB465*(1+0.001)^DATEDIF(E465,G465,"D"),AZ465="Cheque",BB465,AZ465="Dinheiro","Alterar forma pgto")</f>
        <v/>
      </c>
      <c r="BD465" s="276" t="str" cm="1">
        <f t="array" ref="BD465">IF(F465=0," ",IF(BC465&lt;BB465,(_xlfn.IFS(AW465="SIM",SUM(L465,Q465,V465,AA465,AF465,AK465,AP465,AU465)+AX465/_xlfn.XLOOKUP(_xlfn.XLOOKUP($F465,Clientes!$B$4:$B$39,Clientes!$C$4:$C$39),Cadastros!$L$6:$L$12,Cadastros!$M$6:$M$12)+IF($F465="Bernardino Furlan",AY465/2751.92,IF($F465="Mauro José Salanti",AY465/2751.92,AY465/3356)),F465&lt;&gt;0,SUM(L465,Q465,V465,AA465,AF465,AK465,AP465,AU465)))*(1-0.03),_xlfn.IFS(AW465="SIM",SUM(L465,Q465,V465,AA465,AF465,AK465,AP465,AU465)+AX465/_xlfn.XLOOKUP(_xlfn.XLOOKUP($F465,Clientes!$B$4:$B$39,Clientes!$C$4:$C$39),Cadastros!$L$6:$L$12,Cadastros!$M$6:$M$12)+IF($F465="Bernardino Furlan",AY465/2751.92,IF($F465="Mauro José Salanti",AY465/2751.92,AY465/3356)),F465&lt;&gt;0,SUM(L465,Q465,V465,AA465,AF465,AK465,AP465,AU465))))</f>
        <v xml:space="preserve"> </v>
      </c>
      <c r="BE465" s="120"/>
      <c r="BF465" s="120"/>
      <c r="BG465" s="120"/>
    </row>
    <row r="466" spans="1:59" s="3" customFormat="1" x14ac:dyDescent="0.3">
      <c r="A466" s="15" t="str">
        <f t="shared" si="91"/>
        <v/>
      </c>
      <c r="B466" s="25"/>
      <c r="C466" s="26"/>
      <c r="D466" s="279"/>
      <c r="E466" s="27"/>
      <c r="F466" s="28"/>
      <c r="G466" s="27"/>
      <c r="H466" s="28"/>
      <c r="I466" s="28"/>
      <c r="J466" s="255" t="str">
        <f>IF(H466="","",(_xlfn.XLOOKUP(H466,Cadastros!$D$6:$D$90,Cadastros!$E$6:$E$90))*(1-_xlfn.XLOOKUP(_xlfn.XLOOKUP($F466,Clientes!$B$4:$B$39,Clientes!$C$4:$C$39),Cadastros!$L$6:$L$12,Cadastros!$N$6:$N$12)))</f>
        <v/>
      </c>
      <c r="K466" s="168" t="str">
        <f t="shared" si="92"/>
        <v/>
      </c>
      <c r="L466" s="168" t="str">
        <f>IFERROR(K466/_xlfn.XLOOKUP(_xlfn.XLOOKUP($F466,Clientes!$B$4:$B$39,Clientes!$C$4:$C$39),Cadastros!$L$6:$L$12,Cadastros!$M$6:$M$12)," ")</f>
        <v xml:space="preserve"> </v>
      </c>
      <c r="M466" s="28"/>
      <c r="N466" s="28"/>
      <c r="O466" s="255" t="str">
        <f>IF(M466="","",(_xlfn.XLOOKUP(M466,Cadastros!$D$6:$D$90,Cadastros!$E$6:$E$90))*(1-_xlfn.XLOOKUP(_xlfn.XLOOKUP($F466,Clientes!$B$4:$B$39,Clientes!$C$4:$C$39),Cadastros!$L$6:$L$12,Cadastros!$N$6:$N$12)))</f>
        <v/>
      </c>
      <c r="P466" s="168" t="str">
        <f t="shared" si="93"/>
        <v/>
      </c>
      <c r="Q466" s="168" t="str">
        <f>IFERROR(P466/_xlfn.XLOOKUP(_xlfn.XLOOKUP($F466,Clientes!$B$4:$B$39,Clientes!$C$4:$C$39),Cadastros!$L$6:$L$12,Cadastros!$M$6:$M$12)," ")</f>
        <v xml:space="preserve"> </v>
      </c>
      <c r="R466" s="28"/>
      <c r="S466" s="28"/>
      <c r="T466" s="255" t="str">
        <f>IF(R466="","",(_xlfn.XLOOKUP(R466,Cadastros!$D$6:$D$90,Cadastros!$E$6:$E$90))*(1-_xlfn.XLOOKUP(_xlfn.XLOOKUP($F466,Clientes!$B$4:$B$39,Clientes!$C$4:$C$39),Cadastros!$L$6:$L$12,Cadastros!$N$6:$N$12)))</f>
        <v/>
      </c>
      <c r="U466" s="168" t="str">
        <f t="shared" si="94"/>
        <v/>
      </c>
      <c r="V466" s="168" t="str">
        <f>IFERROR(U466/_xlfn.XLOOKUP(_xlfn.XLOOKUP($F466,Clientes!$B$4:$B$39,Clientes!$C$4:$C$39),Cadastros!$L$6:$L$12,Cadastros!$M$6:$M$12)," ")</f>
        <v xml:space="preserve"> </v>
      </c>
      <c r="W466" s="28"/>
      <c r="X466" s="28"/>
      <c r="Y466" s="255" t="str">
        <f>IF(W466="","",(_xlfn.XLOOKUP(W466,Cadastros!$D$6:$D$90,Cadastros!$E$6:$E$90))*(1-_xlfn.XLOOKUP(_xlfn.XLOOKUP($F466,Clientes!$B$4:$B$39,Clientes!$C$4:$C$39),Cadastros!$L$6:$L$12,Cadastros!$N$6:$N$12)))</f>
        <v/>
      </c>
      <c r="Z466" s="168" t="str">
        <f t="shared" si="95"/>
        <v/>
      </c>
      <c r="AA466" s="168" t="str">
        <f>IFERROR(Z466/_xlfn.XLOOKUP(_xlfn.XLOOKUP($F466,Clientes!$B$4:$B$39,Clientes!$C$4:$C$39),Cadastros!$L$6:$L$12,Cadastros!$M$6:$M$12)," ")</f>
        <v xml:space="preserve"> </v>
      </c>
      <c r="AB466" s="28"/>
      <c r="AC466" s="28"/>
      <c r="AD466" s="20" t="str">
        <f>IF(AB466="","",IF($F466="Bernardino Furlan",_xlfn.XLOOKUP(AB466,Cadastros!$G$6:$G$90,Cadastros!$H$6:$H$90)*(1-0.18),IF($F466="Mauro José Salanti",_xlfn.XLOOKUP(AB466,Cadastros!$G$6:$G$90,Cadastros!$H$6:$H$90)*(1-0.18),_xlfn.XLOOKUP(AB466,Cadastros!$G$6:$G$90,Cadastros!$H$6:$H$90))))</f>
        <v/>
      </c>
      <c r="AE466" s="168" t="str">
        <f t="shared" si="96"/>
        <v/>
      </c>
      <c r="AF466" s="168" t="str">
        <f t="shared" si="97"/>
        <v/>
      </c>
      <c r="AG466" s="28"/>
      <c r="AH466" s="28"/>
      <c r="AI466" s="20" t="str">
        <f>IF(AG466="","",IF($F466="Bernardino Furlan",_xlfn.XLOOKUP(AG466,Cadastros!$G$6:$G$90,Cadastros!$H$6:$H$90)*(1-0.18),IF($F466="Mauro José Salanti",_xlfn.XLOOKUP(AG466,Cadastros!$G$6:$G$90,Cadastros!$H$6:$H$90)*(1-0.18),_xlfn.XLOOKUP(AG466,Cadastros!$G$6:$G$90,Cadastros!$H$6:$H$90))))</f>
        <v/>
      </c>
      <c r="AJ466" s="168" t="str">
        <f t="shared" si="98"/>
        <v/>
      </c>
      <c r="AK466" s="168" t="str">
        <f t="shared" si="99"/>
        <v/>
      </c>
      <c r="AL466" s="28"/>
      <c r="AM466" s="28"/>
      <c r="AN466" s="20" t="str">
        <f>IF(AL466="","",IF($F466="Bernardino Furlan",_xlfn.XLOOKUP(AL466,Cadastros!$G$6:$G$90,Cadastros!$H$6:$H$90)*(1-0.18),IF($F466="Mauro José Salanti",_xlfn.XLOOKUP(AL466,Cadastros!$G$6:$G$90,Cadastros!$H$6:$H$90)*(1-0.18),_xlfn.XLOOKUP(AL466,Cadastros!$G$6:$G$90,Cadastros!$H$6:$H$90))))</f>
        <v/>
      </c>
      <c r="AO466" s="168" t="str">
        <f t="shared" si="100"/>
        <v/>
      </c>
      <c r="AP466" s="168" t="str">
        <f t="shared" si="101"/>
        <v/>
      </c>
      <c r="AQ466" s="28"/>
      <c r="AR466" s="28"/>
      <c r="AS466" s="20" t="str">
        <f>IF(AQ466="","",IF($F466="Bernardino Furlan",_xlfn.XLOOKUP(AQ466,Cadastros!$G$6:$G$90,Cadastros!$H$6:$H$90)*(1-0.18),IF($F466="Mauro José Salanti",_xlfn.XLOOKUP(AQ466,Cadastros!$G$6:$G$90,Cadastros!$H$6:$H$90)*(1-0.18),_xlfn.XLOOKUP(AQ466,Cadastros!$G$6:$G$90,Cadastros!$H$6:$H$90))))</f>
        <v/>
      </c>
      <c r="AT466" s="168" t="str">
        <f t="shared" si="102"/>
        <v/>
      </c>
      <c r="AU466" s="168" t="str">
        <f t="shared" si="103"/>
        <v/>
      </c>
      <c r="AV466" s="227"/>
      <c r="AW466" s="30"/>
      <c r="AX466" s="267"/>
      <c r="AY466" s="267"/>
      <c r="AZ466" s="29"/>
      <c r="BA466" s="30"/>
      <c r="BB466" s="23" t="str" cm="1">
        <f t="array" ref="BB466">_xlfn.IFS(AW466="SIM",SUM(K466,P466,U466,Z466,AE466,AJ466,AO466,AT466,AX466,AY466),F466&lt;&gt;"",SUM(K466,P466,U466,Z466,AE466,AJ466,,AO466,AT466),F466="","")</f>
        <v/>
      </c>
      <c r="BC466" s="211" t="str" cm="1">
        <f t="array" ref="BC466">_xlfn.IFS(E466="","",G466&lt;=E466,BB466*(1-0.03),G466&lt;(E466+8),BB466,AZ466="Boleto",BB466*(1+0.001)^DATEDIF(E466,G466,"D"),AZ466="Cheque",BB466,AZ466="Dinheiro","Alterar forma pgto")</f>
        <v/>
      </c>
      <c r="BD466" s="276" t="str" cm="1">
        <f t="array" ref="BD466">IF(F466=0," ",IF(BC466&lt;BB466,(_xlfn.IFS(AW466="SIM",SUM(L466,Q466,V466,AA466,AF466,AK466,AP466,AU466)+AX466/_xlfn.XLOOKUP(_xlfn.XLOOKUP($F466,Clientes!$B$4:$B$39,Clientes!$C$4:$C$39),Cadastros!$L$6:$L$12,Cadastros!$M$6:$M$12)+IF($F466="Bernardino Furlan",AY466/2751.92,IF($F466="Mauro José Salanti",AY466/2751.92,AY466/3356)),F466&lt;&gt;0,SUM(L466,Q466,V466,AA466,AF466,AK466,AP466,AU466)))*(1-0.03),_xlfn.IFS(AW466="SIM",SUM(L466,Q466,V466,AA466,AF466,AK466,AP466,AU466)+AX466/_xlfn.XLOOKUP(_xlfn.XLOOKUP($F466,Clientes!$B$4:$B$39,Clientes!$C$4:$C$39),Cadastros!$L$6:$L$12,Cadastros!$M$6:$M$12)+IF($F466="Bernardino Furlan",AY466/2751.92,IF($F466="Mauro José Salanti",AY466/2751.92,AY466/3356)),F466&lt;&gt;0,SUM(L466,Q466,V466,AA466,AF466,AK466,AP466,AU466))))</f>
        <v xml:space="preserve"> </v>
      </c>
      <c r="BE466" s="120"/>
      <c r="BF466" s="120"/>
      <c r="BG466" s="120"/>
    </row>
    <row r="467" spans="1:59" s="3" customFormat="1" x14ac:dyDescent="0.3">
      <c r="A467" s="15" t="str">
        <f t="shared" si="91"/>
        <v/>
      </c>
      <c r="B467" s="25"/>
      <c r="C467" s="26"/>
      <c r="D467" s="279"/>
      <c r="E467" s="27"/>
      <c r="F467" s="28"/>
      <c r="G467" s="27"/>
      <c r="H467" s="28"/>
      <c r="I467" s="28"/>
      <c r="J467" s="255" t="str">
        <f>IF(H467="","",(_xlfn.XLOOKUP(H467,Cadastros!$D$6:$D$90,Cadastros!$E$6:$E$90))*(1-_xlfn.XLOOKUP(_xlfn.XLOOKUP($F467,Clientes!$B$4:$B$39,Clientes!$C$4:$C$39),Cadastros!$L$6:$L$12,Cadastros!$N$6:$N$12)))</f>
        <v/>
      </c>
      <c r="K467" s="168" t="str">
        <f t="shared" si="92"/>
        <v/>
      </c>
      <c r="L467" s="168" t="str">
        <f>IFERROR(K467/_xlfn.XLOOKUP(_xlfn.XLOOKUP($F467,Clientes!$B$4:$B$39,Clientes!$C$4:$C$39),Cadastros!$L$6:$L$12,Cadastros!$M$6:$M$12)," ")</f>
        <v xml:space="preserve"> </v>
      </c>
      <c r="M467" s="28"/>
      <c r="N467" s="28"/>
      <c r="O467" s="255" t="str">
        <f>IF(M467="","",(_xlfn.XLOOKUP(M467,Cadastros!$D$6:$D$90,Cadastros!$E$6:$E$90))*(1-_xlfn.XLOOKUP(_xlfn.XLOOKUP($F467,Clientes!$B$4:$B$39,Clientes!$C$4:$C$39),Cadastros!$L$6:$L$12,Cadastros!$N$6:$N$12)))</f>
        <v/>
      </c>
      <c r="P467" s="168" t="str">
        <f t="shared" si="93"/>
        <v/>
      </c>
      <c r="Q467" s="168" t="str">
        <f>IFERROR(P467/_xlfn.XLOOKUP(_xlfn.XLOOKUP($F467,Clientes!$B$4:$B$39,Clientes!$C$4:$C$39),Cadastros!$L$6:$L$12,Cadastros!$M$6:$M$12)," ")</f>
        <v xml:space="preserve"> </v>
      </c>
      <c r="R467" s="28"/>
      <c r="S467" s="28"/>
      <c r="T467" s="255" t="str">
        <f>IF(R467="","",(_xlfn.XLOOKUP(R467,Cadastros!$D$6:$D$90,Cadastros!$E$6:$E$90))*(1-_xlfn.XLOOKUP(_xlfn.XLOOKUP($F467,Clientes!$B$4:$B$39,Clientes!$C$4:$C$39),Cadastros!$L$6:$L$12,Cadastros!$N$6:$N$12)))</f>
        <v/>
      </c>
      <c r="U467" s="168" t="str">
        <f t="shared" si="94"/>
        <v/>
      </c>
      <c r="V467" s="168" t="str">
        <f>IFERROR(U467/_xlfn.XLOOKUP(_xlfn.XLOOKUP($F467,Clientes!$B$4:$B$39,Clientes!$C$4:$C$39),Cadastros!$L$6:$L$12,Cadastros!$M$6:$M$12)," ")</f>
        <v xml:space="preserve"> </v>
      </c>
      <c r="W467" s="28"/>
      <c r="X467" s="28"/>
      <c r="Y467" s="255" t="str">
        <f>IF(W467="","",(_xlfn.XLOOKUP(W467,Cadastros!$D$6:$D$90,Cadastros!$E$6:$E$90))*(1-_xlfn.XLOOKUP(_xlfn.XLOOKUP($F467,Clientes!$B$4:$B$39,Clientes!$C$4:$C$39),Cadastros!$L$6:$L$12,Cadastros!$N$6:$N$12)))</f>
        <v/>
      </c>
      <c r="Z467" s="168" t="str">
        <f t="shared" si="95"/>
        <v/>
      </c>
      <c r="AA467" s="168" t="str">
        <f>IFERROR(Z467/_xlfn.XLOOKUP(_xlfn.XLOOKUP($F467,Clientes!$B$4:$B$39,Clientes!$C$4:$C$39),Cadastros!$L$6:$L$12,Cadastros!$M$6:$M$12)," ")</f>
        <v xml:space="preserve"> </v>
      </c>
      <c r="AB467" s="28"/>
      <c r="AC467" s="28"/>
      <c r="AD467" s="20" t="str">
        <f>IF(AB467="","",IF($F467="Bernardino Furlan",_xlfn.XLOOKUP(AB467,Cadastros!$G$6:$G$90,Cadastros!$H$6:$H$90)*(1-0.18),IF($F467="Mauro José Salanti",_xlfn.XLOOKUP(AB467,Cadastros!$G$6:$G$90,Cadastros!$H$6:$H$90)*(1-0.18),_xlfn.XLOOKUP(AB467,Cadastros!$G$6:$G$90,Cadastros!$H$6:$H$90))))</f>
        <v/>
      </c>
      <c r="AE467" s="168" t="str">
        <f t="shared" si="96"/>
        <v/>
      </c>
      <c r="AF467" s="168" t="str">
        <f t="shared" si="97"/>
        <v/>
      </c>
      <c r="AG467" s="28"/>
      <c r="AH467" s="28"/>
      <c r="AI467" s="20" t="str">
        <f>IF(AG467="","",IF($F467="Bernardino Furlan",_xlfn.XLOOKUP(AG467,Cadastros!$G$6:$G$90,Cadastros!$H$6:$H$90)*(1-0.18),IF($F467="Mauro José Salanti",_xlfn.XLOOKUP(AG467,Cadastros!$G$6:$G$90,Cadastros!$H$6:$H$90)*(1-0.18),_xlfn.XLOOKUP(AG467,Cadastros!$G$6:$G$90,Cadastros!$H$6:$H$90))))</f>
        <v/>
      </c>
      <c r="AJ467" s="168" t="str">
        <f t="shared" si="98"/>
        <v/>
      </c>
      <c r="AK467" s="168" t="str">
        <f t="shared" si="99"/>
        <v/>
      </c>
      <c r="AL467" s="28"/>
      <c r="AM467" s="28"/>
      <c r="AN467" s="20" t="str">
        <f>IF(AL467="","",IF($F467="Bernardino Furlan",_xlfn.XLOOKUP(AL467,Cadastros!$G$6:$G$90,Cadastros!$H$6:$H$90)*(1-0.18),IF($F467="Mauro José Salanti",_xlfn.XLOOKUP(AL467,Cadastros!$G$6:$G$90,Cadastros!$H$6:$H$90)*(1-0.18),_xlfn.XLOOKUP(AL467,Cadastros!$G$6:$G$90,Cadastros!$H$6:$H$90))))</f>
        <v/>
      </c>
      <c r="AO467" s="168" t="str">
        <f t="shared" si="100"/>
        <v/>
      </c>
      <c r="AP467" s="168" t="str">
        <f t="shared" si="101"/>
        <v/>
      </c>
      <c r="AQ467" s="28"/>
      <c r="AR467" s="28"/>
      <c r="AS467" s="20" t="str">
        <f>IF(AQ467="","",IF($F467="Bernardino Furlan",_xlfn.XLOOKUP(AQ467,Cadastros!$G$6:$G$90,Cadastros!$H$6:$H$90)*(1-0.18),IF($F467="Mauro José Salanti",_xlfn.XLOOKUP(AQ467,Cadastros!$G$6:$G$90,Cadastros!$H$6:$H$90)*(1-0.18),_xlfn.XLOOKUP(AQ467,Cadastros!$G$6:$G$90,Cadastros!$H$6:$H$90))))</f>
        <v/>
      </c>
      <c r="AT467" s="168" t="str">
        <f t="shared" si="102"/>
        <v/>
      </c>
      <c r="AU467" s="168" t="str">
        <f t="shared" si="103"/>
        <v/>
      </c>
      <c r="AV467" s="227"/>
      <c r="AW467" s="30"/>
      <c r="AX467" s="267"/>
      <c r="AY467" s="267"/>
      <c r="AZ467" s="29"/>
      <c r="BA467" s="30"/>
      <c r="BB467" s="23" t="str" cm="1">
        <f t="array" ref="BB467">_xlfn.IFS(AW467="SIM",SUM(K467,P467,U467,Z467,AE467,AJ467,AO467,AT467,AX467,AY467),F467&lt;&gt;"",SUM(K467,P467,U467,Z467,AE467,AJ467,,AO467,AT467),F467="","")</f>
        <v/>
      </c>
      <c r="BC467" s="211" t="str" cm="1">
        <f t="array" ref="BC467">_xlfn.IFS(E467="","",G467&lt;=E467,BB467*(1-0.03),G467&lt;(E467+8),BB467,AZ467="Boleto",BB467*(1+0.001)^DATEDIF(E467,G467,"D"),AZ467="Cheque",BB467,AZ467="Dinheiro","Alterar forma pgto")</f>
        <v/>
      </c>
      <c r="BD467" s="276" t="str" cm="1">
        <f t="array" ref="BD467">IF(F467=0," ",IF(BC467&lt;BB467,(_xlfn.IFS(AW467="SIM",SUM(L467,Q467,V467,AA467,AF467,AK467,AP467,AU467)+AX467/_xlfn.XLOOKUP(_xlfn.XLOOKUP($F467,Clientes!$B$4:$B$39,Clientes!$C$4:$C$39),Cadastros!$L$6:$L$12,Cadastros!$M$6:$M$12)+IF($F467="Bernardino Furlan",AY467/2751.92,IF($F467="Mauro José Salanti",AY467/2751.92,AY467/3356)),F467&lt;&gt;0,SUM(L467,Q467,V467,AA467,AF467,AK467,AP467,AU467)))*(1-0.03),_xlfn.IFS(AW467="SIM",SUM(L467,Q467,V467,AA467,AF467,AK467,AP467,AU467)+AX467/_xlfn.XLOOKUP(_xlfn.XLOOKUP($F467,Clientes!$B$4:$B$39,Clientes!$C$4:$C$39),Cadastros!$L$6:$L$12,Cadastros!$M$6:$M$12)+IF($F467="Bernardino Furlan",AY467/2751.92,IF($F467="Mauro José Salanti",AY467/2751.92,AY467/3356)),F467&lt;&gt;0,SUM(L467,Q467,V467,AA467,AF467,AK467,AP467,AU467))))</f>
        <v xml:space="preserve"> </v>
      </c>
      <c r="BE467" s="120"/>
      <c r="BF467" s="120"/>
      <c r="BG467" s="120"/>
    </row>
    <row r="468" spans="1:59" s="3" customFormat="1" x14ac:dyDescent="0.3">
      <c r="A468" s="15" t="str">
        <f t="shared" si="91"/>
        <v/>
      </c>
      <c r="B468" s="25"/>
      <c r="C468" s="26"/>
      <c r="D468" s="279"/>
      <c r="E468" s="27"/>
      <c r="F468" s="28"/>
      <c r="G468" s="27"/>
      <c r="H468" s="28"/>
      <c r="I468" s="28"/>
      <c r="J468" s="255" t="str">
        <f>IF(H468="","",(_xlfn.XLOOKUP(H468,Cadastros!$D$6:$D$90,Cadastros!$E$6:$E$90))*(1-_xlfn.XLOOKUP(_xlfn.XLOOKUP($F468,Clientes!$B$4:$B$39,Clientes!$C$4:$C$39),Cadastros!$L$6:$L$12,Cadastros!$N$6:$N$12)))</f>
        <v/>
      </c>
      <c r="K468" s="168" t="str">
        <f t="shared" si="92"/>
        <v/>
      </c>
      <c r="L468" s="168" t="str">
        <f>IFERROR(K468/_xlfn.XLOOKUP(_xlfn.XLOOKUP($F468,Clientes!$B$4:$B$39,Clientes!$C$4:$C$39),Cadastros!$L$6:$L$12,Cadastros!$M$6:$M$12)," ")</f>
        <v xml:space="preserve"> </v>
      </c>
      <c r="M468" s="28"/>
      <c r="N468" s="28"/>
      <c r="O468" s="255" t="str">
        <f>IF(M468="","",(_xlfn.XLOOKUP(M468,Cadastros!$D$6:$D$90,Cadastros!$E$6:$E$90))*(1-_xlfn.XLOOKUP(_xlfn.XLOOKUP($F468,Clientes!$B$4:$B$39,Clientes!$C$4:$C$39),Cadastros!$L$6:$L$12,Cadastros!$N$6:$N$12)))</f>
        <v/>
      </c>
      <c r="P468" s="168" t="str">
        <f t="shared" si="93"/>
        <v/>
      </c>
      <c r="Q468" s="168" t="str">
        <f>IFERROR(P468/_xlfn.XLOOKUP(_xlfn.XLOOKUP($F468,Clientes!$B$4:$B$39,Clientes!$C$4:$C$39),Cadastros!$L$6:$L$12,Cadastros!$M$6:$M$12)," ")</f>
        <v xml:space="preserve"> </v>
      </c>
      <c r="R468" s="28"/>
      <c r="S468" s="28"/>
      <c r="T468" s="255" t="str">
        <f>IF(R468="","",(_xlfn.XLOOKUP(R468,Cadastros!$D$6:$D$90,Cadastros!$E$6:$E$90))*(1-_xlfn.XLOOKUP(_xlfn.XLOOKUP($F468,Clientes!$B$4:$B$39,Clientes!$C$4:$C$39),Cadastros!$L$6:$L$12,Cadastros!$N$6:$N$12)))</f>
        <v/>
      </c>
      <c r="U468" s="168" t="str">
        <f t="shared" si="94"/>
        <v/>
      </c>
      <c r="V468" s="168" t="str">
        <f>IFERROR(U468/_xlfn.XLOOKUP(_xlfn.XLOOKUP($F468,Clientes!$B$4:$B$39,Clientes!$C$4:$C$39),Cadastros!$L$6:$L$12,Cadastros!$M$6:$M$12)," ")</f>
        <v xml:space="preserve"> </v>
      </c>
      <c r="W468" s="28"/>
      <c r="X468" s="28"/>
      <c r="Y468" s="255" t="str">
        <f>IF(W468="","",(_xlfn.XLOOKUP(W468,Cadastros!$D$6:$D$90,Cadastros!$E$6:$E$90))*(1-_xlfn.XLOOKUP(_xlfn.XLOOKUP($F468,Clientes!$B$4:$B$39,Clientes!$C$4:$C$39),Cadastros!$L$6:$L$12,Cadastros!$N$6:$N$12)))</f>
        <v/>
      </c>
      <c r="Z468" s="168" t="str">
        <f t="shared" si="95"/>
        <v/>
      </c>
      <c r="AA468" s="168" t="str">
        <f>IFERROR(Z468/_xlfn.XLOOKUP(_xlfn.XLOOKUP($F468,Clientes!$B$4:$B$39,Clientes!$C$4:$C$39),Cadastros!$L$6:$L$12,Cadastros!$M$6:$M$12)," ")</f>
        <v xml:space="preserve"> </v>
      </c>
      <c r="AB468" s="28"/>
      <c r="AC468" s="28"/>
      <c r="AD468" s="20" t="str">
        <f>IF(AB468="","",IF($F468="Bernardino Furlan",_xlfn.XLOOKUP(AB468,Cadastros!$G$6:$G$90,Cadastros!$H$6:$H$90)*(1-0.18),IF($F468="Mauro José Salanti",_xlfn.XLOOKUP(AB468,Cadastros!$G$6:$G$90,Cadastros!$H$6:$H$90)*(1-0.18),_xlfn.XLOOKUP(AB468,Cadastros!$G$6:$G$90,Cadastros!$H$6:$H$90))))</f>
        <v/>
      </c>
      <c r="AE468" s="168" t="str">
        <f t="shared" si="96"/>
        <v/>
      </c>
      <c r="AF468" s="168" t="str">
        <f t="shared" si="97"/>
        <v/>
      </c>
      <c r="AG468" s="28"/>
      <c r="AH468" s="28"/>
      <c r="AI468" s="20" t="str">
        <f>IF(AG468="","",IF($F468="Bernardino Furlan",_xlfn.XLOOKUP(AG468,Cadastros!$G$6:$G$90,Cadastros!$H$6:$H$90)*(1-0.18),IF($F468="Mauro José Salanti",_xlfn.XLOOKUP(AG468,Cadastros!$G$6:$G$90,Cadastros!$H$6:$H$90)*(1-0.18),_xlfn.XLOOKUP(AG468,Cadastros!$G$6:$G$90,Cadastros!$H$6:$H$90))))</f>
        <v/>
      </c>
      <c r="AJ468" s="168" t="str">
        <f t="shared" si="98"/>
        <v/>
      </c>
      <c r="AK468" s="168" t="str">
        <f t="shared" si="99"/>
        <v/>
      </c>
      <c r="AL468" s="28"/>
      <c r="AM468" s="28"/>
      <c r="AN468" s="20" t="str">
        <f>IF(AL468="","",IF($F468="Bernardino Furlan",_xlfn.XLOOKUP(AL468,Cadastros!$G$6:$G$90,Cadastros!$H$6:$H$90)*(1-0.18),IF($F468="Mauro José Salanti",_xlfn.XLOOKUP(AL468,Cadastros!$G$6:$G$90,Cadastros!$H$6:$H$90)*(1-0.18),_xlfn.XLOOKUP(AL468,Cadastros!$G$6:$G$90,Cadastros!$H$6:$H$90))))</f>
        <v/>
      </c>
      <c r="AO468" s="168" t="str">
        <f t="shared" si="100"/>
        <v/>
      </c>
      <c r="AP468" s="168" t="str">
        <f t="shared" si="101"/>
        <v/>
      </c>
      <c r="AQ468" s="28"/>
      <c r="AR468" s="28"/>
      <c r="AS468" s="20" t="str">
        <f>IF(AQ468="","",IF($F468="Bernardino Furlan",_xlfn.XLOOKUP(AQ468,Cadastros!$G$6:$G$90,Cadastros!$H$6:$H$90)*(1-0.18),IF($F468="Mauro José Salanti",_xlfn.XLOOKUP(AQ468,Cadastros!$G$6:$G$90,Cadastros!$H$6:$H$90)*(1-0.18),_xlfn.XLOOKUP(AQ468,Cadastros!$G$6:$G$90,Cadastros!$H$6:$H$90))))</f>
        <v/>
      </c>
      <c r="AT468" s="168" t="str">
        <f t="shared" si="102"/>
        <v/>
      </c>
      <c r="AU468" s="168" t="str">
        <f t="shared" si="103"/>
        <v/>
      </c>
      <c r="AV468" s="227"/>
      <c r="AW468" s="30"/>
      <c r="AX468" s="267"/>
      <c r="AY468" s="267"/>
      <c r="AZ468" s="29"/>
      <c r="BA468" s="30"/>
      <c r="BB468" s="23" t="str" cm="1">
        <f t="array" ref="BB468">_xlfn.IFS(AW468="SIM",SUM(K468,P468,U468,Z468,AE468,AJ468,AO468,AT468,AX468,AY468),F468&lt;&gt;"",SUM(K468,P468,U468,Z468,AE468,AJ468,,AO468,AT468),F468="","")</f>
        <v/>
      </c>
      <c r="BC468" s="211" t="str" cm="1">
        <f t="array" ref="BC468">_xlfn.IFS(E468="","",G468&lt;=E468,BB468*(1-0.03),G468&lt;(E468+8),BB468,AZ468="Boleto",BB468*(1+0.001)^DATEDIF(E468,G468,"D"),AZ468="Cheque",BB468,AZ468="Dinheiro","Alterar forma pgto")</f>
        <v/>
      </c>
      <c r="BD468" s="276" t="str" cm="1">
        <f t="array" ref="BD468">IF(F468=0," ",IF(BC468&lt;BB468,(_xlfn.IFS(AW468="SIM",SUM(L468,Q468,V468,AA468,AF468,AK468,AP468,AU468)+AX468/_xlfn.XLOOKUP(_xlfn.XLOOKUP($F468,Clientes!$B$4:$B$39,Clientes!$C$4:$C$39),Cadastros!$L$6:$L$12,Cadastros!$M$6:$M$12)+IF($F468="Bernardino Furlan",AY468/2751.92,IF($F468="Mauro José Salanti",AY468/2751.92,AY468/3356)),F468&lt;&gt;0,SUM(L468,Q468,V468,AA468,AF468,AK468,AP468,AU468)))*(1-0.03),_xlfn.IFS(AW468="SIM",SUM(L468,Q468,V468,AA468,AF468,AK468,AP468,AU468)+AX468/_xlfn.XLOOKUP(_xlfn.XLOOKUP($F468,Clientes!$B$4:$B$39,Clientes!$C$4:$C$39),Cadastros!$L$6:$L$12,Cadastros!$M$6:$M$12)+IF($F468="Bernardino Furlan",AY468/2751.92,IF($F468="Mauro José Salanti",AY468/2751.92,AY468/3356)),F468&lt;&gt;0,SUM(L468,Q468,V468,AA468,AF468,AK468,AP468,AU468))))</f>
        <v xml:space="preserve"> </v>
      </c>
      <c r="BE468" s="120"/>
      <c r="BF468" s="120"/>
      <c r="BG468" s="120"/>
    </row>
    <row r="469" spans="1:59" s="3" customFormat="1" x14ac:dyDescent="0.3">
      <c r="A469" s="15" t="str">
        <f t="shared" si="91"/>
        <v/>
      </c>
      <c r="B469" s="25"/>
      <c r="C469" s="26"/>
      <c r="D469" s="279"/>
      <c r="E469" s="27"/>
      <c r="F469" s="28"/>
      <c r="G469" s="27"/>
      <c r="H469" s="28"/>
      <c r="I469" s="28"/>
      <c r="J469" s="255" t="str">
        <f>IF(H469="","",(_xlfn.XLOOKUP(H469,Cadastros!$D$6:$D$90,Cadastros!$E$6:$E$90))*(1-_xlfn.XLOOKUP(_xlfn.XLOOKUP($F469,Clientes!$B$4:$B$39,Clientes!$C$4:$C$39),Cadastros!$L$6:$L$12,Cadastros!$N$6:$N$12)))</f>
        <v/>
      </c>
      <c r="K469" s="168" t="str">
        <f t="shared" si="92"/>
        <v/>
      </c>
      <c r="L469" s="168" t="str">
        <f>IFERROR(K469/_xlfn.XLOOKUP(_xlfn.XLOOKUP($F469,Clientes!$B$4:$B$39,Clientes!$C$4:$C$39),Cadastros!$L$6:$L$12,Cadastros!$M$6:$M$12)," ")</f>
        <v xml:space="preserve"> </v>
      </c>
      <c r="M469" s="28"/>
      <c r="N469" s="28"/>
      <c r="O469" s="255" t="str">
        <f>IF(M469="","",(_xlfn.XLOOKUP(M469,Cadastros!$D$6:$D$90,Cadastros!$E$6:$E$90))*(1-_xlfn.XLOOKUP(_xlfn.XLOOKUP($F469,Clientes!$B$4:$B$39,Clientes!$C$4:$C$39),Cadastros!$L$6:$L$12,Cadastros!$N$6:$N$12)))</f>
        <v/>
      </c>
      <c r="P469" s="168" t="str">
        <f t="shared" si="93"/>
        <v/>
      </c>
      <c r="Q469" s="168" t="str">
        <f>IFERROR(P469/_xlfn.XLOOKUP(_xlfn.XLOOKUP($F469,Clientes!$B$4:$B$39,Clientes!$C$4:$C$39),Cadastros!$L$6:$L$12,Cadastros!$M$6:$M$12)," ")</f>
        <v xml:space="preserve"> </v>
      </c>
      <c r="R469" s="28"/>
      <c r="S469" s="28"/>
      <c r="T469" s="255" t="str">
        <f>IF(R469="","",(_xlfn.XLOOKUP(R469,Cadastros!$D$6:$D$90,Cadastros!$E$6:$E$90))*(1-_xlfn.XLOOKUP(_xlfn.XLOOKUP($F469,Clientes!$B$4:$B$39,Clientes!$C$4:$C$39),Cadastros!$L$6:$L$12,Cadastros!$N$6:$N$12)))</f>
        <v/>
      </c>
      <c r="U469" s="168" t="str">
        <f t="shared" si="94"/>
        <v/>
      </c>
      <c r="V469" s="168" t="str">
        <f>IFERROR(U469/_xlfn.XLOOKUP(_xlfn.XLOOKUP($F469,Clientes!$B$4:$B$39,Clientes!$C$4:$C$39),Cadastros!$L$6:$L$12,Cadastros!$M$6:$M$12)," ")</f>
        <v xml:space="preserve"> </v>
      </c>
      <c r="W469" s="28"/>
      <c r="X469" s="28"/>
      <c r="Y469" s="255" t="str">
        <f>IF(W469="","",(_xlfn.XLOOKUP(W469,Cadastros!$D$6:$D$90,Cadastros!$E$6:$E$90))*(1-_xlfn.XLOOKUP(_xlfn.XLOOKUP($F469,Clientes!$B$4:$B$39,Clientes!$C$4:$C$39),Cadastros!$L$6:$L$12,Cadastros!$N$6:$N$12)))</f>
        <v/>
      </c>
      <c r="Z469" s="168" t="str">
        <f t="shared" si="95"/>
        <v/>
      </c>
      <c r="AA469" s="168" t="str">
        <f>IFERROR(Z469/_xlfn.XLOOKUP(_xlfn.XLOOKUP($F469,Clientes!$B$4:$B$39,Clientes!$C$4:$C$39),Cadastros!$L$6:$L$12,Cadastros!$M$6:$M$12)," ")</f>
        <v xml:space="preserve"> </v>
      </c>
      <c r="AB469" s="28"/>
      <c r="AC469" s="28"/>
      <c r="AD469" s="20" t="str">
        <f>IF(AB469="","",IF($F469="Bernardino Furlan",_xlfn.XLOOKUP(AB469,Cadastros!$G$6:$G$90,Cadastros!$H$6:$H$90)*(1-0.18),IF($F469="Mauro José Salanti",_xlfn.XLOOKUP(AB469,Cadastros!$G$6:$G$90,Cadastros!$H$6:$H$90)*(1-0.18),_xlfn.XLOOKUP(AB469,Cadastros!$G$6:$G$90,Cadastros!$H$6:$H$90))))</f>
        <v/>
      </c>
      <c r="AE469" s="168" t="str">
        <f t="shared" si="96"/>
        <v/>
      </c>
      <c r="AF469" s="168" t="str">
        <f t="shared" si="97"/>
        <v/>
      </c>
      <c r="AG469" s="28"/>
      <c r="AH469" s="28"/>
      <c r="AI469" s="20" t="str">
        <f>IF(AG469="","",IF($F469="Bernardino Furlan",_xlfn.XLOOKUP(AG469,Cadastros!$G$6:$G$90,Cadastros!$H$6:$H$90)*(1-0.18),IF($F469="Mauro José Salanti",_xlfn.XLOOKUP(AG469,Cadastros!$G$6:$G$90,Cadastros!$H$6:$H$90)*(1-0.18),_xlfn.XLOOKUP(AG469,Cadastros!$G$6:$G$90,Cadastros!$H$6:$H$90))))</f>
        <v/>
      </c>
      <c r="AJ469" s="168" t="str">
        <f t="shared" si="98"/>
        <v/>
      </c>
      <c r="AK469" s="168" t="str">
        <f t="shared" si="99"/>
        <v/>
      </c>
      <c r="AL469" s="28"/>
      <c r="AM469" s="28"/>
      <c r="AN469" s="20" t="str">
        <f>IF(AL469="","",IF($F469="Bernardino Furlan",_xlfn.XLOOKUP(AL469,Cadastros!$G$6:$G$90,Cadastros!$H$6:$H$90)*(1-0.18),IF($F469="Mauro José Salanti",_xlfn.XLOOKUP(AL469,Cadastros!$G$6:$G$90,Cadastros!$H$6:$H$90)*(1-0.18),_xlfn.XLOOKUP(AL469,Cadastros!$G$6:$G$90,Cadastros!$H$6:$H$90))))</f>
        <v/>
      </c>
      <c r="AO469" s="168" t="str">
        <f t="shared" si="100"/>
        <v/>
      </c>
      <c r="AP469" s="168" t="str">
        <f t="shared" si="101"/>
        <v/>
      </c>
      <c r="AQ469" s="28"/>
      <c r="AR469" s="28"/>
      <c r="AS469" s="20" t="str">
        <f>IF(AQ469="","",IF($F469="Bernardino Furlan",_xlfn.XLOOKUP(AQ469,Cadastros!$G$6:$G$90,Cadastros!$H$6:$H$90)*(1-0.18),IF($F469="Mauro José Salanti",_xlfn.XLOOKUP(AQ469,Cadastros!$G$6:$G$90,Cadastros!$H$6:$H$90)*(1-0.18),_xlfn.XLOOKUP(AQ469,Cadastros!$G$6:$G$90,Cadastros!$H$6:$H$90))))</f>
        <v/>
      </c>
      <c r="AT469" s="168" t="str">
        <f t="shared" si="102"/>
        <v/>
      </c>
      <c r="AU469" s="168" t="str">
        <f t="shared" si="103"/>
        <v/>
      </c>
      <c r="AV469" s="227"/>
      <c r="AW469" s="30"/>
      <c r="AX469" s="267"/>
      <c r="AY469" s="267"/>
      <c r="AZ469" s="29"/>
      <c r="BA469" s="30"/>
      <c r="BB469" s="23" t="str" cm="1">
        <f t="array" ref="BB469">_xlfn.IFS(AW469="SIM",SUM(K469,P469,U469,Z469,AE469,AJ469,AO469,AT469,AX469,AY469),F469&lt;&gt;"",SUM(K469,P469,U469,Z469,AE469,AJ469,,AO469,AT469),F469="","")</f>
        <v/>
      </c>
      <c r="BC469" s="211" t="str" cm="1">
        <f t="array" ref="BC469">_xlfn.IFS(E469="","",G469&lt;=E469,BB469*(1-0.03),G469&lt;(E469+8),BB469,AZ469="Boleto",BB469*(1+0.001)^DATEDIF(E469,G469,"D"),AZ469="Cheque",BB469,AZ469="Dinheiro","Alterar forma pgto")</f>
        <v/>
      </c>
      <c r="BD469" s="276" t="str" cm="1">
        <f t="array" ref="BD469">IF(F469=0," ",IF(BC469&lt;BB469,(_xlfn.IFS(AW469="SIM",SUM(L469,Q469,V469,AA469,AF469,AK469,AP469,AU469)+AX469/_xlfn.XLOOKUP(_xlfn.XLOOKUP($F469,Clientes!$B$4:$B$39,Clientes!$C$4:$C$39),Cadastros!$L$6:$L$12,Cadastros!$M$6:$M$12)+IF($F469="Bernardino Furlan",AY469/2751.92,IF($F469="Mauro José Salanti",AY469/2751.92,AY469/3356)),F469&lt;&gt;0,SUM(L469,Q469,V469,AA469,AF469,AK469,AP469,AU469)))*(1-0.03),_xlfn.IFS(AW469="SIM",SUM(L469,Q469,V469,AA469,AF469,AK469,AP469,AU469)+AX469/_xlfn.XLOOKUP(_xlfn.XLOOKUP($F469,Clientes!$B$4:$B$39,Clientes!$C$4:$C$39),Cadastros!$L$6:$L$12,Cadastros!$M$6:$M$12)+IF($F469="Bernardino Furlan",AY469/2751.92,IF($F469="Mauro José Salanti",AY469/2751.92,AY469/3356)),F469&lt;&gt;0,SUM(L469,Q469,V469,AA469,AF469,AK469,AP469,AU469))))</f>
        <v xml:space="preserve"> </v>
      </c>
      <c r="BE469" s="120"/>
      <c r="BF469" s="120"/>
      <c r="BG469" s="120"/>
    </row>
    <row r="470" spans="1:59" s="3" customFormat="1" x14ac:dyDescent="0.3">
      <c r="A470" s="15" t="str">
        <f t="shared" si="91"/>
        <v/>
      </c>
      <c r="B470" s="25"/>
      <c r="C470" s="26"/>
      <c r="D470" s="279"/>
      <c r="E470" s="27"/>
      <c r="F470" s="28"/>
      <c r="G470" s="27"/>
      <c r="H470" s="28"/>
      <c r="I470" s="28"/>
      <c r="J470" s="255" t="str">
        <f>IF(H470="","",(_xlfn.XLOOKUP(H470,Cadastros!$D$6:$D$90,Cadastros!$E$6:$E$90))*(1-_xlfn.XLOOKUP(_xlfn.XLOOKUP($F470,Clientes!$B$4:$B$39,Clientes!$C$4:$C$39),Cadastros!$L$6:$L$12,Cadastros!$N$6:$N$12)))</f>
        <v/>
      </c>
      <c r="K470" s="168" t="str">
        <f t="shared" si="92"/>
        <v/>
      </c>
      <c r="L470" s="168" t="str">
        <f>IFERROR(K470/_xlfn.XLOOKUP(_xlfn.XLOOKUP($F470,Clientes!$B$4:$B$39,Clientes!$C$4:$C$39),Cadastros!$L$6:$L$12,Cadastros!$M$6:$M$12)," ")</f>
        <v xml:space="preserve"> </v>
      </c>
      <c r="M470" s="28"/>
      <c r="N470" s="28"/>
      <c r="O470" s="255" t="str">
        <f>IF(M470="","",(_xlfn.XLOOKUP(M470,Cadastros!$D$6:$D$90,Cadastros!$E$6:$E$90))*(1-_xlfn.XLOOKUP(_xlfn.XLOOKUP($F470,Clientes!$B$4:$B$39,Clientes!$C$4:$C$39),Cadastros!$L$6:$L$12,Cadastros!$N$6:$N$12)))</f>
        <v/>
      </c>
      <c r="P470" s="168" t="str">
        <f t="shared" si="93"/>
        <v/>
      </c>
      <c r="Q470" s="168" t="str">
        <f>IFERROR(P470/_xlfn.XLOOKUP(_xlfn.XLOOKUP($F470,Clientes!$B$4:$B$39,Clientes!$C$4:$C$39),Cadastros!$L$6:$L$12,Cadastros!$M$6:$M$12)," ")</f>
        <v xml:space="preserve"> </v>
      </c>
      <c r="R470" s="28"/>
      <c r="S470" s="28"/>
      <c r="T470" s="255" t="str">
        <f>IF(R470="","",(_xlfn.XLOOKUP(R470,Cadastros!$D$6:$D$90,Cadastros!$E$6:$E$90))*(1-_xlfn.XLOOKUP(_xlfn.XLOOKUP($F470,Clientes!$B$4:$B$39,Clientes!$C$4:$C$39),Cadastros!$L$6:$L$12,Cadastros!$N$6:$N$12)))</f>
        <v/>
      </c>
      <c r="U470" s="168" t="str">
        <f t="shared" si="94"/>
        <v/>
      </c>
      <c r="V470" s="168" t="str">
        <f>IFERROR(U470/_xlfn.XLOOKUP(_xlfn.XLOOKUP($F470,Clientes!$B$4:$B$39,Clientes!$C$4:$C$39),Cadastros!$L$6:$L$12,Cadastros!$M$6:$M$12)," ")</f>
        <v xml:space="preserve"> </v>
      </c>
      <c r="W470" s="28"/>
      <c r="X470" s="28"/>
      <c r="Y470" s="255" t="str">
        <f>IF(W470="","",(_xlfn.XLOOKUP(W470,Cadastros!$D$6:$D$90,Cadastros!$E$6:$E$90))*(1-_xlfn.XLOOKUP(_xlfn.XLOOKUP($F470,Clientes!$B$4:$B$39,Clientes!$C$4:$C$39),Cadastros!$L$6:$L$12,Cadastros!$N$6:$N$12)))</f>
        <v/>
      </c>
      <c r="Z470" s="168" t="str">
        <f t="shared" si="95"/>
        <v/>
      </c>
      <c r="AA470" s="168" t="str">
        <f>IFERROR(Z470/_xlfn.XLOOKUP(_xlfn.XLOOKUP($F470,Clientes!$B$4:$B$39,Clientes!$C$4:$C$39),Cadastros!$L$6:$L$12,Cadastros!$M$6:$M$12)," ")</f>
        <v xml:space="preserve"> </v>
      </c>
      <c r="AB470" s="28"/>
      <c r="AC470" s="28"/>
      <c r="AD470" s="20" t="str">
        <f>IF(AB470="","",IF($F470="Bernardino Furlan",_xlfn.XLOOKUP(AB470,Cadastros!$G$6:$G$90,Cadastros!$H$6:$H$90)*(1-0.18),IF($F470="Mauro José Salanti",_xlfn.XLOOKUP(AB470,Cadastros!$G$6:$G$90,Cadastros!$H$6:$H$90)*(1-0.18),_xlfn.XLOOKUP(AB470,Cadastros!$G$6:$G$90,Cadastros!$H$6:$H$90))))</f>
        <v/>
      </c>
      <c r="AE470" s="168" t="str">
        <f t="shared" si="96"/>
        <v/>
      </c>
      <c r="AF470" s="168" t="str">
        <f t="shared" si="97"/>
        <v/>
      </c>
      <c r="AG470" s="28"/>
      <c r="AH470" s="28"/>
      <c r="AI470" s="20" t="str">
        <f>IF(AG470="","",IF($F470="Bernardino Furlan",_xlfn.XLOOKUP(AG470,Cadastros!$G$6:$G$90,Cadastros!$H$6:$H$90)*(1-0.18),IF($F470="Mauro José Salanti",_xlfn.XLOOKUP(AG470,Cadastros!$G$6:$G$90,Cadastros!$H$6:$H$90)*(1-0.18),_xlfn.XLOOKUP(AG470,Cadastros!$G$6:$G$90,Cadastros!$H$6:$H$90))))</f>
        <v/>
      </c>
      <c r="AJ470" s="168" t="str">
        <f t="shared" si="98"/>
        <v/>
      </c>
      <c r="AK470" s="168" t="str">
        <f t="shared" si="99"/>
        <v/>
      </c>
      <c r="AL470" s="28"/>
      <c r="AM470" s="28"/>
      <c r="AN470" s="20" t="str">
        <f>IF(AL470="","",IF($F470="Bernardino Furlan",_xlfn.XLOOKUP(AL470,Cadastros!$G$6:$G$90,Cadastros!$H$6:$H$90)*(1-0.18),IF($F470="Mauro José Salanti",_xlfn.XLOOKUP(AL470,Cadastros!$G$6:$G$90,Cadastros!$H$6:$H$90)*(1-0.18),_xlfn.XLOOKUP(AL470,Cadastros!$G$6:$G$90,Cadastros!$H$6:$H$90))))</f>
        <v/>
      </c>
      <c r="AO470" s="168" t="str">
        <f t="shared" si="100"/>
        <v/>
      </c>
      <c r="AP470" s="168" t="str">
        <f t="shared" si="101"/>
        <v/>
      </c>
      <c r="AQ470" s="28"/>
      <c r="AR470" s="28"/>
      <c r="AS470" s="20" t="str">
        <f>IF(AQ470="","",IF($F470="Bernardino Furlan",_xlfn.XLOOKUP(AQ470,Cadastros!$G$6:$G$90,Cadastros!$H$6:$H$90)*(1-0.18),IF($F470="Mauro José Salanti",_xlfn.XLOOKUP(AQ470,Cadastros!$G$6:$G$90,Cadastros!$H$6:$H$90)*(1-0.18),_xlfn.XLOOKUP(AQ470,Cadastros!$G$6:$G$90,Cadastros!$H$6:$H$90))))</f>
        <v/>
      </c>
      <c r="AT470" s="168" t="str">
        <f t="shared" si="102"/>
        <v/>
      </c>
      <c r="AU470" s="168" t="str">
        <f t="shared" si="103"/>
        <v/>
      </c>
      <c r="AV470" s="227"/>
      <c r="AW470" s="30"/>
      <c r="AX470" s="267"/>
      <c r="AY470" s="267"/>
      <c r="AZ470" s="29"/>
      <c r="BA470" s="30"/>
      <c r="BB470" s="23" t="str" cm="1">
        <f t="array" ref="BB470">_xlfn.IFS(AW470="SIM",SUM(K470,P470,U470,Z470,AE470,AJ470,AO470,AT470,AX470,AY470),F470&lt;&gt;"",SUM(K470,P470,U470,Z470,AE470,AJ470,,AO470,AT470),F470="","")</f>
        <v/>
      </c>
      <c r="BC470" s="211" t="str" cm="1">
        <f t="array" ref="BC470">_xlfn.IFS(E470="","",G470&lt;=E470,BB470*(1-0.03),G470&lt;(E470+8),BB470,AZ470="Boleto",BB470*(1+0.001)^DATEDIF(E470,G470,"D"),AZ470="Cheque",BB470,AZ470="Dinheiro","Alterar forma pgto")</f>
        <v/>
      </c>
      <c r="BD470" s="276" t="str" cm="1">
        <f t="array" ref="BD470">IF(F470=0," ",IF(BC470&lt;BB470,(_xlfn.IFS(AW470="SIM",SUM(L470,Q470,V470,AA470,AF470,AK470,AP470,AU470)+AX470/_xlfn.XLOOKUP(_xlfn.XLOOKUP($F470,Clientes!$B$4:$B$39,Clientes!$C$4:$C$39),Cadastros!$L$6:$L$12,Cadastros!$M$6:$M$12)+IF($F470="Bernardino Furlan",AY470/2751.92,IF($F470="Mauro José Salanti",AY470/2751.92,AY470/3356)),F470&lt;&gt;0,SUM(L470,Q470,V470,AA470,AF470,AK470,AP470,AU470)))*(1-0.03),_xlfn.IFS(AW470="SIM",SUM(L470,Q470,V470,AA470,AF470,AK470,AP470,AU470)+AX470/_xlfn.XLOOKUP(_xlfn.XLOOKUP($F470,Clientes!$B$4:$B$39,Clientes!$C$4:$C$39),Cadastros!$L$6:$L$12,Cadastros!$M$6:$M$12)+IF($F470="Bernardino Furlan",AY470/2751.92,IF($F470="Mauro José Salanti",AY470/2751.92,AY470/3356)),F470&lt;&gt;0,SUM(L470,Q470,V470,AA470,AF470,AK470,AP470,AU470))))</f>
        <v xml:space="preserve"> </v>
      </c>
      <c r="BE470" s="120"/>
      <c r="BF470" s="120"/>
      <c r="BG470" s="120"/>
    </row>
    <row r="471" spans="1:59" s="3" customFormat="1" x14ac:dyDescent="0.3">
      <c r="A471" s="15" t="str">
        <f t="shared" si="91"/>
        <v/>
      </c>
      <c r="B471" s="25"/>
      <c r="C471" s="26"/>
      <c r="D471" s="279"/>
      <c r="E471" s="27"/>
      <c r="F471" s="28"/>
      <c r="G471" s="27"/>
      <c r="H471" s="28"/>
      <c r="I471" s="28"/>
      <c r="J471" s="255" t="str">
        <f>IF(H471="","",(_xlfn.XLOOKUP(H471,Cadastros!$D$6:$D$90,Cadastros!$E$6:$E$90))*(1-_xlfn.XLOOKUP(_xlfn.XLOOKUP($F471,Clientes!$B$4:$B$39,Clientes!$C$4:$C$39),Cadastros!$L$6:$L$12,Cadastros!$N$6:$N$12)))</f>
        <v/>
      </c>
      <c r="K471" s="168" t="str">
        <f t="shared" si="92"/>
        <v/>
      </c>
      <c r="L471" s="168" t="str">
        <f>IFERROR(K471/_xlfn.XLOOKUP(_xlfn.XLOOKUP($F471,Clientes!$B$4:$B$39,Clientes!$C$4:$C$39),Cadastros!$L$6:$L$12,Cadastros!$M$6:$M$12)," ")</f>
        <v xml:space="preserve"> </v>
      </c>
      <c r="M471" s="28"/>
      <c r="N471" s="28"/>
      <c r="O471" s="255" t="str">
        <f>IF(M471="","",(_xlfn.XLOOKUP(M471,Cadastros!$D$6:$D$90,Cadastros!$E$6:$E$90))*(1-_xlfn.XLOOKUP(_xlfn.XLOOKUP($F471,Clientes!$B$4:$B$39,Clientes!$C$4:$C$39),Cadastros!$L$6:$L$12,Cadastros!$N$6:$N$12)))</f>
        <v/>
      </c>
      <c r="P471" s="168" t="str">
        <f t="shared" si="93"/>
        <v/>
      </c>
      <c r="Q471" s="168" t="str">
        <f>IFERROR(P471/_xlfn.XLOOKUP(_xlfn.XLOOKUP($F471,Clientes!$B$4:$B$39,Clientes!$C$4:$C$39),Cadastros!$L$6:$L$12,Cadastros!$M$6:$M$12)," ")</f>
        <v xml:space="preserve"> </v>
      </c>
      <c r="R471" s="28"/>
      <c r="S471" s="28"/>
      <c r="T471" s="255" t="str">
        <f>IF(R471="","",(_xlfn.XLOOKUP(R471,Cadastros!$D$6:$D$90,Cadastros!$E$6:$E$90))*(1-_xlfn.XLOOKUP(_xlfn.XLOOKUP($F471,Clientes!$B$4:$B$39,Clientes!$C$4:$C$39),Cadastros!$L$6:$L$12,Cadastros!$N$6:$N$12)))</f>
        <v/>
      </c>
      <c r="U471" s="168" t="str">
        <f t="shared" si="94"/>
        <v/>
      </c>
      <c r="V471" s="168" t="str">
        <f>IFERROR(U471/_xlfn.XLOOKUP(_xlfn.XLOOKUP($F471,Clientes!$B$4:$B$39,Clientes!$C$4:$C$39),Cadastros!$L$6:$L$12,Cadastros!$M$6:$M$12)," ")</f>
        <v xml:space="preserve"> </v>
      </c>
      <c r="W471" s="28"/>
      <c r="X471" s="28"/>
      <c r="Y471" s="255" t="str">
        <f>IF(W471="","",(_xlfn.XLOOKUP(W471,Cadastros!$D$6:$D$90,Cadastros!$E$6:$E$90))*(1-_xlfn.XLOOKUP(_xlfn.XLOOKUP($F471,Clientes!$B$4:$B$39,Clientes!$C$4:$C$39),Cadastros!$L$6:$L$12,Cadastros!$N$6:$N$12)))</f>
        <v/>
      </c>
      <c r="Z471" s="168" t="str">
        <f t="shared" si="95"/>
        <v/>
      </c>
      <c r="AA471" s="168" t="str">
        <f>IFERROR(Z471/_xlfn.XLOOKUP(_xlfn.XLOOKUP($F471,Clientes!$B$4:$B$39,Clientes!$C$4:$C$39),Cadastros!$L$6:$L$12,Cadastros!$M$6:$M$12)," ")</f>
        <v xml:space="preserve"> </v>
      </c>
      <c r="AB471" s="28"/>
      <c r="AC471" s="28"/>
      <c r="AD471" s="20" t="str">
        <f>IF(AB471="","",IF($F471="Bernardino Furlan",_xlfn.XLOOKUP(AB471,Cadastros!$G$6:$G$90,Cadastros!$H$6:$H$90)*(1-0.18),IF($F471="Mauro José Salanti",_xlfn.XLOOKUP(AB471,Cadastros!$G$6:$G$90,Cadastros!$H$6:$H$90)*(1-0.18),_xlfn.XLOOKUP(AB471,Cadastros!$G$6:$G$90,Cadastros!$H$6:$H$90))))</f>
        <v/>
      </c>
      <c r="AE471" s="168" t="str">
        <f t="shared" si="96"/>
        <v/>
      </c>
      <c r="AF471" s="168" t="str">
        <f t="shared" si="97"/>
        <v/>
      </c>
      <c r="AG471" s="28"/>
      <c r="AH471" s="28"/>
      <c r="AI471" s="20" t="str">
        <f>IF(AG471="","",IF($F471="Bernardino Furlan",_xlfn.XLOOKUP(AG471,Cadastros!$G$6:$G$90,Cadastros!$H$6:$H$90)*(1-0.18),IF($F471="Mauro José Salanti",_xlfn.XLOOKUP(AG471,Cadastros!$G$6:$G$90,Cadastros!$H$6:$H$90)*(1-0.18),_xlfn.XLOOKUP(AG471,Cadastros!$G$6:$G$90,Cadastros!$H$6:$H$90))))</f>
        <v/>
      </c>
      <c r="AJ471" s="168" t="str">
        <f t="shared" si="98"/>
        <v/>
      </c>
      <c r="AK471" s="168" t="str">
        <f t="shared" si="99"/>
        <v/>
      </c>
      <c r="AL471" s="28"/>
      <c r="AM471" s="28"/>
      <c r="AN471" s="20" t="str">
        <f>IF(AL471="","",IF($F471="Bernardino Furlan",_xlfn.XLOOKUP(AL471,Cadastros!$G$6:$G$90,Cadastros!$H$6:$H$90)*(1-0.18),IF($F471="Mauro José Salanti",_xlfn.XLOOKUP(AL471,Cadastros!$G$6:$G$90,Cadastros!$H$6:$H$90)*(1-0.18),_xlfn.XLOOKUP(AL471,Cadastros!$G$6:$G$90,Cadastros!$H$6:$H$90))))</f>
        <v/>
      </c>
      <c r="AO471" s="168" t="str">
        <f t="shared" si="100"/>
        <v/>
      </c>
      <c r="AP471" s="168" t="str">
        <f t="shared" si="101"/>
        <v/>
      </c>
      <c r="AQ471" s="28"/>
      <c r="AR471" s="28"/>
      <c r="AS471" s="20" t="str">
        <f>IF(AQ471="","",IF($F471="Bernardino Furlan",_xlfn.XLOOKUP(AQ471,Cadastros!$G$6:$G$90,Cadastros!$H$6:$H$90)*(1-0.18),IF($F471="Mauro José Salanti",_xlfn.XLOOKUP(AQ471,Cadastros!$G$6:$G$90,Cadastros!$H$6:$H$90)*(1-0.18),_xlfn.XLOOKUP(AQ471,Cadastros!$G$6:$G$90,Cadastros!$H$6:$H$90))))</f>
        <v/>
      </c>
      <c r="AT471" s="168" t="str">
        <f t="shared" si="102"/>
        <v/>
      </c>
      <c r="AU471" s="168" t="str">
        <f t="shared" si="103"/>
        <v/>
      </c>
      <c r="AV471" s="227"/>
      <c r="AW471" s="30"/>
      <c r="AX471" s="267"/>
      <c r="AY471" s="267"/>
      <c r="AZ471" s="29"/>
      <c r="BA471" s="30"/>
      <c r="BB471" s="23" t="str" cm="1">
        <f t="array" ref="BB471">_xlfn.IFS(AW471="SIM",SUM(K471,P471,U471,Z471,AE471,AJ471,AO471,AT471,AX471,AY471),F471&lt;&gt;"",SUM(K471,P471,U471,Z471,AE471,AJ471,,AO471,AT471),F471="","")</f>
        <v/>
      </c>
      <c r="BC471" s="211" t="str" cm="1">
        <f t="array" ref="BC471">_xlfn.IFS(E471="","",G471&lt;=E471,BB471*(1-0.03),G471&lt;(E471+8),BB471,AZ471="Boleto",BB471*(1+0.001)^DATEDIF(E471,G471,"D"),AZ471="Cheque",BB471,AZ471="Dinheiro","Alterar forma pgto")</f>
        <v/>
      </c>
      <c r="BD471" s="276" t="str" cm="1">
        <f t="array" ref="BD471">IF(F471=0," ",IF(BC471&lt;BB471,(_xlfn.IFS(AW471="SIM",SUM(L471,Q471,V471,AA471,AF471,AK471,AP471,AU471)+AX471/_xlfn.XLOOKUP(_xlfn.XLOOKUP($F471,Clientes!$B$4:$B$39,Clientes!$C$4:$C$39),Cadastros!$L$6:$L$12,Cadastros!$M$6:$M$12)+IF($F471="Bernardino Furlan",AY471/2751.92,IF($F471="Mauro José Salanti",AY471/2751.92,AY471/3356)),F471&lt;&gt;0,SUM(L471,Q471,V471,AA471,AF471,AK471,AP471,AU471)))*(1-0.03),_xlfn.IFS(AW471="SIM",SUM(L471,Q471,V471,AA471,AF471,AK471,AP471,AU471)+AX471/_xlfn.XLOOKUP(_xlfn.XLOOKUP($F471,Clientes!$B$4:$B$39,Clientes!$C$4:$C$39),Cadastros!$L$6:$L$12,Cadastros!$M$6:$M$12)+IF($F471="Bernardino Furlan",AY471/2751.92,IF($F471="Mauro José Salanti",AY471/2751.92,AY471/3356)),F471&lt;&gt;0,SUM(L471,Q471,V471,AA471,AF471,AK471,AP471,AU471))))</f>
        <v xml:space="preserve"> </v>
      </c>
      <c r="BE471" s="120"/>
      <c r="BF471" s="120"/>
      <c r="BG471" s="120"/>
    </row>
    <row r="472" spans="1:59" s="3" customFormat="1" x14ac:dyDescent="0.3">
      <c r="A472" s="15" t="str">
        <f t="shared" si="91"/>
        <v/>
      </c>
      <c r="B472" s="25"/>
      <c r="C472" s="26"/>
      <c r="D472" s="279"/>
      <c r="E472" s="27"/>
      <c r="F472" s="28"/>
      <c r="G472" s="27"/>
      <c r="H472" s="28"/>
      <c r="I472" s="28"/>
      <c r="J472" s="255" t="str">
        <f>IF(H472="","",(_xlfn.XLOOKUP(H472,Cadastros!$D$6:$D$90,Cadastros!$E$6:$E$90))*(1-_xlfn.XLOOKUP(_xlfn.XLOOKUP($F472,Clientes!$B$4:$B$39,Clientes!$C$4:$C$39),Cadastros!$L$6:$L$12,Cadastros!$N$6:$N$12)))</f>
        <v/>
      </c>
      <c r="K472" s="168" t="str">
        <f t="shared" si="92"/>
        <v/>
      </c>
      <c r="L472" s="168" t="str">
        <f>IFERROR(K472/_xlfn.XLOOKUP(_xlfn.XLOOKUP($F472,Clientes!$B$4:$B$39,Clientes!$C$4:$C$39),Cadastros!$L$6:$L$12,Cadastros!$M$6:$M$12)," ")</f>
        <v xml:space="preserve"> </v>
      </c>
      <c r="M472" s="28"/>
      <c r="N472" s="28"/>
      <c r="O472" s="255" t="str">
        <f>IF(M472="","",(_xlfn.XLOOKUP(M472,Cadastros!$D$6:$D$90,Cadastros!$E$6:$E$90))*(1-_xlfn.XLOOKUP(_xlfn.XLOOKUP($F472,Clientes!$B$4:$B$39,Clientes!$C$4:$C$39),Cadastros!$L$6:$L$12,Cadastros!$N$6:$N$12)))</f>
        <v/>
      </c>
      <c r="P472" s="168" t="str">
        <f t="shared" si="93"/>
        <v/>
      </c>
      <c r="Q472" s="168" t="str">
        <f>IFERROR(P472/_xlfn.XLOOKUP(_xlfn.XLOOKUP($F472,Clientes!$B$4:$B$39,Clientes!$C$4:$C$39),Cadastros!$L$6:$L$12,Cadastros!$M$6:$M$12)," ")</f>
        <v xml:space="preserve"> </v>
      </c>
      <c r="R472" s="28"/>
      <c r="S472" s="28"/>
      <c r="T472" s="255" t="str">
        <f>IF(R472="","",(_xlfn.XLOOKUP(R472,Cadastros!$D$6:$D$90,Cadastros!$E$6:$E$90))*(1-_xlfn.XLOOKUP(_xlfn.XLOOKUP($F472,Clientes!$B$4:$B$39,Clientes!$C$4:$C$39),Cadastros!$L$6:$L$12,Cadastros!$N$6:$N$12)))</f>
        <v/>
      </c>
      <c r="U472" s="168" t="str">
        <f t="shared" si="94"/>
        <v/>
      </c>
      <c r="V472" s="168" t="str">
        <f>IFERROR(U472/_xlfn.XLOOKUP(_xlfn.XLOOKUP($F472,Clientes!$B$4:$B$39,Clientes!$C$4:$C$39),Cadastros!$L$6:$L$12,Cadastros!$M$6:$M$12)," ")</f>
        <v xml:space="preserve"> </v>
      </c>
      <c r="W472" s="28"/>
      <c r="X472" s="28"/>
      <c r="Y472" s="255" t="str">
        <f>IF(W472="","",(_xlfn.XLOOKUP(W472,Cadastros!$D$6:$D$90,Cadastros!$E$6:$E$90))*(1-_xlfn.XLOOKUP(_xlfn.XLOOKUP($F472,Clientes!$B$4:$B$39,Clientes!$C$4:$C$39),Cadastros!$L$6:$L$12,Cadastros!$N$6:$N$12)))</f>
        <v/>
      </c>
      <c r="Z472" s="168" t="str">
        <f t="shared" si="95"/>
        <v/>
      </c>
      <c r="AA472" s="168" t="str">
        <f>IFERROR(Z472/_xlfn.XLOOKUP(_xlfn.XLOOKUP($F472,Clientes!$B$4:$B$39,Clientes!$C$4:$C$39),Cadastros!$L$6:$L$12,Cadastros!$M$6:$M$12)," ")</f>
        <v xml:space="preserve"> </v>
      </c>
      <c r="AB472" s="28"/>
      <c r="AC472" s="28"/>
      <c r="AD472" s="20" t="str">
        <f>IF(AB472="","",IF($F472="Bernardino Furlan",_xlfn.XLOOKUP(AB472,Cadastros!$G$6:$G$90,Cadastros!$H$6:$H$90)*(1-0.18),IF($F472="Mauro José Salanti",_xlfn.XLOOKUP(AB472,Cadastros!$G$6:$G$90,Cadastros!$H$6:$H$90)*(1-0.18),_xlfn.XLOOKUP(AB472,Cadastros!$G$6:$G$90,Cadastros!$H$6:$H$90))))</f>
        <v/>
      </c>
      <c r="AE472" s="168" t="str">
        <f t="shared" si="96"/>
        <v/>
      </c>
      <c r="AF472" s="168" t="str">
        <f t="shared" si="97"/>
        <v/>
      </c>
      <c r="AG472" s="28"/>
      <c r="AH472" s="28"/>
      <c r="AI472" s="20" t="str">
        <f>IF(AG472="","",IF($F472="Bernardino Furlan",_xlfn.XLOOKUP(AG472,Cadastros!$G$6:$G$90,Cadastros!$H$6:$H$90)*(1-0.18),IF($F472="Mauro José Salanti",_xlfn.XLOOKUP(AG472,Cadastros!$G$6:$G$90,Cadastros!$H$6:$H$90)*(1-0.18),_xlfn.XLOOKUP(AG472,Cadastros!$G$6:$G$90,Cadastros!$H$6:$H$90))))</f>
        <v/>
      </c>
      <c r="AJ472" s="168" t="str">
        <f t="shared" si="98"/>
        <v/>
      </c>
      <c r="AK472" s="168" t="str">
        <f t="shared" si="99"/>
        <v/>
      </c>
      <c r="AL472" s="28"/>
      <c r="AM472" s="28"/>
      <c r="AN472" s="20" t="str">
        <f>IF(AL472="","",IF($F472="Bernardino Furlan",_xlfn.XLOOKUP(AL472,Cadastros!$G$6:$G$90,Cadastros!$H$6:$H$90)*(1-0.18),IF($F472="Mauro José Salanti",_xlfn.XLOOKUP(AL472,Cadastros!$G$6:$G$90,Cadastros!$H$6:$H$90)*(1-0.18),_xlfn.XLOOKUP(AL472,Cadastros!$G$6:$G$90,Cadastros!$H$6:$H$90))))</f>
        <v/>
      </c>
      <c r="AO472" s="168" t="str">
        <f t="shared" si="100"/>
        <v/>
      </c>
      <c r="AP472" s="168" t="str">
        <f t="shared" si="101"/>
        <v/>
      </c>
      <c r="AQ472" s="28"/>
      <c r="AR472" s="28"/>
      <c r="AS472" s="20" t="str">
        <f>IF(AQ472="","",IF($F472="Bernardino Furlan",_xlfn.XLOOKUP(AQ472,Cadastros!$G$6:$G$90,Cadastros!$H$6:$H$90)*(1-0.18),IF($F472="Mauro José Salanti",_xlfn.XLOOKUP(AQ472,Cadastros!$G$6:$G$90,Cadastros!$H$6:$H$90)*(1-0.18),_xlfn.XLOOKUP(AQ472,Cadastros!$G$6:$G$90,Cadastros!$H$6:$H$90))))</f>
        <v/>
      </c>
      <c r="AT472" s="168" t="str">
        <f t="shared" si="102"/>
        <v/>
      </c>
      <c r="AU472" s="168" t="str">
        <f t="shared" si="103"/>
        <v/>
      </c>
      <c r="AV472" s="227"/>
      <c r="AW472" s="30"/>
      <c r="AX472" s="267"/>
      <c r="AY472" s="267"/>
      <c r="AZ472" s="29"/>
      <c r="BA472" s="30"/>
      <c r="BB472" s="23" t="str" cm="1">
        <f t="array" ref="BB472">_xlfn.IFS(AW472="SIM",SUM(K472,P472,U472,Z472,AE472,AJ472,AO472,AT472,AX472,AY472),F472&lt;&gt;"",SUM(K472,P472,U472,Z472,AE472,AJ472,,AO472,AT472),F472="","")</f>
        <v/>
      </c>
      <c r="BC472" s="211" t="str" cm="1">
        <f t="array" ref="BC472">_xlfn.IFS(E472="","",G472&lt;=E472,BB472*(1-0.03),G472&lt;(E472+8),BB472,AZ472="Boleto",BB472*(1+0.001)^DATEDIF(E472,G472,"D"),AZ472="Cheque",BB472,AZ472="Dinheiro","Alterar forma pgto")</f>
        <v/>
      </c>
      <c r="BD472" s="276" t="str" cm="1">
        <f t="array" ref="BD472">IF(F472=0," ",IF(BC472&lt;BB472,(_xlfn.IFS(AW472="SIM",SUM(L472,Q472,V472,AA472,AF472,AK472,AP472,AU472)+AX472/_xlfn.XLOOKUP(_xlfn.XLOOKUP($F472,Clientes!$B$4:$B$39,Clientes!$C$4:$C$39),Cadastros!$L$6:$L$12,Cadastros!$M$6:$M$12)+IF($F472="Bernardino Furlan",AY472/2751.92,IF($F472="Mauro José Salanti",AY472/2751.92,AY472/3356)),F472&lt;&gt;0,SUM(L472,Q472,V472,AA472,AF472,AK472,AP472,AU472)))*(1-0.03),_xlfn.IFS(AW472="SIM",SUM(L472,Q472,V472,AA472,AF472,AK472,AP472,AU472)+AX472/_xlfn.XLOOKUP(_xlfn.XLOOKUP($F472,Clientes!$B$4:$B$39,Clientes!$C$4:$C$39),Cadastros!$L$6:$L$12,Cadastros!$M$6:$M$12)+IF($F472="Bernardino Furlan",AY472/2751.92,IF($F472="Mauro José Salanti",AY472/2751.92,AY472/3356)),F472&lt;&gt;0,SUM(L472,Q472,V472,AA472,AF472,AK472,AP472,AU472))))</f>
        <v xml:space="preserve"> </v>
      </c>
      <c r="BE472" s="120"/>
      <c r="BF472" s="120"/>
      <c r="BG472" s="120"/>
    </row>
    <row r="473" spans="1:59" s="3" customFormat="1" x14ac:dyDescent="0.3">
      <c r="A473" s="15" t="str">
        <f t="shared" si="91"/>
        <v/>
      </c>
      <c r="B473" s="25"/>
      <c r="C473" s="26"/>
      <c r="D473" s="279"/>
      <c r="E473" s="27"/>
      <c r="F473" s="28"/>
      <c r="G473" s="27"/>
      <c r="H473" s="28"/>
      <c r="I473" s="28"/>
      <c r="J473" s="255" t="str">
        <f>IF(H473="","",(_xlfn.XLOOKUP(H473,Cadastros!$D$6:$D$90,Cadastros!$E$6:$E$90))*(1-_xlfn.XLOOKUP(_xlfn.XLOOKUP($F473,Clientes!$B$4:$B$39,Clientes!$C$4:$C$39),Cadastros!$L$6:$L$12,Cadastros!$N$6:$N$12)))</f>
        <v/>
      </c>
      <c r="K473" s="168" t="str">
        <f t="shared" si="92"/>
        <v/>
      </c>
      <c r="L473" s="168" t="str">
        <f>IFERROR(K473/_xlfn.XLOOKUP(_xlfn.XLOOKUP($F473,Clientes!$B$4:$B$39,Clientes!$C$4:$C$39),Cadastros!$L$6:$L$12,Cadastros!$M$6:$M$12)," ")</f>
        <v xml:space="preserve"> </v>
      </c>
      <c r="M473" s="28"/>
      <c r="N473" s="28"/>
      <c r="O473" s="255" t="str">
        <f>IF(M473="","",(_xlfn.XLOOKUP(M473,Cadastros!$D$6:$D$90,Cadastros!$E$6:$E$90))*(1-_xlfn.XLOOKUP(_xlfn.XLOOKUP($F473,Clientes!$B$4:$B$39,Clientes!$C$4:$C$39),Cadastros!$L$6:$L$12,Cadastros!$N$6:$N$12)))</f>
        <v/>
      </c>
      <c r="P473" s="168" t="str">
        <f t="shared" si="93"/>
        <v/>
      </c>
      <c r="Q473" s="168" t="str">
        <f>IFERROR(P473/_xlfn.XLOOKUP(_xlfn.XLOOKUP($F473,Clientes!$B$4:$B$39,Clientes!$C$4:$C$39),Cadastros!$L$6:$L$12,Cadastros!$M$6:$M$12)," ")</f>
        <v xml:space="preserve"> </v>
      </c>
      <c r="R473" s="28"/>
      <c r="S473" s="28"/>
      <c r="T473" s="255" t="str">
        <f>IF(R473="","",(_xlfn.XLOOKUP(R473,Cadastros!$D$6:$D$90,Cadastros!$E$6:$E$90))*(1-_xlfn.XLOOKUP(_xlfn.XLOOKUP($F473,Clientes!$B$4:$B$39,Clientes!$C$4:$C$39),Cadastros!$L$6:$L$12,Cadastros!$N$6:$N$12)))</f>
        <v/>
      </c>
      <c r="U473" s="168" t="str">
        <f t="shared" si="94"/>
        <v/>
      </c>
      <c r="V473" s="168" t="str">
        <f>IFERROR(U473/_xlfn.XLOOKUP(_xlfn.XLOOKUP($F473,Clientes!$B$4:$B$39,Clientes!$C$4:$C$39),Cadastros!$L$6:$L$12,Cadastros!$M$6:$M$12)," ")</f>
        <v xml:space="preserve"> </v>
      </c>
      <c r="W473" s="28"/>
      <c r="X473" s="28"/>
      <c r="Y473" s="255" t="str">
        <f>IF(W473="","",(_xlfn.XLOOKUP(W473,Cadastros!$D$6:$D$90,Cadastros!$E$6:$E$90))*(1-_xlfn.XLOOKUP(_xlfn.XLOOKUP($F473,Clientes!$B$4:$B$39,Clientes!$C$4:$C$39),Cadastros!$L$6:$L$12,Cadastros!$N$6:$N$12)))</f>
        <v/>
      </c>
      <c r="Z473" s="168" t="str">
        <f t="shared" si="95"/>
        <v/>
      </c>
      <c r="AA473" s="168" t="str">
        <f>IFERROR(Z473/_xlfn.XLOOKUP(_xlfn.XLOOKUP($F473,Clientes!$B$4:$B$39,Clientes!$C$4:$C$39),Cadastros!$L$6:$L$12,Cadastros!$M$6:$M$12)," ")</f>
        <v xml:space="preserve"> </v>
      </c>
      <c r="AB473" s="28"/>
      <c r="AC473" s="28"/>
      <c r="AD473" s="20" t="str">
        <f>IF(AB473="","",IF($F473="Bernardino Furlan",_xlfn.XLOOKUP(AB473,Cadastros!$G$6:$G$90,Cadastros!$H$6:$H$90)*(1-0.18),IF($F473="Mauro José Salanti",_xlfn.XLOOKUP(AB473,Cadastros!$G$6:$G$90,Cadastros!$H$6:$H$90)*(1-0.18),_xlfn.XLOOKUP(AB473,Cadastros!$G$6:$G$90,Cadastros!$H$6:$H$90))))</f>
        <v/>
      </c>
      <c r="AE473" s="168" t="str">
        <f t="shared" si="96"/>
        <v/>
      </c>
      <c r="AF473" s="168" t="str">
        <f t="shared" si="97"/>
        <v/>
      </c>
      <c r="AG473" s="28"/>
      <c r="AH473" s="28"/>
      <c r="AI473" s="20" t="str">
        <f>IF(AG473="","",IF($F473="Bernardino Furlan",_xlfn.XLOOKUP(AG473,Cadastros!$G$6:$G$90,Cadastros!$H$6:$H$90)*(1-0.18),IF($F473="Mauro José Salanti",_xlfn.XLOOKUP(AG473,Cadastros!$G$6:$G$90,Cadastros!$H$6:$H$90)*(1-0.18),_xlfn.XLOOKUP(AG473,Cadastros!$G$6:$G$90,Cadastros!$H$6:$H$90))))</f>
        <v/>
      </c>
      <c r="AJ473" s="168" t="str">
        <f t="shared" si="98"/>
        <v/>
      </c>
      <c r="AK473" s="168" t="str">
        <f t="shared" si="99"/>
        <v/>
      </c>
      <c r="AL473" s="28"/>
      <c r="AM473" s="28"/>
      <c r="AN473" s="20" t="str">
        <f>IF(AL473="","",IF($F473="Bernardino Furlan",_xlfn.XLOOKUP(AL473,Cadastros!$G$6:$G$90,Cadastros!$H$6:$H$90)*(1-0.18),IF($F473="Mauro José Salanti",_xlfn.XLOOKUP(AL473,Cadastros!$G$6:$G$90,Cadastros!$H$6:$H$90)*(1-0.18),_xlfn.XLOOKUP(AL473,Cadastros!$G$6:$G$90,Cadastros!$H$6:$H$90))))</f>
        <v/>
      </c>
      <c r="AO473" s="168" t="str">
        <f t="shared" si="100"/>
        <v/>
      </c>
      <c r="AP473" s="168" t="str">
        <f t="shared" si="101"/>
        <v/>
      </c>
      <c r="AQ473" s="28"/>
      <c r="AR473" s="28"/>
      <c r="AS473" s="20" t="str">
        <f>IF(AQ473="","",IF($F473="Bernardino Furlan",_xlfn.XLOOKUP(AQ473,Cadastros!$G$6:$G$90,Cadastros!$H$6:$H$90)*(1-0.18),IF($F473="Mauro José Salanti",_xlfn.XLOOKUP(AQ473,Cadastros!$G$6:$G$90,Cadastros!$H$6:$H$90)*(1-0.18),_xlfn.XLOOKUP(AQ473,Cadastros!$G$6:$G$90,Cadastros!$H$6:$H$90))))</f>
        <v/>
      </c>
      <c r="AT473" s="168" t="str">
        <f t="shared" si="102"/>
        <v/>
      </c>
      <c r="AU473" s="168" t="str">
        <f t="shared" si="103"/>
        <v/>
      </c>
      <c r="AV473" s="227"/>
      <c r="AW473" s="30"/>
      <c r="AX473" s="267"/>
      <c r="AY473" s="267"/>
      <c r="AZ473" s="29"/>
      <c r="BA473" s="30"/>
      <c r="BB473" s="23" t="str" cm="1">
        <f t="array" ref="BB473">_xlfn.IFS(AW473="SIM",SUM(K473,P473,U473,Z473,AE473,AJ473,AO473,AT473,AX473,AY473),F473&lt;&gt;"",SUM(K473,P473,U473,Z473,AE473,AJ473,,AO473,AT473),F473="","")</f>
        <v/>
      </c>
      <c r="BC473" s="211" t="str" cm="1">
        <f t="array" ref="BC473">_xlfn.IFS(E473="","",G473&lt;=E473,BB473*(1-0.03),G473&lt;(E473+8),BB473,AZ473="Boleto",BB473*(1+0.001)^DATEDIF(E473,G473,"D"),AZ473="Cheque",BB473,AZ473="Dinheiro","Alterar forma pgto")</f>
        <v/>
      </c>
      <c r="BD473" s="276" t="str" cm="1">
        <f t="array" ref="BD473">IF(F473=0," ",IF(BC473&lt;BB473,(_xlfn.IFS(AW473="SIM",SUM(L473,Q473,V473,AA473,AF473,AK473,AP473,AU473)+AX473/_xlfn.XLOOKUP(_xlfn.XLOOKUP($F473,Clientes!$B$4:$B$39,Clientes!$C$4:$C$39),Cadastros!$L$6:$L$12,Cadastros!$M$6:$M$12)+IF($F473="Bernardino Furlan",AY473/2751.92,IF($F473="Mauro José Salanti",AY473/2751.92,AY473/3356)),F473&lt;&gt;0,SUM(L473,Q473,V473,AA473,AF473,AK473,AP473,AU473)))*(1-0.03),_xlfn.IFS(AW473="SIM",SUM(L473,Q473,V473,AA473,AF473,AK473,AP473,AU473)+AX473/_xlfn.XLOOKUP(_xlfn.XLOOKUP($F473,Clientes!$B$4:$B$39,Clientes!$C$4:$C$39),Cadastros!$L$6:$L$12,Cadastros!$M$6:$M$12)+IF($F473="Bernardino Furlan",AY473/2751.92,IF($F473="Mauro José Salanti",AY473/2751.92,AY473/3356)),F473&lt;&gt;0,SUM(L473,Q473,V473,AA473,AF473,AK473,AP473,AU473))))</f>
        <v xml:space="preserve"> </v>
      </c>
      <c r="BE473" s="120"/>
      <c r="BF473" s="120"/>
      <c r="BG473" s="120"/>
    </row>
    <row r="474" spans="1:59" s="3" customFormat="1" x14ac:dyDescent="0.3">
      <c r="A474" s="15" t="str">
        <f t="shared" si="91"/>
        <v/>
      </c>
      <c r="B474" s="25"/>
      <c r="C474" s="26"/>
      <c r="D474" s="279"/>
      <c r="E474" s="27"/>
      <c r="F474" s="28"/>
      <c r="G474" s="27"/>
      <c r="H474" s="28"/>
      <c r="I474" s="28"/>
      <c r="J474" s="255" t="str">
        <f>IF(H474="","",(_xlfn.XLOOKUP(H474,Cadastros!$D$6:$D$90,Cadastros!$E$6:$E$90))*(1-_xlfn.XLOOKUP(_xlfn.XLOOKUP($F474,Clientes!$B$4:$B$39,Clientes!$C$4:$C$39),Cadastros!$L$6:$L$12,Cadastros!$N$6:$N$12)))</f>
        <v/>
      </c>
      <c r="K474" s="168" t="str">
        <f t="shared" si="92"/>
        <v/>
      </c>
      <c r="L474" s="168" t="str">
        <f>IFERROR(K474/_xlfn.XLOOKUP(_xlfn.XLOOKUP($F474,Clientes!$B$4:$B$39,Clientes!$C$4:$C$39),Cadastros!$L$6:$L$12,Cadastros!$M$6:$M$12)," ")</f>
        <v xml:space="preserve"> </v>
      </c>
      <c r="M474" s="28"/>
      <c r="N474" s="28"/>
      <c r="O474" s="255" t="str">
        <f>IF(M474="","",(_xlfn.XLOOKUP(M474,Cadastros!$D$6:$D$90,Cadastros!$E$6:$E$90))*(1-_xlfn.XLOOKUP(_xlfn.XLOOKUP($F474,Clientes!$B$4:$B$39,Clientes!$C$4:$C$39),Cadastros!$L$6:$L$12,Cadastros!$N$6:$N$12)))</f>
        <v/>
      </c>
      <c r="P474" s="168" t="str">
        <f t="shared" si="93"/>
        <v/>
      </c>
      <c r="Q474" s="168" t="str">
        <f>IFERROR(P474/_xlfn.XLOOKUP(_xlfn.XLOOKUP($F474,Clientes!$B$4:$B$39,Clientes!$C$4:$C$39),Cadastros!$L$6:$L$12,Cadastros!$M$6:$M$12)," ")</f>
        <v xml:space="preserve"> </v>
      </c>
      <c r="R474" s="28"/>
      <c r="S474" s="28"/>
      <c r="T474" s="255" t="str">
        <f>IF(R474="","",(_xlfn.XLOOKUP(R474,Cadastros!$D$6:$D$90,Cadastros!$E$6:$E$90))*(1-_xlfn.XLOOKUP(_xlfn.XLOOKUP($F474,Clientes!$B$4:$B$39,Clientes!$C$4:$C$39),Cadastros!$L$6:$L$12,Cadastros!$N$6:$N$12)))</f>
        <v/>
      </c>
      <c r="U474" s="168" t="str">
        <f t="shared" si="94"/>
        <v/>
      </c>
      <c r="V474" s="168" t="str">
        <f>IFERROR(U474/_xlfn.XLOOKUP(_xlfn.XLOOKUP($F474,Clientes!$B$4:$B$39,Clientes!$C$4:$C$39),Cadastros!$L$6:$L$12,Cadastros!$M$6:$M$12)," ")</f>
        <v xml:space="preserve"> </v>
      </c>
      <c r="W474" s="28"/>
      <c r="X474" s="28"/>
      <c r="Y474" s="255" t="str">
        <f>IF(W474="","",(_xlfn.XLOOKUP(W474,Cadastros!$D$6:$D$90,Cadastros!$E$6:$E$90))*(1-_xlfn.XLOOKUP(_xlfn.XLOOKUP($F474,Clientes!$B$4:$B$39,Clientes!$C$4:$C$39),Cadastros!$L$6:$L$12,Cadastros!$N$6:$N$12)))</f>
        <v/>
      </c>
      <c r="Z474" s="168" t="str">
        <f t="shared" si="95"/>
        <v/>
      </c>
      <c r="AA474" s="168" t="str">
        <f>IFERROR(Z474/_xlfn.XLOOKUP(_xlfn.XLOOKUP($F474,Clientes!$B$4:$B$39,Clientes!$C$4:$C$39),Cadastros!$L$6:$L$12,Cadastros!$M$6:$M$12)," ")</f>
        <v xml:space="preserve"> </v>
      </c>
      <c r="AB474" s="28"/>
      <c r="AC474" s="28"/>
      <c r="AD474" s="20" t="str">
        <f>IF(AB474="","",IF($F474="Bernardino Furlan",_xlfn.XLOOKUP(AB474,Cadastros!$G$6:$G$90,Cadastros!$H$6:$H$90)*(1-0.18),IF($F474="Mauro José Salanti",_xlfn.XLOOKUP(AB474,Cadastros!$G$6:$G$90,Cadastros!$H$6:$H$90)*(1-0.18),_xlfn.XLOOKUP(AB474,Cadastros!$G$6:$G$90,Cadastros!$H$6:$H$90))))</f>
        <v/>
      </c>
      <c r="AE474" s="168" t="str">
        <f t="shared" si="96"/>
        <v/>
      </c>
      <c r="AF474" s="168" t="str">
        <f t="shared" si="97"/>
        <v/>
      </c>
      <c r="AG474" s="28"/>
      <c r="AH474" s="28"/>
      <c r="AI474" s="20" t="str">
        <f>IF(AG474="","",IF($F474="Bernardino Furlan",_xlfn.XLOOKUP(AG474,Cadastros!$G$6:$G$90,Cadastros!$H$6:$H$90)*(1-0.18),IF($F474="Mauro José Salanti",_xlfn.XLOOKUP(AG474,Cadastros!$G$6:$G$90,Cadastros!$H$6:$H$90)*(1-0.18),_xlfn.XLOOKUP(AG474,Cadastros!$G$6:$G$90,Cadastros!$H$6:$H$90))))</f>
        <v/>
      </c>
      <c r="AJ474" s="168" t="str">
        <f t="shared" si="98"/>
        <v/>
      </c>
      <c r="AK474" s="168" t="str">
        <f t="shared" si="99"/>
        <v/>
      </c>
      <c r="AL474" s="28"/>
      <c r="AM474" s="28"/>
      <c r="AN474" s="20" t="str">
        <f>IF(AL474="","",IF($F474="Bernardino Furlan",_xlfn.XLOOKUP(AL474,Cadastros!$G$6:$G$90,Cadastros!$H$6:$H$90)*(1-0.18),IF($F474="Mauro José Salanti",_xlfn.XLOOKUP(AL474,Cadastros!$G$6:$G$90,Cadastros!$H$6:$H$90)*(1-0.18),_xlfn.XLOOKUP(AL474,Cadastros!$G$6:$G$90,Cadastros!$H$6:$H$90))))</f>
        <v/>
      </c>
      <c r="AO474" s="168" t="str">
        <f t="shared" si="100"/>
        <v/>
      </c>
      <c r="AP474" s="168" t="str">
        <f t="shared" si="101"/>
        <v/>
      </c>
      <c r="AQ474" s="28"/>
      <c r="AR474" s="28"/>
      <c r="AS474" s="20" t="str">
        <f>IF(AQ474="","",IF($F474="Bernardino Furlan",_xlfn.XLOOKUP(AQ474,Cadastros!$G$6:$G$90,Cadastros!$H$6:$H$90)*(1-0.18),IF($F474="Mauro José Salanti",_xlfn.XLOOKUP(AQ474,Cadastros!$G$6:$G$90,Cadastros!$H$6:$H$90)*(1-0.18),_xlfn.XLOOKUP(AQ474,Cadastros!$G$6:$G$90,Cadastros!$H$6:$H$90))))</f>
        <v/>
      </c>
      <c r="AT474" s="168" t="str">
        <f t="shared" si="102"/>
        <v/>
      </c>
      <c r="AU474" s="168" t="str">
        <f t="shared" si="103"/>
        <v/>
      </c>
      <c r="AV474" s="227"/>
      <c r="AW474" s="30"/>
      <c r="AX474" s="267"/>
      <c r="AY474" s="267"/>
      <c r="AZ474" s="29"/>
      <c r="BA474" s="30"/>
      <c r="BB474" s="23" t="str" cm="1">
        <f t="array" ref="BB474">_xlfn.IFS(AW474="SIM",SUM(K474,P474,U474,Z474,AE474,AJ474,AO474,AT474,AX474,AY474),F474&lt;&gt;"",SUM(K474,P474,U474,Z474,AE474,AJ474,,AO474,AT474),F474="","")</f>
        <v/>
      </c>
      <c r="BC474" s="211" t="str" cm="1">
        <f t="array" ref="BC474">_xlfn.IFS(E474="","",G474&lt;=E474,BB474*(1-0.03),G474&lt;(E474+8),BB474,AZ474="Boleto",BB474*(1+0.001)^DATEDIF(E474,G474,"D"),AZ474="Cheque",BB474,AZ474="Dinheiro","Alterar forma pgto")</f>
        <v/>
      </c>
      <c r="BD474" s="276" t="str" cm="1">
        <f t="array" ref="BD474">IF(F474=0," ",IF(BC474&lt;BB474,(_xlfn.IFS(AW474="SIM",SUM(L474,Q474,V474,AA474,AF474,AK474,AP474,AU474)+AX474/_xlfn.XLOOKUP(_xlfn.XLOOKUP($F474,Clientes!$B$4:$B$39,Clientes!$C$4:$C$39),Cadastros!$L$6:$L$12,Cadastros!$M$6:$M$12)+IF($F474="Bernardino Furlan",AY474/2751.92,IF($F474="Mauro José Salanti",AY474/2751.92,AY474/3356)),F474&lt;&gt;0,SUM(L474,Q474,V474,AA474,AF474,AK474,AP474,AU474)))*(1-0.03),_xlfn.IFS(AW474="SIM",SUM(L474,Q474,V474,AA474,AF474,AK474,AP474,AU474)+AX474/_xlfn.XLOOKUP(_xlfn.XLOOKUP($F474,Clientes!$B$4:$B$39,Clientes!$C$4:$C$39),Cadastros!$L$6:$L$12,Cadastros!$M$6:$M$12)+IF($F474="Bernardino Furlan",AY474/2751.92,IF($F474="Mauro José Salanti",AY474/2751.92,AY474/3356)),F474&lt;&gt;0,SUM(L474,Q474,V474,AA474,AF474,AK474,AP474,AU474))))</f>
        <v xml:space="preserve"> </v>
      </c>
      <c r="BE474" s="120"/>
      <c r="BF474" s="120"/>
      <c r="BG474" s="120"/>
    </row>
    <row r="475" spans="1:59" s="3" customFormat="1" x14ac:dyDescent="0.3">
      <c r="A475" s="15" t="str">
        <f t="shared" si="91"/>
        <v/>
      </c>
      <c r="B475" s="25"/>
      <c r="C475" s="26"/>
      <c r="D475" s="279"/>
      <c r="E475" s="27"/>
      <c r="F475" s="28"/>
      <c r="G475" s="27"/>
      <c r="H475" s="28"/>
      <c r="I475" s="28"/>
      <c r="J475" s="255" t="str">
        <f>IF(H475="","",(_xlfn.XLOOKUP(H475,Cadastros!$D$6:$D$90,Cadastros!$E$6:$E$90))*(1-_xlfn.XLOOKUP(_xlfn.XLOOKUP($F475,Clientes!$B$4:$B$39,Clientes!$C$4:$C$39),Cadastros!$L$6:$L$12,Cadastros!$N$6:$N$12)))</f>
        <v/>
      </c>
      <c r="K475" s="168" t="str">
        <f t="shared" si="92"/>
        <v/>
      </c>
      <c r="L475" s="168" t="str">
        <f>IFERROR(K475/_xlfn.XLOOKUP(_xlfn.XLOOKUP($F475,Clientes!$B$4:$B$39,Clientes!$C$4:$C$39),Cadastros!$L$6:$L$12,Cadastros!$M$6:$M$12)," ")</f>
        <v xml:space="preserve"> </v>
      </c>
      <c r="M475" s="28"/>
      <c r="N475" s="28"/>
      <c r="O475" s="255" t="str">
        <f>IF(M475="","",(_xlfn.XLOOKUP(M475,Cadastros!$D$6:$D$90,Cadastros!$E$6:$E$90))*(1-_xlfn.XLOOKUP(_xlfn.XLOOKUP($F475,Clientes!$B$4:$B$39,Clientes!$C$4:$C$39),Cadastros!$L$6:$L$12,Cadastros!$N$6:$N$12)))</f>
        <v/>
      </c>
      <c r="P475" s="168" t="str">
        <f t="shared" si="93"/>
        <v/>
      </c>
      <c r="Q475" s="168" t="str">
        <f>IFERROR(P475/_xlfn.XLOOKUP(_xlfn.XLOOKUP($F475,Clientes!$B$4:$B$39,Clientes!$C$4:$C$39),Cadastros!$L$6:$L$12,Cadastros!$M$6:$M$12)," ")</f>
        <v xml:space="preserve"> </v>
      </c>
      <c r="R475" s="28"/>
      <c r="S475" s="28"/>
      <c r="T475" s="255" t="str">
        <f>IF(R475="","",(_xlfn.XLOOKUP(R475,Cadastros!$D$6:$D$90,Cadastros!$E$6:$E$90))*(1-_xlfn.XLOOKUP(_xlfn.XLOOKUP($F475,Clientes!$B$4:$B$39,Clientes!$C$4:$C$39),Cadastros!$L$6:$L$12,Cadastros!$N$6:$N$12)))</f>
        <v/>
      </c>
      <c r="U475" s="168" t="str">
        <f t="shared" si="94"/>
        <v/>
      </c>
      <c r="V475" s="168" t="str">
        <f>IFERROR(U475/_xlfn.XLOOKUP(_xlfn.XLOOKUP($F475,Clientes!$B$4:$B$39,Clientes!$C$4:$C$39),Cadastros!$L$6:$L$12,Cadastros!$M$6:$M$12)," ")</f>
        <v xml:space="preserve"> </v>
      </c>
      <c r="W475" s="28"/>
      <c r="X475" s="28"/>
      <c r="Y475" s="255" t="str">
        <f>IF(W475="","",(_xlfn.XLOOKUP(W475,Cadastros!$D$6:$D$90,Cadastros!$E$6:$E$90))*(1-_xlfn.XLOOKUP(_xlfn.XLOOKUP($F475,Clientes!$B$4:$B$39,Clientes!$C$4:$C$39),Cadastros!$L$6:$L$12,Cadastros!$N$6:$N$12)))</f>
        <v/>
      </c>
      <c r="Z475" s="168" t="str">
        <f t="shared" si="95"/>
        <v/>
      </c>
      <c r="AA475" s="168" t="str">
        <f>IFERROR(Z475/_xlfn.XLOOKUP(_xlfn.XLOOKUP($F475,Clientes!$B$4:$B$39,Clientes!$C$4:$C$39),Cadastros!$L$6:$L$12,Cadastros!$M$6:$M$12)," ")</f>
        <v xml:space="preserve"> </v>
      </c>
      <c r="AB475" s="28"/>
      <c r="AC475" s="28"/>
      <c r="AD475" s="20" t="str">
        <f>IF(AB475="","",IF($F475="Bernardino Furlan",_xlfn.XLOOKUP(AB475,Cadastros!$G$6:$G$90,Cadastros!$H$6:$H$90)*(1-0.18),IF($F475="Mauro José Salanti",_xlfn.XLOOKUP(AB475,Cadastros!$G$6:$G$90,Cadastros!$H$6:$H$90)*(1-0.18),_xlfn.XLOOKUP(AB475,Cadastros!$G$6:$G$90,Cadastros!$H$6:$H$90))))</f>
        <v/>
      </c>
      <c r="AE475" s="168" t="str">
        <f t="shared" si="96"/>
        <v/>
      </c>
      <c r="AF475" s="168" t="str">
        <f t="shared" si="97"/>
        <v/>
      </c>
      <c r="AG475" s="28"/>
      <c r="AH475" s="28"/>
      <c r="AI475" s="20" t="str">
        <f>IF(AG475="","",IF($F475="Bernardino Furlan",_xlfn.XLOOKUP(AG475,Cadastros!$G$6:$G$90,Cadastros!$H$6:$H$90)*(1-0.18),IF($F475="Mauro José Salanti",_xlfn.XLOOKUP(AG475,Cadastros!$G$6:$G$90,Cadastros!$H$6:$H$90)*(1-0.18),_xlfn.XLOOKUP(AG475,Cadastros!$G$6:$G$90,Cadastros!$H$6:$H$90))))</f>
        <v/>
      </c>
      <c r="AJ475" s="168" t="str">
        <f t="shared" si="98"/>
        <v/>
      </c>
      <c r="AK475" s="168" t="str">
        <f t="shared" si="99"/>
        <v/>
      </c>
      <c r="AL475" s="28"/>
      <c r="AM475" s="28"/>
      <c r="AN475" s="20" t="str">
        <f>IF(AL475="","",IF($F475="Bernardino Furlan",_xlfn.XLOOKUP(AL475,Cadastros!$G$6:$G$90,Cadastros!$H$6:$H$90)*(1-0.18),IF($F475="Mauro José Salanti",_xlfn.XLOOKUP(AL475,Cadastros!$G$6:$G$90,Cadastros!$H$6:$H$90)*(1-0.18),_xlfn.XLOOKUP(AL475,Cadastros!$G$6:$G$90,Cadastros!$H$6:$H$90))))</f>
        <v/>
      </c>
      <c r="AO475" s="168" t="str">
        <f t="shared" si="100"/>
        <v/>
      </c>
      <c r="AP475" s="168" t="str">
        <f t="shared" si="101"/>
        <v/>
      </c>
      <c r="AQ475" s="28"/>
      <c r="AR475" s="28"/>
      <c r="AS475" s="20" t="str">
        <f>IF(AQ475="","",IF($F475="Bernardino Furlan",_xlfn.XLOOKUP(AQ475,Cadastros!$G$6:$G$90,Cadastros!$H$6:$H$90)*(1-0.18),IF($F475="Mauro José Salanti",_xlfn.XLOOKUP(AQ475,Cadastros!$G$6:$G$90,Cadastros!$H$6:$H$90)*(1-0.18),_xlfn.XLOOKUP(AQ475,Cadastros!$G$6:$G$90,Cadastros!$H$6:$H$90))))</f>
        <v/>
      </c>
      <c r="AT475" s="168" t="str">
        <f t="shared" si="102"/>
        <v/>
      </c>
      <c r="AU475" s="168" t="str">
        <f t="shared" si="103"/>
        <v/>
      </c>
      <c r="AV475" s="227"/>
      <c r="AW475" s="30"/>
      <c r="AX475" s="267"/>
      <c r="AY475" s="267"/>
      <c r="AZ475" s="29"/>
      <c r="BA475" s="30"/>
      <c r="BB475" s="23" t="str" cm="1">
        <f t="array" ref="BB475">_xlfn.IFS(AW475="SIM",SUM(K475,P475,U475,Z475,AE475,AJ475,AO475,AT475,AX475,AY475),F475&lt;&gt;"",SUM(K475,P475,U475,Z475,AE475,AJ475,,AO475,AT475),F475="","")</f>
        <v/>
      </c>
      <c r="BC475" s="211" t="str" cm="1">
        <f t="array" ref="BC475">_xlfn.IFS(E475="","",G475&lt;=E475,BB475*(1-0.03),G475&lt;(E475+8),BB475,AZ475="Boleto",BB475*(1+0.001)^DATEDIF(E475,G475,"D"),AZ475="Cheque",BB475,AZ475="Dinheiro","Alterar forma pgto")</f>
        <v/>
      </c>
      <c r="BD475" s="276" t="str" cm="1">
        <f t="array" ref="BD475">IF(F475=0," ",IF(BC475&lt;BB475,(_xlfn.IFS(AW475="SIM",SUM(L475,Q475,V475,AA475,AF475,AK475,AP475,AU475)+AX475/_xlfn.XLOOKUP(_xlfn.XLOOKUP($F475,Clientes!$B$4:$B$39,Clientes!$C$4:$C$39),Cadastros!$L$6:$L$12,Cadastros!$M$6:$M$12)+IF($F475="Bernardino Furlan",AY475/2751.92,IF($F475="Mauro José Salanti",AY475/2751.92,AY475/3356)),F475&lt;&gt;0,SUM(L475,Q475,V475,AA475,AF475,AK475,AP475,AU475)))*(1-0.03),_xlfn.IFS(AW475="SIM",SUM(L475,Q475,V475,AA475,AF475,AK475,AP475,AU475)+AX475/_xlfn.XLOOKUP(_xlfn.XLOOKUP($F475,Clientes!$B$4:$B$39,Clientes!$C$4:$C$39),Cadastros!$L$6:$L$12,Cadastros!$M$6:$M$12)+IF($F475="Bernardino Furlan",AY475/2751.92,IF($F475="Mauro José Salanti",AY475/2751.92,AY475/3356)),F475&lt;&gt;0,SUM(L475,Q475,V475,AA475,AF475,AK475,AP475,AU475))))</f>
        <v xml:space="preserve"> </v>
      </c>
      <c r="BE475" s="120"/>
      <c r="BF475" s="120"/>
      <c r="BG475" s="120"/>
    </row>
    <row r="476" spans="1:59" s="3" customFormat="1" x14ac:dyDescent="0.3">
      <c r="A476" s="15" t="str">
        <f t="shared" si="91"/>
        <v/>
      </c>
      <c r="B476" s="25"/>
      <c r="C476" s="26"/>
      <c r="D476" s="279"/>
      <c r="E476" s="27"/>
      <c r="F476" s="28"/>
      <c r="G476" s="27"/>
      <c r="H476" s="28"/>
      <c r="I476" s="28"/>
      <c r="J476" s="255" t="str">
        <f>IF(H476="","",(_xlfn.XLOOKUP(H476,Cadastros!$D$6:$D$90,Cadastros!$E$6:$E$90))*(1-_xlfn.XLOOKUP(_xlfn.XLOOKUP($F476,Clientes!$B$4:$B$39,Clientes!$C$4:$C$39),Cadastros!$L$6:$L$12,Cadastros!$N$6:$N$12)))</f>
        <v/>
      </c>
      <c r="K476" s="168" t="str">
        <f t="shared" si="92"/>
        <v/>
      </c>
      <c r="L476" s="168" t="str">
        <f>IFERROR(K476/_xlfn.XLOOKUP(_xlfn.XLOOKUP($F476,Clientes!$B$4:$B$39,Clientes!$C$4:$C$39),Cadastros!$L$6:$L$12,Cadastros!$M$6:$M$12)," ")</f>
        <v xml:space="preserve"> </v>
      </c>
      <c r="M476" s="28"/>
      <c r="N476" s="28"/>
      <c r="O476" s="255" t="str">
        <f>IF(M476="","",(_xlfn.XLOOKUP(M476,Cadastros!$D$6:$D$90,Cadastros!$E$6:$E$90))*(1-_xlfn.XLOOKUP(_xlfn.XLOOKUP($F476,Clientes!$B$4:$B$39,Clientes!$C$4:$C$39),Cadastros!$L$6:$L$12,Cadastros!$N$6:$N$12)))</f>
        <v/>
      </c>
      <c r="P476" s="168" t="str">
        <f t="shared" si="93"/>
        <v/>
      </c>
      <c r="Q476" s="168" t="str">
        <f>IFERROR(P476/_xlfn.XLOOKUP(_xlfn.XLOOKUP($F476,Clientes!$B$4:$B$39,Clientes!$C$4:$C$39),Cadastros!$L$6:$L$12,Cadastros!$M$6:$M$12)," ")</f>
        <v xml:space="preserve"> </v>
      </c>
      <c r="R476" s="28"/>
      <c r="S476" s="28"/>
      <c r="T476" s="255" t="str">
        <f>IF(R476="","",(_xlfn.XLOOKUP(R476,Cadastros!$D$6:$D$90,Cadastros!$E$6:$E$90))*(1-_xlfn.XLOOKUP(_xlfn.XLOOKUP($F476,Clientes!$B$4:$B$39,Clientes!$C$4:$C$39),Cadastros!$L$6:$L$12,Cadastros!$N$6:$N$12)))</f>
        <v/>
      </c>
      <c r="U476" s="168" t="str">
        <f t="shared" si="94"/>
        <v/>
      </c>
      <c r="V476" s="168" t="str">
        <f>IFERROR(U476/_xlfn.XLOOKUP(_xlfn.XLOOKUP($F476,Clientes!$B$4:$B$39,Clientes!$C$4:$C$39),Cadastros!$L$6:$L$12,Cadastros!$M$6:$M$12)," ")</f>
        <v xml:space="preserve"> </v>
      </c>
      <c r="W476" s="28"/>
      <c r="X476" s="28"/>
      <c r="Y476" s="255" t="str">
        <f>IF(W476="","",(_xlfn.XLOOKUP(W476,Cadastros!$D$6:$D$90,Cadastros!$E$6:$E$90))*(1-_xlfn.XLOOKUP(_xlfn.XLOOKUP($F476,Clientes!$B$4:$B$39,Clientes!$C$4:$C$39),Cadastros!$L$6:$L$12,Cadastros!$N$6:$N$12)))</f>
        <v/>
      </c>
      <c r="Z476" s="168" t="str">
        <f t="shared" si="95"/>
        <v/>
      </c>
      <c r="AA476" s="168" t="str">
        <f>IFERROR(Z476/_xlfn.XLOOKUP(_xlfn.XLOOKUP($F476,Clientes!$B$4:$B$39,Clientes!$C$4:$C$39),Cadastros!$L$6:$L$12,Cadastros!$M$6:$M$12)," ")</f>
        <v xml:space="preserve"> </v>
      </c>
      <c r="AB476" s="28"/>
      <c r="AC476" s="28"/>
      <c r="AD476" s="20" t="str">
        <f>IF(AB476="","",IF($F476="Bernardino Furlan",_xlfn.XLOOKUP(AB476,Cadastros!$G$6:$G$90,Cadastros!$H$6:$H$90)*(1-0.18),IF($F476="Mauro José Salanti",_xlfn.XLOOKUP(AB476,Cadastros!$G$6:$G$90,Cadastros!$H$6:$H$90)*(1-0.18),_xlfn.XLOOKUP(AB476,Cadastros!$G$6:$G$90,Cadastros!$H$6:$H$90))))</f>
        <v/>
      </c>
      <c r="AE476" s="168" t="str">
        <f t="shared" si="96"/>
        <v/>
      </c>
      <c r="AF476" s="168" t="str">
        <f t="shared" si="97"/>
        <v/>
      </c>
      <c r="AG476" s="28"/>
      <c r="AH476" s="28"/>
      <c r="AI476" s="20" t="str">
        <f>IF(AG476="","",IF($F476="Bernardino Furlan",_xlfn.XLOOKUP(AG476,Cadastros!$G$6:$G$90,Cadastros!$H$6:$H$90)*(1-0.18),IF($F476="Mauro José Salanti",_xlfn.XLOOKUP(AG476,Cadastros!$G$6:$G$90,Cadastros!$H$6:$H$90)*(1-0.18),_xlfn.XLOOKUP(AG476,Cadastros!$G$6:$G$90,Cadastros!$H$6:$H$90))))</f>
        <v/>
      </c>
      <c r="AJ476" s="168" t="str">
        <f t="shared" si="98"/>
        <v/>
      </c>
      <c r="AK476" s="168" t="str">
        <f t="shared" si="99"/>
        <v/>
      </c>
      <c r="AL476" s="28"/>
      <c r="AM476" s="28"/>
      <c r="AN476" s="20" t="str">
        <f>IF(AL476="","",IF($F476="Bernardino Furlan",_xlfn.XLOOKUP(AL476,Cadastros!$G$6:$G$90,Cadastros!$H$6:$H$90)*(1-0.18),IF($F476="Mauro José Salanti",_xlfn.XLOOKUP(AL476,Cadastros!$G$6:$G$90,Cadastros!$H$6:$H$90)*(1-0.18),_xlfn.XLOOKUP(AL476,Cadastros!$G$6:$G$90,Cadastros!$H$6:$H$90))))</f>
        <v/>
      </c>
      <c r="AO476" s="168" t="str">
        <f t="shared" si="100"/>
        <v/>
      </c>
      <c r="AP476" s="168" t="str">
        <f t="shared" si="101"/>
        <v/>
      </c>
      <c r="AQ476" s="28"/>
      <c r="AR476" s="28"/>
      <c r="AS476" s="20" t="str">
        <f>IF(AQ476="","",IF($F476="Bernardino Furlan",_xlfn.XLOOKUP(AQ476,Cadastros!$G$6:$G$90,Cadastros!$H$6:$H$90)*(1-0.18),IF($F476="Mauro José Salanti",_xlfn.XLOOKUP(AQ476,Cadastros!$G$6:$G$90,Cadastros!$H$6:$H$90)*(1-0.18),_xlfn.XLOOKUP(AQ476,Cadastros!$G$6:$G$90,Cadastros!$H$6:$H$90))))</f>
        <v/>
      </c>
      <c r="AT476" s="168" t="str">
        <f t="shared" si="102"/>
        <v/>
      </c>
      <c r="AU476" s="168" t="str">
        <f t="shared" si="103"/>
        <v/>
      </c>
      <c r="AV476" s="227"/>
      <c r="AW476" s="30"/>
      <c r="AX476" s="267"/>
      <c r="AY476" s="267"/>
      <c r="AZ476" s="29"/>
      <c r="BA476" s="30"/>
      <c r="BB476" s="23" t="str" cm="1">
        <f t="array" ref="BB476">_xlfn.IFS(AW476="SIM",SUM(K476,P476,U476,Z476,AE476,AJ476,AO476,AT476,AX476,AY476),F476&lt;&gt;"",SUM(K476,P476,U476,Z476,AE476,AJ476,,AO476,AT476),F476="","")</f>
        <v/>
      </c>
      <c r="BC476" s="211" t="str" cm="1">
        <f t="array" ref="BC476">_xlfn.IFS(E476="","",G476&lt;=E476,BB476*(1-0.03),G476&lt;(E476+8),BB476,AZ476="Boleto",BB476*(1+0.001)^DATEDIF(E476,G476,"D"),AZ476="Cheque",BB476,AZ476="Dinheiro","Alterar forma pgto")</f>
        <v/>
      </c>
      <c r="BD476" s="276" t="str" cm="1">
        <f t="array" ref="BD476">IF(F476=0," ",IF(BC476&lt;BB476,(_xlfn.IFS(AW476="SIM",SUM(L476,Q476,V476,AA476,AF476,AK476,AP476,AU476)+AX476/_xlfn.XLOOKUP(_xlfn.XLOOKUP($F476,Clientes!$B$4:$B$39,Clientes!$C$4:$C$39),Cadastros!$L$6:$L$12,Cadastros!$M$6:$M$12)+IF($F476="Bernardino Furlan",AY476/2751.92,IF($F476="Mauro José Salanti",AY476/2751.92,AY476/3356)),F476&lt;&gt;0,SUM(L476,Q476,V476,AA476,AF476,AK476,AP476,AU476)))*(1-0.03),_xlfn.IFS(AW476="SIM",SUM(L476,Q476,V476,AA476,AF476,AK476,AP476,AU476)+AX476/_xlfn.XLOOKUP(_xlfn.XLOOKUP($F476,Clientes!$B$4:$B$39,Clientes!$C$4:$C$39),Cadastros!$L$6:$L$12,Cadastros!$M$6:$M$12)+IF($F476="Bernardino Furlan",AY476/2751.92,IF($F476="Mauro José Salanti",AY476/2751.92,AY476/3356)),F476&lt;&gt;0,SUM(L476,Q476,V476,AA476,AF476,AK476,AP476,AU476))))</f>
        <v xml:space="preserve"> </v>
      </c>
      <c r="BE476" s="120"/>
      <c r="BF476" s="120"/>
      <c r="BG476" s="120"/>
    </row>
    <row r="477" spans="1:59" s="3" customFormat="1" x14ac:dyDescent="0.3">
      <c r="A477" s="15" t="str">
        <f t="shared" si="91"/>
        <v/>
      </c>
      <c r="B477" s="25"/>
      <c r="C477" s="26"/>
      <c r="D477" s="279"/>
      <c r="E477" s="27"/>
      <c r="F477" s="28"/>
      <c r="G477" s="27"/>
      <c r="H477" s="28"/>
      <c r="I477" s="28"/>
      <c r="J477" s="255" t="str">
        <f>IF(H477="","",(_xlfn.XLOOKUP(H477,Cadastros!$D$6:$D$90,Cadastros!$E$6:$E$90))*(1-_xlfn.XLOOKUP(_xlfn.XLOOKUP($F477,Clientes!$B$4:$B$39,Clientes!$C$4:$C$39),Cadastros!$L$6:$L$12,Cadastros!$N$6:$N$12)))</f>
        <v/>
      </c>
      <c r="K477" s="168" t="str">
        <f t="shared" si="92"/>
        <v/>
      </c>
      <c r="L477" s="168" t="str">
        <f>IFERROR(K477/_xlfn.XLOOKUP(_xlfn.XLOOKUP($F477,Clientes!$B$4:$B$39,Clientes!$C$4:$C$39),Cadastros!$L$6:$L$12,Cadastros!$M$6:$M$12)," ")</f>
        <v xml:space="preserve"> </v>
      </c>
      <c r="M477" s="28"/>
      <c r="N477" s="28"/>
      <c r="O477" s="255" t="str">
        <f>IF(M477="","",(_xlfn.XLOOKUP(M477,Cadastros!$D$6:$D$90,Cadastros!$E$6:$E$90))*(1-_xlfn.XLOOKUP(_xlfn.XLOOKUP($F477,Clientes!$B$4:$B$39,Clientes!$C$4:$C$39),Cadastros!$L$6:$L$12,Cadastros!$N$6:$N$12)))</f>
        <v/>
      </c>
      <c r="P477" s="168" t="str">
        <f t="shared" si="93"/>
        <v/>
      </c>
      <c r="Q477" s="168" t="str">
        <f>IFERROR(P477/_xlfn.XLOOKUP(_xlfn.XLOOKUP($F477,Clientes!$B$4:$B$39,Clientes!$C$4:$C$39),Cadastros!$L$6:$L$12,Cadastros!$M$6:$M$12)," ")</f>
        <v xml:space="preserve"> </v>
      </c>
      <c r="R477" s="28"/>
      <c r="S477" s="28"/>
      <c r="T477" s="255" t="str">
        <f>IF(R477="","",(_xlfn.XLOOKUP(R477,Cadastros!$D$6:$D$90,Cadastros!$E$6:$E$90))*(1-_xlfn.XLOOKUP(_xlfn.XLOOKUP($F477,Clientes!$B$4:$B$39,Clientes!$C$4:$C$39),Cadastros!$L$6:$L$12,Cadastros!$N$6:$N$12)))</f>
        <v/>
      </c>
      <c r="U477" s="168" t="str">
        <f t="shared" si="94"/>
        <v/>
      </c>
      <c r="V477" s="168" t="str">
        <f>IFERROR(U477/_xlfn.XLOOKUP(_xlfn.XLOOKUP($F477,Clientes!$B$4:$B$39,Clientes!$C$4:$C$39),Cadastros!$L$6:$L$12,Cadastros!$M$6:$M$12)," ")</f>
        <v xml:space="preserve"> </v>
      </c>
      <c r="W477" s="28"/>
      <c r="X477" s="28"/>
      <c r="Y477" s="255" t="str">
        <f>IF(W477="","",(_xlfn.XLOOKUP(W477,Cadastros!$D$6:$D$90,Cadastros!$E$6:$E$90))*(1-_xlfn.XLOOKUP(_xlfn.XLOOKUP($F477,Clientes!$B$4:$B$39,Clientes!$C$4:$C$39),Cadastros!$L$6:$L$12,Cadastros!$N$6:$N$12)))</f>
        <v/>
      </c>
      <c r="Z477" s="168" t="str">
        <f t="shared" si="95"/>
        <v/>
      </c>
      <c r="AA477" s="168" t="str">
        <f>IFERROR(Z477/_xlfn.XLOOKUP(_xlfn.XLOOKUP($F477,Clientes!$B$4:$B$39,Clientes!$C$4:$C$39),Cadastros!$L$6:$L$12,Cadastros!$M$6:$M$12)," ")</f>
        <v xml:space="preserve"> </v>
      </c>
      <c r="AB477" s="28"/>
      <c r="AC477" s="28"/>
      <c r="AD477" s="20" t="str">
        <f>IF(AB477="","",IF($F477="Bernardino Furlan",_xlfn.XLOOKUP(AB477,Cadastros!$G$6:$G$90,Cadastros!$H$6:$H$90)*(1-0.18),IF($F477="Mauro José Salanti",_xlfn.XLOOKUP(AB477,Cadastros!$G$6:$G$90,Cadastros!$H$6:$H$90)*(1-0.18),_xlfn.XLOOKUP(AB477,Cadastros!$G$6:$G$90,Cadastros!$H$6:$H$90))))</f>
        <v/>
      </c>
      <c r="AE477" s="168" t="str">
        <f t="shared" si="96"/>
        <v/>
      </c>
      <c r="AF477" s="168" t="str">
        <f t="shared" si="97"/>
        <v/>
      </c>
      <c r="AG477" s="28"/>
      <c r="AH477" s="28"/>
      <c r="AI477" s="20" t="str">
        <f>IF(AG477="","",IF($F477="Bernardino Furlan",_xlfn.XLOOKUP(AG477,Cadastros!$G$6:$G$90,Cadastros!$H$6:$H$90)*(1-0.18),IF($F477="Mauro José Salanti",_xlfn.XLOOKUP(AG477,Cadastros!$G$6:$G$90,Cadastros!$H$6:$H$90)*(1-0.18),_xlfn.XLOOKUP(AG477,Cadastros!$G$6:$G$90,Cadastros!$H$6:$H$90))))</f>
        <v/>
      </c>
      <c r="AJ477" s="168" t="str">
        <f t="shared" si="98"/>
        <v/>
      </c>
      <c r="AK477" s="168" t="str">
        <f t="shared" si="99"/>
        <v/>
      </c>
      <c r="AL477" s="28"/>
      <c r="AM477" s="28"/>
      <c r="AN477" s="20" t="str">
        <f>IF(AL477="","",IF($F477="Bernardino Furlan",_xlfn.XLOOKUP(AL477,Cadastros!$G$6:$G$90,Cadastros!$H$6:$H$90)*(1-0.18),IF($F477="Mauro José Salanti",_xlfn.XLOOKUP(AL477,Cadastros!$G$6:$G$90,Cadastros!$H$6:$H$90)*(1-0.18),_xlfn.XLOOKUP(AL477,Cadastros!$G$6:$G$90,Cadastros!$H$6:$H$90))))</f>
        <v/>
      </c>
      <c r="AO477" s="168" t="str">
        <f t="shared" si="100"/>
        <v/>
      </c>
      <c r="AP477" s="168" t="str">
        <f t="shared" si="101"/>
        <v/>
      </c>
      <c r="AQ477" s="28"/>
      <c r="AR477" s="28"/>
      <c r="AS477" s="20" t="str">
        <f>IF(AQ477="","",IF($F477="Bernardino Furlan",_xlfn.XLOOKUP(AQ477,Cadastros!$G$6:$G$90,Cadastros!$H$6:$H$90)*(1-0.18),IF($F477="Mauro José Salanti",_xlfn.XLOOKUP(AQ477,Cadastros!$G$6:$G$90,Cadastros!$H$6:$H$90)*(1-0.18),_xlfn.XLOOKUP(AQ477,Cadastros!$G$6:$G$90,Cadastros!$H$6:$H$90))))</f>
        <v/>
      </c>
      <c r="AT477" s="168" t="str">
        <f t="shared" si="102"/>
        <v/>
      </c>
      <c r="AU477" s="168" t="str">
        <f t="shared" si="103"/>
        <v/>
      </c>
      <c r="AV477" s="227"/>
      <c r="AW477" s="30"/>
      <c r="AX477" s="267"/>
      <c r="AY477" s="267"/>
      <c r="AZ477" s="29"/>
      <c r="BA477" s="30"/>
      <c r="BB477" s="23" t="str" cm="1">
        <f t="array" ref="BB477">_xlfn.IFS(AW477="SIM",SUM(K477,P477,U477,Z477,AE477,AJ477,AO477,AT477,AX477,AY477),F477&lt;&gt;"",SUM(K477,P477,U477,Z477,AE477,AJ477,,AO477,AT477),F477="","")</f>
        <v/>
      </c>
      <c r="BC477" s="211" t="str" cm="1">
        <f t="array" ref="BC477">_xlfn.IFS(E477="","",G477&lt;=E477,BB477*(1-0.03),G477&lt;(E477+8),BB477,AZ477="Boleto",BB477*(1+0.001)^DATEDIF(E477,G477,"D"),AZ477="Cheque",BB477,AZ477="Dinheiro","Alterar forma pgto")</f>
        <v/>
      </c>
      <c r="BD477" s="276" t="str" cm="1">
        <f t="array" ref="BD477">IF(F477=0," ",IF(BC477&lt;BB477,(_xlfn.IFS(AW477="SIM",SUM(L477,Q477,V477,AA477,AF477,AK477,AP477,AU477)+AX477/_xlfn.XLOOKUP(_xlfn.XLOOKUP($F477,Clientes!$B$4:$B$39,Clientes!$C$4:$C$39),Cadastros!$L$6:$L$12,Cadastros!$M$6:$M$12)+IF($F477="Bernardino Furlan",AY477/2751.92,IF($F477="Mauro José Salanti",AY477/2751.92,AY477/3356)),F477&lt;&gt;0,SUM(L477,Q477,V477,AA477,AF477,AK477,AP477,AU477)))*(1-0.03),_xlfn.IFS(AW477="SIM",SUM(L477,Q477,V477,AA477,AF477,AK477,AP477,AU477)+AX477/_xlfn.XLOOKUP(_xlfn.XLOOKUP($F477,Clientes!$B$4:$B$39,Clientes!$C$4:$C$39),Cadastros!$L$6:$L$12,Cadastros!$M$6:$M$12)+IF($F477="Bernardino Furlan",AY477/2751.92,IF($F477="Mauro José Salanti",AY477/2751.92,AY477/3356)),F477&lt;&gt;0,SUM(L477,Q477,V477,AA477,AF477,AK477,AP477,AU477))))</f>
        <v xml:space="preserve"> </v>
      </c>
      <c r="BE477" s="120"/>
      <c r="BF477" s="120"/>
      <c r="BG477" s="120"/>
    </row>
    <row r="478" spans="1:59" s="3" customFormat="1" x14ac:dyDescent="0.3">
      <c r="A478" s="15" t="str">
        <f t="shared" si="91"/>
        <v/>
      </c>
      <c r="B478" s="25"/>
      <c r="C478" s="26"/>
      <c r="D478" s="279"/>
      <c r="E478" s="27"/>
      <c r="F478" s="28"/>
      <c r="G478" s="27"/>
      <c r="H478" s="28"/>
      <c r="I478" s="28"/>
      <c r="J478" s="255" t="str">
        <f>IF(H478="","",(_xlfn.XLOOKUP(H478,Cadastros!$D$6:$D$90,Cadastros!$E$6:$E$90))*(1-_xlfn.XLOOKUP(_xlfn.XLOOKUP($F478,Clientes!$B$4:$B$39,Clientes!$C$4:$C$39),Cadastros!$L$6:$L$12,Cadastros!$N$6:$N$12)))</f>
        <v/>
      </c>
      <c r="K478" s="168" t="str">
        <f t="shared" si="92"/>
        <v/>
      </c>
      <c r="L478" s="168" t="str">
        <f>IFERROR(K478/_xlfn.XLOOKUP(_xlfn.XLOOKUP($F478,Clientes!$B$4:$B$39,Clientes!$C$4:$C$39),Cadastros!$L$6:$L$12,Cadastros!$M$6:$M$12)," ")</f>
        <v xml:space="preserve"> </v>
      </c>
      <c r="M478" s="28"/>
      <c r="N478" s="28"/>
      <c r="O478" s="255" t="str">
        <f>IF(M478="","",(_xlfn.XLOOKUP(M478,Cadastros!$D$6:$D$90,Cadastros!$E$6:$E$90))*(1-_xlfn.XLOOKUP(_xlfn.XLOOKUP($F478,Clientes!$B$4:$B$39,Clientes!$C$4:$C$39),Cadastros!$L$6:$L$12,Cadastros!$N$6:$N$12)))</f>
        <v/>
      </c>
      <c r="P478" s="168" t="str">
        <f t="shared" si="93"/>
        <v/>
      </c>
      <c r="Q478" s="168" t="str">
        <f>IFERROR(P478/_xlfn.XLOOKUP(_xlfn.XLOOKUP($F478,Clientes!$B$4:$B$39,Clientes!$C$4:$C$39),Cadastros!$L$6:$L$12,Cadastros!$M$6:$M$12)," ")</f>
        <v xml:space="preserve"> </v>
      </c>
      <c r="R478" s="28"/>
      <c r="S478" s="28"/>
      <c r="T478" s="255" t="str">
        <f>IF(R478="","",(_xlfn.XLOOKUP(R478,Cadastros!$D$6:$D$90,Cadastros!$E$6:$E$90))*(1-_xlfn.XLOOKUP(_xlfn.XLOOKUP($F478,Clientes!$B$4:$B$39,Clientes!$C$4:$C$39),Cadastros!$L$6:$L$12,Cadastros!$N$6:$N$12)))</f>
        <v/>
      </c>
      <c r="U478" s="168" t="str">
        <f t="shared" si="94"/>
        <v/>
      </c>
      <c r="V478" s="168" t="str">
        <f>IFERROR(U478/_xlfn.XLOOKUP(_xlfn.XLOOKUP($F478,Clientes!$B$4:$B$39,Clientes!$C$4:$C$39),Cadastros!$L$6:$L$12,Cadastros!$M$6:$M$12)," ")</f>
        <v xml:space="preserve"> </v>
      </c>
      <c r="W478" s="28"/>
      <c r="X478" s="28"/>
      <c r="Y478" s="255" t="str">
        <f>IF(W478="","",(_xlfn.XLOOKUP(W478,Cadastros!$D$6:$D$90,Cadastros!$E$6:$E$90))*(1-_xlfn.XLOOKUP(_xlfn.XLOOKUP($F478,Clientes!$B$4:$B$39,Clientes!$C$4:$C$39),Cadastros!$L$6:$L$12,Cadastros!$N$6:$N$12)))</f>
        <v/>
      </c>
      <c r="Z478" s="168" t="str">
        <f t="shared" si="95"/>
        <v/>
      </c>
      <c r="AA478" s="168" t="str">
        <f>IFERROR(Z478/_xlfn.XLOOKUP(_xlfn.XLOOKUP($F478,Clientes!$B$4:$B$39,Clientes!$C$4:$C$39),Cadastros!$L$6:$L$12,Cadastros!$M$6:$M$12)," ")</f>
        <v xml:space="preserve"> </v>
      </c>
      <c r="AB478" s="28"/>
      <c r="AC478" s="28"/>
      <c r="AD478" s="20" t="str">
        <f>IF(AB478="","",IF($F478="Bernardino Furlan",_xlfn.XLOOKUP(AB478,Cadastros!$G$6:$G$90,Cadastros!$H$6:$H$90)*(1-0.18),IF($F478="Mauro José Salanti",_xlfn.XLOOKUP(AB478,Cadastros!$G$6:$G$90,Cadastros!$H$6:$H$90)*(1-0.18),_xlfn.XLOOKUP(AB478,Cadastros!$G$6:$G$90,Cadastros!$H$6:$H$90))))</f>
        <v/>
      </c>
      <c r="AE478" s="168" t="str">
        <f t="shared" si="96"/>
        <v/>
      </c>
      <c r="AF478" s="168" t="str">
        <f t="shared" si="97"/>
        <v/>
      </c>
      <c r="AG478" s="28"/>
      <c r="AH478" s="28"/>
      <c r="AI478" s="20" t="str">
        <f>IF(AG478="","",IF($F478="Bernardino Furlan",_xlfn.XLOOKUP(AG478,Cadastros!$G$6:$G$90,Cadastros!$H$6:$H$90)*(1-0.18),IF($F478="Mauro José Salanti",_xlfn.XLOOKUP(AG478,Cadastros!$G$6:$G$90,Cadastros!$H$6:$H$90)*(1-0.18),_xlfn.XLOOKUP(AG478,Cadastros!$G$6:$G$90,Cadastros!$H$6:$H$90))))</f>
        <v/>
      </c>
      <c r="AJ478" s="168" t="str">
        <f t="shared" si="98"/>
        <v/>
      </c>
      <c r="AK478" s="168" t="str">
        <f t="shared" si="99"/>
        <v/>
      </c>
      <c r="AL478" s="28"/>
      <c r="AM478" s="28"/>
      <c r="AN478" s="20" t="str">
        <f>IF(AL478="","",IF($F478="Bernardino Furlan",_xlfn.XLOOKUP(AL478,Cadastros!$G$6:$G$90,Cadastros!$H$6:$H$90)*(1-0.18),IF($F478="Mauro José Salanti",_xlfn.XLOOKUP(AL478,Cadastros!$G$6:$G$90,Cadastros!$H$6:$H$90)*(1-0.18),_xlfn.XLOOKUP(AL478,Cadastros!$G$6:$G$90,Cadastros!$H$6:$H$90))))</f>
        <v/>
      </c>
      <c r="AO478" s="168" t="str">
        <f t="shared" si="100"/>
        <v/>
      </c>
      <c r="AP478" s="168" t="str">
        <f t="shared" si="101"/>
        <v/>
      </c>
      <c r="AQ478" s="28"/>
      <c r="AR478" s="28"/>
      <c r="AS478" s="20" t="str">
        <f>IF(AQ478="","",IF($F478="Bernardino Furlan",_xlfn.XLOOKUP(AQ478,Cadastros!$G$6:$G$90,Cadastros!$H$6:$H$90)*(1-0.18),IF($F478="Mauro José Salanti",_xlfn.XLOOKUP(AQ478,Cadastros!$G$6:$G$90,Cadastros!$H$6:$H$90)*(1-0.18),_xlfn.XLOOKUP(AQ478,Cadastros!$G$6:$G$90,Cadastros!$H$6:$H$90))))</f>
        <v/>
      </c>
      <c r="AT478" s="168" t="str">
        <f t="shared" si="102"/>
        <v/>
      </c>
      <c r="AU478" s="168" t="str">
        <f t="shared" si="103"/>
        <v/>
      </c>
      <c r="AV478" s="227"/>
      <c r="AW478" s="30"/>
      <c r="AX478" s="267"/>
      <c r="AY478" s="267"/>
      <c r="AZ478" s="29"/>
      <c r="BA478" s="30"/>
      <c r="BB478" s="23" t="str" cm="1">
        <f t="array" ref="BB478">_xlfn.IFS(AW478="SIM",SUM(K478,P478,U478,Z478,AE478,AJ478,AO478,AT478,AX478,AY478),F478&lt;&gt;"",SUM(K478,P478,U478,Z478,AE478,AJ478,,AO478,AT478),F478="","")</f>
        <v/>
      </c>
      <c r="BC478" s="211" t="str" cm="1">
        <f t="array" ref="BC478">_xlfn.IFS(E478="","",G478&lt;=E478,BB478*(1-0.03),G478&lt;(E478+8),BB478,AZ478="Boleto",BB478*(1+0.001)^DATEDIF(E478,G478,"D"),AZ478="Cheque",BB478,AZ478="Dinheiro","Alterar forma pgto")</f>
        <v/>
      </c>
      <c r="BD478" s="276" t="str" cm="1">
        <f t="array" ref="BD478">IF(F478=0," ",IF(BC478&lt;BB478,(_xlfn.IFS(AW478="SIM",SUM(L478,Q478,V478,AA478,AF478,AK478,AP478,AU478)+AX478/_xlfn.XLOOKUP(_xlfn.XLOOKUP($F478,Clientes!$B$4:$B$39,Clientes!$C$4:$C$39),Cadastros!$L$6:$L$12,Cadastros!$M$6:$M$12)+IF($F478="Bernardino Furlan",AY478/2751.92,IF($F478="Mauro José Salanti",AY478/2751.92,AY478/3356)),F478&lt;&gt;0,SUM(L478,Q478,V478,AA478,AF478,AK478,AP478,AU478)))*(1-0.03),_xlfn.IFS(AW478="SIM",SUM(L478,Q478,V478,AA478,AF478,AK478,AP478,AU478)+AX478/_xlfn.XLOOKUP(_xlfn.XLOOKUP($F478,Clientes!$B$4:$B$39,Clientes!$C$4:$C$39),Cadastros!$L$6:$L$12,Cadastros!$M$6:$M$12)+IF($F478="Bernardino Furlan",AY478/2751.92,IF($F478="Mauro José Salanti",AY478/2751.92,AY478/3356)),F478&lt;&gt;0,SUM(L478,Q478,V478,AA478,AF478,AK478,AP478,AU478))))</f>
        <v xml:space="preserve"> </v>
      </c>
      <c r="BE478" s="120"/>
      <c r="BF478" s="120"/>
      <c r="BG478" s="120"/>
    </row>
    <row r="479" spans="1:59" s="3" customFormat="1" x14ac:dyDescent="0.3">
      <c r="A479" s="15" t="str">
        <f t="shared" si="91"/>
        <v/>
      </c>
      <c r="B479" s="25"/>
      <c r="C479" s="26"/>
      <c r="D479" s="279"/>
      <c r="E479" s="27"/>
      <c r="F479" s="28"/>
      <c r="G479" s="27"/>
      <c r="H479" s="28"/>
      <c r="I479" s="28"/>
      <c r="J479" s="255" t="str">
        <f>IF(H479="","",(_xlfn.XLOOKUP(H479,Cadastros!$D$6:$D$90,Cadastros!$E$6:$E$90))*(1-_xlfn.XLOOKUP(_xlfn.XLOOKUP($F479,Clientes!$B$4:$B$39,Clientes!$C$4:$C$39),Cadastros!$L$6:$L$12,Cadastros!$N$6:$N$12)))</f>
        <v/>
      </c>
      <c r="K479" s="168" t="str">
        <f t="shared" si="92"/>
        <v/>
      </c>
      <c r="L479" s="168" t="str">
        <f>IFERROR(K479/_xlfn.XLOOKUP(_xlfn.XLOOKUP($F479,Clientes!$B$4:$B$39,Clientes!$C$4:$C$39),Cadastros!$L$6:$L$12,Cadastros!$M$6:$M$12)," ")</f>
        <v xml:space="preserve"> </v>
      </c>
      <c r="M479" s="28"/>
      <c r="N479" s="28"/>
      <c r="O479" s="255" t="str">
        <f>IF(M479="","",(_xlfn.XLOOKUP(M479,Cadastros!$D$6:$D$90,Cadastros!$E$6:$E$90))*(1-_xlfn.XLOOKUP(_xlfn.XLOOKUP($F479,Clientes!$B$4:$B$39,Clientes!$C$4:$C$39),Cadastros!$L$6:$L$12,Cadastros!$N$6:$N$12)))</f>
        <v/>
      </c>
      <c r="P479" s="168" t="str">
        <f t="shared" si="93"/>
        <v/>
      </c>
      <c r="Q479" s="168" t="str">
        <f>IFERROR(P479/_xlfn.XLOOKUP(_xlfn.XLOOKUP($F479,Clientes!$B$4:$B$39,Clientes!$C$4:$C$39),Cadastros!$L$6:$L$12,Cadastros!$M$6:$M$12)," ")</f>
        <v xml:space="preserve"> </v>
      </c>
      <c r="R479" s="28"/>
      <c r="S479" s="28"/>
      <c r="T479" s="255" t="str">
        <f>IF(R479="","",(_xlfn.XLOOKUP(R479,Cadastros!$D$6:$D$90,Cadastros!$E$6:$E$90))*(1-_xlfn.XLOOKUP(_xlfn.XLOOKUP($F479,Clientes!$B$4:$B$39,Clientes!$C$4:$C$39),Cadastros!$L$6:$L$12,Cadastros!$N$6:$N$12)))</f>
        <v/>
      </c>
      <c r="U479" s="168" t="str">
        <f t="shared" si="94"/>
        <v/>
      </c>
      <c r="V479" s="168" t="str">
        <f>IFERROR(U479/_xlfn.XLOOKUP(_xlfn.XLOOKUP($F479,Clientes!$B$4:$B$39,Clientes!$C$4:$C$39),Cadastros!$L$6:$L$12,Cadastros!$M$6:$M$12)," ")</f>
        <v xml:space="preserve"> </v>
      </c>
      <c r="W479" s="28"/>
      <c r="X479" s="28"/>
      <c r="Y479" s="255" t="str">
        <f>IF(W479="","",(_xlfn.XLOOKUP(W479,Cadastros!$D$6:$D$90,Cadastros!$E$6:$E$90))*(1-_xlfn.XLOOKUP(_xlfn.XLOOKUP($F479,Clientes!$B$4:$B$39,Clientes!$C$4:$C$39),Cadastros!$L$6:$L$12,Cadastros!$N$6:$N$12)))</f>
        <v/>
      </c>
      <c r="Z479" s="168" t="str">
        <f t="shared" si="95"/>
        <v/>
      </c>
      <c r="AA479" s="168" t="str">
        <f>IFERROR(Z479/_xlfn.XLOOKUP(_xlfn.XLOOKUP($F479,Clientes!$B$4:$B$39,Clientes!$C$4:$C$39),Cadastros!$L$6:$L$12,Cadastros!$M$6:$M$12)," ")</f>
        <v xml:space="preserve"> </v>
      </c>
      <c r="AB479" s="28"/>
      <c r="AC479" s="28"/>
      <c r="AD479" s="20" t="str">
        <f>IF(AB479="","",IF($F479="Bernardino Furlan",_xlfn.XLOOKUP(AB479,Cadastros!$G$6:$G$90,Cadastros!$H$6:$H$90)*(1-0.18),IF($F479="Mauro José Salanti",_xlfn.XLOOKUP(AB479,Cadastros!$G$6:$G$90,Cadastros!$H$6:$H$90)*(1-0.18),_xlfn.XLOOKUP(AB479,Cadastros!$G$6:$G$90,Cadastros!$H$6:$H$90))))</f>
        <v/>
      </c>
      <c r="AE479" s="168" t="str">
        <f t="shared" si="96"/>
        <v/>
      </c>
      <c r="AF479" s="168" t="str">
        <f t="shared" si="97"/>
        <v/>
      </c>
      <c r="AG479" s="28"/>
      <c r="AH479" s="28"/>
      <c r="AI479" s="20" t="str">
        <f>IF(AG479="","",IF($F479="Bernardino Furlan",_xlfn.XLOOKUP(AG479,Cadastros!$G$6:$G$90,Cadastros!$H$6:$H$90)*(1-0.18),IF($F479="Mauro José Salanti",_xlfn.XLOOKUP(AG479,Cadastros!$G$6:$G$90,Cadastros!$H$6:$H$90)*(1-0.18),_xlfn.XLOOKUP(AG479,Cadastros!$G$6:$G$90,Cadastros!$H$6:$H$90))))</f>
        <v/>
      </c>
      <c r="AJ479" s="168" t="str">
        <f t="shared" si="98"/>
        <v/>
      </c>
      <c r="AK479" s="168" t="str">
        <f t="shared" si="99"/>
        <v/>
      </c>
      <c r="AL479" s="28"/>
      <c r="AM479" s="28"/>
      <c r="AN479" s="20" t="str">
        <f>IF(AL479="","",IF($F479="Bernardino Furlan",_xlfn.XLOOKUP(AL479,Cadastros!$G$6:$G$90,Cadastros!$H$6:$H$90)*(1-0.18),IF($F479="Mauro José Salanti",_xlfn.XLOOKUP(AL479,Cadastros!$G$6:$G$90,Cadastros!$H$6:$H$90)*(1-0.18),_xlfn.XLOOKUP(AL479,Cadastros!$G$6:$G$90,Cadastros!$H$6:$H$90))))</f>
        <v/>
      </c>
      <c r="AO479" s="168" t="str">
        <f t="shared" si="100"/>
        <v/>
      </c>
      <c r="AP479" s="168" t="str">
        <f t="shared" si="101"/>
        <v/>
      </c>
      <c r="AQ479" s="28"/>
      <c r="AR479" s="28"/>
      <c r="AS479" s="20" t="str">
        <f>IF(AQ479="","",IF($F479="Bernardino Furlan",_xlfn.XLOOKUP(AQ479,Cadastros!$G$6:$G$90,Cadastros!$H$6:$H$90)*(1-0.18),IF($F479="Mauro José Salanti",_xlfn.XLOOKUP(AQ479,Cadastros!$G$6:$G$90,Cadastros!$H$6:$H$90)*(1-0.18),_xlfn.XLOOKUP(AQ479,Cadastros!$G$6:$G$90,Cadastros!$H$6:$H$90))))</f>
        <v/>
      </c>
      <c r="AT479" s="168" t="str">
        <f t="shared" si="102"/>
        <v/>
      </c>
      <c r="AU479" s="168" t="str">
        <f t="shared" si="103"/>
        <v/>
      </c>
      <c r="AV479" s="227"/>
      <c r="AW479" s="30"/>
      <c r="AX479" s="267"/>
      <c r="AY479" s="267"/>
      <c r="AZ479" s="29"/>
      <c r="BA479" s="30"/>
      <c r="BB479" s="23" t="str" cm="1">
        <f t="array" ref="BB479">_xlfn.IFS(AW479="SIM",SUM(K479,P479,U479,Z479,AE479,AJ479,AO479,AT479,AX479,AY479),F479&lt;&gt;"",SUM(K479,P479,U479,Z479,AE479,AJ479,,AO479,AT479),F479="","")</f>
        <v/>
      </c>
      <c r="BC479" s="211" t="str" cm="1">
        <f t="array" ref="BC479">_xlfn.IFS(E479="","",G479&lt;=E479,BB479*(1-0.03),G479&lt;(E479+8),BB479,AZ479="Boleto",BB479*(1+0.001)^DATEDIF(E479,G479,"D"),AZ479="Cheque",BB479,AZ479="Dinheiro","Alterar forma pgto")</f>
        <v/>
      </c>
      <c r="BD479" s="276" t="str" cm="1">
        <f t="array" ref="BD479">IF(F479=0," ",IF(BC479&lt;BB479,(_xlfn.IFS(AW479="SIM",SUM(L479,Q479,V479,AA479,AF479,AK479,AP479,AU479)+AX479/_xlfn.XLOOKUP(_xlfn.XLOOKUP($F479,Clientes!$B$4:$B$39,Clientes!$C$4:$C$39),Cadastros!$L$6:$L$12,Cadastros!$M$6:$M$12)+IF($F479="Bernardino Furlan",AY479/2751.92,IF($F479="Mauro José Salanti",AY479/2751.92,AY479/3356)),F479&lt;&gt;0,SUM(L479,Q479,V479,AA479,AF479,AK479,AP479,AU479)))*(1-0.03),_xlfn.IFS(AW479="SIM",SUM(L479,Q479,V479,AA479,AF479,AK479,AP479,AU479)+AX479/_xlfn.XLOOKUP(_xlfn.XLOOKUP($F479,Clientes!$B$4:$B$39,Clientes!$C$4:$C$39),Cadastros!$L$6:$L$12,Cadastros!$M$6:$M$12)+IF($F479="Bernardino Furlan",AY479/2751.92,IF($F479="Mauro José Salanti",AY479/2751.92,AY479/3356)),F479&lt;&gt;0,SUM(L479,Q479,V479,AA479,AF479,AK479,AP479,AU479))))</f>
        <v xml:space="preserve"> </v>
      </c>
      <c r="BE479" s="120"/>
      <c r="BF479" s="120"/>
      <c r="BG479" s="120"/>
    </row>
    <row r="480" spans="1:59" s="3" customFormat="1" x14ac:dyDescent="0.3">
      <c r="A480" s="15" t="str">
        <f t="shared" si="91"/>
        <v/>
      </c>
      <c r="B480" s="25"/>
      <c r="C480" s="26"/>
      <c r="D480" s="279"/>
      <c r="E480" s="27"/>
      <c r="F480" s="28"/>
      <c r="G480" s="27"/>
      <c r="H480" s="28"/>
      <c r="I480" s="28"/>
      <c r="J480" s="255" t="str">
        <f>IF(H480="","",(_xlfn.XLOOKUP(H480,Cadastros!$D$6:$D$90,Cadastros!$E$6:$E$90))*(1-_xlfn.XLOOKUP(_xlfn.XLOOKUP($F480,Clientes!$B$4:$B$39,Clientes!$C$4:$C$39),Cadastros!$L$6:$L$12,Cadastros!$N$6:$N$12)))</f>
        <v/>
      </c>
      <c r="K480" s="168" t="str">
        <f t="shared" si="92"/>
        <v/>
      </c>
      <c r="L480" s="168" t="str">
        <f>IFERROR(K480/_xlfn.XLOOKUP(_xlfn.XLOOKUP($F480,Clientes!$B$4:$B$39,Clientes!$C$4:$C$39),Cadastros!$L$6:$L$12,Cadastros!$M$6:$M$12)," ")</f>
        <v xml:space="preserve"> </v>
      </c>
      <c r="M480" s="28"/>
      <c r="N480" s="28"/>
      <c r="O480" s="255" t="str">
        <f>IF(M480="","",(_xlfn.XLOOKUP(M480,Cadastros!$D$6:$D$90,Cadastros!$E$6:$E$90))*(1-_xlfn.XLOOKUP(_xlfn.XLOOKUP($F480,Clientes!$B$4:$B$39,Clientes!$C$4:$C$39),Cadastros!$L$6:$L$12,Cadastros!$N$6:$N$12)))</f>
        <v/>
      </c>
      <c r="P480" s="168" t="str">
        <f t="shared" si="93"/>
        <v/>
      </c>
      <c r="Q480" s="168" t="str">
        <f>IFERROR(P480/_xlfn.XLOOKUP(_xlfn.XLOOKUP($F480,Clientes!$B$4:$B$39,Clientes!$C$4:$C$39),Cadastros!$L$6:$L$12,Cadastros!$M$6:$M$12)," ")</f>
        <v xml:space="preserve"> </v>
      </c>
      <c r="R480" s="28"/>
      <c r="S480" s="28"/>
      <c r="T480" s="255" t="str">
        <f>IF(R480="","",(_xlfn.XLOOKUP(R480,Cadastros!$D$6:$D$90,Cadastros!$E$6:$E$90))*(1-_xlfn.XLOOKUP(_xlfn.XLOOKUP($F480,Clientes!$B$4:$B$39,Clientes!$C$4:$C$39),Cadastros!$L$6:$L$12,Cadastros!$N$6:$N$12)))</f>
        <v/>
      </c>
      <c r="U480" s="168" t="str">
        <f t="shared" si="94"/>
        <v/>
      </c>
      <c r="V480" s="168" t="str">
        <f>IFERROR(U480/_xlfn.XLOOKUP(_xlfn.XLOOKUP($F480,Clientes!$B$4:$B$39,Clientes!$C$4:$C$39),Cadastros!$L$6:$L$12,Cadastros!$M$6:$M$12)," ")</f>
        <v xml:space="preserve"> </v>
      </c>
      <c r="W480" s="28"/>
      <c r="X480" s="28"/>
      <c r="Y480" s="255" t="str">
        <f>IF(W480="","",(_xlfn.XLOOKUP(W480,Cadastros!$D$6:$D$90,Cadastros!$E$6:$E$90))*(1-_xlfn.XLOOKUP(_xlfn.XLOOKUP($F480,Clientes!$B$4:$B$39,Clientes!$C$4:$C$39),Cadastros!$L$6:$L$12,Cadastros!$N$6:$N$12)))</f>
        <v/>
      </c>
      <c r="Z480" s="168" t="str">
        <f t="shared" si="95"/>
        <v/>
      </c>
      <c r="AA480" s="168" t="str">
        <f>IFERROR(Z480/_xlfn.XLOOKUP(_xlfn.XLOOKUP($F480,Clientes!$B$4:$B$39,Clientes!$C$4:$C$39),Cadastros!$L$6:$L$12,Cadastros!$M$6:$M$12)," ")</f>
        <v xml:space="preserve"> </v>
      </c>
      <c r="AB480" s="28"/>
      <c r="AC480" s="28"/>
      <c r="AD480" s="20" t="str">
        <f>IF(AB480="","",IF($F480="Bernardino Furlan",_xlfn.XLOOKUP(AB480,Cadastros!$G$6:$G$90,Cadastros!$H$6:$H$90)*(1-0.18),IF($F480="Mauro José Salanti",_xlfn.XLOOKUP(AB480,Cadastros!$G$6:$G$90,Cadastros!$H$6:$H$90)*(1-0.18),_xlfn.XLOOKUP(AB480,Cadastros!$G$6:$G$90,Cadastros!$H$6:$H$90))))</f>
        <v/>
      </c>
      <c r="AE480" s="168" t="str">
        <f t="shared" si="96"/>
        <v/>
      </c>
      <c r="AF480" s="168" t="str">
        <f t="shared" si="97"/>
        <v/>
      </c>
      <c r="AG480" s="28"/>
      <c r="AH480" s="28"/>
      <c r="AI480" s="20" t="str">
        <f>IF(AG480="","",IF($F480="Bernardino Furlan",_xlfn.XLOOKUP(AG480,Cadastros!$G$6:$G$90,Cadastros!$H$6:$H$90)*(1-0.18),IF($F480="Mauro José Salanti",_xlfn.XLOOKUP(AG480,Cadastros!$G$6:$G$90,Cadastros!$H$6:$H$90)*(1-0.18),_xlfn.XLOOKUP(AG480,Cadastros!$G$6:$G$90,Cadastros!$H$6:$H$90))))</f>
        <v/>
      </c>
      <c r="AJ480" s="168" t="str">
        <f t="shared" si="98"/>
        <v/>
      </c>
      <c r="AK480" s="168" t="str">
        <f t="shared" si="99"/>
        <v/>
      </c>
      <c r="AL480" s="28"/>
      <c r="AM480" s="28"/>
      <c r="AN480" s="20" t="str">
        <f>IF(AL480="","",IF($F480="Bernardino Furlan",_xlfn.XLOOKUP(AL480,Cadastros!$G$6:$G$90,Cadastros!$H$6:$H$90)*(1-0.18),IF($F480="Mauro José Salanti",_xlfn.XLOOKUP(AL480,Cadastros!$G$6:$G$90,Cadastros!$H$6:$H$90)*(1-0.18),_xlfn.XLOOKUP(AL480,Cadastros!$G$6:$G$90,Cadastros!$H$6:$H$90))))</f>
        <v/>
      </c>
      <c r="AO480" s="168" t="str">
        <f t="shared" si="100"/>
        <v/>
      </c>
      <c r="AP480" s="168" t="str">
        <f t="shared" si="101"/>
        <v/>
      </c>
      <c r="AQ480" s="28"/>
      <c r="AR480" s="28"/>
      <c r="AS480" s="20" t="str">
        <f>IF(AQ480="","",IF($F480="Bernardino Furlan",_xlfn.XLOOKUP(AQ480,Cadastros!$G$6:$G$90,Cadastros!$H$6:$H$90)*(1-0.18),IF($F480="Mauro José Salanti",_xlfn.XLOOKUP(AQ480,Cadastros!$G$6:$G$90,Cadastros!$H$6:$H$90)*(1-0.18),_xlfn.XLOOKUP(AQ480,Cadastros!$G$6:$G$90,Cadastros!$H$6:$H$90))))</f>
        <v/>
      </c>
      <c r="AT480" s="168" t="str">
        <f t="shared" si="102"/>
        <v/>
      </c>
      <c r="AU480" s="168" t="str">
        <f t="shared" si="103"/>
        <v/>
      </c>
      <c r="AV480" s="227"/>
      <c r="AW480" s="30"/>
      <c r="AX480" s="267"/>
      <c r="AY480" s="267"/>
      <c r="AZ480" s="29"/>
      <c r="BA480" s="30"/>
      <c r="BB480" s="23" t="str" cm="1">
        <f t="array" ref="BB480">_xlfn.IFS(AW480="SIM",SUM(K480,P480,U480,Z480,AE480,AJ480,AO480,AT480,AX480,AY480),F480&lt;&gt;"",SUM(K480,P480,U480,Z480,AE480,AJ480,,AO480,AT480),F480="","")</f>
        <v/>
      </c>
      <c r="BC480" s="211" t="str" cm="1">
        <f t="array" ref="BC480">_xlfn.IFS(E480="","",G480&lt;=E480,BB480*(1-0.03),G480&lt;(E480+8),BB480,AZ480="Boleto",BB480*(1+0.001)^DATEDIF(E480,G480,"D"),AZ480="Cheque",BB480,AZ480="Dinheiro","Alterar forma pgto")</f>
        <v/>
      </c>
      <c r="BD480" s="276" t="str" cm="1">
        <f t="array" ref="BD480">IF(F480=0," ",IF(BC480&lt;BB480,(_xlfn.IFS(AW480="SIM",SUM(L480,Q480,V480,AA480,AF480,AK480,AP480,AU480)+AX480/_xlfn.XLOOKUP(_xlfn.XLOOKUP($F480,Clientes!$B$4:$B$39,Clientes!$C$4:$C$39),Cadastros!$L$6:$L$12,Cadastros!$M$6:$M$12)+IF($F480="Bernardino Furlan",AY480/2751.92,IF($F480="Mauro José Salanti",AY480/2751.92,AY480/3356)),F480&lt;&gt;0,SUM(L480,Q480,V480,AA480,AF480,AK480,AP480,AU480)))*(1-0.03),_xlfn.IFS(AW480="SIM",SUM(L480,Q480,V480,AA480,AF480,AK480,AP480,AU480)+AX480/_xlfn.XLOOKUP(_xlfn.XLOOKUP($F480,Clientes!$B$4:$B$39,Clientes!$C$4:$C$39),Cadastros!$L$6:$L$12,Cadastros!$M$6:$M$12)+IF($F480="Bernardino Furlan",AY480/2751.92,IF($F480="Mauro José Salanti",AY480/2751.92,AY480/3356)),F480&lt;&gt;0,SUM(L480,Q480,V480,AA480,AF480,AK480,AP480,AU480))))</f>
        <v xml:space="preserve"> </v>
      </c>
      <c r="BE480" s="120"/>
      <c r="BF480" s="120"/>
      <c r="BG480" s="120"/>
    </row>
    <row r="481" spans="1:59" s="3" customFormat="1" x14ac:dyDescent="0.3">
      <c r="A481" s="15" t="str">
        <f t="shared" si="91"/>
        <v/>
      </c>
      <c r="B481" s="25"/>
      <c r="C481" s="26"/>
      <c r="D481" s="279"/>
      <c r="E481" s="27"/>
      <c r="F481" s="28"/>
      <c r="G481" s="27"/>
      <c r="H481" s="28"/>
      <c r="I481" s="28"/>
      <c r="J481" s="255" t="str">
        <f>IF(H481="","",(_xlfn.XLOOKUP(H481,Cadastros!$D$6:$D$90,Cadastros!$E$6:$E$90))*(1-_xlfn.XLOOKUP(_xlfn.XLOOKUP($F481,Clientes!$B$4:$B$39,Clientes!$C$4:$C$39),Cadastros!$L$6:$L$12,Cadastros!$N$6:$N$12)))</f>
        <v/>
      </c>
      <c r="K481" s="168" t="str">
        <f t="shared" si="92"/>
        <v/>
      </c>
      <c r="L481" s="168" t="str">
        <f>IFERROR(K481/_xlfn.XLOOKUP(_xlfn.XLOOKUP($F481,Clientes!$B$4:$B$39,Clientes!$C$4:$C$39),Cadastros!$L$6:$L$12,Cadastros!$M$6:$M$12)," ")</f>
        <v xml:space="preserve"> </v>
      </c>
      <c r="M481" s="28"/>
      <c r="N481" s="28"/>
      <c r="O481" s="255" t="str">
        <f>IF(M481="","",(_xlfn.XLOOKUP(M481,Cadastros!$D$6:$D$90,Cadastros!$E$6:$E$90))*(1-_xlfn.XLOOKUP(_xlfn.XLOOKUP($F481,Clientes!$B$4:$B$39,Clientes!$C$4:$C$39),Cadastros!$L$6:$L$12,Cadastros!$N$6:$N$12)))</f>
        <v/>
      </c>
      <c r="P481" s="168" t="str">
        <f t="shared" si="93"/>
        <v/>
      </c>
      <c r="Q481" s="168" t="str">
        <f>IFERROR(P481/_xlfn.XLOOKUP(_xlfn.XLOOKUP($F481,Clientes!$B$4:$B$39,Clientes!$C$4:$C$39),Cadastros!$L$6:$L$12,Cadastros!$M$6:$M$12)," ")</f>
        <v xml:space="preserve"> </v>
      </c>
      <c r="R481" s="28"/>
      <c r="S481" s="28"/>
      <c r="T481" s="255" t="str">
        <f>IF(R481="","",(_xlfn.XLOOKUP(R481,Cadastros!$D$6:$D$90,Cadastros!$E$6:$E$90))*(1-_xlfn.XLOOKUP(_xlfn.XLOOKUP($F481,Clientes!$B$4:$B$39,Clientes!$C$4:$C$39),Cadastros!$L$6:$L$12,Cadastros!$N$6:$N$12)))</f>
        <v/>
      </c>
      <c r="U481" s="168" t="str">
        <f t="shared" si="94"/>
        <v/>
      </c>
      <c r="V481" s="168" t="str">
        <f>IFERROR(U481/_xlfn.XLOOKUP(_xlfn.XLOOKUP($F481,Clientes!$B$4:$B$39,Clientes!$C$4:$C$39),Cadastros!$L$6:$L$12,Cadastros!$M$6:$M$12)," ")</f>
        <v xml:space="preserve"> </v>
      </c>
      <c r="W481" s="28"/>
      <c r="X481" s="28"/>
      <c r="Y481" s="255" t="str">
        <f>IF(W481="","",(_xlfn.XLOOKUP(W481,Cadastros!$D$6:$D$90,Cadastros!$E$6:$E$90))*(1-_xlfn.XLOOKUP(_xlfn.XLOOKUP($F481,Clientes!$B$4:$B$39,Clientes!$C$4:$C$39),Cadastros!$L$6:$L$12,Cadastros!$N$6:$N$12)))</f>
        <v/>
      </c>
      <c r="Z481" s="168" t="str">
        <f t="shared" si="95"/>
        <v/>
      </c>
      <c r="AA481" s="168" t="str">
        <f>IFERROR(Z481/_xlfn.XLOOKUP(_xlfn.XLOOKUP($F481,Clientes!$B$4:$B$39,Clientes!$C$4:$C$39),Cadastros!$L$6:$L$12,Cadastros!$M$6:$M$12)," ")</f>
        <v xml:space="preserve"> </v>
      </c>
      <c r="AB481" s="28"/>
      <c r="AC481" s="28"/>
      <c r="AD481" s="20" t="str">
        <f>IF(AB481="","",IF($F481="Bernardino Furlan",_xlfn.XLOOKUP(AB481,Cadastros!$G$6:$G$90,Cadastros!$H$6:$H$90)*(1-0.18),IF($F481="Mauro José Salanti",_xlfn.XLOOKUP(AB481,Cadastros!$G$6:$G$90,Cadastros!$H$6:$H$90)*(1-0.18),_xlfn.XLOOKUP(AB481,Cadastros!$G$6:$G$90,Cadastros!$H$6:$H$90))))</f>
        <v/>
      </c>
      <c r="AE481" s="168" t="str">
        <f t="shared" si="96"/>
        <v/>
      </c>
      <c r="AF481" s="168" t="str">
        <f t="shared" si="97"/>
        <v/>
      </c>
      <c r="AG481" s="28"/>
      <c r="AH481" s="28"/>
      <c r="AI481" s="20" t="str">
        <f>IF(AG481="","",IF($F481="Bernardino Furlan",_xlfn.XLOOKUP(AG481,Cadastros!$G$6:$G$90,Cadastros!$H$6:$H$90)*(1-0.18),IF($F481="Mauro José Salanti",_xlfn.XLOOKUP(AG481,Cadastros!$G$6:$G$90,Cadastros!$H$6:$H$90)*(1-0.18),_xlfn.XLOOKUP(AG481,Cadastros!$G$6:$G$90,Cadastros!$H$6:$H$90))))</f>
        <v/>
      </c>
      <c r="AJ481" s="168" t="str">
        <f t="shared" si="98"/>
        <v/>
      </c>
      <c r="AK481" s="168" t="str">
        <f t="shared" si="99"/>
        <v/>
      </c>
      <c r="AL481" s="28"/>
      <c r="AM481" s="28"/>
      <c r="AN481" s="20" t="str">
        <f>IF(AL481="","",IF($F481="Bernardino Furlan",_xlfn.XLOOKUP(AL481,Cadastros!$G$6:$G$90,Cadastros!$H$6:$H$90)*(1-0.18),IF($F481="Mauro José Salanti",_xlfn.XLOOKUP(AL481,Cadastros!$G$6:$G$90,Cadastros!$H$6:$H$90)*(1-0.18),_xlfn.XLOOKUP(AL481,Cadastros!$G$6:$G$90,Cadastros!$H$6:$H$90))))</f>
        <v/>
      </c>
      <c r="AO481" s="168" t="str">
        <f t="shared" si="100"/>
        <v/>
      </c>
      <c r="AP481" s="168" t="str">
        <f t="shared" si="101"/>
        <v/>
      </c>
      <c r="AQ481" s="28"/>
      <c r="AR481" s="28"/>
      <c r="AS481" s="20" t="str">
        <f>IF(AQ481="","",IF($F481="Bernardino Furlan",_xlfn.XLOOKUP(AQ481,Cadastros!$G$6:$G$90,Cadastros!$H$6:$H$90)*(1-0.18),IF($F481="Mauro José Salanti",_xlfn.XLOOKUP(AQ481,Cadastros!$G$6:$G$90,Cadastros!$H$6:$H$90)*(1-0.18),_xlfn.XLOOKUP(AQ481,Cadastros!$G$6:$G$90,Cadastros!$H$6:$H$90))))</f>
        <v/>
      </c>
      <c r="AT481" s="168" t="str">
        <f t="shared" si="102"/>
        <v/>
      </c>
      <c r="AU481" s="168" t="str">
        <f t="shared" si="103"/>
        <v/>
      </c>
      <c r="AV481" s="227"/>
      <c r="AW481" s="30"/>
      <c r="AX481" s="267"/>
      <c r="AY481" s="267"/>
      <c r="AZ481" s="29"/>
      <c r="BA481" s="30"/>
      <c r="BB481" s="23" t="str" cm="1">
        <f t="array" ref="BB481">_xlfn.IFS(AW481="SIM",SUM(K481,P481,U481,Z481,AE481,AJ481,AO481,AT481,AX481,AY481),F481&lt;&gt;"",SUM(K481,P481,U481,Z481,AE481,AJ481,,AO481,AT481),F481="","")</f>
        <v/>
      </c>
      <c r="BC481" s="211" t="str" cm="1">
        <f t="array" ref="BC481">_xlfn.IFS(E481="","",G481&lt;=E481,BB481*(1-0.03),G481&lt;(E481+8),BB481,AZ481="Boleto",BB481*(1+0.001)^DATEDIF(E481,G481,"D"),AZ481="Cheque",BB481,AZ481="Dinheiro","Alterar forma pgto")</f>
        <v/>
      </c>
      <c r="BD481" s="276" t="str" cm="1">
        <f t="array" ref="BD481">IF(F481=0," ",IF(BC481&lt;BB481,(_xlfn.IFS(AW481="SIM",SUM(L481,Q481,V481,AA481,AF481,AK481,AP481,AU481)+AX481/_xlfn.XLOOKUP(_xlfn.XLOOKUP($F481,Clientes!$B$4:$B$39,Clientes!$C$4:$C$39),Cadastros!$L$6:$L$12,Cadastros!$M$6:$M$12)+IF($F481="Bernardino Furlan",AY481/2751.92,IF($F481="Mauro José Salanti",AY481/2751.92,AY481/3356)),F481&lt;&gt;0,SUM(L481,Q481,V481,AA481,AF481,AK481,AP481,AU481)))*(1-0.03),_xlfn.IFS(AW481="SIM",SUM(L481,Q481,V481,AA481,AF481,AK481,AP481,AU481)+AX481/_xlfn.XLOOKUP(_xlfn.XLOOKUP($F481,Clientes!$B$4:$B$39,Clientes!$C$4:$C$39),Cadastros!$L$6:$L$12,Cadastros!$M$6:$M$12)+IF($F481="Bernardino Furlan",AY481/2751.92,IF($F481="Mauro José Salanti",AY481/2751.92,AY481/3356)),F481&lt;&gt;0,SUM(L481,Q481,V481,AA481,AF481,AK481,AP481,AU481))))</f>
        <v xml:space="preserve"> </v>
      </c>
      <c r="BE481" s="120"/>
      <c r="BF481" s="120"/>
      <c r="BG481" s="120"/>
    </row>
    <row r="482" spans="1:59" s="3" customFormat="1" x14ac:dyDescent="0.3">
      <c r="A482" s="15" t="str">
        <f t="shared" si="91"/>
        <v/>
      </c>
      <c r="B482" s="25"/>
      <c r="C482" s="26"/>
      <c r="D482" s="279"/>
      <c r="E482" s="27"/>
      <c r="F482" s="28"/>
      <c r="G482" s="27"/>
      <c r="H482" s="28"/>
      <c r="I482" s="28"/>
      <c r="J482" s="255" t="str">
        <f>IF(H482="","",(_xlfn.XLOOKUP(H482,Cadastros!$D$6:$D$90,Cadastros!$E$6:$E$90))*(1-_xlfn.XLOOKUP(_xlfn.XLOOKUP($F482,Clientes!$B$4:$B$39,Clientes!$C$4:$C$39),Cadastros!$L$6:$L$12,Cadastros!$N$6:$N$12)))</f>
        <v/>
      </c>
      <c r="K482" s="168" t="str">
        <f t="shared" si="92"/>
        <v/>
      </c>
      <c r="L482" s="168" t="str">
        <f>IFERROR(K482/_xlfn.XLOOKUP(_xlfn.XLOOKUP($F482,Clientes!$B$4:$B$39,Clientes!$C$4:$C$39),Cadastros!$L$6:$L$12,Cadastros!$M$6:$M$12)," ")</f>
        <v xml:space="preserve"> </v>
      </c>
      <c r="M482" s="28"/>
      <c r="N482" s="28"/>
      <c r="O482" s="255" t="str">
        <f>IF(M482="","",(_xlfn.XLOOKUP(M482,Cadastros!$D$6:$D$90,Cadastros!$E$6:$E$90))*(1-_xlfn.XLOOKUP(_xlfn.XLOOKUP($F482,Clientes!$B$4:$B$39,Clientes!$C$4:$C$39),Cadastros!$L$6:$L$12,Cadastros!$N$6:$N$12)))</f>
        <v/>
      </c>
      <c r="P482" s="168" t="str">
        <f t="shared" si="93"/>
        <v/>
      </c>
      <c r="Q482" s="168" t="str">
        <f>IFERROR(P482/_xlfn.XLOOKUP(_xlfn.XLOOKUP($F482,Clientes!$B$4:$B$39,Clientes!$C$4:$C$39),Cadastros!$L$6:$L$12,Cadastros!$M$6:$M$12)," ")</f>
        <v xml:space="preserve"> </v>
      </c>
      <c r="R482" s="28"/>
      <c r="S482" s="28"/>
      <c r="T482" s="255" t="str">
        <f>IF(R482="","",(_xlfn.XLOOKUP(R482,Cadastros!$D$6:$D$90,Cadastros!$E$6:$E$90))*(1-_xlfn.XLOOKUP(_xlfn.XLOOKUP($F482,Clientes!$B$4:$B$39,Clientes!$C$4:$C$39),Cadastros!$L$6:$L$12,Cadastros!$N$6:$N$12)))</f>
        <v/>
      </c>
      <c r="U482" s="168" t="str">
        <f t="shared" si="94"/>
        <v/>
      </c>
      <c r="V482" s="168" t="str">
        <f>IFERROR(U482/_xlfn.XLOOKUP(_xlfn.XLOOKUP($F482,Clientes!$B$4:$B$39,Clientes!$C$4:$C$39),Cadastros!$L$6:$L$12,Cadastros!$M$6:$M$12)," ")</f>
        <v xml:space="preserve"> </v>
      </c>
      <c r="W482" s="28"/>
      <c r="X482" s="28"/>
      <c r="Y482" s="255" t="str">
        <f>IF(W482="","",(_xlfn.XLOOKUP(W482,Cadastros!$D$6:$D$90,Cadastros!$E$6:$E$90))*(1-_xlfn.XLOOKUP(_xlfn.XLOOKUP($F482,Clientes!$B$4:$B$39,Clientes!$C$4:$C$39),Cadastros!$L$6:$L$12,Cadastros!$N$6:$N$12)))</f>
        <v/>
      </c>
      <c r="Z482" s="168" t="str">
        <f t="shared" si="95"/>
        <v/>
      </c>
      <c r="AA482" s="168" t="str">
        <f>IFERROR(Z482/_xlfn.XLOOKUP(_xlfn.XLOOKUP($F482,Clientes!$B$4:$B$39,Clientes!$C$4:$C$39),Cadastros!$L$6:$L$12,Cadastros!$M$6:$M$12)," ")</f>
        <v xml:space="preserve"> </v>
      </c>
      <c r="AB482" s="28"/>
      <c r="AC482" s="28"/>
      <c r="AD482" s="20" t="str">
        <f>IF(AB482="","",IF($F482="Bernardino Furlan",_xlfn.XLOOKUP(AB482,Cadastros!$G$6:$G$90,Cadastros!$H$6:$H$90)*(1-0.18),IF($F482="Mauro José Salanti",_xlfn.XLOOKUP(AB482,Cadastros!$G$6:$G$90,Cadastros!$H$6:$H$90)*(1-0.18),_xlfn.XLOOKUP(AB482,Cadastros!$G$6:$G$90,Cadastros!$H$6:$H$90))))</f>
        <v/>
      </c>
      <c r="AE482" s="168" t="str">
        <f t="shared" si="96"/>
        <v/>
      </c>
      <c r="AF482" s="168" t="str">
        <f t="shared" si="97"/>
        <v/>
      </c>
      <c r="AG482" s="28"/>
      <c r="AH482" s="28"/>
      <c r="AI482" s="20" t="str">
        <f>IF(AG482="","",IF($F482="Bernardino Furlan",_xlfn.XLOOKUP(AG482,Cadastros!$G$6:$G$90,Cadastros!$H$6:$H$90)*(1-0.18),IF($F482="Mauro José Salanti",_xlfn.XLOOKUP(AG482,Cadastros!$G$6:$G$90,Cadastros!$H$6:$H$90)*(1-0.18),_xlfn.XLOOKUP(AG482,Cadastros!$G$6:$G$90,Cadastros!$H$6:$H$90))))</f>
        <v/>
      </c>
      <c r="AJ482" s="168" t="str">
        <f t="shared" si="98"/>
        <v/>
      </c>
      <c r="AK482" s="168" t="str">
        <f t="shared" si="99"/>
        <v/>
      </c>
      <c r="AL482" s="28"/>
      <c r="AM482" s="28"/>
      <c r="AN482" s="20" t="str">
        <f>IF(AL482="","",IF($F482="Bernardino Furlan",_xlfn.XLOOKUP(AL482,Cadastros!$G$6:$G$90,Cadastros!$H$6:$H$90)*(1-0.18),IF($F482="Mauro José Salanti",_xlfn.XLOOKUP(AL482,Cadastros!$G$6:$G$90,Cadastros!$H$6:$H$90)*(1-0.18),_xlfn.XLOOKUP(AL482,Cadastros!$G$6:$G$90,Cadastros!$H$6:$H$90))))</f>
        <v/>
      </c>
      <c r="AO482" s="168" t="str">
        <f t="shared" si="100"/>
        <v/>
      </c>
      <c r="AP482" s="168" t="str">
        <f t="shared" si="101"/>
        <v/>
      </c>
      <c r="AQ482" s="28"/>
      <c r="AR482" s="28"/>
      <c r="AS482" s="20" t="str">
        <f>IF(AQ482="","",IF($F482="Bernardino Furlan",_xlfn.XLOOKUP(AQ482,Cadastros!$G$6:$G$90,Cadastros!$H$6:$H$90)*(1-0.18),IF($F482="Mauro José Salanti",_xlfn.XLOOKUP(AQ482,Cadastros!$G$6:$G$90,Cadastros!$H$6:$H$90)*(1-0.18),_xlfn.XLOOKUP(AQ482,Cadastros!$G$6:$G$90,Cadastros!$H$6:$H$90))))</f>
        <v/>
      </c>
      <c r="AT482" s="168" t="str">
        <f t="shared" si="102"/>
        <v/>
      </c>
      <c r="AU482" s="168" t="str">
        <f t="shared" si="103"/>
        <v/>
      </c>
      <c r="AV482" s="227"/>
      <c r="AW482" s="30"/>
      <c r="AX482" s="267"/>
      <c r="AY482" s="267"/>
      <c r="AZ482" s="29"/>
      <c r="BA482" s="30"/>
      <c r="BB482" s="23" t="str" cm="1">
        <f t="array" ref="BB482">_xlfn.IFS(AW482="SIM",SUM(K482,P482,U482,Z482,AE482,AJ482,AO482,AT482,AX482,AY482),F482&lt;&gt;"",SUM(K482,P482,U482,Z482,AE482,AJ482,,AO482,AT482),F482="","")</f>
        <v/>
      </c>
      <c r="BC482" s="211" t="str" cm="1">
        <f t="array" ref="BC482">_xlfn.IFS(E482="","",G482&lt;=E482,BB482*(1-0.03),G482&lt;(E482+8),BB482,AZ482="Boleto",BB482*(1+0.001)^DATEDIF(E482,G482,"D"),AZ482="Cheque",BB482,AZ482="Dinheiro","Alterar forma pgto")</f>
        <v/>
      </c>
      <c r="BD482" s="276" t="str" cm="1">
        <f t="array" ref="BD482">IF(F482=0," ",IF(BC482&lt;BB482,(_xlfn.IFS(AW482="SIM",SUM(L482,Q482,V482,AA482,AF482,AK482,AP482,AU482)+AX482/_xlfn.XLOOKUP(_xlfn.XLOOKUP($F482,Clientes!$B$4:$B$39,Clientes!$C$4:$C$39),Cadastros!$L$6:$L$12,Cadastros!$M$6:$M$12)+IF($F482="Bernardino Furlan",AY482/2751.92,IF($F482="Mauro José Salanti",AY482/2751.92,AY482/3356)),F482&lt;&gt;0,SUM(L482,Q482,V482,AA482,AF482,AK482,AP482,AU482)))*(1-0.03),_xlfn.IFS(AW482="SIM",SUM(L482,Q482,V482,AA482,AF482,AK482,AP482,AU482)+AX482/_xlfn.XLOOKUP(_xlfn.XLOOKUP($F482,Clientes!$B$4:$B$39,Clientes!$C$4:$C$39),Cadastros!$L$6:$L$12,Cadastros!$M$6:$M$12)+IF($F482="Bernardino Furlan",AY482/2751.92,IF($F482="Mauro José Salanti",AY482/2751.92,AY482/3356)),F482&lt;&gt;0,SUM(L482,Q482,V482,AA482,AF482,AK482,AP482,AU482))))</f>
        <v xml:space="preserve"> </v>
      </c>
      <c r="BE482" s="120"/>
      <c r="BF482" s="120"/>
      <c r="BG482" s="120"/>
    </row>
    <row r="483" spans="1:59" s="3" customFormat="1" x14ac:dyDescent="0.3">
      <c r="A483" s="15" t="str">
        <f t="shared" si="91"/>
        <v/>
      </c>
      <c r="B483" s="25"/>
      <c r="C483" s="26"/>
      <c r="D483" s="279"/>
      <c r="E483" s="27"/>
      <c r="F483" s="28"/>
      <c r="G483" s="27"/>
      <c r="H483" s="28"/>
      <c r="I483" s="28"/>
      <c r="J483" s="255" t="str">
        <f>IF(H483="","",(_xlfn.XLOOKUP(H483,Cadastros!$D$6:$D$90,Cadastros!$E$6:$E$90))*(1-_xlfn.XLOOKUP(_xlfn.XLOOKUP($F483,Clientes!$B$4:$B$39,Clientes!$C$4:$C$39),Cadastros!$L$6:$L$12,Cadastros!$N$6:$N$12)))</f>
        <v/>
      </c>
      <c r="K483" s="168" t="str">
        <f t="shared" si="92"/>
        <v/>
      </c>
      <c r="L483" s="168" t="str">
        <f>IFERROR(K483/_xlfn.XLOOKUP(_xlfn.XLOOKUP($F483,Clientes!$B$4:$B$39,Clientes!$C$4:$C$39),Cadastros!$L$6:$L$12,Cadastros!$M$6:$M$12)," ")</f>
        <v xml:space="preserve"> </v>
      </c>
      <c r="M483" s="28"/>
      <c r="N483" s="28"/>
      <c r="O483" s="255" t="str">
        <f>IF(M483="","",(_xlfn.XLOOKUP(M483,Cadastros!$D$6:$D$90,Cadastros!$E$6:$E$90))*(1-_xlfn.XLOOKUP(_xlfn.XLOOKUP($F483,Clientes!$B$4:$B$39,Clientes!$C$4:$C$39),Cadastros!$L$6:$L$12,Cadastros!$N$6:$N$12)))</f>
        <v/>
      </c>
      <c r="P483" s="168" t="str">
        <f t="shared" si="93"/>
        <v/>
      </c>
      <c r="Q483" s="168" t="str">
        <f>IFERROR(P483/_xlfn.XLOOKUP(_xlfn.XLOOKUP($F483,Clientes!$B$4:$B$39,Clientes!$C$4:$C$39),Cadastros!$L$6:$L$12,Cadastros!$M$6:$M$12)," ")</f>
        <v xml:space="preserve"> </v>
      </c>
      <c r="R483" s="28"/>
      <c r="S483" s="28"/>
      <c r="T483" s="255" t="str">
        <f>IF(R483="","",(_xlfn.XLOOKUP(R483,Cadastros!$D$6:$D$90,Cadastros!$E$6:$E$90))*(1-_xlfn.XLOOKUP(_xlfn.XLOOKUP($F483,Clientes!$B$4:$B$39,Clientes!$C$4:$C$39),Cadastros!$L$6:$L$12,Cadastros!$N$6:$N$12)))</f>
        <v/>
      </c>
      <c r="U483" s="168" t="str">
        <f t="shared" si="94"/>
        <v/>
      </c>
      <c r="V483" s="168" t="str">
        <f>IFERROR(U483/_xlfn.XLOOKUP(_xlfn.XLOOKUP($F483,Clientes!$B$4:$B$39,Clientes!$C$4:$C$39),Cadastros!$L$6:$L$12,Cadastros!$M$6:$M$12)," ")</f>
        <v xml:space="preserve"> </v>
      </c>
      <c r="W483" s="28"/>
      <c r="X483" s="28"/>
      <c r="Y483" s="255" t="str">
        <f>IF(W483="","",(_xlfn.XLOOKUP(W483,Cadastros!$D$6:$D$90,Cadastros!$E$6:$E$90))*(1-_xlfn.XLOOKUP(_xlfn.XLOOKUP($F483,Clientes!$B$4:$B$39,Clientes!$C$4:$C$39),Cadastros!$L$6:$L$12,Cadastros!$N$6:$N$12)))</f>
        <v/>
      </c>
      <c r="Z483" s="168" t="str">
        <f t="shared" si="95"/>
        <v/>
      </c>
      <c r="AA483" s="168" t="str">
        <f>IFERROR(Z483/_xlfn.XLOOKUP(_xlfn.XLOOKUP($F483,Clientes!$B$4:$B$39,Clientes!$C$4:$C$39),Cadastros!$L$6:$L$12,Cadastros!$M$6:$M$12)," ")</f>
        <v xml:space="preserve"> </v>
      </c>
      <c r="AB483" s="28"/>
      <c r="AC483" s="28"/>
      <c r="AD483" s="20" t="str">
        <f>IF(AB483="","",IF($F483="Bernardino Furlan",_xlfn.XLOOKUP(AB483,Cadastros!$G$6:$G$90,Cadastros!$H$6:$H$90)*(1-0.18),IF($F483="Mauro José Salanti",_xlfn.XLOOKUP(AB483,Cadastros!$G$6:$G$90,Cadastros!$H$6:$H$90)*(1-0.18),_xlfn.XLOOKUP(AB483,Cadastros!$G$6:$G$90,Cadastros!$H$6:$H$90))))</f>
        <v/>
      </c>
      <c r="AE483" s="168" t="str">
        <f t="shared" si="96"/>
        <v/>
      </c>
      <c r="AF483" s="168" t="str">
        <f t="shared" si="97"/>
        <v/>
      </c>
      <c r="AG483" s="28"/>
      <c r="AH483" s="28"/>
      <c r="AI483" s="20" t="str">
        <f>IF(AG483="","",IF($F483="Bernardino Furlan",_xlfn.XLOOKUP(AG483,Cadastros!$G$6:$G$90,Cadastros!$H$6:$H$90)*(1-0.18),IF($F483="Mauro José Salanti",_xlfn.XLOOKUP(AG483,Cadastros!$G$6:$G$90,Cadastros!$H$6:$H$90)*(1-0.18),_xlfn.XLOOKUP(AG483,Cadastros!$G$6:$G$90,Cadastros!$H$6:$H$90))))</f>
        <v/>
      </c>
      <c r="AJ483" s="168" t="str">
        <f t="shared" si="98"/>
        <v/>
      </c>
      <c r="AK483" s="168" t="str">
        <f t="shared" si="99"/>
        <v/>
      </c>
      <c r="AL483" s="28"/>
      <c r="AM483" s="28"/>
      <c r="AN483" s="20" t="str">
        <f>IF(AL483="","",IF($F483="Bernardino Furlan",_xlfn.XLOOKUP(AL483,Cadastros!$G$6:$G$90,Cadastros!$H$6:$H$90)*(1-0.18),IF($F483="Mauro José Salanti",_xlfn.XLOOKUP(AL483,Cadastros!$G$6:$G$90,Cadastros!$H$6:$H$90)*(1-0.18),_xlfn.XLOOKUP(AL483,Cadastros!$G$6:$G$90,Cadastros!$H$6:$H$90))))</f>
        <v/>
      </c>
      <c r="AO483" s="168" t="str">
        <f t="shared" si="100"/>
        <v/>
      </c>
      <c r="AP483" s="168" t="str">
        <f t="shared" si="101"/>
        <v/>
      </c>
      <c r="AQ483" s="28"/>
      <c r="AR483" s="28"/>
      <c r="AS483" s="20" t="str">
        <f>IF(AQ483="","",IF($F483="Bernardino Furlan",_xlfn.XLOOKUP(AQ483,Cadastros!$G$6:$G$90,Cadastros!$H$6:$H$90)*(1-0.18),IF($F483="Mauro José Salanti",_xlfn.XLOOKUP(AQ483,Cadastros!$G$6:$G$90,Cadastros!$H$6:$H$90)*(1-0.18),_xlfn.XLOOKUP(AQ483,Cadastros!$G$6:$G$90,Cadastros!$H$6:$H$90))))</f>
        <v/>
      </c>
      <c r="AT483" s="168" t="str">
        <f t="shared" si="102"/>
        <v/>
      </c>
      <c r="AU483" s="168" t="str">
        <f t="shared" si="103"/>
        <v/>
      </c>
      <c r="AV483" s="227"/>
      <c r="AW483" s="30"/>
      <c r="AX483" s="267"/>
      <c r="AY483" s="267"/>
      <c r="AZ483" s="29"/>
      <c r="BA483" s="30"/>
      <c r="BB483" s="23" t="str" cm="1">
        <f t="array" ref="BB483">_xlfn.IFS(AW483="SIM",SUM(K483,P483,U483,Z483,AE483,AJ483,AO483,AT483,AX483,AY483),F483&lt;&gt;"",SUM(K483,P483,U483,Z483,AE483,AJ483,,AO483,AT483),F483="","")</f>
        <v/>
      </c>
      <c r="BC483" s="211" t="str" cm="1">
        <f t="array" ref="BC483">_xlfn.IFS(E483="","",G483&lt;=E483,BB483*(1-0.03),G483&lt;(E483+8),BB483,AZ483="Boleto",BB483*(1+0.001)^DATEDIF(E483,G483,"D"),AZ483="Cheque",BB483,AZ483="Dinheiro","Alterar forma pgto")</f>
        <v/>
      </c>
      <c r="BD483" s="276" t="str" cm="1">
        <f t="array" ref="BD483">IF(F483=0," ",IF(BC483&lt;BB483,(_xlfn.IFS(AW483="SIM",SUM(L483,Q483,V483,AA483,AF483,AK483,AP483,AU483)+AX483/_xlfn.XLOOKUP(_xlfn.XLOOKUP($F483,Clientes!$B$4:$B$39,Clientes!$C$4:$C$39),Cadastros!$L$6:$L$12,Cadastros!$M$6:$M$12)+IF($F483="Bernardino Furlan",AY483/2751.92,IF($F483="Mauro José Salanti",AY483/2751.92,AY483/3356)),F483&lt;&gt;0,SUM(L483,Q483,V483,AA483,AF483,AK483,AP483,AU483)))*(1-0.03),_xlfn.IFS(AW483="SIM",SUM(L483,Q483,V483,AA483,AF483,AK483,AP483,AU483)+AX483/_xlfn.XLOOKUP(_xlfn.XLOOKUP($F483,Clientes!$B$4:$B$39,Clientes!$C$4:$C$39),Cadastros!$L$6:$L$12,Cadastros!$M$6:$M$12)+IF($F483="Bernardino Furlan",AY483/2751.92,IF($F483="Mauro José Salanti",AY483/2751.92,AY483/3356)),F483&lt;&gt;0,SUM(L483,Q483,V483,AA483,AF483,AK483,AP483,AU483))))</f>
        <v xml:space="preserve"> </v>
      </c>
      <c r="BE483" s="120"/>
      <c r="BF483" s="120"/>
      <c r="BG483" s="120"/>
    </row>
    <row r="484" spans="1:59" s="3" customFormat="1" x14ac:dyDescent="0.3">
      <c r="A484" s="15" t="str">
        <f t="shared" si="91"/>
        <v/>
      </c>
      <c r="B484" s="25"/>
      <c r="C484" s="26"/>
      <c r="D484" s="279"/>
      <c r="E484" s="27"/>
      <c r="F484" s="28"/>
      <c r="G484" s="27"/>
      <c r="H484" s="28"/>
      <c r="I484" s="28"/>
      <c r="J484" s="255" t="str">
        <f>IF(H484="","",(_xlfn.XLOOKUP(H484,Cadastros!$D$6:$D$90,Cadastros!$E$6:$E$90))*(1-_xlfn.XLOOKUP(_xlfn.XLOOKUP($F484,Clientes!$B$4:$B$39,Clientes!$C$4:$C$39),Cadastros!$L$6:$L$12,Cadastros!$N$6:$N$12)))</f>
        <v/>
      </c>
      <c r="K484" s="168" t="str">
        <f t="shared" si="92"/>
        <v/>
      </c>
      <c r="L484" s="168" t="str">
        <f>IFERROR(K484/_xlfn.XLOOKUP(_xlfn.XLOOKUP($F484,Clientes!$B$4:$B$39,Clientes!$C$4:$C$39),Cadastros!$L$6:$L$12,Cadastros!$M$6:$M$12)," ")</f>
        <v xml:space="preserve"> </v>
      </c>
      <c r="M484" s="28"/>
      <c r="N484" s="28"/>
      <c r="O484" s="255" t="str">
        <f>IF(M484="","",(_xlfn.XLOOKUP(M484,Cadastros!$D$6:$D$90,Cadastros!$E$6:$E$90))*(1-_xlfn.XLOOKUP(_xlfn.XLOOKUP($F484,Clientes!$B$4:$B$39,Clientes!$C$4:$C$39),Cadastros!$L$6:$L$12,Cadastros!$N$6:$N$12)))</f>
        <v/>
      </c>
      <c r="P484" s="168" t="str">
        <f t="shared" si="93"/>
        <v/>
      </c>
      <c r="Q484" s="168" t="str">
        <f>IFERROR(P484/_xlfn.XLOOKUP(_xlfn.XLOOKUP($F484,Clientes!$B$4:$B$39,Clientes!$C$4:$C$39),Cadastros!$L$6:$L$12,Cadastros!$M$6:$M$12)," ")</f>
        <v xml:space="preserve"> </v>
      </c>
      <c r="R484" s="28"/>
      <c r="S484" s="28"/>
      <c r="T484" s="255" t="str">
        <f>IF(R484="","",(_xlfn.XLOOKUP(R484,Cadastros!$D$6:$D$90,Cadastros!$E$6:$E$90))*(1-_xlfn.XLOOKUP(_xlfn.XLOOKUP($F484,Clientes!$B$4:$B$39,Clientes!$C$4:$C$39),Cadastros!$L$6:$L$12,Cadastros!$N$6:$N$12)))</f>
        <v/>
      </c>
      <c r="U484" s="168" t="str">
        <f t="shared" si="94"/>
        <v/>
      </c>
      <c r="V484" s="168" t="str">
        <f>IFERROR(U484/_xlfn.XLOOKUP(_xlfn.XLOOKUP($F484,Clientes!$B$4:$B$39,Clientes!$C$4:$C$39),Cadastros!$L$6:$L$12,Cadastros!$M$6:$M$12)," ")</f>
        <v xml:space="preserve"> </v>
      </c>
      <c r="W484" s="28"/>
      <c r="X484" s="28"/>
      <c r="Y484" s="255" t="str">
        <f>IF(W484="","",(_xlfn.XLOOKUP(W484,Cadastros!$D$6:$D$90,Cadastros!$E$6:$E$90))*(1-_xlfn.XLOOKUP(_xlfn.XLOOKUP($F484,Clientes!$B$4:$B$39,Clientes!$C$4:$C$39),Cadastros!$L$6:$L$12,Cadastros!$N$6:$N$12)))</f>
        <v/>
      </c>
      <c r="Z484" s="168" t="str">
        <f t="shared" si="95"/>
        <v/>
      </c>
      <c r="AA484" s="168" t="str">
        <f>IFERROR(Z484/_xlfn.XLOOKUP(_xlfn.XLOOKUP($F484,Clientes!$B$4:$B$39,Clientes!$C$4:$C$39),Cadastros!$L$6:$L$12,Cadastros!$M$6:$M$12)," ")</f>
        <v xml:space="preserve"> </v>
      </c>
      <c r="AB484" s="28"/>
      <c r="AC484" s="28"/>
      <c r="AD484" s="20" t="str">
        <f>IF(AB484="","",IF($F484="Bernardino Furlan",_xlfn.XLOOKUP(AB484,Cadastros!$G$6:$G$90,Cadastros!$H$6:$H$90)*(1-0.18),IF($F484="Mauro José Salanti",_xlfn.XLOOKUP(AB484,Cadastros!$G$6:$G$90,Cadastros!$H$6:$H$90)*(1-0.18),_xlfn.XLOOKUP(AB484,Cadastros!$G$6:$G$90,Cadastros!$H$6:$H$90))))</f>
        <v/>
      </c>
      <c r="AE484" s="168" t="str">
        <f t="shared" si="96"/>
        <v/>
      </c>
      <c r="AF484" s="168" t="str">
        <f t="shared" si="97"/>
        <v/>
      </c>
      <c r="AG484" s="28"/>
      <c r="AH484" s="28"/>
      <c r="AI484" s="20" t="str">
        <f>IF(AG484="","",IF($F484="Bernardino Furlan",_xlfn.XLOOKUP(AG484,Cadastros!$G$6:$G$90,Cadastros!$H$6:$H$90)*(1-0.18),IF($F484="Mauro José Salanti",_xlfn.XLOOKUP(AG484,Cadastros!$G$6:$G$90,Cadastros!$H$6:$H$90)*(1-0.18),_xlfn.XLOOKUP(AG484,Cadastros!$G$6:$G$90,Cadastros!$H$6:$H$90))))</f>
        <v/>
      </c>
      <c r="AJ484" s="168" t="str">
        <f t="shared" si="98"/>
        <v/>
      </c>
      <c r="AK484" s="168" t="str">
        <f t="shared" si="99"/>
        <v/>
      </c>
      <c r="AL484" s="28"/>
      <c r="AM484" s="28"/>
      <c r="AN484" s="20" t="str">
        <f>IF(AL484="","",IF($F484="Bernardino Furlan",_xlfn.XLOOKUP(AL484,Cadastros!$G$6:$G$90,Cadastros!$H$6:$H$90)*(1-0.18),IF($F484="Mauro José Salanti",_xlfn.XLOOKUP(AL484,Cadastros!$G$6:$G$90,Cadastros!$H$6:$H$90)*(1-0.18),_xlfn.XLOOKUP(AL484,Cadastros!$G$6:$G$90,Cadastros!$H$6:$H$90))))</f>
        <v/>
      </c>
      <c r="AO484" s="168" t="str">
        <f t="shared" si="100"/>
        <v/>
      </c>
      <c r="AP484" s="168" t="str">
        <f t="shared" si="101"/>
        <v/>
      </c>
      <c r="AQ484" s="28"/>
      <c r="AR484" s="28"/>
      <c r="AS484" s="20" t="str">
        <f>IF(AQ484="","",IF($F484="Bernardino Furlan",_xlfn.XLOOKUP(AQ484,Cadastros!$G$6:$G$90,Cadastros!$H$6:$H$90)*(1-0.18),IF($F484="Mauro José Salanti",_xlfn.XLOOKUP(AQ484,Cadastros!$G$6:$G$90,Cadastros!$H$6:$H$90)*(1-0.18),_xlfn.XLOOKUP(AQ484,Cadastros!$G$6:$G$90,Cadastros!$H$6:$H$90))))</f>
        <v/>
      </c>
      <c r="AT484" s="168" t="str">
        <f t="shared" si="102"/>
        <v/>
      </c>
      <c r="AU484" s="168" t="str">
        <f t="shared" si="103"/>
        <v/>
      </c>
      <c r="AV484" s="227"/>
      <c r="AW484" s="30"/>
      <c r="AX484" s="267"/>
      <c r="AY484" s="267"/>
      <c r="AZ484" s="29"/>
      <c r="BA484" s="30"/>
      <c r="BB484" s="23" t="str" cm="1">
        <f t="array" ref="BB484">_xlfn.IFS(AW484="SIM",SUM(K484,P484,U484,Z484,AE484,AJ484,AO484,AT484,AX484,AY484),F484&lt;&gt;"",SUM(K484,P484,U484,Z484,AE484,AJ484,,AO484,AT484),F484="","")</f>
        <v/>
      </c>
      <c r="BC484" s="211" t="str" cm="1">
        <f t="array" ref="BC484">_xlfn.IFS(E484="","",G484&lt;=E484,BB484*(1-0.03),G484&lt;(E484+8),BB484,AZ484="Boleto",BB484*(1+0.001)^DATEDIF(E484,G484,"D"),AZ484="Cheque",BB484,AZ484="Dinheiro","Alterar forma pgto")</f>
        <v/>
      </c>
      <c r="BD484" s="276" t="str" cm="1">
        <f t="array" ref="BD484">IF(F484=0," ",IF(BC484&lt;BB484,(_xlfn.IFS(AW484="SIM",SUM(L484,Q484,V484,AA484,AF484,AK484,AP484,AU484)+AX484/_xlfn.XLOOKUP(_xlfn.XLOOKUP($F484,Clientes!$B$4:$B$39,Clientes!$C$4:$C$39),Cadastros!$L$6:$L$12,Cadastros!$M$6:$M$12)+IF($F484="Bernardino Furlan",AY484/2751.92,IF($F484="Mauro José Salanti",AY484/2751.92,AY484/3356)),F484&lt;&gt;0,SUM(L484,Q484,V484,AA484,AF484,AK484,AP484,AU484)))*(1-0.03),_xlfn.IFS(AW484="SIM",SUM(L484,Q484,V484,AA484,AF484,AK484,AP484,AU484)+AX484/_xlfn.XLOOKUP(_xlfn.XLOOKUP($F484,Clientes!$B$4:$B$39,Clientes!$C$4:$C$39),Cadastros!$L$6:$L$12,Cadastros!$M$6:$M$12)+IF($F484="Bernardino Furlan",AY484/2751.92,IF($F484="Mauro José Salanti",AY484/2751.92,AY484/3356)),F484&lt;&gt;0,SUM(L484,Q484,V484,AA484,AF484,AK484,AP484,AU484))))</f>
        <v xml:space="preserve"> </v>
      </c>
      <c r="BE484" s="120"/>
      <c r="BF484" s="120"/>
      <c r="BG484" s="120"/>
    </row>
    <row r="485" spans="1:59" s="3" customFormat="1" x14ac:dyDescent="0.3">
      <c r="A485" s="15" t="str">
        <f t="shared" si="91"/>
        <v/>
      </c>
      <c r="B485" s="25"/>
      <c r="C485" s="26"/>
      <c r="D485" s="279"/>
      <c r="E485" s="27"/>
      <c r="F485" s="28"/>
      <c r="G485" s="27"/>
      <c r="H485" s="28"/>
      <c r="I485" s="28"/>
      <c r="J485" s="255" t="str">
        <f>IF(H485="","",(_xlfn.XLOOKUP(H485,Cadastros!$D$6:$D$90,Cadastros!$E$6:$E$90))*(1-_xlfn.XLOOKUP(_xlfn.XLOOKUP($F485,Clientes!$B$4:$B$39,Clientes!$C$4:$C$39),Cadastros!$L$6:$L$12,Cadastros!$N$6:$N$12)))</f>
        <v/>
      </c>
      <c r="K485" s="168" t="str">
        <f t="shared" si="92"/>
        <v/>
      </c>
      <c r="L485" s="168" t="str">
        <f>IFERROR(K485/_xlfn.XLOOKUP(_xlfn.XLOOKUP($F485,Clientes!$B$4:$B$39,Clientes!$C$4:$C$39),Cadastros!$L$6:$L$12,Cadastros!$M$6:$M$12)," ")</f>
        <v xml:space="preserve"> </v>
      </c>
      <c r="M485" s="28"/>
      <c r="N485" s="28"/>
      <c r="O485" s="255" t="str">
        <f>IF(M485="","",(_xlfn.XLOOKUP(M485,Cadastros!$D$6:$D$90,Cadastros!$E$6:$E$90))*(1-_xlfn.XLOOKUP(_xlfn.XLOOKUP($F485,Clientes!$B$4:$B$39,Clientes!$C$4:$C$39),Cadastros!$L$6:$L$12,Cadastros!$N$6:$N$12)))</f>
        <v/>
      </c>
      <c r="P485" s="168" t="str">
        <f t="shared" si="93"/>
        <v/>
      </c>
      <c r="Q485" s="168" t="str">
        <f>IFERROR(P485/_xlfn.XLOOKUP(_xlfn.XLOOKUP($F485,Clientes!$B$4:$B$39,Clientes!$C$4:$C$39),Cadastros!$L$6:$L$12,Cadastros!$M$6:$M$12)," ")</f>
        <v xml:space="preserve"> </v>
      </c>
      <c r="R485" s="28"/>
      <c r="S485" s="28"/>
      <c r="T485" s="255" t="str">
        <f>IF(R485="","",(_xlfn.XLOOKUP(R485,Cadastros!$D$6:$D$90,Cadastros!$E$6:$E$90))*(1-_xlfn.XLOOKUP(_xlfn.XLOOKUP($F485,Clientes!$B$4:$B$39,Clientes!$C$4:$C$39),Cadastros!$L$6:$L$12,Cadastros!$N$6:$N$12)))</f>
        <v/>
      </c>
      <c r="U485" s="168" t="str">
        <f t="shared" si="94"/>
        <v/>
      </c>
      <c r="V485" s="168" t="str">
        <f>IFERROR(U485/_xlfn.XLOOKUP(_xlfn.XLOOKUP($F485,Clientes!$B$4:$B$39,Clientes!$C$4:$C$39),Cadastros!$L$6:$L$12,Cadastros!$M$6:$M$12)," ")</f>
        <v xml:space="preserve"> </v>
      </c>
      <c r="W485" s="28"/>
      <c r="X485" s="28"/>
      <c r="Y485" s="255" t="str">
        <f>IF(W485="","",(_xlfn.XLOOKUP(W485,Cadastros!$D$6:$D$90,Cadastros!$E$6:$E$90))*(1-_xlfn.XLOOKUP(_xlfn.XLOOKUP($F485,Clientes!$B$4:$B$39,Clientes!$C$4:$C$39),Cadastros!$L$6:$L$12,Cadastros!$N$6:$N$12)))</f>
        <v/>
      </c>
      <c r="Z485" s="168" t="str">
        <f t="shared" si="95"/>
        <v/>
      </c>
      <c r="AA485" s="168" t="str">
        <f>IFERROR(Z485/_xlfn.XLOOKUP(_xlfn.XLOOKUP($F485,Clientes!$B$4:$B$39,Clientes!$C$4:$C$39),Cadastros!$L$6:$L$12,Cadastros!$M$6:$M$12)," ")</f>
        <v xml:space="preserve"> </v>
      </c>
      <c r="AB485" s="28"/>
      <c r="AC485" s="28"/>
      <c r="AD485" s="20" t="str">
        <f>IF(AB485="","",IF($F485="Bernardino Furlan",_xlfn.XLOOKUP(AB485,Cadastros!$G$6:$G$90,Cadastros!$H$6:$H$90)*(1-0.18),IF($F485="Mauro José Salanti",_xlfn.XLOOKUP(AB485,Cadastros!$G$6:$G$90,Cadastros!$H$6:$H$90)*(1-0.18),_xlfn.XLOOKUP(AB485,Cadastros!$G$6:$G$90,Cadastros!$H$6:$H$90))))</f>
        <v/>
      </c>
      <c r="AE485" s="168" t="str">
        <f t="shared" si="96"/>
        <v/>
      </c>
      <c r="AF485" s="168" t="str">
        <f t="shared" si="97"/>
        <v/>
      </c>
      <c r="AG485" s="28"/>
      <c r="AH485" s="28"/>
      <c r="AI485" s="20" t="str">
        <f>IF(AG485="","",IF($F485="Bernardino Furlan",_xlfn.XLOOKUP(AG485,Cadastros!$G$6:$G$90,Cadastros!$H$6:$H$90)*(1-0.18),IF($F485="Mauro José Salanti",_xlfn.XLOOKUP(AG485,Cadastros!$G$6:$G$90,Cadastros!$H$6:$H$90)*(1-0.18),_xlfn.XLOOKUP(AG485,Cadastros!$G$6:$G$90,Cadastros!$H$6:$H$90))))</f>
        <v/>
      </c>
      <c r="AJ485" s="168" t="str">
        <f t="shared" si="98"/>
        <v/>
      </c>
      <c r="AK485" s="168" t="str">
        <f t="shared" si="99"/>
        <v/>
      </c>
      <c r="AL485" s="28"/>
      <c r="AM485" s="28"/>
      <c r="AN485" s="20" t="str">
        <f>IF(AL485="","",IF($F485="Bernardino Furlan",_xlfn.XLOOKUP(AL485,Cadastros!$G$6:$G$90,Cadastros!$H$6:$H$90)*(1-0.18),IF($F485="Mauro José Salanti",_xlfn.XLOOKUP(AL485,Cadastros!$G$6:$G$90,Cadastros!$H$6:$H$90)*(1-0.18),_xlfn.XLOOKUP(AL485,Cadastros!$G$6:$G$90,Cadastros!$H$6:$H$90))))</f>
        <v/>
      </c>
      <c r="AO485" s="168" t="str">
        <f t="shared" si="100"/>
        <v/>
      </c>
      <c r="AP485" s="168" t="str">
        <f t="shared" si="101"/>
        <v/>
      </c>
      <c r="AQ485" s="28"/>
      <c r="AR485" s="28"/>
      <c r="AS485" s="20" t="str">
        <f>IF(AQ485="","",IF($F485="Bernardino Furlan",_xlfn.XLOOKUP(AQ485,Cadastros!$G$6:$G$90,Cadastros!$H$6:$H$90)*(1-0.18),IF($F485="Mauro José Salanti",_xlfn.XLOOKUP(AQ485,Cadastros!$G$6:$G$90,Cadastros!$H$6:$H$90)*(1-0.18),_xlfn.XLOOKUP(AQ485,Cadastros!$G$6:$G$90,Cadastros!$H$6:$H$90))))</f>
        <v/>
      </c>
      <c r="AT485" s="168" t="str">
        <f t="shared" si="102"/>
        <v/>
      </c>
      <c r="AU485" s="168" t="str">
        <f t="shared" si="103"/>
        <v/>
      </c>
      <c r="AV485" s="227"/>
      <c r="AW485" s="30"/>
      <c r="AX485" s="267"/>
      <c r="AY485" s="267"/>
      <c r="AZ485" s="29"/>
      <c r="BA485" s="30"/>
      <c r="BB485" s="23" t="str" cm="1">
        <f t="array" ref="BB485">_xlfn.IFS(AW485="SIM",SUM(K485,P485,U485,Z485,AE485,AJ485,AO485,AT485,AX485,AY485),F485&lt;&gt;"",SUM(K485,P485,U485,Z485,AE485,AJ485,,AO485,AT485),F485="","")</f>
        <v/>
      </c>
      <c r="BC485" s="211" t="str" cm="1">
        <f t="array" ref="BC485">_xlfn.IFS(E485="","",G485&lt;=E485,BB485*(1-0.03),G485&lt;(E485+8),BB485,AZ485="Boleto",BB485*(1+0.001)^DATEDIF(E485,G485,"D"),AZ485="Cheque",BB485,AZ485="Dinheiro","Alterar forma pgto")</f>
        <v/>
      </c>
      <c r="BD485" s="276" t="str" cm="1">
        <f t="array" ref="BD485">IF(F485=0," ",IF(BC485&lt;BB485,(_xlfn.IFS(AW485="SIM",SUM(L485,Q485,V485,AA485,AF485,AK485,AP485,AU485)+AX485/_xlfn.XLOOKUP(_xlfn.XLOOKUP($F485,Clientes!$B$4:$B$39,Clientes!$C$4:$C$39),Cadastros!$L$6:$L$12,Cadastros!$M$6:$M$12)+IF($F485="Bernardino Furlan",AY485/2751.92,IF($F485="Mauro José Salanti",AY485/2751.92,AY485/3356)),F485&lt;&gt;0,SUM(L485,Q485,V485,AA485,AF485,AK485,AP485,AU485)))*(1-0.03),_xlfn.IFS(AW485="SIM",SUM(L485,Q485,V485,AA485,AF485,AK485,AP485,AU485)+AX485/_xlfn.XLOOKUP(_xlfn.XLOOKUP($F485,Clientes!$B$4:$B$39,Clientes!$C$4:$C$39),Cadastros!$L$6:$L$12,Cadastros!$M$6:$M$12)+IF($F485="Bernardino Furlan",AY485/2751.92,IF($F485="Mauro José Salanti",AY485/2751.92,AY485/3356)),F485&lt;&gt;0,SUM(L485,Q485,V485,AA485,AF485,AK485,AP485,AU485))))</f>
        <v xml:space="preserve"> </v>
      </c>
      <c r="BE485" s="120"/>
      <c r="BF485" s="120"/>
      <c r="BG485" s="120"/>
    </row>
    <row r="486" spans="1:59" s="3" customFormat="1" x14ac:dyDescent="0.3">
      <c r="A486" s="15" t="str">
        <f t="shared" si="91"/>
        <v/>
      </c>
      <c r="B486" s="25"/>
      <c r="C486" s="26"/>
      <c r="D486" s="279"/>
      <c r="E486" s="27"/>
      <c r="F486" s="28"/>
      <c r="G486" s="27"/>
      <c r="H486" s="28"/>
      <c r="I486" s="28"/>
      <c r="J486" s="255" t="str">
        <f>IF(H486="","",(_xlfn.XLOOKUP(H486,Cadastros!$D$6:$D$90,Cadastros!$E$6:$E$90))*(1-_xlfn.XLOOKUP(_xlfn.XLOOKUP($F486,Clientes!$B$4:$B$39,Clientes!$C$4:$C$39),Cadastros!$L$6:$L$12,Cadastros!$N$6:$N$12)))</f>
        <v/>
      </c>
      <c r="K486" s="168" t="str">
        <f t="shared" si="92"/>
        <v/>
      </c>
      <c r="L486" s="168" t="str">
        <f>IFERROR(K486/_xlfn.XLOOKUP(_xlfn.XLOOKUP($F486,Clientes!$B$4:$B$39,Clientes!$C$4:$C$39),Cadastros!$L$6:$L$12,Cadastros!$M$6:$M$12)," ")</f>
        <v xml:space="preserve"> </v>
      </c>
      <c r="M486" s="28"/>
      <c r="N486" s="28"/>
      <c r="O486" s="255" t="str">
        <f>IF(M486="","",(_xlfn.XLOOKUP(M486,Cadastros!$D$6:$D$90,Cadastros!$E$6:$E$90))*(1-_xlfn.XLOOKUP(_xlfn.XLOOKUP($F486,Clientes!$B$4:$B$39,Clientes!$C$4:$C$39),Cadastros!$L$6:$L$12,Cadastros!$N$6:$N$12)))</f>
        <v/>
      </c>
      <c r="P486" s="168" t="str">
        <f t="shared" si="93"/>
        <v/>
      </c>
      <c r="Q486" s="168" t="str">
        <f>IFERROR(P486/_xlfn.XLOOKUP(_xlfn.XLOOKUP($F486,Clientes!$B$4:$B$39,Clientes!$C$4:$C$39),Cadastros!$L$6:$L$12,Cadastros!$M$6:$M$12)," ")</f>
        <v xml:space="preserve"> </v>
      </c>
      <c r="R486" s="28"/>
      <c r="S486" s="28"/>
      <c r="T486" s="255" t="str">
        <f>IF(R486="","",(_xlfn.XLOOKUP(R486,Cadastros!$D$6:$D$90,Cadastros!$E$6:$E$90))*(1-_xlfn.XLOOKUP(_xlfn.XLOOKUP($F486,Clientes!$B$4:$B$39,Clientes!$C$4:$C$39),Cadastros!$L$6:$L$12,Cadastros!$N$6:$N$12)))</f>
        <v/>
      </c>
      <c r="U486" s="168" t="str">
        <f t="shared" si="94"/>
        <v/>
      </c>
      <c r="V486" s="168" t="str">
        <f>IFERROR(U486/_xlfn.XLOOKUP(_xlfn.XLOOKUP($F486,Clientes!$B$4:$B$39,Clientes!$C$4:$C$39),Cadastros!$L$6:$L$12,Cadastros!$M$6:$M$12)," ")</f>
        <v xml:space="preserve"> </v>
      </c>
      <c r="W486" s="28"/>
      <c r="X486" s="28"/>
      <c r="Y486" s="255" t="str">
        <f>IF(W486="","",(_xlfn.XLOOKUP(W486,Cadastros!$D$6:$D$90,Cadastros!$E$6:$E$90))*(1-_xlfn.XLOOKUP(_xlfn.XLOOKUP($F486,Clientes!$B$4:$B$39,Clientes!$C$4:$C$39),Cadastros!$L$6:$L$12,Cadastros!$N$6:$N$12)))</f>
        <v/>
      </c>
      <c r="Z486" s="168" t="str">
        <f t="shared" si="95"/>
        <v/>
      </c>
      <c r="AA486" s="168" t="str">
        <f>IFERROR(Z486/_xlfn.XLOOKUP(_xlfn.XLOOKUP($F486,Clientes!$B$4:$B$39,Clientes!$C$4:$C$39),Cadastros!$L$6:$L$12,Cadastros!$M$6:$M$12)," ")</f>
        <v xml:space="preserve"> </v>
      </c>
      <c r="AB486" s="28"/>
      <c r="AC486" s="28"/>
      <c r="AD486" s="20" t="str">
        <f>IF(AB486="","",IF($F486="Bernardino Furlan",_xlfn.XLOOKUP(AB486,Cadastros!$G$6:$G$90,Cadastros!$H$6:$H$90)*(1-0.18),IF($F486="Mauro José Salanti",_xlfn.XLOOKUP(AB486,Cadastros!$G$6:$G$90,Cadastros!$H$6:$H$90)*(1-0.18),_xlfn.XLOOKUP(AB486,Cadastros!$G$6:$G$90,Cadastros!$H$6:$H$90))))</f>
        <v/>
      </c>
      <c r="AE486" s="168" t="str">
        <f t="shared" si="96"/>
        <v/>
      </c>
      <c r="AF486" s="168" t="str">
        <f t="shared" si="97"/>
        <v/>
      </c>
      <c r="AG486" s="28"/>
      <c r="AH486" s="28"/>
      <c r="AI486" s="20" t="str">
        <f>IF(AG486="","",IF($F486="Bernardino Furlan",_xlfn.XLOOKUP(AG486,Cadastros!$G$6:$G$90,Cadastros!$H$6:$H$90)*(1-0.18),IF($F486="Mauro José Salanti",_xlfn.XLOOKUP(AG486,Cadastros!$G$6:$G$90,Cadastros!$H$6:$H$90)*(1-0.18),_xlfn.XLOOKUP(AG486,Cadastros!$G$6:$G$90,Cadastros!$H$6:$H$90))))</f>
        <v/>
      </c>
      <c r="AJ486" s="168" t="str">
        <f t="shared" si="98"/>
        <v/>
      </c>
      <c r="AK486" s="168" t="str">
        <f t="shared" si="99"/>
        <v/>
      </c>
      <c r="AL486" s="28"/>
      <c r="AM486" s="28"/>
      <c r="AN486" s="20" t="str">
        <f>IF(AL486="","",IF($F486="Bernardino Furlan",_xlfn.XLOOKUP(AL486,Cadastros!$G$6:$G$90,Cadastros!$H$6:$H$90)*(1-0.18),IF($F486="Mauro José Salanti",_xlfn.XLOOKUP(AL486,Cadastros!$G$6:$G$90,Cadastros!$H$6:$H$90)*(1-0.18),_xlfn.XLOOKUP(AL486,Cadastros!$G$6:$G$90,Cadastros!$H$6:$H$90))))</f>
        <v/>
      </c>
      <c r="AO486" s="168" t="str">
        <f t="shared" si="100"/>
        <v/>
      </c>
      <c r="AP486" s="168" t="str">
        <f t="shared" si="101"/>
        <v/>
      </c>
      <c r="AQ486" s="28"/>
      <c r="AR486" s="28"/>
      <c r="AS486" s="20" t="str">
        <f>IF(AQ486="","",IF($F486="Bernardino Furlan",_xlfn.XLOOKUP(AQ486,Cadastros!$G$6:$G$90,Cadastros!$H$6:$H$90)*(1-0.18),IF($F486="Mauro José Salanti",_xlfn.XLOOKUP(AQ486,Cadastros!$G$6:$G$90,Cadastros!$H$6:$H$90)*(1-0.18),_xlfn.XLOOKUP(AQ486,Cadastros!$G$6:$G$90,Cadastros!$H$6:$H$90))))</f>
        <v/>
      </c>
      <c r="AT486" s="168" t="str">
        <f t="shared" si="102"/>
        <v/>
      </c>
      <c r="AU486" s="168" t="str">
        <f t="shared" si="103"/>
        <v/>
      </c>
      <c r="AV486" s="227"/>
      <c r="AW486" s="30"/>
      <c r="AX486" s="267"/>
      <c r="AY486" s="267"/>
      <c r="AZ486" s="29"/>
      <c r="BA486" s="30"/>
      <c r="BB486" s="23" t="str" cm="1">
        <f t="array" ref="BB486">_xlfn.IFS(AW486="SIM",SUM(K486,P486,U486,Z486,AE486,AJ486,AO486,AT486,AX486,AY486),F486&lt;&gt;"",SUM(K486,P486,U486,Z486,AE486,AJ486,,AO486,AT486),F486="","")</f>
        <v/>
      </c>
      <c r="BC486" s="211" t="str" cm="1">
        <f t="array" ref="BC486">_xlfn.IFS(E486="","",G486&lt;=E486,BB486*(1-0.03),G486&lt;(E486+8),BB486,AZ486="Boleto",BB486*(1+0.001)^DATEDIF(E486,G486,"D"),AZ486="Cheque",BB486,AZ486="Dinheiro","Alterar forma pgto")</f>
        <v/>
      </c>
      <c r="BD486" s="276" t="str" cm="1">
        <f t="array" ref="BD486">IF(F486=0," ",IF(BC486&lt;BB486,(_xlfn.IFS(AW486="SIM",SUM(L486,Q486,V486,AA486,AF486,AK486,AP486,AU486)+AX486/_xlfn.XLOOKUP(_xlfn.XLOOKUP($F486,Clientes!$B$4:$B$39,Clientes!$C$4:$C$39),Cadastros!$L$6:$L$12,Cadastros!$M$6:$M$12)+IF($F486="Bernardino Furlan",AY486/2751.92,IF($F486="Mauro José Salanti",AY486/2751.92,AY486/3356)),F486&lt;&gt;0,SUM(L486,Q486,V486,AA486,AF486,AK486,AP486,AU486)))*(1-0.03),_xlfn.IFS(AW486="SIM",SUM(L486,Q486,V486,AA486,AF486,AK486,AP486,AU486)+AX486/_xlfn.XLOOKUP(_xlfn.XLOOKUP($F486,Clientes!$B$4:$B$39,Clientes!$C$4:$C$39),Cadastros!$L$6:$L$12,Cadastros!$M$6:$M$12)+IF($F486="Bernardino Furlan",AY486/2751.92,IF($F486="Mauro José Salanti",AY486/2751.92,AY486/3356)),F486&lt;&gt;0,SUM(L486,Q486,V486,AA486,AF486,AK486,AP486,AU486))))</f>
        <v xml:space="preserve"> </v>
      </c>
      <c r="BE486" s="120"/>
      <c r="BF486" s="120"/>
      <c r="BG486" s="120"/>
    </row>
    <row r="487" spans="1:59" s="3" customFormat="1" x14ac:dyDescent="0.3">
      <c r="A487" s="15" t="str">
        <f t="shared" si="91"/>
        <v/>
      </c>
      <c r="B487" s="25"/>
      <c r="C487" s="26"/>
      <c r="D487" s="279"/>
      <c r="E487" s="27"/>
      <c r="F487" s="28"/>
      <c r="G487" s="27"/>
      <c r="H487" s="28"/>
      <c r="I487" s="28"/>
      <c r="J487" s="255" t="str">
        <f>IF(H487="","",(_xlfn.XLOOKUP(H487,Cadastros!$D$6:$D$90,Cadastros!$E$6:$E$90))*(1-_xlfn.XLOOKUP(_xlfn.XLOOKUP($F487,Clientes!$B$4:$B$39,Clientes!$C$4:$C$39),Cadastros!$L$6:$L$12,Cadastros!$N$6:$N$12)))</f>
        <v/>
      </c>
      <c r="K487" s="168" t="str">
        <f t="shared" si="92"/>
        <v/>
      </c>
      <c r="L487" s="168" t="str">
        <f>IFERROR(K487/_xlfn.XLOOKUP(_xlfn.XLOOKUP($F487,Clientes!$B$4:$B$39,Clientes!$C$4:$C$39),Cadastros!$L$6:$L$12,Cadastros!$M$6:$M$12)," ")</f>
        <v xml:space="preserve"> </v>
      </c>
      <c r="M487" s="28"/>
      <c r="N487" s="28"/>
      <c r="O487" s="255" t="str">
        <f>IF(M487="","",(_xlfn.XLOOKUP(M487,Cadastros!$D$6:$D$90,Cadastros!$E$6:$E$90))*(1-_xlfn.XLOOKUP(_xlfn.XLOOKUP($F487,Clientes!$B$4:$B$39,Clientes!$C$4:$C$39),Cadastros!$L$6:$L$12,Cadastros!$N$6:$N$12)))</f>
        <v/>
      </c>
      <c r="P487" s="168" t="str">
        <f t="shared" si="93"/>
        <v/>
      </c>
      <c r="Q487" s="168" t="str">
        <f>IFERROR(P487/_xlfn.XLOOKUP(_xlfn.XLOOKUP($F487,Clientes!$B$4:$B$39,Clientes!$C$4:$C$39),Cadastros!$L$6:$L$12,Cadastros!$M$6:$M$12)," ")</f>
        <v xml:space="preserve"> </v>
      </c>
      <c r="R487" s="28"/>
      <c r="S487" s="28"/>
      <c r="T487" s="255" t="str">
        <f>IF(R487="","",(_xlfn.XLOOKUP(R487,Cadastros!$D$6:$D$90,Cadastros!$E$6:$E$90))*(1-_xlfn.XLOOKUP(_xlfn.XLOOKUP($F487,Clientes!$B$4:$B$39,Clientes!$C$4:$C$39),Cadastros!$L$6:$L$12,Cadastros!$N$6:$N$12)))</f>
        <v/>
      </c>
      <c r="U487" s="168" t="str">
        <f t="shared" si="94"/>
        <v/>
      </c>
      <c r="V487" s="168" t="str">
        <f>IFERROR(U487/_xlfn.XLOOKUP(_xlfn.XLOOKUP($F487,Clientes!$B$4:$B$39,Clientes!$C$4:$C$39),Cadastros!$L$6:$L$12,Cadastros!$M$6:$M$12)," ")</f>
        <v xml:space="preserve"> </v>
      </c>
      <c r="W487" s="28"/>
      <c r="X487" s="28"/>
      <c r="Y487" s="255" t="str">
        <f>IF(W487="","",(_xlfn.XLOOKUP(W487,Cadastros!$D$6:$D$90,Cadastros!$E$6:$E$90))*(1-_xlfn.XLOOKUP(_xlfn.XLOOKUP($F487,Clientes!$B$4:$B$39,Clientes!$C$4:$C$39),Cadastros!$L$6:$L$12,Cadastros!$N$6:$N$12)))</f>
        <v/>
      </c>
      <c r="Z487" s="168" t="str">
        <f t="shared" si="95"/>
        <v/>
      </c>
      <c r="AA487" s="168" t="str">
        <f>IFERROR(Z487/_xlfn.XLOOKUP(_xlfn.XLOOKUP($F487,Clientes!$B$4:$B$39,Clientes!$C$4:$C$39),Cadastros!$L$6:$L$12,Cadastros!$M$6:$M$12)," ")</f>
        <v xml:space="preserve"> </v>
      </c>
      <c r="AB487" s="28"/>
      <c r="AC487" s="28"/>
      <c r="AD487" s="20" t="str">
        <f>IF(AB487="","",IF($F487="Bernardino Furlan",_xlfn.XLOOKUP(AB487,Cadastros!$G$6:$G$90,Cadastros!$H$6:$H$90)*(1-0.18),IF($F487="Mauro José Salanti",_xlfn.XLOOKUP(AB487,Cadastros!$G$6:$G$90,Cadastros!$H$6:$H$90)*(1-0.18),_xlfn.XLOOKUP(AB487,Cadastros!$G$6:$G$90,Cadastros!$H$6:$H$90))))</f>
        <v/>
      </c>
      <c r="AE487" s="168" t="str">
        <f t="shared" si="96"/>
        <v/>
      </c>
      <c r="AF487" s="168" t="str">
        <f t="shared" si="97"/>
        <v/>
      </c>
      <c r="AG487" s="28"/>
      <c r="AH487" s="28"/>
      <c r="AI487" s="20" t="str">
        <f>IF(AG487="","",IF($F487="Bernardino Furlan",_xlfn.XLOOKUP(AG487,Cadastros!$G$6:$G$90,Cadastros!$H$6:$H$90)*(1-0.18),IF($F487="Mauro José Salanti",_xlfn.XLOOKUP(AG487,Cadastros!$G$6:$G$90,Cadastros!$H$6:$H$90)*(1-0.18),_xlfn.XLOOKUP(AG487,Cadastros!$G$6:$G$90,Cadastros!$H$6:$H$90))))</f>
        <v/>
      </c>
      <c r="AJ487" s="168" t="str">
        <f t="shared" si="98"/>
        <v/>
      </c>
      <c r="AK487" s="168" t="str">
        <f t="shared" si="99"/>
        <v/>
      </c>
      <c r="AL487" s="28"/>
      <c r="AM487" s="28"/>
      <c r="AN487" s="20" t="str">
        <f>IF(AL487="","",IF($F487="Bernardino Furlan",_xlfn.XLOOKUP(AL487,Cadastros!$G$6:$G$90,Cadastros!$H$6:$H$90)*(1-0.18),IF($F487="Mauro José Salanti",_xlfn.XLOOKUP(AL487,Cadastros!$G$6:$G$90,Cadastros!$H$6:$H$90)*(1-0.18),_xlfn.XLOOKUP(AL487,Cadastros!$G$6:$G$90,Cadastros!$H$6:$H$90))))</f>
        <v/>
      </c>
      <c r="AO487" s="168" t="str">
        <f t="shared" si="100"/>
        <v/>
      </c>
      <c r="AP487" s="168" t="str">
        <f t="shared" si="101"/>
        <v/>
      </c>
      <c r="AQ487" s="28"/>
      <c r="AR487" s="28"/>
      <c r="AS487" s="20" t="str">
        <f>IF(AQ487="","",IF($F487="Bernardino Furlan",_xlfn.XLOOKUP(AQ487,Cadastros!$G$6:$G$90,Cadastros!$H$6:$H$90)*(1-0.18),IF($F487="Mauro José Salanti",_xlfn.XLOOKUP(AQ487,Cadastros!$G$6:$G$90,Cadastros!$H$6:$H$90)*(1-0.18),_xlfn.XLOOKUP(AQ487,Cadastros!$G$6:$G$90,Cadastros!$H$6:$H$90))))</f>
        <v/>
      </c>
      <c r="AT487" s="168" t="str">
        <f t="shared" si="102"/>
        <v/>
      </c>
      <c r="AU487" s="168" t="str">
        <f t="shared" si="103"/>
        <v/>
      </c>
      <c r="AV487" s="227"/>
      <c r="AW487" s="30"/>
      <c r="AX487" s="267"/>
      <c r="AY487" s="267"/>
      <c r="AZ487" s="29"/>
      <c r="BA487" s="30"/>
      <c r="BB487" s="23" t="str" cm="1">
        <f t="array" ref="BB487">_xlfn.IFS(AW487="SIM",SUM(K487,P487,U487,Z487,AE487,AJ487,AO487,AT487,AX487,AY487),F487&lt;&gt;"",SUM(K487,P487,U487,Z487,AE487,AJ487,,AO487,AT487),F487="","")</f>
        <v/>
      </c>
      <c r="BC487" s="211" t="str" cm="1">
        <f t="array" ref="BC487">_xlfn.IFS(E487="","",G487&lt;=E487,BB487*(1-0.03),G487&lt;(E487+8),BB487,AZ487="Boleto",BB487*(1+0.001)^DATEDIF(E487,G487,"D"),AZ487="Cheque",BB487,AZ487="Dinheiro","Alterar forma pgto")</f>
        <v/>
      </c>
      <c r="BD487" s="276" t="str" cm="1">
        <f t="array" ref="BD487">IF(F487=0," ",IF(BC487&lt;BB487,(_xlfn.IFS(AW487="SIM",SUM(L487,Q487,V487,AA487,AF487,AK487,AP487,AU487)+AX487/_xlfn.XLOOKUP(_xlfn.XLOOKUP($F487,Clientes!$B$4:$B$39,Clientes!$C$4:$C$39),Cadastros!$L$6:$L$12,Cadastros!$M$6:$M$12)+IF($F487="Bernardino Furlan",AY487/2751.92,IF($F487="Mauro José Salanti",AY487/2751.92,AY487/3356)),F487&lt;&gt;0,SUM(L487,Q487,V487,AA487,AF487,AK487,AP487,AU487)))*(1-0.03),_xlfn.IFS(AW487="SIM",SUM(L487,Q487,V487,AA487,AF487,AK487,AP487,AU487)+AX487/_xlfn.XLOOKUP(_xlfn.XLOOKUP($F487,Clientes!$B$4:$B$39,Clientes!$C$4:$C$39),Cadastros!$L$6:$L$12,Cadastros!$M$6:$M$12)+IF($F487="Bernardino Furlan",AY487/2751.92,IF($F487="Mauro José Salanti",AY487/2751.92,AY487/3356)),F487&lt;&gt;0,SUM(L487,Q487,V487,AA487,AF487,AK487,AP487,AU487))))</f>
        <v xml:space="preserve"> </v>
      </c>
      <c r="BE487" s="120"/>
      <c r="BF487" s="120"/>
      <c r="BG487" s="120"/>
    </row>
    <row r="488" spans="1:59" s="3" customFormat="1" x14ac:dyDescent="0.3">
      <c r="A488" s="15" t="str">
        <f t="shared" si="91"/>
        <v/>
      </c>
      <c r="B488" s="25"/>
      <c r="C488" s="26"/>
      <c r="D488" s="279"/>
      <c r="E488" s="27"/>
      <c r="F488" s="28"/>
      <c r="G488" s="27"/>
      <c r="H488" s="28"/>
      <c r="I488" s="28"/>
      <c r="J488" s="255" t="str">
        <f>IF(H488="","",(_xlfn.XLOOKUP(H488,Cadastros!$D$6:$D$90,Cadastros!$E$6:$E$90))*(1-_xlfn.XLOOKUP(_xlfn.XLOOKUP($F488,Clientes!$B$4:$B$39,Clientes!$C$4:$C$39),Cadastros!$L$6:$L$12,Cadastros!$N$6:$N$12)))</f>
        <v/>
      </c>
      <c r="K488" s="168" t="str">
        <f t="shared" si="92"/>
        <v/>
      </c>
      <c r="L488" s="168" t="str">
        <f>IFERROR(K488/_xlfn.XLOOKUP(_xlfn.XLOOKUP($F488,Clientes!$B$4:$B$39,Clientes!$C$4:$C$39),Cadastros!$L$6:$L$12,Cadastros!$M$6:$M$12)," ")</f>
        <v xml:space="preserve"> </v>
      </c>
      <c r="M488" s="28"/>
      <c r="N488" s="28"/>
      <c r="O488" s="255" t="str">
        <f>IF(M488="","",(_xlfn.XLOOKUP(M488,Cadastros!$D$6:$D$90,Cadastros!$E$6:$E$90))*(1-_xlfn.XLOOKUP(_xlfn.XLOOKUP($F488,Clientes!$B$4:$B$39,Clientes!$C$4:$C$39),Cadastros!$L$6:$L$12,Cadastros!$N$6:$N$12)))</f>
        <v/>
      </c>
      <c r="P488" s="168" t="str">
        <f t="shared" si="93"/>
        <v/>
      </c>
      <c r="Q488" s="168" t="str">
        <f>IFERROR(P488/_xlfn.XLOOKUP(_xlfn.XLOOKUP($F488,Clientes!$B$4:$B$39,Clientes!$C$4:$C$39),Cadastros!$L$6:$L$12,Cadastros!$M$6:$M$12)," ")</f>
        <v xml:space="preserve"> </v>
      </c>
      <c r="R488" s="28"/>
      <c r="S488" s="28"/>
      <c r="T488" s="255" t="str">
        <f>IF(R488="","",(_xlfn.XLOOKUP(R488,Cadastros!$D$6:$D$90,Cadastros!$E$6:$E$90))*(1-_xlfn.XLOOKUP(_xlfn.XLOOKUP($F488,Clientes!$B$4:$B$39,Clientes!$C$4:$C$39),Cadastros!$L$6:$L$12,Cadastros!$N$6:$N$12)))</f>
        <v/>
      </c>
      <c r="U488" s="168" t="str">
        <f t="shared" si="94"/>
        <v/>
      </c>
      <c r="V488" s="168" t="str">
        <f>IFERROR(U488/_xlfn.XLOOKUP(_xlfn.XLOOKUP($F488,Clientes!$B$4:$B$39,Clientes!$C$4:$C$39),Cadastros!$L$6:$L$12,Cadastros!$M$6:$M$12)," ")</f>
        <v xml:space="preserve"> </v>
      </c>
      <c r="W488" s="28"/>
      <c r="X488" s="28"/>
      <c r="Y488" s="255" t="str">
        <f>IF(W488="","",(_xlfn.XLOOKUP(W488,Cadastros!$D$6:$D$90,Cadastros!$E$6:$E$90))*(1-_xlfn.XLOOKUP(_xlfn.XLOOKUP($F488,Clientes!$B$4:$B$39,Clientes!$C$4:$C$39),Cadastros!$L$6:$L$12,Cadastros!$N$6:$N$12)))</f>
        <v/>
      </c>
      <c r="Z488" s="168" t="str">
        <f t="shared" si="95"/>
        <v/>
      </c>
      <c r="AA488" s="168" t="str">
        <f>IFERROR(Z488/_xlfn.XLOOKUP(_xlfn.XLOOKUP($F488,Clientes!$B$4:$B$39,Clientes!$C$4:$C$39),Cadastros!$L$6:$L$12,Cadastros!$M$6:$M$12)," ")</f>
        <v xml:space="preserve"> </v>
      </c>
      <c r="AB488" s="28"/>
      <c r="AC488" s="28"/>
      <c r="AD488" s="20" t="str">
        <f>IF(AB488="","",IF($F488="Bernardino Furlan",_xlfn.XLOOKUP(AB488,Cadastros!$G$6:$G$90,Cadastros!$H$6:$H$90)*(1-0.18),IF($F488="Mauro José Salanti",_xlfn.XLOOKUP(AB488,Cadastros!$G$6:$G$90,Cadastros!$H$6:$H$90)*(1-0.18),_xlfn.XLOOKUP(AB488,Cadastros!$G$6:$G$90,Cadastros!$H$6:$H$90))))</f>
        <v/>
      </c>
      <c r="AE488" s="168" t="str">
        <f t="shared" si="96"/>
        <v/>
      </c>
      <c r="AF488" s="168" t="str">
        <f t="shared" si="97"/>
        <v/>
      </c>
      <c r="AG488" s="28"/>
      <c r="AH488" s="28"/>
      <c r="AI488" s="20" t="str">
        <f>IF(AG488="","",IF($F488="Bernardino Furlan",_xlfn.XLOOKUP(AG488,Cadastros!$G$6:$G$90,Cadastros!$H$6:$H$90)*(1-0.18),IF($F488="Mauro José Salanti",_xlfn.XLOOKUP(AG488,Cadastros!$G$6:$G$90,Cadastros!$H$6:$H$90)*(1-0.18),_xlfn.XLOOKUP(AG488,Cadastros!$G$6:$G$90,Cadastros!$H$6:$H$90))))</f>
        <v/>
      </c>
      <c r="AJ488" s="168" t="str">
        <f t="shared" si="98"/>
        <v/>
      </c>
      <c r="AK488" s="168" t="str">
        <f t="shared" si="99"/>
        <v/>
      </c>
      <c r="AL488" s="28"/>
      <c r="AM488" s="28"/>
      <c r="AN488" s="20" t="str">
        <f>IF(AL488="","",IF($F488="Bernardino Furlan",_xlfn.XLOOKUP(AL488,Cadastros!$G$6:$G$90,Cadastros!$H$6:$H$90)*(1-0.18),IF($F488="Mauro José Salanti",_xlfn.XLOOKUP(AL488,Cadastros!$G$6:$G$90,Cadastros!$H$6:$H$90)*(1-0.18),_xlfn.XLOOKUP(AL488,Cadastros!$G$6:$G$90,Cadastros!$H$6:$H$90))))</f>
        <v/>
      </c>
      <c r="AO488" s="168" t="str">
        <f t="shared" si="100"/>
        <v/>
      </c>
      <c r="AP488" s="168" t="str">
        <f t="shared" si="101"/>
        <v/>
      </c>
      <c r="AQ488" s="28"/>
      <c r="AR488" s="28"/>
      <c r="AS488" s="20" t="str">
        <f>IF(AQ488="","",IF($F488="Bernardino Furlan",_xlfn.XLOOKUP(AQ488,Cadastros!$G$6:$G$90,Cadastros!$H$6:$H$90)*(1-0.18),IF($F488="Mauro José Salanti",_xlfn.XLOOKUP(AQ488,Cadastros!$G$6:$G$90,Cadastros!$H$6:$H$90)*(1-0.18),_xlfn.XLOOKUP(AQ488,Cadastros!$G$6:$G$90,Cadastros!$H$6:$H$90))))</f>
        <v/>
      </c>
      <c r="AT488" s="168" t="str">
        <f t="shared" si="102"/>
        <v/>
      </c>
      <c r="AU488" s="168" t="str">
        <f t="shared" si="103"/>
        <v/>
      </c>
      <c r="AV488" s="227"/>
      <c r="AW488" s="30"/>
      <c r="AX488" s="267"/>
      <c r="AY488" s="267"/>
      <c r="AZ488" s="29"/>
      <c r="BA488" s="30"/>
      <c r="BB488" s="23" t="str" cm="1">
        <f t="array" ref="BB488">_xlfn.IFS(AW488="SIM",SUM(K488,P488,U488,Z488,AE488,AJ488,AO488,AT488,AX488,AY488),F488&lt;&gt;"",SUM(K488,P488,U488,Z488,AE488,AJ488,,AO488,AT488),F488="","")</f>
        <v/>
      </c>
      <c r="BC488" s="211" t="str" cm="1">
        <f t="array" ref="BC488">_xlfn.IFS(E488="","",G488&lt;=E488,BB488*(1-0.03),G488&lt;(E488+8),BB488,AZ488="Boleto",BB488*(1+0.001)^DATEDIF(E488,G488,"D"),AZ488="Cheque",BB488,AZ488="Dinheiro","Alterar forma pgto")</f>
        <v/>
      </c>
      <c r="BD488" s="276" t="str" cm="1">
        <f t="array" ref="BD488">IF(F488=0," ",IF(BC488&lt;BB488,(_xlfn.IFS(AW488="SIM",SUM(L488,Q488,V488,AA488,AF488,AK488,AP488,AU488)+AX488/_xlfn.XLOOKUP(_xlfn.XLOOKUP($F488,Clientes!$B$4:$B$39,Clientes!$C$4:$C$39),Cadastros!$L$6:$L$12,Cadastros!$M$6:$M$12)+IF($F488="Bernardino Furlan",AY488/2751.92,IF($F488="Mauro José Salanti",AY488/2751.92,AY488/3356)),F488&lt;&gt;0,SUM(L488,Q488,V488,AA488,AF488,AK488,AP488,AU488)))*(1-0.03),_xlfn.IFS(AW488="SIM",SUM(L488,Q488,V488,AA488,AF488,AK488,AP488,AU488)+AX488/_xlfn.XLOOKUP(_xlfn.XLOOKUP($F488,Clientes!$B$4:$B$39,Clientes!$C$4:$C$39),Cadastros!$L$6:$L$12,Cadastros!$M$6:$M$12)+IF($F488="Bernardino Furlan",AY488/2751.92,IF($F488="Mauro José Salanti",AY488/2751.92,AY488/3356)),F488&lt;&gt;0,SUM(L488,Q488,V488,AA488,AF488,AK488,AP488,AU488))))</f>
        <v xml:space="preserve"> </v>
      </c>
      <c r="BE488" s="120"/>
      <c r="BF488" s="120"/>
      <c r="BG488" s="120"/>
    </row>
    <row r="489" spans="1:59" s="3" customFormat="1" x14ac:dyDescent="0.3">
      <c r="A489" s="15" t="str">
        <f t="shared" si="91"/>
        <v/>
      </c>
      <c r="B489" s="25"/>
      <c r="C489" s="26"/>
      <c r="D489" s="279"/>
      <c r="E489" s="27"/>
      <c r="F489" s="28"/>
      <c r="G489" s="27"/>
      <c r="H489" s="28"/>
      <c r="I489" s="28"/>
      <c r="J489" s="255" t="str">
        <f>IF(H489="","",(_xlfn.XLOOKUP(H489,Cadastros!$D$6:$D$90,Cadastros!$E$6:$E$90))*(1-_xlfn.XLOOKUP(_xlfn.XLOOKUP($F489,Clientes!$B$4:$B$39,Clientes!$C$4:$C$39),Cadastros!$L$6:$L$12,Cadastros!$N$6:$N$12)))</f>
        <v/>
      </c>
      <c r="K489" s="168" t="str">
        <f t="shared" si="92"/>
        <v/>
      </c>
      <c r="L489" s="168" t="str">
        <f>IFERROR(K489/_xlfn.XLOOKUP(_xlfn.XLOOKUP($F489,Clientes!$B$4:$B$39,Clientes!$C$4:$C$39),Cadastros!$L$6:$L$12,Cadastros!$M$6:$M$12)," ")</f>
        <v xml:space="preserve"> </v>
      </c>
      <c r="M489" s="28"/>
      <c r="N489" s="28"/>
      <c r="O489" s="255" t="str">
        <f>IF(M489="","",(_xlfn.XLOOKUP(M489,Cadastros!$D$6:$D$90,Cadastros!$E$6:$E$90))*(1-_xlfn.XLOOKUP(_xlfn.XLOOKUP($F489,Clientes!$B$4:$B$39,Clientes!$C$4:$C$39),Cadastros!$L$6:$L$12,Cadastros!$N$6:$N$12)))</f>
        <v/>
      </c>
      <c r="P489" s="168" t="str">
        <f t="shared" si="93"/>
        <v/>
      </c>
      <c r="Q489" s="168" t="str">
        <f>IFERROR(P489/_xlfn.XLOOKUP(_xlfn.XLOOKUP($F489,Clientes!$B$4:$B$39,Clientes!$C$4:$C$39),Cadastros!$L$6:$L$12,Cadastros!$M$6:$M$12)," ")</f>
        <v xml:space="preserve"> </v>
      </c>
      <c r="R489" s="28"/>
      <c r="S489" s="28"/>
      <c r="T489" s="255" t="str">
        <f>IF(R489="","",(_xlfn.XLOOKUP(R489,Cadastros!$D$6:$D$90,Cadastros!$E$6:$E$90))*(1-_xlfn.XLOOKUP(_xlfn.XLOOKUP($F489,Clientes!$B$4:$B$39,Clientes!$C$4:$C$39),Cadastros!$L$6:$L$12,Cadastros!$N$6:$N$12)))</f>
        <v/>
      </c>
      <c r="U489" s="168" t="str">
        <f t="shared" si="94"/>
        <v/>
      </c>
      <c r="V489" s="168" t="str">
        <f>IFERROR(U489/_xlfn.XLOOKUP(_xlfn.XLOOKUP($F489,Clientes!$B$4:$B$39,Clientes!$C$4:$C$39),Cadastros!$L$6:$L$12,Cadastros!$M$6:$M$12)," ")</f>
        <v xml:space="preserve"> </v>
      </c>
      <c r="W489" s="28"/>
      <c r="X489" s="28"/>
      <c r="Y489" s="255" t="str">
        <f>IF(W489="","",(_xlfn.XLOOKUP(W489,Cadastros!$D$6:$D$90,Cadastros!$E$6:$E$90))*(1-_xlfn.XLOOKUP(_xlfn.XLOOKUP($F489,Clientes!$B$4:$B$39,Clientes!$C$4:$C$39),Cadastros!$L$6:$L$12,Cadastros!$N$6:$N$12)))</f>
        <v/>
      </c>
      <c r="Z489" s="168" t="str">
        <f t="shared" si="95"/>
        <v/>
      </c>
      <c r="AA489" s="168" t="str">
        <f>IFERROR(Z489/_xlfn.XLOOKUP(_xlfn.XLOOKUP($F489,Clientes!$B$4:$B$39,Clientes!$C$4:$C$39),Cadastros!$L$6:$L$12,Cadastros!$M$6:$M$12)," ")</f>
        <v xml:space="preserve"> </v>
      </c>
      <c r="AB489" s="28"/>
      <c r="AC489" s="28"/>
      <c r="AD489" s="20" t="str">
        <f>IF(AB489="","",IF($F489="Bernardino Furlan",_xlfn.XLOOKUP(AB489,Cadastros!$G$6:$G$90,Cadastros!$H$6:$H$90)*(1-0.18),IF($F489="Mauro José Salanti",_xlfn.XLOOKUP(AB489,Cadastros!$G$6:$G$90,Cadastros!$H$6:$H$90)*(1-0.18),_xlfn.XLOOKUP(AB489,Cadastros!$G$6:$G$90,Cadastros!$H$6:$H$90))))</f>
        <v/>
      </c>
      <c r="AE489" s="168" t="str">
        <f t="shared" si="96"/>
        <v/>
      </c>
      <c r="AF489" s="168" t="str">
        <f t="shared" si="97"/>
        <v/>
      </c>
      <c r="AG489" s="28"/>
      <c r="AH489" s="28"/>
      <c r="AI489" s="20" t="str">
        <f>IF(AG489="","",IF($F489="Bernardino Furlan",_xlfn.XLOOKUP(AG489,Cadastros!$G$6:$G$90,Cadastros!$H$6:$H$90)*(1-0.18),IF($F489="Mauro José Salanti",_xlfn.XLOOKUP(AG489,Cadastros!$G$6:$G$90,Cadastros!$H$6:$H$90)*(1-0.18),_xlfn.XLOOKUP(AG489,Cadastros!$G$6:$G$90,Cadastros!$H$6:$H$90))))</f>
        <v/>
      </c>
      <c r="AJ489" s="168" t="str">
        <f t="shared" si="98"/>
        <v/>
      </c>
      <c r="AK489" s="168" t="str">
        <f t="shared" si="99"/>
        <v/>
      </c>
      <c r="AL489" s="28"/>
      <c r="AM489" s="28"/>
      <c r="AN489" s="20" t="str">
        <f>IF(AL489="","",IF($F489="Bernardino Furlan",_xlfn.XLOOKUP(AL489,Cadastros!$G$6:$G$90,Cadastros!$H$6:$H$90)*(1-0.18),IF($F489="Mauro José Salanti",_xlfn.XLOOKUP(AL489,Cadastros!$G$6:$G$90,Cadastros!$H$6:$H$90)*(1-0.18),_xlfn.XLOOKUP(AL489,Cadastros!$G$6:$G$90,Cadastros!$H$6:$H$90))))</f>
        <v/>
      </c>
      <c r="AO489" s="168" t="str">
        <f t="shared" si="100"/>
        <v/>
      </c>
      <c r="AP489" s="168" t="str">
        <f t="shared" si="101"/>
        <v/>
      </c>
      <c r="AQ489" s="28"/>
      <c r="AR489" s="28"/>
      <c r="AS489" s="20" t="str">
        <f>IF(AQ489="","",IF($F489="Bernardino Furlan",_xlfn.XLOOKUP(AQ489,Cadastros!$G$6:$G$90,Cadastros!$H$6:$H$90)*(1-0.18),IF($F489="Mauro José Salanti",_xlfn.XLOOKUP(AQ489,Cadastros!$G$6:$G$90,Cadastros!$H$6:$H$90)*(1-0.18),_xlfn.XLOOKUP(AQ489,Cadastros!$G$6:$G$90,Cadastros!$H$6:$H$90))))</f>
        <v/>
      </c>
      <c r="AT489" s="168" t="str">
        <f t="shared" si="102"/>
        <v/>
      </c>
      <c r="AU489" s="168" t="str">
        <f t="shared" si="103"/>
        <v/>
      </c>
      <c r="AV489" s="227"/>
      <c r="AW489" s="30"/>
      <c r="AX489" s="267"/>
      <c r="AY489" s="267"/>
      <c r="AZ489" s="29"/>
      <c r="BA489" s="30"/>
      <c r="BB489" s="23" t="str" cm="1">
        <f t="array" ref="BB489">_xlfn.IFS(AW489="SIM",SUM(K489,P489,U489,Z489,AE489,AJ489,AO489,AT489,AX489,AY489),F489&lt;&gt;"",SUM(K489,P489,U489,Z489,AE489,AJ489,,AO489,AT489),F489="","")</f>
        <v/>
      </c>
      <c r="BC489" s="211" t="str" cm="1">
        <f t="array" ref="BC489">_xlfn.IFS(E489="","",G489&lt;=E489,BB489*(1-0.03),G489&lt;(E489+8),BB489,AZ489="Boleto",BB489*(1+0.001)^DATEDIF(E489,G489,"D"),AZ489="Cheque",BB489,AZ489="Dinheiro","Alterar forma pgto")</f>
        <v/>
      </c>
      <c r="BD489" s="276" t="str" cm="1">
        <f t="array" ref="BD489">IF(F489=0," ",IF(BC489&lt;BB489,(_xlfn.IFS(AW489="SIM",SUM(L489,Q489,V489,AA489,AF489,AK489,AP489,AU489)+AX489/_xlfn.XLOOKUP(_xlfn.XLOOKUP($F489,Clientes!$B$4:$B$39,Clientes!$C$4:$C$39),Cadastros!$L$6:$L$12,Cadastros!$M$6:$M$12)+IF($F489="Bernardino Furlan",AY489/2751.92,IF($F489="Mauro José Salanti",AY489/2751.92,AY489/3356)),F489&lt;&gt;0,SUM(L489,Q489,V489,AA489,AF489,AK489,AP489,AU489)))*(1-0.03),_xlfn.IFS(AW489="SIM",SUM(L489,Q489,V489,AA489,AF489,AK489,AP489,AU489)+AX489/_xlfn.XLOOKUP(_xlfn.XLOOKUP($F489,Clientes!$B$4:$B$39,Clientes!$C$4:$C$39),Cadastros!$L$6:$L$12,Cadastros!$M$6:$M$12)+IF($F489="Bernardino Furlan",AY489/2751.92,IF($F489="Mauro José Salanti",AY489/2751.92,AY489/3356)),F489&lt;&gt;0,SUM(L489,Q489,V489,AA489,AF489,AK489,AP489,AU489))))</f>
        <v xml:space="preserve"> </v>
      </c>
      <c r="BE489" s="120"/>
      <c r="BF489" s="120"/>
      <c r="BG489" s="120"/>
    </row>
    <row r="490" spans="1:59" s="3" customFormat="1" x14ac:dyDescent="0.3">
      <c r="A490" s="15" t="str">
        <f t="shared" si="91"/>
        <v/>
      </c>
      <c r="B490" s="25"/>
      <c r="C490" s="26"/>
      <c r="D490" s="279"/>
      <c r="E490" s="27"/>
      <c r="F490" s="28"/>
      <c r="G490" s="27"/>
      <c r="H490" s="28"/>
      <c r="I490" s="28"/>
      <c r="J490" s="255" t="str">
        <f>IF(H490="","",(_xlfn.XLOOKUP(H490,Cadastros!$D$6:$D$90,Cadastros!$E$6:$E$90))*(1-_xlfn.XLOOKUP(_xlfn.XLOOKUP($F490,Clientes!$B$4:$B$39,Clientes!$C$4:$C$39),Cadastros!$L$6:$L$12,Cadastros!$N$6:$N$12)))</f>
        <v/>
      </c>
      <c r="K490" s="168" t="str">
        <f t="shared" si="92"/>
        <v/>
      </c>
      <c r="L490" s="168" t="str">
        <f>IFERROR(K490/_xlfn.XLOOKUP(_xlfn.XLOOKUP($F490,Clientes!$B$4:$B$39,Clientes!$C$4:$C$39),Cadastros!$L$6:$L$12,Cadastros!$M$6:$M$12)," ")</f>
        <v xml:space="preserve"> </v>
      </c>
      <c r="M490" s="28"/>
      <c r="N490" s="28"/>
      <c r="O490" s="255" t="str">
        <f>IF(M490="","",(_xlfn.XLOOKUP(M490,Cadastros!$D$6:$D$90,Cadastros!$E$6:$E$90))*(1-_xlfn.XLOOKUP(_xlfn.XLOOKUP($F490,Clientes!$B$4:$B$39,Clientes!$C$4:$C$39),Cadastros!$L$6:$L$12,Cadastros!$N$6:$N$12)))</f>
        <v/>
      </c>
      <c r="P490" s="168" t="str">
        <f t="shared" si="93"/>
        <v/>
      </c>
      <c r="Q490" s="168" t="str">
        <f>IFERROR(P490/_xlfn.XLOOKUP(_xlfn.XLOOKUP($F490,Clientes!$B$4:$B$39,Clientes!$C$4:$C$39),Cadastros!$L$6:$L$12,Cadastros!$M$6:$M$12)," ")</f>
        <v xml:space="preserve"> </v>
      </c>
      <c r="R490" s="28"/>
      <c r="S490" s="28"/>
      <c r="T490" s="255" t="str">
        <f>IF(R490="","",(_xlfn.XLOOKUP(R490,Cadastros!$D$6:$D$90,Cadastros!$E$6:$E$90))*(1-_xlfn.XLOOKUP(_xlfn.XLOOKUP($F490,Clientes!$B$4:$B$39,Clientes!$C$4:$C$39),Cadastros!$L$6:$L$12,Cadastros!$N$6:$N$12)))</f>
        <v/>
      </c>
      <c r="U490" s="168" t="str">
        <f t="shared" si="94"/>
        <v/>
      </c>
      <c r="V490" s="168" t="str">
        <f>IFERROR(U490/_xlfn.XLOOKUP(_xlfn.XLOOKUP($F490,Clientes!$B$4:$B$39,Clientes!$C$4:$C$39),Cadastros!$L$6:$L$12,Cadastros!$M$6:$M$12)," ")</f>
        <v xml:space="preserve"> </v>
      </c>
      <c r="W490" s="28"/>
      <c r="X490" s="28"/>
      <c r="Y490" s="255" t="str">
        <f>IF(W490="","",(_xlfn.XLOOKUP(W490,Cadastros!$D$6:$D$90,Cadastros!$E$6:$E$90))*(1-_xlfn.XLOOKUP(_xlfn.XLOOKUP($F490,Clientes!$B$4:$B$39,Clientes!$C$4:$C$39),Cadastros!$L$6:$L$12,Cadastros!$N$6:$N$12)))</f>
        <v/>
      </c>
      <c r="Z490" s="168" t="str">
        <f t="shared" si="95"/>
        <v/>
      </c>
      <c r="AA490" s="168" t="str">
        <f>IFERROR(Z490/_xlfn.XLOOKUP(_xlfn.XLOOKUP($F490,Clientes!$B$4:$B$39,Clientes!$C$4:$C$39),Cadastros!$L$6:$L$12,Cadastros!$M$6:$M$12)," ")</f>
        <v xml:space="preserve"> </v>
      </c>
      <c r="AB490" s="28"/>
      <c r="AC490" s="28"/>
      <c r="AD490" s="20" t="str">
        <f>IF(AB490="","",IF($F490="Bernardino Furlan",_xlfn.XLOOKUP(AB490,Cadastros!$G$6:$G$90,Cadastros!$H$6:$H$90)*(1-0.18),IF($F490="Mauro José Salanti",_xlfn.XLOOKUP(AB490,Cadastros!$G$6:$G$90,Cadastros!$H$6:$H$90)*(1-0.18),_xlfn.XLOOKUP(AB490,Cadastros!$G$6:$G$90,Cadastros!$H$6:$H$90))))</f>
        <v/>
      </c>
      <c r="AE490" s="168" t="str">
        <f t="shared" si="96"/>
        <v/>
      </c>
      <c r="AF490" s="168" t="str">
        <f t="shared" si="97"/>
        <v/>
      </c>
      <c r="AG490" s="28"/>
      <c r="AH490" s="28"/>
      <c r="AI490" s="20" t="str">
        <f>IF(AG490="","",IF($F490="Bernardino Furlan",_xlfn.XLOOKUP(AG490,Cadastros!$G$6:$G$90,Cadastros!$H$6:$H$90)*(1-0.18),IF($F490="Mauro José Salanti",_xlfn.XLOOKUP(AG490,Cadastros!$G$6:$G$90,Cadastros!$H$6:$H$90)*(1-0.18),_xlfn.XLOOKUP(AG490,Cadastros!$G$6:$G$90,Cadastros!$H$6:$H$90))))</f>
        <v/>
      </c>
      <c r="AJ490" s="168" t="str">
        <f t="shared" si="98"/>
        <v/>
      </c>
      <c r="AK490" s="168" t="str">
        <f t="shared" si="99"/>
        <v/>
      </c>
      <c r="AL490" s="28"/>
      <c r="AM490" s="28"/>
      <c r="AN490" s="20" t="str">
        <f>IF(AL490="","",IF($F490="Bernardino Furlan",_xlfn.XLOOKUP(AL490,Cadastros!$G$6:$G$90,Cadastros!$H$6:$H$90)*(1-0.18),IF($F490="Mauro José Salanti",_xlfn.XLOOKUP(AL490,Cadastros!$G$6:$G$90,Cadastros!$H$6:$H$90)*(1-0.18),_xlfn.XLOOKUP(AL490,Cadastros!$G$6:$G$90,Cadastros!$H$6:$H$90))))</f>
        <v/>
      </c>
      <c r="AO490" s="168" t="str">
        <f t="shared" si="100"/>
        <v/>
      </c>
      <c r="AP490" s="168" t="str">
        <f t="shared" si="101"/>
        <v/>
      </c>
      <c r="AQ490" s="28"/>
      <c r="AR490" s="28"/>
      <c r="AS490" s="20" t="str">
        <f>IF(AQ490="","",IF($F490="Bernardino Furlan",_xlfn.XLOOKUP(AQ490,Cadastros!$G$6:$G$90,Cadastros!$H$6:$H$90)*(1-0.18),IF($F490="Mauro José Salanti",_xlfn.XLOOKUP(AQ490,Cadastros!$G$6:$G$90,Cadastros!$H$6:$H$90)*(1-0.18),_xlfn.XLOOKUP(AQ490,Cadastros!$G$6:$G$90,Cadastros!$H$6:$H$90))))</f>
        <v/>
      </c>
      <c r="AT490" s="168" t="str">
        <f t="shared" si="102"/>
        <v/>
      </c>
      <c r="AU490" s="168" t="str">
        <f t="shared" si="103"/>
        <v/>
      </c>
      <c r="AV490" s="227"/>
      <c r="AW490" s="30"/>
      <c r="AX490" s="267"/>
      <c r="AY490" s="267"/>
      <c r="AZ490" s="29"/>
      <c r="BA490" s="30"/>
      <c r="BB490" s="23" t="str" cm="1">
        <f t="array" ref="BB490">_xlfn.IFS(AW490="SIM",SUM(K490,P490,U490,Z490,AE490,AJ490,AO490,AT490,AX490,AY490),F490&lt;&gt;"",SUM(K490,P490,U490,Z490,AE490,AJ490,,AO490,AT490),F490="","")</f>
        <v/>
      </c>
      <c r="BC490" s="211" t="str" cm="1">
        <f t="array" ref="BC490">_xlfn.IFS(E490="","",G490&lt;=E490,BB490*(1-0.03),G490&lt;(E490+8),BB490,AZ490="Boleto",BB490*(1+0.001)^DATEDIF(E490,G490,"D"),AZ490="Cheque",BB490,AZ490="Dinheiro","Alterar forma pgto")</f>
        <v/>
      </c>
      <c r="BD490" s="276" t="str" cm="1">
        <f t="array" ref="BD490">IF(F490=0," ",IF(BC490&lt;BB490,(_xlfn.IFS(AW490="SIM",SUM(L490,Q490,V490,AA490,AF490,AK490,AP490,AU490)+AX490/_xlfn.XLOOKUP(_xlfn.XLOOKUP($F490,Clientes!$B$4:$B$39,Clientes!$C$4:$C$39),Cadastros!$L$6:$L$12,Cadastros!$M$6:$M$12)+IF($F490="Bernardino Furlan",AY490/2751.92,IF($F490="Mauro José Salanti",AY490/2751.92,AY490/3356)),F490&lt;&gt;0,SUM(L490,Q490,V490,AA490,AF490,AK490,AP490,AU490)))*(1-0.03),_xlfn.IFS(AW490="SIM",SUM(L490,Q490,V490,AA490,AF490,AK490,AP490,AU490)+AX490/_xlfn.XLOOKUP(_xlfn.XLOOKUP($F490,Clientes!$B$4:$B$39,Clientes!$C$4:$C$39),Cadastros!$L$6:$L$12,Cadastros!$M$6:$M$12)+IF($F490="Bernardino Furlan",AY490/2751.92,IF($F490="Mauro José Salanti",AY490/2751.92,AY490/3356)),F490&lt;&gt;0,SUM(L490,Q490,V490,AA490,AF490,AK490,AP490,AU490))))</f>
        <v xml:space="preserve"> </v>
      </c>
      <c r="BE490" s="120"/>
      <c r="BF490" s="120"/>
      <c r="BG490" s="120"/>
    </row>
    <row r="491" spans="1:59" s="3" customFormat="1" x14ac:dyDescent="0.3">
      <c r="A491" s="15" t="str">
        <f t="shared" si="91"/>
        <v/>
      </c>
      <c r="B491" s="25"/>
      <c r="C491" s="26"/>
      <c r="D491" s="279"/>
      <c r="E491" s="27"/>
      <c r="F491" s="28"/>
      <c r="G491" s="27"/>
      <c r="H491" s="28"/>
      <c r="I491" s="28"/>
      <c r="J491" s="255" t="str">
        <f>IF(H491="","",(_xlfn.XLOOKUP(H491,Cadastros!$D$6:$D$90,Cadastros!$E$6:$E$90))*(1-_xlfn.XLOOKUP(_xlfn.XLOOKUP($F491,Clientes!$B$4:$B$39,Clientes!$C$4:$C$39),Cadastros!$L$6:$L$12,Cadastros!$N$6:$N$12)))</f>
        <v/>
      </c>
      <c r="K491" s="168" t="str">
        <f t="shared" si="92"/>
        <v/>
      </c>
      <c r="L491" s="168" t="str">
        <f>IFERROR(K491/_xlfn.XLOOKUP(_xlfn.XLOOKUP($F491,Clientes!$B$4:$B$39,Clientes!$C$4:$C$39),Cadastros!$L$6:$L$12,Cadastros!$M$6:$M$12)," ")</f>
        <v xml:space="preserve"> </v>
      </c>
      <c r="M491" s="28"/>
      <c r="N491" s="28"/>
      <c r="O491" s="255" t="str">
        <f>IF(M491="","",(_xlfn.XLOOKUP(M491,Cadastros!$D$6:$D$90,Cadastros!$E$6:$E$90))*(1-_xlfn.XLOOKUP(_xlfn.XLOOKUP($F491,Clientes!$B$4:$B$39,Clientes!$C$4:$C$39),Cadastros!$L$6:$L$12,Cadastros!$N$6:$N$12)))</f>
        <v/>
      </c>
      <c r="P491" s="168" t="str">
        <f t="shared" si="93"/>
        <v/>
      </c>
      <c r="Q491" s="168" t="str">
        <f>IFERROR(P491/_xlfn.XLOOKUP(_xlfn.XLOOKUP($F491,Clientes!$B$4:$B$39,Clientes!$C$4:$C$39),Cadastros!$L$6:$L$12,Cadastros!$M$6:$M$12)," ")</f>
        <v xml:space="preserve"> </v>
      </c>
      <c r="R491" s="28"/>
      <c r="S491" s="28"/>
      <c r="T491" s="255" t="str">
        <f>IF(R491="","",(_xlfn.XLOOKUP(R491,Cadastros!$D$6:$D$90,Cadastros!$E$6:$E$90))*(1-_xlfn.XLOOKUP(_xlfn.XLOOKUP($F491,Clientes!$B$4:$B$39,Clientes!$C$4:$C$39),Cadastros!$L$6:$L$12,Cadastros!$N$6:$N$12)))</f>
        <v/>
      </c>
      <c r="U491" s="168" t="str">
        <f t="shared" si="94"/>
        <v/>
      </c>
      <c r="V491" s="168" t="str">
        <f>IFERROR(U491/_xlfn.XLOOKUP(_xlfn.XLOOKUP($F491,Clientes!$B$4:$B$39,Clientes!$C$4:$C$39),Cadastros!$L$6:$L$12,Cadastros!$M$6:$M$12)," ")</f>
        <v xml:space="preserve"> </v>
      </c>
      <c r="W491" s="28"/>
      <c r="X491" s="28"/>
      <c r="Y491" s="255" t="str">
        <f>IF(W491="","",(_xlfn.XLOOKUP(W491,Cadastros!$D$6:$D$90,Cadastros!$E$6:$E$90))*(1-_xlfn.XLOOKUP(_xlfn.XLOOKUP($F491,Clientes!$B$4:$B$39,Clientes!$C$4:$C$39),Cadastros!$L$6:$L$12,Cadastros!$N$6:$N$12)))</f>
        <v/>
      </c>
      <c r="Z491" s="168" t="str">
        <f t="shared" si="95"/>
        <v/>
      </c>
      <c r="AA491" s="168" t="str">
        <f>IFERROR(Z491/_xlfn.XLOOKUP(_xlfn.XLOOKUP($F491,Clientes!$B$4:$B$39,Clientes!$C$4:$C$39),Cadastros!$L$6:$L$12,Cadastros!$M$6:$M$12)," ")</f>
        <v xml:space="preserve"> </v>
      </c>
      <c r="AB491" s="28"/>
      <c r="AC491" s="28"/>
      <c r="AD491" s="20" t="str">
        <f>IF(AB491="","",IF($F491="Bernardino Furlan",_xlfn.XLOOKUP(AB491,Cadastros!$G$6:$G$90,Cadastros!$H$6:$H$90)*(1-0.18),IF($F491="Mauro José Salanti",_xlfn.XLOOKUP(AB491,Cadastros!$G$6:$G$90,Cadastros!$H$6:$H$90)*(1-0.18),_xlfn.XLOOKUP(AB491,Cadastros!$G$6:$G$90,Cadastros!$H$6:$H$90))))</f>
        <v/>
      </c>
      <c r="AE491" s="168" t="str">
        <f t="shared" si="96"/>
        <v/>
      </c>
      <c r="AF491" s="168" t="str">
        <f t="shared" si="97"/>
        <v/>
      </c>
      <c r="AG491" s="28"/>
      <c r="AH491" s="28"/>
      <c r="AI491" s="20" t="str">
        <f>IF(AG491="","",IF($F491="Bernardino Furlan",_xlfn.XLOOKUP(AG491,Cadastros!$G$6:$G$90,Cadastros!$H$6:$H$90)*(1-0.18),IF($F491="Mauro José Salanti",_xlfn.XLOOKUP(AG491,Cadastros!$G$6:$G$90,Cadastros!$H$6:$H$90)*(1-0.18),_xlfn.XLOOKUP(AG491,Cadastros!$G$6:$G$90,Cadastros!$H$6:$H$90))))</f>
        <v/>
      </c>
      <c r="AJ491" s="168" t="str">
        <f t="shared" si="98"/>
        <v/>
      </c>
      <c r="AK491" s="168" t="str">
        <f t="shared" si="99"/>
        <v/>
      </c>
      <c r="AL491" s="28"/>
      <c r="AM491" s="28"/>
      <c r="AN491" s="20" t="str">
        <f>IF(AL491="","",IF($F491="Bernardino Furlan",_xlfn.XLOOKUP(AL491,Cadastros!$G$6:$G$90,Cadastros!$H$6:$H$90)*(1-0.18),IF($F491="Mauro José Salanti",_xlfn.XLOOKUP(AL491,Cadastros!$G$6:$G$90,Cadastros!$H$6:$H$90)*(1-0.18),_xlfn.XLOOKUP(AL491,Cadastros!$G$6:$G$90,Cadastros!$H$6:$H$90))))</f>
        <v/>
      </c>
      <c r="AO491" s="168" t="str">
        <f t="shared" si="100"/>
        <v/>
      </c>
      <c r="AP491" s="168" t="str">
        <f t="shared" si="101"/>
        <v/>
      </c>
      <c r="AQ491" s="28"/>
      <c r="AR491" s="28"/>
      <c r="AS491" s="20" t="str">
        <f>IF(AQ491="","",IF($F491="Bernardino Furlan",_xlfn.XLOOKUP(AQ491,Cadastros!$G$6:$G$90,Cadastros!$H$6:$H$90)*(1-0.18),IF($F491="Mauro José Salanti",_xlfn.XLOOKUP(AQ491,Cadastros!$G$6:$G$90,Cadastros!$H$6:$H$90)*(1-0.18),_xlfn.XLOOKUP(AQ491,Cadastros!$G$6:$G$90,Cadastros!$H$6:$H$90))))</f>
        <v/>
      </c>
      <c r="AT491" s="168" t="str">
        <f t="shared" si="102"/>
        <v/>
      </c>
      <c r="AU491" s="168" t="str">
        <f t="shared" si="103"/>
        <v/>
      </c>
      <c r="AV491" s="227"/>
      <c r="AW491" s="30"/>
      <c r="AX491" s="267"/>
      <c r="AY491" s="267"/>
      <c r="AZ491" s="29"/>
      <c r="BA491" s="30"/>
      <c r="BB491" s="23" t="str" cm="1">
        <f t="array" ref="BB491">_xlfn.IFS(AW491="SIM",SUM(K491,P491,U491,Z491,AE491,AJ491,AO491,AT491,AX491,AY491),F491&lt;&gt;"",SUM(K491,P491,U491,Z491,AE491,AJ491,,AO491,AT491),F491="","")</f>
        <v/>
      </c>
      <c r="BC491" s="211" t="str" cm="1">
        <f t="array" ref="BC491">_xlfn.IFS(E491="","",G491&lt;=E491,BB491*(1-0.03),G491&lt;(E491+8),BB491,AZ491="Boleto",BB491*(1+0.001)^DATEDIF(E491,G491,"D"),AZ491="Cheque",BB491,AZ491="Dinheiro","Alterar forma pgto")</f>
        <v/>
      </c>
      <c r="BD491" s="276" t="str" cm="1">
        <f t="array" ref="BD491">IF(F491=0," ",IF(BC491&lt;BB491,(_xlfn.IFS(AW491="SIM",SUM(L491,Q491,V491,AA491,AF491,AK491,AP491,AU491)+AX491/_xlfn.XLOOKUP(_xlfn.XLOOKUP($F491,Clientes!$B$4:$B$39,Clientes!$C$4:$C$39),Cadastros!$L$6:$L$12,Cadastros!$M$6:$M$12)+IF($F491="Bernardino Furlan",AY491/2751.92,IF($F491="Mauro José Salanti",AY491/2751.92,AY491/3356)),F491&lt;&gt;0,SUM(L491,Q491,V491,AA491,AF491,AK491,AP491,AU491)))*(1-0.03),_xlfn.IFS(AW491="SIM",SUM(L491,Q491,V491,AA491,AF491,AK491,AP491,AU491)+AX491/_xlfn.XLOOKUP(_xlfn.XLOOKUP($F491,Clientes!$B$4:$B$39,Clientes!$C$4:$C$39),Cadastros!$L$6:$L$12,Cadastros!$M$6:$M$12)+IF($F491="Bernardino Furlan",AY491/2751.92,IF($F491="Mauro José Salanti",AY491/2751.92,AY491/3356)),F491&lt;&gt;0,SUM(L491,Q491,V491,AA491,AF491,AK491,AP491,AU491))))</f>
        <v xml:space="preserve"> </v>
      </c>
      <c r="BE491" s="120"/>
      <c r="BF491" s="120"/>
      <c r="BG491" s="120"/>
    </row>
    <row r="492" spans="1:59" s="3" customFormat="1" x14ac:dyDescent="0.3">
      <c r="A492" s="15" t="str">
        <f t="shared" si="91"/>
        <v/>
      </c>
      <c r="B492" s="25"/>
      <c r="C492" s="26"/>
      <c r="D492" s="279"/>
      <c r="E492" s="27"/>
      <c r="F492" s="28"/>
      <c r="G492" s="27"/>
      <c r="H492" s="28"/>
      <c r="I492" s="28"/>
      <c r="J492" s="255" t="str">
        <f>IF(H492="","",(_xlfn.XLOOKUP(H492,Cadastros!$D$6:$D$90,Cadastros!$E$6:$E$90))*(1-_xlfn.XLOOKUP(_xlfn.XLOOKUP($F492,Clientes!$B$4:$B$39,Clientes!$C$4:$C$39),Cadastros!$L$6:$L$12,Cadastros!$N$6:$N$12)))</f>
        <v/>
      </c>
      <c r="K492" s="168" t="str">
        <f t="shared" si="92"/>
        <v/>
      </c>
      <c r="L492" s="168" t="str">
        <f>IFERROR(K492/_xlfn.XLOOKUP(_xlfn.XLOOKUP($F492,Clientes!$B$4:$B$39,Clientes!$C$4:$C$39),Cadastros!$L$6:$L$12,Cadastros!$M$6:$M$12)," ")</f>
        <v xml:space="preserve"> </v>
      </c>
      <c r="M492" s="28"/>
      <c r="N492" s="28"/>
      <c r="O492" s="255" t="str">
        <f>IF(M492="","",(_xlfn.XLOOKUP(M492,Cadastros!$D$6:$D$90,Cadastros!$E$6:$E$90))*(1-_xlfn.XLOOKUP(_xlfn.XLOOKUP($F492,Clientes!$B$4:$B$39,Clientes!$C$4:$C$39),Cadastros!$L$6:$L$12,Cadastros!$N$6:$N$12)))</f>
        <v/>
      </c>
      <c r="P492" s="168" t="str">
        <f t="shared" si="93"/>
        <v/>
      </c>
      <c r="Q492" s="168" t="str">
        <f>IFERROR(P492/_xlfn.XLOOKUP(_xlfn.XLOOKUP($F492,Clientes!$B$4:$B$39,Clientes!$C$4:$C$39),Cadastros!$L$6:$L$12,Cadastros!$M$6:$M$12)," ")</f>
        <v xml:space="preserve"> </v>
      </c>
      <c r="R492" s="28"/>
      <c r="S492" s="28"/>
      <c r="T492" s="255" t="str">
        <f>IF(R492="","",(_xlfn.XLOOKUP(R492,Cadastros!$D$6:$D$90,Cadastros!$E$6:$E$90))*(1-_xlfn.XLOOKUP(_xlfn.XLOOKUP($F492,Clientes!$B$4:$B$39,Clientes!$C$4:$C$39),Cadastros!$L$6:$L$12,Cadastros!$N$6:$N$12)))</f>
        <v/>
      </c>
      <c r="U492" s="168" t="str">
        <f t="shared" si="94"/>
        <v/>
      </c>
      <c r="V492" s="168" t="str">
        <f>IFERROR(U492/_xlfn.XLOOKUP(_xlfn.XLOOKUP($F492,Clientes!$B$4:$B$39,Clientes!$C$4:$C$39),Cadastros!$L$6:$L$12,Cadastros!$M$6:$M$12)," ")</f>
        <v xml:space="preserve"> </v>
      </c>
      <c r="W492" s="28"/>
      <c r="X492" s="28"/>
      <c r="Y492" s="255" t="str">
        <f>IF(W492="","",(_xlfn.XLOOKUP(W492,Cadastros!$D$6:$D$90,Cadastros!$E$6:$E$90))*(1-_xlfn.XLOOKUP(_xlfn.XLOOKUP($F492,Clientes!$B$4:$B$39,Clientes!$C$4:$C$39),Cadastros!$L$6:$L$12,Cadastros!$N$6:$N$12)))</f>
        <v/>
      </c>
      <c r="Z492" s="168" t="str">
        <f t="shared" si="95"/>
        <v/>
      </c>
      <c r="AA492" s="168" t="str">
        <f>IFERROR(Z492/_xlfn.XLOOKUP(_xlfn.XLOOKUP($F492,Clientes!$B$4:$B$39,Clientes!$C$4:$C$39),Cadastros!$L$6:$L$12,Cadastros!$M$6:$M$12)," ")</f>
        <v xml:space="preserve"> </v>
      </c>
      <c r="AB492" s="28"/>
      <c r="AC492" s="28"/>
      <c r="AD492" s="20" t="str">
        <f>IF(AB492="","",IF($F492="Bernardino Furlan",_xlfn.XLOOKUP(AB492,Cadastros!$G$6:$G$90,Cadastros!$H$6:$H$90)*(1-0.18),IF($F492="Mauro José Salanti",_xlfn.XLOOKUP(AB492,Cadastros!$G$6:$G$90,Cadastros!$H$6:$H$90)*(1-0.18),_xlfn.XLOOKUP(AB492,Cadastros!$G$6:$G$90,Cadastros!$H$6:$H$90))))</f>
        <v/>
      </c>
      <c r="AE492" s="168" t="str">
        <f t="shared" si="96"/>
        <v/>
      </c>
      <c r="AF492" s="168" t="str">
        <f t="shared" si="97"/>
        <v/>
      </c>
      <c r="AG492" s="28"/>
      <c r="AH492" s="28"/>
      <c r="AI492" s="20" t="str">
        <f>IF(AG492="","",IF($F492="Bernardino Furlan",_xlfn.XLOOKUP(AG492,Cadastros!$G$6:$G$90,Cadastros!$H$6:$H$90)*(1-0.18),IF($F492="Mauro José Salanti",_xlfn.XLOOKUP(AG492,Cadastros!$G$6:$G$90,Cadastros!$H$6:$H$90)*(1-0.18),_xlfn.XLOOKUP(AG492,Cadastros!$G$6:$G$90,Cadastros!$H$6:$H$90))))</f>
        <v/>
      </c>
      <c r="AJ492" s="168" t="str">
        <f t="shared" si="98"/>
        <v/>
      </c>
      <c r="AK492" s="168" t="str">
        <f t="shared" si="99"/>
        <v/>
      </c>
      <c r="AL492" s="28"/>
      <c r="AM492" s="28"/>
      <c r="AN492" s="20" t="str">
        <f>IF(AL492="","",IF($F492="Bernardino Furlan",_xlfn.XLOOKUP(AL492,Cadastros!$G$6:$G$90,Cadastros!$H$6:$H$90)*(1-0.18),IF($F492="Mauro José Salanti",_xlfn.XLOOKUP(AL492,Cadastros!$G$6:$G$90,Cadastros!$H$6:$H$90)*(1-0.18),_xlfn.XLOOKUP(AL492,Cadastros!$G$6:$G$90,Cadastros!$H$6:$H$90))))</f>
        <v/>
      </c>
      <c r="AO492" s="168" t="str">
        <f t="shared" si="100"/>
        <v/>
      </c>
      <c r="AP492" s="168" t="str">
        <f t="shared" si="101"/>
        <v/>
      </c>
      <c r="AQ492" s="28"/>
      <c r="AR492" s="28"/>
      <c r="AS492" s="20" t="str">
        <f>IF(AQ492="","",IF($F492="Bernardino Furlan",_xlfn.XLOOKUP(AQ492,Cadastros!$G$6:$G$90,Cadastros!$H$6:$H$90)*(1-0.18),IF($F492="Mauro José Salanti",_xlfn.XLOOKUP(AQ492,Cadastros!$G$6:$G$90,Cadastros!$H$6:$H$90)*(1-0.18),_xlfn.XLOOKUP(AQ492,Cadastros!$G$6:$G$90,Cadastros!$H$6:$H$90))))</f>
        <v/>
      </c>
      <c r="AT492" s="168" t="str">
        <f t="shared" si="102"/>
        <v/>
      </c>
      <c r="AU492" s="168" t="str">
        <f t="shared" si="103"/>
        <v/>
      </c>
      <c r="AV492" s="227"/>
      <c r="AW492" s="30"/>
      <c r="AX492" s="267"/>
      <c r="AY492" s="267"/>
      <c r="AZ492" s="29"/>
      <c r="BA492" s="30"/>
      <c r="BB492" s="23" t="str" cm="1">
        <f t="array" ref="BB492">_xlfn.IFS(AW492="SIM",SUM(K492,P492,U492,Z492,AE492,AJ492,AO492,AT492,AX492,AY492),F492&lt;&gt;"",SUM(K492,P492,U492,Z492,AE492,AJ492,,AO492,AT492),F492="","")</f>
        <v/>
      </c>
      <c r="BC492" s="211" t="str" cm="1">
        <f t="array" ref="BC492">_xlfn.IFS(E492="","",G492&lt;=E492,BB492*(1-0.03),G492&lt;(E492+8),BB492,AZ492="Boleto",BB492*(1+0.001)^DATEDIF(E492,G492,"D"),AZ492="Cheque",BB492,AZ492="Dinheiro","Alterar forma pgto")</f>
        <v/>
      </c>
      <c r="BD492" s="276" t="str" cm="1">
        <f t="array" ref="BD492">IF(F492=0," ",IF(BC492&lt;BB492,(_xlfn.IFS(AW492="SIM",SUM(L492,Q492,V492,AA492,AF492,AK492,AP492,AU492)+AX492/_xlfn.XLOOKUP(_xlfn.XLOOKUP($F492,Clientes!$B$4:$B$39,Clientes!$C$4:$C$39),Cadastros!$L$6:$L$12,Cadastros!$M$6:$M$12)+IF($F492="Bernardino Furlan",AY492/2751.92,IF($F492="Mauro José Salanti",AY492/2751.92,AY492/3356)),F492&lt;&gt;0,SUM(L492,Q492,V492,AA492,AF492,AK492,AP492,AU492)))*(1-0.03),_xlfn.IFS(AW492="SIM",SUM(L492,Q492,V492,AA492,AF492,AK492,AP492,AU492)+AX492/_xlfn.XLOOKUP(_xlfn.XLOOKUP($F492,Clientes!$B$4:$B$39,Clientes!$C$4:$C$39),Cadastros!$L$6:$L$12,Cadastros!$M$6:$M$12)+IF($F492="Bernardino Furlan",AY492/2751.92,IF($F492="Mauro José Salanti",AY492/2751.92,AY492/3356)),F492&lt;&gt;0,SUM(L492,Q492,V492,AA492,AF492,AK492,AP492,AU492))))</f>
        <v xml:space="preserve"> </v>
      </c>
      <c r="BE492" s="120"/>
      <c r="BF492" s="120"/>
      <c r="BG492" s="120"/>
    </row>
    <row r="493" spans="1:59" s="3" customFormat="1" x14ac:dyDescent="0.3">
      <c r="A493" s="15" t="str">
        <f t="shared" si="91"/>
        <v/>
      </c>
      <c r="B493" s="25"/>
      <c r="C493" s="26"/>
      <c r="D493" s="279"/>
      <c r="E493" s="27"/>
      <c r="F493" s="28"/>
      <c r="G493" s="27"/>
      <c r="H493" s="28"/>
      <c r="I493" s="28"/>
      <c r="J493" s="255" t="str">
        <f>IF(H493="","",(_xlfn.XLOOKUP(H493,Cadastros!$D$6:$D$90,Cadastros!$E$6:$E$90))*(1-_xlfn.XLOOKUP(_xlfn.XLOOKUP($F493,Clientes!$B$4:$B$39,Clientes!$C$4:$C$39),Cadastros!$L$6:$L$12,Cadastros!$N$6:$N$12)))</f>
        <v/>
      </c>
      <c r="K493" s="168" t="str">
        <f t="shared" si="92"/>
        <v/>
      </c>
      <c r="L493" s="168" t="str">
        <f>IFERROR(K493/_xlfn.XLOOKUP(_xlfn.XLOOKUP($F493,Clientes!$B$4:$B$39,Clientes!$C$4:$C$39),Cadastros!$L$6:$L$12,Cadastros!$M$6:$M$12)," ")</f>
        <v xml:space="preserve"> </v>
      </c>
      <c r="M493" s="28"/>
      <c r="N493" s="28"/>
      <c r="O493" s="255" t="str">
        <f>IF(M493="","",(_xlfn.XLOOKUP(M493,Cadastros!$D$6:$D$90,Cadastros!$E$6:$E$90))*(1-_xlfn.XLOOKUP(_xlfn.XLOOKUP($F493,Clientes!$B$4:$B$39,Clientes!$C$4:$C$39),Cadastros!$L$6:$L$12,Cadastros!$N$6:$N$12)))</f>
        <v/>
      </c>
      <c r="P493" s="168" t="str">
        <f t="shared" si="93"/>
        <v/>
      </c>
      <c r="Q493" s="168" t="str">
        <f>IFERROR(P493/_xlfn.XLOOKUP(_xlfn.XLOOKUP($F493,Clientes!$B$4:$B$39,Clientes!$C$4:$C$39),Cadastros!$L$6:$L$12,Cadastros!$M$6:$M$12)," ")</f>
        <v xml:space="preserve"> </v>
      </c>
      <c r="R493" s="28"/>
      <c r="S493" s="28"/>
      <c r="T493" s="255" t="str">
        <f>IF(R493="","",(_xlfn.XLOOKUP(R493,Cadastros!$D$6:$D$90,Cadastros!$E$6:$E$90))*(1-_xlfn.XLOOKUP(_xlfn.XLOOKUP($F493,Clientes!$B$4:$B$39,Clientes!$C$4:$C$39),Cadastros!$L$6:$L$12,Cadastros!$N$6:$N$12)))</f>
        <v/>
      </c>
      <c r="U493" s="168" t="str">
        <f t="shared" si="94"/>
        <v/>
      </c>
      <c r="V493" s="168" t="str">
        <f>IFERROR(U493/_xlfn.XLOOKUP(_xlfn.XLOOKUP($F493,Clientes!$B$4:$B$39,Clientes!$C$4:$C$39),Cadastros!$L$6:$L$12,Cadastros!$M$6:$M$12)," ")</f>
        <v xml:space="preserve"> </v>
      </c>
      <c r="W493" s="28"/>
      <c r="X493" s="28"/>
      <c r="Y493" s="255" t="str">
        <f>IF(W493="","",(_xlfn.XLOOKUP(W493,Cadastros!$D$6:$D$90,Cadastros!$E$6:$E$90))*(1-_xlfn.XLOOKUP(_xlfn.XLOOKUP($F493,Clientes!$B$4:$B$39,Clientes!$C$4:$C$39),Cadastros!$L$6:$L$12,Cadastros!$N$6:$N$12)))</f>
        <v/>
      </c>
      <c r="Z493" s="168" t="str">
        <f t="shared" si="95"/>
        <v/>
      </c>
      <c r="AA493" s="168" t="str">
        <f>IFERROR(Z493/_xlfn.XLOOKUP(_xlfn.XLOOKUP($F493,Clientes!$B$4:$B$39,Clientes!$C$4:$C$39),Cadastros!$L$6:$L$12,Cadastros!$M$6:$M$12)," ")</f>
        <v xml:space="preserve"> </v>
      </c>
      <c r="AB493" s="28"/>
      <c r="AC493" s="28"/>
      <c r="AD493" s="20" t="str">
        <f>IF(AB493="","",IF($F493="Bernardino Furlan",_xlfn.XLOOKUP(AB493,Cadastros!$G$6:$G$90,Cadastros!$H$6:$H$90)*(1-0.18),IF($F493="Mauro José Salanti",_xlfn.XLOOKUP(AB493,Cadastros!$G$6:$G$90,Cadastros!$H$6:$H$90)*(1-0.18),_xlfn.XLOOKUP(AB493,Cadastros!$G$6:$G$90,Cadastros!$H$6:$H$90))))</f>
        <v/>
      </c>
      <c r="AE493" s="168" t="str">
        <f t="shared" si="96"/>
        <v/>
      </c>
      <c r="AF493" s="168" t="str">
        <f t="shared" si="97"/>
        <v/>
      </c>
      <c r="AG493" s="28"/>
      <c r="AH493" s="28"/>
      <c r="AI493" s="20" t="str">
        <f>IF(AG493="","",IF($F493="Bernardino Furlan",_xlfn.XLOOKUP(AG493,Cadastros!$G$6:$G$90,Cadastros!$H$6:$H$90)*(1-0.18),IF($F493="Mauro José Salanti",_xlfn.XLOOKUP(AG493,Cadastros!$G$6:$G$90,Cadastros!$H$6:$H$90)*(1-0.18),_xlfn.XLOOKUP(AG493,Cadastros!$G$6:$G$90,Cadastros!$H$6:$H$90))))</f>
        <v/>
      </c>
      <c r="AJ493" s="168" t="str">
        <f t="shared" si="98"/>
        <v/>
      </c>
      <c r="AK493" s="168" t="str">
        <f t="shared" si="99"/>
        <v/>
      </c>
      <c r="AL493" s="28"/>
      <c r="AM493" s="28"/>
      <c r="AN493" s="20" t="str">
        <f>IF(AL493="","",IF($F493="Bernardino Furlan",_xlfn.XLOOKUP(AL493,Cadastros!$G$6:$G$90,Cadastros!$H$6:$H$90)*(1-0.18),IF($F493="Mauro José Salanti",_xlfn.XLOOKUP(AL493,Cadastros!$G$6:$G$90,Cadastros!$H$6:$H$90)*(1-0.18),_xlfn.XLOOKUP(AL493,Cadastros!$G$6:$G$90,Cadastros!$H$6:$H$90))))</f>
        <v/>
      </c>
      <c r="AO493" s="168" t="str">
        <f t="shared" si="100"/>
        <v/>
      </c>
      <c r="AP493" s="168" t="str">
        <f t="shared" si="101"/>
        <v/>
      </c>
      <c r="AQ493" s="28"/>
      <c r="AR493" s="28"/>
      <c r="AS493" s="20" t="str">
        <f>IF(AQ493="","",IF($F493="Bernardino Furlan",_xlfn.XLOOKUP(AQ493,Cadastros!$G$6:$G$90,Cadastros!$H$6:$H$90)*(1-0.18),IF($F493="Mauro José Salanti",_xlfn.XLOOKUP(AQ493,Cadastros!$G$6:$G$90,Cadastros!$H$6:$H$90)*(1-0.18),_xlfn.XLOOKUP(AQ493,Cadastros!$G$6:$G$90,Cadastros!$H$6:$H$90))))</f>
        <v/>
      </c>
      <c r="AT493" s="168" t="str">
        <f t="shared" si="102"/>
        <v/>
      </c>
      <c r="AU493" s="168" t="str">
        <f t="shared" si="103"/>
        <v/>
      </c>
      <c r="AV493" s="227"/>
      <c r="AW493" s="30"/>
      <c r="AX493" s="267"/>
      <c r="AY493" s="267"/>
      <c r="AZ493" s="29"/>
      <c r="BA493" s="30"/>
      <c r="BB493" s="23" t="str" cm="1">
        <f t="array" ref="BB493">_xlfn.IFS(AW493="SIM",SUM(K493,P493,U493,Z493,AE493,AJ493,AO493,AT493,AX493,AY493),F493&lt;&gt;"",SUM(K493,P493,U493,Z493,AE493,AJ493,,AO493,AT493),F493="","")</f>
        <v/>
      </c>
      <c r="BC493" s="211" t="str" cm="1">
        <f t="array" ref="BC493">_xlfn.IFS(E493="","",G493&lt;=E493,BB493*(1-0.03),G493&lt;(E493+8),BB493,AZ493="Boleto",BB493*(1+0.001)^DATEDIF(E493,G493,"D"),AZ493="Cheque",BB493,AZ493="Dinheiro","Alterar forma pgto")</f>
        <v/>
      </c>
      <c r="BD493" s="276" t="str" cm="1">
        <f t="array" ref="BD493">IF(F493=0," ",IF(BC493&lt;BB493,(_xlfn.IFS(AW493="SIM",SUM(L493,Q493,V493,AA493,AF493,AK493,AP493,AU493)+AX493/_xlfn.XLOOKUP(_xlfn.XLOOKUP($F493,Clientes!$B$4:$B$39,Clientes!$C$4:$C$39),Cadastros!$L$6:$L$12,Cadastros!$M$6:$M$12)+IF($F493="Bernardino Furlan",AY493/2751.92,IF($F493="Mauro José Salanti",AY493/2751.92,AY493/3356)),F493&lt;&gt;0,SUM(L493,Q493,V493,AA493,AF493,AK493,AP493,AU493)))*(1-0.03),_xlfn.IFS(AW493="SIM",SUM(L493,Q493,V493,AA493,AF493,AK493,AP493,AU493)+AX493/_xlfn.XLOOKUP(_xlfn.XLOOKUP($F493,Clientes!$B$4:$B$39,Clientes!$C$4:$C$39),Cadastros!$L$6:$L$12,Cadastros!$M$6:$M$12)+IF($F493="Bernardino Furlan",AY493/2751.92,IF($F493="Mauro José Salanti",AY493/2751.92,AY493/3356)),F493&lt;&gt;0,SUM(L493,Q493,V493,AA493,AF493,AK493,AP493,AU493))))</f>
        <v xml:space="preserve"> </v>
      </c>
      <c r="BE493" s="120"/>
      <c r="BF493" s="120"/>
      <c r="BG493" s="120"/>
    </row>
    <row r="494" spans="1:59" s="3" customFormat="1" x14ac:dyDescent="0.3">
      <c r="A494" s="15" t="str">
        <f t="shared" si="91"/>
        <v/>
      </c>
      <c r="B494" s="25"/>
      <c r="C494" s="26"/>
      <c r="D494" s="279"/>
      <c r="E494" s="27"/>
      <c r="F494" s="28"/>
      <c r="G494" s="27"/>
      <c r="H494" s="28"/>
      <c r="I494" s="28"/>
      <c r="J494" s="255" t="str">
        <f>IF(H494="","",(_xlfn.XLOOKUP(H494,Cadastros!$D$6:$D$90,Cadastros!$E$6:$E$90))*(1-_xlfn.XLOOKUP(_xlfn.XLOOKUP($F494,Clientes!$B$4:$B$39,Clientes!$C$4:$C$39),Cadastros!$L$6:$L$12,Cadastros!$N$6:$N$12)))</f>
        <v/>
      </c>
      <c r="K494" s="168" t="str">
        <f t="shared" si="92"/>
        <v/>
      </c>
      <c r="L494" s="168" t="str">
        <f>IFERROR(K494/_xlfn.XLOOKUP(_xlfn.XLOOKUP($F494,Clientes!$B$4:$B$39,Clientes!$C$4:$C$39),Cadastros!$L$6:$L$12,Cadastros!$M$6:$M$12)," ")</f>
        <v xml:space="preserve"> </v>
      </c>
      <c r="M494" s="28"/>
      <c r="N494" s="28"/>
      <c r="O494" s="255" t="str">
        <f>IF(M494="","",(_xlfn.XLOOKUP(M494,Cadastros!$D$6:$D$90,Cadastros!$E$6:$E$90))*(1-_xlfn.XLOOKUP(_xlfn.XLOOKUP($F494,Clientes!$B$4:$B$39,Clientes!$C$4:$C$39),Cadastros!$L$6:$L$12,Cadastros!$N$6:$N$12)))</f>
        <v/>
      </c>
      <c r="P494" s="168" t="str">
        <f t="shared" si="93"/>
        <v/>
      </c>
      <c r="Q494" s="168" t="str">
        <f>IFERROR(P494/_xlfn.XLOOKUP(_xlfn.XLOOKUP($F494,Clientes!$B$4:$B$39,Clientes!$C$4:$C$39),Cadastros!$L$6:$L$12,Cadastros!$M$6:$M$12)," ")</f>
        <v xml:space="preserve"> </v>
      </c>
      <c r="R494" s="28"/>
      <c r="S494" s="28"/>
      <c r="T494" s="255" t="str">
        <f>IF(R494="","",(_xlfn.XLOOKUP(R494,Cadastros!$D$6:$D$90,Cadastros!$E$6:$E$90))*(1-_xlfn.XLOOKUP(_xlfn.XLOOKUP($F494,Clientes!$B$4:$B$39,Clientes!$C$4:$C$39),Cadastros!$L$6:$L$12,Cadastros!$N$6:$N$12)))</f>
        <v/>
      </c>
      <c r="U494" s="168" t="str">
        <f t="shared" si="94"/>
        <v/>
      </c>
      <c r="V494" s="168" t="str">
        <f>IFERROR(U494/_xlfn.XLOOKUP(_xlfn.XLOOKUP($F494,Clientes!$B$4:$B$39,Clientes!$C$4:$C$39),Cadastros!$L$6:$L$12,Cadastros!$M$6:$M$12)," ")</f>
        <v xml:space="preserve"> </v>
      </c>
      <c r="W494" s="28"/>
      <c r="X494" s="28"/>
      <c r="Y494" s="255" t="str">
        <f>IF(W494="","",(_xlfn.XLOOKUP(W494,Cadastros!$D$6:$D$90,Cadastros!$E$6:$E$90))*(1-_xlfn.XLOOKUP(_xlfn.XLOOKUP($F494,Clientes!$B$4:$B$39,Clientes!$C$4:$C$39),Cadastros!$L$6:$L$12,Cadastros!$N$6:$N$12)))</f>
        <v/>
      </c>
      <c r="Z494" s="168" t="str">
        <f t="shared" si="95"/>
        <v/>
      </c>
      <c r="AA494" s="168" t="str">
        <f>IFERROR(Z494/_xlfn.XLOOKUP(_xlfn.XLOOKUP($F494,Clientes!$B$4:$B$39,Clientes!$C$4:$C$39),Cadastros!$L$6:$L$12,Cadastros!$M$6:$M$12)," ")</f>
        <v xml:space="preserve"> </v>
      </c>
      <c r="AB494" s="28"/>
      <c r="AC494" s="28"/>
      <c r="AD494" s="20" t="str">
        <f>IF(AB494="","",IF($F494="Bernardino Furlan",_xlfn.XLOOKUP(AB494,Cadastros!$G$6:$G$90,Cadastros!$H$6:$H$90)*(1-0.18),IF($F494="Mauro José Salanti",_xlfn.XLOOKUP(AB494,Cadastros!$G$6:$G$90,Cadastros!$H$6:$H$90)*(1-0.18),_xlfn.XLOOKUP(AB494,Cadastros!$G$6:$G$90,Cadastros!$H$6:$H$90))))</f>
        <v/>
      </c>
      <c r="AE494" s="168" t="str">
        <f t="shared" si="96"/>
        <v/>
      </c>
      <c r="AF494" s="168" t="str">
        <f t="shared" si="97"/>
        <v/>
      </c>
      <c r="AG494" s="28"/>
      <c r="AH494" s="28"/>
      <c r="AI494" s="20" t="str">
        <f>IF(AG494="","",IF($F494="Bernardino Furlan",_xlfn.XLOOKUP(AG494,Cadastros!$G$6:$G$90,Cadastros!$H$6:$H$90)*(1-0.18),IF($F494="Mauro José Salanti",_xlfn.XLOOKUP(AG494,Cadastros!$G$6:$G$90,Cadastros!$H$6:$H$90)*(1-0.18),_xlfn.XLOOKUP(AG494,Cadastros!$G$6:$G$90,Cadastros!$H$6:$H$90))))</f>
        <v/>
      </c>
      <c r="AJ494" s="168" t="str">
        <f t="shared" si="98"/>
        <v/>
      </c>
      <c r="AK494" s="168" t="str">
        <f t="shared" si="99"/>
        <v/>
      </c>
      <c r="AL494" s="28"/>
      <c r="AM494" s="28"/>
      <c r="AN494" s="20" t="str">
        <f>IF(AL494="","",IF($F494="Bernardino Furlan",_xlfn.XLOOKUP(AL494,Cadastros!$G$6:$G$90,Cadastros!$H$6:$H$90)*(1-0.18),IF($F494="Mauro José Salanti",_xlfn.XLOOKUP(AL494,Cadastros!$G$6:$G$90,Cadastros!$H$6:$H$90)*(1-0.18),_xlfn.XLOOKUP(AL494,Cadastros!$G$6:$G$90,Cadastros!$H$6:$H$90))))</f>
        <v/>
      </c>
      <c r="AO494" s="168" t="str">
        <f t="shared" si="100"/>
        <v/>
      </c>
      <c r="AP494" s="168" t="str">
        <f t="shared" si="101"/>
        <v/>
      </c>
      <c r="AQ494" s="28"/>
      <c r="AR494" s="28"/>
      <c r="AS494" s="20" t="str">
        <f>IF(AQ494="","",IF($F494="Bernardino Furlan",_xlfn.XLOOKUP(AQ494,Cadastros!$G$6:$G$90,Cadastros!$H$6:$H$90)*(1-0.18),IF($F494="Mauro José Salanti",_xlfn.XLOOKUP(AQ494,Cadastros!$G$6:$G$90,Cadastros!$H$6:$H$90)*(1-0.18),_xlfn.XLOOKUP(AQ494,Cadastros!$G$6:$G$90,Cadastros!$H$6:$H$90))))</f>
        <v/>
      </c>
      <c r="AT494" s="168" t="str">
        <f t="shared" si="102"/>
        <v/>
      </c>
      <c r="AU494" s="168" t="str">
        <f t="shared" si="103"/>
        <v/>
      </c>
      <c r="AV494" s="227"/>
      <c r="AW494" s="30"/>
      <c r="AX494" s="267"/>
      <c r="AY494" s="267"/>
      <c r="AZ494" s="29"/>
      <c r="BA494" s="30"/>
      <c r="BB494" s="23" t="str" cm="1">
        <f t="array" ref="BB494">_xlfn.IFS(AW494="SIM",SUM(K494,P494,U494,Z494,AE494,AJ494,AO494,AT494,AX494,AY494),F494&lt;&gt;"",SUM(K494,P494,U494,Z494,AE494,AJ494,,AO494,AT494),F494="","")</f>
        <v/>
      </c>
      <c r="BC494" s="211" t="str" cm="1">
        <f t="array" ref="BC494">_xlfn.IFS(E494="","",G494&lt;=E494,BB494*(1-0.03),G494&lt;(E494+8),BB494,AZ494="Boleto",BB494*(1+0.001)^DATEDIF(E494,G494,"D"),AZ494="Cheque",BB494,AZ494="Dinheiro","Alterar forma pgto")</f>
        <v/>
      </c>
      <c r="BD494" s="276" t="str" cm="1">
        <f t="array" ref="BD494">IF(F494=0," ",IF(BC494&lt;BB494,(_xlfn.IFS(AW494="SIM",SUM(L494,Q494,V494,AA494,AF494,AK494,AP494,AU494)+AX494/_xlfn.XLOOKUP(_xlfn.XLOOKUP($F494,Clientes!$B$4:$B$39,Clientes!$C$4:$C$39),Cadastros!$L$6:$L$12,Cadastros!$M$6:$M$12)+IF($F494="Bernardino Furlan",AY494/2751.92,IF($F494="Mauro José Salanti",AY494/2751.92,AY494/3356)),F494&lt;&gt;0,SUM(L494,Q494,V494,AA494,AF494,AK494,AP494,AU494)))*(1-0.03),_xlfn.IFS(AW494="SIM",SUM(L494,Q494,V494,AA494,AF494,AK494,AP494,AU494)+AX494/_xlfn.XLOOKUP(_xlfn.XLOOKUP($F494,Clientes!$B$4:$B$39,Clientes!$C$4:$C$39),Cadastros!$L$6:$L$12,Cadastros!$M$6:$M$12)+IF($F494="Bernardino Furlan",AY494/2751.92,IF($F494="Mauro José Salanti",AY494/2751.92,AY494/3356)),F494&lt;&gt;0,SUM(L494,Q494,V494,AA494,AF494,AK494,AP494,AU494))))</f>
        <v xml:space="preserve"> </v>
      </c>
      <c r="BE494" s="120"/>
      <c r="BF494" s="120"/>
      <c r="BG494" s="120"/>
    </row>
    <row r="495" spans="1:59" s="3" customFormat="1" x14ac:dyDescent="0.3">
      <c r="A495" s="15" t="str">
        <f t="shared" si="91"/>
        <v/>
      </c>
      <c r="B495" s="25"/>
      <c r="C495" s="26"/>
      <c r="D495" s="279"/>
      <c r="E495" s="27"/>
      <c r="F495" s="28"/>
      <c r="G495" s="27"/>
      <c r="H495" s="28"/>
      <c r="I495" s="28"/>
      <c r="J495" s="255" t="str">
        <f>IF(H495="","",(_xlfn.XLOOKUP(H495,Cadastros!$D$6:$D$90,Cadastros!$E$6:$E$90))*(1-_xlfn.XLOOKUP(_xlfn.XLOOKUP($F495,Clientes!$B$4:$B$39,Clientes!$C$4:$C$39),Cadastros!$L$6:$L$12,Cadastros!$N$6:$N$12)))</f>
        <v/>
      </c>
      <c r="K495" s="168" t="str">
        <f t="shared" si="92"/>
        <v/>
      </c>
      <c r="L495" s="168" t="str">
        <f>IFERROR(K495/_xlfn.XLOOKUP(_xlfn.XLOOKUP($F495,Clientes!$B$4:$B$39,Clientes!$C$4:$C$39),Cadastros!$L$6:$L$12,Cadastros!$M$6:$M$12)," ")</f>
        <v xml:space="preserve"> </v>
      </c>
      <c r="M495" s="28"/>
      <c r="N495" s="28"/>
      <c r="O495" s="255" t="str">
        <f>IF(M495="","",(_xlfn.XLOOKUP(M495,Cadastros!$D$6:$D$90,Cadastros!$E$6:$E$90))*(1-_xlfn.XLOOKUP(_xlfn.XLOOKUP($F495,Clientes!$B$4:$B$39,Clientes!$C$4:$C$39),Cadastros!$L$6:$L$12,Cadastros!$N$6:$N$12)))</f>
        <v/>
      </c>
      <c r="P495" s="168" t="str">
        <f t="shared" si="93"/>
        <v/>
      </c>
      <c r="Q495" s="168" t="str">
        <f>IFERROR(P495/_xlfn.XLOOKUP(_xlfn.XLOOKUP($F495,Clientes!$B$4:$B$39,Clientes!$C$4:$C$39),Cadastros!$L$6:$L$12,Cadastros!$M$6:$M$12)," ")</f>
        <v xml:space="preserve"> </v>
      </c>
      <c r="R495" s="28"/>
      <c r="S495" s="28"/>
      <c r="T495" s="255" t="str">
        <f>IF(R495="","",(_xlfn.XLOOKUP(R495,Cadastros!$D$6:$D$90,Cadastros!$E$6:$E$90))*(1-_xlfn.XLOOKUP(_xlfn.XLOOKUP($F495,Clientes!$B$4:$B$39,Clientes!$C$4:$C$39),Cadastros!$L$6:$L$12,Cadastros!$N$6:$N$12)))</f>
        <v/>
      </c>
      <c r="U495" s="168" t="str">
        <f t="shared" si="94"/>
        <v/>
      </c>
      <c r="V495" s="168" t="str">
        <f>IFERROR(U495/_xlfn.XLOOKUP(_xlfn.XLOOKUP($F495,Clientes!$B$4:$B$39,Clientes!$C$4:$C$39),Cadastros!$L$6:$L$12,Cadastros!$M$6:$M$12)," ")</f>
        <v xml:space="preserve"> </v>
      </c>
      <c r="W495" s="28"/>
      <c r="X495" s="28"/>
      <c r="Y495" s="255" t="str">
        <f>IF(W495="","",(_xlfn.XLOOKUP(W495,Cadastros!$D$6:$D$90,Cadastros!$E$6:$E$90))*(1-_xlfn.XLOOKUP(_xlfn.XLOOKUP($F495,Clientes!$B$4:$B$39,Clientes!$C$4:$C$39),Cadastros!$L$6:$L$12,Cadastros!$N$6:$N$12)))</f>
        <v/>
      </c>
      <c r="Z495" s="168" t="str">
        <f t="shared" si="95"/>
        <v/>
      </c>
      <c r="AA495" s="168" t="str">
        <f>IFERROR(Z495/_xlfn.XLOOKUP(_xlfn.XLOOKUP($F495,Clientes!$B$4:$B$39,Clientes!$C$4:$C$39),Cadastros!$L$6:$L$12,Cadastros!$M$6:$M$12)," ")</f>
        <v xml:space="preserve"> </v>
      </c>
      <c r="AB495" s="28"/>
      <c r="AC495" s="28"/>
      <c r="AD495" s="20" t="str">
        <f>IF(AB495="","",IF($F495="Bernardino Furlan",_xlfn.XLOOKUP(AB495,Cadastros!$G$6:$G$90,Cadastros!$H$6:$H$90)*(1-0.18),IF($F495="Mauro José Salanti",_xlfn.XLOOKUP(AB495,Cadastros!$G$6:$G$90,Cadastros!$H$6:$H$90)*(1-0.18),_xlfn.XLOOKUP(AB495,Cadastros!$G$6:$G$90,Cadastros!$H$6:$H$90))))</f>
        <v/>
      </c>
      <c r="AE495" s="168" t="str">
        <f t="shared" si="96"/>
        <v/>
      </c>
      <c r="AF495" s="168" t="str">
        <f t="shared" si="97"/>
        <v/>
      </c>
      <c r="AG495" s="28"/>
      <c r="AH495" s="28"/>
      <c r="AI495" s="20" t="str">
        <f>IF(AG495="","",IF($F495="Bernardino Furlan",_xlfn.XLOOKUP(AG495,Cadastros!$G$6:$G$90,Cadastros!$H$6:$H$90)*(1-0.18),IF($F495="Mauro José Salanti",_xlfn.XLOOKUP(AG495,Cadastros!$G$6:$G$90,Cadastros!$H$6:$H$90)*(1-0.18),_xlfn.XLOOKUP(AG495,Cadastros!$G$6:$G$90,Cadastros!$H$6:$H$90))))</f>
        <v/>
      </c>
      <c r="AJ495" s="168" t="str">
        <f t="shared" si="98"/>
        <v/>
      </c>
      <c r="AK495" s="168" t="str">
        <f t="shared" si="99"/>
        <v/>
      </c>
      <c r="AL495" s="28"/>
      <c r="AM495" s="28"/>
      <c r="AN495" s="20" t="str">
        <f>IF(AL495="","",IF($F495="Bernardino Furlan",_xlfn.XLOOKUP(AL495,Cadastros!$G$6:$G$90,Cadastros!$H$6:$H$90)*(1-0.18),IF($F495="Mauro José Salanti",_xlfn.XLOOKUP(AL495,Cadastros!$G$6:$G$90,Cadastros!$H$6:$H$90)*(1-0.18),_xlfn.XLOOKUP(AL495,Cadastros!$G$6:$G$90,Cadastros!$H$6:$H$90))))</f>
        <v/>
      </c>
      <c r="AO495" s="168" t="str">
        <f t="shared" si="100"/>
        <v/>
      </c>
      <c r="AP495" s="168" t="str">
        <f t="shared" si="101"/>
        <v/>
      </c>
      <c r="AQ495" s="28"/>
      <c r="AR495" s="28"/>
      <c r="AS495" s="20" t="str">
        <f>IF(AQ495="","",IF($F495="Bernardino Furlan",_xlfn.XLOOKUP(AQ495,Cadastros!$G$6:$G$90,Cadastros!$H$6:$H$90)*(1-0.18),IF($F495="Mauro José Salanti",_xlfn.XLOOKUP(AQ495,Cadastros!$G$6:$G$90,Cadastros!$H$6:$H$90)*(1-0.18),_xlfn.XLOOKUP(AQ495,Cadastros!$G$6:$G$90,Cadastros!$H$6:$H$90))))</f>
        <v/>
      </c>
      <c r="AT495" s="168" t="str">
        <f t="shared" si="102"/>
        <v/>
      </c>
      <c r="AU495" s="168" t="str">
        <f t="shared" si="103"/>
        <v/>
      </c>
      <c r="AV495" s="227"/>
      <c r="AW495" s="30"/>
      <c r="AX495" s="267"/>
      <c r="AY495" s="267"/>
      <c r="AZ495" s="29"/>
      <c r="BA495" s="30"/>
      <c r="BB495" s="23" t="str" cm="1">
        <f t="array" ref="BB495">_xlfn.IFS(AW495="SIM",SUM(K495,P495,U495,Z495,AE495,AJ495,AO495,AT495,AX495,AY495),F495&lt;&gt;"",SUM(K495,P495,U495,Z495,AE495,AJ495,,AO495,AT495),F495="","")</f>
        <v/>
      </c>
      <c r="BC495" s="211" t="str" cm="1">
        <f t="array" ref="BC495">_xlfn.IFS(E495="","",G495&lt;=E495,BB495*(1-0.03),G495&lt;(E495+8),BB495,AZ495="Boleto",BB495*(1+0.001)^DATEDIF(E495,G495,"D"),AZ495="Cheque",BB495,AZ495="Dinheiro","Alterar forma pgto")</f>
        <v/>
      </c>
      <c r="BD495" s="276" t="str" cm="1">
        <f t="array" ref="BD495">IF(F495=0," ",IF(BC495&lt;BB495,(_xlfn.IFS(AW495="SIM",SUM(L495,Q495,V495,AA495,AF495,AK495,AP495,AU495)+AX495/_xlfn.XLOOKUP(_xlfn.XLOOKUP($F495,Clientes!$B$4:$B$39,Clientes!$C$4:$C$39),Cadastros!$L$6:$L$12,Cadastros!$M$6:$M$12)+IF($F495="Bernardino Furlan",AY495/2751.92,IF($F495="Mauro José Salanti",AY495/2751.92,AY495/3356)),F495&lt;&gt;0,SUM(L495,Q495,V495,AA495,AF495,AK495,AP495,AU495)))*(1-0.03),_xlfn.IFS(AW495="SIM",SUM(L495,Q495,V495,AA495,AF495,AK495,AP495,AU495)+AX495/_xlfn.XLOOKUP(_xlfn.XLOOKUP($F495,Clientes!$B$4:$B$39,Clientes!$C$4:$C$39),Cadastros!$L$6:$L$12,Cadastros!$M$6:$M$12)+IF($F495="Bernardino Furlan",AY495/2751.92,IF($F495="Mauro José Salanti",AY495/2751.92,AY495/3356)),F495&lt;&gt;0,SUM(L495,Q495,V495,AA495,AF495,AK495,AP495,AU495))))</f>
        <v xml:space="preserve"> </v>
      </c>
      <c r="BE495" s="120"/>
      <c r="BF495" s="120"/>
      <c r="BG495" s="120"/>
    </row>
    <row r="496" spans="1:59" s="3" customFormat="1" x14ac:dyDescent="0.3">
      <c r="A496" s="15" t="str">
        <f t="shared" si="91"/>
        <v/>
      </c>
      <c r="B496" s="25"/>
      <c r="C496" s="26"/>
      <c r="D496" s="279"/>
      <c r="E496" s="27"/>
      <c r="F496" s="28"/>
      <c r="G496" s="27"/>
      <c r="H496" s="28"/>
      <c r="I496" s="28"/>
      <c r="J496" s="255" t="str">
        <f>IF(H496="","",(_xlfn.XLOOKUP(H496,Cadastros!$D$6:$D$90,Cadastros!$E$6:$E$90))*(1-_xlfn.XLOOKUP(_xlfn.XLOOKUP($F496,Clientes!$B$4:$B$39,Clientes!$C$4:$C$39),Cadastros!$L$6:$L$12,Cadastros!$N$6:$N$12)))</f>
        <v/>
      </c>
      <c r="K496" s="168" t="str">
        <f t="shared" si="92"/>
        <v/>
      </c>
      <c r="L496" s="168" t="str">
        <f>IFERROR(K496/_xlfn.XLOOKUP(_xlfn.XLOOKUP($F496,Clientes!$B$4:$B$39,Clientes!$C$4:$C$39),Cadastros!$L$6:$L$12,Cadastros!$M$6:$M$12)," ")</f>
        <v xml:space="preserve"> </v>
      </c>
      <c r="M496" s="28"/>
      <c r="N496" s="28"/>
      <c r="O496" s="255" t="str">
        <f>IF(M496="","",(_xlfn.XLOOKUP(M496,Cadastros!$D$6:$D$90,Cadastros!$E$6:$E$90))*(1-_xlfn.XLOOKUP(_xlfn.XLOOKUP($F496,Clientes!$B$4:$B$39,Clientes!$C$4:$C$39),Cadastros!$L$6:$L$12,Cadastros!$N$6:$N$12)))</f>
        <v/>
      </c>
      <c r="P496" s="168" t="str">
        <f t="shared" si="93"/>
        <v/>
      </c>
      <c r="Q496" s="168" t="str">
        <f>IFERROR(P496/_xlfn.XLOOKUP(_xlfn.XLOOKUP($F496,Clientes!$B$4:$B$39,Clientes!$C$4:$C$39),Cadastros!$L$6:$L$12,Cadastros!$M$6:$M$12)," ")</f>
        <v xml:space="preserve"> </v>
      </c>
      <c r="R496" s="28"/>
      <c r="S496" s="28"/>
      <c r="T496" s="255" t="str">
        <f>IF(R496="","",(_xlfn.XLOOKUP(R496,Cadastros!$D$6:$D$90,Cadastros!$E$6:$E$90))*(1-_xlfn.XLOOKUP(_xlfn.XLOOKUP($F496,Clientes!$B$4:$B$39,Clientes!$C$4:$C$39),Cadastros!$L$6:$L$12,Cadastros!$N$6:$N$12)))</f>
        <v/>
      </c>
      <c r="U496" s="168" t="str">
        <f t="shared" si="94"/>
        <v/>
      </c>
      <c r="V496" s="168" t="str">
        <f>IFERROR(U496/_xlfn.XLOOKUP(_xlfn.XLOOKUP($F496,Clientes!$B$4:$B$39,Clientes!$C$4:$C$39),Cadastros!$L$6:$L$12,Cadastros!$M$6:$M$12)," ")</f>
        <v xml:space="preserve"> </v>
      </c>
      <c r="W496" s="28"/>
      <c r="X496" s="28"/>
      <c r="Y496" s="255" t="str">
        <f>IF(W496="","",(_xlfn.XLOOKUP(W496,Cadastros!$D$6:$D$90,Cadastros!$E$6:$E$90))*(1-_xlfn.XLOOKUP(_xlfn.XLOOKUP($F496,Clientes!$B$4:$B$39,Clientes!$C$4:$C$39),Cadastros!$L$6:$L$12,Cadastros!$N$6:$N$12)))</f>
        <v/>
      </c>
      <c r="Z496" s="168" t="str">
        <f t="shared" si="95"/>
        <v/>
      </c>
      <c r="AA496" s="168" t="str">
        <f>IFERROR(Z496/_xlfn.XLOOKUP(_xlfn.XLOOKUP($F496,Clientes!$B$4:$B$39,Clientes!$C$4:$C$39),Cadastros!$L$6:$L$12,Cadastros!$M$6:$M$12)," ")</f>
        <v xml:space="preserve"> </v>
      </c>
      <c r="AB496" s="28"/>
      <c r="AC496" s="28"/>
      <c r="AD496" s="20" t="str">
        <f>IF(AB496="","",IF($F496="Bernardino Furlan",_xlfn.XLOOKUP(AB496,Cadastros!$G$6:$G$90,Cadastros!$H$6:$H$90)*(1-0.18),IF($F496="Mauro José Salanti",_xlfn.XLOOKUP(AB496,Cadastros!$G$6:$G$90,Cadastros!$H$6:$H$90)*(1-0.18),_xlfn.XLOOKUP(AB496,Cadastros!$G$6:$G$90,Cadastros!$H$6:$H$90))))</f>
        <v/>
      </c>
      <c r="AE496" s="168" t="str">
        <f t="shared" si="96"/>
        <v/>
      </c>
      <c r="AF496" s="168" t="str">
        <f t="shared" si="97"/>
        <v/>
      </c>
      <c r="AG496" s="28"/>
      <c r="AH496" s="28"/>
      <c r="AI496" s="20" t="str">
        <f>IF(AG496="","",IF($F496="Bernardino Furlan",_xlfn.XLOOKUP(AG496,Cadastros!$G$6:$G$90,Cadastros!$H$6:$H$90)*(1-0.18),IF($F496="Mauro José Salanti",_xlfn.XLOOKUP(AG496,Cadastros!$G$6:$G$90,Cadastros!$H$6:$H$90)*(1-0.18),_xlfn.XLOOKUP(AG496,Cadastros!$G$6:$G$90,Cadastros!$H$6:$H$90))))</f>
        <v/>
      </c>
      <c r="AJ496" s="168" t="str">
        <f t="shared" si="98"/>
        <v/>
      </c>
      <c r="AK496" s="168" t="str">
        <f t="shared" si="99"/>
        <v/>
      </c>
      <c r="AL496" s="28"/>
      <c r="AM496" s="28"/>
      <c r="AN496" s="20" t="str">
        <f>IF(AL496="","",IF($F496="Bernardino Furlan",_xlfn.XLOOKUP(AL496,Cadastros!$G$6:$G$90,Cadastros!$H$6:$H$90)*(1-0.18),IF($F496="Mauro José Salanti",_xlfn.XLOOKUP(AL496,Cadastros!$G$6:$G$90,Cadastros!$H$6:$H$90)*(1-0.18),_xlfn.XLOOKUP(AL496,Cadastros!$G$6:$G$90,Cadastros!$H$6:$H$90))))</f>
        <v/>
      </c>
      <c r="AO496" s="168" t="str">
        <f t="shared" si="100"/>
        <v/>
      </c>
      <c r="AP496" s="168" t="str">
        <f t="shared" si="101"/>
        <v/>
      </c>
      <c r="AQ496" s="28"/>
      <c r="AR496" s="28"/>
      <c r="AS496" s="20" t="str">
        <f>IF(AQ496="","",IF($F496="Bernardino Furlan",_xlfn.XLOOKUP(AQ496,Cadastros!$G$6:$G$90,Cadastros!$H$6:$H$90)*(1-0.18),IF($F496="Mauro José Salanti",_xlfn.XLOOKUP(AQ496,Cadastros!$G$6:$G$90,Cadastros!$H$6:$H$90)*(1-0.18),_xlfn.XLOOKUP(AQ496,Cadastros!$G$6:$G$90,Cadastros!$H$6:$H$90))))</f>
        <v/>
      </c>
      <c r="AT496" s="168" t="str">
        <f t="shared" si="102"/>
        <v/>
      </c>
      <c r="AU496" s="168" t="str">
        <f t="shared" si="103"/>
        <v/>
      </c>
      <c r="AV496" s="227"/>
      <c r="AW496" s="30"/>
      <c r="AX496" s="267"/>
      <c r="AY496" s="267"/>
      <c r="AZ496" s="29"/>
      <c r="BA496" s="30"/>
      <c r="BB496" s="23" t="str" cm="1">
        <f t="array" ref="BB496">_xlfn.IFS(AW496="SIM",SUM(K496,P496,U496,Z496,AE496,AJ496,AO496,AT496,AX496,AY496),F496&lt;&gt;"",SUM(K496,P496,U496,Z496,AE496,AJ496,,AO496,AT496),F496="","")</f>
        <v/>
      </c>
      <c r="BC496" s="211" t="str" cm="1">
        <f t="array" ref="BC496">_xlfn.IFS(E496="","",G496&lt;=E496,BB496*(1-0.03),G496&lt;(E496+8),BB496,AZ496="Boleto",BB496*(1+0.001)^DATEDIF(E496,G496,"D"),AZ496="Cheque",BB496,AZ496="Dinheiro","Alterar forma pgto")</f>
        <v/>
      </c>
      <c r="BD496" s="276" t="str" cm="1">
        <f t="array" ref="BD496">IF(F496=0," ",IF(BC496&lt;BB496,(_xlfn.IFS(AW496="SIM",SUM(L496,Q496,V496,AA496,AF496,AK496,AP496,AU496)+AX496/_xlfn.XLOOKUP(_xlfn.XLOOKUP($F496,Clientes!$B$4:$B$39,Clientes!$C$4:$C$39),Cadastros!$L$6:$L$12,Cadastros!$M$6:$M$12)+IF($F496="Bernardino Furlan",AY496/2751.92,IF($F496="Mauro José Salanti",AY496/2751.92,AY496/3356)),F496&lt;&gt;0,SUM(L496,Q496,V496,AA496,AF496,AK496,AP496,AU496)))*(1-0.03),_xlfn.IFS(AW496="SIM",SUM(L496,Q496,V496,AA496,AF496,AK496,AP496,AU496)+AX496/_xlfn.XLOOKUP(_xlfn.XLOOKUP($F496,Clientes!$B$4:$B$39,Clientes!$C$4:$C$39),Cadastros!$L$6:$L$12,Cadastros!$M$6:$M$12)+IF($F496="Bernardino Furlan",AY496/2751.92,IF($F496="Mauro José Salanti",AY496/2751.92,AY496/3356)),F496&lt;&gt;0,SUM(L496,Q496,V496,AA496,AF496,AK496,AP496,AU496))))</f>
        <v xml:space="preserve"> </v>
      </c>
      <c r="BE496" s="120"/>
      <c r="BF496" s="120"/>
      <c r="BG496" s="120"/>
    </row>
    <row r="497" spans="1:59" s="3" customFormat="1" x14ac:dyDescent="0.3">
      <c r="A497" s="15" t="str">
        <f t="shared" si="91"/>
        <v/>
      </c>
      <c r="B497" s="25"/>
      <c r="C497" s="26"/>
      <c r="D497" s="279"/>
      <c r="E497" s="27"/>
      <c r="F497" s="28"/>
      <c r="G497" s="27"/>
      <c r="H497" s="28"/>
      <c r="I497" s="28"/>
      <c r="J497" s="255" t="str">
        <f>IF(H497="","",(_xlfn.XLOOKUP(H497,Cadastros!$D$6:$D$90,Cadastros!$E$6:$E$90))*(1-_xlfn.XLOOKUP(_xlfn.XLOOKUP($F497,Clientes!$B$4:$B$39,Clientes!$C$4:$C$39),Cadastros!$L$6:$L$12,Cadastros!$N$6:$N$12)))</f>
        <v/>
      </c>
      <c r="K497" s="168" t="str">
        <f t="shared" si="92"/>
        <v/>
      </c>
      <c r="L497" s="168" t="str">
        <f>IFERROR(K497/_xlfn.XLOOKUP(_xlfn.XLOOKUP($F497,Clientes!$B$4:$B$39,Clientes!$C$4:$C$39),Cadastros!$L$6:$L$12,Cadastros!$M$6:$M$12)," ")</f>
        <v xml:space="preserve"> </v>
      </c>
      <c r="M497" s="28"/>
      <c r="N497" s="28"/>
      <c r="O497" s="255" t="str">
        <f>IF(M497="","",(_xlfn.XLOOKUP(M497,Cadastros!$D$6:$D$90,Cadastros!$E$6:$E$90))*(1-_xlfn.XLOOKUP(_xlfn.XLOOKUP($F497,Clientes!$B$4:$B$39,Clientes!$C$4:$C$39),Cadastros!$L$6:$L$12,Cadastros!$N$6:$N$12)))</f>
        <v/>
      </c>
      <c r="P497" s="168" t="str">
        <f t="shared" si="93"/>
        <v/>
      </c>
      <c r="Q497" s="168" t="str">
        <f>IFERROR(P497/_xlfn.XLOOKUP(_xlfn.XLOOKUP($F497,Clientes!$B$4:$B$39,Clientes!$C$4:$C$39),Cadastros!$L$6:$L$12,Cadastros!$M$6:$M$12)," ")</f>
        <v xml:space="preserve"> </v>
      </c>
      <c r="R497" s="28"/>
      <c r="S497" s="28"/>
      <c r="T497" s="255" t="str">
        <f>IF(R497="","",(_xlfn.XLOOKUP(R497,Cadastros!$D$6:$D$90,Cadastros!$E$6:$E$90))*(1-_xlfn.XLOOKUP(_xlfn.XLOOKUP($F497,Clientes!$B$4:$B$39,Clientes!$C$4:$C$39),Cadastros!$L$6:$L$12,Cadastros!$N$6:$N$12)))</f>
        <v/>
      </c>
      <c r="U497" s="168" t="str">
        <f t="shared" si="94"/>
        <v/>
      </c>
      <c r="V497" s="168" t="str">
        <f>IFERROR(U497/_xlfn.XLOOKUP(_xlfn.XLOOKUP($F497,Clientes!$B$4:$B$39,Clientes!$C$4:$C$39),Cadastros!$L$6:$L$12,Cadastros!$M$6:$M$12)," ")</f>
        <v xml:space="preserve"> </v>
      </c>
      <c r="W497" s="28"/>
      <c r="X497" s="28"/>
      <c r="Y497" s="255" t="str">
        <f>IF(W497="","",(_xlfn.XLOOKUP(W497,Cadastros!$D$6:$D$90,Cadastros!$E$6:$E$90))*(1-_xlfn.XLOOKUP(_xlfn.XLOOKUP($F497,Clientes!$B$4:$B$39,Clientes!$C$4:$C$39),Cadastros!$L$6:$L$12,Cadastros!$N$6:$N$12)))</f>
        <v/>
      </c>
      <c r="Z497" s="168" t="str">
        <f t="shared" si="95"/>
        <v/>
      </c>
      <c r="AA497" s="168" t="str">
        <f>IFERROR(Z497/_xlfn.XLOOKUP(_xlfn.XLOOKUP($F497,Clientes!$B$4:$B$39,Clientes!$C$4:$C$39),Cadastros!$L$6:$L$12,Cadastros!$M$6:$M$12)," ")</f>
        <v xml:space="preserve"> </v>
      </c>
      <c r="AB497" s="28"/>
      <c r="AC497" s="28"/>
      <c r="AD497" s="20" t="str">
        <f>IF(AB497="","",IF($F497="Bernardino Furlan",_xlfn.XLOOKUP(AB497,Cadastros!$G$6:$G$90,Cadastros!$H$6:$H$90)*(1-0.18),IF($F497="Mauro José Salanti",_xlfn.XLOOKUP(AB497,Cadastros!$G$6:$G$90,Cadastros!$H$6:$H$90)*(1-0.18),_xlfn.XLOOKUP(AB497,Cadastros!$G$6:$G$90,Cadastros!$H$6:$H$90))))</f>
        <v/>
      </c>
      <c r="AE497" s="168" t="str">
        <f t="shared" si="96"/>
        <v/>
      </c>
      <c r="AF497" s="168" t="str">
        <f t="shared" si="97"/>
        <v/>
      </c>
      <c r="AG497" s="28"/>
      <c r="AH497" s="28"/>
      <c r="AI497" s="20" t="str">
        <f>IF(AG497="","",IF($F497="Bernardino Furlan",_xlfn.XLOOKUP(AG497,Cadastros!$G$6:$G$90,Cadastros!$H$6:$H$90)*(1-0.18),IF($F497="Mauro José Salanti",_xlfn.XLOOKUP(AG497,Cadastros!$G$6:$G$90,Cadastros!$H$6:$H$90)*(1-0.18),_xlfn.XLOOKUP(AG497,Cadastros!$G$6:$G$90,Cadastros!$H$6:$H$90))))</f>
        <v/>
      </c>
      <c r="AJ497" s="168" t="str">
        <f t="shared" si="98"/>
        <v/>
      </c>
      <c r="AK497" s="168" t="str">
        <f t="shared" si="99"/>
        <v/>
      </c>
      <c r="AL497" s="28"/>
      <c r="AM497" s="28"/>
      <c r="AN497" s="20" t="str">
        <f>IF(AL497="","",IF($F497="Bernardino Furlan",_xlfn.XLOOKUP(AL497,Cadastros!$G$6:$G$90,Cadastros!$H$6:$H$90)*(1-0.18),IF($F497="Mauro José Salanti",_xlfn.XLOOKUP(AL497,Cadastros!$G$6:$G$90,Cadastros!$H$6:$H$90)*(1-0.18),_xlfn.XLOOKUP(AL497,Cadastros!$G$6:$G$90,Cadastros!$H$6:$H$90))))</f>
        <v/>
      </c>
      <c r="AO497" s="168" t="str">
        <f t="shared" si="100"/>
        <v/>
      </c>
      <c r="AP497" s="168" t="str">
        <f t="shared" si="101"/>
        <v/>
      </c>
      <c r="AQ497" s="28"/>
      <c r="AR497" s="28"/>
      <c r="AS497" s="20" t="str">
        <f>IF(AQ497="","",IF($F497="Bernardino Furlan",_xlfn.XLOOKUP(AQ497,Cadastros!$G$6:$G$90,Cadastros!$H$6:$H$90)*(1-0.18),IF($F497="Mauro José Salanti",_xlfn.XLOOKUP(AQ497,Cadastros!$G$6:$G$90,Cadastros!$H$6:$H$90)*(1-0.18),_xlfn.XLOOKUP(AQ497,Cadastros!$G$6:$G$90,Cadastros!$H$6:$H$90))))</f>
        <v/>
      </c>
      <c r="AT497" s="168" t="str">
        <f t="shared" si="102"/>
        <v/>
      </c>
      <c r="AU497" s="168" t="str">
        <f t="shared" si="103"/>
        <v/>
      </c>
      <c r="AV497" s="227"/>
      <c r="AW497" s="30"/>
      <c r="AX497" s="267"/>
      <c r="AY497" s="267"/>
      <c r="AZ497" s="29"/>
      <c r="BA497" s="30"/>
      <c r="BB497" s="23" t="str" cm="1">
        <f t="array" ref="BB497">_xlfn.IFS(AW497="SIM",SUM(K497,P497,U497,Z497,AE497,AJ497,AO497,AT497,AX497,AY497),F497&lt;&gt;"",SUM(K497,P497,U497,Z497,AE497,AJ497,,AO497,AT497),F497="","")</f>
        <v/>
      </c>
      <c r="BC497" s="211" t="str" cm="1">
        <f t="array" ref="BC497">_xlfn.IFS(E497="","",G497&lt;=E497,BB497*(1-0.03),G497&lt;(E497+8),BB497,AZ497="Boleto",BB497*(1+0.001)^DATEDIF(E497,G497,"D"),AZ497="Cheque",BB497,AZ497="Dinheiro","Alterar forma pgto")</f>
        <v/>
      </c>
      <c r="BD497" s="276" t="str" cm="1">
        <f t="array" ref="BD497">IF(F497=0," ",IF(BC497&lt;BB497,(_xlfn.IFS(AW497="SIM",SUM(L497,Q497,V497,AA497,AF497,AK497,AP497,AU497)+AX497/_xlfn.XLOOKUP(_xlfn.XLOOKUP($F497,Clientes!$B$4:$B$39,Clientes!$C$4:$C$39),Cadastros!$L$6:$L$12,Cadastros!$M$6:$M$12)+IF($F497="Bernardino Furlan",AY497/2751.92,IF($F497="Mauro José Salanti",AY497/2751.92,AY497/3356)),F497&lt;&gt;0,SUM(L497,Q497,V497,AA497,AF497,AK497,AP497,AU497)))*(1-0.03),_xlfn.IFS(AW497="SIM",SUM(L497,Q497,V497,AA497,AF497,AK497,AP497,AU497)+AX497/_xlfn.XLOOKUP(_xlfn.XLOOKUP($F497,Clientes!$B$4:$B$39,Clientes!$C$4:$C$39),Cadastros!$L$6:$L$12,Cadastros!$M$6:$M$12)+IF($F497="Bernardino Furlan",AY497/2751.92,IF($F497="Mauro José Salanti",AY497/2751.92,AY497/3356)),F497&lt;&gt;0,SUM(L497,Q497,V497,AA497,AF497,AK497,AP497,AU497))))</f>
        <v xml:space="preserve"> </v>
      </c>
      <c r="BE497" s="120"/>
      <c r="BF497" s="120"/>
      <c r="BG497" s="120"/>
    </row>
    <row r="498" spans="1:59" s="3" customFormat="1" x14ac:dyDescent="0.3">
      <c r="A498" s="15" t="str">
        <f t="shared" si="91"/>
        <v/>
      </c>
      <c r="B498" s="25"/>
      <c r="C498" s="26"/>
      <c r="D498" s="279"/>
      <c r="E498" s="27"/>
      <c r="F498" s="28"/>
      <c r="G498" s="27"/>
      <c r="H498" s="28"/>
      <c r="I498" s="28"/>
      <c r="J498" s="255" t="str">
        <f>IF(H498="","",(_xlfn.XLOOKUP(H498,Cadastros!$D$6:$D$90,Cadastros!$E$6:$E$90))*(1-_xlfn.XLOOKUP(_xlfn.XLOOKUP($F498,Clientes!$B$4:$B$39,Clientes!$C$4:$C$39),Cadastros!$L$6:$L$12,Cadastros!$N$6:$N$12)))</f>
        <v/>
      </c>
      <c r="K498" s="168" t="str">
        <f t="shared" si="92"/>
        <v/>
      </c>
      <c r="L498" s="168" t="str">
        <f>IFERROR(K498/_xlfn.XLOOKUP(_xlfn.XLOOKUP($F498,Clientes!$B$4:$B$39,Clientes!$C$4:$C$39),Cadastros!$L$6:$L$12,Cadastros!$M$6:$M$12)," ")</f>
        <v xml:space="preserve"> </v>
      </c>
      <c r="M498" s="28"/>
      <c r="N498" s="28"/>
      <c r="O498" s="255" t="str">
        <f>IF(M498="","",(_xlfn.XLOOKUP(M498,Cadastros!$D$6:$D$90,Cadastros!$E$6:$E$90))*(1-_xlfn.XLOOKUP(_xlfn.XLOOKUP($F498,Clientes!$B$4:$B$39,Clientes!$C$4:$C$39),Cadastros!$L$6:$L$12,Cadastros!$N$6:$N$12)))</f>
        <v/>
      </c>
      <c r="P498" s="168" t="str">
        <f t="shared" si="93"/>
        <v/>
      </c>
      <c r="Q498" s="168" t="str">
        <f>IFERROR(P498/_xlfn.XLOOKUP(_xlfn.XLOOKUP($F498,Clientes!$B$4:$B$39,Clientes!$C$4:$C$39),Cadastros!$L$6:$L$12,Cadastros!$M$6:$M$12)," ")</f>
        <v xml:space="preserve"> </v>
      </c>
      <c r="R498" s="28"/>
      <c r="S498" s="28"/>
      <c r="T498" s="255" t="str">
        <f>IF(R498="","",(_xlfn.XLOOKUP(R498,Cadastros!$D$6:$D$90,Cadastros!$E$6:$E$90))*(1-_xlfn.XLOOKUP(_xlfn.XLOOKUP($F498,Clientes!$B$4:$B$39,Clientes!$C$4:$C$39),Cadastros!$L$6:$L$12,Cadastros!$N$6:$N$12)))</f>
        <v/>
      </c>
      <c r="U498" s="168" t="str">
        <f t="shared" si="94"/>
        <v/>
      </c>
      <c r="V498" s="168" t="str">
        <f>IFERROR(U498/_xlfn.XLOOKUP(_xlfn.XLOOKUP($F498,Clientes!$B$4:$B$39,Clientes!$C$4:$C$39),Cadastros!$L$6:$L$12,Cadastros!$M$6:$M$12)," ")</f>
        <v xml:space="preserve"> </v>
      </c>
      <c r="W498" s="28"/>
      <c r="X498" s="28"/>
      <c r="Y498" s="255" t="str">
        <f>IF(W498="","",(_xlfn.XLOOKUP(W498,Cadastros!$D$6:$D$90,Cadastros!$E$6:$E$90))*(1-_xlfn.XLOOKUP(_xlfn.XLOOKUP($F498,Clientes!$B$4:$B$39,Clientes!$C$4:$C$39),Cadastros!$L$6:$L$12,Cadastros!$N$6:$N$12)))</f>
        <v/>
      </c>
      <c r="Z498" s="168" t="str">
        <f t="shared" si="95"/>
        <v/>
      </c>
      <c r="AA498" s="168" t="str">
        <f>IFERROR(Z498/_xlfn.XLOOKUP(_xlfn.XLOOKUP($F498,Clientes!$B$4:$B$39,Clientes!$C$4:$C$39),Cadastros!$L$6:$L$12,Cadastros!$M$6:$M$12)," ")</f>
        <v xml:space="preserve"> </v>
      </c>
      <c r="AB498" s="28"/>
      <c r="AC498" s="28"/>
      <c r="AD498" s="20" t="str">
        <f>IF(AB498="","",IF($F498="Bernardino Furlan",_xlfn.XLOOKUP(AB498,Cadastros!$G$6:$G$90,Cadastros!$H$6:$H$90)*(1-0.18),IF($F498="Mauro José Salanti",_xlfn.XLOOKUP(AB498,Cadastros!$G$6:$G$90,Cadastros!$H$6:$H$90)*(1-0.18),_xlfn.XLOOKUP(AB498,Cadastros!$G$6:$G$90,Cadastros!$H$6:$H$90))))</f>
        <v/>
      </c>
      <c r="AE498" s="168" t="str">
        <f t="shared" si="96"/>
        <v/>
      </c>
      <c r="AF498" s="168" t="str">
        <f t="shared" si="97"/>
        <v/>
      </c>
      <c r="AG498" s="28"/>
      <c r="AH498" s="28"/>
      <c r="AI498" s="20" t="str">
        <f>IF(AG498="","",IF($F498="Bernardino Furlan",_xlfn.XLOOKUP(AG498,Cadastros!$G$6:$G$90,Cadastros!$H$6:$H$90)*(1-0.18),IF($F498="Mauro José Salanti",_xlfn.XLOOKUP(AG498,Cadastros!$G$6:$G$90,Cadastros!$H$6:$H$90)*(1-0.18),_xlfn.XLOOKUP(AG498,Cadastros!$G$6:$G$90,Cadastros!$H$6:$H$90))))</f>
        <v/>
      </c>
      <c r="AJ498" s="168" t="str">
        <f t="shared" si="98"/>
        <v/>
      </c>
      <c r="AK498" s="168" t="str">
        <f t="shared" si="99"/>
        <v/>
      </c>
      <c r="AL498" s="28"/>
      <c r="AM498" s="28"/>
      <c r="AN498" s="20" t="str">
        <f>IF(AL498="","",IF($F498="Bernardino Furlan",_xlfn.XLOOKUP(AL498,Cadastros!$G$6:$G$90,Cadastros!$H$6:$H$90)*(1-0.18),IF($F498="Mauro José Salanti",_xlfn.XLOOKUP(AL498,Cadastros!$G$6:$G$90,Cadastros!$H$6:$H$90)*(1-0.18),_xlfn.XLOOKUP(AL498,Cadastros!$G$6:$G$90,Cadastros!$H$6:$H$90))))</f>
        <v/>
      </c>
      <c r="AO498" s="168" t="str">
        <f t="shared" si="100"/>
        <v/>
      </c>
      <c r="AP498" s="168" t="str">
        <f t="shared" si="101"/>
        <v/>
      </c>
      <c r="AQ498" s="28"/>
      <c r="AR498" s="28"/>
      <c r="AS498" s="20" t="str">
        <f>IF(AQ498="","",IF($F498="Bernardino Furlan",_xlfn.XLOOKUP(AQ498,Cadastros!$G$6:$G$90,Cadastros!$H$6:$H$90)*(1-0.18),IF($F498="Mauro José Salanti",_xlfn.XLOOKUP(AQ498,Cadastros!$G$6:$G$90,Cadastros!$H$6:$H$90)*(1-0.18),_xlfn.XLOOKUP(AQ498,Cadastros!$G$6:$G$90,Cadastros!$H$6:$H$90))))</f>
        <v/>
      </c>
      <c r="AT498" s="168" t="str">
        <f t="shared" si="102"/>
        <v/>
      </c>
      <c r="AU498" s="168" t="str">
        <f t="shared" si="103"/>
        <v/>
      </c>
      <c r="AV498" s="227"/>
      <c r="AW498" s="30"/>
      <c r="AX498" s="267"/>
      <c r="AY498" s="267"/>
      <c r="AZ498" s="29"/>
      <c r="BA498" s="30"/>
      <c r="BB498" s="23" t="str" cm="1">
        <f t="array" ref="BB498">_xlfn.IFS(AW498="SIM",SUM(K498,P498,U498,Z498,AE498,AJ498,AO498,AT498,AX498,AY498),F498&lt;&gt;"",SUM(K498,P498,U498,Z498,AE498,AJ498,,AO498,AT498),F498="","")</f>
        <v/>
      </c>
      <c r="BC498" s="211" t="str" cm="1">
        <f t="array" ref="BC498">_xlfn.IFS(E498="","",G498&lt;=E498,BB498*(1-0.03),G498&lt;(E498+8),BB498,AZ498="Boleto",BB498*(1+0.001)^DATEDIF(E498,G498,"D"),AZ498="Cheque",BB498,AZ498="Dinheiro","Alterar forma pgto")</f>
        <v/>
      </c>
      <c r="BD498" s="276" t="str" cm="1">
        <f t="array" ref="BD498">IF(F498=0," ",IF(BC498&lt;BB498,(_xlfn.IFS(AW498="SIM",SUM(L498,Q498,V498,AA498,AF498,AK498,AP498,AU498)+AX498/_xlfn.XLOOKUP(_xlfn.XLOOKUP($F498,Clientes!$B$4:$B$39,Clientes!$C$4:$C$39),Cadastros!$L$6:$L$12,Cadastros!$M$6:$M$12)+IF($F498="Bernardino Furlan",AY498/2751.92,IF($F498="Mauro José Salanti",AY498/2751.92,AY498/3356)),F498&lt;&gt;0,SUM(L498,Q498,V498,AA498,AF498,AK498,AP498,AU498)))*(1-0.03),_xlfn.IFS(AW498="SIM",SUM(L498,Q498,V498,AA498,AF498,AK498,AP498,AU498)+AX498/_xlfn.XLOOKUP(_xlfn.XLOOKUP($F498,Clientes!$B$4:$B$39,Clientes!$C$4:$C$39),Cadastros!$L$6:$L$12,Cadastros!$M$6:$M$12)+IF($F498="Bernardino Furlan",AY498/2751.92,IF($F498="Mauro José Salanti",AY498/2751.92,AY498/3356)),F498&lt;&gt;0,SUM(L498,Q498,V498,AA498,AF498,AK498,AP498,AU498))))</f>
        <v xml:space="preserve"> </v>
      </c>
      <c r="BE498" s="120"/>
      <c r="BF498" s="120"/>
      <c r="BG498" s="120"/>
    </row>
    <row r="499" spans="1:59" s="3" customFormat="1" x14ac:dyDescent="0.3">
      <c r="A499" s="15" t="str">
        <f t="shared" si="91"/>
        <v/>
      </c>
      <c r="B499" s="25"/>
      <c r="C499" s="26"/>
      <c r="D499" s="279"/>
      <c r="E499" s="27"/>
      <c r="F499" s="28"/>
      <c r="G499" s="27"/>
      <c r="H499" s="28"/>
      <c r="I499" s="28"/>
      <c r="J499" s="255" t="str">
        <f>IF(H499="","",(_xlfn.XLOOKUP(H499,Cadastros!$D$6:$D$90,Cadastros!$E$6:$E$90))*(1-_xlfn.XLOOKUP(_xlfn.XLOOKUP($F499,Clientes!$B$4:$B$39,Clientes!$C$4:$C$39),Cadastros!$L$6:$L$12,Cadastros!$N$6:$N$12)))</f>
        <v/>
      </c>
      <c r="K499" s="168" t="str">
        <f t="shared" si="92"/>
        <v/>
      </c>
      <c r="L499" s="168" t="str">
        <f>IFERROR(K499/_xlfn.XLOOKUP(_xlfn.XLOOKUP($F499,Clientes!$B$4:$B$39,Clientes!$C$4:$C$39),Cadastros!$L$6:$L$12,Cadastros!$M$6:$M$12)," ")</f>
        <v xml:space="preserve"> </v>
      </c>
      <c r="M499" s="28"/>
      <c r="N499" s="28"/>
      <c r="O499" s="255" t="str">
        <f>IF(M499="","",(_xlfn.XLOOKUP(M499,Cadastros!$D$6:$D$90,Cadastros!$E$6:$E$90))*(1-_xlfn.XLOOKUP(_xlfn.XLOOKUP($F499,Clientes!$B$4:$B$39,Clientes!$C$4:$C$39),Cadastros!$L$6:$L$12,Cadastros!$N$6:$N$12)))</f>
        <v/>
      </c>
      <c r="P499" s="168" t="str">
        <f t="shared" si="93"/>
        <v/>
      </c>
      <c r="Q499" s="168" t="str">
        <f>IFERROR(P499/_xlfn.XLOOKUP(_xlfn.XLOOKUP($F499,Clientes!$B$4:$B$39,Clientes!$C$4:$C$39),Cadastros!$L$6:$L$12,Cadastros!$M$6:$M$12)," ")</f>
        <v xml:space="preserve"> </v>
      </c>
      <c r="R499" s="28"/>
      <c r="S499" s="28"/>
      <c r="T499" s="255" t="str">
        <f>IF(R499="","",(_xlfn.XLOOKUP(R499,Cadastros!$D$6:$D$90,Cadastros!$E$6:$E$90))*(1-_xlfn.XLOOKUP(_xlfn.XLOOKUP($F499,Clientes!$B$4:$B$39,Clientes!$C$4:$C$39),Cadastros!$L$6:$L$12,Cadastros!$N$6:$N$12)))</f>
        <v/>
      </c>
      <c r="U499" s="168" t="str">
        <f t="shared" si="94"/>
        <v/>
      </c>
      <c r="V499" s="168" t="str">
        <f>IFERROR(U499/_xlfn.XLOOKUP(_xlfn.XLOOKUP($F499,Clientes!$B$4:$B$39,Clientes!$C$4:$C$39),Cadastros!$L$6:$L$12,Cadastros!$M$6:$M$12)," ")</f>
        <v xml:space="preserve"> </v>
      </c>
      <c r="W499" s="28"/>
      <c r="X499" s="28"/>
      <c r="Y499" s="255" t="str">
        <f>IF(W499="","",(_xlfn.XLOOKUP(W499,Cadastros!$D$6:$D$90,Cadastros!$E$6:$E$90))*(1-_xlfn.XLOOKUP(_xlfn.XLOOKUP($F499,Clientes!$B$4:$B$39,Clientes!$C$4:$C$39),Cadastros!$L$6:$L$12,Cadastros!$N$6:$N$12)))</f>
        <v/>
      </c>
      <c r="Z499" s="168" t="str">
        <f t="shared" si="95"/>
        <v/>
      </c>
      <c r="AA499" s="168" t="str">
        <f>IFERROR(Z499/_xlfn.XLOOKUP(_xlfn.XLOOKUP($F499,Clientes!$B$4:$B$39,Clientes!$C$4:$C$39),Cadastros!$L$6:$L$12,Cadastros!$M$6:$M$12)," ")</f>
        <v xml:space="preserve"> </v>
      </c>
      <c r="AB499" s="28"/>
      <c r="AC499" s="28"/>
      <c r="AD499" s="20" t="str">
        <f>IF(AB499="","",IF($F499="Bernardino Furlan",_xlfn.XLOOKUP(AB499,Cadastros!$G$6:$G$90,Cadastros!$H$6:$H$90)*(1-0.18),IF($F499="Mauro José Salanti",_xlfn.XLOOKUP(AB499,Cadastros!$G$6:$G$90,Cadastros!$H$6:$H$90)*(1-0.18),_xlfn.XLOOKUP(AB499,Cadastros!$G$6:$G$90,Cadastros!$H$6:$H$90))))</f>
        <v/>
      </c>
      <c r="AE499" s="168" t="str">
        <f t="shared" si="96"/>
        <v/>
      </c>
      <c r="AF499" s="168" t="str">
        <f t="shared" si="97"/>
        <v/>
      </c>
      <c r="AG499" s="28"/>
      <c r="AH499" s="28"/>
      <c r="AI499" s="20" t="str">
        <f>IF(AG499="","",IF($F499="Bernardino Furlan",_xlfn.XLOOKUP(AG499,Cadastros!$G$6:$G$90,Cadastros!$H$6:$H$90)*(1-0.18),IF($F499="Mauro José Salanti",_xlfn.XLOOKUP(AG499,Cadastros!$G$6:$G$90,Cadastros!$H$6:$H$90)*(1-0.18),_xlfn.XLOOKUP(AG499,Cadastros!$G$6:$G$90,Cadastros!$H$6:$H$90))))</f>
        <v/>
      </c>
      <c r="AJ499" s="168" t="str">
        <f t="shared" si="98"/>
        <v/>
      </c>
      <c r="AK499" s="168" t="str">
        <f t="shared" si="99"/>
        <v/>
      </c>
      <c r="AL499" s="28"/>
      <c r="AM499" s="28"/>
      <c r="AN499" s="20" t="str">
        <f>IF(AL499="","",IF($F499="Bernardino Furlan",_xlfn.XLOOKUP(AL499,Cadastros!$G$6:$G$90,Cadastros!$H$6:$H$90)*(1-0.18),IF($F499="Mauro José Salanti",_xlfn.XLOOKUP(AL499,Cadastros!$G$6:$G$90,Cadastros!$H$6:$H$90)*(1-0.18),_xlfn.XLOOKUP(AL499,Cadastros!$G$6:$G$90,Cadastros!$H$6:$H$90))))</f>
        <v/>
      </c>
      <c r="AO499" s="168" t="str">
        <f t="shared" si="100"/>
        <v/>
      </c>
      <c r="AP499" s="168" t="str">
        <f t="shared" si="101"/>
        <v/>
      </c>
      <c r="AQ499" s="28"/>
      <c r="AR499" s="28"/>
      <c r="AS499" s="20" t="str">
        <f>IF(AQ499="","",IF($F499="Bernardino Furlan",_xlfn.XLOOKUP(AQ499,Cadastros!$G$6:$G$90,Cadastros!$H$6:$H$90)*(1-0.18),IF($F499="Mauro José Salanti",_xlfn.XLOOKUP(AQ499,Cadastros!$G$6:$G$90,Cadastros!$H$6:$H$90)*(1-0.18),_xlfn.XLOOKUP(AQ499,Cadastros!$G$6:$G$90,Cadastros!$H$6:$H$90))))</f>
        <v/>
      </c>
      <c r="AT499" s="168" t="str">
        <f t="shared" si="102"/>
        <v/>
      </c>
      <c r="AU499" s="168" t="str">
        <f t="shared" si="103"/>
        <v/>
      </c>
      <c r="AV499" s="227"/>
      <c r="AW499" s="30"/>
      <c r="AX499" s="267"/>
      <c r="AY499" s="267"/>
      <c r="AZ499" s="29"/>
      <c r="BA499" s="30"/>
      <c r="BB499" s="23" t="str" cm="1">
        <f t="array" ref="BB499">_xlfn.IFS(AW499="SIM",SUM(K499,P499,U499,Z499,AE499,AJ499,AO499,AT499,AX499,AY499),F499&lt;&gt;"",SUM(K499,P499,U499,Z499,AE499,AJ499,,AO499,AT499),F499="","")</f>
        <v/>
      </c>
      <c r="BC499" s="211" t="str" cm="1">
        <f t="array" ref="BC499">_xlfn.IFS(E499="","",G499&lt;=E499,BB499*(1-0.03),G499&lt;(E499+8),BB499,AZ499="Boleto",BB499*(1+0.001)^DATEDIF(E499,G499,"D"),AZ499="Cheque",BB499,AZ499="Dinheiro","Alterar forma pgto")</f>
        <v/>
      </c>
      <c r="BD499" s="276" t="str" cm="1">
        <f t="array" ref="BD499">IF(F499=0," ",IF(BC499&lt;BB499,(_xlfn.IFS(AW499="SIM",SUM(L499,Q499,V499,AA499,AF499,AK499,AP499,AU499)+AX499/_xlfn.XLOOKUP(_xlfn.XLOOKUP($F499,Clientes!$B$4:$B$39,Clientes!$C$4:$C$39),Cadastros!$L$6:$L$12,Cadastros!$M$6:$M$12)+IF($F499="Bernardino Furlan",AY499/2751.92,IF($F499="Mauro José Salanti",AY499/2751.92,AY499/3356)),F499&lt;&gt;0,SUM(L499,Q499,V499,AA499,AF499,AK499,AP499,AU499)))*(1-0.03),_xlfn.IFS(AW499="SIM",SUM(L499,Q499,V499,AA499,AF499,AK499,AP499,AU499)+AX499/_xlfn.XLOOKUP(_xlfn.XLOOKUP($F499,Clientes!$B$4:$B$39,Clientes!$C$4:$C$39),Cadastros!$L$6:$L$12,Cadastros!$M$6:$M$12)+IF($F499="Bernardino Furlan",AY499/2751.92,IF($F499="Mauro José Salanti",AY499/2751.92,AY499/3356)),F499&lt;&gt;0,SUM(L499,Q499,V499,AA499,AF499,AK499,AP499,AU499))))</f>
        <v xml:space="preserve"> </v>
      </c>
      <c r="BE499" s="120"/>
      <c r="BF499" s="120"/>
      <c r="BG499" s="120"/>
    </row>
    <row r="500" spans="1:59" s="3" customFormat="1" x14ac:dyDescent="0.3">
      <c r="A500" s="15" t="str">
        <f t="shared" si="91"/>
        <v/>
      </c>
      <c r="B500" s="25"/>
      <c r="C500" s="26"/>
      <c r="D500" s="279"/>
      <c r="E500" s="27"/>
      <c r="F500" s="28"/>
      <c r="G500" s="27"/>
      <c r="H500" s="28"/>
      <c r="I500" s="28"/>
      <c r="J500" s="255" t="str">
        <f>IF(H500="","",(_xlfn.XLOOKUP(H500,Cadastros!$D$6:$D$90,Cadastros!$E$6:$E$90))*(1-_xlfn.XLOOKUP(_xlfn.XLOOKUP($F500,Clientes!$B$4:$B$39,Clientes!$C$4:$C$39),Cadastros!$L$6:$L$12,Cadastros!$N$6:$N$12)))</f>
        <v/>
      </c>
      <c r="K500" s="168" t="str">
        <f t="shared" si="92"/>
        <v/>
      </c>
      <c r="L500" s="168" t="str">
        <f>IFERROR(K500/_xlfn.XLOOKUP(_xlfn.XLOOKUP($F500,Clientes!$B$4:$B$39,Clientes!$C$4:$C$39),Cadastros!$L$6:$L$12,Cadastros!$M$6:$M$12)," ")</f>
        <v xml:space="preserve"> </v>
      </c>
      <c r="M500" s="28"/>
      <c r="N500" s="28"/>
      <c r="O500" s="255" t="str">
        <f>IF(M500="","",(_xlfn.XLOOKUP(M500,Cadastros!$D$6:$D$90,Cadastros!$E$6:$E$90))*(1-_xlfn.XLOOKUP(_xlfn.XLOOKUP($F500,Clientes!$B$4:$B$39,Clientes!$C$4:$C$39),Cadastros!$L$6:$L$12,Cadastros!$N$6:$N$12)))</f>
        <v/>
      </c>
      <c r="P500" s="168" t="str">
        <f t="shared" si="93"/>
        <v/>
      </c>
      <c r="Q500" s="168" t="str">
        <f>IFERROR(P500/_xlfn.XLOOKUP(_xlfn.XLOOKUP($F500,Clientes!$B$4:$B$39,Clientes!$C$4:$C$39),Cadastros!$L$6:$L$12,Cadastros!$M$6:$M$12)," ")</f>
        <v xml:space="preserve"> </v>
      </c>
      <c r="R500" s="28"/>
      <c r="S500" s="28"/>
      <c r="T500" s="255" t="str">
        <f>IF(R500="","",(_xlfn.XLOOKUP(R500,Cadastros!$D$6:$D$90,Cadastros!$E$6:$E$90))*(1-_xlfn.XLOOKUP(_xlfn.XLOOKUP($F500,Clientes!$B$4:$B$39,Clientes!$C$4:$C$39),Cadastros!$L$6:$L$12,Cadastros!$N$6:$N$12)))</f>
        <v/>
      </c>
      <c r="U500" s="168" t="str">
        <f t="shared" si="94"/>
        <v/>
      </c>
      <c r="V500" s="168" t="str">
        <f>IFERROR(U500/_xlfn.XLOOKUP(_xlfn.XLOOKUP($F500,Clientes!$B$4:$B$39,Clientes!$C$4:$C$39),Cadastros!$L$6:$L$12,Cadastros!$M$6:$M$12)," ")</f>
        <v xml:space="preserve"> </v>
      </c>
      <c r="W500" s="28"/>
      <c r="X500" s="28"/>
      <c r="Y500" s="255" t="str">
        <f>IF(W500="","",(_xlfn.XLOOKUP(W500,Cadastros!$D$6:$D$90,Cadastros!$E$6:$E$90))*(1-_xlfn.XLOOKUP(_xlfn.XLOOKUP($F500,Clientes!$B$4:$B$39,Clientes!$C$4:$C$39),Cadastros!$L$6:$L$12,Cadastros!$N$6:$N$12)))</f>
        <v/>
      </c>
      <c r="Z500" s="168" t="str">
        <f t="shared" si="95"/>
        <v/>
      </c>
      <c r="AA500" s="168" t="str">
        <f>IFERROR(Z500/_xlfn.XLOOKUP(_xlfn.XLOOKUP($F500,Clientes!$B$4:$B$39,Clientes!$C$4:$C$39),Cadastros!$L$6:$L$12,Cadastros!$M$6:$M$12)," ")</f>
        <v xml:space="preserve"> </v>
      </c>
      <c r="AB500" s="28"/>
      <c r="AC500" s="28"/>
      <c r="AD500" s="20" t="str">
        <f>IF(AB500="","",IF($F500="Bernardino Furlan",_xlfn.XLOOKUP(AB500,Cadastros!$G$6:$G$90,Cadastros!$H$6:$H$90)*(1-0.18),IF($F500="Mauro José Salanti",_xlfn.XLOOKUP(AB500,Cadastros!$G$6:$G$90,Cadastros!$H$6:$H$90)*(1-0.18),_xlfn.XLOOKUP(AB500,Cadastros!$G$6:$G$90,Cadastros!$H$6:$H$90))))</f>
        <v/>
      </c>
      <c r="AE500" s="168" t="str">
        <f t="shared" si="96"/>
        <v/>
      </c>
      <c r="AF500" s="168" t="str">
        <f t="shared" si="97"/>
        <v/>
      </c>
      <c r="AG500" s="28"/>
      <c r="AH500" s="28"/>
      <c r="AI500" s="20" t="str">
        <f>IF(AG500="","",IF($F500="Bernardino Furlan",_xlfn.XLOOKUP(AG500,Cadastros!$G$6:$G$90,Cadastros!$H$6:$H$90)*(1-0.18),IF($F500="Mauro José Salanti",_xlfn.XLOOKUP(AG500,Cadastros!$G$6:$G$90,Cadastros!$H$6:$H$90)*(1-0.18),_xlfn.XLOOKUP(AG500,Cadastros!$G$6:$G$90,Cadastros!$H$6:$H$90))))</f>
        <v/>
      </c>
      <c r="AJ500" s="168" t="str">
        <f t="shared" si="98"/>
        <v/>
      </c>
      <c r="AK500" s="168" t="str">
        <f t="shared" si="99"/>
        <v/>
      </c>
      <c r="AL500" s="28"/>
      <c r="AM500" s="28"/>
      <c r="AN500" s="20" t="str">
        <f>IF(AL500="","",IF($F500="Bernardino Furlan",_xlfn.XLOOKUP(AL500,Cadastros!$G$6:$G$90,Cadastros!$H$6:$H$90)*(1-0.18),IF($F500="Mauro José Salanti",_xlfn.XLOOKUP(AL500,Cadastros!$G$6:$G$90,Cadastros!$H$6:$H$90)*(1-0.18),_xlfn.XLOOKUP(AL500,Cadastros!$G$6:$G$90,Cadastros!$H$6:$H$90))))</f>
        <v/>
      </c>
      <c r="AO500" s="168" t="str">
        <f t="shared" si="100"/>
        <v/>
      </c>
      <c r="AP500" s="168" t="str">
        <f t="shared" si="101"/>
        <v/>
      </c>
      <c r="AQ500" s="28"/>
      <c r="AR500" s="28"/>
      <c r="AS500" s="20" t="str">
        <f>IF(AQ500="","",IF($F500="Bernardino Furlan",_xlfn.XLOOKUP(AQ500,Cadastros!$G$6:$G$90,Cadastros!$H$6:$H$90)*(1-0.18),IF($F500="Mauro José Salanti",_xlfn.XLOOKUP(AQ500,Cadastros!$G$6:$G$90,Cadastros!$H$6:$H$90)*(1-0.18),_xlfn.XLOOKUP(AQ500,Cadastros!$G$6:$G$90,Cadastros!$H$6:$H$90))))</f>
        <v/>
      </c>
      <c r="AT500" s="168" t="str">
        <f t="shared" si="102"/>
        <v/>
      </c>
      <c r="AU500" s="168" t="str">
        <f t="shared" si="103"/>
        <v/>
      </c>
      <c r="AV500" s="227"/>
      <c r="AW500" s="30"/>
      <c r="AX500" s="267"/>
      <c r="AY500" s="267"/>
      <c r="AZ500" s="29"/>
      <c r="BA500" s="30"/>
      <c r="BB500" s="23" t="str" cm="1">
        <f t="array" ref="BB500">_xlfn.IFS(AW500="SIM",SUM(K500,P500,U500,Z500,AE500,AJ500,AO500,AT500,AX500,AY500),F500&lt;&gt;"",SUM(K500,P500,U500,Z500,AE500,AJ500,,AO500,AT500),F500="","")</f>
        <v/>
      </c>
      <c r="BC500" s="211" t="str" cm="1">
        <f t="array" ref="BC500">_xlfn.IFS(E500="","",G500&lt;=E500,BB500*(1-0.03),G500&lt;(E500+8),BB500,AZ500="Boleto",BB500*(1+0.001)^DATEDIF(E500,G500,"D"),AZ500="Cheque",BB500,AZ500="Dinheiro","Alterar forma pgto")</f>
        <v/>
      </c>
      <c r="BD500" s="276" t="str" cm="1">
        <f t="array" ref="BD500">IF(F500=0," ",IF(BC500&lt;BB500,(_xlfn.IFS(AW500="SIM",SUM(L500,Q500,V500,AA500,AF500,AK500,AP500,AU500)+AX500/_xlfn.XLOOKUP(_xlfn.XLOOKUP($F500,Clientes!$B$4:$B$39,Clientes!$C$4:$C$39),Cadastros!$L$6:$L$12,Cadastros!$M$6:$M$12)+IF($F500="Bernardino Furlan",AY500/2751.92,IF($F500="Mauro José Salanti",AY500/2751.92,AY500/3356)),F500&lt;&gt;0,SUM(L500,Q500,V500,AA500,AF500,AK500,AP500,AU500)))*(1-0.03),_xlfn.IFS(AW500="SIM",SUM(L500,Q500,V500,AA500,AF500,AK500,AP500,AU500)+AX500/_xlfn.XLOOKUP(_xlfn.XLOOKUP($F500,Clientes!$B$4:$B$39,Clientes!$C$4:$C$39),Cadastros!$L$6:$L$12,Cadastros!$M$6:$M$12)+IF($F500="Bernardino Furlan",AY500/2751.92,IF($F500="Mauro José Salanti",AY500/2751.92,AY500/3356)),F500&lt;&gt;0,SUM(L500,Q500,V500,AA500,AF500,AK500,AP500,AU500))))</f>
        <v xml:space="preserve"> </v>
      </c>
      <c r="BE500" s="120"/>
      <c r="BF500" s="120"/>
      <c r="BG500" s="120"/>
    </row>
    <row r="501" spans="1:59" s="3" customFormat="1" x14ac:dyDescent="0.3">
      <c r="A501" s="15" t="str">
        <f t="shared" si="91"/>
        <v/>
      </c>
      <c r="B501" s="25"/>
      <c r="C501" s="26"/>
      <c r="D501" s="279"/>
      <c r="E501" s="27"/>
      <c r="F501" s="28"/>
      <c r="G501" s="27"/>
      <c r="H501" s="28"/>
      <c r="I501" s="28"/>
      <c r="J501" s="255" t="str">
        <f>IF(H501="","",(_xlfn.XLOOKUP(H501,Cadastros!$D$6:$D$90,Cadastros!$E$6:$E$90))*(1-_xlfn.XLOOKUP(_xlfn.XLOOKUP($F501,Clientes!$B$4:$B$39,Clientes!$C$4:$C$39),Cadastros!$L$6:$L$12,Cadastros!$N$6:$N$12)))</f>
        <v/>
      </c>
      <c r="K501" s="168" t="str">
        <f t="shared" si="92"/>
        <v/>
      </c>
      <c r="L501" s="168" t="str">
        <f>IFERROR(K501/_xlfn.XLOOKUP(_xlfn.XLOOKUP($F501,Clientes!$B$4:$B$39,Clientes!$C$4:$C$39),Cadastros!$L$6:$L$12,Cadastros!$M$6:$M$12)," ")</f>
        <v xml:space="preserve"> </v>
      </c>
      <c r="M501" s="28"/>
      <c r="N501" s="28"/>
      <c r="O501" s="255" t="str">
        <f>IF(M501="","",(_xlfn.XLOOKUP(M501,Cadastros!$D$6:$D$90,Cadastros!$E$6:$E$90))*(1-_xlfn.XLOOKUP(_xlfn.XLOOKUP($F501,Clientes!$B$4:$B$39,Clientes!$C$4:$C$39),Cadastros!$L$6:$L$12,Cadastros!$N$6:$N$12)))</f>
        <v/>
      </c>
      <c r="P501" s="168" t="str">
        <f t="shared" si="93"/>
        <v/>
      </c>
      <c r="Q501" s="168" t="str">
        <f>IFERROR(P501/_xlfn.XLOOKUP(_xlfn.XLOOKUP($F501,Clientes!$B$4:$B$39,Clientes!$C$4:$C$39),Cadastros!$L$6:$L$12,Cadastros!$M$6:$M$12)," ")</f>
        <v xml:space="preserve"> </v>
      </c>
      <c r="R501" s="28"/>
      <c r="S501" s="28"/>
      <c r="T501" s="255" t="str">
        <f>IF(R501="","",(_xlfn.XLOOKUP(R501,Cadastros!$D$6:$D$90,Cadastros!$E$6:$E$90))*(1-_xlfn.XLOOKUP(_xlfn.XLOOKUP($F501,Clientes!$B$4:$B$39,Clientes!$C$4:$C$39),Cadastros!$L$6:$L$12,Cadastros!$N$6:$N$12)))</f>
        <v/>
      </c>
      <c r="U501" s="168" t="str">
        <f t="shared" si="94"/>
        <v/>
      </c>
      <c r="V501" s="168" t="str">
        <f>IFERROR(U501/_xlfn.XLOOKUP(_xlfn.XLOOKUP($F501,Clientes!$B$4:$B$39,Clientes!$C$4:$C$39),Cadastros!$L$6:$L$12,Cadastros!$M$6:$M$12)," ")</f>
        <v xml:space="preserve"> </v>
      </c>
      <c r="W501" s="28"/>
      <c r="X501" s="28"/>
      <c r="Y501" s="255" t="str">
        <f>IF(W501="","",(_xlfn.XLOOKUP(W501,Cadastros!$D$6:$D$90,Cadastros!$E$6:$E$90))*(1-_xlfn.XLOOKUP(_xlfn.XLOOKUP($F501,Clientes!$B$4:$B$39,Clientes!$C$4:$C$39),Cadastros!$L$6:$L$12,Cadastros!$N$6:$N$12)))</f>
        <v/>
      </c>
      <c r="Z501" s="168" t="str">
        <f t="shared" si="95"/>
        <v/>
      </c>
      <c r="AA501" s="168" t="str">
        <f>IFERROR(Z501/_xlfn.XLOOKUP(_xlfn.XLOOKUP($F501,Clientes!$B$4:$B$39,Clientes!$C$4:$C$39),Cadastros!$L$6:$L$12,Cadastros!$M$6:$M$12)," ")</f>
        <v xml:space="preserve"> </v>
      </c>
      <c r="AB501" s="28"/>
      <c r="AC501" s="28"/>
      <c r="AD501" s="20" t="str">
        <f>IF(AB501="","",IF($F501="Bernardino Furlan",_xlfn.XLOOKUP(AB501,Cadastros!$G$6:$G$90,Cadastros!$H$6:$H$90)*(1-0.18),IF($F501="Mauro José Salanti",_xlfn.XLOOKUP(AB501,Cadastros!$G$6:$G$90,Cadastros!$H$6:$H$90)*(1-0.18),_xlfn.XLOOKUP(AB501,Cadastros!$G$6:$G$90,Cadastros!$H$6:$H$90))))</f>
        <v/>
      </c>
      <c r="AE501" s="168" t="str">
        <f t="shared" si="96"/>
        <v/>
      </c>
      <c r="AF501" s="168" t="str">
        <f t="shared" si="97"/>
        <v/>
      </c>
      <c r="AG501" s="28"/>
      <c r="AH501" s="28"/>
      <c r="AI501" s="20" t="str">
        <f>IF(AG501="","",IF($F501="Bernardino Furlan",_xlfn.XLOOKUP(AG501,Cadastros!$G$6:$G$90,Cadastros!$H$6:$H$90)*(1-0.18),IF($F501="Mauro José Salanti",_xlfn.XLOOKUP(AG501,Cadastros!$G$6:$G$90,Cadastros!$H$6:$H$90)*(1-0.18),_xlfn.XLOOKUP(AG501,Cadastros!$G$6:$G$90,Cadastros!$H$6:$H$90))))</f>
        <v/>
      </c>
      <c r="AJ501" s="168" t="str">
        <f t="shared" si="98"/>
        <v/>
      </c>
      <c r="AK501" s="168" t="str">
        <f t="shared" si="99"/>
        <v/>
      </c>
      <c r="AL501" s="28"/>
      <c r="AM501" s="28"/>
      <c r="AN501" s="20" t="str">
        <f>IF(AL501="","",IF($F501="Bernardino Furlan",_xlfn.XLOOKUP(AL501,Cadastros!$G$6:$G$90,Cadastros!$H$6:$H$90)*(1-0.18),IF($F501="Mauro José Salanti",_xlfn.XLOOKUP(AL501,Cadastros!$G$6:$G$90,Cadastros!$H$6:$H$90)*(1-0.18),_xlfn.XLOOKUP(AL501,Cadastros!$G$6:$G$90,Cadastros!$H$6:$H$90))))</f>
        <v/>
      </c>
      <c r="AO501" s="168" t="str">
        <f t="shared" si="100"/>
        <v/>
      </c>
      <c r="AP501" s="168" t="str">
        <f t="shared" si="101"/>
        <v/>
      </c>
      <c r="AQ501" s="28"/>
      <c r="AR501" s="28"/>
      <c r="AS501" s="20" t="str">
        <f>IF(AQ501="","",IF($F501="Bernardino Furlan",_xlfn.XLOOKUP(AQ501,Cadastros!$G$6:$G$90,Cadastros!$H$6:$H$90)*(1-0.18),IF($F501="Mauro José Salanti",_xlfn.XLOOKUP(AQ501,Cadastros!$G$6:$G$90,Cadastros!$H$6:$H$90)*(1-0.18),_xlfn.XLOOKUP(AQ501,Cadastros!$G$6:$G$90,Cadastros!$H$6:$H$90))))</f>
        <v/>
      </c>
      <c r="AT501" s="168" t="str">
        <f t="shared" si="102"/>
        <v/>
      </c>
      <c r="AU501" s="168" t="str">
        <f t="shared" si="103"/>
        <v/>
      </c>
      <c r="AV501" s="227"/>
      <c r="AW501" s="30"/>
      <c r="AX501" s="267"/>
      <c r="AY501" s="267"/>
      <c r="AZ501" s="29"/>
      <c r="BA501" s="30"/>
      <c r="BB501" s="23" t="str" cm="1">
        <f t="array" ref="BB501">_xlfn.IFS(AW501="SIM",SUM(K501,P501,U501,Z501,AE501,AJ501,AO501,AT501,AX501,AY501),F501&lt;&gt;"",SUM(K501,P501,U501,Z501,AE501,AJ501,,AO501,AT501),F501="","")</f>
        <v/>
      </c>
      <c r="BC501" s="211" t="str" cm="1">
        <f t="array" ref="BC501">_xlfn.IFS(E501="","",G501&lt;=E501,BB501*(1-0.03),G501&lt;(E501+8),BB501,AZ501="Boleto",BB501*(1+0.001)^DATEDIF(E501,G501,"D"),AZ501="Cheque",BB501,AZ501="Dinheiro","Alterar forma pgto")</f>
        <v/>
      </c>
      <c r="BD501" s="276" t="str" cm="1">
        <f t="array" ref="BD501">IF(F501=0," ",IF(BC501&lt;BB501,(_xlfn.IFS(AW501="SIM",SUM(L501,Q501,V501,AA501,AF501,AK501,AP501,AU501)+AX501/_xlfn.XLOOKUP(_xlfn.XLOOKUP($F501,Clientes!$B$4:$B$39,Clientes!$C$4:$C$39),Cadastros!$L$6:$L$12,Cadastros!$M$6:$M$12)+IF($F501="Bernardino Furlan",AY501/2751.92,IF($F501="Mauro José Salanti",AY501/2751.92,AY501/3356)),F501&lt;&gt;0,SUM(L501,Q501,V501,AA501,AF501,AK501,AP501,AU501)))*(1-0.03),_xlfn.IFS(AW501="SIM",SUM(L501,Q501,V501,AA501,AF501,AK501,AP501,AU501)+AX501/_xlfn.XLOOKUP(_xlfn.XLOOKUP($F501,Clientes!$B$4:$B$39,Clientes!$C$4:$C$39),Cadastros!$L$6:$L$12,Cadastros!$M$6:$M$12)+IF($F501="Bernardino Furlan",AY501/2751.92,IF($F501="Mauro José Salanti",AY501/2751.92,AY501/3356)),F501&lt;&gt;0,SUM(L501,Q501,V501,AA501,AF501,AK501,AP501,AU501))))</f>
        <v xml:space="preserve"> </v>
      </c>
      <c r="BE501" s="120"/>
      <c r="BF501" s="120"/>
      <c r="BG501" s="120"/>
    </row>
    <row r="502" spans="1:59" s="3" customFormat="1" x14ac:dyDescent="0.3">
      <c r="A502" s="15" t="str">
        <f t="shared" si="91"/>
        <v/>
      </c>
      <c r="B502" s="25"/>
      <c r="C502" s="26"/>
      <c r="D502" s="279"/>
      <c r="E502" s="27"/>
      <c r="F502" s="28"/>
      <c r="G502" s="27"/>
      <c r="H502" s="28"/>
      <c r="I502" s="28"/>
      <c r="J502" s="255" t="str">
        <f>IF(H502="","",(_xlfn.XLOOKUP(H502,Cadastros!$D$6:$D$90,Cadastros!$E$6:$E$90))*(1-_xlfn.XLOOKUP(_xlfn.XLOOKUP($F502,Clientes!$B$4:$B$39,Clientes!$C$4:$C$39),Cadastros!$L$6:$L$12,Cadastros!$N$6:$N$12)))</f>
        <v/>
      </c>
      <c r="K502" s="168" t="str">
        <f t="shared" si="92"/>
        <v/>
      </c>
      <c r="L502" s="168" t="str">
        <f>IFERROR(K502/_xlfn.XLOOKUP(_xlfn.XLOOKUP($F502,Clientes!$B$4:$B$39,Clientes!$C$4:$C$39),Cadastros!$L$6:$L$12,Cadastros!$M$6:$M$12)," ")</f>
        <v xml:space="preserve"> </v>
      </c>
      <c r="M502" s="28"/>
      <c r="N502" s="28"/>
      <c r="O502" s="255" t="str">
        <f>IF(M502="","",(_xlfn.XLOOKUP(M502,Cadastros!$D$6:$D$90,Cadastros!$E$6:$E$90))*(1-_xlfn.XLOOKUP(_xlfn.XLOOKUP($F502,Clientes!$B$4:$B$39,Clientes!$C$4:$C$39),Cadastros!$L$6:$L$12,Cadastros!$N$6:$N$12)))</f>
        <v/>
      </c>
      <c r="P502" s="168" t="str">
        <f t="shared" si="93"/>
        <v/>
      </c>
      <c r="Q502" s="168" t="str">
        <f>IFERROR(P502/_xlfn.XLOOKUP(_xlfn.XLOOKUP($F502,Clientes!$B$4:$B$39,Clientes!$C$4:$C$39),Cadastros!$L$6:$L$12,Cadastros!$M$6:$M$12)," ")</f>
        <v xml:space="preserve"> </v>
      </c>
      <c r="R502" s="28"/>
      <c r="S502" s="28"/>
      <c r="T502" s="255" t="str">
        <f>IF(R502="","",(_xlfn.XLOOKUP(R502,Cadastros!$D$6:$D$90,Cadastros!$E$6:$E$90))*(1-_xlfn.XLOOKUP(_xlfn.XLOOKUP($F502,Clientes!$B$4:$B$39,Clientes!$C$4:$C$39),Cadastros!$L$6:$L$12,Cadastros!$N$6:$N$12)))</f>
        <v/>
      </c>
      <c r="U502" s="168" t="str">
        <f t="shared" si="94"/>
        <v/>
      </c>
      <c r="V502" s="168" t="str">
        <f>IFERROR(U502/_xlfn.XLOOKUP(_xlfn.XLOOKUP($F502,Clientes!$B$4:$B$39,Clientes!$C$4:$C$39),Cadastros!$L$6:$L$12,Cadastros!$M$6:$M$12)," ")</f>
        <v xml:space="preserve"> </v>
      </c>
      <c r="W502" s="28"/>
      <c r="X502" s="28"/>
      <c r="Y502" s="255" t="str">
        <f>IF(W502="","",(_xlfn.XLOOKUP(W502,Cadastros!$D$6:$D$90,Cadastros!$E$6:$E$90))*(1-_xlfn.XLOOKUP(_xlfn.XLOOKUP($F502,Clientes!$B$4:$B$39,Clientes!$C$4:$C$39),Cadastros!$L$6:$L$12,Cadastros!$N$6:$N$12)))</f>
        <v/>
      </c>
      <c r="Z502" s="168" t="str">
        <f t="shared" si="95"/>
        <v/>
      </c>
      <c r="AA502" s="168" t="str">
        <f>IFERROR(Z502/_xlfn.XLOOKUP(_xlfn.XLOOKUP($F502,Clientes!$B$4:$B$39,Clientes!$C$4:$C$39),Cadastros!$L$6:$L$12,Cadastros!$M$6:$M$12)," ")</f>
        <v xml:space="preserve"> </v>
      </c>
      <c r="AB502" s="28"/>
      <c r="AC502" s="28"/>
      <c r="AD502" s="20" t="str">
        <f>IF(AB502="","",IF($F502="Bernardino Furlan",_xlfn.XLOOKUP(AB502,Cadastros!$G$6:$G$90,Cadastros!$H$6:$H$90)*(1-0.18),IF($F502="Mauro José Salanti",_xlfn.XLOOKUP(AB502,Cadastros!$G$6:$G$90,Cadastros!$H$6:$H$90)*(1-0.18),_xlfn.XLOOKUP(AB502,Cadastros!$G$6:$G$90,Cadastros!$H$6:$H$90))))</f>
        <v/>
      </c>
      <c r="AE502" s="168" t="str">
        <f t="shared" si="96"/>
        <v/>
      </c>
      <c r="AF502" s="168" t="str">
        <f t="shared" si="97"/>
        <v/>
      </c>
      <c r="AG502" s="28"/>
      <c r="AH502" s="28"/>
      <c r="AI502" s="20" t="str">
        <f>IF(AG502="","",IF($F502="Bernardino Furlan",_xlfn.XLOOKUP(AG502,Cadastros!$G$6:$G$90,Cadastros!$H$6:$H$90)*(1-0.18),IF($F502="Mauro José Salanti",_xlfn.XLOOKUP(AG502,Cadastros!$G$6:$G$90,Cadastros!$H$6:$H$90)*(1-0.18),_xlfn.XLOOKUP(AG502,Cadastros!$G$6:$G$90,Cadastros!$H$6:$H$90))))</f>
        <v/>
      </c>
      <c r="AJ502" s="168" t="str">
        <f t="shared" si="98"/>
        <v/>
      </c>
      <c r="AK502" s="168" t="str">
        <f t="shared" si="99"/>
        <v/>
      </c>
      <c r="AL502" s="28"/>
      <c r="AM502" s="28"/>
      <c r="AN502" s="20" t="str">
        <f>IF(AL502="","",IF($F502="Bernardino Furlan",_xlfn.XLOOKUP(AL502,Cadastros!$G$6:$G$90,Cadastros!$H$6:$H$90)*(1-0.18),IF($F502="Mauro José Salanti",_xlfn.XLOOKUP(AL502,Cadastros!$G$6:$G$90,Cadastros!$H$6:$H$90)*(1-0.18),_xlfn.XLOOKUP(AL502,Cadastros!$G$6:$G$90,Cadastros!$H$6:$H$90))))</f>
        <v/>
      </c>
      <c r="AO502" s="168" t="str">
        <f t="shared" si="100"/>
        <v/>
      </c>
      <c r="AP502" s="168" t="str">
        <f t="shared" si="101"/>
        <v/>
      </c>
      <c r="AQ502" s="28"/>
      <c r="AR502" s="28"/>
      <c r="AS502" s="20" t="str">
        <f>IF(AQ502="","",IF($F502="Bernardino Furlan",_xlfn.XLOOKUP(AQ502,Cadastros!$G$6:$G$90,Cadastros!$H$6:$H$90)*(1-0.18),IF($F502="Mauro José Salanti",_xlfn.XLOOKUP(AQ502,Cadastros!$G$6:$G$90,Cadastros!$H$6:$H$90)*(1-0.18),_xlfn.XLOOKUP(AQ502,Cadastros!$G$6:$G$90,Cadastros!$H$6:$H$90))))</f>
        <v/>
      </c>
      <c r="AT502" s="168" t="str">
        <f t="shared" si="102"/>
        <v/>
      </c>
      <c r="AU502" s="168" t="str">
        <f t="shared" si="103"/>
        <v/>
      </c>
      <c r="AV502" s="227"/>
      <c r="AW502" s="30"/>
      <c r="AX502" s="267"/>
      <c r="AY502" s="267"/>
      <c r="AZ502" s="29"/>
      <c r="BA502" s="30"/>
      <c r="BB502" s="23" t="str" cm="1">
        <f t="array" ref="BB502">_xlfn.IFS(AW502="SIM",SUM(K502,P502,U502,Z502,AE502,AJ502,AO502,AT502,AX502,AY502),F502&lt;&gt;"",SUM(K502,P502,U502,Z502,AE502,AJ502,,AO502,AT502),F502="","")</f>
        <v/>
      </c>
      <c r="BC502" s="211" t="str" cm="1">
        <f t="array" ref="BC502">_xlfn.IFS(E502="","",G502&lt;=E502,BB502*(1-0.03),G502&lt;(E502+8),BB502,AZ502="Boleto",BB502*(1+0.001)^DATEDIF(E502,G502,"D"),AZ502="Cheque",BB502,AZ502="Dinheiro","Alterar forma pgto")</f>
        <v/>
      </c>
      <c r="BD502" s="276" t="str" cm="1">
        <f t="array" ref="BD502">IF(F502=0," ",IF(BC502&lt;BB502,(_xlfn.IFS(AW502="SIM",SUM(L502,Q502,V502,AA502,AF502,AK502,AP502,AU502)+AX502/_xlfn.XLOOKUP(_xlfn.XLOOKUP($F502,Clientes!$B$4:$B$39,Clientes!$C$4:$C$39),Cadastros!$L$6:$L$12,Cadastros!$M$6:$M$12)+IF($F502="Bernardino Furlan",AY502/2751.92,IF($F502="Mauro José Salanti",AY502/2751.92,AY502/3356)),F502&lt;&gt;0,SUM(L502,Q502,V502,AA502,AF502,AK502,AP502,AU502)))*(1-0.03),_xlfn.IFS(AW502="SIM",SUM(L502,Q502,V502,AA502,AF502,AK502,AP502,AU502)+AX502/_xlfn.XLOOKUP(_xlfn.XLOOKUP($F502,Clientes!$B$4:$B$39,Clientes!$C$4:$C$39),Cadastros!$L$6:$L$12,Cadastros!$M$6:$M$12)+IF($F502="Bernardino Furlan",AY502/2751.92,IF($F502="Mauro José Salanti",AY502/2751.92,AY502/3356)),F502&lt;&gt;0,SUM(L502,Q502,V502,AA502,AF502,AK502,AP502,AU502))))</f>
        <v xml:space="preserve"> </v>
      </c>
      <c r="BE502" s="120"/>
      <c r="BF502" s="120"/>
      <c r="BG502" s="120"/>
    </row>
    <row r="503" spans="1:59" s="3" customFormat="1" x14ac:dyDescent="0.3">
      <c r="A503" s="15" t="str">
        <f t="shared" si="91"/>
        <v/>
      </c>
      <c r="B503" s="25"/>
      <c r="C503" s="26"/>
      <c r="D503" s="279"/>
      <c r="E503" s="27"/>
      <c r="F503" s="28"/>
      <c r="G503" s="27"/>
      <c r="H503" s="28"/>
      <c r="I503" s="28"/>
      <c r="J503" s="255" t="str">
        <f>IF(H503="","",(_xlfn.XLOOKUP(H503,Cadastros!$D$6:$D$90,Cadastros!$E$6:$E$90))*(1-_xlfn.XLOOKUP(_xlfn.XLOOKUP($F503,Clientes!$B$4:$B$39,Clientes!$C$4:$C$39),Cadastros!$L$6:$L$12,Cadastros!$N$6:$N$12)))</f>
        <v/>
      </c>
      <c r="K503" s="168" t="str">
        <f t="shared" si="92"/>
        <v/>
      </c>
      <c r="L503" s="168" t="str">
        <f>IFERROR(K503/_xlfn.XLOOKUP(_xlfn.XLOOKUP($F503,Clientes!$B$4:$B$39,Clientes!$C$4:$C$39),Cadastros!$L$6:$L$12,Cadastros!$M$6:$M$12)," ")</f>
        <v xml:space="preserve"> </v>
      </c>
      <c r="M503" s="28"/>
      <c r="N503" s="28"/>
      <c r="O503" s="255" t="str">
        <f>IF(M503="","",(_xlfn.XLOOKUP(M503,Cadastros!$D$6:$D$90,Cadastros!$E$6:$E$90))*(1-_xlfn.XLOOKUP(_xlfn.XLOOKUP($F503,Clientes!$B$4:$B$39,Clientes!$C$4:$C$39),Cadastros!$L$6:$L$12,Cadastros!$N$6:$N$12)))</f>
        <v/>
      </c>
      <c r="P503" s="168" t="str">
        <f t="shared" si="93"/>
        <v/>
      </c>
      <c r="Q503" s="168" t="str">
        <f>IFERROR(P503/_xlfn.XLOOKUP(_xlfn.XLOOKUP($F503,Clientes!$B$4:$B$39,Clientes!$C$4:$C$39),Cadastros!$L$6:$L$12,Cadastros!$M$6:$M$12)," ")</f>
        <v xml:space="preserve"> </v>
      </c>
      <c r="R503" s="28"/>
      <c r="S503" s="28"/>
      <c r="T503" s="255" t="str">
        <f>IF(R503="","",(_xlfn.XLOOKUP(R503,Cadastros!$D$6:$D$90,Cadastros!$E$6:$E$90))*(1-_xlfn.XLOOKUP(_xlfn.XLOOKUP($F503,Clientes!$B$4:$B$39,Clientes!$C$4:$C$39),Cadastros!$L$6:$L$12,Cadastros!$N$6:$N$12)))</f>
        <v/>
      </c>
      <c r="U503" s="168" t="str">
        <f t="shared" si="94"/>
        <v/>
      </c>
      <c r="V503" s="168" t="str">
        <f>IFERROR(U503/_xlfn.XLOOKUP(_xlfn.XLOOKUP($F503,Clientes!$B$4:$B$39,Clientes!$C$4:$C$39),Cadastros!$L$6:$L$12,Cadastros!$M$6:$M$12)," ")</f>
        <v xml:space="preserve"> </v>
      </c>
      <c r="W503" s="28"/>
      <c r="X503" s="28"/>
      <c r="Y503" s="255" t="str">
        <f>IF(W503="","",(_xlfn.XLOOKUP(W503,Cadastros!$D$6:$D$90,Cadastros!$E$6:$E$90))*(1-_xlfn.XLOOKUP(_xlfn.XLOOKUP($F503,Clientes!$B$4:$B$39,Clientes!$C$4:$C$39),Cadastros!$L$6:$L$12,Cadastros!$N$6:$N$12)))</f>
        <v/>
      </c>
      <c r="Z503" s="168" t="str">
        <f t="shared" si="95"/>
        <v/>
      </c>
      <c r="AA503" s="168" t="str">
        <f>IFERROR(Z503/_xlfn.XLOOKUP(_xlfn.XLOOKUP($F503,Clientes!$B$4:$B$39,Clientes!$C$4:$C$39),Cadastros!$L$6:$L$12,Cadastros!$M$6:$M$12)," ")</f>
        <v xml:space="preserve"> </v>
      </c>
      <c r="AB503" s="28"/>
      <c r="AC503" s="28"/>
      <c r="AD503" s="20" t="str">
        <f>IF(AB503="","",IF($F503="Bernardino Furlan",_xlfn.XLOOKUP(AB503,Cadastros!$G$6:$G$90,Cadastros!$H$6:$H$90)*(1-0.18),IF($F503="Mauro José Salanti",_xlfn.XLOOKUP(AB503,Cadastros!$G$6:$G$90,Cadastros!$H$6:$H$90)*(1-0.18),_xlfn.XLOOKUP(AB503,Cadastros!$G$6:$G$90,Cadastros!$H$6:$H$90))))</f>
        <v/>
      </c>
      <c r="AE503" s="168" t="str">
        <f t="shared" si="96"/>
        <v/>
      </c>
      <c r="AF503" s="168" t="str">
        <f t="shared" si="97"/>
        <v/>
      </c>
      <c r="AG503" s="28"/>
      <c r="AH503" s="28"/>
      <c r="AI503" s="20" t="str">
        <f>IF(AG503="","",IF($F503="Bernardino Furlan",_xlfn.XLOOKUP(AG503,Cadastros!$G$6:$G$90,Cadastros!$H$6:$H$90)*(1-0.18),IF($F503="Mauro José Salanti",_xlfn.XLOOKUP(AG503,Cadastros!$G$6:$G$90,Cadastros!$H$6:$H$90)*(1-0.18),_xlfn.XLOOKUP(AG503,Cadastros!$G$6:$G$90,Cadastros!$H$6:$H$90))))</f>
        <v/>
      </c>
      <c r="AJ503" s="168" t="str">
        <f t="shared" si="98"/>
        <v/>
      </c>
      <c r="AK503" s="168" t="str">
        <f t="shared" si="99"/>
        <v/>
      </c>
      <c r="AL503" s="28"/>
      <c r="AM503" s="28"/>
      <c r="AN503" s="20" t="str">
        <f>IF(AL503="","",IF($F503="Bernardino Furlan",_xlfn.XLOOKUP(AL503,Cadastros!$G$6:$G$90,Cadastros!$H$6:$H$90)*(1-0.18),IF($F503="Mauro José Salanti",_xlfn.XLOOKUP(AL503,Cadastros!$G$6:$G$90,Cadastros!$H$6:$H$90)*(1-0.18),_xlfn.XLOOKUP(AL503,Cadastros!$G$6:$G$90,Cadastros!$H$6:$H$90))))</f>
        <v/>
      </c>
      <c r="AO503" s="168" t="str">
        <f t="shared" si="100"/>
        <v/>
      </c>
      <c r="AP503" s="168" t="str">
        <f t="shared" si="101"/>
        <v/>
      </c>
      <c r="AQ503" s="28"/>
      <c r="AR503" s="28"/>
      <c r="AS503" s="20" t="str">
        <f>IF(AQ503="","",IF($F503="Bernardino Furlan",_xlfn.XLOOKUP(AQ503,Cadastros!$G$6:$G$90,Cadastros!$H$6:$H$90)*(1-0.18),IF($F503="Mauro José Salanti",_xlfn.XLOOKUP(AQ503,Cadastros!$G$6:$G$90,Cadastros!$H$6:$H$90)*(1-0.18),_xlfn.XLOOKUP(AQ503,Cadastros!$G$6:$G$90,Cadastros!$H$6:$H$90))))</f>
        <v/>
      </c>
      <c r="AT503" s="168" t="str">
        <f t="shared" si="102"/>
        <v/>
      </c>
      <c r="AU503" s="168" t="str">
        <f t="shared" si="103"/>
        <v/>
      </c>
      <c r="AV503" s="227"/>
      <c r="AW503" s="30"/>
      <c r="AX503" s="267"/>
      <c r="AY503" s="267"/>
      <c r="AZ503" s="29"/>
      <c r="BA503" s="30"/>
      <c r="BB503" s="23" t="str" cm="1">
        <f t="array" ref="BB503">_xlfn.IFS(AW503="SIM",SUM(K503,P503,U503,Z503,AE503,AJ503,AO503,AT503,AX503,AY503),F503&lt;&gt;"",SUM(K503,P503,U503,Z503,AE503,AJ503,,AO503,AT503),F503="","")</f>
        <v/>
      </c>
      <c r="BC503" s="211" t="str" cm="1">
        <f t="array" ref="BC503">_xlfn.IFS(E503="","",G503&lt;=E503,BB503*(1-0.03),G503&lt;(E503+8),BB503,AZ503="Boleto",BB503*(1+0.001)^DATEDIF(E503,G503,"D"),AZ503="Cheque",BB503,AZ503="Dinheiro","Alterar forma pgto")</f>
        <v/>
      </c>
      <c r="BD503" s="276" t="str" cm="1">
        <f t="array" ref="BD503">IF(F503=0," ",IF(BC503&lt;BB503,(_xlfn.IFS(AW503="SIM",SUM(L503,Q503,V503,AA503,AF503,AK503,AP503,AU503)+AX503/_xlfn.XLOOKUP(_xlfn.XLOOKUP($F503,Clientes!$B$4:$B$39,Clientes!$C$4:$C$39),Cadastros!$L$6:$L$12,Cadastros!$M$6:$M$12)+IF($F503="Bernardino Furlan",AY503/2751.92,IF($F503="Mauro José Salanti",AY503/2751.92,AY503/3356)),F503&lt;&gt;0,SUM(L503,Q503,V503,AA503,AF503,AK503,AP503,AU503)))*(1-0.03),_xlfn.IFS(AW503="SIM",SUM(L503,Q503,V503,AA503,AF503,AK503,AP503,AU503)+AX503/_xlfn.XLOOKUP(_xlfn.XLOOKUP($F503,Clientes!$B$4:$B$39,Clientes!$C$4:$C$39),Cadastros!$L$6:$L$12,Cadastros!$M$6:$M$12)+IF($F503="Bernardino Furlan",AY503/2751.92,IF($F503="Mauro José Salanti",AY503/2751.92,AY503/3356)),F503&lt;&gt;0,SUM(L503,Q503,V503,AA503,AF503,AK503,AP503,AU503))))</f>
        <v xml:space="preserve"> </v>
      </c>
      <c r="BE503" s="120"/>
      <c r="BF503" s="120"/>
      <c r="BG503" s="120"/>
    </row>
    <row r="504" spans="1:59" s="3" customFormat="1" x14ac:dyDescent="0.3">
      <c r="A504" s="15" t="str">
        <f t="shared" si="91"/>
        <v/>
      </c>
      <c r="B504" s="25"/>
      <c r="C504" s="26"/>
      <c r="D504" s="279"/>
      <c r="E504" s="27"/>
      <c r="F504" s="28"/>
      <c r="G504" s="27"/>
      <c r="H504" s="28"/>
      <c r="I504" s="28"/>
      <c r="J504" s="255" t="str">
        <f>IF(H504="","",(_xlfn.XLOOKUP(H504,Cadastros!$D$6:$D$90,Cadastros!$E$6:$E$90))*(1-_xlfn.XLOOKUP(_xlfn.XLOOKUP($F504,Clientes!$B$4:$B$39,Clientes!$C$4:$C$39),Cadastros!$L$6:$L$12,Cadastros!$N$6:$N$12)))</f>
        <v/>
      </c>
      <c r="K504" s="168" t="str">
        <f t="shared" si="92"/>
        <v/>
      </c>
      <c r="L504" s="168" t="str">
        <f>IFERROR(K504/_xlfn.XLOOKUP(_xlfn.XLOOKUP($F504,Clientes!$B$4:$B$39,Clientes!$C$4:$C$39),Cadastros!$L$6:$L$12,Cadastros!$M$6:$M$12)," ")</f>
        <v xml:space="preserve"> </v>
      </c>
      <c r="M504" s="28"/>
      <c r="N504" s="28"/>
      <c r="O504" s="255" t="str">
        <f>IF(M504="","",(_xlfn.XLOOKUP(M504,Cadastros!$D$6:$D$90,Cadastros!$E$6:$E$90))*(1-_xlfn.XLOOKUP(_xlfn.XLOOKUP($F504,Clientes!$B$4:$B$39,Clientes!$C$4:$C$39),Cadastros!$L$6:$L$12,Cadastros!$N$6:$N$12)))</f>
        <v/>
      </c>
      <c r="P504" s="168" t="str">
        <f t="shared" si="93"/>
        <v/>
      </c>
      <c r="Q504" s="168" t="str">
        <f>IFERROR(P504/_xlfn.XLOOKUP(_xlfn.XLOOKUP($F504,Clientes!$B$4:$B$39,Clientes!$C$4:$C$39),Cadastros!$L$6:$L$12,Cadastros!$M$6:$M$12)," ")</f>
        <v xml:space="preserve"> </v>
      </c>
      <c r="R504" s="28"/>
      <c r="S504" s="28"/>
      <c r="T504" s="255" t="str">
        <f>IF(R504="","",(_xlfn.XLOOKUP(R504,Cadastros!$D$6:$D$90,Cadastros!$E$6:$E$90))*(1-_xlfn.XLOOKUP(_xlfn.XLOOKUP($F504,Clientes!$B$4:$B$39,Clientes!$C$4:$C$39),Cadastros!$L$6:$L$12,Cadastros!$N$6:$N$12)))</f>
        <v/>
      </c>
      <c r="U504" s="168" t="str">
        <f t="shared" si="94"/>
        <v/>
      </c>
      <c r="V504" s="168" t="str">
        <f>IFERROR(U504/_xlfn.XLOOKUP(_xlfn.XLOOKUP($F504,Clientes!$B$4:$B$39,Clientes!$C$4:$C$39),Cadastros!$L$6:$L$12,Cadastros!$M$6:$M$12)," ")</f>
        <v xml:space="preserve"> </v>
      </c>
      <c r="W504" s="28"/>
      <c r="X504" s="28"/>
      <c r="Y504" s="255" t="str">
        <f>IF(W504="","",(_xlfn.XLOOKUP(W504,Cadastros!$D$6:$D$90,Cadastros!$E$6:$E$90))*(1-_xlfn.XLOOKUP(_xlfn.XLOOKUP($F504,Clientes!$B$4:$B$39,Clientes!$C$4:$C$39),Cadastros!$L$6:$L$12,Cadastros!$N$6:$N$12)))</f>
        <v/>
      </c>
      <c r="Z504" s="168" t="str">
        <f t="shared" si="95"/>
        <v/>
      </c>
      <c r="AA504" s="168" t="str">
        <f>IFERROR(Z504/_xlfn.XLOOKUP(_xlfn.XLOOKUP($F504,Clientes!$B$4:$B$39,Clientes!$C$4:$C$39),Cadastros!$L$6:$L$12,Cadastros!$M$6:$M$12)," ")</f>
        <v xml:space="preserve"> </v>
      </c>
      <c r="AB504" s="28"/>
      <c r="AC504" s="28"/>
      <c r="AD504" s="20" t="str">
        <f>IF(AB504="","",IF($F504="Bernardino Furlan",_xlfn.XLOOKUP(AB504,Cadastros!$G$6:$G$90,Cadastros!$H$6:$H$90)*(1-0.18),IF($F504="Mauro José Salanti",_xlfn.XLOOKUP(AB504,Cadastros!$G$6:$G$90,Cadastros!$H$6:$H$90)*(1-0.18),_xlfn.XLOOKUP(AB504,Cadastros!$G$6:$G$90,Cadastros!$H$6:$H$90))))</f>
        <v/>
      </c>
      <c r="AE504" s="168" t="str">
        <f t="shared" si="96"/>
        <v/>
      </c>
      <c r="AF504" s="168" t="str">
        <f t="shared" si="97"/>
        <v/>
      </c>
      <c r="AG504" s="28"/>
      <c r="AH504" s="28"/>
      <c r="AI504" s="20" t="str">
        <f>IF(AG504="","",IF($F504="Bernardino Furlan",_xlfn.XLOOKUP(AG504,Cadastros!$G$6:$G$90,Cadastros!$H$6:$H$90)*(1-0.18),IF($F504="Mauro José Salanti",_xlfn.XLOOKUP(AG504,Cadastros!$G$6:$G$90,Cadastros!$H$6:$H$90)*(1-0.18),_xlfn.XLOOKUP(AG504,Cadastros!$G$6:$G$90,Cadastros!$H$6:$H$90))))</f>
        <v/>
      </c>
      <c r="AJ504" s="168" t="str">
        <f t="shared" si="98"/>
        <v/>
      </c>
      <c r="AK504" s="168" t="str">
        <f t="shared" si="99"/>
        <v/>
      </c>
      <c r="AL504" s="28"/>
      <c r="AM504" s="28"/>
      <c r="AN504" s="20" t="str">
        <f>IF(AL504="","",IF($F504="Bernardino Furlan",_xlfn.XLOOKUP(AL504,Cadastros!$G$6:$G$90,Cadastros!$H$6:$H$90)*(1-0.18),IF($F504="Mauro José Salanti",_xlfn.XLOOKUP(AL504,Cadastros!$G$6:$G$90,Cadastros!$H$6:$H$90)*(1-0.18),_xlfn.XLOOKUP(AL504,Cadastros!$G$6:$G$90,Cadastros!$H$6:$H$90))))</f>
        <v/>
      </c>
      <c r="AO504" s="168" t="str">
        <f t="shared" si="100"/>
        <v/>
      </c>
      <c r="AP504" s="168" t="str">
        <f t="shared" si="101"/>
        <v/>
      </c>
      <c r="AQ504" s="28"/>
      <c r="AR504" s="28"/>
      <c r="AS504" s="20" t="str">
        <f>IF(AQ504="","",IF($F504="Bernardino Furlan",_xlfn.XLOOKUP(AQ504,Cadastros!$G$6:$G$90,Cadastros!$H$6:$H$90)*(1-0.18),IF($F504="Mauro José Salanti",_xlfn.XLOOKUP(AQ504,Cadastros!$G$6:$G$90,Cadastros!$H$6:$H$90)*(1-0.18),_xlfn.XLOOKUP(AQ504,Cadastros!$G$6:$G$90,Cadastros!$H$6:$H$90))))</f>
        <v/>
      </c>
      <c r="AT504" s="168" t="str">
        <f t="shared" si="102"/>
        <v/>
      </c>
      <c r="AU504" s="168" t="str">
        <f t="shared" si="103"/>
        <v/>
      </c>
      <c r="AV504" s="227"/>
      <c r="AW504" s="30"/>
      <c r="AX504" s="267"/>
      <c r="AY504" s="267"/>
      <c r="AZ504" s="29"/>
      <c r="BA504" s="30"/>
      <c r="BB504" s="23" t="str" cm="1">
        <f t="array" ref="BB504">_xlfn.IFS(AW504="SIM",SUM(K504,P504,U504,Z504,AE504,AJ504,AO504,AT504,AX504,AY504),F504&lt;&gt;"",SUM(K504,P504,U504,Z504,AE504,AJ504,,AO504,AT504),F504="","")</f>
        <v/>
      </c>
      <c r="BC504" s="211" t="str" cm="1">
        <f t="array" ref="BC504">_xlfn.IFS(E504="","",G504&lt;=E504,BB504*(1-0.03),G504&lt;(E504+8),BB504,AZ504="Boleto",BB504*(1+0.001)^DATEDIF(E504,G504,"D"),AZ504="Cheque",BB504,AZ504="Dinheiro","Alterar forma pgto")</f>
        <v/>
      </c>
      <c r="BD504" s="276" t="str" cm="1">
        <f t="array" ref="BD504">IF(F504=0," ",IF(BC504&lt;BB504,(_xlfn.IFS(AW504="SIM",SUM(L504,Q504,V504,AA504,AF504,AK504,AP504,AU504)+AX504/_xlfn.XLOOKUP(_xlfn.XLOOKUP($F504,Clientes!$B$4:$B$39,Clientes!$C$4:$C$39),Cadastros!$L$6:$L$12,Cadastros!$M$6:$M$12)+IF($F504="Bernardino Furlan",AY504/2751.92,IF($F504="Mauro José Salanti",AY504/2751.92,AY504/3356)),F504&lt;&gt;0,SUM(L504,Q504,V504,AA504,AF504,AK504,AP504,AU504)))*(1-0.03),_xlfn.IFS(AW504="SIM",SUM(L504,Q504,V504,AA504,AF504,AK504,AP504,AU504)+AX504/_xlfn.XLOOKUP(_xlfn.XLOOKUP($F504,Clientes!$B$4:$B$39,Clientes!$C$4:$C$39),Cadastros!$L$6:$L$12,Cadastros!$M$6:$M$12)+IF($F504="Bernardino Furlan",AY504/2751.92,IF($F504="Mauro José Salanti",AY504/2751.92,AY504/3356)),F504&lt;&gt;0,SUM(L504,Q504,V504,AA504,AF504,AK504,AP504,AU504))))</f>
        <v xml:space="preserve"> </v>
      </c>
      <c r="BE504" s="120"/>
      <c r="BF504" s="120"/>
      <c r="BG504" s="120"/>
    </row>
    <row r="505" spans="1:59" s="3" customFormat="1" x14ac:dyDescent="0.3">
      <c r="A505" s="15" t="str">
        <f t="shared" si="91"/>
        <v/>
      </c>
      <c r="B505" s="25"/>
      <c r="C505" s="26"/>
      <c r="D505" s="279"/>
      <c r="E505" s="27"/>
      <c r="F505" s="28"/>
      <c r="G505" s="27"/>
      <c r="H505" s="28"/>
      <c r="I505" s="28"/>
      <c r="J505" s="255" t="str">
        <f>IF(H505="","",(_xlfn.XLOOKUP(H505,Cadastros!$D$6:$D$90,Cadastros!$E$6:$E$90))*(1-_xlfn.XLOOKUP(_xlfn.XLOOKUP($F505,Clientes!$B$4:$B$39,Clientes!$C$4:$C$39),Cadastros!$L$6:$L$12,Cadastros!$N$6:$N$12)))</f>
        <v/>
      </c>
      <c r="K505" s="168" t="str">
        <f t="shared" si="92"/>
        <v/>
      </c>
      <c r="L505" s="168" t="str">
        <f>IFERROR(K505/_xlfn.XLOOKUP(_xlfn.XLOOKUP($F505,Clientes!$B$4:$B$39,Clientes!$C$4:$C$39),Cadastros!$L$6:$L$12,Cadastros!$M$6:$M$12)," ")</f>
        <v xml:space="preserve"> </v>
      </c>
      <c r="M505" s="28"/>
      <c r="N505" s="28"/>
      <c r="O505" s="255" t="str">
        <f>IF(M505="","",(_xlfn.XLOOKUP(M505,Cadastros!$D$6:$D$90,Cadastros!$E$6:$E$90))*(1-_xlfn.XLOOKUP(_xlfn.XLOOKUP($F505,Clientes!$B$4:$B$39,Clientes!$C$4:$C$39),Cadastros!$L$6:$L$12,Cadastros!$N$6:$N$12)))</f>
        <v/>
      </c>
      <c r="P505" s="168" t="str">
        <f t="shared" si="93"/>
        <v/>
      </c>
      <c r="Q505" s="168" t="str">
        <f>IFERROR(P505/_xlfn.XLOOKUP(_xlfn.XLOOKUP($F505,Clientes!$B$4:$B$39,Clientes!$C$4:$C$39),Cadastros!$L$6:$L$12,Cadastros!$M$6:$M$12)," ")</f>
        <v xml:space="preserve"> </v>
      </c>
      <c r="R505" s="28"/>
      <c r="S505" s="28"/>
      <c r="T505" s="255" t="str">
        <f>IF(R505="","",(_xlfn.XLOOKUP(R505,Cadastros!$D$6:$D$90,Cadastros!$E$6:$E$90))*(1-_xlfn.XLOOKUP(_xlfn.XLOOKUP($F505,Clientes!$B$4:$B$39,Clientes!$C$4:$C$39),Cadastros!$L$6:$L$12,Cadastros!$N$6:$N$12)))</f>
        <v/>
      </c>
      <c r="U505" s="168" t="str">
        <f t="shared" si="94"/>
        <v/>
      </c>
      <c r="V505" s="168" t="str">
        <f>IFERROR(U505/_xlfn.XLOOKUP(_xlfn.XLOOKUP($F505,Clientes!$B$4:$B$39,Clientes!$C$4:$C$39),Cadastros!$L$6:$L$12,Cadastros!$M$6:$M$12)," ")</f>
        <v xml:space="preserve"> </v>
      </c>
      <c r="W505" s="28"/>
      <c r="X505" s="28"/>
      <c r="Y505" s="255" t="str">
        <f>IF(W505="","",(_xlfn.XLOOKUP(W505,Cadastros!$D$6:$D$90,Cadastros!$E$6:$E$90))*(1-_xlfn.XLOOKUP(_xlfn.XLOOKUP($F505,Clientes!$B$4:$B$39,Clientes!$C$4:$C$39),Cadastros!$L$6:$L$12,Cadastros!$N$6:$N$12)))</f>
        <v/>
      </c>
      <c r="Z505" s="168" t="str">
        <f t="shared" si="95"/>
        <v/>
      </c>
      <c r="AA505" s="168" t="str">
        <f>IFERROR(Z505/_xlfn.XLOOKUP(_xlfn.XLOOKUP($F505,Clientes!$B$4:$B$39,Clientes!$C$4:$C$39),Cadastros!$L$6:$L$12,Cadastros!$M$6:$M$12)," ")</f>
        <v xml:space="preserve"> </v>
      </c>
      <c r="AB505" s="28"/>
      <c r="AC505" s="28"/>
      <c r="AD505" s="20" t="str">
        <f>IF(AB505="","",IF($F505="Bernardino Furlan",_xlfn.XLOOKUP(AB505,Cadastros!$G$6:$G$90,Cadastros!$H$6:$H$90)*(1-0.18),IF($F505="Mauro José Salanti",_xlfn.XLOOKUP(AB505,Cadastros!$G$6:$G$90,Cadastros!$H$6:$H$90)*(1-0.18),_xlfn.XLOOKUP(AB505,Cadastros!$G$6:$G$90,Cadastros!$H$6:$H$90))))</f>
        <v/>
      </c>
      <c r="AE505" s="168" t="str">
        <f t="shared" si="96"/>
        <v/>
      </c>
      <c r="AF505" s="168" t="str">
        <f t="shared" si="97"/>
        <v/>
      </c>
      <c r="AG505" s="28"/>
      <c r="AH505" s="28"/>
      <c r="AI505" s="20" t="str">
        <f>IF(AG505="","",IF($F505="Bernardino Furlan",_xlfn.XLOOKUP(AG505,Cadastros!$G$6:$G$90,Cadastros!$H$6:$H$90)*(1-0.18),IF($F505="Mauro José Salanti",_xlfn.XLOOKUP(AG505,Cadastros!$G$6:$G$90,Cadastros!$H$6:$H$90)*(1-0.18),_xlfn.XLOOKUP(AG505,Cadastros!$G$6:$G$90,Cadastros!$H$6:$H$90))))</f>
        <v/>
      </c>
      <c r="AJ505" s="168" t="str">
        <f t="shared" si="98"/>
        <v/>
      </c>
      <c r="AK505" s="168" t="str">
        <f t="shared" si="99"/>
        <v/>
      </c>
      <c r="AL505" s="28"/>
      <c r="AM505" s="28"/>
      <c r="AN505" s="20" t="str">
        <f>IF(AL505="","",IF($F505="Bernardino Furlan",_xlfn.XLOOKUP(AL505,Cadastros!$G$6:$G$90,Cadastros!$H$6:$H$90)*(1-0.18),IF($F505="Mauro José Salanti",_xlfn.XLOOKUP(AL505,Cadastros!$G$6:$G$90,Cadastros!$H$6:$H$90)*(1-0.18),_xlfn.XLOOKUP(AL505,Cadastros!$G$6:$G$90,Cadastros!$H$6:$H$90))))</f>
        <v/>
      </c>
      <c r="AO505" s="168" t="str">
        <f t="shared" si="100"/>
        <v/>
      </c>
      <c r="AP505" s="168" t="str">
        <f t="shared" si="101"/>
        <v/>
      </c>
      <c r="AQ505" s="28"/>
      <c r="AR505" s="28"/>
      <c r="AS505" s="20" t="str">
        <f>IF(AQ505="","",IF($F505="Bernardino Furlan",_xlfn.XLOOKUP(AQ505,Cadastros!$G$6:$G$90,Cadastros!$H$6:$H$90)*(1-0.18),IF($F505="Mauro José Salanti",_xlfn.XLOOKUP(AQ505,Cadastros!$G$6:$G$90,Cadastros!$H$6:$H$90)*(1-0.18),_xlfn.XLOOKUP(AQ505,Cadastros!$G$6:$G$90,Cadastros!$H$6:$H$90))))</f>
        <v/>
      </c>
      <c r="AT505" s="168" t="str">
        <f t="shared" si="102"/>
        <v/>
      </c>
      <c r="AU505" s="168" t="str">
        <f t="shared" si="103"/>
        <v/>
      </c>
      <c r="AV505" s="227"/>
      <c r="AW505" s="30"/>
      <c r="AX505" s="267"/>
      <c r="AY505" s="267"/>
      <c r="AZ505" s="29"/>
      <c r="BA505" s="30"/>
      <c r="BB505" s="23" t="str" cm="1">
        <f t="array" ref="BB505">_xlfn.IFS(AW505="SIM",SUM(K505,P505,U505,Z505,AE505,AJ505,AO505,AT505,AX505,AY505),F505&lt;&gt;"",SUM(K505,P505,U505,Z505,AE505,AJ505,,AO505,AT505),F505="","")</f>
        <v/>
      </c>
      <c r="BC505" s="211" t="str" cm="1">
        <f t="array" ref="BC505">_xlfn.IFS(E505="","",G505&lt;=E505,BB505*(1-0.03),G505&lt;(E505+8),BB505,AZ505="Boleto",BB505*(1+0.001)^DATEDIF(E505,G505,"D"),AZ505="Cheque",BB505,AZ505="Dinheiro","Alterar forma pgto")</f>
        <v/>
      </c>
      <c r="BD505" s="276" t="str" cm="1">
        <f t="array" ref="BD505">IF(F505=0," ",IF(BC505&lt;BB505,(_xlfn.IFS(AW505="SIM",SUM(L505,Q505,V505,AA505,AF505,AK505,AP505,AU505)+AX505/_xlfn.XLOOKUP(_xlfn.XLOOKUP($F505,Clientes!$B$4:$B$39,Clientes!$C$4:$C$39),Cadastros!$L$6:$L$12,Cadastros!$M$6:$M$12)+IF($F505="Bernardino Furlan",AY505/2751.92,IF($F505="Mauro José Salanti",AY505/2751.92,AY505/3356)),F505&lt;&gt;0,SUM(L505,Q505,V505,AA505,AF505,AK505,AP505,AU505)))*(1-0.03),_xlfn.IFS(AW505="SIM",SUM(L505,Q505,V505,AA505,AF505,AK505,AP505,AU505)+AX505/_xlfn.XLOOKUP(_xlfn.XLOOKUP($F505,Clientes!$B$4:$B$39,Clientes!$C$4:$C$39),Cadastros!$L$6:$L$12,Cadastros!$M$6:$M$12)+IF($F505="Bernardino Furlan",AY505/2751.92,IF($F505="Mauro José Salanti",AY505/2751.92,AY505/3356)),F505&lt;&gt;0,SUM(L505,Q505,V505,AA505,AF505,AK505,AP505,AU505))))</f>
        <v xml:space="preserve"> </v>
      </c>
      <c r="BE505" s="120"/>
      <c r="BF505" s="120"/>
      <c r="BG505" s="120"/>
    </row>
    <row r="506" spans="1:59" s="3" customFormat="1" x14ac:dyDescent="0.3">
      <c r="A506" s="15" t="str">
        <f t="shared" si="91"/>
        <v/>
      </c>
      <c r="B506" s="25"/>
      <c r="C506" s="26"/>
      <c r="D506" s="279"/>
      <c r="E506" s="27"/>
      <c r="F506" s="28"/>
      <c r="G506" s="27"/>
      <c r="H506" s="28"/>
      <c r="I506" s="28"/>
      <c r="J506" s="255" t="str">
        <f>IF(H506="","",(_xlfn.XLOOKUP(H506,Cadastros!$D$6:$D$90,Cadastros!$E$6:$E$90))*(1-_xlfn.XLOOKUP(_xlfn.XLOOKUP($F506,Clientes!$B$4:$B$39,Clientes!$C$4:$C$39),Cadastros!$L$6:$L$12,Cadastros!$N$6:$N$12)))</f>
        <v/>
      </c>
      <c r="K506" s="168" t="str">
        <f t="shared" si="92"/>
        <v/>
      </c>
      <c r="L506" s="168" t="str">
        <f>IFERROR(K506/_xlfn.XLOOKUP(_xlfn.XLOOKUP($F506,Clientes!$B$4:$B$39,Clientes!$C$4:$C$39),Cadastros!$L$6:$L$12,Cadastros!$M$6:$M$12)," ")</f>
        <v xml:space="preserve"> </v>
      </c>
      <c r="M506" s="28"/>
      <c r="N506" s="28"/>
      <c r="O506" s="255" t="str">
        <f>IF(M506="","",(_xlfn.XLOOKUP(M506,Cadastros!$D$6:$D$90,Cadastros!$E$6:$E$90))*(1-_xlfn.XLOOKUP(_xlfn.XLOOKUP($F506,Clientes!$B$4:$B$39,Clientes!$C$4:$C$39),Cadastros!$L$6:$L$12,Cadastros!$N$6:$N$12)))</f>
        <v/>
      </c>
      <c r="P506" s="168" t="str">
        <f t="shared" si="93"/>
        <v/>
      </c>
      <c r="Q506" s="168" t="str">
        <f>IFERROR(P506/_xlfn.XLOOKUP(_xlfn.XLOOKUP($F506,Clientes!$B$4:$B$39,Clientes!$C$4:$C$39),Cadastros!$L$6:$L$12,Cadastros!$M$6:$M$12)," ")</f>
        <v xml:space="preserve"> </v>
      </c>
      <c r="R506" s="28"/>
      <c r="S506" s="28"/>
      <c r="T506" s="255" t="str">
        <f>IF(R506="","",(_xlfn.XLOOKUP(R506,Cadastros!$D$6:$D$90,Cadastros!$E$6:$E$90))*(1-_xlfn.XLOOKUP(_xlfn.XLOOKUP($F506,Clientes!$B$4:$B$39,Clientes!$C$4:$C$39),Cadastros!$L$6:$L$12,Cadastros!$N$6:$N$12)))</f>
        <v/>
      </c>
      <c r="U506" s="168" t="str">
        <f t="shared" si="94"/>
        <v/>
      </c>
      <c r="V506" s="168" t="str">
        <f>IFERROR(U506/_xlfn.XLOOKUP(_xlfn.XLOOKUP($F506,Clientes!$B$4:$B$39,Clientes!$C$4:$C$39),Cadastros!$L$6:$L$12,Cadastros!$M$6:$M$12)," ")</f>
        <v xml:space="preserve"> </v>
      </c>
      <c r="W506" s="28"/>
      <c r="X506" s="28"/>
      <c r="Y506" s="255" t="str">
        <f>IF(W506="","",(_xlfn.XLOOKUP(W506,Cadastros!$D$6:$D$90,Cadastros!$E$6:$E$90))*(1-_xlfn.XLOOKUP(_xlfn.XLOOKUP($F506,Clientes!$B$4:$B$39,Clientes!$C$4:$C$39),Cadastros!$L$6:$L$12,Cadastros!$N$6:$N$12)))</f>
        <v/>
      </c>
      <c r="Z506" s="168" t="str">
        <f t="shared" si="95"/>
        <v/>
      </c>
      <c r="AA506" s="168" t="str">
        <f>IFERROR(Z506/_xlfn.XLOOKUP(_xlfn.XLOOKUP($F506,Clientes!$B$4:$B$39,Clientes!$C$4:$C$39),Cadastros!$L$6:$L$12,Cadastros!$M$6:$M$12)," ")</f>
        <v xml:space="preserve"> </v>
      </c>
      <c r="AB506" s="28"/>
      <c r="AC506" s="28"/>
      <c r="AD506" s="20" t="str">
        <f>IF(AB506="","",IF($F506="Bernardino Furlan",_xlfn.XLOOKUP(AB506,Cadastros!$G$6:$G$90,Cadastros!$H$6:$H$90)*(1-0.18),IF($F506="Mauro José Salanti",_xlfn.XLOOKUP(AB506,Cadastros!$G$6:$G$90,Cadastros!$H$6:$H$90)*(1-0.18),_xlfn.XLOOKUP(AB506,Cadastros!$G$6:$G$90,Cadastros!$H$6:$H$90))))</f>
        <v/>
      </c>
      <c r="AE506" s="168" t="str">
        <f t="shared" si="96"/>
        <v/>
      </c>
      <c r="AF506" s="168" t="str">
        <f t="shared" si="97"/>
        <v/>
      </c>
      <c r="AG506" s="28"/>
      <c r="AH506" s="28"/>
      <c r="AI506" s="20" t="str">
        <f>IF(AG506="","",IF($F506="Bernardino Furlan",_xlfn.XLOOKUP(AG506,Cadastros!$G$6:$G$90,Cadastros!$H$6:$H$90)*(1-0.18),IF($F506="Mauro José Salanti",_xlfn.XLOOKUP(AG506,Cadastros!$G$6:$G$90,Cadastros!$H$6:$H$90)*(1-0.18),_xlfn.XLOOKUP(AG506,Cadastros!$G$6:$G$90,Cadastros!$H$6:$H$90))))</f>
        <v/>
      </c>
      <c r="AJ506" s="168" t="str">
        <f t="shared" si="98"/>
        <v/>
      </c>
      <c r="AK506" s="168" t="str">
        <f t="shared" si="99"/>
        <v/>
      </c>
      <c r="AL506" s="28"/>
      <c r="AM506" s="28"/>
      <c r="AN506" s="20" t="str">
        <f>IF(AL506="","",IF($F506="Bernardino Furlan",_xlfn.XLOOKUP(AL506,Cadastros!$G$6:$G$90,Cadastros!$H$6:$H$90)*(1-0.18),IF($F506="Mauro José Salanti",_xlfn.XLOOKUP(AL506,Cadastros!$G$6:$G$90,Cadastros!$H$6:$H$90)*(1-0.18),_xlfn.XLOOKUP(AL506,Cadastros!$G$6:$G$90,Cadastros!$H$6:$H$90))))</f>
        <v/>
      </c>
      <c r="AO506" s="168" t="str">
        <f t="shared" si="100"/>
        <v/>
      </c>
      <c r="AP506" s="168" t="str">
        <f t="shared" si="101"/>
        <v/>
      </c>
      <c r="AQ506" s="28"/>
      <c r="AR506" s="28"/>
      <c r="AS506" s="20" t="str">
        <f>IF(AQ506="","",IF($F506="Bernardino Furlan",_xlfn.XLOOKUP(AQ506,Cadastros!$G$6:$G$90,Cadastros!$H$6:$H$90)*(1-0.18),IF($F506="Mauro José Salanti",_xlfn.XLOOKUP(AQ506,Cadastros!$G$6:$G$90,Cadastros!$H$6:$H$90)*(1-0.18),_xlfn.XLOOKUP(AQ506,Cadastros!$G$6:$G$90,Cadastros!$H$6:$H$90))))</f>
        <v/>
      </c>
      <c r="AT506" s="168" t="str">
        <f t="shared" si="102"/>
        <v/>
      </c>
      <c r="AU506" s="168" t="str">
        <f t="shared" si="103"/>
        <v/>
      </c>
      <c r="AV506" s="227"/>
      <c r="AW506" s="30"/>
      <c r="AX506" s="267"/>
      <c r="AY506" s="267"/>
      <c r="AZ506" s="29"/>
      <c r="BA506" s="30"/>
      <c r="BB506" s="23" t="str" cm="1">
        <f t="array" ref="BB506">_xlfn.IFS(AW506="SIM",SUM(K506,P506,U506,Z506,AE506,AJ506,AO506,AT506,AX506,AY506),F506&lt;&gt;"",SUM(K506,P506,U506,Z506,AE506,AJ506,,AO506,AT506),F506="","")</f>
        <v/>
      </c>
      <c r="BC506" s="211" t="str" cm="1">
        <f t="array" ref="BC506">_xlfn.IFS(E506="","",G506&lt;=E506,BB506*(1-0.03),G506&lt;(E506+8),BB506,AZ506="Boleto",BB506*(1+0.001)^DATEDIF(E506,G506,"D"),AZ506="Cheque",BB506,AZ506="Dinheiro","Alterar forma pgto")</f>
        <v/>
      </c>
      <c r="BD506" s="276" t="str" cm="1">
        <f t="array" ref="BD506">IF(F506=0," ",IF(BC506&lt;BB506,(_xlfn.IFS(AW506="SIM",SUM(L506,Q506,V506,AA506,AF506,AK506,AP506,AU506)+AX506/_xlfn.XLOOKUP(_xlfn.XLOOKUP($F506,Clientes!$B$4:$B$39,Clientes!$C$4:$C$39),Cadastros!$L$6:$L$12,Cadastros!$M$6:$M$12)+IF($F506="Bernardino Furlan",AY506/2751.92,IF($F506="Mauro José Salanti",AY506/2751.92,AY506/3356)),F506&lt;&gt;0,SUM(L506,Q506,V506,AA506,AF506,AK506,AP506,AU506)))*(1-0.03),_xlfn.IFS(AW506="SIM",SUM(L506,Q506,V506,AA506,AF506,AK506,AP506,AU506)+AX506/_xlfn.XLOOKUP(_xlfn.XLOOKUP($F506,Clientes!$B$4:$B$39,Clientes!$C$4:$C$39),Cadastros!$L$6:$L$12,Cadastros!$M$6:$M$12)+IF($F506="Bernardino Furlan",AY506/2751.92,IF($F506="Mauro José Salanti",AY506/2751.92,AY506/3356)),F506&lt;&gt;0,SUM(L506,Q506,V506,AA506,AF506,AK506,AP506,AU506))))</f>
        <v xml:space="preserve"> </v>
      </c>
      <c r="BE506" s="120"/>
      <c r="BF506" s="120"/>
      <c r="BG506" s="120"/>
    </row>
    <row r="507" spans="1:59" s="3" customFormat="1" x14ac:dyDescent="0.3">
      <c r="A507" s="15" t="str">
        <f t="shared" si="91"/>
        <v/>
      </c>
      <c r="B507" s="25"/>
      <c r="C507" s="26"/>
      <c r="D507" s="279"/>
      <c r="E507" s="27"/>
      <c r="F507" s="28"/>
      <c r="G507" s="27"/>
      <c r="H507" s="28"/>
      <c r="I507" s="28"/>
      <c r="J507" s="255" t="str">
        <f>IF(H507="","",(_xlfn.XLOOKUP(H507,Cadastros!$D$6:$D$90,Cadastros!$E$6:$E$90))*(1-_xlfn.XLOOKUP(_xlfn.XLOOKUP($F507,Clientes!$B$4:$B$39,Clientes!$C$4:$C$39),Cadastros!$L$6:$L$12,Cadastros!$N$6:$N$12)))</f>
        <v/>
      </c>
      <c r="K507" s="168" t="str">
        <f t="shared" si="92"/>
        <v/>
      </c>
      <c r="L507" s="168" t="str">
        <f>IFERROR(K507/_xlfn.XLOOKUP(_xlfn.XLOOKUP($F507,Clientes!$B$4:$B$39,Clientes!$C$4:$C$39),Cadastros!$L$6:$L$12,Cadastros!$M$6:$M$12)," ")</f>
        <v xml:space="preserve"> </v>
      </c>
      <c r="M507" s="28"/>
      <c r="N507" s="28"/>
      <c r="O507" s="255" t="str">
        <f>IF(M507="","",(_xlfn.XLOOKUP(M507,Cadastros!$D$6:$D$90,Cadastros!$E$6:$E$90))*(1-_xlfn.XLOOKUP(_xlfn.XLOOKUP($F507,Clientes!$B$4:$B$39,Clientes!$C$4:$C$39),Cadastros!$L$6:$L$12,Cadastros!$N$6:$N$12)))</f>
        <v/>
      </c>
      <c r="P507" s="168" t="str">
        <f t="shared" si="93"/>
        <v/>
      </c>
      <c r="Q507" s="168" t="str">
        <f>IFERROR(P507/_xlfn.XLOOKUP(_xlfn.XLOOKUP($F507,Clientes!$B$4:$B$39,Clientes!$C$4:$C$39),Cadastros!$L$6:$L$12,Cadastros!$M$6:$M$12)," ")</f>
        <v xml:space="preserve"> </v>
      </c>
      <c r="R507" s="28"/>
      <c r="S507" s="28"/>
      <c r="T507" s="255" t="str">
        <f>IF(R507="","",(_xlfn.XLOOKUP(R507,Cadastros!$D$6:$D$90,Cadastros!$E$6:$E$90))*(1-_xlfn.XLOOKUP(_xlfn.XLOOKUP($F507,Clientes!$B$4:$B$39,Clientes!$C$4:$C$39),Cadastros!$L$6:$L$12,Cadastros!$N$6:$N$12)))</f>
        <v/>
      </c>
      <c r="U507" s="168" t="str">
        <f t="shared" si="94"/>
        <v/>
      </c>
      <c r="V507" s="168" t="str">
        <f>IFERROR(U507/_xlfn.XLOOKUP(_xlfn.XLOOKUP($F507,Clientes!$B$4:$B$39,Clientes!$C$4:$C$39),Cadastros!$L$6:$L$12,Cadastros!$M$6:$M$12)," ")</f>
        <v xml:space="preserve"> </v>
      </c>
      <c r="W507" s="28"/>
      <c r="X507" s="28"/>
      <c r="Y507" s="255" t="str">
        <f>IF(W507="","",(_xlfn.XLOOKUP(W507,Cadastros!$D$6:$D$90,Cadastros!$E$6:$E$90))*(1-_xlfn.XLOOKUP(_xlfn.XLOOKUP($F507,Clientes!$B$4:$B$39,Clientes!$C$4:$C$39),Cadastros!$L$6:$L$12,Cadastros!$N$6:$N$12)))</f>
        <v/>
      </c>
      <c r="Z507" s="168" t="str">
        <f t="shared" si="95"/>
        <v/>
      </c>
      <c r="AA507" s="168" t="str">
        <f>IFERROR(Z507/_xlfn.XLOOKUP(_xlfn.XLOOKUP($F507,Clientes!$B$4:$B$39,Clientes!$C$4:$C$39),Cadastros!$L$6:$L$12,Cadastros!$M$6:$M$12)," ")</f>
        <v xml:space="preserve"> </v>
      </c>
      <c r="AB507" s="28"/>
      <c r="AC507" s="28"/>
      <c r="AD507" s="20" t="str">
        <f>IF(AB507="","",IF($F507="Bernardino Furlan",_xlfn.XLOOKUP(AB507,Cadastros!$G$6:$G$90,Cadastros!$H$6:$H$90)*(1-0.18),IF($F507="Mauro José Salanti",_xlfn.XLOOKUP(AB507,Cadastros!$G$6:$G$90,Cadastros!$H$6:$H$90)*(1-0.18),_xlfn.XLOOKUP(AB507,Cadastros!$G$6:$G$90,Cadastros!$H$6:$H$90))))</f>
        <v/>
      </c>
      <c r="AE507" s="168" t="str">
        <f t="shared" si="96"/>
        <v/>
      </c>
      <c r="AF507" s="168" t="str">
        <f t="shared" si="97"/>
        <v/>
      </c>
      <c r="AG507" s="28"/>
      <c r="AH507" s="28"/>
      <c r="AI507" s="20" t="str">
        <f>IF(AG507="","",IF($F507="Bernardino Furlan",_xlfn.XLOOKUP(AG507,Cadastros!$G$6:$G$90,Cadastros!$H$6:$H$90)*(1-0.18),IF($F507="Mauro José Salanti",_xlfn.XLOOKUP(AG507,Cadastros!$G$6:$G$90,Cadastros!$H$6:$H$90)*(1-0.18),_xlfn.XLOOKUP(AG507,Cadastros!$G$6:$G$90,Cadastros!$H$6:$H$90))))</f>
        <v/>
      </c>
      <c r="AJ507" s="168" t="str">
        <f t="shared" si="98"/>
        <v/>
      </c>
      <c r="AK507" s="168" t="str">
        <f t="shared" si="99"/>
        <v/>
      </c>
      <c r="AL507" s="28"/>
      <c r="AM507" s="28"/>
      <c r="AN507" s="20" t="str">
        <f>IF(AL507="","",IF($F507="Bernardino Furlan",_xlfn.XLOOKUP(AL507,Cadastros!$G$6:$G$90,Cadastros!$H$6:$H$90)*(1-0.18),IF($F507="Mauro José Salanti",_xlfn.XLOOKUP(AL507,Cadastros!$G$6:$G$90,Cadastros!$H$6:$H$90)*(1-0.18),_xlfn.XLOOKUP(AL507,Cadastros!$G$6:$G$90,Cadastros!$H$6:$H$90))))</f>
        <v/>
      </c>
      <c r="AO507" s="168" t="str">
        <f t="shared" si="100"/>
        <v/>
      </c>
      <c r="AP507" s="168" t="str">
        <f t="shared" si="101"/>
        <v/>
      </c>
      <c r="AQ507" s="28"/>
      <c r="AR507" s="28"/>
      <c r="AS507" s="20" t="str">
        <f>IF(AQ507="","",IF($F507="Bernardino Furlan",_xlfn.XLOOKUP(AQ507,Cadastros!$G$6:$G$90,Cadastros!$H$6:$H$90)*(1-0.18),IF($F507="Mauro José Salanti",_xlfn.XLOOKUP(AQ507,Cadastros!$G$6:$G$90,Cadastros!$H$6:$H$90)*(1-0.18),_xlfn.XLOOKUP(AQ507,Cadastros!$G$6:$G$90,Cadastros!$H$6:$H$90))))</f>
        <v/>
      </c>
      <c r="AT507" s="168" t="str">
        <f t="shared" si="102"/>
        <v/>
      </c>
      <c r="AU507" s="168" t="str">
        <f t="shared" si="103"/>
        <v/>
      </c>
      <c r="AV507" s="227"/>
      <c r="AW507" s="30"/>
      <c r="AX507" s="267"/>
      <c r="AY507" s="267"/>
      <c r="AZ507" s="29"/>
      <c r="BA507" s="30"/>
      <c r="BB507" s="23" t="str" cm="1">
        <f t="array" ref="BB507">_xlfn.IFS(AW507="SIM",SUM(K507,P507,U507,Z507,AE507,AJ507,AO507,AT507,AX507,AY507),F507&lt;&gt;"",SUM(K507,P507,U507,Z507,AE507,AJ507,,AO507,AT507),F507="","")</f>
        <v/>
      </c>
      <c r="BC507" s="211" t="str" cm="1">
        <f t="array" ref="BC507">_xlfn.IFS(E507="","",G507&lt;=E507,BB507*(1-0.03),G507&lt;(E507+8),BB507,AZ507="Boleto",BB507*(1+0.001)^DATEDIF(E507,G507,"D"),AZ507="Cheque",BB507,AZ507="Dinheiro","Alterar forma pgto")</f>
        <v/>
      </c>
      <c r="BD507" s="276" t="str" cm="1">
        <f t="array" ref="BD507">IF(F507=0," ",IF(BC507&lt;BB507,(_xlfn.IFS(AW507="SIM",SUM(L507,Q507,V507,AA507,AF507,AK507,AP507,AU507)+AX507/_xlfn.XLOOKUP(_xlfn.XLOOKUP($F507,Clientes!$B$4:$B$39,Clientes!$C$4:$C$39),Cadastros!$L$6:$L$12,Cadastros!$M$6:$M$12)+IF($F507="Bernardino Furlan",AY507/2751.92,IF($F507="Mauro José Salanti",AY507/2751.92,AY507/3356)),F507&lt;&gt;0,SUM(L507,Q507,V507,AA507,AF507,AK507,AP507,AU507)))*(1-0.03),_xlfn.IFS(AW507="SIM",SUM(L507,Q507,V507,AA507,AF507,AK507,AP507,AU507)+AX507/_xlfn.XLOOKUP(_xlfn.XLOOKUP($F507,Clientes!$B$4:$B$39,Clientes!$C$4:$C$39),Cadastros!$L$6:$L$12,Cadastros!$M$6:$M$12)+IF($F507="Bernardino Furlan",AY507/2751.92,IF($F507="Mauro José Salanti",AY507/2751.92,AY507/3356)),F507&lt;&gt;0,SUM(L507,Q507,V507,AA507,AF507,AK507,AP507,AU507))))</f>
        <v xml:space="preserve"> </v>
      </c>
      <c r="BE507" s="120"/>
      <c r="BF507" s="120"/>
      <c r="BG507" s="120"/>
    </row>
    <row r="508" spans="1:59" s="3" customFormat="1" x14ac:dyDescent="0.3">
      <c r="A508" s="15" t="str">
        <f t="shared" si="91"/>
        <v/>
      </c>
      <c r="B508" s="25"/>
      <c r="C508" s="26"/>
      <c r="D508" s="279"/>
      <c r="E508" s="27"/>
      <c r="F508" s="28"/>
      <c r="G508" s="27"/>
      <c r="H508" s="28"/>
      <c r="I508" s="28"/>
      <c r="J508" s="255" t="str">
        <f>IF(H508="","",(_xlfn.XLOOKUP(H508,Cadastros!$D$6:$D$90,Cadastros!$E$6:$E$90))*(1-_xlfn.XLOOKUP(_xlfn.XLOOKUP($F508,Clientes!$B$4:$B$39,Clientes!$C$4:$C$39),Cadastros!$L$6:$L$12,Cadastros!$N$6:$N$12)))</f>
        <v/>
      </c>
      <c r="K508" s="168" t="str">
        <f t="shared" si="92"/>
        <v/>
      </c>
      <c r="L508" s="168" t="str">
        <f>IFERROR(K508/_xlfn.XLOOKUP(_xlfn.XLOOKUP($F508,Clientes!$B$4:$B$39,Clientes!$C$4:$C$39),Cadastros!$L$6:$L$12,Cadastros!$M$6:$M$12)," ")</f>
        <v xml:space="preserve"> </v>
      </c>
      <c r="M508" s="28"/>
      <c r="N508" s="28"/>
      <c r="O508" s="255" t="str">
        <f>IF(M508="","",(_xlfn.XLOOKUP(M508,Cadastros!$D$6:$D$90,Cadastros!$E$6:$E$90))*(1-_xlfn.XLOOKUP(_xlfn.XLOOKUP($F508,Clientes!$B$4:$B$39,Clientes!$C$4:$C$39),Cadastros!$L$6:$L$12,Cadastros!$N$6:$N$12)))</f>
        <v/>
      </c>
      <c r="P508" s="168" t="str">
        <f t="shared" si="93"/>
        <v/>
      </c>
      <c r="Q508" s="168" t="str">
        <f>IFERROR(P508/_xlfn.XLOOKUP(_xlfn.XLOOKUP($F508,Clientes!$B$4:$B$39,Clientes!$C$4:$C$39),Cadastros!$L$6:$L$12,Cadastros!$M$6:$M$12)," ")</f>
        <v xml:space="preserve"> </v>
      </c>
      <c r="R508" s="28"/>
      <c r="S508" s="28"/>
      <c r="T508" s="255" t="str">
        <f>IF(R508="","",(_xlfn.XLOOKUP(R508,Cadastros!$D$6:$D$90,Cadastros!$E$6:$E$90))*(1-_xlfn.XLOOKUP(_xlfn.XLOOKUP($F508,Clientes!$B$4:$B$39,Clientes!$C$4:$C$39),Cadastros!$L$6:$L$12,Cadastros!$N$6:$N$12)))</f>
        <v/>
      </c>
      <c r="U508" s="168" t="str">
        <f t="shared" si="94"/>
        <v/>
      </c>
      <c r="V508" s="168" t="str">
        <f>IFERROR(U508/_xlfn.XLOOKUP(_xlfn.XLOOKUP($F508,Clientes!$B$4:$B$39,Clientes!$C$4:$C$39),Cadastros!$L$6:$L$12,Cadastros!$M$6:$M$12)," ")</f>
        <v xml:space="preserve"> </v>
      </c>
      <c r="W508" s="28"/>
      <c r="X508" s="28"/>
      <c r="Y508" s="255" t="str">
        <f>IF(W508="","",(_xlfn.XLOOKUP(W508,Cadastros!$D$6:$D$90,Cadastros!$E$6:$E$90))*(1-_xlfn.XLOOKUP(_xlfn.XLOOKUP($F508,Clientes!$B$4:$B$39,Clientes!$C$4:$C$39),Cadastros!$L$6:$L$12,Cadastros!$N$6:$N$12)))</f>
        <v/>
      </c>
      <c r="Z508" s="168" t="str">
        <f t="shared" si="95"/>
        <v/>
      </c>
      <c r="AA508" s="168" t="str">
        <f>IFERROR(Z508/_xlfn.XLOOKUP(_xlfn.XLOOKUP($F508,Clientes!$B$4:$B$39,Clientes!$C$4:$C$39),Cadastros!$L$6:$L$12,Cadastros!$M$6:$M$12)," ")</f>
        <v xml:space="preserve"> </v>
      </c>
      <c r="AB508" s="28"/>
      <c r="AC508" s="28"/>
      <c r="AD508" s="20" t="str">
        <f>IF(AB508="","",IF($F508="Bernardino Furlan",_xlfn.XLOOKUP(AB508,Cadastros!$G$6:$G$90,Cadastros!$H$6:$H$90)*(1-0.18),IF($F508="Mauro José Salanti",_xlfn.XLOOKUP(AB508,Cadastros!$G$6:$G$90,Cadastros!$H$6:$H$90)*(1-0.18),_xlfn.XLOOKUP(AB508,Cadastros!$G$6:$G$90,Cadastros!$H$6:$H$90))))</f>
        <v/>
      </c>
      <c r="AE508" s="168" t="str">
        <f t="shared" si="96"/>
        <v/>
      </c>
      <c r="AF508" s="168" t="str">
        <f t="shared" si="97"/>
        <v/>
      </c>
      <c r="AG508" s="28"/>
      <c r="AH508" s="28"/>
      <c r="AI508" s="20" t="str">
        <f>IF(AG508="","",IF($F508="Bernardino Furlan",_xlfn.XLOOKUP(AG508,Cadastros!$G$6:$G$90,Cadastros!$H$6:$H$90)*(1-0.18),IF($F508="Mauro José Salanti",_xlfn.XLOOKUP(AG508,Cadastros!$G$6:$G$90,Cadastros!$H$6:$H$90)*(1-0.18),_xlfn.XLOOKUP(AG508,Cadastros!$G$6:$G$90,Cadastros!$H$6:$H$90))))</f>
        <v/>
      </c>
      <c r="AJ508" s="168" t="str">
        <f t="shared" si="98"/>
        <v/>
      </c>
      <c r="AK508" s="168" t="str">
        <f t="shared" si="99"/>
        <v/>
      </c>
      <c r="AL508" s="28"/>
      <c r="AM508" s="28"/>
      <c r="AN508" s="20" t="str">
        <f>IF(AL508="","",IF($F508="Bernardino Furlan",_xlfn.XLOOKUP(AL508,Cadastros!$G$6:$G$90,Cadastros!$H$6:$H$90)*(1-0.18),IF($F508="Mauro José Salanti",_xlfn.XLOOKUP(AL508,Cadastros!$G$6:$G$90,Cadastros!$H$6:$H$90)*(1-0.18),_xlfn.XLOOKUP(AL508,Cadastros!$G$6:$G$90,Cadastros!$H$6:$H$90))))</f>
        <v/>
      </c>
      <c r="AO508" s="168" t="str">
        <f t="shared" si="100"/>
        <v/>
      </c>
      <c r="AP508" s="168" t="str">
        <f t="shared" si="101"/>
        <v/>
      </c>
      <c r="AQ508" s="28"/>
      <c r="AR508" s="28"/>
      <c r="AS508" s="20" t="str">
        <f>IF(AQ508="","",IF($F508="Bernardino Furlan",_xlfn.XLOOKUP(AQ508,Cadastros!$G$6:$G$90,Cadastros!$H$6:$H$90)*(1-0.18),IF($F508="Mauro José Salanti",_xlfn.XLOOKUP(AQ508,Cadastros!$G$6:$G$90,Cadastros!$H$6:$H$90)*(1-0.18),_xlfn.XLOOKUP(AQ508,Cadastros!$G$6:$G$90,Cadastros!$H$6:$H$90))))</f>
        <v/>
      </c>
      <c r="AT508" s="168" t="str">
        <f t="shared" si="102"/>
        <v/>
      </c>
      <c r="AU508" s="168" t="str">
        <f t="shared" si="103"/>
        <v/>
      </c>
      <c r="AV508" s="227"/>
      <c r="AW508" s="30"/>
      <c r="AX508" s="267"/>
      <c r="AY508" s="267"/>
      <c r="AZ508" s="29"/>
      <c r="BA508" s="30"/>
      <c r="BB508" s="23" t="str" cm="1">
        <f t="array" ref="BB508">_xlfn.IFS(AW508="SIM",SUM(K508,P508,U508,Z508,AE508,AJ508,AO508,AT508,AX508,AY508),F508&lt;&gt;"",SUM(K508,P508,U508,Z508,AE508,AJ508,,AO508,AT508),F508="","")</f>
        <v/>
      </c>
      <c r="BC508" s="211" t="str" cm="1">
        <f t="array" ref="BC508">_xlfn.IFS(E508="","",G508&lt;=E508,BB508*(1-0.03),G508&lt;(E508+8),BB508,AZ508="Boleto",BB508*(1+0.001)^DATEDIF(E508,G508,"D"),AZ508="Cheque",BB508,AZ508="Dinheiro","Alterar forma pgto")</f>
        <v/>
      </c>
      <c r="BD508" s="276" t="str" cm="1">
        <f t="array" ref="BD508">IF(F508=0," ",IF(BC508&lt;BB508,(_xlfn.IFS(AW508="SIM",SUM(L508,Q508,V508,AA508,AF508,AK508,AP508,AU508)+AX508/_xlfn.XLOOKUP(_xlfn.XLOOKUP($F508,Clientes!$B$4:$B$39,Clientes!$C$4:$C$39),Cadastros!$L$6:$L$12,Cadastros!$M$6:$M$12)+IF($F508="Bernardino Furlan",AY508/2751.92,IF($F508="Mauro José Salanti",AY508/2751.92,AY508/3356)),F508&lt;&gt;0,SUM(L508,Q508,V508,AA508,AF508,AK508,AP508,AU508)))*(1-0.03),_xlfn.IFS(AW508="SIM",SUM(L508,Q508,V508,AA508,AF508,AK508,AP508,AU508)+AX508/_xlfn.XLOOKUP(_xlfn.XLOOKUP($F508,Clientes!$B$4:$B$39,Clientes!$C$4:$C$39),Cadastros!$L$6:$L$12,Cadastros!$M$6:$M$12)+IF($F508="Bernardino Furlan",AY508/2751.92,IF($F508="Mauro José Salanti",AY508/2751.92,AY508/3356)),F508&lt;&gt;0,SUM(L508,Q508,V508,AA508,AF508,AK508,AP508,AU508))))</f>
        <v xml:space="preserve"> </v>
      </c>
      <c r="BE508" s="120"/>
      <c r="BF508" s="120"/>
      <c r="BG508" s="120"/>
    </row>
    <row r="509" spans="1:59" s="3" customFormat="1" x14ac:dyDescent="0.3">
      <c r="A509" s="15" t="str">
        <f t="shared" si="91"/>
        <v/>
      </c>
      <c r="B509" s="25"/>
      <c r="C509" s="26"/>
      <c r="D509" s="279"/>
      <c r="E509" s="27"/>
      <c r="F509" s="28"/>
      <c r="G509" s="27"/>
      <c r="H509" s="28"/>
      <c r="I509" s="28"/>
      <c r="J509" s="255" t="str">
        <f>IF(H509="","",(_xlfn.XLOOKUP(H509,Cadastros!$D$6:$D$90,Cadastros!$E$6:$E$90))*(1-_xlfn.XLOOKUP(_xlfn.XLOOKUP($F509,Clientes!$B$4:$B$39,Clientes!$C$4:$C$39),Cadastros!$L$6:$L$12,Cadastros!$N$6:$N$12)))</f>
        <v/>
      </c>
      <c r="K509" s="168" t="str">
        <f t="shared" si="92"/>
        <v/>
      </c>
      <c r="L509" s="168" t="str">
        <f>IFERROR(K509/_xlfn.XLOOKUP(_xlfn.XLOOKUP($F509,Clientes!$B$4:$B$39,Clientes!$C$4:$C$39),Cadastros!$L$6:$L$12,Cadastros!$M$6:$M$12)," ")</f>
        <v xml:space="preserve"> </v>
      </c>
      <c r="M509" s="28"/>
      <c r="N509" s="28"/>
      <c r="O509" s="255" t="str">
        <f>IF(M509="","",(_xlfn.XLOOKUP(M509,Cadastros!$D$6:$D$90,Cadastros!$E$6:$E$90))*(1-_xlfn.XLOOKUP(_xlfn.XLOOKUP($F509,Clientes!$B$4:$B$39,Clientes!$C$4:$C$39),Cadastros!$L$6:$L$12,Cadastros!$N$6:$N$12)))</f>
        <v/>
      </c>
      <c r="P509" s="168" t="str">
        <f t="shared" si="93"/>
        <v/>
      </c>
      <c r="Q509" s="168" t="str">
        <f>IFERROR(P509/_xlfn.XLOOKUP(_xlfn.XLOOKUP($F509,Clientes!$B$4:$B$39,Clientes!$C$4:$C$39),Cadastros!$L$6:$L$12,Cadastros!$M$6:$M$12)," ")</f>
        <v xml:space="preserve"> </v>
      </c>
      <c r="R509" s="28"/>
      <c r="S509" s="28"/>
      <c r="T509" s="255" t="str">
        <f>IF(R509="","",(_xlfn.XLOOKUP(R509,Cadastros!$D$6:$D$90,Cadastros!$E$6:$E$90))*(1-_xlfn.XLOOKUP(_xlfn.XLOOKUP($F509,Clientes!$B$4:$B$39,Clientes!$C$4:$C$39),Cadastros!$L$6:$L$12,Cadastros!$N$6:$N$12)))</f>
        <v/>
      </c>
      <c r="U509" s="168" t="str">
        <f t="shared" si="94"/>
        <v/>
      </c>
      <c r="V509" s="168" t="str">
        <f>IFERROR(U509/_xlfn.XLOOKUP(_xlfn.XLOOKUP($F509,Clientes!$B$4:$B$39,Clientes!$C$4:$C$39),Cadastros!$L$6:$L$12,Cadastros!$M$6:$M$12)," ")</f>
        <v xml:space="preserve"> </v>
      </c>
      <c r="W509" s="28"/>
      <c r="X509" s="28"/>
      <c r="Y509" s="255" t="str">
        <f>IF(W509="","",(_xlfn.XLOOKUP(W509,Cadastros!$D$6:$D$90,Cadastros!$E$6:$E$90))*(1-_xlfn.XLOOKUP(_xlfn.XLOOKUP($F509,Clientes!$B$4:$B$39,Clientes!$C$4:$C$39),Cadastros!$L$6:$L$12,Cadastros!$N$6:$N$12)))</f>
        <v/>
      </c>
      <c r="Z509" s="168" t="str">
        <f t="shared" si="95"/>
        <v/>
      </c>
      <c r="AA509" s="168" t="str">
        <f>IFERROR(Z509/_xlfn.XLOOKUP(_xlfn.XLOOKUP($F509,Clientes!$B$4:$B$39,Clientes!$C$4:$C$39),Cadastros!$L$6:$L$12,Cadastros!$M$6:$M$12)," ")</f>
        <v xml:space="preserve"> </v>
      </c>
      <c r="AB509" s="28"/>
      <c r="AC509" s="28"/>
      <c r="AD509" s="20" t="str">
        <f>IF(AB509="","",IF($F509="Bernardino Furlan",_xlfn.XLOOKUP(AB509,Cadastros!$G$6:$G$90,Cadastros!$H$6:$H$90)*(1-0.18),IF($F509="Mauro José Salanti",_xlfn.XLOOKUP(AB509,Cadastros!$G$6:$G$90,Cadastros!$H$6:$H$90)*(1-0.18),_xlfn.XLOOKUP(AB509,Cadastros!$G$6:$G$90,Cadastros!$H$6:$H$90))))</f>
        <v/>
      </c>
      <c r="AE509" s="168" t="str">
        <f t="shared" si="96"/>
        <v/>
      </c>
      <c r="AF509" s="168" t="str">
        <f t="shared" si="97"/>
        <v/>
      </c>
      <c r="AG509" s="28"/>
      <c r="AH509" s="28"/>
      <c r="AI509" s="20" t="str">
        <f>IF(AG509="","",IF($F509="Bernardino Furlan",_xlfn.XLOOKUP(AG509,Cadastros!$G$6:$G$90,Cadastros!$H$6:$H$90)*(1-0.18),IF($F509="Mauro José Salanti",_xlfn.XLOOKUP(AG509,Cadastros!$G$6:$G$90,Cadastros!$H$6:$H$90)*(1-0.18),_xlfn.XLOOKUP(AG509,Cadastros!$G$6:$G$90,Cadastros!$H$6:$H$90))))</f>
        <v/>
      </c>
      <c r="AJ509" s="168" t="str">
        <f t="shared" si="98"/>
        <v/>
      </c>
      <c r="AK509" s="168" t="str">
        <f t="shared" si="99"/>
        <v/>
      </c>
      <c r="AL509" s="28"/>
      <c r="AM509" s="28"/>
      <c r="AN509" s="20" t="str">
        <f>IF(AL509="","",IF($F509="Bernardino Furlan",_xlfn.XLOOKUP(AL509,Cadastros!$G$6:$G$90,Cadastros!$H$6:$H$90)*(1-0.18),IF($F509="Mauro José Salanti",_xlfn.XLOOKUP(AL509,Cadastros!$G$6:$G$90,Cadastros!$H$6:$H$90)*(1-0.18),_xlfn.XLOOKUP(AL509,Cadastros!$G$6:$G$90,Cadastros!$H$6:$H$90))))</f>
        <v/>
      </c>
      <c r="AO509" s="168" t="str">
        <f t="shared" si="100"/>
        <v/>
      </c>
      <c r="AP509" s="168" t="str">
        <f t="shared" si="101"/>
        <v/>
      </c>
      <c r="AQ509" s="28"/>
      <c r="AR509" s="28"/>
      <c r="AS509" s="20" t="str">
        <f>IF(AQ509="","",IF($F509="Bernardino Furlan",_xlfn.XLOOKUP(AQ509,Cadastros!$G$6:$G$90,Cadastros!$H$6:$H$90)*(1-0.18),IF($F509="Mauro José Salanti",_xlfn.XLOOKUP(AQ509,Cadastros!$G$6:$G$90,Cadastros!$H$6:$H$90)*(1-0.18),_xlfn.XLOOKUP(AQ509,Cadastros!$G$6:$G$90,Cadastros!$H$6:$H$90))))</f>
        <v/>
      </c>
      <c r="AT509" s="168" t="str">
        <f t="shared" si="102"/>
        <v/>
      </c>
      <c r="AU509" s="168" t="str">
        <f t="shared" si="103"/>
        <v/>
      </c>
      <c r="AV509" s="227"/>
      <c r="AW509" s="30"/>
      <c r="AX509" s="267"/>
      <c r="AY509" s="267"/>
      <c r="AZ509" s="29"/>
      <c r="BA509" s="30"/>
      <c r="BB509" s="23" t="str" cm="1">
        <f t="array" ref="BB509">_xlfn.IFS(AW509="SIM",SUM(K509,P509,U509,Z509,AE509,AJ509,AO509,AT509,AX509,AY509),F509&lt;&gt;"",SUM(K509,P509,U509,Z509,AE509,AJ509,,AO509,AT509),F509="","")</f>
        <v/>
      </c>
      <c r="BC509" s="211" t="str" cm="1">
        <f t="array" ref="BC509">_xlfn.IFS(E509="","",G509&lt;=E509,BB509*(1-0.03),G509&lt;(E509+8),BB509,AZ509="Boleto",BB509*(1+0.001)^DATEDIF(E509,G509,"D"),AZ509="Cheque",BB509,AZ509="Dinheiro","Alterar forma pgto")</f>
        <v/>
      </c>
      <c r="BD509" s="276" t="str" cm="1">
        <f t="array" ref="BD509">IF(F509=0," ",IF(BC509&lt;BB509,(_xlfn.IFS(AW509="SIM",SUM(L509,Q509,V509,AA509,AF509,AK509,AP509,AU509)+AX509/_xlfn.XLOOKUP(_xlfn.XLOOKUP($F509,Clientes!$B$4:$B$39,Clientes!$C$4:$C$39),Cadastros!$L$6:$L$12,Cadastros!$M$6:$M$12)+IF($F509="Bernardino Furlan",AY509/2751.92,IF($F509="Mauro José Salanti",AY509/2751.92,AY509/3356)),F509&lt;&gt;0,SUM(L509,Q509,V509,AA509,AF509,AK509,AP509,AU509)))*(1-0.03),_xlfn.IFS(AW509="SIM",SUM(L509,Q509,V509,AA509,AF509,AK509,AP509,AU509)+AX509/_xlfn.XLOOKUP(_xlfn.XLOOKUP($F509,Clientes!$B$4:$B$39,Clientes!$C$4:$C$39),Cadastros!$L$6:$L$12,Cadastros!$M$6:$M$12)+IF($F509="Bernardino Furlan",AY509/2751.92,IF($F509="Mauro José Salanti",AY509/2751.92,AY509/3356)),F509&lt;&gt;0,SUM(L509,Q509,V509,AA509,AF509,AK509,AP509,AU509))))</f>
        <v xml:space="preserve"> </v>
      </c>
      <c r="BE509" s="120"/>
      <c r="BF509" s="120"/>
      <c r="BG509" s="120"/>
    </row>
    <row r="510" spans="1:59" s="3" customFormat="1" x14ac:dyDescent="0.3">
      <c r="A510" s="15" t="str">
        <f t="shared" si="91"/>
        <v/>
      </c>
      <c r="B510" s="25"/>
      <c r="C510" s="26"/>
      <c r="D510" s="279"/>
      <c r="E510" s="27"/>
      <c r="F510" s="28"/>
      <c r="G510" s="27"/>
      <c r="H510" s="28"/>
      <c r="I510" s="28"/>
      <c r="J510" s="255" t="str">
        <f>IF(H510="","",(_xlfn.XLOOKUP(H510,Cadastros!$D$6:$D$90,Cadastros!$E$6:$E$90))*(1-_xlfn.XLOOKUP(_xlfn.XLOOKUP($F510,Clientes!$B$4:$B$39,Clientes!$C$4:$C$39),Cadastros!$L$6:$L$12,Cadastros!$N$6:$N$12)))</f>
        <v/>
      </c>
      <c r="K510" s="168" t="str">
        <f t="shared" si="92"/>
        <v/>
      </c>
      <c r="L510" s="168" t="str">
        <f>IFERROR(K510/_xlfn.XLOOKUP(_xlfn.XLOOKUP($F510,Clientes!$B$4:$B$39,Clientes!$C$4:$C$39),Cadastros!$L$6:$L$12,Cadastros!$M$6:$M$12)," ")</f>
        <v xml:space="preserve"> </v>
      </c>
      <c r="M510" s="28"/>
      <c r="N510" s="28"/>
      <c r="O510" s="255" t="str">
        <f>IF(M510="","",(_xlfn.XLOOKUP(M510,Cadastros!$D$6:$D$90,Cadastros!$E$6:$E$90))*(1-_xlfn.XLOOKUP(_xlfn.XLOOKUP($F510,Clientes!$B$4:$B$39,Clientes!$C$4:$C$39),Cadastros!$L$6:$L$12,Cadastros!$N$6:$N$12)))</f>
        <v/>
      </c>
      <c r="P510" s="168" t="str">
        <f t="shared" si="93"/>
        <v/>
      </c>
      <c r="Q510" s="168" t="str">
        <f>IFERROR(P510/_xlfn.XLOOKUP(_xlfn.XLOOKUP($F510,Clientes!$B$4:$B$39,Clientes!$C$4:$C$39),Cadastros!$L$6:$L$12,Cadastros!$M$6:$M$12)," ")</f>
        <v xml:space="preserve"> </v>
      </c>
      <c r="R510" s="28"/>
      <c r="S510" s="28"/>
      <c r="T510" s="255" t="str">
        <f>IF(R510="","",(_xlfn.XLOOKUP(R510,Cadastros!$D$6:$D$90,Cadastros!$E$6:$E$90))*(1-_xlfn.XLOOKUP(_xlfn.XLOOKUP($F510,Clientes!$B$4:$B$39,Clientes!$C$4:$C$39),Cadastros!$L$6:$L$12,Cadastros!$N$6:$N$12)))</f>
        <v/>
      </c>
      <c r="U510" s="168" t="str">
        <f t="shared" si="94"/>
        <v/>
      </c>
      <c r="V510" s="168" t="str">
        <f>IFERROR(U510/_xlfn.XLOOKUP(_xlfn.XLOOKUP($F510,Clientes!$B$4:$B$39,Clientes!$C$4:$C$39),Cadastros!$L$6:$L$12,Cadastros!$M$6:$M$12)," ")</f>
        <v xml:space="preserve"> </v>
      </c>
      <c r="W510" s="28"/>
      <c r="X510" s="28"/>
      <c r="Y510" s="255" t="str">
        <f>IF(W510="","",(_xlfn.XLOOKUP(W510,Cadastros!$D$6:$D$90,Cadastros!$E$6:$E$90))*(1-_xlfn.XLOOKUP(_xlfn.XLOOKUP($F510,Clientes!$B$4:$B$39,Clientes!$C$4:$C$39),Cadastros!$L$6:$L$12,Cadastros!$N$6:$N$12)))</f>
        <v/>
      </c>
      <c r="Z510" s="168" t="str">
        <f t="shared" si="95"/>
        <v/>
      </c>
      <c r="AA510" s="168" t="str">
        <f>IFERROR(Z510/_xlfn.XLOOKUP(_xlfn.XLOOKUP($F510,Clientes!$B$4:$B$39,Clientes!$C$4:$C$39),Cadastros!$L$6:$L$12,Cadastros!$M$6:$M$12)," ")</f>
        <v xml:space="preserve"> </v>
      </c>
      <c r="AB510" s="28"/>
      <c r="AC510" s="28"/>
      <c r="AD510" s="20" t="str">
        <f>IF(AB510="","",IF($F510="Bernardino Furlan",_xlfn.XLOOKUP(AB510,Cadastros!$G$6:$G$90,Cadastros!$H$6:$H$90)*(1-0.18),IF($F510="Mauro José Salanti",_xlfn.XLOOKUP(AB510,Cadastros!$G$6:$G$90,Cadastros!$H$6:$H$90)*(1-0.18),_xlfn.XLOOKUP(AB510,Cadastros!$G$6:$G$90,Cadastros!$H$6:$H$90))))</f>
        <v/>
      </c>
      <c r="AE510" s="168" t="str">
        <f t="shared" si="96"/>
        <v/>
      </c>
      <c r="AF510" s="168" t="str">
        <f t="shared" si="97"/>
        <v/>
      </c>
      <c r="AG510" s="28"/>
      <c r="AH510" s="28"/>
      <c r="AI510" s="20" t="str">
        <f>IF(AG510="","",IF($F510="Bernardino Furlan",_xlfn.XLOOKUP(AG510,Cadastros!$G$6:$G$90,Cadastros!$H$6:$H$90)*(1-0.18),IF($F510="Mauro José Salanti",_xlfn.XLOOKUP(AG510,Cadastros!$G$6:$G$90,Cadastros!$H$6:$H$90)*(1-0.18),_xlfn.XLOOKUP(AG510,Cadastros!$G$6:$G$90,Cadastros!$H$6:$H$90))))</f>
        <v/>
      </c>
      <c r="AJ510" s="168" t="str">
        <f t="shared" si="98"/>
        <v/>
      </c>
      <c r="AK510" s="168" t="str">
        <f t="shared" si="99"/>
        <v/>
      </c>
      <c r="AL510" s="28"/>
      <c r="AM510" s="28"/>
      <c r="AN510" s="20" t="str">
        <f>IF(AL510="","",IF($F510="Bernardino Furlan",_xlfn.XLOOKUP(AL510,Cadastros!$G$6:$G$90,Cadastros!$H$6:$H$90)*(1-0.18),IF($F510="Mauro José Salanti",_xlfn.XLOOKUP(AL510,Cadastros!$G$6:$G$90,Cadastros!$H$6:$H$90)*(1-0.18),_xlfn.XLOOKUP(AL510,Cadastros!$G$6:$G$90,Cadastros!$H$6:$H$90))))</f>
        <v/>
      </c>
      <c r="AO510" s="168" t="str">
        <f t="shared" si="100"/>
        <v/>
      </c>
      <c r="AP510" s="168" t="str">
        <f t="shared" si="101"/>
        <v/>
      </c>
      <c r="AQ510" s="28"/>
      <c r="AR510" s="28"/>
      <c r="AS510" s="20" t="str">
        <f>IF(AQ510="","",IF($F510="Bernardino Furlan",_xlfn.XLOOKUP(AQ510,Cadastros!$G$6:$G$90,Cadastros!$H$6:$H$90)*(1-0.18),IF($F510="Mauro José Salanti",_xlfn.XLOOKUP(AQ510,Cadastros!$G$6:$G$90,Cadastros!$H$6:$H$90)*(1-0.18),_xlfn.XLOOKUP(AQ510,Cadastros!$G$6:$G$90,Cadastros!$H$6:$H$90))))</f>
        <v/>
      </c>
      <c r="AT510" s="168" t="str">
        <f t="shared" si="102"/>
        <v/>
      </c>
      <c r="AU510" s="168" t="str">
        <f t="shared" si="103"/>
        <v/>
      </c>
      <c r="AV510" s="227"/>
      <c r="AW510" s="30"/>
      <c r="AX510" s="267"/>
      <c r="AY510" s="267"/>
      <c r="AZ510" s="29"/>
      <c r="BA510" s="30"/>
      <c r="BB510" s="23" t="str" cm="1">
        <f t="array" ref="BB510">_xlfn.IFS(AW510="SIM",SUM(K510,P510,U510,Z510,AE510,AJ510,AO510,AT510,AX510,AY510),F510&lt;&gt;"",SUM(K510,P510,U510,Z510,AE510,AJ510,,AO510,AT510),F510="","")</f>
        <v/>
      </c>
      <c r="BC510" s="211" t="str" cm="1">
        <f t="array" ref="BC510">_xlfn.IFS(E510="","",G510&lt;=E510,BB510*(1-0.03),G510&lt;(E510+8),BB510,AZ510="Boleto",BB510*(1+0.001)^DATEDIF(E510,G510,"D"),AZ510="Cheque",BB510,AZ510="Dinheiro","Alterar forma pgto")</f>
        <v/>
      </c>
      <c r="BD510" s="276" t="str" cm="1">
        <f t="array" ref="BD510">IF(F510=0," ",IF(BC510&lt;BB510,(_xlfn.IFS(AW510="SIM",SUM(L510,Q510,V510,AA510,AF510,AK510,AP510,AU510)+AX510/_xlfn.XLOOKUP(_xlfn.XLOOKUP($F510,Clientes!$B$4:$B$39,Clientes!$C$4:$C$39),Cadastros!$L$6:$L$12,Cadastros!$M$6:$M$12)+IF($F510="Bernardino Furlan",AY510/2751.92,IF($F510="Mauro José Salanti",AY510/2751.92,AY510/3356)),F510&lt;&gt;0,SUM(L510,Q510,V510,AA510,AF510,AK510,AP510,AU510)))*(1-0.03),_xlfn.IFS(AW510="SIM",SUM(L510,Q510,V510,AA510,AF510,AK510,AP510,AU510)+AX510/_xlfn.XLOOKUP(_xlfn.XLOOKUP($F510,Clientes!$B$4:$B$39,Clientes!$C$4:$C$39),Cadastros!$L$6:$L$12,Cadastros!$M$6:$M$12)+IF($F510="Bernardino Furlan",AY510/2751.92,IF($F510="Mauro José Salanti",AY510/2751.92,AY510/3356)),F510&lt;&gt;0,SUM(L510,Q510,V510,AA510,AF510,AK510,AP510,AU510))))</f>
        <v xml:space="preserve"> </v>
      </c>
      <c r="BE510" s="120"/>
      <c r="BF510" s="120"/>
      <c r="BG510" s="120"/>
    </row>
    <row r="511" spans="1:59" s="3" customFormat="1" x14ac:dyDescent="0.3">
      <c r="A511" s="15" t="str">
        <f t="shared" si="91"/>
        <v/>
      </c>
      <c r="B511" s="25"/>
      <c r="C511" s="26"/>
      <c r="D511" s="279"/>
      <c r="E511" s="27"/>
      <c r="F511" s="28"/>
      <c r="G511" s="27"/>
      <c r="H511" s="28"/>
      <c r="I511" s="28"/>
      <c r="J511" s="255" t="str">
        <f>IF(H511="","",(_xlfn.XLOOKUP(H511,Cadastros!$D$6:$D$90,Cadastros!$E$6:$E$90))*(1-_xlfn.XLOOKUP(_xlfn.XLOOKUP($F511,Clientes!$B$4:$B$39,Clientes!$C$4:$C$39),Cadastros!$L$6:$L$12,Cadastros!$N$6:$N$12)))</f>
        <v/>
      </c>
      <c r="K511" s="168" t="str">
        <f t="shared" si="92"/>
        <v/>
      </c>
      <c r="L511" s="168" t="str">
        <f>IFERROR(K511/_xlfn.XLOOKUP(_xlfn.XLOOKUP($F511,Clientes!$B$4:$B$39,Clientes!$C$4:$C$39),Cadastros!$L$6:$L$12,Cadastros!$M$6:$M$12)," ")</f>
        <v xml:space="preserve"> </v>
      </c>
      <c r="M511" s="28"/>
      <c r="N511" s="28"/>
      <c r="O511" s="255" t="str">
        <f>IF(M511="","",(_xlfn.XLOOKUP(M511,Cadastros!$D$6:$D$90,Cadastros!$E$6:$E$90))*(1-_xlfn.XLOOKUP(_xlfn.XLOOKUP($F511,Clientes!$B$4:$B$39,Clientes!$C$4:$C$39),Cadastros!$L$6:$L$12,Cadastros!$N$6:$N$12)))</f>
        <v/>
      </c>
      <c r="P511" s="168" t="str">
        <f t="shared" si="93"/>
        <v/>
      </c>
      <c r="Q511" s="168" t="str">
        <f>IFERROR(P511/_xlfn.XLOOKUP(_xlfn.XLOOKUP($F511,Clientes!$B$4:$B$39,Clientes!$C$4:$C$39),Cadastros!$L$6:$L$12,Cadastros!$M$6:$M$12)," ")</f>
        <v xml:space="preserve"> </v>
      </c>
      <c r="R511" s="28"/>
      <c r="S511" s="28"/>
      <c r="T511" s="255" t="str">
        <f>IF(R511="","",(_xlfn.XLOOKUP(R511,Cadastros!$D$6:$D$90,Cadastros!$E$6:$E$90))*(1-_xlfn.XLOOKUP(_xlfn.XLOOKUP($F511,Clientes!$B$4:$B$39,Clientes!$C$4:$C$39),Cadastros!$L$6:$L$12,Cadastros!$N$6:$N$12)))</f>
        <v/>
      </c>
      <c r="U511" s="168" t="str">
        <f t="shared" si="94"/>
        <v/>
      </c>
      <c r="V511" s="168" t="str">
        <f>IFERROR(U511/_xlfn.XLOOKUP(_xlfn.XLOOKUP($F511,Clientes!$B$4:$B$39,Clientes!$C$4:$C$39),Cadastros!$L$6:$L$12,Cadastros!$M$6:$M$12)," ")</f>
        <v xml:space="preserve"> </v>
      </c>
      <c r="W511" s="28"/>
      <c r="X511" s="28"/>
      <c r="Y511" s="255" t="str">
        <f>IF(W511="","",(_xlfn.XLOOKUP(W511,Cadastros!$D$6:$D$90,Cadastros!$E$6:$E$90))*(1-_xlfn.XLOOKUP(_xlfn.XLOOKUP($F511,Clientes!$B$4:$B$39,Clientes!$C$4:$C$39),Cadastros!$L$6:$L$12,Cadastros!$N$6:$N$12)))</f>
        <v/>
      </c>
      <c r="Z511" s="168" t="str">
        <f t="shared" si="95"/>
        <v/>
      </c>
      <c r="AA511" s="168" t="str">
        <f>IFERROR(Z511/_xlfn.XLOOKUP(_xlfn.XLOOKUP($F511,Clientes!$B$4:$B$39,Clientes!$C$4:$C$39),Cadastros!$L$6:$L$12,Cadastros!$M$6:$M$12)," ")</f>
        <v xml:space="preserve"> </v>
      </c>
      <c r="AB511" s="28"/>
      <c r="AC511" s="28"/>
      <c r="AD511" s="20" t="str">
        <f>IF(AB511="","",IF($F511="Bernardino Furlan",_xlfn.XLOOKUP(AB511,Cadastros!$G$6:$G$90,Cadastros!$H$6:$H$90)*(1-0.18),IF($F511="Mauro José Salanti",_xlfn.XLOOKUP(AB511,Cadastros!$G$6:$G$90,Cadastros!$H$6:$H$90)*(1-0.18),_xlfn.XLOOKUP(AB511,Cadastros!$G$6:$G$90,Cadastros!$H$6:$H$90))))</f>
        <v/>
      </c>
      <c r="AE511" s="168" t="str">
        <f t="shared" si="96"/>
        <v/>
      </c>
      <c r="AF511" s="168" t="str">
        <f t="shared" si="97"/>
        <v/>
      </c>
      <c r="AG511" s="28"/>
      <c r="AH511" s="28"/>
      <c r="AI511" s="20" t="str">
        <f>IF(AG511="","",IF($F511="Bernardino Furlan",_xlfn.XLOOKUP(AG511,Cadastros!$G$6:$G$90,Cadastros!$H$6:$H$90)*(1-0.18),IF($F511="Mauro José Salanti",_xlfn.XLOOKUP(AG511,Cadastros!$G$6:$G$90,Cadastros!$H$6:$H$90)*(1-0.18),_xlfn.XLOOKUP(AG511,Cadastros!$G$6:$G$90,Cadastros!$H$6:$H$90))))</f>
        <v/>
      </c>
      <c r="AJ511" s="168" t="str">
        <f t="shared" si="98"/>
        <v/>
      </c>
      <c r="AK511" s="168" t="str">
        <f t="shared" si="99"/>
        <v/>
      </c>
      <c r="AL511" s="28"/>
      <c r="AM511" s="28"/>
      <c r="AN511" s="20" t="str">
        <f>IF(AL511="","",IF($F511="Bernardino Furlan",_xlfn.XLOOKUP(AL511,Cadastros!$G$6:$G$90,Cadastros!$H$6:$H$90)*(1-0.18),IF($F511="Mauro José Salanti",_xlfn.XLOOKUP(AL511,Cadastros!$G$6:$G$90,Cadastros!$H$6:$H$90)*(1-0.18),_xlfn.XLOOKUP(AL511,Cadastros!$G$6:$G$90,Cadastros!$H$6:$H$90))))</f>
        <v/>
      </c>
      <c r="AO511" s="168" t="str">
        <f t="shared" si="100"/>
        <v/>
      </c>
      <c r="AP511" s="168" t="str">
        <f t="shared" si="101"/>
        <v/>
      </c>
      <c r="AQ511" s="28"/>
      <c r="AR511" s="28"/>
      <c r="AS511" s="20" t="str">
        <f>IF(AQ511="","",IF($F511="Bernardino Furlan",_xlfn.XLOOKUP(AQ511,Cadastros!$G$6:$G$90,Cadastros!$H$6:$H$90)*(1-0.18),IF($F511="Mauro José Salanti",_xlfn.XLOOKUP(AQ511,Cadastros!$G$6:$G$90,Cadastros!$H$6:$H$90)*(1-0.18),_xlfn.XLOOKUP(AQ511,Cadastros!$G$6:$G$90,Cadastros!$H$6:$H$90))))</f>
        <v/>
      </c>
      <c r="AT511" s="168" t="str">
        <f t="shared" si="102"/>
        <v/>
      </c>
      <c r="AU511" s="168" t="str">
        <f t="shared" si="103"/>
        <v/>
      </c>
      <c r="AV511" s="227"/>
      <c r="AW511" s="30"/>
      <c r="AX511" s="267"/>
      <c r="AY511" s="267"/>
      <c r="AZ511" s="29"/>
      <c r="BA511" s="30"/>
      <c r="BB511" s="23" t="str" cm="1">
        <f t="array" ref="BB511">_xlfn.IFS(AW511="SIM",SUM(K511,P511,U511,Z511,AE511,AJ511,AO511,AT511,AX511,AY511),F511&lt;&gt;"",SUM(K511,P511,U511,Z511,AE511,AJ511,,AO511,AT511),F511="","")</f>
        <v/>
      </c>
      <c r="BC511" s="211" t="str" cm="1">
        <f t="array" ref="BC511">_xlfn.IFS(E511="","",G511&lt;=E511,BB511*(1-0.03),G511&lt;(E511+8),BB511,AZ511="Boleto",BB511*(1+0.001)^DATEDIF(E511,G511,"D"),AZ511="Cheque",BB511,AZ511="Dinheiro","Alterar forma pgto")</f>
        <v/>
      </c>
      <c r="BD511" s="276" t="str" cm="1">
        <f t="array" ref="BD511">IF(F511=0," ",IF(BC511&lt;BB511,(_xlfn.IFS(AW511="SIM",SUM(L511,Q511,V511,AA511,AF511,AK511,AP511,AU511)+AX511/_xlfn.XLOOKUP(_xlfn.XLOOKUP($F511,Clientes!$B$4:$B$39,Clientes!$C$4:$C$39),Cadastros!$L$6:$L$12,Cadastros!$M$6:$M$12)+IF($F511="Bernardino Furlan",AY511/2751.92,IF($F511="Mauro José Salanti",AY511/2751.92,AY511/3356)),F511&lt;&gt;0,SUM(L511,Q511,V511,AA511,AF511,AK511,AP511,AU511)))*(1-0.03),_xlfn.IFS(AW511="SIM",SUM(L511,Q511,V511,AA511,AF511,AK511,AP511,AU511)+AX511/_xlfn.XLOOKUP(_xlfn.XLOOKUP($F511,Clientes!$B$4:$B$39,Clientes!$C$4:$C$39),Cadastros!$L$6:$L$12,Cadastros!$M$6:$M$12)+IF($F511="Bernardino Furlan",AY511/2751.92,IF($F511="Mauro José Salanti",AY511/2751.92,AY511/3356)),F511&lt;&gt;0,SUM(L511,Q511,V511,AA511,AF511,AK511,AP511,AU511))))</f>
        <v xml:space="preserve"> </v>
      </c>
      <c r="BE511" s="120"/>
      <c r="BF511" s="120"/>
      <c r="BG511" s="120"/>
    </row>
    <row r="512" spans="1:59" s="3" customFormat="1" x14ac:dyDescent="0.3">
      <c r="A512" s="15" t="str">
        <f t="shared" si="91"/>
        <v/>
      </c>
      <c r="B512" s="25"/>
      <c r="C512" s="26"/>
      <c r="D512" s="279"/>
      <c r="E512" s="27"/>
      <c r="F512" s="28"/>
      <c r="G512" s="27"/>
      <c r="H512" s="28"/>
      <c r="I512" s="28"/>
      <c r="J512" s="255" t="str">
        <f>IF(H512="","",(_xlfn.XLOOKUP(H512,Cadastros!$D$6:$D$90,Cadastros!$E$6:$E$90))*(1-_xlfn.XLOOKUP(_xlfn.XLOOKUP($F512,Clientes!$B$4:$B$39,Clientes!$C$4:$C$39),Cadastros!$L$6:$L$12,Cadastros!$N$6:$N$12)))</f>
        <v/>
      </c>
      <c r="K512" s="168" t="str">
        <f t="shared" si="92"/>
        <v/>
      </c>
      <c r="L512" s="168" t="str">
        <f>IFERROR(K512/_xlfn.XLOOKUP(_xlfn.XLOOKUP($F512,Clientes!$B$4:$B$39,Clientes!$C$4:$C$39),Cadastros!$L$6:$L$12,Cadastros!$M$6:$M$12)," ")</f>
        <v xml:space="preserve"> </v>
      </c>
      <c r="M512" s="28"/>
      <c r="N512" s="28"/>
      <c r="O512" s="255" t="str">
        <f>IF(M512="","",(_xlfn.XLOOKUP(M512,Cadastros!$D$6:$D$90,Cadastros!$E$6:$E$90))*(1-_xlfn.XLOOKUP(_xlfn.XLOOKUP($F512,Clientes!$B$4:$B$39,Clientes!$C$4:$C$39),Cadastros!$L$6:$L$12,Cadastros!$N$6:$N$12)))</f>
        <v/>
      </c>
      <c r="P512" s="168" t="str">
        <f t="shared" si="93"/>
        <v/>
      </c>
      <c r="Q512" s="168" t="str">
        <f>IFERROR(P512/_xlfn.XLOOKUP(_xlfn.XLOOKUP($F512,Clientes!$B$4:$B$39,Clientes!$C$4:$C$39),Cadastros!$L$6:$L$12,Cadastros!$M$6:$M$12)," ")</f>
        <v xml:space="preserve"> </v>
      </c>
      <c r="R512" s="28"/>
      <c r="S512" s="28"/>
      <c r="T512" s="255" t="str">
        <f>IF(R512="","",(_xlfn.XLOOKUP(R512,Cadastros!$D$6:$D$90,Cadastros!$E$6:$E$90))*(1-_xlfn.XLOOKUP(_xlfn.XLOOKUP($F512,Clientes!$B$4:$B$39,Clientes!$C$4:$C$39),Cadastros!$L$6:$L$12,Cadastros!$N$6:$N$12)))</f>
        <v/>
      </c>
      <c r="U512" s="168" t="str">
        <f t="shared" si="94"/>
        <v/>
      </c>
      <c r="V512" s="168" t="str">
        <f>IFERROR(U512/_xlfn.XLOOKUP(_xlfn.XLOOKUP($F512,Clientes!$B$4:$B$39,Clientes!$C$4:$C$39),Cadastros!$L$6:$L$12,Cadastros!$M$6:$M$12)," ")</f>
        <v xml:space="preserve"> </v>
      </c>
      <c r="W512" s="28"/>
      <c r="X512" s="28"/>
      <c r="Y512" s="255" t="str">
        <f>IF(W512="","",(_xlfn.XLOOKUP(W512,Cadastros!$D$6:$D$90,Cadastros!$E$6:$E$90))*(1-_xlfn.XLOOKUP(_xlfn.XLOOKUP($F512,Clientes!$B$4:$B$39,Clientes!$C$4:$C$39),Cadastros!$L$6:$L$12,Cadastros!$N$6:$N$12)))</f>
        <v/>
      </c>
      <c r="Z512" s="168" t="str">
        <f t="shared" si="95"/>
        <v/>
      </c>
      <c r="AA512" s="168" t="str">
        <f>IFERROR(Z512/_xlfn.XLOOKUP(_xlfn.XLOOKUP($F512,Clientes!$B$4:$B$39,Clientes!$C$4:$C$39),Cadastros!$L$6:$L$12,Cadastros!$M$6:$M$12)," ")</f>
        <v xml:space="preserve"> </v>
      </c>
      <c r="AB512" s="28"/>
      <c r="AC512" s="28"/>
      <c r="AD512" s="20" t="str">
        <f>IF(AB512="","",IF($F512="Bernardino Furlan",_xlfn.XLOOKUP(AB512,Cadastros!$G$6:$G$90,Cadastros!$H$6:$H$90)*(1-0.18),IF($F512="Mauro José Salanti",_xlfn.XLOOKUP(AB512,Cadastros!$G$6:$G$90,Cadastros!$H$6:$H$90)*(1-0.18),_xlfn.XLOOKUP(AB512,Cadastros!$G$6:$G$90,Cadastros!$H$6:$H$90))))</f>
        <v/>
      </c>
      <c r="AE512" s="168" t="str">
        <f t="shared" si="96"/>
        <v/>
      </c>
      <c r="AF512" s="168" t="str">
        <f t="shared" si="97"/>
        <v/>
      </c>
      <c r="AG512" s="28"/>
      <c r="AH512" s="28"/>
      <c r="AI512" s="20" t="str">
        <f>IF(AG512="","",IF($F512="Bernardino Furlan",_xlfn.XLOOKUP(AG512,Cadastros!$G$6:$G$90,Cadastros!$H$6:$H$90)*(1-0.18),IF($F512="Mauro José Salanti",_xlfn.XLOOKUP(AG512,Cadastros!$G$6:$G$90,Cadastros!$H$6:$H$90)*(1-0.18),_xlfn.XLOOKUP(AG512,Cadastros!$G$6:$G$90,Cadastros!$H$6:$H$90))))</f>
        <v/>
      </c>
      <c r="AJ512" s="168" t="str">
        <f t="shared" si="98"/>
        <v/>
      </c>
      <c r="AK512" s="168" t="str">
        <f t="shared" si="99"/>
        <v/>
      </c>
      <c r="AL512" s="28"/>
      <c r="AM512" s="28"/>
      <c r="AN512" s="20" t="str">
        <f>IF(AL512="","",IF($F512="Bernardino Furlan",_xlfn.XLOOKUP(AL512,Cadastros!$G$6:$G$90,Cadastros!$H$6:$H$90)*(1-0.18),IF($F512="Mauro José Salanti",_xlfn.XLOOKUP(AL512,Cadastros!$G$6:$G$90,Cadastros!$H$6:$H$90)*(1-0.18),_xlfn.XLOOKUP(AL512,Cadastros!$G$6:$G$90,Cadastros!$H$6:$H$90))))</f>
        <v/>
      </c>
      <c r="AO512" s="168" t="str">
        <f t="shared" si="100"/>
        <v/>
      </c>
      <c r="AP512" s="168" t="str">
        <f t="shared" si="101"/>
        <v/>
      </c>
      <c r="AQ512" s="28"/>
      <c r="AR512" s="28"/>
      <c r="AS512" s="20" t="str">
        <f>IF(AQ512="","",IF($F512="Bernardino Furlan",_xlfn.XLOOKUP(AQ512,Cadastros!$G$6:$G$90,Cadastros!$H$6:$H$90)*(1-0.18),IF($F512="Mauro José Salanti",_xlfn.XLOOKUP(AQ512,Cadastros!$G$6:$G$90,Cadastros!$H$6:$H$90)*(1-0.18),_xlfn.XLOOKUP(AQ512,Cadastros!$G$6:$G$90,Cadastros!$H$6:$H$90))))</f>
        <v/>
      </c>
      <c r="AT512" s="168" t="str">
        <f t="shared" si="102"/>
        <v/>
      </c>
      <c r="AU512" s="168" t="str">
        <f t="shared" si="103"/>
        <v/>
      </c>
      <c r="AV512" s="227"/>
      <c r="AW512" s="30"/>
      <c r="AX512" s="267"/>
      <c r="AY512" s="267"/>
      <c r="AZ512" s="29"/>
      <c r="BA512" s="30"/>
      <c r="BB512" s="23" t="str" cm="1">
        <f t="array" ref="BB512">_xlfn.IFS(AW512="SIM",SUM(K512,P512,U512,Z512,AE512,AJ512,AO512,AT512,AX512,AY512),F512&lt;&gt;"",SUM(K512,P512,U512,Z512,AE512,AJ512,,AO512,AT512),F512="","")</f>
        <v/>
      </c>
      <c r="BC512" s="211" t="str" cm="1">
        <f t="array" ref="BC512">_xlfn.IFS(E512="","",G512&lt;=E512,BB512*(1-0.03),G512&lt;(E512+8),BB512,AZ512="Boleto",BB512*(1+0.001)^DATEDIF(E512,G512,"D"),AZ512="Cheque",BB512,AZ512="Dinheiro","Alterar forma pgto")</f>
        <v/>
      </c>
      <c r="BD512" s="276" t="str" cm="1">
        <f t="array" ref="BD512">IF(F512=0," ",IF(BC512&lt;BB512,(_xlfn.IFS(AW512="SIM",SUM(L512,Q512,V512,AA512,AF512,AK512,AP512,AU512)+AX512/_xlfn.XLOOKUP(_xlfn.XLOOKUP($F512,Clientes!$B$4:$B$39,Clientes!$C$4:$C$39),Cadastros!$L$6:$L$12,Cadastros!$M$6:$M$12)+IF($F512="Bernardino Furlan",AY512/2751.92,IF($F512="Mauro José Salanti",AY512/2751.92,AY512/3356)),F512&lt;&gt;0,SUM(L512,Q512,V512,AA512,AF512,AK512,AP512,AU512)))*(1-0.03),_xlfn.IFS(AW512="SIM",SUM(L512,Q512,V512,AA512,AF512,AK512,AP512,AU512)+AX512/_xlfn.XLOOKUP(_xlfn.XLOOKUP($F512,Clientes!$B$4:$B$39,Clientes!$C$4:$C$39),Cadastros!$L$6:$L$12,Cadastros!$M$6:$M$12)+IF($F512="Bernardino Furlan",AY512/2751.92,IF($F512="Mauro José Salanti",AY512/2751.92,AY512/3356)),F512&lt;&gt;0,SUM(L512,Q512,V512,AA512,AF512,AK512,AP512,AU512))))</f>
        <v xml:space="preserve"> </v>
      </c>
      <c r="BE512" s="120"/>
      <c r="BF512" s="120"/>
      <c r="BG512" s="120"/>
    </row>
    <row r="513" spans="1:59" s="3" customFormat="1" x14ac:dyDescent="0.3">
      <c r="A513" s="15" t="str">
        <f t="shared" si="91"/>
        <v/>
      </c>
      <c r="B513" s="25"/>
      <c r="C513" s="26"/>
      <c r="D513" s="279"/>
      <c r="E513" s="27"/>
      <c r="F513" s="28"/>
      <c r="G513" s="27"/>
      <c r="H513" s="28"/>
      <c r="I513" s="28"/>
      <c r="J513" s="255" t="str">
        <f>IF(H513="","",(_xlfn.XLOOKUP(H513,Cadastros!$D$6:$D$90,Cadastros!$E$6:$E$90))*(1-_xlfn.XLOOKUP(_xlfn.XLOOKUP($F513,Clientes!$B$4:$B$39,Clientes!$C$4:$C$39),Cadastros!$L$6:$L$12,Cadastros!$N$6:$N$12)))</f>
        <v/>
      </c>
      <c r="K513" s="168" t="str">
        <f t="shared" si="92"/>
        <v/>
      </c>
      <c r="L513" s="168" t="str">
        <f>IFERROR(K513/_xlfn.XLOOKUP(_xlfn.XLOOKUP($F513,Clientes!$B$4:$B$39,Clientes!$C$4:$C$39),Cadastros!$L$6:$L$12,Cadastros!$M$6:$M$12)," ")</f>
        <v xml:space="preserve"> </v>
      </c>
      <c r="M513" s="28"/>
      <c r="N513" s="28"/>
      <c r="O513" s="255" t="str">
        <f>IF(M513="","",(_xlfn.XLOOKUP(M513,Cadastros!$D$6:$D$90,Cadastros!$E$6:$E$90))*(1-_xlfn.XLOOKUP(_xlfn.XLOOKUP($F513,Clientes!$B$4:$B$39,Clientes!$C$4:$C$39),Cadastros!$L$6:$L$12,Cadastros!$N$6:$N$12)))</f>
        <v/>
      </c>
      <c r="P513" s="168" t="str">
        <f t="shared" si="93"/>
        <v/>
      </c>
      <c r="Q513" s="168" t="str">
        <f>IFERROR(P513/_xlfn.XLOOKUP(_xlfn.XLOOKUP($F513,Clientes!$B$4:$B$39,Clientes!$C$4:$C$39),Cadastros!$L$6:$L$12,Cadastros!$M$6:$M$12)," ")</f>
        <v xml:space="preserve"> </v>
      </c>
      <c r="R513" s="28"/>
      <c r="S513" s="28"/>
      <c r="T513" s="255" t="str">
        <f>IF(R513="","",(_xlfn.XLOOKUP(R513,Cadastros!$D$6:$D$90,Cadastros!$E$6:$E$90))*(1-_xlfn.XLOOKUP(_xlfn.XLOOKUP($F513,Clientes!$B$4:$B$39,Clientes!$C$4:$C$39),Cadastros!$L$6:$L$12,Cadastros!$N$6:$N$12)))</f>
        <v/>
      </c>
      <c r="U513" s="168" t="str">
        <f t="shared" si="94"/>
        <v/>
      </c>
      <c r="V513" s="168" t="str">
        <f>IFERROR(U513/_xlfn.XLOOKUP(_xlfn.XLOOKUP($F513,Clientes!$B$4:$B$39,Clientes!$C$4:$C$39),Cadastros!$L$6:$L$12,Cadastros!$M$6:$M$12)," ")</f>
        <v xml:space="preserve"> </v>
      </c>
      <c r="W513" s="28"/>
      <c r="X513" s="28"/>
      <c r="Y513" s="255" t="str">
        <f>IF(W513="","",(_xlfn.XLOOKUP(W513,Cadastros!$D$6:$D$90,Cadastros!$E$6:$E$90))*(1-_xlfn.XLOOKUP(_xlfn.XLOOKUP($F513,Clientes!$B$4:$B$39,Clientes!$C$4:$C$39),Cadastros!$L$6:$L$12,Cadastros!$N$6:$N$12)))</f>
        <v/>
      </c>
      <c r="Z513" s="168" t="str">
        <f t="shared" si="95"/>
        <v/>
      </c>
      <c r="AA513" s="168" t="str">
        <f>IFERROR(Z513/_xlfn.XLOOKUP(_xlfn.XLOOKUP($F513,Clientes!$B$4:$B$39,Clientes!$C$4:$C$39),Cadastros!$L$6:$L$12,Cadastros!$M$6:$M$12)," ")</f>
        <v xml:space="preserve"> </v>
      </c>
      <c r="AB513" s="28"/>
      <c r="AC513" s="28"/>
      <c r="AD513" s="20" t="str">
        <f>IF(AB513="","",IF($F513="Bernardino Furlan",_xlfn.XLOOKUP(AB513,Cadastros!$G$6:$G$90,Cadastros!$H$6:$H$90)*(1-0.18),IF($F513="Mauro José Salanti",_xlfn.XLOOKUP(AB513,Cadastros!$G$6:$G$90,Cadastros!$H$6:$H$90)*(1-0.18),_xlfn.XLOOKUP(AB513,Cadastros!$G$6:$G$90,Cadastros!$H$6:$H$90))))</f>
        <v/>
      </c>
      <c r="AE513" s="168" t="str">
        <f t="shared" si="96"/>
        <v/>
      </c>
      <c r="AF513" s="168" t="str">
        <f t="shared" si="97"/>
        <v/>
      </c>
      <c r="AG513" s="28"/>
      <c r="AH513" s="28"/>
      <c r="AI513" s="20" t="str">
        <f>IF(AG513="","",IF($F513="Bernardino Furlan",_xlfn.XLOOKUP(AG513,Cadastros!$G$6:$G$90,Cadastros!$H$6:$H$90)*(1-0.18),IF($F513="Mauro José Salanti",_xlfn.XLOOKUP(AG513,Cadastros!$G$6:$G$90,Cadastros!$H$6:$H$90)*(1-0.18),_xlfn.XLOOKUP(AG513,Cadastros!$G$6:$G$90,Cadastros!$H$6:$H$90))))</f>
        <v/>
      </c>
      <c r="AJ513" s="168" t="str">
        <f t="shared" si="98"/>
        <v/>
      </c>
      <c r="AK513" s="168" t="str">
        <f t="shared" si="99"/>
        <v/>
      </c>
      <c r="AL513" s="28"/>
      <c r="AM513" s="28"/>
      <c r="AN513" s="20" t="str">
        <f>IF(AL513="","",IF($F513="Bernardino Furlan",_xlfn.XLOOKUP(AL513,Cadastros!$G$6:$G$90,Cadastros!$H$6:$H$90)*(1-0.18),IF($F513="Mauro José Salanti",_xlfn.XLOOKUP(AL513,Cadastros!$G$6:$G$90,Cadastros!$H$6:$H$90)*(1-0.18),_xlfn.XLOOKUP(AL513,Cadastros!$G$6:$G$90,Cadastros!$H$6:$H$90))))</f>
        <v/>
      </c>
      <c r="AO513" s="168" t="str">
        <f t="shared" si="100"/>
        <v/>
      </c>
      <c r="AP513" s="168" t="str">
        <f t="shared" si="101"/>
        <v/>
      </c>
      <c r="AQ513" s="28"/>
      <c r="AR513" s="28"/>
      <c r="AS513" s="20" t="str">
        <f>IF(AQ513="","",IF($F513="Bernardino Furlan",_xlfn.XLOOKUP(AQ513,Cadastros!$G$6:$G$90,Cadastros!$H$6:$H$90)*(1-0.18),IF($F513="Mauro José Salanti",_xlfn.XLOOKUP(AQ513,Cadastros!$G$6:$G$90,Cadastros!$H$6:$H$90)*(1-0.18),_xlfn.XLOOKUP(AQ513,Cadastros!$G$6:$G$90,Cadastros!$H$6:$H$90))))</f>
        <v/>
      </c>
      <c r="AT513" s="168" t="str">
        <f t="shared" si="102"/>
        <v/>
      </c>
      <c r="AU513" s="168" t="str">
        <f t="shared" si="103"/>
        <v/>
      </c>
      <c r="AV513" s="227"/>
      <c r="AW513" s="30"/>
      <c r="AX513" s="267"/>
      <c r="AY513" s="267"/>
      <c r="AZ513" s="29"/>
      <c r="BA513" s="30"/>
      <c r="BB513" s="23" t="str" cm="1">
        <f t="array" ref="BB513">_xlfn.IFS(AW513="SIM",SUM(K513,P513,U513,Z513,AE513,AJ513,AO513,AT513,AX513,AY513),F513&lt;&gt;"",SUM(K513,P513,U513,Z513,AE513,AJ513,,AO513,AT513),F513="","")</f>
        <v/>
      </c>
      <c r="BC513" s="211" t="str" cm="1">
        <f t="array" ref="BC513">_xlfn.IFS(E513="","",G513&lt;=E513,BB513*(1-0.03),G513&lt;(E513+8),BB513,AZ513="Boleto",BB513*(1+0.001)^DATEDIF(E513,G513,"D"),AZ513="Cheque",BB513,AZ513="Dinheiro","Alterar forma pgto")</f>
        <v/>
      </c>
      <c r="BD513" s="276" t="str" cm="1">
        <f t="array" ref="BD513">IF(F513=0," ",IF(BC513&lt;BB513,(_xlfn.IFS(AW513="SIM",SUM(L513,Q513,V513,AA513,AF513,AK513,AP513,AU513)+AX513/_xlfn.XLOOKUP(_xlfn.XLOOKUP($F513,Clientes!$B$4:$B$39,Clientes!$C$4:$C$39),Cadastros!$L$6:$L$12,Cadastros!$M$6:$M$12)+IF($F513="Bernardino Furlan",AY513/2751.92,IF($F513="Mauro José Salanti",AY513/2751.92,AY513/3356)),F513&lt;&gt;0,SUM(L513,Q513,V513,AA513,AF513,AK513,AP513,AU513)))*(1-0.03),_xlfn.IFS(AW513="SIM",SUM(L513,Q513,V513,AA513,AF513,AK513,AP513,AU513)+AX513/_xlfn.XLOOKUP(_xlfn.XLOOKUP($F513,Clientes!$B$4:$B$39,Clientes!$C$4:$C$39),Cadastros!$L$6:$L$12,Cadastros!$M$6:$M$12)+IF($F513="Bernardino Furlan",AY513/2751.92,IF($F513="Mauro José Salanti",AY513/2751.92,AY513/3356)),F513&lt;&gt;0,SUM(L513,Q513,V513,AA513,AF513,AK513,AP513,AU513))))</f>
        <v xml:space="preserve"> </v>
      </c>
      <c r="BE513" s="120"/>
      <c r="BF513" s="120"/>
      <c r="BG513" s="120"/>
    </row>
    <row r="514" spans="1:59" s="3" customFormat="1" x14ac:dyDescent="0.3">
      <c r="A514" s="15" t="str">
        <f t="shared" si="91"/>
        <v/>
      </c>
      <c r="B514" s="25"/>
      <c r="C514" s="26"/>
      <c r="D514" s="279"/>
      <c r="E514" s="27"/>
      <c r="F514" s="28"/>
      <c r="G514" s="27"/>
      <c r="H514" s="28"/>
      <c r="I514" s="28"/>
      <c r="J514" s="255" t="str">
        <f>IF(H514="","",(_xlfn.XLOOKUP(H514,Cadastros!$D$6:$D$90,Cadastros!$E$6:$E$90))*(1-_xlfn.XLOOKUP(_xlfn.XLOOKUP($F514,Clientes!$B$4:$B$39,Clientes!$C$4:$C$39),Cadastros!$L$6:$L$12,Cadastros!$N$6:$N$12)))</f>
        <v/>
      </c>
      <c r="K514" s="168" t="str">
        <f t="shared" si="92"/>
        <v/>
      </c>
      <c r="L514" s="168" t="str">
        <f>IFERROR(K514/_xlfn.XLOOKUP(_xlfn.XLOOKUP($F514,Clientes!$B$4:$B$39,Clientes!$C$4:$C$39),Cadastros!$L$6:$L$12,Cadastros!$M$6:$M$12)," ")</f>
        <v xml:space="preserve"> </v>
      </c>
      <c r="M514" s="28"/>
      <c r="N514" s="28"/>
      <c r="O514" s="255" t="str">
        <f>IF(M514="","",(_xlfn.XLOOKUP(M514,Cadastros!$D$6:$D$90,Cadastros!$E$6:$E$90))*(1-_xlfn.XLOOKUP(_xlfn.XLOOKUP($F514,Clientes!$B$4:$B$39,Clientes!$C$4:$C$39),Cadastros!$L$6:$L$12,Cadastros!$N$6:$N$12)))</f>
        <v/>
      </c>
      <c r="P514" s="168" t="str">
        <f t="shared" si="93"/>
        <v/>
      </c>
      <c r="Q514" s="168" t="str">
        <f>IFERROR(P514/_xlfn.XLOOKUP(_xlfn.XLOOKUP($F514,Clientes!$B$4:$B$39,Clientes!$C$4:$C$39),Cadastros!$L$6:$L$12,Cadastros!$M$6:$M$12)," ")</f>
        <v xml:space="preserve"> </v>
      </c>
      <c r="R514" s="28"/>
      <c r="S514" s="28"/>
      <c r="T514" s="255" t="str">
        <f>IF(R514="","",(_xlfn.XLOOKUP(R514,Cadastros!$D$6:$D$90,Cadastros!$E$6:$E$90))*(1-_xlfn.XLOOKUP(_xlfn.XLOOKUP($F514,Clientes!$B$4:$B$39,Clientes!$C$4:$C$39),Cadastros!$L$6:$L$12,Cadastros!$N$6:$N$12)))</f>
        <v/>
      </c>
      <c r="U514" s="168" t="str">
        <f t="shared" si="94"/>
        <v/>
      </c>
      <c r="V514" s="168" t="str">
        <f>IFERROR(U514/_xlfn.XLOOKUP(_xlfn.XLOOKUP($F514,Clientes!$B$4:$B$39,Clientes!$C$4:$C$39),Cadastros!$L$6:$L$12,Cadastros!$M$6:$M$12)," ")</f>
        <v xml:space="preserve"> </v>
      </c>
      <c r="W514" s="28"/>
      <c r="X514" s="28"/>
      <c r="Y514" s="255" t="str">
        <f>IF(W514="","",(_xlfn.XLOOKUP(W514,Cadastros!$D$6:$D$90,Cadastros!$E$6:$E$90))*(1-_xlfn.XLOOKUP(_xlfn.XLOOKUP($F514,Clientes!$B$4:$B$39,Clientes!$C$4:$C$39),Cadastros!$L$6:$L$12,Cadastros!$N$6:$N$12)))</f>
        <v/>
      </c>
      <c r="Z514" s="168" t="str">
        <f t="shared" si="95"/>
        <v/>
      </c>
      <c r="AA514" s="168" t="str">
        <f>IFERROR(Z514/_xlfn.XLOOKUP(_xlfn.XLOOKUP($F514,Clientes!$B$4:$B$39,Clientes!$C$4:$C$39),Cadastros!$L$6:$L$12,Cadastros!$M$6:$M$12)," ")</f>
        <v xml:space="preserve"> </v>
      </c>
      <c r="AB514" s="28"/>
      <c r="AC514" s="28"/>
      <c r="AD514" s="20" t="str">
        <f>IF(AB514="","",IF($F514="Bernardino Furlan",_xlfn.XLOOKUP(AB514,Cadastros!$G$6:$G$90,Cadastros!$H$6:$H$90)*(1-0.18),IF($F514="Mauro José Salanti",_xlfn.XLOOKUP(AB514,Cadastros!$G$6:$G$90,Cadastros!$H$6:$H$90)*(1-0.18),_xlfn.XLOOKUP(AB514,Cadastros!$G$6:$G$90,Cadastros!$H$6:$H$90))))</f>
        <v/>
      </c>
      <c r="AE514" s="168" t="str">
        <f t="shared" si="96"/>
        <v/>
      </c>
      <c r="AF514" s="168" t="str">
        <f t="shared" si="97"/>
        <v/>
      </c>
      <c r="AG514" s="28"/>
      <c r="AH514" s="28"/>
      <c r="AI514" s="20" t="str">
        <f>IF(AG514="","",IF($F514="Bernardino Furlan",_xlfn.XLOOKUP(AG514,Cadastros!$G$6:$G$90,Cadastros!$H$6:$H$90)*(1-0.18),IF($F514="Mauro José Salanti",_xlfn.XLOOKUP(AG514,Cadastros!$G$6:$G$90,Cadastros!$H$6:$H$90)*(1-0.18),_xlfn.XLOOKUP(AG514,Cadastros!$G$6:$G$90,Cadastros!$H$6:$H$90))))</f>
        <v/>
      </c>
      <c r="AJ514" s="168" t="str">
        <f t="shared" si="98"/>
        <v/>
      </c>
      <c r="AK514" s="168" t="str">
        <f t="shared" si="99"/>
        <v/>
      </c>
      <c r="AL514" s="28"/>
      <c r="AM514" s="28"/>
      <c r="AN514" s="20" t="str">
        <f>IF(AL514="","",IF($F514="Bernardino Furlan",_xlfn.XLOOKUP(AL514,Cadastros!$G$6:$G$90,Cadastros!$H$6:$H$90)*(1-0.18),IF($F514="Mauro José Salanti",_xlfn.XLOOKUP(AL514,Cadastros!$G$6:$G$90,Cadastros!$H$6:$H$90)*(1-0.18),_xlfn.XLOOKUP(AL514,Cadastros!$G$6:$G$90,Cadastros!$H$6:$H$90))))</f>
        <v/>
      </c>
      <c r="AO514" s="168" t="str">
        <f t="shared" si="100"/>
        <v/>
      </c>
      <c r="AP514" s="168" t="str">
        <f t="shared" si="101"/>
        <v/>
      </c>
      <c r="AQ514" s="28"/>
      <c r="AR514" s="28"/>
      <c r="AS514" s="20" t="str">
        <f>IF(AQ514="","",IF($F514="Bernardino Furlan",_xlfn.XLOOKUP(AQ514,Cadastros!$G$6:$G$90,Cadastros!$H$6:$H$90)*(1-0.18),IF($F514="Mauro José Salanti",_xlfn.XLOOKUP(AQ514,Cadastros!$G$6:$G$90,Cadastros!$H$6:$H$90)*(1-0.18),_xlfn.XLOOKUP(AQ514,Cadastros!$G$6:$G$90,Cadastros!$H$6:$H$90))))</f>
        <v/>
      </c>
      <c r="AT514" s="168" t="str">
        <f t="shared" si="102"/>
        <v/>
      </c>
      <c r="AU514" s="168" t="str">
        <f t="shared" si="103"/>
        <v/>
      </c>
      <c r="AV514" s="227"/>
      <c r="AW514" s="30"/>
      <c r="AX514" s="267"/>
      <c r="AY514" s="267"/>
      <c r="AZ514" s="29"/>
      <c r="BA514" s="30"/>
      <c r="BB514" s="23" t="str" cm="1">
        <f t="array" ref="BB514">_xlfn.IFS(AW514="SIM",SUM(K514,P514,U514,Z514,AE514,AJ514,AO514,AT514,AX514,AY514),F514&lt;&gt;"",SUM(K514,P514,U514,Z514,AE514,AJ514,,AO514,AT514),F514="","")</f>
        <v/>
      </c>
      <c r="BC514" s="211" t="str" cm="1">
        <f t="array" ref="BC514">_xlfn.IFS(E514="","",G514&lt;=E514,BB514*(1-0.03),G514&lt;(E514+8),BB514,AZ514="Boleto",BB514*(1+0.001)^DATEDIF(E514,G514,"D"),AZ514="Cheque",BB514,AZ514="Dinheiro","Alterar forma pgto")</f>
        <v/>
      </c>
      <c r="BD514" s="276" t="str" cm="1">
        <f t="array" ref="BD514">IF(F514=0," ",IF(BC514&lt;BB514,(_xlfn.IFS(AW514="SIM",SUM(L514,Q514,V514,AA514,AF514,AK514,AP514,AU514)+AX514/_xlfn.XLOOKUP(_xlfn.XLOOKUP($F514,Clientes!$B$4:$B$39,Clientes!$C$4:$C$39),Cadastros!$L$6:$L$12,Cadastros!$M$6:$M$12)+IF($F514="Bernardino Furlan",AY514/2751.92,IF($F514="Mauro José Salanti",AY514/2751.92,AY514/3356)),F514&lt;&gt;0,SUM(L514,Q514,V514,AA514,AF514,AK514,AP514,AU514)))*(1-0.03),_xlfn.IFS(AW514="SIM",SUM(L514,Q514,V514,AA514,AF514,AK514,AP514,AU514)+AX514/_xlfn.XLOOKUP(_xlfn.XLOOKUP($F514,Clientes!$B$4:$B$39,Clientes!$C$4:$C$39),Cadastros!$L$6:$L$12,Cadastros!$M$6:$M$12)+IF($F514="Bernardino Furlan",AY514/2751.92,IF($F514="Mauro José Salanti",AY514/2751.92,AY514/3356)),F514&lt;&gt;0,SUM(L514,Q514,V514,AA514,AF514,AK514,AP514,AU514))))</f>
        <v xml:space="preserve"> </v>
      </c>
      <c r="BE514" s="120"/>
      <c r="BF514" s="120"/>
      <c r="BG514" s="120"/>
    </row>
    <row r="515" spans="1:59" s="3" customFormat="1" x14ac:dyDescent="0.3">
      <c r="A515" s="15" t="str">
        <f t="shared" si="91"/>
        <v/>
      </c>
      <c r="B515" s="25"/>
      <c r="C515" s="26"/>
      <c r="D515" s="279"/>
      <c r="E515" s="27"/>
      <c r="F515" s="28"/>
      <c r="G515" s="27"/>
      <c r="H515" s="28"/>
      <c r="I515" s="28"/>
      <c r="J515" s="255" t="str">
        <f>IF(H515="","",(_xlfn.XLOOKUP(H515,Cadastros!$D$6:$D$90,Cadastros!$E$6:$E$90))*(1-_xlfn.XLOOKUP(_xlfn.XLOOKUP($F515,Clientes!$B$4:$B$39,Clientes!$C$4:$C$39),Cadastros!$L$6:$L$12,Cadastros!$N$6:$N$12)))</f>
        <v/>
      </c>
      <c r="K515" s="168" t="str">
        <f t="shared" si="92"/>
        <v/>
      </c>
      <c r="L515" s="168" t="str">
        <f>IFERROR(K515/_xlfn.XLOOKUP(_xlfn.XLOOKUP($F515,Clientes!$B$4:$B$39,Clientes!$C$4:$C$39),Cadastros!$L$6:$L$12,Cadastros!$M$6:$M$12)," ")</f>
        <v xml:space="preserve"> </v>
      </c>
      <c r="M515" s="28"/>
      <c r="N515" s="28"/>
      <c r="O515" s="255" t="str">
        <f>IF(M515="","",(_xlfn.XLOOKUP(M515,Cadastros!$D$6:$D$90,Cadastros!$E$6:$E$90))*(1-_xlfn.XLOOKUP(_xlfn.XLOOKUP($F515,Clientes!$B$4:$B$39,Clientes!$C$4:$C$39),Cadastros!$L$6:$L$12,Cadastros!$N$6:$N$12)))</f>
        <v/>
      </c>
      <c r="P515" s="168" t="str">
        <f t="shared" si="93"/>
        <v/>
      </c>
      <c r="Q515" s="168" t="str">
        <f>IFERROR(P515/_xlfn.XLOOKUP(_xlfn.XLOOKUP($F515,Clientes!$B$4:$B$39,Clientes!$C$4:$C$39),Cadastros!$L$6:$L$12,Cadastros!$M$6:$M$12)," ")</f>
        <v xml:space="preserve"> </v>
      </c>
      <c r="R515" s="28"/>
      <c r="S515" s="28"/>
      <c r="T515" s="255" t="str">
        <f>IF(R515="","",(_xlfn.XLOOKUP(R515,Cadastros!$D$6:$D$90,Cadastros!$E$6:$E$90))*(1-_xlfn.XLOOKUP(_xlfn.XLOOKUP($F515,Clientes!$B$4:$B$39,Clientes!$C$4:$C$39),Cadastros!$L$6:$L$12,Cadastros!$N$6:$N$12)))</f>
        <v/>
      </c>
      <c r="U515" s="168" t="str">
        <f t="shared" si="94"/>
        <v/>
      </c>
      <c r="V515" s="168" t="str">
        <f>IFERROR(U515/_xlfn.XLOOKUP(_xlfn.XLOOKUP($F515,Clientes!$B$4:$B$39,Clientes!$C$4:$C$39),Cadastros!$L$6:$L$12,Cadastros!$M$6:$M$12)," ")</f>
        <v xml:space="preserve"> </v>
      </c>
      <c r="W515" s="28"/>
      <c r="X515" s="28"/>
      <c r="Y515" s="255" t="str">
        <f>IF(W515="","",(_xlfn.XLOOKUP(W515,Cadastros!$D$6:$D$90,Cadastros!$E$6:$E$90))*(1-_xlfn.XLOOKUP(_xlfn.XLOOKUP($F515,Clientes!$B$4:$B$39,Clientes!$C$4:$C$39),Cadastros!$L$6:$L$12,Cadastros!$N$6:$N$12)))</f>
        <v/>
      </c>
      <c r="Z515" s="168" t="str">
        <f t="shared" si="95"/>
        <v/>
      </c>
      <c r="AA515" s="168" t="str">
        <f>IFERROR(Z515/_xlfn.XLOOKUP(_xlfn.XLOOKUP($F515,Clientes!$B$4:$B$39,Clientes!$C$4:$C$39),Cadastros!$L$6:$L$12,Cadastros!$M$6:$M$12)," ")</f>
        <v xml:space="preserve"> </v>
      </c>
      <c r="AB515" s="28"/>
      <c r="AC515" s="28"/>
      <c r="AD515" s="20" t="str">
        <f>IF(AB515="","",IF($F515="Bernardino Furlan",_xlfn.XLOOKUP(AB515,Cadastros!$G$6:$G$90,Cadastros!$H$6:$H$90)*(1-0.18),IF($F515="Mauro José Salanti",_xlfn.XLOOKUP(AB515,Cadastros!$G$6:$G$90,Cadastros!$H$6:$H$90)*(1-0.18),_xlfn.XLOOKUP(AB515,Cadastros!$G$6:$G$90,Cadastros!$H$6:$H$90))))</f>
        <v/>
      </c>
      <c r="AE515" s="168" t="str">
        <f t="shared" si="96"/>
        <v/>
      </c>
      <c r="AF515" s="168" t="str">
        <f t="shared" si="97"/>
        <v/>
      </c>
      <c r="AG515" s="28"/>
      <c r="AH515" s="28"/>
      <c r="AI515" s="20" t="str">
        <f>IF(AG515="","",IF($F515="Bernardino Furlan",_xlfn.XLOOKUP(AG515,Cadastros!$G$6:$G$90,Cadastros!$H$6:$H$90)*(1-0.18),IF($F515="Mauro José Salanti",_xlfn.XLOOKUP(AG515,Cadastros!$G$6:$G$90,Cadastros!$H$6:$H$90)*(1-0.18),_xlfn.XLOOKUP(AG515,Cadastros!$G$6:$G$90,Cadastros!$H$6:$H$90))))</f>
        <v/>
      </c>
      <c r="AJ515" s="168" t="str">
        <f t="shared" si="98"/>
        <v/>
      </c>
      <c r="AK515" s="168" t="str">
        <f t="shared" si="99"/>
        <v/>
      </c>
      <c r="AL515" s="28"/>
      <c r="AM515" s="28"/>
      <c r="AN515" s="20" t="str">
        <f>IF(AL515="","",IF($F515="Bernardino Furlan",_xlfn.XLOOKUP(AL515,Cadastros!$G$6:$G$90,Cadastros!$H$6:$H$90)*(1-0.18),IF($F515="Mauro José Salanti",_xlfn.XLOOKUP(AL515,Cadastros!$G$6:$G$90,Cadastros!$H$6:$H$90)*(1-0.18),_xlfn.XLOOKUP(AL515,Cadastros!$G$6:$G$90,Cadastros!$H$6:$H$90))))</f>
        <v/>
      </c>
      <c r="AO515" s="168" t="str">
        <f t="shared" si="100"/>
        <v/>
      </c>
      <c r="AP515" s="168" t="str">
        <f t="shared" si="101"/>
        <v/>
      </c>
      <c r="AQ515" s="28"/>
      <c r="AR515" s="28"/>
      <c r="AS515" s="20" t="str">
        <f>IF(AQ515="","",IF($F515="Bernardino Furlan",_xlfn.XLOOKUP(AQ515,Cadastros!$G$6:$G$90,Cadastros!$H$6:$H$90)*(1-0.18),IF($F515="Mauro José Salanti",_xlfn.XLOOKUP(AQ515,Cadastros!$G$6:$G$90,Cadastros!$H$6:$H$90)*(1-0.18),_xlfn.XLOOKUP(AQ515,Cadastros!$G$6:$G$90,Cadastros!$H$6:$H$90))))</f>
        <v/>
      </c>
      <c r="AT515" s="168" t="str">
        <f t="shared" si="102"/>
        <v/>
      </c>
      <c r="AU515" s="168" t="str">
        <f t="shared" si="103"/>
        <v/>
      </c>
      <c r="AV515" s="227"/>
      <c r="AW515" s="30"/>
      <c r="AX515" s="267"/>
      <c r="AY515" s="267"/>
      <c r="AZ515" s="29"/>
      <c r="BA515" s="30"/>
      <c r="BB515" s="23" t="str" cm="1">
        <f t="array" ref="BB515">_xlfn.IFS(AW515="SIM",SUM(K515,P515,U515,Z515,AE515,AJ515,AO515,AT515,AX515,AY515),F515&lt;&gt;"",SUM(K515,P515,U515,Z515,AE515,AJ515,,AO515,AT515),F515="","")</f>
        <v/>
      </c>
      <c r="BC515" s="211" t="str" cm="1">
        <f t="array" ref="BC515">_xlfn.IFS(E515="","",G515&lt;=E515,BB515*(1-0.03),G515&lt;(E515+8),BB515,AZ515="Boleto",BB515*(1+0.001)^DATEDIF(E515,G515,"D"),AZ515="Cheque",BB515,AZ515="Dinheiro","Alterar forma pgto")</f>
        <v/>
      </c>
      <c r="BD515" s="276" t="str" cm="1">
        <f t="array" ref="BD515">IF(F515=0," ",IF(BC515&lt;BB515,(_xlfn.IFS(AW515="SIM",SUM(L515,Q515,V515,AA515,AF515,AK515,AP515,AU515)+AX515/_xlfn.XLOOKUP(_xlfn.XLOOKUP($F515,Clientes!$B$4:$B$39,Clientes!$C$4:$C$39),Cadastros!$L$6:$L$12,Cadastros!$M$6:$M$12)+IF($F515="Bernardino Furlan",AY515/2751.92,IF($F515="Mauro José Salanti",AY515/2751.92,AY515/3356)),F515&lt;&gt;0,SUM(L515,Q515,V515,AA515,AF515,AK515,AP515,AU515)))*(1-0.03),_xlfn.IFS(AW515="SIM",SUM(L515,Q515,V515,AA515,AF515,AK515,AP515,AU515)+AX515/_xlfn.XLOOKUP(_xlfn.XLOOKUP($F515,Clientes!$B$4:$B$39,Clientes!$C$4:$C$39),Cadastros!$L$6:$L$12,Cadastros!$M$6:$M$12)+IF($F515="Bernardino Furlan",AY515/2751.92,IF($F515="Mauro José Salanti",AY515/2751.92,AY515/3356)),F515&lt;&gt;0,SUM(L515,Q515,V515,AA515,AF515,AK515,AP515,AU515))))</f>
        <v xml:space="preserve"> </v>
      </c>
      <c r="BE515" s="120"/>
      <c r="BF515" s="120"/>
      <c r="BG515" s="120"/>
    </row>
    <row r="516" spans="1:59" s="3" customFormat="1" x14ac:dyDescent="0.3">
      <c r="A516" s="15" t="str">
        <f t="shared" si="91"/>
        <v/>
      </c>
      <c r="B516" s="25"/>
      <c r="C516" s="26"/>
      <c r="D516" s="279"/>
      <c r="E516" s="27"/>
      <c r="F516" s="28"/>
      <c r="G516" s="27"/>
      <c r="H516" s="28"/>
      <c r="I516" s="28"/>
      <c r="J516" s="255" t="str">
        <f>IF(H516="","",(_xlfn.XLOOKUP(H516,Cadastros!$D$6:$D$90,Cadastros!$E$6:$E$90))*(1-_xlfn.XLOOKUP(_xlfn.XLOOKUP($F516,Clientes!$B$4:$B$39,Clientes!$C$4:$C$39),Cadastros!$L$6:$L$12,Cadastros!$N$6:$N$12)))</f>
        <v/>
      </c>
      <c r="K516" s="168" t="str">
        <f t="shared" si="92"/>
        <v/>
      </c>
      <c r="L516" s="168" t="str">
        <f>IFERROR(K516/_xlfn.XLOOKUP(_xlfn.XLOOKUP($F516,Clientes!$B$4:$B$39,Clientes!$C$4:$C$39),Cadastros!$L$6:$L$12,Cadastros!$M$6:$M$12)," ")</f>
        <v xml:space="preserve"> </v>
      </c>
      <c r="M516" s="28"/>
      <c r="N516" s="28"/>
      <c r="O516" s="255" t="str">
        <f>IF(M516="","",(_xlfn.XLOOKUP(M516,Cadastros!$D$6:$D$90,Cadastros!$E$6:$E$90))*(1-_xlfn.XLOOKUP(_xlfn.XLOOKUP($F516,Clientes!$B$4:$B$39,Clientes!$C$4:$C$39),Cadastros!$L$6:$L$12,Cadastros!$N$6:$N$12)))</f>
        <v/>
      </c>
      <c r="P516" s="168" t="str">
        <f t="shared" si="93"/>
        <v/>
      </c>
      <c r="Q516" s="168" t="str">
        <f>IFERROR(P516/_xlfn.XLOOKUP(_xlfn.XLOOKUP($F516,Clientes!$B$4:$B$39,Clientes!$C$4:$C$39),Cadastros!$L$6:$L$12,Cadastros!$M$6:$M$12)," ")</f>
        <v xml:space="preserve"> </v>
      </c>
      <c r="R516" s="28"/>
      <c r="S516" s="28"/>
      <c r="T516" s="255" t="str">
        <f>IF(R516="","",(_xlfn.XLOOKUP(R516,Cadastros!$D$6:$D$90,Cadastros!$E$6:$E$90))*(1-_xlfn.XLOOKUP(_xlfn.XLOOKUP($F516,Clientes!$B$4:$B$39,Clientes!$C$4:$C$39),Cadastros!$L$6:$L$12,Cadastros!$N$6:$N$12)))</f>
        <v/>
      </c>
      <c r="U516" s="168" t="str">
        <f t="shared" si="94"/>
        <v/>
      </c>
      <c r="V516" s="168" t="str">
        <f>IFERROR(U516/_xlfn.XLOOKUP(_xlfn.XLOOKUP($F516,Clientes!$B$4:$B$39,Clientes!$C$4:$C$39),Cadastros!$L$6:$L$12,Cadastros!$M$6:$M$12)," ")</f>
        <v xml:space="preserve"> </v>
      </c>
      <c r="W516" s="28"/>
      <c r="X516" s="28"/>
      <c r="Y516" s="255" t="str">
        <f>IF(W516="","",(_xlfn.XLOOKUP(W516,Cadastros!$D$6:$D$90,Cadastros!$E$6:$E$90))*(1-_xlfn.XLOOKUP(_xlfn.XLOOKUP($F516,Clientes!$B$4:$B$39,Clientes!$C$4:$C$39),Cadastros!$L$6:$L$12,Cadastros!$N$6:$N$12)))</f>
        <v/>
      </c>
      <c r="Z516" s="168" t="str">
        <f t="shared" si="95"/>
        <v/>
      </c>
      <c r="AA516" s="168" t="str">
        <f>IFERROR(Z516/_xlfn.XLOOKUP(_xlfn.XLOOKUP($F516,Clientes!$B$4:$B$39,Clientes!$C$4:$C$39),Cadastros!$L$6:$L$12,Cadastros!$M$6:$M$12)," ")</f>
        <v xml:space="preserve"> </v>
      </c>
      <c r="AB516" s="28"/>
      <c r="AC516" s="28"/>
      <c r="AD516" s="20" t="str">
        <f>IF(AB516="","",IF($F516="Bernardino Furlan",_xlfn.XLOOKUP(AB516,Cadastros!$G$6:$G$90,Cadastros!$H$6:$H$90)*(1-0.18),IF($F516="Mauro José Salanti",_xlfn.XLOOKUP(AB516,Cadastros!$G$6:$G$90,Cadastros!$H$6:$H$90)*(1-0.18),_xlfn.XLOOKUP(AB516,Cadastros!$G$6:$G$90,Cadastros!$H$6:$H$90))))</f>
        <v/>
      </c>
      <c r="AE516" s="168" t="str">
        <f t="shared" si="96"/>
        <v/>
      </c>
      <c r="AF516" s="168" t="str">
        <f t="shared" si="97"/>
        <v/>
      </c>
      <c r="AG516" s="28"/>
      <c r="AH516" s="28"/>
      <c r="AI516" s="20" t="str">
        <f>IF(AG516="","",IF($F516="Bernardino Furlan",_xlfn.XLOOKUP(AG516,Cadastros!$G$6:$G$90,Cadastros!$H$6:$H$90)*(1-0.18),IF($F516="Mauro José Salanti",_xlfn.XLOOKUP(AG516,Cadastros!$G$6:$G$90,Cadastros!$H$6:$H$90)*(1-0.18),_xlfn.XLOOKUP(AG516,Cadastros!$G$6:$G$90,Cadastros!$H$6:$H$90))))</f>
        <v/>
      </c>
      <c r="AJ516" s="168" t="str">
        <f t="shared" si="98"/>
        <v/>
      </c>
      <c r="AK516" s="168" t="str">
        <f t="shared" si="99"/>
        <v/>
      </c>
      <c r="AL516" s="28"/>
      <c r="AM516" s="28"/>
      <c r="AN516" s="20" t="str">
        <f>IF(AL516="","",IF($F516="Bernardino Furlan",_xlfn.XLOOKUP(AL516,Cadastros!$G$6:$G$90,Cadastros!$H$6:$H$90)*(1-0.18),IF($F516="Mauro José Salanti",_xlfn.XLOOKUP(AL516,Cadastros!$G$6:$G$90,Cadastros!$H$6:$H$90)*(1-0.18),_xlfn.XLOOKUP(AL516,Cadastros!$G$6:$G$90,Cadastros!$H$6:$H$90))))</f>
        <v/>
      </c>
      <c r="AO516" s="168" t="str">
        <f t="shared" si="100"/>
        <v/>
      </c>
      <c r="AP516" s="168" t="str">
        <f t="shared" si="101"/>
        <v/>
      </c>
      <c r="AQ516" s="28"/>
      <c r="AR516" s="28"/>
      <c r="AS516" s="20" t="str">
        <f>IF(AQ516="","",IF($F516="Bernardino Furlan",_xlfn.XLOOKUP(AQ516,Cadastros!$G$6:$G$90,Cadastros!$H$6:$H$90)*(1-0.18),IF($F516="Mauro José Salanti",_xlfn.XLOOKUP(AQ516,Cadastros!$G$6:$G$90,Cadastros!$H$6:$H$90)*(1-0.18),_xlfn.XLOOKUP(AQ516,Cadastros!$G$6:$G$90,Cadastros!$H$6:$H$90))))</f>
        <v/>
      </c>
      <c r="AT516" s="168" t="str">
        <f t="shared" si="102"/>
        <v/>
      </c>
      <c r="AU516" s="168" t="str">
        <f t="shared" si="103"/>
        <v/>
      </c>
      <c r="AV516" s="227"/>
      <c r="AW516" s="30"/>
      <c r="AX516" s="267"/>
      <c r="AY516" s="267"/>
      <c r="AZ516" s="29"/>
      <c r="BA516" s="30"/>
      <c r="BB516" s="23" t="str" cm="1">
        <f t="array" ref="BB516">_xlfn.IFS(AW516="SIM",SUM(K516,P516,U516,Z516,AE516,AJ516,AO516,AT516,AX516,AY516),F516&lt;&gt;"",SUM(K516,P516,U516,Z516,AE516,AJ516,,AO516,AT516),F516="","")</f>
        <v/>
      </c>
      <c r="BC516" s="211" t="str" cm="1">
        <f t="array" ref="BC516">_xlfn.IFS(E516="","",G516&lt;=E516,BB516*(1-0.03),G516&lt;(E516+8),BB516,AZ516="Boleto",BB516*(1+0.001)^DATEDIF(E516,G516,"D"),AZ516="Cheque",BB516,AZ516="Dinheiro","Alterar forma pgto")</f>
        <v/>
      </c>
      <c r="BD516" s="276" t="str" cm="1">
        <f t="array" ref="BD516">IF(F516=0," ",IF(BC516&lt;BB516,(_xlfn.IFS(AW516="SIM",SUM(L516,Q516,V516,AA516,AF516,AK516,AP516,AU516)+AX516/_xlfn.XLOOKUP(_xlfn.XLOOKUP($F516,Clientes!$B$4:$B$39,Clientes!$C$4:$C$39),Cadastros!$L$6:$L$12,Cadastros!$M$6:$M$12)+IF($F516="Bernardino Furlan",AY516/2751.92,IF($F516="Mauro José Salanti",AY516/2751.92,AY516/3356)),F516&lt;&gt;0,SUM(L516,Q516,V516,AA516,AF516,AK516,AP516,AU516)))*(1-0.03),_xlfn.IFS(AW516="SIM",SUM(L516,Q516,V516,AA516,AF516,AK516,AP516,AU516)+AX516/_xlfn.XLOOKUP(_xlfn.XLOOKUP($F516,Clientes!$B$4:$B$39,Clientes!$C$4:$C$39),Cadastros!$L$6:$L$12,Cadastros!$M$6:$M$12)+IF($F516="Bernardino Furlan",AY516/2751.92,IF($F516="Mauro José Salanti",AY516/2751.92,AY516/3356)),F516&lt;&gt;0,SUM(L516,Q516,V516,AA516,AF516,AK516,AP516,AU516))))</f>
        <v xml:space="preserve"> </v>
      </c>
      <c r="BE516" s="120"/>
      <c r="BF516" s="120"/>
      <c r="BG516" s="120"/>
    </row>
    <row r="517" spans="1:59" s="3" customFormat="1" x14ac:dyDescent="0.3">
      <c r="A517" s="15" t="str">
        <f t="shared" si="91"/>
        <v/>
      </c>
      <c r="B517" s="39"/>
      <c r="C517" s="40"/>
      <c r="D517" s="281"/>
      <c r="E517" s="41"/>
      <c r="F517" s="42"/>
      <c r="G517" s="41"/>
      <c r="H517" s="42"/>
      <c r="I517" s="42"/>
      <c r="J517" s="255" t="str">
        <f>IF(H517="","",(_xlfn.XLOOKUP(H517,Cadastros!$D$6:$D$90,Cadastros!$E$6:$E$90))*(1-_xlfn.XLOOKUP(_xlfn.XLOOKUP($F517,Clientes!$B$4:$B$39,Clientes!$C$4:$C$39),Cadastros!$L$6:$L$12,Cadastros!$N$6:$N$12)))</f>
        <v/>
      </c>
      <c r="K517" s="168" t="str">
        <f t="shared" si="92"/>
        <v/>
      </c>
      <c r="L517" s="168" t="str">
        <f>IFERROR(K517/_xlfn.XLOOKUP(_xlfn.XLOOKUP($F517,Clientes!$B$4:$B$39,Clientes!$C$4:$C$39),Cadastros!$L$6:$L$12,Cadastros!$M$6:$M$12)," ")</f>
        <v xml:space="preserve"> </v>
      </c>
      <c r="M517" s="42"/>
      <c r="N517" s="42"/>
      <c r="O517" s="255" t="str">
        <f>IF(M517="","",(_xlfn.XLOOKUP(M517,Cadastros!$D$6:$D$90,Cadastros!$E$6:$E$90))*(1-_xlfn.XLOOKUP(_xlfn.XLOOKUP($F517,Clientes!$B$4:$B$39,Clientes!$C$4:$C$39),Cadastros!$L$6:$L$12,Cadastros!$N$6:$N$12)))</f>
        <v/>
      </c>
      <c r="P517" s="168" t="str">
        <f t="shared" si="93"/>
        <v/>
      </c>
      <c r="Q517" s="168" t="str">
        <f>IFERROR(P517/_xlfn.XLOOKUP(_xlfn.XLOOKUP($F517,Clientes!$B$4:$B$39,Clientes!$C$4:$C$39),Cadastros!$L$6:$L$12,Cadastros!$M$6:$M$12)," ")</f>
        <v xml:space="preserve"> </v>
      </c>
      <c r="R517" s="42"/>
      <c r="S517" s="42"/>
      <c r="T517" s="255" t="str">
        <f>IF(R517="","",(_xlfn.XLOOKUP(R517,Cadastros!$D$6:$D$90,Cadastros!$E$6:$E$90))*(1-_xlfn.XLOOKUP(_xlfn.XLOOKUP($F517,Clientes!$B$4:$B$39,Clientes!$C$4:$C$39),Cadastros!$L$6:$L$12,Cadastros!$N$6:$N$12)))</f>
        <v/>
      </c>
      <c r="U517" s="168" t="str">
        <f t="shared" si="94"/>
        <v/>
      </c>
      <c r="V517" s="168" t="str">
        <f>IFERROR(U517/_xlfn.XLOOKUP(_xlfn.XLOOKUP($F517,Clientes!$B$4:$B$39,Clientes!$C$4:$C$39),Cadastros!$L$6:$L$12,Cadastros!$M$6:$M$12)," ")</f>
        <v xml:space="preserve"> </v>
      </c>
      <c r="W517" s="42"/>
      <c r="X517" s="42"/>
      <c r="Y517" s="255" t="str">
        <f>IF(W517="","",(_xlfn.XLOOKUP(W517,Cadastros!$D$6:$D$90,Cadastros!$E$6:$E$90))*(1-_xlfn.XLOOKUP(_xlfn.XLOOKUP($F517,Clientes!$B$4:$B$39,Clientes!$C$4:$C$39),Cadastros!$L$6:$L$12,Cadastros!$N$6:$N$12)))</f>
        <v/>
      </c>
      <c r="Z517" s="168" t="str">
        <f t="shared" si="95"/>
        <v/>
      </c>
      <c r="AA517" s="168" t="str">
        <f>IFERROR(Z517/_xlfn.XLOOKUP(_xlfn.XLOOKUP($F517,Clientes!$B$4:$B$39,Clientes!$C$4:$C$39),Cadastros!$L$6:$L$12,Cadastros!$M$6:$M$12)," ")</f>
        <v xml:space="preserve"> </v>
      </c>
      <c r="AB517" s="42"/>
      <c r="AC517" s="42"/>
      <c r="AD517" s="20" t="str">
        <f>IF(AB517="","",IF($F517="Bernardino Furlan",_xlfn.XLOOKUP(AB517,Cadastros!$G$6:$G$90,Cadastros!$H$6:$H$90)*(1-0.18),IF($F517="Mauro José Salanti",_xlfn.XLOOKUP(AB517,Cadastros!$G$6:$G$90,Cadastros!$H$6:$H$90)*(1-0.18),_xlfn.XLOOKUP(AB517,Cadastros!$G$6:$G$90,Cadastros!$H$6:$H$90))))</f>
        <v/>
      </c>
      <c r="AE517" s="168" t="str">
        <f t="shared" si="96"/>
        <v/>
      </c>
      <c r="AF517" s="168" t="str">
        <f t="shared" si="97"/>
        <v/>
      </c>
      <c r="AG517" s="42"/>
      <c r="AH517" s="42"/>
      <c r="AI517" s="20" t="str">
        <f>IF(AG517="","",IF($F517="Bernardino Furlan",_xlfn.XLOOKUP(AG517,Cadastros!$G$6:$G$90,Cadastros!$H$6:$H$90)*(1-0.18),IF($F517="Mauro José Salanti",_xlfn.XLOOKUP(AG517,Cadastros!$G$6:$G$90,Cadastros!$H$6:$H$90)*(1-0.18),_xlfn.XLOOKUP(AG517,Cadastros!$G$6:$G$90,Cadastros!$H$6:$H$90))))</f>
        <v/>
      </c>
      <c r="AJ517" s="168" t="str">
        <f t="shared" si="98"/>
        <v/>
      </c>
      <c r="AK517" s="168" t="str">
        <f t="shared" si="99"/>
        <v/>
      </c>
      <c r="AL517" s="42"/>
      <c r="AM517" s="42"/>
      <c r="AN517" s="20" t="str">
        <f>IF(AL517="","",IF($F517="Bernardino Furlan",_xlfn.XLOOKUP(AL517,Cadastros!$G$6:$G$90,Cadastros!$H$6:$H$90)*(1-0.18),IF($F517="Mauro José Salanti",_xlfn.XLOOKUP(AL517,Cadastros!$G$6:$G$90,Cadastros!$H$6:$H$90)*(1-0.18),_xlfn.XLOOKUP(AL517,Cadastros!$G$6:$G$90,Cadastros!$H$6:$H$90))))</f>
        <v/>
      </c>
      <c r="AO517" s="168" t="str">
        <f t="shared" si="100"/>
        <v/>
      </c>
      <c r="AP517" s="168" t="str">
        <f t="shared" si="101"/>
        <v/>
      </c>
      <c r="AQ517" s="42"/>
      <c r="AR517" s="42"/>
      <c r="AS517" s="20" t="str">
        <f>IF(AQ517="","",IF($F517="Bernardino Furlan",_xlfn.XLOOKUP(AQ517,Cadastros!$G$6:$G$90,Cadastros!$H$6:$H$90)*(1-0.18),IF($F517="Mauro José Salanti",_xlfn.XLOOKUP(AQ517,Cadastros!$G$6:$G$90,Cadastros!$H$6:$H$90)*(1-0.18),_xlfn.XLOOKUP(AQ517,Cadastros!$G$6:$G$90,Cadastros!$H$6:$H$90))))</f>
        <v/>
      </c>
      <c r="AT517" s="168" t="str">
        <f t="shared" si="102"/>
        <v/>
      </c>
      <c r="AU517" s="168" t="str">
        <f t="shared" si="103"/>
        <v/>
      </c>
      <c r="AV517" s="229"/>
      <c r="AW517" s="44"/>
      <c r="AX517" s="269"/>
      <c r="AY517" s="269"/>
      <c r="AZ517" s="43"/>
      <c r="BA517" s="44"/>
      <c r="BB517" s="23" t="str" cm="1">
        <f t="array" ref="BB517">_xlfn.IFS(AW517="SIM",SUM(K517,P517,U517,Z517,AE517,AJ517,AO517,AT517,AX517,AY517),F517&lt;&gt;"",SUM(K517,P517,U517,Z517,AE517,AJ517,,AO517,AT517),F517="","")</f>
        <v/>
      </c>
      <c r="BC517" s="211" t="str" cm="1">
        <f t="array" ref="BC517">_xlfn.IFS(E517="","",G517&lt;=E517,BB517*(1-0.03),G517&lt;(E517+8),BB517,AZ517="Boleto",BB517*(1+0.001)^DATEDIF(E517,G517,"D"),AZ517="Cheque",BB517,AZ517="Dinheiro","Alterar forma pgto")</f>
        <v/>
      </c>
      <c r="BD517" s="276" t="str" cm="1">
        <f t="array" ref="BD517">IF(F517=0," ",IF(BC517&lt;BB517,(_xlfn.IFS(AW517="SIM",SUM(L517,Q517,V517,AA517,AF517,AK517,AP517,AU517)+AX517/_xlfn.XLOOKUP(_xlfn.XLOOKUP($F517,Clientes!$B$4:$B$39,Clientes!$C$4:$C$39),Cadastros!$L$6:$L$12,Cadastros!$M$6:$M$12)+IF($F517="Bernardino Furlan",AY517/2751.92,IF($F517="Mauro José Salanti",AY517/2751.92,AY517/3356)),F517&lt;&gt;0,SUM(L517,Q517,V517,AA517,AF517,AK517,AP517,AU517)))*(1-0.03),_xlfn.IFS(AW517="SIM",SUM(L517,Q517,V517,AA517,AF517,AK517,AP517,AU517)+AX517/_xlfn.XLOOKUP(_xlfn.XLOOKUP($F517,Clientes!$B$4:$B$39,Clientes!$C$4:$C$39),Cadastros!$L$6:$L$12,Cadastros!$M$6:$M$12)+IF($F517="Bernardino Furlan",AY517/2751.92,IF($F517="Mauro José Salanti",AY517/2751.92,AY517/3356)),F517&lt;&gt;0,SUM(L517,Q517,V517,AA517,AF517,AK517,AP517,AU517))))</f>
        <v xml:space="preserve"> </v>
      </c>
      <c r="BE517" s="120"/>
      <c r="BF517" s="120"/>
      <c r="BG517" s="120"/>
    </row>
    <row r="518" spans="1:59" s="3" customFormat="1" x14ac:dyDescent="0.3">
      <c r="A518" s="15" t="str">
        <f t="shared" si="91"/>
        <v/>
      </c>
      <c r="B518" s="25"/>
      <c r="C518" s="26"/>
      <c r="D518" s="279"/>
      <c r="E518" s="27"/>
      <c r="F518" s="28"/>
      <c r="G518" s="27"/>
      <c r="H518" s="28"/>
      <c r="I518" s="28"/>
      <c r="J518" s="255" t="str">
        <f>IF(H518="","",(_xlfn.XLOOKUP(H518,Cadastros!$D$6:$D$90,Cadastros!$E$6:$E$90))*(1-_xlfn.XLOOKUP(_xlfn.XLOOKUP($F518,Clientes!$B$4:$B$39,Clientes!$C$4:$C$39),Cadastros!$L$6:$L$12,Cadastros!$N$6:$N$12)))</f>
        <v/>
      </c>
      <c r="K518" s="168" t="str">
        <f t="shared" si="92"/>
        <v/>
      </c>
      <c r="L518" s="168" t="str">
        <f>IFERROR(K518/_xlfn.XLOOKUP(_xlfn.XLOOKUP($F518,Clientes!$B$4:$B$39,Clientes!$C$4:$C$39),Cadastros!$L$6:$L$12,Cadastros!$M$6:$M$12)," ")</f>
        <v xml:space="preserve"> </v>
      </c>
      <c r="M518" s="28"/>
      <c r="N518" s="28"/>
      <c r="O518" s="255" t="str">
        <f>IF(M518="","",(_xlfn.XLOOKUP(M518,Cadastros!$D$6:$D$90,Cadastros!$E$6:$E$90))*(1-_xlfn.XLOOKUP(_xlfn.XLOOKUP($F518,Clientes!$B$4:$B$39,Clientes!$C$4:$C$39),Cadastros!$L$6:$L$12,Cadastros!$N$6:$N$12)))</f>
        <v/>
      </c>
      <c r="P518" s="168" t="str">
        <f t="shared" si="93"/>
        <v/>
      </c>
      <c r="Q518" s="168" t="str">
        <f>IFERROR(P518/_xlfn.XLOOKUP(_xlfn.XLOOKUP($F518,Clientes!$B$4:$B$39,Clientes!$C$4:$C$39),Cadastros!$L$6:$L$12,Cadastros!$M$6:$M$12)," ")</f>
        <v xml:space="preserve"> </v>
      </c>
      <c r="R518" s="28"/>
      <c r="S518" s="28"/>
      <c r="T518" s="255" t="str">
        <f>IF(R518="","",(_xlfn.XLOOKUP(R518,Cadastros!$D$6:$D$90,Cadastros!$E$6:$E$90))*(1-_xlfn.XLOOKUP(_xlfn.XLOOKUP($F518,Clientes!$B$4:$B$39,Clientes!$C$4:$C$39),Cadastros!$L$6:$L$12,Cadastros!$N$6:$N$12)))</f>
        <v/>
      </c>
      <c r="U518" s="168" t="str">
        <f t="shared" si="94"/>
        <v/>
      </c>
      <c r="V518" s="168" t="str">
        <f>IFERROR(U518/_xlfn.XLOOKUP(_xlfn.XLOOKUP($F518,Clientes!$B$4:$B$39,Clientes!$C$4:$C$39),Cadastros!$L$6:$L$12,Cadastros!$M$6:$M$12)," ")</f>
        <v xml:space="preserve"> </v>
      </c>
      <c r="W518" s="28"/>
      <c r="X518" s="28"/>
      <c r="Y518" s="255" t="str">
        <f>IF(W518="","",(_xlfn.XLOOKUP(W518,Cadastros!$D$6:$D$90,Cadastros!$E$6:$E$90))*(1-_xlfn.XLOOKUP(_xlfn.XLOOKUP($F518,Clientes!$B$4:$B$39,Clientes!$C$4:$C$39),Cadastros!$L$6:$L$12,Cadastros!$N$6:$N$12)))</f>
        <v/>
      </c>
      <c r="Z518" s="168" t="str">
        <f t="shared" si="95"/>
        <v/>
      </c>
      <c r="AA518" s="168" t="str">
        <f>IFERROR(Z518/_xlfn.XLOOKUP(_xlfn.XLOOKUP($F518,Clientes!$B$4:$B$39,Clientes!$C$4:$C$39),Cadastros!$L$6:$L$12,Cadastros!$M$6:$M$12)," ")</f>
        <v xml:space="preserve"> </v>
      </c>
      <c r="AB518" s="28"/>
      <c r="AC518" s="28"/>
      <c r="AD518" s="20" t="str">
        <f>IF(AB518="","",IF($F518="Bernardino Furlan",_xlfn.XLOOKUP(AB518,Cadastros!$G$6:$G$90,Cadastros!$H$6:$H$90)*(1-0.18),IF($F518="Mauro José Salanti",_xlfn.XLOOKUP(AB518,Cadastros!$G$6:$G$90,Cadastros!$H$6:$H$90)*(1-0.18),_xlfn.XLOOKUP(AB518,Cadastros!$G$6:$G$90,Cadastros!$H$6:$H$90))))</f>
        <v/>
      </c>
      <c r="AE518" s="168" t="str">
        <f t="shared" si="96"/>
        <v/>
      </c>
      <c r="AF518" s="168" t="str">
        <f t="shared" si="97"/>
        <v/>
      </c>
      <c r="AG518" s="28"/>
      <c r="AH518" s="28"/>
      <c r="AI518" s="20" t="str">
        <f>IF(AG518="","",IF($F518="Bernardino Furlan",_xlfn.XLOOKUP(AG518,Cadastros!$G$6:$G$90,Cadastros!$H$6:$H$90)*(1-0.18),IF($F518="Mauro José Salanti",_xlfn.XLOOKUP(AG518,Cadastros!$G$6:$G$90,Cadastros!$H$6:$H$90)*(1-0.18),_xlfn.XLOOKUP(AG518,Cadastros!$G$6:$G$90,Cadastros!$H$6:$H$90))))</f>
        <v/>
      </c>
      <c r="AJ518" s="168" t="str">
        <f t="shared" si="98"/>
        <v/>
      </c>
      <c r="AK518" s="168" t="str">
        <f t="shared" si="99"/>
        <v/>
      </c>
      <c r="AL518" s="28"/>
      <c r="AM518" s="28"/>
      <c r="AN518" s="20" t="str">
        <f>IF(AL518="","",IF($F518="Bernardino Furlan",_xlfn.XLOOKUP(AL518,Cadastros!$G$6:$G$90,Cadastros!$H$6:$H$90)*(1-0.18),IF($F518="Mauro José Salanti",_xlfn.XLOOKUP(AL518,Cadastros!$G$6:$G$90,Cadastros!$H$6:$H$90)*(1-0.18),_xlfn.XLOOKUP(AL518,Cadastros!$G$6:$G$90,Cadastros!$H$6:$H$90))))</f>
        <v/>
      </c>
      <c r="AO518" s="168" t="str">
        <f t="shared" si="100"/>
        <v/>
      </c>
      <c r="AP518" s="168" t="str">
        <f t="shared" si="101"/>
        <v/>
      </c>
      <c r="AQ518" s="28"/>
      <c r="AR518" s="28"/>
      <c r="AS518" s="20" t="str">
        <f>IF(AQ518="","",IF($F518="Bernardino Furlan",_xlfn.XLOOKUP(AQ518,Cadastros!$G$6:$G$90,Cadastros!$H$6:$H$90)*(1-0.18),IF($F518="Mauro José Salanti",_xlfn.XLOOKUP(AQ518,Cadastros!$G$6:$G$90,Cadastros!$H$6:$H$90)*(1-0.18),_xlfn.XLOOKUP(AQ518,Cadastros!$G$6:$G$90,Cadastros!$H$6:$H$90))))</f>
        <v/>
      </c>
      <c r="AT518" s="168" t="str">
        <f t="shared" si="102"/>
        <v/>
      </c>
      <c r="AU518" s="168" t="str">
        <f t="shared" si="103"/>
        <v/>
      </c>
      <c r="AV518" s="227"/>
      <c r="AW518" s="30"/>
      <c r="AX518" s="267"/>
      <c r="AY518" s="267"/>
      <c r="AZ518" s="29"/>
      <c r="BA518" s="30"/>
      <c r="BB518" s="23" t="str" cm="1">
        <f t="array" ref="BB518">_xlfn.IFS(AW518="SIM",SUM(K518,P518,U518,Z518,AE518,AJ518,AO518,AT518,AX518,AY518),F518&lt;&gt;"",SUM(K518,P518,U518,Z518,AE518,AJ518,,AO518,AT518),F518="","")</f>
        <v/>
      </c>
      <c r="BC518" s="211" t="str" cm="1">
        <f t="array" ref="BC518">_xlfn.IFS(E518="","",G518&lt;=E518,BB518*(1-0.03),G518&lt;(E518+8),BB518,AZ518="Boleto",BB518*(1+0.001)^DATEDIF(E518,G518,"D"),AZ518="Cheque",BB518,AZ518="Dinheiro","Alterar forma pgto")</f>
        <v/>
      </c>
      <c r="BD518" s="276" t="str" cm="1">
        <f t="array" ref="BD518">IF(F518=0," ",IF(BC518&lt;BB518,(_xlfn.IFS(AW518="SIM",SUM(L518,Q518,V518,AA518,AF518,AK518,AP518,AU518)+AX518/_xlfn.XLOOKUP(_xlfn.XLOOKUP($F518,Clientes!$B$4:$B$39,Clientes!$C$4:$C$39),Cadastros!$L$6:$L$12,Cadastros!$M$6:$M$12)+IF($F518="Bernardino Furlan",AY518/2751.92,IF($F518="Mauro José Salanti",AY518/2751.92,AY518/3356)),F518&lt;&gt;0,SUM(L518,Q518,V518,AA518,AF518,AK518,AP518,AU518)))*(1-0.03),_xlfn.IFS(AW518="SIM",SUM(L518,Q518,V518,AA518,AF518,AK518,AP518,AU518)+AX518/_xlfn.XLOOKUP(_xlfn.XLOOKUP($F518,Clientes!$B$4:$B$39,Clientes!$C$4:$C$39),Cadastros!$L$6:$L$12,Cadastros!$M$6:$M$12)+IF($F518="Bernardino Furlan",AY518/2751.92,IF($F518="Mauro José Salanti",AY518/2751.92,AY518/3356)),F518&lt;&gt;0,SUM(L518,Q518,V518,AA518,AF518,AK518,AP518,AU518))))</f>
        <v xml:space="preserve"> </v>
      </c>
      <c r="BE518" s="120"/>
      <c r="BF518" s="120"/>
      <c r="BG518" s="120"/>
    </row>
    <row r="519" spans="1:59" s="3" customFormat="1" x14ac:dyDescent="0.3">
      <c r="A519" s="15" t="str">
        <f t="shared" si="91"/>
        <v/>
      </c>
      <c r="B519" s="25"/>
      <c r="C519" s="26"/>
      <c r="D519" s="279"/>
      <c r="E519" s="27"/>
      <c r="F519" s="28"/>
      <c r="G519" s="27"/>
      <c r="H519" s="28"/>
      <c r="I519" s="28"/>
      <c r="J519" s="255" t="str">
        <f>IF(H519="","",(_xlfn.XLOOKUP(H519,Cadastros!$D$6:$D$90,Cadastros!$E$6:$E$90))*(1-_xlfn.XLOOKUP(_xlfn.XLOOKUP($F519,Clientes!$B$4:$B$39,Clientes!$C$4:$C$39),Cadastros!$L$6:$L$12,Cadastros!$N$6:$N$12)))</f>
        <v/>
      </c>
      <c r="K519" s="168" t="str">
        <f t="shared" si="92"/>
        <v/>
      </c>
      <c r="L519" s="168" t="str">
        <f>IFERROR(K519/_xlfn.XLOOKUP(_xlfn.XLOOKUP($F519,Clientes!$B$4:$B$39,Clientes!$C$4:$C$39),Cadastros!$L$6:$L$12,Cadastros!$M$6:$M$12)," ")</f>
        <v xml:space="preserve"> </v>
      </c>
      <c r="M519" s="28"/>
      <c r="N519" s="28"/>
      <c r="O519" s="255" t="str">
        <f>IF(M519="","",(_xlfn.XLOOKUP(M519,Cadastros!$D$6:$D$90,Cadastros!$E$6:$E$90))*(1-_xlfn.XLOOKUP(_xlfn.XLOOKUP($F519,Clientes!$B$4:$B$39,Clientes!$C$4:$C$39),Cadastros!$L$6:$L$12,Cadastros!$N$6:$N$12)))</f>
        <v/>
      </c>
      <c r="P519" s="168" t="str">
        <f t="shared" si="93"/>
        <v/>
      </c>
      <c r="Q519" s="168" t="str">
        <f>IFERROR(P519/_xlfn.XLOOKUP(_xlfn.XLOOKUP($F519,Clientes!$B$4:$B$39,Clientes!$C$4:$C$39),Cadastros!$L$6:$L$12,Cadastros!$M$6:$M$12)," ")</f>
        <v xml:space="preserve"> </v>
      </c>
      <c r="R519" s="28"/>
      <c r="S519" s="28"/>
      <c r="T519" s="255" t="str">
        <f>IF(R519="","",(_xlfn.XLOOKUP(R519,Cadastros!$D$6:$D$90,Cadastros!$E$6:$E$90))*(1-_xlfn.XLOOKUP(_xlfn.XLOOKUP($F519,Clientes!$B$4:$B$39,Clientes!$C$4:$C$39),Cadastros!$L$6:$L$12,Cadastros!$N$6:$N$12)))</f>
        <v/>
      </c>
      <c r="U519" s="168" t="str">
        <f t="shared" si="94"/>
        <v/>
      </c>
      <c r="V519" s="168" t="str">
        <f>IFERROR(U519/_xlfn.XLOOKUP(_xlfn.XLOOKUP($F519,Clientes!$B$4:$B$39,Clientes!$C$4:$C$39),Cadastros!$L$6:$L$12,Cadastros!$M$6:$M$12)," ")</f>
        <v xml:space="preserve"> </v>
      </c>
      <c r="W519" s="28"/>
      <c r="X519" s="28"/>
      <c r="Y519" s="255" t="str">
        <f>IF(W519="","",(_xlfn.XLOOKUP(W519,Cadastros!$D$6:$D$90,Cadastros!$E$6:$E$90))*(1-_xlfn.XLOOKUP(_xlfn.XLOOKUP($F519,Clientes!$B$4:$B$39,Clientes!$C$4:$C$39),Cadastros!$L$6:$L$12,Cadastros!$N$6:$N$12)))</f>
        <v/>
      </c>
      <c r="Z519" s="168" t="str">
        <f t="shared" si="95"/>
        <v/>
      </c>
      <c r="AA519" s="168" t="str">
        <f>IFERROR(Z519/_xlfn.XLOOKUP(_xlfn.XLOOKUP($F519,Clientes!$B$4:$B$39,Clientes!$C$4:$C$39),Cadastros!$L$6:$L$12,Cadastros!$M$6:$M$12)," ")</f>
        <v xml:space="preserve"> </v>
      </c>
      <c r="AB519" s="28"/>
      <c r="AC519" s="28"/>
      <c r="AD519" s="20" t="str">
        <f>IF(AB519="","",IF($F519="Bernardino Furlan",_xlfn.XLOOKUP(AB519,Cadastros!$G$6:$G$90,Cadastros!$H$6:$H$90)*(1-0.18),IF($F519="Mauro José Salanti",_xlfn.XLOOKUP(AB519,Cadastros!$G$6:$G$90,Cadastros!$H$6:$H$90)*(1-0.18),_xlfn.XLOOKUP(AB519,Cadastros!$G$6:$G$90,Cadastros!$H$6:$H$90))))</f>
        <v/>
      </c>
      <c r="AE519" s="168" t="str">
        <f t="shared" si="96"/>
        <v/>
      </c>
      <c r="AF519" s="168" t="str">
        <f t="shared" si="97"/>
        <v/>
      </c>
      <c r="AG519" s="28"/>
      <c r="AH519" s="28"/>
      <c r="AI519" s="20" t="str">
        <f>IF(AG519="","",IF($F519="Bernardino Furlan",_xlfn.XLOOKUP(AG519,Cadastros!$G$6:$G$90,Cadastros!$H$6:$H$90)*(1-0.18),IF($F519="Mauro José Salanti",_xlfn.XLOOKUP(AG519,Cadastros!$G$6:$G$90,Cadastros!$H$6:$H$90)*(1-0.18),_xlfn.XLOOKUP(AG519,Cadastros!$G$6:$G$90,Cadastros!$H$6:$H$90))))</f>
        <v/>
      </c>
      <c r="AJ519" s="168" t="str">
        <f t="shared" si="98"/>
        <v/>
      </c>
      <c r="AK519" s="168" t="str">
        <f t="shared" si="99"/>
        <v/>
      </c>
      <c r="AL519" s="28"/>
      <c r="AM519" s="28"/>
      <c r="AN519" s="20" t="str">
        <f>IF(AL519="","",IF($F519="Bernardino Furlan",_xlfn.XLOOKUP(AL519,Cadastros!$G$6:$G$90,Cadastros!$H$6:$H$90)*(1-0.18),IF($F519="Mauro José Salanti",_xlfn.XLOOKUP(AL519,Cadastros!$G$6:$G$90,Cadastros!$H$6:$H$90)*(1-0.18),_xlfn.XLOOKUP(AL519,Cadastros!$G$6:$G$90,Cadastros!$H$6:$H$90))))</f>
        <v/>
      </c>
      <c r="AO519" s="168" t="str">
        <f t="shared" si="100"/>
        <v/>
      </c>
      <c r="AP519" s="168" t="str">
        <f t="shared" si="101"/>
        <v/>
      </c>
      <c r="AQ519" s="28"/>
      <c r="AR519" s="28"/>
      <c r="AS519" s="20" t="str">
        <f>IF(AQ519="","",IF($F519="Bernardino Furlan",_xlfn.XLOOKUP(AQ519,Cadastros!$G$6:$G$90,Cadastros!$H$6:$H$90)*(1-0.18),IF($F519="Mauro José Salanti",_xlfn.XLOOKUP(AQ519,Cadastros!$G$6:$G$90,Cadastros!$H$6:$H$90)*(1-0.18),_xlfn.XLOOKUP(AQ519,Cadastros!$G$6:$G$90,Cadastros!$H$6:$H$90))))</f>
        <v/>
      </c>
      <c r="AT519" s="168" t="str">
        <f t="shared" si="102"/>
        <v/>
      </c>
      <c r="AU519" s="168" t="str">
        <f t="shared" si="103"/>
        <v/>
      </c>
      <c r="AV519" s="227"/>
      <c r="AW519" s="30"/>
      <c r="AX519" s="267"/>
      <c r="AY519" s="267"/>
      <c r="AZ519" s="29"/>
      <c r="BA519" s="30"/>
      <c r="BB519" s="23" t="str" cm="1">
        <f t="array" ref="BB519">_xlfn.IFS(AW519="SIM",SUM(K519,P519,U519,Z519,AE519,AJ519,AO519,AT519,AX519,AY519),F519&lt;&gt;"",SUM(K519,P519,U519,Z519,AE519,AJ519,,AO519,AT519),F519="","")</f>
        <v/>
      </c>
      <c r="BC519" s="211" t="str" cm="1">
        <f t="array" ref="BC519">_xlfn.IFS(E519="","",G519&lt;=E519,BB519*(1-0.03),G519&lt;(E519+8),BB519,AZ519="Boleto",BB519*(1+0.001)^DATEDIF(E519,G519,"D"),AZ519="Cheque",BB519,AZ519="Dinheiro","Alterar forma pgto")</f>
        <v/>
      </c>
      <c r="BD519" s="276" t="str" cm="1">
        <f t="array" ref="BD519">IF(F519=0," ",IF(BC519&lt;BB519,(_xlfn.IFS(AW519="SIM",SUM(L519,Q519,V519,AA519,AF519,AK519,AP519,AU519)+AX519/_xlfn.XLOOKUP(_xlfn.XLOOKUP($F519,Clientes!$B$4:$B$39,Clientes!$C$4:$C$39),Cadastros!$L$6:$L$12,Cadastros!$M$6:$M$12)+IF($F519="Bernardino Furlan",AY519/2751.92,IF($F519="Mauro José Salanti",AY519/2751.92,AY519/3356)),F519&lt;&gt;0,SUM(L519,Q519,V519,AA519,AF519,AK519,AP519,AU519)))*(1-0.03),_xlfn.IFS(AW519="SIM",SUM(L519,Q519,V519,AA519,AF519,AK519,AP519,AU519)+AX519/_xlfn.XLOOKUP(_xlfn.XLOOKUP($F519,Clientes!$B$4:$B$39,Clientes!$C$4:$C$39),Cadastros!$L$6:$L$12,Cadastros!$M$6:$M$12)+IF($F519="Bernardino Furlan",AY519/2751.92,IF($F519="Mauro José Salanti",AY519/2751.92,AY519/3356)),F519&lt;&gt;0,SUM(L519,Q519,V519,AA519,AF519,AK519,AP519,AU519))))</f>
        <v xml:space="preserve"> </v>
      </c>
      <c r="BE519" s="120"/>
      <c r="BF519" s="120"/>
      <c r="BG519" s="120"/>
    </row>
    <row r="520" spans="1:59" s="3" customFormat="1" x14ac:dyDescent="0.3">
      <c r="A520" s="15" t="str">
        <f t="shared" ref="A520:A583" si="104">IF(C520="orçamento",25%,IF(C520="aprovado",50%,IF(C520="entregue",100%,IF(C520="não aceito",0%,""))))</f>
        <v/>
      </c>
      <c r="B520" s="25"/>
      <c r="C520" s="26"/>
      <c r="D520" s="279"/>
      <c r="E520" s="27"/>
      <c r="F520" s="28"/>
      <c r="G520" s="27"/>
      <c r="H520" s="28"/>
      <c r="I520" s="28"/>
      <c r="J520" s="255" t="str">
        <f>IF(H520="","",(_xlfn.XLOOKUP(H520,Cadastros!$D$6:$D$90,Cadastros!$E$6:$E$90))*(1-_xlfn.XLOOKUP(_xlfn.XLOOKUP($F520,Clientes!$B$4:$B$39,Clientes!$C$4:$C$39),Cadastros!$L$6:$L$12,Cadastros!$N$6:$N$12)))</f>
        <v/>
      </c>
      <c r="K520" s="168" t="str">
        <f t="shared" ref="K520:K583" si="105">IF(J520="","",I520*J520)</f>
        <v/>
      </c>
      <c r="L520" s="168" t="str">
        <f>IFERROR(K520/_xlfn.XLOOKUP(_xlfn.XLOOKUP($F520,Clientes!$B$4:$B$39,Clientes!$C$4:$C$39),Cadastros!$L$6:$L$12,Cadastros!$M$6:$M$12)," ")</f>
        <v xml:space="preserve"> </v>
      </c>
      <c r="M520" s="28"/>
      <c r="N520" s="28"/>
      <c r="O520" s="255" t="str">
        <f>IF(M520="","",(_xlfn.XLOOKUP(M520,Cadastros!$D$6:$D$90,Cadastros!$E$6:$E$90))*(1-_xlfn.XLOOKUP(_xlfn.XLOOKUP($F520,Clientes!$B$4:$B$39,Clientes!$C$4:$C$39),Cadastros!$L$6:$L$12,Cadastros!$N$6:$N$12)))</f>
        <v/>
      </c>
      <c r="P520" s="168" t="str">
        <f t="shared" ref="P520:P583" si="106">IF(O520="","",N520*O520)</f>
        <v/>
      </c>
      <c r="Q520" s="168" t="str">
        <f>IFERROR(P520/_xlfn.XLOOKUP(_xlfn.XLOOKUP($F520,Clientes!$B$4:$B$39,Clientes!$C$4:$C$39),Cadastros!$L$6:$L$12,Cadastros!$M$6:$M$12)," ")</f>
        <v xml:space="preserve"> </v>
      </c>
      <c r="R520" s="28"/>
      <c r="S520" s="28"/>
      <c r="T520" s="255" t="str">
        <f>IF(R520="","",(_xlfn.XLOOKUP(R520,Cadastros!$D$6:$D$90,Cadastros!$E$6:$E$90))*(1-_xlfn.XLOOKUP(_xlfn.XLOOKUP($F520,Clientes!$B$4:$B$39,Clientes!$C$4:$C$39),Cadastros!$L$6:$L$12,Cadastros!$N$6:$N$12)))</f>
        <v/>
      </c>
      <c r="U520" s="168" t="str">
        <f t="shared" ref="U520:U583" si="107">IF(T520="","",S520*T520)</f>
        <v/>
      </c>
      <c r="V520" s="168" t="str">
        <f>IFERROR(U520/_xlfn.XLOOKUP(_xlfn.XLOOKUP($F520,Clientes!$B$4:$B$39,Clientes!$C$4:$C$39),Cadastros!$L$6:$L$12,Cadastros!$M$6:$M$12)," ")</f>
        <v xml:space="preserve"> </v>
      </c>
      <c r="W520" s="28"/>
      <c r="X520" s="28"/>
      <c r="Y520" s="255" t="str">
        <f>IF(W520="","",(_xlfn.XLOOKUP(W520,Cadastros!$D$6:$D$90,Cadastros!$E$6:$E$90))*(1-_xlfn.XLOOKUP(_xlfn.XLOOKUP($F520,Clientes!$B$4:$B$39,Clientes!$C$4:$C$39),Cadastros!$L$6:$L$12,Cadastros!$N$6:$N$12)))</f>
        <v/>
      </c>
      <c r="Z520" s="168" t="str">
        <f t="shared" ref="Z520:Z583" si="108">IF(Y520="","",X520*Y520)</f>
        <v/>
      </c>
      <c r="AA520" s="168" t="str">
        <f>IFERROR(Z520/_xlfn.XLOOKUP(_xlfn.XLOOKUP($F520,Clientes!$B$4:$B$39,Clientes!$C$4:$C$39),Cadastros!$L$6:$L$12,Cadastros!$M$6:$M$12)," ")</f>
        <v xml:space="preserve"> </v>
      </c>
      <c r="AB520" s="28"/>
      <c r="AC520" s="28"/>
      <c r="AD520" s="20" t="str">
        <f>IF(AB520="","",IF($F520="Bernardino Furlan",_xlfn.XLOOKUP(AB520,Cadastros!$G$6:$G$90,Cadastros!$H$6:$H$90)*(1-0.18),IF($F520="Mauro José Salanti",_xlfn.XLOOKUP(AB520,Cadastros!$G$6:$G$90,Cadastros!$H$6:$H$90)*(1-0.18),_xlfn.XLOOKUP(AB520,Cadastros!$G$6:$G$90,Cadastros!$H$6:$H$90))))</f>
        <v/>
      </c>
      <c r="AE520" s="168" t="str">
        <f t="shared" ref="AE520:AE583" si="109">IF(AD520="","",AC520*AD520)</f>
        <v/>
      </c>
      <c r="AF520" s="168" t="str">
        <f t="shared" ref="AF520:AF583" si="110">IFERROR(IF($F520="Bernardino Furlan",AE520/2751.92,IF($F520="Mauro José Salanti",AE520/2751.92,AE520/3356)),"")</f>
        <v/>
      </c>
      <c r="AG520" s="28"/>
      <c r="AH520" s="28"/>
      <c r="AI520" s="20" t="str">
        <f>IF(AG520="","",IF($F520="Bernardino Furlan",_xlfn.XLOOKUP(AG520,Cadastros!$G$6:$G$90,Cadastros!$H$6:$H$90)*(1-0.18),IF($F520="Mauro José Salanti",_xlfn.XLOOKUP(AG520,Cadastros!$G$6:$G$90,Cadastros!$H$6:$H$90)*(1-0.18),_xlfn.XLOOKUP(AG520,Cadastros!$G$6:$G$90,Cadastros!$H$6:$H$90))))</f>
        <v/>
      </c>
      <c r="AJ520" s="168" t="str">
        <f t="shared" ref="AJ520:AJ583" si="111">IF(AI520="","",AH520*AI520)</f>
        <v/>
      </c>
      <c r="AK520" s="168" t="str">
        <f t="shared" ref="AK520:AK583" si="112">IFERROR(IF($F520="Bernardino Furlan",AJ520/2751.92,IF($F520="Mauro José Salanti",AJ520/2751.92,AJ520/3356)),"")</f>
        <v/>
      </c>
      <c r="AL520" s="28"/>
      <c r="AM520" s="28"/>
      <c r="AN520" s="20" t="str">
        <f>IF(AL520="","",IF($F520="Bernardino Furlan",_xlfn.XLOOKUP(AL520,Cadastros!$G$6:$G$90,Cadastros!$H$6:$H$90)*(1-0.18),IF($F520="Mauro José Salanti",_xlfn.XLOOKUP(AL520,Cadastros!$G$6:$G$90,Cadastros!$H$6:$H$90)*(1-0.18),_xlfn.XLOOKUP(AL520,Cadastros!$G$6:$G$90,Cadastros!$H$6:$H$90))))</f>
        <v/>
      </c>
      <c r="AO520" s="168" t="str">
        <f t="shared" ref="AO520:AO583" si="113">IF(AN520="","",AM520*AN520)</f>
        <v/>
      </c>
      <c r="AP520" s="168" t="str">
        <f t="shared" ref="AP520:AP583" si="114">IFERROR(IF($F520="Bernardino Furlan",AO520/2751.92,IF($F520="Mauro José Salanti",AO520/2751.92,AO520/3356)),"")</f>
        <v/>
      </c>
      <c r="AQ520" s="28"/>
      <c r="AR520" s="28"/>
      <c r="AS520" s="20" t="str">
        <f>IF(AQ520="","",IF($F520="Bernardino Furlan",_xlfn.XLOOKUP(AQ520,Cadastros!$G$6:$G$90,Cadastros!$H$6:$H$90)*(1-0.18),IF($F520="Mauro José Salanti",_xlfn.XLOOKUP(AQ520,Cadastros!$G$6:$G$90,Cadastros!$H$6:$H$90)*(1-0.18),_xlfn.XLOOKUP(AQ520,Cadastros!$G$6:$G$90,Cadastros!$H$6:$H$90))))</f>
        <v/>
      </c>
      <c r="AT520" s="168" t="str">
        <f t="shared" ref="AT520:AT583" si="115">IF(AS520="","",AR520*AS520)</f>
        <v/>
      </c>
      <c r="AU520" s="168" t="str">
        <f t="shared" ref="AU520:AU583" si="116">IFERROR(IF($F520="Bernardino Furlan",AT520/2751.92,IF($F520="Mauro José Salanti",AT520/2751.92,AT520/3356)),"")</f>
        <v/>
      </c>
      <c r="AV520" s="227"/>
      <c r="AW520" s="30"/>
      <c r="AX520" s="267"/>
      <c r="AY520" s="267"/>
      <c r="AZ520" s="29"/>
      <c r="BA520" s="30"/>
      <c r="BB520" s="23" t="str" cm="1">
        <f t="array" ref="BB520">_xlfn.IFS(AW520="SIM",SUM(K520,P520,U520,Z520,AE520,AJ520,AO520,AT520,AX520,AY520),F520&lt;&gt;"",SUM(K520,P520,U520,Z520,AE520,AJ520,,AO520,AT520),F520="","")</f>
        <v/>
      </c>
      <c r="BC520" s="211" t="str" cm="1">
        <f t="array" ref="BC520">_xlfn.IFS(E520="","",G520&lt;=E520,BB520*(1-0.03),G520&lt;(E520+8),BB520,AZ520="Boleto",BB520*(1+0.001)^DATEDIF(E520,G520,"D"),AZ520="Cheque",BB520,AZ520="Dinheiro","Alterar forma pgto")</f>
        <v/>
      </c>
      <c r="BD520" s="276" t="str" cm="1">
        <f t="array" ref="BD520">IF(F520=0," ",IF(BC520&lt;BB520,(_xlfn.IFS(AW520="SIM",SUM(L520,Q520,V520,AA520,AF520,AK520,AP520,AU520)+AX520/_xlfn.XLOOKUP(_xlfn.XLOOKUP($F520,Clientes!$B$4:$B$39,Clientes!$C$4:$C$39),Cadastros!$L$6:$L$12,Cadastros!$M$6:$M$12)+IF($F520="Bernardino Furlan",AY520/2751.92,IF($F520="Mauro José Salanti",AY520/2751.92,AY520/3356)),F520&lt;&gt;0,SUM(L520,Q520,V520,AA520,AF520,AK520,AP520,AU520)))*(1-0.03),_xlfn.IFS(AW520="SIM",SUM(L520,Q520,V520,AA520,AF520,AK520,AP520,AU520)+AX520/_xlfn.XLOOKUP(_xlfn.XLOOKUP($F520,Clientes!$B$4:$B$39,Clientes!$C$4:$C$39),Cadastros!$L$6:$L$12,Cadastros!$M$6:$M$12)+IF($F520="Bernardino Furlan",AY520/2751.92,IF($F520="Mauro José Salanti",AY520/2751.92,AY520/3356)),F520&lt;&gt;0,SUM(L520,Q520,V520,AA520,AF520,AK520,AP520,AU520))))</f>
        <v xml:space="preserve"> </v>
      </c>
      <c r="BE520" s="120"/>
      <c r="BF520" s="120"/>
      <c r="BG520" s="120"/>
    </row>
    <row r="521" spans="1:59" s="3" customFormat="1" x14ac:dyDescent="0.3">
      <c r="A521" s="15" t="str">
        <f t="shared" si="104"/>
        <v/>
      </c>
      <c r="B521" s="25"/>
      <c r="C521" s="26"/>
      <c r="D521" s="279"/>
      <c r="E521" s="27"/>
      <c r="F521" s="28"/>
      <c r="G521" s="27"/>
      <c r="H521" s="28"/>
      <c r="I521" s="28"/>
      <c r="J521" s="255" t="str">
        <f>IF(H521="","",(_xlfn.XLOOKUP(H521,Cadastros!$D$6:$D$90,Cadastros!$E$6:$E$90))*(1-_xlfn.XLOOKUP(_xlfn.XLOOKUP($F521,Clientes!$B$4:$B$39,Clientes!$C$4:$C$39),Cadastros!$L$6:$L$12,Cadastros!$N$6:$N$12)))</f>
        <v/>
      </c>
      <c r="K521" s="168" t="str">
        <f t="shared" si="105"/>
        <v/>
      </c>
      <c r="L521" s="168" t="str">
        <f>IFERROR(K521/_xlfn.XLOOKUP(_xlfn.XLOOKUP($F521,Clientes!$B$4:$B$39,Clientes!$C$4:$C$39),Cadastros!$L$6:$L$12,Cadastros!$M$6:$M$12)," ")</f>
        <v xml:space="preserve"> </v>
      </c>
      <c r="M521" s="28"/>
      <c r="N521" s="28"/>
      <c r="O521" s="255" t="str">
        <f>IF(M521="","",(_xlfn.XLOOKUP(M521,Cadastros!$D$6:$D$90,Cadastros!$E$6:$E$90))*(1-_xlfn.XLOOKUP(_xlfn.XLOOKUP($F521,Clientes!$B$4:$B$39,Clientes!$C$4:$C$39),Cadastros!$L$6:$L$12,Cadastros!$N$6:$N$12)))</f>
        <v/>
      </c>
      <c r="P521" s="168" t="str">
        <f t="shared" si="106"/>
        <v/>
      </c>
      <c r="Q521" s="168" t="str">
        <f>IFERROR(P521/_xlfn.XLOOKUP(_xlfn.XLOOKUP($F521,Clientes!$B$4:$B$39,Clientes!$C$4:$C$39),Cadastros!$L$6:$L$12,Cadastros!$M$6:$M$12)," ")</f>
        <v xml:space="preserve"> </v>
      </c>
      <c r="R521" s="28"/>
      <c r="S521" s="28"/>
      <c r="T521" s="255" t="str">
        <f>IF(R521="","",(_xlfn.XLOOKUP(R521,Cadastros!$D$6:$D$90,Cadastros!$E$6:$E$90))*(1-_xlfn.XLOOKUP(_xlfn.XLOOKUP($F521,Clientes!$B$4:$B$39,Clientes!$C$4:$C$39),Cadastros!$L$6:$L$12,Cadastros!$N$6:$N$12)))</f>
        <v/>
      </c>
      <c r="U521" s="168" t="str">
        <f t="shared" si="107"/>
        <v/>
      </c>
      <c r="V521" s="168" t="str">
        <f>IFERROR(U521/_xlfn.XLOOKUP(_xlfn.XLOOKUP($F521,Clientes!$B$4:$B$39,Clientes!$C$4:$C$39),Cadastros!$L$6:$L$12,Cadastros!$M$6:$M$12)," ")</f>
        <v xml:space="preserve"> </v>
      </c>
      <c r="W521" s="28"/>
      <c r="X521" s="28"/>
      <c r="Y521" s="255" t="str">
        <f>IF(W521="","",(_xlfn.XLOOKUP(W521,Cadastros!$D$6:$D$90,Cadastros!$E$6:$E$90))*(1-_xlfn.XLOOKUP(_xlfn.XLOOKUP($F521,Clientes!$B$4:$B$39,Clientes!$C$4:$C$39),Cadastros!$L$6:$L$12,Cadastros!$N$6:$N$12)))</f>
        <v/>
      </c>
      <c r="Z521" s="168" t="str">
        <f t="shared" si="108"/>
        <v/>
      </c>
      <c r="AA521" s="168" t="str">
        <f>IFERROR(Z521/_xlfn.XLOOKUP(_xlfn.XLOOKUP($F521,Clientes!$B$4:$B$39,Clientes!$C$4:$C$39),Cadastros!$L$6:$L$12,Cadastros!$M$6:$M$12)," ")</f>
        <v xml:space="preserve"> </v>
      </c>
      <c r="AB521" s="28"/>
      <c r="AC521" s="28"/>
      <c r="AD521" s="20" t="str">
        <f>IF(AB521="","",IF($F521="Bernardino Furlan",_xlfn.XLOOKUP(AB521,Cadastros!$G$6:$G$90,Cadastros!$H$6:$H$90)*(1-0.18),IF($F521="Mauro José Salanti",_xlfn.XLOOKUP(AB521,Cadastros!$G$6:$G$90,Cadastros!$H$6:$H$90)*(1-0.18),_xlfn.XLOOKUP(AB521,Cadastros!$G$6:$G$90,Cadastros!$H$6:$H$90))))</f>
        <v/>
      </c>
      <c r="AE521" s="168" t="str">
        <f t="shared" si="109"/>
        <v/>
      </c>
      <c r="AF521" s="168" t="str">
        <f t="shared" si="110"/>
        <v/>
      </c>
      <c r="AG521" s="28"/>
      <c r="AH521" s="28"/>
      <c r="AI521" s="20" t="str">
        <f>IF(AG521="","",IF($F521="Bernardino Furlan",_xlfn.XLOOKUP(AG521,Cadastros!$G$6:$G$90,Cadastros!$H$6:$H$90)*(1-0.18),IF($F521="Mauro José Salanti",_xlfn.XLOOKUP(AG521,Cadastros!$G$6:$G$90,Cadastros!$H$6:$H$90)*(1-0.18),_xlfn.XLOOKUP(AG521,Cadastros!$G$6:$G$90,Cadastros!$H$6:$H$90))))</f>
        <v/>
      </c>
      <c r="AJ521" s="168" t="str">
        <f t="shared" si="111"/>
        <v/>
      </c>
      <c r="AK521" s="168" t="str">
        <f t="shared" si="112"/>
        <v/>
      </c>
      <c r="AL521" s="28"/>
      <c r="AM521" s="28"/>
      <c r="AN521" s="20" t="str">
        <f>IF(AL521="","",IF($F521="Bernardino Furlan",_xlfn.XLOOKUP(AL521,Cadastros!$G$6:$G$90,Cadastros!$H$6:$H$90)*(1-0.18),IF($F521="Mauro José Salanti",_xlfn.XLOOKUP(AL521,Cadastros!$G$6:$G$90,Cadastros!$H$6:$H$90)*(1-0.18),_xlfn.XLOOKUP(AL521,Cadastros!$G$6:$G$90,Cadastros!$H$6:$H$90))))</f>
        <v/>
      </c>
      <c r="AO521" s="168" t="str">
        <f t="shared" si="113"/>
        <v/>
      </c>
      <c r="AP521" s="168" t="str">
        <f t="shared" si="114"/>
        <v/>
      </c>
      <c r="AQ521" s="28"/>
      <c r="AR521" s="28"/>
      <c r="AS521" s="20" t="str">
        <f>IF(AQ521="","",IF($F521="Bernardino Furlan",_xlfn.XLOOKUP(AQ521,Cadastros!$G$6:$G$90,Cadastros!$H$6:$H$90)*(1-0.18),IF($F521="Mauro José Salanti",_xlfn.XLOOKUP(AQ521,Cadastros!$G$6:$G$90,Cadastros!$H$6:$H$90)*(1-0.18),_xlfn.XLOOKUP(AQ521,Cadastros!$G$6:$G$90,Cadastros!$H$6:$H$90))))</f>
        <v/>
      </c>
      <c r="AT521" s="168" t="str">
        <f t="shared" si="115"/>
        <v/>
      </c>
      <c r="AU521" s="168" t="str">
        <f t="shared" si="116"/>
        <v/>
      </c>
      <c r="AV521" s="227"/>
      <c r="AW521" s="30"/>
      <c r="AX521" s="267"/>
      <c r="AY521" s="267"/>
      <c r="AZ521" s="29"/>
      <c r="BA521" s="30"/>
      <c r="BB521" s="23" t="str" cm="1">
        <f t="array" ref="BB521">_xlfn.IFS(AW521="SIM",SUM(K521,P521,U521,Z521,AE521,AJ521,AO521,AT521,AX521,AY521),F521&lt;&gt;"",SUM(K521,P521,U521,Z521,AE521,AJ521,,AO521,AT521),F521="","")</f>
        <v/>
      </c>
      <c r="BC521" s="211" t="str" cm="1">
        <f t="array" ref="BC521">_xlfn.IFS(E521="","",G521&lt;=E521,BB521*(1-0.03),G521&lt;(E521+8),BB521,AZ521="Boleto",BB521*(1+0.001)^DATEDIF(E521,G521,"D"),AZ521="Cheque",BB521,AZ521="Dinheiro","Alterar forma pgto")</f>
        <v/>
      </c>
      <c r="BD521" s="276" t="str" cm="1">
        <f t="array" ref="BD521">IF(F521=0," ",IF(BC521&lt;BB521,(_xlfn.IFS(AW521="SIM",SUM(L521,Q521,V521,AA521,AF521,AK521,AP521,AU521)+AX521/_xlfn.XLOOKUP(_xlfn.XLOOKUP($F521,Clientes!$B$4:$B$39,Clientes!$C$4:$C$39),Cadastros!$L$6:$L$12,Cadastros!$M$6:$M$12)+IF($F521="Bernardino Furlan",AY521/2751.92,IF($F521="Mauro José Salanti",AY521/2751.92,AY521/3356)),F521&lt;&gt;0,SUM(L521,Q521,V521,AA521,AF521,AK521,AP521,AU521)))*(1-0.03),_xlfn.IFS(AW521="SIM",SUM(L521,Q521,V521,AA521,AF521,AK521,AP521,AU521)+AX521/_xlfn.XLOOKUP(_xlfn.XLOOKUP($F521,Clientes!$B$4:$B$39,Clientes!$C$4:$C$39),Cadastros!$L$6:$L$12,Cadastros!$M$6:$M$12)+IF($F521="Bernardino Furlan",AY521/2751.92,IF($F521="Mauro José Salanti",AY521/2751.92,AY521/3356)),F521&lt;&gt;0,SUM(L521,Q521,V521,AA521,AF521,AK521,AP521,AU521))))</f>
        <v xml:space="preserve"> </v>
      </c>
      <c r="BE521" s="120"/>
      <c r="BF521" s="120"/>
      <c r="BG521" s="120"/>
    </row>
    <row r="522" spans="1:59" s="3" customFormat="1" x14ac:dyDescent="0.3">
      <c r="A522" s="15" t="str">
        <f t="shared" si="104"/>
        <v/>
      </c>
      <c r="B522" s="25"/>
      <c r="C522" s="26"/>
      <c r="D522" s="279"/>
      <c r="E522" s="27"/>
      <c r="F522" s="28"/>
      <c r="G522" s="27"/>
      <c r="H522" s="28"/>
      <c r="I522" s="28"/>
      <c r="J522" s="255" t="str">
        <f>IF(H522="","",(_xlfn.XLOOKUP(H522,Cadastros!$D$6:$D$90,Cadastros!$E$6:$E$90))*(1-_xlfn.XLOOKUP(_xlfn.XLOOKUP($F522,Clientes!$B$4:$B$39,Clientes!$C$4:$C$39),Cadastros!$L$6:$L$12,Cadastros!$N$6:$N$12)))</f>
        <v/>
      </c>
      <c r="K522" s="168" t="str">
        <f t="shared" si="105"/>
        <v/>
      </c>
      <c r="L522" s="168" t="str">
        <f>IFERROR(K522/_xlfn.XLOOKUP(_xlfn.XLOOKUP($F522,Clientes!$B$4:$B$39,Clientes!$C$4:$C$39),Cadastros!$L$6:$L$12,Cadastros!$M$6:$M$12)," ")</f>
        <v xml:space="preserve"> </v>
      </c>
      <c r="M522" s="28"/>
      <c r="N522" s="28"/>
      <c r="O522" s="255" t="str">
        <f>IF(M522="","",(_xlfn.XLOOKUP(M522,Cadastros!$D$6:$D$90,Cadastros!$E$6:$E$90))*(1-_xlfn.XLOOKUP(_xlfn.XLOOKUP($F522,Clientes!$B$4:$B$39,Clientes!$C$4:$C$39),Cadastros!$L$6:$L$12,Cadastros!$N$6:$N$12)))</f>
        <v/>
      </c>
      <c r="P522" s="168" t="str">
        <f t="shared" si="106"/>
        <v/>
      </c>
      <c r="Q522" s="168" t="str">
        <f>IFERROR(P522/_xlfn.XLOOKUP(_xlfn.XLOOKUP($F522,Clientes!$B$4:$B$39,Clientes!$C$4:$C$39),Cadastros!$L$6:$L$12,Cadastros!$M$6:$M$12)," ")</f>
        <v xml:space="preserve"> </v>
      </c>
      <c r="R522" s="28"/>
      <c r="S522" s="28"/>
      <c r="T522" s="255" t="str">
        <f>IF(R522="","",(_xlfn.XLOOKUP(R522,Cadastros!$D$6:$D$90,Cadastros!$E$6:$E$90))*(1-_xlfn.XLOOKUP(_xlfn.XLOOKUP($F522,Clientes!$B$4:$B$39,Clientes!$C$4:$C$39),Cadastros!$L$6:$L$12,Cadastros!$N$6:$N$12)))</f>
        <v/>
      </c>
      <c r="U522" s="168" t="str">
        <f t="shared" si="107"/>
        <v/>
      </c>
      <c r="V522" s="168" t="str">
        <f>IFERROR(U522/_xlfn.XLOOKUP(_xlfn.XLOOKUP($F522,Clientes!$B$4:$B$39,Clientes!$C$4:$C$39),Cadastros!$L$6:$L$12,Cadastros!$M$6:$M$12)," ")</f>
        <v xml:space="preserve"> </v>
      </c>
      <c r="W522" s="28"/>
      <c r="X522" s="28"/>
      <c r="Y522" s="255" t="str">
        <f>IF(W522="","",(_xlfn.XLOOKUP(W522,Cadastros!$D$6:$D$90,Cadastros!$E$6:$E$90))*(1-_xlfn.XLOOKUP(_xlfn.XLOOKUP($F522,Clientes!$B$4:$B$39,Clientes!$C$4:$C$39),Cadastros!$L$6:$L$12,Cadastros!$N$6:$N$12)))</f>
        <v/>
      </c>
      <c r="Z522" s="168" t="str">
        <f t="shared" si="108"/>
        <v/>
      </c>
      <c r="AA522" s="168" t="str">
        <f>IFERROR(Z522/_xlfn.XLOOKUP(_xlfn.XLOOKUP($F522,Clientes!$B$4:$B$39,Clientes!$C$4:$C$39),Cadastros!$L$6:$L$12,Cadastros!$M$6:$M$12)," ")</f>
        <v xml:space="preserve"> </v>
      </c>
      <c r="AB522" s="28"/>
      <c r="AC522" s="28"/>
      <c r="AD522" s="20" t="str">
        <f>IF(AB522="","",IF($F522="Bernardino Furlan",_xlfn.XLOOKUP(AB522,Cadastros!$G$6:$G$90,Cadastros!$H$6:$H$90)*(1-0.18),IF($F522="Mauro José Salanti",_xlfn.XLOOKUP(AB522,Cadastros!$G$6:$G$90,Cadastros!$H$6:$H$90)*(1-0.18),_xlfn.XLOOKUP(AB522,Cadastros!$G$6:$G$90,Cadastros!$H$6:$H$90))))</f>
        <v/>
      </c>
      <c r="AE522" s="168" t="str">
        <f t="shared" si="109"/>
        <v/>
      </c>
      <c r="AF522" s="168" t="str">
        <f t="shared" si="110"/>
        <v/>
      </c>
      <c r="AG522" s="28"/>
      <c r="AH522" s="28"/>
      <c r="AI522" s="20" t="str">
        <f>IF(AG522="","",IF($F522="Bernardino Furlan",_xlfn.XLOOKUP(AG522,Cadastros!$G$6:$G$90,Cadastros!$H$6:$H$90)*(1-0.18),IF($F522="Mauro José Salanti",_xlfn.XLOOKUP(AG522,Cadastros!$G$6:$G$90,Cadastros!$H$6:$H$90)*(1-0.18),_xlfn.XLOOKUP(AG522,Cadastros!$G$6:$G$90,Cadastros!$H$6:$H$90))))</f>
        <v/>
      </c>
      <c r="AJ522" s="168" t="str">
        <f t="shared" si="111"/>
        <v/>
      </c>
      <c r="AK522" s="168" t="str">
        <f t="shared" si="112"/>
        <v/>
      </c>
      <c r="AL522" s="28"/>
      <c r="AM522" s="28"/>
      <c r="AN522" s="20" t="str">
        <f>IF(AL522="","",IF($F522="Bernardino Furlan",_xlfn.XLOOKUP(AL522,Cadastros!$G$6:$G$90,Cadastros!$H$6:$H$90)*(1-0.18),IF($F522="Mauro José Salanti",_xlfn.XLOOKUP(AL522,Cadastros!$G$6:$G$90,Cadastros!$H$6:$H$90)*(1-0.18),_xlfn.XLOOKUP(AL522,Cadastros!$G$6:$G$90,Cadastros!$H$6:$H$90))))</f>
        <v/>
      </c>
      <c r="AO522" s="168" t="str">
        <f t="shared" si="113"/>
        <v/>
      </c>
      <c r="AP522" s="168" t="str">
        <f t="shared" si="114"/>
        <v/>
      </c>
      <c r="AQ522" s="28"/>
      <c r="AR522" s="28"/>
      <c r="AS522" s="20" t="str">
        <f>IF(AQ522="","",IF($F522="Bernardino Furlan",_xlfn.XLOOKUP(AQ522,Cadastros!$G$6:$G$90,Cadastros!$H$6:$H$90)*(1-0.18),IF($F522="Mauro José Salanti",_xlfn.XLOOKUP(AQ522,Cadastros!$G$6:$G$90,Cadastros!$H$6:$H$90)*(1-0.18),_xlfn.XLOOKUP(AQ522,Cadastros!$G$6:$G$90,Cadastros!$H$6:$H$90))))</f>
        <v/>
      </c>
      <c r="AT522" s="168" t="str">
        <f t="shared" si="115"/>
        <v/>
      </c>
      <c r="AU522" s="168" t="str">
        <f t="shared" si="116"/>
        <v/>
      </c>
      <c r="AV522" s="227"/>
      <c r="AW522" s="30"/>
      <c r="AX522" s="267"/>
      <c r="AY522" s="267"/>
      <c r="AZ522" s="29"/>
      <c r="BA522" s="30"/>
      <c r="BB522" s="23" t="str" cm="1">
        <f t="array" ref="BB522">_xlfn.IFS(AW522="SIM",SUM(K522,P522,U522,Z522,AE522,AJ522,AO522,AT522,AX522,AY522),F522&lt;&gt;"",SUM(K522,P522,U522,Z522,AE522,AJ522,,AO522,AT522),F522="","")</f>
        <v/>
      </c>
      <c r="BC522" s="211" t="str" cm="1">
        <f t="array" ref="BC522">_xlfn.IFS(E522="","",G522&lt;=E522,BB522*(1-0.03),G522&lt;(E522+8),BB522,AZ522="Boleto",BB522*(1+0.001)^DATEDIF(E522,G522,"D"),AZ522="Cheque",BB522,AZ522="Dinheiro","Alterar forma pgto")</f>
        <v/>
      </c>
      <c r="BD522" s="276" t="str" cm="1">
        <f t="array" ref="BD522">IF(F522=0," ",IF(BC522&lt;BB522,(_xlfn.IFS(AW522="SIM",SUM(L522,Q522,V522,AA522,AF522,AK522,AP522,AU522)+AX522/_xlfn.XLOOKUP(_xlfn.XLOOKUP($F522,Clientes!$B$4:$B$39,Clientes!$C$4:$C$39),Cadastros!$L$6:$L$12,Cadastros!$M$6:$M$12)+IF($F522="Bernardino Furlan",AY522/2751.92,IF($F522="Mauro José Salanti",AY522/2751.92,AY522/3356)),F522&lt;&gt;0,SUM(L522,Q522,V522,AA522,AF522,AK522,AP522,AU522)))*(1-0.03),_xlfn.IFS(AW522="SIM",SUM(L522,Q522,V522,AA522,AF522,AK522,AP522,AU522)+AX522/_xlfn.XLOOKUP(_xlfn.XLOOKUP($F522,Clientes!$B$4:$B$39,Clientes!$C$4:$C$39),Cadastros!$L$6:$L$12,Cadastros!$M$6:$M$12)+IF($F522="Bernardino Furlan",AY522/2751.92,IF($F522="Mauro José Salanti",AY522/2751.92,AY522/3356)),F522&lt;&gt;0,SUM(L522,Q522,V522,AA522,AF522,AK522,AP522,AU522))))</f>
        <v xml:space="preserve"> </v>
      </c>
      <c r="BE522" s="120"/>
      <c r="BF522" s="120"/>
      <c r="BG522" s="120"/>
    </row>
    <row r="523" spans="1:59" s="3" customFormat="1" x14ac:dyDescent="0.3">
      <c r="A523" s="15" t="str">
        <f t="shared" si="104"/>
        <v/>
      </c>
      <c r="B523" s="25"/>
      <c r="C523" s="26"/>
      <c r="D523" s="279"/>
      <c r="E523" s="27"/>
      <c r="F523" s="28"/>
      <c r="G523" s="27"/>
      <c r="H523" s="28"/>
      <c r="I523" s="28"/>
      <c r="J523" s="255" t="str">
        <f>IF(H523="","",(_xlfn.XLOOKUP(H523,Cadastros!$D$6:$D$90,Cadastros!$E$6:$E$90))*(1-_xlfn.XLOOKUP(_xlfn.XLOOKUP($F523,Clientes!$B$4:$B$39,Clientes!$C$4:$C$39),Cadastros!$L$6:$L$12,Cadastros!$N$6:$N$12)))</f>
        <v/>
      </c>
      <c r="K523" s="168" t="str">
        <f t="shared" si="105"/>
        <v/>
      </c>
      <c r="L523" s="168" t="str">
        <f>IFERROR(K523/_xlfn.XLOOKUP(_xlfn.XLOOKUP($F523,Clientes!$B$4:$B$39,Clientes!$C$4:$C$39),Cadastros!$L$6:$L$12,Cadastros!$M$6:$M$12)," ")</f>
        <v xml:space="preserve"> </v>
      </c>
      <c r="M523" s="28"/>
      <c r="N523" s="28"/>
      <c r="O523" s="255" t="str">
        <f>IF(M523="","",(_xlfn.XLOOKUP(M523,Cadastros!$D$6:$D$90,Cadastros!$E$6:$E$90))*(1-_xlfn.XLOOKUP(_xlfn.XLOOKUP($F523,Clientes!$B$4:$B$39,Clientes!$C$4:$C$39),Cadastros!$L$6:$L$12,Cadastros!$N$6:$N$12)))</f>
        <v/>
      </c>
      <c r="P523" s="168" t="str">
        <f t="shared" si="106"/>
        <v/>
      </c>
      <c r="Q523" s="168" t="str">
        <f>IFERROR(P523/_xlfn.XLOOKUP(_xlfn.XLOOKUP($F523,Clientes!$B$4:$B$39,Clientes!$C$4:$C$39),Cadastros!$L$6:$L$12,Cadastros!$M$6:$M$12)," ")</f>
        <v xml:space="preserve"> </v>
      </c>
      <c r="R523" s="28"/>
      <c r="S523" s="28"/>
      <c r="T523" s="255" t="str">
        <f>IF(R523="","",(_xlfn.XLOOKUP(R523,Cadastros!$D$6:$D$90,Cadastros!$E$6:$E$90))*(1-_xlfn.XLOOKUP(_xlfn.XLOOKUP($F523,Clientes!$B$4:$B$39,Clientes!$C$4:$C$39),Cadastros!$L$6:$L$12,Cadastros!$N$6:$N$12)))</f>
        <v/>
      </c>
      <c r="U523" s="168" t="str">
        <f t="shared" si="107"/>
        <v/>
      </c>
      <c r="V523" s="168" t="str">
        <f>IFERROR(U523/_xlfn.XLOOKUP(_xlfn.XLOOKUP($F523,Clientes!$B$4:$B$39,Clientes!$C$4:$C$39),Cadastros!$L$6:$L$12,Cadastros!$M$6:$M$12)," ")</f>
        <v xml:space="preserve"> </v>
      </c>
      <c r="W523" s="28"/>
      <c r="X523" s="28"/>
      <c r="Y523" s="255" t="str">
        <f>IF(W523="","",(_xlfn.XLOOKUP(W523,Cadastros!$D$6:$D$90,Cadastros!$E$6:$E$90))*(1-_xlfn.XLOOKUP(_xlfn.XLOOKUP($F523,Clientes!$B$4:$B$39,Clientes!$C$4:$C$39),Cadastros!$L$6:$L$12,Cadastros!$N$6:$N$12)))</f>
        <v/>
      </c>
      <c r="Z523" s="168" t="str">
        <f t="shared" si="108"/>
        <v/>
      </c>
      <c r="AA523" s="168" t="str">
        <f>IFERROR(Z523/_xlfn.XLOOKUP(_xlfn.XLOOKUP($F523,Clientes!$B$4:$B$39,Clientes!$C$4:$C$39),Cadastros!$L$6:$L$12,Cadastros!$M$6:$M$12)," ")</f>
        <v xml:space="preserve"> </v>
      </c>
      <c r="AB523" s="28"/>
      <c r="AC523" s="28"/>
      <c r="AD523" s="20" t="str">
        <f>IF(AB523="","",IF($F523="Bernardino Furlan",_xlfn.XLOOKUP(AB523,Cadastros!$G$6:$G$90,Cadastros!$H$6:$H$90)*(1-0.18),IF($F523="Mauro José Salanti",_xlfn.XLOOKUP(AB523,Cadastros!$G$6:$G$90,Cadastros!$H$6:$H$90)*(1-0.18),_xlfn.XLOOKUP(AB523,Cadastros!$G$6:$G$90,Cadastros!$H$6:$H$90))))</f>
        <v/>
      </c>
      <c r="AE523" s="168" t="str">
        <f t="shared" si="109"/>
        <v/>
      </c>
      <c r="AF523" s="168" t="str">
        <f t="shared" si="110"/>
        <v/>
      </c>
      <c r="AG523" s="28"/>
      <c r="AH523" s="28"/>
      <c r="AI523" s="20" t="str">
        <f>IF(AG523="","",IF($F523="Bernardino Furlan",_xlfn.XLOOKUP(AG523,Cadastros!$G$6:$G$90,Cadastros!$H$6:$H$90)*(1-0.18),IF($F523="Mauro José Salanti",_xlfn.XLOOKUP(AG523,Cadastros!$G$6:$G$90,Cadastros!$H$6:$H$90)*(1-0.18),_xlfn.XLOOKUP(AG523,Cadastros!$G$6:$G$90,Cadastros!$H$6:$H$90))))</f>
        <v/>
      </c>
      <c r="AJ523" s="168" t="str">
        <f t="shared" si="111"/>
        <v/>
      </c>
      <c r="AK523" s="168" t="str">
        <f t="shared" si="112"/>
        <v/>
      </c>
      <c r="AL523" s="28"/>
      <c r="AM523" s="28"/>
      <c r="AN523" s="20" t="str">
        <f>IF(AL523="","",IF($F523="Bernardino Furlan",_xlfn.XLOOKUP(AL523,Cadastros!$G$6:$G$90,Cadastros!$H$6:$H$90)*(1-0.18),IF($F523="Mauro José Salanti",_xlfn.XLOOKUP(AL523,Cadastros!$G$6:$G$90,Cadastros!$H$6:$H$90)*(1-0.18),_xlfn.XLOOKUP(AL523,Cadastros!$G$6:$G$90,Cadastros!$H$6:$H$90))))</f>
        <v/>
      </c>
      <c r="AO523" s="168" t="str">
        <f t="shared" si="113"/>
        <v/>
      </c>
      <c r="AP523" s="168" t="str">
        <f t="shared" si="114"/>
        <v/>
      </c>
      <c r="AQ523" s="28"/>
      <c r="AR523" s="28"/>
      <c r="AS523" s="20" t="str">
        <f>IF(AQ523="","",IF($F523="Bernardino Furlan",_xlfn.XLOOKUP(AQ523,Cadastros!$G$6:$G$90,Cadastros!$H$6:$H$90)*(1-0.18),IF($F523="Mauro José Salanti",_xlfn.XLOOKUP(AQ523,Cadastros!$G$6:$G$90,Cadastros!$H$6:$H$90)*(1-0.18),_xlfn.XLOOKUP(AQ523,Cadastros!$G$6:$G$90,Cadastros!$H$6:$H$90))))</f>
        <v/>
      </c>
      <c r="AT523" s="168" t="str">
        <f t="shared" si="115"/>
        <v/>
      </c>
      <c r="AU523" s="168" t="str">
        <f t="shared" si="116"/>
        <v/>
      </c>
      <c r="AV523" s="227"/>
      <c r="AW523" s="30"/>
      <c r="AX523" s="267"/>
      <c r="AY523" s="267"/>
      <c r="AZ523" s="29"/>
      <c r="BA523" s="30"/>
      <c r="BB523" s="23" t="str" cm="1">
        <f t="array" ref="BB523">_xlfn.IFS(AW523="SIM",SUM(K523,P523,U523,Z523,AE523,AJ523,AO523,AT523,AX523,AY523),F523&lt;&gt;"",SUM(K523,P523,U523,Z523,AE523,AJ523,,AO523,AT523),F523="","")</f>
        <v/>
      </c>
      <c r="BC523" s="211" t="str" cm="1">
        <f t="array" ref="BC523">_xlfn.IFS(E523="","",G523&lt;=E523,BB523*(1-0.03),G523&lt;(E523+8),BB523,AZ523="Boleto",BB523*(1+0.001)^DATEDIF(E523,G523,"D"),AZ523="Cheque",BB523,AZ523="Dinheiro","Alterar forma pgto")</f>
        <v/>
      </c>
      <c r="BD523" s="276" t="str" cm="1">
        <f t="array" ref="BD523">IF(F523=0," ",IF(BC523&lt;BB523,(_xlfn.IFS(AW523="SIM",SUM(L523,Q523,V523,AA523,AF523,AK523,AP523,AU523)+AX523/_xlfn.XLOOKUP(_xlfn.XLOOKUP($F523,Clientes!$B$4:$B$39,Clientes!$C$4:$C$39),Cadastros!$L$6:$L$12,Cadastros!$M$6:$M$12)+IF($F523="Bernardino Furlan",AY523/2751.92,IF($F523="Mauro José Salanti",AY523/2751.92,AY523/3356)),F523&lt;&gt;0,SUM(L523,Q523,V523,AA523,AF523,AK523,AP523,AU523)))*(1-0.03),_xlfn.IFS(AW523="SIM",SUM(L523,Q523,V523,AA523,AF523,AK523,AP523,AU523)+AX523/_xlfn.XLOOKUP(_xlfn.XLOOKUP($F523,Clientes!$B$4:$B$39,Clientes!$C$4:$C$39),Cadastros!$L$6:$L$12,Cadastros!$M$6:$M$12)+IF($F523="Bernardino Furlan",AY523/2751.92,IF($F523="Mauro José Salanti",AY523/2751.92,AY523/3356)),F523&lt;&gt;0,SUM(L523,Q523,V523,AA523,AF523,AK523,AP523,AU523))))</f>
        <v xml:space="preserve"> </v>
      </c>
      <c r="BE523" s="120"/>
      <c r="BF523" s="120"/>
      <c r="BG523" s="120"/>
    </row>
    <row r="524" spans="1:59" s="3" customFormat="1" x14ac:dyDescent="0.3">
      <c r="A524" s="15" t="str">
        <f t="shared" si="104"/>
        <v/>
      </c>
      <c r="B524" s="25"/>
      <c r="C524" s="26"/>
      <c r="D524" s="279"/>
      <c r="E524" s="27"/>
      <c r="F524" s="28"/>
      <c r="G524" s="27"/>
      <c r="H524" s="28"/>
      <c r="I524" s="28"/>
      <c r="J524" s="255" t="str">
        <f>IF(H524="","",(_xlfn.XLOOKUP(H524,Cadastros!$D$6:$D$90,Cadastros!$E$6:$E$90))*(1-_xlfn.XLOOKUP(_xlfn.XLOOKUP($F524,Clientes!$B$4:$B$39,Clientes!$C$4:$C$39),Cadastros!$L$6:$L$12,Cadastros!$N$6:$N$12)))</f>
        <v/>
      </c>
      <c r="K524" s="168" t="str">
        <f t="shared" si="105"/>
        <v/>
      </c>
      <c r="L524" s="168" t="str">
        <f>IFERROR(K524/_xlfn.XLOOKUP(_xlfn.XLOOKUP($F524,Clientes!$B$4:$B$39,Clientes!$C$4:$C$39),Cadastros!$L$6:$L$12,Cadastros!$M$6:$M$12)," ")</f>
        <v xml:space="preserve"> </v>
      </c>
      <c r="M524" s="28"/>
      <c r="N524" s="28"/>
      <c r="O524" s="255" t="str">
        <f>IF(M524="","",(_xlfn.XLOOKUP(M524,Cadastros!$D$6:$D$90,Cadastros!$E$6:$E$90))*(1-_xlfn.XLOOKUP(_xlfn.XLOOKUP($F524,Clientes!$B$4:$B$39,Clientes!$C$4:$C$39),Cadastros!$L$6:$L$12,Cadastros!$N$6:$N$12)))</f>
        <v/>
      </c>
      <c r="P524" s="168" t="str">
        <f t="shared" si="106"/>
        <v/>
      </c>
      <c r="Q524" s="168" t="str">
        <f>IFERROR(P524/_xlfn.XLOOKUP(_xlfn.XLOOKUP($F524,Clientes!$B$4:$B$39,Clientes!$C$4:$C$39),Cadastros!$L$6:$L$12,Cadastros!$M$6:$M$12)," ")</f>
        <v xml:space="preserve"> </v>
      </c>
      <c r="R524" s="28"/>
      <c r="S524" s="28"/>
      <c r="T524" s="255" t="str">
        <f>IF(R524="","",(_xlfn.XLOOKUP(R524,Cadastros!$D$6:$D$90,Cadastros!$E$6:$E$90))*(1-_xlfn.XLOOKUP(_xlfn.XLOOKUP($F524,Clientes!$B$4:$B$39,Clientes!$C$4:$C$39),Cadastros!$L$6:$L$12,Cadastros!$N$6:$N$12)))</f>
        <v/>
      </c>
      <c r="U524" s="168" t="str">
        <f t="shared" si="107"/>
        <v/>
      </c>
      <c r="V524" s="168" t="str">
        <f>IFERROR(U524/_xlfn.XLOOKUP(_xlfn.XLOOKUP($F524,Clientes!$B$4:$B$39,Clientes!$C$4:$C$39),Cadastros!$L$6:$L$12,Cadastros!$M$6:$M$12)," ")</f>
        <v xml:space="preserve"> </v>
      </c>
      <c r="W524" s="28"/>
      <c r="X524" s="28"/>
      <c r="Y524" s="255" t="str">
        <f>IF(W524="","",(_xlfn.XLOOKUP(W524,Cadastros!$D$6:$D$90,Cadastros!$E$6:$E$90))*(1-_xlfn.XLOOKUP(_xlfn.XLOOKUP($F524,Clientes!$B$4:$B$39,Clientes!$C$4:$C$39),Cadastros!$L$6:$L$12,Cadastros!$N$6:$N$12)))</f>
        <v/>
      </c>
      <c r="Z524" s="168" t="str">
        <f t="shared" si="108"/>
        <v/>
      </c>
      <c r="AA524" s="168" t="str">
        <f>IFERROR(Z524/_xlfn.XLOOKUP(_xlfn.XLOOKUP($F524,Clientes!$B$4:$B$39,Clientes!$C$4:$C$39),Cadastros!$L$6:$L$12,Cadastros!$M$6:$M$12)," ")</f>
        <v xml:space="preserve"> </v>
      </c>
      <c r="AB524" s="28"/>
      <c r="AC524" s="28"/>
      <c r="AD524" s="20" t="str">
        <f>IF(AB524="","",IF($F524="Bernardino Furlan",_xlfn.XLOOKUP(AB524,Cadastros!$G$6:$G$90,Cadastros!$H$6:$H$90)*(1-0.18),IF($F524="Mauro José Salanti",_xlfn.XLOOKUP(AB524,Cadastros!$G$6:$G$90,Cadastros!$H$6:$H$90)*(1-0.18),_xlfn.XLOOKUP(AB524,Cadastros!$G$6:$G$90,Cadastros!$H$6:$H$90))))</f>
        <v/>
      </c>
      <c r="AE524" s="168" t="str">
        <f t="shared" si="109"/>
        <v/>
      </c>
      <c r="AF524" s="168" t="str">
        <f t="shared" si="110"/>
        <v/>
      </c>
      <c r="AG524" s="28"/>
      <c r="AH524" s="28"/>
      <c r="AI524" s="20" t="str">
        <f>IF(AG524="","",IF($F524="Bernardino Furlan",_xlfn.XLOOKUP(AG524,Cadastros!$G$6:$G$90,Cadastros!$H$6:$H$90)*(1-0.18),IF($F524="Mauro José Salanti",_xlfn.XLOOKUP(AG524,Cadastros!$G$6:$G$90,Cadastros!$H$6:$H$90)*(1-0.18),_xlfn.XLOOKUP(AG524,Cadastros!$G$6:$G$90,Cadastros!$H$6:$H$90))))</f>
        <v/>
      </c>
      <c r="AJ524" s="168" t="str">
        <f t="shared" si="111"/>
        <v/>
      </c>
      <c r="AK524" s="168" t="str">
        <f t="shared" si="112"/>
        <v/>
      </c>
      <c r="AL524" s="28"/>
      <c r="AM524" s="28"/>
      <c r="AN524" s="20" t="str">
        <f>IF(AL524="","",IF($F524="Bernardino Furlan",_xlfn.XLOOKUP(AL524,Cadastros!$G$6:$G$90,Cadastros!$H$6:$H$90)*(1-0.18),IF($F524="Mauro José Salanti",_xlfn.XLOOKUP(AL524,Cadastros!$G$6:$G$90,Cadastros!$H$6:$H$90)*(1-0.18),_xlfn.XLOOKUP(AL524,Cadastros!$G$6:$G$90,Cadastros!$H$6:$H$90))))</f>
        <v/>
      </c>
      <c r="AO524" s="168" t="str">
        <f t="shared" si="113"/>
        <v/>
      </c>
      <c r="AP524" s="168" t="str">
        <f t="shared" si="114"/>
        <v/>
      </c>
      <c r="AQ524" s="28"/>
      <c r="AR524" s="28"/>
      <c r="AS524" s="20" t="str">
        <f>IF(AQ524="","",IF($F524="Bernardino Furlan",_xlfn.XLOOKUP(AQ524,Cadastros!$G$6:$G$90,Cadastros!$H$6:$H$90)*(1-0.18),IF($F524="Mauro José Salanti",_xlfn.XLOOKUP(AQ524,Cadastros!$G$6:$G$90,Cadastros!$H$6:$H$90)*(1-0.18),_xlfn.XLOOKUP(AQ524,Cadastros!$G$6:$G$90,Cadastros!$H$6:$H$90))))</f>
        <v/>
      </c>
      <c r="AT524" s="168" t="str">
        <f t="shared" si="115"/>
        <v/>
      </c>
      <c r="AU524" s="168" t="str">
        <f t="shared" si="116"/>
        <v/>
      </c>
      <c r="AV524" s="227"/>
      <c r="AW524" s="30"/>
      <c r="AX524" s="267"/>
      <c r="AY524" s="267"/>
      <c r="AZ524" s="29"/>
      <c r="BA524" s="30"/>
      <c r="BB524" s="23" t="str" cm="1">
        <f t="array" ref="BB524">_xlfn.IFS(AW524="SIM",SUM(K524,P524,U524,Z524,AE524,AJ524,AO524,AT524,AX524,AY524),F524&lt;&gt;"",SUM(K524,P524,U524,Z524,AE524,AJ524,,AO524,AT524),F524="","")</f>
        <v/>
      </c>
      <c r="BC524" s="211" t="str" cm="1">
        <f t="array" ref="BC524">_xlfn.IFS(E524="","",G524&lt;=E524,BB524*(1-0.03),G524&lt;(E524+8),BB524,AZ524="Boleto",BB524*(1+0.001)^DATEDIF(E524,G524,"D"),AZ524="Cheque",BB524,AZ524="Dinheiro","Alterar forma pgto")</f>
        <v/>
      </c>
      <c r="BD524" s="276" t="str" cm="1">
        <f t="array" ref="BD524">IF(F524=0," ",IF(BC524&lt;BB524,(_xlfn.IFS(AW524="SIM",SUM(L524,Q524,V524,AA524,AF524,AK524,AP524,AU524)+AX524/_xlfn.XLOOKUP(_xlfn.XLOOKUP($F524,Clientes!$B$4:$B$39,Clientes!$C$4:$C$39),Cadastros!$L$6:$L$12,Cadastros!$M$6:$M$12)+IF($F524="Bernardino Furlan",AY524/2751.92,IF($F524="Mauro José Salanti",AY524/2751.92,AY524/3356)),F524&lt;&gt;0,SUM(L524,Q524,V524,AA524,AF524,AK524,AP524,AU524)))*(1-0.03),_xlfn.IFS(AW524="SIM",SUM(L524,Q524,V524,AA524,AF524,AK524,AP524,AU524)+AX524/_xlfn.XLOOKUP(_xlfn.XLOOKUP($F524,Clientes!$B$4:$B$39,Clientes!$C$4:$C$39),Cadastros!$L$6:$L$12,Cadastros!$M$6:$M$12)+IF($F524="Bernardino Furlan",AY524/2751.92,IF($F524="Mauro José Salanti",AY524/2751.92,AY524/3356)),F524&lt;&gt;0,SUM(L524,Q524,V524,AA524,AF524,AK524,AP524,AU524))))</f>
        <v xml:space="preserve"> </v>
      </c>
      <c r="BE524" s="120"/>
      <c r="BF524" s="120"/>
      <c r="BG524" s="120"/>
    </row>
    <row r="525" spans="1:59" s="3" customFormat="1" x14ac:dyDescent="0.3">
      <c r="A525" s="15" t="str">
        <f t="shared" si="104"/>
        <v/>
      </c>
      <c r="B525" s="25"/>
      <c r="C525" s="26"/>
      <c r="D525" s="279"/>
      <c r="E525" s="27"/>
      <c r="F525" s="28"/>
      <c r="G525" s="27"/>
      <c r="H525" s="28"/>
      <c r="I525" s="28"/>
      <c r="J525" s="255" t="str">
        <f>IF(H525="","",(_xlfn.XLOOKUP(H525,Cadastros!$D$6:$D$90,Cadastros!$E$6:$E$90))*(1-_xlfn.XLOOKUP(_xlfn.XLOOKUP($F525,Clientes!$B$4:$B$39,Clientes!$C$4:$C$39),Cadastros!$L$6:$L$12,Cadastros!$N$6:$N$12)))</f>
        <v/>
      </c>
      <c r="K525" s="168" t="str">
        <f t="shared" si="105"/>
        <v/>
      </c>
      <c r="L525" s="168" t="str">
        <f>IFERROR(K525/_xlfn.XLOOKUP(_xlfn.XLOOKUP($F525,Clientes!$B$4:$B$39,Clientes!$C$4:$C$39),Cadastros!$L$6:$L$12,Cadastros!$M$6:$M$12)," ")</f>
        <v xml:space="preserve"> </v>
      </c>
      <c r="M525" s="28"/>
      <c r="N525" s="28"/>
      <c r="O525" s="255" t="str">
        <f>IF(M525="","",(_xlfn.XLOOKUP(M525,Cadastros!$D$6:$D$90,Cadastros!$E$6:$E$90))*(1-_xlfn.XLOOKUP(_xlfn.XLOOKUP($F525,Clientes!$B$4:$B$39,Clientes!$C$4:$C$39),Cadastros!$L$6:$L$12,Cadastros!$N$6:$N$12)))</f>
        <v/>
      </c>
      <c r="P525" s="168" t="str">
        <f t="shared" si="106"/>
        <v/>
      </c>
      <c r="Q525" s="168" t="str">
        <f>IFERROR(P525/_xlfn.XLOOKUP(_xlfn.XLOOKUP($F525,Clientes!$B$4:$B$39,Clientes!$C$4:$C$39),Cadastros!$L$6:$L$12,Cadastros!$M$6:$M$12)," ")</f>
        <v xml:space="preserve"> </v>
      </c>
      <c r="R525" s="28"/>
      <c r="S525" s="28"/>
      <c r="T525" s="255" t="str">
        <f>IF(R525="","",(_xlfn.XLOOKUP(R525,Cadastros!$D$6:$D$90,Cadastros!$E$6:$E$90))*(1-_xlfn.XLOOKUP(_xlfn.XLOOKUP($F525,Clientes!$B$4:$B$39,Clientes!$C$4:$C$39),Cadastros!$L$6:$L$12,Cadastros!$N$6:$N$12)))</f>
        <v/>
      </c>
      <c r="U525" s="168" t="str">
        <f t="shared" si="107"/>
        <v/>
      </c>
      <c r="V525" s="168" t="str">
        <f>IFERROR(U525/_xlfn.XLOOKUP(_xlfn.XLOOKUP($F525,Clientes!$B$4:$B$39,Clientes!$C$4:$C$39),Cadastros!$L$6:$L$12,Cadastros!$M$6:$M$12)," ")</f>
        <v xml:space="preserve"> </v>
      </c>
      <c r="W525" s="28"/>
      <c r="X525" s="28"/>
      <c r="Y525" s="255" t="str">
        <f>IF(W525="","",(_xlfn.XLOOKUP(W525,Cadastros!$D$6:$D$90,Cadastros!$E$6:$E$90))*(1-_xlfn.XLOOKUP(_xlfn.XLOOKUP($F525,Clientes!$B$4:$B$39,Clientes!$C$4:$C$39),Cadastros!$L$6:$L$12,Cadastros!$N$6:$N$12)))</f>
        <v/>
      </c>
      <c r="Z525" s="168" t="str">
        <f t="shared" si="108"/>
        <v/>
      </c>
      <c r="AA525" s="168" t="str">
        <f>IFERROR(Z525/_xlfn.XLOOKUP(_xlfn.XLOOKUP($F525,Clientes!$B$4:$B$39,Clientes!$C$4:$C$39),Cadastros!$L$6:$L$12,Cadastros!$M$6:$M$12)," ")</f>
        <v xml:space="preserve"> </v>
      </c>
      <c r="AB525" s="28"/>
      <c r="AC525" s="28"/>
      <c r="AD525" s="20" t="str">
        <f>IF(AB525="","",IF($F525="Bernardino Furlan",_xlfn.XLOOKUP(AB525,Cadastros!$G$6:$G$90,Cadastros!$H$6:$H$90)*(1-0.18),IF($F525="Mauro José Salanti",_xlfn.XLOOKUP(AB525,Cadastros!$G$6:$G$90,Cadastros!$H$6:$H$90)*(1-0.18),_xlfn.XLOOKUP(AB525,Cadastros!$G$6:$G$90,Cadastros!$H$6:$H$90))))</f>
        <v/>
      </c>
      <c r="AE525" s="168" t="str">
        <f t="shared" si="109"/>
        <v/>
      </c>
      <c r="AF525" s="168" t="str">
        <f t="shared" si="110"/>
        <v/>
      </c>
      <c r="AG525" s="28"/>
      <c r="AH525" s="28"/>
      <c r="AI525" s="20" t="str">
        <f>IF(AG525="","",IF($F525="Bernardino Furlan",_xlfn.XLOOKUP(AG525,Cadastros!$G$6:$G$90,Cadastros!$H$6:$H$90)*(1-0.18),IF($F525="Mauro José Salanti",_xlfn.XLOOKUP(AG525,Cadastros!$G$6:$G$90,Cadastros!$H$6:$H$90)*(1-0.18),_xlfn.XLOOKUP(AG525,Cadastros!$G$6:$G$90,Cadastros!$H$6:$H$90))))</f>
        <v/>
      </c>
      <c r="AJ525" s="168" t="str">
        <f t="shared" si="111"/>
        <v/>
      </c>
      <c r="AK525" s="168" t="str">
        <f t="shared" si="112"/>
        <v/>
      </c>
      <c r="AL525" s="28"/>
      <c r="AM525" s="28"/>
      <c r="AN525" s="20" t="str">
        <f>IF(AL525="","",IF($F525="Bernardino Furlan",_xlfn.XLOOKUP(AL525,Cadastros!$G$6:$G$90,Cadastros!$H$6:$H$90)*(1-0.18),IF($F525="Mauro José Salanti",_xlfn.XLOOKUP(AL525,Cadastros!$G$6:$G$90,Cadastros!$H$6:$H$90)*(1-0.18),_xlfn.XLOOKUP(AL525,Cadastros!$G$6:$G$90,Cadastros!$H$6:$H$90))))</f>
        <v/>
      </c>
      <c r="AO525" s="168" t="str">
        <f t="shared" si="113"/>
        <v/>
      </c>
      <c r="AP525" s="168" t="str">
        <f t="shared" si="114"/>
        <v/>
      </c>
      <c r="AQ525" s="28"/>
      <c r="AR525" s="28"/>
      <c r="AS525" s="20" t="str">
        <f>IF(AQ525="","",IF($F525="Bernardino Furlan",_xlfn.XLOOKUP(AQ525,Cadastros!$G$6:$G$90,Cadastros!$H$6:$H$90)*(1-0.18),IF($F525="Mauro José Salanti",_xlfn.XLOOKUP(AQ525,Cadastros!$G$6:$G$90,Cadastros!$H$6:$H$90)*(1-0.18),_xlfn.XLOOKUP(AQ525,Cadastros!$G$6:$G$90,Cadastros!$H$6:$H$90))))</f>
        <v/>
      </c>
      <c r="AT525" s="168" t="str">
        <f t="shared" si="115"/>
        <v/>
      </c>
      <c r="AU525" s="168" t="str">
        <f t="shared" si="116"/>
        <v/>
      </c>
      <c r="AV525" s="227"/>
      <c r="AW525" s="30"/>
      <c r="AX525" s="267"/>
      <c r="AY525" s="267"/>
      <c r="AZ525" s="29"/>
      <c r="BA525" s="30"/>
      <c r="BB525" s="23" t="str" cm="1">
        <f t="array" ref="BB525">_xlfn.IFS(AW525="SIM",SUM(K525,P525,U525,Z525,AE525,AJ525,AO525,AT525,AX525,AY525),F525&lt;&gt;"",SUM(K525,P525,U525,Z525,AE525,AJ525,,AO525,AT525),F525="","")</f>
        <v/>
      </c>
      <c r="BC525" s="211" t="str" cm="1">
        <f t="array" ref="BC525">_xlfn.IFS(E525="","",G525&lt;=E525,BB525*(1-0.03),G525&lt;(E525+8),BB525,AZ525="Boleto",BB525*(1+0.001)^DATEDIF(E525,G525,"D"),AZ525="Cheque",BB525,AZ525="Dinheiro","Alterar forma pgto")</f>
        <v/>
      </c>
      <c r="BD525" s="276" t="str" cm="1">
        <f t="array" ref="BD525">IF(F525=0," ",IF(BC525&lt;BB525,(_xlfn.IFS(AW525="SIM",SUM(L525,Q525,V525,AA525,AF525,AK525,AP525,AU525)+AX525/_xlfn.XLOOKUP(_xlfn.XLOOKUP($F525,Clientes!$B$4:$B$39,Clientes!$C$4:$C$39),Cadastros!$L$6:$L$12,Cadastros!$M$6:$M$12)+IF($F525="Bernardino Furlan",AY525/2751.92,IF($F525="Mauro José Salanti",AY525/2751.92,AY525/3356)),F525&lt;&gt;0,SUM(L525,Q525,V525,AA525,AF525,AK525,AP525,AU525)))*(1-0.03),_xlfn.IFS(AW525="SIM",SUM(L525,Q525,V525,AA525,AF525,AK525,AP525,AU525)+AX525/_xlfn.XLOOKUP(_xlfn.XLOOKUP($F525,Clientes!$B$4:$B$39,Clientes!$C$4:$C$39),Cadastros!$L$6:$L$12,Cadastros!$M$6:$M$12)+IF($F525="Bernardino Furlan",AY525/2751.92,IF($F525="Mauro José Salanti",AY525/2751.92,AY525/3356)),F525&lt;&gt;0,SUM(L525,Q525,V525,AA525,AF525,AK525,AP525,AU525))))</f>
        <v xml:space="preserve"> </v>
      </c>
      <c r="BE525" s="120"/>
      <c r="BF525" s="120"/>
      <c r="BG525" s="120"/>
    </row>
    <row r="526" spans="1:59" s="3" customFormat="1" x14ac:dyDescent="0.3">
      <c r="A526" s="15" t="str">
        <f t="shared" si="104"/>
        <v/>
      </c>
      <c r="B526" s="25"/>
      <c r="C526" s="26"/>
      <c r="D526" s="279"/>
      <c r="E526" s="27"/>
      <c r="F526" s="28"/>
      <c r="G526" s="27"/>
      <c r="H526" s="28"/>
      <c r="I526" s="28"/>
      <c r="J526" s="255" t="str">
        <f>IF(H526="","",(_xlfn.XLOOKUP(H526,Cadastros!$D$6:$D$90,Cadastros!$E$6:$E$90))*(1-_xlfn.XLOOKUP(_xlfn.XLOOKUP($F526,Clientes!$B$4:$B$39,Clientes!$C$4:$C$39),Cadastros!$L$6:$L$12,Cadastros!$N$6:$N$12)))</f>
        <v/>
      </c>
      <c r="K526" s="168" t="str">
        <f t="shared" si="105"/>
        <v/>
      </c>
      <c r="L526" s="168" t="str">
        <f>IFERROR(K526/_xlfn.XLOOKUP(_xlfn.XLOOKUP($F526,Clientes!$B$4:$B$39,Clientes!$C$4:$C$39),Cadastros!$L$6:$L$12,Cadastros!$M$6:$M$12)," ")</f>
        <v xml:space="preserve"> </v>
      </c>
      <c r="M526" s="28"/>
      <c r="N526" s="28"/>
      <c r="O526" s="255" t="str">
        <f>IF(M526="","",(_xlfn.XLOOKUP(M526,Cadastros!$D$6:$D$90,Cadastros!$E$6:$E$90))*(1-_xlfn.XLOOKUP(_xlfn.XLOOKUP($F526,Clientes!$B$4:$B$39,Clientes!$C$4:$C$39),Cadastros!$L$6:$L$12,Cadastros!$N$6:$N$12)))</f>
        <v/>
      </c>
      <c r="P526" s="168" t="str">
        <f t="shared" si="106"/>
        <v/>
      </c>
      <c r="Q526" s="168" t="str">
        <f>IFERROR(P526/_xlfn.XLOOKUP(_xlfn.XLOOKUP($F526,Clientes!$B$4:$B$39,Clientes!$C$4:$C$39),Cadastros!$L$6:$L$12,Cadastros!$M$6:$M$12)," ")</f>
        <v xml:space="preserve"> </v>
      </c>
      <c r="R526" s="28"/>
      <c r="S526" s="28"/>
      <c r="T526" s="255" t="str">
        <f>IF(R526="","",(_xlfn.XLOOKUP(R526,Cadastros!$D$6:$D$90,Cadastros!$E$6:$E$90))*(1-_xlfn.XLOOKUP(_xlfn.XLOOKUP($F526,Clientes!$B$4:$B$39,Clientes!$C$4:$C$39),Cadastros!$L$6:$L$12,Cadastros!$N$6:$N$12)))</f>
        <v/>
      </c>
      <c r="U526" s="168" t="str">
        <f t="shared" si="107"/>
        <v/>
      </c>
      <c r="V526" s="168" t="str">
        <f>IFERROR(U526/_xlfn.XLOOKUP(_xlfn.XLOOKUP($F526,Clientes!$B$4:$B$39,Clientes!$C$4:$C$39),Cadastros!$L$6:$L$12,Cadastros!$M$6:$M$12)," ")</f>
        <v xml:space="preserve"> </v>
      </c>
      <c r="W526" s="28"/>
      <c r="X526" s="28"/>
      <c r="Y526" s="255" t="str">
        <f>IF(W526="","",(_xlfn.XLOOKUP(W526,Cadastros!$D$6:$D$90,Cadastros!$E$6:$E$90))*(1-_xlfn.XLOOKUP(_xlfn.XLOOKUP($F526,Clientes!$B$4:$B$39,Clientes!$C$4:$C$39),Cadastros!$L$6:$L$12,Cadastros!$N$6:$N$12)))</f>
        <v/>
      </c>
      <c r="Z526" s="168" t="str">
        <f t="shared" si="108"/>
        <v/>
      </c>
      <c r="AA526" s="168" t="str">
        <f>IFERROR(Z526/_xlfn.XLOOKUP(_xlfn.XLOOKUP($F526,Clientes!$B$4:$B$39,Clientes!$C$4:$C$39),Cadastros!$L$6:$L$12,Cadastros!$M$6:$M$12)," ")</f>
        <v xml:space="preserve"> </v>
      </c>
      <c r="AB526" s="28"/>
      <c r="AC526" s="28"/>
      <c r="AD526" s="20" t="str">
        <f>IF(AB526="","",IF($F526="Bernardino Furlan",_xlfn.XLOOKUP(AB526,Cadastros!$G$6:$G$90,Cadastros!$H$6:$H$90)*(1-0.18),IF($F526="Mauro José Salanti",_xlfn.XLOOKUP(AB526,Cadastros!$G$6:$G$90,Cadastros!$H$6:$H$90)*(1-0.18),_xlfn.XLOOKUP(AB526,Cadastros!$G$6:$G$90,Cadastros!$H$6:$H$90))))</f>
        <v/>
      </c>
      <c r="AE526" s="168" t="str">
        <f t="shared" si="109"/>
        <v/>
      </c>
      <c r="AF526" s="168" t="str">
        <f t="shared" si="110"/>
        <v/>
      </c>
      <c r="AG526" s="28"/>
      <c r="AH526" s="28"/>
      <c r="AI526" s="20" t="str">
        <f>IF(AG526="","",IF($F526="Bernardino Furlan",_xlfn.XLOOKUP(AG526,Cadastros!$G$6:$G$90,Cadastros!$H$6:$H$90)*(1-0.18),IF($F526="Mauro José Salanti",_xlfn.XLOOKUP(AG526,Cadastros!$G$6:$G$90,Cadastros!$H$6:$H$90)*(1-0.18),_xlfn.XLOOKUP(AG526,Cadastros!$G$6:$G$90,Cadastros!$H$6:$H$90))))</f>
        <v/>
      </c>
      <c r="AJ526" s="168" t="str">
        <f t="shared" si="111"/>
        <v/>
      </c>
      <c r="AK526" s="168" t="str">
        <f t="shared" si="112"/>
        <v/>
      </c>
      <c r="AL526" s="28"/>
      <c r="AM526" s="28"/>
      <c r="AN526" s="20" t="str">
        <f>IF(AL526="","",IF($F526="Bernardino Furlan",_xlfn.XLOOKUP(AL526,Cadastros!$G$6:$G$90,Cadastros!$H$6:$H$90)*(1-0.18),IF($F526="Mauro José Salanti",_xlfn.XLOOKUP(AL526,Cadastros!$G$6:$G$90,Cadastros!$H$6:$H$90)*(1-0.18),_xlfn.XLOOKUP(AL526,Cadastros!$G$6:$G$90,Cadastros!$H$6:$H$90))))</f>
        <v/>
      </c>
      <c r="AO526" s="168" t="str">
        <f t="shared" si="113"/>
        <v/>
      </c>
      <c r="AP526" s="168" t="str">
        <f t="shared" si="114"/>
        <v/>
      </c>
      <c r="AQ526" s="28"/>
      <c r="AR526" s="28"/>
      <c r="AS526" s="20" t="str">
        <f>IF(AQ526="","",IF($F526="Bernardino Furlan",_xlfn.XLOOKUP(AQ526,Cadastros!$G$6:$G$90,Cadastros!$H$6:$H$90)*(1-0.18),IF($F526="Mauro José Salanti",_xlfn.XLOOKUP(AQ526,Cadastros!$G$6:$G$90,Cadastros!$H$6:$H$90)*(1-0.18),_xlfn.XLOOKUP(AQ526,Cadastros!$G$6:$G$90,Cadastros!$H$6:$H$90))))</f>
        <v/>
      </c>
      <c r="AT526" s="168" t="str">
        <f t="shared" si="115"/>
        <v/>
      </c>
      <c r="AU526" s="168" t="str">
        <f t="shared" si="116"/>
        <v/>
      </c>
      <c r="AV526" s="227"/>
      <c r="AW526" s="30"/>
      <c r="AX526" s="267"/>
      <c r="AY526" s="267"/>
      <c r="AZ526" s="29"/>
      <c r="BA526" s="30"/>
      <c r="BB526" s="23" t="str" cm="1">
        <f t="array" ref="BB526">_xlfn.IFS(AW526="SIM",SUM(K526,P526,U526,Z526,AE526,AJ526,AO526,AT526,AX526,AY526),F526&lt;&gt;"",SUM(K526,P526,U526,Z526,AE526,AJ526,,AO526,AT526),F526="","")</f>
        <v/>
      </c>
      <c r="BC526" s="211" t="str" cm="1">
        <f t="array" ref="BC526">_xlfn.IFS(E526="","",G526&lt;=E526,BB526*(1-0.03),G526&lt;(E526+8),BB526,AZ526="Boleto",BB526*(1+0.001)^DATEDIF(E526,G526,"D"),AZ526="Cheque",BB526,AZ526="Dinheiro","Alterar forma pgto")</f>
        <v/>
      </c>
      <c r="BD526" s="276" t="str" cm="1">
        <f t="array" ref="BD526">IF(F526=0," ",IF(BC526&lt;BB526,(_xlfn.IFS(AW526="SIM",SUM(L526,Q526,V526,AA526,AF526,AK526,AP526,AU526)+AX526/_xlfn.XLOOKUP(_xlfn.XLOOKUP($F526,Clientes!$B$4:$B$39,Clientes!$C$4:$C$39),Cadastros!$L$6:$L$12,Cadastros!$M$6:$M$12)+IF($F526="Bernardino Furlan",AY526/2751.92,IF($F526="Mauro José Salanti",AY526/2751.92,AY526/3356)),F526&lt;&gt;0,SUM(L526,Q526,V526,AA526,AF526,AK526,AP526,AU526)))*(1-0.03),_xlfn.IFS(AW526="SIM",SUM(L526,Q526,V526,AA526,AF526,AK526,AP526,AU526)+AX526/_xlfn.XLOOKUP(_xlfn.XLOOKUP($F526,Clientes!$B$4:$B$39,Clientes!$C$4:$C$39),Cadastros!$L$6:$L$12,Cadastros!$M$6:$M$12)+IF($F526="Bernardino Furlan",AY526/2751.92,IF($F526="Mauro José Salanti",AY526/2751.92,AY526/3356)),F526&lt;&gt;0,SUM(L526,Q526,V526,AA526,AF526,AK526,AP526,AU526))))</f>
        <v xml:space="preserve"> </v>
      </c>
      <c r="BE526" s="120"/>
      <c r="BF526" s="120"/>
      <c r="BG526" s="120"/>
    </row>
    <row r="527" spans="1:59" s="3" customFormat="1" x14ac:dyDescent="0.3">
      <c r="A527" s="15" t="str">
        <f t="shared" si="104"/>
        <v/>
      </c>
      <c r="B527" s="39"/>
      <c r="C527" s="40"/>
      <c r="D527" s="281"/>
      <c r="E527" s="41"/>
      <c r="F527" s="42"/>
      <c r="G527" s="41"/>
      <c r="H527" s="42"/>
      <c r="I527" s="42"/>
      <c r="J527" s="255" t="str">
        <f>IF(H527="","",(_xlfn.XLOOKUP(H527,Cadastros!$D$6:$D$90,Cadastros!$E$6:$E$90))*(1-_xlfn.XLOOKUP(_xlfn.XLOOKUP($F527,Clientes!$B$4:$B$39,Clientes!$C$4:$C$39),Cadastros!$L$6:$L$12,Cadastros!$N$6:$N$12)))</f>
        <v/>
      </c>
      <c r="K527" s="168" t="str">
        <f t="shared" si="105"/>
        <v/>
      </c>
      <c r="L527" s="168" t="str">
        <f>IFERROR(K527/_xlfn.XLOOKUP(_xlfn.XLOOKUP($F527,Clientes!$B$4:$B$39,Clientes!$C$4:$C$39),Cadastros!$L$6:$L$12,Cadastros!$M$6:$M$12)," ")</f>
        <v xml:space="preserve"> </v>
      </c>
      <c r="M527" s="42"/>
      <c r="N527" s="42"/>
      <c r="O527" s="255" t="str">
        <f>IF(M527="","",(_xlfn.XLOOKUP(M527,Cadastros!$D$6:$D$90,Cadastros!$E$6:$E$90))*(1-_xlfn.XLOOKUP(_xlfn.XLOOKUP($F527,Clientes!$B$4:$B$39,Clientes!$C$4:$C$39),Cadastros!$L$6:$L$12,Cadastros!$N$6:$N$12)))</f>
        <v/>
      </c>
      <c r="P527" s="168" t="str">
        <f t="shared" si="106"/>
        <v/>
      </c>
      <c r="Q527" s="168" t="str">
        <f>IFERROR(P527/_xlfn.XLOOKUP(_xlfn.XLOOKUP($F527,Clientes!$B$4:$B$39,Clientes!$C$4:$C$39),Cadastros!$L$6:$L$12,Cadastros!$M$6:$M$12)," ")</f>
        <v xml:space="preserve"> </v>
      </c>
      <c r="R527" s="42"/>
      <c r="S527" s="42"/>
      <c r="T527" s="255" t="str">
        <f>IF(R527="","",(_xlfn.XLOOKUP(R527,Cadastros!$D$6:$D$90,Cadastros!$E$6:$E$90))*(1-_xlfn.XLOOKUP(_xlfn.XLOOKUP($F527,Clientes!$B$4:$B$39,Clientes!$C$4:$C$39),Cadastros!$L$6:$L$12,Cadastros!$N$6:$N$12)))</f>
        <v/>
      </c>
      <c r="U527" s="168" t="str">
        <f t="shared" si="107"/>
        <v/>
      </c>
      <c r="V527" s="168" t="str">
        <f>IFERROR(U527/_xlfn.XLOOKUP(_xlfn.XLOOKUP($F527,Clientes!$B$4:$B$39,Clientes!$C$4:$C$39),Cadastros!$L$6:$L$12,Cadastros!$M$6:$M$12)," ")</f>
        <v xml:space="preserve"> </v>
      </c>
      <c r="W527" s="42"/>
      <c r="X527" s="42"/>
      <c r="Y527" s="255" t="str">
        <f>IF(W527="","",(_xlfn.XLOOKUP(W527,Cadastros!$D$6:$D$90,Cadastros!$E$6:$E$90))*(1-_xlfn.XLOOKUP(_xlfn.XLOOKUP($F527,Clientes!$B$4:$B$39,Clientes!$C$4:$C$39),Cadastros!$L$6:$L$12,Cadastros!$N$6:$N$12)))</f>
        <v/>
      </c>
      <c r="Z527" s="168" t="str">
        <f t="shared" si="108"/>
        <v/>
      </c>
      <c r="AA527" s="168" t="str">
        <f>IFERROR(Z527/_xlfn.XLOOKUP(_xlfn.XLOOKUP($F527,Clientes!$B$4:$B$39,Clientes!$C$4:$C$39),Cadastros!$L$6:$L$12,Cadastros!$M$6:$M$12)," ")</f>
        <v xml:space="preserve"> </v>
      </c>
      <c r="AB527" s="42"/>
      <c r="AC527" s="42"/>
      <c r="AD527" s="20" t="str">
        <f>IF(AB527="","",IF($F527="Bernardino Furlan",_xlfn.XLOOKUP(AB527,Cadastros!$G$6:$G$90,Cadastros!$H$6:$H$90)*(1-0.18),IF($F527="Mauro José Salanti",_xlfn.XLOOKUP(AB527,Cadastros!$G$6:$G$90,Cadastros!$H$6:$H$90)*(1-0.18),_xlfn.XLOOKUP(AB527,Cadastros!$G$6:$G$90,Cadastros!$H$6:$H$90))))</f>
        <v/>
      </c>
      <c r="AE527" s="168" t="str">
        <f t="shared" si="109"/>
        <v/>
      </c>
      <c r="AF527" s="168" t="str">
        <f t="shared" si="110"/>
        <v/>
      </c>
      <c r="AG527" s="42"/>
      <c r="AH527" s="42"/>
      <c r="AI527" s="20" t="str">
        <f>IF(AG527="","",IF($F527="Bernardino Furlan",_xlfn.XLOOKUP(AG527,Cadastros!$G$6:$G$90,Cadastros!$H$6:$H$90)*(1-0.18),IF($F527="Mauro José Salanti",_xlfn.XLOOKUP(AG527,Cadastros!$G$6:$G$90,Cadastros!$H$6:$H$90)*(1-0.18),_xlfn.XLOOKUP(AG527,Cadastros!$G$6:$G$90,Cadastros!$H$6:$H$90))))</f>
        <v/>
      </c>
      <c r="AJ527" s="168" t="str">
        <f t="shared" si="111"/>
        <v/>
      </c>
      <c r="AK527" s="168" t="str">
        <f t="shared" si="112"/>
        <v/>
      </c>
      <c r="AL527" s="42"/>
      <c r="AM527" s="42"/>
      <c r="AN527" s="20" t="str">
        <f>IF(AL527="","",IF($F527="Bernardino Furlan",_xlfn.XLOOKUP(AL527,Cadastros!$G$6:$G$90,Cadastros!$H$6:$H$90)*(1-0.18),IF($F527="Mauro José Salanti",_xlfn.XLOOKUP(AL527,Cadastros!$G$6:$G$90,Cadastros!$H$6:$H$90)*(1-0.18),_xlfn.XLOOKUP(AL527,Cadastros!$G$6:$G$90,Cadastros!$H$6:$H$90))))</f>
        <v/>
      </c>
      <c r="AO527" s="168" t="str">
        <f t="shared" si="113"/>
        <v/>
      </c>
      <c r="AP527" s="168" t="str">
        <f t="shared" si="114"/>
        <v/>
      </c>
      <c r="AQ527" s="42"/>
      <c r="AR527" s="42"/>
      <c r="AS527" s="20" t="str">
        <f>IF(AQ527="","",IF($F527="Bernardino Furlan",_xlfn.XLOOKUP(AQ527,Cadastros!$G$6:$G$90,Cadastros!$H$6:$H$90)*(1-0.18),IF($F527="Mauro José Salanti",_xlfn.XLOOKUP(AQ527,Cadastros!$G$6:$G$90,Cadastros!$H$6:$H$90)*(1-0.18),_xlfn.XLOOKUP(AQ527,Cadastros!$G$6:$G$90,Cadastros!$H$6:$H$90))))</f>
        <v/>
      </c>
      <c r="AT527" s="168" t="str">
        <f t="shared" si="115"/>
        <v/>
      </c>
      <c r="AU527" s="168" t="str">
        <f t="shared" si="116"/>
        <v/>
      </c>
      <c r="AV527" s="229"/>
      <c r="AW527" s="44"/>
      <c r="AX527" s="269"/>
      <c r="AY527" s="269"/>
      <c r="AZ527" s="43"/>
      <c r="BA527" s="44"/>
      <c r="BB527" s="23" t="str" cm="1">
        <f t="array" ref="BB527">_xlfn.IFS(AW527="SIM",SUM(K527,P527,U527,Z527,AE527,AJ527,AO527,AT527,AX527,AY527),F527&lt;&gt;"",SUM(K527,P527,U527,Z527,AE527,AJ527,,AO527,AT527),F527="","")</f>
        <v/>
      </c>
      <c r="BC527" s="211" t="str" cm="1">
        <f t="array" ref="BC527">_xlfn.IFS(E527="","",G527&lt;=E527,BB527*(1-0.03),G527&lt;(E527+8),BB527,AZ527="Boleto",BB527*(1+0.001)^DATEDIF(E527,G527,"D"),AZ527="Cheque",BB527,AZ527="Dinheiro","Alterar forma pgto")</f>
        <v/>
      </c>
      <c r="BD527" s="276" t="str" cm="1">
        <f t="array" ref="BD527">IF(F527=0," ",IF(BC527&lt;BB527,(_xlfn.IFS(AW527="SIM",SUM(L527,Q527,V527,AA527,AF527,AK527,AP527,AU527)+AX527/_xlfn.XLOOKUP(_xlfn.XLOOKUP($F527,Clientes!$B$4:$B$39,Clientes!$C$4:$C$39),Cadastros!$L$6:$L$12,Cadastros!$M$6:$M$12)+IF($F527="Bernardino Furlan",AY527/2751.92,IF($F527="Mauro José Salanti",AY527/2751.92,AY527/3356)),F527&lt;&gt;0,SUM(L527,Q527,V527,AA527,AF527,AK527,AP527,AU527)))*(1-0.03),_xlfn.IFS(AW527="SIM",SUM(L527,Q527,V527,AA527,AF527,AK527,AP527,AU527)+AX527/_xlfn.XLOOKUP(_xlfn.XLOOKUP($F527,Clientes!$B$4:$B$39,Clientes!$C$4:$C$39),Cadastros!$L$6:$L$12,Cadastros!$M$6:$M$12)+IF($F527="Bernardino Furlan",AY527/2751.92,IF($F527="Mauro José Salanti",AY527/2751.92,AY527/3356)),F527&lt;&gt;0,SUM(L527,Q527,V527,AA527,AF527,AK527,AP527,AU527))))</f>
        <v xml:space="preserve"> </v>
      </c>
      <c r="BE527" s="120"/>
      <c r="BF527" s="120"/>
      <c r="BG527" s="120"/>
    </row>
    <row r="528" spans="1:59" s="3" customFormat="1" x14ac:dyDescent="0.3">
      <c r="A528" s="15" t="str">
        <f t="shared" si="104"/>
        <v/>
      </c>
      <c r="B528" s="25"/>
      <c r="C528" s="26"/>
      <c r="D528" s="279"/>
      <c r="E528" s="27"/>
      <c r="F528" s="28"/>
      <c r="G528" s="27"/>
      <c r="H528" s="28"/>
      <c r="I528" s="28"/>
      <c r="J528" s="255" t="str">
        <f>IF(H528="","",(_xlfn.XLOOKUP(H528,Cadastros!$D$6:$D$90,Cadastros!$E$6:$E$90))*(1-_xlfn.XLOOKUP(_xlfn.XLOOKUP($F528,Clientes!$B$4:$B$39,Clientes!$C$4:$C$39),Cadastros!$L$6:$L$12,Cadastros!$N$6:$N$12)))</f>
        <v/>
      </c>
      <c r="K528" s="168" t="str">
        <f t="shared" si="105"/>
        <v/>
      </c>
      <c r="L528" s="168" t="str">
        <f>IFERROR(K528/_xlfn.XLOOKUP(_xlfn.XLOOKUP($F528,Clientes!$B$4:$B$39,Clientes!$C$4:$C$39),Cadastros!$L$6:$L$12,Cadastros!$M$6:$M$12)," ")</f>
        <v xml:space="preserve"> </v>
      </c>
      <c r="M528" s="28"/>
      <c r="N528" s="28"/>
      <c r="O528" s="255" t="str">
        <f>IF(M528="","",(_xlfn.XLOOKUP(M528,Cadastros!$D$6:$D$90,Cadastros!$E$6:$E$90))*(1-_xlfn.XLOOKUP(_xlfn.XLOOKUP($F528,Clientes!$B$4:$B$39,Clientes!$C$4:$C$39),Cadastros!$L$6:$L$12,Cadastros!$N$6:$N$12)))</f>
        <v/>
      </c>
      <c r="P528" s="168" t="str">
        <f t="shared" si="106"/>
        <v/>
      </c>
      <c r="Q528" s="168" t="str">
        <f>IFERROR(P528/_xlfn.XLOOKUP(_xlfn.XLOOKUP($F528,Clientes!$B$4:$B$39,Clientes!$C$4:$C$39),Cadastros!$L$6:$L$12,Cadastros!$M$6:$M$12)," ")</f>
        <v xml:space="preserve"> </v>
      </c>
      <c r="R528" s="28"/>
      <c r="S528" s="28"/>
      <c r="T528" s="255" t="str">
        <f>IF(R528="","",(_xlfn.XLOOKUP(R528,Cadastros!$D$6:$D$90,Cadastros!$E$6:$E$90))*(1-_xlfn.XLOOKUP(_xlfn.XLOOKUP($F528,Clientes!$B$4:$B$39,Clientes!$C$4:$C$39),Cadastros!$L$6:$L$12,Cadastros!$N$6:$N$12)))</f>
        <v/>
      </c>
      <c r="U528" s="168" t="str">
        <f t="shared" si="107"/>
        <v/>
      </c>
      <c r="V528" s="168" t="str">
        <f>IFERROR(U528/_xlfn.XLOOKUP(_xlfn.XLOOKUP($F528,Clientes!$B$4:$B$39,Clientes!$C$4:$C$39),Cadastros!$L$6:$L$12,Cadastros!$M$6:$M$12)," ")</f>
        <v xml:space="preserve"> </v>
      </c>
      <c r="W528" s="28"/>
      <c r="X528" s="28"/>
      <c r="Y528" s="255" t="str">
        <f>IF(W528="","",(_xlfn.XLOOKUP(W528,Cadastros!$D$6:$D$90,Cadastros!$E$6:$E$90))*(1-_xlfn.XLOOKUP(_xlfn.XLOOKUP($F528,Clientes!$B$4:$B$39,Clientes!$C$4:$C$39),Cadastros!$L$6:$L$12,Cadastros!$N$6:$N$12)))</f>
        <v/>
      </c>
      <c r="Z528" s="168" t="str">
        <f t="shared" si="108"/>
        <v/>
      </c>
      <c r="AA528" s="168" t="str">
        <f>IFERROR(Z528/_xlfn.XLOOKUP(_xlfn.XLOOKUP($F528,Clientes!$B$4:$B$39,Clientes!$C$4:$C$39),Cadastros!$L$6:$L$12,Cadastros!$M$6:$M$12)," ")</f>
        <v xml:space="preserve"> </v>
      </c>
      <c r="AB528" s="28"/>
      <c r="AC528" s="28"/>
      <c r="AD528" s="20" t="str">
        <f>IF(AB528="","",IF($F528="Bernardino Furlan",_xlfn.XLOOKUP(AB528,Cadastros!$G$6:$G$90,Cadastros!$H$6:$H$90)*(1-0.18),IF($F528="Mauro José Salanti",_xlfn.XLOOKUP(AB528,Cadastros!$G$6:$G$90,Cadastros!$H$6:$H$90)*(1-0.18),_xlfn.XLOOKUP(AB528,Cadastros!$G$6:$G$90,Cadastros!$H$6:$H$90))))</f>
        <v/>
      </c>
      <c r="AE528" s="168" t="str">
        <f t="shared" si="109"/>
        <v/>
      </c>
      <c r="AF528" s="168" t="str">
        <f t="shared" si="110"/>
        <v/>
      </c>
      <c r="AG528" s="28"/>
      <c r="AH528" s="28"/>
      <c r="AI528" s="20" t="str">
        <f>IF(AG528="","",IF($F528="Bernardino Furlan",_xlfn.XLOOKUP(AG528,Cadastros!$G$6:$G$90,Cadastros!$H$6:$H$90)*(1-0.18),IF($F528="Mauro José Salanti",_xlfn.XLOOKUP(AG528,Cadastros!$G$6:$G$90,Cadastros!$H$6:$H$90)*(1-0.18),_xlfn.XLOOKUP(AG528,Cadastros!$G$6:$G$90,Cadastros!$H$6:$H$90))))</f>
        <v/>
      </c>
      <c r="AJ528" s="168" t="str">
        <f t="shared" si="111"/>
        <v/>
      </c>
      <c r="AK528" s="168" t="str">
        <f t="shared" si="112"/>
        <v/>
      </c>
      <c r="AL528" s="28"/>
      <c r="AM528" s="28"/>
      <c r="AN528" s="20" t="str">
        <f>IF(AL528="","",IF($F528="Bernardino Furlan",_xlfn.XLOOKUP(AL528,Cadastros!$G$6:$G$90,Cadastros!$H$6:$H$90)*(1-0.18),IF($F528="Mauro José Salanti",_xlfn.XLOOKUP(AL528,Cadastros!$G$6:$G$90,Cadastros!$H$6:$H$90)*(1-0.18),_xlfn.XLOOKUP(AL528,Cadastros!$G$6:$G$90,Cadastros!$H$6:$H$90))))</f>
        <v/>
      </c>
      <c r="AO528" s="168" t="str">
        <f t="shared" si="113"/>
        <v/>
      </c>
      <c r="AP528" s="168" t="str">
        <f t="shared" si="114"/>
        <v/>
      </c>
      <c r="AQ528" s="28"/>
      <c r="AR528" s="28"/>
      <c r="AS528" s="20" t="str">
        <f>IF(AQ528="","",IF($F528="Bernardino Furlan",_xlfn.XLOOKUP(AQ528,Cadastros!$G$6:$G$90,Cadastros!$H$6:$H$90)*(1-0.18),IF($F528="Mauro José Salanti",_xlfn.XLOOKUP(AQ528,Cadastros!$G$6:$G$90,Cadastros!$H$6:$H$90)*(1-0.18),_xlfn.XLOOKUP(AQ528,Cadastros!$G$6:$G$90,Cadastros!$H$6:$H$90))))</f>
        <v/>
      </c>
      <c r="AT528" s="168" t="str">
        <f t="shared" si="115"/>
        <v/>
      </c>
      <c r="AU528" s="168" t="str">
        <f t="shared" si="116"/>
        <v/>
      </c>
      <c r="AV528" s="227"/>
      <c r="AW528" s="30"/>
      <c r="AX528" s="267"/>
      <c r="AY528" s="267"/>
      <c r="AZ528" s="29"/>
      <c r="BA528" s="30"/>
      <c r="BB528" s="23" t="str" cm="1">
        <f t="array" ref="BB528">_xlfn.IFS(AW528="SIM",SUM(K528,P528,U528,Z528,AE528,AJ528,AO528,AT528,AX528,AY528),F528&lt;&gt;"",SUM(K528,P528,U528,Z528,AE528,AJ528,,AO528,AT528),F528="","")</f>
        <v/>
      </c>
      <c r="BC528" s="211" t="str" cm="1">
        <f t="array" ref="BC528">_xlfn.IFS(E528="","",G528&lt;=E528,BB528*(1-0.03),G528&lt;(E528+8),BB528,AZ528="Boleto",BB528*(1+0.001)^DATEDIF(E528,G528,"D"),AZ528="Cheque",BB528,AZ528="Dinheiro","Alterar forma pgto")</f>
        <v/>
      </c>
      <c r="BD528" s="276" t="str" cm="1">
        <f t="array" ref="BD528">IF(F528=0," ",IF(BC528&lt;BB528,(_xlfn.IFS(AW528="SIM",SUM(L528,Q528,V528,AA528,AF528,AK528,AP528,AU528)+AX528/_xlfn.XLOOKUP(_xlfn.XLOOKUP($F528,Clientes!$B$4:$B$39,Clientes!$C$4:$C$39),Cadastros!$L$6:$L$12,Cadastros!$M$6:$M$12)+IF($F528="Bernardino Furlan",AY528/2751.92,IF($F528="Mauro José Salanti",AY528/2751.92,AY528/3356)),F528&lt;&gt;0,SUM(L528,Q528,V528,AA528,AF528,AK528,AP528,AU528)))*(1-0.03),_xlfn.IFS(AW528="SIM",SUM(L528,Q528,V528,AA528,AF528,AK528,AP528,AU528)+AX528/_xlfn.XLOOKUP(_xlfn.XLOOKUP($F528,Clientes!$B$4:$B$39,Clientes!$C$4:$C$39),Cadastros!$L$6:$L$12,Cadastros!$M$6:$M$12)+IF($F528="Bernardino Furlan",AY528/2751.92,IF($F528="Mauro José Salanti",AY528/2751.92,AY528/3356)),F528&lt;&gt;0,SUM(L528,Q528,V528,AA528,AF528,AK528,AP528,AU528))))</f>
        <v xml:space="preserve"> </v>
      </c>
      <c r="BE528" s="120"/>
      <c r="BF528" s="120"/>
      <c r="BG528" s="120"/>
    </row>
    <row r="529" spans="1:59" s="3" customFormat="1" x14ac:dyDescent="0.3">
      <c r="A529" s="15" t="str">
        <f t="shared" si="104"/>
        <v/>
      </c>
      <c r="B529" s="25"/>
      <c r="C529" s="26"/>
      <c r="D529" s="279"/>
      <c r="E529" s="27"/>
      <c r="F529" s="28"/>
      <c r="G529" s="27"/>
      <c r="H529" s="28"/>
      <c r="I529" s="28"/>
      <c r="J529" s="255" t="str">
        <f>IF(H529="","",(_xlfn.XLOOKUP(H529,Cadastros!$D$6:$D$90,Cadastros!$E$6:$E$90))*(1-_xlfn.XLOOKUP(_xlfn.XLOOKUP($F529,Clientes!$B$4:$B$39,Clientes!$C$4:$C$39),Cadastros!$L$6:$L$12,Cadastros!$N$6:$N$12)))</f>
        <v/>
      </c>
      <c r="K529" s="168" t="str">
        <f t="shared" si="105"/>
        <v/>
      </c>
      <c r="L529" s="168" t="str">
        <f>IFERROR(K529/_xlfn.XLOOKUP(_xlfn.XLOOKUP($F529,Clientes!$B$4:$B$39,Clientes!$C$4:$C$39),Cadastros!$L$6:$L$12,Cadastros!$M$6:$M$12)," ")</f>
        <v xml:space="preserve"> </v>
      </c>
      <c r="M529" s="28"/>
      <c r="N529" s="28"/>
      <c r="O529" s="255" t="str">
        <f>IF(M529="","",(_xlfn.XLOOKUP(M529,Cadastros!$D$6:$D$90,Cadastros!$E$6:$E$90))*(1-_xlfn.XLOOKUP(_xlfn.XLOOKUP($F529,Clientes!$B$4:$B$39,Clientes!$C$4:$C$39),Cadastros!$L$6:$L$12,Cadastros!$N$6:$N$12)))</f>
        <v/>
      </c>
      <c r="P529" s="168" t="str">
        <f t="shared" si="106"/>
        <v/>
      </c>
      <c r="Q529" s="168" t="str">
        <f>IFERROR(P529/_xlfn.XLOOKUP(_xlfn.XLOOKUP($F529,Clientes!$B$4:$B$39,Clientes!$C$4:$C$39),Cadastros!$L$6:$L$12,Cadastros!$M$6:$M$12)," ")</f>
        <v xml:space="preserve"> </v>
      </c>
      <c r="R529" s="28"/>
      <c r="S529" s="28"/>
      <c r="T529" s="255" t="str">
        <f>IF(R529="","",(_xlfn.XLOOKUP(R529,Cadastros!$D$6:$D$90,Cadastros!$E$6:$E$90))*(1-_xlfn.XLOOKUP(_xlfn.XLOOKUP($F529,Clientes!$B$4:$B$39,Clientes!$C$4:$C$39),Cadastros!$L$6:$L$12,Cadastros!$N$6:$N$12)))</f>
        <v/>
      </c>
      <c r="U529" s="168" t="str">
        <f t="shared" si="107"/>
        <v/>
      </c>
      <c r="V529" s="168" t="str">
        <f>IFERROR(U529/_xlfn.XLOOKUP(_xlfn.XLOOKUP($F529,Clientes!$B$4:$B$39,Clientes!$C$4:$C$39),Cadastros!$L$6:$L$12,Cadastros!$M$6:$M$12)," ")</f>
        <v xml:space="preserve"> </v>
      </c>
      <c r="W529" s="28"/>
      <c r="X529" s="28"/>
      <c r="Y529" s="255" t="str">
        <f>IF(W529="","",(_xlfn.XLOOKUP(W529,Cadastros!$D$6:$D$90,Cadastros!$E$6:$E$90))*(1-_xlfn.XLOOKUP(_xlfn.XLOOKUP($F529,Clientes!$B$4:$B$39,Clientes!$C$4:$C$39),Cadastros!$L$6:$L$12,Cadastros!$N$6:$N$12)))</f>
        <v/>
      </c>
      <c r="Z529" s="168" t="str">
        <f t="shared" si="108"/>
        <v/>
      </c>
      <c r="AA529" s="168" t="str">
        <f>IFERROR(Z529/_xlfn.XLOOKUP(_xlfn.XLOOKUP($F529,Clientes!$B$4:$B$39,Clientes!$C$4:$C$39),Cadastros!$L$6:$L$12,Cadastros!$M$6:$M$12)," ")</f>
        <v xml:space="preserve"> </v>
      </c>
      <c r="AB529" s="28"/>
      <c r="AC529" s="28"/>
      <c r="AD529" s="20" t="str">
        <f>IF(AB529="","",IF($F529="Bernardino Furlan",_xlfn.XLOOKUP(AB529,Cadastros!$G$6:$G$90,Cadastros!$H$6:$H$90)*(1-0.18),IF($F529="Mauro José Salanti",_xlfn.XLOOKUP(AB529,Cadastros!$G$6:$G$90,Cadastros!$H$6:$H$90)*(1-0.18),_xlfn.XLOOKUP(AB529,Cadastros!$G$6:$G$90,Cadastros!$H$6:$H$90))))</f>
        <v/>
      </c>
      <c r="AE529" s="168" t="str">
        <f t="shared" si="109"/>
        <v/>
      </c>
      <c r="AF529" s="168" t="str">
        <f t="shared" si="110"/>
        <v/>
      </c>
      <c r="AG529" s="28"/>
      <c r="AH529" s="28"/>
      <c r="AI529" s="20" t="str">
        <f>IF(AG529="","",IF($F529="Bernardino Furlan",_xlfn.XLOOKUP(AG529,Cadastros!$G$6:$G$90,Cadastros!$H$6:$H$90)*(1-0.18),IF($F529="Mauro José Salanti",_xlfn.XLOOKUP(AG529,Cadastros!$G$6:$G$90,Cadastros!$H$6:$H$90)*(1-0.18),_xlfn.XLOOKUP(AG529,Cadastros!$G$6:$G$90,Cadastros!$H$6:$H$90))))</f>
        <v/>
      </c>
      <c r="AJ529" s="168" t="str">
        <f t="shared" si="111"/>
        <v/>
      </c>
      <c r="AK529" s="168" t="str">
        <f t="shared" si="112"/>
        <v/>
      </c>
      <c r="AL529" s="28"/>
      <c r="AM529" s="28"/>
      <c r="AN529" s="20" t="str">
        <f>IF(AL529="","",IF($F529="Bernardino Furlan",_xlfn.XLOOKUP(AL529,Cadastros!$G$6:$G$90,Cadastros!$H$6:$H$90)*(1-0.18),IF($F529="Mauro José Salanti",_xlfn.XLOOKUP(AL529,Cadastros!$G$6:$G$90,Cadastros!$H$6:$H$90)*(1-0.18),_xlfn.XLOOKUP(AL529,Cadastros!$G$6:$G$90,Cadastros!$H$6:$H$90))))</f>
        <v/>
      </c>
      <c r="AO529" s="168" t="str">
        <f t="shared" si="113"/>
        <v/>
      </c>
      <c r="AP529" s="168" t="str">
        <f t="shared" si="114"/>
        <v/>
      </c>
      <c r="AQ529" s="28"/>
      <c r="AR529" s="28"/>
      <c r="AS529" s="20" t="str">
        <f>IF(AQ529="","",IF($F529="Bernardino Furlan",_xlfn.XLOOKUP(AQ529,Cadastros!$G$6:$G$90,Cadastros!$H$6:$H$90)*(1-0.18),IF($F529="Mauro José Salanti",_xlfn.XLOOKUP(AQ529,Cadastros!$G$6:$G$90,Cadastros!$H$6:$H$90)*(1-0.18),_xlfn.XLOOKUP(AQ529,Cadastros!$G$6:$G$90,Cadastros!$H$6:$H$90))))</f>
        <v/>
      </c>
      <c r="AT529" s="168" t="str">
        <f t="shared" si="115"/>
        <v/>
      </c>
      <c r="AU529" s="168" t="str">
        <f t="shared" si="116"/>
        <v/>
      </c>
      <c r="AV529" s="227"/>
      <c r="AW529" s="30"/>
      <c r="AX529" s="267"/>
      <c r="AY529" s="267"/>
      <c r="AZ529" s="29"/>
      <c r="BA529" s="30"/>
      <c r="BB529" s="23" t="str" cm="1">
        <f t="array" ref="BB529">_xlfn.IFS(AW529="SIM",SUM(K529,P529,U529,Z529,AE529,AJ529,AO529,AT529,AX529,AY529),F529&lt;&gt;"",SUM(K529,P529,U529,Z529,AE529,AJ529,,AO529,AT529),F529="","")</f>
        <v/>
      </c>
      <c r="BC529" s="211" t="str" cm="1">
        <f t="array" ref="BC529">_xlfn.IFS(E529="","",G529&lt;=E529,BB529*(1-0.03),G529&lt;(E529+8),BB529,AZ529="Boleto",BB529*(1+0.001)^DATEDIF(E529,G529,"D"),AZ529="Cheque",BB529,AZ529="Dinheiro","Alterar forma pgto")</f>
        <v/>
      </c>
      <c r="BD529" s="276" t="str" cm="1">
        <f t="array" ref="BD529">IF(F529=0," ",IF(BC529&lt;BB529,(_xlfn.IFS(AW529="SIM",SUM(L529,Q529,V529,AA529,AF529,AK529,AP529,AU529)+AX529/_xlfn.XLOOKUP(_xlfn.XLOOKUP($F529,Clientes!$B$4:$B$39,Clientes!$C$4:$C$39),Cadastros!$L$6:$L$12,Cadastros!$M$6:$M$12)+IF($F529="Bernardino Furlan",AY529/2751.92,IF($F529="Mauro José Salanti",AY529/2751.92,AY529/3356)),F529&lt;&gt;0,SUM(L529,Q529,V529,AA529,AF529,AK529,AP529,AU529)))*(1-0.03),_xlfn.IFS(AW529="SIM",SUM(L529,Q529,V529,AA529,AF529,AK529,AP529,AU529)+AX529/_xlfn.XLOOKUP(_xlfn.XLOOKUP($F529,Clientes!$B$4:$B$39,Clientes!$C$4:$C$39),Cadastros!$L$6:$L$12,Cadastros!$M$6:$M$12)+IF($F529="Bernardino Furlan",AY529/2751.92,IF($F529="Mauro José Salanti",AY529/2751.92,AY529/3356)),F529&lt;&gt;0,SUM(L529,Q529,V529,AA529,AF529,AK529,AP529,AU529))))</f>
        <v xml:space="preserve"> </v>
      </c>
      <c r="BE529" s="120"/>
      <c r="BF529" s="120"/>
      <c r="BG529" s="120"/>
    </row>
    <row r="530" spans="1:59" s="3" customFormat="1" x14ac:dyDescent="0.3">
      <c r="A530" s="15" t="str">
        <f t="shared" si="104"/>
        <v/>
      </c>
      <c r="B530" s="25"/>
      <c r="C530" s="26"/>
      <c r="D530" s="279"/>
      <c r="E530" s="27"/>
      <c r="F530" s="28"/>
      <c r="G530" s="27"/>
      <c r="H530" s="28"/>
      <c r="I530" s="28"/>
      <c r="J530" s="255" t="str">
        <f>IF(H530="","",(_xlfn.XLOOKUP(H530,Cadastros!$D$6:$D$90,Cadastros!$E$6:$E$90))*(1-_xlfn.XLOOKUP(_xlfn.XLOOKUP($F530,Clientes!$B$4:$B$39,Clientes!$C$4:$C$39),Cadastros!$L$6:$L$12,Cadastros!$N$6:$N$12)))</f>
        <v/>
      </c>
      <c r="K530" s="168" t="str">
        <f t="shared" si="105"/>
        <v/>
      </c>
      <c r="L530" s="168" t="str">
        <f>IFERROR(K530/_xlfn.XLOOKUP(_xlfn.XLOOKUP($F530,Clientes!$B$4:$B$39,Clientes!$C$4:$C$39),Cadastros!$L$6:$L$12,Cadastros!$M$6:$M$12)," ")</f>
        <v xml:space="preserve"> </v>
      </c>
      <c r="M530" s="28"/>
      <c r="N530" s="28"/>
      <c r="O530" s="255" t="str">
        <f>IF(M530="","",(_xlfn.XLOOKUP(M530,Cadastros!$D$6:$D$90,Cadastros!$E$6:$E$90))*(1-_xlfn.XLOOKUP(_xlfn.XLOOKUP($F530,Clientes!$B$4:$B$39,Clientes!$C$4:$C$39),Cadastros!$L$6:$L$12,Cadastros!$N$6:$N$12)))</f>
        <v/>
      </c>
      <c r="P530" s="168" t="str">
        <f t="shared" si="106"/>
        <v/>
      </c>
      <c r="Q530" s="168" t="str">
        <f>IFERROR(P530/_xlfn.XLOOKUP(_xlfn.XLOOKUP($F530,Clientes!$B$4:$B$39,Clientes!$C$4:$C$39),Cadastros!$L$6:$L$12,Cadastros!$M$6:$M$12)," ")</f>
        <v xml:space="preserve"> </v>
      </c>
      <c r="R530" s="28"/>
      <c r="S530" s="28"/>
      <c r="T530" s="255" t="str">
        <f>IF(R530="","",(_xlfn.XLOOKUP(R530,Cadastros!$D$6:$D$90,Cadastros!$E$6:$E$90))*(1-_xlfn.XLOOKUP(_xlfn.XLOOKUP($F530,Clientes!$B$4:$B$39,Clientes!$C$4:$C$39),Cadastros!$L$6:$L$12,Cadastros!$N$6:$N$12)))</f>
        <v/>
      </c>
      <c r="U530" s="168" t="str">
        <f t="shared" si="107"/>
        <v/>
      </c>
      <c r="V530" s="168" t="str">
        <f>IFERROR(U530/_xlfn.XLOOKUP(_xlfn.XLOOKUP($F530,Clientes!$B$4:$B$39,Clientes!$C$4:$C$39),Cadastros!$L$6:$L$12,Cadastros!$M$6:$M$12)," ")</f>
        <v xml:space="preserve"> </v>
      </c>
      <c r="W530" s="28"/>
      <c r="X530" s="28"/>
      <c r="Y530" s="255" t="str">
        <f>IF(W530="","",(_xlfn.XLOOKUP(W530,Cadastros!$D$6:$D$90,Cadastros!$E$6:$E$90))*(1-_xlfn.XLOOKUP(_xlfn.XLOOKUP($F530,Clientes!$B$4:$B$39,Clientes!$C$4:$C$39),Cadastros!$L$6:$L$12,Cadastros!$N$6:$N$12)))</f>
        <v/>
      </c>
      <c r="Z530" s="168" t="str">
        <f t="shared" si="108"/>
        <v/>
      </c>
      <c r="AA530" s="168" t="str">
        <f>IFERROR(Z530/_xlfn.XLOOKUP(_xlfn.XLOOKUP($F530,Clientes!$B$4:$B$39,Clientes!$C$4:$C$39),Cadastros!$L$6:$L$12,Cadastros!$M$6:$M$12)," ")</f>
        <v xml:space="preserve"> </v>
      </c>
      <c r="AB530" s="28"/>
      <c r="AC530" s="28"/>
      <c r="AD530" s="20" t="str">
        <f>IF(AB530="","",IF($F530="Bernardino Furlan",_xlfn.XLOOKUP(AB530,Cadastros!$G$6:$G$90,Cadastros!$H$6:$H$90)*(1-0.18),IF($F530="Mauro José Salanti",_xlfn.XLOOKUP(AB530,Cadastros!$G$6:$G$90,Cadastros!$H$6:$H$90)*(1-0.18),_xlfn.XLOOKUP(AB530,Cadastros!$G$6:$G$90,Cadastros!$H$6:$H$90))))</f>
        <v/>
      </c>
      <c r="AE530" s="168" t="str">
        <f t="shared" si="109"/>
        <v/>
      </c>
      <c r="AF530" s="168" t="str">
        <f t="shared" si="110"/>
        <v/>
      </c>
      <c r="AG530" s="28"/>
      <c r="AH530" s="28"/>
      <c r="AI530" s="20" t="str">
        <f>IF(AG530="","",IF($F530="Bernardino Furlan",_xlfn.XLOOKUP(AG530,Cadastros!$G$6:$G$90,Cadastros!$H$6:$H$90)*(1-0.18),IF($F530="Mauro José Salanti",_xlfn.XLOOKUP(AG530,Cadastros!$G$6:$G$90,Cadastros!$H$6:$H$90)*(1-0.18),_xlfn.XLOOKUP(AG530,Cadastros!$G$6:$G$90,Cadastros!$H$6:$H$90))))</f>
        <v/>
      </c>
      <c r="AJ530" s="168" t="str">
        <f t="shared" si="111"/>
        <v/>
      </c>
      <c r="AK530" s="168" t="str">
        <f t="shared" si="112"/>
        <v/>
      </c>
      <c r="AL530" s="28"/>
      <c r="AM530" s="28"/>
      <c r="AN530" s="20" t="str">
        <f>IF(AL530="","",IF($F530="Bernardino Furlan",_xlfn.XLOOKUP(AL530,Cadastros!$G$6:$G$90,Cadastros!$H$6:$H$90)*(1-0.18),IF($F530="Mauro José Salanti",_xlfn.XLOOKUP(AL530,Cadastros!$G$6:$G$90,Cadastros!$H$6:$H$90)*(1-0.18),_xlfn.XLOOKUP(AL530,Cadastros!$G$6:$G$90,Cadastros!$H$6:$H$90))))</f>
        <v/>
      </c>
      <c r="AO530" s="168" t="str">
        <f t="shared" si="113"/>
        <v/>
      </c>
      <c r="AP530" s="168" t="str">
        <f t="shared" si="114"/>
        <v/>
      </c>
      <c r="AQ530" s="28"/>
      <c r="AR530" s="28"/>
      <c r="AS530" s="20" t="str">
        <f>IF(AQ530="","",IF($F530="Bernardino Furlan",_xlfn.XLOOKUP(AQ530,Cadastros!$G$6:$G$90,Cadastros!$H$6:$H$90)*(1-0.18),IF($F530="Mauro José Salanti",_xlfn.XLOOKUP(AQ530,Cadastros!$G$6:$G$90,Cadastros!$H$6:$H$90)*(1-0.18),_xlfn.XLOOKUP(AQ530,Cadastros!$G$6:$G$90,Cadastros!$H$6:$H$90))))</f>
        <v/>
      </c>
      <c r="AT530" s="168" t="str">
        <f t="shared" si="115"/>
        <v/>
      </c>
      <c r="AU530" s="168" t="str">
        <f t="shared" si="116"/>
        <v/>
      </c>
      <c r="AV530" s="227"/>
      <c r="AW530" s="30"/>
      <c r="AX530" s="267"/>
      <c r="AY530" s="267"/>
      <c r="AZ530" s="29"/>
      <c r="BA530" s="30"/>
      <c r="BB530" s="23" t="str" cm="1">
        <f t="array" ref="BB530">_xlfn.IFS(AW530="SIM",SUM(K530,P530,U530,Z530,AE530,AJ530,AO530,AT530,AX530,AY530),F530&lt;&gt;"",SUM(K530,P530,U530,Z530,AE530,AJ530,,AO530,AT530),F530="","")</f>
        <v/>
      </c>
      <c r="BC530" s="211" t="str" cm="1">
        <f t="array" ref="BC530">_xlfn.IFS(E530="","",G530&lt;=E530,BB530*(1-0.03),G530&lt;(E530+8),BB530,AZ530="Boleto",BB530*(1+0.001)^DATEDIF(E530,G530,"D"),AZ530="Cheque",BB530,AZ530="Dinheiro","Alterar forma pgto")</f>
        <v/>
      </c>
      <c r="BD530" s="276" t="str" cm="1">
        <f t="array" ref="BD530">IF(F530=0," ",IF(BC530&lt;BB530,(_xlfn.IFS(AW530="SIM",SUM(L530,Q530,V530,AA530,AF530,AK530,AP530,AU530)+AX530/_xlfn.XLOOKUP(_xlfn.XLOOKUP($F530,Clientes!$B$4:$B$39,Clientes!$C$4:$C$39),Cadastros!$L$6:$L$12,Cadastros!$M$6:$M$12)+IF($F530="Bernardino Furlan",AY530/2751.92,IF($F530="Mauro José Salanti",AY530/2751.92,AY530/3356)),F530&lt;&gt;0,SUM(L530,Q530,V530,AA530,AF530,AK530,AP530,AU530)))*(1-0.03),_xlfn.IFS(AW530="SIM",SUM(L530,Q530,V530,AA530,AF530,AK530,AP530,AU530)+AX530/_xlfn.XLOOKUP(_xlfn.XLOOKUP($F530,Clientes!$B$4:$B$39,Clientes!$C$4:$C$39),Cadastros!$L$6:$L$12,Cadastros!$M$6:$M$12)+IF($F530="Bernardino Furlan",AY530/2751.92,IF($F530="Mauro José Salanti",AY530/2751.92,AY530/3356)),F530&lt;&gt;0,SUM(L530,Q530,V530,AA530,AF530,AK530,AP530,AU530))))</f>
        <v xml:space="preserve"> </v>
      </c>
      <c r="BE530" s="120"/>
      <c r="BF530" s="120"/>
      <c r="BG530" s="120"/>
    </row>
    <row r="531" spans="1:59" s="3" customFormat="1" x14ac:dyDescent="0.3">
      <c r="A531" s="15" t="str">
        <f t="shared" si="104"/>
        <v/>
      </c>
      <c r="B531" s="25"/>
      <c r="C531" s="26"/>
      <c r="D531" s="279"/>
      <c r="E531" s="27"/>
      <c r="F531" s="28"/>
      <c r="G531" s="27"/>
      <c r="H531" s="28"/>
      <c r="I531" s="28"/>
      <c r="J531" s="255" t="str">
        <f>IF(H531="","",(_xlfn.XLOOKUP(H531,Cadastros!$D$6:$D$90,Cadastros!$E$6:$E$90))*(1-_xlfn.XLOOKUP(_xlfn.XLOOKUP($F531,Clientes!$B$4:$B$39,Clientes!$C$4:$C$39),Cadastros!$L$6:$L$12,Cadastros!$N$6:$N$12)))</f>
        <v/>
      </c>
      <c r="K531" s="168" t="str">
        <f t="shared" si="105"/>
        <v/>
      </c>
      <c r="L531" s="168" t="str">
        <f>IFERROR(K531/_xlfn.XLOOKUP(_xlfn.XLOOKUP($F531,Clientes!$B$4:$B$39,Clientes!$C$4:$C$39),Cadastros!$L$6:$L$12,Cadastros!$M$6:$M$12)," ")</f>
        <v xml:space="preserve"> </v>
      </c>
      <c r="M531" s="28"/>
      <c r="N531" s="28"/>
      <c r="O531" s="255" t="str">
        <f>IF(M531="","",(_xlfn.XLOOKUP(M531,Cadastros!$D$6:$D$90,Cadastros!$E$6:$E$90))*(1-_xlfn.XLOOKUP(_xlfn.XLOOKUP($F531,Clientes!$B$4:$B$39,Clientes!$C$4:$C$39),Cadastros!$L$6:$L$12,Cadastros!$N$6:$N$12)))</f>
        <v/>
      </c>
      <c r="P531" s="168" t="str">
        <f t="shared" si="106"/>
        <v/>
      </c>
      <c r="Q531" s="168" t="str">
        <f>IFERROR(P531/_xlfn.XLOOKUP(_xlfn.XLOOKUP($F531,Clientes!$B$4:$B$39,Clientes!$C$4:$C$39),Cadastros!$L$6:$L$12,Cadastros!$M$6:$M$12)," ")</f>
        <v xml:space="preserve"> </v>
      </c>
      <c r="R531" s="28"/>
      <c r="S531" s="28"/>
      <c r="T531" s="255" t="str">
        <f>IF(R531="","",(_xlfn.XLOOKUP(R531,Cadastros!$D$6:$D$90,Cadastros!$E$6:$E$90))*(1-_xlfn.XLOOKUP(_xlfn.XLOOKUP($F531,Clientes!$B$4:$B$39,Clientes!$C$4:$C$39),Cadastros!$L$6:$L$12,Cadastros!$N$6:$N$12)))</f>
        <v/>
      </c>
      <c r="U531" s="168" t="str">
        <f t="shared" si="107"/>
        <v/>
      </c>
      <c r="V531" s="168" t="str">
        <f>IFERROR(U531/_xlfn.XLOOKUP(_xlfn.XLOOKUP($F531,Clientes!$B$4:$B$39,Clientes!$C$4:$C$39),Cadastros!$L$6:$L$12,Cadastros!$M$6:$M$12)," ")</f>
        <v xml:space="preserve"> </v>
      </c>
      <c r="W531" s="28"/>
      <c r="X531" s="28"/>
      <c r="Y531" s="255" t="str">
        <f>IF(W531="","",(_xlfn.XLOOKUP(W531,Cadastros!$D$6:$D$90,Cadastros!$E$6:$E$90))*(1-_xlfn.XLOOKUP(_xlfn.XLOOKUP($F531,Clientes!$B$4:$B$39,Clientes!$C$4:$C$39),Cadastros!$L$6:$L$12,Cadastros!$N$6:$N$12)))</f>
        <v/>
      </c>
      <c r="Z531" s="168" t="str">
        <f t="shared" si="108"/>
        <v/>
      </c>
      <c r="AA531" s="168" t="str">
        <f>IFERROR(Z531/_xlfn.XLOOKUP(_xlfn.XLOOKUP($F531,Clientes!$B$4:$B$39,Clientes!$C$4:$C$39),Cadastros!$L$6:$L$12,Cadastros!$M$6:$M$12)," ")</f>
        <v xml:space="preserve"> </v>
      </c>
      <c r="AB531" s="28"/>
      <c r="AC531" s="28"/>
      <c r="AD531" s="20" t="str">
        <f>IF(AB531="","",IF($F531="Bernardino Furlan",_xlfn.XLOOKUP(AB531,Cadastros!$G$6:$G$90,Cadastros!$H$6:$H$90)*(1-0.18),IF($F531="Mauro José Salanti",_xlfn.XLOOKUP(AB531,Cadastros!$G$6:$G$90,Cadastros!$H$6:$H$90)*(1-0.18),_xlfn.XLOOKUP(AB531,Cadastros!$G$6:$G$90,Cadastros!$H$6:$H$90))))</f>
        <v/>
      </c>
      <c r="AE531" s="168" t="str">
        <f t="shared" si="109"/>
        <v/>
      </c>
      <c r="AF531" s="168" t="str">
        <f t="shared" si="110"/>
        <v/>
      </c>
      <c r="AG531" s="28"/>
      <c r="AH531" s="28"/>
      <c r="AI531" s="20" t="str">
        <f>IF(AG531="","",IF($F531="Bernardino Furlan",_xlfn.XLOOKUP(AG531,Cadastros!$G$6:$G$90,Cadastros!$H$6:$H$90)*(1-0.18),IF($F531="Mauro José Salanti",_xlfn.XLOOKUP(AG531,Cadastros!$G$6:$G$90,Cadastros!$H$6:$H$90)*(1-0.18),_xlfn.XLOOKUP(AG531,Cadastros!$G$6:$G$90,Cadastros!$H$6:$H$90))))</f>
        <v/>
      </c>
      <c r="AJ531" s="168" t="str">
        <f t="shared" si="111"/>
        <v/>
      </c>
      <c r="AK531" s="168" t="str">
        <f t="shared" si="112"/>
        <v/>
      </c>
      <c r="AL531" s="28"/>
      <c r="AM531" s="28"/>
      <c r="AN531" s="20" t="str">
        <f>IF(AL531="","",IF($F531="Bernardino Furlan",_xlfn.XLOOKUP(AL531,Cadastros!$G$6:$G$90,Cadastros!$H$6:$H$90)*(1-0.18),IF($F531="Mauro José Salanti",_xlfn.XLOOKUP(AL531,Cadastros!$G$6:$G$90,Cadastros!$H$6:$H$90)*(1-0.18),_xlfn.XLOOKUP(AL531,Cadastros!$G$6:$G$90,Cadastros!$H$6:$H$90))))</f>
        <v/>
      </c>
      <c r="AO531" s="168" t="str">
        <f t="shared" si="113"/>
        <v/>
      </c>
      <c r="AP531" s="168" t="str">
        <f t="shared" si="114"/>
        <v/>
      </c>
      <c r="AQ531" s="28"/>
      <c r="AR531" s="28"/>
      <c r="AS531" s="20" t="str">
        <f>IF(AQ531="","",IF($F531="Bernardino Furlan",_xlfn.XLOOKUP(AQ531,Cadastros!$G$6:$G$90,Cadastros!$H$6:$H$90)*(1-0.18),IF($F531="Mauro José Salanti",_xlfn.XLOOKUP(AQ531,Cadastros!$G$6:$G$90,Cadastros!$H$6:$H$90)*(1-0.18),_xlfn.XLOOKUP(AQ531,Cadastros!$G$6:$G$90,Cadastros!$H$6:$H$90))))</f>
        <v/>
      </c>
      <c r="AT531" s="168" t="str">
        <f t="shared" si="115"/>
        <v/>
      </c>
      <c r="AU531" s="168" t="str">
        <f t="shared" si="116"/>
        <v/>
      </c>
      <c r="AV531" s="227"/>
      <c r="AW531" s="30"/>
      <c r="AX531" s="267"/>
      <c r="AY531" s="267"/>
      <c r="AZ531" s="29"/>
      <c r="BA531" s="30"/>
      <c r="BB531" s="23" t="str" cm="1">
        <f t="array" ref="BB531">_xlfn.IFS(AW531="SIM",SUM(K531,P531,U531,Z531,AE531,AJ531,AO531,AT531,AX531,AY531),F531&lt;&gt;"",SUM(K531,P531,U531,Z531,AE531,AJ531,,AO531,AT531),F531="","")</f>
        <v/>
      </c>
      <c r="BC531" s="211" t="str" cm="1">
        <f t="array" ref="BC531">_xlfn.IFS(E531="","",G531&lt;=E531,BB531*(1-0.03),G531&lt;(E531+8),BB531,AZ531="Boleto",BB531*(1+0.001)^DATEDIF(E531,G531,"D"),AZ531="Cheque",BB531,AZ531="Dinheiro","Alterar forma pgto")</f>
        <v/>
      </c>
      <c r="BD531" s="276" t="str" cm="1">
        <f t="array" ref="BD531">IF(F531=0," ",IF(BC531&lt;BB531,(_xlfn.IFS(AW531="SIM",SUM(L531,Q531,V531,AA531,AF531,AK531,AP531,AU531)+AX531/_xlfn.XLOOKUP(_xlfn.XLOOKUP($F531,Clientes!$B$4:$B$39,Clientes!$C$4:$C$39),Cadastros!$L$6:$L$12,Cadastros!$M$6:$M$12)+IF($F531="Bernardino Furlan",AY531/2751.92,IF($F531="Mauro José Salanti",AY531/2751.92,AY531/3356)),F531&lt;&gt;0,SUM(L531,Q531,V531,AA531,AF531,AK531,AP531,AU531)))*(1-0.03),_xlfn.IFS(AW531="SIM",SUM(L531,Q531,V531,AA531,AF531,AK531,AP531,AU531)+AX531/_xlfn.XLOOKUP(_xlfn.XLOOKUP($F531,Clientes!$B$4:$B$39,Clientes!$C$4:$C$39),Cadastros!$L$6:$L$12,Cadastros!$M$6:$M$12)+IF($F531="Bernardino Furlan",AY531/2751.92,IF($F531="Mauro José Salanti",AY531/2751.92,AY531/3356)),F531&lt;&gt;0,SUM(L531,Q531,V531,AA531,AF531,AK531,AP531,AU531))))</f>
        <v xml:space="preserve"> </v>
      </c>
      <c r="BE531" s="120"/>
      <c r="BF531" s="120"/>
      <c r="BG531" s="120"/>
    </row>
    <row r="532" spans="1:59" s="3" customFormat="1" x14ac:dyDescent="0.3">
      <c r="A532" s="15" t="str">
        <f t="shared" si="104"/>
        <v/>
      </c>
      <c r="B532" s="25"/>
      <c r="C532" s="26"/>
      <c r="D532" s="279"/>
      <c r="E532" s="27"/>
      <c r="F532" s="28"/>
      <c r="G532" s="27"/>
      <c r="H532" s="28"/>
      <c r="I532" s="28"/>
      <c r="J532" s="255" t="str">
        <f>IF(H532="","",(_xlfn.XLOOKUP(H532,Cadastros!$D$6:$D$90,Cadastros!$E$6:$E$90))*(1-_xlfn.XLOOKUP(_xlfn.XLOOKUP($F532,Clientes!$B$4:$B$39,Clientes!$C$4:$C$39),Cadastros!$L$6:$L$12,Cadastros!$N$6:$N$12)))</f>
        <v/>
      </c>
      <c r="K532" s="168" t="str">
        <f t="shared" si="105"/>
        <v/>
      </c>
      <c r="L532" s="168" t="str">
        <f>IFERROR(K532/_xlfn.XLOOKUP(_xlfn.XLOOKUP($F532,Clientes!$B$4:$B$39,Clientes!$C$4:$C$39),Cadastros!$L$6:$L$12,Cadastros!$M$6:$M$12)," ")</f>
        <v xml:space="preserve"> </v>
      </c>
      <c r="M532" s="28"/>
      <c r="N532" s="28"/>
      <c r="O532" s="255" t="str">
        <f>IF(M532="","",(_xlfn.XLOOKUP(M532,Cadastros!$D$6:$D$90,Cadastros!$E$6:$E$90))*(1-_xlfn.XLOOKUP(_xlfn.XLOOKUP($F532,Clientes!$B$4:$B$39,Clientes!$C$4:$C$39),Cadastros!$L$6:$L$12,Cadastros!$N$6:$N$12)))</f>
        <v/>
      </c>
      <c r="P532" s="168" t="str">
        <f t="shared" si="106"/>
        <v/>
      </c>
      <c r="Q532" s="168" t="str">
        <f>IFERROR(P532/_xlfn.XLOOKUP(_xlfn.XLOOKUP($F532,Clientes!$B$4:$B$39,Clientes!$C$4:$C$39),Cadastros!$L$6:$L$12,Cadastros!$M$6:$M$12)," ")</f>
        <v xml:space="preserve"> </v>
      </c>
      <c r="R532" s="28"/>
      <c r="S532" s="28"/>
      <c r="T532" s="255" t="str">
        <f>IF(R532="","",(_xlfn.XLOOKUP(R532,Cadastros!$D$6:$D$90,Cadastros!$E$6:$E$90))*(1-_xlfn.XLOOKUP(_xlfn.XLOOKUP($F532,Clientes!$B$4:$B$39,Clientes!$C$4:$C$39),Cadastros!$L$6:$L$12,Cadastros!$N$6:$N$12)))</f>
        <v/>
      </c>
      <c r="U532" s="168" t="str">
        <f t="shared" si="107"/>
        <v/>
      </c>
      <c r="V532" s="168" t="str">
        <f>IFERROR(U532/_xlfn.XLOOKUP(_xlfn.XLOOKUP($F532,Clientes!$B$4:$B$39,Clientes!$C$4:$C$39),Cadastros!$L$6:$L$12,Cadastros!$M$6:$M$12)," ")</f>
        <v xml:space="preserve"> </v>
      </c>
      <c r="W532" s="28"/>
      <c r="X532" s="28"/>
      <c r="Y532" s="255" t="str">
        <f>IF(W532="","",(_xlfn.XLOOKUP(W532,Cadastros!$D$6:$D$90,Cadastros!$E$6:$E$90))*(1-_xlfn.XLOOKUP(_xlfn.XLOOKUP($F532,Clientes!$B$4:$B$39,Clientes!$C$4:$C$39),Cadastros!$L$6:$L$12,Cadastros!$N$6:$N$12)))</f>
        <v/>
      </c>
      <c r="Z532" s="168" t="str">
        <f t="shared" si="108"/>
        <v/>
      </c>
      <c r="AA532" s="168" t="str">
        <f>IFERROR(Z532/_xlfn.XLOOKUP(_xlfn.XLOOKUP($F532,Clientes!$B$4:$B$39,Clientes!$C$4:$C$39),Cadastros!$L$6:$L$12,Cadastros!$M$6:$M$12)," ")</f>
        <v xml:space="preserve"> </v>
      </c>
      <c r="AB532" s="28"/>
      <c r="AC532" s="28"/>
      <c r="AD532" s="20" t="str">
        <f>IF(AB532="","",IF($F532="Bernardino Furlan",_xlfn.XLOOKUP(AB532,Cadastros!$G$6:$G$90,Cadastros!$H$6:$H$90)*(1-0.18),IF($F532="Mauro José Salanti",_xlfn.XLOOKUP(AB532,Cadastros!$G$6:$G$90,Cadastros!$H$6:$H$90)*(1-0.18),_xlfn.XLOOKUP(AB532,Cadastros!$G$6:$G$90,Cadastros!$H$6:$H$90))))</f>
        <v/>
      </c>
      <c r="AE532" s="168" t="str">
        <f t="shared" si="109"/>
        <v/>
      </c>
      <c r="AF532" s="168" t="str">
        <f t="shared" si="110"/>
        <v/>
      </c>
      <c r="AG532" s="28"/>
      <c r="AH532" s="28"/>
      <c r="AI532" s="20" t="str">
        <f>IF(AG532="","",IF($F532="Bernardino Furlan",_xlfn.XLOOKUP(AG532,Cadastros!$G$6:$G$90,Cadastros!$H$6:$H$90)*(1-0.18),IF($F532="Mauro José Salanti",_xlfn.XLOOKUP(AG532,Cadastros!$G$6:$G$90,Cadastros!$H$6:$H$90)*(1-0.18),_xlfn.XLOOKUP(AG532,Cadastros!$G$6:$G$90,Cadastros!$H$6:$H$90))))</f>
        <v/>
      </c>
      <c r="AJ532" s="168" t="str">
        <f t="shared" si="111"/>
        <v/>
      </c>
      <c r="AK532" s="168" t="str">
        <f t="shared" si="112"/>
        <v/>
      </c>
      <c r="AL532" s="28"/>
      <c r="AM532" s="28"/>
      <c r="AN532" s="20" t="str">
        <f>IF(AL532="","",IF($F532="Bernardino Furlan",_xlfn.XLOOKUP(AL532,Cadastros!$G$6:$G$90,Cadastros!$H$6:$H$90)*(1-0.18),IF($F532="Mauro José Salanti",_xlfn.XLOOKUP(AL532,Cadastros!$G$6:$G$90,Cadastros!$H$6:$H$90)*(1-0.18),_xlfn.XLOOKUP(AL532,Cadastros!$G$6:$G$90,Cadastros!$H$6:$H$90))))</f>
        <v/>
      </c>
      <c r="AO532" s="168" t="str">
        <f t="shared" si="113"/>
        <v/>
      </c>
      <c r="AP532" s="168" t="str">
        <f t="shared" si="114"/>
        <v/>
      </c>
      <c r="AQ532" s="28"/>
      <c r="AR532" s="28"/>
      <c r="AS532" s="20" t="str">
        <f>IF(AQ532="","",IF($F532="Bernardino Furlan",_xlfn.XLOOKUP(AQ532,Cadastros!$G$6:$G$90,Cadastros!$H$6:$H$90)*(1-0.18),IF($F532="Mauro José Salanti",_xlfn.XLOOKUP(AQ532,Cadastros!$G$6:$G$90,Cadastros!$H$6:$H$90)*(1-0.18),_xlfn.XLOOKUP(AQ532,Cadastros!$G$6:$G$90,Cadastros!$H$6:$H$90))))</f>
        <v/>
      </c>
      <c r="AT532" s="168" t="str">
        <f t="shared" si="115"/>
        <v/>
      </c>
      <c r="AU532" s="168" t="str">
        <f t="shared" si="116"/>
        <v/>
      </c>
      <c r="AV532" s="227"/>
      <c r="AW532" s="30"/>
      <c r="AX532" s="267"/>
      <c r="AY532" s="267"/>
      <c r="AZ532" s="29"/>
      <c r="BA532" s="30"/>
      <c r="BB532" s="23" t="str" cm="1">
        <f t="array" ref="BB532">_xlfn.IFS(AW532="SIM",SUM(K532,P532,U532,Z532,AE532,AJ532,AO532,AT532,AX532,AY532),F532&lt;&gt;"",SUM(K532,P532,U532,Z532,AE532,AJ532,,AO532,AT532),F532="","")</f>
        <v/>
      </c>
      <c r="BC532" s="211" t="str" cm="1">
        <f t="array" ref="BC532">_xlfn.IFS(E532="","",G532&lt;=E532,BB532*(1-0.03),G532&lt;(E532+8),BB532,AZ532="Boleto",BB532*(1+0.001)^DATEDIF(E532,G532,"D"),AZ532="Cheque",BB532,AZ532="Dinheiro","Alterar forma pgto")</f>
        <v/>
      </c>
      <c r="BD532" s="276" t="str" cm="1">
        <f t="array" ref="BD532">IF(F532=0," ",IF(BC532&lt;BB532,(_xlfn.IFS(AW532="SIM",SUM(L532,Q532,V532,AA532,AF532,AK532,AP532,AU532)+AX532/_xlfn.XLOOKUP(_xlfn.XLOOKUP($F532,Clientes!$B$4:$B$39,Clientes!$C$4:$C$39),Cadastros!$L$6:$L$12,Cadastros!$M$6:$M$12)+IF($F532="Bernardino Furlan",AY532/2751.92,IF($F532="Mauro José Salanti",AY532/2751.92,AY532/3356)),F532&lt;&gt;0,SUM(L532,Q532,V532,AA532,AF532,AK532,AP532,AU532)))*(1-0.03),_xlfn.IFS(AW532="SIM",SUM(L532,Q532,V532,AA532,AF532,AK532,AP532,AU532)+AX532/_xlfn.XLOOKUP(_xlfn.XLOOKUP($F532,Clientes!$B$4:$B$39,Clientes!$C$4:$C$39),Cadastros!$L$6:$L$12,Cadastros!$M$6:$M$12)+IF($F532="Bernardino Furlan",AY532/2751.92,IF($F532="Mauro José Salanti",AY532/2751.92,AY532/3356)),F532&lt;&gt;0,SUM(L532,Q532,V532,AA532,AF532,AK532,AP532,AU532))))</f>
        <v xml:space="preserve"> </v>
      </c>
      <c r="BE532" s="120"/>
      <c r="BF532" s="120"/>
      <c r="BG532" s="120"/>
    </row>
    <row r="533" spans="1:59" s="3" customFormat="1" x14ac:dyDescent="0.3">
      <c r="A533" s="15" t="str">
        <f t="shared" si="104"/>
        <v/>
      </c>
      <c r="B533" s="25"/>
      <c r="C533" s="26"/>
      <c r="D533" s="279"/>
      <c r="E533" s="27"/>
      <c r="F533" s="28"/>
      <c r="G533" s="27"/>
      <c r="H533" s="28"/>
      <c r="I533" s="28"/>
      <c r="J533" s="255" t="str">
        <f>IF(H533="","",(_xlfn.XLOOKUP(H533,Cadastros!$D$6:$D$90,Cadastros!$E$6:$E$90))*(1-_xlfn.XLOOKUP(_xlfn.XLOOKUP($F533,Clientes!$B$4:$B$39,Clientes!$C$4:$C$39),Cadastros!$L$6:$L$12,Cadastros!$N$6:$N$12)))</f>
        <v/>
      </c>
      <c r="K533" s="168" t="str">
        <f t="shared" si="105"/>
        <v/>
      </c>
      <c r="L533" s="168" t="str">
        <f>IFERROR(K533/_xlfn.XLOOKUP(_xlfn.XLOOKUP($F533,Clientes!$B$4:$B$39,Clientes!$C$4:$C$39),Cadastros!$L$6:$L$12,Cadastros!$M$6:$M$12)," ")</f>
        <v xml:space="preserve"> </v>
      </c>
      <c r="M533" s="28"/>
      <c r="N533" s="28"/>
      <c r="O533" s="255" t="str">
        <f>IF(M533="","",(_xlfn.XLOOKUP(M533,Cadastros!$D$6:$D$90,Cadastros!$E$6:$E$90))*(1-_xlfn.XLOOKUP(_xlfn.XLOOKUP($F533,Clientes!$B$4:$B$39,Clientes!$C$4:$C$39),Cadastros!$L$6:$L$12,Cadastros!$N$6:$N$12)))</f>
        <v/>
      </c>
      <c r="P533" s="168" t="str">
        <f t="shared" si="106"/>
        <v/>
      </c>
      <c r="Q533" s="168" t="str">
        <f>IFERROR(P533/_xlfn.XLOOKUP(_xlfn.XLOOKUP($F533,Clientes!$B$4:$B$39,Clientes!$C$4:$C$39),Cadastros!$L$6:$L$12,Cadastros!$M$6:$M$12)," ")</f>
        <v xml:space="preserve"> </v>
      </c>
      <c r="R533" s="28"/>
      <c r="S533" s="28"/>
      <c r="T533" s="255" t="str">
        <f>IF(R533="","",(_xlfn.XLOOKUP(R533,Cadastros!$D$6:$D$90,Cadastros!$E$6:$E$90))*(1-_xlfn.XLOOKUP(_xlfn.XLOOKUP($F533,Clientes!$B$4:$B$39,Clientes!$C$4:$C$39),Cadastros!$L$6:$L$12,Cadastros!$N$6:$N$12)))</f>
        <v/>
      </c>
      <c r="U533" s="168" t="str">
        <f t="shared" si="107"/>
        <v/>
      </c>
      <c r="V533" s="168" t="str">
        <f>IFERROR(U533/_xlfn.XLOOKUP(_xlfn.XLOOKUP($F533,Clientes!$B$4:$B$39,Clientes!$C$4:$C$39),Cadastros!$L$6:$L$12,Cadastros!$M$6:$M$12)," ")</f>
        <v xml:space="preserve"> </v>
      </c>
      <c r="W533" s="28"/>
      <c r="X533" s="28"/>
      <c r="Y533" s="255" t="str">
        <f>IF(W533="","",(_xlfn.XLOOKUP(W533,Cadastros!$D$6:$D$90,Cadastros!$E$6:$E$90))*(1-_xlfn.XLOOKUP(_xlfn.XLOOKUP($F533,Clientes!$B$4:$B$39,Clientes!$C$4:$C$39),Cadastros!$L$6:$L$12,Cadastros!$N$6:$N$12)))</f>
        <v/>
      </c>
      <c r="Z533" s="168" t="str">
        <f t="shared" si="108"/>
        <v/>
      </c>
      <c r="AA533" s="168" t="str">
        <f>IFERROR(Z533/_xlfn.XLOOKUP(_xlfn.XLOOKUP($F533,Clientes!$B$4:$B$39,Clientes!$C$4:$C$39),Cadastros!$L$6:$L$12,Cadastros!$M$6:$M$12)," ")</f>
        <v xml:space="preserve"> </v>
      </c>
      <c r="AB533" s="28"/>
      <c r="AC533" s="28"/>
      <c r="AD533" s="20" t="str">
        <f>IF(AB533="","",IF($F533="Bernardino Furlan",_xlfn.XLOOKUP(AB533,Cadastros!$G$6:$G$90,Cadastros!$H$6:$H$90)*(1-0.18),IF($F533="Mauro José Salanti",_xlfn.XLOOKUP(AB533,Cadastros!$G$6:$G$90,Cadastros!$H$6:$H$90)*(1-0.18),_xlfn.XLOOKUP(AB533,Cadastros!$G$6:$G$90,Cadastros!$H$6:$H$90))))</f>
        <v/>
      </c>
      <c r="AE533" s="168" t="str">
        <f t="shared" si="109"/>
        <v/>
      </c>
      <c r="AF533" s="168" t="str">
        <f t="shared" si="110"/>
        <v/>
      </c>
      <c r="AG533" s="28"/>
      <c r="AH533" s="28"/>
      <c r="AI533" s="20" t="str">
        <f>IF(AG533="","",IF($F533="Bernardino Furlan",_xlfn.XLOOKUP(AG533,Cadastros!$G$6:$G$90,Cadastros!$H$6:$H$90)*(1-0.18),IF($F533="Mauro José Salanti",_xlfn.XLOOKUP(AG533,Cadastros!$G$6:$G$90,Cadastros!$H$6:$H$90)*(1-0.18),_xlfn.XLOOKUP(AG533,Cadastros!$G$6:$G$90,Cadastros!$H$6:$H$90))))</f>
        <v/>
      </c>
      <c r="AJ533" s="168" t="str">
        <f t="shared" si="111"/>
        <v/>
      </c>
      <c r="AK533" s="168" t="str">
        <f t="shared" si="112"/>
        <v/>
      </c>
      <c r="AL533" s="28"/>
      <c r="AM533" s="28"/>
      <c r="AN533" s="20" t="str">
        <f>IF(AL533="","",IF($F533="Bernardino Furlan",_xlfn.XLOOKUP(AL533,Cadastros!$G$6:$G$90,Cadastros!$H$6:$H$90)*(1-0.18),IF($F533="Mauro José Salanti",_xlfn.XLOOKUP(AL533,Cadastros!$G$6:$G$90,Cadastros!$H$6:$H$90)*(1-0.18),_xlfn.XLOOKUP(AL533,Cadastros!$G$6:$G$90,Cadastros!$H$6:$H$90))))</f>
        <v/>
      </c>
      <c r="AO533" s="168" t="str">
        <f t="shared" si="113"/>
        <v/>
      </c>
      <c r="AP533" s="168" t="str">
        <f t="shared" si="114"/>
        <v/>
      </c>
      <c r="AQ533" s="28"/>
      <c r="AR533" s="28"/>
      <c r="AS533" s="20" t="str">
        <f>IF(AQ533="","",IF($F533="Bernardino Furlan",_xlfn.XLOOKUP(AQ533,Cadastros!$G$6:$G$90,Cadastros!$H$6:$H$90)*(1-0.18),IF($F533="Mauro José Salanti",_xlfn.XLOOKUP(AQ533,Cadastros!$G$6:$G$90,Cadastros!$H$6:$H$90)*(1-0.18),_xlfn.XLOOKUP(AQ533,Cadastros!$G$6:$G$90,Cadastros!$H$6:$H$90))))</f>
        <v/>
      </c>
      <c r="AT533" s="168" t="str">
        <f t="shared" si="115"/>
        <v/>
      </c>
      <c r="AU533" s="168" t="str">
        <f t="shared" si="116"/>
        <v/>
      </c>
      <c r="AV533" s="227"/>
      <c r="AW533" s="30"/>
      <c r="AX533" s="267"/>
      <c r="AY533" s="267"/>
      <c r="AZ533" s="29"/>
      <c r="BA533" s="30"/>
      <c r="BB533" s="23" t="str" cm="1">
        <f t="array" ref="BB533">_xlfn.IFS(AW533="SIM",SUM(K533,P533,U533,Z533,AE533,AJ533,AO533,AT533,AX533,AY533),F533&lt;&gt;"",SUM(K533,P533,U533,Z533,AE533,AJ533,,AO533,AT533),F533="","")</f>
        <v/>
      </c>
      <c r="BC533" s="211" t="str" cm="1">
        <f t="array" ref="BC533">_xlfn.IFS(E533="","",G533&lt;=E533,BB533*(1-0.03),G533&lt;(E533+8),BB533,AZ533="Boleto",BB533*(1+0.001)^DATEDIF(E533,G533,"D"),AZ533="Cheque",BB533,AZ533="Dinheiro","Alterar forma pgto")</f>
        <v/>
      </c>
      <c r="BD533" s="276" t="str" cm="1">
        <f t="array" ref="BD533">IF(F533=0," ",IF(BC533&lt;BB533,(_xlfn.IFS(AW533="SIM",SUM(L533,Q533,V533,AA533,AF533,AK533,AP533,AU533)+AX533/_xlfn.XLOOKUP(_xlfn.XLOOKUP($F533,Clientes!$B$4:$B$39,Clientes!$C$4:$C$39),Cadastros!$L$6:$L$12,Cadastros!$M$6:$M$12)+IF($F533="Bernardino Furlan",AY533/2751.92,IF($F533="Mauro José Salanti",AY533/2751.92,AY533/3356)),F533&lt;&gt;0,SUM(L533,Q533,V533,AA533,AF533,AK533,AP533,AU533)))*(1-0.03),_xlfn.IFS(AW533="SIM",SUM(L533,Q533,V533,AA533,AF533,AK533,AP533,AU533)+AX533/_xlfn.XLOOKUP(_xlfn.XLOOKUP($F533,Clientes!$B$4:$B$39,Clientes!$C$4:$C$39),Cadastros!$L$6:$L$12,Cadastros!$M$6:$M$12)+IF($F533="Bernardino Furlan",AY533/2751.92,IF($F533="Mauro José Salanti",AY533/2751.92,AY533/3356)),F533&lt;&gt;0,SUM(L533,Q533,V533,AA533,AF533,AK533,AP533,AU533))))</f>
        <v xml:space="preserve"> </v>
      </c>
      <c r="BE533" s="120"/>
      <c r="BF533" s="120"/>
      <c r="BG533" s="120"/>
    </row>
    <row r="534" spans="1:59" s="3" customFormat="1" x14ac:dyDescent="0.3">
      <c r="A534" s="15" t="str">
        <f t="shared" si="104"/>
        <v/>
      </c>
      <c r="B534" s="25"/>
      <c r="C534" s="26"/>
      <c r="D534" s="279"/>
      <c r="E534" s="27"/>
      <c r="F534" s="28"/>
      <c r="G534" s="27"/>
      <c r="H534" s="28"/>
      <c r="I534" s="28"/>
      <c r="J534" s="255" t="str">
        <f>IF(H534="","",(_xlfn.XLOOKUP(H534,Cadastros!$D$6:$D$90,Cadastros!$E$6:$E$90))*(1-_xlfn.XLOOKUP(_xlfn.XLOOKUP($F534,Clientes!$B$4:$B$39,Clientes!$C$4:$C$39),Cadastros!$L$6:$L$12,Cadastros!$N$6:$N$12)))</f>
        <v/>
      </c>
      <c r="K534" s="168" t="str">
        <f t="shared" si="105"/>
        <v/>
      </c>
      <c r="L534" s="168" t="str">
        <f>IFERROR(K534/_xlfn.XLOOKUP(_xlfn.XLOOKUP($F534,Clientes!$B$4:$B$39,Clientes!$C$4:$C$39),Cadastros!$L$6:$L$12,Cadastros!$M$6:$M$12)," ")</f>
        <v xml:space="preserve"> </v>
      </c>
      <c r="M534" s="28"/>
      <c r="N534" s="28"/>
      <c r="O534" s="255" t="str">
        <f>IF(M534="","",(_xlfn.XLOOKUP(M534,Cadastros!$D$6:$D$90,Cadastros!$E$6:$E$90))*(1-_xlfn.XLOOKUP(_xlfn.XLOOKUP($F534,Clientes!$B$4:$B$39,Clientes!$C$4:$C$39),Cadastros!$L$6:$L$12,Cadastros!$N$6:$N$12)))</f>
        <v/>
      </c>
      <c r="P534" s="168" t="str">
        <f t="shared" si="106"/>
        <v/>
      </c>
      <c r="Q534" s="168" t="str">
        <f>IFERROR(P534/_xlfn.XLOOKUP(_xlfn.XLOOKUP($F534,Clientes!$B$4:$B$39,Clientes!$C$4:$C$39),Cadastros!$L$6:$L$12,Cadastros!$M$6:$M$12)," ")</f>
        <v xml:space="preserve"> </v>
      </c>
      <c r="R534" s="28"/>
      <c r="S534" s="28"/>
      <c r="T534" s="255" t="str">
        <f>IF(R534="","",(_xlfn.XLOOKUP(R534,Cadastros!$D$6:$D$90,Cadastros!$E$6:$E$90))*(1-_xlfn.XLOOKUP(_xlfn.XLOOKUP($F534,Clientes!$B$4:$B$39,Clientes!$C$4:$C$39),Cadastros!$L$6:$L$12,Cadastros!$N$6:$N$12)))</f>
        <v/>
      </c>
      <c r="U534" s="168" t="str">
        <f t="shared" si="107"/>
        <v/>
      </c>
      <c r="V534" s="168" t="str">
        <f>IFERROR(U534/_xlfn.XLOOKUP(_xlfn.XLOOKUP($F534,Clientes!$B$4:$B$39,Clientes!$C$4:$C$39),Cadastros!$L$6:$L$12,Cadastros!$M$6:$M$12)," ")</f>
        <v xml:space="preserve"> </v>
      </c>
      <c r="W534" s="28"/>
      <c r="X534" s="28"/>
      <c r="Y534" s="255" t="str">
        <f>IF(W534="","",(_xlfn.XLOOKUP(W534,Cadastros!$D$6:$D$90,Cadastros!$E$6:$E$90))*(1-_xlfn.XLOOKUP(_xlfn.XLOOKUP($F534,Clientes!$B$4:$B$39,Clientes!$C$4:$C$39),Cadastros!$L$6:$L$12,Cadastros!$N$6:$N$12)))</f>
        <v/>
      </c>
      <c r="Z534" s="168" t="str">
        <f t="shared" si="108"/>
        <v/>
      </c>
      <c r="AA534" s="168" t="str">
        <f>IFERROR(Z534/_xlfn.XLOOKUP(_xlfn.XLOOKUP($F534,Clientes!$B$4:$B$39,Clientes!$C$4:$C$39),Cadastros!$L$6:$L$12,Cadastros!$M$6:$M$12)," ")</f>
        <v xml:space="preserve"> </v>
      </c>
      <c r="AB534" s="28"/>
      <c r="AC534" s="28"/>
      <c r="AD534" s="20" t="str">
        <f>IF(AB534="","",IF($F534="Bernardino Furlan",_xlfn.XLOOKUP(AB534,Cadastros!$G$6:$G$90,Cadastros!$H$6:$H$90)*(1-0.18),IF($F534="Mauro José Salanti",_xlfn.XLOOKUP(AB534,Cadastros!$G$6:$G$90,Cadastros!$H$6:$H$90)*(1-0.18),_xlfn.XLOOKUP(AB534,Cadastros!$G$6:$G$90,Cadastros!$H$6:$H$90))))</f>
        <v/>
      </c>
      <c r="AE534" s="168" t="str">
        <f t="shared" si="109"/>
        <v/>
      </c>
      <c r="AF534" s="168" t="str">
        <f t="shared" si="110"/>
        <v/>
      </c>
      <c r="AG534" s="28"/>
      <c r="AH534" s="28"/>
      <c r="AI534" s="20" t="str">
        <f>IF(AG534="","",IF($F534="Bernardino Furlan",_xlfn.XLOOKUP(AG534,Cadastros!$G$6:$G$90,Cadastros!$H$6:$H$90)*(1-0.18),IF($F534="Mauro José Salanti",_xlfn.XLOOKUP(AG534,Cadastros!$G$6:$G$90,Cadastros!$H$6:$H$90)*(1-0.18),_xlfn.XLOOKUP(AG534,Cadastros!$G$6:$G$90,Cadastros!$H$6:$H$90))))</f>
        <v/>
      </c>
      <c r="AJ534" s="168" t="str">
        <f t="shared" si="111"/>
        <v/>
      </c>
      <c r="AK534" s="168" t="str">
        <f t="shared" si="112"/>
        <v/>
      </c>
      <c r="AL534" s="28"/>
      <c r="AM534" s="28"/>
      <c r="AN534" s="20" t="str">
        <f>IF(AL534="","",IF($F534="Bernardino Furlan",_xlfn.XLOOKUP(AL534,Cadastros!$G$6:$G$90,Cadastros!$H$6:$H$90)*(1-0.18),IF($F534="Mauro José Salanti",_xlfn.XLOOKUP(AL534,Cadastros!$G$6:$G$90,Cadastros!$H$6:$H$90)*(1-0.18),_xlfn.XLOOKUP(AL534,Cadastros!$G$6:$G$90,Cadastros!$H$6:$H$90))))</f>
        <v/>
      </c>
      <c r="AO534" s="168" t="str">
        <f t="shared" si="113"/>
        <v/>
      </c>
      <c r="AP534" s="168" t="str">
        <f t="shared" si="114"/>
        <v/>
      </c>
      <c r="AQ534" s="28"/>
      <c r="AR534" s="28"/>
      <c r="AS534" s="20" t="str">
        <f>IF(AQ534="","",IF($F534="Bernardino Furlan",_xlfn.XLOOKUP(AQ534,Cadastros!$G$6:$G$90,Cadastros!$H$6:$H$90)*(1-0.18),IF($F534="Mauro José Salanti",_xlfn.XLOOKUP(AQ534,Cadastros!$G$6:$G$90,Cadastros!$H$6:$H$90)*(1-0.18),_xlfn.XLOOKUP(AQ534,Cadastros!$G$6:$G$90,Cadastros!$H$6:$H$90))))</f>
        <v/>
      </c>
      <c r="AT534" s="168" t="str">
        <f t="shared" si="115"/>
        <v/>
      </c>
      <c r="AU534" s="168" t="str">
        <f t="shared" si="116"/>
        <v/>
      </c>
      <c r="AV534" s="227"/>
      <c r="AW534" s="30"/>
      <c r="AX534" s="267"/>
      <c r="AY534" s="267"/>
      <c r="AZ534" s="29"/>
      <c r="BA534" s="30"/>
      <c r="BB534" s="23" t="str" cm="1">
        <f t="array" ref="BB534">_xlfn.IFS(AW534="SIM",SUM(K534,P534,U534,Z534,AE534,AJ534,AO534,AT534,AX534,AY534),F534&lt;&gt;"",SUM(K534,P534,U534,Z534,AE534,AJ534,,AO534,AT534),F534="","")</f>
        <v/>
      </c>
      <c r="BC534" s="211" t="str" cm="1">
        <f t="array" ref="BC534">_xlfn.IFS(E534="","",G534&lt;=E534,BB534*(1-0.03),G534&lt;(E534+8),BB534,AZ534="Boleto",BB534*(1+0.001)^DATEDIF(E534,G534,"D"),AZ534="Cheque",BB534,AZ534="Dinheiro","Alterar forma pgto")</f>
        <v/>
      </c>
      <c r="BD534" s="276" t="str" cm="1">
        <f t="array" ref="BD534">IF(F534=0," ",IF(BC534&lt;BB534,(_xlfn.IFS(AW534="SIM",SUM(L534,Q534,V534,AA534,AF534,AK534,AP534,AU534)+AX534/_xlfn.XLOOKUP(_xlfn.XLOOKUP($F534,Clientes!$B$4:$B$39,Clientes!$C$4:$C$39),Cadastros!$L$6:$L$12,Cadastros!$M$6:$M$12)+IF($F534="Bernardino Furlan",AY534/2751.92,IF($F534="Mauro José Salanti",AY534/2751.92,AY534/3356)),F534&lt;&gt;0,SUM(L534,Q534,V534,AA534,AF534,AK534,AP534,AU534)))*(1-0.03),_xlfn.IFS(AW534="SIM",SUM(L534,Q534,V534,AA534,AF534,AK534,AP534,AU534)+AX534/_xlfn.XLOOKUP(_xlfn.XLOOKUP($F534,Clientes!$B$4:$B$39,Clientes!$C$4:$C$39),Cadastros!$L$6:$L$12,Cadastros!$M$6:$M$12)+IF($F534="Bernardino Furlan",AY534/2751.92,IF($F534="Mauro José Salanti",AY534/2751.92,AY534/3356)),F534&lt;&gt;0,SUM(L534,Q534,V534,AA534,AF534,AK534,AP534,AU534))))</f>
        <v xml:space="preserve"> </v>
      </c>
      <c r="BE534" s="120"/>
      <c r="BF534" s="120"/>
      <c r="BG534" s="120"/>
    </row>
    <row r="535" spans="1:59" s="3" customFormat="1" x14ac:dyDescent="0.3">
      <c r="A535" s="15" t="str">
        <f t="shared" si="104"/>
        <v/>
      </c>
      <c r="B535" s="25"/>
      <c r="C535" s="26"/>
      <c r="D535" s="279"/>
      <c r="E535" s="27"/>
      <c r="F535" s="28"/>
      <c r="G535" s="27"/>
      <c r="H535" s="28"/>
      <c r="I535" s="28"/>
      <c r="J535" s="255" t="str">
        <f>IF(H535="","",(_xlfn.XLOOKUP(H535,Cadastros!$D$6:$D$90,Cadastros!$E$6:$E$90))*(1-_xlfn.XLOOKUP(_xlfn.XLOOKUP($F535,Clientes!$B$4:$B$39,Clientes!$C$4:$C$39),Cadastros!$L$6:$L$12,Cadastros!$N$6:$N$12)))</f>
        <v/>
      </c>
      <c r="K535" s="168" t="str">
        <f t="shared" si="105"/>
        <v/>
      </c>
      <c r="L535" s="168" t="str">
        <f>IFERROR(K535/_xlfn.XLOOKUP(_xlfn.XLOOKUP($F535,Clientes!$B$4:$B$39,Clientes!$C$4:$C$39),Cadastros!$L$6:$L$12,Cadastros!$M$6:$M$12)," ")</f>
        <v xml:space="preserve"> </v>
      </c>
      <c r="M535" s="28"/>
      <c r="N535" s="28"/>
      <c r="O535" s="255" t="str">
        <f>IF(M535="","",(_xlfn.XLOOKUP(M535,Cadastros!$D$6:$D$90,Cadastros!$E$6:$E$90))*(1-_xlfn.XLOOKUP(_xlfn.XLOOKUP($F535,Clientes!$B$4:$B$39,Clientes!$C$4:$C$39),Cadastros!$L$6:$L$12,Cadastros!$N$6:$N$12)))</f>
        <v/>
      </c>
      <c r="P535" s="168" t="str">
        <f t="shared" si="106"/>
        <v/>
      </c>
      <c r="Q535" s="168" t="str">
        <f>IFERROR(P535/_xlfn.XLOOKUP(_xlfn.XLOOKUP($F535,Clientes!$B$4:$B$39,Clientes!$C$4:$C$39),Cadastros!$L$6:$L$12,Cadastros!$M$6:$M$12)," ")</f>
        <v xml:space="preserve"> </v>
      </c>
      <c r="R535" s="28"/>
      <c r="S535" s="28"/>
      <c r="T535" s="255" t="str">
        <f>IF(R535="","",(_xlfn.XLOOKUP(R535,Cadastros!$D$6:$D$90,Cadastros!$E$6:$E$90))*(1-_xlfn.XLOOKUP(_xlfn.XLOOKUP($F535,Clientes!$B$4:$B$39,Clientes!$C$4:$C$39),Cadastros!$L$6:$L$12,Cadastros!$N$6:$N$12)))</f>
        <v/>
      </c>
      <c r="U535" s="168" t="str">
        <f t="shared" si="107"/>
        <v/>
      </c>
      <c r="V535" s="168" t="str">
        <f>IFERROR(U535/_xlfn.XLOOKUP(_xlfn.XLOOKUP($F535,Clientes!$B$4:$B$39,Clientes!$C$4:$C$39),Cadastros!$L$6:$L$12,Cadastros!$M$6:$M$12)," ")</f>
        <v xml:space="preserve"> </v>
      </c>
      <c r="W535" s="28"/>
      <c r="X535" s="28"/>
      <c r="Y535" s="255" t="str">
        <f>IF(W535="","",(_xlfn.XLOOKUP(W535,Cadastros!$D$6:$D$90,Cadastros!$E$6:$E$90))*(1-_xlfn.XLOOKUP(_xlfn.XLOOKUP($F535,Clientes!$B$4:$B$39,Clientes!$C$4:$C$39),Cadastros!$L$6:$L$12,Cadastros!$N$6:$N$12)))</f>
        <v/>
      </c>
      <c r="Z535" s="168" t="str">
        <f t="shared" si="108"/>
        <v/>
      </c>
      <c r="AA535" s="168" t="str">
        <f>IFERROR(Z535/_xlfn.XLOOKUP(_xlfn.XLOOKUP($F535,Clientes!$B$4:$B$39,Clientes!$C$4:$C$39),Cadastros!$L$6:$L$12,Cadastros!$M$6:$M$12)," ")</f>
        <v xml:space="preserve"> </v>
      </c>
      <c r="AB535" s="28"/>
      <c r="AC535" s="28"/>
      <c r="AD535" s="20" t="str">
        <f>IF(AB535="","",IF($F535="Bernardino Furlan",_xlfn.XLOOKUP(AB535,Cadastros!$G$6:$G$90,Cadastros!$H$6:$H$90)*(1-0.18),IF($F535="Mauro José Salanti",_xlfn.XLOOKUP(AB535,Cadastros!$G$6:$G$90,Cadastros!$H$6:$H$90)*(1-0.18),_xlfn.XLOOKUP(AB535,Cadastros!$G$6:$G$90,Cadastros!$H$6:$H$90))))</f>
        <v/>
      </c>
      <c r="AE535" s="168" t="str">
        <f t="shared" si="109"/>
        <v/>
      </c>
      <c r="AF535" s="168" t="str">
        <f t="shared" si="110"/>
        <v/>
      </c>
      <c r="AG535" s="28"/>
      <c r="AH535" s="28"/>
      <c r="AI535" s="20" t="str">
        <f>IF(AG535="","",IF($F535="Bernardino Furlan",_xlfn.XLOOKUP(AG535,Cadastros!$G$6:$G$90,Cadastros!$H$6:$H$90)*(1-0.18),IF($F535="Mauro José Salanti",_xlfn.XLOOKUP(AG535,Cadastros!$G$6:$G$90,Cadastros!$H$6:$H$90)*(1-0.18),_xlfn.XLOOKUP(AG535,Cadastros!$G$6:$G$90,Cadastros!$H$6:$H$90))))</f>
        <v/>
      </c>
      <c r="AJ535" s="168" t="str">
        <f t="shared" si="111"/>
        <v/>
      </c>
      <c r="AK535" s="168" t="str">
        <f t="shared" si="112"/>
        <v/>
      </c>
      <c r="AL535" s="28"/>
      <c r="AM535" s="28"/>
      <c r="AN535" s="20" t="str">
        <f>IF(AL535="","",IF($F535="Bernardino Furlan",_xlfn.XLOOKUP(AL535,Cadastros!$G$6:$G$90,Cadastros!$H$6:$H$90)*(1-0.18),IF($F535="Mauro José Salanti",_xlfn.XLOOKUP(AL535,Cadastros!$G$6:$G$90,Cadastros!$H$6:$H$90)*(1-0.18),_xlfn.XLOOKUP(AL535,Cadastros!$G$6:$G$90,Cadastros!$H$6:$H$90))))</f>
        <v/>
      </c>
      <c r="AO535" s="168" t="str">
        <f t="shared" si="113"/>
        <v/>
      </c>
      <c r="AP535" s="168" t="str">
        <f t="shared" si="114"/>
        <v/>
      </c>
      <c r="AQ535" s="28"/>
      <c r="AR535" s="28"/>
      <c r="AS535" s="20" t="str">
        <f>IF(AQ535="","",IF($F535="Bernardino Furlan",_xlfn.XLOOKUP(AQ535,Cadastros!$G$6:$G$90,Cadastros!$H$6:$H$90)*(1-0.18),IF($F535="Mauro José Salanti",_xlfn.XLOOKUP(AQ535,Cadastros!$G$6:$G$90,Cadastros!$H$6:$H$90)*(1-0.18),_xlfn.XLOOKUP(AQ535,Cadastros!$G$6:$G$90,Cadastros!$H$6:$H$90))))</f>
        <v/>
      </c>
      <c r="AT535" s="168" t="str">
        <f t="shared" si="115"/>
        <v/>
      </c>
      <c r="AU535" s="168" t="str">
        <f t="shared" si="116"/>
        <v/>
      </c>
      <c r="AV535" s="227"/>
      <c r="AW535" s="30"/>
      <c r="AX535" s="267"/>
      <c r="AY535" s="267"/>
      <c r="AZ535" s="29"/>
      <c r="BA535" s="30"/>
      <c r="BB535" s="23" t="str" cm="1">
        <f t="array" ref="BB535">_xlfn.IFS(AW535="SIM",SUM(K535,P535,U535,Z535,AE535,AJ535,AO535,AT535,AX535,AY535),F535&lt;&gt;"",SUM(K535,P535,U535,Z535,AE535,AJ535,,AO535,AT535),F535="","")</f>
        <v/>
      </c>
      <c r="BC535" s="211" t="str" cm="1">
        <f t="array" ref="BC535">_xlfn.IFS(E535="","",G535&lt;=E535,BB535*(1-0.03),G535&lt;(E535+8),BB535,AZ535="Boleto",BB535*(1+0.001)^DATEDIF(E535,G535,"D"),AZ535="Cheque",BB535,AZ535="Dinheiro","Alterar forma pgto")</f>
        <v/>
      </c>
      <c r="BD535" s="276" t="str" cm="1">
        <f t="array" ref="BD535">IF(F535=0," ",IF(BC535&lt;BB535,(_xlfn.IFS(AW535="SIM",SUM(L535,Q535,V535,AA535,AF535,AK535,AP535,AU535)+AX535/_xlfn.XLOOKUP(_xlfn.XLOOKUP($F535,Clientes!$B$4:$B$39,Clientes!$C$4:$C$39),Cadastros!$L$6:$L$12,Cadastros!$M$6:$M$12)+IF($F535="Bernardino Furlan",AY535/2751.92,IF($F535="Mauro José Salanti",AY535/2751.92,AY535/3356)),F535&lt;&gt;0,SUM(L535,Q535,V535,AA535,AF535,AK535,AP535,AU535)))*(1-0.03),_xlfn.IFS(AW535="SIM",SUM(L535,Q535,V535,AA535,AF535,AK535,AP535,AU535)+AX535/_xlfn.XLOOKUP(_xlfn.XLOOKUP($F535,Clientes!$B$4:$B$39,Clientes!$C$4:$C$39),Cadastros!$L$6:$L$12,Cadastros!$M$6:$M$12)+IF($F535="Bernardino Furlan",AY535/2751.92,IF($F535="Mauro José Salanti",AY535/2751.92,AY535/3356)),F535&lt;&gt;0,SUM(L535,Q535,V535,AA535,AF535,AK535,AP535,AU535))))</f>
        <v xml:space="preserve"> </v>
      </c>
      <c r="BE535" s="120"/>
      <c r="BF535" s="120"/>
      <c r="BG535" s="120"/>
    </row>
    <row r="536" spans="1:59" s="3" customFormat="1" x14ac:dyDescent="0.3">
      <c r="A536" s="15" t="str">
        <f t="shared" si="104"/>
        <v/>
      </c>
      <c r="B536" s="25"/>
      <c r="C536" s="26"/>
      <c r="D536" s="279"/>
      <c r="E536" s="27"/>
      <c r="F536" s="28"/>
      <c r="G536" s="27"/>
      <c r="H536" s="28"/>
      <c r="I536" s="28"/>
      <c r="J536" s="255" t="str">
        <f>IF(H536="","",(_xlfn.XLOOKUP(H536,Cadastros!$D$6:$D$90,Cadastros!$E$6:$E$90))*(1-_xlfn.XLOOKUP(_xlfn.XLOOKUP($F536,Clientes!$B$4:$B$39,Clientes!$C$4:$C$39),Cadastros!$L$6:$L$12,Cadastros!$N$6:$N$12)))</f>
        <v/>
      </c>
      <c r="K536" s="168" t="str">
        <f t="shared" si="105"/>
        <v/>
      </c>
      <c r="L536" s="168" t="str">
        <f>IFERROR(K536/_xlfn.XLOOKUP(_xlfn.XLOOKUP($F536,Clientes!$B$4:$B$39,Clientes!$C$4:$C$39),Cadastros!$L$6:$L$12,Cadastros!$M$6:$M$12)," ")</f>
        <v xml:space="preserve"> </v>
      </c>
      <c r="M536" s="28"/>
      <c r="N536" s="28"/>
      <c r="O536" s="255" t="str">
        <f>IF(M536="","",(_xlfn.XLOOKUP(M536,Cadastros!$D$6:$D$90,Cadastros!$E$6:$E$90))*(1-_xlfn.XLOOKUP(_xlfn.XLOOKUP($F536,Clientes!$B$4:$B$39,Clientes!$C$4:$C$39),Cadastros!$L$6:$L$12,Cadastros!$N$6:$N$12)))</f>
        <v/>
      </c>
      <c r="P536" s="168" t="str">
        <f t="shared" si="106"/>
        <v/>
      </c>
      <c r="Q536" s="168" t="str">
        <f>IFERROR(P536/_xlfn.XLOOKUP(_xlfn.XLOOKUP($F536,Clientes!$B$4:$B$39,Clientes!$C$4:$C$39),Cadastros!$L$6:$L$12,Cadastros!$M$6:$M$12)," ")</f>
        <v xml:space="preserve"> </v>
      </c>
      <c r="R536" s="28"/>
      <c r="S536" s="28"/>
      <c r="T536" s="255" t="str">
        <f>IF(R536="","",(_xlfn.XLOOKUP(R536,Cadastros!$D$6:$D$90,Cadastros!$E$6:$E$90))*(1-_xlfn.XLOOKUP(_xlfn.XLOOKUP($F536,Clientes!$B$4:$B$39,Clientes!$C$4:$C$39),Cadastros!$L$6:$L$12,Cadastros!$N$6:$N$12)))</f>
        <v/>
      </c>
      <c r="U536" s="168" t="str">
        <f t="shared" si="107"/>
        <v/>
      </c>
      <c r="V536" s="168" t="str">
        <f>IFERROR(U536/_xlfn.XLOOKUP(_xlfn.XLOOKUP($F536,Clientes!$B$4:$B$39,Clientes!$C$4:$C$39),Cadastros!$L$6:$L$12,Cadastros!$M$6:$M$12)," ")</f>
        <v xml:space="preserve"> </v>
      </c>
      <c r="W536" s="28"/>
      <c r="X536" s="28"/>
      <c r="Y536" s="255" t="str">
        <f>IF(W536="","",(_xlfn.XLOOKUP(W536,Cadastros!$D$6:$D$90,Cadastros!$E$6:$E$90))*(1-_xlfn.XLOOKUP(_xlfn.XLOOKUP($F536,Clientes!$B$4:$B$39,Clientes!$C$4:$C$39),Cadastros!$L$6:$L$12,Cadastros!$N$6:$N$12)))</f>
        <v/>
      </c>
      <c r="Z536" s="168" t="str">
        <f t="shared" si="108"/>
        <v/>
      </c>
      <c r="AA536" s="168" t="str">
        <f>IFERROR(Z536/_xlfn.XLOOKUP(_xlfn.XLOOKUP($F536,Clientes!$B$4:$B$39,Clientes!$C$4:$C$39),Cadastros!$L$6:$L$12,Cadastros!$M$6:$M$12)," ")</f>
        <v xml:space="preserve"> </v>
      </c>
      <c r="AB536" s="28"/>
      <c r="AC536" s="28"/>
      <c r="AD536" s="20" t="str">
        <f>IF(AB536="","",IF($F536="Bernardino Furlan",_xlfn.XLOOKUP(AB536,Cadastros!$G$6:$G$90,Cadastros!$H$6:$H$90)*(1-0.18),IF($F536="Mauro José Salanti",_xlfn.XLOOKUP(AB536,Cadastros!$G$6:$G$90,Cadastros!$H$6:$H$90)*(1-0.18),_xlfn.XLOOKUP(AB536,Cadastros!$G$6:$G$90,Cadastros!$H$6:$H$90))))</f>
        <v/>
      </c>
      <c r="AE536" s="168" t="str">
        <f t="shared" si="109"/>
        <v/>
      </c>
      <c r="AF536" s="168" t="str">
        <f t="shared" si="110"/>
        <v/>
      </c>
      <c r="AG536" s="28"/>
      <c r="AH536" s="28"/>
      <c r="AI536" s="20" t="str">
        <f>IF(AG536="","",IF($F536="Bernardino Furlan",_xlfn.XLOOKUP(AG536,Cadastros!$G$6:$G$90,Cadastros!$H$6:$H$90)*(1-0.18),IF($F536="Mauro José Salanti",_xlfn.XLOOKUP(AG536,Cadastros!$G$6:$G$90,Cadastros!$H$6:$H$90)*(1-0.18),_xlfn.XLOOKUP(AG536,Cadastros!$G$6:$G$90,Cadastros!$H$6:$H$90))))</f>
        <v/>
      </c>
      <c r="AJ536" s="168" t="str">
        <f t="shared" si="111"/>
        <v/>
      </c>
      <c r="AK536" s="168" t="str">
        <f t="shared" si="112"/>
        <v/>
      </c>
      <c r="AL536" s="28"/>
      <c r="AM536" s="28"/>
      <c r="AN536" s="20" t="str">
        <f>IF(AL536="","",IF($F536="Bernardino Furlan",_xlfn.XLOOKUP(AL536,Cadastros!$G$6:$G$90,Cadastros!$H$6:$H$90)*(1-0.18),IF($F536="Mauro José Salanti",_xlfn.XLOOKUP(AL536,Cadastros!$G$6:$G$90,Cadastros!$H$6:$H$90)*(1-0.18),_xlfn.XLOOKUP(AL536,Cadastros!$G$6:$G$90,Cadastros!$H$6:$H$90))))</f>
        <v/>
      </c>
      <c r="AO536" s="168" t="str">
        <f t="shared" si="113"/>
        <v/>
      </c>
      <c r="AP536" s="168" t="str">
        <f t="shared" si="114"/>
        <v/>
      </c>
      <c r="AQ536" s="28"/>
      <c r="AR536" s="28"/>
      <c r="AS536" s="20" t="str">
        <f>IF(AQ536="","",IF($F536="Bernardino Furlan",_xlfn.XLOOKUP(AQ536,Cadastros!$G$6:$G$90,Cadastros!$H$6:$H$90)*(1-0.18),IF($F536="Mauro José Salanti",_xlfn.XLOOKUP(AQ536,Cadastros!$G$6:$G$90,Cadastros!$H$6:$H$90)*(1-0.18),_xlfn.XLOOKUP(AQ536,Cadastros!$G$6:$G$90,Cadastros!$H$6:$H$90))))</f>
        <v/>
      </c>
      <c r="AT536" s="168" t="str">
        <f t="shared" si="115"/>
        <v/>
      </c>
      <c r="AU536" s="168" t="str">
        <f t="shared" si="116"/>
        <v/>
      </c>
      <c r="AV536" s="227"/>
      <c r="AW536" s="30"/>
      <c r="AX536" s="267"/>
      <c r="AY536" s="267"/>
      <c r="AZ536" s="29"/>
      <c r="BA536" s="30"/>
      <c r="BB536" s="23" t="str" cm="1">
        <f t="array" ref="BB536">_xlfn.IFS(AW536="SIM",SUM(K536,P536,U536,Z536,AE536,AJ536,AO536,AT536,AX536,AY536),F536&lt;&gt;"",SUM(K536,P536,U536,Z536,AE536,AJ536,,AO536,AT536),F536="","")</f>
        <v/>
      </c>
      <c r="BC536" s="211" t="str" cm="1">
        <f t="array" ref="BC536">_xlfn.IFS(E536="","",G536&lt;=E536,BB536*(1-0.03),G536&lt;(E536+8),BB536,AZ536="Boleto",BB536*(1+0.001)^DATEDIF(E536,G536,"D"),AZ536="Cheque",BB536,AZ536="Dinheiro","Alterar forma pgto")</f>
        <v/>
      </c>
      <c r="BD536" s="276" t="str" cm="1">
        <f t="array" ref="BD536">IF(F536=0," ",IF(BC536&lt;BB536,(_xlfn.IFS(AW536="SIM",SUM(L536,Q536,V536,AA536,AF536,AK536,AP536,AU536)+AX536/_xlfn.XLOOKUP(_xlfn.XLOOKUP($F536,Clientes!$B$4:$B$39,Clientes!$C$4:$C$39),Cadastros!$L$6:$L$12,Cadastros!$M$6:$M$12)+IF($F536="Bernardino Furlan",AY536/2751.92,IF($F536="Mauro José Salanti",AY536/2751.92,AY536/3356)),F536&lt;&gt;0,SUM(L536,Q536,V536,AA536,AF536,AK536,AP536,AU536)))*(1-0.03),_xlfn.IFS(AW536="SIM",SUM(L536,Q536,V536,AA536,AF536,AK536,AP536,AU536)+AX536/_xlfn.XLOOKUP(_xlfn.XLOOKUP($F536,Clientes!$B$4:$B$39,Clientes!$C$4:$C$39),Cadastros!$L$6:$L$12,Cadastros!$M$6:$M$12)+IF($F536="Bernardino Furlan",AY536/2751.92,IF($F536="Mauro José Salanti",AY536/2751.92,AY536/3356)),F536&lt;&gt;0,SUM(L536,Q536,V536,AA536,AF536,AK536,AP536,AU536))))</f>
        <v xml:space="preserve"> </v>
      </c>
      <c r="BE536" s="120"/>
      <c r="BF536" s="120"/>
      <c r="BG536" s="120"/>
    </row>
    <row r="537" spans="1:59" s="3" customFormat="1" x14ac:dyDescent="0.3">
      <c r="A537" s="15" t="str">
        <f t="shared" si="104"/>
        <v/>
      </c>
      <c r="B537" s="25"/>
      <c r="C537" s="26"/>
      <c r="D537" s="279"/>
      <c r="E537" s="27"/>
      <c r="F537" s="28"/>
      <c r="G537" s="27"/>
      <c r="H537" s="28"/>
      <c r="I537" s="28"/>
      <c r="J537" s="255" t="str">
        <f>IF(H537="","",(_xlfn.XLOOKUP(H537,Cadastros!$D$6:$D$90,Cadastros!$E$6:$E$90))*(1-_xlfn.XLOOKUP(_xlfn.XLOOKUP($F537,Clientes!$B$4:$B$39,Clientes!$C$4:$C$39),Cadastros!$L$6:$L$12,Cadastros!$N$6:$N$12)))</f>
        <v/>
      </c>
      <c r="K537" s="168" t="str">
        <f t="shared" si="105"/>
        <v/>
      </c>
      <c r="L537" s="168" t="str">
        <f>IFERROR(K537/_xlfn.XLOOKUP(_xlfn.XLOOKUP($F537,Clientes!$B$4:$B$39,Clientes!$C$4:$C$39),Cadastros!$L$6:$L$12,Cadastros!$M$6:$M$12)," ")</f>
        <v xml:space="preserve"> </v>
      </c>
      <c r="M537" s="28"/>
      <c r="N537" s="28"/>
      <c r="O537" s="255" t="str">
        <f>IF(M537="","",(_xlfn.XLOOKUP(M537,Cadastros!$D$6:$D$90,Cadastros!$E$6:$E$90))*(1-_xlfn.XLOOKUP(_xlfn.XLOOKUP($F537,Clientes!$B$4:$B$39,Clientes!$C$4:$C$39),Cadastros!$L$6:$L$12,Cadastros!$N$6:$N$12)))</f>
        <v/>
      </c>
      <c r="P537" s="168" t="str">
        <f t="shared" si="106"/>
        <v/>
      </c>
      <c r="Q537" s="168" t="str">
        <f>IFERROR(P537/_xlfn.XLOOKUP(_xlfn.XLOOKUP($F537,Clientes!$B$4:$B$39,Clientes!$C$4:$C$39),Cadastros!$L$6:$L$12,Cadastros!$M$6:$M$12)," ")</f>
        <v xml:space="preserve"> </v>
      </c>
      <c r="R537" s="28"/>
      <c r="S537" s="28"/>
      <c r="T537" s="255" t="str">
        <f>IF(R537="","",(_xlfn.XLOOKUP(R537,Cadastros!$D$6:$D$90,Cadastros!$E$6:$E$90))*(1-_xlfn.XLOOKUP(_xlfn.XLOOKUP($F537,Clientes!$B$4:$B$39,Clientes!$C$4:$C$39),Cadastros!$L$6:$L$12,Cadastros!$N$6:$N$12)))</f>
        <v/>
      </c>
      <c r="U537" s="168" t="str">
        <f t="shared" si="107"/>
        <v/>
      </c>
      <c r="V537" s="168" t="str">
        <f>IFERROR(U537/_xlfn.XLOOKUP(_xlfn.XLOOKUP($F537,Clientes!$B$4:$B$39,Clientes!$C$4:$C$39),Cadastros!$L$6:$L$12,Cadastros!$M$6:$M$12)," ")</f>
        <v xml:space="preserve"> </v>
      </c>
      <c r="W537" s="28"/>
      <c r="X537" s="28"/>
      <c r="Y537" s="255" t="str">
        <f>IF(W537="","",(_xlfn.XLOOKUP(W537,Cadastros!$D$6:$D$90,Cadastros!$E$6:$E$90))*(1-_xlfn.XLOOKUP(_xlfn.XLOOKUP($F537,Clientes!$B$4:$B$39,Clientes!$C$4:$C$39),Cadastros!$L$6:$L$12,Cadastros!$N$6:$N$12)))</f>
        <v/>
      </c>
      <c r="Z537" s="168" t="str">
        <f t="shared" si="108"/>
        <v/>
      </c>
      <c r="AA537" s="168" t="str">
        <f>IFERROR(Z537/_xlfn.XLOOKUP(_xlfn.XLOOKUP($F537,Clientes!$B$4:$B$39,Clientes!$C$4:$C$39),Cadastros!$L$6:$L$12,Cadastros!$M$6:$M$12)," ")</f>
        <v xml:space="preserve"> </v>
      </c>
      <c r="AB537" s="28"/>
      <c r="AC537" s="28"/>
      <c r="AD537" s="20" t="str">
        <f>IF(AB537="","",IF($F537="Bernardino Furlan",_xlfn.XLOOKUP(AB537,Cadastros!$G$6:$G$90,Cadastros!$H$6:$H$90)*(1-0.18),IF($F537="Mauro José Salanti",_xlfn.XLOOKUP(AB537,Cadastros!$G$6:$G$90,Cadastros!$H$6:$H$90)*(1-0.18),_xlfn.XLOOKUP(AB537,Cadastros!$G$6:$G$90,Cadastros!$H$6:$H$90))))</f>
        <v/>
      </c>
      <c r="AE537" s="168" t="str">
        <f t="shared" si="109"/>
        <v/>
      </c>
      <c r="AF537" s="168" t="str">
        <f t="shared" si="110"/>
        <v/>
      </c>
      <c r="AG537" s="28"/>
      <c r="AH537" s="28"/>
      <c r="AI537" s="20" t="str">
        <f>IF(AG537="","",IF($F537="Bernardino Furlan",_xlfn.XLOOKUP(AG537,Cadastros!$G$6:$G$90,Cadastros!$H$6:$H$90)*(1-0.18),IF($F537="Mauro José Salanti",_xlfn.XLOOKUP(AG537,Cadastros!$G$6:$G$90,Cadastros!$H$6:$H$90)*(1-0.18),_xlfn.XLOOKUP(AG537,Cadastros!$G$6:$G$90,Cadastros!$H$6:$H$90))))</f>
        <v/>
      </c>
      <c r="AJ537" s="168" t="str">
        <f t="shared" si="111"/>
        <v/>
      </c>
      <c r="AK537" s="168" t="str">
        <f t="shared" si="112"/>
        <v/>
      </c>
      <c r="AL537" s="28"/>
      <c r="AM537" s="28"/>
      <c r="AN537" s="20" t="str">
        <f>IF(AL537="","",IF($F537="Bernardino Furlan",_xlfn.XLOOKUP(AL537,Cadastros!$G$6:$G$90,Cadastros!$H$6:$H$90)*(1-0.18),IF($F537="Mauro José Salanti",_xlfn.XLOOKUP(AL537,Cadastros!$G$6:$G$90,Cadastros!$H$6:$H$90)*(1-0.18),_xlfn.XLOOKUP(AL537,Cadastros!$G$6:$G$90,Cadastros!$H$6:$H$90))))</f>
        <v/>
      </c>
      <c r="AO537" s="168" t="str">
        <f t="shared" si="113"/>
        <v/>
      </c>
      <c r="AP537" s="168" t="str">
        <f t="shared" si="114"/>
        <v/>
      </c>
      <c r="AQ537" s="28"/>
      <c r="AR537" s="28"/>
      <c r="AS537" s="20" t="str">
        <f>IF(AQ537="","",IF($F537="Bernardino Furlan",_xlfn.XLOOKUP(AQ537,Cadastros!$G$6:$G$90,Cadastros!$H$6:$H$90)*(1-0.18),IF($F537="Mauro José Salanti",_xlfn.XLOOKUP(AQ537,Cadastros!$G$6:$G$90,Cadastros!$H$6:$H$90)*(1-0.18),_xlfn.XLOOKUP(AQ537,Cadastros!$G$6:$G$90,Cadastros!$H$6:$H$90))))</f>
        <v/>
      </c>
      <c r="AT537" s="168" t="str">
        <f t="shared" si="115"/>
        <v/>
      </c>
      <c r="AU537" s="168" t="str">
        <f t="shared" si="116"/>
        <v/>
      </c>
      <c r="AV537" s="227"/>
      <c r="AW537" s="30"/>
      <c r="AX537" s="267"/>
      <c r="AY537" s="267"/>
      <c r="AZ537" s="29"/>
      <c r="BA537" s="30"/>
      <c r="BB537" s="23" t="str" cm="1">
        <f t="array" ref="BB537">_xlfn.IFS(AW537="SIM",SUM(K537,P537,U537,Z537,AE537,AJ537,AO537,AT537,AX537,AY537),F537&lt;&gt;"",SUM(K537,P537,U537,Z537,AE537,AJ537,,AO537,AT537),F537="","")</f>
        <v/>
      </c>
      <c r="BC537" s="211" t="str" cm="1">
        <f t="array" ref="BC537">_xlfn.IFS(E537="","",G537&lt;=E537,BB537*(1-0.03),G537&lt;(E537+8),BB537,AZ537="Boleto",BB537*(1+0.001)^DATEDIF(E537,G537,"D"),AZ537="Cheque",BB537,AZ537="Dinheiro","Alterar forma pgto")</f>
        <v/>
      </c>
      <c r="BD537" s="276" t="str" cm="1">
        <f t="array" ref="BD537">IF(F537=0," ",IF(BC537&lt;BB537,(_xlfn.IFS(AW537="SIM",SUM(L537,Q537,V537,AA537,AF537,AK537,AP537,AU537)+AX537/_xlfn.XLOOKUP(_xlfn.XLOOKUP($F537,Clientes!$B$4:$B$39,Clientes!$C$4:$C$39),Cadastros!$L$6:$L$12,Cadastros!$M$6:$M$12)+IF($F537="Bernardino Furlan",AY537/2751.92,IF($F537="Mauro José Salanti",AY537/2751.92,AY537/3356)),F537&lt;&gt;0,SUM(L537,Q537,V537,AA537,AF537,AK537,AP537,AU537)))*(1-0.03),_xlfn.IFS(AW537="SIM",SUM(L537,Q537,V537,AA537,AF537,AK537,AP537,AU537)+AX537/_xlfn.XLOOKUP(_xlfn.XLOOKUP($F537,Clientes!$B$4:$B$39,Clientes!$C$4:$C$39),Cadastros!$L$6:$L$12,Cadastros!$M$6:$M$12)+IF($F537="Bernardino Furlan",AY537/2751.92,IF($F537="Mauro José Salanti",AY537/2751.92,AY537/3356)),F537&lt;&gt;0,SUM(L537,Q537,V537,AA537,AF537,AK537,AP537,AU537))))</f>
        <v xml:space="preserve"> </v>
      </c>
      <c r="BE537" s="120"/>
      <c r="BF537" s="120"/>
      <c r="BG537" s="120"/>
    </row>
    <row r="538" spans="1:59" s="3" customFormat="1" x14ac:dyDescent="0.3">
      <c r="A538" s="15" t="str">
        <f t="shared" si="104"/>
        <v/>
      </c>
      <c r="B538" s="25"/>
      <c r="C538" s="26"/>
      <c r="D538" s="279"/>
      <c r="E538" s="27"/>
      <c r="F538" s="28"/>
      <c r="G538" s="27"/>
      <c r="H538" s="28"/>
      <c r="I538" s="28"/>
      <c r="J538" s="255" t="str">
        <f>IF(H538="","",(_xlfn.XLOOKUP(H538,Cadastros!$D$6:$D$90,Cadastros!$E$6:$E$90))*(1-_xlfn.XLOOKUP(_xlfn.XLOOKUP($F538,Clientes!$B$4:$B$39,Clientes!$C$4:$C$39),Cadastros!$L$6:$L$12,Cadastros!$N$6:$N$12)))</f>
        <v/>
      </c>
      <c r="K538" s="168" t="str">
        <f t="shared" si="105"/>
        <v/>
      </c>
      <c r="L538" s="168" t="str">
        <f>IFERROR(K538/_xlfn.XLOOKUP(_xlfn.XLOOKUP($F538,Clientes!$B$4:$B$39,Clientes!$C$4:$C$39),Cadastros!$L$6:$L$12,Cadastros!$M$6:$M$12)," ")</f>
        <v xml:space="preserve"> </v>
      </c>
      <c r="M538" s="28"/>
      <c r="N538" s="28"/>
      <c r="O538" s="255" t="str">
        <f>IF(M538="","",(_xlfn.XLOOKUP(M538,Cadastros!$D$6:$D$90,Cadastros!$E$6:$E$90))*(1-_xlfn.XLOOKUP(_xlfn.XLOOKUP($F538,Clientes!$B$4:$B$39,Clientes!$C$4:$C$39),Cadastros!$L$6:$L$12,Cadastros!$N$6:$N$12)))</f>
        <v/>
      </c>
      <c r="P538" s="168" t="str">
        <f t="shared" si="106"/>
        <v/>
      </c>
      <c r="Q538" s="168" t="str">
        <f>IFERROR(P538/_xlfn.XLOOKUP(_xlfn.XLOOKUP($F538,Clientes!$B$4:$B$39,Clientes!$C$4:$C$39),Cadastros!$L$6:$L$12,Cadastros!$M$6:$M$12)," ")</f>
        <v xml:space="preserve"> </v>
      </c>
      <c r="R538" s="28"/>
      <c r="S538" s="28"/>
      <c r="T538" s="255" t="str">
        <f>IF(R538="","",(_xlfn.XLOOKUP(R538,Cadastros!$D$6:$D$90,Cadastros!$E$6:$E$90))*(1-_xlfn.XLOOKUP(_xlfn.XLOOKUP($F538,Clientes!$B$4:$B$39,Clientes!$C$4:$C$39),Cadastros!$L$6:$L$12,Cadastros!$N$6:$N$12)))</f>
        <v/>
      </c>
      <c r="U538" s="168" t="str">
        <f t="shared" si="107"/>
        <v/>
      </c>
      <c r="V538" s="168" t="str">
        <f>IFERROR(U538/_xlfn.XLOOKUP(_xlfn.XLOOKUP($F538,Clientes!$B$4:$B$39,Clientes!$C$4:$C$39),Cadastros!$L$6:$L$12,Cadastros!$M$6:$M$12)," ")</f>
        <v xml:space="preserve"> </v>
      </c>
      <c r="W538" s="28"/>
      <c r="X538" s="28"/>
      <c r="Y538" s="255" t="str">
        <f>IF(W538="","",(_xlfn.XLOOKUP(W538,Cadastros!$D$6:$D$90,Cadastros!$E$6:$E$90))*(1-_xlfn.XLOOKUP(_xlfn.XLOOKUP($F538,Clientes!$B$4:$B$39,Clientes!$C$4:$C$39),Cadastros!$L$6:$L$12,Cadastros!$N$6:$N$12)))</f>
        <v/>
      </c>
      <c r="Z538" s="168" t="str">
        <f t="shared" si="108"/>
        <v/>
      </c>
      <c r="AA538" s="168" t="str">
        <f>IFERROR(Z538/_xlfn.XLOOKUP(_xlfn.XLOOKUP($F538,Clientes!$B$4:$B$39,Clientes!$C$4:$C$39),Cadastros!$L$6:$L$12,Cadastros!$M$6:$M$12)," ")</f>
        <v xml:space="preserve"> </v>
      </c>
      <c r="AB538" s="28"/>
      <c r="AC538" s="28"/>
      <c r="AD538" s="20" t="str">
        <f>IF(AB538="","",IF($F538="Bernardino Furlan",_xlfn.XLOOKUP(AB538,Cadastros!$G$6:$G$90,Cadastros!$H$6:$H$90)*(1-0.18),IF($F538="Mauro José Salanti",_xlfn.XLOOKUP(AB538,Cadastros!$G$6:$G$90,Cadastros!$H$6:$H$90)*(1-0.18),_xlfn.XLOOKUP(AB538,Cadastros!$G$6:$G$90,Cadastros!$H$6:$H$90))))</f>
        <v/>
      </c>
      <c r="AE538" s="168" t="str">
        <f t="shared" si="109"/>
        <v/>
      </c>
      <c r="AF538" s="168" t="str">
        <f t="shared" si="110"/>
        <v/>
      </c>
      <c r="AG538" s="28"/>
      <c r="AH538" s="28"/>
      <c r="AI538" s="20" t="str">
        <f>IF(AG538="","",IF($F538="Bernardino Furlan",_xlfn.XLOOKUP(AG538,Cadastros!$G$6:$G$90,Cadastros!$H$6:$H$90)*(1-0.18),IF($F538="Mauro José Salanti",_xlfn.XLOOKUP(AG538,Cadastros!$G$6:$G$90,Cadastros!$H$6:$H$90)*(1-0.18),_xlfn.XLOOKUP(AG538,Cadastros!$G$6:$G$90,Cadastros!$H$6:$H$90))))</f>
        <v/>
      </c>
      <c r="AJ538" s="168" t="str">
        <f t="shared" si="111"/>
        <v/>
      </c>
      <c r="AK538" s="168" t="str">
        <f t="shared" si="112"/>
        <v/>
      </c>
      <c r="AL538" s="28"/>
      <c r="AM538" s="28"/>
      <c r="AN538" s="20" t="str">
        <f>IF(AL538="","",IF($F538="Bernardino Furlan",_xlfn.XLOOKUP(AL538,Cadastros!$G$6:$G$90,Cadastros!$H$6:$H$90)*(1-0.18),IF($F538="Mauro José Salanti",_xlfn.XLOOKUP(AL538,Cadastros!$G$6:$G$90,Cadastros!$H$6:$H$90)*(1-0.18),_xlfn.XLOOKUP(AL538,Cadastros!$G$6:$G$90,Cadastros!$H$6:$H$90))))</f>
        <v/>
      </c>
      <c r="AO538" s="168" t="str">
        <f t="shared" si="113"/>
        <v/>
      </c>
      <c r="AP538" s="168" t="str">
        <f t="shared" si="114"/>
        <v/>
      </c>
      <c r="AQ538" s="28"/>
      <c r="AR538" s="28"/>
      <c r="AS538" s="20" t="str">
        <f>IF(AQ538="","",IF($F538="Bernardino Furlan",_xlfn.XLOOKUP(AQ538,Cadastros!$G$6:$G$90,Cadastros!$H$6:$H$90)*(1-0.18),IF($F538="Mauro José Salanti",_xlfn.XLOOKUP(AQ538,Cadastros!$G$6:$G$90,Cadastros!$H$6:$H$90)*(1-0.18),_xlfn.XLOOKUP(AQ538,Cadastros!$G$6:$G$90,Cadastros!$H$6:$H$90))))</f>
        <v/>
      </c>
      <c r="AT538" s="168" t="str">
        <f t="shared" si="115"/>
        <v/>
      </c>
      <c r="AU538" s="168" t="str">
        <f t="shared" si="116"/>
        <v/>
      </c>
      <c r="AV538" s="227"/>
      <c r="AW538" s="30"/>
      <c r="AX538" s="267"/>
      <c r="AY538" s="267"/>
      <c r="AZ538" s="29"/>
      <c r="BA538" s="30"/>
      <c r="BB538" s="23" t="str" cm="1">
        <f t="array" ref="BB538">_xlfn.IFS(AW538="SIM",SUM(K538,P538,U538,Z538,AE538,AJ538,AO538,AT538,AX538,AY538),F538&lt;&gt;"",SUM(K538,P538,U538,Z538,AE538,AJ538,,AO538,AT538),F538="","")</f>
        <v/>
      </c>
      <c r="BC538" s="211" t="str" cm="1">
        <f t="array" ref="BC538">_xlfn.IFS(E538="","",G538&lt;=E538,BB538*(1-0.03),G538&lt;(E538+8),BB538,AZ538="Boleto",BB538*(1+0.001)^DATEDIF(E538,G538,"D"),AZ538="Cheque",BB538,AZ538="Dinheiro","Alterar forma pgto")</f>
        <v/>
      </c>
      <c r="BD538" s="276" t="str" cm="1">
        <f t="array" ref="BD538">IF(F538=0," ",IF(BC538&lt;BB538,(_xlfn.IFS(AW538="SIM",SUM(L538,Q538,V538,AA538,AF538,AK538,AP538,AU538)+AX538/_xlfn.XLOOKUP(_xlfn.XLOOKUP($F538,Clientes!$B$4:$B$39,Clientes!$C$4:$C$39),Cadastros!$L$6:$L$12,Cadastros!$M$6:$M$12)+IF($F538="Bernardino Furlan",AY538/2751.92,IF($F538="Mauro José Salanti",AY538/2751.92,AY538/3356)),F538&lt;&gt;0,SUM(L538,Q538,V538,AA538,AF538,AK538,AP538,AU538)))*(1-0.03),_xlfn.IFS(AW538="SIM",SUM(L538,Q538,V538,AA538,AF538,AK538,AP538,AU538)+AX538/_xlfn.XLOOKUP(_xlfn.XLOOKUP($F538,Clientes!$B$4:$B$39,Clientes!$C$4:$C$39),Cadastros!$L$6:$L$12,Cadastros!$M$6:$M$12)+IF($F538="Bernardino Furlan",AY538/2751.92,IF($F538="Mauro José Salanti",AY538/2751.92,AY538/3356)),F538&lt;&gt;0,SUM(L538,Q538,V538,AA538,AF538,AK538,AP538,AU538))))</f>
        <v xml:space="preserve"> </v>
      </c>
      <c r="BE538" s="120"/>
      <c r="BF538" s="120"/>
      <c r="BG538" s="120"/>
    </row>
    <row r="539" spans="1:59" s="3" customFormat="1" x14ac:dyDescent="0.3">
      <c r="A539" s="15" t="str">
        <f t="shared" si="104"/>
        <v/>
      </c>
      <c r="B539" s="25"/>
      <c r="C539" s="26"/>
      <c r="D539" s="279"/>
      <c r="E539" s="27"/>
      <c r="F539" s="28"/>
      <c r="G539" s="27"/>
      <c r="H539" s="28"/>
      <c r="I539" s="28"/>
      <c r="J539" s="255" t="str">
        <f>IF(H539="","",(_xlfn.XLOOKUP(H539,Cadastros!$D$6:$D$90,Cadastros!$E$6:$E$90))*(1-_xlfn.XLOOKUP(_xlfn.XLOOKUP($F539,Clientes!$B$4:$B$39,Clientes!$C$4:$C$39),Cadastros!$L$6:$L$12,Cadastros!$N$6:$N$12)))</f>
        <v/>
      </c>
      <c r="K539" s="168" t="str">
        <f t="shared" si="105"/>
        <v/>
      </c>
      <c r="L539" s="168" t="str">
        <f>IFERROR(K539/_xlfn.XLOOKUP(_xlfn.XLOOKUP($F539,Clientes!$B$4:$B$39,Clientes!$C$4:$C$39),Cadastros!$L$6:$L$12,Cadastros!$M$6:$M$12)," ")</f>
        <v xml:space="preserve"> </v>
      </c>
      <c r="M539" s="28"/>
      <c r="N539" s="28"/>
      <c r="O539" s="255" t="str">
        <f>IF(M539="","",(_xlfn.XLOOKUP(M539,Cadastros!$D$6:$D$90,Cadastros!$E$6:$E$90))*(1-_xlfn.XLOOKUP(_xlfn.XLOOKUP($F539,Clientes!$B$4:$B$39,Clientes!$C$4:$C$39),Cadastros!$L$6:$L$12,Cadastros!$N$6:$N$12)))</f>
        <v/>
      </c>
      <c r="P539" s="168" t="str">
        <f t="shared" si="106"/>
        <v/>
      </c>
      <c r="Q539" s="168" t="str">
        <f>IFERROR(P539/_xlfn.XLOOKUP(_xlfn.XLOOKUP($F539,Clientes!$B$4:$B$39,Clientes!$C$4:$C$39),Cadastros!$L$6:$L$12,Cadastros!$M$6:$M$12)," ")</f>
        <v xml:space="preserve"> </v>
      </c>
      <c r="R539" s="28"/>
      <c r="S539" s="28"/>
      <c r="T539" s="255" t="str">
        <f>IF(R539="","",(_xlfn.XLOOKUP(R539,Cadastros!$D$6:$D$90,Cadastros!$E$6:$E$90))*(1-_xlfn.XLOOKUP(_xlfn.XLOOKUP($F539,Clientes!$B$4:$B$39,Clientes!$C$4:$C$39),Cadastros!$L$6:$L$12,Cadastros!$N$6:$N$12)))</f>
        <v/>
      </c>
      <c r="U539" s="168" t="str">
        <f t="shared" si="107"/>
        <v/>
      </c>
      <c r="V539" s="168" t="str">
        <f>IFERROR(U539/_xlfn.XLOOKUP(_xlfn.XLOOKUP($F539,Clientes!$B$4:$B$39,Clientes!$C$4:$C$39),Cadastros!$L$6:$L$12,Cadastros!$M$6:$M$12)," ")</f>
        <v xml:space="preserve"> </v>
      </c>
      <c r="W539" s="28"/>
      <c r="X539" s="28"/>
      <c r="Y539" s="255" t="str">
        <f>IF(W539="","",(_xlfn.XLOOKUP(W539,Cadastros!$D$6:$D$90,Cadastros!$E$6:$E$90))*(1-_xlfn.XLOOKUP(_xlfn.XLOOKUP($F539,Clientes!$B$4:$B$39,Clientes!$C$4:$C$39),Cadastros!$L$6:$L$12,Cadastros!$N$6:$N$12)))</f>
        <v/>
      </c>
      <c r="Z539" s="168" t="str">
        <f t="shared" si="108"/>
        <v/>
      </c>
      <c r="AA539" s="168" t="str">
        <f>IFERROR(Z539/_xlfn.XLOOKUP(_xlfn.XLOOKUP($F539,Clientes!$B$4:$B$39,Clientes!$C$4:$C$39),Cadastros!$L$6:$L$12,Cadastros!$M$6:$M$12)," ")</f>
        <v xml:space="preserve"> </v>
      </c>
      <c r="AB539" s="28"/>
      <c r="AC539" s="28"/>
      <c r="AD539" s="20" t="str">
        <f>IF(AB539="","",IF($F539="Bernardino Furlan",_xlfn.XLOOKUP(AB539,Cadastros!$G$6:$G$90,Cadastros!$H$6:$H$90)*(1-0.18),IF($F539="Mauro José Salanti",_xlfn.XLOOKUP(AB539,Cadastros!$G$6:$G$90,Cadastros!$H$6:$H$90)*(1-0.18),_xlfn.XLOOKUP(AB539,Cadastros!$G$6:$G$90,Cadastros!$H$6:$H$90))))</f>
        <v/>
      </c>
      <c r="AE539" s="168" t="str">
        <f t="shared" si="109"/>
        <v/>
      </c>
      <c r="AF539" s="168" t="str">
        <f t="shared" si="110"/>
        <v/>
      </c>
      <c r="AG539" s="28"/>
      <c r="AH539" s="28"/>
      <c r="AI539" s="20" t="str">
        <f>IF(AG539="","",IF($F539="Bernardino Furlan",_xlfn.XLOOKUP(AG539,Cadastros!$G$6:$G$90,Cadastros!$H$6:$H$90)*(1-0.18),IF($F539="Mauro José Salanti",_xlfn.XLOOKUP(AG539,Cadastros!$G$6:$G$90,Cadastros!$H$6:$H$90)*(1-0.18),_xlfn.XLOOKUP(AG539,Cadastros!$G$6:$G$90,Cadastros!$H$6:$H$90))))</f>
        <v/>
      </c>
      <c r="AJ539" s="168" t="str">
        <f t="shared" si="111"/>
        <v/>
      </c>
      <c r="AK539" s="168" t="str">
        <f t="shared" si="112"/>
        <v/>
      </c>
      <c r="AL539" s="28"/>
      <c r="AM539" s="28"/>
      <c r="AN539" s="20" t="str">
        <f>IF(AL539="","",IF($F539="Bernardino Furlan",_xlfn.XLOOKUP(AL539,Cadastros!$G$6:$G$90,Cadastros!$H$6:$H$90)*(1-0.18),IF($F539="Mauro José Salanti",_xlfn.XLOOKUP(AL539,Cadastros!$G$6:$G$90,Cadastros!$H$6:$H$90)*(1-0.18),_xlfn.XLOOKUP(AL539,Cadastros!$G$6:$G$90,Cadastros!$H$6:$H$90))))</f>
        <v/>
      </c>
      <c r="AO539" s="168" t="str">
        <f t="shared" si="113"/>
        <v/>
      </c>
      <c r="AP539" s="168" t="str">
        <f t="shared" si="114"/>
        <v/>
      </c>
      <c r="AQ539" s="28"/>
      <c r="AR539" s="28"/>
      <c r="AS539" s="20" t="str">
        <f>IF(AQ539="","",IF($F539="Bernardino Furlan",_xlfn.XLOOKUP(AQ539,Cadastros!$G$6:$G$90,Cadastros!$H$6:$H$90)*(1-0.18),IF($F539="Mauro José Salanti",_xlfn.XLOOKUP(AQ539,Cadastros!$G$6:$G$90,Cadastros!$H$6:$H$90)*(1-0.18),_xlfn.XLOOKUP(AQ539,Cadastros!$G$6:$G$90,Cadastros!$H$6:$H$90))))</f>
        <v/>
      </c>
      <c r="AT539" s="168" t="str">
        <f t="shared" si="115"/>
        <v/>
      </c>
      <c r="AU539" s="168" t="str">
        <f t="shared" si="116"/>
        <v/>
      </c>
      <c r="AV539" s="227"/>
      <c r="AW539" s="30"/>
      <c r="AX539" s="267"/>
      <c r="AY539" s="267"/>
      <c r="AZ539" s="29"/>
      <c r="BA539" s="30"/>
      <c r="BB539" s="23" t="str" cm="1">
        <f t="array" ref="BB539">_xlfn.IFS(AW539="SIM",SUM(K539,P539,U539,Z539,AE539,AJ539,AO539,AT539,AX539,AY539),F539&lt;&gt;"",SUM(K539,P539,U539,Z539,AE539,AJ539,,AO539,AT539),F539="","")</f>
        <v/>
      </c>
      <c r="BC539" s="211" t="str" cm="1">
        <f t="array" ref="BC539">_xlfn.IFS(E539="","",G539&lt;=E539,BB539*(1-0.03),G539&lt;(E539+8),BB539,AZ539="Boleto",BB539*(1+0.001)^DATEDIF(E539,G539,"D"),AZ539="Cheque",BB539,AZ539="Dinheiro","Alterar forma pgto")</f>
        <v/>
      </c>
      <c r="BD539" s="276" t="str" cm="1">
        <f t="array" ref="BD539">IF(F539=0," ",IF(BC539&lt;BB539,(_xlfn.IFS(AW539="SIM",SUM(L539,Q539,V539,AA539,AF539,AK539,AP539,AU539)+AX539/_xlfn.XLOOKUP(_xlfn.XLOOKUP($F539,Clientes!$B$4:$B$39,Clientes!$C$4:$C$39),Cadastros!$L$6:$L$12,Cadastros!$M$6:$M$12)+IF($F539="Bernardino Furlan",AY539/2751.92,IF($F539="Mauro José Salanti",AY539/2751.92,AY539/3356)),F539&lt;&gt;0,SUM(L539,Q539,V539,AA539,AF539,AK539,AP539,AU539)))*(1-0.03),_xlfn.IFS(AW539="SIM",SUM(L539,Q539,V539,AA539,AF539,AK539,AP539,AU539)+AX539/_xlfn.XLOOKUP(_xlfn.XLOOKUP($F539,Clientes!$B$4:$B$39,Clientes!$C$4:$C$39),Cadastros!$L$6:$L$12,Cadastros!$M$6:$M$12)+IF($F539="Bernardino Furlan",AY539/2751.92,IF($F539="Mauro José Salanti",AY539/2751.92,AY539/3356)),F539&lt;&gt;0,SUM(L539,Q539,V539,AA539,AF539,AK539,AP539,AU539))))</f>
        <v xml:space="preserve"> </v>
      </c>
      <c r="BE539" s="120"/>
      <c r="BF539" s="120"/>
      <c r="BG539" s="120"/>
    </row>
    <row r="540" spans="1:59" s="3" customFormat="1" x14ac:dyDescent="0.3">
      <c r="A540" s="15" t="str">
        <f t="shared" si="104"/>
        <v/>
      </c>
      <c r="B540" s="25"/>
      <c r="C540" s="26"/>
      <c r="D540" s="279"/>
      <c r="E540" s="27"/>
      <c r="F540" s="28"/>
      <c r="G540" s="27"/>
      <c r="H540" s="28"/>
      <c r="I540" s="28"/>
      <c r="J540" s="255" t="str">
        <f>IF(H540="","",(_xlfn.XLOOKUP(H540,Cadastros!$D$6:$D$90,Cadastros!$E$6:$E$90))*(1-_xlfn.XLOOKUP(_xlfn.XLOOKUP($F540,Clientes!$B$4:$B$39,Clientes!$C$4:$C$39),Cadastros!$L$6:$L$12,Cadastros!$N$6:$N$12)))</f>
        <v/>
      </c>
      <c r="K540" s="168" t="str">
        <f t="shared" si="105"/>
        <v/>
      </c>
      <c r="L540" s="168" t="str">
        <f>IFERROR(K540/_xlfn.XLOOKUP(_xlfn.XLOOKUP($F540,Clientes!$B$4:$B$39,Clientes!$C$4:$C$39),Cadastros!$L$6:$L$12,Cadastros!$M$6:$M$12)," ")</f>
        <v xml:space="preserve"> </v>
      </c>
      <c r="M540" s="28"/>
      <c r="N540" s="28"/>
      <c r="O540" s="255" t="str">
        <f>IF(M540="","",(_xlfn.XLOOKUP(M540,Cadastros!$D$6:$D$90,Cadastros!$E$6:$E$90))*(1-_xlfn.XLOOKUP(_xlfn.XLOOKUP($F540,Clientes!$B$4:$B$39,Clientes!$C$4:$C$39),Cadastros!$L$6:$L$12,Cadastros!$N$6:$N$12)))</f>
        <v/>
      </c>
      <c r="P540" s="168" t="str">
        <f t="shared" si="106"/>
        <v/>
      </c>
      <c r="Q540" s="168" t="str">
        <f>IFERROR(P540/_xlfn.XLOOKUP(_xlfn.XLOOKUP($F540,Clientes!$B$4:$B$39,Clientes!$C$4:$C$39),Cadastros!$L$6:$L$12,Cadastros!$M$6:$M$12)," ")</f>
        <v xml:space="preserve"> </v>
      </c>
      <c r="R540" s="28"/>
      <c r="S540" s="28"/>
      <c r="T540" s="255" t="str">
        <f>IF(R540="","",(_xlfn.XLOOKUP(R540,Cadastros!$D$6:$D$90,Cadastros!$E$6:$E$90))*(1-_xlfn.XLOOKUP(_xlfn.XLOOKUP($F540,Clientes!$B$4:$B$39,Clientes!$C$4:$C$39),Cadastros!$L$6:$L$12,Cadastros!$N$6:$N$12)))</f>
        <v/>
      </c>
      <c r="U540" s="168" t="str">
        <f t="shared" si="107"/>
        <v/>
      </c>
      <c r="V540" s="168" t="str">
        <f>IFERROR(U540/_xlfn.XLOOKUP(_xlfn.XLOOKUP($F540,Clientes!$B$4:$B$39,Clientes!$C$4:$C$39),Cadastros!$L$6:$L$12,Cadastros!$M$6:$M$12)," ")</f>
        <v xml:space="preserve"> </v>
      </c>
      <c r="W540" s="28"/>
      <c r="X540" s="28"/>
      <c r="Y540" s="255" t="str">
        <f>IF(W540="","",(_xlfn.XLOOKUP(W540,Cadastros!$D$6:$D$90,Cadastros!$E$6:$E$90))*(1-_xlfn.XLOOKUP(_xlfn.XLOOKUP($F540,Clientes!$B$4:$B$39,Clientes!$C$4:$C$39),Cadastros!$L$6:$L$12,Cadastros!$N$6:$N$12)))</f>
        <v/>
      </c>
      <c r="Z540" s="168" t="str">
        <f t="shared" si="108"/>
        <v/>
      </c>
      <c r="AA540" s="168" t="str">
        <f>IFERROR(Z540/_xlfn.XLOOKUP(_xlfn.XLOOKUP($F540,Clientes!$B$4:$B$39,Clientes!$C$4:$C$39),Cadastros!$L$6:$L$12,Cadastros!$M$6:$M$12)," ")</f>
        <v xml:space="preserve"> </v>
      </c>
      <c r="AB540" s="28"/>
      <c r="AC540" s="28"/>
      <c r="AD540" s="20" t="str">
        <f>IF(AB540="","",IF($F540="Bernardino Furlan",_xlfn.XLOOKUP(AB540,Cadastros!$G$6:$G$90,Cadastros!$H$6:$H$90)*(1-0.18),IF($F540="Mauro José Salanti",_xlfn.XLOOKUP(AB540,Cadastros!$G$6:$G$90,Cadastros!$H$6:$H$90)*(1-0.18),_xlfn.XLOOKUP(AB540,Cadastros!$G$6:$G$90,Cadastros!$H$6:$H$90))))</f>
        <v/>
      </c>
      <c r="AE540" s="168" t="str">
        <f t="shared" si="109"/>
        <v/>
      </c>
      <c r="AF540" s="168" t="str">
        <f t="shared" si="110"/>
        <v/>
      </c>
      <c r="AG540" s="28"/>
      <c r="AH540" s="28"/>
      <c r="AI540" s="20" t="str">
        <f>IF(AG540="","",IF($F540="Bernardino Furlan",_xlfn.XLOOKUP(AG540,Cadastros!$G$6:$G$90,Cadastros!$H$6:$H$90)*(1-0.18),IF($F540="Mauro José Salanti",_xlfn.XLOOKUP(AG540,Cadastros!$G$6:$G$90,Cadastros!$H$6:$H$90)*(1-0.18),_xlfn.XLOOKUP(AG540,Cadastros!$G$6:$G$90,Cadastros!$H$6:$H$90))))</f>
        <v/>
      </c>
      <c r="AJ540" s="168" t="str">
        <f t="shared" si="111"/>
        <v/>
      </c>
      <c r="AK540" s="168" t="str">
        <f t="shared" si="112"/>
        <v/>
      </c>
      <c r="AL540" s="28"/>
      <c r="AM540" s="28"/>
      <c r="AN540" s="20" t="str">
        <f>IF(AL540="","",IF($F540="Bernardino Furlan",_xlfn.XLOOKUP(AL540,Cadastros!$G$6:$G$90,Cadastros!$H$6:$H$90)*(1-0.18),IF($F540="Mauro José Salanti",_xlfn.XLOOKUP(AL540,Cadastros!$G$6:$G$90,Cadastros!$H$6:$H$90)*(1-0.18),_xlfn.XLOOKUP(AL540,Cadastros!$G$6:$G$90,Cadastros!$H$6:$H$90))))</f>
        <v/>
      </c>
      <c r="AO540" s="168" t="str">
        <f t="shared" si="113"/>
        <v/>
      </c>
      <c r="AP540" s="168" t="str">
        <f t="shared" si="114"/>
        <v/>
      </c>
      <c r="AQ540" s="28"/>
      <c r="AR540" s="28"/>
      <c r="AS540" s="20" t="str">
        <f>IF(AQ540="","",IF($F540="Bernardino Furlan",_xlfn.XLOOKUP(AQ540,Cadastros!$G$6:$G$90,Cadastros!$H$6:$H$90)*(1-0.18),IF($F540="Mauro José Salanti",_xlfn.XLOOKUP(AQ540,Cadastros!$G$6:$G$90,Cadastros!$H$6:$H$90)*(1-0.18),_xlfn.XLOOKUP(AQ540,Cadastros!$G$6:$G$90,Cadastros!$H$6:$H$90))))</f>
        <v/>
      </c>
      <c r="AT540" s="168" t="str">
        <f t="shared" si="115"/>
        <v/>
      </c>
      <c r="AU540" s="168" t="str">
        <f t="shared" si="116"/>
        <v/>
      </c>
      <c r="AV540" s="227"/>
      <c r="AW540" s="30"/>
      <c r="AX540" s="267"/>
      <c r="AY540" s="267"/>
      <c r="AZ540" s="29"/>
      <c r="BA540" s="30"/>
      <c r="BB540" s="23" t="str" cm="1">
        <f t="array" ref="BB540">_xlfn.IFS(AW540="SIM",SUM(K540,P540,U540,Z540,AE540,AJ540,AO540,AT540,AX540,AY540),F540&lt;&gt;"",SUM(K540,P540,U540,Z540,AE540,AJ540,,AO540,AT540),F540="","")</f>
        <v/>
      </c>
      <c r="BC540" s="211" t="str" cm="1">
        <f t="array" ref="BC540">_xlfn.IFS(E540="","",G540&lt;=E540,BB540*(1-0.03),G540&lt;(E540+8),BB540,AZ540="Boleto",BB540*(1+0.001)^DATEDIF(E540,G540,"D"),AZ540="Cheque",BB540,AZ540="Dinheiro","Alterar forma pgto")</f>
        <v/>
      </c>
      <c r="BD540" s="276" t="str" cm="1">
        <f t="array" ref="BD540">IF(F540=0," ",IF(BC540&lt;BB540,(_xlfn.IFS(AW540="SIM",SUM(L540,Q540,V540,AA540,AF540,AK540,AP540,AU540)+AX540/_xlfn.XLOOKUP(_xlfn.XLOOKUP($F540,Clientes!$B$4:$B$39,Clientes!$C$4:$C$39),Cadastros!$L$6:$L$12,Cadastros!$M$6:$M$12)+IF($F540="Bernardino Furlan",AY540/2751.92,IF($F540="Mauro José Salanti",AY540/2751.92,AY540/3356)),F540&lt;&gt;0,SUM(L540,Q540,V540,AA540,AF540,AK540,AP540,AU540)))*(1-0.03),_xlfn.IFS(AW540="SIM",SUM(L540,Q540,V540,AA540,AF540,AK540,AP540,AU540)+AX540/_xlfn.XLOOKUP(_xlfn.XLOOKUP($F540,Clientes!$B$4:$B$39,Clientes!$C$4:$C$39),Cadastros!$L$6:$L$12,Cadastros!$M$6:$M$12)+IF($F540="Bernardino Furlan",AY540/2751.92,IF($F540="Mauro José Salanti",AY540/2751.92,AY540/3356)),F540&lt;&gt;0,SUM(L540,Q540,V540,AA540,AF540,AK540,AP540,AU540))))</f>
        <v xml:space="preserve"> </v>
      </c>
      <c r="BE540" s="120"/>
      <c r="BF540" s="120"/>
      <c r="BG540" s="120"/>
    </row>
    <row r="541" spans="1:59" s="3" customFormat="1" x14ac:dyDescent="0.3">
      <c r="A541" s="15" t="str">
        <f t="shared" si="104"/>
        <v/>
      </c>
      <c r="B541" s="25"/>
      <c r="C541" s="26"/>
      <c r="D541" s="279"/>
      <c r="E541" s="27"/>
      <c r="F541" s="28"/>
      <c r="G541" s="27"/>
      <c r="H541" s="28"/>
      <c r="I541" s="28"/>
      <c r="J541" s="255" t="str">
        <f>IF(H541="","",(_xlfn.XLOOKUP(H541,Cadastros!$D$6:$D$90,Cadastros!$E$6:$E$90))*(1-_xlfn.XLOOKUP(_xlfn.XLOOKUP($F541,Clientes!$B$4:$B$39,Clientes!$C$4:$C$39),Cadastros!$L$6:$L$12,Cadastros!$N$6:$N$12)))</f>
        <v/>
      </c>
      <c r="K541" s="168" t="str">
        <f t="shared" si="105"/>
        <v/>
      </c>
      <c r="L541" s="168" t="str">
        <f>IFERROR(K541/_xlfn.XLOOKUP(_xlfn.XLOOKUP($F541,Clientes!$B$4:$B$39,Clientes!$C$4:$C$39),Cadastros!$L$6:$L$12,Cadastros!$M$6:$M$12)," ")</f>
        <v xml:space="preserve"> </v>
      </c>
      <c r="M541" s="28"/>
      <c r="N541" s="28"/>
      <c r="O541" s="255" t="str">
        <f>IF(M541="","",(_xlfn.XLOOKUP(M541,Cadastros!$D$6:$D$90,Cadastros!$E$6:$E$90))*(1-_xlfn.XLOOKUP(_xlfn.XLOOKUP($F541,Clientes!$B$4:$B$39,Clientes!$C$4:$C$39),Cadastros!$L$6:$L$12,Cadastros!$N$6:$N$12)))</f>
        <v/>
      </c>
      <c r="P541" s="168" t="str">
        <f t="shared" si="106"/>
        <v/>
      </c>
      <c r="Q541" s="168" t="str">
        <f>IFERROR(P541/_xlfn.XLOOKUP(_xlfn.XLOOKUP($F541,Clientes!$B$4:$B$39,Clientes!$C$4:$C$39),Cadastros!$L$6:$L$12,Cadastros!$M$6:$M$12)," ")</f>
        <v xml:space="preserve"> </v>
      </c>
      <c r="R541" s="28"/>
      <c r="S541" s="28"/>
      <c r="T541" s="255" t="str">
        <f>IF(R541="","",(_xlfn.XLOOKUP(R541,Cadastros!$D$6:$D$90,Cadastros!$E$6:$E$90))*(1-_xlfn.XLOOKUP(_xlfn.XLOOKUP($F541,Clientes!$B$4:$B$39,Clientes!$C$4:$C$39),Cadastros!$L$6:$L$12,Cadastros!$N$6:$N$12)))</f>
        <v/>
      </c>
      <c r="U541" s="168" t="str">
        <f t="shared" si="107"/>
        <v/>
      </c>
      <c r="V541" s="168" t="str">
        <f>IFERROR(U541/_xlfn.XLOOKUP(_xlfn.XLOOKUP($F541,Clientes!$B$4:$B$39,Clientes!$C$4:$C$39),Cadastros!$L$6:$L$12,Cadastros!$M$6:$M$12)," ")</f>
        <v xml:space="preserve"> </v>
      </c>
      <c r="W541" s="28"/>
      <c r="X541" s="28"/>
      <c r="Y541" s="255" t="str">
        <f>IF(W541="","",(_xlfn.XLOOKUP(W541,Cadastros!$D$6:$D$90,Cadastros!$E$6:$E$90))*(1-_xlfn.XLOOKUP(_xlfn.XLOOKUP($F541,Clientes!$B$4:$B$39,Clientes!$C$4:$C$39),Cadastros!$L$6:$L$12,Cadastros!$N$6:$N$12)))</f>
        <v/>
      </c>
      <c r="Z541" s="168" t="str">
        <f t="shared" si="108"/>
        <v/>
      </c>
      <c r="AA541" s="168" t="str">
        <f>IFERROR(Z541/_xlfn.XLOOKUP(_xlfn.XLOOKUP($F541,Clientes!$B$4:$B$39,Clientes!$C$4:$C$39),Cadastros!$L$6:$L$12,Cadastros!$M$6:$M$12)," ")</f>
        <v xml:space="preserve"> </v>
      </c>
      <c r="AB541" s="28"/>
      <c r="AC541" s="28"/>
      <c r="AD541" s="20" t="str">
        <f>IF(AB541="","",IF($F541="Bernardino Furlan",_xlfn.XLOOKUP(AB541,Cadastros!$G$6:$G$90,Cadastros!$H$6:$H$90)*(1-0.18),IF($F541="Mauro José Salanti",_xlfn.XLOOKUP(AB541,Cadastros!$G$6:$G$90,Cadastros!$H$6:$H$90)*(1-0.18),_xlfn.XLOOKUP(AB541,Cadastros!$G$6:$G$90,Cadastros!$H$6:$H$90))))</f>
        <v/>
      </c>
      <c r="AE541" s="168" t="str">
        <f t="shared" si="109"/>
        <v/>
      </c>
      <c r="AF541" s="168" t="str">
        <f t="shared" si="110"/>
        <v/>
      </c>
      <c r="AG541" s="28"/>
      <c r="AH541" s="28"/>
      <c r="AI541" s="20" t="str">
        <f>IF(AG541="","",IF($F541="Bernardino Furlan",_xlfn.XLOOKUP(AG541,Cadastros!$G$6:$G$90,Cadastros!$H$6:$H$90)*(1-0.18),IF($F541="Mauro José Salanti",_xlfn.XLOOKUP(AG541,Cadastros!$G$6:$G$90,Cadastros!$H$6:$H$90)*(1-0.18),_xlfn.XLOOKUP(AG541,Cadastros!$G$6:$G$90,Cadastros!$H$6:$H$90))))</f>
        <v/>
      </c>
      <c r="AJ541" s="168" t="str">
        <f t="shared" si="111"/>
        <v/>
      </c>
      <c r="AK541" s="168" t="str">
        <f t="shared" si="112"/>
        <v/>
      </c>
      <c r="AL541" s="28"/>
      <c r="AM541" s="28"/>
      <c r="AN541" s="20" t="str">
        <f>IF(AL541="","",IF($F541="Bernardino Furlan",_xlfn.XLOOKUP(AL541,Cadastros!$G$6:$G$90,Cadastros!$H$6:$H$90)*(1-0.18),IF($F541="Mauro José Salanti",_xlfn.XLOOKUP(AL541,Cadastros!$G$6:$G$90,Cadastros!$H$6:$H$90)*(1-0.18),_xlfn.XLOOKUP(AL541,Cadastros!$G$6:$G$90,Cadastros!$H$6:$H$90))))</f>
        <v/>
      </c>
      <c r="AO541" s="168" t="str">
        <f t="shared" si="113"/>
        <v/>
      </c>
      <c r="AP541" s="168" t="str">
        <f t="shared" si="114"/>
        <v/>
      </c>
      <c r="AQ541" s="28"/>
      <c r="AR541" s="28"/>
      <c r="AS541" s="20" t="str">
        <f>IF(AQ541="","",IF($F541="Bernardino Furlan",_xlfn.XLOOKUP(AQ541,Cadastros!$G$6:$G$90,Cadastros!$H$6:$H$90)*(1-0.18),IF($F541="Mauro José Salanti",_xlfn.XLOOKUP(AQ541,Cadastros!$G$6:$G$90,Cadastros!$H$6:$H$90)*(1-0.18),_xlfn.XLOOKUP(AQ541,Cadastros!$G$6:$G$90,Cadastros!$H$6:$H$90))))</f>
        <v/>
      </c>
      <c r="AT541" s="168" t="str">
        <f t="shared" si="115"/>
        <v/>
      </c>
      <c r="AU541" s="168" t="str">
        <f t="shared" si="116"/>
        <v/>
      </c>
      <c r="AV541" s="227"/>
      <c r="AW541" s="30"/>
      <c r="AX541" s="267"/>
      <c r="AY541" s="267"/>
      <c r="AZ541" s="29"/>
      <c r="BA541" s="30"/>
      <c r="BB541" s="23" t="str" cm="1">
        <f t="array" ref="BB541">_xlfn.IFS(AW541="SIM",SUM(K541,P541,U541,Z541,AE541,AJ541,AO541,AT541,AX541,AY541),F541&lt;&gt;"",SUM(K541,P541,U541,Z541,AE541,AJ541,,AO541,AT541),F541="","")</f>
        <v/>
      </c>
      <c r="BC541" s="211" t="str" cm="1">
        <f t="array" ref="BC541">_xlfn.IFS(E541="","",G541&lt;=E541,BB541*(1-0.03),G541&lt;(E541+8),BB541,AZ541="Boleto",BB541*(1+0.001)^DATEDIF(E541,G541,"D"),AZ541="Cheque",BB541,AZ541="Dinheiro","Alterar forma pgto")</f>
        <v/>
      </c>
      <c r="BD541" s="276" t="str" cm="1">
        <f t="array" ref="BD541">IF(F541=0," ",IF(BC541&lt;BB541,(_xlfn.IFS(AW541="SIM",SUM(L541,Q541,V541,AA541,AF541,AK541,AP541,AU541)+AX541/_xlfn.XLOOKUP(_xlfn.XLOOKUP($F541,Clientes!$B$4:$B$39,Clientes!$C$4:$C$39),Cadastros!$L$6:$L$12,Cadastros!$M$6:$M$12)+IF($F541="Bernardino Furlan",AY541/2751.92,IF($F541="Mauro José Salanti",AY541/2751.92,AY541/3356)),F541&lt;&gt;0,SUM(L541,Q541,V541,AA541,AF541,AK541,AP541,AU541)))*(1-0.03),_xlfn.IFS(AW541="SIM",SUM(L541,Q541,V541,AA541,AF541,AK541,AP541,AU541)+AX541/_xlfn.XLOOKUP(_xlfn.XLOOKUP($F541,Clientes!$B$4:$B$39,Clientes!$C$4:$C$39),Cadastros!$L$6:$L$12,Cadastros!$M$6:$M$12)+IF($F541="Bernardino Furlan",AY541/2751.92,IF($F541="Mauro José Salanti",AY541/2751.92,AY541/3356)),F541&lt;&gt;0,SUM(L541,Q541,V541,AA541,AF541,AK541,AP541,AU541))))</f>
        <v xml:space="preserve"> </v>
      </c>
      <c r="BE541" s="120"/>
      <c r="BF541" s="120"/>
      <c r="BG541" s="120"/>
    </row>
    <row r="542" spans="1:59" s="3" customFormat="1" x14ac:dyDescent="0.3">
      <c r="A542" s="15" t="str">
        <f t="shared" si="104"/>
        <v/>
      </c>
      <c r="B542" s="39"/>
      <c r="C542" s="40"/>
      <c r="D542" s="281"/>
      <c r="E542" s="41"/>
      <c r="F542" s="42"/>
      <c r="G542" s="41"/>
      <c r="H542" s="42"/>
      <c r="I542" s="42"/>
      <c r="J542" s="255" t="str">
        <f>IF(H542="","",(_xlfn.XLOOKUP(H542,Cadastros!$D$6:$D$90,Cadastros!$E$6:$E$90))*(1-_xlfn.XLOOKUP(_xlfn.XLOOKUP($F542,Clientes!$B$4:$B$39,Clientes!$C$4:$C$39),Cadastros!$L$6:$L$12,Cadastros!$N$6:$N$12)))</f>
        <v/>
      </c>
      <c r="K542" s="168" t="str">
        <f t="shared" si="105"/>
        <v/>
      </c>
      <c r="L542" s="168" t="str">
        <f>IFERROR(K542/_xlfn.XLOOKUP(_xlfn.XLOOKUP($F542,Clientes!$B$4:$B$39,Clientes!$C$4:$C$39),Cadastros!$L$6:$L$12,Cadastros!$M$6:$M$12)," ")</f>
        <v xml:space="preserve"> </v>
      </c>
      <c r="M542" s="42"/>
      <c r="N542" s="42"/>
      <c r="O542" s="255" t="str">
        <f>IF(M542="","",(_xlfn.XLOOKUP(M542,Cadastros!$D$6:$D$90,Cadastros!$E$6:$E$90))*(1-_xlfn.XLOOKUP(_xlfn.XLOOKUP($F542,Clientes!$B$4:$B$39,Clientes!$C$4:$C$39),Cadastros!$L$6:$L$12,Cadastros!$N$6:$N$12)))</f>
        <v/>
      </c>
      <c r="P542" s="168" t="str">
        <f t="shared" si="106"/>
        <v/>
      </c>
      <c r="Q542" s="168" t="str">
        <f>IFERROR(P542/_xlfn.XLOOKUP(_xlfn.XLOOKUP($F542,Clientes!$B$4:$B$39,Clientes!$C$4:$C$39),Cadastros!$L$6:$L$12,Cadastros!$M$6:$M$12)," ")</f>
        <v xml:space="preserve"> </v>
      </c>
      <c r="R542" s="42"/>
      <c r="S542" s="42"/>
      <c r="T542" s="255" t="str">
        <f>IF(R542="","",(_xlfn.XLOOKUP(R542,Cadastros!$D$6:$D$90,Cadastros!$E$6:$E$90))*(1-_xlfn.XLOOKUP(_xlfn.XLOOKUP($F542,Clientes!$B$4:$B$39,Clientes!$C$4:$C$39),Cadastros!$L$6:$L$12,Cadastros!$N$6:$N$12)))</f>
        <v/>
      </c>
      <c r="U542" s="168" t="str">
        <f t="shared" si="107"/>
        <v/>
      </c>
      <c r="V542" s="168" t="str">
        <f>IFERROR(U542/_xlfn.XLOOKUP(_xlfn.XLOOKUP($F542,Clientes!$B$4:$B$39,Clientes!$C$4:$C$39),Cadastros!$L$6:$L$12,Cadastros!$M$6:$M$12)," ")</f>
        <v xml:space="preserve"> </v>
      </c>
      <c r="W542" s="42"/>
      <c r="X542" s="42"/>
      <c r="Y542" s="255" t="str">
        <f>IF(W542="","",(_xlfn.XLOOKUP(W542,Cadastros!$D$6:$D$90,Cadastros!$E$6:$E$90))*(1-_xlfn.XLOOKUP(_xlfn.XLOOKUP($F542,Clientes!$B$4:$B$39,Clientes!$C$4:$C$39),Cadastros!$L$6:$L$12,Cadastros!$N$6:$N$12)))</f>
        <v/>
      </c>
      <c r="Z542" s="168" t="str">
        <f t="shared" si="108"/>
        <v/>
      </c>
      <c r="AA542" s="168" t="str">
        <f>IFERROR(Z542/_xlfn.XLOOKUP(_xlfn.XLOOKUP($F542,Clientes!$B$4:$B$39,Clientes!$C$4:$C$39),Cadastros!$L$6:$L$12,Cadastros!$M$6:$M$12)," ")</f>
        <v xml:space="preserve"> </v>
      </c>
      <c r="AB542" s="42"/>
      <c r="AC542" s="42"/>
      <c r="AD542" s="20" t="str">
        <f>IF(AB542="","",IF($F542="Bernardino Furlan",_xlfn.XLOOKUP(AB542,Cadastros!$G$6:$G$90,Cadastros!$H$6:$H$90)*(1-0.18),IF($F542="Mauro José Salanti",_xlfn.XLOOKUP(AB542,Cadastros!$G$6:$G$90,Cadastros!$H$6:$H$90)*(1-0.18),_xlfn.XLOOKUP(AB542,Cadastros!$G$6:$G$90,Cadastros!$H$6:$H$90))))</f>
        <v/>
      </c>
      <c r="AE542" s="168" t="str">
        <f t="shared" si="109"/>
        <v/>
      </c>
      <c r="AF542" s="168" t="str">
        <f t="shared" si="110"/>
        <v/>
      </c>
      <c r="AG542" s="42"/>
      <c r="AH542" s="42"/>
      <c r="AI542" s="20" t="str">
        <f>IF(AG542="","",IF($F542="Bernardino Furlan",_xlfn.XLOOKUP(AG542,Cadastros!$G$6:$G$90,Cadastros!$H$6:$H$90)*(1-0.18),IF($F542="Mauro José Salanti",_xlfn.XLOOKUP(AG542,Cadastros!$G$6:$G$90,Cadastros!$H$6:$H$90)*(1-0.18),_xlfn.XLOOKUP(AG542,Cadastros!$G$6:$G$90,Cadastros!$H$6:$H$90))))</f>
        <v/>
      </c>
      <c r="AJ542" s="168" t="str">
        <f t="shared" si="111"/>
        <v/>
      </c>
      <c r="AK542" s="168" t="str">
        <f t="shared" si="112"/>
        <v/>
      </c>
      <c r="AL542" s="42"/>
      <c r="AM542" s="42"/>
      <c r="AN542" s="20" t="str">
        <f>IF(AL542="","",IF($F542="Bernardino Furlan",_xlfn.XLOOKUP(AL542,Cadastros!$G$6:$G$90,Cadastros!$H$6:$H$90)*(1-0.18),IF($F542="Mauro José Salanti",_xlfn.XLOOKUP(AL542,Cadastros!$G$6:$G$90,Cadastros!$H$6:$H$90)*(1-0.18),_xlfn.XLOOKUP(AL542,Cadastros!$G$6:$G$90,Cadastros!$H$6:$H$90))))</f>
        <v/>
      </c>
      <c r="AO542" s="168" t="str">
        <f t="shared" si="113"/>
        <v/>
      </c>
      <c r="AP542" s="168" t="str">
        <f t="shared" si="114"/>
        <v/>
      </c>
      <c r="AQ542" s="42"/>
      <c r="AR542" s="42"/>
      <c r="AS542" s="20" t="str">
        <f>IF(AQ542="","",IF($F542="Bernardino Furlan",_xlfn.XLOOKUP(AQ542,Cadastros!$G$6:$G$90,Cadastros!$H$6:$H$90)*(1-0.18),IF($F542="Mauro José Salanti",_xlfn.XLOOKUP(AQ542,Cadastros!$G$6:$G$90,Cadastros!$H$6:$H$90)*(1-0.18),_xlfn.XLOOKUP(AQ542,Cadastros!$G$6:$G$90,Cadastros!$H$6:$H$90))))</f>
        <v/>
      </c>
      <c r="AT542" s="168" t="str">
        <f t="shared" si="115"/>
        <v/>
      </c>
      <c r="AU542" s="168" t="str">
        <f t="shared" si="116"/>
        <v/>
      </c>
      <c r="AV542" s="229"/>
      <c r="AW542" s="44"/>
      <c r="AX542" s="269"/>
      <c r="AY542" s="269"/>
      <c r="AZ542" s="43"/>
      <c r="BA542" s="44"/>
      <c r="BB542" s="23" t="str" cm="1">
        <f t="array" ref="BB542">_xlfn.IFS(AW542="SIM",SUM(K542,P542,U542,Z542,AE542,AJ542,AO542,AT542,AX542,AY542),F542&lt;&gt;"",SUM(K542,P542,U542,Z542,AE542,AJ542,,AO542,AT542),F542="","")</f>
        <v/>
      </c>
      <c r="BC542" s="211" t="str" cm="1">
        <f t="array" ref="BC542">_xlfn.IFS(E542="","",G542&lt;=E542,BB542*(1-0.03),G542&lt;(E542+8),BB542,AZ542="Boleto",BB542*(1+0.001)^DATEDIF(E542,G542,"D"),AZ542="Cheque",BB542,AZ542="Dinheiro","Alterar forma pgto")</f>
        <v/>
      </c>
      <c r="BD542" s="276" t="str" cm="1">
        <f t="array" ref="BD542">IF(F542=0," ",IF(BC542&lt;BB542,(_xlfn.IFS(AW542="SIM",SUM(L542,Q542,V542,AA542,AF542,AK542,AP542,AU542)+AX542/_xlfn.XLOOKUP(_xlfn.XLOOKUP($F542,Clientes!$B$4:$B$39,Clientes!$C$4:$C$39),Cadastros!$L$6:$L$12,Cadastros!$M$6:$M$12)+IF($F542="Bernardino Furlan",AY542/2751.92,IF($F542="Mauro José Salanti",AY542/2751.92,AY542/3356)),F542&lt;&gt;0,SUM(L542,Q542,V542,AA542,AF542,AK542,AP542,AU542)))*(1-0.03),_xlfn.IFS(AW542="SIM",SUM(L542,Q542,V542,AA542,AF542,AK542,AP542,AU542)+AX542/_xlfn.XLOOKUP(_xlfn.XLOOKUP($F542,Clientes!$B$4:$B$39,Clientes!$C$4:$C$39),Cadastros!$L$6:$L$12,Cadastros!$M$6:$M$12)+IF($F542="Bernardino Furlan",AY542/2751.92,IF($F542="Mauro José Salanti",AY542/2751.92,AY542/3356)),F542&lt;&gt;0,SUM(L542,Q542,V542,AA542,AF542,AK542,AP542,AU542))))</f>
        <v xml:space="preserve"> </v>
      </c>
      <c r="BE542" s="120"/>
      <c r="BF542" s="120"/>
      <c r="BG542" s="120"/>
    </row>
    <row r="543" spans="1:59" s="3" customFormat="1" x14ac:dyDescent="0.3">
      <c r="A543" s="15" t="str">
        <f t="shared" si="104"/>
        <v/>
      </c>
      <c r="B543" s="25"/>
      <c r="C543" s="26"/>
      <c r="D543" s="279"/>
      <c r="E543" s="27"/>
      <c r="F543" s="28"/>
      <c r="G543" s="27"/>
      <c r="H543" s="28"/>
      <c r="I543" s="28"/>
      <c r="J543" s="255" t="str">
        <f>IF(H543="","",(_xlfn.XLOOKUP(H543,Cadastros!$D$6:$D$90,Cadastros!$E$6:$E$90))*(1-_xlfn.XLOOKUP(_xlfn.XLOOKUP($F543,Clientes!$B$4:$B$39,Clientes!$C$4:$C$39),Cadastros!$L$6:$L$12,Cadastros!$N$6:$N$12)))</f>
        <v/>
      </c>
      <c r="K543" s="168" t="str">
        <f t="shared" si="105"/>
        <v/>
      </c>
      <c r="L543" s="168" t="str">
        <f>IFERROR(K543/_xlfn.XLOOKUP(_xlfn.XLOOKUP($F543,Clientes!$B$4:$B$39,Clientes!$C$4:$C$39),Cadastros!$L$6:$L$12,Cadastros!$M$6:$M$12)," ")</f>
        <v xml:space="preserve"> </v>
      </c>
      <c r="M543" s="28"/>
      <c r="N543" s="28"/>
      <c r="O543" s="255" t="str">
        <f>IF(M543="","",(_xlfn.XLOOKUP(M543,Cadastros!$D$6:$D$90,Cadastros!$E$6:$E$90))*(1-_xlfn.XLOOKUP(_xlfn.XLOOKUP($F543,Clientes!$B$4:$B$39,Clientes!$C$4:$C$39),Cadastros!$L$6:$L$12,Cadastros!$N$6:$N$12)))</f>
        <v/>
      </c>
      <c r="P543" s="168" t="str">
        <f t="shared" si="106"/>
        <v/>
      </c>
      <c r="Q543" s="168" t="str">
        <f>IFERROR(P543/_xlfn.XLOOKUP(_xlfn.XLOOKUP($F543,Clientes!$B$4:$B$39,Clientes!$C$4:$C$39),Cadastros!$L$6:$L$12,Cadastros!$M$6:$M$12)," ")</f>
        <v xml:space="preserve"> </v>
      </c>
      <c r="R543" s="28"/>
      <c r="S543" s="28"/>
      <c r="T543" s="255" t="str">
        <f>IF(R543="","",(_xlfn.XLOOKUP(R543,Cadastros!$D$6:$D$90,Cadastros!$E$6:$E$90))*(1-_xlfn.XLOOKUP(_xlfn.XLOOKUP($F543,Clientes!$B$4:$B$39,Clientes!$C$4:$C$39),Cadastros!$L$6:$L$12,Cadastros!$N$6:$N$12)))</f>
        <v/>
      </c>
      <c r="U543" s="168" t="str">
        <f t="shared" si="107"/>
        <v/>
      </c>
      <c r="V543" s="168" t="str">
        <f>IFERROR(U543/_xlfn.XLOOKUP(_xlfn.XLOOKUP($F543,Clientes!$B$4:$B$39,Clientes!$C$4:$C$39),Cadastros!$L$6:$L$12,Cadastros!$M$6:$M$12)," ")</f>
        <v xml:space="preserve"> </v>
      </c>
      <c r="W543" s="28"/>
      <c r="X543" s="28"/>
      <c r="Y543" s="255" t="str">
        <f>IF(W543="","",(_xlfn.XLOOKUP(W543,Cadastros!$D$6:$D$90,Cadastros!$E$6:$E$90))*(1-_xlfn.XLOOKUP(_xlfn.XLOOKUP($F543,Clientes!$B$4:$B$39,Clientes!$C$4:$C$39),Cadastros!$L$6:$L$12,Cadastros!$N$6:$N$12)))</f>
        <v/>
      </c>
      <c r="Z543" s="168" t="str">
        <f t="shared" si="108"/>
        <v/>
      </c>
      <c r="AA543" s="168" t="str">
        <f>IFERROR(Z543/_xlfn.XLOOKUP(_xlfn.XLOOKUP($F543,Clientes!$B$4:$B$39,Clientes!$C$4:$C$39),Cadastros!$L$6:$L$12,Cadastros!$M$6:$M$12)," ")</f>
        <v xml:space="preserve"> </v>
      </c>
      <c r="AB543" s="28"/>
      <c r="AC543" s="28"/>
      <c r="AD543" s="20" t="str">
        <f>IF(AB543="","",IF($F543="Bernardino Furlan",_xlfn.XLOOKUP(AB543,Cadastros!$G$6:$G$90,Cadastros!$H$6:$H$90)*(1-0.18),IF($F543="Mauro José Salanti",_xlfn.XLOOKUP(AB543,Cadastros!$G$6:$G$90,Cadastros!$H$6:$H$90)*(1-0.18),_xlfn.XLOOKUP(AB543,Cadastros!$G$6:$G$90,Cadastros!$H$6:$H$90))))</f>
        <v/>
      </c>
      <c r="AE543" s="168" t="str">
        <f t="shared" si="109"/>
        <v/>
      </c>
      <c r="AF543" s="168" t="str">
        <f t="shared" si="110"/>
        <v/>
      </c>
      <c r="AG543" s="28"/>
      <c r="AH543" s="28"/>
      <c r="AI543" s="20" t="str">
        <f>IF(AG543="","",IF($F543="Bernardino Furlan",_xlfn.XLOOKUP(AG543,Cadastros!$G$6:$G$90,Cadastros!$H$6:$H$90)*(1-0.18),IF($F543="Mauro José Salanti",_xlfn.XLOOKUP(AG543,Cadastros!$G$6:$G$90,Cadastros!$H$6:$H$90)*(1-0.18),_xlfn.XLOOKUP(AG543,Cadastros!$G$6:$G$90,Cadastros!$H$6:$H$90))))</f>
        <v/>
      </c>
      <c r="AJ543" s="168" t="str">
        <f t="shared" si="111"/>
        <v/>
      </c>
      <c r="AK543" s="168" t="str">
        <f t="shared" si="112"/>
        <v/>
      </c>
      <c r="AL543" s="28"/>
      <c r="AM543" s="28"/>
      <c r="AN543" s="20" t="str">
        <f>IF(AL543="","",IF($F543="Bernardino Furlan",_xlfn.XLOOKUP(AL543,Cadastros!$G$6:$G$90,Cadastros!$H$6:$H$90)*(1-0.18),IF($F543="Mauro José Salanti",_xlfn.XLOOKUP(AL543,Cadastros!$G$6:$G$90,Cadastros!$H$6:$H$90)*(1-0.18),_xlfn.XLOOKUP(AL543,Cadastros!$G$6:$G$90,Cadastros!$H$6:$H$90))))</f>
        <v/>
      </c>
      <c r="AO543" s="168" t="str">
        <f t="shared" si="113"/>
        <v/>
      </c>
      <c r="AP543" s="168" t="str">
        <f t="shared" si="114"/>
        <v/>
      </c>
      <c r="AQ543" s="28"/>
      <c r="AR543" s="28"/>
      <c r="AS543" s="20" t="str">
        <f>IF(AQ543="","",IF($F543="Bernardino Furlan",_xlfn.XLOOKUP(AQ543,Cadastros!$G$6:$G$90,Cadastros!$H$6:$H$90)*(1-0.18),IF($F543="Mauro José Salanti",_xlfn.XLOOKUP(AQ543,Cadastros!$G$6:$G$90,Cadastros!$H$6:$H$90)*(1-0.18),_xlfn.XLOOKUP(AQ543,Cadastros!$G$6:$G$90,Cadastros!$H$6:$H$90))))</f>
        <v/>
      </c>
      <c r="AT543" s="168" t="str">
        <f t="shared" si="115"/>
        <v/>
      </c>
      <c r="AU543" s="168" t="str">
        <f t="shared" si="116"/>
        <v/>
      </c>
      <c r="AV543" s="227"/>
      <c r="AW543" s="30"/>
      <c r="AX543" s="267"/>
      <c r="AY543" s="267"/>
      <c r="AZ543" s="29"/>
      <c r="BA543" s="30"/>
      <c r="BB543" s="23" t="str" cm="1">
        <f t="array" ref="BB543">_xlfn.IFS(AW543="SIM",SUM(K543,P543,U543,Z543,AE543,AJ543,AO543,AT543,AX543,AY543),F543&lt;&gt;"",SUM(K543,P543,U543,Z543,AE543,AJ543,,AO543,AT543),F543="","")</f>
        <v/>
      </c>
      <c r="BC543" s="211" t="str" cm="1">
        <f t="array" ref="BC543">_xlfn.IFS(E543="","",G543&lt;=E543,BB543*(1-0.03),G543&lt;(E543+8),BB543,AZ543="Boleto",BB543*(1+0.001)^DATEDIF(E543,G543,"D"),AZ543="Cheque",BB543,AZ543="Dinheiro","Alterar forma pgto")</f>
        <v/>
      </c>
      <c r="BD543" s="276" t="str" cm="1">
        <f t="array" ref="BD543">IF(F543=0," ",IF(BC543&lt;BB543,(_xlfn.IFS(AW543="SIM",SUM(L543,Q543,V543,AA543,AF543,AK543,AP543,AU543)+AX543/_xlfn.XLOOKUP(_xlfn.XLOOKUP($F543,Clientes!$B$4:$B$39,Clientes!$C$4:$C$39),Cadastros!$L$6:$L$12,Cadastros!$M$6:$M$12)+IF($F543="Bernardino Furlan",AY543/2751.92,IF($F543="Mauro José Salanti",AY543/2751.92,AY543/3356)),F543&lt;&gt;0,SUM(L543,Q543,V543,AA543,AF543,AK543,AP543,AU543)))*(1-0.03),_xlfn.IFS(AW543="SIM",SUM(L543,Q543,V543,AA543,AF543,AK543,AP543,AU543)+AX543/_xlfn.XLOOKUP(_xlfn.XLOOKUP($F543,Clientes!$B$4:$B$39,Clientes!$C$4:$C$39),Cadastros!$L$6:$L$12,Cadastros!$M$6:$M$12)+IF($F543="Bernardino Furlan",AY543/2751.92,IF($F543="Mauro José Salanti",AY543/2751.92,AY543/3356)),F543&lt;&gt;0,SUM(L543,Q543,V543,AA543,AF543,AK543,AP543,AU543))))</f>
        <v xml:space="preserve"> </v>
      </c>
      <c r="BE543" s="120"/>
      <c r="BF543" s="120"/>
      <c r="BG543" s="120"/>
    </row>
    <row r="544" spans="1:59" s="3" customFormat="1" x14ac:dyDescent="0.3">
      <c r="A544" s="15" t="str">
        <f t="shared" si="104"/>
        <v/>
      </c>
      <c r="B544" s="39"/>
      <c r="C544" s="40"/>
      <c r="D544" s="281"/>
      <c r="E544" s="41"/>
      <c r="F544" s="42"/>
      <c r="G544" s="41"/>
      <c r="H544" s="42"/>
      <c r="I544" s="42"/>
      <c r="J544" s="255" t="str">
        <f>IF(H544="","",(_xlfn.XLOOKUP(H544,Cadastros!$D$6:$D$90,Cadastros!$E$6:$E$90))*(1-_xlfn.XLOOKUP(_xlfn.XLOOKUP($F544,Clientes!$B$4:$B$39,Clientes!$C$4:$C$39),Cadastros!$L$6:$L$12,Cadastros!$N$6:$N$12)))</f>
        <v/>
      </c>
      <c r="K544" s="168" t="str">
        <f t="shared" si="105"/>
        <v/>
      </c>
      <c r="L544" s="168" t="str">
        <f>IFERROR(K544/_xlfn.XLOOKUP(_xlfn.XLOOKUP($F544,Clientes!$B$4:$B$39,Clientes!$C$4:$C$39),Cadastros!$L$6:$L$12,Cadastros!$M$6:$M$12)," ")</f>
        <v xml:space="preserve"> </v>
      </c>
      <c r="M544" s="42"/>
      <c r="N544" s="42"/>
      <c r="O544" s="255" t="str">
        <f>IF(M544="","",(_xlfn.XLOOKUP(M544,Cadastros!$D$6:$D$90,Cadastros!$E$6:$E$90))*(1-_xlfn.XLOOKUP(_xlfn.XLOOKUP($F544,Clientes!$B$4:$B$39,Clientes!$C$4:$C$39),Cadastros!$L$6:$L$12,Cadastros!$N$6:$N$12)))</f>
        <v/>
      </c>
      <c r="P544" s="168" t="str">
        <f t="shared" si="106"/>
        <v/>
      </c>
      <c r="Q544" s="168" t="str">
        <f>IFERROR(P544/_xlfn.XLOOKUP(_xlfn.XLOOKUP($F544,Clientes!$B$4:$B$39,Clientes!$C$4:$C$39),Cadastros!$L$6:$L$12,Cadastros!$M$6:$M$12)," ")</f>
        <v xml:space="preserve"> </v>
      </c>
      <c r="R544" s="42"/>
      <c r="S544" s="42"/>
      <c r="T544" s="255" t="str">
        <f>IF(R544="","",(_xlfn.XLOOKUP(R544,Cadastros!$D$6:$D$90,Cadastros!$E$6:$E$90))*(1-_xlfn.XLOOKUP(_xlfn.XLOOKUP($F544,Clientes!$B$4:$B$39,Clientes!$C$4:$C$39),Cadastros!$L$6:$L$12,Cadastros!$N$6:$N$12)))</f>
        <v/>
      </c>
      <c r="U544" s="168" t="str">
        <f t="shared" si="107"/>
        <v/>
      </c>
      <c r="V544" s="168" t="str">
        <f>IFERROR(U544/_xlfn.XLOOKUP(_xlfn.XLOOKUP($F544,Clientes!$B$4:$B$39,Clientes!$C$4:$C$39),Cadastros!$L$6:$L$12,Cadastros!$M$6:$M$12)," ")</f>
        <v xml:space="preserve"> </v>
      </c>
      <c r="W544" s="42"/>
      <c r="X544" s="42"/>
      <c r="Y544" s="255" t="str">
        <f>IF(W544="","",(_xlfn.XLOOKUP(W544,Cadastros!$D$6:$D$90,Cadastros!$E$6:$E$90))*(1-_xlfn.XLOOKUP(_xlfn.XLOOKUP($F544,Clientes!$B$4:$B$39,Clientes!$C$4:$C$39),Cadastros!$L$6:$L$12,Cadastros!$N$6:$N$12)))</f>
        <v/>
      </c>
      <c r="Z544" s="168" t="str">
        <f t="shared" si="108"/>
        <v/>
      </c>
      <c r="AA544" s="168" t="str">
        <f>IFERROR(Z544/_xlfn.XLOOKUP(_xlfn.XLOOKUP($F544,Clientes!$B$4:$B$39,Clientes!$C$4:$C$39),Cadastros!$L$6:$L$12,Cadastros!$M$6:$M$12)," ")</f>
        <v xml:space="preserve"> </v>
      </c>
      <c r="AB544" s="42"/>
      <c r="AC544" s="42"/>
      <c r="AD544" s="20" t="str">
        <f>IF(AB544="","",IF($F544="Bernardino Furlan",_xlfn.XLOOKUP(AB544,Cadastros!$G$6:$G$90,Cadastros!$H$6:$H$90)*(1-0.18),IF($F544="Mauro José Salanti",_xlfn.XLOOKUP(AB544,Cadastros!$G$6:$G$90,Cadastros!$H$6:$H$90)*(1-0.18),_xlfn.XLOOKUP(AB544,Cadastros!$G$6:$G$90,Cadastros!$H$6:$H$90))))</f>
        <v/>
      </c>
      <c r="AE544" s="168" t="str">
        <f t="shared" si="109"/>
        <v/>
      </c>
      <c r="AF544" s="168" t="str">
        <f t="shared" si="110"/>
        <v/>
      </c>
      <c r="AG544" s="42"/>
      <c r="AH544" s="42"/>
      <c r="AI544" s="20" t="str">
        <f>IF(AG544="","",IF($F544="Bernardino Furlan",_xlfn.XLOOKUP(AG544,Cadastros!$G$6:$G$90,Cadastros!$H$6:$H$90)*(1-0.18),IF($F544="Mauro José Salanti",_xlfn.XLOOKUP(AG544,Cadastros!$G$6:$G$90,Cadastros!$H$6:$H$90)*(1-0.18),_xlfn.XLOOKUP(AG544,Cadastros!$G$6:$G$90,Cadastros!$H$6:$H$90))))</f>
        <v/>
      </c>
      <c r="AJ544" s="168" t="str">
        <f t="shared" si="111"/>
        <v/>
      </c>
      <c r="AK544" s="168" t="str">
        <f t="shared" si="112"/>
        <v/>
      </c>
      <c r="AL544" s="42"/>
      <c r="AM544" s="42"/>
      <c r="AN544" s="20" t="str">
        <f>IF(AL544="","",IF($F544="Bernardino Furlan",_xlfn.XLOOKUP(AL544,Cadastros!$G$6:$G$90,Cadastros!$H$6:$H$90)*(1-0.18),IF($F544="Mauro José Salanti",_xlfn.XLOOKUP(AL544,Cadastros!$G$6:$G$90,Cadastros!$H$6:$H$90)*(1-0.18),_xlfn.XLOOKUP(AL544,Cadastros!$G$6:$G$90,Cadastros!$H$6:$H$90))))</f>
        <v/>
      </c>
      <c r="AO544" s="168" t="str">
        <f t="shared" si="113"/>
        <v/>
      </c>
      <c r="AP544" s="168" t="str">
        <f t="shared" si="114"/>
        <v/>
      </c>
      <c r="AQ544" s="42"/>
      <c r="AR544" s="42"/>
      <c r="AS544" s="20" t="str">
        <f>IF(AQ544="","",IF($F544="Bernardino Furlan",_xlfn.XLOOKUP(AQ544,Cadastros!$G$6:$G$90,Cadastros!$H$6:$H$90)*(1-0.18),IF($F544="Mauro José Salanti",_xlfn.XLOOKUP(AQ544,Cadastros!$G$6:$G$90,Cadastros!$H$6:$H$90)*(1-0.18),_xlfn.XLOOKUP(AQ544,Cadastros!$G$6:$G$90,Cadastros!$H$6:$H$90))))</f>
        <v/>
      </c>
      <c r="AT544" s="168" t="str">
        <f t="shared" si="115"/>
        <v/>
      </c>
      <c r="AU544" s="168" t="str">
        <f t="shared" si="116"/>
        <v/>
      </c>
      <c r="AV544" s="229"/>
      <c r="AW544" s="44"/>
      <c r="AX544" s="269"/>
      <c r="AY544" s="269"/>
      <c r="AZ544" s="43"/>
      <c r="BA544" s="44"/>
      <c r="BB544" s="23" t="str" cm="1">
        <f t="array" ref="BB544">_xlfn.IFS(AW544="SIM",SUM(K544,P544,U544,Z544,AE544,AJ544,AO544,AT544,AX544,AY544),F544&lt;&gt;"",SUM(K544,P544,U544,Z544,AE544,AJ544,,AO544,AT544),F544="","")</f>
        <v/>
      </c>
      <c r="BC544" s="211" t="str" cm="1">
        <f t="array" ref="BC544">_xlfn.IFS(E544="","",G544&lt;=E544,BB544*(1-0.03),G544&lt;(E544+8),BB544,AZ544="Boleto",BB544*(1+0.001)^DATEDIF(E544,G544,"D"),AZ544="Cheque",BB544,AZ544="Dinheiro","Alterar forma pgto")</f>
        <v/>
      </c>
      <c r="BD544" s="276" t="str" cm="1">
        <f t="array" ref="BD544">IF(F544=0," ",IF(BC544&lt;BB544,(_xlfn.IFS(AW544="SIM",SUM(L544,Q544,V544,AA544,AF544,AK544,AP544,AU544)+AX544/_xlfn.XLOOKUP(_xlfn.XLOOKUP($F544,Clientes!$B$4:$B$39,Clientes!$C$4:$C$39),Cadastros!$L$6:$L$12,Cadastros!$M$6:$M$12)+IF($F544="Bernardino Furlan",AY544/2751.92,IF($F544="Mauro José Salanti",AY544/2751.92,AY544/3356)),F544&lt;&gt;0,SUM(L544,Q544,V544,AA544,AF544,AK544,AP544,AU544)))*(1-0.03),_xlfn.IFS(AW544="SIM",SUM(L544,Q544,V544,AA544,AF544,AK544,AP544,AU544)+AX544/_xlfn.XLOOKUP(_xlfn.XLOOKUP($F544,Clientes!$B$4:$B$39,Clientes!$C$4:$C$39),Cadastros!$L$6:$L$12,Cadastros!$M$6:$M$12)+IF($F544="Bernardino Furlan",AY544/2751.92,IF($F544="Mauro José Salanti",AY544/2751.92,AY544/3356)),F544&lt;&gt;0,SUM(L544,Q544,V544,AA544,AF544,AK544,AP544,AU544))))</f>
        <v xml:space="preserve"> </v>
      </c>
      <c r="BE544" s="120"/>
      <c r="BF544" s="120"/>
      <c r="BG544" s="120"/>
    </row>
    <row r="545" spans="1:59" s="3" customFormat="1" x14ac:dyDescent="0.3">
      <c r="A545" s="15" t="str">
        <f t="shared" si="104"/>
        <v/>
      </c>
      <c r="B545" s="25"/>
      <c r="C545" s="26"/>
      <c r="D545" s="279"/>
      <c r="E545" s="27"/>
      <c r="F545" s="28"/>
      <c r="G545" s="27"/>
      <c r="H545" s="28"/>
      <c r="I545" s="28"/>
      <c r="J545" s="255" t="str">
        <f>IF(H545="","",(_xlfn.XLOOKUP(H545,Cadastros!$D$6:$D$90,Cadastros!$E$6:$E$90))*(1-_xlfn.XLOOKUP(_xlfn.XLOOKUP($F545,Clientes!$B$4:$B$39,Clientes!$C$4:$C$39),Cadastros!$L$6:$L$12,Cadastros!$N$6:$N$12)))</f>
        <v/>
      </c>
      <c r="K545" s="168" t="str">
        <f t="shared" si="105"/>
        <v/>
      </c>
      <c r="L545" s="168" t="str">
        <f>IFERROR(K545/_xlfn.XLOOKUP(_xlfn.XLOOKUP($F545,Clientes!$B$4:$B$39,Clientes!$C$4:$C$39),Cadastros!$L$6:$L$12,Cadastros!$M$6:$M$12)," ")</f>
        <v xml:space="preserve"> </v>
      </c>
      <c r="M545" s="28"/>
      <c r="N545" s="28"/>
      <c r="O545" s="255" t="str">
        <f>IF(M545="","",(_xlfn.XLOOKUP(M545,Cadastros!$D$6:$D$90,Cadastros!$E$6:$E$90))*(1-_xlfn.XLOOKUP(_xlfn.XLOOKUP($F545,Clientes!$B$4:$B$39,Clientes!$C$4:$C$39),Cadastros!$L$6:$L$12,Cadastros!$N$6:$N$12)))</f>
        <v/>
      </c>
      <c r="P545" s="168" t="str">
        <f t="shared" si="106"/>
        <v/>
      </c>
      <c r="Q545" s="168" t="str">
        <f>IFERROR(P545/_xlfn.XLOOKUP(_xlfn.XLOOKUP($F545,Clientes!$B$4:$B$39,Clientes!$C$4:$C$39),Cadastros!$L$6:$L$12,Cadastros!$M$6:$M$12)," ")</f>
        <v xml:space="preserve"> </v>
      </c>
      <c r="R545" s="28"/>
      <c r="S545" s="28"/>
      <c r="T545" s="255" t="str">
        <f>IF(R545="","",(_xlfn.XLOOKUP(R545,Cadastros!$D$6:$D$90,Cadastros!$E$6:$E$90))*(1-_xlfn.XLOOKUP(_xlfn.XLOOKUP($F545,Clientes!$B$4:$B$39,Clientes!$C$4:$C$39),Cadastros!$L$6:$L$12,Cadastros!$N$6:$N$12)))</f>
        <v/>
      </c>
      <c r="U545" s="168" t="str">
        <f t="shared" si="107"/>
        <v/>
      </c>
      <c r="V545" s="168" t="str">
        <f>IFERROR(U545/_xlfn.XLOOKUP(_xlfn.XLOOKUP($F545,Clientes!$B$4:$B$39,Clientes!$C$4:$C$39),Cadastros!$L$6:$L$12,Cadastros!$M$6:$M$12)," ")</f>
        <v xml:space="preserve"> </v>
      </c>
      <c r="W545" s="28"/>
      <c r="X545" s="28"/>
      <c r="Y545" s="255" t="str">
        <f>IF(W545="","",(_xlfn.XLOOKUP(W545,Cadastros!$D$6:$D$90,Cadastros!$E$6:$E$90))*(1-_xlfn.XLOOKUP(_xlfn.XLOOKUP($F545,Clientes!$B$4:$B$39,Clientes!$C$4:$C$39),Cadastros!$L$6:$L$12,Cadastros!$N$6:$N$12)))</f>
        <v/>
      </c>
      <c r="Z545" s="168" t="str">
        <f t="shared" si="108"/>
        <v/>
      </c>
      <c r="AA545" s="168" t="str">
        <f>IFERROR(Z545/_xlfn.XLOOKUP(_xlfn.XLOOKUP($F545,Clientes!$B$4:$B$39,Clientes!$C$4:$C$39),Cadastros!$L$6:$L$12,Cadastros!$M$6:$M$12)," ")</f>
        <v xml:space="preserve"> </v>
      </c>
      <c r="AB545" s="28"/>
      <c r="AC545" s="28"/>
      <c r="AD545" s="20" t="str">
        <f>IF(AB545="","",IF($F545="Bernardino Furlan",_xlfn.XLOOKUP(AB545,Cadastros!$G$6:$G$90,Cadastros!$H$6:$H$90)*(1-0.18),IF($F545="Mauro José Salanti",_xlfn.XLOOKUP(AB545,Cadastros!$G$6:$G$90,Cadastros!$H$6:$H$90)*(1-0.18),_xlfn.XLOOKUP(AB545,Cadastros!$G$6:$G$90,Cadastros!$H$6:$H$90))))</f>
        <v/>
      </c>
      <c r="AE545" s="168" t="str">
        <f t="shared" si="109"/>
        <v/>
      </c>
      <c r="AF545" s="168" t="str">
        <f t="shared" si="110"/>
        <v/>
      </c>
      <c r="AG545" s="28"/>
      <c r="AH545" s="28"/>
      <c r="AI545" s="20" t="str">
        <f>IF(AG545="","",IF($F545="Bernardino Furlan",_xlfn.XLOOKUP(AG545,Cadastros!$G$6:$G$90,Cadastros!$H$6:$H$90)*(1-0.18),IF($F545="Mauro José Salanti",_xlfn.XLOOKUP(AG545,Cadastros!$G$6:$G$90,Cadastros!$H$6:$H$90)*(1-0.18),_xlfn.XLOOKUP(AG545,Cadastros!$G$6:$G$90,Cadastros!$H$6:$H$90))))</f>
        <v/>
      </c>
      <c r="AJ545" s="168" t="str">
        <f t="shared" si="111"/>
        <v/>
      </c>
      <c r="AK545" s="168" t="str">
        <f t="shared" si="112"/>
        <v/>
      </c>
      <c r="AL545" s="28"/>
      <c r="AM545" s="28"/>
      <c r="AN545" s="20" t="str">
        <f>IF(AL545="","",IF($F545="Bernardino Furlan",_xlfn.XLOOKUP(AL545,Cadastros!$G$6:$G$90,Cadastros!$H$6:$H$90)*(1-0.18),IF($F545="Mauro José Salanti",_xlfn.XLOOKUP(AL545,Cadastros!$G$6:$G$90,Cadastros!$H$6:$H$90)*(1-0.18),_xlfn.XLOOKUP(AL545,Cadastros!$G$6:$G$90,Cadastros!$H$6:$H$90))))</f>
        <v/>
      </c>
      <c r="AO545" s="168" t="str">
        <f t="shared" si="113"/>
        <v/>
      </c>
      <c r="AP545" s="168" t="str">
        <f t="shared" si="114"/>
        <v/>
      </c>
      <c r="AQ545" s="28"/>
      <c r="AR545" s="28"/>
      <c r="AS545" s="20" t="str">
        <f>IF(AQ545="","",IF($F545="Bernardino Furlan",_xlfn.XLOOKUP(AQ545,Cadastros!$G$6:$G$90,Cadastros!$H$6:$H$90)*(1-0.18),IF($F545="Mauro José Salanti",_xlfn.XLOOKUP(AQ545,Cadastros!$G$6:$G$90,Cadastros!$H$6:$H$90)*(1-0.18),_xlfn.XLOOKUP(AQ545,Cadastros!$G$6:$G$90,Cadastros!$H$6:$H$90))))</f>
        <v/>
      </c>
      <c r="AT545" s="168" t="str">
        <f t="shared" si="115"/>
        <v/>
      </c>
      <c r="AU545" s="168" t="str">
        <f t="shared" si="116"/>
        <v/>
      </c>
      <c r="AV545" s="227"/>
      <c r="AW545" s="30"/>
      <c r="AX545" s="267"/>
      <c r="AY545" s="267"/>
      <c r="AZ545" s="29"/>
      <c r="BA545" s="30"/>
      <c r="BB545" s="23" t="str" cm="1">
        <f t="array" ref="BB545">_xlfn.IFS(AW545="SIM",SUM(K545,P545,U545,Z545,AE545,AJ545,AO545,AT545,AX545,AY545),F545&lt;&gt;"",SUM(K545,P545,U545,Z545,AE545,AJ545,,AO545,AT545),F545="","")</f>
        <v/>
      </c>
      <c r="BC545" s="211" t="str" cm="1">
        <f t="array" ref="BC545">_xlfn.IFS(E545="","",G545&lt;=E545,BB545*(1-0.03),G545&lt;(E545+8),BB545,AZ545="Boleto",BB545*(1+0.001)^DATEDIF(E545,G545,"D"),AZ545="Cheque",BB545,AZ545="Dinheiro","Alterar forma pgto")</f>
        <v/>
      </c>
      <c r="BD545" s="276" t="str" cm="1">
        <f t="array" ref="BD545">IF(F545=0," ",IF(BC545&lt;BB545,(_xlfn.IFS(AW545="SIM",SUM(L545,Q545,V545,AA545,AF545,AK545,AP545,AU545)+AX545/_xlfn.XLOOKUP(_xlfn.XLOOKUP($F545,Clientes!$B$4:$B$39,Clientes!$C$4:$C$39),Cadastros!$L$6:$L$12,Cadastros!$M$6:$M$12)+IF($F545="Bernardino Furlan",AY545/2751.92,IF($F545="Mauro José Salanti",AY545/2751.92,AY545/3356)),F545&lt;&gt;0,SUM(L545,Q545,V545,AA545,AF545,AK545,AP545,AU545)))*(1-0.03),_xlfn.IFS(AW545="SIM",SUM(L545,Q545,V545,AA545,AF545,AK545,AP545,AU545)+AX545/_xlfn.XLOOKUP(_xlfn.XLOOKUP($F545,Clientes!$B$4:$B$39,Clientes!$C$4:$C$39),Cadastros!$L$6:$L$12,Cadastros!$M$6:$M$12)+IF($F545="Bernardino Furlan",AY545/2751.92,IF($F545="Mauro José Salanti",AY545/2751.92,AY545/3356)),F545&lt;&gt;0,SUM(L545,Q545,V545,AA545,AF545,AK545,AP545,AU545))))</f>
        <v xml:space="preserve"> </v>
      </c>
      <c r="BE545" s="120"/>
      <c r="BF545" s="120"/>
      <c r="BG545" s="120"/>
    </row>
    <row r="546" spans="1:59" s="3" customFormat="1" x14ac:dyDescent="0.3">
      <c r="A546" s="15" t="str">
        <f t="shared" si="104"/>
        <v/>
      </c>
      <c r="B546" s="25"/>
      <c r="C546" s="26"/>
      <c r="D546" s="279"/>
      <c r="E546" s="27"/>
      <c r="F546" s="28"/>
      <c r="G546" s="27"/>
      <c r="H546" s="28"/>
      <c r="I546" s="28"/>
      <c r="J546" s="255" t="str">
        <f>IF(H546="","",(_xlfn.XLOOKUP(H546,Cadastros!$D$6:$D$90,Cadastros!$E$6:$E$90))*(1-_xlfn.XLOOKUP(_xlfn.XLOOKUP($F546,Clientes!$B$4:$B$39,Clientes!$C$4:$C$39),Cadastros!$L$6:$L$12,Cadastros!$N$6:$N$12)))</f>
        <v/>
      </c>
      <c r="K546" s="168" t="str">
        <f t="shared" si="105"/>
        <v/>
      </c>
      <c r="L546" s="168" t="str">
        <f>IFERROR(K546/_xlfn.XLOOKUP(_xlfn.XLOOKUP($F546,Clientes!$B$4:$B$39,Clientes!$C$4:$C$39),Cadastros!$L$6:$L$12,Cadastros!$M$6:$M$12)," ")</f>
        <v xml:space="preserve"> </v>
      </c>
      <c r="M546" s="28"/>
      <c r="N546" s="28"/>
      <c r="O546" s="255" t="str">
        <f>IF(M546="","",(_xlfn.XLOOKUP(M546,Cadastros!$D$6:$D$90,Cadastros!$E$6:$E$90))*(1-_xlfn.XLOOKUP(_xlfn.XLOOKUP($F546,Clientes!$B$4:$B$39,Clientes!$C$4:$C$39),Cadastros!$L$6:$L$12,Cadastros!$N$6:$N$12)))</f>
        <v/>
      </c>
      <c r="P546" s="168" t="str">
        <f t="shared" si="106"/>
        <v/>
      </c>
      <c r="Q546" s="168" t="str">
        <f>IFERROR(P546/_xlfn.XLOOKUP(_xlfn.XLOOKUP($F546,Clientes!$B$4:$B$39,Clientes!$C$4:$C$39),Cadastros!$L$6:$L$12,Cadastros!$M$6:$M$12)," ")</f>
        <v xml:space="preserve"> </v>
      </c>
      <c r="R546" s="28"/>
      <c r="S546" s="28"/>
      <c r="T546" s="255" t="str">
        <f>IF(R546="","",(_xlfn.XLOOKUP(R546,Cadastros!$D$6:$D$90,Cadastros!$E$6:$E$90))*(1-_xlfn.XLOOKUP(_xlfn.XLOOKUP($F546,Clientes!$B$4:$B$39,Clientes!$C$4:$C$39),Cadastros!$L$6:$L$12,Cadastros!$N$6:$N$12)))</f>
        <v/>
      </c>
      <c r="U546" s="168" t="str">
        <f t="shared" si="107"/>
        <v/>
      </c>
      <c r="V546" s="168" t="str">
        <f>IFERROR(U546/_xlfn.XLOOKUP(_xlfn.XLOOKUP($F546,Clientes!$B$4:$B$39,Clientes!$C$4:$C$39),Cadastros!$L$6:$L$12,Cadastros!$M$6:$M$12)," ")</f>
        <v xml:space="preserve"> </v>
      </c>
      <c r="W546" s="28"/>
      <c r="X546" s="28"/>
      <c r="Y546" s="255" t="str">
        <f>IF(W546="","",(_xlfn.XLOOKUP(W546,Cadastros!$D$6:$D$90,Cadastros!$E$6:$E$90))*(1-_xlfn.XLOOKUP(_xlfn.XLOOKUP($F546,Clientes!$B$4:$B$39,Clientes!$C$4:$C$39),Cadastros!$L$6:$L$12,Cadastros!$N$6:$N$12)))</f>
        <v/>
      </c>
      <c r="Z546" s="168" t="str">
        <f t="shared" si="108"/>
        <v/>
      </c>
      <c r="AA546" s="168" t="str">
        <f>IFERROR(Z546/_xlfn.XLOOKUP(_xlfn.XLOOKUP($F546,Clientes!$B$4:$B$39,Clientes!$C$4:$C$39),Cadastros!$L$6:$L$12,Cadastros!$M$6:$M$12)," ")</f>
        <v xml:space="preserve"> </v>
      </c>
      <c r="AB546" s="28"/>
      <c r="AC546" s="28"/>
      <c r="AD546" s="20" t="str">
        <f>IF(AB546="","",IF($F546="Bernardino Furlan",_xlfn.XLOOKUP(AB546,Cadastros!$G$6:$G$90,Cadastros!$H$6:$H$90)*(1-0.18),IF($F546="Mauro José Salanti",_xlfn.XLOOKUP(AB546,Cadastros!$G$6:$G$90,Cadastros!$H$6:$H$90)*(1-0.18),_xlfn.XLOOKUP(AB546,Cadastros!$G$6:$G$90,Cadastros!$H$6:$H$90))))</f>
        <v/>
      </c>
      <c r="AE546" s="168" t="str">
        <f t="shared" si="109"/>
        <v/>
      </c>
      <c r="AF546" s="168" t="str">
        <f t="shared" si="110"/>
        <v/>
      </c>
      <c r="AG546" s="28"/>
      <c r="AH546" s="28"/>
      <c r="AI546" s="20" t="str">
        <f>IF(AG546="","",IF($F546="Bernardino Furlan",_xlfn.XLOOKUP(AG546,Cadastros!$G$6:$G$90,Cadastros!$H$6:$H$90)*(1-0.18),IF($F546="Mauro José Salanti",_xlfn.XLOOKUP(AG546,Cadastros!$G$6:$G$90,Cadastros!$H$6:$H$90)*(1-0.18),_xlfn.XLOOKUP(AG546,Cadastros!$G$6:$G$90,Cadastros!$H$6:$H$90))))</f>
        <v/>
      </c>
      <c r="AJ546" s="168" t="str">
        <f t="shared" si="111"/>
        <v/>
      </c>
      <c r="AK546" s="168" t="str">
        <f t="shared" si="112"/>
        <v/>
      </c>
      <c r="AL546" s="28"/>
      <c r="AM546" s="28"/>
      <c r="AN546" s="20" t="str">
        <f>IF(AL546="","",IF($F546="Bernardino Furlan",_xlfn.XLOOKUP(AL546,Cadastros!$G$6:$G$90,Cadastros!$H$6:$H$90)*(1-0.18),IF($F546="Mauro José Salanti",_xlfn.XLOOKUP(AL546,Cadastros!$G$6:$G$90,Cadastros!$H$6:$H$90)*(1-0.18),_xlfn.XLOOKUP(AL546,Cadastros!$G$6:$G$90,Cadastros!$H$6:$H$90))))</f>
        <v/>
      </c>
      <c r="AO546" s="168" t="str">
        <f t="shared" si="113"/>
        <v/>
      </c>
      <c r="AP546" s="168" t="str">
        <f t="shared" si="114"/>
        <v/>
      </c>
      <c r="AQ546" s="28"/>
      <c r="AR546" s="28"/>
      <c r="AS546" s="20" t="str">
        <f>IF(AQ546="","",IF($F546="Bernardino Furlan",_xlfn.XLOOKUP(AQ546,Cadastros!$G$6:$G$90,Cadastros!$H$6:$H$90)*(1-0.18),IF($F546="Mauro José Salanti",_xlfn.XLOOKUP(AQ546,Cadastros!$G$6:$G$90,Cadastros!$H$6:$H$90)*(1-0.18),_xlfn.XLOOKUP(AQ546,Cadastros!$G$6:$G$90,Cadastros!$H$6:$H$90))))</f>
        <v/>
      </c>
      <c r="AT546" s="168" t="str">
        <f t="shared" si="115"/>
        <v/>
      </c>
      <c r="AU546" s="168" t="str">
        <f t="shared" si="116"/>
        <v/>
      </c>
      <c r="AV546" s="227"/>
      <c r="AW546" s="30"/>
      <c r="AX546" s="267"/>
      <c r="AY546" s="267"/>
      <c r="AZ546" s="29"/>
      <c r="BA546" s="30"/>
      <c r="BB546" s="23" t="str" cm="1">
        <f t="array" ref="BB546">_xlfn.IFS(AW546="SIM",SUM(K546,P546,U546,Z546,AE546,AJ546,AO546,AT546,AX546,AY546),F546&lt;&gt;"",SUM(K546,P546,U546,Z546,AE546,AJ546,,AO546,AT546),F546="","")</f>
        <v/>
      </c>
      <c r="BC546" s="211" t="str" cm="1">
        <f t="array" ref="BC546">_xlfn.IFS(E546="","",G546&lt;=E546,BB546*(1-0.03),G546&lt;(E546+8),BB546,AZ546="Boleto",BB546*(1+0.001)^DATEDIF(E546,G546,"D"),AZ546="Cheque",BB546,AZ546="Dinheiro","Alterar forma pgto")</f>
        <v/>
      </c>
      <c r="BD546" s="276" t="str" cm="1">
        <f t="array" ref="BD546">IF(F546=0," ",IF(BC546&lt;BB546,(_xlfn.IFS(AW546="SIM",SUM(L546,Q546,V546,AA546,AF546,AK546,AP546,AU546)+AX546/_xlfn.XLOOKUP(_xlfn.XLOOKUP($F546,Clientes!$B$4:$B$39,Clientes!$C$4:$C$39),Cadastros!$L$6:$L$12,Cadastros!$M$6:$M$12)+IF($F546="Bernardino Furlan",AY546/2751.92,IF($F546="Mauro José Salanti",AY546/2751.92,AY546/3356)),F546&lt;&gt;0,SUM(L546,Q546,V546,AA546,AF546,AK546,AP546,AU546)))*(1-0.03),_xlfn.IFS(AW546="SIM",SUM(L546,Q546,V546,AA546,AF546,AK546,AP546,AU546)+AX546/_xlfn.XLOOKUP(_xlfn.XLOOKUP($F546,Clientes!$B$4:$B$39,Clientes!$C$4:$C$39),Cadastros!$L$6:$L$12,Cadastros!$M$6:$M$12)+IF($F546="Bernardino Furlan",AY546/2751.92,IF($F546="Mauro José Salanti",AY546/2751.92,AY546/3356)),F546&lt;&gt;0,SUM(L546,Q546,V546,AA546,AF546,AK546,AP546,AU546))))</f>
        <v xml:space="preserve"> </v>
      </c>
      <c r="BE546" s="120"/>
      <c r="BF546" s="120"/>
      <c r="BG546" s="120"/>
    </row>
    <row r="547" spans="1:59" s="3" customFormat="1" x14ac:dyDescent="0.3">
      <c r="A547" s="15" t="str">
        <f t="shared" si="104"/>
        <v/>
      </c>
      <c r="B547" s="25"/>
      <c r="C547" s="26"/>
      <c r="D547" s="279"/>
      <c r="E547" s="27"/>
      <c r="F547" s="28"/>
      <c r="G547" s="27"/>
      <c r="H547" s="28"/>
      <c r="I547" s="28"/>
      <c r="J547" s="255" t="str">
        <f>IF(H547="","",(_xlfn.XLOOKUP(H547,Cadastros!$D$6:$D$90,Cadastros!$E$6:$E$90))*(1-_xlfn.XLOOKUP(_xlfn.XLOOKUP($F547,Clientes!$B$4:$B$39,Clientes!$C$4:$C$39),Cadastros!$L$6:$L$12,Cadastros!$N$6:$N$12)))</f>
        <v/>
      </c>
      <c r="K547" s="168" t="str">
        <f t="shared" si="105"/>
        <v/>
      </c>
      <c r="L547" s="168" t="str">
        <f>IFERROR(K547/_xlfn.XLOOKUP(_xlfn.XLOOKUP($F547,Clientes!$B$4:$B$39,Clientes!$C$4:$C$39),Cadastros!$L$6:$L$12,Cadastros!$M$6:$M$12)," ")</f>
        <v xml:space="preserve"> </v>
      </c>
      <c r="M547" s="28"/>
      <c r="N547" s="28"/>
      <c r="O547" s="255" t="str">
        <f>IF(M547="","",(_xlfn.XLOOKUP(M547,Cadastros!$D$6:$D$90,Cadastros!$E$6:$E$90))*(1-_xlfn.XLOOKUP(_xlfn.XLOOKUP($F547,Clientes!$B$4:$B$39,Clientes!$C$4:$C$39),Cadastros!$L$6:$L$12,Cadastros!$N$6:$N$12)))</f>
        <v/>
      </c>
      <c r="P547" s="168" t="str">
        <f t="shared" si="106"/>
        <v/>
      </c>
      <c r="Q547" s="168" t="str">
        <f>IFERROR(P547/_xlfn.XLOOKUP(_xlfn.XLOOKUP($F547,Clientes!$B$4:$B$39,Clientes!$C$4:$C$39),Cadastros!$L$6:$L$12,Cadastros!$M$6:$M$12)," ")</f>
        <v xml:space="preserve"> </v>
      </c>
      <c r="R547" s="28"/>
      <c r="S547" s="28"/>
      <c r="T547" s="255" t="str">
        <f>IF(R547="","",(_xlfn.XLOOKUP(R547,Cadastros!$D$6:$D$90,Cadastros!$E$6:$E$90))*(1-_xlfn.XLOOKUP(_xlfn.XLOOKUP($F547,Clientes!$B$4:$B$39,Clientes!$C$4:$C$39),Cadastros!$L$6:$L$12,Cadastros!$N$6:$N$12)))</f>
        <v/>
      </c>
      <c r="U547" s="168" t="str">
        <f t="shared" si="107"/>
        <v/>
      </c>
      <c r="V547" s="168" t="str">
        <f>IFERROR(U547/_xlfn.XLOOKUP(_xlfn.XLOOKUP($F547,Clientes!$B$4:$B$39,Clientes!$C$4:$C$39),Cadastros!$L$6:$L$12,Cadastros!$M$6:$M$12)," ")</f>
        <v xml:space="preserve"> </v>
      </c>
      <c r="W547" s="28"/>
      <c r="X547" s="28"/>
      <c r="Y547" s="255" t="str">
        <f>IF(W547="","",(_xlfn.XLOOKUP(W547,Cadastros!$D$6:$D$90,Cadastros!$E$6:$E$90))*(1-_xlfn.XLOOKUP(_xlfn.XLOOKUP($F547,Clientes!$B$4:$B$39,Clientes!$C$4:$C$39),Cadastros!$L$6:$L$12,Cadastros!$N$6:$N$12)))</f>
        <v/>
      </c>
      <c r="Z547" s="168" t="str">
        <f t="shared" si="108"/>
        <v/>
      </c>
      <c r="AA547" s="168" t="str">
        <f>IFERROR(Z547/_xlfn.XLOOKUP(_xlfn.XLOOKUP($F547,Clientes!$B$4:$B$39,Clientes!$C$4:$C$39),Cadastros!$L$6:$L$12,Cadastros!$M$6:$M$12)," ")</f>
        <v xml:space="preserve"> </v>
      </c>
      <c r="AB547" s="28"/>
      <c r="AC547" s="28"/>
      <c r="AD547" s="20" t="str">
        <f>IF(AB547="","",IF($F547="Bernardino Furlan",_xlfn.XLOOKUP(AB547,Cadastros!$G$6:$G$90,Cadastros!$H$6:$H$90)*(1-0.18),IF($F547="Mauro José Salanti",_xlfn.XLOOKUP(AB547,Cadastros!$G$6:$G$90,Cadastros!$H$6:$H$90)*(1-0.18),_xlfn.XLOOKUP(AB547,Cadastros!$G$6:$G$90,Cadastros!$H$6:$H$90))))</f>
        <v/>
      </c>
      <c r="AE547" s="168" t="str">
        <f t="shared" si="109"/>
        <v/>
      </c>
      <c r="AF547" s="168" t="str">
        <f t="shared" si="110"/>
        <v/>
      </c>
      <c r="AG547" s="28"/>
      <c r="AH547" s="28"/>
      <c r="AI547" s="20" t="str">
        <f>IF(AG547="","",IF($F547="Bernardino Furlan",_xlfn.XLOOKUP(AG547,Cadastros!$G$6:$G$90,Cadastros!$H$6:$H$90)*(1-0.18),IF($F547="Mauro José Salanti",_xlfn.XLOOKUP(AG547,Cadastros!$G$6:$G$90,Cadastros!$H$6:$H$90)*(1-0.18),_xlfn.XLOOKUP(AG547,Cadastros!$G$6:$G$90,Cadastros!$H$6:$H$90))))</f>
        <v/>
      </c>
      <c r="AJ547" s="168" t="str">
        <f t="shared" si="111"/>
        <v/>
      </c>
      <c r="AK547" s="168" t="str">
        <f t="shared" si="112"/>
        <v/>
      </c>
      <c r="AL547" s="28"/>
      <c r="AM547" s="28"/>
      <c r="AN547" s="20" t="str">
        <f>IF(AL547="","",IF($F547="Bernardino Furlan",_xlfn.XLOOKUP(AL547,Cadastros!$G$6:$G$90,Cadastros!$H$6:$H$90)*(1-0.18),IF($F547="Mauro José Salanti",_xlfn.XLOOKUP(AL547,Cadastros!$G$6:$G$90,Cadastros!$H$6:$H$90)*(1-0.18),_xlfn.XLOOKUP(AL547,Cadastros!$G$6:$G$90,Cadastros!$H$6:$H$90))))</f>
        <v/>
      </c>
      <c r="AO547" s="168" t="str">
        <f t="shared" si="113"/>
        <v/>
      </c>
      <c r="AP547" s="168" t="str">
        <f t="shared" si="114"/>
        <v/>
      </c>
      <c r="AQ547" s="28"/>
      <c r="AR547" s="28"/>
      <c r="AS547" s="20" t="str">
        <f>IF(AQ547="","",IF($F547="Bernardino Furlan",_xlfn.XLOOKUP(AQ547,Cadastros!$G$6:$G$90,Cadastros!$H$6:$H$90)*(1-0.18),IF($F547="Mauro José Salanti",_xlfn.XLOOKUP(AQ547,Cadastros!$G$6:$G$90,Cadastros!$H$6:$H$90)*(1-0.18),_xlfn.XLOOKUP(AQ547,Cadastros!$G$6:$G$90,Cadastros!$H$6:$H$90))))</f>
        <v/>
      </c>
      <c r="AT547" s="168" t="str">
        <f t="shared" si="115"/>
        <v/>
      </c>
      <c r="AU547" s="168" t="str">
        <f t="shared" si="116"/>
        <v/>
      </c>
      <c r="AV547" s="227"/>
      <c r="AW547" s="30"/>
      <c r="AX547" s="267"/>
      <c r="AY547" s="267"/>
      <c r="AZ547" s="29"/>
      <c r="BA547" s="30"/>
      <c r="BB547" s="23" t="str" cm="1">
        <f t="array" ref="BB547">_xlfn.IFS(AW547="SIM",SUM(K547,P547,U547,Z547,AE547,AJ547,AO547,AT547,AX547,AY547),F547&lt;&gt;"",SUM(K547,P547,U547,Z547,AE547,AJ547,,AO547,AT547),F547="","")</f>
        <v/>
      </c>
      <c r="BC547" s="211" t="str" cm="1">
        <f t="array" ref="BC547">_xlfn.IFS(E547="","",G547&lt;=E547,BB547*(1-0.03),G547&lt;(E547+8),BB547,AZ547="Boleto",BB547*(1+0.001)^DATEDIF(E547,G547,"D"),AZ547="Cheque",BB547,AZ547="Dinheiro","Alterar forma pgto")</f>
        <v/>
      </c>
      <c r="BD547" s="276" t="str" cm="1">
        <f t="array" ref="BD547">IF(F547=0," ",IF(BC547&lt;BB547,(_xlfn.IFS(AW547="SIM",SUM(L547,Q547,V547,AA547,AF547,AK547,AP547,AU547)+AX547/_xlfn.XLOOKUP(_xlfn.XLOOKUP($F547,Clientes!$B$4:$B$39,Clientes!$C$4:$C$39),Cadastros!$L$6:$L$12,Cadastros!$M$6:$M$12)+IF($F547="Bernardino Furlan",AY547/2751.92,IF($F547="Mauro José Salanti",AY547/2751.92,AY547/3356)),F547&lt;&gt;0,SUM(L547,Q547,V547,AA547,AF547,AK547,AP547,AU547)))*(1-0.03),_xlfn.IFS(AW547="SIM",SUM(L547,Q547,V547,AA547,AF547,AK547,AP547,AU547)+AX547/_xlfn.XLOOKUP(_xlfn.XLOOKUP($F547,Clientes!$B$4:$B$39,Clientes!$C$4:$C$39),Cadastros!$L$6:$L$12,Cadastros!$M$6:$M$12)+IF($F547="Bernardino Furlan",AY547/2751.92,IF($F547="Mauro José Salanti",AY547/2751.92,AY547/3356)),F547&lt;&gt;0,SUM(L547,Q547,V547,AA547,AF547,AK547,AP547,AU547))))</f>
        <v xml:space="preserve"> </v>
      </c>
      <c r="BE547" s="120"/>
      <c r="BF547" s="120"/>
      <c r="BG547" s="120"/>
    </row>
    <row r="548" spans="1:59" s="3" customFormat="1" x14ac:dyDescent="0.3">
      <c r="A548" s="15" t="str">
        <f t="shared" si="104"/>
        <v/>
      </c>
      <c r="B548" s="25"/>
      <c r="C548" s="26"/>
      <c r="D548" s="279"/>
      <c r="E548" s="27"/>
      <c r="F548" s="28"/>
      <c r="G548" s="27"/>
      <c r="H548" s="28"/>
      <c r="I548" s="28"/>
      <c r="J548" s="255" t="str">
        <f>IF(H548="","",(_xlfn.XLOOKUP(H548,Cadastros!$D$6:$D$90,Cadastros!$E$6:$E$90))*(1-_xlfn.XLOOKUP(_xlfn.XLOOKUP($F548,Clientes!$B$4:$B$39,Clientes!$C$4:$C$39),Cadastros!$L$6:$L$12,Cadastros!$N$6:$N$12)))</f>
        <v/>
      </c>
      <c r="K548" s="168" t="str">
        <f t="shared" si="105"/>
        <v/>
      </c>
      <c r="L548" s="168" t="str">
        <f>IFERROR(K548/_xlfn.XLOOKUP(_xlfn.XLOOKUP($F548,Clientes!$B$4:$B$39,Clientes!$C$4:$C$39),Cadastros!$L$6:$L$12,Cadastros!$M$6:$M$12)," ")</f>
        <v xml:space="preserve"> </v>
      </c>
      <c r="M548" s="28"/>
      <c r="N548" s="28"/>
      <c r="O548" s="255" t="str">
        <f>IF(M548="","",(_xlfn.XLOOKUP(M548,Cadastros!$D$6:$D$90,Cadastros!$E$6:$E$90))*(1-_xlfn.XLOOKUP(_xlfn.XLOOKUP($F548,Clientes!$B$4:$B$39,Clientes!$C$4:$C$39),Cadastros!$L$6:$L$12,Cadastros!$N$6:$N$12)))</f>
        <v/>
      </c>
      <c r="P548" s="168" t="str">
        <f t="shared" si="106"/>
        <v/>
      </c>
      <c r="Q548" s="168" t="str">
        <f>IFERROR(P548/_xlfn.XLOOKUP(_xlfn.XLOOKUP($F548,Clientes!$B$4:$B$39,Clientes!$C$4:$C$39),Cadastros!$L$6:$L$12,Cadastros!$M$6:$M$12)," ")</f>
        <v xml:space="preserve"> </v>
      </c>
      <c r="R548" s="28"/>
      <c r="S548" s="28"/>
      <c r="T548" s="255" t="str">
        <f>IF(R548="","",(_xlfn.XLOOKUP(R548,Cadastros!$D$6:$D$90,Cadastros!$E$6:$E$90))*(1-_xlfn.XLOOKUP(_xlfn.XLOOKUP($F548,Clientes!$B$4:$B$39,Clientes!$C$4:$C$39),Cadastros!$L$6:$L$12,Cadastros!$N$6:$N$12)))</f>
        <v/>
      </c>
      <c r="U548" s="168" t="str">
        <f t="shared" si="107"/>
        <v/>
      </c>
      <c r="V548" s="168" t="str">
        <f>IFERROR(U548/_xlfn.XLOOKUP(_xlfn.XLOOKUP($F548,Clientes!$B$4:$B$39,Clientes!$C$4:$C$39),Cadastros!$L$6:$L$12,Cadastros!$M$6:$M$12)," ")</f>
        <v xml:space="preserve"> </v>
      </c>
      <c r="W548" s="28"/>
      <c r="X548" s="28"/>
      <c r="Y548" s="255" t="str">
        <f>IF(W548="","",(_xlfn.XLOOKUP(W548,Cadastros!$D$6:$D$90,Cadastros!$E$6:$E$90))*(1-_xlfn.XLOOKUP(_xlfn.XLOOKUP($F548,Clientes!$B$4:$B$39,Clientes!$C$4:$C$39),Cadastros!$L$6:$L$12,Cadastros!$N$6:$N$12)))</f>
        <v/>
      </c>
      <c r="Z548" s="168" t="str">
        <f t="shared" si="108"/>
        <v/>
      </c>
      <c r="AA548" s="168" t="str">
        <f>IFERROR(Z548/_xlfn.XLOOKUP(_xlfn.XLOOKUP($F548,Clientes!$B$4:$B$39,Clientes!$C$4:$C$39),Cadastros!$L$6:$L$12,Cadastros!$M$6:$M$12)," ")</f>
        <v xml:space="preserve"> </v>
      </c>
      <c r="AB548" s="28"/>
      <c r="AC548" s="28"/>
      <c r="AD548" s="20" t="str">
        <f>IF(AB548="","",IF($F548="Bernardino Furlan",_xlfn.XLOOKUP(AB548,Cadastros!$G$6:$G$90,Cadastros!$H$6:$H$90)*(1-0.18),IF($F548="Mauro José Salanti",_xlfn.XLOOKUP(AB548,Cadastros!$G$6:$G$90,Cadastros!$H$6:$H$90)*(1-0.18),_xlfn.XLOOKUP(AB548,Cadastros!$G$6:$G$90,Cadastros!$H$6:$H$90))))</f>
        <v/>
      </c>
      <c r="AE548" s="168" t="str">
        <f t="shared" si="109"/>
        <v/>
      </c>
      <c r="AF548" s="168" t="str">
        <f t="shared" si="110"/>
        <v/>
      </c>
      <c r="AG548" s="28"/>
      <c r="AH548" s="28"/>
      <c r="AI548" s="20" t="str">
        <f>IF(AG548="","",IF($F548="Bernardino Furlan",_xlfn.XLOOKUP(AG548,Cadastros!$G$6:$G$90,Cadastros!$H$6:$H$90)*(1-0.18),IF($F548="Mauro José Salanti",_xlfn.XLOOKUP(AG548,Cadastros!$G$6:$G$90,Cadastros!$H$6:$H$90)*(1-0.18),_xlfn.XLOOKUP(AG548,Cadastros!$G$6:$G$90,Cadastros!$H$6:$H$90))))</f>
        <v/>
      </c>
      <c r="AJ548" s="168" t="str">
        <f t="shared" si="111"/>
        <v/>
      </c>
      <c r="AK548" s="168" t="str">
        <f t="shared" si="112"/>
        <v/>
      </c>
      <c r="AL548" s="28"/>
      <c r="AM548" s="28"/>
      <c r="AN548" s="20" t="str">
        <f>IF(AL548="","",IF($F548="Bernardino Furlan",_xlfn.XLOOKUP(AL548,Cadastros!$G$6:$G$90,Cadastros!$H$6:$H$90)*(1-0.18),IF($F548="Mauro José Salanti",_xlfn.XLOOKUP(AL548,Cadastros!$G$6:$G$90,Cadastros!$H$6:$H$90)*(1-0.18),_xlfn.XLOOKUP(AL548,Cadastros!$G$6:$G$90,Cadastros!$H$6:$H$90))))</f>
        <v/>
      </c>
      <c r="AO548" s="168" t="str">
        <f t="shared" si="113"/>
        <v/>
      </c>
      <c r="AP548" s="168" t="str">
        <f t="shared" si="114"/>
        <v/>
      </c>
      <c r="AQ548" s="28"/>
      <c r="AR548" s="28"/>
      <c r="AS548" s="20" t="str">
        <f>IF(AQ548="","",IF($F548="Bernardino Furlan",_xlfn.XLOOKUP(AQ548,Cadastros!$G$6:$G$90,Cadastros!$H$6:$H$90)*(1-0.18),IF($F548="Mauro José Salanti",_xlfn.XLOOKUP(AQ548,Cadastros!$G$6:$G$90,Cadastros!$H$6:$H$90)*(1-0.18),_xlfn.XLOOKUP(AQ548,Cadastros!$G$6:$G$90,Cadastros!$H$6:$H$90))))</f>
        <v/>
      </c>
      <c r="AT548" s="168" t="str">
        <f t="shared" si="115"/>
        <v/>
      </c>
      <c r="AU548" s="168" t="str">
        <f t="shared" si="116"/>
        <v/>
      </c>
      <c r="AV548" s="227"/>
      <c r="AW548" s="30"/>
      <c r="AX548" s="267"/>
      <c r="AY548" s="267"/>
      <c r="AZ548" s="29"/>
      <c r="BA548" s="30"/>
      <c r="BB548" s="23" t="str" cm="1">
        <f t="array" ref="BB548">_xlfn.IFS(AW548="SIM",SUM(K548,P548,U548,Z548,AE548,AJ548,AO548,AT548,AX548,AY548),F548&lt;&gt;"",SUM(K548,P548,U548,Z548,AE548,AJ548,,AO548,AT548),F548="","")</f>
        <v/>
      </c>
      <c r="BC548" s="211" t="str" cm="1">
        <f t="array" ref="BC548">_xlfn.IFS(E548="","",G548&lt;=E548,BB548*(1-0.03),G548&lt;(E548+8),BB548,AZ548="Boleto",BB548*(1+0.001)^DATEDIF(E548,G548,"D"),AZ548="Cheque",BB548,AZ548="Dinheiro","Alterar forma pgto")</f>
        <v/>
      </c>
      <c r="BD548" s="276" t="str" cm="1">
        <f t="array" ref="BD548">IF(F548=0," ",IF(BC548&lt;BB548,(_xlfn.IFS(AW548="SIM",SUM(L548,Q548,V548,AA548,AF548,AK548,AP548,AU548)+AX548/_xlfn.XLOOKUP(_xlfn.XLOOKUP($F548,Clientes!$B$4:$B$39,Clientes!$C$4:$C$39),Cadastros!$L$6:$L$12,Cadastros!$M$6:$M$12)+IF($F548="Bernardino Furlan",AY548/2751.92,IF($F548="Mauro José Salanti",AY548/2751.92,AY548/3356)),F548&lt;&gt;0,SUM(L548,Q548,V548,AA548,AF548,AK548,AP548,AU548)))*(1-0.03),_xlfn.IFS(AW548="SIM",SUM(L548,Q548,V548,AA548,AF548,AK548,AP548,AU548)+AX548/_xlfn.XLOOKUP(_xlfn.XLOOKUP($F548,Clientes!$B$4:$B$39,Clientes!$C$4:$C$39),Cadastros!$L$6:$L$12,Cadastros!$M$6:$M$12)+IF($F548="Bernardino Furlan",AY548/2751.92,IF($F548="Mauro José Salanti",AY548/2751.92,AY548/3356)),F548&lt;&gt;0,SUM(L548,Q548,V548,AA548,AF548,AK548,AP548,AU548))))</f>
        <v xml:space="preserve"> </v>
      </c>
      <c r="BE548" s="120"/>
      <c r="BF548" s="120"/>
      <c r="BG548" s="120"/>
    </row>
    <row r="549" spans="1:59" s="3" customFormat="1" x14ac:dyDescent="0.3">
      <c r="A549" s="15" t="str">
        <f t="shared" si="104"/>
        <v/>
      </c>
      <c r="B549" s="25"/>
      <c r="C549" s="26"/>
      <c r="D549" s="279"/>
      <c r="E549" s="27"/>
      <c r="F549" s="28"/>
      <c r="G549" s="27"/>
      <c r="H549" s="28"/>
      <c r="I549" s="28"/>
      <c r="J549" s="255" t="str">
        <f>IF(H549="","",(_xlfn.XLOOKUP(H549,Cadastros!$D$6:$D$90,Cadastros!$E$6:$E$90))*(1-_xlfn.XLOOKUP(_xlfn.XLOOKUP($F549,Clientes!$B$4:$B$39,Clientes!$C$4:$C$39),Cadastros!$L$6:$L$12,Cadastros!$N$6:$N$12)))</f>
        <v/>
      </c>
      <c r="K549" s="168" t="str">
        <f t="shared" si="105"/>
        <v/>
      </c>
      <c r="L549" s="168" t="str">
        <f>IFERROR(K549/_xlfn.XLOOKUP(_xlfn.XLOOKUP($F549,Clientes!$B$4:$B$39,Clientes!$C$4:$C$39),Cadastros!$L$6:$L$12,Cadastros!$M$6:$M$12)," ")</f>
        <v xml:space="preserve"> </v>
      </c>
      <c r="M549" s="28"/>
      <c r="N549" s="28"/>
      <c r="O549" s="255" t="str">
        <f>IF(M549="","",(_xlfn.XLOOKUP(M549,Cadastros!$D$6:$D$90,Cadastros!$E$6:$E$90))*(1-_xlfn.XLOOKUP(_xlfn.XLOOKUP($F549,Clientes!$B$4:$B$39,Clientes!$C$4:$C$39),Cadastros!$L$6:$L$12,Cadastros!$N$6:$N$12)))</f>
        <v/>
      </c>
      <c r="P549" s="168" t="str">
        <f t="shared" si="106"/>
        <v/>
      </c>
      <c r="Q549" s="168" t="str">
        <f>IFERROR(P549/_xlfn.XLOOKUP(_xlfn.XLOOKUP($F549,Clientes!$B$4:$B$39,Clientes!$C$4:$C$39),Cadastros!$L$6:$L$12,Cadastros!$M$6:$M$12)," ")</f>
        <v xml:space="preserve"> </v>
      </c>
      <c r="R549" s="28"/>
      <c r="S549" s="28"/>
      <c r="T549" s="255" t="str">
        <f>IF(R549="","",(_xlfn.XLOOKUP(R549,Cadastros!$D$6:$D$90,Cadastros!$E$6:$E$90))*(1-_xlfn.XLOOKUP(_xlfn.XLOOKUP($F549,Clientes!$B$4:$B$39,Clientes!$C$4:$C$39),Cadastros!$L$6:$L$12,Cadastros!$N$6:$N$12)))</f>
        <v/>
      </c>
      <c r="U549" s="168" t="str">
        <f t="shared" si="107"/>
        <v/>
      </c>
      <c r="V549" s="168" t="str">
        <f>IFERROR(U549/_xlfn.XLOOKUP(_xlfn.XLOOKUP($F549,Clientes!$B$4:$B$39,Clientes!$C$4:$C$39),Cadastros!$L$6:$L$12,Cadastros!$M$6:$M$12)," ")</f>
        <v xml:space="preserve"> </v>
      </c>
      <c r="W549" s="28"/>
      <c r="X549" s="28"/>
      <c r="Y549" s="255" t="str">
        <f>IF(W549="","",(_xlfn.XLOOKUP(W549,Cadastros!$D$6:$D$90,Cadastros!$E$6:$E$90))*(1-_xlfn.XLOOKUP(_xlfn.XLOOKUP($F549,Clientes!$B$4:$B$39,Clientes!$C$4:$C$39),Cadastros!$L$6:$L$12,Cadastros!$N$6:$N$12)))</f>
        <v/>
      </c>
      <c r="Z549" s="168" t="str">
        <f t="shared" si="108"/>
        <v/>
      </c>
      <c r="AA549" s="168" t="str">
        <f>IFERROR(Z549/_xlfn.XLOOKUP(_xlfn.XLOOKUP($F549,Clientes!$B$4:$B$39,Clientes!$C$4:$C$39),Cadastros!$L$6:$L$12,Cadastros!$M$6:$M$12)," ")</f>
        <v xml:space="preserve"> </v>
      </c>
      <c r="AB549" s="28"/>
      <c r="AC549" s="28"/>
      <c r="AD549" s="20" t="str">
        <f>IF(AB549="","",IF($F549="Bernardino Furlan",_xlfn.XLOOKUP(AB549,Cadastros!$G$6:$G$90,Cadastros!$H$6:$H$90)*(1-0.18),IF($F549="Mauro José Salanti",_xlfn.XLOOKUP(AB549,Cadastros!$G$6:$G$90,Cadastros!$H$6:$H$90)*(1-0.18),_xlfn.XLOOKUP(AB549,Cadastros!$G$6:$G$90,Cadastros!$H$6:$H$90))))</f>
        <v/>
      </c>
      <c r="AE549" s="168" t="str">
        <f t="shared" si="109"/>
        <v/>
      </c>
      <c r="AF549" s="168" t="str">
        <f t="shared" si="110"/>
        <v/>
      </c>
      <c r="AG549" s="28"/>
      <c r="AH549" s="28"/>
      <c r="AI549" s="20" t="str">
        <f>IF(AG549="","",IF($F549="Bernardino Furlan",_xlfn.XLOOKUP(AG549,Cadastros!$G$6:$G$90,Cadastros!$H$6:$H$90)*(1-0.18),IF($F549="Mauro José Salanti",_xlfn.XLOOKUP(AG549,Cadastros!$G$6:$G$90,Cadastros!$H$6:$H$90)*(1-0.18),_xlfn.XLOOKUP(AG549,Cadastros!$G$6:$G$90,Cadastros!$H$6:$H$90))))</f>
        <v/>
      </c>
      <c r="AJ549" s="168" t="str">
        <f t="shared" si="111"/>
        <v/>
      </c>
      <c r="AK549" s="168" t="str">
        <f t="shared" si="112"/>
        <v/>
      </c>
      <c r="AL549" s="28"/>
      <c r="AM549" s="28"/>
      <c r="AN549" s="20" t="str">
        <f>IF(AL549="","",IF($F549="Bernardino Furlan",_xlfn.XLOOKUP(AL549,Cadastros!$G$6:$G$90,Cadastros!$H$6:$H$90)*(1-0.18),IF($F549="Mauro José Salanti",_xlfn.XLOOKUP(AL549,Cadastros!$G$6:$G$90,Cadastros!$H$6:$H$90)*(1-0.18),_xlfn.XLOOKUP(AL549,Cadastros!$G$6:$G$90,Cadastros!$H$6:$H$90))))</f>
        <v/>
      </c>
      <c r="AO549" s="168" t="str">
        <f t="shared" si="113"/>
        <v/>
      </c>
      <c r="AP549" s="168" t="str">
        <f t="shared" si="114"/>
        <v/>
      </c>
      <c r="AQ549" s="28"/>
      <c r="AR549" s="28"/>
      <c r="AS549" s="20" t="str">
        <f>IF(AQ549="","",IF($F549="Bernardino Furlan",_xlfn.XLOOKUP(AQ549,Cadastros!$G$6:$G$90,Cadastros!$H$6:$H$90)*(1-0.18),IF($F549="Mauro José Salanti",_xlfn.XLOOKUP(AQ549,Cadastros!$G$6:$G$90,Cadastros!$H$6:$H$90)*(1-0.18),_xlfn.XLOOKUP(AQ549,Cadastros!$G$6:$G$90,Cadastros!$H$6:$H$90))))</f>
        <v/>
      </c>
      <c r="AT549" s="168" t="str">
        <f t="shared" si="115"/>
        <v/>
      </c>
      <c r="AU549" s="168" t="str">
        <f t="shared" si="116"/>
        <v/>
      </c>
      <c r="AV549" s="227"/>
      <c r="AW549" s="30"/>
      <c r="AX549" s="267"/>
      <c r="AY549" s="267"/>
      <c r="AZ549" s="29"/>
      <c r="BA549" s="30"/>
      <c r="BB549" s="23" t="str" cm="1">
        <f t="array" ref="BB549">_xlfn.IFS(AW549="SIM",SUM(K549,P549,U549,Z549,AE549,AJ549,AO549,AT549,AX549,AY549),F549&lt;&gt;"",SUM(K549,P549,U549,Z549,AE549,AJ549,,AO549,AT549),F549="","")</f>
        <v/>
      </c>
      <c r="BC549" s="211" t="str" cm="1">
        <f t="array" ref="BC549">_xlfn.IFS(E549="","",G549&lt;=E549,BB549*(1-0.03),G549&lt;(E549+8),BB549,AZ549="Boleto",BB549*(1+0.001)^DATEDIF(E549,G549,"D"),AZ549="Cheque",BB549,AZ549="Dinheiro","Alterar forma pgto")</f>
        <v/>
      </c>
      <c r="BD549" s="276" t="str" cm="1">
        <f t="array" ref="BD549">IF(F549=0," ",IF(BC549&lt;BB549,(_xlfn.IFS(AW549="SIM",SUM(L549,Q549,V549,AA549,AF549,AK549,AP549,AU549)+AX549/_xlfn.XLOOKUP(_xlfn.XLOOKUP($F549,Clientes!$B$4:$B$39,Clientes!$C$4:$C$39),Cadastros!$L$6:$L$12,Cadastros!$M$6:$M$12)+IF($F549="Bernardino Furlan",AY549/2751.92,IF($F549="Mauro José Salanti",AY549/2751.92,AY549/3356)),F549&lt;&gt;0,SUM(L549,Q549,V549,AA549,AF549,AK549,AP549,AU549)))*(1-0.03),_xlfn.IFS(AW549="SIM",SUM(L549,Q549,V549,AA549,AF549,AK549,AP549,AU549)+AX549/_xlfn.XLOOKUP(_xlfn.XLOOKUP($F549,Clientes!$B$4:$B$39,Clientes!$C$4:$C$39),Cadastros!$L$6:$L$12,Cadastros!$M$6:$M$12)+IF($F549="Bernardino Furlan",AY549/2751.92,IF($F549="Mauro José Salanti",AY549/2751.92,AY549/3356)),F549&lt;&gt;0,SUM(L549,Q549,V549,AA549,AF549,AK549,AP549,AU549))))</f>
        <v xml:space="preserve"> </v>
      </c>
      <c r="BE549" s="120"/>
      <c r="BF549" s="120"/>
      <c r="BG549" s="120"/>
    </row>
    <row r="550" spans="1:59" s="3" customFormat="1" x14ac:dyDescent="0.3">
      <c r="A550" s="15" t="str">
        <f t="shared" si="104"/>
        <v/>
      </c>
      <c r="B550" s="25"/>
      <c r="C550" s="26"/>
      <c r="D550" s="279"/>
      <c r="E550" s="27"/>
      <c r="F550" s="28"/>
      <c r="G550" s="27"/>
      <c r="H550" s="28"/>
      <c r="I550" s="28"/>
      <c r="J550" s="255" t="str">
        <f>IF(H550="","",(_xlfn.XLOOKUP(H550,Cadastros!$D$6:$D$90,Cadastros!$E$6:$E$90))*(1-_xlfn.XLOOKUP(_xlfn.XLOOKUP($F550,Clientes!$B$4:$B$39,Clientes!$C$4:$C$39),Cadastros!$L$6:$L$12,Cadastros!$N$6:$N$12)))</f>
        <v/>
      </c>
      <c r="K550" s="168" t="str">
        <f t="shared" si="105"/>
        <v/>
      </c>
      <c r="L550" s="168" t="str">
        <f>IFERROR(K550/_xlfn.XLOOKUP(_xlfn.XLOOKUP($F550,Clientes!$B$4:$B$39,Clientes!$C$4:$C$39),Cadastros!$L$6:$L$12,Cadastros!$M$6:$M$12)," ")</f>
        <v xml:space="preserve"> </v>
      </c>
      <c r="M550" s="28"/>
      <c r="N550" s="28"/>
      <c r="O550" s="255" t="str">
        <f>IF(M550="","",(_xlfn.XLOOKUP(M550,Cadastros!$D$6:$D$90,Cadastros!$E$6:$E$90))*(1-_xlfn.XLOOKUP(_xlfn.XLOOKUP($F550,Clientes!$B$4:$B$39,Clientes!$C$4:$C$39),Cadastros!$L$6:$L$12,Cadastros!$N$6:$N$12)))</f>
        <v/>
      </c>
      <c r="P550" s="168" t="str">
        <f t="shared" si="106"/>
        <v/>
      </c>
      <c r="Q550" s="168" t="str">
        <f>IFERROR(P550/_xlfn.XLOOKUP(_xlfn.XLOOKUP($F550,Clientes!$B$4:$B$39,Clientes!$C$4:$C$39),Cadastros!$L$6:$L$12,Cadastros!$M$6:$M$12)," ")</f>
        <v xml:space="preserve"> </v>
      </c>
      <c r="R550" s="28"/>
      <c r="S550" s="28"/>
      <c r="T550" s="255" t="str">
        <f>IF(R550="","",(_xlfn.XLOOKUP(R550,Cadastros!$D$6:$D$90,Cadastros!$E$6:$E$90))*(1-_xlfn.XLOOKUP(_xlfn.XLOOKUP($F550,Clientes!$B$4:$B$39,Clientes!$C$4:$C$39),Cadastros!$L$6:$L$12,Cadastros!$N$6:$N$12)))</f>
        <v/>
      </c>
      <c r="U550" s="168" t="str">
        <f t="shared" si="107"/>
        <v/>
      </c>
      <c r="V550" s="168" t="str">
        <f>IFERROR(U550/_xlfn.XLOOKUP(_xlfn.XLOOKUP($F550,Clientes!$B$4:$B$39,Clientes!$C$4:$C$39),Cadastros!$L$6:$L$12,Cadastros!$M$6:$M$12)," ")</f>
        <v xml:space="preserve"> </v>
      </c>
      <c r="W550" s="28"/>
      <c r="X550" s="28"/>
      <c r="Y550" s="255" t="str">
        <f>IF(W550="","",(_xlfn.XLOOKUP(W550,Cadastros!$D$6:$D$90,Cadastros!$E$6:$E$90))*(1-_xlfn.XLOOKUP(_xlfn.XLOOKUP($F550,Clientes!$B$4:$B$39,Clientes!$C$4:$C$39),Cadastros!$L$6:$L$12,Cadastros!$N$6:$N$12)))</f>
        <v/>
      </c>
      <c r="Z550" s="168" t="str">
        <f t="shared" si="108"/>
        <v/>
      </c>
      <c r="AA550" s="168" t="str">
        <f>IFERROR(Z550/_xlfn.XLOOKUP(_xlfn.XLOOKUP($F550,Clientes!$B$4:$B$39,Clientes!$C$4:$C$39),Cadastros!$L$6:$L$12,Cadastros!$M$6:$M$12)," ")</f>
        <v xml:space="preserve"> </v>
      </c>
      <c r="AB550" s="28"/>
      <c r="AC550" s="28"/>
      <c r="AD550" s="20" t="str">
        <f>IF(AB550="","",IF($F550="Bernardino Furlan",_xlfn.XLOOKUP(AB550,Cadastros!$G$6:$G$90,Cadastros!$H$6:$H$90)*(1-0.18),IF($F550="Mauro José Salanti",_xlfn.XLOOKUP(AB550,Cadastros!$G$6:$G$90,Cadastros!$H$6:$H$90)*(1-0.18),_xlfn.XLOOKUP(AB550,Cadastros!$G$6:$G$90,Cadastros!$H$6:$H$90))))</f>
        <v/>
      </c>
      <c r="AE550" s="168" t="str">
        <f t="shared" si="109"/>
        <v/>
      </c>
      <c r="AF550" s="168" t="str">
        <f t="shared" si="110"/>
        <v/>
      </c>
      <c r="AG550" s="28"/>
      <c r="AH550" s="28"/>
      <c r="AI550" s="20" t="str">
        <f>IF(AG550="","",IF($F550="Bernardino Furlan",_xlfn.XLOOKUP(AG550,Cadastros!$G$6:$G$90,Cadastros!$H$6:$H$90)*(1-0.18),IF($F550="Mauro José Salanti",_xlfn.XLOOKUP(AG550,Cadastros!$G$6:$G$90,Cadastros!$H$6:$H$90)*(1-0.18),_xlfn.XLOOKUP(AG550,Cadastros!$G$6:$G$90,Cadastros!$H$6:$H$90))))</f>
        <v/>
      </c>
      <c r="AJ550" s="168" t="str">
        <f t="shared" si="111"/>
        <v/>
      </c>
      <c r="AK550" s="168" t="str">
        <f t="shared" si="112"/>
        <v/>
      </c>
      <c r="AL550" s="28"/>
      <c r="AM550" s="28"/>
      <c r="AN550" s="20" t="str">
        <f>IF(AL550="","",IF($F550="Bernardino Furlan",_xlfn.XLOOKUP(AL550,Cadastros!$G$6:$G$90,Cadastros!$H$6:$H$90)*(1-0.18),IF($F550="Mauro José Salanti",_xlfn.XLOOKUP(AL550,Cadastros!$G$6:$G$90,Cadastros!$H$6:$H$90)*(1-0.18),_xlfn.XLOOKUP(AL550,Cadastros!$G$6:$G$90,Cadastros!$H$6:$H$90))))</f>
        <v/>
      </c>
      <c r="AO550" s="168" t="str">
        <f t="shared" si="113"/>
        <v/>
      </c>
      <c r="AP550" s="168" t="str">
        <f t="shared" si="114"/>
        <v/>
      </c>
      <c r="AQ550" s="28"/>
      <c r="AR550" s="28"/>
      <c r="AS550" s="20" t="str">
        <f>IF(AQ550="","",IF($F550="Bernardino Furlan",_xlfn.XLOOKUP(AQ550,Cadastros!$G$6:$G$90,Cadastros!$H$6:$H$90)*(1-0.18),IF($F550="Mauro José Salanti",_xlfn.XLOOKUP(AQ550,Cadastros!$G$6:$G$90,Cadastros!$H$6:$H$90)*(1-0.18),_xlfn.XLOOKUP(AQ550,Cadastros!$G$6:$G$90,Cadastros!$H$6:$H$90))))</f>
        <v/>
      </c>
      <c r="AT550" s="168" t="str">
        <f t="shared" si="115"/>
        <v/>
      </c>
      <c r="AU550" s="168" t="str">
        <f t="shared" si="116"/>
        <v/>
      </c>
      <c r="AV550" s="227"/>
      <c r="AW550" s="30"/>
      <c r="AX550" s="267"/>
      <c r="AY550" s="267"/>
      <c r="AZ550" s="29"/>
      <c r="BA550" s="30"/>
      <c r="BB550" s="23" t="str" cm="1">
        <f t="array" ref="BB550">_xlfn.IFS(AW550="SIM",SUM(K550,P550,U550,Z550,AE550,AJ550,AO550,AT550,AX550,AY550),F550&lt;&gt;"",SUM(K550,P550,U550,Z550,AE550,AJ550,,AO550,AT550),F550="","")</f>
        <v/>
      </c>
      <c r="BC550" s="211" t="str" cm="1">
        <f t="array" ref="BC550">_xlfn.IFS(E550="","",G550&lt;=E550,BB550*(1-0.03),G550&lt;(E550+8),BB550,AZ550="Boleto",BB550*(1+0.001)^DATEDIF(E550,G550,"D"),AZ550="Cheque",BB550,AZ550="Dinheiro","Alterar forma pgto")</f>
        <v/>
      </c>
      <c r="BD550" s="276" t="str" cm="1">
        <f t="array" ref="BD550">IF(F550=0," ",IF(BC550&lt;BB550,(_xlfn.IFS(AW550="SIM",SUM(L550,Q550,V550,AA550,AF550,AK550,AP550,AU550)+AX550/_xlfn.XLOOKUP(_xlfn.XLOOKUP($F550,Clientes!$B$4:$B$39,Clientes!$C$4:$C$39),Cadastros!$L$6:$L$12,Cadastros!$M$6:$M$12)+IF($F550="Bernardino Furlan",AY550/2751.92,IF($F550="Mauro José Salanti",AY550/2751.92,AY550/3356)),F550&lt;&gt;0,SUM(L550,Q550,V550,AA550,AF550,AK550,AP550,AU550)))*(1-0.03),_xlfn.IFS(AW550="SIM",SUM(L550,Q550,V550,AA550,AF550,AK550,AP550,AU550)+AX550/_xlfn.XLOOKUP(_xlfn.XLOOKUP($F550,Clientes!$B$4:$B$39,Clientes!$C$4:$C$39),Cadastros!$L$6:$L$12,Cadastros!$M$6:$M$12)+IF($F550="Bernardino Furlan",AY550/2751.92,IF($F550="Mauro José Salanti",AY550/2751.92,AY550/3356)),F550&lt;&gt;0,SUM(L550,Q550,V550,AA550,AF550,AK550,AP550,AU550))))</f>
        <v xml:space="preserve"> </v>
      </c>
      <c r="BE550" s="120"/>
      <c r="BF550" s="120"/>
      <c r="BG550" s="120"/>
    </row>
    <row r="551" spans="1:59" s="3" customFormat="1" x14ac:dyDescent="0.3">
      <c r="A551" s="15" t="str">
        <f t="shared" si="104"/>
        <v/>
      </c>
      <c r="B551" s="25"/>
      <c r="C551" s="26"/>
      <c r="D551" s="279"/>
      <c r="E551" s="27"/>
      <c r="F551" s="28"/>
      <c r="G551" s="27"/>
      <c r="H551" s="28"/>
      <c r="I551" s="28"/>
      <c r="J551" s="255" t="str">
        <f>IF(H551="","",(_xlfn.XLOOKUP(H551,Cadastros!$D$6:$D$90,Cadastros!$E$6:$E$90))*(1-_xlfn.XLOOKUP(_xlfn.XLOOKUP($F551,Clientes!$B$4:$B$39,Clientes!$C$4:$C$39),Cadastros!$L$6:$L$12,Cadastros!$N$6:$N$12)))</f>
        <v/>
      </c>
      <c r="K551" s="168" t="str">
        <f t="shared" si="105"/>
        <v/>
      </c>
      <c r="L551" s="168" t="str">
        <f>IFERROR(K551/_xlfn.XLOOKUP(_xlfn.XLOOKUP($F551,Clientes!$B$4:$B$39,Clientes!$C$4:$C$39),Cadastros!$L$6:$L$12,Cadastros!$M$6:$M$12)," ")</f>
        <v xml:space="preserve"> </v>
      </c>
      <c r="M551" s="28"/>
      <c r="N551" s="28"/>
      <c r="O551" s="255" t="str">
        <f>IF(M551="","",(_xlfn.XLOOKUP(M551,Cadastros!$D$6:$D$90,Cadastros!$E$6:$E$90))*(1-_xlfn.XLOOKUP(_xlfn.XLOOKUP($F551,Clientes!$B$4:$B$39,Clientes!$C$4:$C$39),Cadastros!$L$6:$L$12,Cadastros!$N$6:$N$12)))</f>
        <v/>
      </c>
      <c r="P551" s="168" t="str">
        <f t="shared" si="106"/>
        <v/>
      </c>
      <c r="Q551" s="168" t="str">
        <f>IFERROR(P551/_xlfn.XLOOKUP(_xlfn.XLOOKUP($F551,Clientes!$B$4:$B$39,Clientes!$C$4:$C$39),Cadastros!$L$6:$L$12,Cadastros!$M$6:$M$12)," ")</f>
        <v xml:space="preserve"> </v>
      </c>
      <c r="R551" s="28"/>
      <c r="S551" s="28"/>
      <c r="T551" s="255" t="str">
        <f>IF(R551="","",(_xlfn.XLOOKUP(R551,Cadastros!$D$6:$D$90,Cadastros!$E$6:$E$90))*(1-_xlfn.XLOOKUP(_xlfn.XLOOKUP($F551,Clientes!$B$4:$B$39,Clientes!$C$4:$C$39),Cadastros!$L$6:$L$12,Cadastros!$N$6:$N$12)))</f>
        <v/>
      </c>
      <c r="U551" s="168" t="str">
        <f t="shared" si="107"/>
        <v/>
      </c>
      <c r="V551" s="168" t="str">
        <f>IFERROR(U551/_xlfn.XLOOKUP(_xlfn.XLOOKUP($F551,Clientes!$B$4:$B$39,Clientes!$C$4:$C$39),Cadastros!$L$6:$L$12,Cadastros!$M$6:$M$12)," ")</f>
        <v xml:space="preserve"> </v>
      </c>
      <c r="W551" s="28"/>
      <c r="X551" s="28"/>
      <c r="Y551" s="255" t="str">
        <f>IF(W551="","",(_xlfn.XLOOKUP(W551,Cadastros!$D$6:$D$90,Cadastros!$E$6:$E$90))*(1-_xlfn.XLOOKUP(_xlfn.XLOOKUP($F551,Clientes!$B$4:$B$39,Clientes!$C$4:$C$39),Cadastros!$L$6:$L$12,Cadastros!$N$6:$N$12)))</f>
        <v/>
      </c>
      <c r="Z551" s="168" t="str">
        <f t="shared" si="108"/>
        <v/>
      </c>
      <c r="AA551" s="168" t="str">
        <f>IFERROR(Z551/_xlfn.XLOOKUP(_xlfn.XLOOKUP($F551,Clientes!$B$4:$B$39,Clientes!$C$4:$C$39),Cadastros!$L$6:$L$12,Cadastros!$M$6:$M$12)," ")</f>
        <v xml:space="preserve"> </v>
      </c>
      <c r="AB551" s="28"/>
      <c r="AC551" s="28"/>
      <c r="AD551" s="20" t="str">
        <f>IF(AB551="","",IF($F551="Bernardino Furlan",_xlfn.XLOOKUP(AB551,Cadastros!$G$6:$G$90,Cadastros!$H$6:$H$90)*(1-0.18),IF($F551="Mauro José Salanti",_xlfn.XLOOKUP(AB551,Cadastros!$G$6:$G$90,Cadastros!$H$6:$H$90)*(1-0.18),_xlfn.XLOOKUP(AB551,Cadastros!$G$6:$G$90,Cadastros!$H$6:$H$90))))</f>
        <v/>
      </c>
      <c r="AE551" s="168" t="str">
        <f t="shared" si="109"/>
        <v/>
      </c>
      <c r="AF551" s="168" t="str">
        <f t="shared" si="110"/>
        <v/>
      </c>
      <c r="AG551" s="28"/>
      <c r="AH551" s="28"/>
      <c r="AI551" s="20" t="str">
        <f>IF(AG551="","",IF($F551="Bernardino Furlan",_xlfn.XLOOKUP(AG551,Cadastros!$G$6:$G$90,Cadastros!$H$6:$H$90)*(1-0.18),IF($F551="Mauro José Salanti",_xlfn.XLOOKUP(AG551,Cadastros!$G$6:$G$90,Cadastros!$H$6:$H$90)*(1-0.18),_xlfn.XLOOKUP(AG551,Cadastros!$G$6:$G$90,Cadastros!$H$6:$H$90))))</f>
        <v/>
      </c>
      <c r="AJ551" s="168" t="str">
        <f t="shared" si="111"/>
        <v/>
      </c>
      <c r="AK551" s="168" t="str">
        <f t="shared" si="112"/>
        <v/>
      </c>
      <c r="AL551" s="28"/>
      <c r="AM551" s="28"/>
      <c r="AN551" s="20" t="str">
        <f>IF(AL551="","",IF($F551="Bernardino Furlan",_xlfn.XLOOKUP(AL551,Cadastros!$G$6:$G$90,Cadastros!$H$6:$H$90)*(1-0.18),IF($F551="Mauro José Salanti",_xlfn.XLOOKUP(AL551,Cadastros!$G$6:$G$90,Cadastros!$H$6:$H$90)*(1-0.18),_xlfn.XLOOKUP(AL551,Cadastros!$G$6:$G$90,Cadastros!$H$6:$H$90))))</f>
        <v/>
      </c>
      <c r="AO551" s="168" t="str">
        <f t="shared" si="113"/>
        <v/>
      </c>
      <c r="AP551" s="168" t="str">
        <f t="shared" si="114"/>
        <v/>
      </c>
      <c r="AQ551" s="28"/>
      <c r="AR551" s="28"/>
      <c r="AS551" s="20" t="str">
        <f>IF(AQ551="","",IF($F551="Bernardino Furlan",_xlfn.XLOOKUP(AQ551,Cadastros!$G$6:$G$90,Cadastros!$H$6:$H$90)*(1-0.18),IF($F551="Mauro José Salanti",_xlfn.XLOOKUP(AQ551,Cadastros!$G$6:$G$90,Cadastros!$H$6:$H$90)*(1-0.18),_xlfn.XLOOKUP(AQ551,Cadastros!$G$6:$G$90,Cadastros!$H$6:$H$90))))</f>
        <v/>
      </c>
      <c r="AT551" s="168" t="str">
        <f t="shared" si="115"/>
        <v/>
      </c>
      <c r="AU551" s="168" t="str">
        <f t="shared" si="116"/>
        <v/>
      </c>
      <c r="AV551" s="227"/>
      <c r="AW551" s="30"/>
      <c r="AX551" s="267"/>
      <c r="AY551" s="267"/>
      <c r="AZ551" s="29"/>
      <c r="BA551" s="30"/>
      <c r="BB551" s="23" t="str" cm="1">
        <f t="array" ref="BB551">_xlfn.IFS(AW551="SIM",SUM(K551,P551,U551,Z551,AE551,AJ551,AO551,AT551,AX551,AY551),F551&lt;&gt;"",SUM(K551,P551,U551,Z551,AE551,AJ551,,AO551,AT551),F551="","")</f>
        <v/>
      </c>
      <c r="BC551" s="211" t="str" cm="1">
        <f t="array" ref="BC551">_xlfn.IFS(E551="","",G551&lt;=E551,BB551*(1-0.03),G551&lt;(E551+8),BB551,AZ551="Boleto",BB551*(1+0.001)^DATEDIF(E551,G551,"D"),AZ551="Cheque",BB551,AZ551="Dinheiro","Alterar forma pgto")</f>
        <v/>
      </c>
      <c r="BD551" s="276" t="str" cm="1">
        <f t="array" ref="BD551">IF(F551=0," ",IF(BC551&lt;BB551,(_xlfn.IFS(AW551="SIM",SUM(L551,Q551,V551,AA551,AF551,AK551,AP551,AU551)+AX551/_xlfn.XLOOKUP(_xlfn.XLOOKUP($F551,Clientes!$B$4:$B$39,Clientes!$C$4:$C$39),Cadastros!$L$6:$L$12,Cadastros!$M$6:$M$12)+IF($F551="Bernardino Furlan",AY551/2751.92,IF($F551="Mauro José Salanti",AY551/2751.92,AY551/3356)),F551&lt;&gt;0,SUM(L551,Q551,V551,AA551,AF551,AK551,AP551,AU551)))*(1-0.03),_xlfn.IFS(AW551="SIM",SUM(L551,Q551,V551,AA551,AF551,AK551,AP551,AU551)+AX551/_xlfn.XLOOKUP(_xlfn.XLOOKUP($F551,Clientes!$B$4:$B$39,Clientes!$C$4:$C$39),Cadastros!$L$6:$L$12,Cadastros!$M$6:$M$12)+IF($F551="Bernardino Furlan",AY551/2751.92,IF($F551="Mauro José Salanti",AY551/2751.92,AY551/3356)),F551&lt;&gt;0,SUM(L551,Q551,V551,AA551,AF551,AK551,AP551,AU551))))</f>
        <v xml:space="preserve"> </v>
      </c>
      <c r="BE551" s="120"/>
      <c r="BF551" s="120"/>
      <c r="BG551" s="120"/>
    </row>
    <row r="552" spans="1:59" s="3" customFormat="1" x14ac:dyDescent="0.3">
      <c r="A552" s="15" t="str">
        <f t="shared" si="104"/>
        <v/>
      </c>
      <c r="B552" s="25"/>
      <c r="C552" s="26"/>
      <c r="D552" s="279"/>
      <c r="E552" s="27"/>
      <c r="F552" s="28"/>
      <c r="G552" s="27"/>
      <c r="H552" s="28"/>
      <c r="I552" s="28"/>
      <c r="J552" s="255" t="str">
        <f>IF(H552="","",(_xlfn.XLOOKUP(H552,Cadastros!$D$6:$D$90,Cadastros!$E$6:$E$90))*(1-_xlfn.XLOOKUP(_xlfn.XLOOKUP($F552,Clientes!$B$4:$B$39,Clientes!$C$4:$C$39),Cadastros!$L$6:$L$12,Cadastros!$N$6:$N$12)))</f>
        <v/>
      </c>
      <c r="K552" s="168" t="str">
        <f t="shared" si="105"/>
        <v/>
      </c>
      <c r="L552" s="168" t="str">
        <f>IFERROR(K552/_xlfn.XLOOKUP(_xlfn.XLOOKUP($F552,Clientes!$B$4:$B$39,Clientes!$C$4:$C$39),Cadastros!$L$6:$L$12,Cadastros!$M$6:$M$12)," ")</f>
        <v xml:space="preserve"> </v>
      </c>
      <c r="M552" s="28"/>
      <c r="N552" s="28"/>
      <c r="O552" s="255" t="str">
        <f>IF(M552="","",(_xlfn.XLOOKUP(M552,Cadastros!$D$6:$D$90,Cadastros!$E$6:$E$90))*(1-_xlfn.XLOOKUP(_xlfn.XLOOKUP($F552,Clientes!$B$4:$B$39,Clientes!$C$4:$C$39),Cadastros!$L$6:$L$12,Cadastros!$N$6:$N$12)))</f>
        <v/>
      </c>
      <c r="P552" s="168" t="str">
        <f t="shared" si="106"/>
        <v/>
      </c>
      <c r="Q552" s="168" t="str">
        <f>IFERROR(P552/_xlfn.XLOOKUP(_xlfn.XLOOKUP($F552,Clientes!$B$4:$B$39,Clientes!$C$4:$C$39),Cadastros!$L$6:$L$12,Cadastros!$M$6:$M$12)," ")</f>
        <v xml:space="preserve"> </v>
      </c>
      <c r="R552" s="28"/>
      <c r="S552" s="28"/>
      <c r="T552" s="255" t="str">
        <f>IF(R552="","",(_xlfn.XLOOKUP(R552,Cadastros!$D$6:$D$90,Cadastros!$E$6:$E$90))*(1-_xlfn.XLOOKUP(_xlfn.XLOOKUP($F552,Clientes!$B$4:$B$39,Clientes!$C$4:$C$39),Cadastros!$L$6:$L$12,Cadastros!$N$6:$N$12)))</f>
        <v/>
      </c>
      <c r="U552" s="168" t="str">
        <f t="shared" si="107"/>
        <v/>
      </c>
      <c r="V552" s="168" t="str">
        <f>IFERROR(U552/_xlfn.XLOOKUP(_xlfn.XLOOKUP($F552,Clientes!$B$4:$B$39,Clientes!$C$4:$C$39),Cadastros!$L$6:$L$12,Cadastros!$M$6:$M$12)," ")</f>
        <v xml:space="preserve"> </v>
      </c>
      <c r="W552" s="28"/>
      <c r="X552" s="28"/>
      <c r="Y552" s="255" t="str">
        <f>IF(W552="","",(_xlfn.XLOOKUP(W552,Cadastros!$D$6:$D$90,Cadastros!$E$6:$E$90))*(1-_xlfn.XLOOKUP(_xlfn.XLOOKUP($F552,Clientes!$B$4:$B$39,Clientes!$C$4:$C$39),Cadastros!$L$6:$L$12,Cadastros!$N$6:$N$12)))</f>
        <v/>
      </c>
      <c r="Z552" s="168" t="str">
        <f t="shared" si="108"/>
        <v/>
      </c>
      <c r="AA552" s="168" t="str">
        <f>IFERROR(Z552/_xlfn.XLOOKUP(_xlfn.XLOOKUP($F552,Clientes!$B$4:$B$39,Clientes!$C$4:$C$39),Cadastros!$L$6:$L$12,Cadastros!$M$6:$M$12)," ")</f>
        <v xml:space="preserve"> </v>
      </c>
      <c r="AB552" s="28"/>
      <c r="AC552" s="28"/>
      <c r="AD552" s="20" t="str">
        <f>IF(AB552="","",IF($F552="Bernardino Furlan",_xlfn.XLOOKUP(AB552,Cadastros!$G$6:$G$90,Cadastros!$H$6:$H$90)*(1-0.18),IF($F552="Mauro José Salanti",_xlfn.XLOOKUP(AB552,Cadastros!$G$6:$G$90,Cadastros!$H$6:$H$90)*(1-0.18),_xlfn.XLOOKUP(AB552,Cadastros!$G$6:$G$90,Cadastros!$H$6:$H$90))))</f>
        <v/>
      </c>
      <c r="AE552" s="168" t="str">
        <f t="shared" si="109"/>
        <v/>
      </c>
      <c r="AF552" s="168" t="str">
        <f t="shared" si="110"/>
        <v/>
      </c>
      <c r="AG552" s="28"/>
      <c r="AH552" s="28"/>
      <c r="AI552" s="20" t="str">
        <f>IF(AG552="","",IF($F552="Bernardino Furlan",_xlfn.XLOOKUP(AG552,Cadastros!$G$6:$G$90,Cadastros!$H$6:$H$90)*(1-0.18),IF($F552="Mauro José Salanti",_xlfn.XLOOKUP(AG552,Cadastros!$G$6:$G$90,Cadastros!$H$6:$H$90)*(1-0.18),_xlfn.XLOOKUP(AG552,Cadastros!$G$6:$G$90,Cadastros!$H$6:$H$90))))</f>
        <v/>
      </c>
      <c r="AJ552" s="168" t="str">
        <f t="shared" si="111"/>
        <v/>
      </c>
      <c r="AK552" s="168" t="str">
        <f t="shared" si="112"/>
        <v/>
      </c>
      <c r="AL552" s="28"/>
      <c r="AM552" s="28"/>
      <c r="AN552" s="20" t="str">
        <f>IF(AL552="","",IF($F552="Bernardino Furlan",_xlfn.XLOOKUP(AL552,Cadastros!$G$6:$G$90,Cadastros!$H$6:$H$90)*(1-0.18),IF($F552="Mauro José Salanti",_xlfn.XLOOKUP(AL552,Cadastros!$G$6:$G$90,Cadastros!$H$6:$H$90)*(1-0.18),_xlfn.XLOOKUP(AL552,Cadastros!$G$6:$G$90,Cadastros!$H$6:$H$90))))</f>
        <v/>
      </c>
      <c r="AO552" s="168" t="str">
        <f t="shared" si="113"/>
        <v/>
      </c>
      <c r="AP552" s="168" t="str">
        <f t="shared" si="114"/>
        <v/>
      </c>
      <c r="AQ552" s="28"/>
      <c r="AR552" s="28"/>
      <c r="AS552" s="20" t="str">
        <f>IF(AQ552="","",IF($F552="Bernardino Furlan",_xlfn.XLOOKUP(AQ552,Cadastros!$G$6:$G$90,Cadastros!$H$6:$H$90)*(1-0.18),IF($F552="Mauro José Salanti",_xlfn.XLOOKUP(AQ552,Cadastros!$G$6:$G$90,Cadastros!$H$6:$H$90)*(1-0.18),_xlfn.XLOOKUP(AQ552,Cadastros!$G$6:$G$90,Cadastros!$H$6:$H$90))))</f>
        <v/>
      </c>
      <c r="AT552" s="168" t="str">
        <f t="shared" si="115"/>
        <v/>
      </c>
      <c r="AU552" s="168" t="str">
        <f t="shared" si="116"/>
        <v/>
      </c>
      <c r="AV552" s="227"/>
      <c r="AW552" s="30"/>
      <c r="AX552" s="267"/>
      <c r="AY552" s="267"/>
      <c r="AZ552" s="29"/>
      <c r="BA552" s="30"/>
      <c r="BB552" s="23" t="str" cm="1">
        <f t="array" ref="BB552">_xlfn.IFS(AW552="SIM",SUM(K552,P552,U552,Z552,AE552,AJ552,AO552,AT552,AX552,AY552),F552&lt;&gt;"",SUM(K552,P552,U552,Z552,AE552,AJ552,,AO552,AT552),F552="","")</f>
        <v/>
      </c>
      <c r="BC552" s="211" t="str" cm="1">
        <f t="array" ref="BC552">_xlfn.IFS(E552="","",G552&lt;=E552,BB552*(1-0.03),G552&lt;(E552+8),BB552,AZ552="Boleto",BB552*(1+0.001)^DATEDIF(E552,G552,"D"),AZ552="Cheque",BB552,AZ552="Dinheiro","Alterar forma pgto")</f>
        <v/>
      </c>
      <c r="BD552" s="276" t="str" cm="1">
        <f t="array" ref="BD552">IF(F552=0," ",IF(BC552&lt;BB552,(_xlfn.IFS(AW552="SIM",SUM(L552,Q552,V552,AA552,AF552,AK552,AP552,AU552)+AX552/_xlfn.XLOOKUP(_xlfn.XLOOKUP($F552,Clientes!$B$4:$B$39,Clientes!$C$4:$C$39),Cadastros!$L$6:$L$12,Cadastros!$M$6:$M$12)+IF($F552="Bernardino Furlan",AY552/2751.92,IF($F552="Mauro José Salanti",AY552/2751.92,AY552/3356)),F552&lt;&gt;0,SUM(L552,Q552,V552,AA552,AF552,AK552,AP552,AU552)))*(1-0.03),_xlfn.IFS(AW552="SIM",SUM(L552,Q552,V552,AA552,AF552,AK552,AP552,AU552)+AX552/_xlfn.XLOOKUP(_xlfn.XLOOKUP($F552,Clientes!$B$4:$B$39,Clientes!$C$4:$C$39),Cadastros!$L$6:$L$12,Cadastros!$M$6:$M$12)+IF($F552="Bernardino Furlan",AY552/2751.92,IF($F552="Mauro José Salanti",AY552/2751.92,AY552/3356)),F552&lt;&gt;0,SUM(L552,Q552,V552,AA552,AF552,AK552,AP552,AU552))))</f>
        <v xml:space="preserve"> </v>
      </c>
      <c r="BE552" s="120"/>
      <c r="BF552" s="120"/>
      <c r="BG552" s="120"/>
    </row>
    <row r="553" spans="1:59" s="3" customFormat="1" x14ac:dyDescent="0.3">
      <c r="A553" s="15" t="str">
        <f t="shared" si="104"/>
        <v/>
      </c>
      <c r="B553" s="25"/>
      <c r="C553" s="26"/>
      <c r="D553" s="279"/>
      <c r="E553" s="27"/>
      <c r="F553" s="28"/>
      <c r="G553" s="27"/>
      <c r="H553" s="28"/>
      <c r="I553" s="28"/>
      <c r="J553" s="255" t="str">
        <f>IF(H553="","",(_xlfn.XLOOKUP(H553,Cadastros!$D$6:$D$90,Cadastros!$E$6:$E$90))*(1-_xlfn.XLOOKUP(_xlfn.XLOOKUP($F553,Clientes!$B$4:$B$39,Clientes!$C$4:$C$39),Cadastros!$L$6:$L$12,Cadastros!$N$6:$N$12)))</f>
        <v/>
      </c>
      <c r="K553" s="168" t="str">
        <f t="shared" si="105"/>
        <v/>
      </c>
      <c r="L553" s="168" t="str">
        <f>IFERROR(K553/_xlfn.XLOOKUP(_xlfn.XLOOKUP($F553,Clientes!$B$4:$B$39,Clientes!$C$4:$C$39),Cadastros!$L$6:$L$12,Cadastros!$M$6:$M$12)," ")</f>
        <v xml:space="preserve"> </v>
      </c>
      <c r="M553" s="28"/>
      <c r="N553" s="28"/>
      <c r="O553" s="255" t="str">
        <f>IF(M553="","",(_xlfn.XLOOKUP(M553,Cadastros!$D$6:$D$90,Cadastros!$E$6:$E$90))*(1-_xlfn.XLOOKUP(_xlfn.XLOOKUP($F553,Clientes!$B$4:$B$39,Clientes!$C$4:$C$39),Cadastros!$L$6:$L$12,Cadastros!$N$6:$N$12)))</f>
        <v/>
      </c>
      <c r="P553" s="168" t="str">
        <f t="shared" si="106"/>
        <v/>
      </c>
      <c r="Q553" s="168" t="str">
        <f>IFERROR(P553/_xlfn.XLOOKUP(_xlfn.XLOOKUP($F553,Clientes!$B$4:$B$39,Clientes!$C$4:$C$39),Cadastros!$L$6:$L$12,Cadastros!$M$6:$M$12)," ")</f>
        <v xml:space="preserve"> </v>
      </c>
      <c r="R553" s="28"/>
      <c r="S553" s="28"/>
      <c r="T553" s="255" t="str">
        <f>IF(R553="","",(_xlfn.XLOOKUP(R553,Cadastros!$D$6:$D$90,Cadastros!$E$6:$E$90))*(1-_xlfn.XLOOKUP(_xlfn.XLOOKUP($F553,Clientes!$B$4:$B$39,Clientes!$C$4:$C$39),Cadastros!$L$6:$L$12,Cadastros!$N$6:$N$12)))</f>
        <v/>
      </c>
      <c r="U553" s="168" t="str">
        <f t="shared" si="107"/>
        <v/>
      </c>
      <c r="V553" s="168" t="str">
        <f>IFERROR(U553/_xlfn.XLOOKUP(_xlfn.XLOOKUP($F553,Clientes!$B$4:$B$39,Clientes!$C$4:$C$39),Cadastros!$L$6:$L$12,Cadastros!$M$6:$M$12)," ")</f>
        <v xml:space="preserve"> </v>
      </c>
      <c r="W553" s="28"/>
      <c r="X553" s="28"/>
      <c r="Y553" s="255" t="str">
        <f>IF(W553="","",(_xlfn.XLOOKUP(W553,Cadastros!$D$6:$D$90,Cadastros!$E$6:$E$90))*(1-_xlfn.XLOOKUP(_xlfn.XLOOKUP($F553,Clientes!$B$4:$B$39,Clientes!$C$4:$C$39),Cadastros!$L$6:$L$12,Cadastros!$N$6:$N$12)))</f>
        <v/>
      </c>
      <c r="Z553" s="168" t="str">
        <f t="shared" si="108"/>
        <v/>
      </c>
      <c r="AA553" s="168" t="str">
        <f>IFERROR(Z553/_xlfn.XLOOKUP(_xlfn.XLOOKUP($F553,Clientes!$B$4:$B$39,Clientes!$C$4:$C$39),Cadastros!$L$6:$L$12,Cadastros!$M$6:$M$12)," ")</f>
        <v xml:space="preserve"> </v>
      </c>
      <c r="AB553" s="28"/>
      <c r="AC553" s="28"/>
      <c r="AD553" s="20" t="str">
        <f>IF(AB553="","",IF($F553="Bernardino Furlan",_xlfn.XLOOKUP(AB553,Cadastros!$G$6:$G$90,Cadastros!$H$6:$H$90)*(1-0.18),IF($F553="Mauro José Salanti",_xlfn.XLOOKUP(AB553,Cadastros!$G$6:$G$90,Cadastros!$H$6:$H$90)*(1-0.18),_xlfn.XLOOKUP(AB553,Cadastros!$G$6:$G$90,Cadastros!$H$6:$H$90))))</f>
        <v/>
      </c>
      <c r="AE553" s="168" t="str">
        <f t="shared" si="109"/>
        <v/>
      </c>
      <c r="AF553" s="168" t="str">
        <f t="shared" si="110"/>
        <v/>
      </c>
      <c r="AG553" s="28"/>
      <c r="AH553" s="28"/>
      <c r="AI553" s="20" t="str">
        <f>IF(AG553="","",IF($F553="Bernardino Furlan",_xlfn.XLOOKUP(AG553,Cadastros!$G$6:$G$90,Cadastros!$H$6:$H$90)*(1-0.18),IF($F553="Mauro José Salanti",_xlfn.XLOOKUP(AG553,Cadastros!$G$6:$G$90,Cadastros!$H$6:$H$90)*(1-0.18),_xlfn.XLOOKUP(AG553,Cadastros!$G$6:$G$90,Cadastros!$H$6:$H$90))))</f>
        <v/>
      </c>
      <c r="AJ553" s="168" t="str">
        <f t="shared" si="111"/>
        <v/>
      </c>
      <c r="AK553" s="168" t="str">
        <f t="shared" si="112"/>
        <v/>
      </c>
      <c r="AL553" s="28"/>
      <c r="AM553" s="28"/>
      <c r="AN553" s="20" t="str">
        <f>IF(AL553="","",IF($F553="Bernardino Furlan",_xlfn.XLOOKUP(AL553,Cadastros!$G$6:$G$90,Cadastros!$H$6:$H$90)*(1-0.18),IF($F553="Mauro José Salanti",_xlfn.XLOOKUP(AL553,Cadastros!$G$6:$G$90,Cadastros!$H$6:$H$90)*(1-0.18),_xlfn.XLOOKUP(AL553,Cadastros!$G$6:$G$90,Cadastros!$H$6:$H$90))))</f>
        <v/>
      </c>
      <c r="AO553" s="168" t="str">
        <f t="shared" si="113"/>
        <v/>
      </c>
      <c r="AP553" s="168" t="str">
        <f t="shared" si="114"/>
        <v/>
      </c>
      <c r="AQ553" s="28"/>
      <c r="AR553" s="28"/>
      <c r="AS553" s="20" t="str">
        <f>IF(AQ553="","",IF($F553="Bernardino Furlan",_xlfn.XLOOKUP(AQ553,Cadastros!$G$6:$G$90,Cadastros!$H$6:$H$90)*(1-0.18),IF($F553="Mauro José Salanti",_xlfn.XLOOKUP(AQ553,Cadastros!$G$6:$G$90,Cadastros!$H$6:$H$90)*(1-0.18),_xlfn.XLOOKUP(AQ553,Cadastros!$G$6:$G$90,Cadastros!$H$6:$H$90))))</f>
        <v/>
      </c>
      <c r="AT553" s="168" t="str">
        <f t="shared" si="115"/>
        <v/>
      </c>
      <c r="AU553" s="168" t="str">
        <f t="shared" si="116"/>
        <v/>
      </c>
      <c r="AV553" s="227"/>
      <c r="AW553" s="30"/>
      <c r="AX553" s="267"/>
      <c r="AY553" s="267"/>
      <c r="AZ553" s="29"/>
      <c r="BA553" s="30"/>
      <c r="BB553" s="23" t="str" cm="1">
        <f t="array" ref="BB553">_xlfn.IFS(AW553="SIM",SUM(K553,P553,U553,Z553,AE553,AJ553,AO553,AT553,AX553,AY553),F553&lt;&gt;"",SUM(K553,P553,U553,Z553,AE553,AJ553,,AO553,AT553),F553="","")</f>
        <v/>
      </c>
      <c r="BC553" s="211" t="str" cm="1">
        <f t="array" ref="BC553">_xlfn.IFS(E553="","",G553&lt;=E553,BB553*(1-0.03),G553&lt;(E553+8),BB553,AZ553="Boleto",BB553*(1+0.001)^DATEDIF(E553,G553,"D"),AZ553="Cheque",BB553,AZ553="Dinheiro","Alterar forma pgto")</f>
        <v/>
      </c>
      <c r="BD553" s="276" t="str" cm="1">
        <f t="array" ref="BD553">IF(F553=0," ",IF(BC553&lt;BB553,(_xlfn.IFS(AW553="SIM",SUM(L553,Q553,V553,AA553,AF553,AK553,AP553,AU553)+AX553/_xlfn.XLOOKUP(_xlfn.XLOOKUP($F553,Clientes!$B$4:$B$39,Clientes!$C$4:$C$39),Cadastros!$L$6:$L$12,Cadastros!$M$6:$M$12)+IF($F553="Bernardino Furlan",AY553/2751.92,IF($F553="Mauro José Salanti",AY553/2751.92,AY553/3356)),F553&lt;&gt;0,SUM(L553,Q553,V553,AA553,AF553,AK553,AP553,AU553)))*(1-0.03),_xlfn.IFS(AW553="SIM",SUM(L553,Q553,V553,AA553,AF553,AK553,AP553,AU553)+AX553/_xlfn.XLOOKUP(_xlfn.XLOOKUP($F553,Clientes!$B$4:$B$39,Clientes!$C$4:$C$39),Cadastros!$L$6:$L$12,Cadastros!$M$6:$M$12)+IF($F553="Bernardino Furlan",AY553/2751.92,IF($F553="Mauro José Salanti",AY553/2751.92,AY553/3356)),F553&lt;&gt;0,SUM(L553,Q553,V553,AA553,AF553,AK553,AP553,AU553))))</f>
        <v xml:space="preserve"> </v>
      </c>
      <c r="BE553" s="120"/>
      <c r="BF553" s="120"/>
      <c r="BG553" s="120"/>
    </row>
    <row r="554" spans="1:59" s="3" customFormat="1" x14ac:dyDescent="0.3">
      <c r="A554" s="15" t="str">
        <f t="shared" si="104"/>
        <v/>
      </c>
      <c r="B554" s="25"/>
      <c r="C554" s="26"/>
      <c r="D554" s="279"/>
      <c r="E554" s="27"/>
      <c r="F554" s="28"/>
      <c r="G554" s="27"/>
      <c r="H554" s="28"/>
      <c r="I554" s="28"/>
      <c r="J554" s="255" t="str">
        <f>IF(H554="","",(_xlfn.XLOOKUP(H554,Cadastros!$D$6:$D$90,Cadastros!$E$6:$E$90))*(1-_xlfn.XLOOKUP(_xlfn.XLOOKUP($F554,Clientes!$B$4:$B$39,Clientes!$C$4:$C$39),Cadastros!$L$6:$L$12,Cadastros!$N$6:$N$12)))</f>
        <v/>
      </c>
      <c r="K554" s="168" t="str">
        <f t="shared" si="105"/>
        <v/>
      </c>
      <c r="L554" s="168" t="str">
        <f>IFERROR(K554/_xlfn.XLOOKUP(_xlfn.XLOOKUP($F554,Clientes!$B$4:$B$39,Clientes!$C$4:$C$39),Cadastros!$L$6:$L$12,Cadastros!$M$6:$M$12)," ")</f>
        <v xml:space="preserve"> </v>
      </c>
      <c r="M554" s="28"/>
      <c r="N554" s="28"/>
      <c r="O554" s="255" t="str">
        <f>IF(M554="","",(_xlfn.XLOOKUP(M554,Cadastros!$D$6:$D$90,Cadastros!$E$6:$E$90))*(1-_xlfn.XLOOKUP(_xlfn.XLOOKUP($F554,Clientes!$B$4:$B$39,Clientes!$C$4:$C$39),Cadastros!$L$6:$L$12,Cadastros!$N$6:$N$12)))</f>
        <v/>
      </c>
      <c r="P554" s="168" t="str">
        <f t="shared" si="106"/>
        <v/>
      </c>
      <c r="Q554" s="168" t="str">
        <f>IFERROR(P554/_xlfn.XLOOKUP(_xlfn.XLOOKUP($F554,Clientes!$B$4:$B$39,Clientes!$C$4:$C$39),Cadastros!$L$6:$L$12,Cadastros!$M$6:$M$12)," ")</f>
        <v xml:space="preserve"> </v>
      </c>
      <c r="R554" s="28"/>
      <c r="S554" s="28"/>
      <c r="T554" s="255" t="str">
        <f>IF(R554="","",(_xlfn.XLOOKUP(R554,Cadastros!$D$6:$D$90,Cadastros!$E$6:$E$90))*(1-_xlfn.XLOOKUP(_xlfn.XLOOKUP($F554,Clientes!$B$4:$B$39,Clientes!$C$4:$C$39),Cadastros!$L$6:$L$12,Cadastros!$N$6:$N$12)))</f>
        <v/>
      </c>
      <c r="U554" s="168" t="str">
        <f t="shared" si="107"/>
        <v/>
      </c>
      <c r="V554" s="168" t="str">
        <f>IFERROR(U554/_xlfn.XLOOKUP(_xlfn.XLOOKUP($F554,Clientes!$B$4:$B$39,Clientes!$C$4:$C$39),Cadastros!$L$6:$L$12,Cadastros!$M$6:$M$12)," ")</f>
        <v xml:space="preserve"> </v>
      </c>
      <c r="W554" s="28"/>
      <c r="X554" s="28"/>
      <c r="Y554" s="255" t="str">
        <f>IF(W554="","",(_xlfn.XLOOKUP(W554,Cadastros!$D$6:$D$90,Cadastros!$E$6:$E$90))*(1-_xlfn.XLOOKUP(_xlfn.XLOOKUP($F554,Clientes!$B$4:$B$39,Clientes!$C$4:$C$39),Cadastros!$L$6:$L$12,Cadastros!$N$6:$N$12)))</f>
        <v/>
      </c>
      <c r="Z554" s="168" t="str">
        <f t="shared" si="108"/>
        <v/>
      </c>
      <c r="AA554" s="168" t="str">
        <f>IFERROR(Z554/_xlfn.XLOOKUP(_xlfn.XLOOKUP($F554,Clientes!$B$4:$B$39,Clientes!$C$4:$C$39),Cadastros!$L$6:$L$12,Cadastros!$M$6:$M$12)," ")</f>
        <v xml:space="preserve"> </v>
      </c>
      <c r="AB554" s="28"/>
      <c r="AC554" s="28"/>
      <c r="AD554" s="20" t="str">
        <f>IF(AB554="","",IF($F554="Bernardino Furlan",_xlfn.XLOOKUP(AB554,Cadastros!$G$6:$G$90,Cadastros!$H$6:$H$90)*(1-0.18),IF($F554="Mauro José Salanti",_xlfn.XLOOKUP(AB554,Cadastros!$G$6:$G$90,Cadastros!$H$6:$H$90)*(1-0.18),_xlfn.XLOOKUP(AB554,Cadastros!$G$6:$G$90,Cadastros!$H$6:$H$90))))</f>
        <v/>
      </c>
      <c r="AE554" s="168" t="str">
        <f t="shared" si="109"/>
        <v/>
      </c>
      <c r="AF554" s="168" t="str">
        <f t="shared" si="110"/>
        <v/>
      </c>
      <c r="AG554" s="28"/>
      <c r="AH554" s="28"/>
      <c r="AI554" s="20" t="str">
        <f>IF(AG554="","",IF($F554="Bernardino Furlan",_xlfn.XLOOKUP(AG554,Cadastros!$G$6:$G$90,Cadastros!$H$6:$H$90)*(1-0.18),IF($F554="Mauro José Salanti",_xlfn.XLOOKUP(AG554,Cadastros!$G$6:$G$90,Cadastros!$H$6:$H$90)*(1-0.18),_xlfn.XLOOKUP(AG554,Cadastros!$G$6:$G$90,Cadastros!$H$6:$H$90))))</f>
        <v/>
      </c>
      <c r="AJ554" s="168" t="str">
        <f t="shared" si="111"/>
        <v/>
      </c>
      <c r="AK554" s="168" t="str">
        <f t="shared" si="112"/>
        <v/>
      </c>
      <c r="AL554" s="28"/>
      <c r="AM554" s="28"/>
      <c r="AN554" s="20" t="str">
        <f>IF(AL554="","",IF($F554="Bernardino Furlan",_xlfn.XLOOKUP(AL554,Cadastros!$G$6:$G$90,Cadastros!$H$6:$H$90)*(1-0.18),IF($F554="Mauro José Salanti",_xlfn.XLOOKUP(AL554,Cadastros!$G$6:$G$90,Cadastros!$H$6:$H$90)*(1-0.18),_xlfn.XLOOKUP(AL554,Cadastros!$G$6:$G$90,Cadastros!$H$6:$H$90))))</f>
        <v/>
      </c>
      <c r="AO554" s="168" t="str">
        <f t="shared" si="113"/>
        <v/>
      </c>
      <c r="AP554" s="168" t="str">
        <f t="shared" si="114"/>
        <v/>
      </c>
      <c r="AQ554" s="28"/>
      <c r="AR554" s="28"/>
      <c r="AS554" s="20" t="str">
        <f>IF(AQ554="","",IF($F554="Bernardino Furlan",_xlfn.XLOOKUP(AQ554,Cadastros!$G$6:$G$90,Cadastros!$H$6:$H$90)*(1-0.18),IF($F554="Mauro José Salanti",_xlfn.XLOOKUP(AQ554,Cadastros!$G$6:$G$90,Cadastros!$H$6:$H$90)*(1-0.18),_xlfn.XLOOKUP(AQ554,Cadastros!$G$6:$G$90,Cadastros!$H$6:$H$90))))</f>
        <v/>
      </c>
      <c r="AT554" s="168" t="str">
        <f t="shared" si="115"/>
        <v/>
      </c>
      <c r="AU554" s="168" t="str">
        <f t="shared" si="116"/>
        <v/>
      </c>
      <c r="AV554" s="227"/>
      <c r="AW554" s="30"/>
      <c r="AX554" s="267"/>
      <c r="AY554" s="267"/>
      <c r="AZ554" s="29"/>
      <c r="BA554" s="30"/>
      <c r="BB554" s="23" t="str" cm="1">
        <f t="array" ref="BB554">_xlfn.IFS(AW554="SIM",SUM(K554,P554,U554,Z554,AE554,AJ554,AO554,AT554,AX554,AY554),F554&lt;&gt;"",SUM(K554,P554,U554,Z554,AE554,AJ554,,AO554,AT554),F554="","")</f>
        <v/>
      </c>
      <c r="BC554" s="211" t="str" cm="1">
        <f t="array" ref="BC554">_xlfn.IFS(E554="","",G554&lt;=E554,BB554*(1-0.03),G554&lt;(E554+8),BB554,AZ554="Boleto",BB554*(1+0.001)^DATEDIF(E554,G554,"D"),AZ554="Cheque",BB554,AZ554="Dinheiro","Alterar forma pgto")</f>
        <v/>
      </c>
      <c r="BD554" s="276" t="str" cm="1">
        <f t="array" ref="BD554">IF(F554=0," ",IF(BC554&lt;BB554,(_xlfn.IFS(AW554="SIM",SUM(L554,Q554,V554,AA554,AF554,AK554,AP554,AU554)+AX554/_xlfn.XLOOKUP(_xlfn.XLOOKUP($F554,Clientes!$B$4:$B$39,Clientes!$C$4:$C$39),Cadastros!$L$6:$L$12,Cadastros!$M$6:$M$12)+IF($F554="Bernardino Furlan",AY554/2751.92,IF($F554="Mauro José Salanti",AY554/2751.92,AY554/3356)),F554&lt;&gt;0,SUM(L554,Q554,V554,AA554,AF554,AK554,AP554,AU554)))*(1-0.03),_xlfn.IFS(AW554="SIM",SUM(L554,Q554,V554,AA554,AF554,AK554,AP554,AU554)+AX554/_xlfn.XLOOKUP(_xlfn.XLOOKUP($F554,Clientes!$B$4:$B$39,Clientes!$C$4:$C$39),Cadastros!$L$6:$L$12,Cadastros!$M$6:$M$12)+IF($F554="Bernardino Furlan",AY554/2751.92,IF($F554="Mauro José Salanti",AY554/2751.92,AY554/3356)),F554&lt;&gt;0,SUM(L554,Q554,V554,AA554,AF554,AK554,AP554,AU554))))</f>
        <v xml:space="preserve"> </v>
      </c>
      <c r="BE554" s="120"/>
      <c r="BF554" s="120"/>
      <c r="BG554" s="120"/>
    </row>
    <row r="555" spans="1:59" s="3" customFormat="1" x14ac:dyDescent="0.3">
      <c r="A555" s="15" t="str">
        <f t="shared" si="104"/>
        <v/>
      </c>
      <c r="B555" s="25"/>
      <c r="C555" s="26"/>
      <c r="D555" s="279"/>
      <c r="E555" s="27"/>
      <c r="F555" s="28"/>
      <c r="G555" s="27"/>
      <c r="H555" s="28"/>
      <c r="I555" s="28"/>
      <c r="J555" s="255" t="str">
        <f>IF(H555="","",(_xlfn.XLOOKUP(H555,Cadastros!$D$6:$D$90,Cadastros!$E$6:$E$90))*(1-_xlfn.XLOOKUP(_xlfn.XLOOKUP($F555,Clientes!$B$4:$B$39,Clientes!$C$4:$C$39),Cadastros!$L$6:$L$12,Cadastros!$N$6:$N$12)))</f>
        <v/>
      </c>
      <c r="K555" s="168" t="str">
        <f t="shared" si="105"/>
        <v/>
      </c>
      <c r="L555" s="168" t="str">
        <f>IFERROR(K555/_xlfn.XLOOKUP(_xlfn.XLOOKUP($F555,Clientes!$B$4:$B$39,Clientes!$C$4:$C$39),Cadastros!$L$6:$L$12,Cadastros!$M$6:$M$12)," ")</f>
        <v xml:space="preserve"> </v>
      </c>
      <c r="M555" s="28"/>
      <c r="N555" s="28"/>
      <c r="O555" s="255" t="str">
        <f>IF(M555="","",(_xlfn.XLOOKUP(M555,Cadastros!$D$6:$D$90,Cadastros!$E$6:$E$90))*(1-_xlfn.XLOOKUP(_xlfn.XLOOKUP($F555,Clientes!$B$4:$B$39,Clientes!$C$4:$C$39),Cadastros!$L$6:$L$12,Cadastros!$N$6:$N$12)))</f>
        <v/>
      </c>
      <c r="P555" s="168" t="str">
        <f t="shared" si="106"/>
        <v/>
      </c>
      <c r="Q555" s="168" t="str">
        <f>IFERROR(P555/_xlfn.XLOOKUP(_xlfn.XLOOKUP($F555,Clientes!$B$4:$B$39,Clientes!$C$4:$C$39),Cadastros!$L$6:$L$12,Cadastros!$M$6:$M$12)," ")</f>
        <v xml:space="preserve"> </v>
      </c>
      <c r="R555" s="28"/>
      <c r="S555" s="28"/>
      <c r="T555" s="255" t="str">
        <f>IF(R555="","",(_xlfn.XLOOKUP(R555,Cadastros!$D$6:$D$90,Cadastros!$E$6:$E$90))*(1-_xlfn.XLOOKUP(_xlfn.XLOOKUP($F555,Clientes!$B$4:$B$39,Clientes!$C$4:$C$39),Cadastros!$L$6:$L$12,Cadastros!$N$6:$N$12)))</f>
        <v/>
      </c>
      <c r="U555" s="168" t="str">
        <f t="shared" si="107"/>
        <v/>
      </c>
      <c r="V555" s="168" t="str">
        <f>IFERROR(U555/_xlfn.XLOOKUP(_xlfn.XLOOKUP($F555,Clientes!$B$4:$B$39,Clientes!$C$4:$C$39),Cadastros!$L$6:$L$12,Cadastros!$M$6:$M$12)," ")</f>
        <v xml:space="preserve"> </v>
      </c>
      <c r="W555" s="28"/>
      <c r="X555" s="28"/>
      <c r="Y555" s="255" t="str">
        <f>IF(W555="","",(_xlfn.XLOOKUP(W555,Cadastros!$D$6:$D$90,Cadastros!$E$6:$E$90))*(1-_xlfn.XLOOKUP(_xlfn.XLOOKUP($F555,Clientes!$B$4:$B$39,Clientes!$C$4:$C$39),Cadastros!$L$6:$L$12,Cadastros!$N$6:$N$12)))</f>
        <v/>
      </c>
      <c r="Z555" s="168" t="str">
        <f t="shared" si="108"/>
        <v/>
      </c>
      <c r="AA555" s="168" t="str">
        <f>IFERROR(Z555/_xlfn.XLOOKUP(_xlfn.XLOOKUP($F555,Clientes!$B$4:$B$39,Clientes!$C$4:$C$39),Cadastros!$L$6:$L$12,Cadastros!$M$6:$M$12)," ")</f>
        <v xml:space="preserve"> </v>
      </c>
      <c r="AB555" s="28"/>
      <c r="AC555" s="28"/>
      <c r="AD555" s="20" t="str">
        <f>IF(AB555="","",IF($F555="Bernardino Furlan",_xlfn.XLOOKUP(AB555,Cadastros!$G$6:$G$90,Cadastros!$H$6:$H$90)*(1-0.18),IF($F555="Mauro José Salanti",_xlfn.XLOOKUP(AB555,Cadastros!$G$6:$G$90,Cadastros!$H$6:$H$90)*(1-0.18),_xlfn.XLOOKUP(AB555,Cadastros!$G$6:$G$90,Cadastros!$H$6:$H$90))))</f>
        <v/>
      </c>
      <c r="AE555" s="168" t="str">
        <f t="shared" si="109"/>
        <v/>
      </c>
      <c r="AF555" s="168" t="str">
        <f t="shared" si="110"/>
        <v/>
      </c>
      <c r="AG555" s="28"/>
      <c r="AH555" s="28"/>
      <c r="AI555" s="20" t="str">
        <f>IF(AG555="","",IF($F555="Bernardino Furlan",_xlfn.XLOOKUP(AG555,Cadastros!$G$6:$G$90,Cadastros!$H$6:$H$90)*(1-0.18),IF($F555="Mauro José Salanti",_xlfn.XLOOKUP(AG555,Cadastros!$G$6:$G$90,Cadastros!$H$6:$H$90)*(1-0.18),_xlfn.XLOOKUP(AG555,Cadastros!$G$6:$G$90,Cadastros!$H$6:$H$90))))</f>
        <v/>
      </c>
      <c r="AJ555" s="168" t="str">
        <f t="shared" si="111"/>
        <v/>
      </c>
      <c r="AK555" s="168" t="str">
        <f t="shared" si="112"/>
        <v/>
      </c>
      <c r="AL555" s="28"/>
      <c r="AM555" s="28"/>
      <c r="AN555" s="20" t="str">
        <f>IF(AL555="","",IF($F555="Bernardino Furlan",_xlfn.XLOOKUP(AL555,Cadastros!$G$6:$G$90,Cadastros!$H$6:$H$90)*(1-0.18),IF($F555="Mauro José Salanti",_xlfn.XLOOKUP(AL555,Cadastros!$G$6:$G$90,Cadastros!$H$6:$H$90)*(1-0.18),_xlfn.XLOOKUP(AL555,Cadastros!$G$6:$G$90,Cadastros!$H$6:$H$90))))</f>
        <v/>
      </c>
      <c r="AO555" s="168" t="str">
        <f t="shared" si="113"/>
        <v/>
      </c>
      <c r="AP555" s="168" t="str">
        <f t="shared" si="114"/>
        <v/>
      </c>
      <c r="AQ555" s="28"/>
      <c r="AR555" s="28"/>
      <c r="AS555" s="20" t="str">
        <f>IF(AQ555="","",IF($F555="Bernardino Furlan",_xlfn.XLOOKUP(AQ555,Cadastros!$G$6:$G$90,Cadastros!$H$6:$H$90)*(1-0.18),IF($F555="Mauro José Salanti",_xlfn.XLOOKUP(AQ555,Cadastros!$G$6:$G$90,Cadastros!$H$6:$H$90)*(1-0.18),_xlfn.XLOOKUP(AQ555,Cadastros!$G$6:$G$90,Cadastros!$H$6:$H$90))))</f>
        <v/>
      </c>
      <c r="AT555" s="168" t="str">
        <f t="shared" si="115"/>
        <v/>
      </c>
      <c r="AU555" s="168" t="str">
        <f t="shared" si="116"/>
        <v/>
      </c>
      <c r="AV555" s="227"/>
      <c r="AW555" s="30"/>
      <c r="AX555" s="267"/>
      <c r="AY555" s="267"/>
      <c r="AZ555" s="29"/>
      <c r="BA555" s="30"/>
      <c r="BB555" s="23" t="str" cm="1">
        <f t="array" ref="BB555">_xlfn.IFS(AW555="SIM",SUM(K555,P555,U555,Z555,AE555,AJ555,AO555,AT555,AX555,AY555),F555&lt;&gt;"",SUM(K555,P555,U555,Z555,AE555,AJ555,,AO555,AT555),F555="","")</f>
        <v/>
      </c>
      <c r="BC555" s="211" t="str" cm="1">
        <f t="array" ref="BC555">_xlfn.IFS(E555="","",G555&lt;=E555,BB555*(1-0.03),G555&lt;(E555+8),BB555,AZ555="Boleto",BB555*(1+0.001)^DATEDIF(E555,G555,"D"),AZ555="Cheque",BB555,AZ555="Dinheiro","Alterar forma pgto")</f>
        <v/>
      </c>
      <c r="BD555" s="276" t="str" cm="1">
        <f t="array" ref="BD555">IF(F555=0," ",IF(BC555&lt;BB555,(_xlfn.IFS(AW555="SIM",SUM(L555,Q555,V555,AA555,AF555,AK555,AP555,AU555)+AX555/_xlfn.XLOOKUP(_xlfn.XLOOKUP($F555,Clientes!$B$4:$B$39,Clientes!$C$4:$C$39),Cadastros!$L$6:$L$12,Cadastros!$M$6:$M$12)+IF($F555="Bernardino Furlan",AY555/2751.92,IF($F555="Mauro José Salanti",AY555/2751.92,AY555/3356)),F555&lt;&gt;0,SUM(L555,Q555,V555,AA555,AF555,AK555,AP555,AU555)))*(1-0.03),_xlfn.IFS(AW555="SIM",SUM(L555,Q555,V555,AA555,AF555,AK555,AP555,AU555)+AX555/_xlfn.XLOOKUP(_xlfn.XLOOKUP($F555,Clientes!$B$4:$B$39,Clientes!$C$4:$C$39),Cadastros!$L$6:$L$12,Cadastros!$M$6:$M$12)+IF($F555="Bernardino Furlan",AY555/2751.92,IF($F555="Mauro José Salanti",AY555/2751.92,AY555/3356)),F555&lt;&gt;0,SUM(L555,Q555,V555,AA555,AF555,AK555,AP555,AU555))))</f>
        <v xml:space="preserve"> </v>
      </c>
      <c r="BE555" s="120"/>
      <c r="BF555" s="120"/>
      <c r="BG555" s="120"/>
    </row>
    <row r="556" spans="1:59" s="3" customFormat="1" x14ac:dyDescent="0.3">
      <c r="A556" s="15" t="str">
        <f t="shared" si="104"/>
        <v/>
      </c>
      <c r="B556" s="25"/>
      <c r="C556" s="26"/>
      <c r="D556" s="279"/>
      <c r="E556" s="27"/>
      <c r="F556" s="28"/>
      <c r="G556" s="27"/>
      <c r="H556" s="28"/>
      <c r="I556" s="28"/>
      <c r="J556" s="255" t="str">
        <f>IF(H556="","",(_xlfn.XLOOKUP(H556,Cadastros!$D$6:$D$90,Cadastros!$E$6:$E$90))*(1-_xlfn.XLOOKUP(_xlfn.XLOOKUP($F556,Clientes!$B$4:$B$39,Clientes!$C$4:$C$39),Cadastros!$L$6:$L$12,Cadastros!$N$6:$N$12)))</f>
        <v/>
      </c>
      <c r="K556" s="168" t="str">
        <f t="shared" si="105"/>
        <v/>
      </c>
      <c r="L556" s="168" t="str">
        <f>IFERROR(K556/_xlfn.XLOOKUP(_xlfn.XLOOKUP($F556,Clientes!$B$4:$B$39,Clientes!$C$4:$C$39),Cadastros!$L$6:$L$12,Cadastros!$M$6:$M$12)," ")</f>
        <v xml:space="preserve"> </v>
      </c>
      <c r="M556" s="28"/>
      <c r="N556" s="28"/>
      <c r="O556" s="255" t="str">
        <f>IF(M556="","",(_xlfn.XLOOKUP(M556,Cadastros!$D$6:$D$90,Cadastros!$E$6:$E$90))*(1-_xlfn.XLOOKUP(_xlfn.XLOOKUP($F556,Clientes!$B$4:$B$39,Clientes!$C$4:$C$39),Cadastros!$L$6:$L$12,Cadastros!$N$6:$N$12)))</f>
        <v/>
      </c>
      <c r="P556" s="168" t="str">
        <f t="shared" si="106"/>
        <v/>
      </c>
      <c r="Q556" s="168" t="str">
        <f>IFERROR(P556/_xlfn.XLOOKUP(_xlfn.XLOOKUP($F556,Clientes!$B$4:$B$39,Clientes!$C$4:$C$39),Cadastros!$L$6:$L$12,Cadastros!$M$6:$M$12)," ")</f>
        <v xml:space="preserve"> </v>
      </c>
      <c r="R556" s="28"/>
      <c r="S556" s="28"/>
      <c r="T556" s="255" t="str">
        <f>IF(R556="","",(_xlfn.XLOOKUP(R556,Cadastros!$D$6:$D$90,Cadastros!$E$6:$E$90))*(1-_xlfn.XLOOKUP(_xlfn.XLOOKUP($F556,Clientes!$B$4:$B$39,Clientes!$C$4:$C$39),Cadastros!$L$6:$L$12,Cadastros!$N$6:$N$12)))</f>
        <v/>
      </c>
      <c r="U556" s="168" t="str">
        <f t="shared" si="107"/>
        <v/>
      </c>
      <c r="V556" s="168" t="str">
        <f>IFERROR(U556/_xlfn.XLOOKUP(_xlfn.XLOOKUP($F556,Clientes!$B$4:$B$39,Clientes!$C$4:$C$39),Cadastros!$L$6:$L$12,Cadastros!$M$6:$M$12)," ")</f>
        <v xml:space="preserve"> </v>
      </c>
      <c r="W556" s="28"/>
      <c r="X556" s="28"/>
      <c r="Y556" s="255" t="str">
        <f>IF(W556="","",(_xlfn.XLOOKUP(W556,Cadastros!$D$6:$D$90,Cadastros!$E$6:$E$90))*(1-_xlfn.XLOOKUP(_xlfn.XLOOKUP($F556,Clientes!$B$4:$B$39,Clientes!$C$4:$C$39),Cadastros!$L$6:$L$12,Cadastros!$N$6:$N$12)))</f>
        <v/>
      </c>
      <c r="Z556" s="168" t="str">
        <f t="shared" si="108"/>
        <v/>
      </c>
      <c r="AA556" s="168" t="str">
        <f>IFERROR(Z556/_xlfn.XLOOKUP(_xlfn.XLOOKUP($F556,Clientes!$B$4:$B$39,Clientes!$C$4:$C$39),Cadastros!$L$6:$L$12,Cadastros!$M$6:$M$12)," ")</f>
        <v xml:space="preserve"> </v>
      </c>
      <c r="AB556" s="28"/>
      <c r="AC556" s="28"/>
      <c r="AD556" s="20" t="str">
        <f>IF(AB556="","",IF($F556="Bernardino Furlan",_xlfn.XLOOKUP(AB556,Cadastros!$G$6:$G$90,Cadastros!$H$6:$H$90)*(1-0.18),IF($F556="Mauro José Salanti",_xlfn.XLOOKUP(AB556,Cadastros!$G$6:$G$90,Cadastros!$H$6:$H$90)*(1-0.18),_xlfn.XLOOKUP(AB556,Cadastros!$G$6:$G$90,Cadastros!$H$6:$H$90))))</f>
        <v/>
      </c>
      <c r="AE556" s="168" t="str">
        <f t="shared" si="109"/>
        <v/>
      </c>
      <c r="AF556" s="168" t="str">
        <f t="shared" si="110"/>
        <v/>
      </c>
      <c r="AG556" s="28"/>
      <c r="AH556" s="28"/>
      <c r="AI556" s="20" t="str">
        <f>IF(AG556="","",IF($F556="Bernardino Furlan",_xlfn.XLOOKUP(AG556,Cadastros!$G$6:$G$90,Cadastros!$H$6:$H$90)*(1-0.18),IF($F556="Mauro José Salanti",_xlfn.XLOOKUP(AG556,Cadastros!$G$6:$G$90,Cadastros!$H$6:$H$90)*(1-0.18),_xlfn.XLOOKUP(AG556,Cadastros!$G$6:$G$90,Cadastros!$H$6:$H$90))))</f>
        <v/>
      </c>
      <c r="AJ556" s="168" t="str">
        <f t="shared" si="111"/>
        <v/>
      </c>
      <c r="AK556" s="168" t="str">
        <f t="shared" si="112"/>
        <v/>
      </c>
      <c r="AL556" s="28"/>
      <c r="AM556" s="28"/>
      <c r="AN556" s="20" t="str">
        <f>IF(AL556="","",IF($F556="Bernardino Furlan",_xlfn.XLOOKUP(AL556,Cadastros!$G$6:$G$90,Cadastros!$H$6:$H$90)*(1-0.18),IF($F556="Mauro José Salanti",_xlfn.XLOOKUP(AL556,Cadastros!$G$6:$G$90,Cadastros!$H$6:$H$90)*(1-0.18),_xlfn.XLOOKUP(AL556,Cadastros!$G$6:$G$90,Cadastros!$H$6:$H$90))))</f>
        <v/>
      </c>
      <c r="AO556" s="168" t="str">
        <f t="shared" si="113"/>
        <v/>
      </c>
      <c r="AP556" s="168" t="str">
        <f t="shared" si="114"/>
        <v/>
      </c>
      <c r="AQ556" s="28"/>
      <c r="AR556" s="28"/>
      <c r="AS556" s="20" t="str">
        <f>IF(AQ556="","",IF($F556="Bernardino Furlan",_xlfn.XLOOKUP(AQ556,Cadastros!$G$6:$G$90,Cadastros!$H$6:$H$90)*(1-0.18),IF($F556="Mauro José Salanti",_xlfn.XLOOKUP(AQ556,Cadastros!$G$6:$G$90,Cadastros!$H$6:$H$90)*(1-0.18),_xlfn.XLOOKUP(AQ556,Cadastros!$G$6:$G$90,Cadastros!$H$6:$H$90))))</f>
        <v/>
      </c>
      <c r="AT556" s="168" t="str">
        <f t="shared" si="115"/>
        <v/>
      </c>
      <c r="AU556" s="168" t="str">
        <f t="shared" si="116"/>
        <v/>
      </c>
      <c r="AV556" s="227"/>
      <c r="AW556" s="30"/>
      <c r="AX556" s="267"/>
      <c r="AY556" s="267"/>
      <c r="AZ556" s="29"/>
      <c r="BA556" s="30"/>
      <c r="BB556" s="23" t="str" cm="1">
        <f t="array" ref="BB556">_xlfn.IFS(AW556="SIM",SUM(K556,P556,U556,Z556,AE556,AJ556,AO556,AT556,AX556,AY556),F556&lt;&gt;"",SUM(K556,P556,U556,Z556,AE556,AJ556,,AO556,AT556),F556="","")</f>
        <v/>
      </c>
      <c r="BC556" s="211" t="str" cm="1">
        <f t="array" ref="BC556">_xlfn.IFS(E556="","",G556&lt;=E556,BB556*(1-0.03),G556&lt;(E556+8),BB556,AZ556="Boleto",BB556*(1+0.001)^DATEDIF(E556,G556,"D"),AZ556="Cheque",BB556,AZ556="Dinheiro","Alterar forma pgto")</f>
        <v/>
      </c>
      <c r="BD556" s="276" t="str" cm="1">
        <f t="array" ref="BD556">IF(F556=0," ",IF(BC556&lt;BB556,(_xlfn.IFS(AW556="SIM",SUM(L556,Q556,V556,AA556,AF556,AK556,AP556,AU556)+AX556/_xlfn.XLOOKUP(_xlfn.XLOOKUP($F556,Clientes!$B$4:$B$39,Clientes!$C$4:$C$39),Cadastros!$L$6:$L$12,Cadastros!$M$6:$M$12)+IF($F556="Bernardino Furlan",AY556/2751.92,IF($F556="Mauro José Salanti",AY556/2751.92,AY556/3356)),F556&lt;&gt;0,SUM(L556,Q556,V556,AA556,AF556,AK556,AP556,AU556)))*(1-0.03),_xlfn.IFS(AW556="SIM",SUM(L556,Q556,V556,AA556,AF556,AK556,AP556,AU556)+AX556/_xlfn.XLOOKUP(_xlfn.XLOOKUP($F556,Clientes!$B$4:$B$39,Clientes!$C$4:$C$39),Cadastros!$L$6:$L$12,Cadastros!$M$6:$M$12)+IF($F556="Bernardino Furlan",AY556/2751.92,IF($F556="Mauro José Salanti",AY556/2751.92,AY556/3356)),F556&lt;&gt;0,SUM(L556,Q556,V556,AA556,AF556,AK556,AP556,AU556))))</f>
        <v xml:space="preserve"> </v>
      </c>
      <c r="BE556" s="120"/>
      <c r="BF556" s="120"/>
      <c r="BG556" s="120"/>
    </row>
    <row r="557" spans="1:59" s="3" customFormat="1" x14ac:dyDescent="0.3">
      <c r="A557" s="15" t="str">
        <f t="shared" si="104"/>
        <v/>
      </c>
      <c r="B557" s="25"/>
      <c r="C557" s="26"/>
      <c r="D557" s="279"/>
      <c r="E557" s="27"/>
      <c r="F557" s="28"/>
      <c r="G557" s="27"/>
      <c r="H557" s="28"/>
      <c r="I557" s="28"/>
      <c r="J557" s="255" t="str">
        <f>IF(H557="","",(_xlfn.XLOOKUP(H557,Cadastros!$D$6:$D$90,Cadastros!$E$6:$E$90))*(1-_xlfn.XLOOKUP(_xlfn.XLOOKUP($F557,Clientes!$B$4:$B$39,Clientes!$C$4:$C$39),Cadastros!$L$6:$L$12,Cadastros!$N$6:$N$12)))</f>
        <v/>
      </c>
      <c r="K557" s="168" t="str">
        <f t="shared" si="105"/>
        <v/>
      </c>
      <c r="L557" s="168" t="str">
        <f>IFERROR(K557/_xlfn.XLOOKUP(_xlfn.XLOOKUP($F557,Clientes!$B$4:$B$39,Clientes!$C$4:$C$39),Cadastros!$L$6:$L$12,Cadastros!$M$6:$M$12)," ")</f>
        <v xml:space="preserve"> </v>
      </c>
      <c r="M557" s="28"/>
      <c r="N557" s="28"/>
      <c r="O557" s="255" t="str">
        <f>IF(M557="","",(_xlfn.XLOOKUP(M557,Cadastros!$D$6:$D$90,Cadastros!$E$6:$E$90))*(1-_xlfn.XLOOKUP(_xlfn.XLOOKUP($F557,Clientes!$B$4:$B$39,Clientes!$C$4:$C$39),Cadastros!$L$6:$L$12,Cadastros!$N$6:$N$12)))</f>
        <v/>
      </c>
      <c r="P557" s="168" t="str">
        <f t="shared" si="106"/>
        <v/>
      </c>
      <c r="Q557" s="168" t="str">
        <f>IFERROR(P557/_xlfn.XLOOKUP(_xlfn.XLOOKUP($F557,Clientes!$B$4:$B$39,Clientes!$C$4:$C$39),Cadastros!$L$6:$L$12,Cadastros!$M$6:$M$12)," ")</f>
        <v xml:space="preserve"> </v>
      </c>
      <c r="R557" s="28"/>
      <c r="S557" s="28"/>
      <c r="T557" s="255" t="str">
        <f>IF(R557="","",(_xlfn.XLOOKUP(R557,Cadastros!$D$6:$D$90,Cadastros!$E$6:$E$90))*(1-_xlfn.XLOOKUP(_xlfn.XLOOKUP($F557,Clientes!$B$4:$B$39,Clientes!$C$4:$C$39),Cadastros!$L$6:$L$12,Cadastros!$N$6:$N$12)))</f>
        <v/>
      </c>
      <c r="U557" s="168" t="str">
        <f t="shared" si="107"/>
        <v/>
      </c>
      <c r="V557" s="168" t="str">
        <f>IFERROR(U557/_xlfn.XLOOKUP(_xlfn.XLOOKUP($F557,Clientes!$B$4:$B$39,Clientes!$C$4:$C$39),Cadastros!$L$6:$L$12,Cadastros!$M$6:$M$12)," ")</f>
        <v xml:space="preserve"> </v>
      </c>
      <c r="W557" s="28"/>
      <c r="X557" s="28"/>
      <c r="Y557" s="255" t="str">
        <f>IF(W557="","",(_xlfn.XLOOKUP(W557,Cadastros!$D$6:$D$90,Cadastros!$E$6:$E$90))*(1-_xlfn.XLOOKUP(_xlfn.XLOOKUP($F557,Clientes!$B$4:$B$39,Clientes!$C$4:$C$39),Cadastros!$L$6:$L$12,Cadastros!$N$6:$N$12)))</f>
        <v/>
      </c>
      <c r="Z557" s="168" t="str">
        <f t="shared" si="108"/>
        <v/>
      </c>
      <c r="AA557" s="168" t="str">
        <f>IFERROR(Z557/_xlfn.XLOOKUP(_xlfn.XLOOKUP($F557,Clientes!$B$4:$B$39,Clientes!$C$4:$C$39),Cadastros!$L$6:$L$12,Cadastros!$M$6:$M$12)," ")</f>
        <v xml:space="preserve"> </v>
      </c>
      <c r="AB557" s="28"/>
      <c r="AC557" s="28"/>
      <c r="AD557" s="20" t="str">
        <f>IF(AB557="","",IF($F557="Bernardino Furlan",_xlfn.XLOOKUP(AB557,Cadastros!$G$6:$G$90,Cadastros!$H$6:$H$90)*(1-0.18),IF($F557="Mauro José Salanti",_xlfn.XLOOKUP(AB557,Cadastros!$G$6:$G$90,Cadastros!$H$6:$H$90)*(1-0.18),_xlfn.XLOOKUP(AB557,Cadastros!$G$6:$G$90,Cadastros!$H$6:$H$90))))</f>
        <v/>
      </c>
      <c r="AE557" s="168" t="str">
        <f t="shared" si="109"/>
        <v/>
      </c>
      <c r="AF557" s="168" t="str">
        <f t="shared" si="110"/>
        <v/>
      </c>
      <c r="AG557" s="28"/>
      <c r="AH557" s="28"/>
      <c r="AI557" s="20" t="str">
        <f>IF(AG557="","",IF($F557="Bernardino Furlan",_xlfn.XLOOKUP(AG557,Cadastros!$G$6:$G$90,Cadastros!$H$6:$H$90)*(1-0.18),IF($F557="Mauro José Salanti",_xlfn.XLOOKUP(AG557,Cadastros!$G$6:$G$90,Cadastros!$H$6:$H$90)*(1-0.18),_xlfn.XLOOKUP(AG557,Cadastros!$G$6:$G$90,Cadastros!$H$6:$H$90))))</f>
        <v/>
      </c>
      <c r="AJ557" s="168" t="str">
        <f t="shared" si="111"/>
        <v/>
      </c>
      <c r="AK557" s="168" t="str">
        <f t="shared" si="112"/>
        <v/>
      </c>
      <c r="AL557" s="28"/>
      <c r="AM557" s="28"/>
      <c r="AN557" s="20" t="str">
        <f>IF(AL557="","",IF($F557="Bernardino Furlan",_xlfn.XLOOKUP(AL557,Cadastros!$G$6:$G$90,Cadastros!$H$6:$H$90)*(1-0.18),IF($F557="Mauro José Salanti",_xlfn.XLOOKUP(AL557,Cadastros!$G$6:$G$90,Cadastros!$H$6:$H$90)*(1-0.18),_xlfn.XLOOKUP(AL557,Cadastros!$G$6:$G$90,Cadastros!$H$6:$H$90))))</f>
        <v/>
      </c>
      <c r="AO557" s="168" t="str">
        <f t="shared" si="113"/>
        <v/>
      </c>
      <c r="AP557" s="168" t="str">
        <f t="shared" si="114"/>
        <v/>
      </c>
      <c r="AQ557" s="28"/>
      <c r="AR557" s="28"/>
      <c r="AS557" s="20" t="str">
        <f>IF(AQ557="","",IF($F557="Bernardino Furlan",_xlfn.XLOOKUP(AQ557,Cadastros!$G$6:$G$90,Cadastros!$H$6:$H$90)*(1-0.18),IF($F557="Mauro José Salanti",_xlfn.XLOOKUP(AQ557,Cadastros!$G$6:$G$90,Cadastros!$H$6:$H$90)*(1-0.18),_xlfn.XLOOKUP(AQ557,Cadastros!$G$6:$G$90,Cadastros!$H$6:$H$90))))</f>
        <v/>
      </c>
      <c r="AT557" s="168" t="str">
        <f t="shared" si="115"/>
        <v/>
      </c>
      <c r="AU557" s="168" t="str">
        <f t="shared" si="116"/>
        <v/>
      </c>
      <c r="AV557" s="227"/>
      <c r="AW557" s="30"/>
      <c r="AX557" s="267"/>
      <c r="AY557" s="267"/>
      <c r="AZ557" s="29"/>
      <c r="BA557" s="30"/>
      <c r="BB557" s="23" t="str" cm="1">
        <f t="array" ref="BB557">_xlfn.IFS(AW557="SIM",SUM(K557,P557,U557,Z557,AE557,AJ557,AO557,AT557,AX557,AY557),F557&lt;&gt;"",SUM(K557,P557,U557,Z557,AE557,AJ557,,AO557,AT557),F557="","")</f>
        <v/>
      </c>
      <c r="BC557" s="211" t="str" cm="1">
        <f t="array" ref="BC557">_xlfn.IFS(E557="","",G557&lt;=E557,BB557*(1-0.03),G557&lt;(E557+8),BB557,AZ557="Boleto",BB557*(1+0.001)^DATEDIF(E557,G557,"D"),AZ557="Cheque",BB557,AZ557="Dinheiro","Alterar forma pgto")</f>
        <v/>
      </c>
      <c r="BD557" s="276" t="str" cm="1">
        <f t="array" ref="BD557">IF(F557=0," ",IF(BC557&lt;BB557,(_xlfn.IFS(AW557="SIM",SUM(L557,Q557,V557,AA557,AF557,AK557,AP557,AU557)+AX557/_xlfn.XLOOKUP(_xlfn.XLOOKUP($F557,Clientes!$B$4:$B$39,Clientes!$C$4:$C$39),Cadastros!$L$6:$L$12,Cadastros!$M$6:$M$12)+IF($F557="Bernardino Furlan",AY557/2751.92,IF($F557="Mauro José Salanti",AY557/2751.92,AY557/3356)),F557&lt;&gt;0,SUM(L557,Q557,V557,AA557,AF557,AK557,AP557,AU557)))*(1-0.03),_xlfn.IFS(AW557="SIM",SUM(L557,Q557,V557,AA557,AF557,AK557,AP557,AU557)+AX557/_xlfn.XLOOKUP(_xlfn.XLOOKUP($F557,Clientes!$B$4:$B$39,Clientes!$C$4:$C$39),Cadastros!$L$6:$L$12,Cadastros!$M$6:$M$12)+IF($F557="Bernardino Furlan",AY557/2751.92,IF($F557="Mauro José Salanti",AY557/2751.92,AY557/3356)),F557&lt;&gt;0,SUM(L557,Q557,V557,AA557,AF557,AK557,AP557,AU557))))</f>
        <v xml:space="preserve"> </v>
      </c>
      <c r="BE557" s="120"/>
      <c r="BF557" s="120"/>
      <c r="BG557" s="120"/>
    </row>
    <row r="558" spans="1:59" s="3" customFormat="1" x14ac:dyDescent="0.3">
      <c r="A558" s="15" t="str">
        <f t="shared" si="104"/>
        <v/>
      </c>
      <c r="B558" s="25"/>
      <c r="C558" s="26"/>
      <c r="D558" s="279"/>
      <c r="E558" s="27"/>
      <c r="F558" s="28"/>
      <c r="G558" s="27"/>
      <c r="H558" s="28"/>
      <c r="I558" s="28"/>
      <c r="J558" s="255" t="str">
        <f>IF(H558="","",(_xlfn.XLOOKUP(H558,Cadastros!$D$6:$D$90,Cadastros!$E$6:$E$90))*(1-_xlfn.XLOOKUP(_xlfn.XLOOKUP($F558,Clientes!$B$4:$B$39,Clientes!$C$4:$C$39),Cadastros!$L$6:$L$12,Cadastros!$N$6:$N$12)))</f>
        <v/>
      </c>
      <c r="K558" s="168" t="str">
        <f t="shared" si="105"/>
        <v/>
      </c>
      <c r="L558" s="168" t="str">
        <f>IFERROR(K558/_xlfn.XLOOKUP(_xlfn.XLOOKUP($F558,Clientes!$B$4:$B$39,Clientes!$C$4:$C$39),Cadastros!$L$6:$L$12,Cadastros!$M$6:$M$12)," ")</f>
        <v xml:space="preserve"> </v>
      </c>
      <c r="M558" s="28"/>
      <c r="N558" s="28"/>
      <c r="O558" s="255" t="str">
        <f>IF(M558="","",(_xlfn.XLOOKUP(M558,Cadastros!$D$6:$D$90,Cadastros!$E$6:$E$90))*(1-_xlfn.XLOOKUP(_xlfn.XLOOKUP($F558,Clientes!$B$4:$B$39,Clientes!$C$4:$C$39),Cadastros!$L$6:$L$12,Cadastros!$N$6:$N$12)))</f>
        <v/>
      </c>
      <c r="P558" s="168" t="str">
        <f t="shared" si="106"/>
        <v/>
      </c>
      <c r="Q558" s="168" t="str">
        <f>IFERROR(P558/_xlfn.XLOOKUP(_xlfn.XLOOKUP($F558,Clientes!$B$4:$B$39,Clientes!$C$4:$C$39),Cadastros!$L$6:$L$12,Cadastros!$M$6:$M$12)," ")</f>
        <v xml:space="preserve"> </v>
      </c>
      <c r="R558" s="28"/>
      <c r="S558" s="28"/>
      <c r="T558" s="255" t="str">
        <f>IF(R558="","",(_xlfn.XLOOKUP(R558,Cadastros!$D$6:$D$90,Cadastros!$E$6:$E$90))*(1-_xlfn.XLOOKUP(_xlfn.XLOOKUP($F558,Clientes!$B$4:$B$39,Clientes!$C$4:$C$39),Cadastros!$L$6:$L$12,Cadastros!$N$6:$N$12)))</f>
        <v/>
      </c>
      <c r="U558" s="168" t="str">
        <f t="shared" si="107"/>
        <v/>
      </c>
      <c r="V558" s="168" t="str">
        <f>IFERROR(U558/_xlfn.XLOOKUP(_xlfn.XLOOKUP($F558,Clientes!$B$4:$B$39,Clientes!$C$4:$C$39),Cadastros!$L$6:$L$12,Cadastros!$M$6:$M$12)," ")</f>
        <v xml:space="preserve"> </v>
      </c>
      <c r="W558" s="28"/>
      <c r="X558" s="28"/>
      <c r="Y558" s="255" t="str">
        <f>IF(W558="","",(_xlfn.XLOOKUP(W558,Cadastros!$D$6:$D$90,Cadastros!$E$6:$E$90))*(1-_xlfn.XLOOKUP(_xlfn.XLOOKUP($F558,Clientes!$B$4:$B$39,Clientes!$C$4:$C$39),Cadastros!$L$6:$L$12,Cadastros!$N$6:$N$12)))</f>
        <v/>
      </c>
      <c r="Z558" s="168" t="str">
        <f t="shared" si="108"/>
        <v/>
      </c>
      <c r="AA558" s="168" t="str">
        <f>IFERROR(Z558/_xlfn.XLOOKUP(_xlfn.XLOOKUP($F558,Clientes!$B$4:$B$39,Clientes!$C$4:$C$39),Cadastros!$L$6:$L$12,Cadastros!$M$6:$M$12)," ")</f>
        <v xml:space="preserve"> </v>
      </c>
      <c r="AB558" s="28"/>
      <c r="AC558" s="28"/>
      <c r="AD558" s="20" t="str">
        <f>IF(AB558="","",IF($F558="Bernardino Furlan",_xlfn.XLOOKUP(AB558,Cadastros!$G$6:$G$90,Cadastros!$H$6:$H$90)*(1-0.18),IF($F558="Mauro José Salanti",_xlfn.XLOOKUP(AB558,Cadastros!$G$6:$G$90,Cadastros!$H$6:$H$90)*(1-0.18),_xlfn.XLOOKUP(AB558,Cadastros!$G$6:$G$90,Cadastros!$H$6:$H$90))))</f>
        <v/>
      </c>
      <c r="AE558" s="168" t="str">
        <f t="shared" si="109"/>
        <v/>
      </c>
      <c r="AF558" s="168" t="str">
        <f t="shared" si="110"/>
        <v/>
      </c>
      <c r="AG558" s="28"/>
      <c r="AH558" s="28"/>
      <c r="AI558" s="20" t="str">
        <f>IF(AG558="","",IF($F558="Bernardino Furlan",_xlfn.XLOOKUP(AG558,Cadastros!$G$6:$G$90,Cadastros!$H$6:$H$90)*(1-0.18),IF($F558="Mauro José Salanti",_xlfn.XLOOKUP(AG558,Cadastros!$G$6:$G$90,Cadastros!$H$6:$H$90)*(1-0.18),_xlfn.XLOOKUP(AG558,Cadastros!$G$6:$G$90,Cadastros!$H$6:$H$90))))</f>
        <v/>
      </c>
      <c r="AJ558" s="168" t="str">
        <f t="shared" si="111"/>
        <v/>
      </c>
      <c r="AK558" s="168" t="str">
        <f t="shared" si="112"/>
        <v/>
      </c>
      <c r="AL558" s="28"/>
      <c r="AM558" s="28"/>
      <c r="AN558" s="20" t="str">
        <f>IF(AL558="","",IF($F558="Bernardino Furlan",_xlfn.XLOOKUP(AL558,Cadastros!$G$6:$G$90,Cadastros!$H$6:$H$90)*(1-0.18),IF($F558="Mauro José Salanti",_xlfn.XLOOKUP(AL558,Cadastros!$G$6:$G$90,Cadastros!$H$6:$H$90)*(1-0.18),_xlfn.XLOOKUP(AL558,Cadastros!$G$6:$G$90,Cadastros!$H$6:$H$90))))</f>
        <v/>
      </c>
      <c r="AO558" s="168" t="str">
        <f t="shared" si="113"/>
        <v/>
      </c>
      <c r="AP558" s="168" t="str">
        <f t="shared" si="114"/>
        <v/>
      </c>
      <c r="AQ558" s="28"/>
      <c r="AR558" s="28"/>
      <c r="AS558" s="20" t="str">
        <f>IF(AQ558="","",IF($F558="Bernardino Furlan",_xlfn.XLOOKUP(AQ558,Cadastros!$G$6:$G$90,Cadastros!$H$6:$H$90)*(1-0.18),IF($F558="Mauro José Salanti",_xlfn.XLOOKUP(AQ558,Cadastros!$G$6:$G$90,Cadastros!$H$6:$H$90)*(1-0.18),_xlfn.XLOOKUP(AQ558,Cadastros!$G$6:$G$90,Cadastros!$H$6:$H$90))))</f>
        <v/>
      </c>
      <c r="AT558" s="168" t="str">
        <f t="shared" si="115"/>
        <v/>
      </c>
      <c r="AU558" s="168" t="str">
        <f t="shared" si="116"/>
        <v/>
      </c>
      <c r="AV558" s="227"/>
      <c r="AW558" s="30"/>
      <c r="AX558" s="267"/>
      <c r="AY558" s="267"/>
      <c r="AZ558" s="29"/>
      <c r="BA558" s="30"/>
      <c r="BB558" s="23" t="str" cm="1">
        <f t="array" ref="BB558">_xlfn.IFS(AW558="SIM",SUM(K558,P558,U558,Z558,AE558,AJ558,AO558,AT558,AX558,AY558),F558&lt;&gt;"",SUM(K558,P558,U558,Z558,AE558,AJ558,,AO558,AT558),F558="","")</f>
        <v/>
      </c>
      <c r="BC558" s="211" t="str" cm="1">
        <f t="array" ref="BC558">_xlfn.IFS(E558="","",G558&lt;=E558,BB558*(1-0.03),G558&lt;(E558+8),BB558,AZ558="Boleto",BB558*(1+0.001)^DATEDIF(E558,G558,"D"),AZ558="Cheque",BB558,AZ558="Dinheiro","Alterar forma pgto")</f>
        <v/>
      </c>
      <c r="BD558" s="276" t="str" cm="1">
        <f t="array" ref="BD558">IF(F558=0," ",IF(BC558&lt;BB558,(_xlfn.IFS(AW558="SIM",SUM(L558,Q558,V558,AA558,AF558,AK558,AP558,AU558)+AX558/_xlfn.XLOOKUP(_xlfn.XLOOKUP($F558,Clientes!$B$4:$B$39,Clientes!$C$4:$C$39),Cadastros!$L$6:$L$12,Cadastros!$M$6:$M$12)+IF($F558="Bernardino Furlan",AY558/2751.92,IF($F558="Mauro José Salanti",AY558/2751.92,AY558/3356)),F558&lt;&gt;0,SUM(L558,Q558,V558,AA558,AF558,AK558,AP558,AU558)))*(1-0.03),_xlfn.IFS(AW558="SIM",SUM(L558,Q558,V558,AA558,AF558,AK558,AP558,AU558)+AX558/_xlfn.XLOOKUP(_xlfn.XLOOKUP($F558,Clientes!$B$4:$B$39,Clientes!$C$4:$C$39),Cadastros!$L$6:$L$12,Cadastros!$M$6:$M$12)+IF($F558="Bernardino Furlan",AY558/2751.92,IF($F558="Mauro José Salanti",AY558/2751.92,AY558/3356)),F558&lt;&gt;0,SUM(L558,Q558,V558,AA558,AF558,AK558,AP558,AU558))))</f>
        <v xml:space="preserve"> </v>
      </c>
      <c r="BE558" s="120"/>
      <c r="BF558" s="120"/>
      <c r="BG558" s="120"/>
    </row>
    <row r="559" spans="1:59" s="3" customFormat="1" x14ac:dyDescent="0.3">
      <c r="A559" s="15" t="str">
        <f t="shared" si="104"/>
        <v/>
      </c>
      <c r="B559" s="25"/>
      <c r="C559" s="26"/>
      <c r="D559" s="279"/>
      <c r="E559" s="27"/>
      <c r="F559" s="28"/>
      <c r="G559" s="27"/>
      <c r="H559" s="28"/>
      <c r="I559" s="28"/>
      <c r="J559" s="255" t="str">
        <f>IF(H559="","",(_xlfn.XLOOKUP(H559,Cadastros!$D$6:$D$90,Cadastros!$E$6:$E$90))*(1-_xlfn.XLOOKUP(_xlfn.XLOOKUP($F559,Clientes!$B$4:$B$39,Clientes!$C$4:$C$39),Cadastros!$L$6:$L$12,Cadastros!$N$6:$N$12)))</f>
        <v/>
      </c>
      <c r="K559" s="168" t="str">
        <f t="shared" si="105"/>
        <v/>
      </c>
      <c r="L559" s="168" t="str">
        <f>IFERROR(K559/_xlfn.XLOOKUP(_xlfn.XLOOKUP($F559,Clientes!$B$4:$B$39,Clientes!$C$4:$C$39),Cadastros!$L$6:$L$12,Cadastros!$M$6:$M$12)," ")</f>
        <v xml:space="preserve"> </v>
      </c>
      <c r="M559" s="28"/>
      <c r="N559" s="28"/>
      <c r="O559" s="255" t="str">
        <f>IF(M559="","",(_xlfn.XLOOKUP(M559,Cadastros!$D$6:$D$90,Cadastros!$E$6:$E$90))*(1-_xlfn.XLOOKUP(_xlfn.XLOOKUP($F559,Clientes!$B$4:$B$39,Clientes!$C$4:$C$39),Cadastros!$L$6:$L$12,Cadastros!$N$6:$N$12)))</f>
        <v/>
      </c>
      <c r="P559" s="168" t="str">
        <f t="shared" si="106"/>
        <v/>
      </c>
      <c r="Q559" s="168" t="str">
        <f>IFERROR(P559/_xlfn.XLOOKUP(_xlfn.XLOOKUP($F559,Clientes!$B$4:$B$39,Clientes!$C$4:$C$39),Cadastros!$L$6:$L$12,Cadastros!$M$6:$M$12)," ")</f>
        <v xml:space="preserve"> </v>
      </c>
      <c r="R559" s="28"/>
      <c r="S559" s="28"/>
      <c r="T559" s="255" t="str">
        <f>IF(R559="","",(_xlfn.XLOOKUP(R559,Cadastros!$D$6:$D$90,Cadastros!$E$6:$E$90))*(1-_xlfn.XLOOKUP(_xlfn.XLOOKUP($F559,Clientes!$B$4:$B$39,Clientes!$C$4:$C$39),Cadastros!$L$6:$L$12,Cadastros!$N$6:$N$12)))</f>
        <v/>
      </c>
      <c r="U559" s="168" t="str">
        <f t="shared" si="107"/>
        <v/>
      </c>
      <c r="V559" s="168" t="str">
        <f>IFERROR(U559/_xlfn.XLOOKUP(_xlfn.XLOOKUP($F559,Clientes!$B$4:$B$39,Clientes!$C$4:$C$39),Cadastros!$L$6:$L$12,Cadastros!$M$6:$M$12)," ")</f>
        <v xml:space="preserve"> </v>
      </c>
      <c r="W559" s="28"/>
      <c r="X559" s="28"/>
      <c r="Y559" s="255" t="str">
        <f>IF(W559="","",(_xlfn.XLOOKUP(W559,Cadastros!$D$6:$D$90,Cadastros!$E$6:$E$90))*(1-_xlfn.XLOOKUP(_xlfn.XLOOKUP($F559,Clientes!$B$4:$B$39,Clientes!$C$4:$C$39),Cadastros!$L$6:$L$12,Cadastros!$N$6:$N$12)))</f>
        <v/>
      </c>
      <c r="Z559" s="168" t="str">
        <f t="shared" si="108"/>
        <v/>
      </c>
      <c r="AA559" s="168" t="str">
        <f>IFERROR(Z559/_xlfn.XLOOKUP(_xlfn.XLOOKUP($F559,Clientes!$B$4:$B$39,Clientes!$C$4:$C$39),Cadastros!$L$6:$L$12,Cadastros!$M$6:$M$12)," ")</f>
        <v xml:space="preserve"> </v>
      </c>
      <c r="AB559" s="28"/>
      <c r="AC559" s="28"/>
      <c r="AD559" s="20" t="str">
        <f>IF(AB559="","",IF($F559="Bernardino Furlan",_xlfn.XLOOKUP(AB559,Cadastros!$G$6:$G$90,Cadastros!$H$6:$H$90)*(1-0.18),IF($F559="Mauro José Salanti",_xlfn.XLOOKUP(AB559,Cadastros!$G$6:$G$90,Cadastros!$H$6:$H$90)*(1-0.18),_xlfn.XLOOKUP(AB559,Cadastros!$G$6:$G$90,Cadastros!$H$6:$H$90))))</f>
        <v/>
      </c>
      <c r="AE559" s="168" t="str">
        <f t="shared" si="109"/>
        <v/>
      </c>
      <c r="AF559" s="168" t="str">
        <f t="shared" si="110"/>
        <v/>
      </c>
      <c r="AG559" s="28"/>
      <c r="AH559" s="28"/>
      <c r="AI559" s="20" t="str">
        <f>IF(AG559="","",IF($F559="Bernardino Furlan",_xlfn.XLOOKUP(AG559,Cadastros!$G$6:$G$90,Cadastros!$H$6:$H$90)*(1-0.18),IF($F559="Mauro José Salanti",_xlfn.XLOOKUP(AG559,Cadastros!$G$6:$G$90,Cadastros!$H$6:$H$90)*(1-0.18),_xlfn.XLOOKUP(AG559,Cadastros!$G$6:$G$90,Cadastros!$H$6:$H$90))))</f>
        <v/>
      </c>
      <c r="AJ559" s="168" t="str">
        <f t="shared" si="111"/>
        <v/>
      </c>
      <c r="AK559" s="168" t="str">
        <f t="shared" si="112"/>
        <v/>
      </c>
      <c r="AL559" s="28"/>
      <c r="AM559" s="28"/>
      <c r="AN559" s="20" t="str">
        <f>IF(AL559="","",IF($F559="Bernardino Furlan",_xlfn.XLOOKUP(AL559,Cadastros!$G$6:$G$90,Cadastros!$H$6:$H$90)*(1-0.18),IF($F559="Mauro José Salanti",_xlfn.XLOOKUP(AL559,Cadastros!$G$6:$G$90,Cadastros!$H$6:$H$90)*(1-0.18),_xlfn.XLOOKUP(AL559,Cadastros!$G$6:$G$90,Cadastros!$H$6:$H$90))))</f>
        <v/>
      </c>
      <c r="AO559" s="168" t="str">
        <f t="shared" si="113"/>
        <v/>
      </c>
      <c r="AP559" s="168" t="str">
        <f t="shared" si="114"/>
        <v/>
      </c>
      <c r="AQ559" s="28"/>
      <c r="AR559" s="28"/>
      <c r="AS559" s="20" t="str">
        <f>IF(AQ559="","",IF($F559="Bernardino Furlan",_xlfn.XLOOKUP(AQ559,Cadastros!$G$6:$G$90,Cadastros!$H$6:$H$90)*(1-0.18),IF($F559="Mauro José Salanti",_xlfn.XLOOKUP(AQ559,Cadastros!$G$6:$G$90,Cadastros!$H$6:$H$90)*(1-0.18),_xlfn.XLOOKUP(AQ559,Cadastros!$G$6:$G$90,Cadastros!$H$6:$H$90))))</f>
        <v/>
      </c>
      <c r="AT559" s="168" t="str">
        <f t="shared" si="115"/>
        <v/>
      </c>
      <c r="AU559" s="168" t="str">
        <f t="shared" si="116"/>
        <v/>
      </c>
      <c r="AV559" s="227"/>
      <c r="AW559" s="30"/>
      <c r="AX559" s="267"/>
      <c r="AY559" s="267"/>
      <c r="AZ559" s="29"/>
      <c r="BA559" s="30"/>
      <c r="BB559" s="23" t="str" cm="1">
        <f t="array" ref="BB559">_xlfn.IFS(AW559="SIM",SUM(K559,P559,U559,Z559,AE559,AJ559,AO559,AT559,AX559,AY559),F559&lt;&gt;"",SUM(K559,P559,U559,Z559,AE559,AJ559,,AO559,AT559),F559="","")</f>
        <v/>
      </c>
      <c r="BC559" s="211" t="str" cm="1">
        <f t="array" ref="BC559">_xlfn.IFS(E559="","",G559&lt;=E559,BB559*(1-0.03),G559&lt;(E559+8),BB559,AZ559="Boleto",BB559*(1+0.001)^DATEDIF(E559,G559,"D"),AZ559="Cheque",BB559,AZ559="Dinheiro","Alterar forma pgto")</f>
        <v/>
      </c>
      <c r="BD559" s="276" t="str" cm="1">
        <f t="array" ref="BD559">IF(F559=0," ",IF(BC559&lt;BB559,(_xlfn.IFS(AW559="SIM",SUM(L559,Q559,V559,AA559,AF559,AK559,AP559,AU559)+AX559/_xlfn.XLOOKUP(_xlfn.XLOOKUP($F559,Clientes!$B$4:$B$39,Clientes!$C$4:$C$39),Cadastros!$L$6:$L$12,Cadastros!$M$6:$M$12)+IF($F559="Bernardino Furlan",AY559/2751.92,IF($F559="Mauro José Salanti",AY559/2751.92,AY559/3356)),F559&lt;&gt;0,SUM(L559,Q559,V559,AA559,AF559,AK559,AP559,AU559)))*(1-0.03),_xlfn.IFS(AW559="SIM",SUM(L559,Q559,V559,AA559,AF559,AK559,AP559,AU559)+AX559/_xlfn.XLOOKUP(_xlfn.XLOOKUP($F559,Clientes!$B$4:$B$39,Clientes!$C$4:$C$39),Cadastros!$L$6:$L$12,Cadastros!$M$6:$M$12)+IF($F559="Bernardino Furlan",AY559/2751.92,IF($F559="Mauro José Salanti",AY559/2751.92,AY559/3356)),F559&lt;&gt;0,SUM(L559,Q559,V559,AA559,AF559,AK559,AP559,AU559))))</f>
        <v xml:space="preserve"> </v>
      </c>
      <c r="BE559" s="120"/>
      <c r="BF559" s="120"/>
      <c r="BG559" s="120"/>
    </row>
    <row r="560" spans="1:59" s="3" customFormat="1" x14ac:dyDescent="0.3">
      <c r="A560" s="15" t="str">
        <f t="shared" si="104"/>
        <v/>
      </c>
      <c r="B560" s="25"/>
      <c r="C560" s="26"/>
      <c r="D560" s="279"/>
      <c r="E560" s="27"/>
      <c r="F560" s="28"/>
      <c r="G560" s="27"/>
      <c r="H560" s="28"/>
      <c r="I560" s="28"/>
      <c r="J560" s="255" t="str">
        <f>IF(H560="","",(_xlfn.XLOOKUP(H560,Cadastros!$D$6:$D$90,Cadastros!$E$6:$E$90))*(1-_xlfn.XLOOKUP(_xlfn.XLOOKUP($F560,Clientes!$B$4:$B$39,Clientes!$C$4:$C$39),Cadastros!$L$6:$L$12,Cadastros!$N$6:$N$12)))</f>
        <v/>
      </c>
      <c r="K560" s="168" t="str">
        <f t="shared" si="105"/>
        <v/>
      </c>
      <c r="L560" s="168" t="str">
        <f>IFERROR(K560/_xlfn.XLOOKUP(_xlfn.XLOOKUP($F560,Clientes!$B$4:$B$39,Clientes!$C$4:$C$39),Cadastros!$L$6:$L$12,Cadastros!$M$6:$M$12)," ")</f>
        <v xml:space="preserve"> </v>
      </c>
      <c r="M560" s="28"/>
      <c r="N560" s="28"/>
      <c r="O560" s="255" t="str">
        <f>IF(M560="","",(_xlfn.XLOOKUP(M560,Cadastros!$D$6:$D$90,Cadastros!$E$6:$E$90))*(1-_xlfn.XLOOKUP(_xlfn.XLOOKUP($F560,Clientes!$B$4:$B$39,Clientes!$C$4:$C$39),Cadastros!$L$6:$L$12,Cadastros!$N$6:$N$12)))</f>
        <v/>
      </c>
      <c r="P560" s="168" t="str">
        <f t="shared" si="106"/>
        <v/>
      </c>
      <c r="Q560" s="168" t="str">
        <f>IFERROR(P560/_xlfn.XLOOKUP(_xlfn.XLOOKUP($F560,Clientes!$B$4:$B$39,Clientes!$C$4:$C$39),Cadastros!$L$6:$L$12,Cadastros!$M$6:$M$12)," ")</f>
        <v xml:space="preserve"> </v>
      </c>
      <c r="R560" s="28"/>
      <c r="S560" s="28"/>
      <c r="T560" s="255" t="str">
        <f>IF(R560="","",(_xlfn.XLOOKUP(R560,Cadastros!$D$6:$D$90,Cadastros!$E$6:$E$90))*(1-_xlfn.XLOOKUP(_xlfn.XLOOKUP($F560,Clientes!$B$4:$B$39,Clientes!$C$4:$C$39),Cadastros!$L$6:$L$12,Cadastros!$N$6:$N$12)))</f>
        <v/>
      </c>
      <c r="U560" s="168" t="str">
        <f t="shared" si="107"/>
        <v/>
      </c>
      <c r="V560" s="168" t="str">
        <f>IFERROR(U560/_xlfn.XLOOKUP(_xlfn.XLOOKUP($F560,Clientes!$B$4:$B$39,Clientes!$C$4:$C$39),Cadastros!$L$6:$L$12,Cadastros!$M$6:$M$12)," ")</f>
        <v xml:space="preserve"> </v>
      </c>
      <c r="W560" s="28"/>
      <c r="X560" s="28"/>
      <c r="Y560" s="255" t="str">
        <f>IF(W560="","",(_xlfn.XLOOKUP(W560,Cadastros!$D$6:$D$90,Cadastros!$E$6:$E$90))*(1-_xlfn.XLOOKUP(_xlfn.XLOOKUP($F560,Clientes!$B$4:$B$39,Clientes!$C$4:$C$39),Cadastros!$L$6:$L$12,Cadastros!$N$6:$N$12)))</f>
        <v/>
      </c>
      <c r="Z560" s="168" t="str">
        <f t="shared" si="108"/>
        <v/>
      </c>
      <c r="AA560" s="168" t="str">
        <f>IFERROR(Z560/_xlfn.XLOOKUP(_xlfn.XLOOKUP($F560,Clientes!$B$4:$B$39,Clientes!$C$4:$C$39),Cadastros!$L$6:$L$12,Cadastros!$M$6:$M$12)," ")</f>
        <v xml:space="preserve"> </v>
      </c>
      <c r="AB560" s="28"/>
      <c r="AC560" s="28"/>
      <c r="AD560" s="20" t="str">
        <f>IF(AB560="","",IF($F560="Bernardino Furlan",_xlfn.XLOOKUP(AB560,Cadastros!$G$6:$G$90,Cadastros!$H$6:$H$90)*(1-0.18),IF($F560="Mauro José Salanti",_xlfn.XLOOKUP(AB560,Cadastros!$G$6:$G$90,Cadastros!$H$6:$H$90)*(1-0.18),_xlfn.XLOOKUP(AB560,Cadastros!$G$6:$G$90,Cadastros!$H$6:$H$90))))</f>
        <v/>
      </c>
      <c r="AE560" s="168" t="str">
        <f t="shared" si="109"/>
        <v/>
      </c>
      <c r="AF560" s="168" t="str">
        <f t="shared" si="110"/>
        <v/>
      </c>
      <c r="AG560" s="28"/>
      <c r="AH560" s="28"/>
      <c r="AI560" s="20" t="str">
        <f>IF(AG560="","",IF($F560="Bernardino Furlan",_xlfn.XLOOKUP(AG560,Cadastros!$G$6:$G$90,Cadastros!$H$6:$H$90)*(1-0.18),IF($F560="Mauro José Salanti",_xlfn.XLOOKUP(AG560,Cadastros!$G$6:$G$90,Cadastros!$H$6:$H$90)*(1-0.18),_xlfn.XLOOKUP(AG560,Cadastros!$G$6:$G$90,Cadastros!$H$6:$H$90))))</f>
        <v/>
      </c>
      <c r="AJ560" s="168" t="str">
        <f t="shared" si="111"/>
        <v/>
      </c>
      <c r="AK560" s="168" t="str">
        <f t="shared" si="112"/>
        <v/>
      </c>
      <c r="AL560" s="28"/>
      <c r="AM560" s="28"/>
      <c r="AN560" s="20" t="str">
        <f>IF(AL560="","",IF($F560="Bernardino Furlan",_xlfn.XLOOKUP(AL560,Cadastros!$G$6:$G$90,Cadastros!$H$6:$H$90)*(1-0.18),IF($F560="Mauro José Salanti",_xlfn.XLOOKUP(AL560,Cadastros!$G$6:$G$90,Cadastros!$H$6:$H$90)*(1-0.18),_xlfn.XLOOKUP(AL560,Cadastros!$G$6:$G$90,Cadastros!$H$6:$H$90))))</f>
        <v/>
      </c>
      <c r="AO560" s="168" t="str">
        <f t="shared" si="113"/>
        <v/>
      </c>
      <c r="AP560" s="168" t="str">
        <f t="shared" si="114"/>
        <v/>
      </c>
      <c r="AQ560" s="28"/>
      <c r="AR560" s="28"/>
      <c r="AS560" s="20" t="str">
        <f>IF(AQ560="","",IF($F560="Bernardino Furlan",_xlfn.XLOOKUP(AQ560,Cadastros!$G$6:$G$90,Cadastros!$H$6:$H$90)*(1-0.18),IF($F560="Mauro José Salanti",_xlfn.XLOOKUP(AQ560,Cadastros!$G$6:$G$90,Cadastros!$H$6:$H$90)*(1-0.18),_xlfn.XLOOKUP(AQ560,Cadastros!$G$6:$G$90,Cadastros!$H$6:$H$90))))</f>
        <v/>
      </c>
      <c r="AT560" s="168" t="str">
        <f t="shared" si="115"/>
        <v/>
      </c>
      <c r="AU560" s="168" t="str">
        <f t="shared" si="116"/>
        <v/>
      </c>
      <c r="AV560" s="227"/>
      <c r="AW560" s="30"/>
      <c r="AX560" s="267"/>
      <c r="AY560" s="267"/>
      <c r="AZ560" s="29"/>
      <c r="BA560" s="30"/>
      <c r="BB560" s="23" t="str" cm="1">
        <f t="array" ref="BB560">_xlfn.IFS(AW560="SIM",SUM(K560,P560,U560,Z560,AE560,AJ560,AO560,AT560,AX560,AY560),F560&lt;&gt;"",SUM(K560,P560,U560,Z560,AE560,AJ560,,AO560,AT560),F560="","")</f>
        <v/>
      </c>
      <c r="BC560" s="211" t="str" cm="1">
        <f t="array" ref="BC560">_xlfn.IFS(E560="","",G560&lt;=E560,BB560*(1-0.03),G560&lt;(E560+8),BB560,AZ560="Boleto",BB560*(1+0.001)^DATEDIF(E560,G560,"D"),AZ560="Cheque",BB560,AZ560="Dinheiro","Alterar forma pgto")</f>
        <v/>
      </c>
      <c r="BD560" s="276" t="str" cm="1">
        <f t="array" ref="BD560">IF(F560=0," ",IF(BC560&lt;BB560,(_xlfn.IFS(AW560="SIM",SUM(L560,Q560,V560,AA560,AF560,AK560,AP560,AU560)+AX560/_xlfn.XLOOKUP(_xlfn.XLOOKUP($F560,Clientes!$B$4:$B$39,Clientes!$C$4:$C$39),Cadastros!$L$6:$L$12,Cadastros!$M$6:$M$12)+IF($F560="Bernardino Furlan",AY560/2751.92,IF($F560="Mauro José Salanti",AY560/2751.92,AY560/3356)),F560&lt;&gt;0,SUM(L560,Q560,V560,AA560,AF560,AK560,AP560,AU560)))*(1-0.03),_xlfn.IFS(AW560="SIM",SUM(L560,Q560,V560,AA560,AF560,AK560,AP560,AU560)+AX560/_xlfn.XLOOKUP(_xlfn.XLOOKUP($F560,Clientes!$B$4:$B$39,Clientes!$C$4:$C$39),Cadastros!$L$6:$L$12,Cadastros!$M$6:$M$12)+IF($F560="Bernardino Furlan",AY560/2751.92,IF($F560="Mauro José Salanti",AY560/2751.92,AY560/3356)),F560&lt;&gt;0,SUM(L560,Q560,V560,AA560,AF560,AK560,AP560,AU560))))</f>
        <v xml:space="preserve"> </v>
      </c>
      <c r="BE560" s="120"/>
      <c r="BF560" s="120"/>
      <c r="BG560" s="120"/>
    </row>
    <row r="561" spans="1:59" s="3" customFormat="1" x14ac:dyDescent="0.3">
      <c r="A561" s="15" t="str">
        <f t="shared" si="104"/>
        <v/>
      </c>
      <c r="B561" s="25"/>
      <c r="C561" s="26"/>
      <c r="D561" s="279"/>
      <c r="E561" s="27"/>
      <c r="F561" s="28"/>
      <c r="G561" s="27"/>
      <c r="H561" s="28"/>
      <c r="I561" s="28"/>
      <c r="J561" s="255" t="str">
        <f>IF(H561="","",(_xlfn.XLOOKUP(H561,Cadastros!$D$6:$D$90,Cadastros!$E$6:$E$90))*(1-_xlfn.XLOOKUP(_xlfn.XLOOKUP($F561,Clientes!$B$4:$B$39,Clientes!$C$4:$C$39),Cadastros!$L$6:$L$12,Cadastros!$N$6:$N$12)))</f>
        <v/>
      </c>
      <c r="K561" s="168" t="str">
        <f t="shared" si="105"/>
        <v/>
      </c>
      <c r="L561" s="168" t="str">
        <f>IFERROR(K561/_xlfn.XLOOKUP(_xlfn.XLOOKUP($F561,Clientes!$B$4:$B$39,Clientes!$C$4:$C$39),Cadastros!$L$6:$L$12,Cadastros!$M$6:$M$12)," ")</f>
        <v xml:space="preserve"> </v>
      </c>
      <c r="M561" s="28"/>
      <c r="N561" s="28"/>
      <c r="O561" s="255" t="str">
        <f>IF(M561="","",(_xlfn.XLOOKUP(M561,Cadastros!$D$6:$D$90,Cadastros!$E$6:$E$90))*(1-_xlfn.XLOOKUP(_xlfn.XLOOKUP($F561,Clientes!$B$4:$B$39,Clientes!$C$4:$C$39),Cadastros!$L$6:$L$12,Cadastros!$N$6:$N$12)))</f>
        <v/>
      </c>
      <c r="P561" s="168" t="str">
        <f t="shared" si="106"/>
        <v/>
      </c>
      <c r="Q561" s="168" t="str">
        <f>IFERROR(P561/_xlfn.XLOOKUP(_xlfn.XLOOKUP($F561,Clientes!$B$4:$B$39,Clientes!$C$4:$C$39),Cadastros!$L$6:$L$12,Cadastros!$M$6:$M$12)," ")</f>
        <v xml:space="preserve"> </v>
      </c>
      <c r="R561" s="28"/>
      <c r="S561" s="28"/>
      <c r="T561" s="255" t="str">
        <f>IF(R561="","",(_xlfn.XLOOKUP(R561,Cadastros!$D$6:$D$90,Cadastros!$E$6:$E$90))*(1-_xlfn.XLOOKUP(_xlfn.XLOOKUP($F561,Clientes!$B$4:$B$39,Clientes!$C$4:$C$39),Cadastros!$L$6:$L$12,Cadastros!$N$6:$N$12)))</f>
        <v/>
      </c>
      <c r="U561" s="168" t="str">
        <f t="shared" si="107"/>
        <v/>
      </c>
      <c r="V561" s="168" t="str">
        <f>IFERROR(U561/_xlfn.XLOOKUP(_xlfn.XLOOKUP($F561,Clientes!$B$4:$B$39,Clientes!$C$4:$C$39),Cadastros!$L$6:$L$12,Cadastros!$M$6:$M$12)," ")</f>
        <v xml:space="preserve"> </v>
      </c>
      <c r="W561" s="28"/>
      <c r="X561" s="28"/>
      <c r="Y561" s="255" t="str">
        <f>IF(W561="","",(_xlfn.XLOOKUP(W561,Cadastros!$D$6:$D$90,Cadastros!$E$6:$E$90))*(1-_xlfn.XLOOKUP(_xlfn.XLOOKUP($F561,Clientes!$B$4:$B$39,Clientes!$C$4:$C$39),Cadastros!$L$6:$L$12,Cadastros!$N$6:$N$12)))</f>
        <v/>
      </c>
      <c r="Z561" s="168" t="str">
        <f t="shared" si="108"/>
        <v/>
      </c>
      <c r="AA561" s="168" t="str">
        <f>IFERROR(Z561/_xlfn.XLOOKUP(_xlfn.XLOOKUP($F561,Clientes!$B$4:$B$39,Clientes!$C$4:$C$39),Cadastros!$L$6:$L$12,Cadastros!$M$6:$M$12)," ")</f>
        <v xml:space="preserve"> </v>
      </c>
      <c r="AB561" s="28"/>
      <c r="AC561" s="28"/>
      <c r="AD561" s="20" t="str">
        <f>IF(AB561="","",IF($F561="Bernardino Furlan",_xlfn.XLOOKUP(AB561,Cadastros!$G$6:$G$90,Cadastros!$H$6:$H$90)*(1-0.18),IF($F561="Mauro José Salanti",_xlfn.XLOOKUP(AB561,Cadastros!$G$6:$G$90,Cadastros!$H$6:$H$90)*(1-0.18),_xlfn.XLOOKUP(AB561,Cadastros!$G$6:$G$90,Cadastros!$H$6:$H$90))))</f>
        <v/>
      </c>
      <c r="AE561" s="168" t="str">
        <f t="shared" si="109"/>
        <v/>
      </c>
      <c r="AF561" s="168" t="str">
        <f t="shared" si="110"/>
        <v/>
      </c>
      <c r="AG561" s="28"/>
      <c r="AH561" s="28"/>
      <c r="AI561" s="20" t="str">
        <f>IF(AG561="","",IF($F561="Bernardino Furlan",_xlfn.XLOOKUP(AG561,Cadastros!$G$6:$G$90,Cadastros!$H$6:$H$90)*(1-0.18),IF($F561="Mauro José Salanti",_xlfn.XLOOKUP(AG561,Cadastros!$G$6:$G$90,Cadastros!$H$6:$H$90)*(1-0.18),_xlfn.XLOOKUP(AG561,Cadastros!$G$6:$G$90,Cadastros!$H$6:$H$90))))</f>
        <v/>
      </c>
      <c r="AJ561" s="168" t="str">
        <f t="shared" si="111"/>
        <v/>
      </c>
      <c r="AK561" s="168" t="str">
        <f t="shared" si="112"/>
        <v/>
      </c>
      <c r="AL561" s="28"/>
      <c r="AM561" s="28"/>
      <c r="AN561" s="20" t="str">
        <f>IF(AL561="","",IF($F561="Bernardino Furlan",_xlfn.XLOOKUP(AL561,Cadastros!$G$6:$G$90,Cadastros!$H$6:$H$90)*(1-0.18),IF($F561="Mauro José Salanti",_xlfn.XLOOKUP(AL561,Cadastros!$G$6:$G$90,Cadastros!$H$6:$H$90)*(1-0.18),_xlfn.XLOOKUP(AL561,Cadastros!$G$6:$G$90,Cadastros!$H$6:$H$90))))</f>
        <v/>
      </c>
      <c r="AO561" s="168" t="str">
        <f t="shared" si="113"/>
        <v/>
      </c>
      <c r="AP561" s="168" t="str">
        <f t="shared" si="114"/>
        <v/>
      </c>
      <c r="AQ561" s="28"/>
      <c r="AR561" s="28"/>
      <c r="AS561" s="20" t="str">
        <f>IF(AQ561="","",IF($F561="Bernardino Furlan",_xlfn.XLOOKUP(AQ561,Cadastros!$G$6:$G$90,Cadastros!$H$6:$H$90)*(1-0.18),IF($F561="Mauro José Salanti",_xlfn.XLOOKUP(AQ561,Cadastros!$G$6:$G$90,Cadastros!$H$6:$H$90)*(1-0.18),_xlfn.XLOOKUP(AQ561,Cadastros!$G$6:$G$90,Cadastros!$H$6:$H$90))))</f>
        <v/>
      </c>
      <c r="AT561" s="168" t="str">
        <f t="shared" si="115"/>
        <v/>
      </c>
      <c r="AU561" s="168" t="str">
        <f t="shared" si="116"/>
        <v/>
      </c>
      <c r="AV561" s="227"/>
      <c r="AW561" s="30"/>
      <c r="AX561" s="267"/>
      <c r="AY561" s="267"/>
      <c r="AZ561" s="29"/>
      <c r="BA561" s="30"/>
      <c r="BB561" s="23" t="str" cm="1">
        <f t="array" ref="BB561">_xlfn.IFS(AW561="SIM",SUM(K561,P561,U561,Z561,AE561,AJ561,AO561,AT561,AX561,AY561),F561&lt;&gt;"",SUM(K561,P561,U561,Z561,AE561,AJ561,,AO561,AT561),F561="","")</f>
        <v/>
      </c>
      <c r="BC561" s="211" t="str" cm="1">
        <f t="array" ref="BC561">_xlfn.IFS(E561="","",G561&lt;=E561,BB561*(1-0.03),G561&lt;(E561+8),BB561,AZ561="Boleto",BB561*(1+0.001)^DATEDIF(E561,G561,"D"),AZ561="Cheque",BB561,AZ561="Dinheiro","Alterar forma pgto")</f>
        <v/>
      </c>
      <c r="BD561" s="276" t="str" cm="1">
        <f t="array" ref="BD561">IF(F561=0," ",IF(BC561&lt;BB561,(_xlfn.IFS(AW561="SIM",SUM(L561,Q561,V561,AA561,AF561,AK561,AP561,AU561)+AX561/_xlfn.XLOOKUP(_xlfn.XLOOKUP($F561,Clientes!$B$4:$B$39,Clientes!$C$4:$C$39),Cadastros!$L$6:$L$12,Cadastros!$M$6:$M$12)+IF($F561="Bernardino Furlan",AY561/2751.92,IF($F561="Mauro José Salanti",AY561/2751.92,AY561/3356)),F561&lt;&gt;0,SUM(L561,Q561,V561,AA561,AF561,AK561,AP561,AU561)))*(1-0.03),_xlfn.IFS(AW561="SIM",SUM(L561,Q561,V561,AA561,AF561,AK561,AP561,AU561)+AX561/_xlfn.XLOOKUP(_xlfn.XLOOKUP($F561,Clientes!$B$4:$B$39,Clientes!$C$4:$C$39),Cadastros!$L$6:$L$12,Cadastros!$M$6:$M$12)+IF($F561="Bernardino Furlan",AY561/2751.92,IF($F561="Mauro José Salanti",AY561/2751.92,AY561/3356)),F561&lt;&gt;0,SUM(L561,Q561,V561,AA561,AF561,AK561,AP561,AU561))))</f>
        <v xml:space="preserve"> </v>
      </c>
      <c r="BE561" s="120"/>
      <c r="BF561" s="120"/>
      <c r="BG561" s="120"/>
    </row>
    <row r="562" spans="1:59" s="3" customFormat="1" x14ac:dyDescent="0.3">
      <c r="A562" s="15" t="str">
        <f t="shared" si="104"/>
        <v/>
      </c>
      <c r="B562" s="25"/>
      <c r="C562" s="26"/>
      <c r="D562" s="279"/>
      <c r="E562" s="27"/>
      <c r="F562" s="28"/>
      <c r="G562" s="27"/>
      <c r="H562" s="28"/>
      <c r="I562" s="28"/>
      <c r="J562" s="255" t="str">
        <f>IF(H562="","",(_xlfn.XLOOKUP(H562,Cadastros!$D$6:$D$90,Cadastros!$E$6:$E$90))*(1-_xlfn.XLOOKUP(_xlfn.XLOOKUP($F562,Clientes!$B$4:$B$39,Clientes!$C$4:$C$39),Cadastros!$L$6:$L$12,Cadastros!$N$6:$N$12)))</f>
        <v/>
      </c>
      <c r="K562" s="168" t="str">
        <f t="shared" si="105"/>
        <v/>
      </c>
      <c r="L562" s="168" t="str">
        <f>IFERROR(K562/_xlfn.XLOOKUP(_xlfn.XLOOKUP($F562,Clientes!$B$4:$B$39,Clientes!$C$4:$C$39),Cadastros!$L$6:$L$12,Cadastros!$M$6:$M$12)," ")</f>
        <v xml:space="preserve"> </v>
      </c>
      <c r="M562" s="28"/>
      <c r="N562" s="28"/>
      <c r="O562" s="255" t="str">
        <f>IF(M562="","",(_xlfn.XLOOKUP(M562,Cadastros!$D$6:$D$90,Cadastros!$E$6:$E$90))*(1-_xlfn.XLOOKUP(_xlfn.XLOOKUP($F562,Clientes!$B$4:$B$39,Clientes!$C$4:$C$39),Cadastros!$L$6:$L$12,Cadastros!$N$6:$N$12)))</f>
        <v/>
      </c>
      <c r="P562" s="168" t="str">
        <f t="shared" si="106"/>
        <v/>
      </c>
      <c r="Q562" s="168" t="str">
        <f>IFERROR(P562/_xlfn.XLOOKUP(_xlfn.XLOOKUP($F562,Clientes!$B$4:$B$39,Clientes!$C$4:$C$39),Cadastros!$L$6:$L$12,Cadastros!$M$6:$M$12)," ")</f>
        <v xml:space="preserve"> </v>
      </c>
      <c r="R562" s="28"/>
      <c r="S562" s="28"/>
      <c r="T562" s="255" t="str">
        <f>IF(R562="","",(_xlfn.XLOOKUP(R562,Cadastros!$D$6:$D$90,Cadastros!$E$6:$E$90))*(1-_xlfn.XLOOKUP(_xlfn.XLOOKUP($F562,Clientes!$B$4:$B$39,Clientes!$C$4:$C$39),Cadastros!$L$6:$L$12,Cadastros!$N$6:$N$12)))</f>
        <v/>
      </c>
      <c r="U562" s="168" t="str">
        <f t="shared" si="107"/>
        <v/>
      </c>
      <c r="V562" s="168" t="str">
        <f>IFERROR(U562/_xlfn.XLOOKUP(_xlfn.XLOOKUP($F562,Clientes!$B$4:$B$39,Clientes!$C$4:$C$39),Cadastros!$L$6:$L$12,Cadastros!$M$6:$M$12)," ")</f>
        <v xml:space="preserve"> </v>
      </c>
      <c r="W562" s="28"/>
      <c r="X562" s="28"/>
      <c r="Y562" s="255" t="str">
        <f>IF(W562="","",(_xlfn.XLOOKUP(W562,Cadastros!$D$6:$D$90,Cadastros!$E$6:$E$90))*(1-_xlfn.XLOOKUP(_xlfn.XLOOKUP($F562,Clientes!$B$4:$B$39,Clientes!$C$4:$C$39),Cadastros!$L$6:$L$12,Cadastros!$N$6:$N$12)))</f>
        <v/>
      </c>
      <c r="Z562" s="168" t="str">
        <f t="shared" si="108"/>
        <v/>
      </c>
      <c r="AA562" s="168" t="str">
        <f>IFERROR(Z562/_xlfn.XLOOKUP(_xlfn.XLOOKUP($F562,Clientes!$B$4:$B$39,Clientes!$C$4:$C$39),Cadastros!$L$6:$L$12,Cadastros!$M$6:$M$12)," ")</f>
        <v xml:space="preserve"> </v>
      </c>
      <c r="AB562" s="28"/>
      <c r="AC562" s="28"/>
      <c r="AD562" s="20" t="str">
        <f>IF(AB562="","",IF($F562="Bernardino Furlan",_xlfn.XLOOKUP(AB562,Cadastros!$G$6:$G$90,Cadastros!$H$6:$H$90)*(1-0.18),IF($F562="Mauro José Salanti",_xlfn.XLOOKUP(AB562,Cadastros!$G$6:$G$90,Cadastros!$H$6:$H$90)*(1-0.18),_xlfn.XLOOKUP(AB562,Cadastros!$G$6:$G$90,Cadastros!$H$6:$H$90))))</f>
        <v/>
      </c>
      <c r="AE562" s="168" t="str">
        <f t="shared" si="109"/>
        <v/>
      </c>
      <c r="AF562" s="168" t="str">
        <f t="shared" si="110"/>
        <v/>
      </c>
      <c r="AG562" s="28"/>
      <c r="AH562" s="28"/>
      <c r="AI562" s="20" t="str">
        <f>IF(AG562="","",IF($F562="Bernardino Furlan",_xlfn.XLOOKUP(AG562,Cadastros!$G$6:$G$90,Cadastros!$H$6:$H$90)*(1-0.18),IF($F562="Mauro José Salanti",_xlfn.XLOOKUP(AG562,Cadastros!$G$6:$G$90,Cadastros!$H$6:$H$90)*(1-0.18),_xlfn.XLOOKUP(AG562,Cadastros!$G$6:$G$90,Cadastros!$H$6:$H$90))))</f>
        <v/>
      </c>
      <c r="AJ562" s="168" t="str">
        <f t="shared" si="111"/>
        <v/>
      </c>
      <c r="AK562" s="168" t="str">
        <f t="shared" si="112"/>
        <v/>
      </c>
      <c r="AL562" s="28"/>
      <c r="AM562" s="28"/>
      <c r="AN562" s="20" t="str">
        <f>IF(AL562="","",IF($F562="Bernardino Furlan",_xlfn.XLOOKUP(AL562,Cadastros!$G$6:$G$90,Cadastros!$H$6:$H$90)*(1-0.18),IF($F562="Mauro José Salanti",_xlfn.XLOOKUP(AL562,Cadastros!$G$6:$G$90,Cadastros!$H$6:$H$90)*(1-0.18),_xlfn.XLOOKUP(AL562,Cadastros!$G$6:$G$90,Cadastros!$H$6:$H$90))))</f>
        <v/>
      </c>
      <c r="AO562" s="168" t="str">
        <f t="shared" si="113"/>
        <v/>
      </c>
      <c r="AP562" s="168" t="str">
        <f t="shared" si="114"/>
        <v/>
      </c>
      <c r="AQ562" s="28"/>
      <c r="AR562" s="28"/>
      <c r="AS562" s="20" t="str">
        <f>IF(AQ562="","",IF($F562="Bernardino Furlan",_xlfn.XLOOKUP(AQ562,Cadastros!$G$6:$G$90,Cadastros!$H$6:$H$90)*(1-0.18),IF($F562="Mauro José Salanti",_xlfn.XLOOKUP(AQ562,Cadastros!$G$6:$G$90,Cadastros!$H$6:$H$90)*(1-0.18),_xlfn.XLOOKUP(AQ562,Cadastros!$G$6:$G$90,Cadastros!$H$6:$H$90))))</f>
        <v/>
      </c>
      <c r="AT562" s="168" t="str">
        <f t="shared" si="115"/>
        <v/>
      </c>
      <c r="AU562" s="168" t="str">
        <f t="shared" si="116"/>
        <v/>
      </c>
      <c r="AV562" s="227"/>
      <c r="AW562" s="30"/>
      <c r="AX562" s="267"/>
      <c r="AY562" s="267"/>
      <c r="AZ562" s="29"/>
      <c r="BA562" s="30"/>
      <c r="BB562" s="23" t="str" cm="1">
        <f t="array" ref="BB562">_xlfn.IFS(AW562="SIM",SUM(K562,P562,U562,Z562,AE562,AJ562,AO562,AT562,AX562,AY562),F562&lt;&gt;"",SUM(K562,P562,U562,Z562,AE562,AJ562,,AO562,AT562),F562="","")</f>
        <v/>
      </c>
      <c r="BC562" s="211" t="str" cm="1">
        <f t="array" ref="BC562">_xlfn.IFS(E562="","",G562&lt;=E562,BB562*(1-0.03),G562&lt;(E562+8),BB562,AZ562="Boleto",BB562*(1+0.001)^DATEDIF(E562,G562,"D"),AZ562="Cheque",BB562,AZ562="Dinheiro","Alterar forma pgto")</f>
        <v/>
      </c>
      <c r="BD562" s="276" t="str" cm="1">
        <f t="array" ref="BD562">IF(F562=0," ",IF(BC562&lt;BB562,(_xlfn.IFS(AW562="SIM",SUM(L562,Q562,V562,AA562,AF562,AK562,AP562,AU562)+AX562/_xlfn.XLOOKUP(_xlfn.XLOOKUP($F562,Clientes!$B$4:$B$39,Clientes!$C$4:$C$39),Cadastros!$L$6:$L$12,Cadastros!$M$6:$M$12)+IF($F562="Bernardino Furlan",AY562/2751.92,IF($F562="Mauro José Salanti",AY562/2751.92,AY562/3356)),F562&lt;&gt;0,SUM(L562,Q562,V562,AA562,AF562,AK562,AP562,AU562)))*(1-0.03),_xlfn.IFS(AW562="SIM",SUM(L562,Q562,V562,AA562,AF562,AK562,AP562,AU562)+AX562/_xlfn.XLOOKUP(_xlfn.XLOOKUP($F562,Clientes!$B$4:$B$39,Clientes!$C$4:$C$39),Cadastros!$L$6:$L$12,Cadastros!$M$6:$M$12)+IF($F562="Bernardino Furlan",AY562/2751.92,IF($F562="Mauro José Salanti",AY562/2751.92,AY562/3356)),F562&lt;&gt;0,SUM(L562,Q562,V562,AA562,AF562,AK562,AP562,AU562))))</f>
        <v xml:space="preserve"> </v>
      </c>
      <c r="BE562" s="120"/>
      <c r="BF562" s="120"/>
      <c r="BG562" s="120"/>
    </row>
    <row r="563" spans="1:59" s="3" customFormat="1" x14ac:dyDescent="0.3">
      <c r="A563" s="15" t="str">
        <f t="shared" si="104"/>
        <v/>
      </c>
      <c r="B563" s="25"/>
      <c r="C563" s="26"/>
      <c r="D563" s="279"/>
      <c r="E563" s="27"/>
      <c r="F563" s="28"/>
      <c r="G563" s="27"/>
      <c r="H563" s="28"/>
      <c r="I563" s="28"/>
      <c r="J563" s="255" t="str">
        <f>IF(H563="","",(_xlfn.XLOOKUP(H563,Cadastros!$D$6:$D$90,Cadastros!$E$6:$E$90))*(1-_xlfn.XLOOKUP(_xlfn.XLOOKUP($F563,Clientes!$B$4:$B$39,Clientes!$C$4:$C$39),Cadastros!$L$6:$L$12,Cadastros!$N$6:$N$12)))</f>
        <v/>
      </c>
      <c r="K563" s="168" t="str">
        <f t="shared" si="105"/>
        <v/>
      </c>
      <c r="L563" s="168" t="str">
        <f>IFERROR(K563/_xlfn.XLOOKUP(_xlfn.XLOOKUP($F563,Clientes!$B$4:$B$39,Clientes!$C$4:$C$39),Cadastros!$L$6:$L$12,Cadastros!$M$6:$M$12)," ")</f>
        <v xml:space="preserve"> </v>
      </c>
      <c r="M563" s="28"/>
      <c r="N563" s="28"/>
      <c r="O563" s="255" t="str">
        <f>IF(M563="","",(_xlfn.XLOOKUP(M563,Cadastros!$D$6:$D$90,Cadastros!$E$6:$E$90))*(1-_xlfn.XLOOKUP(_xlfn.XLOOKUP($F563,Clientes!$B$4:$B$39,Clientes!$C$4:$C$39),Cadastros!$L$6:$L$12,Cadastros!$N$6:$N$12)))</f>
        <v/>
      </c>
      <c r="P563" s="168" t="str">
        <f t="shared" si="106"/>
        <v/>
      </c>
      <c r="Q563" s="168" t="str">
        <f>IFERROR(P563/_xlfn.XLOOKUP(_xlfn.XLOOKUP($F563,Clientes!$B$4:$B$39,Clientes!$C$4:$C$39),Cadastros!$L$6:$L$12,Cadastros!$M$6:$M$12)," ")</f>
        <v xml:space="preserve"> </v>
      </c>
      <c r="R563" s="28"/>
      <c r="S563" s="28"/>
      <c r="T563" s="255" t="str">
        <f>IF(R563="","",(_xlfn.XLOOKUP(R563,Cadastros!$D$6:$D$90,Cadastros!$E$6:$E$90))*(1-_xlfn.XLOOKUP(_xlfn.XLOOKUP($F563,Clientes!$B$4:$B$39,Clientes!$C$4:$C$39),Cadastros!$L$6:$L$12,Cadastros!$N$6:$N$12)))</f>
        <v/>
      </c>
      <c r="U563" s="168" t="str">
        <f t="shared" si="107"/>
        <v/>
      </c>
      <c r="V563" s="168" t="str">
        <f>IFERROR(U563/_xlfn.XLOOKUP(_xlfn.XLOOKUP($F563,Clientes!$B$4:$B$39,Clientes!$C$4:$C$39),Cadastros!$L$6:$L$12,Cadastros!$M$6:$M$12)," ")</f>
        <v xml:space="preserve"> </v>
      </c>
      <c r="W563" s="28"/>
      <c r="X563" s="28"/>
      <c r="Y563" s="255" t="str">
        <f>IF(W563="","",(_xlfn.XLOOKUP(W563,Cadastros!$D$6:$D$90,Cadastros!$E$6:$E$90))*(1-_xlfn.XLOOKUP(_xlfn.XLOOKUP($F563,Clientes!$B$4:$B$39,Clientes!$C$4:$C$39),Cadastros!$L$6:$L$12,Cadastros!$N$6:$N$12)))</f>
        <v/>
      </c>
      <c r="Z563" s="168" t="str">
        <f t="shared" si="108"/>
        <v/>
      </c>
      <c r="AA563" s="168" t="str">
        <f>IFERROR(Z563/_xlfn.XLOOKUP(_xlfn.XLOOKUP($F563,Clientes!$B$4:$B$39,Clientes!$C$4:$C$39),Cadastros!$L$6:$L$12,Cadastros!$M$6:$M$12)," ")</f>
        <v xml:space="preserve"> </v>
      </c>
      <c r="AB563" s="28"/>
      <c r="AC563" s="28"/>
      <c r="AD563" s="20" t="str">
        <f>IF(AB563="","",IF($F563="Bernardino Furlan",_xlfn.XLOOKUP(AB563,Cadastros!$G$6:$G$90,Cadastros!$H$6:$H$90)*(1-0.18),IF($F563="Mauro José Salanti",_xlfn.XLOOKUP(AB563,Cadastros!$G$6:$G$90,Cadastros!$H$6:$H$90)*(1-0.18),_xlfn.XLOOKUP(AB563,Cadastros!$G$6:$G$90,Cadastros!$H$6:$H$90))))</f>
        <v/>
      </c>
      <c r="AE563" s="168" t="str">
        <f t="shared" si="109"/>
        <v/>
      </c>
      <c r="AF563" s="168" t="str">
        <f t="shared" si="110"/>
        <v/>
      </c>
      <c r="AG563" s="28"/>
      <c r="AH563" s="28"/>
      <c r="AI563" s="20" t="str">
        <f>IF(AG563="","",IF($F563="Bernardino Furlan",_xlfn.XLOOKUP(AG563,Cadastros!$G$6:$G$90,Cadastros!$H$6:$H$90)*(1-0.18),IF($F563="Mauro José Salanti",_xlfn.XLOOKUP(AG563,Cadastros!$G$6:$G$90,Cadastros!$H$6:$H$90)*(1-0.18),_xlfn.XLOOKUP(AG563,Cadastros!$G$6:$G$90,Cadastros!$H$6:$H$90))))</f>
        <v/>
      </c>
      <c r="AJ563" s="168" t="str">
        <f t="shared" si="111"/>
        <v/>
      </c>
      <c r="AK563" s="168" t="str">
        <f t="shared" si="112"/>
        <v/>
      </c>
      <c r="AL563" s="28"/>
      <c r="AM563" s="28"/>
      <c r="AN563" s="20" t="str">
        <f>IF(AL563="","",IF($F563="Bernardino Furlan",_xlfn.XLOOKUP(AL563,Cadastros!$G$6:$G$90,Cadastros!$H$6:$H$90)*(1-0.18),IF($F563="Mauro José Salanti",_xlfn.XLOOKUP(AL563,Cadastros!$G$6:$G$90,Cadastros!$H$6:$H$90)*(1-0.18),_xlfn.XLOOKUP(AL563,Cadastros!$G$6:$G$90,Cadastros!$H$6:$H$90))))</f>
        <v/>
      </c>
      <c r="AO563" s="168" t="str">
        <f t="shared" si="113"/>
        <v/>
      </c>
      <c r="AP563" s="168" t="str">
        <f t="shared" si="114"/>
        <v/>
      </c>
      <c r="AQ563" s="28"/>
      <c r="AR563" s="28"/>
      <c r="AS563" s="20" t="str">
        <f>IF(AQ563="","",IF($F563="Bernardino Furlan",_xlfn.XLOOKUP(AQ563,Cadastros!$G$6:$G$90,Cadastros!$H$6:$H$90)*(1-0.18),IF($F563="Mauro José Salanti",_xlfn.XLOOKUP(AQ563,Cadastros!$G$6:$G$90,Cadastros!$H$6:$H$90)*(1-0.18),_xlfn.XLOOKUP(AQ563,Cadastros!$G$6:$G$90,Cadastros!$H$6:$H$90))))</f>
        <v/>
      </c>
      <c r="AT563" s="168" t="str">
        <f t="shared" si="115"/>
        <v/>
      </c>
      <c r="AU563" s="168" t="str">
        <f t="shared" si="116"/>
        <v/>
      </c>
      <c r="AV563" s="227"/>
      <c r="AW563" s="30"/>
      <c r="AX563" s="267"/>
      <c r="AY563" s="267"/>
      <c r="AZ563" s="29"/>
      <c r="BA563" s="30"/>
      <c r="BB563" s="23" t="str" cm="1">
        <f t="array" ref="BB563">_xlfn.IFS(AW563="SIM",SUM(K563,P563,U563,Z563,AE563,AJ563,AO563,AT563,AX563,AY563),F563&lt;&gt;"",SUM(K563,P563,U563,Z563,AE563,AJ563,,AO563,AT563),F563="","")</f>
        <v/>
      </c>
      <c r="BC563" s="211" t="str" cm="1">
        <f t="array" ref="BC563">_xlfn.IFS(E563="","",G563&lt;=E563,BB563*(1-0.03),G563&lt;(E563+8),BB563,AZ563="Boleto",BB563*(1+0.001)^DATEDIF(E563,G563,"D"),AZ563="Cheque",BB563,AZ563="Dinheiro","Alterar forma pgto")</f>
        <v/>
      </c>
      <c r="BD563" s="276" t="str" cm="1">
        <f t="array" ref="BD563">IF(F563=0," ",IF(BC563&lt;BB563,(_xlfn.IFS(AW563="SIM",SUM(L563,Q563,V563,AA563,AF563,AK563,AP563,AU563)+AX563/_xlfn.XLOOKUP(_xlfn.XLOOKUP($F563,Clientes!$B$4:$B$39,Clientes!$C$4:$C$39),Cadastros!$L$6:$L$12,Cadastros!$M$6:$M$12)+IF($F563="Bernardino Furlan",AY563/2751.92,IF($F563="Mauro José Salanti",AY563/2751.92,AY563/3356)),F563&lt;&gt;0,SUM(L563,Q563,V563,AA563,AF563,AK563,AP563,AU563)))*(1-0.03),_xlfn.IFS(AW563="SIM",SUM(L563,Q563,V563,AA563,AF563,AK563,AP563,AU563)+AX563/_xlfn.XLOOKUP(_xlfn.XLOOKUP($F563,Clientes!$B$4:$B$39,Clientes!$C$4:$C$39),Cadastros!$L$6:$L$12,Cadastros!$M$6:$M$12)+IF($F563="Bernardino Furlan",AY563/2751.92,IF($F563="Mauro José Salanti",AY563/2751.92,AY563/3356)),F563&lt;&gt;0,SUM(L563,Q563,V563,AA563,AF563,AK563,AP563,AU563))))</f>
        <v xml:space="preserve"> </v>
      </c>
      <c r="BE563" s="120"/>
      <c r="BF563" s="120"/>
      <c r="BG563" s="120"/>
    </row>
    <row r="564" spans="1:59" s="3" customFormat="1" x14ac:dyDescent="0.3">
      <c r="A564" s="15" t="str">
        <f t="shared" si="104"/>
        <v/>
      </c>
      <c r="B564" s="25"/>
      <c r="C564" s="26"/>
      <c r="D564" s="279"/>
      <c r="E564" s="27"/>
      <c r="F564" s="28"/>
      <c r="G564" s="27"/>
      <c r="H564" s="28"/>
      <c r="I564" s="28"/>
      <c r="J564" s="255" t="str">
        <f>IF(H564="","",(_xlfn.XLOOKUP(H564,Cadastros!$D$6:$D$90,Cadastros!$E$6:$E$90))*(1-_xlfn.XLOOKUP(_xlfn.XLOOKUP($F564,Clientes!$B$4:$B$39,Clientes!$C$4:$C$39),Cadastros!$L$6:$L$12,Cadastros!$N$6:$N$12)))</f>
        <v/>
      </c>
      <c r="K564" s="168" t="str">
        <f t="shared" si="105"/>
        <v/>
      </c>
      <c r="L564" s="168" t="str">
        <f>IFERROR(K564/_xlfn.XLOOKUP(_xlfn.XLOOKUP($F564,Clientes!$B$4:$B$39,Clientes!$C$4:$C$39),Cadastros!$L$6:$L$12,Cadastros!$M$6:$M$12)," ")</f>
        <v xml:space="preserve"> </v>
      </c>
      <c r="M564" s="28"/>
      <c r="N564" s="28"/>
      <c r="O564" s="255" t="str">
        <f>IF(M564="","",(_xlfn.XLOOKUP(M564,Cadastros!$D$6:$D$90,Cadastros!$E$6:$E$90))*(1-_xlfn.XLOOKUP(_xlfn.XLOOKUP($F564,Clientes!$B$4:$B$39,Clientes!$C$4:$C$39),Cadastros!$L$6:$L$12,Cadastros!$N$6:$N$12)))</f>
        <v/>
      </c>
      <c r="P564" s="168" t="str">
        <f t="shared" si="106"/>
        <v/>
      </c>
      <c r="Q564" s="168" t="str">
        <f>IFERROR(P564/_xlfn.XLOOKUP(_xlfn.XLOOKUP($F564,Clientes!$B$4:$B$39,Clientes!$C$4:$C$39),Cadastros!$L$6:$L$12,Cadastros!$M$6:$M$12)," ")</f>
        <v xml:space="preserve"> </v>
      </c>
      <c r="R564" s="28"/>
      <c r="S564" s="28"/>
      <c r="T564" s="255" t="str">
        <f>IF(R564="","",(_xlfn.XLOOKUP(R564,Cadastros!$D$6:$D$90,Cadastros!$E$6:$E$90))*(1-_xlfn.XLOOKUP(_xlfn.XLOOKUP($F564,Clientes!$B$4:$B$39,Clientes!$C$4:$C$39),Cadastros!$L$6:$L$12,Cadastros!$N$6:$N$12)))</f>
        <v/>
      </c>
      <c r="U564" s="168" t="str">
        <f t="shared" si="107"/>
        <v/>
      </c>
      <c r="V564" s="168" t="str">
        <f>IFERROR(U564/_xlfn.XLOOKUP(_xlfn.XLOOKUP($F564,Clientes!$B$4:$B$39,Clientes!$C$4:$C$39),Cadastros!$L$6:$L$12,Cadastros!$M$6:$M$12)," ")</f>
        <v xml:space="preserve"> </v>
      </c>
      <c r="W564" s="28"/>
      <c r="X564" s="28"/>
      <c r="Y564" s="255" t="str">
        <f>IF(W564="","",(_xlfn.XLOOKUP(W564,Cadastros!$D$6:$D$90,Cadastros!$E$6:$E$90))*(1-_xlfn.XLOOKUP(_xlfn.XLOOKUP($F564,Clientes!$B$4:$B$39,Clientes!$C$4:$C$39),Cadastros!$L$6:$L$12,Cadastros!$N$6:$N$12)))</f>
        <v/>
      </c>
      <c r="Z564" s="168" t="str">
        <f t="shared" si="108"/>
        <v/>
      </c>
      <c r="AA564" s="168" t="str">
        <f>IFERROR(Z564/_xlfn.XLOOKUP(_xlfn.XLOOKUP($F564,Clientes!$B$4:$B$39,Clientes!$C$4:$C$39),Cadastros!$L$6:$L$12,Cadastros!$M$6:$M$12)," ")</f>
        <v xml:space="preserve"> </v>
      </c>
      <c r="AB564" s="28"/>
      <c r="AC564" s="28"/>
      <c r="AD564" s="20" t="str">
        <f>IF(AB564="","",IF($F564="Bernardino Furlan",_xlfn.XLOOKUP(AB564,Cadastros!$G$6:$G$90,Cadastros!$H$6:$H$90)*(1-0.18),IF($F564="Mauro José Salanti",_xlfn.XLOOKUP(AB564,Cadastros!$G$6:$G$90,Cadastros!$H$6:$H$90)*(1-0.18),_xlfn.XLOOKUP(AB564,Cadastros!$G$6:$G$90,Cadastros!$H$6:$H$90))))</f>
        <v/>
      </c>
      <c r="AE564" s="168" t="str">
        <f t="shared" si="109"/>
        <v/>
      </c>
      <c r="AF564" s="168" t="str">
        <f t="shared" si="110"/>
        <v/>
      </c>
      <c r="AG564" s="28"/>
      <c r="AH564" s="28"/>
      <c r="AI564" s="20" t="str">
        <f>IF(AG564="","",IF($F564="Bernardino Furlan",_xlfn.XLOOKUP(AG564,Cadastros!$G$6:$G$90,Cadastros!$H$6:$H$90)*(1-0.18),IF($F564="Mauro José Salanti",_xlfn.XLOOKUP(AG564,Cadastros!$G$6:$G$90,Cadastros!$H$6:$H$90)*(1-0.18),_xlfn.XLOOKUP(AG564,Cadastros!$G$6:$G$90,Cadastros!$H$6:$H$90))))</f>
        <v/>
      </c>
      <c r="AJ564" s="168" t="str">
        <f t="shared" si="111"/>
        <v/>
      </c>
      <c r="AK564" s="168" t="str">
        <f t="shared" si="112"/>
        <v/>
      </c>
      <c r="AL564" s="28"/>
      <c r="AM564" s="28"/>
      <c r="AN564" s="20" t="str">
        <f>IF(AL564="","",IF($F564="Bernardino Furlan",_xlfn.XLOOKUP(AL564,Cadastros!$G$6:$G$90,Cadastros!$H$6:$H$90)*(1-0.18),IF($F564="Mauro José Salanti",_xlfn.XLOOKUP(AL564,Cadastros!$G$6:$G$90,Cadastros!$H$6:$H$90)*(1-0.18),_xlfn.XLOOKUP(AL564,Cadastros!$G$6:$G$90,Cadastros!$H$6:$H$90))))</f>
        <v/>
      </c>
      <c r="AO564" s="168" t="str">
        <f t="shared" si="113"/>
        <v/>
      </c>
      <c r="AP564" s="168" t="str">
        <f t="shared" si="114"/>
        <v/>
      </c>
      <c r="AQ564" s="28"/>
      <c r="AR564" s="28"/>
      <c r="AS564" s="20" t="str">
        <f>IF(AQ564="","",IF($F564="Bernardino Furlan",_xlfn.XLOOKUP(AQ564,Cadastros!$G$6:$G$90,Cadastros!$H$6:$H$90)*(1-0.18),IF($F564="Mauro José Salanti",_xlfn.XLOOKUP(AQ564,Cadastros!$G$6:$G$90,Cadastros!$H$6:$H$90)*(1-0.18),_xlfn.XLOOKUP(AQ564,Cadastros!$G$6:$G$90,Cadastros!$H$6:$H$90))))</f>
        <v/>
      </c>
      <c r="AT564" s="168" t="str">
        <f t="shared" si="115"/>
        <v/>
      </c>
      <c r="AU564" s="168" t="str">
        <f t="shared" si="116"/>
        <v/>
      </c>
      <c r="AV564" s="227"/>
      <c r="AW564" s="30"/>
      <c r="AX564" s="267"/>
      <c r="AY564" s="267"/>
      <c r="AZ564" s="29"/>
      <c r="BA564" s="30"/>
      <c r="BB564" s="23" t="str" cm="1">
        <f t="array" ref="BB564">_xlfn.IFS(AW564="SIM",SUM(K564,P564,U564,Z564,AE564,AJ564,AO564,AT564,AX564,AY564),F564&lt;&gt;"",SUM(K564,P564,U564,Z564,AE564,AJ564,,AO564,AT564),F564="","")</f>
        <v/>
      </c>
      <c r="BC564" s="211" t="str" cm="1">
        <f t="array" ref="BC564">_xlfn.IFS(E564="","",G564&lt;=E564,BB564*(1-0.03),G564&lt;(E564+8),BB564,AZ564="Boleto",BB564*(1+0.001)^DATEDIF(E564,G564,"D"),AZ564="Cheque",BB564,AZ564="Dinheiro","Alterar forma pgto")</f>
        <v/>
      </c>
      <c r="BD564" s="276" t="str" cm="1">
        <f t="array" ref="BD564">IF(F564=0," ",IF(BC564&lt;BB564,(_xlfn.IFS(AW564="SIM",SUM(L564,Q564,V564,AA564,AF564,AK564,AP564,AU564)+AX564/_xlfn.XLOOKUP(_xlfn.XLOOKUP($F564,Clientes!$B$4:$B$39,Clientes!$C$4:$C$39),Cadastros!$L$6:$L$12,Cadastros!$M$6:$M$12)+IF($F564="Bernardino Furlan",AY564/2751.92,IF($F564="Mauro José Salanti",AY564/2751.92,AY564/3356)),F564&lt;&gt;0,SUM(L564,Q564,V564,AA564,AF564,AK564,AP564,AU564)))*(1-0.03),_xlfn.IFS(AW564="SIM",SUM(L564,Q564,V564,AA564,AF564,AK564,AP564,AU564)+AX564/_xlfn.XLOOKUP(_xlfn.XLOOKUP($F564,Clientes!$B$4:$B$39,Clientes!$C$4:$C$39),Cadastros!$L$6:$L$12,Cadastros!$M$6:$M$12)+IF($F564="Bernardino Furlan",AY564/2751.92,IF($F564="Mauro José Salanti",AY564/2751.92,AY564/3356)),F564&lt;&gt;0,SUM(L564,Q564,V564,AA564,AF564,AK564,AP564,AU564))))</f>
        <v xml:space="preserve"> </v>
      </c>
      <c r="BE564" s="120"/>
      <c r="BF564" s="120"/>
      <c r="BG564" s="120"/>
    </row>
    <row r="565" spans="1:59" s="3" customFormat="1" x14ac:dyDescent="0.3">
      <c r="A565" s="15" t="str">
        <f t="shared" si="104"/>
        <v/>
      </c>
      <c r="B565" s="25"/>
      <c r="C565" s="26"/>
      <c r="D565" s="279"/>
      <c r="E565" s="27"/>
      <c r="F565" s="28"/>
      <c r="G565" s="27"/>
      <c r="H565" s="28"/>
      <c r="I565" s="28"/>
      <c r="J565" s="255" t="str">
        <f>IF(H565="","",(_xlfn.XLOOKUP(H565,Cadastros!$D$6:$D$90,Cadastros!$E$6:$E$90))*(1-_xlfn.XLOOKUP(_xlfn.XLOOKUP($F565,Clientes!$B$4:$B$39,Clientes!$C$4:$C$39),Cadastros!$L$6:$L$12,Cadastros!$N$6:$N$12)))</f>
        <v/>
      </c>
      <c r="K565" s="168" t="str">
        <f t="shared" si="105"/>
        <v/>
      </c>
      <c r="L565" s="168" t="str">
        <f>IFERROR(K565/_xlfn.XLOOKUP(_xlfn.XLOOKUP($F565,Clientes!$B$4:$B$39,Clientes!$C$4:$C$39),Cadastros!$L$6:$L$12,Cadastros!$M$6:$M$12)," ")</f>
        <v xml:space="preserve"> </v>
      </c>
      <c r="M565" s="28"/>
      <c r="N565" s="28"/>
      <c r="O565" s="255" t="str">
        <f>IF(M565="","",(_xlfn.XLOOKUP(M565,Cadastros!$D$6:$D$90,Cadastros!$E$6:$E$90))*(1-_xlfn.XLOOKUP(_xlfn.XLOOKUP($F565,Clientes!$B$4:$B$39,Clientes!$C$4:$C$39),Cadastros!$L$6:$L$12,Cadastros!$N$6:$N$12)))</f>
        <v/>
      </c>
      <c r="P565" s="168" t="str">
        <f t="shared" si="106"/>
        <v/>
      </c>
      <c r="Q565" s="168" t="str">
        <f>IFERROR(P565/_xlfn.XLOOKUP(_xlfn.XLOOKUP($F565,Clientes!$B$4:$B$39,Clientes!$C$4:$C$39),Cadastros!$L$6:$L$12,Cadastros!$M$6:$M$12)," ")</f>
        <v xml:space="preserve"> </v>
      </c>
      <c r="R565" s="28"/>
      <c r="S565" s="28"/>
      <c r="T565" s="255" t="str">
        <f>IF(R565="","",(_xlfn.XLOOKUP(R565,Cadastros!$D$6:$D$90,Cadastros!$E$6:$E$90))*(1-_xlfn.XLOOKUP(_xlfn.XLOOKUP($F565,Clientes!$B$4:$B$39,Clientes!$C$4:$C$39),Cadastros!$L$6:$L$12,Cadastros!$N$6:$N$12)))</f>
        <v/>
      </c>
      <c r="U565" s="168" t="str">
        <f t="shared" si="107"/>
        <v/>
      </c>
      <c r="V565" s="168" t="str">
        <f>IFERROR(U565/_xlfn.XLOOKUP(_xlfn.XLOOKUP($F565,Clientes!$B$4:$B$39,Clientes!$C$4:$C$39),Cadastros!$L$6:$L$12,Cadastros!$M$6:$M$12)," ")</f>
        <v xml:space="preserve"> </v>
      </c>
      <c r="W565" s="28"/>
      <c r="X565" s="28"/>
      <c r="Y565" s="255" t="str">
        <f>IF(W565="","",(_xlfn.XLOOKUP(W565,Cadastros!$D$6:$D$90,Cadastros!$E$6:$E$90))*(1-_xlfn.XLOOKUP(_xlfn.XLOOKUP($F565,Clientes!$B$4:$B$39,Clientes!$C$4:$C$39),Cadastros!$L$6:$L$12,Cadastros!$N$6:$N$12)))</f>
        <v/>
      </c>
      <c r="Z565" s="168" t="str">
        <f t="shared" si="108"/>
        <v/>
      </c>
      <c r="AA565" s="168" t="str">
        <f>IFERROR(Z565/_xlfn.XLOOKUP(_xlfn.XLOOKUP($F565,Clientes!$B$4:$B$39,Clientes!$C$4:$C$39),Cadastros!$L$6:$L$12,Cadastros!$M$6:$M$12)," ")</f>
        <v xml:space="preserve"> </v>
      </c>
      <c r="AB565" s="28"/>
      <c r="AC565" s="28"/>
      <c r="AD565" s="20" t="str">
        <f>IF(AB565="","",IF($F565="Bernardino Furlan",_xlfn.XLOOKUP(AB565,Cadastros!$G$6:$G$90,Cadastros!$H$6:$H$90)*(1-0.18),IF($F565="Mauro José Salanti",_xlfn.XLOOKUP(AB565,Cadastros!$G$6:$G$90,Cadastros!$H$6:$H$90)*(1-0.18),_xlfn.XLOOKUP(AB565,Cadastros!$G$6:$G$90,Cadastros!$H$6:$H$90))))</f>
        <v/>
      </c>
      <c r="AE565" s="168" t="str">
        <f t="shared" si="109"/>
        <v/>
      </c>
      <c r="AF565" s="168" t="str">
        <f t="shared" si="110"/>
        <v/>
      </c>
      <c r="AG565" s="28"/>
      <c r="AH565" s="28"/>
      <c r="AI565" s="20" t="str">
        <f>IF(AG565="","",IF($F565="Bernardino Furlan",_xlfn.XLOOKUP(AG565,Cadastros!$G$6:$G$90,Cadastros!$H$6:$H$90)*(1-0.18),IF($F565="Mauro José Salanti",_xlfn.XLOOKUP(AG565,Cadastros!$G$6:$G$90,Cadastros!$H$6:$H$90)*(1-0.18),_xlfn.XLOOKUP(AG565,Cadastros!$G$6:$G$90,Cadastros!$H$6:$H$90))))</f>
        <v/>
      </c>
      <c r="AJ565" s="168" t="str">
        <f t="shared" si="111"/>
        <v/>
      </c>
      <c r="AK565" s="168" t="str">
        <f t="shared" si="112"/>
        <v/>
      </c>
      <c r="AL565" s="28"/>
      <c r="AM565" s="28"/>
      <c r="AN565" s="20" t="str">
        <f>IF(AL565="","",IF($F565="Bernardino Furlan",_xlfn.XLOOKUP(AL565,Cadastros!$G$6:$G$90,Cadastros!$H$6:$H$90)*(1-0.18),IF($F565="Mauro José Salanti",_xlfn.XLOOKUP(AL565,Cadastros!$G$6:$G$90,Cadastros!$H$6:$H$90)*(1-0.18),_xlfn.XLOOKUP(AL565,Cadastros!$G$6:$G$90,Cadastros!$H$6:$H$90))))</f>
        <v/>
      </c>
      <c r="AO565" s="168" t="str">
        <f t="shared" si="113"/>
        <v/>
      </c>
      <c r="AP565" s="168" t="str">
        <f t="shared" si="114"/>
        <v/>
      </c>
      <c r="AQ565" s="28"/>
      <c r="AR565" s="28"/>
      <c r="AS565" s="20" t="str">
        <f>IF(AQ565="","",IF($F565="Bernardino Furlan",_xlfn.XLOOKUP(AQ565,Cadastros!$G$6:$G$90,Cadastros!$H$6:$H$90)*(1-0.18),IF($F565="Mauro José Salanti",_xlfn.XLOOKUP(AQ565,Cadastros!$G$6:$G$90,Cadastros!$H$6:$H$90)*(1-0.18),_xlfn.XLOOKUP(AQ565,Cadastros!$G$6:$G$90,Cadastros!$H$6:$H$90))))</f>
        <v/>
      </c>
      <c r="AT565" s="168" t="str">
        <f t="shared" si="115"/>
        <v/>
      </c>
      <c r="AU565" s="168" t="str">
        <f t="shared" si="116"/>
        <v/>
      </c>
      <c r="AV565" s="227"/>
      <c r="AW565" s="30"/>
      <c r="AX565" s="267"/>
      <c r="AY565" s="267"/>
      <c r="AZ565" s="29"/>
      <c r="BA565" s="30"/>
      <c r="BB565" s="23" t="str" cm="1">
        <f t="array" ref="BB565">_xlfn.IFS(AW565="SIM",SUM(K565,P565,U565,Z565,AE565,AJ565,AO565,AT565,AX565,AY565),F565&lt;&gt;"",SUM(K565,P565,U565,Z565,AE565,AJ565,,AO565,AT565),F565="","")</f>
        <v/>
      </c>
      <c r="BC565" s="211" t="str" cm="1">
        <f t="array" ref="BC565">_xlfn.IFS(E565="","",G565&lt;=E565,BB565*(1-0.03),G565&lt;(E565+8),BB565,AZ565="Boleto",BB565*(1+0.001)^DATEDIF(E565,G565,"D"),AZ565="Cheque",BB565,AZ565="Dinheiro","Alterar forma pgto")</f>
        <v/>
      </c>
      <c r="BD565" s="276" t="str" cm="1">
        <f t="array" ref="BD565">IF(F565=0," ",IF(BC565&lt;BB565,(_xlfn.IFS(AW565="SIM",SUM(L565,Q565,V565,AA565,AF565,AK565,AP565,AU565)+AX565/_xlfn.XLOOKUP(_xlfn.XLOOKUP($F565,Clientes!$B$4:$B$39,Clientes!$C$4:$C$39),Cadastros!$L$6:$L$12,Cadastros!$M$6:$M$12)+IF($F565="Bernardino Furlan",AY565/2751.92,IF($F565="Mauro José Salanti",AY565/2751.92,AY565/3356)),F565&lt;&gt;0,SUM(L565,Q565,V565,AA565,AF565,AK565,AP565,AU565)))*(1-0.03),_xlfn.IFS(AW565="SIM",SUM(L565,Q565,V565,AA565,AF565,AK565,AP565,AU565)+AX565/_xlfn.XLOOKUP(_xlfn.XLOOKUP($F565,Clientes!$B$4:$B$39,Clientes!$C$4:$C$39),Cadastros!$L$6:$L$12,Cadastros!$M$6:$M$12)+IF($F565="Bernardino Furlan",AY565/2751.92,IF($F565="Mauro José Salanti",AY565/2751.92,AY565/3356)),F565&lt;&gt;0,SUM(L565,Q565,V565,AA565,AF565,AK565,AP565,AU565))))</f>
        <v xml:space="preserve"> </v>
      </c>
      <c r="BE565" s="120"/>
      <c r="BF565" s="120"/>
      <c r="BG565" s="120"/>
    </row>
    <row r="566" spans="1:59" s="3" customFormat="1" x14ac:dyDescent="0.3">
      <c r="A566" s="15" t="str">
        <f t="shared" si="104"/>
        <v/>
      </c>
      <c r="B566" s="25"/>
      <c r="C566" s="26"/>
      <c r="D566" s="279"/>
      <c r="E566" s="27"/>
      <c r="F566" s="28"/>
      <c r="G566" s="27"/>
      <c r="H566" s="28"/>
      <c r="I566" s="28"/>
      <c r="J566" s="255" t="str">
        <f>IF(H566="","",(_xlfn.XLOOKUP(H566,Cadastros!$D$6:$D$90,Cadastros!$E$6:$E$90))*(1-_xlfn.XLOOKUP(_xlfn.XLOOKUP($F566,Clientes!$B$4:$B$39,Clientes!$C$4:$C$39),Cadastros!$L$6:$L$12,Cadastros!$N$6:$N$12)))</f>
        <v/>
      </c>
      <c r="K566" s="168" t="str">
        <f t="shared" si="105"/>
        <v/>
      </c>
      <c r="L566" s="168" t="str">
        <f>IFERROR(K566/_xlfn.XLOOKUP(_xlfn.XLOOKUP($F566,Clientes!$B$4:$B$39,Clientes!$C$4:$C$39),Cadastros!$L$6:$L$12,Cadastros!$M$6:$M$12)," ")</f>
        <v xml:space="preserve"> </v>
      </c>
      <c r="M566" s="28"/>
      <c r="N566" s="28"/>
      <c r="O566" s="255" t="str">
        <f>IF(M566="","",(_xlfn.XLOOKUP(M566,Cadastros!$D$6:$D$90,Cadastros!$E$6:$E$90))*(1-_xlfn.XLOOKUP(_xlfn.XLOOKUP($F566,Clientes!$B$4:$B$39,Clientes!$C$4:$C$39),Cadastros!$L$6:$L$12,Cadastros!$N$6:$N$12)))</f>
        <v/>
      </c>
      <c r="P566" s="168" t="str">
        <f t="shared" si="106"/>
        <v/>
      </c>
      <c r="Q566" s="168" t="str">
        <f>IFERROR(P566/_xlfn.XLOOKUP(_xlfn.XLOOKUP($F566,Clientes!$B$4:$B$39,Clientes!$C$4:$C$39),Cadastros!$L$6:$L$12,Cadastros!$M$6:$M$12)," ")</f>
        <v xml:space="preserve"> </v>
      </c>
      <c r="R566" s="28"/>
      <c r="S566" s="28"/>
      <c r="T566" s="255" t="str">
        <f>IF(R566="","",(_xlfn.XLOOKUP(R566,Cadastros!$D$6:$D$90,Cadastros!$E$6:$E$90))*(1-_xlfn.XLOOKUP(_xlfn.XLOOKUP($F566,Clientes!$B$4:$B$39,Clientes!$C$4:$C$39),Cadastros!$L$6:$L$12,Cadastros!$N$6:$N$12)))</f>
        <v/>
      </c>
      <c r="U566" s="168" t="str">
        <f t="shared" si="107"/>
        <v/>
      </c>
      <c r="V566" s="168" t="str">
        <f>IFERROR(U566/_xlfn.XLOOKUP(_xlfn.XLOOKUP($F566,Clientes!$B$4:$B$39,Clientes!$C$4:$C$39),Cadastros!$L$6:$L$12,Cadastros!$M$6:$M$12)," ")</f>
        <v xml:space="preserve"> </v>
      </c>
      <c r="W566" s="28"/>
      <c r="X566" s="28"/>
      <c r="Y566" s="255" t="str">
        <f>IF(W566="","",(_xlfn.XLOOKUP(W566,Cadastros!$D$6:$D$90,Cadastros!$E$6:$E$90))*(1-_xlfn.XLOOKUP(_xlfn.XLOOKUP($F566,Clientes!$B$4:$B$39,Clientes!$C$4:$C$39),Cadastros!$L$6:$L$12,Cadastros!$N$6:$N$12)))</f>
        <v/>
      </c>
      <c r="Z566" s="168" t="str">
        <f t="shared" si="108"/>
        <v/>
      </c>
      <c r="AA566" s="168" t="str">
        <f>IFERROR(Z566/_xlfn.XLOOKUP(_xlfn.XLOOKUP($F566,Clientes!$B$4:$B$39,Clientes!$C$4:$C$39),Cadastros!$L$6:$L$12,Cadastros!$M$6:$M$12)," ")</f>
        <v xml:space="preserve"> </v>
      </c>
      <c r="AB566" s="28"/>
      <c r="AC566" s="28"/>
      <c r="AD566" s="20" t="str">
        <f>IF(AB566="","",IF($F566="Bernardino Furlan",_xlfn.XLOOKUP(AB566,Cadastros!$G$6:$G$90,Cadastros!$H$6:$H$90)*(1-0.18),IF($F566="Mauro José Salanti",_xlfn.XLOOKUP(AB566,Cadastros!$G$6:$G$90,Cadastros!$H$6:$H$90)*(1-0.18),_xlfn.XLOOKUP(AB566,Cadastros!$G$6:$G$90,Cadastros!$H$6:$H$90))))</f>
        <v/>
      </c>
      <c r="AE566" s="168" t="str">
        <f t="shared" si="109"/>
        <v/>
      </c>
      <c r="AF566" s="168" t="str">
        <f t="shared" si="110"/>
        <v/>
      </c>
      <c r="AG566" s="28"/>
      <c r="AH566" s="28"/>
      <c r="AI566" s="20" t="str">
        <f>IF(AG566="","",IF($F566="Bernardino Furlan",_xlfn.XLOOKUP(AG566,Cadastros!$G$6:$G$90,Cadastros!$H$6:$H$90)*(1-0.18),IF($F566="Mauro José Salanti",_xlfn.XLOOKUP(AG566,Cadastros!$G$6:$G$90,Cadastros!$H$6:$H$90)*(1-0.18),_xlfn.XLOOKUP(AG566,Cadastros!$G$6:$G$90,Cadastros!$H$6:$H$90))))</f>
        <v/>
      </c>
      <c r="AJ566" s="168" t="str">
        <f t="shared" si="111"/>
        <v/>
      </c>
      <c r="AK566" s="168" t="str">
        <f t="shared" si="112"/>
        <v/>
      </c>
      <c r="AL566" s="28"/>
      <c r="AM566" s="28"/>
      <c r="AN566" s="20" t="str">
        <f>IF(AL566="","",IF($F566="Bernardino Furlan",_xlfn.XLOOKUP(AL566,Cadastros!$G$6:$G$90,Cadastros!$H$6:$H$90)*(1-0.18),IF($F566="Mauro José Salanti",_xlfn.XLOOKUP(AL566,Cadastros!$G$6:$G$90,Cadastros!$H$6:$H$90)*(1-0.18),_xlfn.XLOOKUP(AL566,Cadastros!$G$6:$G$90,Cadastros!$H$6:$H$90))))</f>
        <v/>
      </c>
      <c r="AO566" s="168" t="str">
        <f t="shared" si="113"/>
        <v/>
      </c>
      <c r="AP566" s="168" t="str">
        <f t="shared" si="114"/>
        <v/>
      </c>
      <c r="AQ566" s="28"/>
      <c r="AR566" s="28"/>
      <c r="AS566" s="20" t="str">
        <f>IF(AQ566="","",IF($F566="Bernardino Furlan",_xlfn.XLOOKUP(AQ566,Cadastros!$G$6:$G$90,Cadastros!$H$6:$H$90)*(1-0.18),IF($F566="Mauro José Salanti",_xlfn.XLOOKUP(AQ566,Cadastros!$G$6:$G$90,Cadastros!$H$6:$H$90)*(1-0.18),_xlfn.XLOOKUP(AQ566,Cadastros!$G$6:$G$90,Cadastros!$H$6:$H$90))))</f>
        <v/>
      </c>
      <c r="AT566" s="168" t="str">
        <f t="shared" si="115"/>
        <v/>
      </c>
      <c r="AU566" s="168" t="str">
        <f t="shared" si="116"/>
        <v/>
      </c>
      <c r="AV566" s="227"/>
      <c r="AW566" s="30"/>
      <c r="AX566" s="267"/>
      <c r="AY566" s="267"/>
      <c r="AZ566" s="29"/>
      <c r="BA566" s="30"/>
      <c r="BB566" s="23" t="str" cm="1">
        <f t="array" ref="BB566">_xlfn.IFS(AW566="SIM",SUM(K566,P566,U566,Z566,AE566,AJ566,AO566,AT566,AX566,AY566),F566&lt;&gt;"",SUM(K566,P566,U566,Z566,AE566,AJ566,,AO566,AT566),F566="","")</f>
        <v/>
      </c>
      <c r="BC566" s="211" t="str" cm="1">
        <f t="array" ref="BC566">_xlfn.IFS(E566="","",G566&lt;=E566,BB566*(1-0.03),G566&lt;(E566+8),BB566,AZ566="Boleto",BB566*(1+0.001)^DATEDIF(E566,G566,"D"),AZ566="Cheque",BB566,AZ566="Dinheiro","Alterar forma pgto")</f>
        <v/>
      </c>
      <c r="BD566" s="276" t="str" cm="1">
        <f t="array" ref="BD566">IF(F566=0," ",IF(BC566&lt;BB566,(_xlfn.IFS(AW566="SIM",SUM(L566,Q566,V566,AA566,AF566,AK566,AP566,AU566)+AX566/_xlfn.XLOOKUP(_xlfn.XLOOKUP($F566,Clientes!$B$4:$B$39,Clientes!$C$4:$C$39),Cadastros!$L$6:$L$12,Cadastros!$M$6:$M$12)+IF($F566="Bernardino Furlan",AY566/2751.92,IF($F566="Mauro José Salanti",AY566/2751.92,AY566/3356)),F566&lt;&gt;0,SUM(L566,Q566,V566,AA566,AF566,AK566,AP566,AU566)))*(1-0.03),_xlfn.IFS(AW566="SIM",SUM(L566,Q566,V566,AA566,AF566,AK566,AP566,AU566)+AX566/_xlfn.XLOOKUP(_xlfn.XLOOKUP($F566,Clientes!$B$4:$B$39,Clientes!$C$4:$C$39),Cadastros!$L$6:$L$12,Cadastros!$M$6:$M$12)+IF($F566="Bernardino Furlan",AY566/2751.92,IF($F566="Mauro José Salanti",AY566/2751.92,AY566/3356)),F566&lt;&gt;0,SUM(L566,Q566,V566,AA566,AF566,AK566,AP566,AU566))))</f>
        <v xml:space="preserve"> </v>
      </c>
      <c r="BE566" s="120"/>
      <c r="BF566" s="120"/>
      <c r="BG566" s="120"/>
    </row>
    <row r="567" spans="1:59" s="3" customFormat="1" x14ac:dyDescent="0.3">
      <c r="A567" s="15" t="str">
        <f t="shared" si="104"/>
        <v/>
      </c>
      <c r="B567" s="25"/>
      <c r="C567" s="26"/>
      <c r="D567" s="279"/>
      <c r="E567" s="27"/>
      <c r="F567" s="28"/>
      <c r="G567" s="27"/>
      <c r="H567" s="28"/>
      <c r="I567" s="28"/>
      <c r="J567" s="255" t="str">
        <f>IF(H567="","",(_xlfn.XLOOKUP(H567,Cadastros!$D$6:$D$90,Cadastros!$E$6:$E$90))*(1-_xlfn.XLOOKUP(_xlfn.XLOOKUP($F567,Clientes!$B$4:$B$39,Clientes!$C$4:$C$39),Cadastros!$L$6:$L$12,Cadastros!$N$6:$N$12)))</f>
        <v/>
      </c>
      <c r="K567" s="168" t="str">
        <f t="shared" si="105"/>
        <v/>
      </c>
      <c r="L567" s="168" t="str">
        <f>IFERROR(K567/_xlfn.XLOOKUP(_xlfn.XLOOKUP($F567,Clientes!$B$4:$B$39,Clientes!$C$4:$C$39),Cadastros!$L$6:$L$12,Cadastros!$M$6:$M$12)," ")</f>
        <v xml:space="preserve"> </v>
      </c>
      <c r="M567" s="28"/>
      <c r="N567" s="28"/>
      <c r="O567" s="255" t="str">
        <f>IF(M567="","",(_xlfn.XLOOKUP(M567,Cadastros!$D$6:$D$90,Cadastros!$E$6:$E$90))*(1-_xlfn.XLOOKUP(_xlfn.XLOOKUP($F567,Clientes!$B$4:$B$39,Clientes!$C$4:$C$39),Cadastros!$L$6:$L$12,Cadastros!$N$6:$N$12)))</f>
        <v/>
      </c>
      <c r="P567" s="168" t="str">
        <f t="shared" si="106"/>
        <v/>
      </c>
      <c r="Q567" s="168" t="str">
        <f>IFERROR(P567/_xlfn.XLOOKUP(_xlfn.XLOOKUP($F567,Clientes!$B$4:$B$39,Clientes!$C$4:$C$39),Cadastros!$L$6:$L$12,Cadastros!$M$6:$M$12)," ")</f>
        <v xml:space="preserve"> </v>
      </c>
      <c r="R567" s="28"/>
      <c r="S567" s="28"/>
      <c r="T567" s="255" t="str">
        <f>IF(R567="","",(_xlfn.XLOOKUP(R567,Cadastros!$D$6:$D$90,Cadastros!$E$6:$E$90))*(1-_xlfn.XLOOKUP(_xlfn.XLOOKUP($F567,Clientes!$B$4:$B$39,Clientes!$C$4:$C$39),Cadastros!$L$6:$L$12,Cadastros!$N$6:$N$12)))</f>
        <v/>
      </c>
      <c r="U567" s="168" t="str">
        <f t="shared" si="107"/>
        <v/>
      </c>
      <c r="V567" s="168" t="str">
        <f>IFERROR(U567/_xlfn.XLOOKUP(_xlfn.XLOOKUP($F567,Clientes!$B$4:$B$39,Clientes!$C$4:$C$39),Cadastros!$L$6:$L$12,Cadastros!$M$6:$M$12)," ")</f>
        <v xml:space="preserve"> </v>
      </c>
      <c r="W567" s="28"/>
      <c r="X567" s="28"/>
      <c r="Y567" s="255" t="str">
        <f>IF(W567="","",(_xlfn.XLOOKUP(W567,Cadastros!$D$6:$D$90,Cadastros!$E$6:$E$90))*(1-_xlfn.XLOOKUP(_xlfn.XLOOKUP($F567,Clientes!$B$4:$B$39,Clientes!$C$4:$C$39),Cadastros!$L$6:$L$12,Cadastros!$N$6:$N$12)))</f>
        <v/>
      </c>
      <c r="Z567" s="168" t="str">
        <f t="shared" si="108"/>
        <v/>
      </c>
      <c r="AA567" s="168" t="str">
        <f>IFERROR(Z567/_xlfn.XLOOKUP(_xlfn.XLOOKUP($F567,Clientes!$B$4:$B$39,Clientes!$C$4:$C$39),Cadastros!$L$6:$L$12,Cadastros!$M$6:$M$12)," ")</f>
        <v xml:space="preserve"> </v>
      </c>
      <c r="AB567" s="28"/>
      <c r="AC567" s="28"/>
      <c r="AD567" s="20" t="str">
        <f>IF(AB567="","",IF($F567="Bernardino Furlan",_xlfn.XLOOKUP(AB567,Cadastros!$G$6:$G$90,Cadastros!$H$6:$H$90)*(1-0.18),IF($F567="Mauro José Salanti",_xlfn.XLOOKUP(AB567,Cadastros!$G$6:$G$90,Cadastros!$H$6:$H$90)*(1-0.18),_xlfn.XLOOKUP(AB567,Cadastros!$G$6:$G$90,Cadastros!$H$6:$H$90))))</f>
        <v/>
      </c>
      <c r="AE567" s="168" t="str">
        <f t="shared" si="109"/>
        <v/>
      </c>
      <c r="AF567" s="168" t="str">
        <f t="shared" si="110"/>
        <v/>
      </c>
      <c r="AG567" s="28"/>
      <c r="AH567" s="28"/>
      <c r="AI567" s="20" t="str">
        <f>IF(AG567="","",IF($F567="Bernardino Furlan",_xlfn.XLOOKUP(AG567,Cadastros!$G$6:$G$90,Cadastros!$H$6:$H$90)*(1-0.18),IF($F567="Mauro José Salanti",_xlfn.XLOOKUP(AG567,Cadastros!$G$6:$G$90,Cadastros!$H$6:$H$90)*(1-0.18),_xlfn.XLOOKUP(AG567,Cadastros!$G$6:$G$90,Cadastros!$H$6:$H$90))))</f>
        <v/>
      </c>
      <c r="AJ567" s="168" t="str">
        <f t="shared" si="111"/>
        <v/>
      </c>
      <c r="AK567" s="168" t="str">
        <f t="shared" si="112"/>
        <v/>
      </c>
      <c r="AL567" s="28"/>
      <c r="AM567" s="28"/>
      <c r="AN567" s="20" t="str">
        <f>IF(AL567="","",IF($F567="Bernardino Furlan",_xlfn.XLOOKUP(AL567,Cadastros!$G$6:$G$90,Cadastros!$H$6:$H$90)*(1-0.18),IF($F567="Mauro José Salanti",_xlfn.XLOOKUP(AL567,Cadastros!$G$6:$G$90,Cadastros!$H$6:$H$90)*(1-0.18),_xlfn.XLOOKUP(AL567,Cadastros!$G$6:$G$90,Cadastros!$H$6:$H$90))))</f>
        <v/>
      </c>
      <c r="AO567" s="168" t="str">
        <f t="shared" si="113"/>
        <v/>
      </c>
      <c r="AP567" s="168" t="str">
        <f t="shared" si="114"/>
        <v/>
      </c>
      <c r="AQ567" s="28"/>
      <c r="AR567" s="28"/>
      <c r="AS567" s="20" t="str">
        <f>IF(AQ567="","",IF($F567="Bernardino Furlan",_xlfn.XLOOKUP(AQ567,Cadastros!$G$6:$G$90,Cadastros!$H$6:$H$90)*(1-0.18),IF($F567="Mauro José Salanti",_xlfn.XLOOKUP(AQ567,Cadastros!$G$6:$G$90,Cadastros!$H$6:$H$90)*(1-0.18),_xlfn.XLOOKUP(AQ567,Cadastros!$G$6:$G$90,Cadastros!$H$6:$H$90))))</f>
        <v/>
      </c>
      <c r="AT567" s="168" t="str">
        <f t="shared" si="115"/>
        <v/>
      </c>
      <c r="AU567" s="168" t="str">
        <f t="shared" si="116"/>
        <v/>
      </c>
      <c r="AV567" s="227"/>
      <c r="AW567" s="30"/>
      <c r="AX567" s="267"/>
      <c r="AY567" s="267"/>
      <c r="AZ567" s="29"/>
      <c r="BA567" s="30"/>
      <c r="BB567" s="23" t="str" cm="1">
        <f t="array" ref="BB567">_xlfn.IFS(AW567="SIM",SUM(K567,P567,U567,Z567,AE567,AJ567,AO567,AT567,AX567,AY567),F567&lt;&gt;"",SUM(K567,P567,U567,Z567,AE567,AJ567,,AO567,AT567),F567="","")</f>
        <v/>
      </c>
      <c r="BC567" s="211" t="str" cm="1">
        <f t="array" ref="BC567">_xlfn.IFS(E567="","",G567&lt;=E567,BB567*(1-0.03),G567&lt;(E567+8),BB567,AZ567="Boleto",BB567*(1+0.001)^DATEDIF(E567,G567,"D"),AZ567="Cheque",BB567,AZ567="Dinheiro","Alterar forma pgto")</f>
        <v/>
      </c>
      <c r="BD567" s="276" t="str" cm="1">
        <f t="array" ref="BD567">IF(F567=0," ",IF(BC567&lt;BB567,(_xlfn.IFS(AW567="SIM",SUM(L567,Q567,V567,AA567,AF567,AK567,AP567,AU567)+AX567/_xlfn.XLOOKUP(_xlfn.XLOOKUP($F567,Clientes!$B$4:$B$39,Clientes!$C$4:$C$39),Cadastros!$L$6:$L$12,Cadastros!$M$6:$M$12)+IF($F567="Bernardino Furlan",AY567/2751.92,IF($F567="Mauro José Salanti",AY567/2751.92,AY567/3356)),F567&lt;&gt;0,SUM(L567,Q567,V567,AA567,AF567,AK567,AP567,AU567)))*(1-0.03),_xlfn.IFS(AW567="SIM",SUM(L567,Q567,V567,AA567,AF567,AK567,AP567,AU567)+AX567/_xlfn.XLOOKUP(_xlfn.XLOOKUP($F567,Clientes!$B$4:$B$39,Clientes!$C$4:$C$39),Cadastros!$L$6:$L$12,Cadastros!$M$6:$M$12)+IF($F567="Bernardino Furlan",AY567/2751.92,IF($F567="Mauro José Salanti",AY567/2751.92,AY567/3356)),F567&lt;&gt;0,SUM(L567,Q567,V567,AA567,AF567,AK567,AP567,AU567))))</f>
        <v xml:space="preserve"> </v>
      </c>
      <c r="BE567" s="120"/>
      <c r="BF567" s="120"/>
      <c r="BG567" s="120"/>
    </row>
    <row r="568" spans="1:59" s="3" customFormat="1" x14ac:dyDescent="0.3">
      <c r="A568" s="15" t="str">
        <f t="shared" si="104"/>
        <v/>
      </c>
      <c r="B568" s="25"/>
      <c r="C568" s="26"/>
      <c r="D568" s="279"/>
      <c r="E568" s="27"/>
      <c r="F568" s="28"/>
      <c r="G568" s="27"/>
      <c r="H568" s="28"/>
      <c r="I568" s="28"/>
      <c r="J568" s="255" t="str">
        <f>IF(H568="","",(_xlfn.XLOOKUP(H568,Cadastros!$D$6:$D$90,Cadastros!$E$6:$E$90))*(1-_xlfn.XLOOKUP(_xlfn.XLOOKUP($F568,Clientes!$B$4:$B$39,Clientes!$C$4:$C$39),Cadastros!$L$6:$L$12,Cadastros!$N$6:$N$12)))</f>
        <v/>
      </c>
      <c r="K568" s="168" t="str">
        <f t="shared" si="105"/>
        <v/>
      </c>
      <c r="L568" s="168" t="str">
        <f>IFERROR(K568/_xlfn.XLOOKUP(_xlfn.XLOOKUP($F568,Clientes!$B$4:$B$39,Clientes!$C$4:$C$39),Cadastros!$L$6:$L$12,Cadastros!$M$6:$M$12)," ")</f>
        <v xml:space="preserve"> </v>
      </c>
      <c r="M568" s="28"/>
      <c r="N568" s="28"/>
      <c r="O568" s="255" t="str">
        <f>IF(M568="","",(_xlfn.XLOOKUP(M568,Cadastros!$D$6:$D$90,Cadastros!$E$6:$E$90))*(1-_xlfn.XLOOKUP(_xlfn.XLOOKUP($F568,Clientes!$B$4:$B$39,Clientes!$C$4:$C$39),Cadastros!$L$6:$L$12,Cadastros!$N$6:$N$12)))</f>
        <v/>
      </c>
      <c r="P568" s="168" t="str">
        <f t="shared" si="106"/>
        <v/>
      </c>
      <c r="Q568" s="168" t="str">
        <f>IFERROR(P568/_xlfn.XLOOKUP(_xlfn.XLOOKUP($F568,Clientes!$B$4:$B$39,Clientes!$C$4:$C$39),Cadastros!$L$6:$L$12,Cadastros!$M$6:$M$12)," ")</f>
        <v xml:space="preserve"> </v>
      </c>
      <c r="R568" s="28"/>
      <c r="S568" s="28"/>
      <c r="T568" s="255" t="str">
        <f>IF(R568="","",(_xlfn.XLOOKUP(R568,Cadastros!$D$6:$D$90,Cadastros!$E$6:$E$90))*(1-_xlfn.XLOOKUP(_xlfn.XLOOKUP($F568,Clientes!$B$4:$B$39,Clientes!$C$4:$C$39),Cadastros!$L$6:$L$12,Cadastros!$N$6:$N$12)))</f>
        <v/>
      </c>
      <c r="U568" s="168" t="str">
        <f t="shared" si="107"/>
        <v/>
      </c>
      <c r="V568" s="168" t="str">
        <f>IFERROR(U568/_xlfn.XLOOKUP(_xlfn.XLOOKUP($F568,Clientes!$B$4:$B$39,Clientes!$C$4:$C$39),Cadastros!$L$6:$L$12,Cadastros!$M$6:$M$12)," ")</f>
        <v xml:space="preserve"> </v>
      </c>
      <c r="W568" s="28"/>
      <c r="X568" s="28"/>
      <c r="Y568" s="255" t="str">
        <f>IF(W568="","",(_xlfn.XLOOKUP(W568,Cadastros!$D$6:$D$90,Cadastros!$E$6:$E$90))*(1-_xlfn.XLOOKUP(_xlfn.XLOOKUP($F568,Clientes!$B$4:$B$39,Clientes!$C$4:$C$39),Cadastros!$L$6:$L$12,Cadastros!$N$6:$N$12)))</f>
        <v/>
      </c>
      <c r="Z568" s="168" t="str">
        <f t="shared" si="108"/>
        <v/>
      </c>
      <c r="AA568" s="168" t="str">
        <f>IFERROR(Z568/_xlfn.XLOOKUP(_xlfn.XLOOKUP($F568,Clientes!$B$4:$B$39,Clientes!$C$4:$C$39),Cadastros!$L$6:$L$12,Cadastros!$M$6:$M$12)," ")</f>
        <v xml:space="preserve"> </v>
      </c>
      <c r="AB568" s="28"/>
      <c r="AC568" s="28"/>
      <c r="AD568" s="20" t="str">
        <f>IF(AB568="","",IF($F568="Bernardino Furlan",_xlfn.XLOOKUP(AB568,Cadastros!$G$6:$G$90,Cadastros!$H$6:$H$90)*(1-0.18),IF($F568="Mauro José Salanti",_xlfn.XLOOKUP(AB568,Cadastros!$G$6:$G$90,Cadastros!$H$6:$H$90)*(1-0.18),_xlfn.XLOOKUP(AB568,Cadastros!$G$6:$G$90,Cadastros!$H$6:$H$90))))</f>
        <v/>
      </c>
      <c r="AE568" s="168" t="str">
        <f t="shared" si="109"/>
        <v/>
      </c>
      <c r="AF568" s="168" t="str">
        <f t="shared" si="110"/>
        <v/>
      </c>
      <c r="AG568" s="28"/>
      <c r="AH568" s="28"/>
      <c r="AI568" s="20" t="str">
        <f>IF(AG568="","",IF($F568="Bernardino Furlan",_xlfn.XLOOKUP(AG568,Cadastros!$G$6:$G$90,Cadastros!$H$6:$H$90)*(1-0.18),IF($F568="Mauro José Salanti",_xlfn.XLOOKUP(AG568,Cadastros!$G$6:$G$90,Cadastros!$H$6:$H$90)*(1-0.18),_xlfn.XLOOKUP(AG568,Cadastros!$G$6:$G$90,Cadastros!$H$6:$H$90))))</f>
        <v/>
      </c>
      <c r="AJ568" s="168" t="str">
        <f t="shared" si="111"/>
        <v/>
      </c>
      <c r="AK568" s="168" t="str">
        <f t="shared" si="112"/>
        <v/>
      </c>
      <c r="AL568" s="28"/>
      <c r="AM568" s="28"/>
      <c r="AN568" s="20" t="str">
        <f>IF(AL568="","",IF($F568="Bernardino Furlan",_xlfn.XLOOKUP(AL568,Cadastros!$G$6:$G$90,Cadastros!$H$6:$H$90)*(1-0.18),IF($F568="Mauro José Salanti",_xlfn.XLOOKUP(AL568,Cadastros!$G$6:$G$90,Cadastros!$H$6:$H$90)*(1-0.18),_xlfn.XLOOKUP(AL568,Cadastros!$G$6:$G$90,Cadastros!$H$6:$H$90))))</f>
        <v/>
      </c>
      <c r="AO568" s="168" t="str">
        <f t="shared" si="113"/>
        <v/>
      </c>
      <c r="AP568" s="168" t="str">
        <f t="shared" si="114"/>
        <v/>
      </c>
      <c r="AQ568" s="28"/>
      <c r="AR568" s="28"/>
      <c r="AS568" s="20" t="str">
        <f>IF(AQ568="","",IF($F568="Bernardino Furlan",_xlfn.XLOOKUP(AQ568,Cadastros!$G$6:$G$90,Cadastros!$H$6:$H$90)*(1-0.18),IF($F568="Mauro José Salanti",_xlfn.XLOOKUP(AQ568,Cadastros!$G$6:$G$90,Cadastros!$H$6:$H$90)*(1-0.18),_xlfn.XLOOKUP(AQ568,Cadastros!$G$6:$G$90,Cadastros!$H$6:$H$90))))</f>
        <v/>
      </c>
      <c r="AT568" s="168" t="str">
        <f t="shared" si="115"/>
        <v/>
      </c>
      <c r="AU568" s="168" t="str">
        <f t="shared" si="116"/>
        <v/>
      </c>
      <c r="AV568" s="227"/>
      <c r="AW568" s="30"/>
      <c r="AX568" s="267"/>
      <c r="AY568" s="267"/>
      <c r="AZ568" s="29"/>
      <c r="BA568" s="30"/>
      <c r="BB568" s="23" t="str" cm="1">
        <f t="array" ref="BB568">_xlfn.IFS(AW568="SIM",SUM(K568,P568,U568,Z568,AE568,AJ568,AO568,AT568,AX568,AY568),F568&lt;&gt;"",SUM(K568,P568,U568,Z568,AE568,AJ568,,AO568,AT568),F568="","")</f>
        <v/>
      </c>
      <c r="BC568" s="211" t="str" cm="1">
        <f t="array" ref="BC568">_xlfn.IFS(E568="","",G568&lt;=E568,BB568*(1-0.03),G568&lt;(E568+8),BB568,AZ568="Boleto",BB568*(1+0.001)^DATEDIF(E568,G568,"D"),AZ568="Cheque",BB568,AZ568="Dinheiro","Alterar forma pgto")</f>
        <v/>
      </c>
      <c r="BD568" s="276" t="str" cm="1">
        <f t="array" ref="BD568">IF(F568=0," ",IF(BC568&lt;BB568,(_xlfn.IFS(AW568="SIM",SUM(L568,Q568,V568,AA568,AF568,AK568,AP568,AU568)+AX568/_xlfn.XLOOKUP(_xlfn.XLOOKUP($F568,Clientes!$B$4:$B$39,Clientes!$C$4:$C$39),Cadastros!$L$6:$L$12,Cadastros!$M$6:$M$12)+IF($F568="Bernardino Furlan",AY568/2751.92,IF($F568="Mauro José Salanti",AY568/2751.92,AY568/3356)),F568&lt;&gt;0,SUM(L568,Q568,V568,AA568,AF568,AK568,AP568,AU568)))*(1-0.03),_xlfn.IFS(AW568="SIM",SUM(L568,Q568,V568,AA568,AF568,AK568,AP568,AU568)+AX568/_xlfn.XLOOKUP(_xlfn.XLOOKUP($F568,Clientes!$B$4:$B$39,Clientes!$C$4:$C$39),Cadastros!$L$6:$L$12,Cadastros!$M$6:$M$12)+IF($F568="Bernardino Furlan",AY568/2751.92,IF($F568="Mauro José Salanti",AY568/2751.92,AY568/3356)),F568&lt;&gt;0,SUM(L568,Q568,V568,AA568,AF568,AK568,AP568,AU568))))</f>
        <v xml:space="preserve"> </v>
      </c>
      <c r="BE568" s="120"/>
      <c r="BF568" s="120"/>
      <c r="BG568" s="120"/>
    </row>
    <row r="569" spans="1:59" s="3" customFormat="1" x14ac:dyDescent="0.3">
      <c r="A569" s="15" t="str">
        <f t="shared" si="104"/>
        <v/>
      </c>
      <c r="B569" s="25"/>
      <c r="C569" s="26"/>
      <c r="D569" s="279"/>
      <c r="E569" s="27"/>
      <c r="F569" s="28"/>
      <c r="G569" s="27"/>
      <c r="H569" s="28"/>
      <c r="I569" s="28"/>
      <c r="J569" s="255" t="str">
        <f>IF(H569="","",(_xlfn.XLOOKUP(H569,Cadastros!$D$6:$D$90,Cadastros!$E$6:$E$90))*(1-_xlfn.XLOOKUP(_xlfn.XLOOKUP($F569,Clientes!$B$4:$B$39,Clientes!$C$4:$C$39),Cadastros!$L$6:$L$12,Cadastros!$N$6:$N$12)))</f>
        <v/>
      </c>
      <c r="K569" s="168" t="str">
        <f t="shared" si="105"/>
        <v/>
      </c>
      <c r="L569" s="168" t="str">
        <f>IFERROR(K569/_xlfn.XLOOKUP(_xlfn.XLOOKUP($F569,Clientes!$B$4:$B$39,Clientes!$C$4:$C$39),Cadastros!$L$6:$L$12,Cadastros!$M$6:$M$12)," ")</f>
        <v xml:space="preserve"> </v>
      </c>
      <c r="M569" s="28"/>
      <c r="N569" s="28"/>
      <c r="O569" s="255" t="str">
        <f>IF(M569="","",(_xlfn.XLOOKUP(M569,Cadastros!$D$6:$D$90,Cadastros!$E$6:$E$90))*(1-_xlfn.XLOOKUP(_xlfn.XLOOKUP($F569,Clientes!$B$4:$B$39,Clientes!$C$4:$C$39),Cadastros!$L$6:$L$12,Cadastros!$N$6:$N$12)))</f>
        <v/>
      </c>
      <c r="P569" s="168" t="str">
        <f t="shared" si="106"/>
        <v/>
      </c>
      <c r="Q569" s="168" t="str">
        <f>IFERROR(P569/_xlfn.XLOOKUP(_xlfn.XLOOKUP($F569,Clientes!$B$4:$B$39,Clientes!$C$4:$C$39),Cadastros!$L$6:$L$12,Cadastros!$M$6:$M$12)," ")</f>
        <v xml:space="preserve"> </v>
      </c>
      <c r="R569" s="28"/>
      <c r="S569" s="28"/>
      <c r="T569" s="255" t="str">
        <f>IF(R569="","",(_xlfn.XLOOKUP(R569,Cadastros!$D$6:$D$90,Cadastros!$E$6:$E$90))*(1-_xlfn.XLOOKUP(_xlfn.XLOOKUP($F569,Clientes!$B$4:$B$39,Clientes!$C$4:$C$39),Cadastros!$L$6:$L$12,Cadastros!$N$6:$N$12)))</f>
        <v/>
      </c>
      <c r="U569" s="168" t="str">
        <f t="shared" si="107"/>
        <v/>
      </c>
      <c r="V569" s="168" t="str">
        <f>IFERROR(U569/_xlfn.XLOOKUP(_xlfn.XLOOKUP($F569,Clientes!$B$4:$B$39,Clientes!$C$4:$C$39),Cadastros!$L$6:$L$12,Cadastros!$M$6:$M$12)," ")</f>
        <v xml:space="preserve"> </v>
      </c>
      <c r="W569" s="28"/>
      <c r="X569" s="28"/>
      <c r="Y569" s="255" t="str">
        <f>IF(W569="","",(_xlfn.XLOOKUP(W569,Cadastros!$D$6:$D$90,Cadastros!$E$6:$E$90))*(1-_xlfn.XLOOKUP(_xlfn.XLOOKUP($F569,Clientes!$B$4:$B$39,Clientes!$C$4:$C$39),Cadastros!$L$6:$L$12,Cadastros!$N$6:$N$12)))</f>
        <v/>
      </c>
      <c r="Z569" s="168" t="str">
        <f t="shared" si="108"/>
        <v/>
      </c>
      <c r="AA569" s="168" t="str">
        <f>IFERROR(Z569/_xlfn.XLOOKUP(_xlfn.XLOOKUP($F569,Clientes!$B$4:$B$39,Clientes!$C$4:$C$39),Cadastros!$L$6:$L$12,Cadastros!$M$6:$M$12)," ")</f>
        <v xml:space="preserve"> </v>
      </c>
      <c r="AB569" s="28"/>
      <c r="AC569" s="28"/>
      <c r="AD569" s="20" t="str">
        <f>IF(AB569="","",IF($F569="Bernardino Furlan",_xlfn.XLOOKUP(AB569,Cadastros!$G$6:$G$90,Cadastros!$H$6:$H$90)*(1-0.18),IF($F569="Mauro José Salanti",_xlfn.XLOOKUP(AB569,Cadastros!$G$6:$G$90,Cadastros!$H$6:$H$90)*(1-0.18),_xlfn.XLOOKUP(AB569,Cadastros!$G$6:$G$90,Cadastros!$H$6:$H$90))))</f>
        <v/>
      </c>
      <c r="AE569" s="168" t="str">
        <f t="shared" si="109"/>
        <v/>
      </c>
      <c r="AF569" s="168" t="str">
        <f t="shared" si="110"/>
        <v/>
      </c>
      <c r="AG569" s="28"/>
      <c r="AH569" s="28"/>
      <c r="AI569" s="20" t="str">
        <f>IF(AG569="","",IF($F569="Bernardino Furlan",_xlfn.XLOOKUP(AG569,Cadastros!$G$6:$G$90,Cadastros!$H$6:$H$90)*(1-0.18),IF($F569="Mauro José Salanti",_xlfn.XLOOKUP(AG569,Cadastros!$G$6:$G$90,Cadastros!$H$6:$H$90)*(1-0.18),_xlfn.XLOOKUP(AG569,Cadastros!$G$6:$G$90,Cadastros!$H$6:$H$90))))</f>
        <v/>
      </c>
      <c r="AJ569" s="168" t="str">
        <f t="shared" si="111"/>
        <v/>
      </c>
      <c r="AK569" s="168" t="str">
        <f t="shared" si="112"/>
        <v/>
      </c>
      <c r="AL569" s="28"/>
      <c r="AM569" s="28"/>
      <c r="AN569" s="20" t="str">
        <f>IF(AL569="","",IF($F569="Bernardino Furlan",_xlfn.XLOOKUP(AL569,Cadastros!$G$6:$G$90,Cadastros!$H$6:$H$90)*(1-0.18),IF($F569="Mauro José Salanti",_xlfn.XLOOKUP(AL569,Cadastros!$G$6:$G$90,Cadastros!$H$6:$H$90)*(1-0.18),_xlfn.XLOOKUP(AL569,Cadastros!$G$6:$G$90,Cadastros!$H$6:$H$90))))</f>
        <v/>
      </c>
      <c r="AO569" s="168" t="str">
        <f t="shared" si="113"/>
        <v/>
      </c>
      <c r="AP569" s="168" t="str">
        <f t="shared" si="114"/>
        <v/>
      </c>
      <c r="AQ569" s="28"/>
      <c r="AR569" s="28"/>
      <c r="AS569" s="20" t="str">
        <f>IF(AQ569="","",IF($F569="Bernardino Furlan",_xlfn.XLOOKUP(AQ569,Cadastros!$G$6:$G$90,Cadastros!$H$6:$H$90)*(1-0.18),IF($F569="Mauro José Salanti",_xlfn.XLOOKUP(AQ569,Cadastros!$G$6:$G$90,Cadastros!$H$6:$H$90)*(1-0.18),_xlfn.XLOOKUP(AQ569,Cadastros!$G$6:$G$90,Cadastros!$H$6:$H$90))))</f>
        <v/>
      </c>
      <c r="AT569" s="168" t="str">
        <f t="shared" si="115"/>
        <v/>
      </c>
      <c r="AU569" s="168" t="str">
        <f t="shared" si="116"/>
        <v/>
      </c>
      <c r="AV569" s="227"/>
      <c r="AW569" s="30"/>
      <c r="AX569" s="267"/>
      <c r="AY569" s="267"/>
      <c r="AZ569" s="29"/>
      <c r="BA569" s="30"/>
      <c r="BB569" s="23" t="str" cm="1">
        <f t="array" ref="BB569">_xlfn.IFS(AW569="SIM",SUM(K569,P569,U569,Z569,AE569,AJ569,AO569,AT569,AX569,AY569),F569&lt;&gt;"",SUM(K569,P569,U569,Z569,AE569,AJ569,,AO569,AT569),F569="","")</f>
        <v/>
      </c>
      <c r="BC569" s="211" t="str" cm="1">
        <f t="array" ref="BC569">_xlfn.IFS(E569="","",G569&lt;=E569,BB569*(1-0.03),G569&lt;(E569+8),BB569,AZ569="Boleto",BB569*(1+0.001)^DATEDIF(E569,G569,"D"),AZ569="Cheque",BB569,AZ569="Dinheiro","Alterar forma pgto")</f>
        <v/>
      </c>
      <c r="BD569" s="276" t="str" cm="1">
        <f t="array" ref="BD569">IF(F569=0," ",IF(BC569&lt;BB569,(_xlfn.IFS(AW569="SIM",SUM(L569,Q569,V569,AA569,AF569,AK569,AP569,AU569)+AX569/_xlfn.XLOOKUP(_xlfn.XLOOKUP($F569,Clientes!$B$4:$B$39,Clientes!$C$4:$C$39),Cadastros!$L$6:$L$12,Cadastros!$M$6:$M$12)+IF($F569="Bernardino Furlan",AY569/2751.92,IF($F569="Mauro José Salanti",AY569/2751.92,AY569/3356)),F569&lt;&gt;0,SUM(L569,Q569,V569,AA569,AF569,AK569,AP569,AU569)))*(1-0.03),_xlfn.IFS(AW569="SIM",SUM(L569,Q569,V569,AA569,AF569,AK569,AP569,AU569)+AX569/_xlfn.XLOOKUP(_xlfn.XLOOKUP($F569,Clientes!$B$4:$B$39,Clientes!$C$4:$C$39),Cadastros!$L$6:$L$12,Cadastros!$M$6:$M$12)+IF($F569="Bernardino Furlan",AY569/2751.92,IF($F569="Mauro José Salanti",AY569/2751.92,AY569/3356)),F569&lt;&gt;0,SUM(L569,Q569,V569,AA569,AF569,AK569,AP569,AU569))))</f>
        <v xml:space="preserve"> </v>
      </c>
      <c r="BE569" s="120"/>
      <c r="BF569" s="120"/>
      <c r="BG569" s="120"/>
    </row>
    <row r="570" spans="1:59" s="3" customFormat="1" x14ac:dyDescent="0.3">
      <c r="A570" s="15" t="str">
        <f t="shared" si="104"/>
        <v/>
      </c>
      <c r="B570" s="25"/>
      <c r="C570" s="26"/>
      <c r="D570" s="279"/>
      <c r="E570" s="27"/>
      <c r="F570" s="28"/>
      <c r="G570" s="27"/>
      <c r="H570" s="28"/>
      <c r="I570" s="28"/>
      <c r="J570" s="255" t="str">
        <f>IF(H570="","",(_xlfn.XLOOKUP(H570,Cadastros!$D$6:$D$90,Cadastros!$E$6:$E$90))*(1-_xlfn.XLOOKUP(_xlfn.XLOOKUP($F570,Clientes!$B$4:$B$39,Clientes!$C$4:$C$39),Cadastros!$L$6:$L$12,Cadastros!$N$6:$N$12)))</f>
        <v/>
      </c>
      <c r="K570" s="168" t="str">
        <f t="shared" si="105"/>
        <v/>
      </c>
      <c r="L570" s="168" t="str">
        <f>IFERROR(K570/_xlfn.XLOOKUP(_xlfn.XLOOKUP($F570,Clientes!$B$4:$B$39,Clientes!$C$4:$C$39),Cadastros!$L$6:$L$12,Cadastros!$M$6:$M$12)," ")</f>
        <v xml:space="preserve"> </v>
      </c>
      <c r="M570" s="28"/>
      <c r="N570" s="28"/>
      <c r="O570" s="255" t="str">
        <f>IF(M570="","",(_xlfn.XLOOKUP(M570,Cadastros!$D$6:$D$90,Cadastros!$E$6:$E$90))*(1-_xlfn.XLOOKUP(_xlfn.XLOOKUP($F570,Clientes!$B$4:$B$39,Clientes!$C$4:$C$39),Cadastros!$L$6:$L$12,Cadastros!$N$6:$N$12)))</f>
        <v/>
      </c>
      <c r="P570" s="168" t="str">
        <f t="shared" si="106"/>
        <v/>
      </c>
      <c r="Q570" s="168" t="str">
        <f>IFERROR(P570/_xlfn.XLOOKUP(_xlfn.XLOOKUP($F570,Clientes!$B$4:$B$39,Clientes!$C$4:$C$39),Cadastros!$L$6:$L$12,Cadastros!$M$6:$M$12)," ")</f>
        <v xml:space="preserve"> </v>
      </c>
      <c r="R570" s="28"/>
      <c r="S570" s="28"/>
      <c r="T570" s="255" t="str">
        <f>IF(R570="","",(_xlfn.XLOOKUP(R570,Cadastros!$D$6:$D$90,Cadastros!$E$6:$E$90))*(1-_xlfn.XLOOKUP(_xlfn.XLOOKUP($F570,Clientes!$B$4:$B$39,Clientes!$C$4:$C$39),Cadastros!$L$6:$L$12,Cadastros!$N$6:$N$12)))</f>
        <v/>
      </c>
      <c r="U570" s="168" t="str">
        <f t="shared" si="107"/>
        <v/>
      </c>
      <c r="V570" s="168" t="str">
        <f>IFERROR(U570/_xlfn.XLOOKUP(_xlfn.XLOOKUP($F570,Clientes!$B$4:$B$39,Clientes!$C$4:$C$39),Cadastros!$L$6:$L$12,Cadastros!$M$6:$M$12)," ")</f>
        <v xml:space="preserve"> </v>
      </c>
      <c r="W570" s="28"/>
      <c r="X570" s="28"/>
      <c r="Y570" s="255" t="str">
        <f>IF(W570="","",(_xlfn.XLOOKUP(W570,Cadastros!$D$6:$D$90,Cadastros!$E$6:$E$90))*(1-_xlfn.XLOOKUP(_xlfn.XLOOKUP($F570,Clientes!$B$4:$B$39,Clientes!$C$4:$C$39),Cadastros!$L$6:$L$12,Cadastros!$N$6:$N$12)))</f>
        <v/>
      </c>
      <c r="Z570" s="168" t="str">
        <f t="shared" si="108"/>
        <v/>
      </c>
      <c r="AA570" s="168" t="str">
        <f>IFERROR(Z570/_xlfn.XLOOKUP(_xlfn.XLOOKUP($F570,Clientes!$B$4:$B$39,Clientes!$C$4:$C$39),Cadastros!$L$6:$L$12,Cadastros!$M$6:$M$12)," ")</f>
        <v xml:space="preserve"> </v>
      </c>
      <c r="AB570" s="28"/>
      <c r="AC570" s="28"/>
      <c r="AD570" s="20" t="str">
        <f>IF(AB570="","",IF($F570="Bernardino Furlan",_xlfn.XLOOKUP(AB570,Cadastros!$G$6:$G$90,Cadastros!$H$6:$H$90)*(1-0.18),IF($F570="Mauro José Salanti",_xlfn.XLOOKUP(AB570,Cadastros!$G$6:$G$90,Cadastros!$H$6:$H$90)*(1-0.18),_xlfn.XLOOKUP(AB570,Cadastros!$G$6:$G$90,Cadastros!$H$6:$H$90))))</f>
        <v/>
      </c>
      <c r="AE570" s="168" t="str">
        <f t="shared" si="109"/>
        <v/>
      </c>
      <c r="AF570" s="168" t="str">
        <f t="shared" si="110"/>
        <v/>
      </c>
      <c r="AG570" s="28"/>
      <c r="AH570" s="28"/>
      <c r="AI570" s="20" t="str">
        <f>IF(AG570="","",IF($F570="Bernardino Furlan",_xlfn.XLOOKUP(AG570,Cadastros!$G$6:$G$90,Cadastros!$H$6:$H$90)*(1-0.18),IF($F570="Mauro José Salanti",_xlfn.XLOOKUP(AG570,Cadastros!$G$6:$G$90,Cadastros!$H$6:$H$90)*(1-0.18),_xlfn.XLOOKUP(AG570,Cadastros!$G$6:$G$90,Cadastros!$H$6:$H$90))))</f>
        <v/>
      </c>
      <c r="AJ570" s="168" t="str">
        <f t="shared" si="111"/>
        <v/>
      </c>
      <c r="AK570" s="168" t="str">
        <f t="shared" si="112"/>
        <v/>
      </c>
      <c r="AL570" s="28"/>
      <c r="AM570" s="28"/>
      <c r="AN570" s="20" t="str">
        <f>IF(AL570="","",IF($F570="Bernardino Furlan",_xlfn.XLOOKUP(AL570,Cadastros!$G$6:$G$90,Cadastros!$H$6:$H$90)*(1-0.18),IF($F570="Mauro José Salanti",_xlfn.XLOOKUP(AL570,Cadastros!$G$6:$G$90,Cadastros!$H$6:$H$90)*(1-0.18),_xlfn.XLOOKUP(AL570,Cadastros!$G$6:$G$90,Cadastros!$H$6:$H$90))))</f>
        <v/>
      </c>
      <c r="AO570" s="168" t="str">
        <f t="shared" si="113"/>
        <v/>
      </c>
      <c r="AP570" s="168" t="str">
        <f t="shared" si="114"/>
        <v/>
      </c>
      <c r="AQ570" s="28"/>
      <c r="AR570" s="28"/>
      <c r="AS570" s="20" t="str">
        <f>IF(AQ570="","",IF($F570="Bernardino Furlan",_xlfn.XLOOKUP(AQ570,Cadastros!$G$6:$G$90,Cadastros!$H$6:$H$90)*(1-0.18),IF($F570="Mauro José Salanti",_xlfn.XLOOKUP(AQ570,Cadastros!$G$6:$G$90,Cadastros!$H$6:$H$90)*(1-0.18),_xlfn.XLOOKUP(AQ570,Cadastros!$G$6:$G$90,Cadastros!$H$6:$H$90))))</f>
        <v/>
      </c>
      <c r="AT570" s="168" t="str">
        <f t="shared" si="115"/>
        <v/>
      </c>
      <c r="AU570" s="168" t="str">
        <f t="shared" si="116"/>
        <v/>
      </c>
      <c r="AV570" s="227"/>
      <c r="AW570" s="30"/>
      <c r="AX570" s="267"/>
      <c r="AY570" s="267"/>
      <c r="AZ570" s="29"/>
      <c r="BA570" s="30"/>
      <c r="BB570" s="23" t="str" cm="1">
        <f t="array" ref="BB570">_xlfn.IFS(AW570="SIM",SUM(K570,P570,U570,Z570,AE570,AJ570,AO570,AT570,AX570,AY570),F570&lt;&gt;"",SUM(K570,P570,U570,Z570,AE570,AJ570,,AO570,AT570),F570="","")</f>
        <v/>
      </c>
      <c r="BC570" s="211" t="str" cm="1">
        <f t="array" ref="BC570">_xlfn.IFS(E570="","",G570&lt;=E570,BB570*(1-0.03),G570&lt;(E570+8),BB570,AZ570="Boleto",BB570*(1+0.001)^DATEDIF(E570,G570,"D"),AZ570="Cheque",BB570,AZ570="Dinheiro","Alterar forma pgto")</f>
        <v/>
      </c>
      <c r="BD570" s="276" t="str" cm="1">
        <f t="array" ref="BD570">IF(F570=0," ",IF(BC570&lt;BB570,(_xlfn.IFS(AW570="SIM",SUM(L570,Q570,V570,AA570,AF570,AK570,AP570,AU570)+AX570/_xlfn.XLOOKUP(_xlfn.XLOOKUP($F570,Clientes!$B$4:$B$39,Clientes!$C$4:$C$39),Cadastros!$L$6:$L$12,Cadastros!$M$6:$M$12)+IF($F570="Bernardino Furlan",AY570/2751.92,IF($F570="Mauro José Salanti",AY570/2751.92,AY570/3356)),F570&lt;&gt;0,SUM(L570,Q570,V570,AA570,AF570,AK570,AP570,AU570)))*(1-0.03),_xlfn.IFS(AW570="SIM",SUM(L570,Q570,V570,AA570,AF570,AK570,AP570,AU570)+AX570/_xlfn.XLOOKUP(_xlfn.XLOOKUP($F570,Clientes!$B$4:$B$39,Clientes!$C$4:$C$39),Cadastros!$L$6:$L$12,Cadastros!$M$6:$M$12)+IF($F570="Bernardino Furlan",AY570/2751.92,IF($F570="Mauro José Salanti",AY570/2751.92,AY570/3356)),F570&lt;&gt;0,SUM(L570,Q570,V570,AA570,AF570,AK570,AP570,AU570))))</f>
        <v xml:space="preserve"> </v>
      </c>
      <c r="BE570" s="120"/>
      <c r="BF570" s="120"/>
      <c r="BG570" s="120"/>
    </row>
    <row r="571" spans="1:59" s="3" customFormat="1" x14ac:dyDescent="0.3">
      <c r="A571" s="15" t="str">
        <f t="shared" si="104"/>
        <v/>
      </c>
      <c r="B571" s="25"/>
      <c r="C571" s="26"/>
      <c r="D571" s="279"/>
      <c r="E571" s="27"/>
      <c r="F571" s="28"/>
      <c r="G571" s="27"/>
      <c r="H571" s="28"/>
      <c r="I571" s="28"/>
      <c r="J571" s="255" t="str">
        <f>IF(H571="","",(_xlfn.XLOOKUP(H571,Cadastros!$D$6:$D$90,Cadastros!$E$6:$E$90))*(1-_xlfn.XLOOKUP(_xlfn.XLOOKUP($F571,Clientes!$B$4:$B$39,Clientes!$C$4:$C$39),Cadastros!$L$6:$L$12,Cadastros!$N$6:$N$12)))</f>
        <v/>
      </c>
      <c r="K571" s="168" t="str">
        <f t="shared" si="105"/>
        <v/>
      </c>
      <c r="L571" s="168" t="str">
        <f>IFERROR(K571/_xlfn.XLOOKUP(_xlfn.XLOOKUP($F571,Clientes!$B$4:$B$39,Clientes!$C$4:$C$39),Cadastros!$L$6:$L$12,Cadastros!$M$6:$M$12)," ")</f>
        <v xml:space="preserve"> </v>
      </c>
      <c r="M571" s="28"/>
      <c r="N571" s="28"/>
      <c r="O571" s="255" t="str">
        <f>IF(M571="","",(_xlfn.XLOOKUP(M571,Cadastros!$D$6:$D$90,Cadastros!$E$6:$E$90))*(1-_xlfn.XLOOKUP(_xlfn.XLOOKUP($F571,Clientes!$B$4:$B$39,Clientes!$C$4:$C$39),Cadastros!$L$6:$L$12,Cadastros!$N$6:$N$12)))</f>
        <v/>
      </c>
      <c r="P571" s="168" t="str">
        <f t="shared" si="106"/>
        <v/>
      </c>
      <c r="Q571" s="168" t="str">
        <f>IFERROR(P571/_xlfn.XLOOKUP(_xlfn.XLOOKUP($F571,Clientes!$B$4:$B$39,Clientes!$C$4:$C$39),Cadastros!$L$6:$L$12,Cadastros!$M$6:$M$12)," ")</f>
        <v xml:space="preserve"> </v>
      </c>
      <c r="R571" s="28"/>
      <c r="S571" s="28"/>
      <c r="T571" s="255" t="str">
        <f>IF(R571="","",(_xlfn.XLOOKUP(R571,Cadastros!$D$6:$D$90,Cadastros!$E$6:$E$90))*(1-_xlfn.XLOOKUP(_xlfn.XLOOKUP($F571,Clientes!$B$4:$B$39,Clientes!$C$4:$C$39),Cadastros!$L$6:$L$12,Cadastros!$N$6:$N$12)))</f>
        <v/>
      </c>
      <c r="U571" s="168" t="str">
        <f t="shared" si="107"/>
        <v/>
      </c>
      <c r="V571" s="168" t="str">
        <f>IFERROR(U571/_xlfn.XLOOKUP(_xlfn.XLOOKUP($F571,Clientes!$B$4:$B$39,Clientes!$C$4:$C$39),Cadastros!$L$6:$L$12,Cadastros!$M$6:$M$12)," ")</f>
        <v xml:space="preserve"> </v>
      </c>
      <c r="W571" s="28"/>
      <c r="X571" s="28"/>
      <c r="Y571" s="255" t="str">
        <f>IF(W571="","",(_xlfn.XLOOKUP(W571,Cadastros!$D$6:$D$90,Cadastros!$E$6:$E$90))*(1-_xlfn.XLOOKUP(_xlfn.XLOOKUP($F571,Clientes!$B$4:$B$39,Clientes!$C$4:$C$39),Cadastros!$L$6:$L$12,Cadastros!$N$6:$N$12)))</f>
        <v/>
      </c>
      <c r="Z571" s="168" t="str">
        <f t="shared" si="108"/>
        <v/>
      </c>
      <c r="AA571" s="168" t="str">
        <f>IFERROR(Z571/_xlfn.XLOOKUP(_xlfn.XLOOKUP($F571,Clientes!$B$4:$B$39,Clientes!$C$4:$C$39),Cadastros!$L$6:$L$12,Cadastros!$M$6:$M$12)," ")</f>
        <v xml:space="preserve"> </v>
      </c>
      <c r="AB571" s="28"/>
      <c r="AC571" s="28"/>
      <c r="AD571" s="20" t="str">
        <f>IF(AB571="","",IF($F571="Bernardino Furlan",_xlfn.XLOOKUP(AB571,Cadastros!$G$6:$G$90,Cadastros!$H$6:$H$90)*(1-0.18),IF($F571="Mauro José Salanti",_xlfn.XLOOKUP(AB571,Cadastros!$G$6:$G$90,Cadastros!$H$6:$H$90)*(1-0.18),_xlfn.XLOOKUP(AB571,Cadastros!$G$6:$G$90,Cadastros!$H$6:$H$90))))</f>
        <v/>
      </c>
      <c r="AE571" s="168" t="str">
        <f t="shared" si="109"/>
        <v/>
      </c>
      <c r="AF571" s="168" t="str">
        <f t="shared" si="110"/>
        <v/>
      </c>
      <c r="AG571" s="28"/>
      <c r="AH571" s="28"/>
      <c r="AI571" s="20" t="str">
        <f>IF(AG571="","",IF($F571="Bernardino Furlan",_xlfn.XLOOKUP(AG571,Cadastros!$G$6:$G$90,Cadastros!$H$6:$H$90)*(1-0.18),IF($F571="Mauro José Salanti",_xlfn.XLOOKUP(AG571,Cadastros!$G$6:$G$90,Cadastros!$H$6:$H$90)*(1-0.18),_xlfn.XLOOKUP(AG571,Cadastros!$G$6:$G$90,Cadastros!$H$6:$H$90))))</f>
        <v/>
      </c>
      <c r="AJ571" s="168" t="str">
        <f t="shared" si="111"/>
        <v/>
      </c>
      <c r="AK571" s="168" t="str">
        <f t="shared" si="112"/>
        <v/>
      </c>
      <c r="AL571" s="28"/>
      <c r="AM571" s="28"/>
      <c r="AN571" s="20" t="str">
        <f>IF(AL571="","",IF($F571="Bernardino Furlan",_xlfn.XLOOKUP(AL571,Cadastros!$G$6:$G$90,Cadastros!$H$6:$H$90)*(1-0.18),IF($F571="Mauro José Salanti",_xlfn.XLOOKUP(AL571,Cadastros!$G$6:$G$90,Cadastros!$H$6:$H$90)*(1-0.18),_xlfn.XLOOKUP(AL571,Cadastros!$G$6:$G$90,Cadastros!$H$6:$H$90))))</f>
        <v/>
      </c>
      <c r="AO571" s="168" t="str">
        <f t="shared" si="113"/>
        <v/>
      </c>
      <c r="AP571" s="168" t="str">
        <f t="shared" si="114"/>
        <v/>
      </c>
      <c r="AQ571" s="28"/>
      <c r="AR571" s="28"/>
      <c r="AS571" s="20" t="str">
        <f>IF(AQ571="","",IF($F571="Bernardino Furlan",_xlfn.XLOOKUP(AQ571,Cadastros!$G$6:$G$90,Cadastros!$H$6:$H$90)*(1-0.18),IF($F571="Mauro José Salanti",_xlfn.XLOOKUP(AQ571,Cadastros!$G$6:$G$90,Cadastros!$H$6:$H$90)*(1-0.18),_xlfn.XLOOKUP(AQ571,Cadastros!$G$6:$G$90,Cadastros!$H$6:$H$90))))</f>
        <v/>
      </c>
      <c r="AT571" s="168" t="str">
        <f t="shared" si="115"/>
        <v/>
      </c>
      <c r="AU571" s="168" t="str">
        <f t="shared" si="116"/>
        <v/>
      </c>
      <c r="AV571" s="227"/>
      <c r="AW571" s="30"/>
      <c r="AX571" s="267"/>
      <c r="AY571" s="267"/>
      <c r="AZ571" s="29"/>
      <c r="BA571" s="30"/>
      <c r="BB571" s="23" t="str" cm="1">
        <f t="array" ref="BB571">_xlfn.IFS(AW571="SIM",SUM(K571,P571,U571,Z571,AE571,AJ571,AO571,AT571,AX571,AY571),F571&lt;&gt;"",SUM(K571,P571,U571,Z571,AE571,AJ571,,AO571,AT571),F571="","")</f>
        <v/>
      </c>
      <c r="BC571" s="211" t="str" cm="1">
        <f t="array" ref="BC571">_xlfn.IFS(E571="","",G571&lt;=E571,BB571*(1-0.03),G571&lt;(E571+8),BB571,AZ571="Boleto",BB571*(1+0.001)^DATEDIF(E571,G571,"D"),AZ571="Cheque",BB571,AZ571="Dinheiro","Alterar forma pgto")</f>
        <v/>
      </c>
      <c r="BD571" s="276" t="str" cm="1">
        <f t="array" ref="BD571">IF(F571=0," ",IF(BC571&lt;BB571,(_xlfn.IFS(AW571="SIM",SUM(L571,Q571,V571,AA571,AF571,AK571,AP571,AU571)+AX571/_xlfn.XLOOKUP(_xlfn.XLOOKUP($F571,Clientes!$B$4:$B$39,Clientes!$C$4:$C$39),Cadastros!$L$6:$L$12,Cadastros!$M$6:$M$12)+IF($F571="Bernardino Furlan",AY571/2751.92,IF($F571="Mauro José Salanti",AY571/2751.92,AY571/3356)),F571&lt;&gt;0,SUM(L571,Q571,V571,AA571,AF571,AK571,AP571,AU571)))*(1-0.03),_xlfn.IFS(AW571="SIM",SUM(L571,Q571,V571,AA571,AF571,AK571,AP571,AU571)+AX571/_xlfn.XLOOKUP(_xlfn.XLOOKUP($F571,Clientes!$B$4:$B$39,Clientes!$C$4:$C$39),Cadastros!$L$6:$L$12,Cadastros!$M$6:$M$12)+IF($F571="Bernardino Furlan",AY571/2751.92,IF($F571="Mauro José Salanti",AY571/2751.92,AY571/3356)),F571&lt;&gt;0,SUM(L571,Q571,V571,AA571,AF571,AK571,AP571,AU571))))</f>
        <v xml:space="preserve"> </v>
      </c>
      <c r="BE571" s="120"/>
      <c r="BF571" s="120"/>
      <c r="BG571" s="120"/>
    </row>
    <row r="572" spans="1:59" s="3" customFormat="1" x14ac:dyDescent="0.3">
      <c r="A572" s="15" t="str">
        <f t="shared" si="104"/>
        <v/>
      </c>
      <c r="B572" s="25"/>
      <c r="C572" s="26"/>
      <c r="D572" s="279"/>
      <c r="E572" s="27"/>
      <c r="F572" s="28"/>
      <c r="G572" s="27"/>
      <c r="H572" s="28"/>
      <c r="I572" s="28"/>
      <c r="J572" s="255" t="str">
        <f>IF(H572="","",(_xlfn.XLOOKUP(H572,Cadastros!$D$6:$D$90,Cadastros!$E$6:$E$90))*(1-_xlfn.XLOOKUP(_xlfn.XLOOKUP($F572,Clientes!$B$4:$B$39,Clientes!$C$4:$C$39),Cadastros!$L$6:$L$12,Cadastros!$N$6:$N$12)))</f>
        <v/>
      </c>
      <c r="K572" s="168" t="str">
        <f t="shared" si="105"/>
        <v/>
      </c>
      <c r="L572" s="168" t="str">
        <f>IFERROR(K572/_xlfn.XLOOKUP(_xlfn.XLOOKUP($F572,Clientes!$B$4:$B$39,Clientes!$C$4:$C$39),Cadastros!$L$6:$L$12,Cadastros!$M$6:$M$12)," ")</f>
        <v xml:space="preserve"> </v>
      </c>
      <c r="M572" s="28"/>
      <c r="N572" s="28"/>
      <c r="O572" s="255" t="str">
        <f>IF(M572="","",(_xlfn.XLOOKUP(M572,Cadastros!$D$6:$D$90,Cadastros!$E$6:$E$90))*(1-_xlfn.XLOOKUP(_xlfn.XLOOKUP($F572,Clientes!$B$4:$B$39,Clientes!$C$4:$C$39),Cadastros!$L$6:$L$12,Cadastros!$N$6:$N$12)))</f>
        <v/>
      </c>
      <c r="P572" s="168" t="str">
        <f t="shared" si="106"/>
        <v/>
      </c>
      <c r="Q572" s="168" t="str">
        <f>IFERROR(P572/_xlfn.XLOOKUP(_xlfn.XLOOKUP($F572,Clientes!$B$4:$B$39,Clientes!$C$4:$C$39),Cadastros!$L$6:$L$12,Cadastros!$M$6:$M$12)," ")</f>
        <v xml:space="preserve"> </v>
      </c>
      <c r="R572" s="28"/>
      <c r="S572" s="28"/>
      <c r="T572" s="255" t="str">
        <f>IF(R572="","",(_xlfn.XLOOKUP(R572,Cadastros!$D$6:$D$90,Cadastros!$E$6:$E$90))*(1-_xlfn.XLOOKUP(_xlfn.XLOOKUP($F572,Clientes!$B$4:$B$39,Clientes!$C$4:$C$39),Cadastros!$L$6:$L$12,Cadastros!$N$6:$N$12)))</f>
        <v/>
      </c>
      <c r="U572" s="168" t="str">
        <f t="shared" si="107"/>
        <v/>
      </c>
      <c r="V572" s="168" t="str">
        <f>IFERROR(U572/_xlfn.XLOOKUP(_xlfn.XLOOKUP($F572,Clientes!$B$4:$B$39,Clientes!$C$4:$C$39),Cadastros!$L$6:$L$12,Cadastros!$M$6:$M$12)," ")</f>
        <v xml:space="preserve"> </v>
      </c>
      <c r="W572" s="28"/>
      <c r="X572" s="28"/>
      <c r="Y572" s="255" t="str">
        <f>IF(W572="","",(_xlfn.XLOOKUP(W572,Cadastros!$D$6:$D$90,Cadastros!$E$6:$E$90))*(1-_xlfn.XLOOKUP(_xlfn.XLOOKUP($F572,Clientes!$B$4:$B$39,Clientes!$C$4:$C$39),Cadastros!$L$6:$L$12,Cadastros!$N$6:$N$12)))</f>
        <v/>
      </c>
      <c r="Z572" s="168" t="str">
        <f t="shared" si="108"/>
        <v/>
      </c>
      <c r="AA572" s="168" t="str">
        <f>IFERROR(Z572/_xlfn.XLOOKUP(_xlfn.XLOOKUP($F572,Clientes!$B$4:$B$39,Clientes!$C$4:$C$39),Cadastros!$L$6:$L$12,Cadastros!$M$6:$M$12)," ")</f>
        <v xml:space="preserve"> </v>
      </c>
      <c r="AB572" s="28"/>
      <c r="AC572" s="28"/>
      <c r="AD572" s="20" t="str">
        <f>IF(AB572="","",IF($F572="Bernardino Furlan",_xlfn.XLOOKUP(AB572,Cadastros!$G$6:$G$90,Cadastros!$H$6:$H$90)*(1-0.18),IF($F572="Mauro José Salanti",_xlfn.XLOOKUP(AB572,Cadastros!$G$6:$G$90,Cadastros!$H$6:$H$90)*(1-0.18),_xlfn.XLOOKUP(AB572,Cadastros!$G$6:$G$90,Cadastros!$H$6:$H$90))))</f>
        <v/>
      </c>
      <c r="AE572" s="168" t="str">
        <f t="shared" si="109"/>
        <v/>
      </c>
      <c r="AF572" s="168" t="str">
        <f t="shared" si="110"/>
        <v/>
      </c>
      <c r="AG572" s="28"/>
      <c r="AH572" s="28"/>
      <c r="AI572" s="20" t="str">
        <f>IF(AG572="","",IF($F572="Bernardino Furlan",_xlfn.XLOOKUP(AG572,Cadastros!$G$6:$G$90,Cadastros!$H$6:$H$90)*(1-0.18),IF($F572="Mauro José Salanti",_xlfn.XLOOKUP(AG572,Cadastros!$G$6:$G$90,Cadastros!$H$6:$H$90)*(1-0.18),_xlfn.XLOOKUP(AG572,Cadastros!$G$6:$G$90,Cadastros!$H$6:$H$90))))</f>
        <v/>
      </c>
      <c r="AJ572" s="168" t="str">
        <f t="shared" si="111"/>
        <v/>
      </c>
      <c r="AK572" s="168" t="str">
        <f t="shared" si="112"/>
        <v/>
      </c>
      <c r="AL572" s="28"/>
      <c r="AM572" s="28"/>
      <c r="AN572" s="20" t="str">
        <f>IF(AL572="","",IF($F572="Bernardino Furlan",_xlfn.XLOOKUP(AL572,Cadastros!$G$6:$G$90,Cadastros!$H$6:$H$90)*(1-0.18),IF($F572="Mauro José Salanti",_xlfn.XLOOKUP(AL572,Cadastros!$G$6:$G$90,Cadastros!$H$6:$H$90)*(1-0.18),_xlfn.XLOOKUP(AL572,Cadastros!$G$6:$G$90,Cadastros!$H$6:$H$90))))</f>
        <v/>
      </c>
      <c r="AO572" s="168" t="str">
        <f t="shared" si="113"/>
        <v/>
      </c>
      <c r="AP572" s="168" t="str">
        <f t="shared" si="114"/>
        <v/>
      </c>
      <c r="AQ572" s="28"/>
      <c r="AR572" s="28"/>
      <c r="AS572" s="20" t="str">
        <f>IF(AQ572="","",IF($F572="Bernardino Furlan",_xlfn.XLOOKUP(AQ572,Cadastros!$G$6:$G$90,Cadastros!$H$6:$H$90)*(1-0.18),IF($F572="Mauro José Salanti",_xlfn.XLOOKUP(AQ572,Cadastros!$G$6:$G$90,Cadastros!$H$6:$H$90)*(1-0.18),_xlfn.XLOOKUP(AQ572,Cadastros!$G$6:$G$90,Cadastros!$H$6:$H$90))))</f>
        <v/>
      </c>
      <c r="AT572" s="168" t="str">
        <f t="shared" si="115"/>
        <v/>
      </c>
      <c r="AU572" s="168" t="str">
        <f t="shared" si="116"/>
        <v/>
      </c>
      <c r="AV572" s="227"/>
      <c r="AW572" s="30"/>
      <c r="AX572" s="267"/>
      <c r="AY572" s="267"/>
      <c r="AZ572" s="29"/>
      <c r="BA572" s="30"/>
      <c r="BB572" s="23" t="str" cm="1">
        <f t="array" ref="BB572">_xlfn.IFS(AW572="SIM",SUM(K572,P572,U572,Z572,AE572,AJ572,AO572,AT572,AX572,AY572),F572&lt;&gt;"",SUM(K572,P572,U572,Z572,AE572,AJ572,,AO572,AT572),F572="","")</f>
        <v/>
      </c>
      <c r="BC572" s="211" t="str" cm="1">
        <f t="array" ref="BC572">_xlfn.IFS(E572="","",G572&lt;=E572,BB572*(1-0.03),G572&lt;(E572+8),BB572,AZ572="Boleto",BB572*(1+0.001)^DATEDIF(E572,G572,"D"),AZ572="Cheque",BB572,AZ572="Dinheiro","Alterar forma pgto")</f>
        <v/>
      </c>
      <c r="BD572" s="276" t="str" cm="1">
        <f t="array" ref="BD572">IF(F572=0," ",IF(BC572&lt;BB572,(_xlfn.IFS(AW572="SIM",SUM(L572,Q572,V572,AA572,AF572,AK572,AP572,AU572)+AX572/_xlfn.XLOOKUP(_xlfn.XLOOKUP($F572,Clientes!$B$4:$B$39,Clientes!$C$4:$C$39),Cadastros!$L$6:$L$12,Cadastros!$M$6:$M$12)+IF($F572="Bernardino Furlan",AY572/2751.92,IF($F572="Mauro José Salanti",AY572/2751.92,AY572/3356)),F572&lt;&gt;0,SUM(L572,Q572,V572,AA572,AF572,AK572,AP572,AU572)))*(1-0.03),_xlfn.IFS(AW572="SIM",SUM(L572,Q572,V572,AA572,AF572,AK572,AP572,AU572)+AX572/_xlfn.XLOOKUP(_xlfn.XLOOKUP($F572,Clientes!$B$4:$B$39,Clientes!$C$4:$C$39),Cadastros!$L$6:$L$12,Cadastros!$M$6:$M$12)+IF($F572="Bernardino Furlan",AY572/2751.92,IF($F572="Mauro José Salanti",AY572/2751.92,AY572/3356)),F572&lt;&gt;0,SUM(L572,Q572,V572,AA572,AF572,AK572,AP572,AU572))))</f>
        <v xml:space="preserve"> </v>
      </c>
      <c r="BE572" s="120"/>
      <c r="BF572" s="120"/>
      <c r="BG572" s="120"/>
    </row>
    <row r="573" spans="1:59" s="3" customFormat="1" x14ac:dyDescent="0.3">
      <c r="A573" s="15" t="str">
        <f t="shared" si="104"/>
        <v/>
      </c>
      <c r="B573" s="25"/>
      <c r="C573" s="26"/>
      <c r="D573" s="279"/>
      <c r="E573" s="27"/>
      <c r="F573" s="28"/>
      <c r="G573" s="27"/>
      <c r="H573" s="28"/>
      <c r="I573" s="28"/>
      <c r="J573" s="255" t="str">
        <f>IF(H573="","",(_xlfn.XLOOKUP(H573,Cadastros!$D$6:$D$90,Cadastros!$E$6:$E$90))*(1-_xlfn.XLOOKUP(_xlfn.XLOOKUP($F573,Clientes!$B$4:$B$39,Clientes!$C$4:$C$39),Cadastros!$L$6:$L$12,Cadastros!$N$6:$N$12)))</f>
        <v/>
      </c>
      <c r="K573" s="168" t="str">
        <f t="shared" si="105"/>
        <v/>
      </c>
      <c r="L573" s="168" t="str">
        <f>IFERROR(K573/_xlfn.XLOOKUP(_xlfn.XLOOKUP($F573,Clientes!$B$4:$B$39,Clientes!$C$4:$C$39),Cadastros!$L$6:$L$12,Cadastros!$M$6:$M$12)," ")</f>
        <v xml:space="preserve"> </v>
      </c>
      <c r="M573" s="28"/>
      <c r="N573" s="28"/>
      <c r="O573" s="255" t="str">
        <f>IF(M573="","",(_xlfn.XLOOKUP(M573,Cadastros!$D$6:$D$90,Cadastros!$E$6:$E$90))*(1-_xlfn.XLOOKUP(_xlfn.XLOOKUP($F573,Clientes!$B$4:$B$39,Clientes!$C$4:$C$39),Cadastros!$L$6:$L$12,Cadastros!$N$6:$N$12)))</f>
        <v/>
      </c>
      <c r="P573" s="168" t="str">
        <f t="shared" si="106"/>
        <v/>
      </c>
      <c r="Q573" s="168" t="str">
        <f>IFERROR(P573/_xlfn.XLOOKUP(_xlfn.XLOOKUP($F573,Clientes!$B$4:$B$39,Clientes!$C$4:$C$39),Cadastros!$L$6:$L$12,Cadastros!$M$6:$M$12)," ")</f>
        <v xml:space="preserve"> </v>
      </c>
      <c r="R573" s="28"/>
      <c r="S573" s="28"/>
      <c r="T573" s="255" t="str">
        <f>IF(R573="","",(_xlfn.XLOOKUP(R573,Cadastros!$D$6:$D$90,Cadastros!$E$6:$E$90))*(1-_xlfn.XLOOKUP(_xlfn.XLOOKUP($F573,Clientes!$B$4:$B$39,Clientes!$C$4:$C$39),Cadastros!$L$6:$L$12,Cadastros!$N$6:$N$12)))</f>
        <v/>
      </c>
      <c r="U573" s="168" t="str">
        <f t="shared" si="107"/>
        <v/>
      </c>
      <c r="V573" s="168" t="str">
        <f>IFERROR(U573/_xlfn.XLOOKUP(_xlfn.XLOOKUP($F573,Clientes!$B$4:$B$39,Clientes!$C$4:$C$39),Cadastros!$L$6:$L$12,Cadastros!$M$6:$M$12)," ")</f>
        <v xml:space="preserve"> </v>
      </c>
      <c r="W573" s="28"/>
      <c r="X573" s="28"/>
      <c r="Y573" s="255" t="str">
        <f>IF(W573="","",(_xlfn.XLOOKUP(W573,Cadastros!$D$6:$D$90,Cadastros!$E$6:$E$90))*(1-_xlfn.XLOOKUP(_xlfn.XLOOKUP($F573,Clientes!$B$4:$B$39,Clientes!$C$4:$C$39),Cadastros!$L$6:$L$12,Cadastros!$N$6:$N$12)))</f>
        <v/>
      </c>
      <c r="Z573" s="168" t="str">
        <f t="shared" si="108"/>
        <v/>
      </c>
      <c r="AA573" s="168" t="str">
        <f>IFERROR(Z573/_xlfn.XLOOKUP(_xlfn.XLOOKUP($F573,Clientes!$B$4:$B$39,Clientes!$C$4:$C$39),Cadastros!$L$6:$L$12,Cadastros!$M$6:$M$12)," ")</f>
        <v xml:space="preserve"> </v>
      </c>
      <c r="AB573" s="28"/>
      <c r="AC573" s="28"/>
      <c r="AD573" s="20" t="str">
        <f>IF(AB573="","",IF($F573="Bernardino Furlan",_xlfn.XLOOKUP(AB573,Cadastros!$G$6:$G$90,Cadastros!$H$6:$H$90)*(1-0.18),IF($F573="Mauro José Salanti",_xlfn.XLOOKUP(AB573,Cadastros!$G$6:$G$90,Cadastros!$H$6:$H$90)*(1-0.18),_xlfn.XLOOKUP(AB573,Cadastros!$G$6:$G$90,Cadastros!$H$6:$H$90))))</f>
        <v/>
      </c>
      <c r="AE573" s="168" t="str">
        <f t="shared" si="109"/>
        <v/>
      </c>
      <c r="AF573" s="168" t="str">
        <f t="shared" si="110"/>
        <v/>
      </c>
      <c r="AG573" s="28"/>
      <c r="AH573" s="28"/>
      <c r="AI573" s="20" t="str">
        <f>IF(AG573="","",IF($F573="Bernardino Furlan",_xlfn.XLOOKUP(AG573,Cadastros!$G$6:$G$90,Cadastros!$H$6:$H$90)*(1-0.18),IF($F573="Mauro José Salanti",_xlfn.XLOOKUP(AG573,Cadastros!$G$6:$G$90,Cadastros!$H$6:$H$90)*(1-0.18),_xlfn.XLOOKUP(AG573,Cadastros!$G$6:$G$90,Cadastros!$H$6:$H$90))))</f>
        <v/>
      </c>
      <c r="AJ573" s="168" t="str">
        <f t="shared" si="111"/>
        <v/>
      </c>
      <c r="AK573" s="168" t="str">
        <f t="shared" si="112"/>
        <v/>
      </c>
      <c r="AL573" s="28"/>
      <c r="AM573" s="28"/>
      <c r="AN573" s="20" t="str">
        <f>IF(AL573="","",IF($F573="Bernardino Furlan",_xlfn.XLOOKUP(AL573,Cadastros!$G$6:$G$90,Cadastros!$H$6:$H$90)*(1-0.18),IF($F573="Mauro José Salanti",_xlfn.XLOOKUP(AL573,Cadastros!$G$6:$G$90,Cadastros!$H$6:$H$90)*(1-0.18),_xlfn.XLOOKUP(AL573,Cadastros!$G$6:$G$90,Cadastros!$H$6:$H$90))))</f>
        <v/>
      </c>
      <c r="AO573" s="168" t="str">
        <f t="shared" si="113"/>
        <v/>
      </c>
      <c r="AP573" s="168" t="str">
        <f t="shared" si="114"/>
        <v/>
      </c>
      <c r="AQ573" s="28"/>
      <c r="AR573" s="28"/>
      <c r="AS573" s="20" t="str">
        <f>IF(AQ573="","",IF($F573="Bernardino Furlan",_xlfn.XLOOKUP(AQ573,Cadastros!$G$6:$G$90,Cadastros!$H$6:$H$90)*(1-0.18),IF($F573="Mauro José Salanti",_xlfn.XLOOKUP(AQ573,Cadastros!$G$6:$G$90,Cadastros!$H$6:$H$90)*(1-0.18),_xlfn.XLOOKUP(AQ573,Cadastros!$G$6:$G$90,Cadastros!$H$6:$H$90))))</f>
        <v/>
      </c>
      <c r="AT573" s="168" t="str">
        <f t="shared" si="115"/>
        <v/>
      </c>
      <c r="AU573" s="168" t="str">
        <f t="shared" si="116"/>
        <v/>
      </c>
      <c r="AV573" s="227"/>
      <c r="AW573" s="30"/>
      <c r="AX573" s="267"/>
      <c r="AY573" s="267"/>
      <c r="AZ573" s="29"/>
      <c r="BA573" s="30"/>
      <c r="BB573" s="23" t="str" cm="1">
        <f t="array" ref="BB573">_xlfn.IFS(AW573="SIM",SUM(K573,P573,U573,Z573,AE573,AJ573,AO573,AT573,AX573,AY573),F573&lt;&gt;"",SUM(K573,P573,U573,Z573,AE573,AJ573,,AO573,AT573),F573="","")</f>
        <v/>
      </c>
      <c r="BC573" s="211" t="str" cm="1">
        <f t="array" ref="BC573">_xlfn.IFS(E573="","",G573&lt;=E573,BB573*(1-0.03),G573&lt;(E573+8),BB573,AZ573="Boleto",BB573*(1+0.001)^DATEDIF(E573,G573,"D"),AZ573="Cheque",BB573,AZ573="Dinheiro","Alterar forma pgto")</f>
        <v/>
      </c>
      <c r="BD573" s="276" t="str" cm="1">
        <f t="array" ref="BD573">IF(F573=0," ",IF(BC573&lt;BB573,(_xlfn.IFS(AW573="SIM",SUM(L573,Q573,V573,AA573,AF573,AK573,AP573,AU573)+AX573/_xlfn.XLOOKUP(_xlfn.XLOOKUP($F573,Clientes!$B$4:$B$39,Clientes!$C$4:$C$39),Cadastros!$L$6:$L$12,Cadastros!$M$6:$M$12)+IF($F573="Bernardino Furlan",AY573/2751.92,IF($F573="Mauro José Salanti",AY573/2751.92,AY573/3356)),F573&lt;&gt;0,SUM(L573,Q573,V573,AA573,AF573,AK573,AP573,AU573)))*(1-0.03),_xlfn.IFS(AW573="SIM",SUM(L573,Q573,V573,AA573,AF573,AK573,AP573,AU573)+AX573/_xlfn.XLOOKUP(_xlfn.XLOOKUP($F573,Clientes!$B$4:$B$39,Clientes!$C$4:$C$39),Cadastros!$L$6:$L$12,Cadastros!$M$6:$M$12)+IF($F573="Bernardino Furlan",AY573/2751.92,IF($F573="Mauro José Salanti",AY573/2751.92,AY573/3356)),F573&lt;&gt;0,SUM(L573,Q573,V573,AA573,AF573,AK573,AP573,AU573))))</f>
        <v xml:space="preserve"> </v>
      </c>
      <c r="BE573" s="120"/>
      <c r="BF573" s="120"/>
      <c r="BG573" s="120"/>
    </row>
    <row r="574" spans="1:59" s="3" customFormat="1" x14ac:dyDescent="0.3">
      <c r="A574" s="15" t="str">
        <f t="shared" si="104"/>
        <v/>
      </c>
      <c r="B574" s="25"/>
      <c r="C574" s="26"/>
      <c r="D574" s="279"/>
      <c r="E574" s="27"/>
      <c r="F574" s="28"/>
      <c r="G574" s="27"/>
      <c r="H574" s="28"/>
      <c r="I574" s="28"/>
      <c r="J574" s="255" t="str">
        <f>IF(H574="","",(_xlfn.XLOOKUP(H574,Cadastros!$D$6:$D$90,Cadastros!$E$6:$E$90))*(1-_xlfn.XLOOKUP(_xlfn.XLOOKUP($F574,Clientes!$B$4:$B$39,Clientes!$C$4:$C$39),Cadastros!$L$6:$L$12,Cadastros!$N$6:$N$12)))</f>
        <v/>
      </c>
      <c r="K574" s="168" t="str">
        <f t="shared" si="105"/>
        <v/>
      </c>
      <c r="L574" s="168" t="str">
        <f>IFERROR(K574/_xlfn.XLOOKUP(_xlfn.XLOOKUP($F574,Clientes!$B$4:$B$39,Clientes!$C$4:$C$39),Cadastros!$L$6:$L$12,Cadastros!$M$6:$M$12)," ")</f>
        <v xml:space="preserve"> </v>
      </c>
      <c r="M574" s="28"/>
      <c r="N574" s="28"/>
      <c r="O574" s="255" t="str">
        <f>IF(M574="","",(_xlfn.XLOOKUP(M574,Cadastros!$D$6:$D$90,Cadastros!$E$6:$E$90))*(1-_xlfn.XLOOKUP(_xlfn.XLOOKUP($F574,Clientes!$B$4:$B$39,Clientes!$C$4:$C$39),Cadastros!$L$6:$L$12,Cadastros!$N$6:$N$12)))</f>
        <v/>
      </c>
      <c r="P574" s="168" t="str">
        <f t="shared" si="106"/>
        <v/>
      </c>
      <c r="Q574" s="168" t="str">
        <f>IFERROR(P574/_xlfn.XLOOKUP(_xlfn.XLOOKUP($F574,Clientes!$B$4:$B$39,Clientes!$C$4:$C$39),Cadastros!$L$6:$L$12,Cadastros!$M$6:$M$12)," ")</f>
        <v xml:space="preserve"> </v>
      </c>
      <c r="R574" s="28"/>
      <c r="S574" s="28"/>
      <c r="T574" s="255" t="str">
        <f>IF(R574="","",(_xlfn.XLOOKUP(R574,Cadastros!$D$6:$D$90,Cadastros!$E$6:$E$90))*(1-_xlfn.XLOOKUP(_xlfn.XLOOKUP($F574,Clientes!$B$4:$B$39,Clientes!$C$4:$C$39),Cadastros!$L$6:$L$12,Cadastros!$N$6:$N$12)))</f>
        <v/>
      </c>
      <c r="U574" s="168" t="str">
        <f t="shared" si="107"/>
        <v/>
      </c>
      <c r="V574" s="168" t="str">
        <f>IFERROR(U574/_xlfn.XLOOKUP(_xlfn.XLOOKUP($F574,Clientes!$B$4:$B$39,Clientes!$C$4:$C$39),Cadastros!$L$6:$L$12,Cadastros!$M$6:$M$12)," ")</f>
        <v xml:space="preserve"> </v>
      </c>
      <c r="W574" s="28"/>
      <c r="X574" s="28"/>
      <c r="Y574" s="255" t="str">
        <f>IF(W574="","",(_xlfn.XLOOKUP(W574,Cadastros!$D$6:$D$90,Cadastros!$E$6:$E$90))*(1-_xlfn.XLOOKUP(_xlfn.XLOOKUP($F574,Clientes!$B$4:$B$39,Clientes!$C$4:$C$39),Cadastros!$L$6:$L$12,Cadastros!$N$6:$N$12)))</f>
        <v/>
      </c>
      <c r="Z574" s="168" t="str">
        <f t="shared" si="108"/>
        <v/>
      </c>
      <c r="AA574" s="168" t="str">
        <f>IFERROR(Z574/_xlfn.XLOOKUP(_xlfn.XLOOKUP($F574,Clientes!$B$4:$B$39,Clientes!$C$4:$C$39),Cadastros!$L$6:$L$12,Cadastros!$M$6:$M$12)," ")</f>
        <v xml:space="preserve"> </v>
      </c>
      <c r="AB574" s="28"/>
      <c r="AC574" s="28"/>
      <c r="AD574" s="20" t="str">
        <f>IF(AB574="","",IF($F574="Bernardino Furlan",_xlfn.XLOOKUP(AB574,Cadastros!$G$6:$G$90,Cadastros!$H$6:$H$90)*(1-0.18),IF($F574="Mauro José Salanti",_xlfn.XLOOKUP(AB574,Cadastros!$G$6:$G$90,Cadastros!$H$6:$H$90)*(1-0.18),_xlfn.XLOOKUP(AB574,Cadastros!$G$6:$G$90,Cadastros!$H$6:$H$90))))</f>
        <v/>
      </c>
      <c r="AE574" s="168" t="str">
        <f t="shared" si="109"/>
        <v/>
      </c>
      <c r="AF574" s="168" t="str">
        <f t="shared" si="110"/>
        <v/>
      </c>
      <c r="AG574" s="28"/>
      <c r="AH574" s="28"/>
      <c r="AI574" s="20" t="str">
        <f>IF(AG574="","",IF($F574="Bernardino Furlan",_xlfn.XLOOKUP(AG574,Cadastros!$G$6:$G$90,Cadastros!$H$6:$H$90)*(1-0.18),IF($F574="Mauro José Salanti",_xlfn.XLOOKUP(AG574,Cadastros!$G$6:$G$90,Cadastros!$H$6:$H$90)*(1-0.18),_xlfn.XLOOKUP(AG574,Cadastros!$G$6:$G$90,Cadastros!$H$6:$H$90))))</f>
        <v/>
      </c>
      <c r="AJ574" s="168" t="str">
        <f t="shared" si="111"/>
        <v/>
      </c>
      <c r="AK574" s="168" t="str">
        <f t="shared" si="112"/>
        <v/>
      </c>
      <c r="AL574" s="28"/>
      <c r="AM574" s="28"/>
      <c r="AN574" s="20" t="str">
        <f>IF(AL574="","",IF($F574="Bernardino Furlan",_xlfn.XLOOKUP(AL574,Cadastros!$G$6:$G$90,Cadastros!$H$6:$H$90)*(1-0.18),IF($F574="Mauro José Salanti",_xlfn.XLOOKUP(AL574,Cadastros!$G$6:$G$90,Cadastros!$H$6:$H$90)*(1-0.18),_xlfn.XLOOKUP(AL574,Cadastros!$G$6:$G$90,Cadastros!$H$6:$H$90))))</f>
        <v/>
      </c>
      <c r="AO574" s="168" t="str">
        <f t="shared" si="113"/>
        <v/>
      </c>
      <c r="AP574" s="168" t="str">
        <f t="shared" si="114"/>
        <v/>
      </c>
      <c r="AQ574" s="28"/>
      <c r="AR574" s="28"/>
      <c r="AS574" s="20" t="str">
        <f>IF(AQ574="","",IF($F574="Bernardino Furlan",_xlfn.XLOOKUP(AQ574,Cadastros!$G$6:$G$90,Cadastros!$H$6:$H$90)*(1-0.18),IF($F574="Mauro José Salanti",_xlfn.XLOOKUP(AQ574,Cadastros!$G$6:$G$90,Cadastros!$H$6:$H$90)*(1-0.18),_xlfn.XLOOKUP(AQ574,Cadastros!$G$6:$G$90,Cadastros!$H$6:$H$90))))</f>
        <v/>
      </c>
      <c r="AT574" s="168" t="str">
        <f t="shared" si="115"/>
        <v/>
      </c>
      <c r="AU574" s="168" t="str">
        <f t="shared" si="116"/>
        <v/>
      </c>
      <c r="AV574" s="227"/>
      <c r="AW574" s="30"/>
      <c r="AX574" s="267"/>
      <c r="AY574" s="267"/>
      <c r="AZ574" s="29"/>
      <c r="BA574" s="30"/>
      <c r="BB574" s="23" t="str" cm="1">
        <f t="array" ref="BB574">_xlfn.IFS(AW574="SIM",SUM(K574,P574,U574,Z574,AE574,AJ574,AO574,AT574,AX574,AY574),F574&lt;&gt;"",SUM(K574,P574,U574,Z574,AE574,AJ574,,AO574,AT574),F574="","")</f>
        <v/>
      </c>
      <c r="BC574" s="211" t="str" cm="1">
        <f t="array" ref="BC574">_xlfn.IFS(E574="","",G574&lt;=E574,BB574*(1-0.03),G574&lt;(E574+8),BB574,AZ574="Boleto",BB574*(1+0.001)^DATEDIF(E574,G574,"D"),AZ574="Cheque",BB574,AZ574="Dinheiro","Alterar forma pgto")</f>
        <v/>
      </c>
      <c r="BD574" s="276" t="str" cm="1">
        <f t="array" ref="BD574">IF(F574=0," ",IF(BC574&lt;BB574,(_xlfn.IFS(AW574="SIM",SUM(L574,Q574,V574,AA574,AF574,AK574,AP574,AU574)+AX574/_xlfn.XLOOKUP(_xlfn.XLOOKUP($F574,Clientes!$B$4:$B$39,Clientes!$C$4:$C$39),Cadastros!$L$6:$L$12,Cadastros!$M$6:$M$12)+IF($F574="Bernardino Furlan",AY574/2751.92,IF($F574="Mauro José Salanti",AY574/2751.92,AY574/3356)),F574&lt;&gt;0,SUM(L574,Q574,V574,AA574,AF574,AK574,AP574,AU574)))*(1-0.03),_xlfn.IFS(AW574="SIM",SUM(L574,Q574,V574,AA574,AF574,AK574,AP574,AU574)+AX574/_xlfn.XLOOKUP(_xlfn.XLOOKUP($F574,Clientes!$B$4:$B$39,Clientes!$C$4:$C$39),Cadastros!$L$6:$L$12,Cadastros!$M$6:$M$12)+IF($F574="Bernardino Furlan",AY574/2751.92,IF($F574="Mauro José Salanti",AY574/2751.92,AY574/3356)),F574&lt;&gt;0,SUM(L574,Q574,V574,AA574,AF574,AK574,AP574,AU574))))</f>
        <v xml:space="preserve"> </v>
      </c>
      <c r="BE574" s="120"/>
      <c r="BF574" s="120"/>
      <c r="BG574" s="120"/>
    </row>
    <row r="575" spans="1:59" s="3" customFormat="1" x14ac:dyDescent="0.3">
      <c r="A575" s="15" t="str">
        <f t="shared" si="104"/>
        <v/>
      </c>
      <c r="B575" s="25"/>
      <c r="C575" s="26"/>
      <c r="D575" s="279"/>
      <c r="E575" s="27"/>
      <c r="F575" s="28"/>
      <c r="G575" s="27"/>
      <c r="H575" s="28"/>
      <c r="I575" s="28"/>
      <c r="J575" s="255" t="str">
        <f>IF(H575="","",(_xlfn.XLOOKUP(H575,Cadastros!$D$6:$D$90,Cadastros!$E$6:$E$90))*(1-_xlfn.XLOOKUP(_xlfn.XLOOKUP($F575,Clientes!$B$4:$B$39,Clientes!$C$4:$C$39),Cadastros!$L$6:$L$12,Cadastros!$N$6:$N$12)))</f>
        <v/>
      </c>
      <c r="K575" s="168" t="str">
        <f t="shared" si="105"/>
        <v/>
      </c>
      <c r="L575" s="168" t="str">
        <f>IFERROR(K575/_xlfn.XLOOKUP(_xlfn.XLOOKUP($F575,Clientes!$B$4:$B$39,Clientes!$C$4:$C$39),Cadastros!$L$6:$L$12,Cadastros!$M$6:$M$12)," ")</f>
        <v xml:space="preserve"> </v>
      </c>
      <c r="M575" s="28"/>
      <c r="N575" s="28"/>
      <c r="O575" s="255" t="str">
        <f>IF(M575="","",(_xlfn.XLOOKUP(M575,Cadastros!$D$6:$D$90,Cadastros!$E$6:$E$90))*(1-_xlfn.XLOOKUP(_xlfn.XLOOKUP($F575,Clientes!$B$4:$B$39,Clientes!$C$4:$C$39),Cadastros!$L$6:$L$12,Cadastros!$N$6:$N$12)))</f>
        <v/>
      </c>
      <c r="P575" s="168" t="str">
        <f t="shared" si="106"/>
        <v/>
      </c>
      <c r="Q575" s="168" t="str">
        <f>IFERROR(P575/_xlfn.XLOOKUP(_xlfn.XLOOKUP($F575,Clientes!$B$4:$B$39,Clientes!$C$4:$C$39),Cadastros!$L$6:$L$12,Cadastros!$M$6:$M$12)," ")</f>
        <v xml:space="preserve"> </v>
      </c>
      <c r="R575" s="28"/>
      <c r="S575" s="28"/>
      <c r="T575" s="255" t="str">
        <f>IF(R575="","",(_xlfn.XLOOKUP(R575,Cadastros!$D$6:$D$90,Cadastros!$E$6:$E$90))*(1-_xlfn.XLOOKUP(_xlfn.XLOOKUP($F575,Clientes!$B$4:$B$39,Clientes!$C$4:$C$39),Cadastros!$L$6:$L$12,Cadastros!$N$6:$N$12)))</f>
        <v/>
      </c>
      <c r="U575" s="168" t="str">
        <f t="shared" si="107"/>
        <v/>
      </c>
      <c r="V575" s="168" t="str">
        <f>IFERROR(U575/_xlfn.XLOOKUP(_xlfn.XLOOKUP($F575,Clientes!$B$4:$B$39,Clientes!$C$4:$C$39),Cadastros!$L$6:$L$12,Cadastros!$M$6:$M$12)," ")</f>
        <v xml:space="preserve"> </v>
      </c>
      <c r="W575" s="28"/>
      <c r="X575" s="28"/>
      <c r="Y575" s="255" t="str">
        <f>IF(W575="","",(_xlfn.XLOOKUP(W575,Cadastros!$D$6:$D$90,Cadastros!$E$6:$E$90))*(1-_xlfn.XLOOKUP(_xlfn.XLOOKUP($F575,Clientes!$B$4:$B$39,Clientes!$C$4:$C$39),Cadastros!$L$6:$L$12,Cadastros!$N$6:$N$12)))</f>
        <v/>
      </c>
      <c r="Z575" s="168" t="str">
        <f t="shared" si="108"/>
        <v/>
      </c>
      <c r="AA575" s="168" t="str">
        <f>IFERROR(Z575/_xlfn.XLOOKUP(_xlfn.XLOOKUP($F575,Clientes!$B$4:$B$39,Clientes!$C$4:$C$39),Cadastros!$L$6:$L$12,Cadastros!$M$6:$M$12)," ")</f>
        <v xml:space="preserve"> </v>
      </c>
      <c r="AB575" s="28"/>
      <c r="AC575" s="28"/>
      <c r="AD575" s="20" t="str">
        <f>IF(AB575="","",IF($F575="Bernardino Furlan",_xlfn.XLOOKUP(AB575,Cadastros!$G$6:$G$90,Cadastros!$H$6:$H$90)*(1-0.18),IF($F575="Mauro José Salanti",_xlfn.XLOOKUP(AB575,Cadastros!$G$6:$G$90,Cadastros!$H$6:$H$90)*(1-0.18),_xlfn.XLOOKUP(AB575,Cadastros!$G$6:$G$90,Cadastros!$H$6:$H$90))))</f>
        <v/>
      </c>
      <c r="AE575" s="168" t="str">
        <f t="shared" si="109"/>
        <v/>
      </c>
      <c r="AF575" s="168" t="str">
        <f t="shared" si="110"/>
        <v/>
      </c>
      <c r="AG575" s="28"/>
      <c r="AH575" s="28"/>
      <c r="AI575" s="20" t="str">
        <f>IF(AG575="","",IF($F575="Bernardino Furlan",_xlfn.XLOOKUP(AG575,Cadastros!$G$6:$G$90,Cadastros!$H$6:$H$90)*(1-0.18),IF($F575="Mauro José Salanti",_xlfn.XLOOKUP(AG575,Cadastros!$G$6:$G$90,Cadastros!$H$6:$H$90)*(1-0.18),_xlfn.XLOOKUP(AG575,Cadastros!$G$6:$G$90,Cadastros!$H$6:$H$90))))</f>
        <v/>
      </c>
      <c r="AJ575" s="168" t="str">
        <f t="shared" si="111"/>
        <v/>
      </c>
      <c r="AK575" s="168" t="str">
        <f t="shared" si="112"/>
        <v/>
      </c>
      <c r="AL575" s="28"/>
      <c r="AM575" s="28"/>
      <c r="AN575" s="20" t="str">
        <f>IF(AL575="","",IF($F575="Bernardino Furlan",_xlfn.XLOOKUP(AL575,Cadastros!$G$6:$G$90,Cadastros!$H$6:$H$90)*(1-0.18),IF($F575="Mauro José Salanti",_xlfn.XLOOKUP(AL575,Cadastros!$G$6:$G$90,Cadastros!$H$6:$H$90)*(1-0.18),_xlfn.XLOOKUP(AL575,Cadastros!$G$6:$G$90,Cadastros!$H$6:$H$90))))</f>
        <v/>
      </c>
      <c r="AO575" s="168" t="str">
        <f t="shared" si="113"/>
        <v/>
      </c>
      <c r="AP575" s="168" t="str">
        <f t="shared" si="114"/>
        <v/>
      </c>
      <c r="AQ575" s="28"/>
      <c r="AR575" s="28"/>
      <c r="AS575" s="20" t="str">
        <f>IF(AQ575="","",IF($F575="Bernardino Furlan",_xlfn.XLOOKUP(AQ575,Cadastros!$G$6:$G$90,Cadastros!$H$6:$H$90)*(1-0.18),IF($F575="Mauro José Salanti",_xlfn.XLOOKUP(AQ575,Cadastros!$G$6:$G$90,Cadastros!$H$6:$H$90)*(1-0.18),_xlfn.XLOOKUP(AQ575,Cadastros!$G$6:$G$90,Cadastros!$H$6:$H$90))))</f>
        <v/>
      </c>
      <c r="AT575" s="168" t="str">
        <f t="shared" si="115"/>
        <v/>
      </c>
      <c r="AU575" s="168" t="str">
        <f t="shared" si="116"/>
        <v/>
      </c>
      <c r="AV575" s="227"/>
      <c r="AW575" s="30"/>
      <c r="AX575" s="267"/>
      <c r="AY575" s="267"/>
      <c r="AZ575" s="29"/>
      <c r="BA575" s="30"/>
      <c r="BB575" s="23" t="str" cm="1">
        <f t="array" ref="BB575">_xlfn.IFS(AW575="SIM",SUM(K575,P575,U575,Z575,AE575,AJ575,AO575,AT575,AX575,AY575),F575&lt;&gt;"",SUM(K575,P575,U575,Z575,AE575,AJ575,,AO575,AT575),F575="","")</f>
        <v/>
      </c>
      <c r="BC575" s="211" t="str" cm="1">
        <f t="array" ref="BC575">_xlfn.IFS(E575="","",G575&lt;=E575,BB575*(1-0.03),G575&lt;(E575+8),BB575,AZ575="Boleto",BB575*(1+0.001)^DATEDIF(E575,G575,"D"),AZ575="Cheque",BB575,AZ575="Dinheiro","Alterar forma pgto")</f>
        <v/>
      </c>
      <c r="BD575" s="276" t="str" cm="1">
        <f t="array" ref="BD575">IF(F575=0," ",IF(BC575&lt;BB575,(_xlfn.IFS(AW575="SIM",SUM(L575,Q575,V575,AA575,AF575,AK575,AP575,AU575)+AX575/_xlfn.XLOOKUP(_xlfn.XLOOKUP($F575,Clientes!$B$4:$B$39,Clientes!$C$4:$C$39),Cadastros!$L$6:$L$12,Cadastros!$M$6:$M$12)+IF($F575="Bernardino Furlan",AY575/2751.92,IF($F575="Mauro José Salanti",AY575/2751.92,AY575/3356)),F575&lt;&gt;0,SUM(L575,Q575,V575,AA575,AF575,AK575,AP575,AU575)))*(1-0.03),_xlfn.IFS(AW575="SIM",SUM(L575,Q575,V575,AA575,AF575,AK575,AP575,AU575)+AX575/_xlfn.XLOOKUP(_xlfn.XLOOKUP($F575,Clientes!$B$4:$B$39,Clientes!$C$4:$C$39),Cadastros!$L$6:$L$12,Cadastros!$M$6:$M$12)+IF($F575="Bernardino Furlan",AY575/2751.92,IF($F575="Mauro José Salanti",AY575/2751.92,AY575/3356)),F575&lt;&gt;0,SUM(L575,Q575,V575,AA575,AF575,AK575,AP575,AU575))))</f>
        <v xml:space="preserve"> </v>
      </c>
      <c r="BE575" s="120"/>
      <c r="BF575" s="120"/>
      <c r="BG575" s="120"/>
    </row>
    <row r="576" spans="1:59" s="3" customFormat="1" x14ac:dyDescent="0.3">
      <c r="A576" s="15" t="str">
        <f t="shared" si="104"/>
        <v/>
      </c>
      <c r="B576" s="25"/>
      <c r="C576" s="26"/>
      <c r="D576" s="279"/>
      <c r="E576" s="27"/>
      <c r="F576" s="28"/>
      <c r="G576" s="27"/>
      <c r="H576" s="28"/>
      <c r="I576" s="28"/>
      <c r="J576" s="255" t="str">
        <f>IF(H576="","",(_xlfn.XLOOKUP(H576,Cadastros!$D$6:$D$90,Cadastros!$E$6:$E$90))*(1-_xlfn.XLOOKUP(_xlfn.XLOOKUP($F576,Clientes!$B$4:$B$39,Clientes!$C$4:$C$39),Cadastros!$L$6:$L$12,Cadastros!$N$6:$N$12)))</f>
        <v/>
      </c>
      <c r="K576" s="168" t="str">
        <f t="shared" si="105"/>
        <v/>
      </c>
      <c r="L576" s="168" t="str">
        <f>IFERROR(K576/_xlfn.XLOOKUP(_xlfn.XLOOKUP($F576,Clientes!$B$4:$B$39,Clientes!$C$4:$C$39),Cadastros!$L$6:$L$12,Cadastros!$M$6:$M$12)," ")</f>
        <v xml:space="preserve"> </v>
      </c>
      <c r="M576" s="28"/>
      <c r="N576" s="28"/>
      <c r="O576" s="255" t="str">
        <f>IF(M576="","",(_xlfn.XLOOKUP(M576,Cadastros!$D$6:$D$90,Cadastros!$E$6:$E$90))*(1-_xlfn.XLOOKUP(_xlfn.XLOOKUP($F576,Clientes!$B$4:$B$39,Clientes!$C$4:$C$39),Cadastros!$L$6:$L$12,Cadastros!$N$6:$N$12)))</f>
        <v/>
      </c>
      <c r="P576" s="168" t="str">
        <f t="shared" si="106"/>
        <v/>
      </c>
      <c r="Q576" s="168" t="str">
        <f>IFERROR(P576/_xlfn.XLOOKUP(_xlfn.XLOOKUP($F576,Clientes!$B$4:$B$39,Clientes!$C$4:$C$39),Cadastros!$L$6:$L$12,Cadastros!$M$6:$M$12)," ")</f>
        <v xml:space="preserve"> </v>
      </c>
      <c r="R576" s="28"/>
      <c r="S576" s="28"/>
      <c r="T576" s="255" t="str">
        <f>IF(R576="","",(_xlfn.XLOOKUP(R576,Cadastros!$D$6:$D$90,Cadastros!$E$6:$E$90))*(1-_xlfn.XLOOKUP(_xlfn.XLOOKUP($F576,Clientes!$B$4:$B$39,Clientes!$C$4:$C$39),Cadastros!$L$6:$L$12,Cadastros!$N$6:$N$12)))</f>
        <v/>
      </c>
      <c r="U576" s="168" t="str">
        <f t="shared" si="107"/>
        <v/>
      </c>
      <c r="V576" s="168" t="str">
        <f>IFERROR(U576/_xlfn.XLOOKUP(_xlfn.XLOOKUP($F576,Clientes!$B$4:$B$39,Clientes!$C$4:$C$39),Cadastros!$L$6:$L$12,Cadastros!$M$6:$M$12)," ")</f>
        <v xml:space="preserve"> </v>
      </c>
      <c r="W576" s="28"/>
      <c r="X576" s="28"/>
      <c r="Y576" s="255" t="str">
        <f>IF(W576="","",(_xlfn.XLOOKUP(W576,Cadastros!$D$6:$D$90,Cadastros!$E$6:$E$90))*(1-_xlfn.XLOOKUP(_xlfn.XLOOKUP($F576,Clientes!$B$4:$B$39,Clientes!$C$4:$C$39),Cadastros!$L$6:$L$12,Cadastros!$N$6:$N$12)))</f>
        <v/>
      </c>
      <c r="Z576" s="168" t="str">
        <f t="shared" si="108"/>
        <v/>
      </c>
      <c r="AA576" s="168" t="str">
        <f>IFERROR(Z576/_xlfn.XLOOKUP(_xlfn.XLOOKUP($F576,Clientes!$B$4:$B$39,Clientes!$C$4:$C$39),Cadastros!$L$6:$L$12,Cadastros!$M$6:$M$12)," ")</f>
        <v xml:space="preserve"> </v>
      </c>
      <c r="AB576" s="28"/>
      <c r="AC576" s="28"/>
      <c r="AD576" s="20" t="str">
        <f>IF(AB576="","",IF($F576="Bernardino Furlan",_xlfn.XLOOKUP(AB576,Cadastros!$G$6:$G$90,Cadastros!$H$6:$H$90)*(1-0.18),IF($F576="Mauro José Salanti",_xlfn.XLOOKUP(AB576,Cadastros!$G$6:$G$90,Cadastros!$H$6:$H$90)*(1-0.18),_xlfn.XLOOKUP(AB576,Cadastros!$G$6:$G$90,Cadastros!$H$6:$H$90))))</f>
        <v/>
      </c>
      <c r="AE576" s="168" t="str">
        <f t="shared" si="109"/>
        <v/>
      </c>
      <c r="AF576" s="168" t="str">
        <f t="shared" si="110"/>
        <v/>
      </c>
      <c r="AG576" s="28"/>
      <c r="AH576" s="28"/>
      <c r="AI576" s="20" t="str">
        <f>IF(AG576="","",IF($F576="Bernardino Furlan",_xlfn.XLOOKUP(AG576,Cadastros!$G$6:$G$90,Cadastros!$H$6:$H$90)*(1-0.18),IF($F576="Mauro José Salanti",_xlfn.XLOOKUP(AG576,Cadastros!$G$6:$G$90,Cadastros!$H$6:$H$90)*(1-0.18),_xlfn.XLOOKUP(AG576,Cadastros!$G$6:$G$90,Cadastros!$H$6:$H$90))))</f>
        <v/>
      </c>
      <c r="AJ576" s="168" t="str">
        <f t="shared" si="111"/>
        <v/>
      </c>
      <c r="AK576" s="168" t="str">
        <f t="shared" si="112"/>
        <v/>
      </c>
      <c r="AL576" s="28"/>
      <c r="AM576" s="28"/>
      <c r="AN576" s="20" t="str">
        <f>IF(AL576="","",IF($F576="Bernardino Furlan",_xlfn.XLOOKUP(AL576,Cadastros!$G$6:$G$90,Cadastros!$H$6:$H$90)*(1-0.18),IF($F576="Mauro José Salanti",_xlfn.XLOOKUP(AL576,Cadastros!$G$6:$G$90,Cadastros!$H$6:$H$90)*(1-0.18),_xlfn.XLOOKUP(AL576,Cadastros!$G$6:$G$90,Cadastros!$H$6:$H$90))))</f>
        <v/>
      </c>
      <c r="AO576" s="168" t="str">
        <f t="shared" si="113"/>
        <v/>
      </c>
      <c r="AP576" s="168" t="str">
        <f t="shared" si="114"/>
        <v/>
      </c>
      <c r="AQ576" s="28"/>
      <c r="AR576" s="28"/>
      <c r="AS576" s="20" t="str">
        <f>IF(AQ576="","",IF($F576="Bernardino Furlan",_xlfn.XLOOKUP(AQ576,Cadastros!$G$6:$G$90,Cadastros!$H$6:$H$90)*(1-0.18),IF($F576="Mauro José Salanti",_xlfn.XLOOKUP(AQ576,Cadastros!$G$6:$G$90,Cadastros!$H$6:$H$90)*(1-0.18),_xlfn.XLOOKUP(AQ576,Cadastros!$G$6:$G$90,Cadastros!$H$6:$H$90))))</f>
        <v/>
      </c>
      <c r="AT576" s="168" t="str">
        <f t="shared" si="115"/>
        <v/>
      </c>
      <c r="AU576" s="168" t="str">
        <f t="shared" si="116"/>
        <v/>
      </c>
      <c r="AV576" s="227"/>
      <c r="AW576" s="30"/>
      <c r="AX576" s="267"/>
      <c r="AY576" s="267"/>
      <c r="AZ576" s="29"/>
      <c r="BA576" s="30"/>
      <c r="BB576" s="23" t="str" cm="1">
        <f t="array" ref="BB576">_xlfn.IFS(AW576="SIM",SUM(K576,P576,U576,Z576,AE576,AJ576,AO576,AT576,AX576,AY576),F576&lt;&gt;"",SUM(K576,P576,U576,Z576,AE576,AJ576,,AO576,AT576),F576="","")</f>
        <v/>
      </c>
      <c r="BC576" s="211" t="str" cm="1">
        <f t="array" ref="BC576">_xlfn.IFS(E576="","",G576&lt;=E576,BB576*(1-0.03),G576&lt;(E576+8),BB576,AZ576="Boleto",BB576*(1+0.001)^DATEDIF(E576,G576,"D"),AZ576="Cheque",BB576,AZ576="Dinheiro","Alterar forma pgto")</f>
        <v/>
      </c>
      <c r="BD576" s="276" t="str" cm="1">
        <f t="array" ref="BD576">IF(F576=0," ",IF(BC576&lt;BB576,(_xlfn.IFS(AW576="SIM",SUM(L576,Q576,V576,AA576,AF576,AK576,AP576,AU576)+AX576/_xlfn.XLOOKUP(_xlfn.XLOOKUP($F576,Clientes!$B$4:$B$39,Clientes!$C$4:$C$39),Cadastros!$L$6:$L$12,Cadastros!$M$6:$M$12)+IF($F576="Bernardino Furlan",AY576/2751.92,IF($F576="Mauro José Salanti",AY576/2751.92,AY576/3356)),F576&lt;&gt;0,SUM(L576,Q576,V576,AA576,AF576,AK576,AP576,AU576)))*(1-0.03),_xlfn.IFS(AW576="SIM",SUM(L576,Q576,V576,AA576,AF576,AK576,AP576,AU576)+AX576/_xlfn.XLOOKUP(_xlfn.XLOOKUP($F576,Clientes!$B$4:$B$39,Clientes!$C$4:$C$39),Cadastros!$L$6:$L$12,Cadastros!$M$6:$M$12)+IF($F576="Bernardino Furlan",AY576/2751.92,IF($F576="Mauro José Salanti",AY576/2751.92,AY576/3356)),F576&lt;&gt;0,SUM(L576,Q576,V576,AA576,AF576,AK576,AP576,AU576))))</f>
        <v xml:space="preserve"> </v>
      </c>
      <c r="BE576" s="120"/>
      <c r="BF576" s="120"/>
      <c r="BG576" s="120"/>
    </row>
    <row r="577" spans="1:59" s="3" customFormat="1" x14ac:dyDescent="0.3">
      <c r="A577" s="15" t="str">
        <f t="shared" si="104"/>
        <v/>
      </c>
      <c r="B577" s="25"/>
      <c r="C577" s="26"/>
      <c r="D577" s="279"/>
      <c r="E577" s="27"/>
      <c r="F577" s="28"/>
      <c r="G577" s="27"/>
      <c r="H577" s="28"/>
      <c r="I577" s="28"/>
      <c r="J577" s="255" t="str">
        <f>IF(H577="","",(_xlfn.XLOOKUP(H577,Cadastros!$D$6:$D$90,Cadastros!$E$6:$E$90))*(1-_xlfn.XLOOKUP(_xlfn.XLOOKUP($F577,Clientes!$B$4:$B$39,Clientes!$C$4:$C$39),Cadastros!$L$6:$L$12,Cadastros!$N$6:$N$12)))</f>
        <v/>
      </c>
      <c r="K577" s="168" t="str">
        <f t="shared" si="105"/>
        <v/>
      </c>
      <c r="L577" s="168" t="str">
        <f>IFERROR(K577/_xlfn.XLOOKUP(_xlfn.XLOOKUP($F577,Clientes!$B$4:$B$39,Clientes!$C$4:$C$39),Cadastros!$L$6:$L$12,Cadastros!$M$6:$M$12)," ")</f>
        <v xml:space="preserve"> </v>
      </c>
      <c r="M577" s="28"/>
      <c r="N577" s="28"/>
      <c r="O577" s="255" t="str">
        <f>IF(M577="","",(_xlfn.XLOOKUP(M577,Cadastros!$D$6:$D$90,Cadastros!$E$6:$E$90))*(1-_xlfn.XLOOKUP(_xlfn.XLOOKUP($F577,Clientes!$B$4:$B$39,Clientes!$C$4:$C$39),Cadastros!$L$6:$L$12,Cadastros!$N$6:$N$12)))</f>
        <v/>
      </c>
      <c r="P577" s="168" t="str">
        <f t="shared" si="106"/>
        <v/>
      </c>
      <c r="Q577" s="168" t="str">
        <f>IFERROR(P577/_xlfn.XLOOKUP(_xlfn.XLOOKUP($F577,Clientes!$B$4:$B$39,Clientes!$C$4:$C$39),Cadastros!$L$6:$L$12,Cadastros!$M$6:$M$12)," ")</f>
        <v xml:space="preserve"> </v>
      </c>
      <c r="R577" s="28"/>
      <c r="S577" s="28"/>
      <c r="T577" s="255" t="str">
        <f>IF(R577="","",(_xlfn.XLOOKUP(R577,Cadastros!$D$6:$D$90,Cadastros!$E$6:$E$90))*(1-_xlfn.XLOOKUP(_xlfn.XLOOKUP($F577,Clientes!$B$4:$B$39,Clientes!$C$4:$C$39),Cadastros!$L$6:$L$12,Cadastros!$N$6:$N$12)))</f>
        <v/>
      </c>
      <c r="U577" s="168" t="str">
        <f t="shared" si="107"/>
        <v/>
      </c>
      <c r="V577" s="168" t="str">
        <f>IFERROR(U577/_xlfn.XLOOKUP(_xlfn.XLOOKUP($F577,Clientes!$B$4:$B$39,Clientes!$C$4:$C$39),Cadastros!$L$6:$L$12,Cadastros!$M$6:$M$12)," ")</f>
        <v xml:space="preserve"> </v>
      </c>
      <c r="W577" s="28"/>
      <c r="X577" s="28"/>
      <c r="Y577" s="255" t="str">
        <f>IF(W577="","",(_xlfn.XLOOKUP(W577,Cadastros!$D$6:$D$90,Cadastros!$E$6:$E$90))*(1-_xlfn.XLOOKUP(_xlfn.XLOOKUP($F577,Clientes!$B$4:$B$39,Clientes!$C$4:$C$39),Cadastros!$L$6:$L$12,Cadastros!$N$6:$N$12)))</f>
        <v/>
      </c>
      <c r="Z577" s="168" t="str">
        <f t="shared" si="108"/>
        <v/>
      </c>
      <c r="AA577" s="168" t="str">
        <f>IFERROR(Z577/_xlfn.XLOOKUP(_xlfn.XLOOKUP($F577,Clientes!$B$4:$B$39,Clientes!$C$4:$C$39),Cadastros!$L$6:$L$12,Cadastros!$M$6:$M$12)," ")</f>
        <v xml:space="preserve"> </v>
      </c>
      <c r="AB577" s="28"/>
      <c r="AC577" s="28"/>
      <c r="AD577" s="20" t="str">
        <f>IF(AB577="","",IF($F577="Bernardino Furlan",_xlfn.XLOOKUP(AB577,Cadastros!$G$6:$G$90,Cadastros!$H$6:$H$90)*(1-0.18),IF($F577="Mauro José Salanti",_xlfn.XLOOKUP(AB577,Cadastros!$G$6:$G$90,Cadastros!$H$6:$H$90)*(1-0.18),_xlfn.XLOOKUP(AB577,Cadastros!$G$6:$G$90,Cadastros!$H$6:$H$90))))</f>
        <v/>
      </c>
      <c r="AE577" s="168" t="str">
        <f t="shared" si="109"/>
        <v/>
      </c>
      <c r="AF577" s="168" t="str">
        <f t="shared" si="110"/>
        <v/>
      </c>
      <c r="AG577" s="28"/>
      <c r="AH577" s="28"/>
      <c r="AI577" s="20" t="str">
        <f>IF(AG577="","",IF($F577="Bernardino Furlan",_xlfn.XLOOKUP(AG577,Cadastros!$G$6:$G$90,Cadastros!$H$6:$H$90)*(1-0.18),IF($F577="Mauro José Salanti",_xlfn.XLOOKUP(AG577,Cadastros!$G$6:$G$90,Cadastros!$H$6:$H$90)*(1-0.18),_xlfn.XLOOKUP(AG577,Cadastros!$G$6:$G$90,Cadastros!$H$6:$H$90))))</f>
        <v/>
      </c>
      <c r="AJ577" s="168" t="str">
        <f t="shared" si="111"/>
        <v/>
      </c>
      <c r="AK577" s="168" t="str">
        <f t="shared" si="112"/>
        <v/>
      </c>
      <c r="AL577" s="28"/>
      <c r="AM577" s="28"/>
      <c r="AN577" s="20" t="str">
        <f>IF(AL577="","",IF($F577="Bernardino Furlan",_xlfn.XLOOKUP(AL577,Cadastros!$G$6:$G$90,Cadastros!$H$6:$H$90)*(1-0.18),IF($F577="Mauro José Salanti",_xlfn.XLOOKUP(AL577,Cadastros!$G$6:$G$90,Cadastros!$H$6:$H$90)*(1-0.18),_xlfn.XLOOKUP(AL577,Cadastros!$G$6:$G$90,Cadastros!$H$6:$H$90))))</f>
        <v/>
      </c>
      <c r="AO577" s="168" t="str">
        <f t="shared" si="113"/>
        <v/>
      </c>
      <c r="AP577" s="168" t="str">
        <f t="shared" si="114"/>
        <v/>
      </c>
      <c r="AQ577" s="28"/>
      <c r="AR577" s="28"/>
      <c r="AS577" s="20" t="str">
        <f>IF(AQ577="","",IF($F577="Bernardino Furlan",_xlfn.XLOOKUP(AQ577,Cadastros!$G$6:$G$90,Cadastros!$H$6:$H$90)*(1-0.18),IF($F577="Mauro José Salanti",_xlfn.XLOOKUP(AQ577,Cadastros!$G$6:$G$90,Cadastros!$H$6:$H$90)*(1-0.18),_xlfn.XLOOKUP(AQ577,Cadastros!$G$6:$G$90,Cadastros!$H$6:$H$90))))</f>
        <v/>
      </c>
      <c r="AT577" s="168" t="str">
        <f t="shared" si="115"/>
        <v/>
      </c>
      <c r="AU577" s="168" t="str">
        <f t="shared" si="116"/>
        <v/>
      </c>
      <c r="AV577" s="227"/>
      <c r="AW577" s="30"/>
      <c r="AX577" s="267"/>
      <c r="AY577" s="267"/>
      <c r="AZ577" s="29"/>
      <c r="BA577" s="30"/>
      <c r="BB577" s="23" t="str" cm="1">
        <f t="array" ref="BB577">_xlfn.IFS(AW577="SIM",SUM(K577,P577,U577,Z577,AE577,AJ577,AO577,AT577,AX577,AY577),F577&lt;&gt;"",SUM(K577,P577,U577,Z577,AE577,AJ577,,AO577,AT577),F577="","")</f>
        <v/>
      </c>
      <c r="BC577" s="211" t="str" cm="1">
        <f t="array" ref="BC577">_xlfn.IFS(E577="","",G577&lt;=E577,BB577*(1-0.03),G577&lt;(E577+8),BB577,AZ577="Boleto",BB577*(1+0.001)^DATEDIF(E577,G577,"D"),AZ577="Cheque",BB577,AZ577="Dinheiro","Alterar forma pgto")</f>
        <v/>
      </c>
      <c r="BD577" s="276" t="str" cm="1">
        <f t="array" ref="BD577">IF(F577=0," ",IF(BC577&lt;BB577,(_xlfn.IFS(AW577="SIM",SUM(L577,Q577,V577,AA577,AF577,AK577,AP577,AU577)+AX577/_xlfn.XLOOKUP(_xlfn.XLOOKUP($F577,Clientes!$B$4:$B$39,Clientes!$C$4:$C$39),Cadastros!$L$6:$L$12,Cadastros!$M$6:$M$12)+IF($F577="Bernardino Furlan",AY577/2751.92,IF($F577="Mauro José Salanti",AY577/2751.92,AY577/3356)),F577&lt;&gt;0,SUM(L577,Q577,V577,AA577,AF577,AK577,AP577,AU577)))*(1-0.03),_xlfn.IFS(AW577="SIM",SUM(L577,Q577,V577,AA577,AF577,AK577,AP577,AU577)+AX577/_xlfn.XLOOKUP(_xlfn.XLOOKUP($F577,Clientes!$B$4:$B$39,Clientes!$C$4:$C$39),Cadastros!$L$6:$L$12,Cadastros!$M$6:$M$12)+IF($F577="Bernardino Furlan",AY577/2751.92,IF($F577="Mauro José Salanti",AY577/2751.92,AY577/3356)),F577&lt;&gt;0,SUM(L577,Q577,V577,AA577,AF577,AK577,AP577,AU577))))</f>
        <v xml:space="preserve"> </v>
      </c>
      <c r="BE577" s="120"/>
      <c r="BF577" s="120"/>
      <c r="BG577" s="120"/>
    </row>
    <row r="578" spans="1:59" s="3" customFormat="1" x14ac:dyDescent="0.3">
      <c r="A578" s="15" t="str">
        <f t="shared" si="104"/>
        <v/>
      </c>
      <c r="B578" s="25"/>
      <c r="C578" s="26"/>
      <c r="D578" s="279"/>
      <c r="E578" s="27"/>
      <c r="F578" s="28"/>
      <c r="G578" s="27"/>
      <c r="H578" s="28"/>
      <c r="I578" s="28"/>
      <c r="J578" s="255" t="str">
        <f>IF(H578="","",(_xlfn.XLOOKUP(H578,Cadastros!$D$6:$D$90,Cadastros!$E$6:$E$90))*(1-_xlfn.XLOOKUP(_xlfn.XLOOKUP($F578,Clientes!$B$4:$B$39,Clientes!$C$4:$C$39),Cadastros!$L$6:$L$12,Cadastros!$N$6:$N$12)))</f>
        <v/>
      </c>
      <c r="K578" s="168" t="str">
        <f t="shared" si="105"/>
        <v/>
      </c>
      <c r="L578" s="168" t="str">
        <f>IFERROR(K578/_xlfn.XLOOKUP(_xlfn.XLOOKUP($F578,Clientes!$B$4:$B$39,Clientes!$C$4:$C$39),Cadastros!$L$6:$L$12,Cadastros!$M$6:$M$12)," ")</f>
        <v xml:space="preserve"> </v>
      </c>
      <c r="M578" s="28"/>
      <c r="N578" s="28"/>
      <c r="O578" s="255" t="str">
        <f>IF(M578="","",(_xlfn.XLOOKUP(M578,Cadastros!$D$6:$D$90,Cadastros!$E$6:$E$90))*(1-_xlfn.XLOOKUP(_xlfn.XLOOKUP($F578,Clientes!$B$4:$B$39,Clientes!$C$4:$C$39),Cadastros!$L$6:$L$12,Cadastros!$N$6:$N$12)))</f>
        <v/>
      </c>
      <c r="P578" s="168" t="str">
        <f t="shared" si="106"/>
        <v/>
      </c>
      <c r="Q578" s="168" t="str">
        <f>IFERROR(P578/_xlfn.XLOOKUP(_xlfn.XLOOKUP($F578,Clientes!$B$4:$B$39,Clientes!$C$4:$C$39),Cadastros!$L$6:$L$12,Cadastros!$M$6:$M$12)," ")</f>
        <v xml:space="preserve"> </v>
      </c>
      <c r="R578" s="28"/>
      <c r="S578" s="28"/>
      <c r="T578" s="255" t="str">
        <f>IF(R578="","",(_xlfn.XLOOKUP(R578,Cadastros!$D$6:$D$90,Cadastros!$E$6:$E$90))*(1-_xlfn.XLOOKUP(_xlfn.XLOOKUP($F578,Clientes!$B$4:$B$39,Clientes!$C$4:$C$39),Cadastros!$L$6:$L$12,Cadastros!$N$6:$N$12)))</f>
        <v/>
      </c>
      <c r="U578" s="168" t="str">
        <f t="shared" si="107"/>
        <v/>
      </c>
      <c r="V578" s="168" t="str">
        <f>IFERROR(U578/_xlfn.XLOOKUP(_xlfn.XLOOKUP($F578,Clientes!$B$4:$B$39,Clientes!$C$4:$C$39),Cadastros!$L$6:$L$12,Cadastros!$M$6:$M$12)," ")</f>
        <v xml:space="preserve"> </v>
      </c>
      <c r="W578" s="28"/>
      <c r="X578" s="28"/>
      <c r="Y578" s="255" t="str">
        <f>IF(W578="","",(_xlfn.XLOOKUP(W578,Cadastros!$D$6:$D$90,Cadastros!$E$6:$E$90))*(1-_xlfn.XLOOKUP(_xlfn.XLOOKUP($F578,Clientes!$B$4:$B$39,Clientes!$C$4:$C$39),Cadastros!$L$6:$L$12,Cadastros!$N$6:$N$12)))</f>
        <v/>
      </c>
      <c r="Z578" s="168" t="str">
        <f t="shared" si="108"/>
        <v/>
      </c>
      <c r="AA578" s="168" t="str">
        <f>IFERROR(Z578/_xlfn.XLOOKUP(_xlfn.XLOOKUP($F578,Clientes!$B$4:$B$39,Clientes!$C$4:$C$39),Cadastros!$L$6:$L$12,Cadastros!$M$6:$M$12)," ")</f>
        <v xml:space="preserve"> </v>
      </c>
      <c r="AB578" s="28"/>
      <c r="AC578" s="28"/>
      <c r="AD578" s="20" t="str">
        <f>IF(AB578="","",IF($F578="Bernardino Furlan",_xlfn.XLOOKUP(AB578,Cadastros!$G$6:$G$90,Cadastros!$H$6:$H$90)*(1-0.18),IF($F578="Mauro José Salanti",_xlfn.XLOOKUP(AB578,Cadastros!$G$6:$G$90,Cadastros!$H$6:$H$90)*(1-0.18),_xlfn.XLOOKUP(AB578,Cadastros!$G$6:$G$90,Cadastros!$H$6:$H$90))))</f>
        <v/>
      </c>
      <c r="AE578" s="168" t="str">
        <f t="shared" si="109"/>
        <v/>
      </c>
      <c r="AF578" s="168" t="str">
        <f t="shared" si="110"/>
        <v/>
      </c>
      <c r="AG578" s="28"/>
      <c r="AH578" s="28"/>
      <c r="AI578" s="20" t="str">
        <f>IF(AG578="","",IF($F578="Bernardino Furlan",_xlfn.XLOOKUP(AG578,Cadastros!$G$6:$G$90,Cadastros!$H$6:$H$90)*(1-0.18),IF($F578="Mauro José Salanti",_xlfn.XLOOKUP(AG578,Cadastros!$G$6:$G$90,Cadastros!$H$6:$H$90)*(1-0.18),_xlfn.XLOOKUP(AG578,Cadastros!$G$6:$G$90,Cadastros!$H$6:$H$90))))</f>
        <v/>
      </c>
      <c r="AJ578" s="168" t="str">
        <f t="shared" si="111"/>
        <v/>
      </c>
      <c r="AK578" s="168" t="str">
        <f t="shared" si="112"/>
        <v/>
      </c>
      <c r="AL578" s="28"/>
      <c r="AM578" s="28"/>
      <c r="AN578" s="20" t="str">
        <f>IF(AL578="","",IF($F578="Bernardino Furlan",_xlfn.XLOOKUP(AL578,Cadastros!$G$6:$G$90,Cadastros!$H$6:$H$90)*(1-0.18),IF($F578="Mauro José Salanti",_xlfn.XLOOKUP(AL578,Cadastros!$G$6:$G$90,Cadastros!$H$6:$H$90)*(1-0.18),_xlfn.XLOOKUP(AL578,Cadastros!$G$6:$G$90,Cadastros!$H$6:$H$90))))</f>
        <v/>
      </c>
      <c r="AO578" s="168" t="str">
        <f t="shared" si="113"/>
        <v/>
      </c>
      <c r="AP578" s="168" t="str">
        <f t="shared" si="114"/>
        <v/>
      </c>
      <c r="AQ578" s="28"/>
      <c r="AR578" s="28"/>
      <c r="AS578" s="20" t="str">
        <f>IF(AQ578="","",IF($F578="Bernardino Furlan",_xlfn.XLOOKUP(AQ578,Cadastros!$G$6:$G$90,Cadastros!$H$6:$H$90)*(1-0.18),IF($F578="Mauro José Salanti",_xlfn.XLOOKUP(AQ578,Cadastros!$G$6:$G$90,Cadastros!$H$6:$H$90)*(1-0.18),_xlfn.XLOOKUP(AQ578,Cadastros!$G$6:$G$90,Cadastros!$H$6:$H$90))))</f>
        <v/>
      </c>
      <c r="AT578" s="168" t="str">
        <f t="shared" si="115"/>
        <v/>
      </c>
      <c r="AU578" s="168" t="str">
        <f t="shared" si="116"/>
        <v/>
      </c>
      <c r="AV578" s="227"/>
      <c r="AW578" s="30"/>
      <c r="AX578" s="267"/>
      <c r="AY578" s="267"/>
      <c r="AZ578" s="29"/>
      <c r="BA578" s="30"/>
      <c r="BB578" s="23" t="str" cm="1">
        <f t="array" ref="BB578">_xlfn.IFS(AW578="SIM",SUM(K578,P578,U578,Z578,AE578,AJ578,AO578,AT578,AX578,AY578),F578&lt;&gt;"",SUM(K578,P578,U578,Z578,AE578,AJ578,,AO578,AT578),F578="","")</f>
        <v/>
      </c>
      <c r="BC578" s="211" t="str" cm="1">
        <f t="array" ref="BC578">_xlfn.IFS(E578="","",G578&lt;=E578,BB578*(1-0.03),G578&lt;(E578+8),BB578,AZ578="Boleto",BB578*(1+0.001)^DATEDIF(E578,G578,"D"),AZ578="Cheque",BB578,AZ578="Dinheiro","Alterar forma pgto")</f>
        <v/>
      </c>
      <c r="BD578" s="276" t="str" cm="1">
        <f t="array" ref="BD578">IF(F578=0," ",IF(BC578&lt;BB578,(_xlfn.IFS(AW578="SIM",SUM(L578,Q578,V578,AA578,AF578,AK578,AP578,AU578)+AX578/_xlfn.XLOOKUP(_xlfn.XLOOKUP($F578,Clientes!$B$4:$B$39,Clientes!$C$4:$C$39),Cadastros!$L$6:$L$12,Cadastros!$M$6:$M$12)+IF($F578="Bernardino Furlan",AY578/2751.92,IF($F578="Mauro José Salanti",AY578/2751.92,AY578/3356)),F578&lt;&gt;0,SUM(L578,Q578,V578,AA578,AF578,AK578,AP578,AU578)))*(1-0.03),_xlfn.IFS(AW578="SIM",SUM(L578,Q578,V578,AA578,AF578,AK578,AP578,AU578)+AX578/_xlfn.XLOOKUP(_xlfn.XLOOKUP($F578,Clientes!$B$4:$B$39,Clientes!$C$4:$C$39),Cadastros!$L$6:$L$12,Cadastros!$M$6:$M$12)+IF($F578="Bernardino Furlan",AY578/2751.92,IF($F578="Mauro José Salanti",AY578/2751.92,AY578/3356)),F578&lt;&gt;0,SUM(L578,Q578,V578,AA578,AF578,AK578,AP578,AU578))))</f>
        <v xml:space="preserve"> </v>
      </c>
      <c r="BE578" s="120"/>
      <c r="BF578" s="120"/>
      <c r="BG578" s="120"/>
    </row>
    <row r="579" spans="1:59" s="3" customFormat="1" x14ac:dyDescent="0.3">
      <c r="A579" s="15" t="str">
        <f t="shared" si="104"/>
        <v/>
      </c>
      <c r="B579" s="25"/>
      <c r="C579" s="26"/>
      <c r="D579" s="279"/>
      <c r="E579" s="27"/>
      <c r="F579" s="28"/>
      <c r="G579" s="27"/>
      <c r="H579" s="28"/>
      <c r="I579" s="28"/>
      <c r="J579" s="255" t="str">
        <f>IF(H579="","",(_xlfn.XLOOKUP(H579,Cadastros!$D$6:$D$90,Cadastros!$E$6:$E$90))*(1-_xlfn.XLOOKUP(_xlfn.XLOOKUP($F579,Clientes!$B$4:$B$39,Clientes!$C$4:$C$39),Cadastros!$L$6:$L$12,Cadastros!$N$6:$N$12)))</f>
        <v/>
      </c>
      <c r="K579" s="168" t="str">
        <f t="shared" si="105"/>
        <v/>
      </c>
      <c r="L579" s="168" t="str">
        <f>IFERROR(K579/_xlfn.XLOOKUP(_xlfn.XLOOKUP($F579,Clientes!$B$4:$B$39,Clientes!$C$4:$C$39),Cadastros!$L$6:$L$12,Cadastros!$M$6:$M$12)," ")</f>
        <v xml:space="preserve"> </v>
      </c>
      <c r="M579" s="28"/>
      <c r="N579" s="28"/>
      <c r="O579" s="255" t="str">
        <f>IF(M579="","",(_xlfn.XLOOKUP(M579,Cadastros!$D$6:$D$90,Cadastros!$E$6:$E$90))*(1-_xlfn.XLOOKUP(_xlfn.XLOOKUP($F579,Clientes!$B$4:$B$39,Clientes!$C$4:$C$39),Cadastros!$L$6:$L$12,Cadastros!$N$6:$N$12)))</f>
        <v/>
      </c>
      <c r="P579" s="168" t="str">
        <f t="shared" si="106"/>
        <v/>
      </c>
      <c r="Q579" s="168" t="str">
        <f>IFERROR(P579/_xlfn.XLOOKUP(_xlfn.XLOOKUP($F579,Clientes!$B$4:$B$39,Clientes!$C$4:$C$39),Cadastros!$L$6:$L$12,Cadastros!$M$6:$M$12)," ")</f>
        <v xml:space="preserve"> </v>
      </c>
      <c r="R579" s="28"/>
      <c r="S579" s="28"/>
      <c r="T579" s="255" t="str">
        <f>IF(R579="","",(_xlfn.XLOOKUP(R579,Cadastros!$D$6:$D$90,Cadastros!$E$6:$E$90))*(1-_xlfn.XLOOKUP(_xlfn.XLOOKUP($F579,Clientes!$B$4:$B$39,Clientes!$C$4:$C$39),Cadastros!$L$6:$L$12,Cadastros!$N$6:$N$12)))</f>
        <v/>
      </c>
      <c r="U579" s="168" t="str">
        <f t="shared" si="107"/>
        <v/>
      </c>
      <c r="V579" s="168" t="str">
        <f>IFERROR(U579/_xlfn.XLOOKUP(_xlfn.XLOOKUP($F579,Clientes!$B$4:$B$39,Clientes!$C$4:$C$39),Cadastros!$L$6:$L$12,Cadastros!$M$6:$M$12)," ")</f>
        <v xml:space="preserve"> </v>
      </c>
      <c r="W579" s="28"/>
      <c r="X579" s="28"/>
      <c r="Y579" s="255" t="str">
        <f>IF(W579="","",(_xlfn.XLOOKUP(W579,Cadastros!$D$6:$D$90,Cadastros!$E$6:$E$90))*(1-_xlfn.XLOOKUP(_xlfn.XLOOKUP($F579,Clientes!$B$4:$B$39,Clientes!$C$4:$C$39),Cadastros!$L$6:$L$12,Cadastros!$N$6:$N$12)))</f>
        <v/>
      </c>
      <c r="Z579" s="168" t="str">
        <f t="shared" si="108"/>
        <v/>
      </c>
      <c r="AA579" s="168" t="str">
        <f>IFERROR(Z579/_xlfn.XLOOKUP(_xlfn.XLOOKUP($F579,Clientes!$B$4:$B$39,Clientes!$C$4:$C$39),Cadastros!$L$6:$L$12,Cadastros!$M$6:$M$12)," ")</f>
        <v xml:space="preserve"> </v>
      </c>
      <c r="AB579" s="28"/>
      <c r="AC579" s="28"/>
      <c r="AD579" s="20" t="str">
        <f>IF(AB579="","",IF($F579="Bernardino Furlan",_xlfn.XLOOKUP(AB579,Cadastros!$G$6:$G$90,Cadastros!$H$6:$H$90)*(1-0.18),IF($F579="Mauro José Salanti",_xlfn.XLOOKUP(AB579,Cadastros!$G$6:$G$90,Cadastros!$H$6:$H$90)*(1-0.18),_xlfn.XLOOKUP(AB579,Cadastros!$G$6:$G$90,Cadastros!$H$6:$H$90))))</f>
        <v/>
      </c>
      <c r="AE579" s="168" t="str">
        <f t="shared" si="109"/>
        <v/>
      </c>
      <c r="AF579" s="168" t="str">
        <f t="shared" si="110"/>
        <v/>
      </c>
      <c r="AG579" s="28"/>
      <c r="AH579" s="28"/>
      <c r="AI579" s="20" t="str">
        <f>IF(AG579="","",IF($F579="Bernardino Furlan",_xlfn.XLOOKUP(AG579,Cadastros!$G$6:$G$90,Cadastros!$H$6:$H$90)*(1-0.18),IF($F579="Mauro José Salanti",_xlfn.XLOOKUP(AG579,Cadastros!$G$6:$G$90,Cadastros!$H$6:$H$90)*(1-0.18),_xlfn.XLOOKUP(AG579,Cadastros!$G$6:$G$90,Cadastros!$H$6:$H$90))))</f>
        <v/>
      </c>
      <c r="AJ579" s="168" t="str">
        <f t="shared" si="111"/>
        <v/>
      </c>
      <c r="AK579" s="168" t="str">
        <f t="shared" si="112"/>
        <v/>
      </c>
      <c r="AL579" s="28"/>
      <c r="AM579" s="28"/>
      <c r="AN579" s="20" t="str">
        <f>IF(AL579="","",IF($F579="Bernardino Furlan",_xlfn.XLOOKUP(AL579,Cadastros!$G$6:$G$90,Cadastros!$H$6:$H$90)*(1-0.18),IF($F579="Mauro José Salanti",_xlfn.XLOOKUP(AL579,Cadastros!$G$6:$G$90,Cadastros!$H$6:$H$90)*(1-0.18),_xlfn.XLOOKUP(AL579,Cadastros!$G$6:$G$90,Cadastros!$H$6:$H$90))))</f>
        <v/>
      </c>
      <c r="AO579" s="168" t="str">
        <f t="shared" si="113"/>
        <v/>
      </c>
      <c r="AP579" s="168" t="str">
        <f t="shared" si="114"/>
        <v/>
      </c>
      <c r="AQ579" s="28"/>
      <c r="AR579" s="28"/>
      <c r="AS579" s="20" t="str">
        <f>IF(AQ579="","",IF($F579="Bernardino Furlan",_xlfn.XLOOKUP(AQ579,Cadastros!$G$6:$G$90,Cadastros!$H$6:$H$90)*(1-0.18),IF($F579="Mauro José Salanti",_xlfn.XLOOKUP(AQ579,Cadastros!$G$6:$G$90,Cadastros!$H$6:$H$90)*(1-0.18),_xlfn.XLOOKUP(AQ579,Cadastros!$G$6:$G$90,Cadastros!$H$6:$H$90))))</f>
        <v/>
      </c>
      <c r="AT579" s="168" t="str">
        <f t="shared" si="115"/>
        <v/>
      </c>
      <c r="AU579" s="168" t="str">
        <f t="shared" si="116"/>
        <v/>
      </c>
      <c r="AV579" s="227"/>
      <c r="AW579" s="30"/>
      <c r="AX579" s="267"/>
      <c r="AY579" s="267"/>
      <c r="AZ579" s="29"/>
      <c r="BA579" s="30"/>
      <c r="BB579" s="23" t="str" cm="1">
        <f t="array" ref="BB579">_xlfn.IFS(AW579="SIM",SUM(K579,P579,U579,Z579,AE579,AJ579,AO579,AT579,AX579,AY579),F579&lt;&gt;"",SUM(K579,P579,U579,Z579,AE579,AJ579,,AO579,AT579),F579="","")</f>
        <v/>
      </c>
      <c r="BC579" s="211" t="str" cm="1">
        <f t="array" ref="BC579">_xlfn.IFS(E579="","",G579&lt;=E579,BB579*(1-0.03),G579&lt;(E579+8),BB579,AZ579="Boleto",BB579*(1+0.001)^DATEDIF(E579,G579,"D"),AZ579="Cheque",BB579,AZ579="Dinheiro","Alterar forma pgto")</f>
        <v/>
      </c>
      <c r="BD579" s="276" t="str" cm="1">
        <f t="array" ref="BD579">IF(F579=0," ",IF(BC579&lt;BB579,(_xlfn.IFS(AW579="SIM",SUM(L579,Q579,V579,AA579,AF579,AK579,AP579,AU579)+AX579/_xlfn.XLOOKUP(_xlfn.XLOOKUP($F579,Clientes!$B$4:$B$39,Clientes!$C$4:$C$39),Cadastros!$L$6:$L$12,Cadastros!$M$6:$M$12)+IF($F579="Bernardino Furlan",AY579/2751.92,IF($F579="Mauro José Salanti",AY579/2751.92,AY579/3356)),F579&lt;&gt;0,SUM(L579,Q579,V579,AA579,AF579,AK579,AP579,AU579)))*(1-0.03),_xlfn.IFS(AW579="SIM",SUM(L579,Q579,V579,AA579,AF579,AK579,AP579,AU579)+AX579/_xlfn.XLOOKUP(_xlfn.XLOOKUP($F579,Clientes!$B$4:$B$39,Clientes!$C$4:$C$39),Cadastros!$L$6:$L$12,Cadastros!$M$6:$M$12)+IF($F579="Bernardino Furlan",AY579/2751.92,IF($F579="Mauro José Salanti",AY579/2751.92,AY579/3356)),F579&lt;&gt;0,SUM(L579,Q579,V579,AA579,AF579,AK579,AP579,AU579))))</f>
        <v xml:space="preserve"> </v>
      </c>
      <c r="BE579" s="120"/>
      <c r="BF579" s="120"/>
      <c r="BG579" s="120"/>
    </row>
    <row r="580" spans="1:59" s="3" customFormat="1" x14ac:dyDescent="0.3">
      <c r="A580" s="15" t="str">
        <f t="shared" si="104"/>
        <v/>
      </c>
      <c r="B580" s="25"/>
      <c r="C580" s="26"/>
      <c r="D580" s="279"/>
      <c r="E580" s="27"/>
      <c r="F580" s="28"/>
      <c r="G580" s="27"/>
      <c r="H580" s="28"/>
      <c r="I580" s="28"/>
      <c r="J580" s="255" t="str">
        <f>IF(H580="","",(_xlfn.XLOOKUP(H580,Cadastros!$D$6:$D$90,Cadastros!$E$6:$E$90))*(1-_xlfn.XLOOKUP(_xlfn.XLOOKUP($F580,Clientes!$B$4:$B$39,Clientes!$C$4:$C$39),Cadastros!$L$6:$L$12,Cadastros!$N$6:$N$12)))</f>
        <v/>
      </c>
      <c r="K580" s="168" t="str">
        <f t="shared" si="105"/>
        <v/>
      </c>
      <c r="L580" s="168" t="str">
        <f>IFERROR(K580/_xlfn.XLOOKUP(_xlfn.XLOOKUP($F580,Clientes!$B$4:$B$39,Clientes!$C$4:$C$39),Cadastros!$L$6:$L$12,Cadastros!$M$6:$M$12)," ")</f>
        <v xml:space="preserve"> </v>
      </c>
      <c r="M580" s="28"/>
      <c r="N580" s="28"/>
      <c r="O580" s="255" t="str">
        <f>IF(M580="","",(_xlfn.XLOOKUP(M580,Cadastros!$D$6:$D$90,Cadastros!$E$6:$E$90))*(1-_xlfn.XLOOKUP(_xlfn.XLOOKUP($F580,Clientes!$B$4:$B$39,Clientes!$C$4:$C$39),Cadastros!$L$6:$L$12,Cadastros!$N$6:$N$12)))</f>
        <v/>
      </c>
      <c r="P580" s="168" t="str">
        <f t="shared" si="106"/>
        <v/>
      </c>
      <c r="Q580" s="168" t="str">
        <f>IFERROR(P580/_xlfn.XLOOKUP(_xlfn.XLOOKUP($F580,Clientes!$B$4:$B$39,Clientes!$C$4:$C$39),Cadastros!$L$6:$L$12,Cadastros!$M$6:$M$12)," ")</f>
        <v xml:space="preserve"> </v>
      </c>
      <c r="R580" s="28"/>
      <c r="S580" s="28"/>
      <c r="T580" s="255" t="str">
        <f>IF(R580="","",(_xlfn.XLOOKUP(R580,Cadastros!$D$6:$D$90,Cadastros!$E$6:$E$90))*(1-_xlfn.XLOOKUP(_xlfn.XLOOKUP($F580,Clientes!$B$4:$B$39,Clientes!$C$4:$C$39),Cadastros!$L$6:$L$12,Cadastros!$N$6:$N$12)))</f>
        <v/>
      </c>
      <c r="U580" s="168" t="str">
        <f t="shared" si="107"/>
        <v/>
      </c>
      <c r="V580" s="168" t="str">
        <f>IFERROR(U580/_xlfn.XLOOKUP(_xlfn.XLOOKUP($F580,Clientes!$B$4:$B$39,Clientes!$C$4:$C$39),Cadastros!$L$6:$L$12,Cadastros!$M$6:$M$12)," ")</f>
        <v xml:space="preserve"> </v>
      </c>
      <c r="W580" s="28"/>
      <c r="X580" s="28"/>
      <c r="Y580" s="255" t="str">
        <f>IF(W580="","",(_xlfn.XLOOKUP(W580,Cadastros!$D$6:$D$90,Cadastros!$E$6:$E$90))*(1-_xlfn.XLOOKUP(_xlfn.XLOOKUP($F580,Clientes!$B$4:$B$39,Clientes!$C$4:$C$39),Cadastros!$L$6:$L$12,Cadastros!$N$6:$N$12)))</f>
        <v/>
      </c>
      <c r="Z580" s="168" t="str">
        <f t="shared" si="108"/>
        <v/>
      </c>
      <c r="AA580" s="168" t="str">
        <f>IFERROR(Z580/_xlfn.XLOOKUP(_xlfn.XLOOKUP($F580,Clientes!$B$4:$B$39,Clientes!$C$4:$C$39),Cadastros!$L$6:$L$12,Cadastros!$M$6:$M$12)," ")</f>
        <v xml:space="preserve"> </v>
      </c>
      <c r="AB580" s="28"/>
      <c r="AC580" s="28"/>
      <c r="AD580" s="20" t="str">
        <f>IF(AB580="","",IF($F580="Bernardino Furlan",_xlfn.XLOOKUP(AB580,Cadastros!$G$6:$G$90,Cadastros!$H$6:$H$90)*(1-0.18),IF($F580="Mauro José Salanti",_xlfn.XLOOKUP(AB580,Cadastros!$G$6:$G$90,Cadastros!$H$6:$H$90)*(1-0.18),_xlfn.XLOOKUP(AB580,Cadastros!$G$6:$G$90,Cadastros!$H$6:$H$90))))</f>
        <v/>
      </c>
      <c r="AE580" s="168" t="str">
        <f t="shared" si="109"/>
        <v/>
      </c>
      <c r="AF580" s="168" t="str">
        <f t="shared" si="110"/>
        <v/>
      </c>
      <c r="AG580" s="28"/>
      <c r="AH580" s="28"/>
      <c r="AI580" s="20" t="str">
        <f>IF(AG580="","",IF($F580="Bernardino Furlan",_xlfn.XLOOKUP(AG580,Cadastros!$G$6:$G$90,Cadastros!$H$6:$H$90)*(1-0.18),IF($F580="Mauro José Salanti",_xlfn.XLOOKUP(AG580,Cadastros!$G$6:$G$90,Cadastros!$H$6:$H$90)*(1-0.18),_xlfn.XLOOKUP(AG580,Cadastros!$G$6:$G$90,Cadastros!$H$6:$H$90))))</f>
        <v/>
      </c>
      <c r="AJ580" s="168" t="str">
        <f t="shared" si="111"/>
        <v/>
      </c>
      <c r="AK580" s="168" t="str">
        <f t="shared" si="112"/>
        <v/>
      </c>
      <c r="AL580" s="28"/>
      <c r="AM580" s="28"/>
      <c r="AN580" s="20" t="str">
        <f>IF(AL580="","",IF($F580="Bernardino Furlan",_xlfn.XLOOKUP(AL580,Cadastros!$G$6:$G$90,Cadastros!$H$6:$H$90)*(1-0.18),IF($F580="Mauro José Salanti",_xlfn.XLOOKUP(AL580,Cadastros!$G$6:$G$90,Cadastros!$H$6:$H$90)*(1-0.18),_xlfn.XLOOKUP(AL580,Cadastros!$G$6:$G$90,Cadastros!$H$6:$H$90))))</f>
        <v/>
      </c>
      <c r="AO580" s="168" t="str">
        <f t="shared" si="113"/>
        <v/>
      </c>
      <c r="AP580" s="168" t="str">
        <f t="shared" si="114"/>
        <v/>
      </c>
      <c r="AQ580" s="28"/>
      <c r="AR580" s="28"/>
      <c r="AS580" s="20" t="str">
        <f>IF(AQ580="","",IF($F580="Bernardino Furlan",_xlfn.XLOOKUP(AQ580,Cadastros!$G$6:$G$90,Cadastros!$H$6:$H$90)*(1-0.18),IF($F580="Mauro José Salanti",_xlfn.XLOOKUP(AQ580,Cadastros!$G$6:$G$90,Cadastros!$H$6:$H$90)*(1-0.18),_xlfn.XLOOKUP(AQ580,Cadastros!$G$6:$G$90,Cadastros!$H$6:$H$90))))</f>
        <v/>
      </c>
      <c r="AT580" s="168" t="str">
        <f t="shared" si="115"/>
        <v/>
      </c>
      <c r="AU580" s="168" t="str">
        <f t="shared" si="116"/>
        <v/>
      </c>
      <c r="AV580" s="227"/>
      <c r="AW580" s="30"/>
      <c r="AX580" s="267"/>
      <c r="AY580" s="267"/>
      <c r="AZ580" s="29"/>
      <c r="BA580" s="30"/>
      <c r="BB580" s="23" t="str" cm="1">
        <f t="array" ref="BB580">_xlfn.IFS(AW580="SIM",SUM(K580,P580,U580,Z580,AE580,AJ580,AO580,AT580,AX580,AY580),F580&lt;&gt;"",SUM(K580,P580,U580,Z580,AE580,AJ580,,AO580,AT580),F580="","")</f>
        <v/>
      </c>
      <c r="BC580" s="211" t="str" cm="1">
        <f t="array" ref="BC580">_xlfn.IFS(E580="","",G580&lt;=E580,BB580*(1-0.03),G580&lt;(E580+8),BB580,AZ580="Boleto",BB580*(1+0.001)^DATEDIF(E580,G580,"D"),AZ580="Cheque",BB580,AZ580="Dinheiro","Alterar forma pgto")</f>
        <v/>
      </c>
      <c r="BD580" s="276" t="str" cm="1">
        <f t="array" ref="BD580">IF(F580=0," ",IF(BC580&lt;BB580,(_xlfn.IFS(AW580="SIM",SUM(L580,Q580,V580,AA580,AF580,AK580,AP580,AU580)+AX580/_xlfn.XLOOKUP(_xlfn.XLOOKUP($F580,Clientes!$B$4:$B$39,Clientes!$C$4:$C$39),Cadastros!$L$6:$L$12,Cadastros!$M$6:$M$12)+IF($F580="Bernardino Furlan",AY580/2751.92,IF($F580="Mauro José Salanti",AY580/2751.92,AY580/3356)),F580&lt;&gt;0,SUM(L580,Q580,V580,AA580,AF580,AK580,AP580,AU580)))*(1-0.03),_xlfn.IFS(AW580="SIM",SUM(L580,Q580,V580,AA580,AF580,AK580,AP580,AU580)+AX580/_xlfn.XLOOKUP(_xlfn.XLOOKUP($F580,Clientes!$B$4:$B$39,Clientes!$C$4:$C$39),Cadastros!$L$6:$L$12,Cadastros!$M$6:$M$12)+IF($F580="Bernardino Furlan",AY580/2751.92,IF($F580="Mauro José Salanti",AY580/2751.92,AY580/3356)),F580&lt;&gt;0,SUM(L580,Q580,V580,AA580,AF580,AK580,AP580,AU580))))</f>
        <v xml:space="preserve"> </v>
      </c>
      <c r="BE580" s="120"/>
      <c r="BF580" s="120"/>
      <c r="BG580" s="120"/>
    </row>
    <row r="581" spans="1:59" s="3" customFormat="1" x14ac:dyDescent="0.3">
      <c r="A581" s="15" t="str">
        <f t="shared" si="104"/>
        <v/>
      </c>
      <c r="B581" s="25"/>
      <c r="C581" s="26"/>
      <c r="D581" s="279"/>
      <c r="E581" s="27"/>
      <c r="F581" s="28"/>
      <c r="G581" s="27"/>
      <c r="H581" s="28"/>
      <c r="I581" s="28"/>
      <c r="J581" s="255" t="str">
        <f>IF(H581="","",(_xlfn.XLOOKUP(H581,Cadastros!$D$6:$D$90,Cadastros!$E$6:$E$90))*(1-_xlfn.XLOOKUP(_xlfn.XLOOKUP($F581,Clientes!$B$4:$B$39,Clientes!$C$4:$C$39),Cadastros!$L$6:$L$12,Cadastros!$N$6:$N$12)))</f>
        <v/>
      </c>
      <c r="K581" s="168" t="str">
        <f t="shared" si="105"/>
        <v/>
      </c>
      <c r="L581" s="168" t="str">
        <f>IFERROR(K581/_xlfn.XLOOKUP(_xlfn.XLOOKUP($F581,Clientes!$B$4:$B$39,Clientes!$C$4:$C$39),Cadastros!$L$6:$L$12,Cadastros!$M$6:$M$12)," ")</f>
        <v xml:space="preserve"> </v>
      </c>
      <c r="M581" s="28"/>
      <c r="N581" s="28"/>
      <c r="O581" s="255" t="str">
        <f>IF(M581="","",(_xlfn.XLOOKUP(M581,Cadastros!$D$6:$D$90,Cadastros!$E$6:$E$90))*(1-_xlfn.XLOOKUP(_xlfn.XLOOKUP($F581,Clientes!$B$4:$B$39,Clientes!$C$4:$C$39),Cadastros!$L$6:$L$12,Cadastros!$N$6:$N$12)))</f>
        <v/>
      </c>
      <c r="P581" s="168" t="str">
        <f t="shared" si="106"/>
        <v/>
      </c>
      <c r="Q581" s="168" t="str">
        <f>IFERROR(P581/_xlfn.XLOOKUP(_xlfn.XLOOKUP($F581,Clientes!$B$4:$B$39,Clientes!$C$4:$C$39),Cadastros!$L$6:$L$12,Cadastros!$M$6:$M$12)," ")</f>
        <v xml:space="preserve"> </v>
      </c>
      <c r="R581" s="28"/>
      <c r="S581" s="28"/>
      <c r="T581" s="255" t="str">
        <f>IF(R581="","",(_xlfn.XLOOKUP(R581,Cadastros!$D$6:$D$90,Cadastros!$E$6:$E$90))*(1-_xlfn.XLOOKUP(_xlfn.XLOOKUP($F581,Clientes!$B$4:$B$39,Clientes!$C$4:$C$39),Cadastros!$L$6:$L$12,Cadastros!$N$6:$N$12)))</f>
        <v/>
      </c>
      <c r="U581" s="168" t="str">
        <f t="shared" si="107"/>
        <v/>
      </c>
      <c r="V581" s="168" t="str">
        <f>IFERROR(U581/_xlfn.XLOOKUP(_xlfn.XLOOKUP($F581,Clientes!$B$4:$B$39,Clientes!$C$4:$C$39),Cadastros!$L$6:$L$12,Cadastros!$M$6:$M$12)," ")</f>
        <v xml:space="preserve"> </v>
      </c>
      <c r="W581" s="28"/>
      <c r="X581" s="28"/>
      <c r="Y581" s="255" t="str">
        <f>IF(W581="","",(_xlfn.XLOOKUP(W581,Cadastros!$D$6:$D$90,Cadastros!$E$6:$E$90))*(1-_xlfn.XLOOKUP(_xlfn.XLOOKUP($F581,Clientes!$B$4:$B$39,Clientes!$C$4:$C$39),Cadastros!$L$6:$L$12,Cadastros!$N$6:$N$12)))</f>
        <v/>
      </c>
      <c r="Z581" s="168" t="str">
        <f t="shared" si="108"/>
        <v/>
      </c>
      <c r="AA581" s="168" t="str">
        <f>IFERROR(Z581/_xlfn.XLOOKUP(_xlfn.XLOOKUP($F581,Clientes!$B$4:$B$39,Clientes!$C$4:$C$39),Cadastros!$L$6:$L$12,Cadastros!$M$6:$M$12)," ")</f>
        <v xml:space="preserve"> </v>
      </c>
      <c r="AB581" s="28"/>
      <c r="AC581" s="28"/>
      <c r="AD581" s="20" t="str">
        <f>IF(AB581="","",IF($F581="Bernardino Furlan",_xlfn.XLOOKUP(AB581,Cadastros!$G$6:$G$90,Cadastros!$H$6:$H$90)*(1-0.18),IF($F581="Mauro José Salanti",_xlfn.XLOOKUP(AB581,Cadastros!$G$6:$G$90,Cadastros!$H$6:$H$90)*(1-0.18),_xlfn.XLOOKUP(AB581,Cadastros!$G$6:$G$90,Cadastros!$H$6:$H$90))))</f>
        <v/>
      </c>
      <c r="AE581" s="168" t="str">
        <f t="shared" si="109"/>
        <v/>
      </c>
      <c r="AF581" s="168" t="str">
        <f t="shared" si="110"/>
        <v/>
      </c>
      <c r="AG581" s="28"/>
      <c r="AH581" s="28"/>
      <c r="AI581" s="20" t="str">
        <f>IF(AG581="","",IF($F581="Bernardino Furlan",_xlfn.XLOOKUP(AG581,Cadastros!$G$6:$G$90,Cadastros!$H$6:$H$90)*(1-0.18),IF($F581="Mauro José Salanti",_xlfn.XLOOKUP(AG581,Cadastros!$G$6:$G$90,Cadastros!$H$6:$H$90)*(1-0.18),_xlfn.XLOOKUP(AG581,Cadastros!$G$6:$G$90,Cadastros!$H$6:$H$90))))</f>
        <v/>
      </c>
      <c r="AJ581" s="168" t="str">
        <f t="shared" si="111"/>
        <v/>
      </c>
      <c r="AK581" s="168" t="str">
        <f t="shared" si="112"/>
        <v/>
      </c>
      <c r="AL581" s="28"/>
      <c r="AM581" s="28"/>
      <c r="AN581" s="20" t="str">
        <f>IF(AL581="","",IF($F581="Bernardino Furlan",_xlfn.XLOOKUP(AL581,Cadastros!$G$6:$G$90,Cadastros!$H$6:$H$90)*(1-0.18),IF($F581="Mauro José Salanti",_xlfn.XLOOKUP(AL581,Cadastros!$G$6:$G$90,Cadastros!$H$6:$H$90)*(1-0.18),_xlfn.XLOOKUP(AL581,Cadastros!$G$6:$G$90,Cadastros!$H$6:$H$90))))</f>
        <v/>
      </c>
      <c r="AO581" s="168" t="str">
        <f t="shared" si="113"/>
        <v/>
      </c>
      <c r="AP581" s="168" t="str">
        <f t="shared" si="114"/>
        <v/>
      </c>
      <c r="AQ581" s="28"/>
      <c r="AR581" s="28"/>
      <c r="AS581" s="20" t="str">
        <f>IF(AQ581="","",IF($F581="Bernardino Furlan",_xlfn.XLOOKUP(AQ581,Cadastros!$G$6:$G$90,Cadastros!$H$6:$H$90)*(1-0.18),IF($F581="Mauro José Salanti",_xlfn.XLOOKUP(AQ581,Cadastros!$G$6:$G$90,Cadastros!$H$6:$H$90)*(1-0.18),_xlfn.XLOOKUP(AQ581,Cadastros!$G$6:$G$90,Cadastros!$H$6:$H$90))))</f>
        <v/>
      </c>
      <c r="AT581" s="168" t="str">
        <f t="shared" si="115"/>
        <v/>
      </c>
      <c r="AU581" s="168" t="str">
        <f t="shared" si="116"/>
        <v/>
      </c>
      <c r="AV581" s="227"/>
      <c r="AW581" s="30"/>
      <c r="AX581" s="267"/>
      <c r="AY581" s="267"/>
      <c r="AZ581" s="29"/>
      <c r="BA581" s="30"/>
      <c r="BB581" s="23" t="str" cm="1">
        <f t="array" ref="BB581">_xlfn.IFS(AW581="SIM",SUM(K581,P581,U581,Z581,AE581,AJ581,AO581,AT581,AX581,AY581),F581&lt;&gt;"",SUM(K581,P581,U581,Z581,AE581,AJ581,,AO581,AT581),F581="","")</f>
        <v/>
      </c>
      <c r="BC581" s="211" t="str" cm="1">
        <f t="array" ref="BC581">_xlfn.IFS(E581="","",G581&lt;=E581,BB581*(1-0.03),G581&lt;(E581+8),BB581,AZ581="Boleto",BB581*(1+0.001)^DATEDIF(E581,G581,"D"),AZ581="Cheque",BB581,AZ581="Dinheiro","Alterar forma pgto")</f>
        <v/>
      </c>
      <c r="BD581" s="276" t="str" cm="1">
        <f t="array" ref="BD581">IF(F581=0," ",IF(BC581&lt;BB581,(_xlfn.IFS(AW581="SIM",SUM(L581,Q581,V581,AA581,AF581,AK581,AP581,AU581)+AX581/_xlfn.XLOOKUP(_xlfn.XLOOKUP($F581,Clientes!$B$4:$B$39,Clientes!$C$4:$C$39),Cadastros!$L$6:$L$12,Cadastros!$M$6:$M$12)+IF($F581="Bernardino Furlan",AY581/2751.92,IF($F581="Mauro José Salanti",AY581/2751.92,AY581/3356)),F581&lt;&gt;0,SUM(L581,Q581,V581,AA581,AF581,AK581,AP581,AU581)))*(1-0.03),_xlfn.IFS(AW581="SIM",SUM(L581,Q581,V581,AA581,AF581,AK581,AP581,AU581)+AX581/_xlfn.XLOOKUP(_xlfn.XLOOKUP($F581,Clientes!$B$4:$B$39,Clientes!$C$4:$C$39),Cadastros!$L$6:$L$12,Cadastros!$M$6:$M$12)+IF($F581="Bernardino Furlan",AY581/2751.92,IF($F581="Mauro José Salanti",AY581/2751.92,AY581/3356)),F581&lt;&gt;0,SUM(L581,Q581,V581,AA581,AF581,AK581,AP581,AU581))))</f>
        <v xml:space="preserve"> </v>
      </c>
      <c r="BE581" s="120"/>
      <c r="BF581" s="120"/>
      <c r="BG581" s="120"/>
    </row>
    <row r="582" spans="1:59" s="3" customFormat="1" x14ac:dyDescent="0.3">
      <c r="A582" s="15" t="str">
        <f t="shared" si="104"/>
        <v/>
      </c>
      <c r="B582" s="25"/>
      <c r="C582" s="26"/>
      <c r="D582" s="279"/>
      <c r="E582" s="27"/>
      <c r="F582" s="28"/>
      <c r="G582" s="27"/>
      <c r="H582" s="28"/>
      <c r="I582" s="28"/>
      <c r="J582" s="255" t="str">
        <f>IF(H582="","",(_xlfn.XLOOKUP(H582,Cadastros!$D$6:$D$90,Cadastros!$E$6:$E$90))*(1-_xlfn.XLOOKUP(_xlfn.XLOOKUP($F582,Clientes!$B$4:$B$39,Clientes!$C$4:$C$39),Cadastros!$L$6:$L$12,Cadastros!$N$6:$N$12)))</f>
        <v/>
      </c>
      <c r="K582" s="168" t="str">
        <f t="shared" si="105"/>
        <v/>
      </c>
      <c r="L582" s="168" t="str">
        <f>IFERROR(K582/_xlfn.XLOOKUP(_xlfn.XLOOKUP($F582,Clientes!$B$4:$B$39,Clientes!$C$4:$C$39),Cadastros!$L$6:$L$12,Cadastros!$M$6:$M$12)," ")</f>
        <v xml:space="preserve"> </v>
      </c>
      <c r="M582" s="28"/>
      <c r="N582" s="28"/>
      <c r="O582" s="255" t="str">
        <f>IF(M582="","",(_xlfn.XLOOKUP(M582,Cadastros!$D$6:$D$90,Cadastros!$E$6:$E$90))*(1-_xlfn.XLOOKUP(_xlfn.XLOOKUP($F582,Clientes!$B$4:$B$39,Clientes!$C$4:$C$39),Cadastros!$L$6:$L$12,Cadastros!$N$6:$N$12)))</f>
        <v/>
      </c>
      <c r="P582" s="168" t="str">
        <f t="shared" si="106"/>
        <v/>
      </c>
      <c r="Q582" s="168" t="str">
        <f>IFERROR(P582/_xlfn.XLOOKUP(_xlfn.XLOOKUP($F582,Clientes!$B$4:$B$39,Clientes!$C$4:$C$39),Cadastros!$L$6:$L$12,Cadastros!$M$6:$M$12)," ")</f>
        <v xml:space="preserve"> </v>
      </c>
      <c r="R582" s="28"/>
      <c r="S582" s="28"/>
      <c r="T582" s="255" t="str">
        <f>IF(R582="","",(_xlfn.XLOOKUP(R582,Cadastros!$D$6:$D$90,Cadastros!$E$6:$E$90))*(1-_xlfn.XLOOKUP(_xlfn.XLOOKUP($F582,Clientes!$B$4:$B$39,Clientes!$C$4:$C$39),Cadastros!$L$6:$L$12,Cadastros!$N$6:$N$12)))</f>
        <v/>
      </c>
      <c r="U582" s="168" t="str">
        <f t="shared" si="107"/>
        <v/>
      </c>
      <c r="V582" s="168" t="str">
        <f>IFERROR(U582/_xlfn.XLOOKUP(_xlfn.XLOOKUP($F582,Clientes!$B$4:$B$39,Clientes!$C$4:$C$39),Cadastros!$L$6:$L$12,Cadastros!$M$6:$M$12)," ")</f>
        <v xml:space="preserve"> </v>
      </c>
      <c r="W582" s="28"/>
      <c r="X582" s="28"/>
      <c r="Y582" s="255" t="str">
        <f>IF(W582="","",(_xlfn.XLOOKUP(W582,Cadastros!$D$6:$D$90,Cadastros!$E$6:$E$90))*(1-_xlfn.XLOOKUP(_xlfn.XLOOKUP($F582,Clientes!$B$4:$B$39,Clientes!$C$4:$C$39),Cadastros!$L$6:$L$12,Cadastros!$N$6:$N$12)))</f>
        <v/>
      </c>
      <c r="Z582" s="168" t="str">
        <f t="shared" si="108"/>
        <v/>
      </c>
      <c r="AA582" s="168" t="str">
        <f>IFERROR(Z582/_xlfn.XLOOKUP(_xlfn.XLOOKUP($F582,Clientes!$B$4:$B$39,Clientes!$C$4:$C$39),Cadastros!$L$6:$L$12,Cadastros!$M$6:$M$12)," ")</f>
        <v xml:space="preserve"> </v>
      </c>
      <c r="AB582" s="28"/>
      <c r="AC582" s="28"/>
      <c r="AD582" s="20" t="str">
        <f>IF(AB582="","",IF($F582="Bernardino Furlan",_xlfn.XLOOKUP(AB582,Cadastros!$G$6:$G$90,Cadastros!$H$6:$H$90)*(1-0.18),IF($F582="Mauro José Salanti",_xlfn.XLOOKUP(AB582,Cadastros!$G$6:$G$90,Cadastros!$H$6:$H$90)*(1-0.18),_xlfn.XLOOKUP(AB582,Cadastros!$G$6:$G$90,Cadastros!$H$6:$H$90))))</f>
        <v/>
      </c>
      <c r="AE582" s="168" t="str">
        <f t="shared" si="109"/>
        <v/>
      </c>
      <c r="AF582" s="168" t="str">
        <f t="shared" si="110"/>
        <v/>
      </c>
      <c r="AG582" s="28"/>
      <c r="AH582" s="28"/>
      <c r="AI582" s="20" t="str">
        <f>IF(AG582="","",IF($F582="Bernardino Furlan",_xlfn.XLOOKUP(AG582,Cadastros!$G$6:$G$90,Cadastros!$H$6:$H$90)*(1-0.18),IF($F582="Mauro José Salanti",_xlfn.XLOOKUP(AG582,Cadastros!$G$6:$G$90,Cadastros!$H$6:$H$90)*(1-0.18),_xlfn.XLOOKUP(AG582,Cadastros!$G$6:$G$90,Cadastros!$H$6:$H$90))))</f>
        <v/>
      </c>
      <c r="AJ582" s="168" t="str">
        <f t="shared" si="111"/>
        <v/>
      </c>
      <c r="AK582" s="168" t="str">
        <f t="shared" si="112"/>
        <v/>
      </c>
      <c r="AL582" s="28"/>
      <c r="AM582" s="28"/>
      <c r="AN582" s="20" t="str">
        <f>IF(AL582="","",IF($F582="Bernardino Furlan",_xlfn.XLOOKUP(AL582,Cadastros!$G$6:$G$90,Cadastros!$H$6:$H$90)*(1-0.18),IF($F582="Mauro José Salanti",_xlfn.XLOOKUP(AL582,Cadastros!$G$6:$G$90,Cadastros!$H$6:$H$90)*(1-0.18),_xlfn.XLOOKUP(AL582,Cadastros!$G$6:$G$90,Cadastros!$H$6:$H$90))))</f>
        <v/>
      </c>
      <c r="AO582" s="168" t="str">
        <f t="shared" si="113"/>
        <v/>
      </c>
      <c r="AP582" s="168" t="str">
        <f t="shared" si="114"/>
        <v/>
      </c>
      <c r="AQ582" s="28"/>
      <c r="AR582" s="28"/>
      <c r="AS582" s="20" t="str">
        <f>IF(AQ582="","",IF($F582="Bernardino Furlan",_xlfn.XLOOKUP(AQ582,Cadastros!$G$6:$G$90,Cadastros!$H$6:$H$90)*(1-0.18),IF($F582="Mauro José Salanti",_xlfn.XLOOKUP(AQ582,Cadastros!$G$6:$G$90,Cadastros!$H$6:$H$90)*(1-0.18),_xlfn.XLOOKUP(AQ582,Cadastros!$G$6:$G$90,Cadastros!$H$6:$H$90))))</f>
        <v/>
      </c>
      <c r="AT582" s="168" t="str">
        <f t="shared" si="115"/>
        <v/>
      </c>
      <c r="AU582" s="168" t="str">
        <f t="shared" si="116"/>
        <v/>
      </c>
      <c r="AV582" s="227"/>
      <c r="AW582" s="30"/>
      <c r="AX582" s="267"/>
      <c r="AY582" s="267"/>
      <c r="AZ582" s="29"/>
      <c r="BA582" s="30"/>
      <c r="BB582" s="23" t="str" cm="1">
        <f t="array" ref="BB582">_xlfn.IFS(AW582="SIM",SUM(K582,P582,U582,Z582,AE582,AJ582,AO582,AT582,AX582,AY582),F582&lt;&gt;"",SUM(K582,P582,U582,Z582,AE582,AJ582,,AO582,AT582),F582="","")</f>
        <v/>
      </c>
      <c r="BC582" s="211" t="str" cm="1">
        <f t="array" ref="BC582">_xlfn.IFS(E582="","",G582&lt;=E582,BB582*(1-0.03),G582&lt;(E582+8),BB582,AZ582="Boleto",BB582*(1+0.001)^DATEDIF(E582,G582,"D"),AZ582="Cheque",BB582,AZ582="Dinheiro","Alterar forma pgto")</f>
        <v/>
      </c>
      <c r="BD582" s="276" t="str" cm="1">
        <f t="array" ref="BD582">IF(F582=0," ",IF(BC582&lt;BB582,(_xlfn.IFS(AW582="SIM",SUM(L582,Q582,V582,AA582,AF582,AK582,AP582,AU582)+AX582/_xlfn.XLOOKUP(_xlfn.XLOOKUP($F582,Clientes!$B$4:$B$39,Clientes!$C$4:$C$39),Cadastros!$L$6:$L$12,Cadastros!$M$6:$M$12)+IF($F582="Bernardino Furlan",AY582/2751.92,IF($F582="Mauro José Salanti",AY582/2751.92,AY582/3356)),F582&lt;&gt;0,SUM(L582,Q582,V582,AA582,AF582,AK582,AP582,AU582)))*(1-0.03),_xlfn.IFS(AW582="SIM",SUM(L582,Q582,V582,AA582,AF582,AK582,AP582,AU582)+AX582/_xlfn.XLOOKUP(_xlfn.XLOOKUP($F582,Clientes!$B$4:$B$39,Clientes!$C$4:$C$39),Cadastros!$L$6:$L$12,Cadastros!$M$6:$M$12)+IF($F582="Bernardino Furlan",AY582/2751.92,IF($F582="Mauro José Salanti",AY582/2751.92,AY582/3356)),F582&lt;&gt;0,SUM(L582,Q582,V582,AA582,AF582,AK582,AP582,AU582))))</f>
        <v xml:space="preserve"> </v>
      </c>
      <c r="BE582" s="120"/>
      <c r="BF582" s="120"/>
      <c r="BG582" s="120"/>
    </row>
    <row r="583" spans="1:59" s="3" customFormat="1" x14ac:dyDescent="0.3">
      <c r="A583" s="15" t="str">
        <f t="shared" si="104"/>
        <v/>
      </c>
      <c r="B583" s="25"/>
      <c r="C583" s="26"/>
      <c r="D583" s="279"/>
      <c r="E583" s="27"/>
      <c r="F583" s="28"/>
      <c r="G583" s="27"/>
      <c r="H583" s="28"/>
      <c r="I583" s="28"/>
      <c r="J583" s="255" t="str">
        <f>IF(H583="","",(_xlfn.XLOOKUP(H583,Cadastros!$D$6:$D$90,Cadastros!$E$6:$E$90))*(1-_xlfn.XLOOKUP(_xlfn.XLOOKUP($F583,Clientes!$B$4:$B$39,Clientes!$C$4:$C$39),Cadastros!$L$6:$L$12,Cadastros!$N$6:$N$12)))</f>
        <v/>
      </c>
      <c r="K583" s="168" t="str">
        <f t="shared" si="105"/>
        <v/>
      </c>
      <c r="L583" s="168" t="str">
        <f>IFERROR(K583/_xlfn.XLOOKUP(_xlfn.XLOOKUP($F583,Clientes!$B$4:$B$39,Clientes!$C$4:$C$39),Cadastros!$L$6:$L$12,Cadastros!$M$6:$M$12)," ")</f>
        <v xml:space="preserve"> </v>
      </c>
      <c r="M583" s="28"/>
      <c r="N583" s="28"/>
      <c r="O583" s="255" t="str">
        <f>IF(M583="","",(_xlfn.XLOOKUP(M583,Cadastros!$D$6:$D$90,Cadastros!$E$6:$E$90))*(1-_xlfn.XLOOKUP(_xlfn.XLOOKUP($F583,Clientes!$B$4:$B$39,Clientes!$C$4:$C$39),Cadastros!$L$6:$L$12,Cadastros!$N$6:$N$12)))</f>
        <v/>
      </c>
      <c r="P583" s="168" t="str">
        <f t="shared" si="106"/>
        <v/>
      </c>
      <c r="Q583" s="168" t="str">
        <f>IFERROR(P583/_xlfn.XLOOKUP(_xlfn.XLOOKUP($F583,Clientes!$B$4:$B$39,Clientes!$C$4:$C$39),Cadastros!$L$6:$L$12,Cadastros!$M$6:$M$12)," ")</f>
        <v xml:space="preserve"> </v>
      </c>
      <c r="R583" s="28"/>
      <c r="S583" s="28"/>
      <c r="T583" s="255" t="str">
        <f>IF(R583="","",(_xlfn.XLOOKUP(R583,Cadastros!$D$6:$D$90,Cadastros!$E$6:$E$90))*(1-_xlfn.XLOOKUP(_xlfn.XLOOKUP($F583,Clientes!$B$4:$B$39,Clientes!$C$4:$C$39),Cadastros!$L$6:$L$12,Cadastros!$N$6:$N$12)))</f>
        <v/>
      </c>
      <c r="U583" s="168" t="str">
        <f t="shared" si="107"/>
        <v/>
      </c>
      <c r="V583" s="168" t="str">
        <f>IFERROR(U583/_xlfn.XLOOKUP(_xlfn.XLOOKUP($F583,Clientes!$B$4:$B$39,Clientes!$C$4:$C$39),Cadastros!$L$6:$L$12,Cadastros!$M$6:$M$12)," ")</f>
        <v xml:space="preserve"> </v>
      </c>
      <c r="W583" s="28"/>
      <c r="X583" s="28"/>
      <c r="Y583" s="255" t="str">
        <f>IF(W583="","",(_xlfn.XLOOKUP(W583,Cadastros!$D$6:$D$90,Cadastros!$E$6:$E$90))*(1-_xlfn.XLOOKUP(_xlfn.XLOOKUP($F583,Clientes!$B$4:$B$39,Clientes!$C$4:$C$39),Cadastros!$L$6:$L$12,Cadastros!$N$6:$N$12)))</f>
        <v/>
      </c>
      <c r="Z583" s="168" t="str">
        <f t="shared" si="108"/>
        <v/>
      </c>
      <c r="AA583" s="168" t="str">
        <f>IFERROR(Z583/_xlfn.XLOOKUP(_xlfn.XLOOKUP($F583,Clientes!$B$4:$B$39,Clientes!$C$4:$C$39),Cadastros!$L$6:$L$12,Cadastros!$M$6:$M$12)," ")</f>
        <v xml:space="preserve"> </v>
      </c>
      <c r="AB583" s="28"/>
      <c r="AC583" s="28"/>
      <c r="AD583" s="20" t="str">
        <f>IF(AB583="","",IF($F583="Bernardino Furlan",_xlfn.XLOOKUP(AB583,Cadastros!$G$6:$G$90,Cadastros!$H$6:$H$90)*(1-0.18),IF($F583="Mauro José Salanti",_xlfn.XLOOKUP(AB583,Cadastros!$G$6:$G$90,Cadastros!$H$6:$H$90)*(1-0.18),_xlfn.XLOOKUP(AB583,Cadastros!$G$6:$G$90,Cadastros!$H$6:$H$90))))</f>
        <v/>
      </c>
      <c r="AE583" s="168" t="str">
        <f t="shared" si="109"/>
        <v/>
      </c>
      <c r="AF583" s="168" t="str">
        <f t="shared" si="110"/>
        <v/>
      </c>
      <c r="AG583" s="28"/>
      <c r="AH583" s="28"/>
      <c r="AI583" s="20" t="str">
        <f>IF(AG583="","",IF($F583="Bernardino Furlan",_xlfn.XLOOKUP(AG583,Cadastros!$G$6:$G$90,Cadastros!$H$6:$H$90)*(1-0.18),IF($F583="Mauro José Salanti",_xlfn.XLOOKUP(AG583,Cadastros!$G$6:$G$90,Cadastros!$H$6:$H$90)*(1-0.18),_xlfn.XLOOKUP(AG583,Cadastros!$G$6:$G$90,Cadastros!$H$6:$H$90))))</f>
        <v/>
      </c>
      <c r="AJ583" s="168" t="str">
        <f t="shared" si="111"/>
        <v/>
      </c>
      <c r="AK583" s="168" t="str">
        <f t="shared" si="112"/>
        <v/>
      </c>
      <c r="AL583" s="28"/>
      <c r="AM583" s="28"/>
      <c r="AN583" s="20" t="str">
        <f>IF(AL583="","",IF($F583="Bernardino Furlan",_xlfn.XLOOKUP(AL583,Cadastros!$G$6:$G$90,Cadastros!$H$6:$H$90)*(1-0.18),IF($F583="Mauro José Salanti",_xlfn.XLOOKUP(AL583,Cadastros!$G$6:$G$90,Cadastros!$H$6:$H$90)*(1-0.18),_xlfn.XLOOKUP(AL583,Cadastros!$G$6:$G$90,Cadastros!$H$6:$H$90))))</f>
        <v/>
      </c>
      <c r="AO583" s="168" t="str">
        <f t="shared" si="113"/>
        <v/>
      </c>
      <c r="AP583" s="168" t="str">
        <f t="shared" si="114"/>
        <v/>
      </c>
      <c r="AQ583" s="28"/>
      <c r="AR583" s="28"/>
      <c r="AS583" s="20" t="str">
        <f>IF(AQ583="","",IF($F583="Bernardino Furlan",_xlfn.XLOOKUP(AQ583,Cadastros!$G$6:$G$90,Cadastros!$H$6:$H$90)*(1-0.18),IF($F583="Mauro José Salanti",_xlfn.XLOOKUP(AQ583,Cadastros!$G$6:$G$90,Cadastros!$H$6:$H$90)*(1-0.18),_xlfn.XLOOKUP(AQ583,Cadastros!$G$6:$G$90,Cadastros!$H$6:$H$90))))</f>
        <v/>
      </c>
      <c r="AT583" s="168" t="str">
        <f t="shared" si="115"/>
        <v/>
      </c>
      <c r="AU583" s="168" t="str">
        <f t="shared" si="116"/>
        <v/>
      </c>
      <c r="AV583" s="227"/>
      <c r="AW583" s="30"/>
      <c r="AX583" s="267"/>
      <c r="AY583" s="267"/>
      <c r="AZ583" s="29"/>
      <c r="BA583" s="30"/>
      <c r="BB583" s="23" t="str" cm="1">
        <f t="array" ref="BB583">_xlfn.IFS(AW583="SIM",SUM(K583,P583,U583,Z583,AE583,AJ583,AO583,AT583,AX583,AY583),F583&lt;&gt;"",SUM(K583,P583,U583,Z583,AE583,AJ583,,AO583,AT583),F583="","")</f>
        <v/>
      </c>
      <c r="BC583" s="211" t="str" cm="1">
        <f t="array" ref="BC583">_xlfn.IFS(E583="","",G583&lt;=E583,BB583*(1-0.03),G583&lt;(E583+8),BB583,AZ583="Boleto",BB583*(1+0.001)^DATEDIF(E583,G583,"D"),AZ583="Cheque",BB583,AZ583="Dinheiro","Alterar forma pgto")</f>
        <v/>
      </c>
      <c r="BD583" s="276" t="str" cm="1">
        <f t="array" ref="BD583">IF(F583=0," ",IF(BC583&lt;BB583,(_xlfn.IFS(AW583="SIM",SUM(L583,Q583,V583,AA583,AF583,AK583,AP583,AU583)+AX583/_xlfn.XLOOKUP(_xlfn.XLOOKUP($F583,Clientes!$B$4:$B$39,Clientes!$C$4:$C$39),Cadastros!$L$6:$L$12,Cadastros!$M$6:$M$12)+IF($F583="Bernardino Furlan",AY583/2751.92,IF($F583="Mauro José Salanti",AY583/2751.92,AY583/3356)),F583&lt;&gt;0,SUM(L583,Q583,V583,AA583,AF583,AK583,AP583,AU583)))*(1-0.03),_xlfn.IFS(AW583="SIM",SUM(L583,Q583,V583,AA583,AF583,AK583,AP583,AU583)+AX583/_xlfn.XLOOKUP(_xlfn.XLOOKUP($F583,Clientes!$B$4:$B$39,Clientes!$C$4:$C$39),Cadastros!$L$6:$L$12,Cadastros!$M$6:$M$12)+IF($F583="Bernardino Furlan",AY583/2751.92,IF($F583="Mauro José Salanti",AY583/2751.92,AY583/3356)),F583&lt;&gt;0,SUM(L583,Q583,V583,AA583,AF583,AK583,AP583,AU583))))</f>
        <v xml:space="preserve"> </v>
      </c>
      <c r="BE583" s="120"/>
      <c r="BF583" s="120"/>
      <c r="BG583" s="120"/>
    </row>
    <row r="584" spans="1:59" s="3" customFormat="1" x14ac:dyDescent="0.3">
      <c r="A584" s="15" t="str">
        <f t="shared" ref="A584:A647" si="117">IF(C584="orçamento",25%,IF(C584="aprovado",50%,IF(C584="entregue",100%,IF(C584="não aceito",0%,""))))</f>
        <v/>
      </c>
      <c r="B584" s="25"/>
      <c r="C584" s="26"/>
      <c r="D584" s="279"/>
      <c r="E584" s="27"/>
      <c r="F584" s="28"/>
      <c r="G584" s="27"/>
      <c r="H584" s="28"/>
      <c r="I584" s="28"/>
      <c r="J584" s="255" t="str">
        <f>IF(H584="","",(_xlfn.XLOOKUP(H584,Cadastros!$D$6:$D$90,Cadastros!$E$6:$E$90))*(1-_xlfn.XLOOKUP(_xlfn.XLOOKUP($F584,Clientes!$B$4:$B$39,Clientes!$C$4:$C$39),Cadastros!$L$6:$L$12,Cadastros!$N$6:$N$12)))</f>
        <v/>
      </c>
      <c r="K584" s="168" t="str">
        <f t="shared" ref="K584:K647" si="118">IF(J584="","",I584*J584)</f>
        <v/>
      </c>
      <c r="L584" s="168" t="str">
        <f>IFERROR(K584/_xlfn.XLOOKUP(_xlfn.XLOOKUP($F584,Clientes!$B$4:$B$39,Clientes!$C$4:$C$39),Cadastros!$L$6:$L$12,Cadastros!$M$6:$M$12)," ")</f>
        <v xml:space="preserve"> </v>
      </c>
      <c r="M584" s="28"/>
      <c r="N584" s="28"/>
      <c r="O584" s="255" t="str">
        <f>IF(M584="","",(_xlfn.XLOOKUP(M584,Cadastros!$D$6:$D$90,Cadastros!$E$6:$E$90))*(1-_xlfn.XLOOKUP(_xlfn.XLOOKUP($F584,Clientes!$B$4:$B$39,Clientes!$C$4:$C$39),Cadastros!$L$6:$L$12,Cadastros!$N$6:$N$12)))</f>
        <v/>
      </c>
      <c r="P584" s="168" t="str">
        <f t="shared" ref="P584:P647" si="119">IF(O584="","",N584*O584)</f>
        <v/>
      </c>
      <c r="Q584" s="168" t="str">
        <f>IFERROR(P584/_xlfn.XLOOKUP(_xlfn.XLOOKUP($F584,Clientes!$B$4:$B$39,Clientes!$C$4:$C$39),Cadastros!$L$6:$L$12,Cadastros!$M$6:$M$12)," ")</f>
        <v xml:space="preserve"> </v>
      </c>
      <c r="R584" s="28"/>
      <c r="S584" s="28"/>
      <c r="T584" s="255" t="str">
        <f>IF(R584="","",(_xlfn.XLOOKUP(R584,Cadastros!$D$6:$D$90,Cadastros!$E$6:$E$90))*(1-_xlfn.XLOOKUP(_xlfn.XLOOKUP($F584,Clientes!$B$4:$B$39,Clientes!$C$4:$C$39),Cadastros!$L$6:$L$12,Cadastros!$N$6:$N$12)))</f>
        <v/>
      </c>
      <c r="U584" s="168" t="str">
        <f t="shared" ref="U584:U647" si="120">IF(T584="","",S584*T584)</f>
        <v/>
      </c>
      <c r="V584" s="168" t="str">
        <f>IFERROR(U584/_xlfn.XLOOKUP(_xlfn.XLOOKUP($F584,Clientes!$B$4:$B$39,Clientes!$C$4:$C$39),Cadastros!$L$6:$L$12,Cadastros!$M$6:$M$12)," ")</f>
        <v xml:space="preserve"> </v>
      </c>
      <c r="W584" s="28"/>
      <c r="X584" s="28"/>
      <c r="Y584" s="255" t="str">
        <f>IF(W584="","",(_xlfn.XLOOKUP(W584,Cadastros!$D$6:$D$90,Cadastros!$E$6:$E$90))*(1-_xlfn.XLOOKUP(_xlfn.XLOOKUP($F584,Clientes!$B$4:$B$39,Clientes!$C$4:$C$39),Cadastros!$L$6:$L$12,Cadastros!$N$6:$N$12)))</f>
        <v/>
      </c>
      <c r="Z584" s="168" t="str">
        <f t="shared" ref="Z584:Z647" si="121">IF(Y584="","",X584*Y584)</f>
        <v/>
      </c>
      <c r="AA584" s="168" t="str">
        <f>IFERROR(Z584/_xlfn.XLOOKUP(_xlfn.XLOOKUP($F584,Clientes!$B$4:$B$39,Clientes!$C$4:$C$39),Cadastros!$L$6:$L$12,Cadastros!$M$6:$M$12)," ")</f>
        <v xml:space="preserve"> </v>
      </c>
      <c r="AB584" s="28"/>
      <c r="AC584" s="28"/>
      <c r="AD584" s="20" t="str">
        <f>IF(AB584="","",IF($F584="Bernardino Furlan",_xlfn.XLOOKUP(AB584,Cadastros!$G$6:$G$90,Cadastros!$H$6:$H$90)*(1-0.18),IF($F584="Mauro José Salanti",_xlfn.XLOOKUP(AB584,Cadastros!$G$6:$G$90,Cadastros!$H$6:$H$90)*(1-0.18),_xlfn.XLOOKUP(AB584,Cadastros!$G$6:$G$90,Cadastros!$H$6:$H$90))))</f>
        <v/>
      </c>
      <c r="AE584" s="168" t="str">
        <f t="shared" ref="AE584:AE647" si="122">IF(AD584="","",AC584*AD584)</f>
        <v/>
      </c>
      <c r="AF584" s="168" t="str">
        <f t="shared" ref="AF584:AF647" si="123">IFERROR(IF($F584="Bernardino Furlan",AE584/2751.92,IF($F584="Mauro José Salanti",AE584/2751.92,AE584/3356)),"")</f>
        <v/>
      </c>
      <c r="AG584" s="28"/>
      <c r="AH584" s="28"/>
      <c r="AI584" s="20" t="str">
        <f>IF(AG584="","",IF($F584="Bernardino Furlan",_xlfn.XLOOKUP(AG584,Cadastros!$G$6:$G$90,Cadastros!$H$6:$H$90)*(1-0.18),IF($F584="Mauro José Salanti",_xlfn.XLOOKUP(AG584,Cadastros!$G$6:$G$90,Cadastros!$H$6:$H$90)*(1-0.18),_xlfn.XLOOKUP(AG584,Cadastros!$G$6:$G$90,Cadastros!$H$6:$H$90))))</f>
        <v/>
      </c>
      <c r="AJ584" s="168" t="str">
        <f t="shared" ref="AJ584:AJ647" si="124">IF(AI584="","",AH584*AI584)</f>
        <v/>
      </c>
      <c r="AK584" s="168" t="str">
        <f t="shared" ref="AK584:AK647" si="125">IFERROR(IF($F584="Bernardino Furlan",AJ584/2751.92,IF($F584="Mauro José Salanti",AJ584/2751.92,AJ584/3356)),"")</f>
        <v/>
      </c>
      <c r="AL584" s="28"/>
      <c r="AM584" s="28"/>
      <c r="AN584" s="20" t="str">
        <f>IF(AL584="","",IF($F584="Bernardino Furlan",_xlfn.XLOOKUP(AL584,Cadastros!$G$6:$G$90,Cadastros!$H$6:$H$90)*(1-0.18),IF($F584="Mauro José Salanti",_xlfn.XLOOKUP(AL584,Cadastros!$G$6:$G$90,Cadastros!$H$6:$H$90)*(1-0.18),_xlfn.XLOOKUP(AL584,Cadastros!$G$6:$G$90,Cadastros!$H$6:$H$90))))</f>
        <v/>
      </c>
      <c r="AO584" s="168" t="str">
        <f t="shared" ref="AO584:AO647" si="126">IF(AN584="","",AM584*AN584)</f>
        <v/>
      </c>
      <c r="AP584" s="168" t="str">
        <f t="shared" ref="AP584:AP647" si="127">IFERROR(IF($F584="Bernardino Furlan",AO584/2751.92,IF($F584="Mauro José Salanti",AO584/2751.92,AO584/3356)),"")</f>
        <v/>
      </c>
      <c r="AQ584" s="28"/>
      <c r="AR584" s="28"/>
      <c r="AS584" s="20" t="str">
        <f>IF(AQ584="","",IF($F584="Bernardino Furlan",_xlfn.XLOOKUP(AQ584,Cadastros!$G$6:$G$90,Cadastros!$H$6:$H$90)*(1-0.18),IF($F584="Mauro José Salanti",_xlfn.XLOOKUP(AQ584,Cadastros!$G$6:$G$90,Cadastros!$H$6:$H$90)*(1-0.18),_xlfn.XLOOKUP(AQ584,Cadastros!$G$6:$G$90,Cadastros!$H$6:$H$90))))</f>
        <v/>
      </c>
      <c r="AT584" s="168" t="str">
        <f t="shared" ref="AT584:AT647" si="128">IF(AS584="","",AR584*AS584)</f>
        <v/>
      </c>
      <c r="AU584" s="168" t="str">
        <f t="shared" ref="AU584:AU647" si="129">IFERROR(IF($F584="Bernardino Furlan",AT584/2751.92,IF($F584="Mauro José Salanti",AT584/2751.92,AT584/3356)),"")</f>
        <v/>
      </c>
      <c r="AV584" s="227"/>
      <c r="AW584" s="30"/>
      <c r="AX584" s="267"/>
      <c r="AY584" s="267"/>
      <c r="AZ584" s="29"/>
      <c r="BA584" s="30"/>
      <c r="BB584" s="23" t="str" cm="1">
        <f t="array" ref="BB584">_xlfn.IFS(AW584="SIM",SUM(K584,P584,U584,Z584,AE584,AJ584,AO584,AT584,AX584,AY584),F584&lt;&gt;"",SUM(K584,P584,U584,Z584,AE584,AJ584,,AO584,AT584),F584="","")</f>
        <v/>
      </c>
      <c r="BC584" s="211" t="str" cm="1">
        <f t="array" ref="BC584">_xlfn.IFS(E584="","",G584&lt;=E584,BB584*(1-0.03),G584&lt;(E584+8),BB584,AZ584="Boleto",BB584*(1+0.001)^DATEDIF(E584,G584,"D"),AZ584="Cheque",BB584,AZ584="Dinheiro","Alterar forma pgto")</f>
        <v/>
      </c>
      <c r="BD584" s="276" t="str" cm="1">
        <f t="array" ref="BD584">IF(F584=0," ",IF(BC584&lt;BB584,(_xlfn.IFS(AW584="SIM",SUM(L584,Q584,V584,AA584,AF584,AK584,AP584,AU584)+AX584/_xlfn.XLOOKUP(_xlfn.XLOOKUP($F584,Clientes!$B$4:$B$39,Clientes!$C$4:$C$39),Cadastros!$L$6:$L$12,Cadastros!$M$6:$M$12)+IF($F584="Bernardino Furlan",AY584/2751.92,IF($F584="Mauro José Salanti",AY584/2751.92,AY584/3356)),F584&lt;&gt;0,SUM(L584,Q584,V584,AA584,AF584,AK584,AP584,AU584)))*(1-0.03),_xlfn.IFS(AW584="SIM",SUM(L584,Q584,V584,AA584,AF584,AK584,AP584,AU584)+AX584/_xlfn.XLOOKUP(_xlfn.XLOOKUP($F584,Clientes!$B$4:$B$39,Clientes!$C$4:$C$39),Cadastros!$L$6:$L$12,Cadastros!$M$6:$M$12)+IF($F584="Bernardino Furlan",AY584/2751.92,IF($F584="Mauro José Salanti",AY584/2751.92,AY584/3356)),F584&lt;&gt;0,SUM(L584,Q584,V584,AA584,AF584,AK584,AP584,AU584))))</f>
        <v xml:space="preserve"> </v>
      </c>
      <c r="BE584" s="120"/>
      <c r="BF584" s="120"/>
      <c r="BG584" s="120"/>
    </row>
    <row r="585" spans="1:59" s="3" customFormat="1" x14ac:dyDescent="0.3">
      <c r="A585" s="15" t="str">
        <f t="shared" si="117"/>
        <v/>
      </c>
      <c r="B585" s="25"/>
      <c r="C585" s="26"/>
      <c r="D585" s="279"/>
      <c r="E585" s="27"/>
      <c r="F585" s="28"/>
      <c r="G585" s="27"/>
      <c r="H585" s="28"/>
      <c r="I585" s="28"/>
      <c r="J585" s="255" t="str">
        <f>IF(H585="","",(_xlfn.XLOOKUP(H585,Cadastros!$D$6:$D$90,Cadastros!$E$6:$E$90))*(1-_xlfn.XLOOKUP(_xlfn.XLOOKUP($F585,Clientes!$B$4:$B$39,Clientes!$C$4:$C$39),Cadastros!$L$6:$L$12,Cadastros!$N$6:$N$12)))</f>
        <v/>
      </c>
      <c r="K585" s="168" t="str">
        <f t="shared" si="118"/>
        <v/>
      </c>
      <c r="L585" s="168" t="str">
        <f>IFERROR(K585/_xlfn.XLOOKUP(_xlfn.XLOOKUP($F585,Clientes!$B$4:$B$39,Clientes!$C$4:$C$39),Cadastros!$L$6:$L$12,Cadastros!$M$6:$M$12)," ")</f>
        <v xml:space="preserve"> </v>
      </c>
      <c r="M585" s="28"/>
      <c r="N585" s="28"/>
      <c r="O585" s="255" t="str">
        <f>IF(M585="","",(_xlfn.XLOOKUP(M585,Cadastros!$D$6:$D$90,Cadastros!$E$6:$E$90))*(1-_xlfn.XLOOKUP(_xlfn.XLOOKUP($F585,Clientes!$B$4:$B$39,Clientes!$C$4:$C$39),Cadastros!$L$6:$L$12,Cadastros!$N$6:$N$12)))</f>
        <v/>
      </c>
      <c r="P585" s="168" t="str">
        <f t="shared" si="119"/>
        <v/>
      </c>
      <c r="Q585" s="168" t="str">
        <f>IFERROR(P585/_xlfn.XLOOKUP(_xlfn.XLOOKUP($F585,Clientes!$B$4:$B$39,Clientes!$C$4:$C$39),Cadastros!$L$6:$L$12,Cadastros!$M$6:$M$12)," ")</f>
        <v xml:space="preserve"> </v>
      </c>
      <c r="R585" s="28"/>
      <c r="S585" s="28"/>
      <c r="T585" s="255" t="str">
        <f>IF(R585="","",(_xlfn.XLOOKUP(R585,Cadastros!$D$6:$D$90,Cadastros!$E$6:$E$90))*(1-_xlfn.XLOOKUP(_xlfn.XLOOKUP($F585,Clientes!$B$4:$B$39,Clientes!$C$4:$C$39),Cadastros!$L$6:$L$12,Cadastros!$N$6:$N$12)))</f>
        <v/>
      </c>
      <c r="U585" s="168" t="str">
        <f t="shared" si="120"/>
        <v/>
      </c>
      <c r="V585" s="168" t="str">
        <f>IFERROR(U585/_xlfn.XLOOKUP(_xlfn.XLOOKUP($F585,Clientes!$B$4:$B$39,Clientes!$C$4:$C$39),Cadastros!$L$6:$L$12,Cadastros!$M$6:$M$12)," ")</f>
        <v xml:space="preserve"> </v>
      </c>
      <c r="W585" s="28"/>
      <c r="X585" s="28"/>
      <c r="Y585" s="255" t="str">
        <f>IF(W585="","",(_xlfn.XLOOKUP(W585,Cadastros!$D$6:$D$90,Cadastros!$E$6:$E$90))*(1-_xlfn.XLOOKUP(_xlfn.XLOOKUP($F585,Clientes!$B$4:$B$39,Clientes!$C$4:$C$39),Cadastros!$L$6:$L$12,Cadastros!$N$6:$N$12)))</f>
        <v/>
      </c>
      <c r="Z585" s="168" t="str">
        <f t="shared" si="121"/>
        <v/>
      </c>
      <c r="AA585" s="168" t="str">
        <f>IFERROR(Z585/_xlfn.XLOOKUP(_xlfn.XLOOKUP($F585,Clientes!$B$4:$B$39,Clientes!$C$4:$C$39),Cadastros!$L$6:$L$12,Cadastros!$M$6:$M$12)," ")</f>
        <v xml:space="preserve"> </v>
      </c>
      <c r="AB585" s="28"/>
      <c r="AC585" s="28"/>
      <c r="AD585" s="20" t="str">
        <f>IF(AB585="","",IF($F585="Bernardino Furlan",_xlfn.XLOOKUP(AB585,Cadastros!$G$6:$G$90,Cadastros!$H$6:$H$90)*(1-0.18),IF($F585="Mauro José Salanti",_xlfn.XLOOKUP(AB585,Cadastros!$G$6:$G$90,Cadastros!$H$6:$H$90)*(1-0.18),_xlfn.XLOOKUP(AB585,Cadastros!$G$6:$G$90,Cadastros!$H$6:$H$90))))</f>
        <v/>
      </c>
      <c r="AE585" s="168" t="str">
        <f t="shared" si="122"/>
        <v/>
      </c>
      <c r="AF585" s="168" t="str">
        <f t="shared" si="123"/>
        <v/>
      </c>
      <c r="AG585" s="28"/>
      <c r="AH585" s="28"/>
      <c r="AI585" s="20" t="str">
        <f>IF(AG585="","",IF($F585="Bernardino Furlan",_xlfn.XLOOKUP(AG585,Cadastros!$G$6:$G$90,Cadastros!$H$6:$H$90)*(1-0.18),IF($F585="Mauro José Salanti",_xlfn.XLOOKUP(AG585,Cadastros!$G$6:$G$90,Cadastros!$H$6:$H$90)*(1-0.18),_xlfn.XLOOKUP(AG585,Cadastros!$G$6:$G$90,Cadastros!$H$6:$H$90))))</f>
        <v/>
      </c>
      <c r="AJ585" s="168" t="str">
        <f t="shared" si="124"/>
        <v/>
      </c>
      <c r="AK585" s="168" t="str">
        <f t="shared" si="125"/>
        <v/>
      </c>
      <c r="AL585" s="28"/>
      <c r="AM585" s="28"/>
      <c r="AN585" s="20" t="str">
        <f>IF(AL585="","",IF($F585="Bernardino Furlan",_xlfn.XLOOKUP(AL585,Cadastros!$G$6:$G$90,Cadastros!$H$6:$H$90)*(1-0.18),IF($F585="Mauro José Salanti",_xlfn.XLOOKUP(AL585,Cadastros!$G$6:$G$90,Cadastros!$H$6:$H$90)*(1-0.18),_xlfn.XLOOKUP(AL585,Cadastros!$G$6:$G$90,Cadastros!$H$6:$H$90))))</f>
        <v/>
      </c>
      <c r="AO585" s="168" t="str">
        <f t="shared" si="126"/>
        <v/>
      </c>
      <c r="AP585" s="168" t="str">
        <f t="shared" si="127"/>
        <v/>
      </c>
      <c r="AQ585" s="28"/>
      <c r="AR585" s="28"/>
      <c r="AS585" s="20" t="str">
        <f>IF(AQ585="","",IF($F585="Bernardino Furlan",_xlfn.XLOOKUP(AQ585,Cadastros!$G$6:$G$90,Cadastros!$H$6:$H$90)*(1-0.18),IF($F585="Mauro José Salanti",_xlfn.XLOOKUP(AQ585,Cadastros!$G$6:$G$90,Cadastros!$H$6:$H$90)*(1-0.18),_xlfn.XLOOKUP(AQ585,Cadastros!$G$6:$G$90,Cadastros!$H$6:$H$90))))</f>
        <v/>
      </c>
      <c r="AT585" s="168" t="str">
        <f t="shared" si="128"/>
        <v/>
      </c>
      <c r="AU585" s="168" t="str">
        <f t="shared" si="129"/>
        <v/>
      </c>
      <c r="AV585" s="227"/>
      <c r="AW585" s="30"/>
      <c r="AX585" s="267"/>
      <c r="AY585" s="267"/>
      <c r="AZ585" s="29"/>
      <c r="BA585" s="30"/>
      <c r="BB585" s="23" t="str" cm="1">
        <f t="array" ref="BB585">_xlfn.IFS(AW585="SIM",SUM(K585,P585,U585,Z585,AE585,AJ585,AO585,AT585,AX585,AY585),F585&lt;&gt;"",SUM(K585,P585,U585,Z585,AE585,AJ585,,AO585,AT585),F585="","")</f>
        <v/>
      </c>
      <c r="BC585" s="211" t="str" cm="1">
        <f t="array" ref="BC585">_xlfn.IFS(E585="","",G585&lt;=E585,BB585*(1-0.03),G585&lt;(E585+8),BB585,AZ585="Boleto",BB585*(1+0.001)^DATEDIF(E585,G585,"D"),AZ585="Cheque",BB585,AZ585="Dinheiro","Alterar forma pgto")</f>
        <v/>
      </c>
      <c r="BD585" s="276" t="str" cm="1">
        <f t="array" ref="BD585">IF(F585=0," ",IF(BC585&lt;BB585,(_xlfn.IFS(AW585="SIM",SUM(L585,Q585,V585,AA585,AF585,AK585,AP585,AU585)+AX585/_xlfn.XLOOKUP(_xlfn.XLOOKUP($F585,Clientes!$B$4:$B$39,Clientes!$C$4:$C$39),Cadastros!$L$6:$L$12,Cadastros!$M$6:$M$12)+IF($F585="Bernardino Furlan",AY585/2751.92,IF($F585="Mauro José Salanti",AY585/2751.92,AY585/3356)),F585&lt;&gt;0,SUM(L585,Q585,V585,AA585,AF585,AK585,AP585,AU585)))*(1-0.03),_xlfn.IFS(AW585="SIM",SUM(L585,Q585,V585,AA585,AF585,AK585,AP585,AU585)+AX585/_xlfn.XLOOKUP(_xlfn.XLOOKUP($F585,Clientes!$B$4:$B$39,Clientes!$C$4:$C$39),Cadastros!$L$6:$L$12,Cadastros!$M$6:$M$12)+IF($F585="Bernardino Furlan",AY585/2751.92,IF($F585="Mauro José Salanti",AY585/2751.92,AY585/3356)),F585&lt;&gt;0,SUM(L585,Q585,V585,AA585,AF585,AK585,AP585,AU585))))</f>
        <v xml:space="preserve"> </v>
      </c>
      <c r="BE585" s="120"/>
      <c r="BF585" s="120"/>
      <c r="BG585" s="120"/>
    </row>
    <row r="586" spans="1:59" s="3" customFormat="1" x14ac:dyDescent="0.3">
      <c r="A586" s="15" t="str">
        <f t="shared" si="117"/>
        <v/>
      </c>
      <c r="B586" s="25"/>
      <c r="C586" s="26"/>
      <c r="D586" s="279"/>
      <c r="E586" s="27"/>
      <c r="F586" s="28"/>
      <c r="G586" s="27"/>
      <c r="H586" s="28"/>
      <c r="I586" s="28"/>
      <c r="J586" s="255" t="str">
        <f>IF(H586="","",(_xlfn.XLOOKUP(H586,Cadastros!$D$6:$D$90,Cadastros!$E$6:$E$90))*(1-_xlfn.XLOOKUP(_xlfn.XLOOKUP($F586,Clientes!$B$4:$B$39,Clientes!$C$4:$C$39),Cadastros!$L$6:$L$12,Cadastros!$N$6:$N$12)))</f>
        <v/>
      </c>
      <c r="K586" s="168" t="str">
        <f t="shared" si="118"/>
        <v/>
      </c>
      <c r="L586" s="168" t="str">
        <f>IFERROR(K586/_xlfn.XLOOKUP(_xlfn.XLOOKUP($F586,Clientes!$B$4:$B$39,Clientes!$C$4:$C$39),Cadastros!$L$6:$L$12,Cadastros!$M$6:$M$12)," ")</f>
        <v xml:space="preserve"> </v>
      </c>
      <c r="M586" s="28"/>
      <c r="N586" s="28"/>
      <c r="O586" s="255" t="str">
        <f>IF(M586="","",(_xlfn.XLOOKUP(M586,Cadastros!$D$6:$D$90,Cadastros!$E$6:$E$90))*(1-_xlfn.XLOOKUP(_xlfn.XLOOKUP($F586,Clientes!$B$4:$B$39,Clientes!$C$4:$C$39),Cadastros!$L$6:$L$12,Cadastros!$N$6:$N$12)))</f>
        <v/>
      </c>
      <c r="P586" s="168" t="str">
        <f t="shared" si="119"/>
        <v/>
      </c>
      <c r="Q586" s="168" t="str">
        <f>IFERROR(P586/_xlfn.XLOOKUP(_xlfn.XLOOKUP($F586,Clientes!$B$4:$B$39,Clientes!$C$4:$C$39),Cadastros!$L$6:$L$12,Cadastros!$M$6:$M$12)," ")</f>
        <v xml:space="preserve"> </v>
      </c>
      <c r="R586" s="28"/>
      <c r="S586" s="28"/>
      <c r="T586" s="255" t="str">
        <f>IF(R586="","",(_xlfn.XLOOKUP(R586,Cadastros!$D$6:$D$90,Cadastros!$E$6:$E$90))*(1-_xlfn.XLOOKUP(_xlfn.XLOOKUP($F586,Clientes!$B$4:$B$39,Clientes!$C$4:$C$39),Cadastros!$L$6:$L$12,Cadastros!$N$6:$N$12)))</f>
        <v/>
      </c>
      <c r="U586" s="168" t="str">
        <f t="shared" si="120"/>
        <v/>
      </c>
      <c r="V586" s="168" t="str">
        <f>IFERROR(U586/_xlfn.XLOOKUP(_xlfn.XLOOKUP($F586,Clientes!$B$4:$B$39,Clientes!$C$4:$C$39),Cadastros!$L$6:$L$12,Cadastros!$M$6:$M$12)," ")</f>
        <v xml:space="preserve"> </v>
      </c>
      <c r="W586" s="28"/>
      <c r="X586" s="28"/>
      <c r="Y586" s="255" t="str">
        <f>IF(W586="","",(_xlfn.XLOOKUP(W586,Cadastros!$D$6:$D$90,Cadastros!$E$6:$E$90))*(1-_xlfn.XLOOKUP(_xlfn.XLOOKUP($F586,Clientes!$B$4:$B$39,Clientes!$C$4:$C$39),Cadastros!$L$6:$L$12,Cadastros!$N$6:$N$12)))</f>
        <v/>
      </c>
      <c r="Z586" s="168" t="str">
        <f t="shared" si="121"/>
        <v/>
      </c>
      <c r="AA586" s="168" t="str">
        <f>IFERROR(Z586/_xlfn.XLOOKUP(_xlfn.XLOOKUP($F586,Clientes!$B$4:$B$39,Clientes!$C$4:$C$39),Cadastros!$L$6:$L$12,Cadastros!$M$6:$M$12)," ")</f>
        <v xml:space="preserve"> </v>
      </c>
      <c r="AB586" s="28"/>
      <c r="AC586" s="28"/>
      <c r="AD586" s="20" t="str">
        <f>IF(AB586="","",IF($F586="Bernardino Furlan",_xlfn.XLOOKUP(AB586,Cadastros!$G$6:$G$90,Cadastros!$H$6:$H$90)*(1-0.18),IF($F586="Mauro José Salanti",_xlfn.XLOOKUP(AB586,Cadastros!$G$6:$G$90,Cadastros!$H$6:$H$90)*(1-0.18),_xlfn.XLOOKUP(AB586,Cadastros!$G$6:$G$90,Cadastros!$H$6:$H$90))))</f>
        <v/>
      </c>
      <c r="AE586" s="168" t="str">
        <f t="shared" si="122"/>
        <v/>
      </c>
      <c r="AF586" s="168" t="str">
        <f t="shared" si="123"/>
        <v/>
      </c>
      <c r="AG586" s="28"/>
      <c r="AH586" s="28"/>
      <c r="AI586" s="20" t="str">
        <f>IF(AG586="","",IF($F586="Bernardino Furlan",_xlfn.XLOOKUP(AG586,Cadastros!$G$6:$G$90,Cadastros!$H$6:$H$90)*(1-0.18),IF($F586="Mauro José Salanti",_xlfn.XLOOKUP(AG586,Cadastros!$G$6:$G$90,Cadastros!$H$6:$H$90)*(1-0.18),_xlfn.XLOOKUP(AG586,Cadastros!$G$6:$G$90,Cadastros!$H$6:$H$90))))</f>
        <v/>
      </c>
      <c r="AJ586" s="168" t="str">
        <f t="shared" si="124"/>
        <v/>
      </c>
      <c r="AK586" s="168" t="str">
        <f t="shared" si="125"/>
        <v/>
      </c>
      <c r="AL586" s="28"/>
      <c r="AM586" s="28"/>
      <c r="AN586" s="20" t="str">
        <f>IF(AL586="","",IF($F586="Bernardino Furlan",_xlfn.XLOOKUP(AL586,Cadastros!$G$6:$G$90,Cadastros!$H$6:$H$90)*(1-0.18),IF($F586="Mauro José Salanti",_xlfn.XLOOKUP(AL586,Cadastros!$G$6:$G$90,Cadastros!$H$6:$H$90)*(1-0.18),_xlfn.XLOOKUP(AL586,Cadastros!$G$6:$G$90,Cadastros!$H$6:$H$90))))</f>
        <v/>
      </c>
      <c r="AO586" s="168" t="str">
        <f t="shared" si="126"/>
        <v/>
      </c>
      <c r="AP586" s="168" t="str">
        <f t="shared" si="127"/>
        <v/>
      </c>
      <c r="AQ586" s="28"/>
      <c r="AR586" s="28"/>
      <c r="AS586" s="20" t="str">
        <f>IF(AQ586="","",IF($F586="Bernardino Furlan",_xlfn.XLOOKUP(AQ586,Cadastros!$G$6:$G$90,Cadastros!$H$6:$H$90)*(1-0.18),IF($F586="Mauro José Salanti",_xlfn.XLOOKUP(AQ586,Cadastros!$G$6:$G$90,Cadastros!$H$6:$H$90)*(1-0.18),_xlfn.XLOOKUP(AQ586,Cadastros!$G$6:$G$90,Cadastros!$H$6:$H$90))))</f>
        <v/>
      </c>
      <c r="AT586" s="168" t="str">
        <f t="shared" si="128"/>
        <v/>
      </c>
      <c r="AU586" s="168" t="str">
        <f t="shared" si="129"/>
        <v/>
      </c>
      <c r="AV586" s="227"/>
      <c r="AW586" s="30"/>
      <c r="AX586" s="267"/>
      <c r="AY586" s="267"/>
      <c r="AZ586" s="29"/>
      <c r="BA586" s="30"/>
      <c r="BB586" s="23" t="str" cm="1">
        <f t="array" ref="BB586">_xlfn.IFS(AW586="SIM",SUM(K586,P586,U586,Z586,AE586,AJ586,AO586,AT586,AX586,AY586),F586&lt;&gt;"",SUM(K586,P586,U586,Z586,AE586,AJ586,,AO586,AT586),F586="","")</f>
        <v/>
      </c>
      <c r="BC586" s="211" t="str" cm="1">
        <f t="array" ref="BC586">_xlfn.IFS(E586="","",G586&lt;=E586,BB586*(1-0.03),G586&lt;(E586+8),BB586,AZ586="Boleto",BB586*(1+0.001)^DATEDIF(E586,G586,"D"),AZ586="Cheque",BB586,AZ586="Dinheiro","Alterar forma pgto")</f>
        <v/>
      </c>
      <c r="BD586" s="276" t="str" cm="1">
        <f t="array" ref="BD586">IF(F586=0," ",IF(BC586&lt;BB586,(_xlfn.IFS(AW586="SIM",SUM(L586,Q586,V586,AA586,AF586,AK586,AP586,AU586)+AX586/_xlfn.XLOOKUP(_xlfn.XLOOKUP($F586,Clientes!$B$4:$B$39,Clientes!$C$4:$C$39),Cadastros!$L$6:$L$12,Cadastros!$M$6:$M$12)+IF($F586="Bernardino Furlan",AY586/2751.92,IF($F586="Mauro José Salanti",AY586/2751.92,AY586/3356)),F586&lt;&gt;0,SUM(L586,Q586,V586,AA586,AF586,AK586,AP586,AU586)))*(1-0.03),_xlfn.IFS(AW586="SIM",SUM(L586,Q586,V586,AA586,AF586,AK586,AP586,AU586)+AX586/_xlfn.XLOOKUP(_xlfn.XLOOKUP($F586,Clientes!$B$4:$B$39,Clientes!$C$4:$C$39),Cadastros!$L$6:$L$12,Cadastros!$M$6:$M$12)+IF($F586="Bernardino Furlan",AY586/2751.92,IF($F586="Mauro José Salanti",AY586/2751.92,AY586/3356)),F586&lt;&gt;0,SUM(L586,Q586,V586,AA586,AF586,AK586,AP586,AU586))))</f>
        <v xml:space="preserve"> </v>
      </c>
      <c r="BE586" s="120"/>
      <c r="BF586" s="120"/>
      <c r="BG586" s="120"/>
    </row>
    <row r="587" spans="1:59" s="3" customFormat="1" x14ac:dyDescent="0.3">
      <c r="A587" s="15" t="str">
        <f t="shared" si="117"/>
        <v/>
      </c>
      <c r="B587" s="25"/>
      <c r="C587" s="26"/>
      <c r="D587" s="279"/>
      <c r="E587" s="27"/>
      <c r="F587" s="28"/>
      <c r="G587" s="27"/>
      <c r="H587" s="28"/>
      <c r="I587" s="28"/>
      <c r="J587" s="255" t="str">
        <f>IF(H587="","",(_xlfn.XLOOKUP(H587,Cadastros!$D$6:$D$90,Cadastros!$E$6:$E$90))*(1-_xlfn.XLOOKUP(_xlfn.XLOOKUP($F587,Clientes!$B$4:$B$39,Clientes!$C$4:$C$39),Cadastros!$L$6:$L$12,Cadastros!$N$6:$N$12)))</f>
        <v/>
      </c>
      <c r="K587" s="168" t="str">
        <f t="shared" si="118"/>
        <v/>
      </c>
      <c r="L587" s="168" t="str">
        <f>IFERROR(K587/_xlfn.XLOOKUP(_xlfn.XLOOKUP($F587,Clientes!$B$4:$B$39,Clientes!$C$4:$C$39),Cadastros!$L$6:$L$12,Cadastros!$M$6:$M$12)," ")</f>
        <v xml:space="preserve"> </v>
      </c>
      <c r="M587" s="28"/>
      <c r="N587" s="28"/>
      <c r="O587" s="255" t="str">
        <f>IF(M587="","",(_xlfn.XLOOKUP(M587,Cadastros!$D$6:$D$90,Cadastros!$E$6:$E$90))*(1-_xlfn.XLOOKUP(_xlfn.XLOOKUP($F587,Clientes!$B$4:$B$39,Clientes!$C$4:$C$39),Cadastros!$L$6:$L$12,Cadastros!$N$6:$N$12)))</f>
        <v/>
      </c>
      <c r="P587" s="168" t="str">
        <f t="shared" si="119"/>
        <v/>
      </c>
      <c r="Q587" s="168" t="str">
        <f>IFERROR(P587/_xlfn.XLOOKUP(_xlfn.XLOOKUP($F587,Clientes!$B$4:$B$39,Clientes!$C$4:$C$39),Cadastros!$L$6:$L$12,Cadastros!$M$6:$M$12)," ")</f>
        <v xml:space="preserve"> </v>
      </c>
      <c r="R587" s="28"/>
      <c r="S587" s="28"/>
      <c r="T587" s="255" t="str">
        <f>IF(R587="","",(_xlfn.XLOOKUP(R587,Cadastros!$D$6:$D$90,Cadastros!$E$6:$E$90))*(1-_xlfn.XLOOKUP(_xlfn.XLOOKUP($F587,Clientes!$B$4:$B$39,Clientes!$C$4:$C$39),Cadastros!$L$6:$L$12,Cadastros!$N$6:$N$12)))</f>
        <v/>
      </c>
      <c r="U587" s="168" t="str">
        <f t="shared" si="120"/>
        <v/>
      </c>
      <c r="V587" s="168" t="str">
        <f>IFERROR(U587/_xlfn.XLOOKUP(_xlfn.XLOOKUP($F587,Clientes!$B$4:$B$39,Clientes!$C$4:$C$39),Cadastros!$L$6:$L$12,Cadastros!$M$6:$M$12)," ")</f>
        <v xml:space="preserve"> </v>
      </c>
      <c r="W587" s="28"/>
      <c r="X587" s="28"/>
      <c r="Y587" s="255" t="str">
        <f>IF(W587="","",(_xlfn.XLOOKUP(W587,Cadastros!$D$6:$D$90,Cadastros!$E$6:$E$90))*(1-_xlfn.XLOOKUP(_xlfn.XLOOKUP($F587,Clientes!$B$4:$B$39,Clientes!$C$4:$C$39),Cadastros!$L$6:$L$12,Cadastros!$N$6:$N$12)))</f>
        <v/>
      </c>
      <c r="Z587" s="168" t="str">
        <f t="shared" si="121"/>
        <v/>
      </c>
      <c r="AA587" s="168" t="str">
        <f>IFERROR(Z587/_xlfn.XLOOKUP(_xlfn.XLOOKUP($F587,Clientes!$B$4:$B$39,Clientes!$C$4:$C$39),Cadastros!$L$6:$L$12,Cadastros!$M$6:$M$12)," ")</f>
        <v xml:space="preserve"> </v>
      </c>
      <c r="AB587" s="28"/>
      <c r="AC587" s="28"/>
      <c r="AD587" s="20" t="str">
        <f>IF(AB587="","",IF($F587="Bernardino Furlan",_xlfn.XLOOKUP(AB587,Cadastros!$G$6:$G$90,Cadastros!$H$6:$H$90)*(1-0.18),IF($F587="Mauro José Salanti",_xlfn.XLOOKUP(AB587,Cadastros!$G$6:$G$90,Cadastros!$H$6:$H$90)*(1-0.18),_xlfn.XLOOKUP(AB587,Cadastros!$G$6:$G$90,Cadastros!$H$6:$H$90))))</f>
        <v/>
      </c>
      <c r="AE587" s="168" t="str">
        <f t="shared" si="122"/>
        <v/>
      </c>
      <c r="AF587" s="168" t="str">
        <f t="shared" si="123"/>
        <v/>
      </c>
      <c r="AG587" s="28"/>
      <c r="AH587" s="28"/>
      <c r="AI587" s="20" t="str">
        <f>IF(AG587="","",IF($F587="Bernardino Furlan",_xlfn.XLOOKUP(AG587,Cadastros!$G$6:$G$90,Cadastros!$H$6:$H$90)*(1-0.18),IF($F587="Mauro José Salanti",_xlfn.XLOOKUP(AG587,Cadastros!$G$6:$G$90,Cadastros!$H$6:$H$90)*(1-0.18),_xlfn.XLOOKUP(AG587,Cadastros!$G$6:$G$90,Cadastros!$H$6:$H$90))))</f>
        <v/>
      </c>
      <c r="AJ587" s="168" t="str">
        <f t="shared" si="124"/>
        <v/>
      </c>
      <c r="AK587" s="168" t="str">
        <f t="shared" si="125"/>
        <v/>
      </c>
      <c r="AL587" s="28"/>
      <c r="AM587" s="28"/>
      <c r="AN587" s="20" t="str">
        <f>IF(AL587="","",IF($F587="Bernardino Furlan",_xlfn.XLOOKUP(AL587,Cadastros!$G$6:$G$90,Cadastros!$H$6:$H$90)*(1-0.18),IF($F587="Mauro José Salanti",_xlfn.XLOOKUP(AL587,Cadastros!$G$6:$G$90,Cadastros!$H$6:$H$90)*(1-0.18),_xlfn.XLOOKUP(AL587,Cadastros!$G$6:$G$90,Cadastros!$H$6:$H$90))))</f>
        <v/>
      </c>
      <c r="AO587" s="168" t="str">
        <f t="shared" si="126"/>
        <v/>
      </c>
      <c r="AP587" s="168" t="str">
        <f t="shared" si="127"/>
        <v/>
      </c>
      <c r="AQ587" s="28"/>
      <c r="AR587" s="28"/>
      <c r="AS587" s="20" t="str">
        <f>IF(AQ587="","",IF($F587="Bernardino Furlan",_xlfn.XLOOKUP(AQ587,Cadastros!$G$6:$G$90,Cadastros!$H$6:$H$90)*(1-0.18),IF($F587="Mauro José Salanti",_xlfn.XLOOKUP(AQ587,Cadastros!$G$6:$G$90,Cadastros!$H$6:$H$90)*(1-0.18),_xlfn.XLOOKUP(AQ587,Cadastros!$G$6:$G$90,Cadastros!$H$6:$H$90))))</f>
        <v/>
      </c>
      <c r="AT587" s="168" t="str">
        <f t="shared" si="128"/>
        <v/>
      </c>
      <c r="AU587" s="168" t="str">
        <f t="shared" si="129"/>
        <v/>
      </c>
      <c r="AV587" s="227"/>
      <c r="AW587" s="30"/>
      <c r="AX587" s="267"/>
      <c r="AY587" s="267"/>
      <c r="AZ587" s="29"/>
      <c r="BA587" s="30"/>
      <c r="BB587" s="23" t="str" cm="1">
        <f t="array" ref="BB587">_xlfn.IFS(AW587="SIM",SUM(K587,P587,U587,Z587,AE587,AJ587,AO587,AT587,AX587,AY587),F587&lt;&gt;"",SUM(K587,P587,U587,Z587,AE587,AJ587,,AO587,AT587),F587="","")</f>
        <v/>
      </c>
      <c r="BC587" s="211" t="str" cm="1">
        <f t="array" ref="BC587">_xlfn.IFS(E587="","",G587&lt;=E587,BB587*(1-0.03),G587&lt;(E587+8),BB587,AZ587="Boleto",BB587*(1+0.001)^DATEDIF(E587,G587,"D"),AZ587="Cheque",BB587,AZ587="Dinheiro","Alterar forma pgto")</f>
        <v/>
      </c>
      <c r="BD587" s="276" t="str" cm="1">
        <f t="array" ref="BD587">IF(F587=0," ",IF(BC587&lt;BB587,(_xlfn.IFS(AW587="SIM",SUM(L587,Q587,V587,AA587,AF587,AK587,AP587,AU587)+AX587/_xlfn.XLOOKUP(_xlfn.XLOOKUP($F587,Clientes!$B$4:$B$39,Clientes!$C$4:$C$39),Cadastros!$L$6:$L$12,Cadastros!$M$6:$M$12)+IF($F587="Bernardino Furlan",AY587/2751.92,IF($F587="Mauro José Salanti",AY587/2751.92,AY587/3356)),F587&lt;&gt;0,SUM(L587,Q587,V587,AA587,AF587,AK587,AP587,AU587)))*(1-0.03),_xlfn.IFS(AW587="SIM",SUM(L587,Q587,V587,AA587,AF587,AK587,AP587,AU587)+AX587/_xlfn.XLOOKUP(_xlfn.XLOOKUP($F587,Clientes!$B$4:$B$39,Clientes!$C$4:$C$39),Cadastros!$L$6:$L$12,Cadastros!$M$6:$M$12)+IF($F587="Bernardino Furlan",AY587/2751.92,IF($F587="Mauro José Salanti",AY587/2751.92,AY587/3356)),F587&lt;&gt;0,SUM(L587,Q587,V587,AA587,AF587,AK587,AP587,AU587))))</f>
        <v xml:space="preserve"> </v>
      </c>
      <c r="BE587" s="120"/>
      <c r="BF587" s="120"/>
      <c r="BG587" s="120"/>
    </row>
    <row r="588" spans="1:59" s="3" customFormat="1" x14ac:dyDescent="0.3">
      <c r="A588" s="15" t="str">
        <f t="shared" si="117"/>
        <v/>
      </c>
      <c r="B588" s="25"/>
      <c r="C588" s="26"/>
      <c r="D588" s="279"/>
      <c r="E588" s="27"/>
      <c r="F588" s="28"/>
      <c r="G588" s="27"/>
      <c r="H588" s="28"/>
      <c r="I588" s="28"/>
      <c r="J588" s="255" t="str">
        <f>IF(H588="","",(_xlfn.XLOOKUP(H588,Cadastros!$D$6:$D$90,Cadastros!$E$6:$E$90))*(1-_xlfn.XLOOKUP(_xlfn.XLOOKUP($F588,Clientes!$B$4:$B$39,Clientes!$C$4:$C$39),Cadastros!$L$6:$L$12,Cadastros!$N$6:$N$12)))</f>
        <v/>
      </c>
      <c r="K588" s="168" t="str">
        <f t="shared" si="118"/>
        <v/>
      </c>
      <c r="L588" s="168" t="str">
        <f>IFERROR(K588/_xlfn.XLOOKUP(_xlfn.XLOOKUP($F588,Clientes!$B$4:$B$39,Clientes!$C$4:$C$39),Cadastros!$L$6:$L$12,Cadastros!$M$6:$M$12)," ")</f>
        <v xml:space="preserve"> </v>
      </c>
      <c r="M588" s="28"/>
      <c r="N588" s="28"/>
      <c r="O588" s="255" t="str">
        <f>IF(M588="","",(_xlfn.XLOOKUP(M588,Cadastros!$D$6:$D$90,Cadastros!$E$6:$E$90))*(1-_xlfn.XLOOKUP(_xlfn.XLOOKUP($F588,Clientes!$B$4:$B$39,Clientes!$C$4:$C$39),Cadastros!$L$6:$L$12,Cadastros!$N$6:$N$12)))</f>
        <v/>
      </c>
      <c r="P588" s="168" t="str">
        <f t="shared" si="119"/>
        <v/>
      </c>
      <c r="Q588" s="168" t="str">
        <f>IFERROR(P588/_xlfn.XLOOKUP(_xlfn.XLOOKUP($F588,Clientes!$B$4:$B$39,Clientes!$C$4:$C$39),Cadastros!$L$6:$L$12,Cadastros!$M$6:$M$12)," ")</f>
        <v xml:space="preserve"> </v>
      </c>
      <c r="R588" s="28"/>
      <c r="S588" s="28"/>
      <c r="T588" s="255" t="str">
        <f>IF(R588="","",(_xlfn.XLOOKUP(R588,Cadastros!$D$6:$D$90,Cadastros!$E$6:$E$90))*(1-_xlfn.XLOOKUP(_xlfn.XLOOKUP($F588,Clientes!$B$4:$B$39,Clientes!$C$4:$C$39),Cadastros!$L$6:$L$12,Cadastros!$N$6:$N$12)))</f>
        <v/>
      </c>
      <c r="U588" s="168" t="str">
        <f t="shared" si="120"/>
        <v/>
      </c>
      <c r="V588" s="168" t="str">
        <f>IFERROR(U588/_xlfn.XLOOKUP(_xlfn.XLOOKUP($F588,Clientes!$B$4:$B$39,Clientes!$C$4:$C$39),Cadastros!$L$6:$L$12,Cadastros!$M$6:$M$12)," ")</f>
        <v xml:space="preserve"> </v>
      </c>
      <c r="W588" s="28"/>
      <c r="X588" s="28"/>
      <c r="Y588" s="255" t="str">
        <f>IF(W588="","",(_xlfn.XLOOKUP(W588,Cadastros!$D$6:$D$90,Cadastros!$E$6:$E$90))*(1-_xlfn.XLOOKUP(_xlfn.XLOOKUP($F588,Clientes!$B$4:$B$39,Clientes!$C$4:$C$39),Cadastros!$L$6:$L$12,Cadastros!$N$6:$N$12)))</f>
        <v/>
      </c>
      <c r="Z588" s="168" t="str">
        <f t="shared" si="121"/>
        <v/>
      </c>
      <c r="AA588" s="168" t="str">
        <f>IFERROR(Z588/_xlfn.XLOOKUP(_xlfn.XLOOKUP($F588,Clientes!$B$4:$B$39,Clientes!$C$4:$C$39),Cadastros!$L$6:$L$12,Cadastros!$M$6:$M$12)," ")</f>
        <v xml:space="preserve"> </v>
      </c>
      <c r="AB588" s="28"/>
      <c r="AC588" s="28"/>
      <c r="AD588" s="20" t="str">
        <f>IF(AB588="","",IF($F588="Bernardino Furlan",_xlfn.XLOOKUP(AB588,Cadastros!$G$6:$G$90,Cadastros!$H$6:$H$90)*(1-0.18),IF($F588="Mauro José Salanti",_xlfn.XLOOKUP(AB588,Cadastros!$G$6:$G$90,Cadastros!$H$6:$H$90)*(1-0.18),_xlfn.XLOOKUP(AB588,Cadastros!$G$6:$G$90,Cadastros!$H$6:$H$90))))</f>
        <v/>
      </c>
      <c r="AE588" s="168" t="str">
        <f t="shared" si="122"/>
        <v/>
      </c>
      <c r="AF588" s="168" t="str">
        <f t="shared" si="123"/>
        <v/>
      </c>
      <c r="AG588" s="28"/>
      <c r="AH588" s="28"/>
      <c r="AI588" s="20" t="str">
        <f>IF(AG588="","",IF($F588="Bernardino Furlan",_xlfn.XLOOKUP(AG588,Cadastros!$G$6:$G$90,Cadastros!$H$6:$H$90)*(1-0.18),IF($F588="Mauro José Salanti",_xlfn.XLOOKUP(AG588,Cadastros!$G$6:$G$90,Cadastros!$H$6:$H$90)*(1-0.18),_xlfn.XLOOKUP(AG588,Cadastros!$G$6:$G$90,Cadastros!$H$6:$H$90))))</f>
        <v/>
      </c>
      <c r="AJ588" s="168" t="str">
        <f t="shared" si="124"/>
        <v/>
      </c>
      <c r="AK588" s="168" t="str">
        <f t="shared" si="125"/>
        <v/>
      </c>
      <c r="AL588" s="28"/>
      <c r="AM588" s="28"/>
      <c r="AN588" s="20" t="str">
        <f>IF(AL588="","",IF($F588="Bernardino Furlan",_xlfn.XLOOKUP(AL588,Cadastros!$G$6:$G$90,Cadastros!$H$6:$H$90)*(1-0.18),IF($F588="Mauro José Salanti",_xlfn.XLOOKUP(AL588,Cadastros!$G$6:$G$90,Cadastros!$H$6:$H$90)*(1-0.18),_xlfn.XLOOKUP(AL588,Cadastros!$G$6:$G$90,Cadastros!$H$6:$H$90))))</f>
        <v/>
      </c>
      <c r="AO588" s="168" t="str">
        <f t="shared" si="126"/>
        <v/>
      </c>
      <c r="AP588" s="168" t="str">
        <f t="shared" si="127"/>
        <v/>
      </c>
      <c r="AQ588" s="28"/>
      <c r="AR588" s="28"/>
      <c r="AS588" s="20" t="str">
        <f>IF(AQ588="","",IF($F588="Bernardino Furlan",_xlfn.XLOOKUP(AQ588,Cadastros!$G$6:$G$90,Cadastros!$H$6:$H$90)*(1-0.18),IF($F588="Mauro José Salanti",_xlfn.XLOOKUP(AQ588,Cadastros!$G$6:$G$90,Cadastros!$H$6:$H$90)*(1-0.18),_xlfn.XLOOKUP(AQ588,Cadastros!$G$6:$G$90,Cadastros!$H$6:$H$90))))</f>
        <v/>
      </c>
      <c r="AT588" s="168" t="str">
        <f t="shared" si="128"/>
        <v/>
      </c>
      <c r="AU588" s="168" t="str">
        <f t="shared" si="129"/>
        <v/>
      </c>
      <c r="AV588" s="227"/>
      <c r="AW588" s="30"/>
      <c r="AX588" s="267"/>
      <c r="AY588" s="267"/>
      <c r="AZ588" s="29"/>
      <c r="BA588" s="30"/>
      <c r="BB588" s="23" t="str" cm="1">
        <f t="array" ref="BB588">_xlfn.IFS(AW588="SIM",SUM(K588,P588,U588,Z588,AE588,AJ588,AO588,AT588,AX588,AY588),F588&lt;&gt;"",SUM(K588,P588,U588,Z588,AE588,AJ588,,AO588,AT588),F588="","")</f>
        <v/>
      </c>
      <c r="BC588" s="211" t="str" cm="1">
        <f t="array" ref="BC588">_xlfn.IFS(E588="","",G588&lt;=E588,BB588*(1-0.03),G588&lt;(E588+8),BB588,AZ588="Boleto",BB588*(1+0.001)^DATEDIF(E588,G588,"D"),AZ588="Cheque",BB588,AZ588="Dinheiro","Alterar forma pgto")</f>
        <v/>
      </c>
      <c r="BD588" s="276" t="str" cm="1">
        <f t="array" ref="BD588">IF(F588=0," ",IF(BC588&lt;BB588,(_xlfn.IFS(AW588="SIM",SUM(L588,Q588,V588,AA588,AF588,AK588,AP588,AU588)+AX588/_xlfn.XLOOKUP(_xlfn.XLOOKUP($F588,Clientes!$B$4:$B$39,Clientes!$C$4:$C$39),Cadastros!$L$6:$L$12,Cadastros!$M$6:$M$12)+IF($F588="Bernardino Furlan",AY588/2751.92,IF($F588="Mauro José Salanti",AY588/2751.92,AY588/3356)),F588&lt;&gt;0,SUM(L588,Q588,V588,AA588,AF588,AK588,AP588,AU588)))*(1-0.03),_xlfn.IFS(AW588="SIM",SUM(L588,Q588,V588,AA588,AF588,AK588,AP588,AU588)+AX588/_xlfn.XLOOKUP(_xlfn.XLOOKUP($F588,Clientes!$B$4:$B$39,Clientes!$C$4:$C$39),Cadastros!$L$6:$L$12,Cadastros!$M$6:$M$12)+IF($F588="Bernardino Furlan",AY588/2751.92,IF($F588="Mauro José Salanti",AY588/2751.92,AY588/3356)),F588&lt;&gt;0,SUM(L588,Q588,V588,AA588,AF588,AK588,AP588,AU588))))</f>
        <v xml:space="preserve"> </v>
      </c>
      <c r="BE588" s="120"/>
      <c r="BF588" s="120"/>
      <c r="BG588" s="120"/>
    </row>
    <row r="589" spans="1:59" s="3" customFormat="1" x14ac:dyDescent="0.3">
      <c r="A589" s="15" t="str">
        <f t="shared" si="117"/>
        <v/>
      </c>
      <c r="B589" s="25"/>
      <c r="C589" s="26"/>
      <c r="D589" s="279"/>
      <c r="E589" s="27"/>
      <c r="F589" s="28"/>
      <c r="G589" s="27"/>
      <c r="H589" s="28"/>
      <c r="I589" s="28"/>
      <c r="J589" s="255" t="str">
        <f>IF(H589="","",(_xlfn.XLOOKUP(H589,Cadastros!$D$6:$D$90,Cadastros!$E$6:$E$90))*(1-_xlfn.XLOOKUP(_xlfn.XLOOKUP($F589,Clientes!$B$4:$B$39,Clientes!$C$4:$C$39),Cadastros!$L$6:$L$12,Cadastros!$N$6:$N$12)))</f>
        <v/>
      </c>
      <c r="K589" s="168" t="str">
        <f t="shared" si="118"/>
        <v/>
      </c>
      <c r="L589" s="168" t="str">
        <f>IFERROR(K589/_xlfn.XLOOKUP(_xlfn.XLOOKUP($F589,Clientes!$B$4:$B$39,Clientes!$C$4:$C$39),Cadastros!$L$6:$L$12,Cadastros!$M$6:$M$12)," ")</f>
        <v xml:space="preserve"> </v>
      </c>
      <c r="M589" s="28"/>
      <c r="N589" s="28"/>
      <c r="O589" s="255" t="str">
        <f>IF(M589="","",(_xlfn.XLOOKUP(M589,Cadastros!$D$6:$D$90,Cadastros!$E$6:$E$90))*(1-_xlfn.XLOOKUP(_xlfn.XLOOKUP($F589,Clientes!$B$4:$B$39,Clientes!$C$4:$C$39),Cadastros!$L$6:$L$12,Cadastros!$N$6:$N$12)))</f>
        <v/>
      </c>
      <c r="P589" s="168" t="str">
        <f t="shared" si="119"/>
        <v/>
      </c>
      <c r="Q589" s="168" t="str">
        <f>IFERROR(P589/_xlfn.XLOOKUP(_xlfn.XLOOKUP($F589,Clientes!$B$4:$B$39,Clientes!$C$4:$C$39),Cadastros!$L$6:$L$12,Cadastros!$M$6:$M$12)," ")</f>
        <v xml:space="preserve"> </v>
      </c>
      <c r="R589" s="28"/>
      <c r="S589" s="28"/>
      <c r="T589" s="255" t="str">
        <f>IF(R589="","",(_xlfn.XLOOKUP(R589,Cadastros!$D$6:$D$90,Cadastros!$E$6:$E$90))*(1-_xlfn.XLOOKUP(_xlfn.XLOOKUP($F589,Clientes!$B$4:$B$39,Clientes!$C$4:$C$39),Cadastros!$L$6:$L$12,Cadastros!$N$6:$N$12)))</f>
        <v/>
      </c>
      <c r="U589" s="168" t="str">
        <f t="shared" si="120"/>
        <v/>
      </c>
      <c r="V589" s="168" t="str">
        <f>IFERROR(U589/_xlfn.XLOOKUP(_xlfn.XLOOKUP($F589,Clientes!$B$4:$B$39,Clientes!$C$4:$C$39),Cadastros!$L$6:$L$12,Cadastros!$M$6:$M$12)," ")</f>
        <v xml:space="preserve"> </v>
      </c>
      <c r="W589" s="28"/>
      <c r="X589" s="28"/>
      <c r="Y589" s="255" t="str">
        <f>IF(W589="","",(_xlfn.XLOOKUP(W589,Cadastros!$D$6:$D$90,Cadastros!$E$6:$E$90))*(1-_xlfn.XLOOKUP(_xlfn.XLOOKUP($F589,Clientes!$B$4:$B$39,Clientes!$C$4:$C$39),Cadastros!$L$6:$L$12,Cadastros!$N$6:$N$12)))</f>
        <v/>
      </c>
      <c r="Z589" s="168" t="str">
        <f t="shared" si="121"/>
        <v/>
      </c>
      <c r="AA589" s="168" t="str">
        <f>IFERROR(Z589/_xlfn.XLOOKUP(_xlfn.XLOOKUP($F589,Clientes!$B$4:$B$39,Clientes!$C$4:$C$39),Cadastros!$L$6:$L$12,Cadastros!$M$6:$M$12)," ")</f>
        <v xml:space="preserve"> </v>
      </c>
      <c r="AB589" s="28"/>
      <c r="AC589" s="28"/>
      <c r="AD589" s="20" t="str">
        <f>IF(AB589="","",IF($F589="Bernardino Furlan",_xlfn.XLOOKUP(AB589,Cadastros!$G$6:$G$90,Cadastros!$H$6:$H$90)*(1-0.18),IF($F589="Mauro José Salanti",_xlfn.XLOOKUP(AB589,Cadastros!$G$6:$G$90,Cadastros!$H$6:$H$90)*(1-0.18),_xlfn.XLOOKUP(AB589,Cadastros!$G$6:$G$90,Cadastros!$H$6:$H$90))))</f>
        <v/>
      </c>
      <c r="AE589" s="168" t="str">
        <f t="shared" si="122"/>
        <v/>
      </c>
      <c r="AF589" s="168" t="str">
        <f t="shared" si="123"/>
        <v/>
      </c>
      <c r="AG589" s="28"/>
      <c r="AH589" s="28"/>
      <c r="AI589" s="20" t="str">
        <f>IF(AG589="","",IF($F589="Bernardino Furlan",_xlfn.XLOOKUP(AG589,Cadastros!$G$6:$G$90,Cadastros!$H$6:$H$90)*(1-0.18),IF($F589="Mauro José Salanti",_xlfn.XLOOKUP(AG589,Cadastros!$G$6:$G$90,Cadastros!$H$6:$H$90)*(1-0.18),_xlfn.XLOOKUP(AG589,Cadastros!$G$6:$G$90,Cadastros!$H$6:$H$90))))</f>
        <v/>
      </c>
      <c r="AJ589" s="168" t="str">
        <f t="shared" si="124"/>
        <v/>
      </c>
      <c r="AK589" s="168" t="str">
        <f t="shared" si="125"/>
        <v/>
      </c>
      <c r="AL589" s="28"/>
      <c r="AM589" s="28"/>
      <c r="AN589" s="20" t="str">
        <f>IF(AL589="","",IF($F589="Bernardino Furlan",_xlfn.XLOOKUP(AL589,Cadastros!$G$6:$G$90,Cadastros!$H$6:$H$90)*(1-0.18),IF($F589="Mauro José Salanti",_xlfn.XLOOKUP(AL589,Cadastros!$G$6:$G$90,Cadastros!$H$6:$H$90)*(1-0.18),_xlfn.XLOOKUP(AL589,Cadastros!$G$6:$G$90,Cadastros!$H$6:$H$90))))</f>
        <v/>
      </c>
      <c r="AO589" s="168" t="str">
        <f t="shared" si="126"/>
        <v/>
      </c>
      <c r="AP589" s="168" t="str">
        <f t="shared" si="127"/>
        <v/>
      </c>
      <c r="AQ589" s="28"/>
      <c r="AR589" s="28"/>
      <c r="AS589" s="20" t="str">
        <f>IF(AQ589="","",IF($F589="Bernardino Furlan",_xlfn.XLOOKUP(AQ589,Cadastros!$G$6:$G$90,Cadastros!$H$6:$H$90)*(1-0.18),IF($F589="Mauro José Salanti",_xlfn.XLOOKUP(AQ589,Cadastros!$G$6:$G$90,Cadastros!$H$6:$H$90)*(1-0.18),_xlfn.XLOOKUP(AQ589,Cadastros!$G$6:$G$90,Cadastros!$H$6:$H$90))))</f>
        <v/>
      </c>
      <c r="AT589" s="168" t="str">
        <f t="shared" si="128"/>
        <v/>
      </c>
      <c r="AU589" s="168" t="str">
        <f t="shared" si="129"/>
        <v/>
      </c>
      <c r="AV589" s="227"/>
      <c r="AW589" s="30"/>
      <c r="AX589" s="267"/>
      <c r="AY589" s="267"/>
      <c r="AZ589" s="29"/>
      <c r="BA589" s="30"/>
      <c r="BB589" s="23" t="str" cm="1">
        <f t="array" ref="BB589">_xlfn.IFS(AW589="SIM",SUM(K589,P589,U589,Z589,AE589,AJ589,AO589,AT589,AX589,AY589),F589&lt;&gt;"",SUM(K589,P589,U589,Z589,AE589,AJ589,,AO589,AT589),F589="","")</f>
        <v/>
      </c>
      <c r="BC589" s="211" t="str" cm="1">
        <f t="array" ref="BC589">_xlfn.IFS(E589="","",G589&lt;=E589,BB589*(1-0.03),G589&lt;(E589+8),BB589,AZ589="Boleto",BB589*(1+0.001)^DATEDIF(E589,G589,"D"),AZ589="Cheque",BB589,AZ589="Dinheiro","Alterar forma pgto")</f>
        <v/>
      </c>
      <c r="BD589" s="276" t="str" cm="1">
        <f t="array" ref="BD589">IF(F589=0," ",IF(BC589&lt;BB589,(_xlfn.IFS(AW589="SIM",SUM(L589,Q589,V589,AA589,AF589,AK589,AP589,AU589)+AX589/_xlfn.XLOOKUP(_xlfn.XLOOKUP($F589,Clientes!$B$4:$B$39,Clientes!$C$4:$C$39),Cadastros!$L$6:$L$12,Cadastros!$M$6:$M$12)+IF($F589="Bernardino Furlan",AY589/2751.92,IF($F589="Mauro José Salanti",AY589/2751.92,AY589/3356)),F589&lt;&gt;0,SUM(L589,Q589,V589,AA589,AF589,AK589,AP589,AU589)))*(1-0.03),_xlfn.IFS(AW589="SIM",SUM(L589,Q589,V589,AA589,AF589,AK589,AP589,AU589)+AX589/_xlfn.XLOOKUP(_xlfn.XLOOKUP($F589,Clientes!$B$4:$B$39,Clientes!$C$4:$C$39),Cadastros!$L$6:$L$12,Cadastros!$M$6:$M$12)+IF($F589="Bernardino Furlan",AY589/2751.92,IF($F589="Mauro José Salanti",AY589/2751.92,AY589/3356)),F589&lt;&gt;0,SUM(L589,Q589,V589,AA589,AF589,AK589,AP589,AU589))))</f>
        <v xml:space="preserve"> </v>
      </c>
      <c r="BE589" s="120"/>
      <c r="BF589" s="120"/>
      <c r="BG589" s="120"/>
    </row>
    <row r="590" spans="1:59" s="3" customFormat="1" x14ac:dyDescent="0.3">
      <c r="A590" s="15" t="str">
        <f t="shared" si="117"/>
        <v/>
      </c>
      <c r="B590" s="25"/>
      <c r="C590" s="26"/>
      <c r="D590" s="279"/>
      <c r="E590" s="27"/>
      <c r="F590" s="28"/>
      <c r="G590" s="27"/>
      <c r="H590" s="28"/>
      <c r="I590" s="28"/>
      <c r="J590" s="255" t="str">
        <f>IF(H590="","",(_xlfn.XLOOKUP(H590,Cadastros!$D$6:$D$90,Cadastros!$E$6:$E$90))*(1-_xlfn.XLOOKUP(_xlfn.XLOOKUP($F590,Clientes!$B$4:$B$39,Clientes!$C$4:$C$39),Cadastros!$L$6:$L$12,Cadastros!$N$6:$N$12)))</f>
        <v/>
      </c>
      <c r="K590" s="168" t="str">
        <f t="shared" si="118"/>
        <v/>
      </c>
      <c r="L590" s="168" t="str">
        <f>IFERROR(K590/_xlfn.XLOOKUP(_xlfn.XLOOKUP($F590,Clientes!$B$4:$B$39,Clientes!$C$4:$C$39),Cadastros!$L$6:$L$12,Cadastros!$M$6:$M$12)," ")</f>
        <v xml:space="preserve"> </v>
      </c>
      <c r="M590" s="28"/>
      <c r="N590" s="28"/>
      <c r="O590" s="255" t="str">
        <f>IF(M590="","",(_xlfn.XLOOKUP(M590,Cadastros!$D$6:$D$90,Cadastros!$E$6:$E$90))*(1-_xlfn.XLOOKUP(_xlfn.XLOOKUP($F590,Clientes!$B$4:$B$39,Clientes!$C$4:$C$39),Cadastros!$L$6:$L$12,Cadastros!$N$6:$N$12)))</f>
        <v/>
      </c>
      <c r="P590" s="168" t="str">
        <f t="shared" si="119"/>
        <v/>
      </c>
      <c r="Q590" s="168" t="str">
        <f>IFERROR(P590/_xlfn.XLOOKUP(_xlfn.XLOOKUP($F590,Clientes!$B$4:$B$39,Clientes!$C$4:$C$39),Cadastros!$L$6:$L$12,Cadastros!$M$6:$M$12)," ")</f>
        <v xml:space="preserve"> </v>
      </c>
      <c r="R590" s="28"/>
      <c r="S590" s="28"/>
      <c r="T590" s="255" t="str">
        <f>IF(R590="","",(_xlfn.XLOOKUP(R590,Cadastros!$D$6:$D$90,Cadastros!$E$6:$E$90))*(1-_xlfn.XLOOKUP(_xlfn.XLOOKUP($F590,Clientes!$B$4:$B$39,Clientes!$C$4:$C$39),Cadastros!$L$6:$L$12,Cadastros!$N$6:$N$12)))</f>
        <v/>
      </c>
      <c r="U590" s="168" t="str">
        <f t="shared" si="120"/>
        <v/>
      </c>
      <c r="V590" s="168" t="str">
        <f>IFERROR(U590/_xlfn.XLOOKUP(_xlfn.XLOOKUP($F590,Clientes!$B$4:$B$39,Clientes!$C$4:$C$39),Cadastros!$L$6:$L$12,Cadastros!$M$6:$M$12)," ")</f>
        <v xml:space="preserve"> </v>
      </c>
      <c r="W590" s="28"/>
      <c r="X590" s="28"/>
      <c r="Y590" s="255" t="str">
        <f>IF(W590="","",(_xlfn.XLOOKUP(W590,Cadastros!$D$6:$D$90,Cadastros!$E$6:$E$90))*(1-_xlfn.XLOOKUP(_xlfn.XLOOKUP($F590,Clientes!$B$4:$B$39,Clientes!$C$4:$C$39),Cadastros!$L$6:$L$12,Cadastros!$N$6:$N$12)))</f>
        <v/>
      </c>
      <c r="Z590" s="168" t="str">
        <f t="shared" si="121"/>
        <v/>
      </c>
      <c r="AA590" s="168" t="str">
        <f>IFERROR(Z590/_xlfn.XLOOKUP(_xlfn.XLOOKUP($F590,Clientes!$B$4:$B$39,Clientes!$C$4:$C$39),Cadastros!$L$6:$L$12,Cadastros!$M$6:$M$12)," ")</f>
        <v xml:space="preserve"> </v>
      </c>
      <c r="AB590" s="28"/>
      <c r="AC590" s="28"/>
      <c r="AD590" s="20" t="str">
        <f>IF(AB590="","",IF($F590="Bernardino Furlan",_xlfn.XLOOKUP(AB590,Cadastros!$G$6:$G$90,Cadastros!$H$6:$H$90)*(1-0.18),IF($F590="Mauro José Salanti",_xlfn.XLOOKUP(AB590,Cadastros!$G$6:$G$90,Cadastros!$H$6:$H$90)*(1-0.18),_xlfn.XLOOKUP(AB590,Cadastros!$G$6:$G$90,Cadastros!$H$6:$H$90))))</f>
        <v/>
      </c>
      <c r="AE590" s="168" t="str">
        <f t="shared" si="122"/>
        <v/>
      </c>
      <c r="AF590" s="168" t="str">
        <f t="shared" si="123"/>
        <v/>
      </c>
      <c r="AG590" s="28"/>
      <c r="AH590" s="28"/>
      <c r="AI590" s="20" t="str">
        <f>IF(AG590="","",IF($F590="Bernardino Furlan",_xlfn.XLOOKUP(AG590,Cadastros!$G$6:$G$90,Cadastros!$H$6:$H$90)*(1-0.18),IF($F590="Mauro José Salanti",_xlfn.XLOOKUP(AG590,Cadastros!$G$6:$G$90,Cadastros!$H$6:$H$90)*(1-0.18),_xlfn.XLOOKUP(AG590,Cadastros!$G$6:$G$90,Cadastros!$H$6:$H$90))))</f>
        <v/>
      </c>
      <c r="AJ590" s="168" t="str">
        <f t="shared" si="124"/>
        <v/>
      </c>
      <c r="AK590" s="168" t="str">
        <f t="shared" si="125"/>
        <v/>
      </c>
      <c r="AL590" s="28"/>
      <c r="AM590" s="28"/>
      <c r="AN590" s="20" t="str">
        <f>IF(AL590="","",IF($F590="Bernardino Furlan",_xlfn.XLOOKUP(AL590,Cadastros!$G$6:$G$90,Cadastros!$H$6:$H$90)*(1-0.18),IF($F590="Mauro José Salanti",_xlfn.XLOOKUP(AL590,Cadastros!$G$6:$G$90,Cadastros!$H$6:$H$90)*(1-0.18),_xlfn.XLOOKUP(AL590,Cadastros!$G$6:$G$90,Cadastros!$H$6:$H$90))))</f>
        <v/>
      </c>
      <c r="AO590" s="168" t="str">
        <f t="shared" si="126"/>
        <v/>
      </c>
      <c r="AP590" s="168" t="str">
        <f t="shared" si="127"/>
        <v/>
      </c>
      <c r="AQ590" s="28"/>
      <c r="AR590" s="28"/>
      <c r="AS590" s="20" t="str">
        <f>IF(AQ590="","",IF($F590="Bernardino Furlan",_xlfn.XLOOKUP(AQ590,Cadastros!$G$6:$G$90,Cadastros!$H$6:$H$90)*(1-0.18),IF($F590="Mauro José Salanti",_xlfn.XLOOKUP(AQ590,Cadastros!$G$6:$G$90,Cadastros!$H$6:$H$90)*(1-0.18),_xlfn.XLOOKUP(AQ590,Cadastros!$G$6:$G$90,Cadastros!$H$6:$H$90))))</f>
        <v/>
      </c>
      <c r="AT590" s="168" t="str">
        <f t="shared" si="128"/>
        <v/>
      </c>
      <c r="AU590" s="168" t="str">
        <f t="shared" si="129"/>
        <v/>
      </c>
      <c r="AV590" s="227"/>
      <c r="AW590" s="30"/>
      <c r="AX590" s="267"/>
      <c r="AY590" s="267"/>
      <c r="AZ590" s="29"/>
      <c r="BA590" s="30"/>
      <c r="BB590" s="23" t="str" cm="1">
        <f t="array" ref="BB590">_xlfn.IFS(AW590="SIM",SUM(K590,P590,U590,Z590,AE590,AJ590,AO590,AT590,AX590,AY590),F590&lt;&gt;"",SUM(K590,P590,U590,Z590,AE590,AJ590,,AO590,AT590),F590="","")</f>
        <v/>
      </c>
      <c r="BC590" s="211" t="str" cm="1">
        <f t="array" ref="BC590">_xlfn.IFS(E590="","",G590&lt;=E590,BB590*(1-0.03),G590&lt;(E590+8),BB590,AZ590="Boleto",BB590*(1+0.001)^DATEDIF(E590,G590,"D"),AZ590="Cheque",BB590,AZ590="Dinheiro","Alterar forma pgto")</f>
        <v/>
      </c>
      <c r="BD590" s="276" t="str" cm="1">
        <f t="array" ref="BD590">IF(F590=0," ",IF(BC590&lt;BB590,(_xlfn.IFS(AW590="SIM",SUM(L590,Q590,V590,AA590,AF590,AK590,AP590,AU590)+AX590/_xlfn.XLOOKUP(_xlfn.XLOOKUP($F590,Clientes!$B$4:$B$39,Clientes!$C$4:$C$39),Cadastros!$L$6:$L$12,Cadastros!$M$6:$M$12)+IF($F590="Bernardino Furlan",AY590/2751.92,IF($F590="Mauro José Salanti",AY590/2751.92,AY590/3356)),F590&lt;&gt;0,SUM(L590,Q590,V590,AA590,AF590,AK590,AP590,AU590)))*(1-0.03),_xlfn.IFS(AW590="SIM",SUM(L590,Q590,V590,AA590,AF590,AK590,AP590,AU590)+AX590/_xlfn.XLOOKUP(_xlfn.XLOOKUP($F590,Clientes!$B$4:$B$39,Clientes!$C$4:$C$39),Cadastros!$L$6:$L$12,Cadastros!$M$6:$M$12)+IF($F590="Bernardino Furlan",AY590/2751.92,IF($F590="Mauro José Salanti",AY590/2751.92,AY590/3356)),F590&lt;&gt;0,SUM(L590,Q590,V590,AA590,AF590,AK590,AP590,AU590))))</f>
        <v xml:space="preserve"> </v>
      </c>
      <c r="BE590" s="120"/>
      <c r="BF590" s="120"/>
      <c r="BG590" s="120"/>
    </row>
    <row r="591" spans="1:59" s="3" customFormat="1" x14ac:dyDescent="0.3">
      <c r="A591" s="15" t="str">
        <f t="shared" si="117"/>
        <v/>
      </c>
      <c r="B591" s="25"/>
      <c r="C591" s="26"/>
      <c r="D591" s="279"/>
      <c r="E591" s="27"/>
      <c r="F591" s="28"/>
      <c r="G591" s="27"/>
      <c r="H591" s="28"/>
      <c r="I591" s="28"/>
      <c r="J591" s="255" t="str">
        <f>IF(H591="","",(_xlfn.XLOOKUP(H591,Cadastros!$D$6:$D$90,Cadastros!$E$6:$E$90))*(1-_xlfn.XLOOKUP(_xlfn.XLOOKUP($F591,Clientes!$B$4:$B$39,Clientes!$C$4:$C$39),Cadastros!$L$6:$L$12,Cadastros!$N$6:$N$12)))</f>
        <v/>
      </c>
      <c r="K591" s="168" t="str">
        <f t="shared" si="118"/>
        <v/>
      </c>
      <c r="L591" s="168" t="str">
        <f>IFERROR(K591/_xlfn.XLOOKUP(_xlfn.XLOOKUP($F591,Clientes!$B$4:$B$39,Clientes!$C$4:$C$39),Cadastros!$L$6:$L$12,Cadastros!$M$6:$M$12)," ")</f>
        <v xml:space="preserve"> </v>
      </c>
      <c r="M591" s="28"/>
      <c r="N591" s="28"/>
      <c r="O591" s="255" t="str">
        <f>IF(M591="","",(_xlfn.XLOOKUP(M591,Cadastros!$D$6:$D$90,Cadastros!$E$6:$E$90))*(1-_xlfn.XLOOKUP(_xlfn.XLOOKUP($F591,Clientes!$B$4:$B$39,Clientes!$C$4:$C$39),Cadastros!$L$6:$L$12,Cadastros!$N$6:$N$12)))</f>
        <v/>
      </c>
      <c r="P591" s="168" t="str">
        <f t="shared" si="119"/>
        <v/>
      </c>
      <c r="Q591" s="168" t="str">
        <f>IFERROR(P591/_xlfn.XLOOKUP(_xlfn.XLOOKUP($F591,Clientes!$B$4:$B$39,Clientes!$C$4:$C$39),Cadastros!$L$6:$L$12,Cadastros!$M$6:$M$12)," ")</f>
        <v xml:space="preserve"> </v>
      </c>
      <c r="R591" s="28"/>
      <c r="S591" s="28"/>
      <c r="T591" s="255" t="str">
        <f>IF(R591="","",(_xlfn.XLOOKUP(R591,Cadastros!$D$6:$D$90,Cadastros!$E$6:$E$90))*(1-_xlfn.XLOOKUP(_xlfn.XLOOKUP($F591,Clientes!$B$4:$B$39,Clientes!$C$4:$C$39),Cadastros!$L$6:$L$12,Cadastros!$N$6:$N$12)))</f>
        <v/>
      </c>
      <c r="U591" s="168" t="str">
        <f t="shared" si="120"/>
        <v/>
      </c>
      <c r="V591" s="168" t="str">
        <f>IFERROR(U591/_xlfn.XLOOKUP(_xlfn.XLOOKUP($F591,Clientes!$B$4:$B$39,Clientes!$C$4:$C$39),Cadastros!$L$6:$L$12,Cadastros!$M$6:$M$12)," ")</f>
        <v xml:space="preserve"> </v>
      </c>
      <c r="W591" s="28"/>
      <c r="X591" s="28"/>
      <c r="Y591" s="255" t="str">
        <f>IF(W591="","",(_xlfn.XLOOKUP(W591,Cadastros!$D$6:$D$90,Cadastros!$E$6:$E$90))*(1-_xlfn.XLOOKUP(_xlfn.XLOOKUP($F591,Clientes!$B$4:$B$39,Clientes!$C$4:$C$39),Cadastros!$L$6:$L$12,Cadastros!$N$6:$N$12)))</f>
        <v/>
      </c>
      <c r="Z591" s="168" t="str">
        <f t="shared" si="121"/>
        <v/>
      </c>
      <c r="AA591" s="168" t="str">
        <f>IFERROR(Z591/_xlfn.XLOOKUP(_xlfn.XLOOKUP($F591,Clientes!$B$4:$B$39,Clientes!$C$4:$C$39),Cadastros!$L$6:$L$12,Cadastros!$M$6:$M$12)," ")</f>
        <v xml:space="preserve"> </v>
      </c>
      <c r="AB591" s="28"/>
      <c r="AC591" s="28"/>
      <c r="AD591" s="20" t="str">
        <f>IF(AB591="","",IF($F591="Bernardino Furlan",_xlfn.XLOOKUP(AB591,Cadastros!$G$6:$G$90,Cadastros!$H$6:$H$90)*(1-0.18),IF($F591="Mauro José Salanti",_xlfn.XLOOKUP(AB591,Cadastros!$G$6:$G$90,Cadastros!$H$6:$H$90)*(1-0.18),_xlfn.XLOOKUP(AB591,Cadastros!$G$6:$G$90,Cadastros!$H$6:$H$90))))</f>
        <v/>
      </c>
      <c r="AE591" s="168" t="str">
        <f t="shared" si="122"/>
        <v/>
      </c>
      <c r="AF591" s="168" t="str">
        <f t="shared" si="123"/>
        <v/>
      </c>
      <c r="AG591" s="28"/>
      <c r="AH591" s="28"/>
      <c r="AI591" s="20" t="str">
        <f>IF(AG591="","",IF($F591="Bernardino Furlan",_xlfn.XLOOKUP(AG591,Cadastros!$G$6:$G$90,Cadastros!$H$6:$H$90)*(1-0.18),IF($F591="Mauro José Salanti",_xlfn.XLOOKUP(AG591,Cadastros!$G$6:$G$90,Cadastros!$H$6:$H$90)*(1-0.18),_xlfn.XLOOKUP(AG591,Cadastros!$G$6:$G$90,Cadastros!$H$6:$H$90))))</f>
        <v/>
      </c>
      <c r="AJ591" s="168" t="str">
        <f t="shared" si="124"/>
        <v/>
      </c>
      <c r="AK591" s="168" t="str">
        <f t="shared" si="125"/>
        <v/>
      </c>
      <c r="AL591" s="28"/>
      <c r="AM591" s="28"/>
      <c r="AN591" s="20" t="str">
        <f>IF(AL591="","",IF($F591="Bernardino Furlan",_xlfn.XLOOKUP(AL591,Cadastros!$G$6:$G$90,Cadastros!$H$6:$H$90)*(1-0.18),IF($F591="Mauro José Salanti",_xlfn.XLOOKUP(AL591,Cadastros!$G$6:$G$90,Cadastros!$H$6:$H$90)*(1-0.18),_xlfn.XLOOKUP(AL591,Cadastros!$G$6:$G$90,Cadastros!$H$6:$H$90))))</f>
        <v/>
      </c>
      <c r="AO591" s="168" t="str">
        <f t="shared" si="126"/>
        <v/>
      </c>
      <c r="AP591" s="168" t="str">
        <f t="shared" si="127"/>
        <v/>
      </c>
      <c r="AQ591" s="28"/>
      <c r="AR591" s="28"/>
      <c r="AS591" s="20" t="str">
        <f>IF(AQ591="","",IF($F591="Bernardino Furlan",_xlfn.XLOOKUP(AQ591,Cadastros!$G$6:$G$90,Cadastros!$H$6:$H$90)*(1-0.18),IF($F591="Mauro José Salanti",_xlfn.XLOOKUP(AQ591,Cadastros!$G$6:$G$90,Cadastros!$H$6:$H$90)*(1-0.18),_xlfn.XLOOKUP(AQ591,Cadastros!$G$6:$G$90,Cadastros!$H$6:$H$90))))</f>
        <v/>
      </c>
      <c r="AT591" s="168" t="str">
        <f t="shared" si="128"/>
        <v/>
      </c>
      <c r="AU591" s="168" t="str">
        <f t="shared" si="129"/>
        <v/>
      </c>
      <c r="AV591" s="227"/>
      <c r="AW591" s="30"/>
      <c r="AX591" s="267"/>
      <c r="AY591" s="267"/>
      <c r="AZ591" s="29"/>
      <c r="BA591" s="30"/>
      <c r="BB591" s="23" t="str" cm="1">
        <f t="array" ref="BB591">_xlfn.IFS(AW591="SIM",SUM(K591,P591,U591,Z591,AE591,AJ591,AO591,AT591,AX591,AY591),F591&lt;&gt;"",SUM(K591,P591,U591,Z591,AE591,AJ591,,AO591,AT591),F591="","")</f>
        <v/>
      </c>
      <c r="BC591" s="211" t="str" cm="1">
        <f t="array" ref="BC591">_xlfn.IFS(E591="","",G591&lt;=E591,BB591*(1-0.03),G591&lt;(E591+8),BB591,AZ591="Boleto",BB591*(1+0.001)^DATEDIF(E591,G591,"D"),AZ591="Cheque",BB591,AZ591="Dinheiro","Alterar forma pgto")</f>
        <v/>
      </c>
      <c r="BD591" s="276" t="str" cm="1">
        <f t="array" ref="BD591">IF(F591=0," ",IF(BC591&lt;BB591,(_xlfn.IFS(AW591="SIM",SUM(L591,Q591,V591,AA591,AF591,AK591,AP591,AU591)+AX591/_xlfn.XLOOKUP(_xlfn.XLOOKUP($F591,Clientes!$B$4:$B$39,Clientes!$C$4:$C$39),Cadastros!$L$6:$L$12,Cadastros!$M$6:$M$12)+IF($F591="Bernardino Furlan",AY591/2751.92,IF($F591="Mauro José Salanti",AY591/2751.92,AY591/3356)),F591&lt;&gt;0,SUM(L591,Q591,V591,AA591,AF591,AK591,AP591,AU591)))*(1-0.03),_xlfn.IFS(AW591="SIM",SUM(L591,Q591,V591,AA591,AF591,AK591,AP591,AU591)+AX591/_xlfn.XLOOKUP(_xlfn.XLOOKUP($F591,Clientes!$B$4:$B$39,Clientes!$C$4:$C$39),Cadastros!$L$6:$L$12,Cadastros!$M$6:$M$12)+IF($F591="Bernardino Furlan",AY591/2751.92,IF($F591="Mauro José Salanti",AY591/2751.92,AY591/3356)),F591&lt;&gt;0,SUM(L591,Q591,V591,AA591,AF591,AK591,AP591,AU591))))</f>
        <v xml:space="preserve"> </v>
      </c>
      <c r="BE591" s="120"/>
      <c r="BF591" s="120"/>
      <c r="BG591" s="120"/>
    </row>
    <row r="592" spans="1:59" s="3" customFormat="1" x14ac:dyDescent="0.3">
      <c r="A592" s="15" t="str">
        <f t="shared" si="117"/>
        <v/>
      </c>
      <c r="B592" s="25"/>
      <c r="C592" s="26"/>
      <c r="D592" s="279"/>
      <c r="E592" s="27"/>
      <c r="F592" s="28"/>
      <c r="G592" s="27"/>
      <c r="H592" s="28"/>
      <c r="I592" s="28"/>
      <c r="J592" s="255" t="str">
        <f>IF(H592="","",(_xlfn.XLOOKUP(H592,Cadastros!$D$6:$D$90,Cadastros!$E$6:$E$90))*(1-_xlfn.XLOOKUP(_xlfn.XLOOKUP($F592,Clientes!$B$4:$B$39,Clientes!$C$4:$C$39),Cadastros!$L$6:$L$12,Cadastros!$N$6:$N$12)))</f>
        <v/>
      </c>
      <c r="K592" s="168" t="str">
        <f t="shared" si="118"/>
        <v/>
      </c>
      <c r="L592" s="168" t="str">
        <f>IFERROR(K592/_xlfn.XLOOKUP(_xlfn.XLOOKUP($F592,Clientes!$B$4:$B$39,Clientes!$C$4:$C$39),Cadastros!$L$6:$L$12,Cadastros!$M$6:$M$12)," ")</f>
        <v xml:space="preserve"> </v>
      </c>
      <c r="M592" s="28"/>
      <c r="N592" s="28"/>
      <c r="O592" s="255" t="str">
        <f>IF(M592="","",(_xlfn.XLOOKUP(M592,Cadastros!$D$6:$D$90,Cadastros!$E$6:$E$90))*(1-_xlfn.XLOOKUP(_xlfn.XLOOKUP($F592,Clientes!$B$4:$B$39,Clientes!$C$4:$C$39),Cadastros!$L$6:$L$12,Cadastros!$N$6:$N$12)))</f>
        <v/>
      </c>
      <c r="P592" s="168" t="str">
        <f t="shared" si="119"/>
        <v/>
      </c>
      <c r="Q592" s="168" t="str">
        <f>IFERROR(P592/_xlfn.XLOOKUP(_xlfn.XLOOKUP($F592,Clientes!$B$4:$B$39,Clientes!$C$4:$C$39),Cadastros!$L$6:$L$12,Cadastros!$M$6:$M$12)," ")</f>
        <v xml:space="preserve"> </v>
      </c>
      <c r="R592" s="28"/>
      <c r="S592" s="28"/>
      <c r="T592" s="255" t="str">
        <f>IF(R592="","",(_xlfn.XLOOKUP(R592,Cadastros!$D$6:$D$90,Cadastros!$E$6:$E$90))*(1-_xlfn.XLOOKUP(_xlfn.XLOOKUP($F592,Clientes!$B$4:$B$39,Clientes!$C$4:$C$39),Cadastros!$L$6:$L$12,Cadastros!$N$6:$N$12)))</f>
        <v/>
      </c>
      <c r="U592" s="168" t="str">
        <f t="shared" si="120"/>
        <v/>
      </c>
      <c r="V592" s="168" t="str">
        <f>IFERROR(U592/_xlfn.XLOOKUP(_xlfn.XLOOKUP($F592,Clientes!$B$4:$B$39,Clientes!$C$4:$C$39),Cadastros!$L$6:$L$12,Cadastros!$M$6:$M$12)," ")</f>
        <v xml:space="preserve"> </v>
      </c>
      <c r="W592" s="28"/>
      <c r="X592" s="28"/>
      <c r="Y592" s="255" t="str">
        <f>IF(W592="","",(_xlfn.XLOOKUP(W592,Cadastros!$D$6:$D$90,Cadastros!$E$6:$E$90))*(1-_xlfn.XLOOKUP(_xlfn.XLOOKUP($F592,Clientes!$B$4:$B$39,Clientes!$C$4:$C$39),Cadastros!$L$6:$L$12,Cadastros!$N$6:$N$12)))</f>
        <v/>
      </c>
      <c r="Z592" s="168" t="str">
        <f t="shared" si="121"/>
        <v/>
      </c>
      <c r="AA592" s="168" t="str">
        <f>IFERROR(Z592/_xlfn.XLOOKUP(_xlfn.XLOOKUP($F592,Clientes!$B$4:$B$39,Clientes!$C$4:$C$39),Cadastros!$L$6:$L$12,Cadastros!$M$6:$M$12)," ")</f>
        <v xml:space="preserve"> </v>
      </c>
      <c r="AB592" s="28"/>
      <c r="AC592" s="28"/>
      <c r="AD592" s="20" t="str">
        <f>IF(AB592="","",IF($F592="Bernardino Furlan",_xlfn.XLOOKUP(AB592,Cadastros!$G$6:$G$90,Cadastros!$H$6:$H$90)*(1-0.18),IF($F592="Mauro José Salanti",_xlfn.XLOOKUP(AB592,Cadastros!$G$6:$G$90,Cadastros!$H$6:$H$90)*(1-0.18),_xlfn.XLOOKUP(AB592,Cadastros!$G$6:$G$90,Cadastros!$H$6:$H$90))))</f>
        <v/>
      </c>
      <c r="AE592" s="168" t="str">
        <f t="shared" si="122"/>
        <v/>
      </c>
      <c r="AF592" s="168" t="str">
        <f t="shared" si="123"/>
        <v/>
      </c>
      <c r="AG592" s="28"/>
      <c r="AH592" s="28"/>
      <c r="AI592" s="20" t="str">
        <f>IF(AG592="","",IF($F592="Bernardino Furlan",_xlfn.XLOOKUP(AG592,Cadastros!$G$6:$G$90,Cadastros!$H$6:$H$90)*(1-0.18),IF($F592="Mauro José Salanti",_xlfn.XLOOKUP(AG592,Cadastros!$G$6:$G$90,Cadastros!$H$6:$H$90)*(1-0.18),_xlfn.XLOOKUP(AG592,Cadastros!$G$6:$G$90,Cadastros!$H$6:$H$90))))</f>
        <v/>
      </c>
      <c r="AJ592" s="168" t="str">
        <f t="shared" si="124"/>
        <v/>
      </c>
      <c r="AK592" s="168" t="str">
        <f t="shared" si="125"/>
        <v/>
      </c>
      <c r="AL592" s="28"/>
      <c r="AM592" s="28"/>
      <c r="AN592" s="20" t="str">
        <f>IF(AL592="","",IF($F592="Bernardino Furlan",_xlfn.XLOOKUP(AL592,Cadastros!$G$6:$G$90,Cadastros!$H$6:$H$90)*(1-0.18),IF($F592="Mauro José Salanti",_xlfn.XLOOKUP(AL592,Cadastros!$G$6:$G$90,Cadastros!$H$6:$H$90)*(1-0.18),_xlfn.XLOOKUP(AL592,Cadastros!$G$6:$G$90,Cadastros!$H$6:$H$90))))</f>
        <v/>
      </c>
      <c r="AO592" s="168" t="str">
        <f t="shared" si="126"/>
        <v/>
      </c>
      <c r="AP592" s="168" t="str">
        <f t="shared" si="127"/>
        <v/>
      </c>
      <c r="AQ592" s="28"/>
      <c r="AR592" s="28"/>
      <c r="AS592" s="20" t="str">
        <f>IF(AQ592="","",IF($F592="Bernardino Furlan",_xlfn.XLOOKUP(AQ592,Cadastros!$G$6:$G$90,Cadastros!$H$6:$H$90)*(1-0.18),IF($F592="Mauro José Salanti",_xlfn.XLOOKUP(AQ592,Cadastros!$G$6:$G$90,Cadastros!$H$6:$H$90)*(1-0.18),_xlfn.XLOOKUP(AQ592,Cadastros!$G$6:$G$90,Cadastros!$H$6:$H$90))))</f>
        <v/>
      </c>
      <c r="AT592" s="168" t="str">
        <f t="shared" si="128"/>
        <v/>
      </c>
      <c r="AU592" s="168" t="str">
        <f t="shared" si="129"/>
        <v/>
      </c>
      <c r="AV592" s="227"/>
      <c r="AW592" s="30"/>
      <c r="AX592" s="267"/>
      <c r="AY592" s="267"/>
      <c r="AZ592" s="29"/>
      <c r="BA592" s="30"/>
      <c r="BB592" s="23" t="str" cm="1">
        <f t="array" ref="BB592">_xlfn.IFS(AW592="SIM",SUM(K592,P592,U592,Z592,AE592,AJ592,AO592,AT592,AX592,AY592),F592&lt;&gt;"",SUM(K592,P592,U592,Z592,AE592,AJ592,,AO592,AT592),F592="","")</f>
        <v/>
      </c>
      <c r="BC592" s="211" t="str" cm="1">
        <f t="array" ref="BC592">_xlfn.IFS(E592="","",G592&lt;=E592,BB592*(1-0.03),G592&lt;(E592+8),BB592,AZ592="Boleto",BB592*(1+0.001)^DATEDIF(E592,G592,"D"),AZ592="Cheque",BB592,AZ592="Dinheiro","Alterar forma pgto")</f>
        <v/>
      </c>
      <c r="BD592" s="276" t="str" cm="1">
        <f t="array" ref="BD592">IF(F592=0," ",IF(BC592&lt;BB592,(_xlfn.IFS(AW592="SIM",SUM(L592,Q592,V592,AA592,AF592,AK592,AP592,AU592)+AX592/_xlfn.XLOOKUP(_xlfn.XLOOKUP($F592,Clientes!$B$4:$B$39,Clientes!$C$4:$C$39),Cadastros!$L$6:$L$12,Cadastros!$M$6:$M$12)+IF($F592="Bernardino Furlan",AY592/2751.92,IF($F592="Mauro José Salanti",AY592/2751.92,AY592/3356)),F592&lt;&gt;0,SUM(L592,Q592,V592,AA592,AF592,AK592,AP592,AU592)))*(1-0.03),_xlfn.IFS(AW592="SIM",SUM(L592,Q592,V592,AA592,AF592,AK592,AP592,AU592)+AX592/_xlfn.XLOOKUP(_xlfn.XLOOKUP($F592,Clientes!$B$4:$B$39,Clientes!$C$4:$C$39),Cadastros!$L$6:$L$12,Cadastros!$M$6:$M$12)+IF($F592="Bernardino Furlan",AY592/2751.92,IF($F592="Mauro José Salanti",AY592/2751.92,AY592/3356)),F592&lt;&gt;0,SUM(L592,Q592,V592,AA592,AF592,AK592,AP592,AU592))))</f>
        <v xml:space="preserve"> </v>
      </c>
      <c r="BE592" s="120"/>
      <c r="BF592" s="120"/>
      <c r="BG592" s="120"/>
    </row>
    <row r="593" spans="1:59" s="3" customFormat="1" x14ac:dyDescent="0.3">
      <c r="A593" s="15" t="str">
        <f t="shared" si="117"/>
        <v/>
      </c>
      <c r="B593" s="25"/>
      <c r="C593" s="26"/>
      <c r="D593" s="279"/>
      <c r="E593" s="27"/>
      <c r="F593" s="28"/>
      <c r="G593" s="27"/>
      <c r="H593" s="28"/>
      <c r="I593" s="28"/>
      <c r="J593" s="255" t="str">
        <f>IF(H593="","",(_xlfn.XLOOKUP(H593,Cadastros!$D$6:$D$90,Cadastros!$E$6:$E$90))*(1-_xlfn.XLOOKUP(_xlfn.XLOOKUP($F593,Clientes!$B$4:$B$39,Clientes!$C$4:$C$39),Cadastros!$L$6:$L$12,Cadastros!$N$6:$N$12)))</f>
        <v/>
      </c>
      <c r="K593" s="168" t="str">
        <f t="shared" si="118"/>
        <v/>
      </c>
      <c r="L593" s="168" t="str">
        <f>IFERROR(K593/_xlfn.XLOOKUP(_xlfn.XLOOKUP($F593,Clientes!$B$4:$B$39,Clientes!$C$4:$C$39),Cadastros!$L$6:$L$12,Cadastros!$M$6:$M$12)," ")</f>
        <v xml:space="preserve"> </v>
      </c>
      <c r="M593" s="28"/>
      <c r="N593" s="28"/>
      <c r="O593" s="255" t="str">
        <f>IF(M593="","",(_xlfn.XLOOKUP(M593,Cadastros!$D$6:$D$90,Cadastros!$E$6:$E$90))*(1-_xlfn.XLOOKUP(_xlfn.XLOOKUP($F593,Clientes!$B$4:$B$39,Clientes!$C$4:$C$39),Cadastros!$L$6:$L$12,Cadastros!$N$6:$N$12)))</f>
        <v/>
      </c>
      <c r="P593" s="168" t="str">
        <f t="shared" si="119"/>
        <v/>
      </c>
      <c r="Q593" s="168" t="str">
        <f>IFERROR(P593/_xlfn.XLOOKUP(_xlfn.XLOOKUP($F593,Clientes!$B$4:$B$39,Clientes!$C$4:$C$39),Cadastros!$L$6:$L$12,Cadastros!$M$6:$M$12)," ")</f>
        <v xml:space="preserve"> </v>
      </c>
      <c r="R593" s="28"/>
      <c r="S593" s="28"/>
      <c r="T593" s="255" t="str">
        <f>IF(R593="","",(_xlfn.XLOOKUP(R593,Cadastros!$D$6:$D$90,Cadastros!$E$6:$E$90))*(1-_xlfn.XLOOKUP(_xlfn.XLOOKUP($F593,Clientes!$B$4:$B$39,Clientes!$C$4:$C$39),Cadastros!$L$6:$L$12,Cadastros!$N$6:$N$12)))</f>
        <v/>
      </c>
      <c r="U593" s="168" t="str">
        <f t="shared" si="120"/>
        <v/>
      </c>
      <c r="V593" s="168" t="str">
        <f>IFERROR(U593/_xlfn.XLOOKUP(_xlfn.XLOOKUP($F593,Clientes!$B$4:$B$39,Clientes!$C$4:$C$39),Cadastros!$L$6:$L$12,Cadastros!$M$6:$M$12)," ")</f>
        <v xml:space="preserve"> </v>
      </c>
      <c r="W593" s="28"/>
      <c r="X593" s="28"/>
      <c r="Y593" s="255" t="str">
        <f>IF(W593="","",(_xlfn.XLOOKUP(W593,Cadastros!$D$6:$D$90,Cadastros!$E$6:$E$90))*(1-_xlfn.XLOOKUP(_xlfn.XLOOKUP($F593,Clientes!$B$4:$B$39,Clientes!$C$4:$C$39),Cadastros!$L$6:$L$12,Cadastros!$N$6:$N$12)))</f>
        <v/>
      </c>
      <c r="Z593" s="168" t="str">
        <f t="shared" si="121"/>
        <v/>
      </c>
      <c r="AA593" s="168" t="str">
        <f>IFERROR(Z593/_xlfn.XLOOKUP(_xlfn.XLOOKUP($F593,Clientes!$B$4:$B$39,Clientes!$C$4:$C$39),Cadastros!$L$6:$L$12,Cadastros!$M$6:$M$12)," ")</f>
        <v xml:space="preserve"> </v>
      </c>
      <c r="AB593" s="28"/>
      <c r="AC593" s="28"/>
      <c r="AD593" s="20" t="str">
        <f>IF(AB593="","",IF($F593="Bernardino Furlan",_xlfn.XLOOKUP(AB593,Cadastros!$G$6:$G$90,Cadastros!$H$6:$H$90)*(1-0.18),IF($F593="Mauro José Salanti",_xlfn.XLOOKUP(AB593,Cadastros!$G$6:$G$90,Cadastros!$H$6:$H$90)*(1-0.18),_xlfn.XLOOKUP(AB593,Cadastros!$G$6:$G$90,Cadastros!$H$6:$H$90))))</f>
        <v/>
      </c>
      <c r="AE593" s="168" t="str">
        <f t="shared" si="122"/>
        <v/>
      </c>
      <c r="AF593" s="168" t="str">
        <f t="shared" si="123"/>
        <v/>
      </c>
      <c r="AG593" s="28"/>
      <c r="AH593" s="28"/>
      <c r="AI593" s="20" t="str">
        <f>IF(AG593="","",IF($F593="Bernardino Furlan",_xlfn.XLOOKUP(AG593,Cadastros!$G$6:$G$90,Cadastros!$H$6:$H$90)*(1-0.18),IF($F593="Mauro José Salanti",_xlfn.XLOOKUP(AG593,Cadastros!$G$6:$G$90,Cadastros!$H$6:$H$90)*(1-0.18),_xlfn.XLOOKUP(AG593,Cadastros!$G$6:$G$90,Cadastros!$H$6:$H$90))))</f>
        <v/>
      </c>
      <c r="AJ593" s="168" t="str">
        <f t="shared" si="124"/>
        <v/>
      </c>
      <c r="AK593" s="168" t="str">
        <f t="shared" si="125"/>
        <v/>
      </c>
      <c r="AL593" s="28"/>
      <c r="AM593" s="28"/>
      <c r="AN593" s="20" t="str">
        <f>IF(AL593="","",IF($F593="Bernardino Furlan",_xlfn.XLOOKUP(AL593,Cadastros!$G$6:$G$90,Cadastros!$H$6:$H$90)*(1-0.18),IF($F593="Mauro José Salanti",_xlfn.XLOOKUP(AL593,Cadastros!$G$6:$G$90,Cadastros!$H$6:$H$90)*(1-0.18),_xlfn.XLOOKUP(AL593,Cadastros!$G$6:$G$90,Cadastros!$H$6:$H$90))))</f>
        <v/>
      </c>
      <c r="AO593" s="168" t="str">
        <f t="shared" si="126"/>
        <v/>
      </c>
      <c r="AP593" s="168" t="str">
        <f t="shared" si="127"/>
        <v/>
      </c>
      <c r="AQ593" s="28"/>
      <c r="AR593" s="28"/>
      <c r="AS593" s="20" t="str">
        <f>IF(AQ593="","",IF($F593="Bernardino Furlan",_xlfn.XLOOKUP(AQ593,Cadastros!$G$6:$G$90,Cadastros!$H$6:$H$90)*(1-0.18),IF($F593="Mauro José Salanti",_xlfn.XLOOKUP(AQ593,Cadastros!$G$6:$G$90,Cadastros!$H$6:$H$90)*(1-0.18),_xlfn.XLOOKUP(AQ593,Cadastros!$G$6:$G$90,Cadastros!$H$6:$H$90))))</f>
        <v/>
      </c>
      <c r="AT593" s="168" t="str">
        <f t="shared" si="128"/>
        <v/>
      </c>
      <c r="AU593" s="168" t="str">
        <f t="shared" si="129"/>
        <v/>
      </c>
      <c r="AV593" s="227"/>
      <c r="AW593" s="30"/>
      <c r="AX593" s="267"/>
      <c r="AY593" s="267"/>
      <c r="AZ593" s="29"/>
      <c r="BA593" s="30"/>
      <c r="BB593" s="23" t="str" cm="1">
        <f t="array" ref="BB593">_xlfn.IFS(AW593="SIM",SUM(K593,P593,U593,Z593,AE593,AJ593,AO593,AT593,AX593,AY593),F593&lt;&gt;"",SUM(K593,P593,U593,Z593,AE593,AJ593,,AO593,AT593),F593="","")</f>
        <v/>
      </c>
      <c r="BC593" s="211" t="str" cm="1">
        <f t="array" ref="BC593">_xlfn.IFS(E593="","",G593&lt;=E593,BB593*(1-0.03),G593&lt;(E593+8),BB593,AZ593="Boleto",BB593*(1+0.001)^DATEDIF(E593,G593,"D"),AZ593="Cheque",BB593,AZ593="Dinheiro","Alterar forma pgto")</f>
        <v/>
      </c>
      <c r="BD593" s="276" t="str" cm="1">
        <f t="array" ref="BD593">IF(F593=0," ",IF(BC593&lt;BB593,(_xlfn.IFS(AW593="SIM",SUM(L593,Q593,V593,AA593,AF593,AK593,AP593,AU593)+AX593/_xlfn.XLOOKUP(_xlfn.XLOOKUP($F593,Clientes!$B$4:$B$39,Clientes!$C$4:$C$39),Cadastros!$L$6:$L$12,Cadastros!$M$6:$M$12)+IF($F593="Bernardino Furlan",AY593/2751.92,IF($F593="Mauro José Salanti",AY593/2751.92,AY593/3356)),F593&lt;&gt;0,SUM(L593,Q593,V593,AA593,AF593,AK593,AP593,AU593)))*(1-0.03),_xlfn.IFS(AW593="SIM",SUM(L593,Q593,V593,AA593,AF593,AK593,AP593,AU593)+AX593/_xlfn.XLOOKUP(_xlfn.XLOOKUP($F593,Clientes!$B$4:$B$39,Clientes!$C$4:$C$39),Cadastros!$L$6:$L$12,Cadastros!$M$6:$M$12)+IF($F593="Bernardino Furlan",AY593/2751.92,IF($F593="Mauro José Salanti",AY593/2751.92,AY593/3356)),F593&lt;&gt;0,SUM(L593,Q593,V593,AA593,AF593,AK593,AP593,AU593))))</f>
        <v xml:space="preserve"> </v>
      </c>
      <c r="BE593" s="120"/>
      <c r="BF593" s="120"/>
      <c r="BG593" s="120"/>
    </row>
    <row r="594" spans="1:59" s="3" customFormat="1" x14ac:dyDescent="0.3">
      <c r="A594" s="15" t="str">
        <f t="shared" si="117"/>
        <v/>
      </c>
      <c r="B594" s="25"/>
      <c r="C594" s="26"/>
      <c r="D594" s="279"/>
      <c r="E594" s="27"/>
      <c r="F594" s="28"/>
      <c r="G594" s="27"/>
      <c r="H594" s="28"/>
      <c r="I594" s="28"/>
      <c r="J594" s="255" t="str">
        <f>IF(H594="","",(_xlfn.XLOOKUP(H594,Cadastros!$D$6:$D$90,Cadastros!$E$6:$E$90))*(1-_xlfn.XLOOKUP(_xlfn.XLOOKUP($F594,Clientes!$B$4:$B$39,Clientes!$C$4:$C$39),Cadastros!$L$6:$L$12,Cadastros!$N$6:$N$12)))</f>
        <v/>
      </c>
      <c r="K594" s="168" t="str">
        <f t="shared" si="118"/>
        <v/>
      </c>
      <c r="L594" s="168" t="str">
        <f>IFERROR(K594/_xlfn.XLOOKUP(_xlfn.XLOOKUP($F594,Clientes!$B$4:$B$39,Clientes!$C$4:$C$39),Cadastros!$L$6:$L$12,Cadastros!$M$6:$M$12)," ")</f>
        <v xml:space="preserve"> </v>
      </c>
      <c r="M594" s="28"/>
      <c r="N594" s="28"/>
      <c r="O594" s="255" t="str">
        <f>IF(M594="","",(_xlfn.XLOOKUP(M594,Cadastros!$D$6:$D$90,Cadastros!$E$6:$E$90))*(1-_xlfn.XLOOKUP(_xlfn.XLOOKUP($F594,Clientes!$B$4:$B$39,Clientes!$C$4:$C$39),Cadastros!$L$6:$L$12,Cadastros!$N$6:$N$12)))</f>
        <v/>
      </c>
      <c r="P594" s="168" t="str">
        <f t="shared" si="119"/>
        <v/>
      </c>
      <c r="Q594" s="168" t="str">
        <f>IFERROR(P594/_xlfn.XLOOKUP(_xlfn.XLOOKUP($F594,Clientes!$B$4:$B$39,Clientes!$C$4:$C$39),Cadastros!$L$6:$L$12,Cadastros!$M$6:$M$12)," ")</f>
        <v xml:space="preserve"> </v>
      </c>
      <c r="R594" s="28"/>
      <c r="S594" s="28"/>
      <c r="T594" s="255" t="str">
        <f>IF(R594="","",(_xlfn.XLOOKUP(R594,Cadastros!$D$6:$D$90,Cadastros!$E$6:$E$90))*(1-_xlfn.XLOOKUP(_xlfn.XLOOKUP($F594,Clientes!$B$4:$B$39,Clientes!$C$4:$C$39),Cadastros!$L$6:$L$12,Cadastros!$N$6:$N$12)))</f>
        <v/>
      </c>
      <c r="U594" s="168" t="str">
        <f t="shared" si="120"/>
        <v/>
      </c>
      <c r="V594" s="168" t="str">
        <f>IFERROR(U594/_xlfn.XLOOKUP(_xlfn.XLOOKUP($F594,Clientes!$B$4:$B$39,Clientes!$C$4:$C$39),Cadastros!$L$6:$L$12,Cadastros!$M$6:$M$12)," ")</f>
        <v xml:space="preserve"> </v>
      </c>
      <c r="W594" s="28"/>
      <c r="X594" s="28"/>
      <c r="Y594" s="255" t="str">
        <f>IF(W594="","",(_xlfn.XLOOKUP(W594,Cadastros!$D$6:$D$90,Cadastros!$E$6:$E$90))*(1-_xlfn.XLOOKUP(_xlfn.XLOOKUP($F594,Clientes!$B$4:$B$39,Clientes!$C$4:$C$39),Cadastros!$L$6:$L$12,Cadastros!$N$6:$N$12)))</f>
        <v/>
      </c>
      <c r="Z594" s="168" t="str">
        <f t="shared" si="121"/>
        <v/>
      </c>
      <c r="AA594" s="168" t="str">
        <f>IFERROR(Z594/_xlfn.XLOOKUP(_xlfn.XLOOKUP($F594,Clientes!$B$4:$B$39,Clientes!$C$4:$C$39),Cadastros!$L$6:$L$12,Cadastros!$M$6:$M$12)," ")</f>
        <v xml:space="preserve"> </v>
      </c>
      <c r="AB594" s="28"/>
      <c r="AC594" s="28"/>
      <c r="AD594" s="20" t="str">
        <f>IF(AB594="","",IF($F594="Bernardino Furlan",_xlfn.XLOOKUP(AB594,Cadastros!$G$6:$G$90,Cadastros!$H$6:$H$90)*(1-0.18),IF($F594="Mauro José Salanti",_xlfn.XLOOKUP(AB594,Cadastros!$G$6:$G$90,Cadastros!$H$6:$H$90)*(1-0.18),_xlfn.XLOOKUP(AB594,Cadastros!$G$6:$G$90,Cadastros!$H$6:$H$90))))</f>
        <v/>
      </c>
      <c r="AE594" s="168" t="str">
        <f t="shared" si="122"/>
        <v/>
      </c>
      <c r="AF594" s="168" t="str">
        <f t="shared" si="123"/>
        <v/>
      </c>
      <c r="AG594" s="28"/>
      <c r="AH594" s="28"/>
      <c r="AI594" s="20" t="str">
        <f>IF(AG594="","",IF($F594="Bernardino Furlan",_xlfn.XLOOKUP(AG594,Cadastros!$G$6:$G$90,Cadastros!$H$6:$H$90)*(1-0.18),IF($F594="Mauro José Salanti",_xlfn.XLOOKUP(AG594,Cadastros!$G$6:$G$90,Cadastros!$H$6:$H$90)*(1-0.18),_xlfn.XLOOKUP(AG594,Cadastros!$G$6:$G$90,Cadastros!$H$6:$H$90))))</f>
        <v/>
      </c>
      <c r="AJ594" s="168" t="str">
        <f t="shared" si="124"/>
        <v/>
      </c>
      <c r="AK594" s="168" t="str">
        <f t="shared" si="125"/>
        <v/>
      </c>
      <c r="AL594" s="28"/>
      <c r="AM594" s="28"/>
      <c r="AN594" s="20" t="str">
        <f>IF(AL594="","",IF($F594="Bernardino Furlan",_xlfn.XLOOKUP(AL594,Cadastros!$G$6:$G$90,Cadastros!$H$6:$H$90)*(1-0.18),IF($F594="Mauro José Salanti",_xlfn.XLOOKUP(AL594,Cadastros!$G$6:$G$90,Cadastros!$H$6:$H$90)*(1-0.18),_xlfn.XLOOKUP(AL594,Cadastros!$G$6:$G$90,Cadastros!$H$6:$H$90))))</f>
        <v/>
      </c>
      <c r="AO594" s="168" t="str">
        <f t="shared" si="126"/>
        <v/>
      </c>
      <c r="AP594" s="168" t="str">
        <f t="shared" si="127"/>
        <v/>
      </c>
      <c r="AQ594" s="28"/>
      <c r="AR594" s="28"/>
      <c r="AS594" s="20" t="str">
        <f>IF(AQ594="","",IF($F594="Bernardino Furlan",_xlfn.XLOOKUP(AQ594,Cadastros!$G$6:$G$90,Cadastros!$H$6:$H$90)*(1-0.18),IF($F594="Mauro José Salanti",_xlfn.XLOOKUP(AQ594,Cadastros!$G$6:$G$90,Cadastros!$H$6:$H$90)*(1-0.18),_xlfn.XLOOKUP(AQ594,Cadastros!$G$6:$G$90,Cadastros!$H$6:$H$90))))</f>
        <v/>
      </c>
      <c r="AT594" s="168" t="str">
        <f t="shared" si="128"/>
        <v/>
      </c>
      <c r="AU594" s="168" t="str">
        <f t="shared" si="129"/>
        <v/>
      </c>
      <c r="AV594" s="227"/>
      <c r="AW594" s="30"/>
      <c r="AX594" s="267"/>
      <c r="AY594" s="267"/>
      <c r="AZ594" s="29"/>
      <c r="BA594" s="30"/>
      <c r="BB594" s="23" t="str" cm="1">
        <f t="array" ref="BB594">_xlfn.IFS(AW594="SIM",SUM(K594,P594,U594,Z594,AE594,AJ594,AO594,AT594,AX594,AY594),F594&lt;&gt;"",SUM(K594,P594,U594,Z594,AE594,AJ594,,AO594,AT594),F594="","")</f>
        <v/>
      </c>
      <c r="BC594" s="211" t="str" cm="1">
        <f t="array" ref="BC594">_xlfn.IFS(E594="","",G594&lt;=E594,BB594*(1-0.03),G594&lt;(E594+8),BB594,AZ594="Boleto",BB594*(1+0.001)^DATEDIF(E594,G594,"D"),AZ594="Cheque",BB594,AZ594="Dinheiro","Alterar forma pgto")</f>
        <v/>
      </c>
      <c r="BD594" s="276" t="str" cm="1">
        <f t="array" ref="BD594">IF(F594=0," ",IF(BC594&lt;BB594,(_xlfn.IFS(AW594="SIM",SUM(L594,Q594,V594,AA594,AF594,AK594,AP594,AU594)+AX594/_xlfn.XLOOKUP(_xlfn.XLOOKUP($F594,Clientes!$B$4:$B$39,Clientes!$C$4:$C$39),Cadastros!$L$6:$L$12,Cadastros!$M$6:$M$12)+IF($F594="Bernardino Furlan",AY594/2751.92,IF($F594="Mauro José Salanti",AY594/2751.92,AY594/3356)),F594&lt;&gt;0,SUM(L594,Q594,V594,AA594,AF594,AK594,AP594,AU594)))*(1-0.03),_xlfn.IFS(AW594="SIM",SUM(L594,Q594,V594,AA594,AF594,AK594,AP594,AU594)+AX594/_xlfn.XLOOKUP(_xlfn.XLOOKUP($F594,Clientes!$B$4:$B$39,Clientes!$C$4:$C$39),Cadastros!$L$6:$L$12,Cadastros!$M$6:$M$12)+IF($F594="Bernardino Furlan",AY594/2751.92,IF($F594="Mauro José Salanti",AY594/2751.92,AY594/3356)),F594&lt;&gt;0,SUM(L594,Q594,V594,AA594,AF594,AK594,AP594,AU594))))</f>
        <v xml:space="preserve"> </v>
      </c>
      <c r="BE594" s="120"/>
      <c r="BF594" s="120"/>
      <c r="BG594" s="120"/>
    </row>
    <row r="595" spans="1:59" s="3" customFormat="1" x14ac:dyDescent="0.3">
      <c r="A595" s="15" t="str">
        <f t="shared" si="117"/>
        <v/>
      </c>
      <c r="B595" s="25"/>
      <c r="C595" s="26"/>
      <c r="D595" s="279"/>
      <c r="E595" s="27"/>
      <c r="F595" s="28"/>
      <c r="G595" s="27"/>
      <c r="H595" s="28"/>
      <c r="I595" s="28"/>
      <c r="J595" s="255" t="str">
        <f>IF(H595="","",(_xlfn.XLOOKUP(H595,Cadastros!$D$6:$D$90,Cadastros!$E$6:$E$90))*(1-_xlfn.XLOOKUP(_xlfn.XLOOKUP($F595,Clientes!$B$4:$B$39,Clientes!$C$4:$C$39),Cadastros!$L$6:$L$12,Cadastros!$N$6:$N$12)))</f>
        <v/>
      </c>
      <c r="K595" s="168" t="str">
        <f t="shared" si="118"/>
        <v/>
      </c>
      <c r="L595" s="168" t="str">
        <f>IFERROR(K595/_xlfn.XLOOKUP(_xlfn.XLOOKUP($F595,Clientes!$B$4:$B$39,Clientes!$C$4:$C$39),Cadastros!$L$6:$L$12,Cadastros!$M$6:$M$12)," ")</f>
        <v xml:space="preserve"> </v>
      </c>
      <c r="M595" s="28"/>
      <c r="N595" s="28"/>
      <c r="O595" s="255" t="str">
        <f>IF(M595="","",(_xlfn.XLOOKUP(M595,Cadastros!$D$6:$D$90,Cadastros!$E$6:$E$90))*(1-_xlfn.XLOOKUP(_xlfn.XLOOKUP($F595,Clientes!$B$4:$B$39,Clientes!$C$4:$C$39),Cadastros!$L$6:$L$12,Cadastros!$N$6:$N$12)))</f>
        <v/>
      </c>
      <c r="P595" s="168" t="str">
        <f t="shared" si="119"/>
        <v/>
      </c>
      <c r="Q595" s="168" t="str">
        <f>IFERROR(P595/_xlfn.XLOOKUP(_xlfn.XLOOKUP($F595,Clientes!$B$4:$B$39,Clientes!$C$4:$C$39),Cadastros!$L$6:$L$12,Cadastros!$M$6:$M$12)," ")</f>
        <v xml:space="preserve"> </v>
      </c>
      <c r="R595" s="28"/>
      <c r="S595" s="28"/>
      <c r="T595" s="255" t="str">
        <f>IF(R595="","",(_xlfn.XLOOKUP(R595,Cadastros!$D$6:$D$90,Cadastros!$E$6:$E$90))*(1-_xlfn.XLOOKUP(_xlfn.XLOOKUP($F595,Clientes!$B$4:$B$39,Clientes!$C$4:$C$39),Cadastros!$L$6:$L$12,Cadastros!$N$6:$N$12)))</f>
        <v/>
      </c>
      <c r="U595" s="168" t="str">
        <f t="shared" si="120"/>
        <v/>
      </c>
      <c r="V595" s="168" t="str">
        <f>IFERROR(U595/_xlfn.XLOOKUP(_xlfn.XLOOKUP($F595,Clientes!$B$4:$B$39,Clientes!$C$4:$C$39),Cadastros!$L$6:$L$12,Cadastros!$M$6:$M$12)," ")</f>
        <v xml:space="preserve"> </v>
      </c>
      <c r="W595" s="28"/>
      <c r="X595" s="28"/>
      <c r="Y595" s="255" t="str">
        <f>IF(W595="","",(_xlfn.XLOOKUP(W595,Cadastros!$D$6:$D$90,Cadastros!$E$6:$E$90))*(1-_xlfn.XLOOKUP(_xlfn.XLOOKUP($F595,Clientes!$B$4:$B$39,Clientes!$C$4:$C$39),Cadastros!$L$6:$L$12,Cadastros!$N$6:$N$12)))</f>
        <v/>
      </c>
      <c r="Z595" s="168" t="str">
        <f t="shared" si="121"/>
        <v/>
      </c>
      <c r="AA595" s="168" t="str">
        <f>IFERROR(Z595/_xlfn.XLOOKUP(_xlfn.XLOOKUP($F595,Clientes!$B$4:$B$39,Clientes!$C$4:$C$39),Cadastros!$L$6:$L$12,Cadastros!$M$6:$M$12)," ")</f>
        <v xml:space="preserve"> </v>
      </c>
      <c r="AB595" s="28"/>
      <c r="AC595" s="28"/>
      <c r="AD595" s="20" t="str">
        <f>IF(AB595="","",IF($F595="Bernardino Furlan",_xlfn.XLOOKUP(AB595,Cadastros!$G$6:$G$90,Cadastros!$H$6:$H$90)*(1-0.18),IF($F595="Mauro José Salanti",_xlfn.XLOOKUP(AB595,Cadastros!$G$6:$G$90,Cadastros!$H$6:$H$90)*(1-0.18),_xlfn.XLOOKUP(AB595,Cadastros!$G$6:$G$90,Cadastros!$H$6:$H$90))))</f>
        <v/>
      </c>
      <c r="AE595" s="168" t="str">
        <f t="shared" si="122"/>
        <v/>
      </c>
      <c r="AF595" s="168" t="str">
        <f t="shared" si="123"/>
        <v/>
      </c>
      <c r="AG595" s="28"/>
      <c r="AH595" s="28"/>
      <c r="AI595" s="20" t="str">
        <f>IF(AG595="","",IF($F595="Bernardino Furlan",_xlfn.XLOOKUP(AG595,Cadastros!$G$6:$G$90,Cadastros!$H$6:$H$90)*(1-0.18),IF($F595="Mauro José Salanti",_xlfn.XLOOKUP(AG595,Cadastros!$G$6:$G$90,Cadastros!$H$6:$H$90)*(1-0.18),_xlfn.XLOOKUP(AG595,Cadastros!$G$6:$G$90,Cadastros!$H$6:$H$90))))</f>
        <v/>
      </c>
      <c r="AJ595" s="168" t="str">
        <f t="shared" si="124"/>
        <v/>
      </c>
      <c r="AK595" s="168" t="str">
        <f t="shared" si="125"/>
        <v/>
      </c>
      <c r="AL595" s="28"/>
      <c r="AM595" s="28"/>
      <c r="AN595" s="20" t="str">
        <f>IF(AL595="","",IF($F595="Bernardino Furlan",_xlfn.XLOOKUP(AL595,Cadastros!$G$6:$G$90,Cadastros!$H$6:$H$90)*(1-0.18),IF($F595="Mauro José Salanti",_xlfn.XLOOKUP(AL595,Cadastros!$G$6:$G$90,Cadastros!$H$6:$H$90)*(1-0.18),_xlfn.XLOOKUP(AL595,Cadastros!$G$6:$G$90,Cadastros!$H$6:$H$90))))</f>
        <v/>
      </c>
      <c r="AO595" s="168" t="str">
        <f t="shared" si="126"/>
        <v/>
      </c>
      <c r="AP595" s="168" t="str">
        <f t="shared" si="127"/>
        <v/>
      </c>
      <c r="AQ595" s="28"/>
      <c r="AR595" s="28"/>
      <c r="AS595" s="20" t="str">
        <f>IF(AQ595="","",IF($F595="Bernardino Furlan",_xlfn.XLOOKUP(AQ595,Cadastros!$G$6:$G$90,Cadastros!$H$6:$H$90)*(1-0.18),IF($F595="Mauro José Salanti",_xlfn.XLOOKUP(AQ595,Cadastros!$G$6:$G$90,Cadastros!$H$6:$H$90)*(1-0.18),_xlfn.XLOOKUP(AQ595,Cadastros!$G$6:$G$90,Cadastros!$H$6:$H$90))))</f>
        <v/>
      </c>
      <c r="AT595" s="168" t="str">
        <f t="shared" si="128"/>
        <v/>
      </c>
      <c r="AU595" s="168" t="str">
        <f t="shared" si="129"/>
        <v/>
      </c>
      <c r="AV595" s="227"/>
      <c r="AW595" s="30"/>
      <c r="AX595" s="267"/>
      <c r="AY595" s="267"/>
      <c r="AZ595" s="29"/>
      <c r="BA595" s="30"/>
      <c r="BB595" s="23" t="str" cm="1">
        <f t="array" ref="BB595">_xlfn.IFS(AW595="SIM",SUM(K595,P595,U595,Z595,AE595,AJ595,AO595,AT595,AX595,AY595),F595&lt;&gt;"",SUM(K595,P595,U595,Z595,AE595,AJ595,,AO595,AT595),F595="","")</f>
        <v/>
      </c>
      <c r="BC595" s="211" t="str" cm="1">
        <f t="array" ref="BC595">_xlfn.IFS(E595="","",G595&lt;=E595,BB595*(1-0.03),G595&lt;(E595+8),BB595,AZ595="Boleto",BB595*(1+0.001)^DATEDIF(E595,G595,"D"),AZ595="Cheque",BB595,AZ595="Dinheiro","Alterar forma pgto")</f>
        <v/>
      </c>
      <c r="BD595" s="276" t="str" cm="1">
        <f t="array" ref="BD595">IF(F595=0," ",IF(BC595&lt;BB595,(_xlfn.IFS(AW595="SIM",SUM(L595,Q595,V595,AA595,AF595,AK595,AP595,AU595)+AX595/_xlfn.XLOOKUP(_xlfn.XLOOKUP($F595,Clientes!$B$4:$B$39,Clientes!$C$4:$C$39),Cadastros!$L$6:$L$12,Cadastros!$M$6:$M$12)+IF($F595="Bernardino Furlan",AY595/2751.92,IF($F595="Mauro José Salanti",AY595/2751.92,AY595/3356)),F595&lt;&gt;0,SUM(L595,Q595,V595,AA595,AF595,AK595,AP595,AU595)))*(1-0.03),_xlfn.IFS(AW595="SIM",SUM(L595,Q595,V595,AA595,AF595,AK595,AP595,AU595)+AX595/_xlfn.XLOOKUP(_xlfn.XLOOKUP($F595,Clientes!$B$4:$B$39,Clientes!$C$4:$C$39),Cadastros!$L$6:$L$12,Cadastros!$M$6:$M$12)+IF($F595="Bernardino Furlan",AY595/2751.92,IF($F595="Mauro José Salanti",AY595/2751.92,AY595/3356)),F595&lt;&gt;0,SUM(L595,Q595,V595,AA595,AF595,AK595,AP595,AU595))))</f>
        <v xml:space="preserve"> </v>
      </c>
      <c r="BE595" s="120"/>
      <c r="BF595" s="120"/>
      <c r="BG595" s="120"/>
    </row>
    <row r="596" spans="1:59" s="3" customFormat="1" x14ac:dyDescent="0.3">
      <c r="A596" s="15" t="str">
        <f t="shared" si="117"/>
        <v/>
      </c>
      <c r="B596" s="25"/>
      <c r="C596" s="26"/>
      <c r="D596" s="279"/>
      <c r="E596" s="27"/>
      <c r="F596" s="28"/>
      <c r="G596" s="27"/>
      <c r="H596" s="28"/>
      <c r="I596" s="28"/>
      <c r="J596" s="255" t="str">
        <f>IF(H596="","",(_xlfn.XLOOKUP(H596,Cadastros!$D$6:$D$90,Cadastros!$E$6:$E$90))*(1-_xlfn.XLOOKUP(_xlfn.XLOOKUP($F596,Clientes!$B$4:$B$39,Clientes!$C$4:$C$39),Cadastros!$L$6:$L$12,Cadastros!$N$6:$N$12)))</f>
        <v/>
      </c>
      <c r="K596" s="168" t="str">
        <f t="shared" si="118"/>
        <v/>
      </c>
      <c r="L596" s="168" t="str">
        <f>IFERROR(K596/_xlfn.XLOOKUP(_xlfn.XLOOKUP($F596,Clientes!$B$4:$B$39,Clientes!$C$4:$C$39),Cadastros!$L$6:$L$12,Cadastros!$M$6:$M$12)," ")</f>
        <v xml:space="preserve"> </v>
      </c>
      <c r="M596" s="28"/>
      <c r="N596" s="28"/>
      <c r="O596" s="255" t="str">
        <f>IF(M596="","",(_xlfn.XLOOKUP(M596,Cadastros!$D$6:$D$90,Cadastros!$E$6:$E$90))*(1-_xlfn.XLOOKUP(_xlfn.XLOOKUP($F596,Clientes!$B$4:$B$39,Clientes!$C$4:$C$39),Cadastros!$L$6:$L$12,Cadastros!$N$6:$N$12)))</f>
        <v/>
      </c>
      <c r="P596" s="168" t="str">
        <f t="shared" si="119"/>
        <v/>
      </c>
      <c r="Q596" s="168" t="str">
        <f>IFERROR(P596/_xlfn.XLOOKUP(_xlfn.XLOOKUP($F596,Clientes!$B$4:$B$39,Clientes!$C$4:$C$39),Cadastros!$L$6:$L$12,Cadastros!$M$6:$M$12)," ")</f>
        <v xml:space="preserve"> </v>
      </c>
      <c r="R596" s="28"/>
      <c r="S596" s="28"/>
      <c r="T596" s="255" t="str">
        <f>IF(R596="","",(_xlfn.XLOOKUP(R596,Cadastros!$D$6:$D$90,Cadastros!$E$6:$E$90))*(1-_xlfn.XLOOKUP(_xlfn.XLOOKUP($F596,Clientes!$B$4:$B$39,Clientes!$C$4:$C$39),Cadastros!$L$6:$L$12,Cadastros!$N$6:$N$12)))</f>
        <v/>
      </c>
      <c r="U596" s="168" t="str">
        <f t="shared" si="120"/>
        <v/>
      </c>
      <c r="V596" s="168" t="str">
        <f>IFERROR(U596/_xlfn.XLOOKUP(_xlfn.XLOOKUP($F596,Clientes!$B$4:$B$39,Clientes!$C$4:$C$39),Cadastros!$L$6:$L$12,Cadastros!$M$6:$M$12)," ")</f>
        <v xml:space="preserve"> </v>
      </c>
      <c r="W596" s="28"/>
      <c r="X596" s="28"/>
      <c r="Y596" s="255" t="str">
        <f>IF(W596="","",(_xlfn.XLOOKUP(W596,Cadastros!$D$6:$D$90,Cadastros!$E$6:$E$90))*(1-_xlfn.XLOOKUP(_xlfn.XLOOKUP($F596,Clientes!$B$4:$B$39,Clientes!$C$4:$C$39),Cadastros!$L$6:$L$12,Cadastros!$N$6:$N$12)))</f>
        <v/>
      </c>
      <c r="Z596" s="168" t="str">
        <f t="shared" si="121"/>
        <v/>
      </c>
      <c r="AA596" s="168" t="str">
        <f>IFERROR(Z596/_xlfn.XLOOKUP(_xlfn.XLOOKUP($F596,Clientes!$B$4:$B$39,Clientes!$C$4:$C$39),Cadastros!$L$6:$L$12,Cadastros!$M$6:$M$12)," ")</f>
        <v xml:space="preserve"> </v>
      </c>
      <c r="AB596" s="28"/>
      <c r="AC596" s="28"/>
      <c r="AD596" s="20" t="str">
        <f>IF(AB596="","",IF($F596="Bernardino Furlan",_xlfn.XLOOKUP(AB596,Cadastros!$G$6:$G$90,Cadastros!$H$6:$H$90)*(1-0.18),IF($F596="Mauro José Salanti",_xlfn.XLOOKUP(AB596,Cadastros!$G$6:$G$90,Cadastros!$H$6:$H$90)*(1-0.18),_xlfn.XLOOKUP(AB596,Cadastros!$G$6:$G$90,Cadastros!$H$6:$H$90))))</f>
        <v/>
      </c>
      <c r="AE596" s="168" t="str">
        <f t="shared" si="122"/>
        <v/>
      </c>
      <c r="AF596" s="168" t="str">
        <f t="shared" si="123"/>
        <v/>
      </c>
      <c r="AG596" s="28"/>
      <c r="AH596" s="28"/>
      <c r="AI596" s="20" t="str">
        <f>IF(AG596="","",IF($F596="Bernardino Furlan",_xlfn.XLOOKUP(AG596,Cadastros!$G$6:$G$90,Cadastros!$H$6:$H$90)*(1-0.18),IF($F596="Mauro José Salanti",_xlfn.XLOOKUP(AG596,Cadastros!$G$6:$G$90,Cadastros!$H$6:$H$90)*(1-0.18),_xlfn.XLOOKUP(AG596,Cadastros!$G$6:$G$90,Cadastros!$H$6:$H$90))))</f>
        <v/>
      </c>
      <c r="AJ596" s="168" t="str">
        <f t="shared" si="124"/>
        <v/>
      </c>
      <c r="AK596" s="168" t="str">
        <f t="shared" si="125"/>
        <v/>
      </c>
      <c r="AL596" s="28"/>
      <c r="AM596" s="28"/>
      <c r="AN596" s="20" t="str">
        <f>IF(AL596="","",IF($F596="Bernardino Furlan",_xlfn.XLOOKUP(AL596,Cadastros!$G$6:$G$90,Cadastros!$H$6:$H$90)*(1-0.18),IF($F596="Mauro José Salanti",_xlfn.XLOOKUP(AL596,Cadastros!$G$6:$G$90,Cadastros!$H$6:$H$90)*(1-0.18),_xlfn.XLOOKUP(AL596,Cadastros!$G$6:$G$90,Cadastros!$H$6:$H$90))))</f>
        <v/>
      </c>
      <c r="AO596" s="168" t="str">
        <f t="shared" si="126"/>
        <v/>
      </c>
      <c r="AP596" s="168" t="str">
        <f t="shared" si="127"/>
        <v/>
      </c>
      <c r="AQ596" s="28"/>
      <c r="AR596" s="28"/>
      <c r="AS596" s="20" t="str">
        <f>IF(AQ596="","",IF($F596="Bernardino Furlan",_xlfn.XLOOKUP(AQ596,Cadastros!$G$6:$G$90,Cadastros!$H$6:$H$90)*(1-0.18),IF($F596="Mauro José Salanti",_xlfn.XLOOKUP(AQ596,Cadastros!$G$6:$G$90,Cadastros!$H$6:$H$90)*(1-0.18),_xlfn.XLOOKUP(AQ596,Cadastros!$G$6:$G$90,Cadastros!$H$6:$H$90))))</f>
        <v/>
      </c>
      <c r="AT596" s="168" t="str">
        <f t="shared" si="128"/>
        <v/>
      </c>
      <c r="AU596" s="168" t="str">
        <f t="shared" si="129"/>
        <v/>
      </c>
      <c r="AV596" s="227"/>
      <c r="AW596" s="30"/>
      <c r="AX596" s="267"/>
      <c r="AY596" s="267"/>
      <c r="AZ596" s="29"/>
      <c r="BA596" s="30"/>
      <c r="BB596" s="23" t="str" cm="1">
        <f t="array" ref="BB596">_xlfn.IFS(AW596="SIM",SUM(K596,P596,U596,Z596,AE596,AJ596,AO596,AT596,AX596,AY596),F596&lt;&gt;"",SUM(K596,P596,U596,Z596,AE596,AJ596,,AO596,AT596),F596="","")</f>
        <v/>
      </c>
      <c r="BC596" s="211" t="str" cm="1">
        <f t="array" ref="BC596">_xlfn.IFS(E596="","",G596&lt;=E596,BB596*(1-0.03),G596&lt;(E596+8),BB596,AZ596="Boleto",BB596*(1+0.001)^DATEDIF(E596,G596,"D"),AZ596="Cheque",BB596,AZ596="Dinheiro","Alterar forma pgto")</f>
        <v/>
      </c>
      <c r="BD596" s="276" t="str" cm="1">
        <f t="array" ref="BD596">IF(F596=0," ",IF(BC596&lt;BB596,(_xlfn.IFS(AW596="SIM",SUM(L596,Q596,V596,AA596,AF596,AK596,AP596,AU596)+AX596/_xlfn.XLOOKUP(_xlfn.XLOOKUP($F596,Clientes!$B$4:$B$39,Clientes!$C$4:$C$39),Cadastros!$L$6:$L$12,Cadastros!$M$6:$M$12)+IF($F596="Bernardino Furlan",AY596/2751.92,IF($F596="Mauro José Salanti",AY596/2751.92,AY596/3356)),F596&lt;&gt;0,SUM(L596,Q596,V596,AA596,AF596,AK596,AP596,AU596)))*(1-0.03),_xlfn.IFS(AW596="SIM",SUM(L596,Q596,V596,AA596,AF596,AK596,AP596,AU596)+AX596/_xlfn.XLOOKUP(_xlfn.XLOOKUP($F596,Clientes!$B$4:$B$39,Clientes!$C$4:$C$39),Cadastros!$L$6:$L$12,Cadastros!$M$6:$M$12)+IF($F596="Bernardino Furlan",AY596/2751.92,IF($F596="Mauro José Salanti",AY596/2751.92,AY596/3356)),F596&lt;&gt;0,SUM(L596,Q596,V596,AA596,AF596,AK596,AP596,AU596))))</f>
        <v xml:space="preserve"> </v>
      </c>
      <c r="BE596" s="120"/>
      <c r="BF596" s="120"/>
      <c r="BG596" s="120"/>
    </row>
    <row r="597" spans="1:59" s="3" customFormat="1" x14ac:dyDescent="0.3">
      <c r="A597" s="15" t="str">
        <f t="shared" si="117"/>
        <v/>
      </c>
      <c r="B597" s="25"/>
      <c r="C597" s="26"/>
      <c r="D597" s="279"/>
      <c r="E597" s="27"/>
      <c r="F597" s="28"/>
      <c r="G597" s="27"/>
      <c r="H597" s="28"/>
      <c r="I597" s="28"/>
      <c r="J597" s="255" t="str">
        <f>IF(H597="","",(_xlfn.XLOOKUP(H597,Cadastros!$D$6:$D$90,Cadastros!$E$6:$E$90))*(1-_xlfn.XLOOKUP(_xlfn.XLOOKUP($F597,Clientes!$B$4:$B$39,Clientes!$C$4:$C$39),Cadastros!$L$6:$L$12,Cadastros!$N$6:$N$12)))</f>
        <v/>
      </c>
      <c r="K597" s="168" t="str">
        <f t="shared" si="118"/>
        <v/>
      </c>
      <c r="L597" s="168" t="str">
        <f>IFERROR(K597/_xlfn.XLOOKUP(_xlfn.XLOOKUP($F597,Clientes!$B$4:$B$39,Clientes!$C$4:$C$39),Cadastros!$L$6:$L$12,Cadastros!$M$6:$M$12)," ")</f>
        <v xml:space="preserve"> </v>
      </c>
      <c r="M597" s="28"/>
      <c r="N597" s="28"/>
      <c r="O597" s="255" t="str">
        <f>IF(M597="","",(_xlfn.XLOOKUP(M597,Cadastros!$D$6:$D$90,Cadastros!$E$6:$E$90))*(1-_xlfn.XLOOKUP(_xlfn.XLOOKUP($F597,Clientes!$B$4:$B$39,Clientes!$C$4:$C$39),Cadastros!$L$6:$L$12,Cadastros!$N$6:$N$12)))</f>
        <v/>
      </c>
      <c r="P597" s="168" t="str">
        <f t="shared" si="119"/>
        <v/>
      </c>
      <c r="Q597" s="168" t="str">
        <f>IFERROR(P597/_xlfn.XLOOKUP(_xlfn.XLOOKUP($F597,Clientes!$B$4:$B$39,Clientes!$C$4:$C$39),Cadastros!$L$6:$L$12,Cadastros!$M$6:$M$12)," ")</f>
        <v xml:space="preserve"> </v>
      </c>
      <c r="R597" s="28"/>
      <c r="S597" s="28"/>
      <c r="T597" s="255" t="str">
        <f>IF(R597="","",(_xlfn.XLOOKUP(R597,Cadastros!$D$6:$D$90,Cadastros!$E$6:$E$90))*(1-_xlfn.XLOOKUP(_xlfn.XLOOKUP($F597,Clientes!$B$4:$B$39,Clientes!$C$4:$C$39),Cadastros!$L$6:$L$12,Cadastros!$N$6:$N$12)))</f>
        <v/>
      </c>
      <c r="U597" s="168" t="str">
        <f t="shared" si="120"/>
        <v/>
      </c>
      <c r="V597" s="168" t="str">
        <f>IFERROR(U597/_xlfn.XLOOKUP(_xlfn.XLOOKUP($F597,Clientes!$B$4:$B$39,Clientes!$C$4:$C$39),Cadastros!$L$6:$L$12,Cadastros!$M$6:$M$12)," ")</f>
        <v xml:space="preserve"> </v>
      </c>
      <c r="W597" s="28"/>
      <c r="X597" s="28"/>
      <c r="Y597" s="255" t="str">
        <f>IF(W597="","",(_xlfn.XLOOKUP(W597,Cadastros!$D$6:$D$90,Cadastros!$E$6:$E$90))*(1-_xlfn.XLOOKUP(_xlfn.XLOOKUP($F597,Clientes!$B$4:$B$39,Clientes!$C$4:$C$39),Cadastros!$L$6:$L$12,Cadastros!$N$6:$N$12)))</f>
        <v/>
      </c>
      <c r="Z597" s="168" t="str">
        <f t="shared" si="121"/>
        <v/>
      </c>
      <c r="AA597" s="168" t="str">
        <f>IFERROR(Z597/_xlfn.XLOOKUP(_xlfn.XLOOKUP($F597,Clientes!$B$4:$B$39,Clientes!$C$4:$C$39),Cadastros!$L$6:$L$12,Cadastros!$M$6:$M$12)," ")</f>
        <v xml:space="preserve"> </v>
      </c>
      <c r="AB597" s="28"/>
      <c r="AC597" s="28"/>
      <c r="AD597" s="20" t="str">
        <f>IF(AB597="","",IF($F597="Bernardino Furlan",_xlfn.XLOOKUP(AB597,Cadastros!$G$6:$G$90,Cadastros!$H$6:$H$90)*(1-0.18),IF($F597="Mauro José Salanti",_xlfn.XLOOKUP(AB597,Cadastros!$G$6:$G$90,Cadastros!$H$6:$H$90)*(1-0.18),_xlfn.XLOOKUP(AB597,Cadastros!$G$6:$G$90,Cadastros!$H$6:$H$90))))</f>
        <v/>
      </c>
      <c r="AE597" s="168" t="str">
        <f t="shared" si="122"/>
        <v/>
      </c>
      <c r="AF597" s="168" t="str">
        <f t="shared" si="123"/>
        <v/>
      </c>
      <c r="AG597" s="28"/>
      <c r="AH597" s="28"/>
      <c r="AI597" s="20" t="str">
        <f>IF(AG597="","",IF($F597="Bernardino Furlan",_xlfn.XLOOKUP(AG597,Cadastros!$G$6:$G$90,Cadastros!$H$6:$H$90)*(1-0.18),IF($F597="Mauro José Salanti",_xlfn.XLOOKUP(AG597,Cadastros!$G$6:$G$90,Cadastros!$H$6:$H$90)*(1-0.18),_xlfn.XLOOKUP(AG597,Cadastros!$G$6:$G$90,Cadastros!$H$6:$H$90))))</f>
        <v/>
      </c>
      <c r="AJ597" s="168" t="str">
        <f t="shared" si="124"/>
        <v/>
      </c>
      <c r="AK597" s="168" t="str">
        <f t="shared" si="125"/>
        <v/>
      </c>
      <c r="AL597" s="28"/>
      <c r="AM597" s="28"/>
      <c r="AN597" s="20" t="str">
        <f>IF(AL597="","",IF($F597="Bernardino Furlan",_xlfn.XLOOKUP(AL597,Cadastros!$G$6:$G$90,Cadastros!$H$6:$H$90)*(1-0.18),IF($F597="Mauro José Salanti",_xlfn.XLOOKUP(AL597,Cadastros!$G$6:$G$90,Cadastros!$H$6:$H$90)*(1-0.18),_xlfn.XLOOKUP(AL597,Cadastros!$G$6:$G$90,Cadastros!$H$6:$H$90))))</f>
        <v/>
      </c>
      <c r="AO597" s="168" t="str">
        <f t="shared" si="126"/>
        <v/>
      </c>
      <c r="AP597" s="168" t="str">
        <f t="shared" si="127"/>
        <v/>
      </c>
      <c r="AQ597" s="28"/>
      <c r="AR597" s="28"/>
      <c r="AS597" s="20" t="str">
        <f>IF(AQ597="","",IF($F597="Bernardino Furlan",_xlfn.XLOOKUP(AQ597,Cadastros!$G$6:$G$90,Cadastros!$H$6:$H$90)*(1-0.18),IF($F597="Mauro José Salanti",_xlfn.XLOOKUP(AQ597,Cadastros!$G$6:$G$90,Cadastros!$H$6:$H$90)*(1-0.18),_xlfn.XLOOKUP(AQ597,Cadastros!$G$6:$G$90,Cadastros!$H$6:$H$90))))</f>
        <v/>
      </c>
      <c r="AT597" s="168" t="str">
        <f t="shared" si="128"/>
        <v/>
      </c>
      <c r="AU597" s="168" t="str">
        <f t="shared" si="129"/>
        <v/>
      </c>
      <c r="AV597" s="227"/>
      <c r="AW597" s="30"/>
      <c r="AX597" s="267"/>
      <c r="AY597" s="267"/>
      <c r="AZ597" s="29"/>
      <c r="BA597" s="30"/>
      <c r="BB597" s="23" t="str" cm="1">
        <f t="array" ref="BB597">_xlfn.IFS(AW597="SIM",SUM(K597,P597,U597,Z597,AE597,AJ597,AO597,AT597,AX597,AY597),F597&lt;&gt;"",SUM(K597,P597,U597,Z597,AE597,AJ597,,AO597,AT597),F597="","")</f>
        <v/>
      </c>
      <c r="BC597" s="211" t="str" cm="1">
        <f t="array" ref="BC597">_xlfn.IFS(E597="","",G597&lt;=E597,BB597*(1-0.03),G597&lt;(E597+8),BB597,AZ597="Boleto",BB597*(1+0.001)^DATEDIF(E597,G597,"D"),AZ597="Cheque",BB597,AZ597="Dinheiro","Alterar forma pgto")</f>
        <v/>
      </c>
      <c r="BD597" s="276" t="str" cm="1">
        <f t="array" ref="BD597">IF(F597=0," ",IF(BC597&lt;BB597,(_xlfn.IFS(AW597="SIM",SUM(L597,Q597,V597,AA597,AF597,AK597,AP597,AU597)+AX597/_xlfn.XLOOKUP(_xlfn.XLOOKUP($F597,Clientes!$B$4:$B$39,Clientes!$C$4:$C$39),Cadastros!$L$6:$L$12,Cadastros!$M$6:$M$12)+IF($F597="Bernardino Furlan",AY597/2751.92,IF($F597="Mauro José Salanti",AY597/2751.92,AY597/3356)),F597&lt;&gt;0,SUM(L597,Q597,V597,AA597,AF597,AK597,AP597,AU597)))*(1-0.03),_xlfn.IFS(AW597="SIM",SUM(L597,Q597,V597,AA597,AF597,AK597,AP597,AU597)+AX597/_xlfn.XLOOKUP(_xlfn.XLOOKUP($F597,Clientes!$B$4:$B$39,Clientes!$C$4:$C$39),Cadastros!$L$6:$L$12,Cadastros!$M$6:$M$12)+IF($F597="Bernardino Furlan",AY597/2751.92,IF($F597="Mauro José Salanti",AY597/2751.92,AY597/3356)),F597&lt;&gt;0,SUM(L597,Q597,V597,AA597,AF597,AK597,AP597,AU597))))</f>
        <v xml:space="preserve"> </v>
      </c>
      <c r="BE597" s="120"/>
      <c r="BF597" s="120"/>
      <c r="BG597" s="120"/>
    </row>
    <row r="598" spans="1:59" s="3" customFormat="1" x14ac:dyDescent="0.3">
      <c r="A598" s="15" t="str">
        <f t="shared" si="117"/>
        <v/>
      </c>
      <c r="B598" s="25"/>
      <c r="C598" s="26"/>
      <c r="D598" s="279"/>
      <c r="E598" s="27"/>
      <c r="F598" s="28"/>
      <c r="G598" s="27"/>
      <c r="H598" s="28"/>
      <c r="I598" s="28"/>
      <c r="J598" s="255" t="str">
        <f>IF(H598="","",(_xlfn.XLOOKUP(H598,Cadastros!$D$6:$D$90,Cadastros!$E$6:$E$90))*(1-_xlfn.XLOOKUP(_xlfn.XLOOKUP($F598,Clientes!$B$4:$B$39,Clientes!$C$4:$C$39),Cadastros!$L$6:$L$12,Cadastros!$N$6:$N$12)))</f>
        <v/>
      </c>
      <c r="K598" s="168" t="str">
        <f t="shared" si="118"/>
        <v/>
      </c>
      <c r="L598" s="168" t="str">
        <f>IFERROR(K598/_xlfn.XLOOKUP(_xlfn.XLOOKUP($F598,Clientes!$B$4:$B$39,Clientes!$C$4:$C$39),Cadastros!$L$6:$L$12,Cadastros!$M$6:$M$12)," ")</f>
        <v xml:space="preserve"> </v>
      </c>
      <c r="M598" s="28"/>
      <c r="N598" s="28"/>
      <c r="O598" s="255" t="str">
        <f>IF(M598="","",(_xlfn.XLOOKUP(M598,Cadastros!$D$6:$D$90,Cadastros!$E$6:$E$90))*(1-_xlfn.XLOOKUP(_xlfn.XLOOKUP($F598,Clientes!$B$4:$B$39,Clientes!$C$4:$C$39),Cadastros!$L$6:$L$12,Cadastros!$N$6:$N$12)))</f>
        <v/>
      </c>
      <c r="P598" s="168" t="str">
        <f t="shared" si="119"/>
        <v/>
      </c>
      <c r="Q598" s="168" t="str">
        <f>IFERROR(P598/_xlfn.XLOOKUP(_xlfn.XLOOKUP($F598,Clientes!$B$4:$B$39,Clientes!$C$4:$C$39),Cadastros!$L$6:$L$12,Cadastros!$M$6:$M$12)," ")</f>
        <v xml:space="preserve"> </v>
      </c>
      <c r="R598" s="28"/>
      <c r="S598" s="28"/>
      <c r="T598" s="255" t="str">
        <f>IF(R598="","",(_xlfn.XLOOKUP(R598,Cadastros!$D$6:$D$90,Cadastros!$E$6:$E$90))*(1-_xlfn.XLOOKUP(_xlfn.XLOOKUP($F598,Clientes!$B$4:$B$39,Clientes!$C$4:$C$39),Cadastros!$L$6:$L$12,Cadastros!$N$6:$N$12)))</f>
        <v/>
      </c>
      <c r="U598" s="168" t="str">
        <f t="shared" si="120"/>
        <v/>
      </c>
      <c r="V598" s="168" t="str">
        <f>IFERROR(U598/_xlfn.XLOOKUP(_xlfn.XLOOKUP($F598,Clientes!$B$4:$B$39,Clientes!$C$4:$C$39),Cadastros!$L$6:$L$12,Cadastros!$M$6:$M$12)," ")</f>
        <v xml:space="preserve"> </v>
      </c>
      <c r="W598" s="28"/>
      <c r="X598" s="28"/>
      <c r="Y598" s="255" t="str">
        <f>IF(W598="","",(_xlfn.XLOOKUP(W598,Cadastros!$D$6:$D$90,Cadastros!$E$6:$E$90))*(1-_xlfn.XLOOKUP(_xlfn.XLOOKUP($F598,Clientes!$B$4:$B$39,Clientes!$C$4:$C$39),Cadastros!$L$6:$L$12,Cadastros!$N$6:$N$12)))</f>
        <v/>
      </c>
      <c r="Z598" s="168" t="str">
        <f t="shared" si="121"/>
        <v/>
      </c>
      <c r="AA598" s="168" t="str">
        <f>IFERROR(Z598/_xlfn.XLOOKUP(_xlfn.XLOOKUP($F598,Clientes!$B$4:$B$39,Clientes!$C$4:$C$39),Cadastros!$L$6:$L$12,Cadastros!$M$6:$M$12)," ")</f>
        <v xml:space="preserve"> </v>
      </c>
      <c r="AB598" s="28"/>
      <c r="AC598" s="28"/>
      <c r="AD598" s="20" t="str">
        <f>IF(AB598="","",IF($F598="Bernardino Furlan",_xlfn.XLOOKUP(AB598,Cadastros!$G$6:$G$90,Cadastros!$H$6:$H$90)*(1-0.18),IF($F598="Mauro José Salanti",_xlfn.XLOOKUP(AB598,Cadastros!$G$6:$G$90,Cadastros!$H$6:$H$90)*(1-0.18),_xlfn.XLOOKUP(AB598,Cadastros!$G$6:$G$90,Cadastros!$H$6:$H$90))))</f>
        <v/>
      </c>
      <c r="AE598" s="168" t="str">
        <f t="shared" si="122"/>
        <v/>
      </c>
      <c r="AF598" s="168" t="str">
        <f t="shared" si="123"/>
        <v/>
      </c>
      <c r="AG598" s="28"/>
      <c r="AH598" s="28"/>
      <c r="AI598" s="20" t="str">
        <f>IF(AG598="","",IF($F598="Bernardino Furlan",_xlfn.XLOOKUP(AG598,Cadastros!$G$6:$G$90,Cadastros!$H$6:$H$90)*(1-0.18),IF($F598="Mauro José Salanti",_xlfn.XLOOKUP(AG598,Cadastros!$G$6:$G$90,Cadastros!$H$6:$H$90)*(1-0.18),_xlfn.XLOOKUP(AG598,Cadastros!$G$6:$G$90,Cadastros!$H$6:$H$90))))</f>
        <v/>
      </c>
      <c r="AJ598" s="168" t="str">
        <f t="shared" si="124"/>
        <v/>
      </c>
      <c r="AK598" s="168" t="str">
        <f t="shared" si="125"/>
        <v/>
      </c>
      <c r="AL598" s="28"/>
      <c r="AM598" s="28"/>
      <c r="AN598" s="20" t="str">
        <f>IF(AL598="","",IF($F598="Bernardino Furlan",_xlfn.XLOOKUP(AL598,Cadastros!$G$6:$G$90,Cadastros!$H$6:$H$90)*(1-0.18),IF($F598="Mauro José Salanti",_xlfn.XLOOKUP(AL598,Cadastros!$G$6:$G$90,Cadastros!$H$6:$H$90)*(1-0.18),_xlfn.XLOOKUP(AL598,Cadastros!$G$6:$G$90,Cadastros!$H$6:$H$90))))</f>
        <v/>
      </c>
      <c r="AO598" s="168" t="str">
        <f t="shared" si="126"/>
        <v/>
      </c>
      <c r="AP598" s="168" t="str">
        <f t="shared" si="127"/>
        <v/>
      </c>
      <c r="AQ598" s="28"/>
      <c r="AR598" s="28"/>
      <c r="AS598" s="20" t="str">
        <f>IF(AQ598="","",IF($F598="Bernardino Furlan",_xlfn.XLOOKUP(AQ598,Cadastros!$G$6:$G$90,Cadastros!$H$6:$H$90)*(1-0.18),IF($F598="Mauro José Salanti",_xlfn.XLOOKUP(AQ598,Cadastros!$G$6:$G$90,Cadastros!$H$6:$H$90)*(1-0.18),_xlfn.XLOOKUP(AQ598,Cadastros!$G$6:$G$90,Cadastros!$H$6:$H$90))))</f>
        <v/>
      </c>
      <c r="AT598" s="168" t="str">
        <f t="shared" si="128"/>
        <v/>
      </c>
      <c r="AU598" s="168" t="str">
        <f t="shared" si="129"/>
        <v/>
      </c>
      <c r="AV598" s="227"/>
      <c r="AW598" s="30"/>
      <c r="AX598" s="267"/>
      <c r="AY598" s="267"/>
      <c r="AZ598" s="29"/>
      <c r="BA598" s="30"/>
      <c r="BB598" s="23" t="str" cm="1">
        <f t="array" ref="BB598">_xlfn.IFS(AW598="SIM",SUM(K598,P598,U598,Z598,AE598,AJ598,AO598,AT598,AX598,AY598),F598&lt;&gt;"",SUM(K598,P598,U598,Z598,AE598,AJ598,,AO598,AT598),F598="","")</f>
        <v/>
      </c>
      <c r="BC598" s="211" t="str" cm="1">
        <f t="array" ref="BC598">_xlfn.IFS(E598="","",G598&lt;=E598,BB598*(1-0.03),G598&lt;(E598+8),BB598,AZ598="Boleto",BB598*(1+0.001)^DATEDIF(E598,G598,"D"),AZ598="Cheque",BB598,AZ598="Dinheiro","Alterar forma pgto")</f>
        <v/>
      </c>
      <c r="BD598" s="276" t="str" cm="1">
        <f t="array" ref="BD598">IF(F598=0," ",IF(BC598&lt;BB598,(_xlfn.IFS(AW598="SIM",SUM(L598,Q598,V598,AA598,AF598,AK598,AP598,AU598)+AX598/_xlfn.XLOOKUP(_xlfn.XLOOKUP($F598,Clientes!$B$4:$B$39,Clientes!$C$4:$C$39),Cadastros!$L$6:$L$12,Cadastros!$M$6:$M$12)+IF($F598="Bernardino Furlan",AY598/2751.92,IF($F598="Mauro José Salanti",AY598/2751.92,AY598/3356)),F598&lt;&gt;0,SUM(L598,Q598,V598,AA598,AF598,AK598,AP598,AU598)))*(1-0.03),_xlfn.IFS(AW598="SIM",SUM(L598,Q598,V598,AA598,AF598,AK598,AP598,AU598)+AX598/_xlfn.XLOOKUP(_xlfn.XLOOKUP($F598,Clientes!$B$4:$B$39,Clientes!$C$4:$C$39),Cadastros!$L$6:$L$12,Cadastros!$M$6:$M$12)+IF($F598="Bernardino Furlan",AY598/2751.92,IF($F598="Mauro José Salanti",AY598/2751.92,AY598/3356)),F598&lt;&gt;0,SUM(L598,Q598,V598,AA598,AF598,AK598,AP598,AU598))))</f>
        <v xml:space="preserve"> </v>
      </c>
      <c r="BE598" s="120"/>
      <c r="BF598" s="120"/>
      <c r="BG598" s="120"/>
    </row>
    <row r="599" spans="1:59" s="3" customFormat="1" x14ac:dyDescent="0.3">
      <c r="A599" s="15" t="str">
        <f t="shared" si="117"/>
        <v/>
      </c>
      <c r="B599" s="25"/>
      <c r="C599" s="26"/>
      <c r="D599" s="279"/>
      <c r="E599" s="27"/>
      <c r="F599" s="28"/>
      <c r="G599" s="27"/>
      <c r="H599" s="28"/>
      <c r="I599" s="28"/>
      <c r="J599" s="255" t="str">
        <f>IF(H599="","",(_xlfn.XLOOKUP(H599,Cadastros!$D$6:$D$90,Cadastros!$E$6:$E$90))*(1-_xlfn.XLOOKUP(_xlfn.XLOOKUP($F599,Clientes!$B$4:$B$39,Clientes!$C$4:$C$39),Cadastros!$L$6:$L$12,Cadastros!$N$6:$N$12)))</f>
        <v/>
      </c>
      <c r="K599" s="168" t="str">
        <f t="shared" si="118"/>
        <v/>
      </c>
      <c r="L599" s="168" t="str">
        <f>IFERROR(K599/_xlfn.XLOOKUP(_xlfn.XLOOKUP($F599,Clientes!$B$4:$B$39,Clientes!$C$4:$C$39),Cadastros!$L$6:$L$12,Cadastros!$M$6:$M$12)," ")</f>
        <v xml:space="preserve"> </v>
      </c>
      <c r="M599" s="28"/>
      <c r="N599" s="28"/>
      <c r="O599" s="255" t="str">
        <f>IF(M599="","",(_xlfn.XLOOKUP(M599,Cadastros!$D$6:$D$90,Cadastros!$E$6:$E$90))*(1-_xlfn.XLOOKUP(_xlfn.XLOOKUP($F599,Clientes!$B$4:$B$39,Clientes!$C$4:$C$39),Cadastros!$L$6:$L$12,Cadastros!$N$6:$N$12)))</f>
        <v/>
      </c>
      <c r="P599" s="168" t="str">
        <f t="shared" si="119"/>
        <v/>
      </c>
      <c r="Q599" s="168" t="str">
        <f>IFERROR(P599/_xlfn.XLOOKUP(_xlfn.XLOOKUP($F599,Clientes!$B$4:$B$39,Clientes!$C$4:$C$39),Cadastros!$L$6:$L$12,Cadastros!$M$6:$M$12)," ")</f>
        <v xml:space="preserve"> </v>
      </c>
      <c r="R599" s="28"/>
      <c r="S599" s="28"/>
      <c r="T599" s="255" t="str">
        <f>IF(R599="","",(_xlfn.XLOOKUP(R599,Cadastros!$D$6:$D$90,Cadastros!$E$6:$E$90))*(1-_xlfn.XLOOKUP(_xlfn.XLOOKUP($F599,Clientes!$B$4:$B$39,Clientes!$C$4:$C$39),Cadastros!$L$6:$L$12,Cadastros!$N$6:$N$12)))</f>
        <v/>
      </c>
      <c r="U599" s="168" t="str">
        <f t="shared" si="120"/>
        <v/>
      </c>
      <c r="V599" s="168" t="str">
        <f>IFERROR(U599/_xlfn.XLOOKUP(_xlfn.XLOOKUP($F599,Clientes!$B$4:$B$39,Clientes!$C$4:$C$39),Cadastros!$L$6:$L$12,Cadastros!$M$6:$M$12)," ")</f>
        <v xml:space="preserve"> </v>
      </c>
      <c r="W599" s="28"/>
      <c r="X599" s="28"/>
      <c r="Y599" s="255" t="str">
        <f>IF(W599="","",(_xlfn.XLOOKUP(W599,Cadastros!$D$6:$D$90,Cadastros!$E$6:$E$90))*(1-_xlfn.XLOOKUP(_xlfn.XLOOKUP($F599,Clientes!$B$4:$B$39,Clientes!$C$4:$C$39),Cadastros!$L$6:$L$12,Cadastros!$N$6:$N$12)))</f>
        <v/>
      </c>
      <c r="Z599" s="168" t="str">
        <f t="shared" si="121"/>
        <v/>
      </c>
      <c r="AA599" s="168" t="str">
        <f>IFERROR(Z599/_xlfn.XLOOKUP(_xlfn.XLOOKUP($F599,Clientes!$B$4:$B$39,Clientes!$C$4:$C$39),Cadastros!$L$6:$L$12,Cadastros!$M$6:$M$12)," ")</f>
        <v xml:space="preserve"> </v>
      </c>
      <c r="AB599" s="28"/>
      <c r="AC599" s="28"/>
      <c r="AD599" s="20" t="str">
        <f>IF(AB599="","",IF($F599="Bernardino Furlan",_xlfn.XLOOKUP(AB599,Cadastros!$G$6:$G$90,Cadastros!$H$6:$H$90)*(1-0.18),IF($F599="Mauro José Salanti",_xlfn.XLOOKUP(AB599,Cadastros!$G$6:$G$90,Cadastros!$H$6:$H$90)*(1-0.18),_xlfn.XLOOKUP(AB599,Cadastros!$G$6:$G$90,Cadastros!$H$6:$H$90))))</f>
        <v/>
      </c>
      <c r="AE599" s="168" t="str">
        <f t="shared" si="122"/>
        <v/>
      </c>
      <c r="AF599" s="168" t="str">
        <f t="shared" si="123"/>
        <v/>
      </c>
      <c r="AG599" s="28"/>
      <c r="AH599" s="28"/>
      <c r="AI599" s="20" t="str">
        <f>IF(AG599="","",IF($F599="Bernardino Furlan",_xlfn.XLOOKUP(AG599,Cadastros!$G$6:$G$90,Cadastros!$H$6:$H$90)*(1-0.18),IF($F599="Mauro José Salanti",_xlfn.XLOOKUP(AG599,Cadastros!$G$6:$G$90,Cadastros!$H$6:$H$90)*(1-0.18),_xlfn.XLOOKUP(AG599,Cadastros!$G$6:$G$90,Cadastros!$H$6:$H$90))))</f>
        <v/>
      </c>
      <c r="AJ599" s="168" t="str">
        <f t="shared" si="124"/>
        <v/>
      </c>
      <c r="AK599" s="168" t="str">
        <f t="shared" si="125"/>
        <v/>
      </c>
      <c r="AL599" s="28"/>
      <c r="AM599" s="28"/>
      <c r="AN599" s="20" t="str">
        <f>IF(AL599="","",IF($F599="Bernardino Furlan",_xlfn.XLOOKUP(AL599,Cadastros!$G$6:$G$90,Cadastros!$H$6:$H$90)*(1-0.18),IF($F599="Mauro José Salanti",_xlfn.XLOOKUP(AL599,Cadastros!$G$6:$G$90,Cadastros!$H$6:$H$90)*(1-0.18),_xlfn.XLOOKUP(AL599,Cadastros!$G$6:$G$90,Cadastros!$H$6:$H$90))))</f>
        <v/>
      </c>
      <c r="AO599" s="168" t="str">
        <f t="shared" si="126"/>
        <v/>
      </c>
      <c r="AP599" s="168" t="str">
        <f t="shared" si="127"/>
        <v/>
      </c>
      <c r="AQ599" s="28"/>
      <c r="AR599" s="28"/>
      <c r="AS599" s="20" t="str">
        <f>IF(AQ599="","",IF($F599="Bernardino Furlan",_xlfn.XLOOKUP(AQ599,Cadastros!$G$6:$G$90,Cadastros!$H$6:$H$90)*(1-0.18),IF($F599="Mauro José Salanti",_xlfn.XLOOKUP(AQ599,Cadastros!$G$6:$G$90,Cadastros!$H$6:$H$90)*(1-0.18),_xlfn.XLOOKUP(AQ599,Cadastros!$G$6:$G$90,Cadastros!$H$6:$H$90))))</f>
        <v/>
      </c>
      <c r="AT599" s="168" t="str">
        <f t="shared" si="128"/>
        <v/>
      </c>
      <c r="AU599" s="168" t="str">
        <f t="shared" si="129"/>
        <v/>
      </c>
      <c r="AV599" s="227"/>
      <c r="AW599" s="30"/>
      <c r="AX599" s="267"/>
      <c r="AY599" s="267"/>
      <c r="AZ599" s="29"/>
      <c r="BA599" s="30"/>
      <c r="BB599" s="23" t="str" cm="1">
        <f t="array" ref="BB599">_xlfn.IFS(AW599="SIM",SUM(K599,P599,U599,Z599,AE599,AJ599,AO599,AT599,AX599,AY599),F599&lt;&gt;"",SUM(K599,P599,U599,Z599,AE599,AJ599,,AO599,AT599),F599="","")</f>
        <v/>
      </c>
      <c r="BC599" s="211" t="str" cm="1">
        <f t="array" ref="BC599">_xlfn.IFS(E599="","",G599&lt;=E599,BB599*(1-0.03),G599&lt;(E599+8),BB599,AZ599="Boleto",BB599*(1+0.001)^DATEDIF(E599,G599,"D"),AZ599="Cheque",BB599,AZ599="Dinheiro","Alterar forma pgto")</f>
        <v/>
      </c>
      <c r="BD599" s="276" t="str" cm="1">
        <f t="array" ref="BD599">IF(F599=0," ",IF(BC599&lt;BB599,(_xlfn.IFS(AW599="SIM",SUM(L599,Q599,V599,AA599,AF599,AK599,AP599,AU599)+AX599/_xlfn.XLOOKUP(_xlfn.XLOOKUP($F599,Clientes!$B$4:$B$39,Clientes!$C$4:$C$39),Cadastros!$L$6:$L$12,Cadastros!$M$6:$M$12)+IF($F599="Bernardino Furlan",AY599/2751.92,IF($F599="Mauro José Salanti",AY599/2751.92,AY599/3356)),F599&lt;&gt;0,SUM(L599,Q599,V599,AA599,AF599,AK599,AP599,AU599)))*(1-0.03),_xlfn.IFS(AW599="SIM",SUM(L599,Q599,V599,AA599,AF599,AK599,AP599,AU599)+AX599/_xlfn.XLOOKUP(_xlfn.XLOOKUP($F599,Clientes!$B$4:$B$39,Clientes!$C$4:$C$39),Cadastros!$L$6:$L$12,Cadastros!$M$6:$M$12)+IF($F599="Bernardino Furlan",AY599/2751.92,IF($F599="Mauro José Salanti",AY599/2751.92,AY599/3356)),F599&lt;&gt;0,SUM(L599,Q599,V599,AA599,AF599,AK599,AP599,AU599))))</f>
        <v xml:space="preserve"> </v>
      </c>
      <c r="BE599" s="120"/>
      <c r="BF599" s="120"/>
      <c r="BG599" s="120"/>
    </row>
    <row r="600" spans="1:59" s="3" customFormat="1" x14ac:dyDescent="0.3">
      <c r="A600" s="15" t="str">
        <f t="shared" si="117"/>
        <v/>
      </c>
      <c r="B600" s="25"/>
      <c r="C600" s="26"/>
      <c r="D600" s="279"/>
      <c r="E600" s="27"/>
      <c r="F600" s="28"/>
      <c r="G600" s="27"/>
      <c r="H600" s="28"/>
      <c r="I600" s="28"/>
      <c r="J600" s="255" t="str">
        <f>IF(H600="","",(_xlfn.XLOOKUP(H600,Cadastros!$D$6:$D$90,Cadastros!$E$6:$E$90))*(1-_xlfn.XLOOKUP(_xlfn.XLOOKUP($F600,Clientes!$B$4:$B$39,Clientes!$C$4:$C$39),Cadastros!$L$6:$L$12,Cadastros!$N$6:$N$12)))</f>
        <v/>
      </c>
      <c r="K600" s="168" t="str">
        <f t="shared" si="118"/>
        <v/>
      </c>
      <c r="L600" s="168" t="str">
        <f>IFERROR(K600/_xlfn.XLOOKUP(_xlfn.XLOOKUP($F600,Clientes!$B$4:$B$39,Clientes!$C$4:$C$39),Cadastros!$L$6:$L$12,Cadastros!$M$6:$M$12)," ")</f>
        <v xml:space="preserve"> </v>
      </c>
      <c r="M600" s="28"/>
      <c r="N600" s="28"/>
      <c r="O600" s="255" t="str">
        <f>IF(M600="","",(_xlfn.XLOOKUP(M600,Cadastros!$D$6:$D$90,Cadastros!$E$6:$E$90))*(1-_xlfn.XLOOKUP(_xlfn.XLOOKUP($F600,Clientes!$B$4:$B$39,Clientes!$C$4:$C$39),Cadastros!$L$6:$L$12,Cadastros!$N$6:$N$12)))</f>
        <v/>
      </c>
      <c r="P600" s="168" t="str">
        <f t="shared" si="119"/>
        <v/>
      </c>
      <c r="Q600" s="168" t="str">
        <f>IFERROR(P600/_xlfn.XLOOKUP(_xlfn.XLOOKUP($F600,Clientes!$B$4:$B$39,Clientes!$C$4:$C$39),Cadastros!$L$6:$L$12,Cadastros!$M$6:$M$12)," ")</f>
        <v xml:space="preserve"> </v>
      </c>
      <c r="R600" s="28"/>
      <c r="S600" s="28"/>
      <c r="T600" s="255" t="str">
        <f>IF(R600="","",(_xlfn.XLOOKUP(R600,Cadastros!$D$6:$D$90,Cadastros!$E$6:$E$90))*(1-_xlfn.XLOOKUP(_xlfn.XLOOKUP($F600,Clientes!$B$4:$B$39,Clientes!$C$4:$C$39),Cadastros!$L$6:$L$12,Cadastros!$N$6:$N$12)))</f>
        <v/>
      </c>
      <c r="U600" s="168" t="str">
        <f t="shared" si="120"/>
        <v/>
      </c>
      <c r="V600" s="168" t="str">
        <f>IFERROR(U600/_xlfn.XLOOKUP(_xlfn.XLOOKUP($F600,Clientes!$B$4:$B$39,Clientes!$C$4:$C$39),Cadastros!$L$6:$L$12,Cadastros!$M$6:$M$12)," ")</f>
        <v xml:space="preserve"> </v>
      </c>
      <c r="W600" s="28"/>
      <c r="X600" s="28"/>
      <c r="Y600" s="255" t="str">
        <f>IF(W600="","",(_xlfn.XLOOKUP(W600,Cadastros!$D$6:$D$90,Cadastros!$E$6:$E$90))*(1-_xlfn.XLOOKUP(_xlfn.XLOOKUP($F600,Clientes!$B$4:$B$39,Clientes!$C$4:$C$39),Cadastros!$L$6:$L$12,Cadastros!$N$6:$N$12)))</f>
        <v/>
      </c>
      <c r="Z600" s="168" t="str">
        <f t="shared" si="121"/>
        <v/>
      </c>
      <c r="AA600" s="168" t="str">
        <f>IFERROR(Z600/_xlfn.XLOOKUP(_xlfn.XLOOKUP($F600,Clientes!$B$4:$B$39,Clientes!$C$4:$C$39),Cadastros!$L$6:$L$12,Cadastros!$M$6:$M$12)," ")</f>
        <v xml:space="preserve"> </v>
      </c>
      <c r="AB600" s="28"/>
      <c r="AC600" s="28"/>
      <c r="AD600" s="20" t="str">
        <f>IF(AB600="","",IF($F600="Bernardino Furlan",_xlfn.XLOOKUP(AB600,Cadastros!$G$6:$G$90,Cadastros!$H$6:$H$90)*(1-0.18),IF($F600="Mauro José Salanti",_xlfn.XLOOKUP(AB600,Cadastros!$G$6:$G$90,Cadastros!$H$6:$H$90)*(1-0.18),_xlfn.XLOOKUP(AB600,Cadastros!$G$6:$G$90,Cadastros!$H$6:$H$90))))</f>
        <v/>
      </c>
      <c r="AE600" s="168" t="str">
        <f t="shared" si="122"/>
        <v/>
      </c>
      <c r="AF600" s="168" t="str">
        <f t="shared" si="123"/>
        <v/>
      </c>
      <c r="AG600" s="28"/>
      <c r="AH600" s="28"/>
      <c r="AI600" s="20" t="str">
        <f>IF(AG600="","",IF($F600="Bernardino Furlan",_xlfn.XLOOKUP(AG600,Cadastros!$G$6:$G$90,Cadastros!$H$6:$H$90)*(1-0.18),IF($F600="Mauro José Salanti",_xlfn.XLOOKUP(AG600,Cadastros!$G$6:$G$90,Cadastros!$H$6:$H$90)*(1-0.18),_xlfn.XLOOKUP(AG600,Cadastros!$G$6:$G$90,Cadastros!$H$6:$H$90))))</f>
        <v/>
      </c>
      <c r="AJ600" s="168" t="str">
        <f t="shared" si="124"/>
        <v/>
      </c>
      <c r="AK600" s="168" t="str">
        <f t="shared" si="125"/>
        <v/>
      </c>
      <c r="AL600" s="28"/>
      <c r="AM600" s="28"/>
      <c r="AN600" s="20" t="str">
        <f>IF(AL600="","",IF($F600="Bernardino Furlan",_xlfn.XLOOKUP(AL600,Cadastros!$G$6:$G$90,Cadastros!$H$6:$H$90)*(1-0.18),IF($F600="Mauro José Salanti",_xlfn.XLOOKUP(AL600,Cadastros!$G$6:$G$90,Cadastros!$H$6:$H$90)*(1-0.18),_xlfn.XLOOKUP(AL600,Cadastros!$G$6:$G$90,Cadastros!$H$6:$H$90))))</f>
        <v/>
      </c>
      <c r="AO600" s="168" t="str">
        <f t="shared" si="126"/>
        <v/>
      </c>
      <c r="AP600" s="168" t="str">
        <f t="shared" si="127"/>
        <v/>
      </c>
      <c r="AQ600" s="28"/>
      <c r="AR600" s="28"/>
      <c r="AS600" s="20" t="str">
        <f>IF(AQ600="","",IF($F600="Bernardino Furlan",_xlfn.XLOOKUP(AQ600,Cadastros!$G$6:$G$90,Cadastros!$H$6:$H$90)*(1-0.18),IF($F600="Mauro José Salanti",_xlfn.XLOOKUP(AQ600,Cadastros!$G$6:$G$90,Cadastros!$H$6:$H$90)*(1-0.18),_xlfn.XLOOKUP(AQ600,Cadastros!$G$6:$G$90,Cadastros!$H$6:$H$90))))</f>
        <v/>
      </c>
      <c r="AT600" s="168" t="str">
        <f t="shared" si="128"/>
        <v/>
      </c>
      <c r="AU600" s="168" t="str">
        <f t="shared" si="129"/>
        <v/>
      </c>
      <c r="AV600" s="227"/>
      <c r="AW600" s="30"/>
      <c r="AX600" s="267"/>
      <c r="AY600" s="267"/>
      <c r="AZ600" s="29"/>
      <c r="BA600" s="30"/>
      <c r="BB600" s="23" t="str" cm="1">
        <f t="array" ref="BB600">_xlfn.IFS(AW600="SIM",SUM(K600,P600,U600,Z600,AE600,AJ600,AO600,AT600,AX600,AY600),F600&lt;&gt;"",SUM(K600,P600,U600,Z600,AE600,AJ600,,AO600,AT600),F600="","")</f>
        <v/>
      </c>
      <c r="BC600" s="211" t="str" cm="1">
        <f t="array" ref="BC600">_xlfn.IFS(E600="","",G600&lt;=E600,BB600*(1-0.03),G600&lt;(E600+8),BB600,AZ600="Boleto",BB600*(1+0.001)^DATEDIF(E600,G600,"D"),AZ600="Cheque",BB600,AZ600="Dinheiro","Alterar forma pgto")</f>
        <v/>
      </c>
      <c r="BD600" s="276" t="str" cm="1">
        <f t="array" ref="BD600">IF(F600=0," ",IF(BC600&lt;BB600,(_xlfn.IFS(AW600="SIM",SUM(L600,Q600,V600,AA600,AF600,AK600,AP600,AU600)+AX600/_xlfn.XLOOKUP(_xlfn.XLOOKUP($F600,Clientes!$B$4:$B$39,Clientes!$C$4:$C$39),Cadastros!$L$6:$L$12,Cadastros!$M$6:$M$12)+IF($F600="Bernardino Furlan",AY600/2751.92,IF($F600="Mauro José Salanti",AY600/2751.92,AY600/3356)),F600&lt;&gt;0,SUM(L600,Q600,V600,AA600,AF600,AK600,AP600,AU600)))*(1-0.03),_xlfn.IFS(AW600="SIM",SUM(L600,Q600,V600,AA600,AF600,AK600,AP600,AU600)+AX600/_xlfn.XLOOKUP(_xlfn.XLOOKUP($F600,Clientes!$B$4:$B$39,Clientes!$C$4:$C$39),Cadastros!$L$6:$L$12,Cadastros!$M$6:$M$12)+IF($F600="Bernardino Furlan",AY600/2751.92,IF($F600="Mauro José Salanti",AY600/2751.92,AY600/3356)),F600&lt;&gt;0,SUM(L600,Q600,V600,AA600,AF600,AK600,AP600,AU600))))</f>
        <v xml:space="preserve"> </v>
      </c>
      <c r="BE600" s="120"/>
      <c r="BF600" s="120"/>
      <c r="BG600" s="120"/>
    </row>
    <row r="601" spans="1:59" s="3" customFormat="1" x14ac:dyDescent="0.3">
      <c r="A601" s="15" t="str">
        <f t="shared" si="117"/>
        <v/>
      </c>
      <c r="B601" s="25"/>
      <c r="C601" s="26"/>
      <c r="D601" s="279"/>
      <c r="E601" s="27"/>
      <c r="F601" s="28"/>
      <c r="G601" s="27"/>
      <c r="H601" s="28"/>
      <c r="I601" s="28"/>
      <c r="J601" s="255" t="str">
        <f>IF(H601="","",(_xlfn.XLOOKUP(H601,Cadastros!$D$6:$D$90,Cadastros!$E$6:$E$90))*(1-_xlfn.XLOOKUP(_xlfn.XLOOKUP($F601,Clientes!$B$4:$B$39,Clientes!$C$4:$C$39),Cadastros!$L$6:$L$12,Cadastros!$N$6:$N$12)))</f>
        <v/>
      </c>
      <c r="K601" s="168" t="str">
        <f t="shared" si="118"/>
        <v/>
      </c>
      <c r="L601" s="168" t="str">
        <f>IFERROR(K601/_xlfn.XLOOKUP(_xlfn.XLOOKUP($F601,Clientes!$B$4:$B$39,Clientes!$C$4:$C$39),Cadastros!$L$6:$L$12,Cadastros!$M$6:$M$12)," ")</f>
        <v xml:space="preserve"> </v>
      </c>
      <c r="M601" s="28"/>
      <c r="N601" s="28"/>
      <c r="O601" s="255" t="str">
        <f>IF(M601="","",(_xlfn.XLOOKUP(M601,Cadastros!$D$6:$D$90,Cadastros!$E$6:$E$90))*(1-_xlfn.XLOOKUP(_xlfn.XLOOKUP($F601,Clientes!$B$4:$B$39,Clientes!$C$4:$C$39),Cadastros!$L$6:$L$12,Cadastros!$N$6:$N$12)))</f>
        <v/>
      </c>
      <c r="P601" s="168" t="str">
        <f t="shared" si="119"/>
        <v/>
      </c>
      <c r="Q601" s="168" t="str">
        <f>IFERROR(P601/_xlfn.XLOOKUP(_xlfn.XLOOKUP($F601,Clientes!$B$4:$B$39,Clientes!$C$4:$C$39),Cadastros!$L$6:$L$12,Cadastros!$M$6:$M$12)," ")</f>
        <v xml:space="preserve"> </v>
      </c>
      <c r="R601" s="28"/>
      <c r="S601" s="28"/>
      <c r="T601" s="255" t="str">
        <f>IF(R601="","",(_xlfn.XLOOKUP(R601,Cadastros!$D$6:$D$90,Cadastros!$E$6:$E$90))*(1-_xlfn.XLOOKUP(_xlfn.XLOOKUP($F601,Clientes!$B$4:$B$39,Clientes!$C$4:$C$39),Cadastros!$L$6:$L$12,Cadastros!$N$6:$N$12)))</f>
        <v/>
      </c>
      <c r="U601" s="168" t="str">
        <f t="shared" si="120"/>
        <v/>
      </c>
      <c r="V601" s="168" t="str">
        <f>IFERROR(U601/_xlfn.XLOOKUP(_xlfn.XLOOKUP($F601,Clientes!$B$4:$B$39,Clientes!$C$4:$C$39),Cadastros!$L$6:$L$12,Cadastros!$M$6:$M$12)," ")</f>
        <v xml:space="preserve"> </v>
      </c>
      <c r="W601" s="28"/>
      <c r="X601" s="28"/>
      <c r="Y601" s="255" t="str">
        <f>IF(W601="","",(_xlfn.XLOOKUP(W601,Cadastros!$D$6:$D$90,Cadastros!$E$6:$E$90))*(1-_xlfn.XLOOKUP(_xlfn.XLOOKUP($F601,Clientes!$B$4:$B$39,Clientes!$C$4:$C$39),Cadastros!$L$6:$L$12,Cadastros!$N$6:$N$12)))</f>
        <v/>
      </c>
      <c r="Z601" s="168" t="str">
        <f t="shared" si="121"/>
        <v/>
      </c>
      <c r="AA601" s="168" t="str">
        <f>IFERROR(Z601/_xlfn.XLOOKUP(_xlfn.XLOOKUP($F601,Clientes!$B$4:$B$39,Clientes!$C$4:$C$39),Cadastros!$L$6:$L$12,Cadastros!$M$6:$M$12)," ")</f>
        <v xml:space="preserve"> </v>
      </c>
      <c r="AB601" s="28"/>
      <c r="AC601" s="28"/>
      <c r="AD601" s="20" t="str">
        <f>IF(AB601="","",IF($F601="Bernardino Furlan",_xlfn.XLOOKUP(AB601,Cadastros!$G$6:$G$90,Cadastros!$H$6:$H$90)*(1-0.18),IF($F601="Mauro José Salanti",_xlfn.XLOOKUP(AB601,Cadastros!$G$6:$G$90,Cadastros!$H$6:$H$90)*(1-0.18),_xlfn.XLOOKUP(AB601,Cadastros!$G$6:$G$90,Cadastros!$H$6:$H$90))))</f>
        <v/>
      </c>
      <c r="AE601" s="168" t="str">
        <f t="shared" si="122"/>
        <v/>
      </c>
      <c r="AF601" s="168" t="str">
        <f t="shared" si="123"/>
        <v/>
      </c>
      <c r="AG601" s="28"/>
      <c r="AH601" s="28"/>
      <c r="AI601" s="20" t="str">
        <f>IF(AG601="","",IF($F601="Bernardino Furlan",_xlfn.XLOOKUP(AG601,Cadastros!$G$6:$G$90,Cadastros!$H$6:$H$90)*(1-0.18),IF($F601="Mauro José Salanti",_xlfn.XLOOKUP(AG601,Cadastros!$G$6:$G$90,Cadastros!$H$6:$H$90)*(1-0.18),_xlfn.XLOOKUP(AG601,Cadastros!$G$6:$G$90,Cadastros!$H$6:$H$90))))</f>
        <v/>
      </c>
      <c r="AJ601" s="168" t="str">
        <f t="shared" si="124"/>
        <v/>
      </c>
      <c r="AK601" s="168" t="str">
        <f t="shared" si="125"/>
        <v/>
      </c>
      <c r="AL601" s="28"/>
      <c r="AM601" s="28"/>
      <c r="AN601" s="20" t="str">
        <f>IF(AL601="","",IF($F601="Bernardino Furlan",_xlfn.XLOOKUP(AL601,Cadastros!$G$6:$G$90,Cadastros!$H$6:$H$90)*(1-0.18),IF($F601="Mauro José Salanti",_xlfn.XLOOKUP(AL601,Cadastros!$G$6:$G$90,Cadastros!$H$6:$H$90)*(1-0.18),_xlfn.XLOOKUP(AL601,Cadastros!$G$6:$G$90,Cadastros!$H$6:$H$90))))</f>
        <v/>
      </c>
      <c r="AO601" s="168" t="str">
        <f t="shared" si="126"/>
        <v/>
      </c>
      <c r="AP601" s="168" t="str">
        <f t="shared" si="127"/>
        <v/>
      </c>
      <c r="AQ601" s="28"/>
      <c r="AR601" s="28"/>
      <c r="AS601" s="20" t="str">
        <f>IF(AQ601="","",IF($F601="Bernardino Furlan",_xlfn.XLOOKUP(AQ601,Cadastros!$G$6:$G$90,Cadastros!$H$6:$H$90)*(1-0.18),IF($F601="Mauro José Salanti",_xlfn.XLOOKUP(AQ601,Cadastros!$G$6:$G$90,Cadastros!$H$6:$H$90)*(1-0.18),_xlfn.XLOOKUP(AQ601,Cadastros!$G$6:$G$90,Cadastros!$H$6:$H$90))))</f>
        <v/>
      </c>
      <c r="AT601" s="168" t="str">
        <f t="shared" si="128"/>
        <v/>
      </c>
      <c r="AU601" s="168" t="str">
        <f t="shared" si="129"/>
        <v/>
      </c>
      <c r="AV601" s="227"/>
      <c r="AW601" s="30"/>
      <c r="AX601" s="267"/>
      <c r="AY601" s="267"/>
      <c r="AZ601" s="29"/>
      <c r="BA601" s="30"/>
      <c r="BB601" s="23" t="str" cm="1">
        <f t="array" ref="BB601">_xlfn.IFS(AW601="SIM",SUM(K601,P601,U601,Z601,AE601,AJ601,AO601,AT601,AX601,AY601),F601&lt;&gt;"",SUM(K601,P601,U601,Z601,AE601,AJ601,,AO601,AT601),F601="","")</f>
        <v/>
      </c>
      <c r="BC601" s="211" t="str" cm="1">
        <f t="array" ref="BC601">_xlfn.IFS(E601="","",G601&lt;=E601,BB601*(1-0.03),G601&lt;(E601+8),BB601,AZ601="Boleto",BB601*(1+0.001)^DATEDIF(E601,G601,"D"),AZ601="Cheque",BB601,AZ601="Dinheiro","Alterar forma pgto")</f>
        <v/>
      </c>
      <c r="BD601" s="276" t="str" cm="1">
        <f t="array" ref="BD601">IF(F601=0," ",IF(BC601&lt;BB601,(_xlfn.IFS(AW601="SIM",SUM(L601,Q601,V601,AA601,AF601,AK601,AP601,AU601)+AX601/_xlfn.XLOOKUP(_xlfn.XLOOKUP($F601,Clientes!$B$4:$B$39,Clientes!$C$4:$C$39),Cadastros!$L$6:$L$12,Cadastros!$M$6:$M$12)+IF($F601="Bernardino Furlan",AY601/2751.92,IF($F601="Mauro José Salanti",AY601/2751.92,AY601/3356)),F601&lt;&gt;0,SUM(L601,Q601,V601,AA601,AF601,AK601,AP601,AU601)))*(1-0.03),_xlfn.IFS(AW601="SIM",SUM(L601,Q601,V601,AA601,AF601,AK601,AP601,AU601)+AX601/_xlfn.XLOOKUP(_xlfn.XLOOKUP($F601,Clientes!$B$4:$B$39,Clientes!$C$4:$C$39),Cadastros!$L$6:$L$12,Cadastros!$M$6:$M$12)+IF($F601="Bernardino Furlan",AY601/2751.92,IF($F601="Mauro José Salanti",AY601/2751.92,AY601/3356)),F601&lt;&gt;0,SUM(L601,Q601,V601,AA601,AF601,AK601,AP601,AU601))))</f>
        <v xml:space="preserve"> </v>
      </c>
      <c r="BE601" s="120"/>
      <c r="BF601" s="120"/>
      <c r="BG601" s="120"/>
    </row>
    <row r="602" spans="1:59" s="3" customFormat="1" x14ac:dyDescent="0.3">
      <c r="A602" s="15" t="str">
        <f t="shared" si="117"/>
        <v/>
      </c>
      <c r="B602" s="25"/>
      <c r="C602" s="26"/>
      <c r="D602" s="279"/>
      <c r="E602" s="27"/>
      <c r="F602" s="28"/>
      <c r="G602" s="27"/>
      <c r="H602" s="28"/>
      <c r="I602" s="28"/>
      <c r="J602" s="255" t="str">
        <f>IF(H602="","",(_xlfn.XLOOKUP(H602,Cadastros!$D$6:$D$90,Cadastros!$E$6:$E$90))*(1-_xlfn.XLOOKUP(_xlfn.XLOOKUP($F602,Clientes!$B$4:$B$39,Clientes!$C$4:$C$39),Cadastros!$L$6:$L$12,Cadastros!$N$6:$N$12)))</f>
        <v/>
      </c>
      <c r="K602" s="168" t="str">
        <f t="shared" si="118"/>
        <v/>
      </c>
      <c r="L602" s="168" t="str">
        <f>IFERROR(K602/_xlfn.XLOOKUP(_xlfn.XLOOKUP($F602,Clientes!$B$4:$B$39,Clientes!$C$4:$C$39),Cadastros!$L$6:$L$12,Cadastros!$M$6:$M$12)," ")</f>
        <v xml:space="preserve"> </v>
      </c>
      <c r="M602" s="28"/>
      <c r="N602" s="28"/>
      <c r="O602" s="255" t="str">
        <f>IF(M602="","",(_xlfn.XLOOKUP(M602,Cadastros!$D$6:$D$90,Cadastros!$E$6:$E$90))*(1-_xlfn.XLOOKUP(_xlfn.XLOOKUP($F602,Clientes!$B$4:$B$39,Clientes!$C$4:$C$39),Cadastros!$L$6:$L$12,Cadastros!$N$6:$N$12)))</f>
        <v/>
      </c>
      <c r="P602" s="168" t="str">
        <f t="shared" si="119"/>
        <v/>
      </c>
      <c r="Q602" s="168" t="str">
        <f>IFERROR(P602/_xlfn.XLOOKUP(_xlfn.XLOOKUP($F602,Clientes!$B$4:$B$39,Clientes!$C$4:$C$39),Cadastros!$L$6:$L$12,Cadastros!$M$6:$M$12)," ")</f>
        <v xml:space="preserve"> </v>
      </c>
      <c r="R602" s="28"/>
      <c r="S602" s="28"/>
      <c r="T602" s="255" t="str">
        <f>IF(R602="","",(_xlfn.XLOOKUP(R602,Cadastros!$D$6:$D$90,Cadastros!$E$6:$E$90))*(1-_xlfn.XLOOKUP(_xlfn.XLOOKUP($F602,Clientes!$B$4:$B$39,Clientes!$C$4:$C$39),Cadastros!$L$6:$L$12,Cadastros!$N$6:$N$12)))</f>
        <v/>
      </c>
      <c r="U602" s="168" t="str">
        <f t="shared" si="120"/>
        <v/>
      </c>
      <c r="V602" s="168" t="str">
        <f>IFERROR(U602/_xlfn.XLOOKUP(_xlfn.XLOOKUP($F602,Clientes!$B$4:$B$39,Clientes!$C$4:$C$39),Cadastros!$L$6:$L$12,Cadastros!$M$6:$M$12)," ")</f>
        <v xml:space="preserve"> </v>
      </c>
      <c r="W602" s="28"/>
      <c r="X602" s="28"/>
      <c r="Y602" s="255" t="str">
        <f>IF(W602="","",(_xlfn.XLOOKUP(W602,Cadastros!$D$6:$D$90,Cadastros!$E$6:$E$90))*(1-_xlfn.XLOOKUP(_xlfn.XLOOKUP($F602,Clientes!$B$4:$B$39,Clientes!$C$4:$C$39),Cadastros!$L$6:$L$12,Cadastros!$N$6:$N$12)))</f>
        <v/>
      </c>
      <c r="Z602" s="168" t="str">
        <f t="shared" si="121"/>
        <v/>
      </c>
      <c r="AA602" s="168" t="str">
        <f>IFERROR(Z602/_xlfn.XLOOKUP(_xlfn.XLOOKUP($F602,Clientes!$B$4:$B$39,Clientes!$C$4:$C$39),Cadastros!$L$6:$L$12,Cadastros!$M$6:$M$12)," ")</f>
        <v xml:space="preserve"> </v>
      </c>
      <c r="AB602" s="28"/>
      <c r="AC602" s="28"/>
      <c r="AD602" s="20" t="str">
        <f>IF(AB602="","",IF($F602="Bernardino Furlan",_xlfn.XLOOKUP(AB602,Cadastros!$G$6:$G$90,Cadastros!$H$6:$H$90)*(1-0.18),IF($F602="Mauro José Salanti",_xlfn.XLOOKUP(AB602,Cadastros!$G$6:$G$90,Cadastros!$H$6:$H$90)*(1-0.18),_xlfn.XLOOKUP(AB602,Cadastros!$G$6:$G$90,Cadastros!$H$6:$H$90))))</f>
        <v/>
      </c>
      <c r="AE602" s="168" t="str">
        <f t="shared" si="122"/>
        <v/>
      </c>
      <c r="AF602" s="168" t="str">
        <f t="shared" si="123"/>
        <v/>
      </c>
      <c r="AG602" s="28"/>
      <c r="AH602" s="28"/>
      <c r="AI602" s="20" t="str">
        <f>IF(AG602="","",IF($F602="Bernardino Furlan",_xlfn.XLOOKUP(AG602,Cadastros!$G$6:$G$90,Cadastros!$H$6:$H$90)*(1-0.18),IF($F602="Mauro José Salanti",_xlfn.XLOOKUP(AG602,Cadastros!$G$6:$G$90,Cadastros!$H$6:$H$90)*(1-0.18),_xlfn.XLOOKUP(AG602,Cadastros!$G$6:$G$90,Cadastros!$H$6:$H$90))))</f>
        <v/>
      </c>
      <c r="AJ602" s="168" t="str">
        <f t="shared" si="124"/>
        <v/>
      </c>
      <c r="AK602" s="168" t="str">
        <f t="shared" si="125"/>
        <v/>
      </c>
      <c r="AL602" s="28"/>
      <c r="AM602" s="28"/>
      <c r="AN602" s="20" t="str">
        <f>IF(AL602="","",IF($F602="Bernardino Furlan",_xlfn.XLOOKUP(AL602,Cadastros!$G$6:$G$90,Cadastros!$H$6:$H$90)*(1-0.18),IF($F602="Mauro José Salanti",_xlfn.XLOOKUP(AL602,Cadastros!$G$6:$G$90,Cadastros!$H$6:$H$90)*(1-0.18),_xlfn.XLOOKUP(AL602,Cadastros!$G$6:$G$90,Cadastros!$H$6:$H$90))))</f>
        <v/>
      </c>
      <c r="AO602" s="168" t="str">
        <f t="shared" si="126"/>
        <v/>
      </c>
      <c r="AP602" s="168" t="str">
        <f t="shared" si="127"/>
        <v/>
      </c>
      <c r="AQ602" s="28"/>
      <c r="AR602" s="28"/>
      <c r="AS602" s="20" t="str">
        <f>IF(AQ602="","",IF($F602="Bernardino Furlan",_xlfn.XLOOKUP(AQ602,Cadastros!$G$6:$G$90,Cadastros!$H$6:$H$90)*(1-0.18),IF($F602="Mauro José Salanti",_xlfn.XLOOKUP(AQ602,Cadastros!$G$6:$G$90,Cadastros!$H$6:$H$90)*(1-0.18),_xlfn.XLOOKUP(AQ602,Cadastros!$G$6:$G$90,Cadastros!$H$6:$H$90))))</f>
        <v/>
      </c>
      <c r="AT602" s="168" t="str">
        <f t="shared" si="128"/>
        <v/>
      </c>
      <c r="AU602" s="168" t="str">
        <f t="shared" si="129"/>
        <v/>
      </c>
      <c r="AV602" s="227"/>
      <c r="AW602" s="30"/>
      <c r="AX602" s="267"/>
      <c r="AY602" s="267"/>
      <c r="AZ602" s="29"/>
      <c r="BA602" s="30"/>
      <c r="BB602" s="23" t="str" cm="1">
        <f t="array" ref="BB602">_xlfn.IFS(AW602="SIM",SUM(K602,P602,U602,Z602,AE602,AJ602,AO602,AT602,AX602,AY602),F602&lt;&gt;"",SUM(K602,P602,U602,Z602,AE602,AJ602,,AO602,AT602),F602="","")</f>
        <v/>
      </c>
      <c r="BC602" s="211" t="str" cm="1">
        <f t="array" ref="BC602">_xlfn.IFS(E602="","",G602&lt;=E602,BB602*(1-0.03),G602&lt;(E602+8),BB602,AZ602="Boleto",BB602*(1+0.001)^DATEDIF(E602,G602,"D"),AZ602="Cheque",BB602,AZ602="Dinheiro","Alterar forma pgto")</f>
        <v/>
      </c>
      <c r="BD602" s="276" t="str" cm="1">
        <f t="array" ref="BD602">IF(F602=0," ",IF(BC602&lt;BB602,(_xlfn.IFS(AW602="SIM",SUM(L602,Q602,V602,AA602,AF602,AK602,AP602,AU602)+AX602/_xlfn.XLOOKUP(_xlfn.XLOOKUP($F602,Clientes!$B$4:$B$39,Clientes!$C$4:$C$39),Cadastros!$L$6:$L$12,Cadastros!$M$6:$M$12)+IF($F602="Bernardino Furlan",AY602/2751.92,IF($F602="Mauro José Salanti",AY602/2751.92,AY602/3356)),F602&lt;&gt;0,SUM(L602,Q602,V602,AA602,AF602,AK602,AP602,AU602)))*(1-0.03),_xlfn.IFS(AW602="SIM",SUM(L602,Q602,V602,AA602,AF602,AK602,AP602,AU602)+AX602/_xlfn.XLOOKUP(_xlfn.XLOOKUP($F602,Clientes!$B$4:$B$39,Clientes!$C$4:$C$39),Cadastros!$L$6:$L$12,Cadastros!$M$6:$M$12)+IF($F602="Bernardino Furlan",AY602/2751.92,IF($F602="Mauro José Salanti",AY602/2751.92,AY602/3356)),F602&lt;&gt;0,SUM(L602,Q602,V602,AA602,AF602,AK602,AP602,AU602))))</f>
        <v xml:space="preserve"> </v>
      </c>
      <c r="BE602" s="120"/>
      <c r="BF602" s="120"/>
      <c r="BG602" s="120"/>
    </row>
    <row r="603" spans="1:59" s="3" customFormat="1" x14ac:dyDescent="0.3">
      <c r="A603" s="15" t="str">
        <f t="shared" si="117"/>
        <v/>
      </c>
      <c r="B603" s="25"/>
      <c r="C603" s="26"/>
      <c r="D603" s="279"/>
      <c r="E603" s="27"/>
      <c r="F603" s="28"/>
      <c r="G603" s="27"/>
      <c r="H603" s="28"/>
      <c r="I603" s="28"/>
      <c r="J603" s="255" t="str">
        <f>IF(H603="","",(_xlfn.XLOOKUP(H603,Cadastros!$D$6:$D$90,Cadastros!$E$6:$E$90))*(1-_xlfn.XLOOKUP(_xlfn.XLOOKUP($F603,Clientes!$B$4:$B$39,Clientes!$C$4:$C$39),Cadastros!$L$6:$L$12,Cadastros!$N$6:$N$12)))</f>
        <v/>
      </c>
      <c r="K603" s="168" t="str">
        <f t="shared" si="118"/>
        <v/>
      </c>
      <c r="L603" s="168" t="str">
        <f>IFERROR(K603/_xlfn.XLOOKUP(_xlfn.XLOOKUP($F603,Clientes!$B$4:$B$39,Clientes!$C$4:$C$39),Cadastros!$L$6:$L$12,Cadastros!$M$6:$M$12)," ")</f>
        <v xml:space="preserve"> </v>
      </c>
      <c r="M603" s="28"/>
      <c r="N603" s="28"/>
      <c r="O603" s="255" t="str">
        <f>IF(M603="","",(_xlfn.XLOOKUP(M603,Cadastros!$D$6:$D$90,Cadastros!$E$6:$E$90))*(1-_xlfn.XLOOKUP(_xlfn.XLOOKUP($F603,Clientes!$B$4:$B$39,Clientes!$C$4:$C$39),Cadastros!$L$6:$L$12,Cadastros!$N$6:$N$12)))</f>
        <v/>
      </c>
      <c r="P603" s="168" t="str">
        <f t="shared" si="119"/>
        <v/>
      </c>
      <c r="Q603" s="168" t="str">
        <f>IFERROR(P603/_xlfn.XLOOKUP(_xlfn.XLOOKUP($F603,Clientes!$B$4:$B$39,Clientes!$C$4:$C$39),Cadastros!$L$6:$L$12,Cadastros!$M$6:$M$12)," ")</f>
        <v xml:space="preserve"> </v>
      </c>
      <c r="R603" s="28"/>
      <c r="S603" s="28"/>
      <c r="T603" s="255" t="str">
        <f>IF(R603="","",(_xlfn.XLOOKUP(R603,Cadastros!$D$6:$D$90,Cadastros!$E$6:$E$90))*(1-_xlfn.XLOOKUP(_xlfn.XLOOKUP($F603,Clientes!$B$4:$B$39,Clientes!$C$4:$C$39),Cadastros!$L$6:$L$12,Cadastros!$N$6:$N$12)))</f>
        <v/>
      </c>
      <c r="U603" s="168" t="str">
        <f t="shared" si="120"/>
        <v/>
      </c>
      <c r="V603" s="168" t="str">
        <f>IFERROR(U603/_xlfn.XLOOKUP(_xlfn.XLOOKUP($F603,Clientes!$B$4:$B$39,Clientes!$C$4:$C$39),Cadastros!$L$6:$L$12,Cadastros!$M$6:$M$12)," ")</f>
        <v xml:space="preserve"> </v>
      </c>
      <c r="W603" s="28"/>
      <c r="X603" s="28"/>
      <c r="Y603" s="255" t="str">
        <f>IF(W603="","",(_xlfn.XLOOKUP(W603,Cadastros!$D$6:$D$90,Cadastros!$E$6:$E$90))*(1-_xlfn.XLOOKUP(_xlfn.XLOOKUP($F603,Clientes!$B$4:$B$39,Clientes!$C$4:$C$39),Cadastros!$L$6:$L$12,Cadastros!$N$6:$N$12)))</f>
        <v/>
      </c>
      <c r="Z603" s="168" t="str">
        <f t="shared" si="121"/>
        <v/>
      </c>
      <c r="AA603" s="168" t="str">
        <f>IFERROR(Z603/_xlfn.XLOOKUP(_xlfn.XLOOKUP($F603,Clientes!$B$4:$B$39,Clientes!$C$4:$C$39),Cadastros!$L$6:$L$12,Cadastros!$M$6:$M$12)," ")</f>
        <v xml:space="preserve"> </v>
      </c>
      <c r="AB603" s="28"/>
      <c r="AC603" s="28"/>
      <c r="AD603" s="20" t="str">
        <f>IF(AB603="","",IF($F603="Bernardino Furlan",_xlfn.XLOOKUP(AB603,Cadastros!$G$6:$G$90,Cadastros!$H$6:$H$90)*(1-0.18),IF($F603="Mauro José Salanti",_xlfn.XLOOKUP(AB603,Cadastros!$G$6:$G$90,Cadastros!$H$6:$H$90)*(1-0.18),_xlfn.XLOOKUP(AB603,Cadastros!$G$6:$G$90,Cadastros!$H$6:$H$90))))</f>
        <v/>
      </c>
      <c r="AE603" s="168" t="str">
        <f t="shared" si="122"/>
        <v/>
      </c>
      <c r="AF603" s="168" t="str">
        <f t="shared" si="123"/>
        <v/>
      </c>
      <c r="AG603" s="28"/>
      <c r="AH603" s="28"/>
      <c r="AI603" s="20" t="str">
        <f>IF(AG603="","",IF($F603="Bernardino Furlan",_xlfn.XLOOKUP(AG603,Cadastros!$G$6:$G$90,Cadastros!$H$6:$H$90)*(1-0.18),IF($F603="Mauro José Salanti",_xlfn.XLOOKUP(AG603,Cadastros!$G$6:$G$90,Cadastros!$H$6:$H$90)*(1-0.18),_xlfn.XLOOKUP(AG603,Cadastros!$G$6:$G$90,Cadastros!$H$6:$H$90))))</f>
        <v/>
      </c>
      <c r="AJ603" s="168" t="str">
        <f t="shared" si="124"/>
        <v/>
      </c>
      <c r="AK603" s="168" t="str">
        <f t="shared" si="125"/>
        <v/>
      </c>
      <c r="AL603" s="28"/>
      <c r="AM603" s="28"/>
      <c r="AN603" s="20" t="str">
        <f>IF(AL603="","",IF($F603="Bernardino Furlan",_xlfn.XLOOKUP(AL603,Cadastros!$G$6:$G$90,Cadastros!$H$6:$H$90)*(1-0.18),IF($F603="Mauro José Salanti",_xlfn.XLOOKUP(AL603,Cadastros!$G$6:$G$90,Cadastros!$H$6:$H$90)*(1-0.18),_xlfn.XLOOKUP(AL603,Cadastros!$G$6:$G$90,Cadastros!$H$6:$H$90))))</f>
        <v/>
      </c>
      <c r="AO603" s="168" t="str">
        <f t="shared" si="126"/>
        <v/>
      </c>
      <c r="AP603" s="168" t="str">
        <f t="shared" si="127"/>
        <v/>
      </c>
      <c r="AQ603" s="28"/>
      <c r="AR603" s="28"/>
      <c r="AS603" s="20" t="str">
        <f>IF(AQ603="","",IF($F603="Bernardino Furlan",_xlfn.XLOOKUP(AQ603,Cadastros!$G$6:$G$90,Cadastros!$H$6:$H$90)*(1-0.18),IF($F603="Mauro José Salanti",_xlfn.XLOOKUP(AQ603,Cadastros!$G$6:$G$90,Cadastros!$H$6:$H$90)*(1-0.18),_xlfn.XLOOKUP(AQ603,Cadastros!$G$6:$G$90,Cadastros!$H$6:$H$90))))</f>
        <v/>
      </c>
      <c r="AT603" s="168" t="str">
        <f t="shared" si="128"/>
        <v/>
      </c>
      <c r="AU603" s="168" t="str">
        <f t="shared" si="129"/>
        <v/>
      </c>
      <c r="AV603" s="227"/>
      <c r="AW603" s="30"/>
      <c r="AX603" s="267"/>
      <c r="AY603" s="267"/>
      <c r="AZ603" s="29"/>
      <c r="BA603" s="30"/>
      <c r="BB603" s="23" t="str" cm="1">
        <f t="array" ref="BB603">_xlfn.IFS(AW603="SIM",SUM(K603,P603,U603,Z603,AE603,AJ603,AO603,AT603,AX603,AY603),F603&lt;&gt;"",SUM(K603,P603,U603,Z603,AE603,AJ603,,AO603,AT603),F603="","")</f>
        <v/>
      </c>
      <c r="BC603" s="211" t="str" cm="1">
        <f t="array" ref="BC603">_xlfn.IFS(E603="","",G603&lt;=E603,BB603*(1-0.03),G603&lt;(E603+8),BB603,AZ603="Boleto",BB603*(1+0.001)^DATEDIF(E603,G603,"D"),AZ603="Cheque",BB603,AZ603="Dinheiro","Alterar forma pgto")</f>
        <v/>
      </c>
      <c r="BD603" s="276" t="str" cm="1">
        <f t="array" ref="BD603">IF(F603=0," ",IF(BC603&lt;BB603,(_xlfn.IFS(AW603="SIM",SUM(L603,Q603,V603,AA603,AF603,AK603,AP603,AU603)+AX603/_xlfn.XLOOKUP(_xlfn.XLOOKUP($F603,Clientes!$B$4:$B$39,Clientes!$C$4:$C$39),Cadastros!$L$6:$L$12,Cadastros!$M$6:$M$12)+IF($F603="Bernardino Furlan",AY603/2751.92,IF($F603="Mauro José Salanti",AY603/2751.92,AY603/3356)),F603&lt;&gt;0,SUM(L603,Q603,V603,AA603,AF603,AK603,AP603,AU603)))*(1-0.03),_xlfn.IFS(AW603="SIM",SUM(L603,Q603,V603,AA603,AF603,AK603,AP603,AU603)+AX603/_xlfn.XLOOKUP(_xlfn.XLOOKUP($F603,Clientes!$B$4:$B$39,Clientes!$C$4:$C$39),Cadastros!$L$6:$L$12,Cadastros!$M$6:$M$12)+IF($F603="Bernardino Furlan",AY603/2751.92,IF($F603="Mauro José Salanti",AY603/2751.92,AY603/3356)),F603&lt;&gt;0,SUM(L603,Q603,V603,AA603,AF603,AK603,AP603,AU603))))</f>
        <v xml:space="preserve"> </v>
      </c>
      <c r="BE603" s="120"/>
      <c r="BF603" s="120"/>
      <c r="BG603" s="120"/>
    </row>
    <row r="604" spans="1:59" s="3" customFormat="1" x14ac:dyDescent="0.3">
      <c r="A604" s="15" t="str">
        <f t="shared" si="117"/>
        <v/>
      </c>
      <c r="B604" s="25"/>
      <c r="C604" s="26"/>
      <c r="D604" s="279"/>
      <c r="E604" s="27"/>
      <c r="F604" s="28"/>
      <c r="G604" s="27"/>
      <c r="H604" s="28"/>
      <c r="I604" s="28"/>
      <c r="J604" s="255" t="str">
        <f>IF(H604="","",(_xlfn.XLOOKUP(H604,Cadastros!$D$6:$D$90,Cadastros!$E$6:$E$90))*(1-_xlfn.XLOOKUP(_xlfn.XLOOKUP($F604,Clientes!$B$4:$B$39,Clientes!$C$4:$C$39),Cadastros!$L$6:$L$12,Cadastros!$N$6:$N$12)))</f>
        <v/>
      </c>
      <c r="K604" s="168" t="str">
        <f t="shared" si="118"/>
        <v/>
      </c>
      <c r="L604" s="168" t="str">
        <f>IFERROR(K604/_xlfn.XLOOKUP(_xlfn.XLOOKUP($F604,Clientes!$B$4:$B$39,Clientes!$C$4:$C$39),Cadastros!$L$6:$L$12,Cadastros!$M$6:$M$12)," ")</f>
        <v xml:space="preserve"> </v>
      </c>
      <c r="M604" s="28"/>
      <c r="N604" s="28"/>
      <c r="O604" s="255" t="str">
        <f>IF(M604="","",(_xlfn.XLOOKUP(M604,Cadastros!$D$6:$D$90,Cadastros!$E$6:$E$90))*(1-_xlfn.XLOOKUP(_xlfn.XLOOKUP($F604,Clientes!$B$4:$B$39,Clientes!$C$4:$C$39),Cadastros!$L$6:$L$12,Cadastros!$N$6:$N$12)))</f>
        <v/>
      </c>
      <c r="P604" s="168" t="str">
        <f t="shared" si="119"/>
        <v/>
      </c>
      <c r="Q604" s="168" t="str">
        <f>IFERROR(P604/_xlfn.XLOOKUP(_xlfn.XLOOKUP($F604,Clientes!$B$4:$B$39,Clientes!$C$4:$C$39),Cadastros!$L$6:$L$12,Cadastros!$M$6:$M$12)," ")</f>
        <v xml:space="preserve"> </v>
      </c>
      <c r="R604" s="28"/>
      <c r="S604" s="28"/>
      <c r="T604" s="255" t="str">
        <f>IF(R604="","",(_xlfn.XLOOKUP(R604,Cadastros!$D$6:$D$90,Cadastros!$E$6:$E$90))*(1-_xlfn.XLOOKUP(_xlfn.XLOOKUP($F604,Clientes!$B$4:$B$39,Clientes!$C$4:$C$39),Cadastros!$L$6:$L$12,Cadastros!$N$6:$N$12)))</f>
        <v/>
      </c>
      <c r="U604" s="168" t="str">
        <f t="shared" si="120"/>
        <v/>
      </c>
      <c r="V604" s="168" t="str">
        <f>IFERROR(U604/_xlfn.XLOOKUP(_xlfn.XLOOKUP($F604,Clientes!$B$4:$B$39,Clientes!$C$4:$C$39),Cadastros!$L$6:$L$12,Cadastros!$M$6:$M$12)," ")</f>
        <v xml:space="preserve"> </v>
      </c>
      <c r="W604" s="28"/>
      <c r="X604" s="28"/>
      <c r="Y604" s="255" t="str">
        <f>IF(W604="","",(_xlfn.XLOOKUP(W604,Cadastros!$D$6:$D$90,Cadastros!$E$6:$E$90))*(1-_xlfn.XLOOKUP(_xlfn.XLOOKUP($F604,Clientes!$B$4:$B$39,Clientes!$C$4:$C$39),Cadastros!$L$6:$L$12,Cadastros!$N$6:$N$12)))</f>
        <v/>
      </c>
      <c r="Z604" s="168" t="str">
        <f t="shared" si="121"/>
        <v/>
      </c>
      <c r="AA604" s="168" t="str">
        <f>IFERROR(Z604/_xlfn.XLOOKUP(_xlfn.XLOOKUP($F604,Clientes!$B$4:$B$39,Clientes!$C$4:$C$39),Cadastros!$L$6:$L$12,Cadastros!$M$6:$M$12)," ")</f>
        <v xml:space="preserve"> </v>
      </c>
      <c r="AB604" s="28"/>
      <c r="AC604" s="28"/>
      <c r="AD604" s="20" t="str">
        <f>IF(AB604="","",IF($F604="Bernardino Furlan",_xlfn.XLOOKUP(AB604,Cadastros!$G$6:$G$90,Cadastros!$H$6:$H$90)*(1-0.18),IF($F604="Mauro José Salanti",_xlfn.XLOOKUP(AB604,Cadastros!$G$6:$G$90,Cadastros!$H$6:$H$90)*(1-0.18),_xlfn.XLOOKUP(AB604,Cadastros!$G$6:$G$90,Cadastros!$H$6:$H$90))))</f>
        <v/>
      </c>
      <c r="AE604" s="168" t="str">
        <f t="shared" si="122"/>
        <v/>
      </c>
      <c r="AF604" s="168" t="str">
        <f t="shared" si="123"/>
        <v/>
      </c>
      <c r="AG604" s="28"/>
      <c r="AH604" s="28"/>
      <c r="AI604" s="20" t="str">
        <f>IF(AG604="","",IF($F604="Bernardino Furlan",_xlfn.XLOOKUP(AG604,Cadastros!$G$6:$G$90,Cadastros!$H$6:$H$90)*(1-0.18),IF($F604="Mauro José Salanti",_xlfn.XLOOKUP(AG604,Cadastros!$G$6:$G$90,Cadastros!$H$6:$H$90)*(1-0.18),_xlfn.XLOOKUP(AG604,Cadastros!$G$6:$G$90,Cadastros!$H$6:$H$90))))</f>
        <v/>
      </c>
      <c r="AJ604" s="168" t="str">
        <f t="shared" si="124"/>
        <v/>
      </c>
      <c r="AK604" s="168" t="str">
        <f t="shared" si="125"/>
        <v/>
      </c>
      <c r="AL604" s="28"/>
      <c r="AM604" s="28"/>
      <c r="AN604" s="20" t="str">
        <f>IF(AL604="","",IF($F604="Bernardino Furlan",_xlfn.XLOOKUP(AL604,Cadastros!$G$6:$G$90,Cadastros!$H$6:$H$90)*(1-0.18),IF($F604="Mauro José Salanti",_xlfn.XLOOKUP(AL604,Cadastros!$G$6:$G$90,Cadastros!$H$6:$H$90)*(1-0.18),_xlfn.XLOOKUP(AL604,Cadastros!$G$6:$G$90,Cadastros!$H$6:$H$90))))</f>
        <v/>
      </c>
      <c r="AO604" s="168" t="str">
        <f t="shared" si="126"/>
        <v/>
      </c>
      <c r="AP604" s="168" t="str">
        <f t="shared" si="127"/>
        <v/>
      </c>
      <c r="AQ604" s="28"/>
      <c r="AR604" s="28"/>
      <c r="AS604" s="20" t="str">
        <f>IF(AQ604="","",IF($F604="Bernardino Furlan",_xlfn.XLOOKUP(AQ604,Cadastros!$G$6:$G$90,Cadastros!$H$6:$H$90)*(1-0.18),IF($F604="Mauro José Salanti",_xlfn.XLOOKUP(AQ604,Cadastros!$G$6:$G$90,Cadastros!$H$6:$H$90)*(1-0.18),_xlfn.XLOOKUP(AQ604,Cadastros!$G$6:$G$90,Cadastros!$H$6:$H$90))))</f>
        <v/>
      </c>
      <c r="AT604" s="168" t="str">
        <f t="shared" si="128"/>
        <v/>
      </c>
      <c r="AU604" s="168" t="str">
        <f t="shared" si="129"/>
        <v/>
      </c>
      <c r="AV604" s="227"/>
      <c r="AW604" s="30"/>
      <c r="AX604" s="267"/>
      <c r="AY604" s="267"/>
      <c r="AZ604" s="29"/>
      <c r="BA604" s="30"/>
      <c r="BB604" s="23" t="str" cm="1">
        <f t="array" ref="BB604">_xlfn.IFS(AW604="SIM",SUM(K604,P604,U604,Z604,AE604,AJ604,AO604,AT604,AX604,AY604),F604&lt;&gt;"",SUM(K604,P604,U604,Z604,AE604,AJ604,,AO604,AT604),F604="","")</f>
        <v/>
      </c>
      <c r="BC604" s="211" t="str" cm="1">
        <f t="array" ref="BC604">_xlfn.IFS(E604="","",G604&lt;=E604,BB604*(1-0.03),G604&lt;(E604+8),BB604,AZ604="Boleto",BB604*(1+0.001)^DATEDIF(E604,G604,"D"),AZ604="Cheque",BB604,AZ604="Dinheiro","Alterar forma pgto")</f>
        <v/>
      </c>
      <c r="BD604" s="276" t="str" cm="1">
        <f t="array" ref="BD604">IF(F604=0," ",IF(BC604&lt;BB604,(_xlfn.IFS(AW604="SIM",SUM(L604,Q604,V604,AA604,AF604,AK604,AP604,AU604)+AX604/_xlfn.XLOOKUP(_xlfn.XLOOKUP($F604,Clientes!$B$4:$B$39,Clientes!$C$4:$C$39),Cadastros!$L$6:$L$12,Cadastros!$M$6:$M$12)+IF($F604="Bernardino Furlan",AY604/2751.92,IF($F604="Mauro José Salanti",AY604/2751.92,AY604/3356)),F604&lt;&gt;0,SUM(L604,Q604,V604,AA604,AF604,AK604,AP604,AU604)))*(1-0.03),_xlfn.IFS(AW604="SIM",SUM(L604,Q604,V604,AA604,AF604,AK604,AP604,AU604)+AX604/_xlfn.XLOOKUP(_xlfn.XLOOKUP($F604,Clientes!$B$4:$B$39,Clientes!$C$4:$C$39),Cadastros!$L$6:$L$12,Cadastros!$M$6:$M$12)+IF($F604="Bernardino Furlan",AY604/2751.92,IF($F604="Mauro José Salanti",AY604/2751.92,AY604/3356)),F604&lt;&gt;0,SUM(L604,Q604,V604,AA604,AF604,AK604,AP604,AU604))))</f>
        <v xml:space="preserve"> </v>
      </c>
      <c r="BE604" s="120"/>
      <c r="BF604" s="120"/>
      <c r="BG604" s="120"/>
    </row>
    <row r="605" spans="1:59" s="3" customFormat="1" x14ac:dyDescent="0.3">
      <c r="A605" s="15" t="str">
        <f t="shared" si="117"/>
        <v/>
      </c>
      <c r="B605" s="25"/>
      <c r="C605" s="26"/>
      <c r="D605" s="279"/>
      <c r="E605" s="27"/>
      <c r="F605" s="28"/>
      <c r="G605" s="27"/>
      <c r="H605" s="28"/>
      <c r="I605" s="28"/>
      <c r="J605" s="255" t="str">
        <f>IF(H605="","",(_xlfn.XLOOKUP(H605,Cadastros!$D$6:$D$90,Cadastros!$E$6:$E$90))*(1-_xlfn.XLOOKUP(_xlfn.XLOOKUP($F605,Clientes!$B$4:$B$39,Clientes!$C$4:$C$39),Cadastros!$L$6:$L$12,Cadastros!$N$6:$N$12)))</f>
        <v/>
      </c>
      <c r="K605" s="168" t="str">
        <f t="shared" si="118"/>
        <v/>
      </c>
      <c r="L605" s="168" t="str">
        <f>IFERROR(K605/_xlfn.XLOOKUP(_xlfn.XLOOKUP($F605,Clientes!$B$4:$B$39,Clientes!$C$4:$C$39),Cadastros!$L$6:$L$12,Cadastros!$M$6:$M$12)," ")</f>
        <v xml:space="preserve"> </v>
      </c>
      <c r="M605" s="28"/>
      <c r="N605" s="28"/>
      <c r="O605" s="255" t="str">
        <f>IF(M605="","",(_xlfn.XLOOKUP(M605,Cadastros!$D$6:$D$90,Cadastros!$E$6:$E$90))*(1-_xlfn.XLOOKUP(_xlfn.XLOOKUP($F605,Clientes!$B$4:$B$39,Clientes!$C$4:$C$39),Cadastros!$L$6:$L$12,Cadastros!$N$6:$N$12)))</f>
        <v/>
      </c>
      <c r="P605" s="168" t="str">
        <f t="shared" si="119"/>
        <v/>
      </c>
      <c r="Q605" s="168" t="str">
        <f>IFERROR(P605/_xlfn.XLOOKUP(_xlfn.XLOOKUP($F605,Clientes!$B$4:$B$39,Clientes!$C$4:$C$39),Cadastros!$L$6:$L$12,Cadastros!$M$6:$M$12)," ")</f>
        <v xml:space="preserve"> </v>
      </c>
      <c r="R605" s="28"/>
      <c r="S605" s="28"/>
      <c r="T605" s="255" t="str">
        <f>IF(R605="","",(_xlfn.XLOOKUP(R605,Cadastros!$D$6:$D$90,Cadastros!$E$6:$E$90))*(1-_xlfn.XLOOKUP(_xlfn.XLOOKUP($F605,Clientes!$B$4:$B$39,Clientes!$C$4:$C$39),Cadastros!$L$6:$L$12,Cadastros!$N$6:$N$12)))</f>
        <v/>
      </c>
      <c r="U605" s="168" t="str">
        <f t="shared" si="120"/>
        <v/>
      </c>
      <c r="V605" s="168" t="str">
        <f>IFERROR(U605/_xlfn.XLOOKUP(_xlfn.XLOOKUP($F605,Clientes!$B$4:$B$39,Clientes!$C$4:$C$39),Cadastros!$L$6:$L$12,Cadastros!$M$6:$M$12)," ")</f>
        <v xml:space="preserve"> </v>
      </c>
      <c r="W605" s="28"/>
      <c r="X605" s="28"/>
      <c r="Y605" s="255" t="str">
        <f>IF(W605="","",(_xlfn.XLOOKUP(W605,Cadastros!$D$6:$D$90,Cadastros!$E$6:$E$90))*(1-_xlfn.XLOOKUP(_xlfn.XLOOKUP($F605,Clientes!$B$4:$B$39,Clientes!$C$4:$C$39),Cadastros!$L$6:$L$12,Cadastros!$N$6:$N$12)))</f>
        <v/>
      </c>
      <c r="Z605" s="168" t="str">
        <f t="shared" si="121"/>
        <v/>
      </c>
      <c r="AA605" s="168" t="str">
        <f>IFERROR(Z605/_xlfn.XLOOKUP(_xlfn.XLOOKUP($F605,Clientes!$B$4:$B$39,Clientes!$C$4:$C$39),Cadastros!$L$6:$L$12,Cadastros!$M$6:$M$12)," ")</f>
        <v xml:space="preserve"> </v>
      </c>
      <c r="AB605" s="28"/>
      <c r="AC605" s="28"/>
      <c r="AD605" s="20" t="str">
        <f>IF(AB605="","",IF($F605="Bernardino Furlan",_xlfn.XLOOKUP(AB605,Cadastros!$G$6:$G$90,Cadastros!$H$6:$H$90)*(1-0.18),IF($F605="Mauro José Salanti",_xlfn.XLOOKUP(AB605,Cadastros!$G$6:$G$90,Cadastros!$H$6:$H$90)*(1-0.18),_xlfn.XLOOKUP(AB605,Cadastros!$G$6:$G$90,Cadastros!$H$6:$H$90))))</f>
        <v/>
      </c>
      <c r="AE605" s="168" t="str">
        <f t="shared" si="122"/>
        <v/>
      </c>
      <c r="AF605" s="168" t="str">
        <f t="shared" si="123"/>
        <v/>
      </c>
      <c r="AG605" s="28"/>
      <c r="AH605" s="28"/>
      <c r="AI605" s="20" t="str">
        <f>IF(AG605="","",IF($F605="Bernardino Furlan",_xlfn.XLOOKUP(AG605,Cadastros!$G$6:$G$90,Cadastros!$H$6:$H$90)*(1-0.18),IF($F605="Mauro José Salanti",_xlfn.XLOOKUP(AG605,Cadastros!$G$6:$G$90,Cadastros!$H$6:$H$90)*(1-0.18),_xlfn.XLOOKUP(AG605,Cadastros!$G$6:$G$90,Cadastros!$H$6:$H$90))))</f>
        <v/>
      </c>
      <c r="AJ605" s="168" t="str">
        <f t="shared" si="124"/>
        <v/>
      </c>
      <c r="AK605" s="168" t="str">
        <f t="shared" si="125"/>
        <v/>
      </c>
      <c r="AL605" s="28"/>
      <c r="AM605" s="28"/>
      <c r="AN605" s="20" t="str">
        <f>IF(AL605="","",IF($F605="Bernardino Furlan",_xlfn.XLOOKUP(AL605,Cadastros!$G$6:$G$90,Cadastros!$H$6:$H$90)*(1-0.18),IF($F605="Mauro José Salanti",_xlfn.XLOOKUP(AL605,Cadastros!$G$6:$G$90,Cadastros!$H$6:$H$90)*(1-0.18),_xlfn.XLOOKUP(AL605,Cadastros!$G$6:$G$90,Cadastros!$H$6:$H$90))))</f>
        <v/>
      </c>
      <c r="AO605" s="168" t="str">
        <f t="shared" si="126"/>
        <v/>
      </c>
      <c r="AP605" s="168" t="str">
        <f t="shared" si="127"/>
        <v/>
      </c>
      <c r="AQ605" s="28"/>
      <c r="AR605" s="28"/>
      <c r="AS605" s="20" t="str">
        <f>IF(AQ605="","",IF($F605="Bernardino Furlan",_xlfn.XLOOKUP(AQ605,Cadastros!$G$6:$G$90,Cadastros!$H$6:$H$90)*(1-0.18),IF($F605="Mauro José Salanti",_xlfn.XLOOKUP(AQ605,Cadastros!$G$6:$G$90,Cadastros!$H$6:$H$90)*(1-0.18),_xlfn.XLOOKUP(AQ605,Cadastros!$G$6:$G$90,Cadastros!$H$6:$H$90))))</f>
        <v/>
      </c>
      <c r="AT605" s="168" t="str">
        <f t="shared" si="128"/>
        <v/>
      </c>
      <c r="AU605" s="168" t="str">
        <f t="shared" si="129"/>
        <v/>
      </c>
      <c r="AV605" s="227"/>
      <c r="AW605" s="30"/>
      <c r="AX605" s="267"/>
      <c r="AY605" s="267"/>
      <c r="AZ605" s="29"/>
      <c r="BA605" s="30"/>
      <c r="BB605" s="23" t="str" cm="1">
        <f t="array" ref="BB605">_xlfn.IFS(AW605="SIM",SUM(K605,P605,U605,Z605,AE605,AJ605,AO605,AT605,AX605,AY605),F605&lt;&gt;"",SUM(K605,P605,U605,Z605,AE605,AJ605,,AO605,AT605),F605="","")</f>
        <v/>
      </c>
      <c r="BC605" s="211" t="str" cm="1">
        <f t="array" ref="BC605">_xlfn.IFS(E605="","",G605&lt;=E605,BB605*(1-0.03),G605&lt;(E605+8),BB605,AZ605="Boleto",BB605*(1+0.001)^DATEDIF(E605,G605,"D"),AZ605="Cheque",BB605,AZ605="Dinheiro","Alterar forma pgto")</f>
        <v/>
      </c>
      <c r="BD605" s="276" t="str" cm="1">
        <f t="array" ref="BD605">IF(F605=0," ",IF(BC605&lt;BB605,(_xlfn.IFS(AW605="SIM",SUM(L605,Q605,V605,AA605,AF605,AK605,AP605,AU605)+AX605/_xlfn.XLOOKUP(_xlfn.XLOOKUP($F605,Clientes!$B$4:$B$39,Clientes!$C$4:$C$39),Cadastros!$L$6:$L$12,Cadastros!$M$6:$M$12)+IF($F605="Bernardino Furlan",AY605/2751.92,IF($F605="Mauro José Salanti",AY605/2751.92,AY605/3356)),F605&lt;&gt;0,SUM(L605,Q605,V605,AA605,AF605,AK605,AP605,AU605)))*(1-0.03),_xlfn.IFS(AW605="SIM",SUM(L605,Q605,V605,AA605,AF605,AK605,AP605,AU605)+AX605/_xlfn.XLOOKUP(_xlfn.XLOOKUP($F605,Clientes!$B$4:$B$39,Clientes!$C$4:$C$39),Cadastros!$L$6:$L$12,Cadastros!$M$6:$M$12)+IF($F605="Bernardino Furlan",AY605/2751.92,IF($F605="Mauro José Salanti",AY605/2751.92,AY605/3356)),F605&lt;&gt;0,SUM(L605,Q605,V605,AA605,AF605,AK605,AP605,AU605))))</f>
        <v xml:space="preserve"> </v>
      </c>
      <c r="BE605" s="120"/>
      <c r="BF605" s="120"/>
      <c r="BG605" s="120"/>
    </row>
    <row r="606" spans="1:59" s="3" customFormat="1" x14ac:dyDescent="0.3">
      <c r="A606" s="15" t="str">
        <f t="shared" si="117"/>
        <v/>
      </c>
      <c r="B606" s="25"/>
      <c r="C606" s="26"/>
      <c r="D606" s="279"/>
      <c r="E606" s="27"/>
      <c r="F606" s="28"/>
      <c r="G606" s="27"/>
      <c r="H606" s="28"/>
      <c r="I606" s="28"/>
      <c r="J606" s="255" t="str">
        <f>IF(H606="","",(_xlfn.XLOOKUP(H606,Cadastros!$D$6:$D$90,Cadastros!$E$6:$E$90))*(1-_xlfn.XLOOKUP(_xlfn.XLOOKUP($F606,Clientes!$B$4:$B$39,Clientes!$C$4:$C$39),Cadastros!$L$6:$L$12,Cadastros!$N$6:$N$12)))</f>
        <v/>
      </c>
      <c r="K606" s="168" t="str">
        <f t="shared" si="118"/>
        <v/>
      </c>
      <c r="L606" s="168" t="str">
        <f>IFERROR(K606/_xlfn.XLOOKUP(_xlfn.XLOOKUP($F606,Clientes!$B$4:$B$39,Clientes!$C$4:$C$39),Cadastros!$L$6:$L$12,Cadastros!$M$6:$M$12)," ")</f>
        <v xml:space="preserve"> </v>
      </c>
      <c r="M606" s="28"/>
      <c r="N606" s="28"/>
      <c r="O606" s="255" t="str">
        <f>IF(M606="","",(_xlfn.XLOOKUP(M606,Cadastros!$D$6:$D$90,Cadastros!$E$6:$E$90))*(1-_xlfn.XLOOKUP(_xlfn.XLOOKUP($F606,Clientes!$B$4:$B$39,Clientes!$C$4:$C$39),Cadastros!$L$6:$L$12,Cadastros!$N$6:$N$12)))</f>
        <v/>
      </c>
      <c r="P606" s="168" t="str">
        <f t="shared" si="119"/>
        <v/>
      </c>
      <c r="Q606" s="168" t="str">
        <f>IFERROR(P606/_xlfn.XLOOKUP(_xlfn.XLOOKUP($F606,Clientes!$B$4:$B$39,Clientes!$C$4:$C$39),Cadastros!$L$6:$L$12,Cadastros!$M$6:$M$12)," ")</f>
        <v xml:space="preserve"> </v>
      </c>
      <c r="R606" s="28"/>
      <c r="S606" s="28"/>
      <c r="T606" s="255" t="str">
        <f>IF(R606="","",(_xlfn.XLOOKUP(R606,Cadastros!$D$6:$D$90,Cadastros!$E$6:$E$90))*(1-_xlfn.XLOOKUP(_xlfn.XLOOKUP($F606,Clientes!$B$4:$B$39,Clientes!$C$4:$C$39),Cadastros!$L$6:$L$12,Cadastros!$N$6:$N$12)))</f>
        <v/>
      </c>
      <c r="U606" s="168" t="str">
        <f t="shared" si="120"/>
        <v/>
      </c>
      <c r="V606" s="168" t="str">
        <f>IFERROR(U606/_xlfn.XLOOKUP(_xlfn.XLOOKUP($F606,Clientes!$B$4:$B$39,Clientes!$C$4:$C$39),Cadastros!$L$6:$L$12,Cadastros!$M$6:$M$12)," ")</f>
        <v xml:space="preserve"> </v>
      </c>
      <c r="W606" s="28"/>
      <c r="X606" s="28"/>
      <c r="Y606" s="255" t="str">
        <f>IF(W606="","",(_xlfn.XLOOKUP(W606,Cadastros!$D$6:$D$90,Cadastros!$E$6:$E$90))*(1-_xlfn.XLOOKUP(_xlfn.XLOOKUP($F606,Clientes!$B$4:$B$39,Clientes!$C$4:$C$39),Cadastros!$L$6:$L$12,Cadastros!$N$6:$N$12)))</f>
        <v/>
      </c>
      <c r="Z606" s="168" t="str">
        <f t="shared" si="121"/>
        <v/>
      </c>
      <c r="AA606" s="168" t="str">
        <f>IFERROR(Z606/_xlfn.XLOOKUP(_xlfn.XLOOKUP($F606,Clientes!$B$4:$B$39,Clientes!$C$4:$C$39),Cadastros!$L$6:$L$12,Cadastros!$M$6:$M$12)," ")</f>
        <v xml:space="preserve"> </v>
      </c>
      <c r="AB606" s="28"/>
      <c r="AC606" s="28"/>
      <c r="AD606" s="20" t="str">
        <f>IF(AB606="","",IF($F606="Bernardino Furlan",_xlfn.XLOOKUP(AB606,Cadastros!$G$6:$G$90,Cadastros!$H$6:$H$90)*(1-0.18),IF($F606="Mauro José Salanti",_xlfn.XLOOKUP(AB606,Cadastros!$G$6:$G$90,Cadastros!$H$6:$H$90)*(1-0.18),_xlfn.XLOOKUP(AB606,Cadastros!$G$6:$G$90,Cadastros!$H$6:$H$90))))</f>
        <v/>
      </c>
      <c r="AE606" s="168" t="str">
        <f t="shared" si="122"/>
        <v/>
      </c>
      <c r="AF606" s="168" t="str">
        <f t="shared" si="123"/>
        <v/>
      </c>
      <c r="AG606" s="28"/>
      <c r="AH606" s="28"/>
      <c r="AI606" s="20" t="str">
        <f>IF(AG606="","",IF($F606="Bernardino Furlan",_xlfn.XLOOKUP(AG606,Cadastros!$G$6:$G$90,Cadastros!$H$6:$H$90)*(1-0.18),IF($F606="Mauro José Salanti",_xlfn.XLOOKUP(AG606,Cadastros!$G$6:$G$90,Cadastros!$H$6:$H$90)*(1-0.18),_xlfn.XLOOKUP(AG606,Cadastros!$G$6:$G$90,Cadastros!$H$6:$H$90))))</f>
        <v/>
      </c>
      <c r="AJ606" s="168" t="str">
        <f t="shared" si="124"/>
        <v/>
      </c>
      <c r="AK606" s="168" t="str">
        <f t="shared" si="125"/>
        <v/>
      </c>
      <c r="AL606" s="28"/>
      <c r="AM606" s="28"/>
      <c r="AN606" s="20" t="str">
        <f>IF(AL606="","",IF($F606="Bernardino Furlan",_xlfn.XLOOKUP(AL606,Cadastros!$G$6:$G$90,Cadastros!$H$6:$H$90)*(1-0.18),IF($F606="Mauro José Salanti",_xlfn.XLOOKUP(AL606,Cadastros!$G$6:$G$90,Cadastros!$H$6:$H$90)*(1-0.18),_xlfn.XLOOKUP(AL606,Cadastros!$G$6:$G$90,Cadastros!$H$6:$H$90))))</f>
        <v/>
      </c>
      <c r="AO606" s="168" t="str">
        <f t="shared" si="126"/>
        <v/>
      </c>
      <c r="AP606" s="168" t="str">
        <f t="shared" si="127"/>
        <v/>
      </c>
      <c r="AQ606" s="28"/>
      <c r="AR606" s="28"/>
      <c r="AS606" s="20" t="str">
        <f>IF(AQ606="","",IF($F606="Bernardino Furlan",_xlfn.XLOOKUP(AQ606,Cadastros!$G$6:$G$90,Cadastros!$H$6:$H$90)*(1-0.18),IF($F606="Mauro José Salanti",_xlfn.XLOOKUP(AQ606,Cadastros!$G$6:$G$90,Cadastros!$H$6:$H$90)*(1-0.18),_xlfn.XLOOKUP(AQ606,Cadastros!$G$6:$G$90,Cadastros!$H$6:$H$90))))</f>
        <v/>
      </c>
      <c r="AT606" s="168" t="str">
        <f t="shared" si="128"/>
        <v/>
      </c>
      <c r="AU606" s="168" t="str">
        <f t="shared" si="129"/>
        <v/>
      </c>
      <c r="AV606" s="227"/>
      <c r="AW606" s="30"/>
      <c r="AX606" s="267"/>
      <c r="AY606" s="267"/>
      <c r="AZ606" s="29"/>
      <c r="BA606" s="30"/>
      <c r="BB606" s="23" t="str" cm="1">
        <f t="array" ref="BB606">_xlfn.IFS(AW606="SIM",SUM(K606,P606,U606,Z606,AE606,AJ606,AO606,AT606,AX606,AY606),F606&lt;&gt;"",SUM(K606,P606,U606,Z606,AE606,AJ606,,AO606,AT606),F606="","")</f>
        <v/>
      </c>
      <c r="BC606" s="211" t="str" cm="1">
        <f t="array" ref="BC606">_xlfn.IFS(E606="","",G606&lt;=E606,BB606*(1-0.03),G606&lt;(E606+8),BB606,AZ606="Boleto",BB606*(1+0.001)^DATEDIF(E606,G606,"D"),AZ606="Cheque",BB606,AZ606="Dinheiro","Alterar forma pgto")</f>
        <v/>
      </c>
      <c r="BD606" s="276" t="str" cm="1">
        <f t="array" ref="BD606">IF(F606=0," ",IF(BC606&lt;BB606,(_xlfn.IFS(AW606="SIM",SUM(L606,Q606,V606,AA606,AF606,AK606,AP606,AU606)+AX606/_xlfn.XLOOKUP(_xlfn.XLOOKUP($F606,Clientes!$B$4:$B$39,Clientes!$C$4:$C$39),Cadastros!$L$6:$L$12,Cadastros!$M$6:$M$12)+IF($F606="Bernardino Furlan",AY606/2751.92,IF($F606="Mauro José Salanti",AY606/2751.92,AY606/3356)),F606&lt;&gt;0,SUM(L606,Q606,V606,AA606,AF606,AK606,AP606,AU606)))*(1-0.03),_xlfn.IFS(AW606="SIM",SUM(L606,Q606,V606,AA606,AF606,AK606,AP606,AU606)+AX606/_xlfn.XLOOKUP(_xlfn.XLOOKUP($F606,Clientes!$B$4:$B$39,Clientes!$C$4:$C$39),Cadastros!$L$6:$L$12,Cadastros!$M$6:$M$12)+IF($F606="Bernardino Furlan",AY606/2751.92,IF($F606="Mauro José Salanti",AY606/2751.92,AY606/3356)),F606&lt;&gt;0,SUM(L606,Q606,V606,AA606,AF606,AK606,AP606,AU606))))</f>
        <v xml:space="preserve"> </v>
      </c>
      <c r="BE606" s="120"/>
      <c r="BF606" s="120"/>
      <c r="BG606" s="120"/>
    </row>
    <row r="607" spans="1:59" s="3" customFormat="1" x14ac:dyDescent="0.3">
      <c r="A607" s="15" t="str">
        <f t="shared" si="117"/>
        <v/>
      </c>
      <c r="B607" s="25"/>
      <c r="C607" s="26"/>
      <c r="D607" s="279"/>
      <c r="E607" s="27"/>
      <c r="F607" s="28"/>
      <c r="G607" s="27"/>
      <c r="H607" s="28"/>
      <c r="I607" s="28"/>
      <c r="J607" s="255" t="str">
        <f>IF(H607="","",(_xlfn.XLOOKUP(H607,Cadastros!$D$6:$D$90,Cadastros!$E$6:$E$90))*(1-_xlfn.XLOOKUP(_xlfn.XLOOKUP($F607,Clientes!$B$4:$B$39,Clientes!$C$4:$C$39),Cadastros!$L$6:$L$12,Cadastros!$N$6:$N$12)))</f>
        <v/>
      </c>
      <c r="K607" s="168" t="str">
        <f t="shared" si="118"/>
        <v/>
      </c>
      <c r="L607" s="168" t="str">
        <f>IFERROR(K607/_xlfn.XLOOKUP(_xlfn.XLOOKUP($F607,Clientes!$B$4:$B$39,Clientes!$C$4:$C$39),Cadastros!$L$6:$L$12,Cadastros!$M$6:$M$12)," ")</f>
        <v xml:space="preserve"> </v>
      </c>
      <c r="M607" s="28"/>
      <c r="N607" s="28"/>
      <c r="O607" s="255" t="str">
        <f>IF(M607="","",(_xlfn.XLOOKUP(M607,Cadastros!$D$6:$D$90,Cadastros!$E$6:$E$90))*(1-_xlfn.XLOOKUP(_xlfn.XLOOKUP($F607,Clientes!$B$4:$B$39,Clientes!$C$4:$C$39),Cadastros!$L$6:$L$12,Cadastros!$N$6:$N$12)))</f>
        <v/>
      </c>
      <c r="P607" s="168" t="str">
        <f t="shared" si="119"/>
        <v/>
      </c>
      <c r="Q607" s="168" t="str">
        <f>IFERROR(P607/_xlfn.XLOOKUP(_xlfn.XLOOKUP($F607,Clientes!$B$4:$B$39,Clientes!$C$4:$C$39),Cadastros!$L$6:$L$12,Cadastros!$M$6:$M$12)," ")</f>
        <v xml:space="preserve"> </v>
      </c>
      <c r="R607" s="28"/>
      <c r="S607" s="28"/>
      <c r="T607" s="255" t="str">
        <f>IF(R607="","",(_xlfn.XLOOKUP(R607,Cadastros!$D$6:$D$90,Cadastros!$E$6:$E$90))*(1-_xlfn.XLOOKUP(_xlfn.XLOOKUP($F607,Clientes!$B$4:$B$39,Clientes!$C$4:$C$39),Cadastros!$L$6:$L$12,Cadastros!$N$6:$N$12)))</f>
        <v/>
      </c>
      <c r="U607" s="168" t="str">
        <f t="shared" si="120"/>
        <v/>
      </c>
      <c r="V607" s="168" t="str">
        <f>IFERROR(U607/_xlfn.XLOOKUP(_xlfn.XLOOKUP($F607,Clientes!$B$4:$B$39,Clientes!$C$4:$C$39),Cadastros!$L$6:$L$12,Cadastros!$M$6:$M$12)," ")</f>
        <v xml:space="preserve"> </v>
      </c>
      <c r="W607" s="28"/>
      <c r="X607" s="28"/>
      <c r="Y607" s="255" t="str">
        <f>IF(W607="","",(_xlfn.XLOOKUP(W607,Cadastros!$D$6:$D$90,Cadastros!$E$6:$E$90))*(1-_xlfn.XLOOKUP(_xlfn.XLOOKUP($F607,Clientes!$B$4:$B$39,Clientes!$C$4:$C$39),Cadastros!$L$6:$L$12,Cadastros!$N$6:$N$12)))</f>
        <v/>
      </c>
      <c r="Z607" s="168" t="str">
        <f t="shared" si="121"/>
        <v/>
      </c>
      <c r="AA607" s="168" t="str">
        <f>IFERROR(Z607/_xlfn.XLOOKUP(_xlfn.XLOOKUP($F607,Clientes!$B$4:$B$39,Clientes!$C$4:$C$39),Cadastros!$L$6:$L$12,Cadastros!$M$6:$M$12)," ")</f>
        <v xml:space="preserve"> </v>
      </c>
      <c r="AB607" s="28"/>
      <c r="AC607" s="28"/>
      <c r="AD607" s="20" t="str">
        <f>IF(AB607="","",IF($F607="Bernardino Furlan",_xlfn.XLOOKUP(AB607,Cadastros!$G$6:$G$90,Cadastros!$H$6:$H$90)*(1-0.18),IF($F607="Mauro José Salanti",_xlfn.XLOOKUP(AB607,Cadastros!$G$6:$G$90,Cadastros!$H$6:$H$90)*(1-0.18),_xlfn.XLOOKUP(AB607,Cadastros!$G$6:$G$90,Cadastros!$H$6:$H$90))))</f>
        <v/>
      </c>
      <c r="AE607" s="168" t="str">
        <f t="shared" si="122"/>
        <v/>
      </c>
      <c r="AF607" s="168" t="str">
        <f t="shared" si="123"/>
        <v/>
      </c>
      <c r="AG607" s="28"/>
      <c r="AH607" s="28"/>
      <c r="AI607" s="20" t="str">
        <f>IF(AG607="","",IF($F607="Bernardino Furlan",_xlfn.XLOOKUP(AG607,Cadastros!$G$6:$G$90,Cadastros!$H$6:$H$90)*(1-0.18),IF($F607="Mauro José Salanti",_xlfn.XLOOKUP(AG607,Cadastros!$G$6:$G$90,Cadastros!$H$6:$H$90)*(1-0.18),_xlfn.XLOOKUP(AG607,Cadastros!$G$6:$G$90,Cadastros!$H$6:$H$90))))</f>
        <v/>
      </c>
      <c r="AJ607" s="168" t="str">
        <f t="shared" si="124"/>
        <v/>
      </c>
      <c r="AK607" s="168" t="str">
        <f t="shared" si="125"/>
        <v/>
      </c>
      <c r="AL607" s="28"/>
      <c r="AM607" s="28"/>
      <c r="AN607" s="20" t="str">
        <f>IF(AL607="","",IF($F607="Bernardino Furlan",_xlfn.XLOOKUP(AL607,Cadastros!$G$6:$G$90,Cadastros!$H$6:$H$90)*(1-0.18),IF($F607="Mauro José Salanti",_xlfn.XLOOKUP(AL607,Cadastros!$G$6:$G$90,Cadastros!$H$6:$H$90)*(1-0.18),_xlfn.XLOOKUP(AL607,Cadastros!$G$6:$G$90,Cadastros!$H$6:$H$90))))</f>
        <v/>
      </c>
      <c r="AO607" s="168" t="str">
        <f t="shared" si="126"/>
        <v/>
      </c>
      <c r="AP607" s="168" t="str">
        <f t="shared" si="127"/>
        <v/>
      </c>
      <c r="AQ607" s="28"/>
      <c r="AR607" s="28"/>
      <c r="AS607" s="20" t="str">
        <f>IF(AQ607="","",IF($F607="Bernardino Furlan",_xlfn.XLOOKUP(AQ607,Cadastros!$G$6:$G$90,Cadastros!$H$6:$H$90)*(1-0.18),IF($F607="Mauro José Salanti",_xlfn.XLOOKUP(AQ607,Cadastros!$G$6:$G$90,Cadastros!$H$6:$H$90)*(1-0.18),_xlfn.XLOOKUP(AQ607,Cadastros!$G$6:$G$90,Cadastros!$H$6:$H$90))))</f>
        <v/>
      </c>
      <c r="AT607" s="168" t="str">
        <f t="shared" si="128"/>
        <v/>
      </c>
      <c r="AU607" s="168" t="str">
        <f t="shared" si="129"/>
        <v/>
      </c>
      <c r="AV607" s="227"/>
      <c r="AW607" s="30"/>
      <c r="AX607" s="267"/>
      <c r="AY607" s="267"/>
      <c r="AZ607" s="29"/>
      <c r="BA607" s="30"/>
      <c r="BB607" s="23" t="str" cm="1">
        <f t="array" ref="BB607">_xlfn.IFS(AW607="SIM",SUM(K607,P607,U607,Z607,AE607,AJ607,AO607,AT607,AX607,AY607),F607&lt;&gt;"",SUM(K607,P607,U607,Z607,AE607,AJ607,,AO607,AT607),F607="","")</f>
        <v/>
      </c>
      <c r="BC607" s="211" t="str" cm="1">
        <f t="array" ref="BC607">_xlfn.IFS(E607="","",G607&lt;=E607,BB607*(1-0.03),G607&lt;(E607+8),BB607,AZ607="Boleto",BB607*(1+0.001)^DATEDIF(E607,G607,"D"),AZ607="Cheque",BB607,AZ607="Dinheiro","Alterar forma pgto")</f>
        <v/>
      </c>
      <c r="BD607" s="276" t="str" cm="1">
        <f t="array" ref="BD607">IF(F607=0," ",IF(BC607&lt;BB607,(_xlfn.IFS(AW607="SIM",SUM(L607,Q607,V607,AA607,AF607,AK607,AP607,AU607)+AX607/_xlfn.XLOOKUP(_xlfn.XLOOKUP($F607,Clientes!$B$4:$B$39,Clientes!$C$4:$C$39),Cadastros!$L$6:$L$12,Cadastros!$M$6:$M$12)+IF($F607="Bernardino Furlan",AY607/2751.92,IF($F607="Mauro José Salanti",AY607/2751.92,AY607/3356)),F607&lt;&gt;0,SUM(L607,Q607,V607,AA607,AF607,AK607,AP607,AU607)))*(1-0.03),_xlfn.IFS(AW607="SIM",SUM(L607,Q607,V607,AA607,AF607,AK607,AP607,AU607)+AX607/_xlfn.XLOOKUP(_xlfn.XLOOKUP($F607,Clientes!$B$4:$B$39,Clientes!$C$4:$C$39),Cadastros!$L$6:$L$12,Cadastros!$M$6:$M$12)+IF($F607="Bernardino Furlan",AY607/2751.92,IF($F607="Mauro José Salanti",AY607/2751.92,AY607/3356)),F607&lt;&gt;0,SUM(L607,Q607,V607,AA607,AF607,AK607,AP607,AU607))))</f>
        <v xml:space="preserve"> </v>
      </c>
      <c r="BE607" s="120"/>
      <c r="BF607" s="120"/>
      <c r="BG607" s="120"/>
    </row>
    <row r="608" spans="1:59" s="3" customFormat="1" x14ac:dyDescent="0.3">
      <c r="A608" s="15" t="str">
        <f t="shared" si="117"/>
        <v/>
      </c>
      <c r="B608" s="25"/>
      <c r="C608" s="26"/>
      <c r="D608" s="279"/>
      <c r="E608" s="27"/>
      <c r="F608" s="28"/>
      <c r="G608" s="27"/>
      <c r="H608" s="28"/>
      <c r="I608" s="28"/>
      <c r="J608" s="255" t="str">
        <f>IF(H608="","",(_xlfn.XLOOKUP(H608,Cadastros!$D$6:$D$90,Cadastros!$E$6:$E$90))*(1-_xlfn.XLOOKUP(_xlfn.XLOOKUP($F608,Clientes!$B$4:$B$39,Clientes!$C$4:$C$39),Cadastros!$L$6:$L$12,Cadastros!$N$6:$N$12)))</f>
        <v/>
      </c>
      <c r="K608" s="168" t="str">
        <f t="shared" si="118"/>
        <v/>
      </c>
      <c r="L608" s="168" t="str">
        <f>IFERROR(K608/_xlfn.XLOOKUP(_xlfn.XLOOKUP($F608,Clientes!$B$4:$B$39,Clientes!$C$4:$C$39),Cadastros!$L$6:$L$12,Cadastros!$M$6:$M$12)," ")</f>
        <v xml:space="preserve"> </v>
      </c>
      <c r="M608" s="28"/>
      <c r="N608" s="28"/>
      <c r="O608" s="255" t="str">
        <f>IF(M608="","",(_xlfn.XLOOKUP(M608,Cadastros!$D$6:$D$90,Cadastros!$E$6:$E$90))*(1-_xlfn.XLOOKUP(_xlfn.XLOOKUP($F608,Clientes!$B$4:$B$39,Clientes!$C$4:$C$39),Cadastros!$L$6:$L$12,Cadastros!$N$6:$N$12)))</f>
        <v/>
      </c>
      <c r="P608" s="168" t="str">
        <f t="shared" si="119"/>
        <v/>
      </c>
      <c r="Q608" s="168" t="str">
        <f>IFERROR(P608/_xlfn.XLOOKUP(_xlfn.XLOOKUP($F608,Clientes!$B$4:$B$39,Clientes!$C$4:$C$39),Cadastros!$L$6:$L$12,Cadastros!$M$6:$M$12)," ")</f>
        <v xml:space="preserve"> </v>
      </c>
      <c r="R608" s="28"/>
      <c r="S608" s="28"/>
      <c r="T608" s="255" t="str">
        <f>IF(R608="","",(_xlfn.XLOOKUP(R608,Cadastros!$D$6:$D$90,Cadastros!$E$6:$E$90))*(1-_xlfn.XLOOKUP(_xlfn.XLOOKUP($F608,Clientes!$B$4:$B$39,Clientes!$C$4:$C$39),Cadastros!$L$6:$L$12,Cadastros!$N$6:$N$12)))</f>
        <v/>
      </c>
      <c r="U608" s="168" t="str">
        <f t="shared" si="120"/>
        <v/>
      </c>
      <c r="V608" s="168" t="str">
        <f>IFERROR(U608/_xlfn.XLOOKUP(_xlfn.XLOOKUP($F608,Clientes!$B$4:$B$39,Clientes!$C$4:$C$39),Cadastros!$L$6:$L$12,Cadastros!$M$6:$M$12)," ")</f>
        <v xml:space="preserve"> </v>
      </c>
      <c r="W608" s="28"/>
      <c r="X608" s="28"/>
      <c r="Y608" s="255" t="str">
        <f>IF(W608="","",(_xlfn.XLOOKUP(W608,Cadastros!$D$6:$D$90,Cadastros!$E$6:$E$90))*(1-_xlfn.XLOOKUP(_xlfn.XLOOKUP($F608,Clientes!$B$4:$B$39,Clientes!$C$4:$C$39),Cadastros!$L$6:$L$12,Cadastros!$N$6:$N$12)))</f>
        <v/>
      </c>
      <c r="Z608" s="168" t="str">
        <f t="shared" si="121"/>
        <v/>
      </c>
      <c r="AA608" s="168" t="str">
        <f>IFERROR(Z608/_xlfn.XLOOKUP(_xlfn.XLOOKUP($F608,Clientes!$B$4:$B$39,Clientes!$C$4:$C$39),Cadastros!$L$6:$L$12,Cadastros!$M$6:$M$12)," ")</f>
        <v xml:space="preserve"> </v>
      </c>
      <c r="AB608" s="28"/>
      <c r="AC608" s="28"/>
      <c r="AD608" s="20" t="str">
        <f>IF(AB608="","",IF($F608="Bernardino Furlan",_xlfn.XLOOKUP(AB608,Cadastros!$G$6:$G$90,Cadastros!$H$6:$H$90)*(1-0.18),IF($F608="Mauro José Salanti",_xlfn.XLOOKUP(AB608,Cadastros!$G$6:$G$90,Cadastros!$H$6:$H$90)*(1-0.18),_xlfn.XLOOKUP(AB608,Cadastros!$G$6:$G$90,Cadastros!$H$6:$H$90))))</f>
        <v/>
      </c>
      <c r="AE608" s="168" t="str">
        <f t="shared" si="122"/>
        <v/>
      </c>
      <c r="AF608" s="168" t="str">
        <f t="shared" si="123"/>
        <v/>
      </c>
      <c r="AG608" s="28"/>
      <c r="AH608" s="28"/>
      <c r="AI608" s="20" t="str">
        <f>IF(AG608="","",IF($F608="Bernardino Furlan",_xlfn.XLOOKUP(AG608,Cadastros!$G$6:$G$90,Cadastros!$H$6:$H$90)*(1-0.18),IF($F608="Mauro José Salanti",_xlfn.XLOOKUP(AG608,Cadastros!$G$6:$G$90,Cadastros!$H$6:$H$90)*(1-0.18),_xlfn.XLOOKUP(AG608,Cadastros!$G$6:$G$90,Cadastros!$H$6:$H$90))))</f>
        <v/>
      </c>
      <c r="AJ608" s="168" t="str">
        <f t="shared" si="124"/>
        <v/>
      </c>
      <c r="AK608" s="168" t="str">
        <f t="shared" si="125"/>
        <v/>
      </c>
      <c r="AL608" s="28"/>
      <c r="AM608" s="28"/>
      <c r="AN608" s="20" t="str">
        <f>IF(AL608="","",IF($F608="Bernardino Furlan",_xlfn.XLOOKUP(AL608,Cadastros!$G$6:$G$90,Cadastros!$H$6:$H$90)*(1-0.18),IF($F608="Mauro José Salanti",_xlfn.XLOOKUP(AL608,Cadastros!$G$6:$G$90,Cadastros!$H$6:$H$90)*(1-0.18),_xlfn.XLOOKUP(AL608,Cadastros!$G$6:$G$90,Cadastros!$H$6:$H$90))))</f>
        <v/>
      </c>
      <c r="AO608" s="168" t="str">
        <f t="shared" si="126"/>
        <v/>
      </c>
      <c r="AP608" s="168" t="str">
        <f t="shared" si="127"/>
        <v/>
      </c>
      <c r="AQ608" s="28"/>
      <c r="AR608" s="28"/>
      <c r="AS608" s="20" t="str">
        <f>IF(AQ608="","",IF($F608="Bernardino Furlan",_xlfn.XLOOKUP(AQ608,Cadastros!$G$6:$G$90,Cadastros!$H$6:$H$90)*(1-0.18),IF($F608="Mauro José Salanti",_xlfn.XLOOKUP(AQ608,Cadastros!$G$6:$G$90,Cadastros!$H$6:$H$90)*(1-0.18),_xlfn.XLOOKUP(AQ608,Cadastros!$G$6:$G$90,Cadastros!$H$6:$H$90))))</f>
        <v/>
      </c>
      <c r="AT608" s="168" t="str">
        <f t="shared" si="128"/>
        <v/>
      </c>
      <c r="AU608" s="168" t="str">
        <f t="shared" si="129"/>
        <v/>
      </c>
      <c r="AV608" s="227"/>
      <c r="AW608" s="30"/>
      <c r="AX608" s="267"/>
      <c r="AY608" s="267"/>
      <c r="AZ608" s="29"/>
      <c r="BA608" s="30"/>
      <c r="BB608" s="23" t="str" cm="1">
        <f t="array" ref="BB608">_xlfn.IFS(AW608="SIM",SUM(K608,P608,U608,Z608,AE608,AJ608,AO608,AT608,AX608,AY608),F608&lt;&gt;"",SUM(K608,P608,U608,Z608,AE608,AJ608,,AO608,AT608),F608="","")</f>
        <v/>
      </c>
      <c r="BC608" s="211" t="str" cm="1">
        <f t="array" ref="BC608">_xlfn.IFS(E608="","",G608&lt;=E608,BB608*(1-0.03),G608&lt;(E608+8),BB608,AZ608="Boleto",BB608*(1+0.001)^DATEDIF(E608,G608,"D"),AZ608="Cheque",BB608,AZ608="Dinheiro","Alterar forma pgto")</f>
        <v/>
      </c>
      <c r="BD608" s="276" t="str" cm="1">
        <f t="array" ref="BD608">IF(F608=0," ",IF(BC608&lt;BB608,(_xlfn.IFS(AW608="SIM",SUM(L608,Q608,V608,AA608,AF608,AK608,AP608,AU608)+AX608/_xlfn.XLOOKUP(_xlfn.XLOOKUP($F608,Clientes!$B$4:$B$39,Clientes!$C$4:$C$39),Cadastros!$L$6:$L$12,Cadastros!$M$6:$M$12)+IF($F608="Bernardino Furlan",AY608/2751.92,IF($F608="Mauro José Salanti",AY608/2751.92,AY608/3356)),F608&lt;&gt;0,SUM(L608,Q608,V608,AA608,AF608,AK608,AP608,AU608)))*(1-0.03),_xlfn.IFS(AW608="SIM",SUM(L608,Q608,V608,AA608,AF608,AK608,AP608,AU608)+AX608/_xlfn.XLOOKUP(_xlfn.XLOOKUP($F608,Clientes!$B$4:$B$39,Clientes!$C$4:$C$39),Cadastros!$L$6:$L$12,Cadastros!$M$6:$M$12)+IF($F608="Bernardino Furlan",AY608/2751.92,IF($F608="Mauro José Salanti",AY608/2751.92,AY608/3356)),F608&lt;&gt;0,SUM(L608,Q608,V608,AA608,AF608,AK608,AP608,AU608))))</f>
        <v xml:space="preserve"> </v>
      </c>
      <c r="BE608" s="120"/>
      <c r="BF608" s="120"/>
      <c r="BG608" s="120"/>
    </row>
    <row r="609" spans="1:59" s="3" customFormat="1" x14ac:dyDescent="0.3">
      <c r="A609" s="15" t="str">
        <f t="shared" si="117"/>
        <v/>
      </c>
      <c r="B609" s="25"/>
      <c r="C609" s="26"/>
      <c r="D609" s="279"/>
      <c r="E609" s="27"/>
      <c r="F609" s="28"/>
      <c r="G609" s="27"/>
      <c r="H609" s="28"/>
      <c r="I609" s="28"/>
      <c r="J609" s="255" t="str">
        <f>IF(H609="","",(_xlfn.XLOOKUP(H609,Cadastros!$D$6:$D$90,Cadastros!$E$6:$E$90))*(1-_xlfn.XLOOKUP(_xlfn.XLOOKUP($F609,Clientes!$B$4:$B$39,Clientes!$C$4:$C$39),Cadastros!$L$6:$L$12,Cadastros!$N$6:$N$12)))</f>
        <v/>
      </c>
      <c r="K609" s="168" t="str">
        <f t="shared" si="118"/>
        <v/>
      </c>
      <c r="L609" s="168" t="str">
        <f>IFERROR(K609/_xlfn.XLOOKUP(_xlfn.XLOOKUP($F609,Clientes!$B$4:$B$39,Clientes!$C$4:$C$39),Cadastros!$L$6:$L$12,Cadastros!$M$6:$M$12)," ")</f>
        <v xml:space="preserve"> </v>
      </c>
      <c r="M609" s="28"/>
      <c r="N609" s="28"/>
      <c r="O609" s="255" t="str">
        <f>IF(M609="","",(_xlfn.XLOOKUP(M609,Cadastros!$D$6:$D$90,Cadastros!$E$6:$E$90))*(1-_xlfn.XLOOKUP(_xlfn.XLOOKUP($F609,Clientes!$B$4:$B$39,Clientes!$C$4:$C$39),Cadastros!$L$6:$L$12,Cadastros!$N$6:$N$12)))</f>
        <v/>
      </c>
      <c r="P609" s="168" t="str">
        <f t="shared" si="119"/>
        <v/>
      </c>
      <c r="Q609" s="168" t="str">
        <f>IFERROR(P609/_xlfn.XLOOKUP(_xlfn.XLOOKUP($F609,Clientes!$B$4:$B$39,Clientes!$C$4:$C$39),Cadastros!$L$6:$L$12,Cadastros!$M$6:$M$12)," ")</f>
        <v xml:space="preserve"> </v>
      </c>
      <c r="R609" s="28"/>
      <c r="S609" s="28"/>
      <c r="T609" s="255" t="str">
        <f>IF(R609="","",(_xlfn.XLOOKUP(R609,Cadastros!$D$6:$D$90,Cadastros!$E$6:$E$90))*(1-_xlfn.XLOOKUP(_xlfn.XLOOKUP($F609,Clientes!$B$4:$B$39,Clientes!$C$4:$C$39),Cadastros!$L$6:$L$12,Cadastros!$N$6:$N$12)))</f>
        <v/>
      </c>
      <c r="U609" s="168" t="str">
        <f t="shared" si="120"/>
        <v/>
      </c>
      <c r="V609" s="168" t="str">
        <f>IFERROR(U609/_xlfn.XLOOKUP(_xlfn.XLOOKUP($F609,Clientes!$B$4:$B$39,Clientes!$C$4:$C$39),Cadastros!$L$6:$L$12,Cadastros!$M$6:$M$12)," ")</f>
        <v xml:space="preserve"> </v>
      </c>
      <c r="W609" s="28"/>
      <c r="X609" s="28"/>
      <c r="Y609" s="255" t="str">
        <f>IF(W609="","",(_xlfn.XLOOKUP(W609,Cadastros!$D$6:$D$90,Cadastros!$E$6:$E$90))*(1-_xlfn.XLOOKUP(_xlfn.XLOOKUP($F609,Clientes!$B$4:$B$39,Clientes!$C$4:$C$39),Cadastros!$L$6:$L$12,Cadastros!$N$6:$N$12)))</f>
        <v/>
      </c>
      <c r="Z609" s="168" t="str">
        <f t="shared" si="121"/>
        <v/>
      </c>
      <c r="AA609" s="168" t="str">
        <f>IFERROR(Z609/_xlfn.XLOOKUP(_xlfn.XLOOKUP($F609,Clientes!$B$4:$B$39,Clientes!$C$4:$C$39),Cadastros!$L$6:$L$12,Cadastros!$M$6:$M$12)," ")</f>
        <v xml:space="preserve"> </v>
      </c>
      <c r="AB609" s="28"/>
      <c r="AC609" s="28"/>
      <c r="AD609" s="20" t="str">
        <f>IF(AB609="","",IF($F609="Bernardino Furlan",_xlfn.XLOOKUP(AB609,Cadastros!$G$6:$G$90,Cadastros!$H$6:$H$90)*(1-0.18),IF($F609="Mauro José Salanti",_xlfn.XLOOKUP(AB609,Cadastros!$G$6:$G$90,Cadastros!$H$6:$H$90)*(1-0.18),_xlfn.XLOOKUP(AB609,Cadastros!$G$6:$G$90,Cadastros!$H$6:$H$90))))</f>
        <v/>
      </c>
      <c r="AE609" s="168" t="str">
        <f t="shared" si="122"/>
        <v/>
      </c>
      <c r="AF609" s="168" t="str">
        <f t="shared" si="123"/>
        <v/>
      </c>
      <c r="AG609" s="28"/>
      <c r="AH609" s="28"/>
      <c r="AI609" s="20" t="str">
        <f>IF(AG609="","",IF($F609="Bernardino Furlan",_xlfn.XLOOKUP(AG609,Cadastros!$G$6:$G$90,Cadastros!$H$6:$H$90)*(1-0.18),IF($F609="Mauro José Salanti",_xlfn.XLOOKUP(AG609,Cadastros!$G$6:$G$90,Cadastros!$H$6:$H$90)*(1-0.18),_xlfn.XLOOKUP(AG609,Cadastros!$G$6:$G$90,Cadastros!$H$6:$H$90))))</f>
        <v/>
      </c>
      <c r="AJ609" s="168" t="str">
        <f t="shared" si="124"/>
        <v/>
      </c>
      <c r="AK609" s="168" t="str">
        <f t="shared" si="125"/>
        <v/>
      </c>
      <c r="AL609" s="28"/>
      <c r="AM609" s="28"/>
      <c r="AN609" s="20" t="str">
        <f>IF(AL609="","",IF($F609="Bernardino Furlan",_xlfn.XLOOKUP(AL609,Cadastros!$G$6:$G$90,Cadastros!$H$6:$H$90)*(1-0.18),IF($F609="Mauro José Salanti",_xlfn.XLOOKUP(AL609,Cadastros!$G$6:$G$90,Cadastros!$H$6:$H$90)*(1-0.18),_xlfn.XLOOKUP(AL609,Cadastros!$G$6:$G$90,Cadastros!$H$6:$H$90))))</f>
        <v/>
      </c>
      <c r="AO609" s="168" t="str">
        <f t="shared" si="126"/>
        <v/>
      </c>
      <c r="AP609" s="168" t="str">
        <f t="shared" si="127"/>
        <v/>
      </c>
      <c r="AQ609" s="28"/>
      <c r="AR609" s="28"/>
      <c r="AS609" s="20" t="str">
        <f>IF(AQ609="","",IF($F609="Bernardino Furlan",_xlfn.XLOOKUP(AQ609,Cadastros!$G$6:$G$90,Cadastros!$H$6:$H$90)*(1-0.18),IF($F609="Mauro José Salanti",_xlfn.XLOOKUP(AQ609,Cadastros!$G$6:$G$90,Cadastros!$H$6:$H$90)*(1-0.18),_xlfn.XLOOKUP(AQ609,Cadastros!$G$6:$G$90,Cadastros!$H$6:$H$90))))</f>
        <v/>
      </c>
      <c r="AT609" s="168" t="str">
        <f t="shared" si="128"/>
        <v/>
      </c>
      <c r="AU609" s="168" t="str">
        <f t="shared" si="129"/>
        <v/>
      </c>
      <c r="AV609" s="227"/>
      <c r="AW609" s="30"/>
      <c r="AX609" s="267"/>
      <c r="AY609" s="267"/>
      <c r="AZ609" s="29"/>
      <c r="BA609" s="30"/>
      <c r="BB609" s="23" t="str" cm="1">
        <f t="array" ref="BB609">_xlfn.IFS(AW609="SIM",SUM(K609,P609,U609,Z609,AE609,AJ609,AO609,AT609,AX609,AY609),F609&lt;&gt;"",SUM(K609,P609,U609,Z609,AE609,AJ609,,AO609,AT609),F609="","")</f>
        <v/>
      </c>
      <c r="BC609" s="211" t="str" cm="1">
        <f t="array" ref="BC609">_xlfn.IFS(E609="","",G609&lt;=E609,BB609*(1-0.03),G609&lt;(E609+8),BB609,AZ609="Boleto",BB609*(1+0.001)^DATEDIF(E609,G609,"D"),AZ609="Cheque",BB609,AZ609="Dinheiro","Alterar forma pgto")</f>
        <v/>
      </c>
      <c r="BD609" s="276" t="str" cm="1">
        <f t="array" ref="BD609">IF(F609=0," ",IF(BC609&lt;BB609,(_xlfn.IFS(AW609="SIM",SUM(L609,Q609,V609,AA609,AF609,AK609,AP609,AU609)+AX609/_xlfn.XLOOKUP(_xlfn.XLOOKUP($F609,Clientes!$B$4:$B$39,Clientes!$C$4:$C$39),Cadastros!$L$6:$L$12,Cadastros!$M$6:$M$12)+IF($F609="Bernardino Furlan",AY609/2751.92,IF($F609="Mauro José Salanti",AY609/2751.92,AY609/3356)),F609&lt;&gt;0,SUM(L609,Q609,V609,AA609,AF609,AK609,AP609,AU609)))*(1-0.03),_xlfn.IFS(AW609="SIM",SUM(L609,Q609,V609,AA609,AF609,AK609,AP609,AU609)+AX609/_xlfn.XLOOKUP(_xlfn.XLOOKUP($F609,Clientes!$B$4:$B$39,Clientes!$C$4:$C$39),Cadastros!$L$6:$L$12,Cadastros!$M$6:$M$12)+IF($F609="Bernardino Furlan",AY609/2751.92,IF($F609="Mauro José Salanti",AY609/2751.92,AY609/3356)),F609&lt;&gt;0,SUM(L609,Q609,V609,AA609,AF609,AK609,AP609,AU609))))</f>
        <v xml:space="preserve"> </v>
      </c>
      <c r="BE609" s="120"/>
      <c r="BF609" s="120"/>
      <c r="BG609" s="120"/>
    </row>
    <row r="610" spans="1:59" s="3" customFormat="1" x14ac:dyDescent="0.3">
      <c r="A610" s="15" t="str">
        <f t="shared" si="117"/>
        <v/>
      </c>
      <c r="B610" s="25"/>
      <c r="C610" s="26"/>
      <c r="D610" s="279"/>
      <c r="E610" s="27"/>
      <c r="F610" s="28"/>
      <c r="G610" s="27"/>
      <c r="H610" s="28"/>
      <c r="I610" s="28"/>
      <c r="J610" s="255" t="str">
        <f>IF(H610="","",(_xlfn.XLOOKUP(H610,Cadastros!$D$6:$D$90,Cadastros!$E$6:$E$90))*(1-_xlfn.XLOOKUP(_xlfn.XLOOKUP($F610,Clientes!$B$4:$B$39,Clientes!$C$4:$C$39),Cadastros!$L$6:$L$12,Cadastros!$N$6:$N$12)))</f>
        <v/>
      </c>
      <c r="K610" s="168" t="str">
        <f t="shared" si="118"/>
        <v/>
      </c>
      <c r="L610" s="168" t="str">
        <f>IFERROR(K610/_xlfn.XLOOKUP(_xlfn.XLOOKUP($F610,Clientes!$B$4:$B$39,Clientes!$C$4:$C$39),Cadastros!$L$6:$L$12,Cadastros!$M$6:$M$12)," ")</f>
        <v xml:space="preserve"> </v>
      </c>
      <c r="M610" s="28"/>
      <c r="N610" s="28"/>
      <c r="O610" s="255" t="str">
        <f>IF(M610="","",(_xlfn.XLOOKUP(M610,Cadastros!$D$6:$D$90,Cadastros!$E$6:$E$90))*(1-_xlfn.XLOOKUP(_xlfn.XLOOKUP($F610,Clientes!$B$4:$B$39,Clientes!$C$4:$C$39),Cadastros!$L$6:$L$12,Cadastros!$N$6:$N$12)))</f>
        <v/>
      </c>
      <c r="P610" s="168" t="str">
        <f t="shared" si="119"/>
        <v/>
      </c>
      <c r="Q610" s="168" t="str">
        <f>IFERROR(P610/_xlfn.XLOOKUP(_xlfn.XLOOKUP($F610,Clientes!$B$4:$B$39,Clientes!$C$4:$C$39),Cadastros!$L$6:$L$12,Cadastros!$M$6:$M$12)," ")</f>
        <v xml:space="preserve"> </v>
      </c>
      <c r="R610" s="28"/>
      <c r="S610" s="28"/>
      <c r="T610" s="255" t="str">
        <f>IF(R610="","",(_xlfn.XLOOKUP(R610,Cadastros!$D$6:$D$90,Cadastros!$E$6:$E$90))*(1-_xlfn.XLOOKUP(_xlfn.XLOOKUP($F610,Clientes!$B$4:$B$39,Clientes!$C$4:$C$39),Cadastros!$L$6:$L$12,Cadastros!$N$6:$N$12)))</f>
        <v/>
      </c>
      <c r="U610" s="168" t="str">
        <f t="shared" si="120"/>
        <v/>
      </c>
      <c r="V610" s="168" t="str">
        <f>IFERROR(U610/_xlfn.XLOOKUP(_xlfn.XLOOKUP($F610,Clientes!$B$4:$B$39,Clientes!$C$4:$C$39),Cadastros!$L$6:$L$12,Cadastros!$M$6:$M$12)," ")</f>
        <v xml:space="preserve"> </v>
      </c>
      <c r="W610" s="28"/>
      <c r="X610" s="28"/>
      <c r="Y610" s="255" t="str">
        <f>IF(W610="","",(_xlfn.XLOOKUP(W610,Cadastros!$D$6:$D$90,Cadastros!$E$6:$E$90))*(1-_xlfn.XLOOKUP(_xlfn.XLOOKUP($F610,Clientes!$B$4:$B$39,Clientes!$C$4:$C$39),Cadastros!$L$6:$L$12,Cadastros!$N$6:$N$12)))</f>
        <v/>
      </c>
      <c r="Z610" s="168" t="str">
        <f t="shared" si="121"/>
        <v/>
      </c>
      <c r="AA610" s="168" t="str">
        <f>IFERROR(Z610/_xlfn.XLOOKUP(_xlfn.XLOOKUP($F610,Clientes!$B$4:$B$39,Clientes!$C$4:$C$39),Cadastros!$L$6:$L$12,Cadastros!$M$6:$M$12)," ")</f>
        <v xml:space="preserve"> </v>
      </c>
      <c r="AB610" s="28"/>
      <c r="AC610" s="28"/>
      <c r="AD610" s="20" t="str">
        <f>IF(AB610="","",IF($F610="Bernardino Furlan",_xlfn.XLOOKUP(AB610,Cadastros!$G$6:$G$90,Cadastros!$H$6:$H$90)*(1-0.18),IF($F610="Mauro José Salanti",_xlfn.XLOOKUP(AB610,Cadastros!$G$6:$G$90,Cadastros!$H$6:$H$90)*(1-0.18),_xlfn.XLOOKUP(AB610,Cadastros!$G$6:$G$90,Cadastros!$H$6:$H$90))))</f>
        <v/>
      </c>
      <c r="AE610" s="168" t="str">
        <f t="shared" si="122"/>
        <v/>
      </c>
      <c r="AF610" s="168" t="str">
        <f t="shared" si="123"/>
        <v/>
      </c>
      <c r="AG610" s="28"/>
      <c r="AH610" s="28"/>
      <c r="AI610" s="20" t="str">
        <f>IF(AG610="","",IF($F610="Bernardino Furlan",_xlfn.XLOOKUP(AG610,Cadastros!$G$6:$G$90,Cadastros!$H$6:$H$90)*(1-0.18),IF($F610="Mauro José Salanti",_xlfn.XLOOKUP(AG610,Cadastros!$G$6:$G$90,Cadastros!$H$6:$H$90)*(1-0.18),_xlfn.XLOOKUP(AG610,Cadastros!$G$6:$G$90,Cadastros!$H$6:$H$90))))</f>
        <v/>
      </c>
      <c r="AJ610" s="168" t="str">
        <f t="shared" si="124"/>
        <v/>
      </c>
      <c r="AK610" s="168" t="str">
        <f t="shared" si="125"/>
        <v/>
      </c>
      <c r="AL610" s="28"/>
      <c r="AM610" s="28"/>
      <c r="AN610" s="20" t="str">
        <f>IF(AL610="","",IF($F610="Bernardino Furlan",_xlfn.XLOOKUP(AL610,Cadastros!$G$6:$G$90,Cadastros!$H$6:$H$90)*(1-0.18),IF($F610="Mauro José Salanti",_xlfn.XLOOKUP(AL610,Cadastros!$G$6:$G$90,Cadastros!$H$6:$H$90)*(1-0.18),_xlfn.XLOOKUP(AL610,Cadastros!$G$6:$G$90,Cadastros!$H$6:$H$90))))</f>
        <v/>
      </c>
      <c r="AO610" s="168" t="str">
        <f t="shared" si="126"/>
        <v/>
      </c>
      <c r="AP610" s="168" t="str">
        <f t="shared" si="127"/>
        <v/>
      </c>
      <c r="AQ610" s="28"/>
      <c r="AR610" s="28"/>
      <c r="AS610" s="20" t="str">
        <f>IF(AQ610="","",IF($F610="Bernardino Furlan",_xlfn.XLOOKUP(AQ610,Cadastros!$G$6:$G$90,Cadastros!$H$6:$H$90)*(1-0.18),IF($F610="Mauro José Salanti",_xlfn.XLOOKUP(AQ610,Cadastros!$G$6:$G$90,Cadastros!$H$6:$H$90)*(1-0.18),_xlfn.XLOOKUP(AQ610,Cadastros!$G$6:$G$90,Cadastros!$H$6:$H$90))))</f>
        <v/>
      </c>
      <c r="AT610" s="168" t="str">
        <f t="shared" si="128"/>
        <v/>
      </c>
      <c r="AU610" s="168" t="str">
        <f t="shared" si="129"/>
        <v/>
      </c>
      <c r="AV610" s="227"/>
      <c r="AW610" s="30"/>
      <c r="AX610" s="267"/>
      <c r="AY610" s="267"/>
      <c r="AZ610" s="29"/>
      <c r="BA610" s="30"/>
      <c r="BB610" s="23" t="str" cm="1">
        <f t="array" ref="BB610">_xlfn.IFS(AW610="SIM",SUM(K610,P610,U610,Z610,AE610,AJ610,AO610,AT610,AX610,AY610),F610&lt;&gt;"",SUM(K610,P610,U610,Z610,AE610,AJ610,,AO610,AT610),F610="","")</f>
        <v/>
      </c>
      <c r="BC610" s="211" t="str" cm="1">
        <f t="array" ref="BC610">_xlfn.IFS(E610="","",G610&lt;=E610,BB610*(1-0.03),G610&lt;(E610+8),BB610,AZ610="Boleto",BB610*(1+0.001)^DATEDIF(E610,G610,"D"),AZ610="Cheque",BB610,AZ610="Dinheiro","Alterar forma pgto")</f>
        <v/>
      </c>
      <c r="BD610" s="276" t="str" cm="1">
        <f t="array" ref="BD610">IF(F610=0," ",IF(BC610&lt;BB610,(_xlfn.IFS(AW610="SIM",SUM(L610,Q610,V610,AA610,AF610,AK610,AP610,AU610)+AX610/_xlfn.XLOOKUP(_xlfn.XLOOKUP($F610,Clientes!$B$4:$B$39,Clientes!$C$4:$C$39),Cadastros!$L$6:$L$12,Cadastros!$M$6:$M$12)+IF($F610="Bernardino Furlan",AY610/2751.92,IF($F610="Mauro José Salanti",AY610/2751.92,AY610/3356)),F610&lt;&gt;0,SUM(L610,Q610,V610,AA610,AF610,AK610,AP610,AU610)))*(1-0.03),_xlfn.IFS(AW610="SIM",SUM(L610,Q610,V610,AA610,AF610,AK610,AP610,AU610)+AX610/_xlfn.XLOOKUP(_xlfn.XLOOKUP($F610,Clientes!$B$4:$B$39,Clientes!$C$4:$C$39),Cadastros!$L$6:$L$12,Cadastros!$M$6:$M$12)+IF($F610="Bernardino Furlan",AY610/2751.92,IF($F610="Mauro José Salanti",AY610/2751.92,AY610/3356)),F610&lt;&gt;0,SUM(L610,Q610,V610,AA610,AF610,AK610,AP610,AU610))))</f>
        <v xml:space="preserve"> </v>
      </c>
      <c r="BE610" s="120"/>
      <c r="BF610" s="120"/>
      <c r="BG610" s="120"/>
    </row>
    <row r="611" spans="1:59" s="3" customFormat="1" x14ac:dyDescent="0.3">
      <c r="A611" s="15" t="str">
        <f t="shared" si="117"/>
        <v/>
      </c>
      <c r="B611" s="25"/>
      <c r="C611" s="26"/>
      <c r="D611" s="279"/>
      <c r="E611" s="27"/>
      <c r="F611" s="28"/>
      <c r="G611" s="27"/>
      <c r="H611" s="28"/>
      <c r="I611" s="28"/>
      <c r="J611" s="255" t="str">
        <f>IF(H611="","",(_xlfn.XLOOKUP(H611,Cadastros!$D$6:$D$90,Cadastros!$E$6:$E$90))*(1-_xlfn.XLOOKUP(_xlfn.XLOOKUP($F611,Clientes!$B$4:$B$39,Clientes!$C$4:$C$39),Cadastros!$L$6:$L$12,Cadastros!$N$6:$N$12)))</f>
        <v/>
      </c>
      <c r="K611" s="168" t="str">
        <f t="shared" si="118"/>
        <v/>
      </c>
      <c r="L611" s="168" t="str">
        <f>IFERROR(K611/_xlfn.XLOOKUP(_xlfn.XLOOKUP($F611,Clientes!$B$4:$B$39,Clientes!$C$4:$C$39),Cadastros!$L$6:$L$12,Cadastros!$M$6:$M$12)," ")</f>
        <v xml:space="preserve"> </v>
      </c>
      <c r="M611" s="28"/>
      <c r="N611" s="28"/>
      <c r="O611" s="255" t="str">
        <f>IF(M611="","",(_xlfn.XLOOKUP(M611,Cadastros!$D$6:$D$90,Cadastros!$E$6:$E$90))*(1-_xlfn.XLOOKUP(_xlfn.XLOOKUP($F611,Clientes!$B$4:$B$39,Clientes!$C$4:$C$39),Cadastros!$L$6:$L$12,Cadastros!$N$6:$N$12)))</f>
        <v/>
      </c>
      <c r="P611" s="168" t="str">
        <f t="shared" si="119"/>
        <v/>
      </c>
      <c r="Q611" s="168" t="str">
        <f>IFERROR(P611/_xlfn.XLOOKUP(_xlfn.XLOOKUP($F611,Clientes!$B$4:$B$39,Clientes!$C$4:$C$39),Cadastros!$L$6:$L$12,Cadastros!$M$6:$M$12)," ")</f>
        <v xml:space="preserve"> </v>
      </c>
      <c r="R611" s="28"/>
      <c r="S611" s="28"/>
      <c r="T611" s="255" t="str">
        <f>IF(R611="","",(_xlfn.XLOOKUP(R611,Cadastros!$D$6:$D$90,Cadastros!$E$6:$E$90))*(1-_xlfn.XLOOKUP(_xlfn.XLOOKUP($F611,Clientes!$B$4:$B$39,Clientes!$C$4:$C$39),Cadastros!$L$6:$L$12,Cadastros!$N$6:$N$12)))</f>
        <v/>
      </c>
      <c r="U611" s="168" t="str">
        <f t="shared" si="120"/>
        <v/>
      </c>
      <c r="V611" s="168" t="str">
        <f>IFERROR(U611/_xlfn.XLOOKUP(_xlfn.XLOOKUP($F611,Clientes!$B$4:$B$39,Clientes!$C$4:$C$39),Cadastros!$L$6:$L$12,Cadastros!$M$6:$M$12)," ")</f>
        <v xml:space="preserve"> </v>
      </c>
      <c r="W611" s="28"/>
      <c r="X611" s="28"/>
      <c r="Y611" s="255" t="str">
        <f>IF(W611="","",(_xlfn.XLOOKUP(W611,Cadastros!$D$6:$D$90,Cadastros!$E$6:$E$90))*(1-_xlfn.XLOOKUP(_xlfn.XLOOKUP($F611,Clientes!$B$4:$B$39,Clientes!$C$4:$C$39),Cadastros!$L$6:$L$12,Cadastros!$N$6:$N$12)))</f>
        <v/>
      </c>
      <c r="Z611" s="168" t="str">
        <f t="shared" si="121"/>
        <v/>
      </c>
      <c r="AA611" s="168" t="str">
        <f>IFERROR(Z611/_xlfn.XLOOKUP(_xlfn.XLOOKUP($F611,Clientes!$B$4:$B$39,Clientes!$C$4:$C$39),Cadastros!$L$6:$L$12,Cadastros!$M$6:$M$12)," ")</f>
        <v xml:space="preserve"> </v>
      </c>
      <c r="AB611" s="28"/>
      <c r="AC611" s="28"/>
      <c r="AD611" s="20" t="str">
        <f>IF(AB611="","",IF($F611="Bernardino Furlan",_xlfn.XLOOKUP(AB611,Cadastros!$G$6:$G$90,Cadastros!$H$6:$H$90)*(1-0.18),IF($F611="Mauro José Salanti",_xlfn.XLOOKUP(AB611,Cadastros!$G$6:$G$90,Cadastros!$H$6:$H$90)*(1-0.18),_xlfn.XLOOKUP(AB611,Cadastros!$G$6:$G$90,Cadastros!$H$6:$H$90))))</f>
        <v/>
      </c>
      <c r="AE611" s="168" t="str">
        <f t="shared" si="122"/>
        <v/>
      </c>
      <c r="AF611" s="168" t="str">
        <f t="shared" si="123"/>
        <v/>
      </c>
      <c r="AG611" s="28"/>
      <c r="AH611" s="28"/>
      <c r="AI611" s="20" t="str">
        <f>IF(AG611="","",IF($F611="Bernardino Furlan",_xlfn.XLOOKUP(AG611,Cadastros!$G$6:$G$90,Cadastros!$H$6:$H$90)*(1-0.18),IF($F611="Mauro José Salanti",_xlfn.XLOOKUP(AG611,Cadastros!$G$6:$G$90,Cadastros!$H$6:$H$90)*(1-0.18),_xlfn.XLOOKUP(AG611,Cadastros!$G$6:$G$90,Cadastros!$H$6:$H$90))))</f>
        <v/>
      </c>
      <c r="AJ611" s="168" t="str">
        <f t="shared" si="124"/>
        <v/>
      </c>
      <c r="AK611" s="168" t="str">
        <f t="shared" si="125"/>
        <v/>
      </c>
      <c r="AL611" s="28"/>
      <c r="AM611" s="28"/>
      <c r="AN611" s="20" t="str">
        <f>IF(AL611="","",IF($F611="Bernardino Furlan",_xlfn.XLOOKUP(AL611,Cadastros!$G$6:$G$90,Cadastros!$H$6:$H$90)*(1-0.18),IF($F611="Mauro José Salanti",_xlfn.XLOOKUP(AL611,Cadastros!$G$6:$G$90,Cadastros!$H$6:$H$90)*(1-0.18),_xlfn.XLOOKUP(AL611,Cadastros!$G$6:$G$90,Cadastros!$H$6:$H$90))))</f>
        <v/>
      </c>
      <c r="AO611" s="168" t="str">
        <f t="shared" si="126"/>
        <v/>
      </c>
      <c r="AP611" s="168" t="str">
        <f t="shared" si="127"/>
        <v/>
      </c>
      <c r="AQ611" s="28"/>
      <c r="AR611" s="28"/>
      <c r="AS611" s="20" t="str">
        <f>IF(AQ611="","",IF($F611="Bernardino Furlan",_xlfn.XLOOKUP(AQ611,Cadastros!$G$6:$G$90,Cadastros!$H$6:$H$90)*(1-0.18),IF($F611="Mauro José Salanti",_xlfn.XLOOKUP(AQ611,Cadastros!$G$6:$G$90,Cadastros!$H$6:$H$90)*(1-0.18),_xlfn.XLOOKUP(AQ611,Cadastros!$G$6:$G$90,Cadastros!$H$6:$H$90))))</f>
        <v/>
      </c>
      <c r="AT611" s="168" t="str">
        <f t="shared" si="128"/>
        <v/>
      </c>
      <c r="AU611" s="168" t="str">
        <f t="shared" si="129"/>
        <v/>
      </c>
      <c r="AV611" s="227"/>
      <c r="AW611" s="30"/>
      <c r="AX611" s="267"/>
      <c r="AY611" s="267"/>
      <c r="AZ611" s="29"/>
      <c r="BA611" s="30"/>
      <c r="BB611" s="23" t="str" cm="1">
        <f t="array" ref="BB611">_xlfn.IFS(AW611="SIM",SUM(K611,P611,U611,Z611,AE611,AJ611,AO611,AT611,AX611,AY611),F611&lt;&gt;"",SUM(K611,P611,U611,Z611,AE611,AJ611,,AO611,AT611),F611="","")</f>
        <v/>
      </c>
      <c r="BC611" s="211" t="str" cm="1">
        <f t="array" ref="BC611">_xlfn.IFS(E611="","",G611&lt;=E611,BB611*(1-0.03),G611&lt;(E611+8),BB611,AZ611="Boleto",BB611*(1+0.001)^DATEDIF(E611,G611,"D"),AZ611="Cheque",BB611,AZ611="Dinheiro","Alterar forma pgto")</f>
        <v/>
      </c>
      <c r="BD611" s="276" t="str" cm="1">
        <f t="array" ref="BD611">IF(F611=0," ",IF(BC611&lt;BB611,(_xlfn.IFS(AW611="SIM",SUM(L611,Q611,V611,AA611,AF611,AK611,AP611,AU611)+AX611/_xlfn.XLOOKUP(_xlfn.XLOOKUP($F611,Clientes!$B$4:$B$39,Clientes!$C$4:$C$39),Cadastros!$L$6:$L$12,Cadastros!$M$6:$M$12)+IF($F611="Bernardino Furlan",AY611/2751.92,IF($F611="Mauro José Salanti",AY611/2751.92,AY611/3356)),F611&lt;&gt;0,SUM(L611,Q611,V611,AA611,AF611,AK611,AP611,AU611)))*(1-0.03),_xlfn.IFS(AW611="SIM",SUM(L611,Q611,V611,AA611,AF611,AK611,AP611,AU611)+AX611/_xlfn.XLOOKUP(_xlfn.XLOOKUP($F611,Clientes!$B$4:$B$39,Clientes!$C$4:$C$39),Cadastros!$L$6:$L$12,Cadastros!$M$6:$M$12)+IF($F611="Bernardino Furlan",AY611/2751.92,IF($F611="Mauro José Salanti",AY611/2751.92,AY611/3356)),F611&lt;&gt;0,SUM(L611,Q611,V611,AA611,AF611,AK611,AP611,AU611))))</f>
        <v xml:space="preserve"> </v>
      </c>
      <c r="BE611" s="120"/>
      <c r="BF611" s="120"/>
      <c r="BG611" s="120"/>
    </row>
    <row r="612" spans="1:59" s="3" customFormat="1" x14ac:dyDescent="0.3">
      <c r="A612" s="15" t="str">
        <f t="shared" si="117"/>
        <v/>
      </c>
      <c r="B612" s="25"/>
      <c r="C612" s="26"/>
      <c r="D612" s="279"/>
      <c r="E612" s="27"/>
      <c r="F612" s="28"/>
      <c r="G612" s="27"/>
      <c r="H612" s="28"/>
      <c r="I612" s="28"/>
      <c r="J612" s="255" t="str">
        <f>IF(H612="","",(_xlfn.XLOOKUP(H612,Cadastros!$D$6:$D$90,Cadastros!$E$6:$E$90))*(1-_xlfn.XLOOKUP(_xlfn.XLOOKUP($F612,Clientes!$B$4:$B$39,Clientes!$C$4:$C$39),Cadastros!$L$6:$L$12,Cadastros!$N$6:$N$12)))</f>
        <v/>
      </c>
      <c r="K612" s="168" t="str">
        <f t="shared" si="118"/>
        <v/>
      </c>
      <c r="L612" s="168" t="str">
        <f>IFERROR(K612/_xlfn.XLOOKUP(_xlfn.XLOOKUP($F612,Clientes!$B$4:$B$39,Clientes!$C$4:$C$39),Cadastros!$L$6:$L$12,Cadastros!$M$6:$M$12)," ")</f>
        <v xml:space="preserve"> </v>
      </c>
      <c r="M612" s="28"/>
      <c r="N612" s="28"/>
      <c r="O612" s="255" t="str">
        <f>IF(M612="","",(_xlfn.XLOOKUP(M612,Cadastros!$D$6:$D$90,Cadastros!$E$6:$E$90))*(1-_xlfn.XLOOKUP(_xlfn.XLOOKUP($F612,Clientes!$B$4:$B$39,Clientes!$C$4:$C$39),Cadastros!$L$6:$L$12,Cadastros!$N$6:$N$12)))</f>
        <v/>
      </c>
      <c r="P612" s="168" t="str">
        <f t="shared" si="119"/>
        <v/>
      </c>
      <c r="Q612" s="168" t="str">
        <f>IFERROR(P612/_xlfn.XLOOKUP(_xlfn.XLOOKUP($F612,Clientes!$B$4:$B$39,Clientes!$C$4:$C$39),Cadastros!$L$6:$L$12,Cadastros!$M$6:$M$12)," ")</f>
        <v xml:space="preserve"> </v>
      </c>
      <c r="R612" s="28"/>
      <c r="S612" s="28"/>
      <c r="T612" s="255" t="str">
        <f>IF(R612="","",(_xlfn.XLOOKUP(R612,Cadastros!$D$6:$D$90,Cadastros!$E$6:$E$90))*(1-_xlfn.XLOOKUP(_xlfn.XLOOKUP($F612,Clientes!$B$4:$B$39,Clientes!$C$4:$C$39),Cadastros!$L$6:$L$12,Cadastros!$N$6:$N$12)))</f>
        <v/>
      </c>
      <c r="U612" s="168" t="str">
        <f t="shared" si="120"/>
        <v/>
      </c>
      <c r="V612" s="168" t="str">
        <f>IFERROR(U612/_xlfn.XLOOKUP(_xlfn.XLOOKUP($F612,Clientes!$B$4:$B$39,Clientes!$C$4:$C$39),Cadastros!$L$6:$L$12,Cadastros!$M$6:$M$12)," ")</f>
        <v xml:space="preserve"> </v>
      </c>
      <c r="W612" s="28"/>
      <c r="X612" s="28"/>
      <c r="Y612" s="255" t="str">
        <f>IF(W612="","",(_xlfn.XLOOKUP(W612,Cadastros!$D$6:$D$90,Cadastros!$E$6:$E$90))*(1-_xlfn.XLOOKUP(_xlfn.XLOOKUP($F612,Clientes!$B$4:$B$39,Clientes!$C$4:$C$39),Cadastros!$L$6:$L$12,Cadastros!$N$6:$N$12)))</f>
        <v/>
      </c>
      <c r="Z612" s="168" t="str">
        <f t="shared" si="121"/>
        <v/>
      </c>
      <c r="AA612" s="168" t="str">
        <f>IFERROR(Z612/_xlfn.XLOOKUP(_xlfn.XLOOKUP($F612,Clientes!$B$4:$B$39,Clientes!$C$4:$C$39),Cadastros!$L$6:$L$12,Cadastros!$M$6:$M$12)," ")</f>
        <v xml:space="preserve"> </v>
      </c>
      <c r="AB612" s="28"/>
      <c r="AC612" s="28"/>
      <c r="AD612" s="20" t="str">
        <f>IF(AB612="","",IF($F612="Bernardino Furlan",_xlfn.XLOOKUP(AB612,Cadastros!$G$6:$G$90,Cadastros!$H$6:$H$90)*(1-0.18),IF($F612="Mauro José Salanti",_xlfn.XLOOKUP(AB612,Cadastros!$G$6:$G$90,Cadastros!$H$6:$H$90)*(1-0.18),_xlfn.XLOOKUP(AB612,Cadastros!$G$6:$G$90,Cadastros!$H$6:$H$90))))</f>
        <v/>
      </c>
      <c r="AE612" s="168" t="str">
        <f t="shared" si="122"/>
        <v/>
      </c>
      <c r="AF612" s="168" t="str">
        <f t="shared" si="123"/>
        <v/>
      </c>
      <c r="AG612" s="28"/>
      <c r="AH612" s="28"/>
      <c r="AI612" s="20" t="str">
        <f>IF(AG612="","",IF($F612="Bernardino Furlan",_xlfn.XLOOKUP(AG612,Cadastros!$G$6:$G$90,Cadastros!$H$6:$H$90)*(1-0.18),IF($F612="Mauro José Salanti",_xlfn.XLOOKUP(AG612,Cadastros!$G$6:$G$90,Cadastros!$H$6:$H$90)*(1-0.18),_xlfn.XLOOKUP(AG612,Cadastros!$G$6:$G$90,Cadastros!$H$6:$H$90))))</f>
        <v/>
      </c>
      <c r="AJ612" s="168" t="str">
        <f t="shared" si="124"/>
        <v/>
      </c>
      <c r="AK612" s="168" t="str">
        <f t="shared" si="125"/>
        <v/>
      </c>
      <c r="AL612" s="28"/>
      <c r="AM612" s="28"/>
      <c r="AN612" s="20" t="str">
        <f>IF(AL612="","",IF($F612="Bernardino Furlan",_xlfn.XLOOKUP(AL612,Cadastros!$G$6:$G$90,Cadastros!$H$6:$H$90)*(1-0.18),IF($F612="Mauro José Salanti",_xlfn.XLOOKUP(AL612,Cadastros!$G$6:$G$90,Cadastros!$H$6:$H$90)*(1-0.18),_xlfn.XLOOKUP(AL612,Cadastros!$G$6:$G$90,Cadastros!$H$6:$H$90))))</f>
        <v/>
      </c>
      <c r="AO612" s="168" t="str">
        <f t="shared" si="126"/>
        <v/>
      </c>
      <c r="AP612" s="168" t="str">
        <f t="shared" si="127"/>
        <v/>
      </c>
      <c r="AQ612" s="28"/>
      <c r="AR612" s="28"/>
      <c r="AS612" s="20" t="str">
        <f>IF(AQ612="","",IF($F612="Bernardino Furlan",_xlfn.XLOOKUP(AQ612,Cadastros!$G$6:$G$90,Cadastros!$H$6:$H$90)*(1-0.18),IF($F612="Mauro José Salanti",_xlfn.XLOOKUP(AQ612,Cadastros!$G$6:$G$90,Cadastros!$H$6:$H$90)*(1-0.18),_xlfn.XLOOKUP(AQ612,Cadastros!$G$6:$G$90,Cadastros!$H$6:$H$90))))</f>
        <v/>
      </c>
      <c r="AT612" s="168" t="str">
        <f t="shared" si="128"/>
        <v/>
      </c>
      <c r="AU612" s="168" t="str">
        <f t="shared" si="129"/>
        <v/>
      </c>
      <c r="AV612" s="227"/>
      <c r="AW612" s="30"/>
      <c r="AX612" s="267"/>
      <c r="AY612" s="267"/>
      <c r="AZ612" s="29"/>
      <c r="BA612" s="30"/>
      <c r="BB612" s="23" t="str" cm="1">
        <f t="array" ref="BB612">_xlfn.IFS(AW612="SIM",SUM(K612,P612,U612,Z612,AE612,AJ612,AO612,AT612,AX612,AY612),F612&lt;&gt;"",SUM(K612,P612,U612,Z612,AE612,AJ612,,AO612,AT612),F612="","")</f>
        <v/>
      </c>
      <c r="BC612" s="211" t="str" cm="1">
        <f t="array" ref="BC612">_xlfn.IFS(E612="","",G612&lt;=E612,BB612*(1-0.03),G612&lt;(E612+8),BB612,AZ612="Boleto",BB612*(1+0.001)^DATEDIF(E612,G612,"D"),AZ612="Cheque",BB612,AZ612="Dinheiro","Alterar forma pgto")</f>
        <v/>
      </c>
      <c r="BD612" s="276" t="str" cm="1">
        <f t="array" ref="BD612">IF(F612=0," ",IF(BC612&lt;BB612,(_xlfn.IFS(AW612="SIM",SUM(L612,Q612,V612,AA612,AF612,AK612,AP612,AU612)+AX612/_xlfn.XLOOKUP(_xlfn.XLOOKUP($F612,Clientes!$B$4:$B$39,Clientes!$C$4:$C$39),Cadastros!$L$6:$L$12,Cadastros!$M$6:$M$12)+IF($F612="Bernardino Furlan",AY612/2751.92,IF($F612="Mauro José Salanti",AY612/2751.92,AY612/3356)),F612&lt;&gt;0,SUM(L612,Q612,V612,AA612,AF612,AK612,AP612,AU612)))*(1-0.03),_xlfn.IFS(AW612="SIM",SUM(L612,Q612,V612,AA612,AF612,AK612,AP612,AU612)+AX612/_xlfn.XLOOKUP(_xlfn.XLOOKUP($F612,Clientes!$B$4:$B$39,Clientes!$C$4:$C$39),Cadastros!$L$6:$L$12,Cadastros!$M$6:$M$12)+IF($F612="Bernardino Furlan",AY612/2751.92,IF($F612="Mauro José Salanti",AY612/2751.92,AY612/3356)),F612&lt;&gt;0,SUM(L612,Q612,V612,AA612,AF612,AK612,AP612,AU612))))</f>
        <v xml:space="preserve"> </v>
      </c>
      <c r="BE612" s="120"/>
      <c r="BF612" s="120"/>
      <c r="BG612" s="120"/>
    </row>
    <row r="613" spans="1:59" s="3" customFormat="1" x14ac:dyDescent="0.3">
      <c r="A613" s="15" t="str">
        <f t="shared" si="117"/>
        <v/>
      </c>
      <c r="B613" s="25"/>
      <c r="C613" s="26"/>
      <c r="D613" s="279"/>
      <c r="E613" s="27"/>
      <c r="F613" s="28"/>
      <c r="G613" s="27"/>
      <c r="H613" s="28"/>
      <c r="I613" s="28"/>
      <c r="J613" s="255" t="str">
        <f>IF(H613="","",(_xlfn.XLOOKUP(H613,Cadastros!$D$6:$D$90,Cadastros!$E$6:$E$90))*(1-_xlfn.XLOOKUP(_xlfn.XLOOKUP($F613,Clientes!$B$4:$B$39,Clientes!$C$4:$C$39),Cadastros!$L$6:$L$12,Cadastros!$N$6:$N$12)))</f>
        <v/>
      </c>
      <c r="K613" s="168" t="str">
        <f t="shared" si="118"/>
        <v/>
      </c>
      <c r="L613" s="168" t="str">
        <f>IFERROR(K613/_xlfn.XLOOKUP(_xlfn.XLOOKUP($F613,Clientes!$B$4:$B$39,Clientes!$C$4:$C$39),Cadastros!$L$6:$L$12,Cadastros!$M$6:$M$12)," ")</f>
        <v xml:space="preserve"> </v>
      </c>
      <c r="M613" s="28"/>
      <c r="N613" s="28"/>
      <c r="O613" s="255" t="str">
        <f>IF(M613="","",(_xlfn.XLOOKUP(M613,Cadastros!$D$6:$D$90,Cadastros!$E$6:$E$90))*(1-_xlfn.XLOOKUP(_xlfn.XLOOKUP($F613,Clientes!$B$4:$B$39,Clientes!$C$4:$C$39),Cadastros!$L$6:$L$12,Cadastros!$N$6:$N$12)))</f>
        <v/>
      </c>
      <c r="P613" s="168" t="str">
        <f t="shared" si="119"/>
        <v/>
      </c>
      <c r="Q613" s="168" t="str">
        <f>IFERROR(P613/_xlfn.XLOOKUP(_xlfn.XLOOKUP($F613,Clientes!$B$4:$B$39,Clientes!$C$4:$C$39),Cadastros!$L$6:$L$12,Cadastros!$M$6:$M$12)," ")</f>
        <v xml:space="preserve"> </v>
      </c>
      <c r="R613" s="28"/>
      <c r="S613" s="28"/>
      <c r="T613" s="255" t="str">
        <f>IF(R613="","",(_xlfn.XLOOKUP(R613,Cadastros!$D$6:$D$90,Cadastros!$E$6:$E$90))*(1-_xlfn.XLOOKUP(_xlfn.XLOOKUP($F613,Clientes!$B$4:$B$39,Clientes!$C$4:$C$39),Cadastros!$L$6:$L$12,Cadastros!$N$6:$N$12)))</f>
        <v/>
      </c>
      <c r="U613" s="168" t="str">
        <f t="shared" si="120"/>
        <v/>
      </c>
      <c r="V613" s="168" t="str">
        <f>IFERROR(U613/_xlfn.XLOOKUP(_xlfn.XLOOKUP($F613,Clientes!$B$4:$B$39,Clientes!$C$4:$C$39),Cadastros!$L$6:$L$12,Cadastros!$M$6:$M$12)," ")</f>
        <v xml:space="preserve"> </v>
      </c>
      <c r="W613" s="28"/>
      <c r="X613" s="28"/>
      <c r="Y613" s="255" t="str">
        <f>IF(W613="","",(_xlfn.XLOOKUP(W613,Cadastros!$D$6:$D$90,Cadastros!$E$6:$E$90))*(1-_xlfn.XLOOKUP(_xlfn.XLOOKUP($F613,Clientes!$B$4:$B$39,Clientes!$C$4:$C$39),Cadastros!$L$6:$L$12,Cadastros!$N$6:$N$12)))</f>
        <v/>
      </c>
      <c r="Z613" s="168" t="str">
        <f t="shared" si="121"/>
        <v/>
      </c>
      <c r="AA613" s="168" t="str">
        <f>IFERROR(Z613/_xlfn.XLOOKUP(_xlfn.XLOOKUP($F613,Clientes!$B$4:$B$39,Clientes!$C$4:$C$39),Cadastros!$L$6:$L$12,Cadastros!$M$6:$M$12)," ")</f>
        <v xml:space="preserve"> </v>
      </c>
      <c r="AB613" s="28"/>
      <c r="AC613" s="28"/>
      <c r="AD613" s="20" t="str">
        <f>IF(AB613="","",IF($F613="Bernardino Furlan",_xlfn.XLOOKUP(AB613,Cadastros!$G$6:$G$90,Cadastros!$H$6:$H$90)*(1-0.18),IF($F613="Mauro José Salanti",_xlfn.XLOOKUP(AB613,Cadastros!$G$6:$G$90,Cadastros!$H$6:$H$90)*(1-0.18),_xlfn.XLOOKUP(AB613,Cadastros!$G$6:$G$90,Cadastros!$H$6:$H$90))))</f>
        <v/>
      </c>
      <c r="AE613" s="168" t="str">
        <f t="shared" si="122"/>
        <v/>
      </c>
      <c r="AF613" s="168" t="str">
        <f t="shared" si="123"/>
        <v/>
      </c>
      <c r="AG613" s="28"/>
      <c r="AH613" s="28"/>
      <c r="AI613" s="20" t="str">
        <f>IF(AG613="","",IF($F613="Bernardino Furlan",_xlfn.XLOOKUP(AG613,Cadastros!$G$6:$G$90,Cadastros!$H$6:$H$90)*(1-0.18),IF($F613="Mauro José Salanti",_xlfn.XLOOKUP(AG613,Cadastros!$G$6:$G$90,Cadastros!$H$6:$H$90)*(1-0.18),_xlfn.XLOOKUP(AG613,Cadastros!$G$6:$G$90,Cadastros!$H$6:$H$90))))</f>
        <v/>
      </c>
      <c r="AJ613" s="168" t="str">
        <f t="shared" si="124"/>
        <v/>
      </c>
      <c r="AK613" s="168" t="str">
        <f t="shared" si="125"/>
        <v/>
      </c>
      <c r="AL613" s="28"/>
      <c r="AM613" s="28"/>
      <c r="AN613" s="20" t="str">
        <f>IF(AL613="","",IF($F613="Bernardino Furlan",_xlfn.XLOOKUP(AL613,Cadastros!$G$6:$G$90,Cadastros!$H$6:$H$90)*(1-0.18),IF($F613="Mauro José Salanti",_xlfn.XLOOKUP(AL613,Cadastros!$G$6:$G$90,Cadastros!$H$6:$H$90)*(1-0.18),_xlfn.XLOOKUP(AL613,Cadastros!$G$6:$G$90,Cadastros!$H$6:$H$90))))</f>
        <v/>
      </c>
      <c r="AO613" s="168" t="str">
        <f t="shared" si="126"/>
        <v/>
      </c>
      <c r="AP613" s="168" t="str">
        <f t="shared" si="127"/>
        <v/>
      </c>
      <c r="AQ613" s="28"/>
      <c r="AR613" s="28"/>
      <c r="AS613" s="20" t="str">
        <f>IF(AQ613="","",IF($F613="Bernardino Furlan",_xlfn.XLOOKUP(AQ613,Cadastros!$G$6:$G$90,Cadastros!$H$6:$H$90)*(1-0.18),IF($F613="Mauro José Salanti",_xlfn.XLOOKUP(AQ613,Cadastros!$G$6:$G$90,Cadastros!$H$6:$H$90)*(1-0.18),_xlfn.XLOOKUP(AQ613,Cadastros!$G$6:$G$90,Cadastros!$H$6:$H$90))))</f>
        <v/>
      </c>
      <c r="AT613" s="168" t="str">
        <f t="shared" si="128"/>
        <v/>
      </c>
      <c r="AU613" s="168" t="str">
        <f t="shared" si="129"/>
        <v/>
      </c>
      <c r="AV613" s="227"/>
      <c r="AW613" s="30"/>
      <c r="AX613" s="267"/>
      <c r="AY613" s="267"/>
      <c r="AZ613" s="29"/>
      <c r="BA613" s="30"/>
      <c r="BB613" s="23" t="str" cm="1">
        <f t="array" ref="BB613">_xlfn.IFS(AW613="SIM",SUM(K613,P613,U613,Z613,AE613,AJ613,AO613,AT613,AX613,AY613),F613&lt;&gt;"",SUM(K613,P613,U613,Z613,AE613,AJ613,,AO613,AT613),F613="","")</f>
        <v/>
      </c>
      <c r="BC613" s="211" t="str" cm="1">
        <f t="array" ref="BC613">_xlfn.IFS(E613="","",G613&lt;=E613,BB613*(1-0.03),G613&lt;(E613+8),BB613,AZ613="Boleto",BB613*(1+0.001)^DATEDIF(E613,G613,"D"),AZ613="Cheque",BB613,AZ613="Dinheiro","Alterar forma pgto")</f>
        <v/>
      </c>
      <c r="BD613" s="276" t="str" cm="1">
        <f t="array" ref="BD613">IF(F613=0," ",IF(BC613&lt;BB613,(_xlfn.IFS(AW613="SIM",SUM(L613,Q613,V613,AA613,AF613,AK613,AP613,AU613)+AX613/_xlfn.XLOOKUP(_xlfn.XLOOKUP($F613,Clientes!$B$4:$B$39,Clientes!$C$4:$C$39),Cadastros!$L$6:$L$12,Cadastros!$M$6:$M$12)+IF($F613="Bernardino Furlan",AY613/2751.92,IF($F613="Mauro José Salanti",AY613/2751.92,AY613/3356)),F613&lt;&gt;0,SUM(L613,Q613,V613,AA613,AF613,AK613,AP613,AU613)))*(1-0.03),_xlfn.IFS(AW613="SIM",SUM(L613,Q613,V613,AA613,AF613,AK613,AP613,AU613)+AX613/_xlfn.XLOOKUP(_xlfn.XLOOKUP($F613,Clientes!$B$4:$B$39,Clientes!$C$4:$C$39),Cadastros!$L$6:$L$12,Cadastros!$M$6:$M$12)+IF($F613="Bernardino Furlan",AY613/2751.92,IF($F613="Mauro José Salanti",AY613/2751.92,AY613/3356)),F613&lt;&gt;0,SUM(L613,Q613,V613,AA613,AF613,AK613,AP613,AU613))))</f>
        <v xml:space="preserve"> </v>
      </c>
      <c r="BE613" s="120"/>
      <c r="BF613" s="120"/>
      <c r="BG613" s="120"/>
    </row>
    <row r="614" spans="1:59" s="3" customFormat="1" x14ac:dyDescent="0.3">
      <c r="A614" s="15" t="str">
        <f t="shared" si="117"/>
        <v/>
      </c>
      <c r="B614" s="25"/>
      <c r="C614" s="26"/>
      <c r="D614" s="279"/>
      <c r="E614" s="27"/>
      <c r="F614" s="28"/>
      <c r="G614" s="27"/>
      <c r="H614" s="28"/>
      <c r="I614" s="28"/>
      <c r="J614" s="255" t="str">
        <f>IF(H614="","",(_xlfn.XLOOKUP(H614,Cadastros!$D$6:$D$90,Cadastros!$E$6:$E$90))*(1-_xlfn.XLOOKUP(_xlfn.XLOOKUP($F614,Clientes!$B$4:$B$39,Clientes!$C$4:$C$39),Cadastros!$L$6:$L$12,Cadastros!$N$6:$N$12)))</f>
        <v/>
      </c>
      <c r="K614" s="168" t="str">
        <f t="shared" si="118"/>
        <v/>
      </c>
      <c r="L614" s="168" t="str">
        <f>IFERROR(K614/_xlfn.XLOOKUP(_xlfn.XLOOKUP($F614,Clientes!$B$4:$B$39,Clientes!$C$4:$C$39),Cadastros!$L$6:$L$12,Cadastros!$M$6:$M$12)," ")</f>
        <v xml:space="preserve"> </v>
      </c>
      <c r="M614" s="28"/>
      <c r="N614" s="28"/>
      <c r="O614" s="255" t="str">
        <f>IF(M614="","",(_xlfn.XLOOKUP(M614,Cadastros!$D$6:$D$90,Cadastros!$E$6:$E$90))*(1-_xlfn.XLOOKUP(_xlfn.XLOOKUP($F614,Clientes!$B$4:$B$39,Clientes!$C$4:$C$39),Cadastros!$L$6:$L$12,Cadastros!$N$6:$N$12)))</f>
        <v/>
      </c>
      <c r="P614" s="168" t="str">
        <f t="shared" si="119"/>
        <v/>
      </c>
      <c r="Q614" s="168" t="str">
        <f>IFERROR(P614/_xlfn.XLOOKUP(_xlfn.XLOOKUP($F614,Clientes!$B$4:$B$39,Clientes!$C$4:$C$39),Cadastros!$L$6:$L$12,Cadastros!$M$6:$M$12)," ")</f>
        <v xml:space="preserve"> </v>
      </c>
      <c r="R614" s="28"/>
      <c r="S614" s="28"/>
      <c r="T614" s="255" t="str">
        <f>IF(R614="","",(_xlfn.XLOOKUP(R614,Cadastros!$D$6:$D$90,Cadastros!$E$6:$E$90))*(1-_xlfn.XLOOKUP(_xlfn.XLOOKUP($F614,Clientes!$B$4:$B$39,Clientes!$C$4:$C$39),Cadastros!$L$6:$L$12,Cadastros!$N$6:$N$12)))</f>
        <v/>
      </c>
      <c r="U614" s="168" t="str">
        <f t="shared" si="120"/>
        <v/>
      </c>
      <c r="V614" s="168" t="str">
        <f>IFERROR(U614/_xlfn.XLOOKUP(_xlfn.XLOOKUP($F614,Clientes!$B$4:$B$39,Clientes!$C$4:$C$39),Cadastros!$L$6:$L$12,Cadastros!$M$6:$M$12)," ")</f>
        <v xml:space="preserve"> </v>
      </c>
      <c r="W614" s="28"/>
      <c r="X614" s="28"/>
      <c r="Y614" s="255" t="str">
        <f>IF(W614="","",(_xlfn.XLOOKUP(W614,Cadastros!$D$6:$D$90,Cadastros!$E$6:$E$90))*(1-_xlfn.XLOOKUP(_xlfn.XLOOKUP($F614,Clientes!$B$4:$B$39,Clientes!$C$4:$C$39),Cadastros!$L$6:$L$12,Cadastros!$N$6:$N$12)))</f>
        <v/>
      </c>
      <c r="Z614" s="168" t="str">
        <f t="shared" si="121"/>
        <v/>
      </c>
      <c r="AA614" s="168" t="str">
        <f>IFERROR(Z614/_xlfn.XLOOKUP(_xlfn.XLOOKUP($F614,Clientes!$B$4:$B$39,Clientes!$C$4:$C$39),Cadastros!$L$6:$L$12,Cadastros!$M$6:$M$12)," ")</f>
        <v xml:space="preserve"> </v>
      </c>
      <c r="AB614" s="28"/>
      <c r="AC614" s="28"/>
      <c r="AD614" s="20" t="str">
        <f>IF(AB614="","",IF($F614="Bernardino Furlan",_xlfn.XLOOKUP(AB614,Cadastros!$G$6:$G$90,Cadastros!$H$6:$H$90)*(1-0.18),IF($F614="Mauro José Salanti",_xlfn.XLOOKUP(AB614,Cadastros!$G$6:$G$90,Cadastros!$H$6:$H$90)*(1-0.18),_xlfn.XLOOKUP(AB614,Cadastros!$G$6:$G$90,Cadastros!$H$6:$H$90))))</f>
        <v/>
      </c>
      <c r="AE614" s="168" t="str">
        <f t="shared" si="122"/>
        <v/>
      </c>
      <c r="AF614" s="168" t="str">
        <f t="shared" si="123"/>
        <v/>
      </c>
      <c r="AG614" s="28"/>
      <c r="AH614" s="28"/>
      <c r="AI614" s="20" t="str">
        <f>IF(AG614="","",IF($F614="Bernardino Furlan",_xlfn.XLOOKUP(AG614,Cadastros!$G$6:$G$90,Cadastros!$H$6:$H$90)*(1-0.18),IF($F614="Mauro José Salanti",_xlfn.XLOOKUP(AG614,Cadastros!$G$6:$G$90,Cadastros!$H$6:$H$90)*(1-0.18),_xlfn.XLOOKUP(AG614,Cadastros!$G$6:$G$90,Cadastros!$H$6:$H$90))))</f>
        <v/>
      </c>
      <c r="AJ614" s="168" t="str">
        <f t="shared" si="124"/>
        <v/>
      </c>
      <c r="AK614" s="168" t="str">
        <f t="shared" si="125"/>
        <v/>
      </c>
      <c r="AL614" s="28"/>
      <c r="AM614" s="28"/>
      <c r="AN614" s="20" t="str">
        <f>IF(AL614="","",IF($F614="Bernardino Furlan",_xlfn.XLOOKUP(AL614,Cadastros!$G$6:$G$90,Cadastros!$H$6:$H$90)*(1-0.18),IF($F614="Mauro José Salanti",_xlfn.XLOOKUP(AL614,Cadastros!$G$6:$G$90,Cadastros!$H$6:$H$90)*(1-0.18),_xlfn.XLOOKUP(AL614,Cadastros!$G$6:$G$90,Cadastros!$H$6:$H$90))))</f>
        <v/>
      </c>
      <c r="AO614" s="168" t="str">
        <f t="shared" si="126"/>
        <v/>
      </c>
      <c r="AP614" s="168" t="str">
        <f t="shared" si="127"/>
        <v/>
      </c>
      <c r="AQ614" s="28"/>
      <c r="AR614" s="28"/>
      <c r="AS614" s="20" t="str">
        <f>IF(AQ614="","",IF($F614="Bernardino Furlan",_xlfn.XLOOKUP(AQ614,Cadastros!$G$6:$G$90,Cadastros!$H$6:$H$90)*(1-0.18),IF($F614="Mauro José Salanti",_xlfn.XLOOKUP(AQ614,Cadastros!$G$6:$G$90,Cadastros!$H$6:$H$90)*(1-0.18),_xlfn.XLOOKUP(AQ614,Cadastros!$G$6:$G$90,Cadastros!$H$6:$H$90))))</f>
        <v/>
      </c>
      <c r="AT614" s="168" t="str">
        <f t="shared" si="128"/>
        <v/>
      </c>
      <c r="AU614" s="168" t="str">
        <f t="shared" si="129"/>
        <v/>
      </c>
      <c r="AV614" s="227"/>
      <c r="AW614" s="30"/>
      <c r="AX614" s="267"/>
      <c r="AY614" s="267"/>
      <c r="AZ614" s="29"/>
      <c r="BA614" s="30"/>
      <c r="BB614" s="23" t="str" cm="1">
        <f t="array" ref="BB614">_xlfn.IFS(AW614="SIM",SUM(K614,P614,U614,Z614,AE614,AJ614,AO614,AT614,AX614,AY614),F614&lt;&gt;"",SUM(K614,P614,U614,Z614,AE614,AJ614,,AO614,AT614),F614="","")</f>
        <v/>
      </c>
      <c r="BC614" s="211" t="str" cm="1">
        <f t="array" ref="BC614">_xlfn.IFS(E614="","",G614&lt;=E614,BB614*(1-0.03),G614&lt;(E614+8),BB614,AZ614="Boleto",BB614*(1+0.001)^DATEDIF(E614,G614,"D"),AZ614="Cheque",BB614,AZ614="Dinheiro","Alterar forma pgto")</f>
        <v/>
      </c>
      <c r="BD614" s="276" t="str" cm="1">
        <f t="array" ref="BD614">IF(F614=0," ",IF(BC614&lt;BB614,(_xlfn.IFS(AW614="SIM",SUM(L614,Q614,V614,AA614,AF614,AK614,AP614,AU614)+AX614/_xlfn.XLOOKUP(_xlfn.XLOOKUP($F614,Clientes!$B$4:$B$39,Clientes!$C$4:$C$39),Cadastros!$L$6:$L$12,Cadastros!$M$6:$M$12)+IF($F614="Bernardino Furlan",AY614/2751.92,IF($F614="Mauro José Salanti",AY614/2751.92,AY614/3356)),F614&lt;&gt;0,SUM(L614,Q614,V614,AA614,AF614,AK614,AP614,AU614)))*(1-0.03),_xlfn.IFS(AW614="SIM",SUM(L614,Q614,V614,AA614,AF614,AK614,AP614,AU614)+AX614/_xlfn.XLOOKUP(_xlfn.XLOOKUP($F614,Clientes!$B$4:$B$39,Clientes!$C$4:$C$39),Cadastros!$L$6:$L$12,Cadastros!$M$6:$M$12)+IF($F614="Bernardino Furlan",AY614/2751.92,IF($F614="Mauro José Salanti",AY614/2751.92,AY614/3356)),F614&lt;&gt;0,SUM(L614,Q614,V614,AA614,AF614,AK614,AP614,AU614))))</f>
        <v xml:space="preserve"> </v>
      </c>
      <c r="BE614" s="120"/>
      <c r="BF614" s="120"/>
      <c r="BG614" s="120"/>
    </row>
    <row r="615" spans="1:59" s="3" customFormat="1" x14ac:dyDescent="0.3">
      <c r="A615" s="15" t="str">
        <f t="shared" si="117"/>
        <v/>
      </c>
      <c r="B615" s="25"/>
      <c r="C615" s="26"/>
      <c r="D615" s="279"/>
      <c r="E615" s="27"/>
      <c r="F615" s="28"/>
      <c r="G615" s="27"/>
      <c r="H615" s="28"/>
      <c r="I615" s="28"/>
      <c r="J615" s="255" t="str">
        <f>IF(H615="","",(_xlfn.XLOOKUP(H615,Cadastros!$D$6:$D$90,Cadastros!$E$6:$E$90))*(1-_xlfn.XLOOKUP(_xlfn.XLOOKUP($F615,Clientes!$B$4:$B$39,Clientes!$C$4:$C$39),Cadastros!$L$6:$L$12,Cadastros!$N$6:$N$12)))</f>
        <v/>
      </c>
      <c r="K615" s="168" t="str">
        <f t="shared" si="118"/>
        <v/>
      </c>
      <c r="L615" s="168" t="str">
        <f>IFERROR(K615/_xlfn.XLOOKUP(_xlfn.XLOOKUP($F615,Clientes!$B$4:$B$39,Clientes!$C$4:$C$39),Cadastros!$L$6:$L$12,Cadastros!$M$6:$M$12)," ")</f>
        <v xml:space="preserve"> </v>
      </c>
      <c r="M615" s="28"/>
      <c r="N615" s="28"/>
      <c r="O615" s="255" t="str">
        <f>IF(M615="","",(_xlfn.XLOOKUP(M615,Cadastros!$D$6:$D$90,Cadastros!$E$6:$E$90))*(1-_xlfn.XLOOKUP(_xlfn.XLOOKUP($F615,Clientes!$B$4:$B$39,Clientes!$C$4:$C$39),Cadastros!$L$6:$L$12,Cadastros!$N$6:$N$12)))</f>
        <v/>
      </c>
      <c r="P615" s="168" t="str">
        <f t="shared" si="119"/>
        <v/>
      </c>
      <c r="Q615" s="168" t="str">
        <f>IFERROR(P615/_xlfn.XLOOKUP(_xlfn.XLOOKUP($F615,Clientes!$B$4:$B$39,Clientes!$C$4:$C$39),Cadastros!$L$6:$L$12,Cadastros!$M$6:$M$12)," ")</f>
        <v xml:space="preserve"> </v>
      </c>
      <c r="R615" s="28"/>
      <c r="S615" s="28"/>
      <c r="T615" s="255" t="str">
        <f>IF(R615="","",(_xlfn.XLOOKUP(R615,Cadastros!$D$6:$D$90,Cadastros!$E$6:$E$90))*(1-_xlfn.XLOOKUP(_xlfn.XLOOKUP($F615,Clientes!$B$4:$B$39,Clientes!$C$4:$C$39),Cadastros!$L$6:$L$12,Cadastros!$N$6:$N$12)))</f>
        <v/>
      </c>
      <c r="U615" s="168" t="str">
        <f t="shared" si="120"/>
        <v/>
      </c>
      <c r="V615" s="168" t="str">
        <f>IFERROR(U615/_xlfn.XLOOKUP(_xlfn.XLOOKUP($F615,Clientes!$B$4:$B$39,Clientes!$C$4:$C$39),Cadastros!$L$6:$L$12,Cadastros!$M$6:$M$12)," ")</f>
        <v xml:space="preserve"> </v>
      </c>
      <c r="W615" s="28"/>
      <c r="X615" s="28"/>
      <c r="Y615" s="255" t="str">
        <f>IF(W615="","",(_xlfn.XLOOKUP(W615,Cadastros!$D$6:$D$90,Cadastros!$E$6:$E$90))*(1-_xlfn.XLOOKUP(_xlfn.XLOOKUP($F615,Clientes!$B$4:$B$39,Clientes!$C$4:$C$39),Cadastros!$L$6:$L$12,Cadastros!$N$6:$N$12)))</f>
        <v/>
      </c>
      <c r="Z615" s="168" t="str">
        <f t="shared" si="121"/>
        <v/>
      </c>
      <c r="AA615" s="168" t="str">
        <f>IFERROR(Z615/_xlfn.XLOOKUP(_xlfn.XLOOKUP($F615,Clientes!$B$4:$B$39,Clientes!$C$4:$C$39),Cadastros!$L$6:$L$12,Cadastros!$M$6:$M$12)," ")</f>
        <v xml:space="preserve"> </v>
      </c>
      <c r="AB615" s="28"/>
      <c r="AC615" s="28"/>
      <c r="AD615" s="20" t="str">
        <f>IF(AB615="","",IF($F615="Bernardino Furlan",_xlfn.XLOOKUP(AB615,Cadastros!$G$6:$G$90,Cadastros!$H$6:$H$90)*(1-0.18),IF($F615="Mauro José Salanti",_xlfn.XLOOKUP(AB615,Cadastros!$G$6:$G$90,Cadastros!$H$6:$H$90)*(1-0.18),_xlfn.XLOOKUP(AB615,Cadastros!$G$6:$G$90,Cadastros!$H$6:$H$90))))</f>
        <v/>
      </c>
      <c r="AE615" s="168" t="str">
        <f t="shared" si="122"/>
        <v/>
      </c>
      <c r="AF615" s="168" t="str">
        <f t="shared" si="123"/>
        <v/>
      </c>
      <c r="AG615" s="28"/>
      <c r="AH615" s="28"/>
      <c r="AI615" s="20" t="str">
        <f>IF(AG615="","",IF($F615="Bernardino Furlan",_xlfn.XLOOKUP(AG615,Cadastros!$G$6:$G$90,Cadastros!$H$6:$H$90)*(1-0.18),IF($F615="Mauro José Salanti",_xlfn.XLOOKUP(AG615,Cadastros!$G$6:$G$90,Cadastros!$H$6:$H$90)*(1-0.18),_xlfn.XLOOKUP(AG615,Cadastros!$G$6:$G$90,Cadastros!$H$6:$H$90))))</f>
        <v/>
      </c>
      <c r="AJ615" s="168" t="str">
        <f t="shared" si="124"/>
        <v/>
      </c>
      <c r="AK615" s="168" t="str">
        <f t="shared" si="125"/>
        <v/>
      </c>
      <c r="AL615" s="28"/>
      <c r="AM615" s="28"/>
      <c r="AN615" s="20" t="str">
        <f>IF(AL615="","",IF($F615="Bernardino Furlan",_xlfn.XLOOKUP(AL615,Cadastros!$G$6:$G$90,Cadastros!$H$6:$H$90)*(1-0.18),IF($F615="Mauro José Salanti",_xlfn.XLOOKUP(AL615,Cadastros!$G$6:$G$90,Cadastros!$H$6:$H$90)*(1-0.18),_xlfn.XLOOKUP(AL615,Cadastros!$G$6:$G$90,Cadastros!$H$6:$H$90))))</f>
        <v/>
      </c>
      <c r="AO615" s="168" t="str">
        <f t="shared" si="126"/>
        <v/>
      </c>
      <c r="AP615" s="168" t="str">
        <f t="shared" si="127"/>
        <v/>
      </c>
      <c r="AQ615" s="28"/>
      <c r="AR615" s="28"/>
      <c r="AS615" s="20" t="str">
        <f>IF(AQ615="","",IF($F615="Bernardino Furlan",_xlfn.XLOOKUP(AQ615,Cadastros!$G$6:$G$90,Cadastros!$H$6:$H$90)*(1-0.18),IF($F615="Mauro José Salanti",_xlfn.XLOOKUP(AQ615,Cadastros!$G$6:$G$90,Cadastros!$H$6:$H$90)*(1-0.18),_xlfn.XLOOKUP(AQ615,Cadastros!$G$6:$G$90,Cadastros!$H$6:$H$90))))</f>
        <v/>
      </c>
      <c r="AT615" s="168" t="str">
        <f t="shared" si="128"/>
        <v/>
      </c>
      <c r="AU615" s="168" t="str">
        <f t="shared" si="129"/>
        <v/>
      </c>
      <c r="AV615" s="227"/>
      <c r="AW615" s="30"/>
      <c r="AX615" s="267"/>
      <c r="AY615" s="267"/>
      <c r="AZ615" s="29"/>
      <c r="BA615" s="30"/>
      <c r="BB615" s="23" t="str" cm="1">
        <f t="array" ref="BB615">_xlfn.IFS(AW615="SIM",SUM(K615,P615,U615,Z615,AE615,AJ615,AO615,AT615,AX615,AY615),F615&lt;&gt;"",SUM(K615,P615,U615,Z615,AE615,AJ615,,AO615,AT615),F615="","")</f>
        <v/>
      </c>
      <c r="BC615" s="211" t="str" cm="1">
        <f t="array" ref="BC615">_xlfn.IFS(E615="","",G615&lt;=E615,BB615*(1-0.03),G615&lt;(E615+8),BB615,AZ615="Boleto",BB615*(1+0.001)^DATEDIF(E615,G615,"D"),AZ615="Cheque",BB615,AZ615="Dinheiro","Alterar forma pgto")</f>
        <v/>
      </c>
      <c r="BD615" s="276" t="str" cm="1">
        <f t="array" ref="BD615">IF(F615=0," ",IF(BC615&lt;BB615,(_xlfn.IFS(AW615="SIM",SUM(L615,Q615,V615,AA615,AF615,AK615,AP615,AU615)+AX615/_xlfn.XLOOKUP(_xlfn.XLOOKUP($F615,Clientes!$B$4:$B$39,Clientes!$C$4:$C$39),Cadastros!$L$6:$L$12,Cadastros!$M$6:$M$12)+IF($F615="Bernardino Furlan",AY615/2751.92,IF($F615="Mauro José Salanti",AY615/2751.92,AY615/3356)),F615&lt;&gt;0,SUM(L615,Q615,V615,AA615,AF615,AK615,AP615,AU615)))*(1-0.03),_xlfn.IFS(AW615="SIM",SUM(L615,Q615,V615,AA615,AF615,AK615,AP615,AU615)+AX615/_xlfn.XLOOKUP(_xlfn.XLOOKUP($F615,Clientes!$B$4:$B$39,Clientes!$C$4:$C$39),Cadastros!$L$6:$L$12,Cadastros!$M$6:$M$12)+IF($F615="Bernardino Furlan",AY615/2751.92,IF($F615="Mauro José Salanti",AY615/2751.92,AY615/3356)),F615&lt;&gt;0,SUM(L615,Q615,V615,AA615,AF615,AK615,AP615,AU615))))</f>
        <v xml:space="preserve"> </v>
      </c>
      <c r="BE615" s="120"/>
      <c r="BF615" s="120"/>
      <c r="BG615" s="120"/>
    </row>
    <row r="616" spans="1:59" s="3" customFormat="1" x14ac:dyDescent="0.3">
      <c r="A616" s="15" t="str">
        <f t="shared" si="117"/>
        <v/>
      </c>
      <c r="B616" s="25"/>
      <c r="C616" s="26"/>
      <c r="D616" s="279"/>
      <c r="E616" s="27"/>
      <c r="F616" s="28"/>
      <c r="G616" s="27"/>
      <c r="H616" s="28"/>
      <c r="I616" s="28"/>
      <c r="J616" s="255" t="str">
        <f>IF(H616="","",(_xlfn.XLOOKUP(H616,Cadastros!$D$6:$D$90,Cadastros!$E$6:$E$90))*(1-_xlfn.XLOOKUP(_xlfn.XLOOKUP($F616,Clientes!$B$4:$B$39,Clientes!$C$4:$C$39),Cadastros!$L$6:$L$12,Cadastros!$N$6:$N$12)))</f>
        <v/>
      </c>
      <c r="K616" s="168" t="str">
        <f t="shared" si="118"/>
        <v/>
      </c>
      <c r="L616" s="168" t="str">
        <f>IFERROR(K616/_xlfn.XLOOKUP(_xlfn.XLOOKUP($F616,Clientes!$B$4:$B$39,Clientes!$C$4:$C$39),Cadastros!$L$6:$L$12,Cadastros!$M$6:$M$12)," ")</f>
        <v xml:space="preserve"> </v>
      </c>
      <c r="M616" s="28"/>
      <c r="N616" s="28"/>
      <c r="O616" s="255" t="str">
        <f>IF(M616="","",(_xlfn.XLOOKUP(M616,Cadastros!$D$6:$D$90,Cadastros!$E$6:$E$90))*(1-_xlfn.XLOOKUP(_xlfn.XLOOKUP($F616,Clientes!$B$4:$B$39,Clientes!$C$4:$C$39),Cadastros!$L$6:$L$12,Cadastros!$N$6:$N$12)))</f>
        <v/>
      </c>
      <c r="P616" s="168" t="str">
        <f t="shared" si="119"/>
        <v/>
      </c>
      <c r="Q616" s="168" t="str">
        <f>IFERROR(P616/_xlfn.XLOOKUP(_xlfn.XLOOKUP($F616,Clientes!$B$4:$B$39,Clientes!$C$4:$C$39),Cadastros!$L$6:$L$12,Cadastros!$M$6:$M$12)," ")</f>
        <v xml:space="preserve"> </v>
      </c>
      <c r="R616" s="28"/>
      <c r="S616" s="28"/>
      <c r="T616" s="255" t="str">
        <f>IF(R616="","",(_xlfn.XLOOKUP(R616,Cadastros!$D$6:$D$90,Cadastros!$E$6:$E$90))*(1-_xlfn.XLOOKUP(_xlfn.XLOOKUP($F616,Clientes!$B$4:$B$39,Clientes!$C$4:$C$39),Cadastros!$L$6:$L$12,Cadastros!$N$6:$N$12)))</f>
        <v/>
      </c>
      <c r="U616" s="168" t="str">
        <f t="shared" si="120"/>
        <v/>
      </c>
      <c r="V616" s="168" t="str">
        <f>IFERROR(U616/_xlfn.XLOOKUP(_xlfn.XLOOKUP($F616,Clientes!$B$4:$B$39,Clientes!$C$4:$C$39),Cadastros!$L$6:$L$12,Cadastros!$M$6:$M$12)," ")</f>
        <v xml:space="preserve"> </v>
      </c>
      <c r="W616" s="28"/>
      <c r="X616" s="28"/>
      <c r="Y616" s="255" t="str">
        <f>IF(W616="","",(_xlfn.XLOOKUP(W616,Cadastros!$D$6:$D$90,Cadastros!$E$6:$E$90))*(1-_xlfn.XLOOKUP(_xlfn.XLOOKUP($F616,Clientes!$B$4:$B$39,Clientes!$C$4:$C$39),Cadastros!$L$6:$L$12,Cadastros!$N$6:$N$12)))</f>
        <v/>
      </c>
      <c r="Z616" s="168" t="str">
        <f t="shared" si="121"/>
        <v/>
      </c>
      <c r="AA616" s="168" t="str">
        <f>IFERROR(Z616/_xlfn.XLOOKUP(_xlfn.XLOOKUP($F616,Clientes!$B$4:$B$39,Clientes!$C$4:$C$39),Cadastros!$L$6:$L$12,Cadastros!$M$6:$M$12)," ")</f>
        <v xml:space="preserve"> </v>
      </c>
      <c r="AB616" s="28"/>
      <c r="AC616" s="28"/>
      <c r="AD616" s="20" t="str">
        <f>IF(AB616="","",IF($F616="Bernardino Furlan",_xlfn.XLOOKUP(AB616,Cadastros!$G$6:$G$90,Cadastros!$H$6:$H$90)*(1-0.18),IF($F616="Mauro José Salanti",_xlfn.XLOOKUP(AB616,Cadastros!$G$6:$G$90,Cadastros!$H$6:$H$90)*(1-0.18),_xlfn.XLOOKUP(AB616,Cadastros!$G$6:$G$90,Cadastros!$H$6:$H$90))))</f>
        <v/>
      </c>
      <c r="AE616" s="168" t="str">
        <f t="shared" si="122"/>
        <v/>
      </c>
      <c r="AF616" s="168" t="str">
        <f t="shared" si="123"/>
        <v/>
      </c>
      <c r="AG616" s="28"/>
      <c r="AH616" s="28"/>
      <c r="AI616" s="20" t="str">
        <f>IF(AG616="","",IF($F616="Bernardino Furlan",_xlfn.XLOOKUP(AG616,Cadastros!$G$6:$G$90,Cadastros!$H$6:$H$90)*(1-0.18),IF($F616="Mauro José Salanti",_xlfn.XLOOKUP(AG616,Cadastros!$G$6:$G$90,Cadastros!$H$6:$H$90)*(1-0.18),_xlfn.XLOOKUP(AG616,Cadastros!$G$6:$G$90,Cadastros!$H$6:$H$90))))</f>
        <v/>
      </c>
      <c r="AJ616" s="168" t="str">
        <f t="shared" si="124"/>
        <v/>
      </c>
      <c r="AK616" s="168" t="str">
        <f t="shared" si="125"/>
        <v/>
      </c>
      <c r="AL616" s="28"/>
      <c r="AM616" s="28"/>
      <c r="AN616" s="20" t="str">
        <f>IF(AL616="","",IF($F616="Bernardino Furlan",_xlfn.XLOOKUP(AL616,Cadastros!$G$6:$G$90,Cadastros!$H$6:$H$90)*(1-0.18),IF($F616="Mauro José Salanti",_xlfn.XLOOKUP(AL616,Cadastros!$G$6:$G$90,Cadastros!$H$6:$H$90)*(1-0.18),_xlfn.XLOOKUP(AL616,Cadastros!$G$6:$G$90,Cadastros!$H$6:$H$90))))</f>
        <v/>
      </c>
      <c r="AO616" s="168" t="str">
        <f t="shared" si="126"/>
        <v/>
      </c>
      <c r="AP616" s="168" t="str">
        <f t="shared" si="127"/>
        <v/>
      </c>
      <c r="AQ616" s="28"/>
      <c r="AR616" s="28"/>
      <c r="AS616" s="20" t="str">
        <f>IF(AQ616="","",IF($F616="Bernardino Furlan",_xlfn.XLOOKUP(AQ616,Cadastros!$G$6:$G$90,Cadastros!$H$6:$H$90)*(1-0.18),IF($F616="Mauro José Salanti",_xlfn.XLOOKUP(AQ616,Cadastros!$G$6:$G$90,Cadastros!$H$6:$H$90)*(1-0.18),_xlfn.XLOOKUP(AQ616,Cadastros!$G$6:$G$90,Cadastros!$H$6:$H$90))))</f>
        <v/>
      </c>
      <c r="AT616" s="168" t="str">
        <f t="shared" si="128"/>
        <v/>
      </c>
      <c r="AU616" s="168" t="str">
        <f t="shared" si="129"/>
        <v/>
      </c>
      <c r="AV616" s="227"/>
      <c r="AW616" s="30"/>
      <c r="AX616" s="267"/>
      <c r="AY616" s="267"/>
      <c r="AZ616" s="29"/>
      <c r="BA616" s="30"/>
      <c r="BB616" s="23" t="str" cm="1">
        <f t="array" ref="BB616">_xlfn.IFS(AW616="SIM",SUM(K616,P616,U616,Z616,AE616,AJ616,AO616,AT616,AX616,AY616),F616&lt;&gt;"",SUM(K616,P616,U616,Z616,AE616,AJ616,,AO616,AT616),F616="","")</f>
        <v/>
      </c>
      <c r="BC616" s="211" t="str" cm="1">
        <f t="array" ref="BC616">_xlfn.IFS(E616="","",G616&lt;=E616,BB616*(1-0.03),G616&lt;(E616+8),BB616,AZ616="Boleto",BB616*(1+0.001)^DATEDIF(E616,G616,"D"),AZ616="Cheque",BB616,AZ616="Dinheiro","Alterar forma pgto")</f>
        <v/>
      </c>
      <c r="BD616" s="276" t="str" cm="1">
        <f t="array" ref="BD616">IF(F616=0," ",IF(BC616&lt;BB616,(_xlfn.IFS(AW616="SIM",SUM(L616,Q616,V616,AA616,AF616,AK616,AP616,AU616)+AX616/_xlfn.XLOOKUP(_xlfn.XLOOKUP($F616,Clientes!$B$4:$B$39,Clientes!$C$4:$C$39),Cadastros!$L$6:$L$12,Cadastros!$M$6:$M$12)+IF($F616="Bernardino Furlan",AY616/2751.92,IF($F616="Mauro José Salanti",AY616/2751.92,AY616/3356)),F616&lt;&gt;0,SUM(L616,Q616,V616,AA616,AF616,AK616,AP616,AU616)))*(1-0.03),_xlfn.IFS(AW616="SIM",SUM(L616,Q616,V616,AA616,AF616,AK616,AP616,AU616)+AX616/_xlfn.XLOOKUP(_xlfn.XLOOKUP($F616,Clientes!$B$4:$B$39,Clientes!$C$4:$C$39),Cadastros!$L$6:$L$12,Cadastros!$M$6:$M$12)+IF($F616="Bernardino Furlan",AY616/2751.92,IF($F616="Mauro José Salanti",AY616/2751.92,AY616/3356)),F616&lt;&gt;0,SUM(L616,Q616,V616,AA616,AF616,AK616,AP616,AU616))))</f>
        <v xml:space="preserve"> </v>
      </c>
      <c r="BE616" s="120"/>
      <c r="BF616" s="120"/>
      <c r="BG616" s="120"/>
    </row>
    <row r="617" spans="1:59" s="3" customFormat="1" x14ac:dyDescent="0.3">
      <c r="A617" s="15" t="str">
        <f t="shared" si="117"/>
        <v/>
      </c>
      <c r="B617" s="25"/>
      <c r="C617" s="26"/>
      <c r="D617" s="279"/>
      <c r="E617" s="27"/>
      <c r="F617" s="28"/>
      <c r="G617" s="27"/>
      <c r="H617" s="28"/>
      <c r="I617" s="28"/>
      <c r="J617" s="255" t="str">
        <f>IF(H617="","",(_xlfn.XLOOKUP(H617,Cadastros!$D$6:$D$90,Cadastros!$E$6:$E$90))*(1-_xlfn.XLOOKUP(_xlfn.XLOOKUP($F617,Clientes!$B$4:$B$39,Clientes!$C$4:$C$39),Cadastros!$L$6:$L$12,Cadastros!$N$6:$N$12)))</f>
        <v/>
      </c>
      <c r="K617" s="168" t="str">
        <f t="shared" si="118"/>
        <v/>
      </c>
      <c r="L617" s="168" t="str">
        <f>IFERROR(K617/_xlfn.XLOOKUP(_xlfn.XLOOKUP($F617,Clientes!$B$4:$B$39,Clientes!$C$4:$C$39),Cadastros!$L$6:$L$12,Cadastros!$M$6:$M$12)," ")</f>
        <v xml:space="preserve"> </v>
      </c>
      <c r="M617" s="28"/>
      <c r="N617" s="28"/>
      <c r="O617" s="255" t="str">
        <f>IF(M617="","",(_xlfn.XLOOKUP(M617,Cadastros!$D$6:$D$90,Cadastros!$E$6:$E$90))*(1-_xlfn.XLOOKUP(_xlfn.XLOOKUP($F617,Clientes!$B$4:$B$39,Clientes!$C$4:$C$39),Cadastros!$L$6:$L$12,Cadastros!$N$6:$N$12)))</f>
        <v/>
      </c>
      <c r="P617" s="168" t="str">
        <f t="shared" si="119"/>
        <v/>
      </c>
      <c r="Q617" s="168" t="str">
        <f>IFERROR(P617/_xlfn.XLOOKUP(_xlfn.XLOOKUP($F617,Clientes!$B$4:$B$39,Clientes!$C$4:$C$39),Cadastros!$L$6:$L$12,Cadastros!$M$6:$M$12)," ")</f>
        <v xml:space="preserve"> </v>
      </c>
      <c r="R617" s="28"/>
      <c r="S617" s="28"/>
      <c r="T617" s="255" t="str">
        <f>IF(R617="","",(_xlfn.XLOOKUP(R617,Cadastros!$D$6:$D$90,Cadastros!$E$6:$E$90))*(1-_xlfn.XLOOKUP(_xlfn.XLOOKUP($F617,Clientes!$B$4:$B$39,Clientes!$C$4:$C$39),Cadastros!$L$6:$L$12,Cadastros!$N$6:$N$12)))</f>
        <v/>
      </c>
      <c r="U617" s="168" t="str">
        <f t="shared" si="120"/>
        <v/>
      </c>
      <c r="V617" s="168" t="str">
        <f>IFERROR(U617/_xlfn.XLOOKUP(_xlfn.XLOOKUP($F617,Clientes!$B$4:$B$39,Clientes!$C$4:$C$39),Cadastros!$L$6:$L$12,Cadastros!$M$6:$M$12)," ")</f>
        <v xml:space="preserve"> </v>
      </c>
      <c r="W617" s="28"/>
      <c r="X617" s="28"/>
      <c r="Y617" s="255" t="str">
        <f>IF(W617="","",(_xlfn.XLOOKUP(W617,Cadastros!$D$6:$D$90,Cadastros!$E$6:$E$90))*(1-_xlfn.XLOOKUP(_xlfn.XLOOKUP($F617,Clientes!$B$4:$B$39,Clientes!$C$4:$C$39),Cadastros!$L$6:$L$12,Cadastros!$N$6:$N$12)))</f>
        <v/>
      </c>
      <c r="Z617" s="168" t="str">
        <f t="shared" si="121"/>
        <v/>
      </c>
      <c r="AA617" s="168" t="str">
        <f>IFERROR(Z617/_xlfn.XLOOKUP(_xlfn.XLOOKUP($F617,Clientes!$B$4:$B$39,Clientes!$C$4:$C$39),Cadastros!$L$6:$L$12,Cadastros!$M$6:$M$12)," ")</f>
        <v xml:space="preserve"> </v>
      </c>
      <c r="AB617" s="28"/>
      <c r="AC617" s="28"/>
      <c r="AD617" s="20" t="str">
        <f>IF(AB617="","",IF($F617="Bernardino Furlan",_xlfn.XLOOKUP(AB617,Cadastros!$G$6:$G$90,Cadastros!$H$6:$H$90)*(1-0.18),IF($F617="Mauro José Salanti",_xlfn.XLOOKUP(AB617,Cadastros!$G$6:$G$90,Cadastros!$H$6:$H$90)*(1-0.18),_xlfn.XLOOKUP(AB617,Cadastros!$G$6:$G$90,Cadastros!$H$6:$H$90))))</f>
        <v/>
      </c>
      <c r="AE617" s="168" t="str">
        <f t="shared" si="122"/>
        <v/>
      </c>
      <c r="AF617" s="168" t="str">
        <f t="shared" si="123"/>
        <v/>
      </c>
      <c r="AG617" s="28"/>
      <c r="AH617" s="28"/>
      <c r="AI617" s="20" t="str">
        <f>IF(AG617="","",IF($F617="Bernardino Furlan",_xlfn.XLOOKUP(AG617,Cadastros!$G$6:$G$90,Cadastros!$H$6:$H$90)*(1-0.18),IF($F617="Mauro José Salanti",_xlfn.XLOOKUP(AG617,Cadastros!$G$6:$G$90,Cadastros!$H$6:$H$90)*(1-0.18),_xlfn.XLOOKUP(AG617,Cadastros!$G$6:$G$90,Cadastros!$H$6:$H$90))))</f>
        <v/>
      </c>
      <c r="AJ617" s="168" t="str">
        <f t="shared" si="124"/>
        <v/>
      </c>
      <c r="AK617" s="168" t="str">
        <f t="shared" si="125"/>
        <v/>
      </c>
      <c r="AL617" s="28"/>
      <c r="AM617" s="28"/>
      <c r="AN617" s="20" t="str">
        <f>IF(AL617="","",IF($F617="Bernardino Furlan",_xlfn.XLOOKUP(AL617,Cadastros!$G$6:$G$90,Cadastros!$H$6:$H$90)*(1-0.18),IF($F617="Mauro José Salanti",_xlfn.XLOOKUP(AL617,Cadastros!$G$6:$G$90,Cadastros!$H$6:$H$90)*(1-0.18),_xlfn.XLOOKUP(AL617,Cadastros!$G$6:$G$90,Cadastros!$H$6:$H$90))))</f>
        <v/>
      </c>
      <c r="AO617" s="168" t="str">
        <f t="shared" si="126"/>
        <v/>
      </c>
      <c r="AP617" s="168" t="str">
        <f t="shared" si="127"/>
        <v/>
      </c>
      <c r="AQ617" s="28"/>
      <c r="AR617" s="28"/>
      <c r="AS617" s="20" t="str">
        <f>IF(AQ617="","",IF($F617="Bernardino Furlan",_xlfn.XLOOKUP(AQ617,Cadastros!$G$6:$G$90,Cadastros!$H$6:$H$90)*(1-0.18),IF($F617="Mauro José Salanti",_xlfn.XLOOKUP(AQ617,Cadastros!$G$6:$G$90,Cadastros!$H$6:$H$90)*(1-0.18),_xlfn.XLOOKUP(AQ617,Cadastros!$G$6:$G$90,Cadastros!$H$6:$H$90))))</f>
        <v/>
      </c>
      <c r="AT617" s="168" t="str">
        <f t="shared" si="128"/>
        <v/>
      </c>
      <c r="AU617" s="168" t="str">
        <f t="shared" si="129"/>
        <v/>
      </c>
      <c r="AV617" s="227"/>
      <c r="AW617" s="30"/>
      <c r="AX617" s="267"/>
      <c r="AY617" s="267"/>
      <c r="AZ617" s="29"/>
      <c r="BA617" s="30"/>
      <c r="BB617" s="23" t="str" cm="1">
        <f t="array" ref="BB617">_xlfn.IFS(AW617="SIM",SUM(K617,P617,U617,Z617,AE617,AJ617,AO617,AT617,AX617,AY617),F617&lt;&gt;"",SUM(K617,P617,U617,Z617,AE617,AJ617,,AO617,AT617),F617="","")</f>
        <v/>
      </c>
      <c r="BC617" s="211" t="str" cm="1">
        <f t="array" ref="BC617">_xlfn.IFS(E617="","",G617&lt;=E617,BB617*(1-0.03),G617&lt;(E617+8),BB617,AZ617="Boleto",BB617*(1+0.001)^DATEDIF(E617,G617,"D"),AZ617="Cheque",BB617,AZ617="Dinheiro","Alterar forma pgto")</f>
        <v/>
      </c>
      <c r="BD617" s="276" t="str" cm="1">
        <f t="array" ref="BD617">IF(F617=0," ",IF(BC617&lt;BB617,(_xlfn.IFS(AW617="SIM",SUM(L617,Q617,V617,AA617,AF617,AK617,AP617,AU617)+AX617/_xlfn.XLOOKUP(_xlfn.XLOOKUP($F617,Clientes!$B$4:$B$39,Clientes!$C$4:$C$39),Cadastros!$L$6:$L$12,Cadastros!$M$6:$M$12)+IF($F617="Bernardino Furlan",AY617/2751.92,IF($F617="Mauro José Salanti",AY617/2751.92,AY617/3356)),F617&lt;&gt;0,SUM(L617,Q617,V617,AA617,AF617,AK617,AP617,AU617)))*(1-0.03),_xlfn.IFS(AW617="SIM",SUM(L617,Q617,V617,AA617,AF617,AK617,AP617,AU617)+AX617/_xlfn.XLOOKUP(_xlfn.XLOOKUP($F617,Clientes!$B$4:$B$39,Clientes!$C$4:$C$39),Cadastros!$L$6:$L$12,Cadastros!$M$6:$M$12)+IF($F617="Bernardino Furlan",AY617/2751.92,IF($F617="Mauro José Salanti",AY617/2751.92,AY617/3356)),F617&lt;&gt;0,SUM(L617,Q617,V617,AA617,AF617,AK617,AP617,AU617))))</f>
        <v xml:space="preserve"> </v>
      </c>
      <c r="BE617" s="120"/>
      <c r="BF617" s="120"/>
      <c r="BG617" s="120"/>
    </row>
    <row r="618" spans="1:59" s="3" customFormat="1" x14ac:dyDescent="0.3">
      <c r="A618" s="15" t="str">
        <f t="shared" si="117"/>
        <v/>
      </c>
      <c r="B618" s="25"/>
      <c r="C618" s="26"/>
      <c r="D618" s="279"/>
      <c r="E618" s="27"/>
      <c r="F618" s="28"/>
      <c r="G618" s="27"/>
      <c r="H618" s="28"/>
      <c r="I618" s="28"/>
      <c r="J618" s="255" t="str">
        <f>IF(H618="","",(_xlfn.XLOOKUP(H618,Cadastros!$D$6:$D$90,Cadastros!$E$6:$E$90))*(1-_xlfn.XLOOKUP(_xlfn.XLOOKUP($F618,Clientes!$B$4:$B$39,Clientes!$C$4:$C$39),Cadastros!$L$6:$L$12,Cadastros!$N$6:$N$12)))</f>
        <v/>
      </c>
      <c r="K618" s="168" t="str">
        <f t="shared" si="118"/>
        <v/>
      </c>
      <c r="L618" s="168" t="str">
        <f>IFERROR(K618/_xlfn.XLOOKUP(_xlfn.XLOOKUP($F618,Clientes!$B$4:$B$39,Clientes!$C$4:$C$39),Cadastros!$L$6:$L$12,Cadastros!$M$6:$M$12)," ")</f>
        <v xml:space="preserve"> </v>
      </c>
      <c r="M618" s="28"/>
      <c r="N618" s="28"/>
      <c r="O618" s="255" t="str">
        <f>IF(M618="","",(_xlfn.XLOOKUP(M618,Cadastros!$D$6:$D$90,Cadastros!$E$6:$E$90))*(1-_xlfn.XLOOKUP(_xlfn.XLOOKUP($F618,Clientes!$B$4:$B$39,Clientes!$C$4:$C$39),Cadastros!$L$6:$L$12,Cadastros!$N$6:$N$12)))</f>
        <v/>
      </c>
      <c r="P618" s="168" t="str">
        <f t="shared" si="119"/>
        <v/>
      </c>
      <c r="Q618" s="168" t="str">
        <f>IFERROR(P618/_xlfn.XLOOKUP(_xlfn.XLOOKUP($F618,Clientes!$B$4:$B$39,Clientes!$C$4:$C$39),Cadastros!$L$6:$L$12,Cadastros!$M$6:$M$12)," ")</f>
        <v xml:space="preserve"> </v>
      </c>
      <c r="R618" s="28"/>
      <c r="S618" s="28"/>
      <c r="T618" s="255" t="str">
        <f>IF(R618="","",(_xlfn.XLOOKUP(R618,Cadastros!$D$6:$D$90,Cadastros!$E$6:$E$90))*(1-_xlfn.XLOOKUP(_xlfn.XLOOKUP($F618,Clientes!$B$4:$B$39,Clientes!$C$4:$C$39),Cadastros!$L$6:$L$12,Cadastros!$N$6:$N$12)))</f>
        <v/>
      </c>
      <c r="U618" s="168" t="str">
        <f t="shared" si="120"/>
        <v/>
      </c>
      <c r="V618" s="168" t="str">
        <f>IFERROR(U618/_xlfn.XLOOKUP(_xlfn.XLOOKUP($F618,Clientes!$B$4:$B$39,Clientes!$C$4:$C$39),Cadastros!$L$6:$L$12,Cadastros!$M$6:$M$12)," ")</f>
        <v xml:space="preserve"> </v>
      </c>
      <c r="W618" s="28"/>
      <c r="X618" s="28"/>
      <c r="Y618" s="255" t="str">
        <f>IF(W618="","",(_xlfn.XLOOKUP(W618,Cadastros!$D$6:$D$90,Cadastros!$E$6:$E$90))*(1-_xlfn.XLOOKUP(_xlfn.XLOOKUP($F618,Clientes!$B$4:$B$39,Clientes!$C$4:$C$39),Cadastros!$L$6:$L$12,Cadastros!$N$6:$N$12)))</f>
        <v/>
      </c>
      <c r="Z618" s="168" t="str">
        <f t="shared" si="121"/>
        <v/>
      </c>
      <c r="AA618" s="168" t="str">
        <f>IFERROR(Z618/_xlfn.XLOOKUP(_xlfn.XLOOKUP($F618,Clientes!$B$4:$B$39,Clientes!$C$4:$C$39),Cadastros!$L$6:$L$12,Cadastros!$M$6:$M$12)," ")</f>
        <v xml:space="preserve"> </v>
      </c>
      <c r="AB618" s="28"/>
      <c r="AC618" s="28"/>
      <c r="AD618" s="20" t="str">
        <f>IF(AB618="","",IF($F618="Bernardino Furlan",_xlfn.XLOOKUP(AB618,Cadastros!$G$6:$G$90,Cadastros!$H$6:$H$90)*(1-0.18),IF($F618="Mauro José Salanti",_xlfn.XLOOKUP(AB618,Cadastros!$G$6:$G$90,Cadastros!$H$6:$H$90)*(1-0.18),_xlfn.XLOOKUP(AB618,Cadastros!$G$6:$G$90,Cadastros!$H$6:$H$90))))</f>
        <v/>
      </c>
      <c r="AE618" s="168" t="str">
        <f t="shared" si="122"/>
        <v/>
      </c>
      <c r="AF618" s="168" t="str">
        <f t="shared" si="123"/>
        <v/>
      </c>
      <c r="AG618" s="28"/>
      <c r="AH618" s="28"/>
      <c r="AI618" s="20" t="str">
        <f>IF(AG618="","",IF($F618="Bernardino Furlan",_xlfn.XLOOKUP(AG618,Cadastros!$G$6:$G$90,Cadastros!$H$6:$H$90)*(1-0.18),IF($F618="Mauro José Salanti",_xlfn.XLOOKUP(AG618,Cadastros!$G$6:$G$90,Cadastros!$H$6:$H$90)*(1-0.18),_xlfn.XLOOKUP(AG618,Cadastros!$G$6:$G$90,Cadastros!$H$6:$H$90))))</f>
        <v/>
      </c>
      <c r="AJ618" s="168" t="str">
        <f t="shared" si="124"/>
        <v/>
      </c>
      <c r="AK618" s="168" t="str">
        <f t="shared" si="125"/>
        <v/>
      </c>
      <c r="AL618" s="28"/>
      <c r="AM618" s="28"/>
      <c r="AN618" s="20" t="str">
        <f>IF(AL618="","",IF($F618="Bernardino Furlan",_xlfn.XLOOKUP(AL618,Cadastros!$G$6:$G$90,Cadastros!$H$6:$H$90)*(1-0.18),IF($F618="Mauro José Salanti",_xlfn.XLOOKUP(AL618,Cadastros!$G$6:$G$90,Cadastros!$H$6:$H$90)*(1-0.18),_xlfn.XLOOKUP(AL618,Cadastros!$G$6:$G$90,Cadastros!$H$6:$H$90))))</f>
        <v/>
      </c>
      <c r="AO618" s="168" t="str">
        <f t="shared" si="126"/>
        <v/>
      </c>
      <c r="AP618" s="168" t="str">
        <f t="shared" si="127"/>
        <v/>
      </c>
      <c r="AQ618" s="28"/>
      <c r="AR618" s="28"/>
      <c r="AS618" s="20" t="str">
        <f>IF(AQ618="","",IF($F618="Bernardino Furlan",_xlfn.XLOOKUP(AQ618,Cadastros!$G$6:$G$90,Cadastros!$H$6:$H$90)*(1-0.18),IF($F618="Mauro José Salanti",_xlfn.XLOOKUP(AQ618,Cadastros!$G$6:$G$90,Cadastros!$H$6:$H$90)*(1-0.18),_xlfn.XLOOKUP(AQ618,Cadastros!$G$6:$G$90,Cadastros!$H$6:$H$90))))</f>
        <v/>
      </c>
      <c r="AT618" s="168" t="str">
        <f t="shared" si="128"/>
        <v/>
      </c>
      <c r="AU618" s="168" t="str">
        <f t="shared" si="129"/>
        <v/>
      </c>
      <c r="AV618" s="227"/>
      <c r="AW618" s="30"/>
      <c r="AX618" s="267"/>
      <c r="AY618" s="267"/>
      <c r="AZ618" s="29"/>
      <c r="BA618" s="30"/>
      <c r="BB618" s="23" t="str" cm="1">
        <f t="array" ref="BB618">_xlfn.IFS(AW618="SIM",SUM(K618,P618,U618,Z618,AE618,AJ618,AO618,AT618,AX618,AY618),F618&lt;&gt;"",SUM(K618,P618,U618,Z618,AE618,AJ618,,AO618,AT618),F618="","")</f>
        <v/>
      </c>
      <c r="BC618" s="211" t="str" cm="1">
        <f t="array" ref="BC618">_xlfn.IFS(E618="","",G618&lt;=E618,BB618*(1-0.03),G618&lt;(E618+8),BB618,AZ618="Boleto",BB618*(1+0.001)^DATEDIF(E618,G618,"D"),AZ618="Cheque",BB618,AZ618="Dinheiro","Alterar forma pgto")</f>
        <v/>
      </c>
      <c r="BD618" s="276" t="str" cm="1">
        <f t="array" ref="BD618">IF(F618=0," ",IF(BC618&lt;BB618,(_xlfn.IFS(AW618="SIM",SUM(L618,Q618,V618,AA618,AF618,AK618,AP618,AU618)+AX618/_xlfn.XLOOKUP(_xlfn.XLOOKUP($F618,Clientes!$B$4:$B$39,Clientes!$C$4:$C$39),Cadastros!$L$6:$L$12,Cadastros!$M$6:$M$12)+IF($F618="Bernardino Furlan",AY618/2751.92,IF($F618="Mauro José Salanti",AY618/2751.92,AY618/3356)),F618&lt;&gt;0,SUM(L618,Q618,V618,AA618,AF618,AK618,AP618,AU618)))*(1-0.03),_xlfn.IFS(AW618="SIM",SUM(L618,Q618,V618,AA618,AF618,AK618,AP618,AU618)+AX618/_xlfn.XLOOKUP(_xlfn.XLOOKUP($F618,Clientes!$B$4:$B$39,Clientes!$C$4:$C$39),Cadastros!$L$6:$L$12,Cadastros!$M$6:$M$12)+IF($F618="Bernardino Furlan",AY618/2751.92,IF($F618="Mauro José Salanti",AY618/2751.92,AY618/3356)),F618&lt;&gt;0,SUM(L618,Q618,V618,AA618,AF618,AK618,AP618,AU618))))</f>
        <v xml:space="preserve"> </v>
      </c>
      <c r="BE618" s="120"/>
      <c r="BF618" s="120"/>
      <c r="BG618" s="120"/>
    </row>
    <row r="619" spans="1:59" s="3" customFormat="1" x14ac:dyDescent="0.3">
      <c r="A619" s="15" t="str">
        <f t="shared" si="117"/>
        <v/>
      </c>
      <c r="B619" s="25"/>
      <c r="C619" s="26"/>
      <c r="D619" s="279"/>
      <c r="E619" s="27"/>
      <c r="F619" s="28"/>
      <c r="G619" s="27"/>
      <c r="H619" s="28"/>
      <c r="I619" s="28"/>
      <c r="J619" s="255" t="str">
        <f>IF(H619="","",(_xlfn.XLOOKUP(H619,Cadastros!$D$6:$D$90,Cadastros!$E$6:$E$90))*(1-_xlfn.XLOOKUP(_xlfn.XLOOKUP($F619,Clientes!$B$4:$B$39,Clientes!$C$4:$C$39),Cadastros!$L$6:$L$12,Cadastros!$N$6:$N$12)))</f>
        <v/>
      </c>
      <c r="K619" s="168" t="str">
        <f t="shared" si="118"/>
        <v/>
      </c>
      <c r="L619" s="168" t="str">
        <f>IFERROR(K619/_xlfn.XLOOKUP(_xlfn.XLOOKUP($F619,Clientes!$B$4:$B$39,Clientes!$C$4:$C$39),Cadastros!$L$6:$L$12,Cadastros!$M$6:$M$12)," ")</f>
        <v xml:space="preserve"> </v>
      </c>
      <c r="M619" s="28"/>
      <c r="N619" s="28"/>
      <c r="O619" s="255" t="str">
        <f>IF(M619="","",(_xlfn.XLOOKUP(M619,Cadastros!$D$6:$D$90,Cadastros!$E$6:$E$90))*(1-_xlfn.XLOOKUP(_xlfn.XLOOKUP($F619,Clientes!$B$4:$B$39,Clientes!$C$4:$C$39),Cadastros!$L$6:$L$12,Cadastros!$N$6:$N$12)))</f>
        <v/>
      </c>
      <c r="P619" s="168" t="str">
        <f t="shared" si="119"/>
        <v/>
      </c>
      <c r="Q619" s="168" t="str">
        <f>IFERROR(P619/_xlfn.XLOOKUP(_xlfn.XLOOKUP($F619,Clientes!$B$4:$B$39,Clientes!$C$4:$C$39),Cadastros!$L$6:$L$12,Cadastros!$M$6:$M$12)," ")</f>
        <v xml:space="preserve"> </v>
      </c>
      <c r="R619" s="28"/>
      <c r="S619" s="28"/>
      <c r="T619" s="255" t="str">
        <f>IF(R619="","",(_xlfn.XLOOKUP(R619,Cadastros!$D$6:$D$90,Cadastros!$E$6:$E$90))*(1-_xlfn.XLOOKUP(_xlfn.XLOOKUP($F619,Clientes!$B$4:$B$39,Clientes!$C$4:$C$39),Cadastros!$L$6:$L$12,Cadastros!$N$6:$N$12)))</f>
        <v/>
      </c>
      <c r="U619" s="168" t="str">
        <f t="shared" si="120"/>
        <v/>
      </c>
      <c r="V619" s="168" t="str">
        <f>IFERROR(U619/_xlfn.XLOOKUP(_xlfn.XLOOKUP($F619,Clientes!$B$4:$B$39,Clientes!$C$4:$C$39),Cadastros!$L$6:$L$12,Cadastros!$M$6:$M$12)," ")</f>
        <v xml:space="preserve"> </v>
      </c>
      <c r="W619" s="28"/>
      <c r="X619" s="28"/>
      <c r="Y619" s="255" t="str">
        <f>IF(W619="","",(_xlfn.XLOOKUP(W619,Cadastros!$D$6:$D$90,Cadastros!$E$6:$E$90))*(1-_xlfn.XLOOKUP(_xlfn.XLOOKUP($F619,Clientes!$B$4:$B$39,Clientes!$C$4:$C$39),Cadastros!$L$6:$L$12,Cadastros!$N$6:$N$12)))</f>
        <v/>
      </c>
      <c r="Z619" s="168" t="str">
        <f t="shared" si="121"/>
        <v/>
      </c>
      <c r="AA619" s="168" t="str">
        <f>IFERROR(Z619/_xlfn.XLOOKUP(_xlfn.XLOOKUP($F619,Clientes!$B$4:$B$39,Clientes!$C$4:$C$39),Cadastros!$L$6:$L$12,Cadastros!$M$6:$M$12)," ")</f>
        <v xml:space="preserve"> </v>
      </c>
      <c r="AB619" s="28"/>
      <c r="AC619" s="28"/>
      <c r="AD619" s="20" t="str">
        <f>IF(AB619="","",IF($F619="Bernardino Furlan",_xlfn.XLOOKUP(AB619,Cadastros!$G$6:$G$90,Cadastros!$H$6:$H$90)*(1-0.18),IF($F619="Mauro José Salanti",_xlfn.XLOOKUP(AB619,Cadastros!$G$6:$G$90,Cadastros!$H$6:$H$90)*(1-0.18),_xlfn.XLOOKUP(AB619,Cadastros!$G$6:$G$90,Cadastros!$H$6:$H$90))))</f>
        <v/>
      </c>
      <c r="AE619" s="168" t="str">
        <f t="shared" si="122"/>
        <v/>
      </c>
      <c r="AF619" s="168" t="str">
        <f t="shared" si="123"/>
        <v/>
      </c>
      <c r="AG619" s="28"/>
      <c r="AH619" s="28"/>
      <c r="AI619" s="20" t="str">
        <f>IF(AG619="","",IF($F619="Bernardino Furlan",_xlfn.XLOOKUP(AG619,Cadastros!$G$6:$G$90,Cadastros!$H$6:$H$90)*(1-0.18),IF($F619="Mauro José Salanti",_xlfn.XLOOKUP(AG619,Cadastros!$G$6:$G$90,Cadastros!$H$6:$H$90)*(1-0.18),_xlfn.XLOOKUP(AG619,Cadastros!$G$6:$G$90,Cadastros!$H$6:$H$90))))</f>
        <v/>
      </c>
      <c r="AJ619" s="168" t="str">
        <f t="shared" si="124"/>
        <v/>
      </c>
      <c r="AK619" s="168" t="str">
        <f t="shared" si="125"/>
        <v/>
      </c>
      <c r="AL619" s="28"/>
      <c r="AM619" s="28"/>
      <c r="AN619" s="20" t="str">
        <f>IF(AL619="","",IF($F619="Bernardino Furlan",_xlfn.XLOOKUP(AL619,Cadastros!$G$6:$G$90,Cadastros!$H$6:$H$90)*(1-0.18),IF($F619="Mauro José Salanti",_xlfn.XLOOKUP(AL619,Cadastros!$G$6:$G$90,Cadastros!$H$6:$H$90)*(1-0.18),_xlfn.XLOOKUP(AL619,Cadastros!$G$6:$G$90,Cadastros!$H$6:$H$90))))</f>
        <v/>
      </c>
      <c r="AO619" s="168" t="str">
        <f t="shared" si="126"/>
        <v/>
      </c>
      <c r="AP619" s="168" t="str">
        <f t="shared" si="127"/>
        <v/>
      </c>
      <c r="AQ619" s="28"/>
      <c r="AR619" s="28"/>
      <c r="AS619" s="20" t="str">
        <f>IF(AQ619="","",IF($F619="Bernardino Furlan",_xlfn.XLOOKUP(AQ619,Cadastros!$G$6:$G$90,Cadastros!$H$6:$H$90)*(1-0.18),IF($F619="Mauro José Salanti",_xlfn.XLOOKUP(AQ619,Cadastros!$G$6:$G$90,Cadastros!$H$6:$H$90)*(1-0.18),_xlfn.XLOOKUP(AQ619,Cadastros!$G$6:$G$90,Cadastros!$H$6:$H$90))))</f>
        <v/>
      </c>
      <c r="AT619" s="168" t="str">
        <f t="shared" si="128"/>
        <v/>
      </c>
      <c r="AU619" s="168" t="str">
        <f t="shared" si="129"/>
        <v/>
      </c>
      <c r="AV619" s="227"/>
      <c r="AW619" s="30"/>
      <c r="AX619" s="267"/>
      <c r="AY619" s="267"/>
      <c r="AZ619" s="29"/>
      <c r="BA619" s="30"/>
      <c r="BB619" s="23" t="str" cm="1">
        <f t="array" ref="BB619">_xlfn.IFS(AW619="SIM",SUM(K619,P619,U619,Z619,AE619,AJ619,AO619,AT619,AX619,AY619),F619&lt;&gt;"",SUM(K619,P619,U619,Z619,AE619,AJ619,,AO619,AT619),F619="","")</f>
        <v/>
      </c>
      <c r="BC619" s="211" t="str" cm="1">
        <f t="array" ref="BC619">_xlfn.IFS(E619="","",G619&lt;=E619,BB619*(1-0.03),G619&lt;(E619+8),BB619,AZ619="Boleto",BB619*(1+0.001)^DATEDIF(E619,G619,"D"),AZ619="Cheque",BB619,AZ619="Dinheiro","Alterar forma pgto")</f>
        <v/>
      </c>
      <c r="BD619" s="276" t="str" cm="1">
        <f t="array" ref="BD619">IF(F619=0," ",IF(BC619&lt;BB619,(_xlfn.IFS(AW619="SIM",SUM(L619,Q619,V619,AA619,AF619,AK619,AP619,AU619)+AX619/_xlfn.XLOOKUP(_xlfn.XLOOKUP($F619,Clientes!$B$4:$B$39,Clientes!$C$4:$C$39),Cadastros!$L$6:$L$12,Cadastros!$M$6:$M$12)+IF($F619="Bernardino Furlan",AY619/2751.92,IF($F619="Mauro José Salanti",AY619/2751.92,AY619/3356)),F619&lt;&gt;0,SUM(L619,Q619,V619,AA619,AF619,AK619,AP619,AU619)))*(1-0.03),_xlfn.IFS(AW619="SIM",SUM(L619,Q619,V619,AA619,AF619,AK619,AP619,AU619)+AX619/_xlfn.XLOOKUP(_xlfn.XLOOKUP($F619,Clientes!$B$4:$B$39,Clientes!$C$4:$C$39),Cadastros!$L$6:$L$12,Cadastros!$M$6:$M$12)+IF($F619="Bernardino Furlan",AY619/2751.92,IF($F619="Mauro José Salanti",AY619/2751.92,AY619/3356)),F619&lt;&gt;0,SUM(L619,Q619,V619,AA619,AF619,AK619,AP619,AU619))))</f>
        <v xml:space="preserve"> </v>
      </c>
      <c r="BE619" s="120"/>
      <c r="BF619" s="120"/>
      <c r="BG619" s="120"/>
    </row>
    <row r="620" spans="1:59" s="3" customFormat="1" x14ac:dyDescent="0.3">
      <c r="A620" s="15" t="str">
        <f t="shared" si="117"/>
        <v/>
      </c>
      <c r="B620" s="25"/>
      <c r="C620" s="26"/>
      <c r="D620" s="279"/>
      <c r="E620" s="27"/>
      <c r="F620" s="28"/>
      <c r="G620" s="27"/>
      <c r="H620" s="28"/>
      <c r="I620" s="28"/>
      <c r="J620" s="255" t="str">
        <f>IF(H620="","",(_xlfn.XLOOKUP(H620,Cadastros!$D$6:$D$90,Cadastros!$E$6:$E$90))*(1-_xlfn.XLOOKUP(_xlfn.XLOOKUP($F620,Clientes!$B$4:$B$39,Clientes!$C$4:$C$39),Cadastros!$L$6:$L$12,Cadastros!$N$6:$N$12)))</f>
        <v/>
      </c>
      <c r="K620" s="168" t="str">
        <f t="shared" si="118"/>
        <v/>
      </c>
      <c r="L620" s="168" t="str">
        <f>IFERROR(K620/_xlfn.XLOOKUP(_xlfn.XLOOKUP($F620,Clientes!$B$4:$B$39,Clientes!$C$4:$C$39),Cadastros!$L$6:$L$12,Cadastros!$M$6:$M$12)," ")</f>
        <v xml:space="preserve"> </v>
      </c>
      <c r="M620" s="28"/>
      <c r="N620" s="28"/>
      <c r="O620" s="255" t="str">
        <f>IF(M620="","",(_xlfn.XLOOKUP(M620,Cadastros!$D$6:$D$90,Cadastros!$E$6:$E$90))*(1-_xlfn.XLOOKUP(_xlfn.XLOOKUP($F620,Clientes!$B$4:$B$39,Clientes!$C$4:$C$39),Cadastros!$L$6:$L$12,Cadastros!$N$6:$N$12)))</f>
        <v/>
      </c>
      <c r="P620" s="168" t="str">
        <f t="shared" si="119"/>
        <v/>
      </c>
      <c r="Q620" s="168" t="str">
        <f>IFERROR(P620/_xlfn.XLOOKUP(_xlfn.XLOOKUP($F620,Clientes!$B$4:$B$39,Clientes!$C$4:$C$39),Cadastros!$L$6:$L$12,Cadastros!$M$6:$M$12)," ")</f>
        <v xml:space="preserve"> </v>
      </c>
      <c r="R620" s="28"/>
      <c r="S620" s="28"/>
      <c r="T620" s="255" t="str">
        <f>IF(R620="","",(_xlfn.XLOOKUP(R620,Cadastros!$D$6:$D$90,Cadastros!$E$6:$E$90))*(1-_xlfn.XLOOKUP(_xlfn.XLOOKUP($F620,Clientes!$B$4:$B$39,Clientes!$C$4:$C$39),Cadastros!$L$6:$L$12,Cadastros!$N$6:$N$12)))</f>
        <v/>
      </c>
      <c r="U620" s="168" t="str">
        <f t="shared" si="120"/>
        <v/>
      </c>
      <c r="V620" s="168" t="str">
        <f>IFERROR(U620/_xlfn.XLOOKUP(_xlfn.XLOOKUP($F620,Clientes!$B$4:$B$39,Clientes!$C$4:$C$39),Cadastros!$L$6:$L$12,Cadastros!$M$6:$M$12)," ")</f>
        <v xml:space="preserve"> </v>
      </c>
      <c r="W620" s="28"/>
      <c r="X620" s="28"/>
      <c r="Y620" s="255" t="str">
        <f>IF(W620="","",(_xlfn.XLOOKUP(W620,Cadastros!$D$6:$D$90,Cadastros!$E$6:$E$90))*(1-_xlfn.XLOOKUP(_xlfn.XLOOKUP($F620,Clientes!$B$4:$B$39,Clientes!$C$4:$C$39),Cadastros!$L$6:$L$12,Cadastros!$N$6:$N$12)))</f>
        <v/>
      </c>
      <c r="Z620" s="168" t="str">
        <f t="shared" si="121"/>
        <v/>
      </c>
      <c r="AA620" s="168" t="str">
        <f>IFERROR(Z620/_xlfn.XLOOKUP(_xlfn.XLOOKUP($F620,Clientes!$B$4:$B$39,Clientes!$C$4:$C$39),Cadastros!$L$6:$L$12,Cadastros!$M$6:$M$12)," ")</f>
        <v xml:space="preserve"> </v>
      </c>
      <c r="AB620" s="28"/>
      <c r="AC620" s="28"/>
      <c r="AD620" s="20" t="str">
        <f>IF(AB620="","",IF($F620="Bernardino Furlan",_xlfn.XLOOKUP(AB620,Cadastros!$G$6:$G$90,Cadastros!$H$6:$H$90)*(1-0.18),IF($F620="Mauro José Salanti",_xlfn.XLOOKUP(AB620,Cadastros!$G$6:$G$90,Cadastros!$H$6:$H$90)*(1-0.18),_xlfn.XLOOKUP(AB620,Cadastros!$G$6:$G$90,Cadastros!$H$6:$H$90))))</f>
        <v/>
      </c>
      <c r="AE620" s="168" t="str">
        <f t="shared" si="122"/>
        <v/>
      </c>
      <c r="AF620" s="168" t="str">
        <f t="shared" si="123"/>
        <v/>
      </c>
      <c r="AG620" s="28"/>
      <c r="AH620" s="28"/>
      <c r="AI620" s="20" t="str">
        <f>IF(AG620="","",IF($F620="Bernardino Furlan",_xlfn.XLOOKUP(AG620,Cadastros!$G$6:$G$90,Cadastros!$H$6:$H$90)*(1-0.18),IF($F620="Mauro José Salanti",_xlfn.XLOOKUP(AG620,Cadastros!$G$6:$G$90,Cadastros!$H$6:$H$90)*(1-0.18),_xlfn.XLOOKUP(AG620,Cadastros!$G$6:$G$90,Cadastros!$H$6:$H$90))))</f>
        <v/>
      </c>
      <c r="AJ620" s="168" t="str">
        <f t="shared" si="124"/>
        <v/>
      </c>
      <c r="AK620" s="168" t="str">
        <f t="shared" si="125"/>
        <v/>
      </c>
      <c r="AL620" s="28"/>
      <c r="AM620" s="28"/>
      <c r="AN620" s="20" t="str">
        <f>IF(AL620="","",IF($F620="Bernardino Furlan",_xlfn.XLOOKUP(AL620,Cadastros!$G$6:$G$90,Cadastros!$H$6:$H$90)*(1-0.18),IF($F620="Mauro José Salanti",_xlfn.XLOOKUP(AL620,Cadastros!$G$6:$G$90,Cadastros!$H$6:$H$90)*(1-0.18),_xlfn.XLOOKUP(AL620,Cadastros!$G$6:$G$90,Cadastros!$H$6:$H$90))))</f>
        <v/>
      </c>
      <c r="AO620" s="168" t="str">
        <f t="shared" si="126"/>
        <v/>
      </c>
      <c r="AP620" s="168" t="str">
        <f t="shared" si="127"/>
        <v/>
      </c>
      <c r="AQ620" s="28"/>
      <c r="AR620" s="28"/>
      <c r="AS620" s="20" t="str">
        <f>IF(AQ620="","",IF($F620="Bernardino Furlan",_xlfn.XLOOKUP(AQ620,Cadastros!$G$6:$G$90,Cadastros!$H$6:$H$90)*(1-0.18),IF($F620="Mauro José Salanti",_xlfn.XLOOKUP(AQ620,Cadastros!$G$6:$G$90,Cadastros!$H$6:$H$90)*(1-0.18),_xlfn.XLOOKUP(AQ620,Cadastros!$G$6:$G$90,Cadastros!$H$6:$H$90))))</f>
        <v/>
      </c>
      <c r="AT620" s="168" t="str">
        <f t="shared" si="128"/>
        <v/>
      </c>
      <c r="AU620" s="168" t="str">
        <f t="shared" si="129"/>
        <v/>
      </c>
      <c r="AV620" s="227"/>
      <c r="AW620" s="30"/>
      <c r="AX620" s="267"/>
      <c r="AY620" s="267"/>
      <c r="AZ620" s="29"/>
      <c r="BA620" s="30"/>
      <c r="BB620" s="23" t="str" cm="1">
        <f t="array" ref="BB620">_xlfn.IFS(AW620="SIM",SUM(K620,P620,U620,Z620,AE620,AJ620,AO620,AT620,AX620,AY620),F620&lt;&gt;"",SUM(K620,P620,U620,Z620,AE620,AJ620,,AO620,AT620),F620="","")</f>
        <v/>
      </c>
      <c r="BC620" s="211" t="str" cm="1">
        <f t="array" ref="BC620">_xlfn.IFS(E620="","",G620&lt;=E620,BB620*(1-0.03),G620&lt;(E620+8),BB620,AZ620="Boleto",BB620*(1+0.001)^DATEDIF(E620,G620,"D"),AZ620="Cheque",BB620,AZ620="Dinheiro","Alterar forma pgto")</f>
        <v/>
      </c>
      <c r="BD620" s="276" t="str" cm="1">
        <f t="array" ref="BD620">IF(F620=0," ",IF(BC620&lt;BB620,(_xlfn.IFS(AW620="SIM",SUM(L620,Q620,V620,AA620,AF620,AK620,AP620,AU620)+AX620/_xlfn.XLOOKUP(_xlfn.XLOOKUP($F620,Clientes!$B$4:$B$39,Clientes!$C$4:$C$39),Cadastros!$L$6:$L$12,Cadastros!$M$6:$M$12)+IF($F620="Bernardino Furlan",AY620/2751.92,IF($F620="Mauro José Salanti",AY620/2751.92,AY620/3356)),F620&lt;&gt;0,SUM(L620,Q620,V620,AA620,AF620,AK620,AP620,AU620)))*(1-0.03),_xlfn.IFS(AW620="SIM",SUM(L620,Q620,V620,AA620,AF620,AK620,AP620,AU620)+AX620/_xlfn.XLOOKUP(_xlfn.XLOOKUP($F620,Clientes!$B$4:$B$39,Clientes!$C$4:$C$39),Cadastros!$L$6:$L$12,Cadastros!$M$6:$M$12)+IF($F620="Bernardino Furlan",AY620/2751.92,IF($F620="Mauro José Salanti",AY620/2751.92,AY620/3356)),F620&lt;&gt;0,SUM(L620,Q620,V620,AA620,AF620,AK620,AP620,AU620))))</f>
        <v xml:space="preserve"> </v>
      </c>
      <c r="BE620" s="120"/>
      <c r="BF620" s="120"/>
      <c r="BG620" s="120"/>
    </row>
    <row r="621" spans="1:59" s="3" customFormat="1" x14ac:dyDescent="0.3">
      <c r="A621" s="15" t="str">
        <f t="shared" si="117"/>
        <v/>
      </c>
      <c r="B621" s="25"/>
      <c r="C621" s="26"/>
      <c r="D621" s="279"/>
      <c r="E621" s="27"/>
      <c r="F621" s="28"/>
      <c r="G621" s="27"/>
      <c r="H621" s="28"/>
      <c r="I621" s="28"/>
      <c r="J621" s="255" t="str">
        <f>IF(H621="","",(_xlfn.XLOOKUP(H621,Cadastros!$D$6:$D$90,Cadastros!$E$6:$E$90))*(1-_xlfn.XLOOKUP(_xlfn.XLOOKUP($F621,Clientes!$B$4:$B$39,Clientes!$C$4:$C$39),Cadastros!$L$6:$L$12,Cadastros!$N$6:$N$12)))</f>
        <v/>
      </c>
      <c r="K621" s="168" t="str">
        <f t="shared" si="118"/>
        <v/>
      </c>
      <c r="L621" s="168" t="str">
        <f>IFERROR(K621/_xlfn.XLOOKUP(_xlfn.XLOOKUP($F621,Clientes!$B$4:$B$39,Clientes!$C$4:$C$39),Cadastros!$L$6:$L$12,Cadastros!$M$6:$M$12)," ")</f>
        <v xml:space="preserve"> </v>
      </c>
      <c r="M621" s="28"/>
      <c r="N621" s="28"/>
      <c r="O621" s="255" t="str">
        <f>IF(M621="","",(_xlfn.XLOOKUP(M621,Cadastros!$D$6:$D$90,Cadastros!$E$6:$E$90))*(1-_xlfn.XLOOKUP(_xlfn.XLOOKUP($F621,Clientes!$B$4:$B$39,Clientes!$C$4:$C$39),Cadastros!$L$6:$L$12,Cadastros!$N$6:$N$12)))</f>
        <v/>
      </c>
      <c r="P621" s="168" t="str">
        <f t="shared" si="119"/>
        <v/>
      </c>
      <c r="Q621" s="168" t="str">
        <f>IFERROR(P621/_xlfn.XLOOKUP(_xlfn.XLOOKUP($F621,Clientes!$B$4:$B$39,Clientes!$C$4:$C$39),Cadastros!$L$6:$L$12,Cadastros!$M$6:$M$12)," ")</f>
        <v xml:space="preserve"> </v>
      </c>
      <c r="R621" s="28"/>
      <c r="S621" s="28"/>
      <c r="T621" s="255" t="str">
        <f>IF(R621="","",(_xlfn.XLOOKUP(R621,Cadastros!$D$6:$D$90,Cadastros!$E$6:$E$90))*(1-_xlfn.XLOOKUP(_xlfn.XLOOKUP($F621,Clientes!$B$4:$B$39,Clientes!$C$4:$C$39),Cadastros!$L$6:$L$12,Cadastros!$N$6:$N$12)))</f>
        <v/>
      </c>
      <c r="U621" s="168" t="str">
        <f t="shared" si="120"/>
        <v/>
      </c>
      <c r="V621" s="168" t="str">
        <f>IFERROR(U621/_xlfn.XLOOKUP(_xlfn.XLOOKUP($F621,Clientes!$B$4:$B$39,Clientes!$C$4:$C$39),Cadastros!$L$6:$L$12,Cadastros!$M$6:$M$12)," ")</f>
        <v xml:space="preserve"> </v>
      </c>
      <c r="W621" s="28"/>
      <c r="X621" s="28"/>
      <c r="Y621" s="255" t="str">
        <f>IF(W621="","",(_xlfn.XLOOKUP(W621,Cadastros!$D$6:$D$90,Cadastros!$E$6:$E$90))*(1-_xlfn.XLOOKUP(_xlfn.XLOOKUP($F621,Clientes!$B$4:$B$39,Clientes!$C$4:$C$39),Cadastros!$L$6:$L$12,Cadastros!$N$6:$N$12)))</f>
        <v/>
      </c>
      <c r="Z621" s="168" t="str">
        <f t="shared" si="121"/>
        <v/>
      </c>
      <c r="AA621" s="168" t="str">
        <f>IFERROR(Z621/_xlfn.XLOOKUP(_xlfn.XLOOKUP($F621,Clientes!$B$4:$B$39,Clientes!$C$4:$C$39),Cadastros!$L$6:$L$12,Cadastros!$M$6:$M$12)," ")</f>
        <v xml:space="preserve"> </v>
      </c>
      <c r="AB621" s="28"/>
      <c r="AC621" s="28"/>
      <c r="AD621" s="20" t="str">
        <f>IF(AB621="","",IF($F621="Bernardino Furlan",_xlfn.XLOOKUP(AB621,Cadastros!$G$6:$G$90,Cadastros!$H$6:$H$90)*(1-0.18),IF($F621="Mauro José Salanti",_xlfn.XLOOKUP(AB621,Cadastros!$G$6:$G$90,Cadastros!$H$6:$H$90)*(1-0.18),_xlfn.XLOOKUP(AB621,Cadastros!$G$6:$G$90,Cadastros!$H$6:$H$90))))</f>
        <v/>
      </c>
      <c r="AE621" s="168" t="str">
        <f t="shared" si="122"/>
        <v/>
      </c>
      <c r="AF621" s="168" t="str">
        <f t="shared" si="123"/>
        <v/>
      </c>
      <c r="AG621" s="28"/>
      <c r="AH621" s="28"/>
      <c r="AI621" s="20" t="str">
        <f>IF(AG621="","",IF($F621="Bernardino Furlan",_xlfn.XLOOKUP(AG621,Cadastros!$G$6:$G$90,Cadastros!$H$6:$H$90)*(1-0.18),IF($F621="Mauro José Salanti",_xlfn.XLOOKUP(AG621,Cadastros!$G$6:$G$90,Cadastros!$H$6:$H$90)*(1-0.18),_xlfn.XLOOKUP(AG621,Cadastros!$G$6:$G$90,Cadastros!$H$6:$H$90))))</f>
        <v/>
      </c>
      <c r="AJ621" s="168" t="str">
        <f t="shared" si="124"/>
        <v/>
      </c>
      <c r="AK621" s="168" t="str">
        <f t="shared" si="125"/>
        <v/>
      </c>
      <c r="AL621" s="28"/>
      <c r="AM621" s="28"/>
      <c r="AN621" s="20" t="str">
        <f>IF(AL621="","",IF($F621="Bernardino Furlan",_xlfn.XLOOKUP(AL621,Cadastros!$G$6:$G$90,Cadastros!$H$6:$H$90)*(1-0.18),IF($F621="Mauro José Salanti",_xlfn.XLOOKUP(AL621,Cadastros!$G$6:$G$90,Cadastros!$H$6:$H$90)*(1-0.18),_xlfn.XLOOKUP(AL621,Cadastros!$G$6:$G$90,Cadastros!$H$6:$H$90))))</f>
        <v/>
      </c>
      <c r="AO621" s="168" t="str">
        <f t="shared" si="126"/>
        <v/>
      </c>
      <c r="AP621" s="168" t="str">
        <f t="shared" si="127"/>
        <v/>
      </c>
      <c r="AQ621" s="28"/>
      <c r="AR621" s="28"/>
      <c r="AS621" s="20" t="str">
        <f>IF(AQ621="","",IF($F621="Bernardino Furlan",_xlfn.XLOOKUP(AQ621,Cadastros!$G$6:$G$90,Cadastros!$H$6:$H$90)*(1-0.18),IF($F621="Mauro José Salanti",_xlfn.XLOOKUP(AQ621,Cadastros!$G$6:$G$90,Cadastros!$H$6:$H$90)*(1-0.18),_xlfn.XLOOKUP(AQ621,Cadastros!$G$6:$G$90,Cadastros!$H$6:$H$90))))</f>
        <v/>
      </c>
      <c r="AT621" s="168" t="str">
        <f t="shared" si="128"/>
        <v/>
      </c>
      <c r="AU621" s="168" t="str">
        <f t="shared" si="129"/>
        <v/>
      </c>
      <c r="AV621" s="227"/>
      <c r="AW621" s="30"/>
      <c r="AX621" s="267"/>
      <c r="AY621" s="267"/>
      <c r="AZ621" s="29"/>
      <c r="BA621" s="30"/>
      <c r="BB621" s="23" t="str" cm="1">
        <f t="array" ref="BB621">_xlfn.IFS(AW621="SIM",SUM(K621,P621,U621,Z621,AE621,AJ621,AO621,AT621,AX621,AY621),F621&lt;&gt;"",SUM(K621,P621,U621,Z621,AE621,AJ621,,AO621,AT621),F621="","")</f>
        <v/>
      </c>
      <c r="BC621" s="211" t="str" cm="1">
        <f t="array" ref="BC621">_xlfn.IFS(E621="","",G621&lt;=E621,BB621*(1-0.03),G621&lt;(E621+8),BB621,AZ621="Boleto",BB621*(1+0.001)^DATEDIF(E621,G621,"D"),AZ621="Cheque",BB621,AZ621="Dinheiro","Alterar forma pgto")</f>
        <v/>
      </c>
      <c r="BD621" s="276" t="str" cm="1">
        <f t="array" ref="BD621">IF(F621=0," ",IF(BC621&lt;BB621,(_xlfn.IFS(AW621="SIM",SUM(L621,Q621,V621,AA621,AF621,AK621,AP621,AU621)+AX621/_xlfn.XLOOKUP(_xlfn.XLOOKUP($F621,Clientes!$B$4:$B$39,Clientes!$C$4:$C$39),Cadastros!$L$6:$L$12,Cadastros!$M$6:$M$12)+IF($F621="Bernardino Furlan",AY621/2751.92,IF($F621="Mauro José Salanti",AY621/2751.92,AY621/3356)),F621&lt;&gt;0,SUM(L621,Q621,V621,AA621,AF621,AK621,AP621,AU621)))*(1-0.03),_xlfn.IFS(AW621="SIM",SUM(L621,Q621,V621,AA621,AF621,AK621,AP621,AU621)+AX621/_xlfn.XLOOKUP(_xlfn.XLOOKUP($F621,Clientes!$B$4:$B$39,Clientes!$C$4:$C$39),Cadastros!$L$6:$L$12,Cadastros!$M$6:$M$12)+IF($F621="Bernardino Furlan",AY621/2751.92,IF($F621="Mauro José Salanti",AY621/2751.92,AY621/3356)),F621&lt;&gt;0,SUM(L621,Q621,V621,AA621,AF621,AK621,AP621,AU621))))</f>
        <v xml:space="preserve"> </v>
      </c>
      <c r="BE621" s="120"/>
      <c r="BF621" s="120"/>
      <c r="BG621" s="120"/>
    </row>
    <row r="622" spans="1:59" s="3" customFormat="1" x14ac:dyDescent="0.3">
      <c r="A622" s="15" t="str">
        <f t="shared" si="117"/>
        <v/>
      </c>
      <c r="B622" s="25"/>
      <c r="C622" s="26"/>
      <c r="D622" s="279"/>
      <c r="E622" s="27"/>
      <c r="F622" s="28"/>
      <c r="G622" s="27"/>
      <c r="H622" s="28"/>
      <c r="I622" s="28"/>
      <c r="J622" s="255" t="str">
        <f>IF(H622="","",(_xlfn.XLOOKUP(H622,Cadastros!$D$6:$D$90,Cadastros!$E$6:$E$90))*(1-_xlfn.XLOOKUP(_xlfn.XLOOKUP($F622,Clientes!$B$4:$B$39,Clientes!$C$4:$C$39),Cadastros!$L$6:$L$12,Cadastros!$N$6:$N$12)))</f>
        <v/>
      </c>
      <c r="K622" s="168" t="str">
        <f t="shared" si="118"/>
        <v/>
      </c>
      <c r="L622" s="168" t="str">
        <f>IFERROR(K622/_xlfn.XLOOKUP(_xlfn.XLOOKUP($F622,Clientes!$B$4:$B$39,Clientes!$C$4:$C$39),Cadastros!$L$6:$L$12,Cadastros!$M$6:$M$12)," ")</f>
        <v xml:space="preserve"> </v>
      </c>
      <c r="M622" s="28"/>
      <c r="N622" s="28"/>
      <c r="O622" s="255" t="str">
        <f>IF(M622="","",(_xlfn.XLOOKUP(M622,Cadastros!$D$6:$D$90,Cadastros!$E$6:$E$90))*(1-_xlfn.XLOOKUP(_xlfn.XLOOKUP($F622,Clientes!$B$4:$B$39,Clientes!$C$4:$C$39),Cadastros!$L$6:$L$12,Cadastros!$N$6:$N$12)))</f>
        <v/>
      </c>
      <c r="P622" s="168" t="str">
        <f t="shared" si="119"/>
        <v/>
      </c>
      <c r="Q622" s="168" t="str">
        <f>IFERROR(P622/_xlfn.XLOOKUP(_xlfn.XLOOKUP($F622,Clientes!$B$4:$B$39,Clientes!$C$4:$C$39),Cadastros!$L$6:$L$12,Cadastros!$M$6:$M$12)," ")</f>
        <v xml:space="preserve"> </v>
      </c>
      <c r="R622" s="28"/>
      <c r="S622" s="28"/>
      <c r="T622" s="255" t="str">
        <f>IF(R622="","",(_xlfn.XLOOKUP(R622,Cadastros!$D$6:$D$90,Cadastros!$E$6:$E$90))*(1-_xlfn.XLOOKUP(_xlfn.XLOOKUP($F622,Clientes!$B$4:$B$39,Clientes!$C$4:$C$39),Cadastros!$L$6:$L$12,Cadastros!$N$6:$N$12)))</f>
        <v/>
      </c>
      <c r="U622" s="168" t="str">
        <f t="shared" si="120"/>
        <v/>
      </c>
      <c r="V622" s="168" t="str">
        <f>IFERROR(U622/_xlfn.XLOOKUP(_xlfn.XLOOKUP($F622,Clientes!$B$4:$B$39,Clientes!$C$4:$C$39),Cadastros!$L$6:$L$12,Cadastros!$M$6:$M$12)," ")</f>
        <v xml:space="preserve"> </v>
      </c>
      <c r="W622" s="28"/>
      <c r="X622" s="28"/>
      <c r="Y622" s="255" t="str">
        <f>IF(W622="","",(_xlfn.XLOOKUP(W622,Cadastros!$D$6:$D$90,Cadastros!$E$6:$E$90))*(1-_xlfn.XLOOKUP(_xlfn.XLOOKUP($F622,Clientes!$B$4:$B$39,Clientes!$C$4:$C$39),Cadastros!$L$6:$L$12,Cadastros!$N$6:$N$12)))</f>
        <v/>
      </c>
      <c r="Z622" s="168" t="str">
        <f t="shared" si="121"/>
        <v/>
      </c>
      <c r="AA622" s="168" t="str">
        <f>IFERROR(Z622/_xlfn.XLOOKUP(_xlfn.XLOOKUP($F622,Clientes!$B$4:$B$39,Clientes!$C$4:$C$39),Cadastros!$L$6:$L$12,Cadastros!$M$6:$M$12)," ")</f>
        <v xml:space="preserve"> </v>
      </c>
      <c r="AB622" s="28"/>
      <c r="AC622" s="28"/>
      <c r="AD622" s="20" t="str">
        <f>IF(AB622="","",IF($F622="Bernardino Furlan",_xlfn.XLOOKUP(AB622,Cadastros!$G$6:$G$90,Cadastros!$H$6:$H$90)*(1-0.18),IF($F622="Mauro José Salanti",_xlfn.XLOOKUP(AB622,Cadastros!$G$6:$G$90,Cadastros!$H$6:$H$90)*(1-0.18),_xlfn.XLOOKUP(AB622,Cadastros!$G$6:$G$90,Cadastros!$H$6:$H$90))))</f>
        <v/>
      </c>
      <c r="AE622" s="168" t="str">
        <f t="shared" si="122"/>
        <v/>
      </c>
      <c r="AF622" s="168" t="str">
        <f t="shared" si="123"/>
        <v/>
      </c>
      <c r="AG622" s="28"/>
      <c r="AH622" s="28"/>
      <c r="AI622" s="20" t="str">
        <f>IF(AG622="","",IF($F622="Bernardino Furlan",_xlfn.XLOOKUP(AG622,Cadastros!$G$6:$G$90,Cadastros!$H$6:$H$90)*(1-0.18),IF($F622="Mauro José Salanti",_xlfn.XLOOKUP(AG622,Cadastros!$G$6:$G$90,Cadastros!$H$6:$H$90)*(1-0.18),_xlfn.XLOOKUP(AG622,Cadastros!$G$6:$G$90,Cadastros!$H$6:$H$90))))</f>
        <v/>
      </c>
      <c r="AJ622" s="168" t="str">
        <f t="shared" si="124"/>
        <v/>
      </c>
      <c r="AK622" s="168" t="str">
        <f t="shared" si="125"/>
        <v/>
      </c>
      <c r="AL622" s="28"/>
      <c r="AM622" s="28"/>
      <c r="AN622" s="20" t="str">
        <f>IF(AL622="","",IF($F622="Bernardino Furlan",_xlfn.XLOOKUP(AL622,Cadastros!$G$6:$G$90,Cadastros!$H$6:$H$90)*(1-0.18),IF($F622="Mauro José Salanti",_xlfn.XLOOKUP(AL622,Cadastros!$G$6:$G$90,Cadastros!$H$6:$H$90)*(1-0.18),_xlfn.XLOOKUP(AL622,Cadastros!$G$6:$G$90,Cadastros!$H$6:$H$90))))</f>
        <v/>
      </c>
      <c r="AO622" s="168" t="str">
        <f t="shared" si="126"/>
        <v/>
      </c>
      <c r="AP622" s="168" t="str">
        <f t="shared" si="127"/>
        <v/>
      </c>
      <c r="AQ622" s="28"/>
      <c r="AR622" s="28"/>
      <c r="AS622" s="20" t="str">
        <f>IF(AQ622="","",IF($F622="Bernardino Furlan",_xlfn.XLOOKUP(AQ622,Cadastros!$G$6:$G$90,Cadastros!$H$6:$H$90)*(1-0.18),IF($F622="Mauro José Salanti",_xlfn.XLOOKUP(AQ622,Cadastros!$G$6:$G$90,Cadastros!$H$6:$H$90)*(1-0.18),_xlfn.XLOOKUP(AQ622,Cadastros!$G$6:$G$90,Cadastros!$H$6:$H$90))))</f>
        <v/>
      </c>
      <c r="AT622" s="168" t="str">
        <f t="shared" si="128"/>
        <v/>
      </c>
      <c r="AU622" s="168" t="str">
        <f t="shared" si="129"/>
        <v/>
      </c>
      <c r="AV622" s="227"/>
      <c r="AW622" s="30"/>
      <c r="AX622" s="267"/>
      <c r="AY622" s="267"/>
      <c r="AZ622" s="29"/>
      <c r="BA622" s="30"/>
      <c r="BB622" s="23" t="str" cm="1">
        <f t="array" ref="BB622">_xlfn.IFS(AW622="SIM",SUM(K622,P622,U622,Z622,AE622,AJ622,AO622,AT622,AX622,AY622),F622&lt;&gt;"",SUM(K622,P622,U622,Z622,AE622,AJ622,,AO622,AT622),F622="","")</f>
        <v/>
      </c>
      <c r="BC622" s="211" t="str" cm="1">
        <f t="array" ref="BC622">_xlfn.IFS(E622="","",G622&lt;=E622,BB622*(1-0.03),G622&lt;(E622+8),BB622,AZ622="Boleto",BB622*(1+0.001)^DATEDIF(E622,G622,"D"),AZ622="Cheque",BB622,AZ622="Dinheiro","Alterar forma pgto")</f>
        <v/>
      </c>
      <c r="BD622" s="276" t="str" cm="1">
        <f t="array" ref="BD622">IF(F622=0," ",IF(BC622&lt;BB622,(_xlfn.IFS(AW622="SIM",SUM(L622,Q622,V622,AA622,AF622,AK622,AP622,AU622)+AX622/_xlfn.XLOOKUP(_xlfn.XLOOKUP($F622,Clientes!$B$4:$B$39,Clientes!$C$4:$C$39),Cadastros!$L$6:$L$12,Cadastros!$M$6:$M$12)+IF($F622="Bernardino Furlan",AY622/2751.92,IF($F622="Mauro José Salanti",AY622/2751.92,AY622/3356)),F622&lt;&gt;0,SUM(L622,Q622,V622,AA622,AF622,AK622,AP622,AU622)))*(1-0.03),_xlfn.IFS(AW622="SIM",SUM(L622,Q622,V622,AA622,AF622,AK622,AP622,AU622)+AX622/_xlfn.XLOOKUP(_xlfn.XLOOKUP($F622,Clientes!$B$4:$B$39,Clientes!$C$4:$C$39),Cadastros!$L$6:$L$12,Cadastros!$M$6:$M$12)+IF($F622="Bernardino Furlan",AY622/2751.92,IF($F622="Mauro José Salanti",AY622/2751.92,AY622/3356)),F622&lt;&gt;0,SUM(L622,Q622,V622,AA622,AF622,AK622,AP622,AU622))))</f>
        <v xml:space="preserve"> </v>
      </c>
      <c r="BE622" s="120"/>
      <c r="BF622" s="120"/>
      <c r="BG622" s="120"/>
    </row>
    <row r="623" spans="1:59" s="3" customFormat="1" x14ac:dyDescent="0.3">
      <c r="A623" s="15" t="str">
        <f t="shared" si="117"/>
        <v/>
      </c>
      <c r="B623" s="25"/>
      <c r="C623" s="26"/>
      <c r="D623" s="279"/>
      <c r="E623" s="27"/>
      <c r="F623" s="28"/>
      <c r="G623" s="27"/>
      <c r="H623" s="28"/>
      <c r="I623" s="28"/>
      <c r="J623" s="255" t="str">
        <f>IF(H623="","",(_xlfn.XLOOKUP(H623,Cadastros!$D$6:$D$90,Cadastros!$E$6:$E$90))*(1-_xlfn.XLOOKUP(_xlfn.XLOOKUP($F623,Clientes!$B$4:$B$39,Clientes!$C$4:$C$39),Cadastros!$L$6:$L$12,Cadastros!$N$6:$N$12)))</f>
        <v/>
      </c>
      <c r="K623" s="168" t="str">
        <f t="shared" si="118"/>
        <v/>
      </c>
      <c r="L623" s="168" t="str">
        <f>IFERROR(K623/_xlfn.XLOOKUP(_xlfn.XLOOKUP($F623,Clientes!$B$4:$B$39,Clientes!$C$4:$C$39),Cadastros!$L$6:$L$12,Cadastros!$M$6:$M$12)," ")</f>
        <v xml:space="preserve"> </v>
      </c>
      <c r="M623" s="28"/>
      <c r="N623" s="28"/>
      <c r="O623" s="255" t="str">
        <f>IF(M623="","",(_xlfn.XLOOKUP(M623,Cadastros!$D$6:$D$90,Cadastros!$E$6:$E$90))*(1-_xlfn.XLOOKUP(_xlfn.XLOOKUP($F623,Clientes!$B$4:$B$39,Clientes!$C$4:$C$39),Cadastros!$L$6:$L$12,Cadastros!$N$6:$N$12)))</f>
        <v/>
      </c>
      <c r="P623" s="168" t="str">
        <f t="shared" si="119"/>
        <v/>
      </c>
      <c r="Q623" s="168" t="str">
        <f>IFERROR(P623/_xlfn.XLOOKUP(_xlfn.XLOOKUP($F623,Clientes!$B$4:$B$39,Clientes!$C$4:$C$39),Cadastros!$L$6:$L$12,Cadastros!$M$6:$M$12)," ")</f>
        <v xml:space="preserve"> </v>
      </c>
      <c r="R623" s="28"/>
      <c r="S623" s="28"/>
      <c r="T623" s="255" t="str">
        <f>IF(R623="","",(_xlfn.XLOOKUP(R623,Cadastros!$D$6:$D$90,Cadastros!$E$6:$E$90))*(1-_xlfn.XLOOKUP(_xlfn.XLOOKUP($F623,Clientes!$B$4:$B$39,Clientes!$C$4:$C$39),Cadastros!$L$6:$L$12,Cadastros!$N$6:$N$12)))</f>
        <v/>
      </c>
      <c r="U623" s="168" t="str">
        <f t="shared" si="120"/>
        <v/>
      </c>
      <c r="V623" s="168" t="str">
        <f>IFERROR(U623/_xlfn.XLOOKUP(_xlfn.XLOOKUP($F623,Clientes!$B$4:$B$39,Clientes!$C$4:$C$39),Cadastros!$L$6:$L$12,Cadastros!$M$6:$M$12)," ")</f>
        <v xml:space="preserve"> </v>
      </c>
      <c r="W623" s="28"/>
      <c r="X623" s="28"/>
      <c r="Y623" s="255" t="str">
        <f>IF(W623="","",(_xlfn.XLOOKUP(W623,Cadastros!$D$6:$D$90,Cadastros!$E$6:$E$90))*(1-_xlfn.XLOOKUP(_xlfn.XLOOKUP($F623,Clientes!$B$4:$B$39,Clientes!$C$4:$C$39),Cadastros!$L$6:$L$12,Cadastros!$N$6:$N$12)))</f>
        <v/>
      </c>
      <c r="Z623" s="168" t="str">
        <f t="shared" si="121"/>
        <v/>
      </c>
      <c r="AA623" s="168" t="str">
        <f>IFERROR(Z623/_xlfn.XLOOKUP(_xlfn.XLOOKUP($F623,Clientes!$B$4:$B$39,Clientes!$C$4:$C$39),Cadastros!$L$6:$L$12,Cadastros!$M$6:$M$12)," ")</f>
        <v xml:space="preserve"> </v>
      </c>
      <c r="AB623" s="28"/>
      <c r="AC623" s="28"/>
      <c r="AD623" s="20" t="str">
        <f>IF(AB623="","",IF($F623="Bernardino Furlan",_xlfn.XLOOKUP(AB623,Cadastros!$G$6:$G$90,Cadastros!$H$6:$H$90)*(1-0.18),IF($F623="Mauro José Salanti",_xlfn.XLOOKUP(AB623,Cadastros!$G$6:$G$90,Cadastros!$H$6:$H$90)*(1-0.18),_xlfn.XLOOKUP(AB623,Cadastros!$G$6:$G$90,Cadastros!$H$6:$H$90))))</f>
        <v/>
      </c>
      <c r="AE623" s="168" t="str">
        <f t="shared" si="122"/>
        <v/>
      </c>
      <c r="AF623" s="168" t="str">
        <f t="shared" si="123"/>
        <v/>
      </c>
      <c r="AG623" s="28"/>
      <c r="AH623" s="28"/>
      <c r="AI623" s="20" t="str">
        <f>IF(AG623="","",IF($F623="Bernardino Furlan",_xlfn.XLOOKUP(AG623,Cadastros!$G$6:$G$90,Cadastros!$H$6:$H$90)*(1-0.18),IF($F623="Mauro José Salanti",_xlfn.XLOOKUP(AG623,Cadastros!$G$6:$G$90,Cadastros!$H$6:$H$90)*(1-0.18),_xlfn.XLOOKUP(AG623,Cadastros!$G$6:$G$90,Cadastros!$H$6:$H$90))))</f>
        <v/>
      </c>
      <c r="AJ623" s="168" t="str">
        <f t="shared" si="124"/>
        <v/>
      </c>
      <c r="AK623" s="168" t="str">
        <f t="shared" si="125"/>
        <v/>
      </c>
      <c r="AL623" s="28"/>
      <c r="AM623" s="28"/>
      <c r="AN623" s="20" t="str">
        <f>IF(AL623="","",IF($F623="Bernardino Furlan",_xlfn.XLOOKUP(AL623,Cadastros!$G$6:$G$90,Cadastros!$H$6:$H$90)*(1-0.18),IF($F623="Mauro José Salanti",_xlfn.XLOOKUP(AL623,Cadastros!$G$6:$G$90,Cadastros!$H$6:$H$90)*(1-0.18),_xlfn.XLOOKUP(AL623,Cadastros!$G$6:$G$90,Cadastros!$H$6:$H$90))))</f>
        <v/>
      </c>
      <c r="AO623" s="168" t="str">
        <f t="shared" si="126"/>
        <v/>
      </c>
      <c r="AP623" s="168" t="str">
        <f t="shared" si="127"/>
        <v/>
      </c>
      <c r="AQ623" s="28"/>
      <c r="AR623" s="28"/>
      <c r="AS623" s="20" t="str">
        <f>IF(AQ623="","",IF($F623="Bernardino Furlan",_xlfn.XLOOKUP(AQ623,Cadastros!$G$6:$G$90,Cadastros!$H$6:$H$90)*(1-0.18),IF($F623="Mauro José Salanti",_xlfn.XLOOKUP(AQ623,Cadastros!$G$6:$G$90,Cadastros!$H$6:$H$90)*(1-0.18),_xlfn.XLOOKUP(AQ623,Cadastros!$G$6:$G$90,Cadastros!$H$6:$H$90))))</f>
        <v/>
      </c>
      <c r="AT623" s="168" t="str">
        <f t="shared" si="128"/>
        <v/>
      </c>
      <c r="AU623" s="168" t="str">
        <f t="shared" si="129"/>
        <v/>
      </c>
      <c r="AV623" s="227"/>
      <c r="AW623" s="30"/>
      <c r="AX623" s="267"/>
      <c r="AY623" s="267"/>
      <c r="AZ623" s="29"/>
      <c r="BA623" s="30"/>
      <c r="BB623" s="23" t="str" cm="1">
        <f t="array" ref="BB623">_xlfn.IFS(AW623="SIM",SUM(K623,P623,U623,Z623,AE623,AJ623,AO623,AT623,AX623,AY623),F623&lt;&gt;"",SUM(K623,P623,U623,Z623,AE623,AJ623,,AO623,AT623),F623="","")</f>
        <v/>
      </c>
      <c r="BC623" s="211" t="str" cm="1">
        <f t="array" ref="BC623">_xlfn.IFS(E623="","",G623&lt;=E623,BB623*(1-0.03),G623&lt;(E623+8),BB623,AZ623="Boleto",BB623*(1+0.001)^DATEDIF(E623,G623,"D"),AZ623="Cheque",BB623,AZ623="Dinheiro","Alterar forma pgto")</f>
        <v/>
      </c>
      <c r="BD623" s="276" t="str" cm="1">
        <f t="array" ref="BD623">IF(F623=0," ",IF(BC623&lt;BB623,(_xlfn.IFS(AW623="SIM",SUM(L623,Q623,V623,AA623,AF623,AK623,AP623,AU623)+AX623/_xlfn.XLOOKUP(_xlfn.XLOOKUP($F623,Clientes!$B$4:$B$39,Clientes!$C$4:$C$39),Cadastros!$L$6:$L$12,Cadastros!$M$6:$M$12)+IF($F623="Bernardino Furlan",AY623/2751.92,IF($F623="Mauro José Salanti",AY623/2751.92,AY623/3356)),F623&lt;&gt;0,SUM(L623,Q623,V623,AA623,AF623,AK623,AP623,AU623)))*(1-0.03),_xlfn.IFS(AW623="SIM",SUM(L623,Q623,V623,AA623,AF623,AK623,AP623,AU623)+AX623/_xlfn.XLOOKUP(_xlfn.XLOOKUP($F623,Clientes!$B$4:$B$39,Clientes!$C$4:$C$39),Cadastros!$L$6:$L$12,Cadastros!$M$6:$M$12)+IF($F623="Bernardino Furlan",AY623/2751.92,IF($F623="Mauro José Salanti",AY623/2751.92,AY623/3356)),F623&lt;&gt;0,SUM(L623,Q623,V623,AA623,AF623,AK623,AP623,AU623))))</f>
        <v xml:space="preserve"> </v>
      </c>
      <c r="BE623" s="120"/>
      <c r="BF623" s="120"/>
      <c r="BG623" s="120"/>
    </row>
    <row r="624" spans="1:59" s="3" customFormat="1" x14ac:dyDescent="0.3">
      <c r="A624" s="15" t="str">
        <f t="shared" si="117"/>
        <v/>
      </c>
      <c r="B624" s="25"/>
      <c r="C624" s="26"/>
      <c r="D624" s="279"/>
      <c r="E624" s="27"/>
      <c r="F624" s="28"/>
      <c r="G624" s="27"/>
      <c r="H624" s="28"/>
      <c r="I624" s="28"/>
      <c r="J624" s="255" t="str">
        <f>IF(H624="","",(_xlfn.XLOOKUP(H624,Cadastros!$D$6:$D$90,Cadastros!$E$6:$E$90))*(1-_xlfn.XLOOKUP(_xlfn.XLOOKUP($F624,Clientes!$B$4:$B$39,Clientes!$C$4:$C$39),Cadastros!$L$6:$L$12,Cadastros!$N$6:$N$12)))</f>
        <v/>
      </c>
      <c r="K624" s="168" t="str">
        <f t="shared" si="118"/>
        <v/>
      </c>
      <c r="L624" s="168" t="str">
        <f>IFERROR(K624/_xlfn.XLOOKUP(_xlfn.XLOOKUP($F624,Clientes!$B$4:$B$39,Clientes!$C$4:$C$39),Cadastros!$L$6:$L$12,Cadastros!$M$6:$M$12)," ")</f>
        <v xml:space="preserve"> </v>
      </c>
      <c r="M624" s="28"/>
      <c r="N624" s="28"/>
      <c r="O624" s="255" t="str">
        <f>IF(M624="","",(_xlfn.XLOOKUP(M624,Cadastros!$D$6:$D$90,Cadastros!$E$6:$E$90))*(1-_xlfn.XLOOKUP(_xlfn.XLOOKUP($F624,Clientes!$B$4:$B$39,Clientes!$C$4:$C$39),Cadastros!$L$6:$L$12,Cadastros!$N$6:$N$12)))</f>
        <v/>
      </c>
      <c r="P624" s="168" t="str">
        <f t="shared" si="119"/>
        <v/>
      </c>
      <c r="Q624" s="168" t="str">
        <f>IFERROR(P624/_xlfn.XLOOKUP(_xlfn.XLOOKUP($F624,Clientes!$B$4:$B$39,Clientes!$C$4:$C$39),Cadastros!$L$6:$L$12,Cadastros!$M$6:$M$12)," ")</f>
        <v xml:space="preserve"> </v>
      </c>
      <c r="R624" s="28"/>
      <c r="S624" s="28"/>
      <c r="T624" s="255" t="str">
        <f>IF(R624="","",(_xlfn.XLOOKUP(R624,Cadastros!$D$6:$D$90,Cadastros!$E$6:$E$90))*(1-_xlfn.XLOOKUP(_xlfn.XLOOKUP($F624,Clientes!$B$4:$B$39,Clientes!$C$4:$C$39),Cadastros!$L$6:$L$12,Cadastros!$N$6:$N$12)))</f>
        <v/>
      </c>
      <c r="U624" s="168" t="str">
        <f t="shared" si="120"/>
        <v/>
      </c>
      <c r="V624" s="168" t="str">
        <f>IFERROR(U624/_xlfn.XLOOKUP(_xlfn.XLOOKUP($F624,Clientes!$B$4:$B$39,Clientes!$C$4:$C$39),Cadastros!$L$6:$L$12,Cadastros!$M$6:$M$12)," ")</f>
        <v xml:space="preserve"> </v>
      </c>
      <c r="W624" s="28"/>
      <c r="X624" s="28"/>
      <c r="Y624" s="255" t="str">
        <f>IF(W624="","",(_xlfn.XLOOKUP(W624,Cadastros!$D$6:$D$90,Cadastros!$E$6:$E$90))*(1-_xlfn.XLOOKUP(_xlfn.XLOOKUP($F624,Clientes!$B$4:$B$39,Clientes!$C$4:$C$39),Cadastros!$L$6:$L$12,Cadastros!$N$6:$N$12)))</f>
        <v/>
      </c>
      <c r="Z624" s="168" t="str">
        <f t="shared" si="121"/>
        <v/>
      </c>
      <c r="AA624" s="168" t="str">
        <f>IFERROR(Z624/_xlfn.XLOOKUP(_xlfn.XLOOKUP($F624,Clientes!$B$4:$B$39,Clientes!$C$4:$C$39),Cadastros!$L$6:$L$12,Cadastros!$M$6:$M$12)," ")</f>
        <v xml:space="preserve"> </v>
      </c>
      <c r="AB624" s="28"/>
      <c r="AC624" s="28"/>
      <c r="AD624" s="20" t="str">
        <f>IF(AB624="","",IF($F624="Bernardino Furlan",_xlfn.XLOOKUP(AB624,Cadastros!$G$6:$G$90,Cadastros!$H$6:$H$90)*(1-0.18),IF($F624="Mauro José Salanti",_xlfn.XLOOKUP(AB624,Cadastros!$G$6:$G$90,Cadastros!$H$6:$H$90)*(1-0.18),_xlfn.XLOOKUP(AB624,Cadastros!$G$6:$G$90,Cadastros!$H$6:$H$90))))</f>
        <v/>
      </c>
      <c r="AE624" s="168" t="str">
        <f t="shared" si="122"/>
        <v/>
      </c>
      <c r="AF624" s="168" t="str">
        <f t="shared" si="123"/>
        <v/>
      </c>
      <c r="AG624" s="28"/>
      <c r="AH624" s="28"/>
      <c r="AI624" s="20" t="str">
        <f>IF(AG624="","",IF($F624="Bernardino Furlan",_xlfn.XLOOKUP(AG624,Cadastros!$G$6:$G$90,Cadastros!$H$6:$H$90)*(1-0.18),IF($F624="Mauro José Salanti",_xlfn.XLOOKUP(AG624,Cadastros!$G$6:$G$90,Cadastros!$H$6:$H$90)*(1-0.18),_xlfn.XLOOKUP(AG624,Cadastros!$G$6:$G$90,Cadastros!$H$6:$H$90))))</f>
        <v/>
      </c>
      <c r="AJ624" s="168" t="str">
        <f t="shared" si="124"/>
        <v/>
      </c>
      <c r="AK624" s="168" t="str">
        <f t="shared" si="125"/>
        <v/>
      </c>
      <c r="AL624" s="28"/>
      <c r="AM624" s="28"/>
      <c r="AN624" s="20" t="str">
        <f>IF(AL624="","",IF($F624="Bernardino Furlan",_xlfn.XLOOKUP(AL624,Cadastros!$G$6:$G$90,Cadastros!$H$6:$H$90)*(1-0.18),IF($F624="Mauro José Salanti",_xlfn.XLOOKUP(AL624,Cadastros!$G$6:$G$90,Cadastros!$H$6:$H$90)*(1-0.18),_xlfn.XLOOKUP(AL624,Cadastros!$G$6:$G$90,Cadastros!$H$6:$H$90))))</f>
        <v/>
      </c>
      <c r="AO624" s="168" t="str">
        <f t="shared" si="126"/>
        <v/>
      </c>
      <c r="AP624" s="168" t="str">
        <f t="shared" si="127"/>
        <v/>
      </c>
      <c r="AQ624" s="28"/>
      <c r="AR624" s="28"/>
      <c r="AS624" s="20" t="str">
        <f>IF(AQ624="","",IF($F624="Bernardino Furlan",_xlfn.XLOOKUP(AQ624,Cadastros!$G$6:$G$90,Cadastros!$H$6:$H$90)*(1-0.18),IF($F624="Mauro José Salanti",_xlfn.XLOOKUP(AQ624,Cadastros!$G$6:$G$90,Cadastros!$H$6:$H$90)*(1-0.18),_xlfn.XLOOKUP(AQ624,Cadastros!$G$6:$G$90,Cadastros!$H$6:$H$90))))</f>
        <v/>
      </c>
      <c r="AT624" s="168" t="str">
        <f t="shared" si="128"/>
        <v/>
      </c>
      <c r="AU624" s="168" t="str">
        <f t="shared" si="129"/>
        <v/>
      </c>
      <c r="AV624" s="227"/>
      <c r="AW624" s="30"/>
      <c r="AX624" s="267"/>
      <c r="AY624" s="267"/>
      <c r="AZ624" s="29"/>
      <c r="BA624" s="30"/>
      <c r="BB624" s="23" t="str" cm="1">
        <f t="array" ref="BB624">_xlfn.IFS(AW624="SIM",SUM(K624,P624,U624,Z624,AE624,AJ624,AO624,AT624,AX624,AY624),F624&lt;&gt;"",SUM(K624,P624,U624,Z624,AE624,AJ624,,AO624,AT624),F624="","")</f>
        <v/>
      </c>
      <c r="BC624" s="211" t="str" cm="1">
        <f t="array" ref="BC624">_xlfn.IFS(E624="","",G624&lt;=E624,BB624*(1-0.03),G624&lt;(E624+8),BB624,AZ624="Boleto",BB624*(1+0.001)^DATEDIF(E624,G624,"D"),AZ624="Cheque",BB624,AZ624="Dinheiro","Alterar forma pgto")</f>
        <v/>
      </c>
      <c r="BD624" s="276" t="str" cm="1">
        <f t="array" ref="BD624">IF(F624=0," ",IF(BC624&lt;BB624,(_xlfn.IFS(AW624="SIM",SUM(L624,Q624,V624,AA624,AF624,AK624,AP624,AU624)+AX624/_xlfn.XLOOKUP(_xlfn.XLOOKUP($F624,Clientes!$B$4:$B$39,Clientes!$C$4:$C$39),Cadastros!$L$6:$L$12,Cadastros!$M$6:$M$12)+IF($F624="Bernardino Furlan",AY624/2751.92,IF($F624="Mauro José Salanti",AY624/2751.92,AY624/3356)),F624&lt;&gt;0,SUM(L624,Q624,V624,AA624,AF624,AK624,AP624,AU624)))*(1-0.03),_xlfn.IFS(AW624="SIM",SUM(L624,Q624,V624,AA624,AF624,AK624,AP624,AU624)+AX624/_xlfn.XLOOKUP(_xlfn.XLOOKUP($F624,Clientes!$B$4:$B$39,Clientes!$C$4:$C$39),Cadastros!$L$6:$L$12,Cadastros!$M$6:$M$12)+IF($F624="Bernardino Furlan",AY624/2751.92,IF($F624="Mauro José Salanti",AY624/2751.92,AY624/3356)),F624&lt;&gt;0,SUM(L624,Q624,V624,AA624,AF624,AK624,AP624,AU624))))</f>
        <v xml:space="preserve"> </v>
      </c>
      <c r="BE624" s="120"/>
      <c r="BF624" s="120"/>
      <c r="BG624" s="120"/>
    </row>
    <row r="625" spans="1:59" s="3" customFormat="1" x14ac:dyDescent="0.3">
      <c r="A625" s="15" t="str">
        <f t="shared" si="117"/>
        <v/>
      </c>
      <c r="B625" s="25"/>
      <c r="C625" s="26"/>
      <c r="D625" s="279"/>
      <c r="E625" s="27"/>
      <c r="F625" s="28"/>
      <c r="G625" s="27"/>
      <c r="H625" s="28"/>
      <c r="I625" s="28"/>
      <c r="J625" s="255" t="str">
        <f>IF(H625="","",(_xlfn.XLOOKUP(H625,Cadastros!$D$6:$D$90,Cadastros!$E$6:$E$90))*(1-_xlfn.XLOOKUP(_xlfn.XLOOKUP($F625,Clientes!$B$4:$B$39,Clientes!$C$4:$C$39),Cadastros!$L$6:$L$12,Cadastros!$N$6:$N$12)))</f>
        <v/>
      </c>
      <c r="K625" s="168" t="str">
        <f t="shared" si="118"/>
        <v/>
      </c>
      <c r="L625" s="168" t="str">
        <f>IFERROR(K625/_xlfn.XLOOKUP(_xlfn.XLOOKUP($F625,Clientes!$B$4:$B$39,Clientes!$C$4:$C$39),Cadastros!$L$6:$L$12,Cadastros!$M$6:$M$12)," ")</f>
        <v xml:space="preserve"> </v>
      </c>
      <c r="M625" s="28"/>
      <c r="N625" s="28"/>
      <c r="O625" s="255" t="str">
        <f>IF(M625="","",(_xlfn.XLOOKUP(M625,Cadastros!$D$6:$D$90,Cadastros!$E$6:$E$90))*(1-_xlfn.XLOOKUP(_xlfn.XLOOKUP($F625,Clientes!$B$4:$B$39,Clientes!$C$4:$C$39),Cadastros!$L$6:$L$12,Cadastros!$N$6:$N$12)))</f>
        <v/>
      </c>
      <c r="P625" s="168" t="str">
        <f t="shared" si="119"/>
        <v/>
      </c>
      <c r="Q625" s="168" t="str">
        <f>IFERROR(P625/_xlfn.XLOOKUP(_xlfn.XLOOKUP($F625,Clientes!$B$4:$B$39,Clientes!$C$4:$C$39),Cadastros!$L$6:$L$12,Cadastros!$M$6:$M$12)," ")</f>
        <v xml:space="preserve"> </v>
      </c>
      <c r="R625" s="28"/>
      <c r="S625" s="28"/>
      <c r="T625" s="255" t="str">
        <f>IF(R625="","",(_xlfn.XLOOKUP(R625,Cadastros!$D$6:$D$90,Cadastros!$E$6:$E$90))*(1-_xlfn.XLOOKUP(_xlfn.XLOOKUP($F625,Clientes!$B$4:$B$39,Clientes!$C$4:$C$39),Cadastros!$L$6:$L$12,Cadastros!$N$6:$N$12)))</f>
        <v/>
      </c>
      <c r="U625" s="168" t="str">
        <f t="shared" si="120"/>
        <v/>
      </c>
      <c r="V625" s="168" t="str">
        <f>IFERROR(U625/_xlfn.XLOOKUP(_xlfn.XLOOKUP($F625,Clientes!$B$4:$B$39,Clientes!$C$4:$C$39),Cadastros!$L$6:$L$12,Cadastros!$M$6:$M$12)," ")</f>
        <v xml:space="preserve"> </v>
      </c>
      <c r="W625" s="28"/>
      <c r="X625" s="28"/>
      <c r="Y625" s="255" t="str">
        <f>IF(W625="","",(_xlfn.XLOOKUP(W625,Cadastros!$D$6:$D$90,Cadastros!$E$6:$E$90))*(1-_xlfn.XLOOKUP(_xlfn.XLOOKUP($F625,Clientes!$B$4:$B$39,Clientes!$C$4:$C$39),Cadastros!$L$6:$L$12,Cadastros!$N$6:$N$12)))</f>
        <v/>
      </c>
      <c r="Z625" s="168" t="str">
        <f t="shared" si="121"/>
        <v/>
      </c>
      <c r="AA625" s="168" t="str">
        <f>IFERROR(Z625/_xlfn.XLOOKUP(_xlfn.XLOOKUP($F625,Clientes!$B$4:$B$39,Clientes!$C$4:$C$39),Cadastros!$L$6:$L$12,Cadastros!$M$6:$M$12)," ")</f>
        <v xml:space="preserve"> </v>
      </c>
      <c r="AB625" s="28"/>
      <c r="AC625" s="28"/>
      <c r="AD625" s="20" t="str">
        <f>IF(AB625="","",IF($F625="Bernardino Furlan",_xlfn.XLOOKUP(AB625,Cadastros!$G$6:$G$90,Cadastros!$H$6:$H$90)*(1-0.18),IF($F625="Mauro José Salanti",_xlfn.XLOOKUP(AB625,Cadastros!$G$6:$G$90,Cadastros!$H$6:$H$90)*(1-0.18),_xlfn.XLOOKUP(AB625,Cadastros!$G$6:$G$90,Cadastros!$H$6:$H$90))))</f>
        <v/>
      </c>
      <c r="AE625" s="168" t="str">
        <f t="shared" si="122"/>
        <v/>
      </c>
      <c r="AF625" s="168" t="str">
        <f t="shared" si="123"/>
        <v/>
      </c>
      <c r="AG625" s="28"/>
      <c r="AH625" s="28"/>
      <c r="AI625" s="20" t="str">
        <f>IF(AG625="","",IF($F625="Bernardino Furlan",_xlfn.XLOOKUP(AG625,Cadastros!$G$6:$G$90,Cadastros!$H$6:$H$90)*(1-0.18),IF($F625="Mauro José Salanti",_xlfn.XLOOKUP(AG625,Cadastros!$G$6:$G$90,Cadastros!$H$6:$H$90)*(1-0.18),_xlfn.XLOOKUP(AG625,Cadastros!$G$6:$G$90,Cadastros!$H$6:$H$90))))</f>
        <v/>
      </c>
      <c r="AJ625" s="168" t="str">
        <f t="shared" si="124"/>
        <v/>
      </c>
      <c r="AK625" s="168" t="str">
        <f t="shared" si="125"/>
        <v/>
      </c>
      <c r="AL625" s="28"/>
      <c r="AM625" s="28"/>
      <c r="AN625" s="20" t="str">
        <f>IF(AL625="","",IF($F625="Bernardino Furlan",_xlfn.XLOOKUP(AL625,Cadastros!$G$6:$G$90,Cadastros!$H$6:$H$90)*(1-0.18),IF($F625="Mauro José Salanti",_xlfn.XLOOKUP(AL625,Cadastros!$G$6:$G$90,Cadastros!$H$6:$H$90)*(1-0.18),_xlfn.XLOOKUP(AL625,Cadastros!$G$6:$G$90,Cadastros!$H$6:$H$90))))</f>
        <v/>
      </c>
      <c r="AO625" s="168" t="str">
        <f t="shared" si="126"/>
        <v/>
      </c>
      <c r="AP625" s="168" t="str">
        <f t="shared" si="127"/>
        <v/>
      </c>
      <c r="AQ625" s="28"/>
      <c r="AR625" s="28"/>
      <c r="AS625" s="20" t="str">
        <f>IF(AQ625="","",IF($F625="Bernardino Furlan",_xlfn.XLOOKUP(AQ625,Cadastros!$G$6:$G$90,Cadastros!$H$6:$H$90)*(1-0.18),IF($F625="Mauro José Salanti",_xlfn.XLOOKUP(AQ625,Cadastros!$G$6:$G$90,Cadastros!$H$6:$H$90)*(1-0.18),_xlfn.XLOOKUP(AQ625,Cadastros!$G$6:$G$90,Cadastros!$H$6:$H$90))))</f>
        <v/>
      </c>
      <c r="AT625" s="168" t="str">
        <f t="shared" si="128"/>
        <v/>
      </c>
      <c r="AU625" s="168" t="str">
        <f t="shared" si="129"/>
        <v/>
      </c>
      <c r="AV625" s="227"/>
      <c r="AW625" s="30"/>
      <c r="AX625" s="267"/>
      <c r="AY625" s="267"/>
      <c r="AZ625" s="29"/>
      <c r="BA625" s="30"/>
      <c r="BB625" s="23" t="str" cm="1">
        <f t="array" ref="BB625">_xlfn.IFS(AW625="SIM",SUM(K625,P625,U625,Z625,AE625,AJ625,AO625,AT625,AX625,AY625),F625&lt;&gt;"",SUM(K625,P625,U625,Z625,AE625,AJ625,,AO625,AT625),F625="","")</f>
        <v/>
      </c>
      <c r="BC625" s="211" t="str" cm="1">
        <f t="array" ref="BC625">_xlfn.IFS(E625="","",G625&lt;=E625,BB625*(1-0.03),G625&lt;(E625+8),BB625,AZ625="Boleto",BB625*(1+0.001)^DATEDIF(E625,G625,"D"),AZ625="Cheque",BB625,AZ625="Dinheiro","Alterar forma pgto")</f>
        <v/>
      </c>
      <c r="BD625" s="276" t="str" cm="1">
        <f t="array" ref="BD625">IF(F625=0," ",IF(BC625&lt;BB625,(_xlfn.IFS(AW625="SIM",SUM(L625,Q625,V625,AA625,AF625,AK625,AP625,AU625)+AX625/_xlfn.XLOOKUP(_xlfn.XLOOKUP($F625,Clientes!$B$4:$B$39,Clientes!$C$4:$C$39),Cadastros!$L$6:$L$12,Cadastros!$M$6:$M$12)+IF($F625="Bernardino Furlan",AY625/2751.92,IF($F625="Mauro José Salanti",AY625/2751.92,AY625/3356)),F625&lt;&gt;0,SUM(L625,Q625,V625,AA625,AF625,AK625,AP625,AU625)))*(1-0.03),_xlfn.IFS(AW625="SIM",SUM(L625,Q625,V625,AA625,AF625,AK625,AP625,AU625)+AX625/_xlfn.XLOOKUP(_xlfn.XLOOKUP($F625,Clientes!$B$4:$B$39,Clientes!$C$4:$C$39),Cadastros!$L$6:$L$12,Cadastros!$M$6:$M$12)+IF($F625="Bernardino Furlan",AY625/2751.92,IF($F625="Mauro José Salanti",AY625/2751.92,AY625/3356)),F625&lt;&gt;0,SUM(L625,Q625,V625,AA625,AF625,AK625,AP625,AU625))))</f>
        <v xml:space="preserve"> </v>
      </c>
      <c r="BE625" s="120"/>
      <c r="BF625" s="120"/>
      <c r="BG625" s="120"/>
    </row>
    <row r="626" spans="1:59" s="3" customFormat="1" x14ac:dyDescent="0.3">
      <c r="A626" s="15" t="str">
        <f t="shared" si="117"/>
        <v/>
      </c>
      <c r="B626" s="25"/>
      <c r="C626" s="26"/>
      <c r="D626" s="279"/>
      <c r="E626" s="27"/>
      <c r="F626" s="28"/>
      <c r="G626" s="27"/>
      <c r="H626" s="28"/>
      <c r="I626" s="28"/>
      <c r="J626" s="255" t="str">
        <f>IF(H626="","",(_xlfn.XLOOKUP(H626,Cadastros!$D$6:$D$90,Cadastros!$E$6:$E$90))*(1-_xlfn.XLOOKUP(_xlfn.XLOOKUP($F626,Clientes!$B$4:$B$39,Clientes!$C$4:$C$39),Cadastros!$L$6:$L$12,Cadastros!$N$6:$N$12)))</f>
        <v/>
      </c>
      <c r="K626" s="168" t="str">
        <f t="shared" si="118"/>
        <v/>
      </c>
      <c r="L626" s="168" t="str">
        <f>IFERROR(K626/_xlfn.XLOOKUP(_xlfn.XLOOKUP($F626,Clientes!$B$4:$B$39,Clientes!$C$4:$C$39),Cadastros!$L$6:$L$12,Cadastros!$M$6:$M$12)," ")</f>
        <v xml:space="preserve"> </v>
      </c>
      <c r="M626" s="28"/>
      <c r="N626" s="28"/>
      <c r="O626" s="255" t="str">
        <f>IF(M626="","",(_xlfn.XLOOKUP(M626,Cadastros!$D$6:$D$90,Cadastros!$E$6:$E$90))*(1-_xlfn.XLOOKUP(_xlfn.XLOOKUP($F626,Clientes!$B$4:$B$39,Clientes!$C$4:$C$39),Cadastros!$L$6:$L$12,Cadastros!$N$6:$N$12)))</f>
        <v/>
      </c>
      <c r="P626" s="168" t="str">
        <f t="shared" si="119"/>
        <v/>
      </c>
      <c r="Q626" s="168" t="str">
        <f>IFERROR(P626/_xlfn.XLOOKUP(_xlfn.XLOOKUP($F626,Clientes!$B$4:$B$39,Clientes!$C$4:$C$39),Cadastros!$L$6:$L$12,Cadastros!$M$6:$M$12)," ")</f>
        <v xml:space="preserve"> </v>
      </c>
      <c r="R626" s="28"/>
      <c r="S626" s="28"/>
      <c r="T626" s="255" t="str">
        <f>IF(R626="","",(_xlfn.XLOOKUP(R626,Cadastros!$D$6:$D$90,Cadastros!$E$6:$E$90))*(1-_xlfn.XLOOKUP(_xlfn.XLOOKUP($F626,Clientes!$B$4:$B$39,Clientes!$C$4:$C$39),Cadastros!$L$6:$L$12,Cadastros!$N$6:$N$12)))</f>
        <v/>
      </c>
      <c r="U626" s="168" t="str">
        <f t="shared" si="120"/>
        <v/>
      </c>
      <c r="V626" s="168" t="str">
        <f>IFERROR(U626/_xlfn.XLOOKUP(_xlfn.XLOOKUP($F626,Clientes!$B$4:$B$39,Clientes!$C$4:$C$39),Cadastros!$L$6:$L$12,Cadastros!$M$6:$M$12)," ")</f>
        <v xml:space="preserve"> </v>
      </c>
      <c r="W626" s="28"/>
      <c r="X626" s="28"/>
      <c r="Y626" s="255" t="str">
        <f>IF(W626="","",(_xlfn.XLOOKUP(W626,Cadastros!$D$6:$D$90,Cadastros!$E$6:$E$90))*(1-_xlfn.XLOOKUP(_xlfn.XLOOKUP($F626,Clientes!$B$4:$B$39,Clientes!$C$4:$C$39),Cadastros!$L$6:$L$12,Cadastros!$N$6:$N$12)))</f>
        <v/>
      </c>
      <c r="Z626" s="168" t="str">
        <f t="shared" si="121"/>
        <v/>
      </c>
      <c r="AA626" s="168" t="str">
        <f>IFERROR(Z626/_xlfn.XLOOKUP(_xlfn.XLOOKUP($F626,Clientes!$B$4:$B$39,Clientes!$C$4:$C$39),Cadastros!$L$6:$L$12,Cadastros!$M$6:$M$12)," ")</f>
        <v xml:space="preserve"> </v>
      </c>
      <c r="AB626" s="28"/>
      <c r="AC626" s="28"/>
      <c r="AD626" s="20" t="str">
        <f>IF(AB626="","",IF($F626="Bernardino Furlan",_xlfn.XLOOKUP(AB626,Cadastros!$G$6:$G$90,Cadastros!$H$6:$H$90)*(1-0.18),IF($F626="Mauro José Salanti",_xlfn.XLOOKUP(AB626,Cadastros!$G$6:$G$90,Cadastros!$H$6:$H$90)*(1-0.18),_xlfn.XLOOKUP(AB626,Cadastros!$G$6:$G$90,Cadastros!$H$6:$H$90))))</f>
        <v/>
      </c>
      <c r="AE626" s="168" t="str">
        <f t="shared" si="122"/>
        <v/>
      </c>
      <c r="AF626" s="168" t="str">
        <f t="shared" si="123"/>
        <v/>
      </c>
      <c r="AG626" s="28"/>
      <c r="AH626" s="28"/>
      <c r="AI626" s="20" t="str">
        <f>IF(AG626="","",IF($F626="Bernardino Furlan",_xlfn.XLOOKUP(AG626,Cadastros!$G$6:$G$90,Cadastros!$H$6:$H$90)*(1-0.18),IF($F626="Mauro José Salanti",_xlfn.XLOOKUP(AG626,Cadastros!$G$6:$G$90,Cadastros!$H$6:$H$90)*(1-0.18),_xlfn.XLOOKUP(AG626,Cadastros!$G$6:$G$90,Cadastros!$H$6:$H$90))))</f>
        <v/>
      </c>
      <c r="AJ626" s="168" t="str">
        <f t="shared" si="124"/>
        <v/>
      </c>
      <c r="AK626" s="168" t="str">
        <f t="shared" si="125"/>
        <v/>
      </c>
      <c r="AL626" s="28"/>
      <c r="AM626" s="28"/>
      <c r="AN626" s="20" t="str">
        <f>IF(AL626="","",IF($F626="Bernardino Furlan",_xlfn.XLOOKUP(AL626,Cadastros!$G$6:$G$90,Cadastros!$H$6:$H$90)*(1-0.18),IF($F626="Mauro José Salanti",_xlfn.XLOOKUP(AL626,Cadastros!$G$6:$G$90,Cadastros!$H$6:$H$90)*(1-0.18),_xlfn.XLOOKUP(AL626,Cadastros!$G$6:$G$90,Cadastros!$H$6:$H$90))))</f>
        <v/>
      </c>
      <c r="AO626" s="168" t="str">
        <f t="shared" si="126"/>
        <v/>
      </c>
      <c r="AP626" s="168" t="str">
        <f t="shared" si="127"/>
        <v/>
      </c>
      <c r="AQ626" s="28"/>
      <c r="AR626" s="28"/>
      <c r="AS626" s="20" t="str">
        <f>IF(AQ626="","",IF($F626="Bernardino Furlan",_xlfn.XLOOKUP(AQ626,Cadastros!$G$6:$G$90,Cadastros!$H$6:$H$90)*(1-0.18),IF($F626="Mauro José Salanti",_xlfn.XLOOKUP(AQ626,Cadastros!$G$6:$G$90,Cadastros!$H$6:$H$90)*(1-0.18),_xlfn.XLOOKUP(AQ626,Cadastros!$G$6:$G$90,Cadastros!$H$6:$H$90))))</f>
        <v/>
      </c>
      <c r="AT626" s="168" t="str">
        <f t="shared" si="128"/>
        <v/>
      </c>
      <c r="AU626" s="168" t="str">
        <f t="shared" si="129"/>
        <v/>
      </c>
      <c r="AV626" s="227"/>
      <c r="AW626" s="30"/>
      <c r="AX626" s="267"/>
      <c r="AY626" s="267"/>
      <c r="AZ626" s="29"/>
      <c r="BA626" s="30"/>
      <c r="BB626" s="23" t="str" cm="1">
        <f t="array" ref="BB626">_xlfn.IFS(AW626="SIM",SUM(K626,P626,U626,Z626,AE626,AJ626,AO626,AT626,AX626,AY626),F626&lt;&gt;"",SUM(K626,P626,U626,Z626,AE626,AJ626,,AO626,AT626),F626="","")</f>
        <v/>
      </c>
      <c r="BC626" s="211" t="str" cm="1">
        <f t="array" ref="BC626">_xlfn.IFS(E626="","",G626&lt;=E626,BB626*(1-0.03),G626&lt;(E626+8),BB626,AZ626="Boleto",BB626*(1+0.001)^DATEDIF(E626,G626,"D"),AZ626="Cheque",BB626,AZ626="Dinheiro","Alterar forma pgto")</f>
        <v/>
      </c>
      <c r="BD626" s="276" t="str" cm="1">
        <f t="array" ref="BD626">IF(F626=0," ",IF(BC626&lt;BB626,(_xlfn.IFS(AW626="SIM",SUM(L626,Q626,V626,AA626,AF626,AK626,AP626,AU626)+AX626/_xlfn.XLOOKUP(_xlfn.XLOOKUP($F626,Clientes!$B$4:$B$39,Clientes!$C$4:$C$39),Cadastros!$L$6:$L$12,Cadastros!$M$6:$M$12)+IF($F626="Bernardino Furlan",AY626/2751.92,IF($F626="Mauro José Salanti",AY626/2751.92,AY626/3356)),F626&lt;&gt;0,SUM(L626,Q626,V626,AA626,AF626,AK626,AP626,AU626)))*(1-0.03),_xlfn.IFS(AW626="SIM",SUM(L626,Q626,V626,AA626,AF626,AK626,AP626,AU626)+AX626/_xlfn.XLOOKUP(_xlfn.XLOOKUP($F626,Clientes!$B$4:$B$39,Clientes!$C$4:$C$39),Cadastros!$L$6:$L$12,Cadastros!$M$6:$M$12)+IF($F626="Bernardino Furlan",AY626/2751.92,IF($F626="Mauro José Salanti",AY626/2751.92,AY626/3356)),F626&lt;&gt;0,SUM(L626,Q626,V626,AA626,AF626,AK626,AP626,AU626))))</f>
        <v xml:space="preserve"> </v>
      </c>
      <c r="BE626" s="120"/>
      <c r="BF626" s="120"/>
      <c r="BG626" s="120"/>
    </row>
    <row r="627" spans="1:59" s="3" customFormat="1" x14ac:dyDescent="0.3">
      <c r="A627" s="15" t="str">
        <f t="shared" si="117"/>
        <v/>
      </c>
      <c r="B627" s="25"/>
      <c r="C627" s="26"/>
      <c r="D627" s="279"/>
      <c r="E627" s="27"/>
      <c r="F627" s="28"/>
      <c r="G627" s="27"/>
      <c r="H627" s="28"/>
      <c r="I627" s="28"/>
      <c r="J627" s="255" t="str">
        <f>IF(H627="","",(_xlfn.XLOOKUP(H627,Cadastros!$D$6:$D$90,Cadastros!$E$6:$E$90))*(1-_xlfn.XLOOKUP(_xlfn.XLOOKUP($F627,Clientes!$B$4:$B$39,Clientes!$C$4:$C$39),Cadastros!$L$6:$L$12,Cadastros!$N$6:$N$12)))</f>
        <v/>
      </c>
      <c r="K627" s="168" t="str">
        <f t="shared" si="118"/>
        <v/>
      </c>
      <c r="L627" s="168" t="str">
        <f>IFERROR(K627/_xlfn.XLOOKUP(_xlfn.XLOOKUP($F627,Clientes!$B$4:$B$39,Clientes!$C$4:$C$39),Cadastros!$L$6:$L$12,Cadastros!$M$6:$M$12)," ")</f>
        <v xml:space="preserve"> </v>
      </c>
      <c r="M627" s="28"/>
      <c r="N627" s="28"/>
      <c r="O627" s="255" t="str">
        <f>IF(M627="","",(_xlfn.XLOOKUP(M627,Cadastros!$D$6:$D$90,Cadastros!$E$6:$E$90))*(1-_xlfn.XLOOKUP(_xlfn.XLOOKUP($F627,Clientes!$B$4:$B$39,Clientes!$C$4:$C$39),Cadastros!$L$6:$L$12,Cadastros!$N$6:$N$12)))</f>
        <v/>
      </c>
      <c r="P627" s="168" t="str">
        <f t="shared" si="119"/>
        <v/>
      </c>
      <c r="Q627" s="168" t="str">
        <f>IFERROR(P627/_xlfn.XLOOKUP(_xlfn.XLOOKUP($F627,Clientes!$B$4:$B$39,Clientes!$C$4:$C$39),Cadastros!$L$6:$L$12,Cadastros!$M$6:$M$12)," ")</f>
        <v xml:space="preserve"> </v>
      </c>
      <c r="R627" s="28"/>
      <c r="S627" s="28"/>
      <c r="T627" s="255" t="str">
        <f>IF(R627="","",(_xlfn.XLOOKUP(R627,Cadastros!$D$6:$D$90,Cadastros!$E$6:$E$90))*(1-_xlfn.XLOOKUP(_xlfn.XLOOKUP($F627,Clientes!$B$4:$B$39,Clientes!$C$4:$C$39),Cadastros!$L$6:$L$12,Cadastros!$N$6:$N$12)))</f>
        <v/>
      </c>
      <c r="U627" s="168" t="str">
        <f t="shared" si="120"/>
        <v/>
      </c>
      <c r="V627" s="168" t="str">
        <f>IFERROR(U627/_xlfn.XLOOKUP(_xlfn.XLOOKUP($F627,Clientes!$B$4:$B$39,Clientes!$C$4:$C$39),Cadastros!$L$6:$L$12,Cadastros!$M$6:$M$12)," ")</f>
        <v xml:space="preserve"> </v>
      </c>
      <c r="W627" s="28"/>
      <c r="X627" s="28"/>
      <c r="Y627" s="255" t="str">
        <f>IF(W627="","",(_xlfn.XLOOKUP(W627,Cadastros!$D$6:$D$90,Cadastros!$E$6:$E$90))*(1-_xlfn.XLOOKUP(_xlfn.XLOOKUP($F627,Clientes!$B$4:$B$39,Clientes!$C$4:$C$39),Cadastros!$L$6:$L$12,Cadastros!$N$6:$N$12)))</f>
        <v/>
      </c>
      <c r="Z627" s="168" t="str">
        <f t="shared" si="121"/>
        <v/>
      </c>
      <c r="AA627" s="168" t="str">
        <f>IFERROR(Z627/_xlfn.XLOOKUP(_xlfn.XLOOKUP($F627,Clientes!$B$4:$B$39,Clientes!$C$4:$C$39),Cadastros!$L$6:$L$12,Cadastros!$M$6:$M$12)," ")</f>
        <v xml:space="preserve"> </v>
      </c>
      <c r="AB627" s="28"/>
      <c r="AC627" s="28"/>
      <c r="AD627" s="20" t="str">
        <f>IF(AB627="","",IF($F627="Bernardino Furlan",_xlfn.XLOOKUP(AB627,Cadastros!$G$6:$G$90,Cadastros!$H$6:$H$90)*(1-0.18),IF($F627="Mauro José Salanti",_xlfn.XLOOKUP(AB627,Cadastros!$G$6:$G$90,Cadastros!$H$6:$H$90)*(1-0.18),_xlfn.XLOOKUP(AB627,Cadastros!$G$6:$G$90,Cadastros!$H$6:$H$90))))</f>
        <v/>
      </c>
      <c r="AE627" s="168" t="str">
        <f t="shared" si="122"/>
        <v/>
      </c>
      <c r="AF627" s="168" t="str">
        <f t="shared" si="123"/>
        <v/>
      </c>
      <c r="AG627" s="28"/>
      <c r="AH627" s="28"/>
      <c r="AI627" s="20" t="str">
        <f>IF(AG627="","",IF($F627="Bernardino Furlan",_xlfn.XLOOKUP(AG627,Cadastros!$G$6:$G$90,Cadastros!$H$6:$H$90)*(1-0.18),IF($F627="Mauro José Salanti",_xlfn.XLOOKUP(AG627,Cadastros!$G$6:$G$90,Cadastros!$H$6:$H$90)*(1-0.18),_xlfn.XLOOKUP(AG627,Cadastros!$G$6:$G$90,Cadastros!$H$6:$H$90))))</f>
        <v/>
      </c>
      <c r="AJ627" s="168" t="str">
        <f t="shared" si="124"/>
        <v/>
      </c>
      <c r="AK627" s="168" t="str">
        <f t="shared" si="125"/>
        <v/>
      </c>
      <c r="AL627" s="28"/>
      <c r="AM627" s="28"/>
      <c r="AN627" s="20" t="str">
        <f>IF(AL627="","",IF($F627="Bernardino Furlan",_xlfn.XLOOKUP(AL627,Cadastros!$G$6:$G$90,Cadastros!$H$6:$H$90)*(1-0.18),IF($F627="Mauro José Salanti",_xlfn.XLOOKUP(AL627,Cadastros!$G$6:$G$90,Cadastros!$H$6:$H$90)*(1-0.18),_xlfn.XLOOKUP(AL627,Cadastros!$G$6:$G$90,Cadastros!$H$6:$H$90))))</f>
        <v/>
      </c>
      <c r="AO627" s="168" t="str">
        <f t="shared" si="126"/>
        <v/>
      </c>
      <c r="AP627" s="168" t="str">
        <f t="shared" si="127"/>
        <v/>
      </c>
      <c r="AQ627" s="28"/>
      <c r="AR627" s="28"/>
      <c r="AS627" s="20" t="str">
        <f>IF(AQ627="","",IF($F627="Bernardino Furlan",_xlfn.XLOOKUP(AQ627,Cadastros!$G$6:$G$90,Cadastros!$H$6:$H$90)*(1-0.18),IF($F627="Mauro José Salanti",_xlfn.XLOOKUP(AQ627,Cadastros!$G$6:$G$90,Cadastros!$H$6:$H$90)*(1-0.18),_xlfn.XLOOKUP(AQ627,Cadastros!$G$6:$G$90,Cadastros!$H$6:$H$90))))</f>
        <v/>
      </c>
      <c r="AT627" s="168" t="str">
        <f t="shared" si="128"/>
        <v/>
      </c>
      <c r="AU627" s="168" t="str">
        <f t="shared" si="129"/>
        <v/>
      </c>
      <c r="AV627" s="227"/>
      <c r="AW627" s="30"/>
      <c r="AX627" s="267"/>
      <c r="AY627" s="267"/>
      <c r="AZ627" s="29"/>
      <c r="BA627" s="30"/>
      <c r="BB627" s="23" t="str" cm="1">
        <f t="array" ref="BB627">_xlfn.IFS(AW627="SIM",SUM(K627,P627,U627,Z627,AE627,AJ627,AO627,AT627,AX627,AY627),F627&lt;&gt;"",SUM(K627,P627,U627,Z627,AE627,AJ627,,AO627,AT627),F627="","")</f>
        <v/>
      </c>
      <c r="BC627" s="211" t="str" cm="1">
        <f t="array" ref="BC627">_xlfn.IFS(E627="","",G627&lt;=E627,BB627*(1-0.03),G627&lt;(E627+8),BB627,AZ627="Boleto",BB627*(1+0.001)^DATEDIF(E627,G627,"D"),AZ627="Cheque",BB627,AZ627="Dinheiro","Alterar forma pgto")</f>
        <v/>
      </c>
      <c r="BD627" s="276" t="str" cm="1">
        <f t="array" ref="BD627">IF(F627=0," ",IF(BC627&lt;BB627,(_xlfn.IFS(AW627="SIM",SUM(L627,Q627,V627,AA627,AF627,AK627,AP627,AU627)+AX627/_xlfn.XLOOKUP(_xlfn.XLOOKUP($F627,Clientes!$B$4:$B$39,Clientes!$C$4:$C$39),Cadastros!$L$6:$L$12,Cadastros!$M$6:$M$12)+IF($F627="Bernardino Furlan",AY627/2751.92,IF($F627="Mauro José Salanti",AY627/2751.92,AY627/3356)),F627&lt;&gt;0,SUM(L627,Q627,V627,AA627,AF627,AK627,AP627,AU627)))*(1-0.03),_xlfn.IFS(AW627="SIM",SUM(L627,Q627,V627,AA627,AF627,AK627,AP627,AU627)+AX627/_xlfn.XLOOKUP(_xlfn.XLOOKUP($F627,Clientes!$B$4:$B$39,Clientes!$C$4:$C$39),Cadastros!$L$6:$L$12,Cadastros!$M$6:$M$12)+IF($F627="Bernardino Furlan",AY627/2751.92,IF($F627="Mauro José Salanti",AY627/2751.92,AY627/3356)),F627&lt;&gt;0,SUM(L627,Q627,V627,AA627,AF627,AK627,AP627,AU627))))</f>
        <v xml:space="preserve"> </v>
      </c>
      <c r="BE627" s="120"/>
      <c r="BF627" s="120"/>
      <c r="BG627" s="120"/>
    </row>
    <row r="628" spans="1:59" s="3" customFormat="1" x14ac:dyDescent="0.3">
      <c r="A628" s="15" t="str">
        <f t="shared" si="117"/>
        <v/>
      </c>
      <c r="B628" s="25"/>
      <c r="C628" s="26"/>
      <c r="D628" s="279"/>
      <c r="E628" s="27"/>
      <c r="F628" s="28"/>
      <c r="G628" s="27"/>
      <c r="H628" s="28"/>
      <c r="I628" s="28"/>
      <c r="J628" s="255" t="str">
        <f>IF(H628="","",(_xlfn.XLOOKUP(H628,Cadastros!$D$6:$D$90,Cadastros!$E$6:$E$90))*(1-_xlfn.XLOOKUP(_xlfn.XLOOKUP($F628,Clientes!$B$4:$B$39,Clientes!$C$4:$C$39),Cadastros!$L$6:$L$12,Cadastros!$N$6:$N$12)))</f>
        <v/>
      </c>
      <c r="K628" s="168" t="str">
        <f t="shared" si="118"/>
        <v/>
      </c>
      <c r="L628" s="168" t="str">
        <f>IFERROR(K628/_xlfn.XLOOKUP(_xlfn.XLOOKUP($F628,Clientes!$B$4:$B$39,Clientes!$C$4:$C$39),Cadastros!$L$6:$L$12,Cadastros!$M$6:$M$12)," ")</f>
        <v xml:space="preserve"> </v>
      </c>
      <c r="M628" s="28"/>
      <c r="N628" s="28"/>
      <c r="O628" s="255" t="str">
        <f>IF(M628="","",(_xlfn.XLOOKUP(M628,Cadastros!$D$6:$D$90,Cadastros!$E$6:$E$90))*(1-_xlfn.XLOOKUP(_xlfn.XLOOKUP($F628,Clientes!$B$4:$B$39,Clientes!$C$4:$C$39),Cadastros!$L$6:$L$12,Cadastros!$N$6:$N$12)))</f>
        <v/>
      </c>
      <c r="P628" s="168" t="str">
        <f t="shared" si="119"/>
        <v/>
      </c>
      <c r="Q628" s="168" t="str">
        <f>IFERROR(P628/_xlfn.XLOOKUP(_xlfn.XLOOKUP($F628,Clientes!$B$4:$B$39,Clientes!$C$4:$C$39),Cadastros!$L$6:$L$12,Cadastros!$M$6:$M$12)," ")</f>
        <v xml:space="preserve"> </v>
      </c>
      <c r="R628" s="28"/>
      <c r="S628" s="28"/>
      <c r="T628" s="255" t="str">
        <f>IF(R628="","",(_xlfn.XLOOKUP(R628,Cadastros!$D$6:$D$90,Cadastros!$E$6:$E$90))*(1-_xlfn.XLOOKUP(_xlfn.XLOOKUP($F628,Clientes!$B$4:$B$39,Clientes!$C$4:$C$39),Cadastros!$L$6:$L$12,Cadastros!$N$6:$N$12)))</f>
        <v/>
      </c>
      <c r="U628" s="168" t="str">
        <f t="shared" si="120"/>
        <v/>
      </c>
      <c r="V628" s="168" t="str">
        <f>IFERROR(U628/_xlfn.XLOOKUP(_xlfn.XLOOKUP($F628,Clientes!$B$4:$B$39,Clientes!$C$4:$C$39),Cadastros!$L$6:$L$12,Cadastros!$M$6:$M$12)," ")</f>
        <v xml:space="preserve"> </v>
      </c>
      <c r="W628" s="28"/>
      <c r="X628" s="28"/>
      <c r="Y628" s="255" t="str">
        <f>IF(W628="","",(_xlfn.XLOOKUP(W628,Cadastros!$D$6:$D$90,Cadastros!$E$6:$E$90))*(1-_xlfn.XLOOKUP(_xlfn.XLOOKUP($F628,Clientes!$B$4:$B$39,Clientes!$C$4:$C$39),Cadastros!$L$6:$L$12,Cadastros!$N$6:$N$12)))</f>
        <v/>
      </c>
      <c r="Z628" s="168" t="str">
        <f t="shared" si="121"/>
        <v/>
      </c>
      <c r="AA628" s="168" t="str">
        <f>IFERROR(Z628/_xlfn.XLOOKUP(_xlfn.XLOOKUP($F628,Clientes!$B$4:$B$39,Clientes!$C$4:$C$39),Cadastros!$L$6:$L$12,Cadastros!$M$6:$M$12)," ")</f>
        <v xml:space="preserve"> </v>
      </c>
      <c r="AB628" s="28"/>
      <c r="AC628" s="28"/>
      <c r="AD628" s="20" t="str">
        <f>IF(AB628="","",IF($F628="Bernardino Furlan",_xlfn.XLOOKUP(AB628,Cadastros!$G$6:$G$90,Cadastros!$H$6:$H$90)*(1-0.18),IF($F628="Mauro José Salanti",_xlfn.XLOOKUP(AB628,Cadastros!$G$6:$G$90,Cadastros!$H$6:$H$90)*(1-0.18),_xlfn.XLOOKUP(AB628,Cadastros!$G$6:$G$90,Cadastros!$H$6:$H$90))))</f>
        <v/>
      </c>
      <c r="AE628" s="168" t="str">
        <f t="shared" si="122"/>
        <v/>
      </c>
      <c r="AF628" s="168" t="str">
        <f t="shared" si="123"/>
        <v/>
      </c>
      <c r="AG628" s="28"/>
      <c r="AH628" s="28"/>
      <c r="AI628" s="20" t="str">
        <f>IF(AG628="","",IF($F628="Bernardino Furlan",_xlfn.XLOOKUP(AG628,Cadastros!$G$6:$G$90,Cadastros!$H$6:$H$90)*(1-0.18),IF($F628="Mauro José Salanti",_xlfn.XLOOKUP(AG628,Cadastros!$G$6:$G$90,Cadastros!$H$6:$H$90)*(1-0.18),_xlfn.XLOOKUP(AG628,Cadastros!$G$6:$G$90,Cadastros!$H$6:$H$90))))</f>
        <v/>
      </c>
      <c r="AJ628" s="168" t="str">
        <f t="shared" si="124"/>
        <v/>
      </c>
      <c r="AK628" s="168" t="str">
        <f t="shared" si="125"/>
        <v/>
      </c>
      <c r="AL628" s="28"/>
      <c r="AM628" s="28"/>
      <c r="AN628" s="20" t="str">
        <f>IF(AL628="","",IF($F628="Bernardino Furlan",_xlfn.XLOOKUP(AL628,Cadastros!$G$6:$G$90,Cadastros!$H$6:$H$90)*(1-0.18),IF($F628="Mauro José Salanti",_xlfn.XLOOKUP(AL628,Cadastros!$G$6:$G$90,Cadastros!$H$6:$H$90)*(1-0.18),_xlfn.XLOOKUP(AL628,Cadastros!$G$6:$G$90,Cadastros!$H$6:$H$90))))</f>
        <v/>
      </c>
      <c r="AO628" s="168" t="str">
        <f t="shared" si="126"/>
        <v/>
      </c>
      <c r="AP628" s="168" t="str">
        <f t="shared" si="127"/>
        <v/>
      </c>
      <c r="AQ628" s="28"/>
      <c r="AR628" s="28"/>
      <c r="AS628" s="20" t="str">
        <f>IF(AQ628="","",IF($F628="Bernardino Furlan",_xlfn.XLOOKUP(AQ628,Cadastros!$G$6:$G$90,Cadastros!$H$6:$H$90)*(1-0.18),IF($F628="Mauro José Salanti",_xlfn.XLOOKUP(AQ628,Cadastros!$G$6:$G$90,Cadastros!$H$6:$H$90)*(1-0.18),_xlfn.XLOOKUP(AQ628,Cadastros!$G$6:$G$90,Cadastros!$H$6:$H$90))))</f>
        <v/>
      </c>
      <c r="AT628" s="168" t="str">
        <f t="shared" si="128"/>
        <v/>
      </c>
      <c r="AU628" s="168" t="str">
        <f t="shared" si="129"/>
        <v/>
      </c>
      <c r="AV628" s="227"/>
      <c r="AW628" s="30"/>
      <c r="AX628" s="267"/>
      <c r="AY628" s="267"/>
      <c r="AZ628" s="29"/>
      <c r="BA628" s="30"/>
      <c r="BB628" s="23" t="str" cm="1">
        <f t="array" ref="BB628">_xlfn.IFS(AW628="SIM",SUM(K628,P628,U628,Z628,AE628,AJ628,AO628,AT628,AX628,AY628),F628&lt;&gt;"",SUM(K628,P628,U628,Z628,AE628,AJ628,,AO628,AT628),F628="","")</f>
        <v/>
      </c>
      <c r="BC628" s="211" t="str" cm="1">
        <f t="array" ref="BC628">_xlfn.IFS(E628="","",G628&lt;=E628,BB628*(1-0.03),G628&lt;(E628+8),BB628,AZ628="Boleto",BB628*(1+0.001)^DATEDIF(E628,G628,"D"),AZ628="Cheque",BB628,AZ628="Dinheiro","Alterar forma pgto")</f>
        <v/>
      </c>
      <c r="BD628" s="276" t="str" cm="1">
        <f t="array" ref="BD628">IF(F628=0," ",IF(BC628&lt;BB628,(_xlfn.IFS(AW628="SIM",SUM(L628,Q628,V628,AA628,AF628,AK628,AP628,AU628)+AX628/_xlfn.XLOOKUP(_xlfn.XLOOKUP($F628,Clientes!$B$4:$B$39,Clientes!$C$4:$C$39),Cadastros!$L$6:$L$12,Cadastros!$M$6:$M$12)+IF($F628="Bernardino Furlan",AY628/2751.92,IF($F628="Mauro José Salanti",AY628/2751.92,AY628/3356)),F628&lt;&gt;0,SUM(L628,Q628,V628,AA628,AF628,AK628,AP628,AU628)))*(1-0.03),_xlfn.IFS(AW628="SIM",SUM(L628,Q628,V628,AA628,AF628,AK628,AP628,AU628)+AX628/_xlfn.XLOOKUP(_xlfn.XLOOKUP($F628,Clientes!$B$4:$B$39,Clientes!$C$4:$C$39),Cadastros!$L$6:$L$12,Cadastros!$M$6:$M$12)+IF($F628="Bernardino Furlan",AY628/2751.92,IF($F628="Mauro José Salanti",AY628/2751.92,AY628/3356)),F628&lt;&gt;0,SUM(L628,Q628,V628,AA628,AF628,AK628,AP628,AU628))))</f>
        <v xml:space="preserve"> </v>
      </c>
      <c r="BE628" s="120"/>
      <c r="BF628" s="120"/>
      <c r="BG628" s="120"/>
    </row>
    <row r="629" spans="1:59" s="3" customFormat="1" x14ac:dyDescent="0.3">
      <c r="A629" s="15" t="str">
        <f t="shared" si="117"/>
        <v/>
      </c>
      <c r="B629" s="25"/>
      <c r="C629" s="26"/>
      <c r="D629" s="279"/>
      <c r="E629" s="27"/>
      <c r="F629" s="28"/>
      <c r="G629" s="27"/>
      <c r="H629" s="28"/>
      <c r="I629" s="28"/>
      <c r="J629" s="255" t="str">
        <f>IF(H629="","",(_xlfn.XLOOKUP(H629,Cadastros!$D$6:$D$90,Cadastros!$E$6:$E$90))*(1-_xlfn.XLOOKUP(_xlfn.XLOOKUP($F629,Clientes!$B$4:$B$39,Clientes!$C$4:$C$39),Cadastros!$L$6:$L$12,Cadastros!$N$6:$N$12)))</f>
        <v/>
      </c>
      <c r="K629" s="168" t="str">
        <f t="shared" si="118"/>
        <v/>
      </c>
      <c r="L629" s="168" t="str">
        <f>IFERROR(K629/_xlfn.XLOOKUP(_xlfn.XLOOKUP($F629,Clientes!$B$4:$B$39,Clientes!$C$4:$C$39),Cadastros!$L$6:$L$12,Cadastros!$M$6:$M$12)," ")</f>
        <v xml:space="preserve"> </v>
      </c>
      <c r="M629" s="28"/>
      <c r="N629" s="28"/>
      <c r="O629" s="255" t="str">
        <f>IF(M629="","",(_xlfn.XLOOKUP(M629,Cadastros!$D$6:$D$90,Cadastros!$E$6:$E$90))*(1-_xlfn.XLOOKUP(_xlfn.XLOOKUP($F629,Clientes!$B$4:$B$39,Clientes!$C$4:$C$39),Cadastros!$L$6:$L$12,Cadastros!$N$6:$N$12)))</f>
        <v/>
      </c>
      <c r="P629" s="168" t="str">
        <f t="shared" si="119"/>
        <v/>
      </c>
      <c r="Q629" s="168" t="str">
        <f>IFERROR(P629/_xlfn.XLOOKUP(_xlfn.XLOOKUP($F629,Clientes!$B$4:$B$39,Clientes!$C$4:$C$39),Cadastros!$L$6:$L$12,Cadastros!$M$6:$M$12)," ")</f>
        <v xml:space="preserve"> </v>
      </c>
      <c r="R629" s="28"/>
      <c r="S629" s="28"/>
      <c r="T629" s="255" t="str">
        <f>IF(R629="","",(_xlfn.XLOOKUP(R629,Cadastros!$D$6:$D$90,Cadastros!$E$6:$E$90))*(1-_xlfn.XLOOKUP(_xlfn.XLOOKUP($F629,Clientes!$B$4:$B$39,Clientes!$C$4:$C$39),Cadastros!$L$6:$L$12,Cadastros!$N$6:$N$12)))</f>
        <v/>
      </c>
      <c r="U629" s="168" t="str">
        <f t="shared" si="120"/>
        <v/>
      </c>
      <c r="V629" s="168" t="str">
        <f>IFERROR(U629/_xlfn.XLOOKUP(_xlfn.XLOOKUP($F629,Clientes!$B$4:$B$39,Clientes!$C$4:$C$39),Cadastros!$L$6:$L$12,Cadastros!$M$6:$M$12)," ")</f>
        <v xml:space="preserve"> </v>
      </c>
      <c r="W629" s="28"/>
      <c r="X629" s="28"/>
      <c r="Y629" s="255" t="str">
        <f>IF(W629="","",(_xlfn.XLOOKUP(W629,Cadastros!$D$6:$D$90,Cadastros!$E$6:$E$90))*(1-_xlfn.XLOOKUP(_xlfn.XLOOKUP($F629,Clientes!$B$4:$B$39,Clientes!$C$4:$C$39),Cadastros!$L$6:$L$12,Cadastros!$N$6:$N$12)))</f>
        <v/>
      </c>
      <c r="Z629" s="168" t="str">
        <f t="shared" si="121"/>
        <v/>
      </c>
      <c r="AA629" s="168" t="str">
        <f>IFERROR(Z629/_xlfn.XLOOKUP(_xlfn.XLOOKUP($F629,Clientes!$B$4:$B$39,Clientes!$C$4:$C$39),Cadastros!$L$6:$L$12,Cadastros!$M$6:$M$12)," ")</f>
        <v xml:space="preserve"> </v>
      </c>
      <c r="AB629" s="28"/>
      <c r="AC629" s="28"/>
      <c r="AD629" s="20" t="str">
        <f>IF(AB629="","",IF($F629="Bernardino Furlan",_xlfn.XLOOKUP(AB629,Cadastros!$G$6:$G$90,Cadastros!$H$6:$H$90)*(1-0.18),IF($F629="Mauro José Salanti",_xlfn.XLOOKUP(AB629,Cadastros!$G$6:$G$90,Cadastros!$H$6:$H$90)*(1-0.18),_xlfn.XLOOKUP(AB629,Cadastros!$G$6:$G$90,Cadastros!$H$6:$H$90))))</f>
        <v/>
      </c>
      <c r="AE629" s="168" t="str">
        <f t="shared" si="122"/>
        <v/>
      </c>
      <c r="AF629" s="168" t="str">
        <f t="shared" si="123"/>
        <v/>
      </c>
      <c r="AG629" s="28"/>
      <c r="AH629" s="28"/>
      <c r="AI629" s="20" t="str">
        <f>IF(AG629="","",IF($F629="Bernardino Furlan",_xlfn.XLOOKUP(AG629,Cadastros!$G$6:$G$90,Cadastros!$H$6:$H$90)*(1-0.18),IF($F629="Mauro José Salanti",_xlfn.XLOOKUP(AG629,Cadastros!$G$6:$G$90,Cadastros!$H$6:$H$90)*(1-0.18),_xlfn.XLOOKUP(AG629,Cadastros!$G$6:$G$90,Cadastros!$H$6:$H$90))))</f>
        <v/>
      </c>
      <c r="AJ629" s="168" t="str">
        <f t="shared" si="124"/>
        <v/>
      </c>
      <c r="AK629" s="168" t="str">
        <f t="shared" si="125"/>
        <v/>
      </c>
      <c r="AL629" s="28"/>
      <c r="AM629" s="28"/>
      <c r="AN629" s="20" t="str">
        <f>IF(AL629="","",IF($F629="Bernardino Furlan",_xlfn.XLOOKUP(AL629,Cadastros!$G$6:$G$90,Cadastros!$H$6:$H$90)*(1-0.18),IF($F629="Mauro José Salanti",_xlfn.XLOOKUP(AL629,Cadastros!$G$6:$G$90,Cadastros!$H$6:$H$90)*(1-0.18),_xlfn.XLOOKUP(AL629,Cadastros!$G$6:$G$90,Cadastros!$H$6:$H$90))))</f>
        <v/>
      </c>
      <c r="AO629" s="168" t="str">
        <f t="shared" si="126"/>
        <v/>
      </c>
      <c r="AP629" s="168" t="str">
        <f t="shared" si="127"/>
        <v/>
      </c>
      <c r="AQ629" s="28"/>
      <c r="AR629" s="28"/>
      <c r="AS629" s="20" t="str">
        <f>IF(AQ629="","",IF($F629="Bernardino Furlan",_xlfn.XLOOKUP(AQ629,Cadastros!$G$6:$G$90,Cadastros!$H$6:$H$90)*(1-0.18),IF($F629="Mauro José Salanti",_xlfn.XLOOKUP(AQ629,Cadastros!$G$6:$G$90,Cadastros!$H$6:$H$90)*(1-0.18),_xlfn.XLOOKUP(AQ629,Cadastros!$G$6:$G$90,Cadastros!$H$6:$H$90))))</f>
        <v/>
      </c>
      <c r="AT629" s="168" t="str">
        <f t="shared" si="128"/>
        <v/>
      </c>
      <c r="AU629" s="168" t="str">
        <f t="shared" si="129"/>
        <v/>
      </c>
      <c r="AV629" s="227"/>
      <c r="AW629" s="30"/>
      <c r="AX629" s="267"/>
      <c r="AY629" s="267"/>
      <c r="AZ629" s="29"/>
      <c r="BA629" s="30"/>
      <c r="BB629" s="23" t="str" cm="1">
        <f t="array" ref="BB629">_xlfn.IFS(AW629="SIM",SUM(K629,P629,U629,Z629,AE629,AJ629,AO629,AT629,AX629,AY629),F629&lt;&gt;"",SUM(K629,P629,U629,Z629,AE629,AJ629,,AO629,AT629),F629="","")</f>
        <v/>
      </c>
      <c r="BC629" s="211" t="str" cm="1">
        <f t="array" ref="BC629">_xlfn.IFS(E629="","",G629&lt;=E629,BB629*(1-0.03),G629&lt;(E629+8),BB629,AZ629="Boleto",BB629*(1+0.001)^DATEDIF(E629,G629,"D"),AZ629="Cheque",BB629,AZ629="Dinheiro","Alterar forma pgto")</f>
        <v/>
      </c>
      <c r="BD629" s="276" t="str" cm="1">
        <f t="array" ref="BD629">IF(F629=0," ",IF(BC629&lt;BB629,(_xlfn.IFS(AW629="SIM",SUM(L629,Q629,V629,AA629,AF629,AK629,AP629,AU629)+AX629/_xlfn.XLOOKUP(_xlfn.XLOOKUP($F629,Clientes!$B$4:$B$39,Clientes!$C$4:$C$39),Cadastros!$L$6:$L$12,Cadastros!$M$6:$M$12)+IF($F629="Bernardino Furlan",AY629/2751.92,IF($F629="Mauro José Salanti",AY629/2751.92,AY629/3356)),F629&lt;&gt;0,SUM(L629,Q629,V629,AA629,AF629,AK629,AP629,AU629)))*(1-0.03),_xlfn.IFS(AW629="SIM",SUM(L629,Q629,V629,AA629,AF629,AK629,AP629,AU629)+AX629/_xlfn.XLOOKUP(_xlfn.XLOOKUP($F629,Clientes!$B$4:$B$39,Clientes!$C$4:$C$39),Cadastros!$L$6:$L$12,Cadastros!$M$6:$M$12)+IF($F629="Bernardino Furlan",AY629/2751.92,IF($F629="Mauro José Salanti",AY629/2751.92,AY629/3356)),F629&lt;&gt;0,SUM(L629,Q629,V629,AA629,AF629,AK629,AP629,AU629))))</f>
        <v xml:space="preserve"> </v>
      </c>
      <c r="BE629" s="120"/>
      <c r="BF629" s="120"/>
      <c r="BG629" s="120"/>
    </row>
    <row r="630" spans="1:59" s="3" customFormat="1" x14ac:dyDescent="0.3">
      <c r="A630" s="15" t="str">
        <f t="shared" si="117"/>
        <v/>
      </c>
      <c r="B630" s="25"/>
      <c r="C630" s="26"/>
      <c r="D630" s="279"/>
      <c r="E630" s="27"/>
      <c r="F630" s="28"/>
      <c r="G630" s="27"/>
      <c r="H630" s="28"/>
      <c r="I630" s="28"/>
      <c r="J630" s="255" t="str">
        <f>IF(H630="","",(_xlfn.XLOOKUP(H630,Cadastros!$D$6:$D$90,Cadastros!$E$6:$E$90))*(1-_xlfn.XLOOKUP(_xlfn.XLOOKUP($F630,Clientes!$B$4:$B$39,Clientes!$C$4:$C$39),Cadastros!$L$6:$L$12,Cadastros!$N$6:$N$12)))</f>
        <v/>
      </c>
      <c r="K630" s="168" t="str">
        <f t="shared" si="118"/>
        <v/>
      </c>
      <c r="L630" s="168" t="str">
        <f>IFERROR(K630/_xlfn.XLOOKUP(_xlfn.XLOOKUP($F630,Clientes!$B$4:$B$39,Clientes!$C$4:$C$39),Cadastros!$L$6:$L$12,Cadastros!$M$6:$M$12)," ")</f>
        <v xml:space="preserve"> </v>
      </c>
      <c r="M630" s="28"/>
      <c r="N630" s="28"/>
      <c r="O630" s="255" t="str">
        <f>IF(M630="","",(_xlfn.XLOOKUP(M630,Cadastros!$D$6:$D$90,Cadastros!$E$6:$E$90))*(1-_xlfn.XLOOKUP(_xlfn.XLOOKUP($F630,Clientes!$B$4:$B$39,Clientes!$C$4:$C$39),Cadastros!$L$6:$L$12,Cadastros!$N$6:$N$12)))</f>
        <v/>
      </c>
      <c r="P630" s="168" t="str">
        <f t="shared" si="119"/>
        <v/>
      </c>
      <c r="Q630" s="168" t="str">
        <f>IFERROR(P630/_xlfn.XLOOKUP(_xlfn.XLOOKUP($F630,Clientes!$B$4:$B$39,Clientes!$C$4:$C$39),Cadastros!$L$6:$L$12,Cadastros!$M$6:$M$12)," ")</f>
        <v xml:space="preserve"> </v>
      </c>
      <c r="R630" s="28"/>
      <c r="S630" s="28"/>
      <c r="T630" s="255" t="str">
        <f>IF(R630="","",(_xlfn.XLOOKUP(R630,Cadastros!$D$6:$D$90,Cadastros!$E$6:$E$90))*(1-_xlfn.XLOOKUP(_xlfn.XLOOKUP($F630,Clientes!$B$4:$B$39,Clientes!$C$4:$C$39),Cadastros!$L$6:$L$12,Cadastros!$N$6:$N$12)))</f>
        <v/>
      </c>
      <c r="U630" s="168" t="str">
        <f t="shared" si="120"/>
        <v/>
      </c>
      <c r="V630" s="168" t="str">
        <f>IFERROR(U630/_xlfn.XLOOKUP(_xlfn.XLOOKUP($F630,Clientes!$B$4:$B$39,Clientes!$C$4:$C$39),Cadastros!$L$6:$L$12,Cadastros!$M$6:$M$12)," ")</f>
        <v xml:space="preserve"> </v>
      </c>
      <c r="W630" s="28"/>
      <c r="X630" s="28"/>
      <c r="Y630" s="255" t="str">
        <f>IF(W630="","",(_xlfn.XLOOKUP(W630,Cadastros!$D$6:$D$90,Cadastros!$E$6:$E$90))*(1-_xlfn.XLOOKUP(_xlfn.XLOOKUP($F630,Clientes!$B$4:$B$39,Clientes!$C$4:$C$39),Cadastros!$L$6:$L$12,Cadastros!$N$6:$N$12)))</f>
        <v/>
      </c>
      <c r="Z630" s="168" t="str">
        <f t="shared" si="121"/>
        <v/>
      </c>
      <c r="AA630" s="168" t="str">
        <f>IFERROR(Z630/_xlfn.XLOOKUP(_xlfn.XLOOKUP($F630,Clientes!$B$4:$B$39,Clientes!$C$4:$C$39),Cadastros!$L$6:$L$12,Cadastros!$M$6:$M$12)," ")</f>
        <v xml:space="preserve"> </v>
      </c>
      <c r="AB630" s="28"/>
      <c r="AC630" s="28"/>
      <c r="AD630" s="20" t="str">
        <f>IF(AB630="","",IF($F630="Bernardino Furlan",_xlfn.XLOOKUP(AB630,Cadastros!$G$6:$G$90,Cadastros!$H$6:$H$90)*(1-0.18),IF($F630="Mauro José Salanti",_xlfn.XLOOKUP(AB630,Cadastros!$G$6:$G$90,Cadastros!$H$6:$H$90)*(1-0.18),_xlfn.XLOOKUP(AB630,Cadastros!$G$6:$G$90,Cadastros!$H$6:$H$90))))</f>
        <v/>
      </c>
      <c r="AE630" s="168" t="str">
        <f t="shared" si="122"/>
        <v/>
      </c>
      <c r="AF630" s="168" t="str">
        <f t="shared" si="123"/>
        <v/>
      </c>
      <c r="AG630" s="28"/>
      <c r="AH630" s="28"/>
      <c r="AI630" s="20" t="str">
        <f>IF(AG630="","",IF($F630="Bernardino Furlan",_xlfn.XLOOKUP(AG630,Cadastros!$G$6:$G$90,Cadastros!$H$6:$H$90)*(1-0.18),IF($F630="Mauro José Salanti",_xlfn.XLOOKUP(AG630,Cadastros!$G$6:$G$90,Cadastros!$H$6:$H$90)*(1-0.18),_xlfn.XLOOKUP(AG630,Cadastros!$G$6:$G$90,Cadastros!$H$6:$H$90))))</f>
        <v/>
      </c>
      <c r="AJ630" s="168" t="str">
        <f t="shared" si="124"/>
        <v/>
      </c>
      <c r="AK630" s="168" t="str">
        <f t="shared" si="125"/>
        <v/>
      </c>
      <c r="AL630" s="28"/>
      <c r="AM630" s="28"/>
      <c r="AN630" s="20" t="str">
        <f>IF(AL630="","",IF($F630="Bernardino Furlan",_xlfn.XLOOKUP(AL630,Cadastros!$G$6:$G$90,Cadastros!$H$6:$H$90)*(1-0.18),IF($F630="Mauro José Salanti",_xlfn.XLOOKUP(AL630,Cadastros!$G$6:$G$90,Cadastros!$H$6:$H$90)*(1-0.18),_xlfn.XLOOKUP(AL630,Cadastros!$G$6:$G$90,Cadastros!$H$6:$H$90))))</f>
        <v/>
      </c>
      <c r="AO630" s="168" t="str">
        <f t="shared" si="126"/>
        <v/>
      </c>
      <c r="AP630" s="168" t="str">
        <f t="shared" si="127"/>
        <v/>
      </c>
      <c r="AQ630" s="28"/>
      <c r="AR630" s="28"/>
      <c r="AS630" s="20" t="str">
        <f>IF(AQ630="","",IF($F630="Bernardino Furlan",_xlfn.XLOOKUP(AQ630,Cadastros!$G$6:$G$90,Cadastros!$H$6:$H$90)*(1-0.18),IF($F630="Mauro José Salanti",_xlfn.XLOOKUP(AQ630,Cadastros!$G$6:$G$90,Cadastros!$H$6:$H$90)*(1-0.18),_xlfn.XLOOKUP(AQ630,Cadastros!$G$6:$G$90,Cadastros!$H$6:$H$90))))</f>
        <v/>
      </c>
      <c r="AT630" s="168" t="str">
        <f t="shared" si="128"/>
        <v/>
      </c>
      <c r="AU630" s="168" t="str">
        <f t="shared" si="129"/>
        <v/>
      </c>
      <c r="AV630" s="227"/>
      <c r="AW630" s="30"/>
      <c r="AX630" s="267"/>
      <c r="AY630" s="267"/>
      <c r="AZ630" s="29"/>
      <c r="BA630" s="30"/>
      <c r="BB630" s="23" t="str" cm="1">
        <f t="array" ref="BB630">_xlfn.IFS(AW630="SIM",SUM(K630,P630,U630,Z630,AE630,AJ630,AO630,AT630,AX630,AY630),F630&lt;&gt;"",SUM(K630,P630,U630,Z630,AE630,AJ630,,AO630,AT630),F630="","")</f>
        <v/>
      </c>
      <c r="BC630" s="211" t="str" cm="1">
        <f t="array" ref="BC630">_xlfn.IFS(E630="","",G630&lt;=E630,BB630*(1-0.03),G630&lt;(E630+8),BB630,AZ630="Boleto",BB630*(1+0.001)^DATEDIF(E630,G630,"D"),AZ630="Cheque",BB630,AZ630="Dinheiro","Alterar forma pgto")</f>
        <v/>
      </c>
      <c r="BD630" s="276" t="str" cm="1">
        <f t="array" ref="BD630">IF(F630=0," ",IF(BC630&lt;BB630,(_xlfn.IFS(AW630="SIM",SUM(L630,Q630,V630,AA630,AF630,AK630,AP630,AU630)+AX630/_xlfn.XLOOKUP(_xlfn.XLOOKUP($F630,Clientes!$B$4:$B$39,Clientes!$C$4:$C$39),Cadastros!$L$6:$L$12,Cadastros!$M$6:$M$12)+IF($F630="Bernardino Furlan",AY630/2751.92,IF($F630="Mauro José Salanti",AY630/2751.92,AY630/3356)),F630&lt;&gt;0,SUM(L630,Q630,V630,AA630,AF630,AK630,AP630,AU630)))*(1-0.03),_xlfn.IFS(AW630="SIM",SUM(L630,Q630,V630,AA630,AF630,AK630,AP630,AU630)+AX630/_xlfn.XLOOKUP(_xlfn.XLOOKUP($F630,Clientes!$B$4:$B$39,Clientes!$C$4:$C$39),Cadastros!$L$6:$L$12,Cadastros!$M$6:$M$12)+IF($F630="Bernardino Furlan",AY630/2751.92,IF($F630="Mauro José Salanti",AY630/2751.92,AY630/3356)),F630&lt;&gt;0,SUM(L630,Q630,V630,AA630,AF630,AK630,AP630,AU630))))</f>
        <v xml:space="preserve"> </v>
      </c>
      <c r="BE630" s="120"/>
      <c r="BF630" s="120"/>
      <c r="BG630" s="120"/>
    </row>
    <row r="631" spans="1:59" s="3" customFormat="1" x14ac:dyDescent="0.3">
      <c r="A631" s="15" t="str">
        <f t="shared" si="117"/>
        <v/>
      </c>
      <c r="B631" s="25"/>
      <c r="C631" s="26"/>
      <c r="D631" s="279"/>
      <c r="E631" s="27"/>
      <c r="F631" s="28"/>
      <c r="G631" s="27"/>
      <c r="H631" s="28"/>
      <c r="I631" s="28"/>
      <c r="J631" s="255" t="str">
        <f>IF(H631="","",(_xlfn.XLOOKUP(H631,Cadastros!$D$6:$D$90,Cadastros!$E$6:$E$90))*(1-_xlfn.XLOOKUP(_xlfn.XLOOKUP($F631,Clientes!$B$4:$B$39,Clientes!$C$4:$C$39),Cadastros!$L$6:$L$12,Cadastros!$N$6:$N$12)))</f>
        <v/>
      </c>
      <c r="K631" s="168" t="str">
        <f t="shared" si="118"/>
        <v/>
      </c>
      <c r="L631" s="168" t="str">
        <f>IFERROR(K631/_xlfn.XLOOKUP(_xlfn.XLOOKUP($F631,Clientes!$B$4:$B$39,Clientes!$C$4:$C$39),Cadastros!$L$6:$L$12,Cadastros!$M$6:$M$12)," ")</f>
        <v xml:space="preserve"> </v>
      </c>
      <c r="M631" s="28"/>
      <c r="N631" s="28"/>
      <c r="O631" s="255" t="str">
        <f>IF(M631="","",(_xlfn.XLOOKUP(M631,Cadastros!$D$6:$D$90,Cadastros!$E$6:$E$90))*(1-_xlfn.XLOOKUP(_xlfn.XLOOKUP($F631,Clientes!$B$4:$B$39,Clientes!$C$4:$C$39),Cadastros!$L$6:$L$12,Cadastros!$N$6:$N$12)))</f>
        <v/>
      </c>
      <c r="P631" s="168" t="str">
        <f t="shared" si="119"/>
        <v/>
      </c>
      <c r="Q631" s="168" t="str">
        <f>IFERROR(P631/_xlfn.XLOOKUP(_xlfn.XLOOKUP($F631,Clientes!$B$4:$B$39,Clientes!$C$4:$C$39),Cadastros!$L$6:$L$12,Cadastros!$M$6:$M$12)," ")</f>
        <v xml:space="preserve"> </v>
      </c>
      <c r="R631" s="28"/>
      <c r="S631" s="28"/>
      <c r="T631" s="255" t="str">
        <f>IF(R631="","",(_xlfn.XLOOKUP(R631,Cadastros!$D$6:$D$90,Cadastros!$E$6:$E$90))*(1-_xlfn.XLOOKUP(_xlfn.XLOOKUP($F631,Clientes!$B$4:$B$39,Clientes!$C$4:$C$39),Cadastros!$L$6:$L$12,Cadastros!$N$6:$N$12)))</f>
        <v/>
      </c>
      <c r="U631" s="168" t="str">
        <f t="shared" si="120"/>
        <v/>
      </c>
      <c r="V631" s="168" t="str">
        <f>IFERROR(U631/_xlfn.XLOOKUP(_xlfn.XLOOKUP($F631,Clientes!$B$4:$B$39,Clientes!$C$4:$C$39),Cadastros!$L$6:$L$12,Cadastros!$M$6:$M$12)," ")</f>
        <v xml:space="preserve"> </v>
      </c>
      <c r="W631" s="28"/>
      <c r="X631" s="28"/>
      <c r="Y631" s="255" t="str">
        <f>IF(W631="","",(_xlfn.XLOOKUP(W631,Cadastros!$D$6:$D$90,Cadastros!$E$6:$E$90))*(1-_xlfn.XLOOKUP(_xlfn.XLOOKUP($F631,Clientes!$B$4:$B$39,Clientes!$C$4:$C$39),Cadastros!$L$6:$L$12,Cadastros!$N$6:$N$12)))</f>
        <v/>
      </c>
      <c r="Z631" s="168" t="str">
        <f t="shared" si="121"/>
        <v/>
      </c>
      <c r="AA631" s="168" t="str">
        <f>IFERROR(Z631/_xlfn.XLOOKUP(_xlfn.XLOOKUP($F631,Clientes!$B$4:$B$39,Clientes!$C$4:$C$39),Cadastros!$L$6:$L$12,Cadastros!$M$6:$M$12)," ")</f>
        <v xml:space="preserve"> </v>
      </c>
      <c r="AB631" s="28"/>
      <c r="AC631" s="28"/>
      <c r="AD631" s="20" t="str">
        <f>IF(AB631="","",IF($F631="Bernardino Furlan",_xlfn.XLOOKUP(AB631,Cadastros!$G$6:$G$90,Cadastros!$H$6:$H$90)*(1-0.18),IF($F631="Mauro José Salanti",_xlfn.XLOOKUP(AB631,Cadastros!$G$6:$G$90,Cadastros!$H$6:$H$90)*(1-0.18),_xlfn.XLOOKUP(AB631,Cadastros!$G$6:$G$90,Cadastros!$H$6:$H$90))))</f>
        <v/>
      </c>
      <c r="AE631" s="168" t="str">
        <f t="shared" si="122"/>
        <v/>
      </c>
      <c r="AF631" s="168" t="str">
        <f t="shared" si="123"/>
        <v/>
      </c>
      <c r="AG631" s="28"/>
      <c r="AH631" s="28"/>
      <c r="AI631" s="20" t="str">
        <f>IF(AG631="","",IF($F631="Bernardino Furlan",_xlfn.XLOOKUP(AG631,Cadastros!$G$6:$G$90,Cadastros!$H$6:$H$90)*(1-0.18),IF($F631="Mauro José Salanti",_xlfn.XLOOKUP(AG631,Cadastros!$G$6:$G$90,Cadastros!$H$6:$H$90)*(1-0.18),_xlfn.XLOOKUP(AG631,Cadastros!$G$6:$G$90,Cadastros!$H$6:$H$90))))</f>
        <v/>
      </c>
      <c r="AJ631" s="168" t="str">
        <f t="shared" si="124"/>
        <v/>
      </c>
      <c r="AK631" s="168" t="str">
        <f t="shared" si="125"/>
        <v/>
      </c>
      <c r="AL631" s="28"/>
      <c r="AM631" s="28"/>
      <c r="AN631" s="20" t="str">
        <f>IF(AL631="","",IF($F631="Bernardino Furlan",_xlfn.XLOOKUP(AL631,Cadastros!$G$6:$G$90,Cadastros!$H$6:$H$90)*(1-0.18),IF($F631="Mauro José Salanti",_xlfn.XLOOKUP(AL631,Cadastros!$G$6:$G$90,Cadastros!$H$6:$H$90)*(1-0.18),_xlfn.XLOOKUP(AL631,Cadastros!$G$6:$G$90,Cadastros!$H$6:$H$90))))</f>
        <v/>
      </c>
      <c r="AO631" s="168" t="str">
        <f t="shared" si="126"/>
        <v/>
      </c>
      <c r="AP631" s="168" t="str">
        <f t="shared" si="127"/>
        <v/>
      </c>
      <c r="AQ631" s="28"/>
      <c r="AR631" s="28"/>
      <c r="AS631" s="20" t="str">
        <f>IF(AQ631="","",IF($F631="Bernardino Furlan",_xlfn.XLOOKUP(AQ631,Cadastros!$G$6:$G$90,Cadastros!$H$6:$H$90)*(1-0.18),IF($F631="Mauro José Salanti",_xlfn.XLOOKUP(AQ631,Cadastros!$G$6:$G$90,Cadastros!$H$6:$H$90)*(1-0.18),_xlfn.XLOOKUP(AQ631,Cadastros!$G$6:$G$90,Cadastros!$H$6:$H$90))))</f>
        <v/>
      </c>
      <c r="AT631" s="168" t="str">
        <f t="shared" si="128"/>
        <v/>
      </c>
      <c r="AU631" s="168" t="str">
        <f t="shared" si="129"/>
        <v/>
      </c>
      <c r="AV631" s="227"/>
      <c r="AW631" s="30"/>
      <c r="AX631" s="267"/>
      <c r="AY631" s="267"/>
      <c r="AZ631" s="29"/>
      <c r="BA631" s="30"/>
      <c r="BB631" s="23" t="str" cm="1">
        <f t="array" ref="BB631">_xlfn.IFS(AW631="SIM",SUM(K631,P631,U631,Z631,AE631,AJ631,AO631,AT631,AX631,AY631),F631&lt;&gt;"",SUM(K631,P631,U631,Z631,AE631,AJ631,,AO631,AT631),F631="","")</f>
        <v/>
      </c>
      <c r="BC631" s="211" t="str" cm="1">
        <f t="array" ref="BC631">_xlfn.IFS(E631="","",G631&lt;=E631,BB631*(1-0.03),G631&lt;(E631+8),BB631,AZ631="Boleto",BB631*(1+0.001)^DATEDIF(E631,G631,"D"),AZ631="Cheque",BB631,AZ631="Dinheiro","Alterar forma pgto")</f>
        <v/>
      </c>
      <c r="BD631" s="276" t="str" cm="1">
        <f t="array" ref="BD631">IF(F631=0," ",IF(BC631&lt;BB631,(_xlfn.IFS(AW631="SIM",SUM(L631,Q631,V631,AA631,AF631,AK631,AP631,AU631)+AX631/_xlfn.XLOOKUP(_xlfn.XLOOKUP($F631,Clientes!$B$4:$B$39,Clientes!$C$4:$C$39),Cadastros!$L$6:$L$12,Cadastros!$M$6:$M$12)+IF($F631="Bernardino Furlan",AY631/2751.92,IF($F631="Mauro José Salanti",AY631/2751.92,AY631/3356)),F631&lt;&gt;0,SUM(L631,Q631,V631,AA631,AF631,AK631,AP631,AU631)))*(1-0.03),_xlfn.IFS(AW631="SIM",SUM(L631,Q631,V631,AA631,AF631,AK631,AP631,AU631)+AX631/_xlfn.XLOOKUP(_xlfn.XLOOKUP($F631,Clientes!$B$4:$B$39,Clientes!$C$4:$C$39),Cadastros!$L$6:$L$12,Cadastros!$M$6:$M$12)+IF($F631="Bernardino Furlan",AY631/2751.92,IF($F631="Mauro José Salanti",AY631/2751.92,AY631/3356)),F631&lt;&gt;0,SUM(L631,Q631,V631,AA631,AF631,AK631,AP631,AU631))))</f>
        <v xml:space="preserve"> </v>
      </c>
      <c r="BE631" s="120"/>
      <c r="BF631" s="120"/>
      <c r="BG631" s="120"/>
    </row>
    <row r="632" spans="1:59" s="3" customFormat="1" x14ac:dyDescent="0.3">
      <c r="A632" s="15" t="str">
        <f t="shared" si="117"/>
        <v/>
      </c>
      <c r="B632" s="25"/>
      <c r="C632" s="26"/>
      <c r="D632" s="279"/>
      <c r="E632" s="27"/>
      <c r="F632" s="28"/>
      <c r="G632" s="27"/>
      <c r="H632" s="28"/>
      <c r="I632" s="28"/>
      <c r="J632" s="255" t="str">
        <f>IF(H632="","",(_xlfn.XLOOKUP(H632,Cadastros!$D$6:$D$90,Cadastros!$E$6:$E$90))*(1-_xlfn.XLOOKUP(_xlfn.XLOOKUP($F632,Clientes!$B$4:$B$39,Clientes!$C$4:$C$39),Cadastros!$L$6:$L$12,Cadastros!$N$6:$N$12)))</f>
        <v/>
      </c>
      <c r="K632" s="168" t="str">
        <f t="shared" si="118"/>
        <v/>
      </c>
      <c r="L632" s="168" t="str">
        <f>IFERROR(K632/_xlfn.XLOOKUP(_xlfn.XLOOKUP($F632,Clientes!$B$4:$B$39,Clientes!$C$4:$C$39),Cadastros!$L$6:$L$12,Cadastros!$M$6:$M$12)," ")</f>
        <v xml:space="preserve"> </v>
      </c>
      <c r="M632" s="28"/>
      <c r="N632" s="28"/>
      <c r="O632" s="255" t="str">
        <f>IF(M632="","",(_xlfn.XLOOKUP(M632,Cadastros!$D$6:$D$90,Cadastros!$E$6:$E$90))*(1-_xlfn.XLOOKUP(_xlfn.XLOOKUP($F632,Clientes!$B$4:$B$39,Clientes!$C$4:$C$39),Cadastros!$L$6:$L$12,Cadastros!$N$6:$N$12)))</f>
        <v/>
      </c>
      <c r="P632" s="168" t="str">
        <f t="shared" si="119"/>
        <v/>
      </c>
      <c r="Q632" s="168" t="str">
        <f>IFERROR(P632/_xlfn.XLOOKUP(_xlfn.XLOOKUP($F632,Clientes!$B$4:$B$39,Clientes!$C$4:$C$39),Cadastros!$L$6:$L$12,Cadastros!$M$6:$M$12)," ")</f>
        <v xml:space="preserve"> </v>
      </c>
      <c r="R632" s="28"/>
      <c r="S632" s="28"/>
      <c r="T632" s="255" t="str">
        <f>IF(R632="","",(_xlfn.XLOOKUP(R632,Cadastros!$D$6:$D$90,Cadastros!$E$6:$E$90))*(1-_xlfn.XLOOKUP(_xlfn.XLOOKUP($F632,Clientes!$B$4:$B$39,Clientes!$C$4:$C$39),Cadastros!$L$6:$L$12,Cadastros!$N$6:$N$12)))</f>
        <v/>
      </c>
      <c r="U632" s="168" t="str">
        <f t="shared" si="120"/>
        <v/>
      </c>
      <c r="V632" s="168" t="str">
        <f>IFERROR(U632/_xlfn.XLOOKUP(_xlfn.XLOOKUP($F632,Clientes!$B$4:$B$39,Clientes!$C$4:$C$39),Cadastros!$L$6:$L$12,Cadastros!$M$6:$M$12)," ")</f>
        <v xml:space="preserve"> </v>
      </c>
      <c r="W632" s="28"/>
      <c r="X632" s="28"/>
      <c r="Y632" s="255" t="str">
        <f>IF(W632="","",(_xlfn.XLOOKUP(W632,Cadastros!$D$6:$D$90,Cadastros!$E$6:$E$90))*(1-_xlfn.XLOOKUP(_xlfn.XLOOKUP($F632,Clientes!$B$4:$B$39,Clientes!$C$4:$C$39),Cadastros!$L$6:$L$12,Cadastros!$N$6:$N$12)))</f>
        <v/>
      </c>
      <c r="Z632" s="168" t="str">
        <f t="shared" si="121"/>
        <v/>
      </c>
      <c r="AA632" s="168" t="str">
        <f>IFERROR(Z632/_xlfn.XLOOKUP(_xlfn.XLOOKUP($F632,Clientes!$B$4:$B$39,Clientes!$C$4:$C$39),Cadastros!$L$6:$L$12,Cadastros!$M$6:$M$12)," ")</f>
        <v xml:space="preserve"> </v>
      </c>
      <c r="AB632" s="28"/>
      <c r="AC632" s="28"/>
      <c r="AD632" s="20" t="str">
        <f>IF(AB632="","",IF($F632="Bernardino Furlan",_xlfn.XLOOKUP(AB632,Cadastros!$G$6:$G$90,Cadastros!$H$6:$H$90)*(1-0.18),IF($F632="Mauro José Salanti",_xlfn.XLOOKUP(AB632,Cadastros!$G$6:$G$90,Cadastros!$H$6:$H$90)*(1-0.18),_xlfn.XLOOKUP(AB632,Cadastros!$G$6:$G$90,Cadastros!$H$6:$H$90))))</f>
        <v/>
      </c>
      <c r="AE632" s="168" t="str">
        <f t="shared" si="122"/>
        <v/>
      </c>
      <c r="AF632" s="168" t="str">
        <f t="shared" si="123"/>
        <v/>
      </c>
      <c r="AG632" s="28"/>
      <c r="AH632" s="28"/>
      <c r="AI632" s="20" t="str">
        <f>IF(AG632="","",IF($F632="Bernardino Furlan",_xlfn.XLOOKUP(AG632,Cadastros!$G$6:$G$90,Cadastros!$H$6:$H$90)*(1-0.18),IF($F632="Mauro José Salanti",_xlfn.XLOOKUP(AG632,Cadastros!$G$6:$G$90,Cadastros!$H$6:$H$90)*(1-0.18),_xlfn.XLOOKUP(AG632,Cadastros!$G$6:$G$90,Cadastros!$H$6:$H$90))))</f>
        <v/>
      </c>
      <c r="AJ632" s="168" t="str">
        <f t="shared" si="124"/>
        <v/>
      </c>
      <c r="AK632" s="168" t="str">
        <f t="shared" si="125"/>
        <v/>
      </c>
      <c r="AL632" s="28"/>
      <c r="AM632" s="28"/>
      <c r="AN632" s="20" t="str">
        <f>IF(AL632="","",IF($F632="Bernardino Furlan",_xlfn.XLOOKUP(AL632,Cadastros!$G$6:$G$90,Cadastros!$H$6:$H$90)*(1-0.18),IF($F632="Mauro José Salanti",_xlfn.XLOOKUP(AL632,Cadastros!$G$6:$G$90,Cadastros!$H$6:$H$90)*(1-0.18),_xlfn.XLOOKUP(AL632,Cadastros!$G$6:$G$90,Cadastros!$H$6:$H$90))))</f>
        <v/>
      </c>
      <c r="AO632" s="168" t="str">
        <f t="shared" si="126"/>
        <v/>
      </c>
      <c r="AP632" s="168" t="str">
        <f t="shared" si="127"/>
        <v/>
      </c>
      <c r="AQ632" s="28"/>
      <c r="AR632" s="28"/>
      <c r="AS632" s="20" t="str">
        <f>IF(AQ632="","",IF($F632="Bernardino Furlan",_xlfn.XLOOKUP(AQ632,Cadastros!$G$6:$G$90,Cadastros!$H$6:$H$90)*(1-0.18),IF($F632="Mauro José Salanti",_xlfn.XLOOKUP(AQ632,Cadastros!$G$6:$G$90,Cadastros!$H$6:$H$90)*(1-0.18),_xlfn.XLOOKUP(AQ632,Cadastros!$G$6:$G$90,Cadastros!$H$6:$H$90))))</f>
        <v/>
      </c>
      <c r="AT632" s="168" t="str">
        <f t="shared" si="128"/>
        <v/>
      </c>
      <c r="AU632" s="168" t="str">
        <f t="shared" si="129"/>
        <v/>
      </c>
      <c r="AV632" s="227"/>
      <c r="AW632" s="30"/>
      <c r="AX632" s="267"/>
      <c r="AY632" s="267"/>
      <c r="AZ632" s="29"/>
      <c r="BA632" s="30"/>
      <c r="BB632" s="23" t="str" cm="1">
        <f t="array" ref="BB632">_xlfn.IFS(AW632="SIM",SUM(K632,P632,U632,Z632,AE632,AJ632,AO632,AT632,AX632,AY632),F632&lt;&gt;"",SUM(K632,P632,U632,Z632,AE632,AJ632,,AO632,AT632),F632="","")</f>
        <v/>
      </c>
      <c r="BC632" s="211" t="str" cm="1">
        <f t="array" ref="BC632">_xlfn.IFS(E632="","",G632&lt;=E632,BB632*(1-0.03),G632&lt;(E632+8),BB632,AZ632="Boleto",BB632*(1+0.001)^DATEDIF(E632,G632,"D"),AZ632="Cheque",BB632,AZ632="Dinheiro","Alterar forma pgto")</f>
        <v/>
      </c>
      <c r="BD632" s="276" t="str" cm="1">
        <f t="array" ref="BD632">IF(F632=0," ",IF(BC632&lt;BB632,(_xlfn.IFS(AW632="SIM",SUM(L632,Q632,V632,AA632,AF632,AK632,AP632,AU632)+AX632/_xlfn.XLOOKUP(_xlfn.XLOOKUP($F632,Clientes!$B$4:$B$39,Clientes!$C$4:$C$39),Cadastros!$L$6:$L$12,Cadastros!$M$6:$M$12)+IF($F632="Bernardino Furlan",AY632/2751.92,IF($F632="Mauro José Salanti",AY632/2751.92,AY632/3356)),F632&lt;&gt;0,SUM(L632,Q632,V632,AA632,AF632,AK632,AP632,AU632)))*(1-0.03),_xlfn.IFS(AW632="SIM",SUM(L632,Q632,V632,AA632,AF632,AK632,AP632,AU632)+AX632/_xlfn.XLOOKUP(_xlfn.XLOOKUP($F632,Clientes!$B$4:$B$39,Clientes!$C$4:$C$39),Cadastros!$L$6:$L$12,Cadastros!$M$6:$M$12)+IF($F632="Bernardino Furlan",AY632/2751.92,IF($F632="Mauro José Salanti",AY632/2751.92,AY632/3356)),F632&lt;&gt;0,SUM(L632,Q632,V632,AA632,AF632,AK632,AP632,AU632))))</f>
        <v xml:space="preserve"> </v>
      </c>
      <c r="BE632" s="120"/>
      <c r="BF632" s="120"/>
      <c r="BG632" s="120"/>
    </row>
    <row r="633" spans="1:59" s="3" customFormat="1" x14ac:dyDescent="0.3">
      <c r="A633" s="15" t="str">
        <f t="shared" si="117"/>
        <v/>
      </c>
      <c r="B633" s="25"/>
      <c r="C633" s="26"/>
      <c r="D633" s="279"/>
      <c r="E633" s="27"/>
      <c r="F633" s="28"/>
      <c r="G633" s="27"/>
      <c r="H633" s="28"/>
      <c r="I633" s="28"/>
      <c r="J633" s="255" t="str">
        <f>IF(H633="","",(_xlfn.XLOOKUP(H633,Cadastros!$D$6:$D$90,Cadastros!$E$6:$E$90))*(1-_xlfn.XLOOKUP(_xlfn.XLOOKUP($F633,Clientes!$B$4:$B$39,Clientes!$C$4:$C$39),Cadastros!$L$6:$L$12,Cadastros!$N$6:$N$12)))</f>
        <v/>
      </c>
      <c r="K633" s="168" t="str">
        <f t="shared" si="118"/>
        <v/>
      </c>
      <c r="L633" s="168" t="str">
        <f>IFERROR(K633/_xlfn.XLOOKUP(_xlfn.XLOOKUP($F633,Clientes!$B$4:$B$39,Clientes!$C$4:$C$39),Cadastros!$L$6:$L$12,Cadastros!$M$6:$M$12)," ")</f>
        <v xml:space="preserve"> </v>
      </c>
      <c r="M633" s="28"/>
      <c r="N633" s="28"/>
      <c r="O633" s="255" t="str">
        <f>IF(M633="","",(_xlfn.XLOOKUP(M633,Cadastros!$D$6:$D$90,Cadastros!$E$6:$E$90))*(1-_xlfn.XLOOKUP(_xlfn.XLOOKUP($F633,Clientes!$B$4:$B$39,Clientes!$C$4:$C$39),Cadastros!$L$6:$L$12,Cadastros!$N$6:$N$12)))</f>
        <v/>
      </c>
      <c r="P633" s="168" t="str">
        <f t="shared" si="119"/>
        <v/>
      </c>
      <c r="Q633" s="168" t="str">
        <f>IFERROR(P633/_xlfn.XLOOKUP(_xlfn.XLOOKUP($F633,Clientes!$B$4:$B$39,Clientes!$C$4:$C$39),Cadastros!$L$6:$L$12,Cadastros!$M$6:$M$12)," ")</f>
        <v xml:space="preserve"> </v>
      </c>
      <c r="R633" s="28"/>
      <c r="S633" s="28"/>
      <c r="T633" s="255" t="str">
        <f>IF(R633="","",(_xlfn.XLOOKUP(R633,Cadastros!$D$6:$D$90,Cadastros!$E$6:$E$90))*(1-_xlfn.XLOOKUP(_xlfn.XLOOKUP($F633,Clientes!$B$4:$B$39,Clientes!$C$4:$C$39),Cadastros!$L$6:$L$12,Cadastros!$N$6:$N$12)))</f>
        <v/>
      </c>
      <c r="U633" s="168" t="str">
        <f t="shared" si="120"/>
        <v/>
      </c>
      <c r="V633" s="168" t="str">
        <f>IFERROR(U633/_xlfn.XLOOKUP(_xlfn.XLOOKUP($F633,Clientes!$B$4:$B$39,Clientes!$C$4:$C$39),Cadastros!$L$6:$L$12,Cadastros!$M$6:$M$12)," ")</f>
        <v xml:space="preserve"> </v>
      </c>
      <c r="W633" s="28"/>
      <c r="X633" s="28"/>
      <c r="Y633" s="255" t="str">
        <f>IF(W633="","",(_xlfn.XLOOKUP(W633,Cadastros!$D$6:$D$90,Cadastros!$E$6:$E$90))*(1-_xlfn.XLOOKUP(_xlfn.XLOOKUP($F633,Clientes!$B$4:$B$39,Clientes!$C$4:$C$39),Cadastros!$L$6:$L$12,Cadastros!$N$6:$N$12)))</f>
        <v/>
      </c>
      <c r="Z633" s="168" t="str">
        <f t="shared" si="121"/>
        <v/>
      </c>
      <c r="AA633" s="168" t="str">
        <f>IFERROR(Z633/_xlfn.XLOOKUP(_xlfn.XLOOKUP($F633,Clientes!$B$4:$B$39,Clientes!$C$4:$C$39),Cadastros!$L$6:$L$12,Cadastros!$M$6:$M$12)," ")</f>
        <v xml:space="preserve"> </v>
      </c>
      <c r="AB633" s="28"/>
      <c r="AC633" s="28"/>
      <c r="AD633" s="20" t="str">
        <f>IF(AB633="","",IF($F633="Bernardino Furlan",_xlfn.XLOOKUP(AB633,Cadastros!$G$6:$G$90,Cadastros!$H$6:$H$90)*(1-0.18),IF($F633="Mauro José Salanti",_xlfn.XLOOKUP(AB633,Cadastros!$G$6:$G$90,Cadastros!$H$6:$H$90)*(1-0.18),_xlfn.XLOOKUP(AB633,Cadastros!$G$6:$G$90,Cadastros!$H$6:$H$90))))</f>
        <v/>
      </c>
      <c r="AE633" s="168" t="str">
        <f t="shared" si="122"/>
        <v/>
      </c>
      <c r="AF633" s="168" t="str">
        <f t="shared" si="123"/>
        <v/>
      </c>
      <c r="AG633" s="28"/>
      <c r="AH633" s="28"/>
      <c r="AI633" s="20" t="str">
        <f>IF(AG633="","",IF($F633="Bernardino Furlan",_xlfn.XLOOKUP(AG633,Cadastros!$G$6:$G$90,Cadastros!$H$6:$H$90)*(1-0.18),IF($F633="Mauro José Salanti",_xlfn.XLOOKUP(AG633,Cadastros!$G$6:$G$90,Cadastros!$H$6:$H$90)*(1-0.18),_xlfn.XLOOKUP(AG633,Cadastros!$G$6:$G$90,Cadastros!$H$6:$H$90))))</f>
        <v/>
      </c>
      <c r="AJ633" s="168" t="str">
        <f t="shared" si="124"/>
        <v/>
      </c>
      <c r="AK633" s="168" t="str">
        <f t="shared" si="125"/>
        <v/>
      </c>
      <c r="AL633" s="28"/>
      <c r="AM633" s="28"/>
      <c r="AN633" s="20" t="str">
        <f>IF(AL633="","",IF($F633="Bernardino Furlan",_xlfn.XLOOKUP(AL633,Cadastros!$G$6:$G$90,Cadastros!$H$6:$H$90)*(1-0.18),IF($F633="Mauro José Salanti",_xlfn.XLOOKUP(AL633,Cadastros!$G$6:$G$90,Cadastros!$H$6:$H$90)*(1-0.18),_xlfn.XLOOKUP(AL633,Cadastros!$G$6:$G$90,Cadastros!$H$6:$H$90))))</f>
        <v/>
      </c>
      <c r="AO633" s="168" t="str">
        <f t="shared" si="126"/>
        <v/>
      </c>
      <c r="AP633" s="168" t="str">
        <f t="shared" si="127"/>
        <v/>
      </c>
      <c r="AQ633" s="28"/>
      <c r="AR633" s="28"/>
      <c r="AS633" s="20" t="str">
        <f>IF(AQ633="","",IF($F633="Bernardino Furlan",_xlfn.XLOOKUP(AQ633,Cadastros!$G$6:$G$90,Cadastros!$H$6:$H$90)*(1-0.18),IF($F633="Mauro José Salanti",_xlfn.XLOOKUP(AQ633,Cadastros!$G$6:$G$90,Cadastros!$H$6:$H$90)*(1-0.18),_xlfn.XLOOKUP(AQ633,Cadastros!$G$6:$G$90,Cadastros!$H$6:$H$90))))</f>
        <v/>
      </c>
      <c r="AT633" s="168" t="str">
        <f t="shared" si="128"/>
        <v/>
      </c>
      <c r="AU633" s="168" t="str">
        <f t="shared" si="129"/>
        <v/>
      </c>
      <c r="AV633" s="227"/>
      <c r="AW633" s="30"/>
      <c r="AX633" s="267"/>
      <c r="AY633" s="267"/>
      <c r="AZ633" s="29"/>
      <c r="BA633" s="30"/>
      <c r="BB633" s="23" t="str" cm="1">
        <f t="array" ref="BB633">_xlfn.IFS(AW633="SIM",SUM(K633,P633,U633,Z633,AE633,AJ633,AO633,AT633,AX633,AY633),F633&lt;&gt;"",SUM(K633,P633,U633,Z633,AE633,AJ633,,AO633,AT633),F633="","")</f>
        <v/>
      </c>
      <c r="BC633" s="211" t="str" cm="1">
        <f t="array" ref="BC633">_xlfn.IFS(E633="","",G633&lt;=E633,BB633*(1-0.03),G633&lt;(E633+8),BB633,AZ633="Boleto",BB633*(1+0.001)^DATEDIF(E633,G633,"D"),AZ633="Cheque",BB633,AZ633="Dinheiro","Alterar forma pgto")</f>
        <v/>
      </c>
      <c r="BD633" s="276" t="str" cm="1">
        <f t="array" ref="BD633">IF(F633=0," ",IF(BC633&lt;BB633,(_xlfn.IFS(AW633="SIM",SUM(L633,Q633,V633,AA633,AF633,AK633,AP633,AU633)+AX633/_xlfn.XLOOKUP(_xlfn.XLOOKUP($F633,Clientes!$B$4:$B$39,Clientes!$C$4:$C$39),Cadastros!$L$6:$L$12,Cadastros!$M$6:$M$12)+IF($F633="Bernardino Furlan",AY633/2751.92,IF($F633="Mauro José Salanti",AY633/2751.92,AY633/3356)),F633&lt;&gt;0,SUM(L633,Q633,V633,AA633,AF633,AK633,AP633,AU633)))*(1-0.03),_xlfn.IFS(AW633="SIM",SUM(L633,Q633,V633,AA633,AF633,AK633,AP633,AU633)+AX633/_xlfn.XLOOKUP(_xlfn.XLOOKUP($F633,Clientes!$B$4:$B$39,Clientes!$C$4:$C$39),Cadastros!$L$6:$L$12,Cadastros!$M$6:$M$12)+IF($F633="Bernardino Furlan",AY633/2751.92,IF($F633="Mauro José Salanti",AY633/2751.92,AY633/3356)),F633&lt;&gt;0,SUM(L633,Q633,V633,AA633,AF633,AK633,AP633,AU633))))</f>
        <v xml:space="preserve"> </v>
      </c>
      <c r="BE633" s="120"/>
      <c r="BF633" s="120"/>
      <c r="BG633" s="120"/>
    </row>
    <row r="634" spans="1:59" s="3" customFormat="1" x14ac:dyDescent="0.3">
      <c r="A634" s="15" t="str">
        <f t="shared" si="117"/>
        <v/>
      </c>
      <c r="B634" s="25"/>
      <c r="C634" s="26"/>
      <c r="D634" s="279"/>
      <c r="E634" s="27"/>
      <c r="F634" s="28"/>
      <c r="G634" s="27"/>
      <c r="H634" s="28"/>
      <c r="I634" s="28"/>
      <c r="J634" s="255" t="str">
        <f>IF(H634="","",(_xlfn.XLOOKUP(H634,Cadastros!$D$6:$D$90,Cadastros!$E$6:$E$90))*(1-_xlfn.XLOOKUP(_xlfn.XLOOKUP($F634,Clientes!$B$4:$B$39,Clientes!$C$4:$C$39),Cadastros!$L$6:$L$12,Cadastros!$N$6:$N$12)))</f>
        <v/>
      </c>
      <c r="K634" s="168" t="str">
        <f t="shared" si="118"/>
        <v/>
      </c>
      <c r="L634" s="168" t="str">
        <f>IFERROR(K634/_xlfn.XLOOKUP(_xlfn.XLOOKUP($F634,Clientes!$B$4:$B$39,Clientes!$C$4:$C$39),Cadastros!$L$6:$L$12,Cadastros!$M$6:$M$12)," ")</f>
        <v xml:space="preserve"> </v>
      </c>
      <c r="M634" s="28"/>
      <c r="N634" s="28"/>
      <c r="O634" s="255" t="str">
        <f>IF(M634="","",(_xlfn.XLOOKUP(M634,Cadastros!$D$6:$D$90,Cadastros!$E$6:$E$90))*(1-_xlfn.XLOOKUP(_xlfn.XLOOKUP($F634,Clientes!$B$4:$B$39,Clientes!$C$4:$C$39),Cadastros!$L$6:$L$12,Cadastros!$N$6:$N$12)))</f>
        <v/>
      </c>
      <c r="P634" s="168" t="str">
        <f t="shared" si="119"/>
        <v/>
      </c>
      <c r="Q634" s="168" t="str">
        <f>IFERROR(P634/_xlfn.XLOOKUP(_xlfn.XLOOKUP($F634,Clientes!$B$4:$B$39,Clientes!$C$4:$C$39),Cadastros!$L$6:$L$12,Cadastros!$M$6:$M$12)," ")</f>
        <v xml:space="preserve"> </v>
      </c>
      <c r="R634" s="28"/>
      <c r="S634" s="28"/>
      <c r="T634" s="255" t="str">
        <f>IF(R634="","",(_xlfn.XLOOKUP(R634,Cadastros!$D$6:$D$90,Cadastros!$E$6:$E$90))*(1-_xlfn.XLOOKUP(_xlfn.XLOOKUP($F634,Clientes!$B$4:$B$39,Clientes!$C$4:$C$39),Cadastros!$L$6:$L$12,Cadastros!$N$6:$N$12)))</f>
        <v/>
      </c>
      <c r="U634" s="168" t="str">
        <f t="shared" si="120"/>
        <v/>
      </c>
      <c r="V634" s="168" t="str">
        <f>IFERROR(U634/_xlfn.XLOOKUP(_xlfn.XLOOKUP($F634,Clientes!$B$4:$B$39,Clientes!$C$4:$C$39),Cadastros!$L$6:$L$12,Cadastros!$M$6:$M$12)," ")</f>
        <v xml:space="preserve"> </v>
      </c>
      <c r="W634" s="28"/>
      <c r="X634" s="28"/>
      <c r="Y634" s="255" t="str">
        <f>IF(W634="","",(_xlfn.XLOOKUP(W634,Cadastros!$D$6:$D$90,Cadastros!$E$6:$E$90))*(1-_xlfn.XLOOKUP(_xlfn.XLOOKUP($F634,Clientes!$B$4:$B$39,Clientes!$C$4:$C$39),Cadastros!$L$6:$L$12,Cadastros!$N$6:$N$12)))</f>
        <v/>
      </c>
      <c r="Z634" s="168" t="str">
        <f t="shared" si="121"/>
        <v/>
      </c>
      <c r="AA634" s="168" t="str">
        <f>IFERROR(Z634/_xlfn.XLOOKUP(_xlfn.XLOOKUP($F634,Clientes!$B$4:$B$39,Clientes!$C$4:$C$39),Cadastros!$L$6:$L$12,Cadastros!$M$6:$M$12)," ")</f>
        <v xml:space="preserve"> </v>
      </c>
      <c r="AB634" s="28"/>
      <c r="AC634" s="28"/>
      <c r="AD634" s="20" t="str">
        <f>IF(AB634="","",IF($F634="Bernardino Furlan",_xlfn.XLOOKUP(AB634,Cadastros!$G$6:$G$90,Cadastros!$H$6:$H$90)*(1-0.18),IF($F634="Mauro José Salanti",_xlfn.XLOOKUP(AB634,Cadastros!$G$6:$G$90,Cadastros!$H$6:$H$90)*(1-0.18),_xlfn.XLOOKUP(AB634,Cadastros!$G$6:$G$90,Cadastros!$H$6:$H$90))))</f>
        <v/>
      </c>
      <c r="AE634" s="168" t="str">
        <f t="shared" si="122"/>
        <v/>
      </c>
      <c r="AF634" s="168" t="str">
        <f t="shared" si="123"/>
        <v/>
      </c>
      <c r="AG634" s="28"/>
      <c r="AH634" s="28"/>
      <c r="AI634" s="20" t="str">
        <f>IF(AG634="","",IF($F634="Bernardino Furlan",_xlfn.XLOOKUP(AG634,Cadastros!$G$6:$G$90,Cadastros!$H$6:$H$90)*(1-0.18),IF($F634="Mauro José Salanti",_xlfn.XLOOKUP(AG634,Cadastros!$G$6:$G$90,Cadastros!$H$6:$H$90)*(1-0.18),_xlfn.XLOOKUP(AG634,Cadastros!$G$6:$G$90,Cadastros!$H$6:$H$90))))</f>
        <v/>
      </c>
      <c r="AJ634" s="168" t="str">
        <f t="shared" si="124"/>
        <v/>
      </c>
      <c r="AK634" s="168" t="str">
        <f t="shared" si="125"/>
        <v/>
      </c>
      <c r="AL634" s="28"/>
      <c r="AM634" s="28"/>
      <c r="AN634" s="20" t="str">
        <f>IF(AL634="","",IF($F634="Bernardino Furlan",_xlfn.XLOOKUP(AL634,Cadastros!$G$6:$G$90,Cadastros!$H$6:$H$90)*(1-0.18),IF($F634="Mauro José Salanti",_xlfn.XLOOKUP(AL634,Cadastros!$G$6:$G$90,Cadastros!$H$6:$H$90)*(1-0.18),_xlfn.XLOOKUP(AL634,Cadastros!$G$6:$G$90,Cadastros!$H$6:$H$90))))</f>
        <v/>
      </c>
      <c r="AO634" s="168" t="str">
        <f t="shared" si="126"/>
        <v/>
      </c>
      <c r="AP634" s="168" t="str">
        <f t="shared" si="127"/>
        <v/>
      </c>
      <c r="AQ634" s="28"/>
      <c r="AR634" s="28"/>
      <c r="AS634" s="20" t="str">
        <f>IF(AQ634="","",IF($F634="Bernardino Furlan",_xlfn.XLOOKUP(AQ634,Cadastros!$G$6:$G$90,Cadastros!$H$6:$H$90)*(1-0.18),IF($F634="Mauro José Salanti",_xlfn.XLOOKUP(AQ634,Cadastros!$G$6:$G$90,Cadastros!$H$6:$H$90)*(1-0.18),_xlfn.XLOOKUP(AQ634,Cadastros!$G$6:$G$90,Cadastros!$H$6:$H$90))))</f>
        <v/>
      </c>
      <c r="AT634" s="168" t="str">
        <f t="shared" si="128"/>
        <v/>
      </c>
      <c r="AU634" s="168" t="str">
        <f t="shared" si="129"/>
        <v/>
      </c>
      <c r="AV634" s="227"/>
      <c r="AW634" s="30"/>
      <c r="AX634" s="267"/>
      <c r="AY634" s="267"/>
      <c r="AZ634" s="29"/>
      <c r="BA634" s="30"/>
      <c r="BB634" s="23" t="str" cm="1">
        <f t="array" ref="BB634">_xlfn.IFS(AW634="SIM",SUM(K634,P634,U634,Z634,AE634,AJ634,AO634,AT634,AX634,AY634),F634&lt;&gt;"",SUM(K634,P634,U634,Z634,AE634,AJ634,,AO634,AT634),F634="","")</f>
        <v/>
      </c>
      <c r="BC634" s="211" t="str" cm="1">
        <f t="array" ref="BC634">_xlfn.IFS(E634="","",G634&lt;=E634,BB634*(1-0.03),G634&lt;(E634+8),BB634,AZ634="Boleto",BB634*(1+0.001)^DATEDIF(E634,G634,"D"),AZ634="Cheque",BB634,AZ634="Dinheiro","Alterar forma pgto")</f>
        <v/>
      </c>
      <c r="BD634" s="276" t="str" cm="1">
        <f t="array" ref="BD634">IF(F634=0," ",IF(BC634&lt;BB634,(_xlfn.IFS(AW634="SIM",SUM(L634,Q634,V634,AA634,AF634,AK634,AP634,AU634)+AX634/_xlfn.XLOOKUP(_xlfn.XLOOKUP($F634,Clientes!$B$4:$B$39,Clientes!$C$4:$C$39),Cadastros!$L$6:$L$12,Cadastros!$M$6:$M$12)+IF($F634="Bernardino Furlan",AY634/2751.92,IF($F634="Mauro José Salanti",AY634/2751.92,AY634/3356)),F634&lt;&gt;0,SUM(L634,Q634,V634,AA634,AF634,AK634,AP634,AU634)))*(1-0.03),_xlfn.IFS(AW634="SIM",SUM(L634,Q634,V634,AA634,AF634,AK634,AP634,AU634)+AX634/_xlfn.XLOOKUP(_xlfn.XLOOKUP($F634,Clientes!$B$4:$B$39,Clientes!$C$4:$C$39),Cadastros!$L$6:$L$12,Cadastros!$M$6:$M$12)+IF($F634="Bernardino Furlan",AY634/2751.92,IF($F634="Mauro José Salanti",AY634/2751.92,AY634/3356)),F634&lt;&gt;0,SUM(L634,Q634,V634,AA634,AF634,AK634,AP634,AU634))))</f>
        <v xml:space="preserve"> </v>
      </c>
      <c r="BE634" s="120"/>
      <c r="BF634" s="120"/>
      <c r="BG634" s="120"/>
    </row>
    <row r="635" spans="1:59" s="3" customFormat="1" x14ac:dyDescent="0.3">
      <c r="A635" s="15" t="str">
        <f t="shared" si="117"/>
        <v/>
      </c>
      <c r="B635" s="25"/>
      <c r="C635" s="26"/>
      <c r="D635" s="279"/>
      <c r="E635" s="27"/>
      <c r="F635" s="28"/>
      <c r="G635" s="27"/>
      <c r="H635" s="28"/>
      <c r="I635" s="28"/>
      <c r="J635" s="255" t="str">
        <f>IF(H635="","",(_xlfn.XLOOKUP(H635,Cadastros!$D$6:$D$90,Cadastros!$E$6:$E$90))*(1-_xlfn.XLOOKUP(_xlfn.XLOOKUP($F635,Clientes!$B$4:$B$39,Clientes!$C$4:$C$39),Cadastros!$L$6:$L$12,Cadastros!$N$6:$N$12)))</f>
        <v/>
      </c>
      <c r="K635" s="168" t="str">
        <f t="shared" si="118"/>
        <v/>
      </c>
      <c r="L635" s="168" t="str">
        <f>IFERROR(K635/_xlfn.XLOOKUP(_xlfn.XLOOKUP($F635,Clientes!$B$4:$B$39,Clientes!$C$4:$C$39),Cadastros!$L$6:$L$12,Cadastros!$M$6:$M$12)," ")</f>
        <v xml:space="preserve"> </v>
      </c>
      <c r="M635" s="28"/>
      <c r="N635" s="28"/>
      <c r="O635" s="255" t="str">
        <f>IF(M635="","",(_xlfn.XLOOKUP(M635,Cadastros!$D$6:$D$90,Cadastros!$E$6:$E$90))*(1-_xlfn.XLOOKUP(_xlfn.XLOOKUP($F635,Clientes!$B$4:$B$39,Clientes!$C$4:$C$39),Cadastros!$L$6:$L$12,Cadastros!$N$6:$N$12)))</f>
        <v/>
      </c>
      <c r="P635" s="168" t="str">
        <f t="shared" si="119"/>
        <v/>
      </c>
      <c r="Q635" s="168" t="str">
        <f>IFERROR(P635/_xlfn.XLOOKUP(_xlfn.XLOOKUP($F635,Clientes!$B$4:$B$39,Clientes!$C$4:$C$39),Cadastros!$L$6:$L$12,Cadastros!$M$6:$M$12)," ")</f>
        <v xml:space="preserve"> </v>
      </c>
      <c r="R635" s="28"/>
      <c r="S635" s="28"/>
      <c r="T635" s="255" t="str">
        <f>IF(R635="","",(_xlfn.XLOOKUP(R635,Cadastros!$D$6:$D$90,Cadastros!$E$6:$E$90))*(1-_xlfn.XLOOKUP(_xlfn.XLOOKUP($F635,Clientes!$B$4:$B$39,Clientes!$C$4:$C$39),Cadastros!$L$6:$L$12,Cadastros!$N$6:$N$12)))</f>
        <v/>
      </c>
      <c r="U635" s="168" t="str">
        <f t="shared" si="120"/>
        <v/>
      </c>
      <c r="V635" s="168" t="str">
        <f>IFERROR(U635/_xlfn.XLOOKUP(_xlfn.XLOOKUP($F635,Clientes!$B$4:$B$39,Clientes!$C$4:$C$39),Cadastros!$L$6:$L$12,Cadastros!$M$6:$M$12)," ")</f>
        <v xml:space="preserve"> </v>
      </c>
      <c r="W635" s="28"/>
      <c r="X635" s="28"/>
      <c r="Y635" s="255" t="str">
        <f>IF(W635="","",(_xlfn.XLOOKUP(W635,Cadastros!$D$6:$D$90,Cadastros!$E$6:$E$90))*(1-_xlfn.XLOOKUP(_xlfn.XLOOKUP($F635,Clientes!$B$4:$B$39,Clientes!$C$4:$C$39),Cadastros!$L$6:$L$12,Cadastros!$N$6:$N$12)))</f>
        <v/>
      </c>
      <c r="Z635" s="168" t="str">
        <f t="shared" si="121"/>
        <v/>
      </c>
      <c r="AA635" s="168" t="str">
        <f>IFERROR(Z635/_xlfn.XLOOKUP(_xlfn.XLOOKUP($F635,Clientes!$B$4:$B$39,Clientes!$C$4:$C$39),Cadastros!$L$6:$L$12,Cadastros!$M$6:$M$12)," ")</f>
        <v xml:space="preserve"> </v>
      </c>
      <c r="AB635" s="28"/>
      <c r="AC635" s="28"/>
      <c r="AD635" s="20" t="str">
        <f>IF(AB635="","",IF($F635="Bernardino Furlan",_xlfn.XLOOKUP(AB635,Cadastros!$G$6:$G$90,Cadastros!$H$6:$H$90)*(1-0.18),IF($F635="Mauro José Salanti",_xlfn.XLOOKUP(AB635,Cadastros!$G$6:$G$90,Cadastros!$H$6:$H$90)*(1-0.18),_xlfn.XLOOKUP(AB635,Cadastros!$G$6:$G$90,Cadastros!$H$6:$H$90))))</f>
        <v/>
      </c>
      <c r="AE635" s="168" t="str">
        <f t="shared" si="122"/>
        <v/>
      </c>
      <c r="AF635" s="168" t="str">
        <f t="shared" si="123"/>
        <v/>
      </c>
      <c r="AG635" s="28"/>
      <c r="AH635" s="28"/>
      <c r="AI635" s="20" t="str">
        <f>IF(AG635="","",IF($F635="Bernardino Furlan",_xlfn.XLOOKUP(AG635,Cadastros!$G$6:$G$90,Cadastros!$H$6:$H$90)*(1-0.18),IF($F635="Mauro José Salanti",_xlfn.XLOOKUP(AG635,Cadastros!$G$6:$G$90,Cadastros!$H$6:$H$90)*(1-0.18),_xlfn.XLOOKUP(AG635,Cadastros!$G$6:$G$90,Cadastros!$H$6:$H$90))))</f>
        <v/>
      </c>
      <c r="AJ635" s="168" t="str">
        <f t="shared" si="124"/>
        <v/>
      </c>
      <c r="AK635" s="168" t="str">
        <f t="shared" si="125"/>
        <v/>
      </c>
      <c r="AL635" s="28"/>
      <c r="AM635" s="28"/>
      <c r="AN635" s="20" t="str">
        <f>IF(AL635="","",IF($F635="Bernardino Furlan",_xlfn.XLOOKUP(AL635,Cadastros!$G$6:$G$90,Cadastros!$H$6:$H$90)*(1-0.18),IF($F635="Mauro José Salanti",_xlfn.XLOOKUP(AL635,Cadastros!$G$6:$G$90,Cadastros!$H$6:$H$90)*(1-0.18),_xlfn.XLOOKUP(AL635,Cadastros!$G$6:$G$90,Cadastros!$H$6:$H$90))))</f>
        <v/>
      </c>
      <c r="AO635" s="168" t="str">
        <f t="shared" si="126"/>
        <v/>
      </c>
      <c r="AP635" s="168" t="str">
        <f t="shared" si="127"/>
        <v/>
      </c>
      <c r="AQ635" s="28"/>
      <c r="AR635" s="28"/>
      <c r="AS635" s="20" t="str">
        <f>IF(AQ635="","",IF($F635="Bernardino Furlan",_xlfn.XLOOKUP(AQ635,Cadastros!$G$6:$G$90,Cadastros!$H$6:$H$90)*(1-0.18),IF($F635="Mauro José Salanti",_xlfn.XLOOKUP(AQ635,Cadastros!$G$6:$G$90,Cadastros!$H$6:$H$90)*(1-0.18),_xlfn.XLOOKUP(AQ635,Cadastros!$G$6:$G$90,Cadastros!$H$6:$H$90))))</f>
        <v/>
      </c>
      <c r="AT635" s="168" t="str">
        <f t="shared" si="128"/>
        <v/>
      </c>
      <c r="AU635" s="168" t="str">
        <f t="shared" si="129"/>
        <v/>
      </c>
      <c r="AV635" s="227"/>
      <c r="AW635" s="30"/>
      <c r="AX635" s="267"/>
      <c r="AY635" s="267"/>
      <c r="AZ635" s="29"/>
      <c r="BA635" s="30"/>
      <c r="BB635" s="23" t="str" cm="1">
        <f t="array" ref="BB635">_xlfn.IFS(AW635="SIM",SUM(K635,P635,U635,Z635,AE635,AJ635,AO635,AT635,AX635,AY635),F635&lt;&gt;"",SUM(K635,P635,U635,Z635,AE635,AJ635,,AO635,AT635),F635="","")</f>
        <v/>
      </c>
      <c r="BC635" s="211" t="str" cm="1">
        <f t="array" ref="BC635">_xlfn.IFS(E635="","",G635&lt;=E635,BB635*(1-0.03),G635&lt;(E635+8),BB635,AZ635="Boleto",BB635*(1+0.001)^DATEDIF(E635,G635,"D"),AZ635="Cheque",BB635,AZ635="Dinheiro","Alterar forma pgto")</f>
        <v/>
      </c>
      <c r="BD635" s="276" t="str" cm="1">
        <f t="array" ref="BD635">IF(F635=0," ",IF(BC635&lt;BB635,(_xlfn.IFS(AW635="SIM",SUM(L635,Q635,V635,AA635,AF635,AK635,AP635,AU635)+AX635/_xlfn.XLOOKUP(_xlfn.XLOOKUP($F635,Clientes!$B$4:$B$39,Clientes!$C$4:$C$39),Cadastros!$L$6:$L$12,Cadastros!$M$6:$M$12)+IF($F635="Bernardino Furlan",AY635/2751.92,IF($F635="Mauro José Salanti",AY635/2751.92,AY635/3356)),F635&lt;&gt;0,SUM(L635,Q635,V635,AA635,AF635,AK635,AP635,AU635)))*(1-0.03),_xlfn.IFS(AW635="SIM",SUM(L635,Q635,V635,AA635,AF635,AK635,AP635,AU635)+AX635/_xlfn.XLOOKUP(_xlfn.XLOOKUP($F635,Clientes!$B$4:$B$39,Clientes!$C$4:$C$39),Cadastros!$L$6:$L$12,Cadastros!$M$6:$M$12)+IF($F635="Bernardino Furlan",AY635/2751.92,IF($F635="Mauro José Salanti",AY635/2751.92,AY635/3356)),F635&lt;&gt;0,SUM(L635,Q635,V635,AA635,AF635,AK635,AP635,AU635))))</f>
        <v xml:space="preserve"> </v>
      </c>
      <c r="BE635" s="120"/>
      <c r="BF635" s="120"/>
      <c r="BG635" s="120"/>
    </row>
    <row r="636" spans="1:59" s="3" customFormat="1" x14ac:dyDescent="0.3">
      <c r="A636" s="15" t="str">
        <f t="shared" si="117"/>
        <v/>
      </c>
      <c r="B636" s="25"/>
      <c r="C636" s="26"/>
      <c r="D636" s="279"/>
      <c r="E636" s="27"/>
      <c r="F636" s="28"/>
      <c r="G636" s="27"/>
      <c r="H636" s="28"/>
      <c r="I636" s="28"/>
      <c r="J636" s="255" t="str">
        <f>IF(H636="","",(_xlfn.XLOOKUP(H636,Cadastros!$D$6:$D$90,Cadastros!$E$6:$E$90))*(1-_xlfn.XLOOKUP(_xlfn.XLOOKUP($F636,Clientes!$B$4:$B$39,Clientes!$C$4:$C$39),Cadastros!$L$6:$L$12,Cadastros!$N$6:$N$12)))</f>
        <v/>
      </c>
      <c r="K636" s="168" t="str">
        <f t="shared" si="118"/>
        <v/>
      </c>
      <c r="L636" s="168" t="str">
        <f>IFERROR(K636/_xlfn.XLOOKUP(_xlfn.XLOOKUP($F636,Clientes!$B$4:$B$39,Clientes!$C$4:$C$39),Cadastros!$L$6:$L$12,Cadastros!$M$6:$M$12)," ")</f>
        <v xml:space="preserve"> </v>
      </c>
      <c r="M636" s="28"/>
      <c r="N636" s="28"/>
      <c r="O636" s="255" t="str">
        <f>IF(M636="","",(_xlfn.XLOOKUP(M636,Cadastros!$D$6:$D$90,Cadastros!$E$6:$E$90))*(1-_xlfn.XLOOKUP(_xlfn.XLOOKUP($F636,Clientes!$B$4:$B$39,Clientes!$C$4:$C$39),Cadastros!$L$6:$L$12,Cadastros!$N$6:$N$12)))</f>
        <v/>
      </c>
      <c r="P636" s="168" t="str">
        <f t="shared" si="119"/>
        <v/>
      </c>
      <c r="Q636" s="168" t="str">
        <f>IFERROR(P636/_xlfn.XLOOKUP(_xlfn.XLOOKUP($F636,Clientes!$B$4:$B$39,Clientes!$C$4:$C$39),Cadastros!$L$6:$L$12,Cadastros!$M$6:$M$12)," ")</f>
        <v xml:space="preserve"> </v>
      </c>
      <c r="R636" s="28"/>
      <c r="S636" s="28"/>
      <c r="T636" s="255" t="str">
        <f>IF(R636="","",(_xlfn.XLOOKUP(R636,Cadastros!$D$6:$D$90,Cadastros!$E$6:$E$90))*(1-_xlfn.XLOOKUP(_xlfn.XLOOKUP($F636,Clientes!$B$4:$B$39,Clientes!$C$4:$C$39),Cadastros!$L$6:$L$12,Cadastros!$N$6:$N$12)))</f>
        <v/>
      </c>
      <c r="U636" s="168" t="str">
        <f t="shared" si="120"/>
        <v/>
      </c>
      <c r="V636" s="168" t="str">
        <f>IFERROR(U636/_xlfn.XLOOKUP(_xlfn.XLOOKUP($F636,Clientes!$B$4:$B$39,Clientes!$C$4:$C$39),Cadastros!$L$6:$L$12,Cadastros!$M$6:$M$12)," ")</f>
        <v xml:space="preserve"> </v>
      </c>
      <c r="W636" s="28"/>
      <c r="X636" s="28"/>
      <c r="Y636" s="255" t="str">
        <f>IF(W636="","",(_xlfn.XLOOKUP(W636,Cadastros!$D$6:$D$90,Cadastros!$E$6:$E$90))*(1-_xlfn.XLOOKUP(_xlfn.XLOOKUP($F636,Clientes!$B$4:$B$39,Clientes!$C$4:$C$39),Cadastros!$L$6:$L$12,Cadastros!$N$6:$N$12)))</f>
        <v/>
      </c>
      <c r="Z636" s="168" t="str">
        <f t="shared" si="121"/>
        <v/>
      </c>
      <c r="AA636" s="168" t="str">
        <f>IFERROR(Z636/_xlfn.XLOOKUP(_xlfn.XLOOKUP($F636,Clientes!$B$4:$B$39,Clientes!$C$4:$C$39),Cadastros!$L$6:$L$12,Cadastros!$M$6:$M$12)," ")</f>
        <v xml:space="preserve"> </v>
      </c>
      <c r="AB636" s="28"/>
      <c r="AC636" s="28"/>
      <c r="AD636" s="20" t="str">
        <f>IF(AB636="","",IF($F636="Bernardino Furlan",_xlfn.XLOOKUP(AB636,Cadastros!$G$6:$G$90,Cadastros!$H$6:$H$90)*(1-0.18),IF($F636="Mauro José Salanti",_xlfn.XLOOKUP(AB636,Cadastros!$G$6:$G$90,Cadastros!$H$6:$H$90)*(1-0.18),_xlfn.XLOOKUP(AB636,Cadastros!$G$6:$G$90,Cadastros!$H$6:$H$90))))</f>
        <v/>
      </c>
      <c r="AE636" s="168" t="str">
        <f t="shared" si="122"/>
        <v/>
      </c>
      <c r="AF636" s="168" t="str">
        <f t="shared" si="123"/>
        <v/>
      </c>
      <c r="AG636" s="28"/>
      <c r="AH636" s="28"/>
      <c r="AI636" s="20" t="str">
        <f>IF(AG636="","",IF($F636="Bernardino Furlan",_xlfn.XLOOKUP(AG636,Cadastros!$G$6:$G$90,Cadastros!$H$6:$H$90)*(1-0.18),IF($F636="Mauro José Salanti",_xlfn.XLOOKUP(AG636,Cadastros!$G$6:$G$90,Cadastros!$H$6:$H$90)*(1-0.18),_xlfn.XLOOKUP(AG636,Cadastros!$G$6:$G$90,Cadastros!$H$6:$H$90))))</f>
        <v/>
      </c>
      <c r="AJ636" s="168" t="str">
        <f t="shared" si="124"/>
        <v/>
      </c>
      <c r="AK636" s="168" t="str">
        <f t="shared" si="125"/>
        <v/>
      </c>
      <c r="AL636" s="28"/>
      <c r="AM636" s="28"/>
      <c r="AN636" s="20" t="str">
        <f>IF(AL636="","",IF($F636="Bernardino Furlan",_xlfn.XLOOKUP(AL636,Cadastros!$G$6:$G$90,Cadastros!$H$6:$H$90)*(1-0.18),IF($F636="Mauro José Salanti",_xlfn.XLOOKUP(AL636,Cadastros!$G$6:$G$90,Cadastros!$H$6:$H$90)*(1-0.18),_xlfn.XLOOKUP(AL636,Cadastros!$G$6:$G$90,Cadastros!$H$6:$H$90))))</f>
        <v/>
      </c>
      <c r="AO636" s="168" t="str">
        <f t="shared" si="126"/>
        <v/>
      </c>
      <c r="AP636" s="168" t="str">
        <f t="shared" si="127"/>
        <v/>
      </c>
      <c r="AQ636" s="28"/>
      <c r="AR636" s="28"/>
      <c r="AS636" s="20" t="str">
        <f>IF(AQ636="","",IF($F636="Bernardino Furlan",_xlfn.XLOOKUP(AQ636,Cadastros!$G$6:$G$90,Cadastros!$H$6:$H$90)*(1-0.18),IF($F636="Mauro José Salanti",_xlfn.XLOOKUP(AQ636,Cadastros!$G$6:$G$90,Cadastros!$H$6:$H$90)*(1-0.18),_xlfn.XLOOKUP(AQ636,Cadastros!$G$6:$G$90,Cadastros!$H$6:$H$90))))</f>
        <v/>
      </c>
      <c r="AT636" s="168" t="str">
        <f t="shared" si="128"/>
        <v/>
      </c>
      <c r="AU636" s="168" t="str">
        <f t="shared" si="129"/>
        <v/>
      </c>
      <c r="AV636" s="227"/>
      <c r="AW636" s="30"/>
      <c r="AX636" s="267"/>
      <c r="AY636" s="267"/>
      <c r="AZ636" s="29"/>
      <c r="BA636" s="30"/>
      <c r="BB636" s="23" t="str" cm="1">
        <f t="array" ref="BB636">_xlfn.IFS(AW636="SIM",SUM(K636,P636,U636,Z636,AE636,AJ636,AO636,AT636,AX636,AY636),F636&lt;&gt;"",SUM(K636,P636,U636,Z636,AE636,AJ636,,AO636,AT636),F636="","")</f>
        <v/>
      </c>
      <c r="BC636" s="211" t="str" cm="1">
        <f t="array" ref="BC636">_xlfn.IFS(E636="","",G636&lt;=E636,BB636*(1-0.03),G636&lt;(E636+8),BB636,AZ636="Boleto",BB636*(1+0.001)^DATEDIF(E636,G636,"D"),AZ636="Cheque",BB636,AZ636="Dinheiro","Alterar forma pgto")</f>
        <v/>
      </c>
      <c r="BD636" s="276" t="str" cm="1">
        <f t="array" ref="BD636">IF(F636=0," ",IF(BC636&lt;BB636,(_xlfn.IFS(AW636="SIM",SUM(L636,Q636,V636,AA636,AF636,AK636,AP636,AU636)+AX636/_xlfn.XLOOKUP(_xlfn.XLOOKUP($F636,Clientes!$B$4:$B$39,Clientes!$C$4:$C$39),Cadastros!$L$6:$L$12,Cadastros!$M$6:$M$12)+IF($F636="Bernardino Furlan",AY636/2751.92,IF($F636="Mauro José Salanti",AY636/2751.92,AY636/3356)),F636&lt;&gt;0,SUM(L636,Q636,V636,AA636,AF636,AK636,AP636,AU636)))*(1-0.03),_xlfn.IFS(AW636="SIM",SUM(L636,Q636,V636,AA636,AF636,AK636,AP636,AU636)+AX636/_xlfn.XLOOKUP(_xlfn.XLOOKUP($F636,Clientes!$B$4:$B$39,Clientes!$C$4:$C$39),Cadastros!$L$6:$L$12,Cadastros!$M$6:$M$12)+IF($F636="Bernardino Furlan",AY636/2751.92,IF($F636="Mauro José Salanti",AY636/2751.92,AY636/3356)),F636&lt;&gt;0,SUM(L636,Q636,V636,AA636,AF636,AK636,AP636,AU636))))</f>
        <v xml:space="preserve"> </v>
      </c>
      <c r="BE636" s="120"/>
      <c r="BF636" s="120"/>
      <c r="BG636" s="120"/>
    </row>
    <row r="637" spans="1:59" s="3" customFormat="1" x14ac:dyDescent="0.3">
      <c r="A637" s="15" t="str">
        <f t="shared" si="117"/>
        <v/>
      </c>
      <c r="B637" s="25"/>
      <c r="C637" s="26"/>
      <c r="D637" s="279"/>
      <c r="E637" s="27"/>
      <c r="F637" s="28"/>
      <c r="G637" s="27"/>
      <c r="H637" s="28"/>
      <c r="I637" s="28"/>
      <c r="J637" s="255" t="str">
        <f>IF(H637="","",(_xlfn.XLOOKUP(H637,Cadastros!$D$6:$D$90,Cadastros!$E$6:$E$90))*(1-_xlfn.XLOOKUP(_xlfn.XLOOKUP($F637,Clientes!$B$4:$B$39,Clientes!$C$4:$C$39),Cadastros!$L$6:$L$12,Cadastros!$N$6:$N$12)))</f>
        <v/>
      </c>
      <c r="K637" s="168" t="str">
        <f t="shared" si="118"/>
        <v/>
      </c>
      <c r="L637" s="168" t="str">
        <f>IFERROR(K637/_xlfn.XLOOKUP(_xlfn.XLOOKUP($F637,Clientes!$B$4:$B$39,Clientes!$C$4:$C$39),Cadastros!$L$6:$L$12,Cadastros!$M$6:$M$12)," ")</f>
        <v xml:space="preserve"> </v>
      </c>
      <c r="M637" s="28"/>
      <c r="N637" s="28"/>
      <c r="O637" s="255" t="str">
        <f>IF(M637="","",(_xlfn.XLOOKUP(M637,Cadastros!$D$6:$D$90,Cadastros!$E$6:$E$90))*(1-_xlfn.XLOOKUP(_xlfn.XLOOKUP($F637,Clientes!$B$4:$B$39,Clientes!$C$4:$C$39),Cadastros!$L$6:$L$12,Cadastros!$N$6:$N$12)))</f>
        <v/>
      </c>
      <c r="P637" s="168" t="str">
        <f t="shared" si="119"/>
        <v/>
      </c>
      <c r="Q637" s="168" t="str">
        <f>IFERROR(P637/_xlfn.XLOOKUP(_xlfn.XLOOKUP($F637,Clientes!$B$4:$B$39,Clientes!$C$4:$C$39),Cadastros!$L$6:$L$12,Cadastros!$M$6:$M$12)," ")</f>
        <v xml:space="preserve"> </v>
      </c>
      <c r="R637" s="28"/>
      <c r="S637" s="28"/>
      <c r="T637" s="255" t="str">
        <f>IF(R637="","",(_xlfn.XLOOKUP(R637,Cadastros!$D$6:$D$90,Cadastros!$E$6:$E$90))*(1-_xlfn.XLOOKUP(_xlfn.XLOOKUP($F637,Clientes!$B$4:$B$39,Clientes!$C$4:$C$39),Cadastros!$L$6:$L$12,Cadastros!$N$6:$N$12)))</f>
        <v/>
      </c>
      <c r="U637" s="168" t="str">
        <f t="shared" si="120"/>
        <v/>
      </c>
      <c r="V637" s="168" t="str">
        <f>IFERROR(U637/_xlfn.XLOOKUP(_xlfn.XLOOKUP($F637,Clientes!$B$4:$B$39,Clientes!$C$4:$C$39),Cadastros!$L$6:$L$12,Cadastros!$M$6:$M$12)," ")</f>
        <v xml:space="preserve"> </v>
      </c>
      <c r="W637" s="28"/>
      <c r="X637" s="28"/>
      <c r="Y637" s="255" t="str">
        <f>IF(W637="","",(_xlfn.XLOOKUP(W637,Cadastros!$D$6:$D$90,Cadastros!$E$6:$E$90))*(1-_xlfn.XLOOKUP(_xlfn.XLOOKUP($F637,Clientes!$B$4:$B$39,Clientes!$C$4:$C$39),Cadastros!$L$6:$L$12,Cadastros!$N$6:$N$12)))</f>
        <v/>
      </c>
      <c r="Z637" s="168" t="str">
        <f t="shared" si="121"/>
        <v/>
      </c>
      <c r="AA637" s="168" t="str">
        <f>IFERROR(Z637/_xlfn.XLOOKUP(_xlfn.XLOOKUP($F637,Clientes!$B$4:$B$39,Clientes!$C$4:$C$39),Cadastros!$L$6:$L$12,Cadastros!$M$6:$M$12)," ")</f>
        <v xml:space="preserve"> </v>
      </c>
      <c r="AB637" s="28"/>
      <c r="AC637" s="28"/>
      <c r="AD637" s="20" t="str">
        <f>IF(AB637="","",IF($F637="Bernardino Furlan",_xlfn.XLOOKUP(AB637,Cadastros!$G$6:$G$90,Cadastros!$H$6:$H$90)*(1-0.18),IF($F637="Mauro José Salanti",_xlfn.XLOOKUP(AB637,Cadastros!$G$6:$G$90,Cadastros!$H$6:$H$90)*(1-0.18),_xlfn.XLOOKUP(AB637,Cadastros!$G$6:$G$90,Cadastros!$H$6:$H$90))))</f>
        <v/>
      </c>
      <c r="AE637" s="168" t="str">
        <f t="shared" si="122"/>
        <v/>
      </c>
      <c r="AF637" s="168" t="str">
        <f t="shared" si="123"/>
        <v/>
      </c>
      <c r="AG637" s="28"/>
      <c r="AH637" s="28"/>
      <c r="AI637" s="20" t="str">
        <f>IF(AG637="","",IF($F637="Bernardino Furlan",_xlfn.XLOOKUP(AG637,Cadastros!$G$6:$G$90,Cadastros!$H$6:$H$90)*(1-0.18),IF($F637="Mauro José Salanti",_xlfn.XLOOKUP(AG637,Cadastros!$G$6:$G$90,Cadastros!$H$6:$H$90)*(1-0.18),_xlfn.XLOOKUP(AG637,Cadastros!$G$6:$G$90,Cadastros!$H$6:$H$90))))</f>
        <v/>
      </c>
      <c r="AJ637" s="168" t="str">
        <f t="shared" si="124"/>
        <v/>
      </c>
      <c r="AK637" s="168" t="str">
        <f t="shared" si="125"/>
        <v/>
      </c>
      <c r="AL637" s="28"/>
      <c r="AM637" s="28"/>
      <c r="AN637" s="20" t="str">
        <f>IF(AL637="","",IF($F637="Bernardino Furlan",_xlfn.XLOOKUP(AL637,Cadastros!$G$6:$G$90,Cadastros!$H$6:$H$90)*(1-0.18),IF($F637="Mauro José Salanti",_xlfn.XLOOKUP(AL637,Cadastros!$G$6:$G$90,Cadastros!$H$6:$H$90)*(1-0.18),_xlfn.XLOOKUP(AL637,Cadastros!$G$6:$G$90,Cadastros!$H$6:$H$90))))</f>
        <v/>
      </c>
      <c r="AO637" s="168" t="str">
        <f t="shared" si="126"/>
        <v/>
      </c>
      <c r="AP637" s="168" t="str">
        <f t="shared" si="127"/>
        <v/>
      </c>
      <c r="AQ637" s="28"/>
      <c r="AR637" s="28"/>
      <c r="AS637" s="20" t="str">
        <f>IF(AQ637="","",IF($F637="Bernardino Furlan",_xlfn.XLOOKUP(AQ637,Cadastros!$G$6:$G$90,Cadastros!$H$6:$H$90)*(1-0.18),IF($F637="Mauro José Salanti",_xlfn.XLOOKUP(AQ637,Cadastros!$G$6:$G$90,Cadastros!$H$6:$H$90)*(1-0.18),_xlfn.XLOOKUP(AQ637,Cadastros!$G$6:$G$90,Cadastros!$H$6:$H$90))))</f>
        <v/>
      </c>
      <c r="AT637" s="168" t="str">
        <f t="shared" si="128"/>
        <v/>
      </c>
      <c r="AU637" s="168" t="str">
        <f t="shared" si="129"/>
        <v/>
      </c>
      <c r="AV637" s="227"/>
      <c r="AW637" s="30"/>
      <c r="AX637" s="267"/>
      <c r="AY637" s="267"/>
      <c r="AZ637" s="29"/>
      <c r="BA637" s="30"/>
      <c r="BB637" s="23" t="str" cm="1">
        <f t="array" ref="BB637">_xlfn.IFS(AW637="SIM",SUM(K637,P637,U637,Z637,AE637,AJ637,AO637,AT637,AX637,AY637),F637&lt;&gt;"",SUM(K637,P637,U637,Z637,AE637,AJ637,,AO637,AT637),F637="","")</f>
        <v/>
      </c>
      <c r="BC637" s="211" t="str" cm="1">
        <f t="array" ref="BC637">_xlfn.IFS(E637="","",G637&lt;=E637,BB637*(1-0.03),G637&lt;(E637+8),BB637,AZ637="Boleto",BB637*(1+0.001)^DATEDIF(E637,G637,"D"),AZ637="Cheque",BB637,AZ637="Dinheiro","Alterar forma pgto")</f>
        <v/>
      </c>
      <c r="BD637" s="276" t="str" cm="1">
        <f t="array" ref="BD637">IF(F637=0," ",IF(BC637&lt;BB637,(_xlfn.IFS(AW637="SIM",SUM(L637,Q637,V637,AA637,AF637,AK637,AP637,AU637)+AX637/_xlfn.XLOOKUP(_xlfn.XLOOKUP($F637,Clientes!$B$4:$B$39,Clientes!$C$4:$C$39),Cadastros!$L$6:$L$12,Cadastros!$M$6:$M$12)+IF($F637="Bernardino Furlan",AY637/2751.92,IF($F637="Mauro José Salanti",AY637/2751.92,AY637/3356)),F637&lt;&gt;0,SUM(L637,Q637,V637,AA637,AF637,AK637,AP637,AU637)))*(1-0.03),_xlfn.IFS(AW637="SIM",SUM(L637,Q637,V637,AA637,AF637,AK637,AP637,AU637)+AX637/_xlfn.XLOOKUP(_xlfn.XLOOKUP($F637,Clientes!$B$4:$B$39,Clientes!$C$4:$C$39),Cadastros!$L$6:$L$12,Cadastros!$M$6:$M$12)+IF($F637="Bernardino Furlan",AY637/2751.92,IF($F637="Mauro José Salanti",AY637/2751.92,AY637/3356)),F637&lt;&gt;0,SUM(L637,Q637,V637,AA637,AF637,AK637,AP637,AU637))))</f>
        <v xml:space="preserve"> </v>
      </c>
      <c r="BE637" s="120"/>
      <c r="BF637" s="120"/>
      <c r="BG637" s="120"/>
    </row>
    <row r="638" spans="1:59" s="3" customFormat="1" x14ac:dyDescent="0.3">
      <c r="A638" s="15" t="str">
        <f t="shared" si="117"/>
        <v/>
      </c>
      <c r="B638" s="25"/>
      <c r="C638" s="26"/>
      <c r="D638" s="279"/>
      <c r="E638" s="27"/>
      <c r="F638" s="28"/>
      <c r="G638" s="27"/>
      <c r="H638" s="28"/>
      <c r="I638" s="28"/>
      <c r="J638" s="255" t="str">
        <f>IF(H638="","",(_xlfn.XLOOKUP(H638,Cadastros!$D$6:$D$90,Cadastros!$E$6:$E$90))*(1-_xlfn.XLOOKUP(_xlfn.XLOOKUP($F638,Clientes!$B$4:$B$39,Clientes!$C$4:$C$39),Cadastros!$L$6:$L$12,Cadastros!$N$6:$N$12)))</f>
        <v/>
      </c>
      <c r="K638" s="168" t="str">
        <f t="shared" si="118"/>
        <v/>
      </c>
      <c r="L638" s="168" t="str">
        <f>IFERROR(K638/_xlfn.XLOOKUP(_xlfn.XLOOKUP($F638,Clientes!$B$4:$B$39,Clientes!$C$4:$C$39),Cadastros!$L$6:$L$12,Cadastros!$M$6:$M$12)," ")</f>
        <v xml:space="preserve"> </v>
      </c>
      <c r="M638" s="28"/>
      <c r="N638" s="28"/>
      <c r="O638" s="255" t="str">
        <f>IF(M638="","",(_xlfn.XLOOKUP(M638,Cadastros!$D$6:$D$90,Cadastros!$E$6:$E$90))*(1-_xlfn.XLOOKUP(_xlfn.XLOOKUP($F638,Clientes!$B$4:$B$39,Clientes!$C$4:$C$39),Cadastros!$L$6:$L$12,Cadastros!$N$6:$N$12)))</f>
        <v/>
      </c>
      <c r="P638" s="168" t="str">
        <f t="shared" si="119"/>
        <v/>
      </c>
      <c r="Q638" s="168" t="str">
        <f>IFERROR(P638/_xlfn.XLOOKUP(_xlfn.XLOOKUP($F638,Clientes!$B$4:$B$39,Clientes!$C$4:$C$39),Cadastros!$L$6:$L$12,Cadastros!$M$6:$M$12)," ")</f>
        <v xml:space="preserve"> </v>
      </c>
      <c r="R638" s="28"/>
      <c r="S638" s="28"/>
      <c r="T638" s="255" t="str">
        <f>IF(R638="","",(_xlfn.XLOOKUP(R638,Cadastros!$D$6:$D$90,Cadastros!$E$6:$E$90))*(1-_xlfn.XLOOKUP(_xlfn.XLOOKUP($F638,Clientes!$B$4:$B$39,Clientes!$C$4:$C$39),Cadastros!$L$6:$L$12,Cadastros!$N$6:$N$12)))</f>
        <v/>
      </c>
      <c r="U638" s="168" t="str">
        <f t="shared" si="120"/>
        <v/>
      </c>
      <c r="V638" s="168" t="str">
        <f>IFERROR(U638/_xlfn.XLOOKUP(_xlfn.XLOOKUP($F638,Clientes!$B$4:$B$39,Clientes!$C$4:$C$39),Cadastros!$L$6:$L$12,Cadastros!$M$6:$M$12)," ")</f>
        <v xml:space="preserve"> </v>
      </c>
      <c r="W638" s="28"/>
      <c r="X638" s="28"/>
      <c r="Y638" s="255" t="str">
        <f>IF(W638="","",(_xlfn.XLOOKUP(W638,Cadastros!$D$6:$D$90,Cadastros!$E$6:$E$90))*(1-_xlfn.XLOOKUP(_xlfn.XLOOKUP($F638,Clientes!$B$4:$B$39,Clientes!$C$4:$C$39),Cadastros!$L$6:$L$12,Cadastros!$N$6:$N$12)))</f>
        <v/>
      </c>
      <c r="Z638" s="168" t="str">
        <f t="shared" si="121"/>
        <v/>
      </c>
      <c r="AA638" s="168" t="str">
        <f>IFERROR(Z638/_xlfn.XLOOKUP(_xlfn.XLOOKUP($F638,Clientes!$B$4:$B$39,Clientes!$C$4:$C$39),Cadastros!$L$6:$L$12,Cadastros!$M$6:$M$12)," ")</f>
        <v xml:space="preserve"> </v>
      </c>
      <c r="AB638" s="28"/>
      <c r="AC638" s="28"/>
      <c r="AD638" s="20" t="str">
        <f>IF(AB638="","",IF($F638="Bernardino Furlan",_xlfn.XLOOKUP(AB638,Cadastros!$G$6:$G$90,Cadastros!$H$6:$H$90)*(1-0.18),IF($F638="Mauro José Salanti",_xlfn.XLOOKUP(AB638,Cadastros!$G$6:$G$90,Cadastros!$H$6:$H$90)*(1-0.18),_xlfn.XLOOKUP(AB638,Cadastros!$G$6:$G$90,Cadastros!$H$6:$H$90))))</f>
        <v/>
      </c>
      <c r="AE638" s="168" t="str">
        <f t="shared" si="122"/>
        <v/>
      </c>
      <c r="AF638" s="168" t="str">
        <f t="shared" si="123"/>
        <v/>
      </c>
      <c r="AG638" s="28"/>
      <c r="AH638" s="28"/>
      <c r="AI638" s="20" t="str">
        <f>IF(AG638="","",IF($F638="Bernardino Furlan",_xlfn.XLOOKUP(AG638,Cadastros!$G$6:$G$90,Cadastros!$H$6:$H$90)*(1-0.18),IF($F638="Mauro José Salanti",_xlfn.XLOOKUP(AG638,Cadastros!$G$6:$G$90,Cadastros!$H$6:$H$90)*(1-0.18),_xlfn.XLOOKUP(AG638,Cadastros!$G$6:$G$90,Cadastros!$H$6:$H$90))))</f>
        <v/>
      </c>
      <c r="AJ638" s="168" t="str">
        <f t="shared" si="124"/>
        <v/>
      </c>
      <c r="AK638" s="168" t="str">
        <f t="shared" si="125"/>
        <v/>
      </c>
      <c r="AL638" s="28"/>
      <c r="AM638" s="28"/>
      <c r="AN638" s="20" t="str">
        <f>IF(AL638="","",IF($F638="Bernardino Furlan",_xlfn.XLOOKUP(AL638,Cadastros!$G$6:$G$90,Cadastros!$H$6:$H$90)*(1-0.18),IF($F638="Mauro José Salanti",_xlfn.XLOOKUP(AL638,Cadastros!$G$6:$G$90,Cadastros!$H$6:$H$90)*(1-0.18),_xlfn.XLOOKUP(AL638,Cadastros!$G$6:$G$90,Cadastros!$H$6:$H$90))))</f>
        <v/>
      </c>
      <c r="AO638" s="168" t="str">
        <f t="shared" si="126"/>
        <v/>
      </c>
      <c r="AP638" s="168" t="str">
        <f t="shared" si="127"/>
        <v/>
      </c>
      <c r="AQ638" s="28"/>
      <c r="AR638" s="28"/>
      <c r="AS638" s="20" t="str">
        <f>IF(AQ638="","",IF($F638="Bernardino Furlan",_xlfn.XLOOKUP(AQ638,Cadastros!$G$6:$G$90,Cadastros!$H$6:$H$90)*(1-0.18),IF($F638="Mauro José Salanti",_xlfn.XLOOKUP(AQ638,Cadastros!$G$6:$G$90,Cadastros!$H$6:$H$90)*(1-0.18),_xlfn.XLOOKUP(AQ638,Cadastros!$G$6:$G$90,Cadastros!$H$6:$H$90))))</f>
        <v/>
      </c>
      <c r="AT638" s="168" t="str">
        <f t="shared" si="128"/>
        <v/>
      </c>
      <c r="AU638" s="168" t="str">
        <f t="shared" si="129"/>
        <v/>
      </c>
      <c r="AV638" s="227"/>
      <c r="AW638" s="30"/>
      <c r="AX638" s="267"/>
      <c r="AY638" s="267"/>
      <c r="AZ638" s="29"/>
      <c r="BA638" s="30"/>
      <c r="BB638" s="23" t="str" cm="1">
        <f t="array" ref="BB638">_xlfn.IFS(AW638="SIM",SUM(K638,P638,U638,Z638,AE638,AJ638,AO638,AT638,AX638,AY638),F638&lt;&gt;"",SUM(K638,P638,U638,Z638,AE638,AJ638,,AO638,AT638),F638="","")</f>
        <v/>
      </c>
      <c r="BC638" s="211" t="str" cm="1">
        <f t="array" ref="BC638">_xlfn.IFS(E638="","",G638&lt;=E638,BB638*(1-0.03),G638&lt;(E638+8),BB638,AZ638="Boleto",BB638*(1+0.001)^DATEDIF(E638,G638,"D"),AZ638="Cheque",BB638,AZ638="Dinheiro","Alterar forma pgto")</f>
        <v/>
      </c>
      <c r="BD638" s="276" t="str" cm="1">
        <f t="array" ref="BD638">IF(F638=0," ",IF(BC638&lt;BB638,(_xlfn.IFS(AW638="SIM",SUM(L638,Q638,V638,AA638,AF638,AK638,AP638,AU638)+AX638/_xlfn.XLOOKUP(_xlfn.XLOOKUP($F638,Clientes!$B$4:$B$39,Clientes!$C$4:$C$39),Cadastros!$L$6:$L$12,Cadastros!$M$6:$M$12)+IF($F638="Bernardino Furlan",AY638/2751.92,IF($F638="Mauro José Salanti",AY638/2751.92,AY638/3356)),F638&lt;&gt;0,SUM(L638,Q638,V638,AA638,AF638,AK638,AP638,AU638)))*(1-0.03),_xlfn.IFS(AW638="SIM",SUM(L638,Q638,V638,AA638,AF638,AK638,AP638,AU638)+AX638/_xlfn.XLOOKUP(_xlfn.XLOOKUP($F638,Clientes!$B$4:$B$39,Clientes!$C$4:$C$39),Cadastros!$L$6:$L$12,Cadastros!$M$6:$M$12)+IF($F638="Bernardino Furlan",AY638/2751.92,IF($F638="Mauro José Salanti",AY638/2751.92,AY638/3356)),F638&lt;&gt;0,SUM(L638,Q638,V638,AA638,AF638,AK638,AP638,AU638))))</f>
        <v xml:space="preserve"> </v>
      </c>
      <c r="BE638" s="120"/>
      <c r="BF638" s="120"/>
      <c r="BG638" s="120"/>
    </row>
    <row r="639" spans="1:59" s="3" customFormat="1" x14ac:dyDescent="0.3">
      <c r="A639" s="15" t="str">
        <f t="shared" si="117"/>
        <v/>
      </c>
      <c r="B639" s="25"/>
      <c r="C639" s="26"/>
      <c r="D639" s="279"/>
      <c r="E639" s="27"/>
      <c r="F639" s="28"/>
      <c r="G639" s="27"/>
      <c r="H639" s="28"/>
      <c r="I639" s="28"/>
      <c r="J639" s="255" t="str">
        <f>IF(H639="","",(_xlfn.XLOOKUP(H639,Cadastros!$D$6:$D$90,Cadastros!$E$6:$E$90))*(1-_xlfn.XLOOKUP(_xlfn.XLOOKUP($F639,Clientes!$B$4:$B$39,Clientes!$C$4:$C$39),Cadastros!$L$6:$L$12,Cadastros!$N$6:$N$12)))</f>
        <v/>
      </c>
      <c r="K639" s="168" t="str">
        <f t="shared" si="118"/>
        <v/>
      </c>
      <c r="L639" s="168" t="str">
        <f>IFERROR(K639/_xlfn.XLOOKUP(_xlfn.XLOOKUP($F639,Clientes!$B$4:$B$39,Clientes!$C$4:$C$39),Cadastros!$L$6:$L$12,Cadastros!$M$6:$M$12)," ")</f>
        <v xml:space="preserve"> </v>
      </c>
      <c r="M639" s="28"/>
      <c r="N639" s="28"/>
      <c r="O639" s="255" t="str">
        <f>IF(M639="","",(_xlfn.XLOOKUP(M639,Cadastros!$D$6:$D$90,Cadastros!$E$6:$E$90))*(1-_xlfn.XLOOKUP(_xlfn.XLOOKUP($F639,Clientes!$B$4:$B$39,Clientes!$C$4:$C$39),Cadastros!$L$6:$L$12,Cadastros!$N$6:$N$12)))</f>
        <v/>
      </c>
      <c r="P639" s="168" t="str">
        <f t="shared" si="119"/>
        <v/>
      </c>
      <c r="Q639" s="168" t="str">
        <f>IFERROR(P639/_xlfn.XLOOKUP(_xlfn.XLOOKUP($F639,Clientes!$B$4:$B$39,Clientes!$C$4:$C$39),Cadastros!$L$6:$L$12,Cadastros!$M$6:$M$12)," ")</f>
        <v xml:space="preserve"> </v>
      </c>
      <c r="R639" s="28"/>
      <c r="S639" s="28"/>
      <c r="T639" s="255" t="str">
        <f>IF(R639="","",(_xlfn.XLOOKUP(R639,Cadastros!$D$6:$D$90,Cadastros!$E$6:$E$90))*(1-_xlfn.XLOOKUP(_xlfn.XLOOKUP($F639,Clientes!$B$4:$B$39,Clientes!$C$4:$C$39),Cadastros!$L$6:$L$12,Cadastros!$N$6:$N$12)))</f>
        <v/>
      </c>
      <c r="U639" s="168" t="str">
        <f t="shared" si="120"/>
        <v/>
      </c>
      <c r="V639" s="168" t="str">
        <f>IFERROR(U639/_xlfn.XLOOKUP(_xlfn.XLOOKUP($F639,Clientes!$B$4:$B$39,Clientes!$C$4:$C$39),Cadastros!$L$6:$L$12,Cadastros!$M$6:$M$12)," ")</f>
        <v xml:space="preserve"> </v>
      </c>
      <c r="W639" s="28"/>
      <c r="X639" s="28"/>
      <c r="Y639" s="255" t="str">
        <f>IF(W639="","",(_xlfn.XLOOKUP(W639,Cadastros!$D$6:$D$90,Cadastros!$E$6:$E$90))*(1-_xlfn.XLOOKUP(_xlfn.XLOOKUP($F639,Clientes!$B$4:$B$39,Clientes!$C$4:$C$39),Cadastros!$L$6:$L$12,Cadastros!$N$6:$N$12)))</f>
        <v/>
      </c>
      <c r="Z639" s="168" t="str">
        <f t="shared" si="121"/>
        <v/>
      </c>
      <c r="AA639" s="168" t="str">
        <f>IFERROR(Z639/_xlfn.XLOOKUP(_xlfn.XLOOKUP($F639,Clientes!$B$4:$B$39,Clientes!$C$4:$C$39),Cadastros!$L$6:$L$12,Cadastros!$M$6:$M$12)," ")</f>
        <v xml:space="preserve"> </v>
      </c>
      <c r="AB639" s="28"/>
      <c r="AC639" s="28"/>
      <c r="AD639" s="20" t="str">
        <f>IF(AB639="","",IF($F639="Bernardino Furlan",_xlfn.XLOOKUP(AB639,Cadastros!$G$6:$G$90,Cadastros!$H$6:$H$90)*(1-0.18),IF($F639="Mauro José Salanti",_xlfn.XLOOKUP(AB639,Cadastros!$G$6:$G$90,Cadastros!$H$6:$H$90)*(1-0.18),_xlfn.XLOOKUP(AB639,Cadastros!$G$6:$G$90,Cadastros!$H$6:$H$90))))</f>
        <v/>
      </c>
      <c r="AE639" s="168" t="str">
        <f t="shared" si="122"/>
        <v/>
      </c>
      <c r="AF639" s="168" t="str">
        <f t="shared" si="123"/>
        <v/>
      </c>
      <c r="AG639" s="28"/>
      <c r="AH639" s="28"/>
      <c r="AI639" s="20" t="str">
        <f>IF(AG639="","",IF($F639="Bernardino Furlan",_xlfn.XLOOKUP(AG639,Cadastros!$G$6:$G$90,Cadastros!$H$6:$H$90)*(1-0.18),IF($F639="Mauro José Salanti",_xlfn.XLOOKUP(AG639,Cadastros!$G$6:$G$90,Cadastros!$H$6:$H$90)*(1-0.18),_xlfn.XLOOKUP(AG639,Cadastros!$G$6:$G$90,Cadastros!$H$6:$H$90))))</f>
        <v/>
      </c>
      <c r="AJ639" s="168" t="str">
        <f t="shared" si="124"/>
        <v/>
      </c>
      <c r="AK639" s="168" t="str">
        <f t="shared" si="125"/>
        <v/>
      </c>
      <c r="AL639" s="28"/>
      <c r="AM639" s="28"/>
      <c r="AN639" s="20" t="str">
        <f>IF(AL639="","",IF($F639="Bernardino Furlan",_xlfn.XLOOKUP(AL639,Cadastros!$G$6:$G$90,Cadastros!$H$6:$H$90)*(1-0.18),IF($F639="Mauro José Salanti",_xlfn.XLOOKUP(AL639,Cadastros!$G$6:$G$90,Cadastros!$H$6:$H$90)*(1-0.18),_xlfn.XLOOKUP(AL639,Cadastros!$G$6:$G$90,Cadastros!$H$6:$H$90))))</f>
        <v/>
      </c>
      <c r="AO639" s="168" t="str">
        <f t="shared" si="126"/>
        <v/>
      </c>
      <c r="AP639" s="168" t="str">
        <f t="shared" si="127"/>
        <v/>
      </c>
      <c r="AQ639" s="28"/>
      <c r="AR639" s="28"/>
      <c r="AS639" s="20" t="str">
        <f>IF(AQ639="","",IF($F639="Bernardino Furlan",_xlfn.XLOOKUP(AQ639,Cadastros!$G$6:$G$90,Cadastros!$H$6:$H$90)*(1-0.18),IF($F639="Mauro José Salanti",_xlfn.XLOOKUP(AQ639,Cadastros!$G$6:$G$90,Cadastros!$H$6:$H$90)*(1-0.18),_xlfn.XLOOKUP(AQ639,Cadastros!$G$6:$G$90,Cadastros!$H$6:$H$90))))</f>
        <v/>
      </c>
      <c r="AT639" s="168" t="str">
        <f t="shared" si="128"/>
        <v/>
      </c>
      <c r="AU639" s="168" t="str">
        <f t="shared" si="129"/>
        <v/>
      </c>
      <c r="AV639" s="227"/>
      <c r="AW639" s="30"/>
      <c r="AX639" s="267"/>
      <c r="AY639" s="267"/>
      <c r="AZ639" s="29"/>
      <c r="BA639" s="30"/>
      <c r="BB639" s="23" t="str" cm="1">
        <f t="array" ref="BB639">_xlfn.IFS(AW639="SIM",SUM(K639,P639,U639,Z639,AE639,AJ639,AO639,AT639,AX639,AY639),F639&lt;&gt;"",SUM(K639,P639,U639,Z639,AE639,AJ639,,AO639,AT639),F639="","")</f>
        <v/>
      </c>
      <c r="BC639" s="211" t="str" cm="1">
        <f t="array" ref="BC639">_xlfn.IFS(E639="","",G639&lt;=E639,BB639*(1-0.03),G639&lt;(E639+8),BB639,AZ639="Boleto",BB639*(1+0.001)^DATEDIF(E639,G639,"D"),AZ639="Cheque",BB639,AZ639="Dinheiro","Alterar forma pgto")</f>
        <v/>
      </c>
      <c r="BD639" s="276" t="str" cm="1">
        <f t="array" ref="BD639">IF(F639=0," ",IF(BC639&lt;BB639,(_xlfn.IFS(AW639="SIM",SUM(L639,Q639,V639,AA639,AF639,AK639,AP639,AU639)+AX639/_xlfn.XLOOKUP(_xlfn.XLOOKUP($F639,Clientes!$B$4:$B$39,Clientes!$C$4:$C$39),Cadastros!$L$6:$L$12,Cadastros!$M$6:$M$12)+IF($F639="Bernardino Furlan",AY639/2751.92,IF($F639="Mauro José Salanti",AY639/2751.92,AY639/3356)),F639&lt;&gt;0,SUM(L639,Q639,V639,AA639,AF639,AK639,AP639,AU639)))*(1-0.03),_xlfn.IFS(AW639="SIM",SUM(L639,Q639,V639,AA639,AF639,AK639,AP639,AU639)+AX639/_xlfn.XLOOKUP(_xlfn.XLOOKUP($F639,Clientes!$B$4:$B$39,Clientes!$C$4:$C$39),Cadastros!$L$6:$L$12,Cadastros!$M$6:$M$12)+IF($F639="Bernardino Furlan",AY639/2751.92,IF($F639="Mauro José Salanti",AY639/2751.92,AY639/3356)),F639&lt;&gt;0,SUM(L639,Q639,V639,AA639,AF639,AK639,AP639,AU639))))</f>
        <v xml:space="preserve"> </v>
      </c>
      <c r="BE639" s="120"/>
      <c r="BF639" s="120"/>
      <c r="BG639" s="120"/>
    </row>
    <row r="640" spans="1:59" s="3" customFormat="1" x14ac:dyDescent="0.3">
      <c r="A640" s="15" t="str">
        <f t="shared" si="117"/>
        <v/>
      </c>
      <c r="B640" s="25"/>
      <c r="C640" s="26"/>
      <c r="D640" s="279"/>
      <c r="E640" s="27"/>
      <c r="F640" s="28"/>
      <c r="G640" s="27"/>
      <c r="H640" s="28"/>
      <c r="I640" s="28"/>
      <c r="J640" s="255" t="str">
        <f>IF(H640="","",(_xlfn.XLOOKUP(H640,Cadastros!$D$6:$D$90,Cadastros!$E$6:$E$90))*(1-_xlfn.XLOOKUP(_xlfn.XLOOKUP($F640,Clientes!$B$4:$B$39,Clientes!$C$4:$C$39),Cadastros!$L$6:$L$12,Cadastros!$N$6:$N$12)))</f>
        <v/>
      </c>
      <c r="K640" s="168" t="str">
        <f t="shared" si="118"/>
        <v/>
      </c>
      <c r="L640" s="168" t="str">
        <f>IFERROR(K640/_xlfn.XLOOKUP(_xlfn.XLOOKUP($F640,Clientes!$B$4:$B$39,Clientes!$C$4:$C$39),Cadastros!$L$6:$L$12,Cadastros!$M$6:$M$12)," ")</f>
        <v xml:space="preserve"> </v>
      </c>
      <c r="M640" s="28"/>
      <c r="N640" s="28"/>
      <c r="O640" s="255" t="str">
        <f>IF(M640="","",(_xlfn.XLOOKUP(M640,Cadastros!$D$6:$D$90,Cadastros!$E$6:$E$90))*(1-_xlfn.XLOOKUP(_xlfn.XLOOKUP($F640,Clientes!$B$4:$B$39,Clientes!$C$4:$C$39),Cadastros!$L$6:$L$12,Cadastros!$N$6:$N$12)))</f>
        <v/>
      </c>
      <c r="P640" s="168" t="str">
        <f t="shared" si="119"/>
        <v/>
      </c>
      <c r="Q640" s="168" t="str">
        <f>IFERROR(P640/_xlfn.XLOOKUP(_xlfn.XLOOKUP($F640,Clientes!$B$4:$B$39,Clientes!$C$4:$C$39),Cadastros!$L$6:$L$12,Cadastros!$M$6:$M$12)," ")</f>
        <v xml:space="preserve"> </v>
      </c>
      <c r="R640" s="28"/>
      <c r="S640" s="28"/>
      <c r="T640" s="255" t="str">
        <f>IF(R640="","",(_xlfn.XLOOKUP(R640,Cadastros!$D$6:$D$90,Cadastros!$E$6:$E$90))*(1-_xlfn.XLOOKUP(_xlfn.XLOOKUP($F640,Clientes!$B$4:$B$39,Clientes!$C$4:$C$39),Cadastros!$L$6:$L$12,Cadastros!$N$6:$N$12)))</f>
        <v/>
      </c>
      <c r="U640" s="168" t="str">
        <f t="shared" si="120"/>
        <v/>
      </c>
      <c r="V640" s="168" t="str">
        <f>IFERROR(U640/_xlfn.XLOOKUP(_xlfn.XLOOKUP($F640,Clientes!$B$4:$B$39,Clientes!$C$4:$C$39),Cadastros!$L$6:$L$12,Cadastros!$M$6:$M$12)," ")</f>
        <v xml:space="preserve"> </v>
      </c>
      <c r="W640" s="28"/>
      <c r="X640" s="28"/>
      <c r="Y640" s="255" t="str">
        <f>IF(W640="","",(_xlfn.XLOOKUP(W640,Cadastros!$D$6:$D$90,Cadastros!$E$6:$E$90))*(1-_xlfn.XLOOKUP(_xlfn.XLOOKUP($F640,Clientes!$B$4:$B$39,Clientes!$C$4:$C$39),Cadastros!$L$6:$L$12,Cadastros!$N$6:$N$12)))</f>
        <v/>
      </c>
      <c r="Z640" s="168" t="str">
        <f t="shared" si="121"/>
        <v/>
      </c>
      <c r="AA640" s="168" t="str">
        <f>IFERROR(Z640/_xlfn.XLOOKUP(_xlfn.XLOOKUP($F640,Clientes!$B$4:$B$39,Clientes!$C$4:$C$39),Cadastros!$L$6:$L$12,Cadastros!$M$6:$M$12)," ")</f>
        <v xml:space="preserve"> </v>
      </c>
      <c r="AB640" s="28"/>
      <c r="AC640" s="28"/>
      <c r="AD640" s="20" t="str">
        <f>IF(AB640="","",IF($F640="Bernardino Furlan",_xlfn.XLOOKUP(AB640,Cadastros!$G$6:$G$90,Cadastros!$H$6:$H$90)*(1-0.18),IF($F640="Mauro José Salanti",_xlfn.XLOOKUP(AB640,Cadastros!$G$6:$G$90,Cadastros!$H$6:$H$90)*(1-0.18),_xlfn.XLOOKUP(AB640,Cadastros!$G$6:$G$90,Cadastros!$H$6:$H$90))))</f>
        <v/>
      </c>
      <c r="AE640" s="168" t="str">
        <f t="shared" si="122"/>
        <v/>
      </c>
      <c r="AF640" s="168" t="str">
        <f t="shared" si="123"/>
        <v/>
      </c>
      <c r="AG640" s="28"/>
      <c r="AH640" s="28"/>
      <c r="AI640" s="20" t="str">
        <f>IF(AG640="","",IF($F640="Bernardino Furlan",_xlfn.XLOOKUP(AG640,Cadastros!$G$6:$G$90,Cadastros!$H$6:$H$90)*(1-0.18),IF($F640="Mauro José Salanti",_xlfn.XLOOKUP(AG640,Cadastros!$G$6:$G$90,Cadastros!$H$6:$H$90)*(1-0.18),_xlfn.XLOOKUP(AG640,Cadastros!$G$6:$G$90,Cadastros!$H$6:$H$90))))</f>
        <v/>
      </c>
      <c r="AJ640" s="168" t="str">
        <f t="shared" si="124"/>
        <v/>
      </c>
      <c r="AK640" s="168" t="str">
        <f t="shared" si="125"/>
        <v/>
      </c>
      <c r="AL640" s="28"/>
      <c r="AM640" s="28"/>
      <c r="AN640" s="20" t="str">
        <f>IF(AL640="","",IF($F640="Bernardino Furlan",_xlfn.XLOOKUP(AL640,Cadastros!$G$6:$G$90,Cadastros!$H$6:$H$90)*(1-0.18),IF($F640="Mauro José Salanti",_xlfn.XLOOKUP(AL640,Cadastros!$G$6:$G$90,Cadastros!$H$6:$H$90)*(1-0.18),_xlfn.XLOOKUP(AL640,Cadastros!$G$6:$G$90,Cadastros!$H$6:$H$90))))</f>
        <v/>
      </c>
      <c r="AO640" s="168" t="str">
        <f t="shared" si="126"/>
        <v/>
      </c>
      <c r="AP640" s="168" t="str">
        <f t="shared" si="127"/>
        <v/>
      </c>
      <c r="AQ640" s="28"/>
      <c r="AR640" s="28"/>
      <c r="AS640" s="20" t="str">
        <f>IF(AQ640="","",IF($F640="Bernardino Furlan",_xlfn.XLOOKUP(AQ640,Cadastros!$G$6:$G$90,Cadastros!$H$6:$H$90)*(1-0.18),IF($F640="Mauro José Salanti",_xlfn.XLOOKUP(AQ640,Cadastros!$G$6:$G$90,Cadastros!$H$6:$H$90)*(1-0.18),_xlfn.XLOOKUP(AQ640,Cadastros!$G$6:$G$90,Cadastros!$H$6:$H$90))))</f>
        <v/>
      </c>
      <c r="AT640" s="168" t="str">
        <f t="shared" si="128"/>
        <v/>
      </c>
      <c r="AU640" s="168" t="str">
        <f t="shared" si="129"/>
        <v/>
      </c>
      <c r="AV640" s="227"/>
      <c r="AW640" s="30"/>
      <c r="AX640" s="267"/>
      <c r="AY640" s="267"/>
      <c r="AZ640" s="29"/>
      <c r="BA640" s="30"/>
      <c r="BB640" s="23" t="str" cm="1">
        <f t="array" ref="BB640">_xlfn.IFS(AW640="SIM",SUM(K640,P640,U640,Z640,AE640,AJ640,AO640,AT640,AX640,AY640),F640&lt;&gt;"",SUM(K640,P640,U640,Z640,AE640,AJ640,,AO640,AT640),F640="","")</f>
        <v/>
      </c>
      <c r="BC640" s="211" t="str" cm="1">
        <f t="array" ref="BC640">_xlfn.IFS(E640="","",G640&lt;=E640,BB640*(1-0.03),G640&lt;(E640+8),BB640,AZ640="Boleto",BB640*(1+0.001)^DATEDIF(E640,G640,"D"),AZ640="Cheque",BB640,AZ640="Dinheiro","Alterar forma pgto")</f>
        <v/>
      </c>
      <c r="BD640" s="276" t="str" cm="1">
        <f t="array" ref="BD640">IF(F640=0," ",IF(BC640&lt;BB640,(_xlfn.IFS(AW640="SIM",SUM(L640,Q640,V640,AA640,AF640,AK640,AP640,AU640)+AX640/_xlfn.XLOOKUP(_xlfn.XLOOKUP($F640,Clientes!$B$4:$B$39,Clientes!$C$4:$C$39),Cadastros!$L$6:$L$12,Cadastros!$M$6:$M$12)+IF($F640="Bernardino Furlan",AY640/2751.92,IF($F640="Mauro José Salanti",AY640/2751.92,AY640/3356)),F640&lt;&gt;0,SUM(L640,Q640,V640,AA640,AF640,AK640,AP640,AU640)))*(1-0.03),_xlfn.IFS(AW640="SIM",SUM(L640,Q640,V640,AA640,AF640,AK640,AP640,AU640)+AX640/_xlfn.XLOOKUP(_xlfn.XLOOKUP($F640,Clientes!$B$4:$B$39,Clientes!$C$4:$C$39),Cadastros!$L$6:$L$12,Cadastros!$M$6:$M$12)+IF($F640="Bernardino Furlan",AY640/2751.92,IF($F640="Mauro José Salanti",AY640/2751.92,AY640/3356)),F640&lt;&gt;0,SUM(L640,Q640,V640,AA640,AF640,AK640,AP640,AU640))))</f>
        <v xml:space="preserve"> </v>
      </c>
      <c r="BE640" s="120"/>
      <c r="BF640" s="120"/>
      <c r="BG640" s="120"/>
    </row>
    <row r="641" spans="1:59" s="3" customFormat="1" x14ac:dyDescent="0.3">
      <c r="A641" s="15" t="str">
        <f t="shared" si="117"/>
        <v/>
      </c>
      <c r="B641" s="25"/>
      <c r="C641" s="26"/>
      <c r="D641" s="279"/>
      <c r="E641" s="27"/>
      <c r="F641" s="28"/>
      <c r="G641" s="27"/>
      <c r="H641" s="28"/>
      <c r="I641" s="28"/>
      <c r="J641" s="255" t="str">
        <f>IF(H641="","",(_xlfn.XLOOKUP(H641,Cadastros!$D$6:$D$90,Cadastros!$E$6:$E$90))*(1-_xlfn.XLOOKUP(_xlfn.XLOOKUP($F641,Clientes!$B$4:$B$39,Clientes!$C$4:$C$39),Cadastros!$L$6:$L$12,Cadastros!$N$6:$N$12)))</f>
        <v/>
      </c>
      <c r="K641" s="168" t="str">
        <f t="shared" si="118"/>
        <v/>
      </c>
      <c r="L641" s="168" t="str">
        <f>IFERROR(K641/_xlfn.XLOOKUP(_xlfn.XLOOKUP($F641,Clientes!$B$4:$B$39,Clientes!$C$4:$C$39),Cadastros!$L$6:$L$12,Cadastros!$M$6:$M$12)," ")</f>
        <v xml:space="preserve"> </v>
      </c>
      <c r="M641" s="28"/>
      <c r="N641" s="28"/>
      <c r="O641" s="255" t="str">
        <f>IF(M641="","",(_xlfn.XLOOKUP(M641,Cadastros!$D$6:$D$90,Cadastros!$E$6:$E$90))*(1-_xlfn.XLOOKUP(_xlfn.XLOOKUP($F641,Clientes!$B$4:$B$39,Clientes!$C$4:$C$39),Cadastros!$L$6:$L$12,Cadastros!$N$6:$N$12)))</f>
        <v/>
      </c>
      <c r="P641" s="168" t="str">
        <f t="shared" si="119"/>
        <v/>
      </c>
      <c r="Q641" s="168" t="str">
        <f>IFERROR(P641/_xlfn.XLOOKUP(_xlfn.XLOOKUP($F641,Clientes!$B$4:$B$39,Clientes!$C$4:$C$39),Cadastros!$L$6:$L$12,Cadastros!$M$6:$M$12)," ")</f>
        <v xml:space="preserve"> </v>
      </c>
      <c r="R641" s="28"/>
      <c r="S641" s="28"/>
      <c r="T641" s="255" t="str">
        <f>IF(R641="","",(_xlfn.XLOOKUP(R641,Cadastros!$D$6:$D$90,Cadastros!$E$6:$E$90))*(1-_xlfn.XLOOKUP(_xlfn.XLOOKUP($F641,Clientes!$B$4:$B$39,Clientes!$C$4:$C$39),Cadastros!$L$6:$L$12,Cadastros!$N$6:$N$12)))</f>
        <v/>
      </c>
      <c r="U641" s="168" t="str">
        <f t="shared" si="120"/>
        <v/>
      </c>
      <c r="V641" s="168" t="str">
        <f>IFERROR(U641/_xlfn.XLOOKUP(_xlfn.XLOOKUP($F641,Clientes!$B$4:$B$39,Clientes!$C$4:$C$39),Cadastros!$L$6:$L$12,Cadastros!$M$6:$M$12)," ")</f>
        <v xml:space="preserve"> </v>
      </c>
      <c r="W641" s="28"/>
      <c r="X641" s="28"/>
      <c r="Y641" s="255" t="str">
        <f>IF(W641="","",(_xlfn.XLOOKUP(W641,Cadastros!$D$6:$D$90,Cadastros!$E$6:$E$90))*(1-_xlfn.XLOOKUP(_xlfn.XLOOKUP($F641,Clientes!$B$4:$B$39,Clientes!$C$4:$C$39),Cadastros!$L$6:$L$12,Cadastros!$N$6:$N$12)))</f>
        <v/>
      </c>
      <c r="Z641" s="168" t="str">
        <f t="shared" si="121"/>
        <v/>
      </c>
      <c r="AA641" s="168" t="str">
        <f>IFERROR(Z641/_xlfn.XLOOKUP(_xlfn.XLOOKUP($F641,Clientes!$B$4:$B$39,Clientes!$C$4:$C$39),Cadastros!$L$6:$L$12,Cadastros!$M$6:$M$12)," ")</f>
        <v xml:space="preserve"> </v>
      </c>
      <c r="AB641" s="28"/>
      <c r="AC641" s="28"/>
      <c r="AD641" s="20" t="str">
        <f>IF(AB641="","",IF($F641="Bernardino Furlan",_xlfn.XLOOKUP(AB641,Cadastros!$G$6:$G$90,Cadastros!$H$6:$H$90)*(1-0.18),IF($F641="Mauro José Salanti",_xlfn.XLOOKUP(AB641,Cadastros!$G$6:$G$90,Cadastros!$H$6:$H$90)*(1-0.18),_xlfn.XLOOKUP(AB641,Cadastros!$G$6:$G$90,Cadastros!$H$6:$H$90))))</f>
        <v/>
      </c>
      <c r="AE641" s="168" t="str">
        <f t="shared" si="122"/>
        <v/>
      </c>
      <c r="AF641" s="168" t="str">
        <f t="shared" si="123"/>
        <v/>
      </c>
      <c r="AG641" s="28"/>
      <c r="AH641" s="28"/>
      <c r="AI641" s="20" t="str">
        <f>IF(AG641="","",IF($F641="Bernardino Furlan",_xlfn.XLOOKUP(AG641,Cadastros!$G$6:$G$90,Cadastros!$H$6:$H$90)*(1-0.18),IF($F641="Mauro José Salanti",_xlfn.XLOOKUP(AG641,Cadastros!$G$6:$G$90,Cadastros!$H$6:$H$90)*(1-0.18),_xlfn.XLOOKUP(AG641,Cadastros!$G$6:$G$90,Cadastros!$H$6:$H$90))))</f>
        <v/>
      </c>
      <c r="AJ641" s="168" t="str">
        <f t="shared" si="124"/>
        <v/>
      </c>
      <c r="AK641" s="168" t="str">
        <f t="shared" si="125"/>
        <v/>
      </c>
      <c r="AL641" s="28"/>
      <c r="AM641" s="28"/>
      <c r="AN641" s="20" t="str">
        <f>IF(AL641="","",IF($F641="Bernardino Furlan",_xlfn.XLOOKUP(AL641,Cadastros!$G$6:$G$90,Cadastros!$H$6:$H$90)*(1-0.18),IF($F641="Mauro José Salanti",_xlfn.XLOOKUP(AL641,Cadastros!$G$6:$G$90,Cadastros!$H$6:$H$90)*(1-0.18),_xlfn.XLOOKUP(AL641,Cadastros!$G$6:$G$90,Cadastros!$H$6:$H$90))))</f>
        <v/>
      </c>
      <c r="AO641" s="168" t="str">
        <f t="shared" si="126"/>
        <v/>
      </c>
      <c r="AP641" s="168" t="str">
        <f t="shared" si="127"/>
        <v/>
      </c>
      <c r="AQ641" s="28"/>
      <c r="AR641" s="28"/>
      <c r="AS641" s="20" t="str">
        <f>IF(AQ641="","",IF($F641="Bernardino Furlan",_xlfn.XLOOKUP(AQ641,Cadastros!$G$6:$G$90,Cadastros!$H$6:$H$90)*(1-0.18),IF($F641="Mauro José Salanti",_xlfn.XLOOKUP(AQ641,Cadastros!$G$6:$G$90,Cadastros!$H$6:$H$90)*(1-0.18),_xlfn.XLOOKUP(AQ641,Cadastros!$G$6:$G$90,Cadastros!$H$6:$H$90))))</f>
        <v/>
      </c>
      <c r="AT641" s="168" t="str">
        <f t="shared" si="128"/>
        <v/>
      </c>
      <c r="AU641" s="168" t="str">
        <f t="shared" si="129"/>
        <v/>
      </c>
      <c r="AV641" s="227"/>
      <c r="AW641" s="30"/>
      <c r="AX641" s="267"/>
      <c r="AY641" s="267"/>
      <c r="AZ641" s="29"/>
      <c r="BA641" s="30"/>
      <c r="BB641" s="23" t="str" cm="1">
        <f t="array" ref="BB641">_xlfn.IFS(AW641="SIM",SUM(K641,P641,U641,Z641,AE641,AJ641,AO641,AT641,AX641,AY641),F641&lt;&gt;"",SUM(K641,P641,U641,Z641,AE641,AJ641,,AO641,AT641),F641="","")</f>
        <v/>
      </c>
      <c r="BC641" s="211" t="str" cm="1">
        <f t="array" ref="BC641">_xlfn.IFS(E641="","",G641&lt;=E641,BB641*(1-0.03),G641&lt;(E641+8),BB641,AZ641="Boleto",BB641*(1+0.001)^DATEDIF(E641,G641,"D"),AZ641="Cheque",BB641,AZ641="Dinheiro","Alterar forma pgto")</f>
        <v/>
      </c>
      <c r="BD641" s="276" t="str" cm="1">
        <f t="array" ref="BD641">IF(F641=0," ",IF(BC641&lt;BB641,(_xlfn.IFS(AW641="SIM",SUM(L641,Q641,V641,AA641,AF641,AK641,AP641,AU641)+AX641/_xlfn.XLOOKUP(_xlfn.XLOOKUP($F641,Clientes!$B$4:$B$39,Clientes!$C$4:$C$39),Cadastros!$L$6:$L$12,Cadastros!$M$6:$M$12)+IF($F641="Bernardino Furlan",AY641/2751.92,IF($F641="Mauro José Salanti",AY641/2751.92,AY641/3356)),F641&lt;&gt;0,SUM(L641,Q641,V641,AA641,AF641,AK641,AP641,AU641)))*(1-0.03),_xlfn.IFS(AW641="SIM",SUM(L641,Q641,V641,AA641,AF641,AK641,AP641,AU641)+AX641/_xlfn.XLOOKUP(_xlfn.XLOOKUP($F641,Clientes!$B$4:$B$39,Clientes!$C$4:$C$39),Cadastros!$L$6:$L$12,Cadastros!$M$6:$M$12)+IF($F641="Bernardino Furlan",AY641/2751.92,IF($F641="Mauro José Salanti",AY641/2751.92,AY641/3356)),F641&lt;&gt;0,SUM(L641,Q641,V641,AA641,AF641,AK641,AP641,AU641))))</f>
        <v xml:space="preserve"> </v>
      </c>
      <c r="BE641" s="120"/>
      <c r="BF641" s="120"/>
      <c r="BG641" s="120"/>
    </row>
    <row r="642" spans="1:59" s="3" customFormat="1" x14ac:dyDescent="0.3">
      <c r="A642" s="15" t="str">
        <f t="shared" si="117"/>
        <v/>
      </c>
      <c r="B642" s="25"/>
      <c r="C642" s="26"/>
      <c r="D642" s="279"/>
      <c r="E642" s="27"/>
      <c r="F642" s="28"/>
      <c r="G642" s="27"/>
      <c r="H642" s="28"/>
      <c r="I642" s="28"/>
      <c r="J642" s="255" t="str">
        <f>IF(H642="","",(_xlfn.XLOOKUP(H642,Cadastros!$D$6:$D$90,Cadastros!$E$6:$E$90))*(1-_xlfn.XLOOKUP(_xlfn.XLOOKUP($F642,Clientes!$B$4:$B$39,Clientes!$C$4:$C$39),Cadastros!$L$6:$L$12,Cadastros!$N$6:$N$12)))</f>
        <v/>
      </c>
      <c r="K642" s="168" t="str">
        <f t="shared" si="118"/>
        <v/>
      </c>
      <c r="L642" s="168" t="str">
        <f>IFERROR(K642/_xlfn.XLOOKUP(_xlfn.XLOOKUP($F642,Clientes!$B$4:$B$39,Clientes!$C$4:$C$39),Cadastros!$L$6:$L$12,Cadastros!$M$6:$M$12)," ")</f>
        <v xml:space="preserve"> </v>
      </c>
      <c r="M642" s="28"/>
      <c r="N642" s="28"/>
      <c r="O642" s="255" t="str">
        <f>IF(M642="","",(_xlfn.XLOOKUP(M642,Cadastros!$D$6:$D$90,Cadastros!$E$6:$E$90))*(1-_xlfn.XLOOKUP(_xlfn.XLOOKUP($F642,Clientes!$B$4:$B$39,Clientes!$C$4:$C$39),Cadastros!$L$6:$L$12,Cadastros!$N$6:$N$12)))</f>
        <v/>
      </c>
      <c r="P642" s="168" t="str">
        <f t="shared" si="119"/>
        <v/>
      </c>
      <c r="Q642" s="168" t="str">
        <f>IFERROR(P642/_xlfn.XLOOKUP(_xlfn.XLOOKUP($F642,Clientes!$B$4:$B$39,Clientes!$C$4:$C$39),Cadastros!$L$6:$L$12,Cadastros!$M$6:$M$12)," ")</f>
        <v xml:space="preserve"> </v>
      </c>
      <c r="R642" s="28"/>
      <c r="S642" s="28"/>
      <c r="T642" s="255" t="str">
        <f>IF(R642="","",(_xlfn.XLOOKUP(R642,Cadastros!$D$6:$D$90,Cadastros!$E$6:$E$90))*(1-_xlfn.XLOOKUP(_xlfn.XLOOKUP($F642,Clientes!$B$4:$B$39,Clientes!$C$4:$C$39),Cadastros!$L$6:$L$12,Cadastros!$N$6:$N$12)))</f>
        <v/>
      </c>
      <c r="U642" s="168" t="str">
        <f t="shared" si="120"/>
        <v/>
      </c>
      <c r="V642" s="168" t="str">
        <f>IFERROR(U642/_xlfn.XLOOKUP(_xlfn.XLOOKUP($F642,Clientes!$B$4:$B$39,Clientes!$C$4:$C$39),Cadastros!$L$6:$L$12,Cadastros!$M$6:$M$12)," ")</f>
        <v xml:space="preserve"> </v>
      </c>
      <c r="W642" s="28"/>
      <c r="X642" s="28"/>
      <c r="Y642" s="255" t="str">
        <f>IF(W642="","",(_xlfn.XLOOKUP(W642,Cadastros!$D$6:$D$90,Cadastros!$E$6:$E$90))*(1-_xlfn.XLOOKUP(_xlfn.XLOOKUP($F642,Clientes!$B$4:$B$39,Clientes!$C$4:$C$39),Cadastros!$L$6:$L$12,Cadastros!$N$6:$N$12)))</f>
        <v/>
      </c>
      <c r="Z642" s="168" t="str">
        <f t="shared" si="121"/>
        <v/>
      </c>
      <c r="AA642" s="168" t="str">
        <f>IFERROR(Z642/_xlfn.XLOOKUP(_xlfn.XLOOKUP($F642,Clientes!$B$4:$B$39,Clientes!$C$4:$C$39),Cadastros!$L$6:$L$12,Cadastros!$M$6:$M$12)," ")</f>
        <v xml:space="preserve"> </v>
      </c>
      <c r="AB642" s="28"/>
      <c r="AC642" s="28"/>
      <c r="AD642" s="20" t="str">
        <f>IF(AB642="","",IF($F642="Bernardino Furlan",_xlfn.XLOOKUP(AB642,Cadastros!$G$6:$G$90,Cadastros!$H$6:$H$90)*(1-0.18),IF($F642="Mauro José Salanti",_xlfn.XLOOKUP(AB642,Cadastros!$G$6:$G$90,Cadastros!$H$6:$H$90)*(1-0.18),_xlfn.XLOOKUP(AB642,Cadastros!$G$6:$G$90,Cadastros!$H$6:$H$90))))</f>
        <v/>
      </c>
      <c r="AE642" s="168" t="str">
        <f t="shared" si="122"/>
        <v/>
      </c>
      <c r="AF642" s="168" t="str">
        <f t="shared" si="123"/>
        <v/>
      </c>
      <c r="AG642" s="28"/>
      <c r="AH642" s="28"/>
      <c r="AI642" s="20" t="str">
        <f>IF(AG642="","",IF($F642="Bernardino Furlan",_xlfn.XLOOKUP(AG642,Cadastros!$G$6:$G$90,Cadastros!$H$6:$H$90)*(1-0.18),IF($F642="Mauro José Salanti",_xlfn.XLOOKUP(AG642,Cadastros!$G$6:$G$90,Cadastros!$H$6:$H$90)*(1-0.18),_xlfn.XLOOKUP(AG642,Cadastros!$G$6:$G$90,Cadastros!$H$6:$H$90))))</f>
        <v/>
      </c>
      <c r="AJ642" s="168" t="str">
        <f t="shared" si="124"/>
        <v/>
      </c>
      <c r="AK642" s="168" t="str">
        <f t="shared" si="125"/>
        <v/>
      </c>
      <c r="AL642" s="28"/>
      <c r="AM642" s="28"/>
      <c r="AN642" s="20" t="str">
        <f>IF(AL642="","",IF($F642="Bernardino Furlan",_xlfn.XLOOKUP(AL642,Cadastros!$G$6:$G$90,Cadastros!$H$6:$H$90)*(1-0.18),IF($F642="Mauro José Salanti",_xlfn.XLOOKUP(AL642,Cadastros!$G$6:$G$90,Cadastros!$H$6:$H$90)*(1-0.18),_xlfn.XLOOKUP(AL642,Cadastros!$G$6:$G$90,Cadastros!$H$6:$H$90))))</f>
        <v/>
      </c>
      <c r="AO642" s="168" t="str">
        <f t="shared" si="126"/>
        <v/>
      </c>
      <c r="AP642" s="168" t="str">
        <f t="shared" si="127"/>
        <v/>
      </c>
      <c r="AQ642" s="28"/>
      <c r="AR642" s="28"/>
      <c r="AS642" s="20" t="str">
        <f>IF(AQ642="","",IF($F642="Bernardino Furlan",_xlfn.XLOOKUP(AQ642,Cadastros!$G$6:$G$90,Cadastros!$H$6:$H$90)*(1-0.18),IF($F642="Mauro José Salanti",_xlfn.XLOOKUP(AQ642,Cadastros!$G$6:$G$90,Cadastros!$H$6:$H$90)*(1-0.18),_xlfn.XLOOKUP(AQ642,Cadastros!$G$6:$G$90,Cadastros!$H$6:$H$90))))</f>
        <v/>
      </c>
      <c r="AT642" s="168" t="str">
        <f t="shared" si="128"/>
        <v/>
      </c>
      <c r="AU642" s="168" t="str">
        <f t="shared" si="129"/>
        <v/>
      </c>
      <c r="AV642" s="227"/>
      <c r="AW642" s="30"/>
      <c r="AX642" s="267"/>
      <c r="AY642" s="267"/>
      <c r="AZ642" s="29"/>
      <c r="BA642" s="30"/>
      <c r="BB642" s="23" t="str" cm="1">
        <f t="array" ref="BB642">_xlfn.IFS(AW642="SIM",SUM(K642,P642,U642,Z642,AE642,AJ642,AO642,AT642,AX642,AY642),F642&lt;&gt;"",SUM(K642,P642,U642,Z642,AE642,AJ642,,AO642,AT642),F642="","")</f>
        <v/>
      </c>
      <c r="BC642" s="211" t="str" cm="1">
        <f t="array" ref="BC642">_xlfn.IFS(E642="","",G642&lt;=E642,BB642*(1-0.03),G642&lt;(E642+8),BB642,AZ642="Boleto",BB642*(1+0.001)^DATEDIF(E642,G642,"D"),AZ642="Cheque",BB642,AZ642="Dinheiro","Alterar forma pgto")</f>
        <v/>
      </c>
      <c r="BD642" s="276" t="str" cm="1">
        <f t="array" ref="BD642">IF(F642=0," ",IF(BC642&lt;BB642,(_xlfn.IFS(AW642="SIM",SUM(L642,Q642,V642,AA642,AF642,AK642,AP642,AU642)+AX642/_xlfn.XLOOKUP(_xlfn.XLOOKUP($F642,Clientes!$B$4:$B$39,Clientes!$C$4:$C$39),Cadastros!$L$6:$L$12,Cadastros!$M$6:$M$12)+IF($F642="Bernardino Furlan",AY642/2751.92,IF($F642="Mauro José Salanti",AY642/2751.92,AY642/3356)),F642&lt;&gt;0,SUM(L642,Q642,V642,AA642,AF642,AK642,AP642,AU642)))*(1-0.03),_xlfn.IFS(AW642="SIM",SUM(L642,Q642,V642,AA642,AF642,AK642,AP642,AU642)+AX642/_xlfn.XLOOKUP(_xlfn.XLOOKUP($F642,Clientes!$B$4:$B$39,Clientes!$C$4:$C$39),Cadastros!$L$6:$L$12,Cadastros!$M$6:$M$12)+IF($F642="Bernardino Furlan",AY642/2751.92,IF($F642="Mauro José Salanti",AY642/2751.92,AY642/3356)),F642&lt;&gt;0,SUM(L642,Q642,V642,AA642,AF642,AK642,AP642,AU642))))</f>
        <v xml:space="preserve"> </v>
      </c>
      <c r="BE642" s="120"/>
      <c r="BF642" s="120"/>
      <c r="BG642" s="120"/>
    </row>
    <row r="643" spans="1:59" s="3" customFormat="1" x14ac:dyDescent="0.3">
      <c r="A643" s="15" t="str">
        <f t="shared" si="117"/>
        <v/>
      </c>
      <c r="B643" s="25"/>
      <c r="C643" s="26"/>
      <c r="D643" s="279"/>
      <c r="E643" s="27"/>
      <c r="F643" s="28"/>
      <c r="G643" s="27"/>
      <c r="H643" s="28"/>
      <c r="I643" s="28"/>
      <c r="J643" s="255" t="str">
        <f>IF(H643="","",(_xlfn.XLOOKUP(H643,Cadastros!$D$6:$D$90,Cadastros!$E$6:$E$90))*(1-_xlfn.XLOOKUP(_xlfn.XLOOKUP($F643,Clientes!$B$4:$B$39,Clientes!$C$4:$C$39),Cadastros!$L$6:$L$12,Cadastros!$N$6:$N$12)))</f>
        <v/>
      </c>
      <c r="K643" s="168" t="str">
        <f t="shared" si="118"/>
        <v/>
      </c>
      <c r="L643" s="168" t="str">
        <f>IFERROR(K643/_xlfn.XLOOKUP(_xlfn.XLOOKUP($F643,Clientes!$B$4:$B$39,Clientes!$C$4:$C$39),Cadastros!$L$6:$L$12,Cadastros!$M$6:$M$12)," ")</f>
        <v xml:space="preserve"> </v>
      </c>
      <c r="M643" s="28"/>
      <c r="N643" s="28"/>
      <c r="O643" s="255" t="str">
        <f>IF(M643="","",(_xlfn.XLOOKUP(M643,Cadastros!$D$6:$D$90,Cadastros!$E$6:$E$90))*(1-_xlfn.XLOOKUP(_xlfn.XLOOKUP($F643,Clientes!$B$4:$B$39,Clientes!$C$4:$C$39),Cadastros!$L$6:$L$12,Cadastros!$N$6:$N$12)))</f>
        <v/>
      </c>
      <c r="P643" s="168" t="str">
        <f t="shared" si="119"/>
        <v/>
      </c>
      <c r="Q643" s="168" t="str">
        <f>IFERROR(P643/_xlfn.XLOOKUP(_xlfn.XLOOKUP($F643,Clientes!$B$4:$B$39,Clientes!$C$4:$C$39),Cadastros!$L$6:$L$12,Cadastros!$M$6:$M$12)," ")</f>
        <v xml:space="preserve"> </v>
      </c>
      <c r="R643" s="28"/>
      <c r="S643" s="28"/>
      <c r="T643" s="255" t="str">
        <f>IF(R643="","",(_xlfn.XLOOKUP(R643,Cadastros!$D$6:$D$90,Cadastros!$E$6:$E$90))*(1-_xlfn.XLOOKUP(_xlfn.XLOOKUP($F643,Clientes!$B$4:$B$39,Clientes!$C$4:$C$39),Cadastros!$L$6:$L$12,Cadastros!$N$6:$N$12)))</f>
        <v/>
      </c>
      <c r="U643" s="168" t="str">
        <f t="shared" si="120"/>
        <v/>
      </c>
      <c r="V643" s="168" t="str">
        <f>IFERROR(U643/_xlfn.XLOOKUP(_xlfn.XLOOKUP($F643,Clientes!$B$4:$B$39,Clientes!$C$4:$C$39),Cadastros!$L$6:$L$12,Cadastros!$M$6:$M$12)," ")</f>
        <v xml:space="preserve"> </v>
      </c>
      <c r="W643" s="28"/>
      <c r="X643" s="28"/>
      <c r="Y643" s="255" t="str">
        <f>IF(W643="","",(_xlfn.XLOOKUP(W643,Cadastros!$D$6:$D$90,Cadastros!$E$6:$E$90))*(1-_xlfn.XLOOKUP(_xlfn.XLOOKUP($F643,Clientes!$B$4:$B$39,Clientes!$C$4:$C$39),Cadastros!$L$6:$L$12,Cadastros!$N$6:$N$12)))</f>
        <v/>
      </c>
      <c r="Z643" s="168" t="str">
        <f t="shared" si="121"/>
        <v/>
      </c>
      <c r="AA643" s="168" t="str">
        <f>IFERROR(Z643/_xlfn.XLOOKUP(_xlfn.XLOOKUP($F643,Clientes!$B$4:$B$39,Clientes!$C$4:$C$39),Cadastros!$L$6:$L$12,Cadastros!$M$6:$M$12)," ")</f>
        <v xml:space="preserve"> </v>
      </c>
      <c r="AB643" s="28"/>
      <c r="AC643" s="28"/>
      <c r="AD643" s="20" t="str">
        <f>IF(AB643="","",IF($F643="Bernardino Furlan",_xlfn.XLOOKUP(AB643,Cadastros!$G$6:$G$90,Cadastros!$H$6:$H$90)*(1-0.18),IF($F643="Mauro José Salanti",_xlfn.XLOOKUP(AB643,Cadastros!$G$6:$G$90,Cadastros!$H$6:$H$90)*(1-0.18),_xlfn.XLOOKUP(AB643,Cadastros!$G$6:$G$90,Cadastros!$H$6:$H$90))))</f>
        <v/>
      </c>
      <c r="AE643" s="168" t="str">
        <f t="shared" si="122"/>
        <v/>
      </c>
      <c r="AF643" s="168" t="str">
        <f t="shared" si="123"/>
        <v/>
      </c>
      <c r="AG643" s="28"/>
      <c r="AH643" s="28"/>
      <c r="AI643" s="20" t="str">
        <f>IF(AG643="","",IF($F643="Bernardino Furlan",_xlfn.XLOOKUP(AG643,Cadastros!$G$6:$G$90,Cadastros!$H$6:$H$90)*(1-0.18),IF($F643="Mauro José Salanti",_xlfn.XLOOKUP(AG643,Cadastros!$G$6:$G$90,Cadastros!$H$6:$H$90)*(1-0.18),_xlfn.XLOOKUP(AG643,Cadastros!$G$6:$G$90,Cadastros!$H$6:$H$90))))</f>
        <v/>
      </c>
      <c r="AJ643" s="168" t="str">
        <f t="shared" si="124"/>
        <v/>
      </c>
      <c r="AK643" s="168" t="str">
        <f t="shared" si="125"/>
        <v/>
      </c>
      <c r="AL643" s="28"/>
      <c r="AM643" s="28"/>
      <c r="AN643" s="20" t="str">
        <f>IF(AL643="","",IF($F643="Bernardino Furlan",_xlfn.XLOOKUP(AL643,Cadastros!$G$6:$G$90,Cadastros!$H$6:$H$90)*(1-0.18),IF($F643="Mauro José Salanti",_xlfn.XLOOKUP(AL643,Cadastros!$G$6:$G$90,Cadastros!$H$6:$H$90)*(1-0.18),_xlfn.XLOOKUP(AL643,Cadastros!$G$6:$G$90,Cadastros!$H$6:$H$90))))</f>
        <v/>
      </c>
      <c r="AO643" s="168" t="str">
        <f t="shared" si="126"/>
        <v/>
      </c>
      <c r="AP643" s="168" t="str">
        <f t="shared" si="127"/>
        <v/>
      </c>
      <c r="AQ643" s="28"/>
      <c r="AR643" s="28"/>
      <c r="AS643" s="20" t="str">
        <f>IF(AQ643="","",IF($F643="Bernardino Furlan",_xlfn.XLOOKUP(AQ643,Cadastros!$G$6:$G$90,Cadastros!$H$6:$H$90)*(1-0.18),IF($F643="Mauro José Salanti",_xlfn.XLOOKUP(AQ643,Cadastros!$G$6:$G$90,Cadastros!$H$6:$H$90)*(1-0.18),_xlfn.XLOOKUP(AQ643,Cadastros!$G$6:$G$90,Cadastros!$H$6:$H$90))))</f>
        <v/>
      </c>
      <c r="AT643" s="168" t="str">
        <f t="shared" si="128"/>
        <v/>
      </c>
      <c r="AU643" s="168" t="str">
        <f t="shared" si="129"/>
        <v/>
      </c>
      <c r="AV643" s="227"/>
      <c r="AW643" s="30"/>
      <c r="AX643" s="267"/>
      <c r="AY643" s="267"/>
      <c r="AZ643" s="29"/>
      <c r="BA643" s="30"/>
      <c r="BB643" s="23" t="str" cm="1">
        <f t="array" ref="BB643">_xlfn.IFS(AW643="SIM",SUM(K643,P643,U643,Z643,AE643,AJ643,AO643,AT643,AX643,AY643),F643&lt;&gt;"",SUM(K643,P643,U643,Z643,AE643,AJ643,,AO643,AT643),F643="","")</f>
        <v/>
      </c>
      <c r="BC643" s="211" t="str" cm="1">
        <f t="array" ref="BC643">_xlfn.IFS(E643="","",G643&lt;=E643,BB643*(1-0.03),G643&lt;(E643+8),BB643,AZ643="Boleto",BB643*(1+0.001)^DATEDIF(E643,G643,"D"),AZ643="Cheque",BB643,AZ643="Dinheiro","Alterar forma pgto")</f>
        <v/>
      </c>
      <c r="BD643" s="276" t="str" cm="1">
        <f t="array" ref="BD643">IF(F643=0," ",IF(BC643&lt;BB643,(_xlfn.IFS(AW643="SIM",SUM(L643,Q643,V643,AA643,AF643,AK643,AP643,AU643)+AX643/_xlfn.XLOOKUP(_xlfn.XLOOKUP($F643,Clientes!$B$4:$B$39,Clientes!$C$4:$C$39),Cadastros!$L$6:$L$12,Cadastros!$M$6:$M$12)+IF($F643="Bernardino Furlan",AY643/2751.92,IF($F643="Mauro José Salanti",AY643/2751.92,AY643/3356)),F643&lt;&gt;0,SUM(L643,Q643,V643,AA643,AF643,AK643,AP643,AU643)))*(1-0.03),_xlfn.IFS(AW643="SIM",SUM(L643,Q643,V643,AA643,AF643,AK643,AP643,AU643)+AX643/_xlfn.XLOOKUP(_xlfn.XLOOKUP($F643,Clientes!$B$4:$B$39,Clientes!$C$4:$C$39),Cadastros!$L$6:$L$12,Cadastros!$M$6:$M$12)+IF($F643="Bernardino Furlan",AY643/2751.92,IF($F643="Mauro José Salanti",AY643/2751.92,AY643/3356)),F643&lt;&gt;0,SUM(L643,Q643,V643,AA643,AF643,AK643,AP643,AU643))))</f>
        <v xml:space="preserve"> </v>
      </c>
      <c r="BE643" s="120"/>
      <c r="BF643" s="120"/>
      <c r="BG643" s="120"/>
    </row>
    <row r="644" spans="1:59" s="3" customFormat="1" x14ac:dyDescent="0.3">
      <c r="A644" s="15" t="str">
        <f t="shared" si="117"/>
        <v/>
      </c>
      <c r="B644" s="25"/>
      <c r="C644" s="26"/>
      <c r="D644" s="279"/>
      <c r="E644" s="27"/>
      <c r="F644" s="28"/>
      <c r="G644" s="27"/>
      <c r="H644" s="28"/>
      <c r="I644" s="28"/>
      <c r="J644" s="255" t="str">
        <f>IF(H644="","",(_xlfn.XLOOKUP(H644,Cadastros!$D$6:$D$90,Cadastros!$E$6:$E$90))*(1-_xlfn.XLOOKUP(_xlfn.XLOOKUP($F644,Clientes!$B$4:$B$39,Clientes!$C$4:$C$39),Cadastros!$L$6:$L$12,Cadastros!$N$6:$N$12)))</f>
        <v/>
      </c>
      <c r="K644" s="168" t="str">
        <f t="shared" si="118"/>
        <v/>
      </c>
      <c r="L644" s="168" t="str">
        <f>IFERROR(K644/_xlfn.XLOOKUP(_xlfn.XLOOKUP($F644,Clientes!$B$4:$B$39,Clientes!$C$4:$C$39),Cadastros!$L$6:$L$12,Cadastros!$M$6:$M$12)," ")</f>
        <v xml:space="preserve"> </v>
      </c>
      <c r="M644" s="28"/>
      <c r="N644" s="28"/>
      <c r="O644" s="255" t="str">
        <f>IF(M644="","",(_xlfn.XLOOKUP(M644,Cadastros!$D$6:$D$90,Cadastros!$E$6:$E$90))*(1-_xlfn.XLOOKUP(_xlfn.XLOOKUP($F644,Clientes!$B$4:$B$39,Clientes!$C$4:$C$39),Cadastros!$L$6:$L$12,Cadastros!$N$6:$N$12)))</f>
        <v/>
      </c>
      <c r="P644" s="168" t="str">
        <f t="shared" si="119"/>
        <v/>
      </c>
      <c r="Q644" s="168" t="str">
        <f>IFERROR(P644/_xlfn.XLOOKUP(_xlfn.XLOOKUP($F644,Clientes!$B$4:$B$39,Clientes!$C$4:$C$39),Cadastros!$L$6:$L$12,Cadastros!$M$6:$M$12)," ")</f>
        <v xml:space="preserve"> </v>
      </c>
      <c r="R644" s="28"/>
      <c r="S644" s="28"/>
      <c r="T644" s="255" t="str">
        <f>IF(R644="","",(_xlfn.XLOOKUP(R644,Cadastros!$D$6:$D$90,Cadastros!$E$6:$E$90))*(1-_xlfn.XLOOKUP(_xlfn.XLOOKUP($F644,Clientes!$B$4:$B$39,Clientes!$C$4:$C$39),Cadastros!$L$6:$L$12,Cadastros!$N$6:$N$12)))</f>
        <v/>
      </c>
      <c r="U644" s="168" t="str">
        <f t="shared" si="120"/>
        <v/>
      </c>
      <c r="V644" s="168" t="str">
        <f>IFERROR(U644/_xlfn.XLOOKUP(_xlfn.XLOOKUP($F644,Clientes!$B$4:$B$39,Clientes!$C$4:$C$39),Cadastros!$L$6:$L$12,Cadastros!$M$6:$M$12)," ")</f>
        <v xml:space="preserve"> </v>
      </c>
      <c r="W644" s="28"/>
      <c r="X644" s="28"/>
      <c r="Y644" s="255" t="str">
        <f>IF(W644="","",(_xlfn.XLOOKUP(W644,Cadastros!$D$6:$D$90,Cadastros!$E$6:$E$90))*(1-_xlfn.XLOOKUP(_xlfn.XLOOKUP($F644,Clientes!$B$4:$B$39,Clientes!$C$4:$C$39),Cadastros!$L$6:$L$12,Cadastros!$N$6:$N$12)))</f>
        <v/>
      </c>
      <c r="Z644" s="168" t="str">
        <f t="shared" si="121"/>
        <v/>
      </c>
      <c r="AA644" s="168" t="str">
        <f>IFERROR(Z644/_xlfn.XLOOKUP(_xlfn.XLOOKUP($F644,Clientes!$B$4:$B$39,Clientes!$C$4:$C$39),Cadastros!$L$6:$L$12,Cadastros!$M$6:$M$12)," ")</f>
        <v xml:space="preserve"> </v>
      </c>
      <c r="AB644" s="28"/>
      <c r="AC644" s="28"/>
      <c r="AD644" s="20" t="str">
        <f>IF(AB644="","",IF($F644="Bernardino Furlan",_xlfn.XLOOKUP(AB644,Cadastros!$G$6:$G$90,Cadastros!$H$6:$H$90)*(1-0.18),IF($F644="Mauro José Salanti",_xlfn.XLOOKUP(AB644,Cadastros!$G$6:$G$90,Cadastros!$H$6:$H$90)*(1-0.18),_xlfn.XLOOKUP(AB644,Cadastros!$G$6:$G$90,Cadastros!$H$6:$H$90))))</f>
        <v/>
      </c>
      <c r="AE644" s="168" t="str">
        <f t="shared" si="122"/>
        <v/>
      </c>
      <c r="AF644" s="168" t="str">
        <f t="shared" si="123"/>
        <v/>
      </c>
      <c r="AG644" s="28"/>
      <c r="AH644" s="28"/>
      <c r="AI644" s="20" t="str">
        <f>IF(AG644="","",IF($F644="Bernardino Furlan",_xlfn.XLOOKUP(AG644,Cadastros!$G$6:$G$90,Cadastros!$H$6:$H$90)*(1-0.18),IF($F644="Mauro José Salanti",_xlfn.XLOOKUP(AG644,Cadastros!$G$6:$G$90,Cadastros!$H$6:$H$90)*(1-0.18),_xlfn.XLOOKUP(AG644,Cadastros!$G$6:$G$90,Cadastros!$H$6:$H$90))))</f>
        <v/>
      </c>
      <c r="AJ644" s="168" t="str">
        <f t="shared" si="124"/>
        <v/>
      </c>
      <c r="AK644" s="168" t="str">
        <f t="shared" si="125"/>
        <v/>
      </c>
      <c r="AL644" s="28"/>
      <c r="AM644" s="28"/>
      <c r="AN644" s="20" t="str">
        <f>IF(AL644="","",IF($F644="Bernardino Furlan",_xlfn.XLOOKUP(AL644,Cadastros!$G$6:$G$90,Cadastros!$H$6:$H$90)*(1-0.18),IF($F644="Mauro José Salanti",_xlfn.XLOOKUP(AL644,Cadastros!$G$6:$G$90,Cadastros!$H$6:$H$90)*(1-0.18),_xlfn.XLOOKUP(AL644,Cadastros!$G$6:$G$90,Cadastros!$H$6:$H$90))))</f>
        <v/>
      </c>
      <c r="AO644" s="168" t="str">
        <f t="shared" si="126"/>
        <v/>
      </c>
      <c r="AP644" s="168" t="str">
        <f t="shared" si="127"/>
        <v/>
      </c>
      <c r="AQ644" s="28"/>
      <c r="AR644" s="28"/>
      <c r="AS644" s="20" t="str">
        <f>IF(AQ644="","",IF($F644="Bernardino Furlan",_xlfn.XLOOKUP(AQ644,Cadastros!$G$6:$G$90,Cadastros!$H$6:$H$90)*(1-0.18),IF($F644="Mauro José Salanti",_xlfn.XLOOKUP(AQ644,Cadastros!$G$6:$G$90,Cadastros!$H$6:$H$90)*(1-0.18),_xlfn.XLOOKUP(AQ644,Cadastros!$G$6:$G$90,Cadastros!$H$6:$H$90))))</f>
        <v/>
      </c>
      <c r="AT644" s="168" t="str">
        <f t="shared" si="128"/>
        <v/>
      </c>
      <c r="AU644" s="168" t="str">
        <f t="shared" si="129"/>
        <v/>
      </c>
      <c r="AV644" s="227"/>
      <c r="AW644" s="30"/>
      <c r="AX644" s="267"/>
      <c r="AY644" s="267"/>
      <c r="AZ644" s="29"/>
      <c r="BA644" s="30"/>
      <c r="BB644" s="23" t="str" cm="1">
        <f t="array" ref="BB644">_xlfn.IFS(AW644="SIM",SUM(K644,P644,U644,Z644,AE644,AJ644,AO644,AT644,AX644,AY644),F644&lt;&gt;"",SUM(K644,P644,U644,Z644,AE644,AJ644,,AO644,AT644),F644="","")</f>
        <v/>
      </c>
      <c r="BC644" s="211" t="str" cm="1">
        <f t="array" ref="BC644">_xlfn.IFS(E644="","",G644&lt;=E644,BB644*(1-0.03),G644&lt;(E644+8),BB644,AZ644="Boleto",BB644*(1+0.001)^DATEDIF(E644,G644,"D"),AZ644="Cheque",BB644,AZ644="Dinheiro","Alterar forma pgto")</f>
        <v/>
      </c>
      <c r="BD644" s="276" t="str" cm="1">
        <f t="array" ref="BD644">IF(F644=0," ",IF(BC644&lt;BB644,(_xlfn.IFS(AW644="SIM",SUM(L644,Q644,V644,AA644,AF644,AK644,AP644,AU644)+AX644/_xlfn.XLOOKUP(_xlfn.XLOOKUP($F644,Clientes!$B$4:$B$39,Clientes!$C$4:$C$39),Cadastros!$L$6:$L$12,Cadastros!$M$6:$M$12)+IF($F644="Bernardino Furlan",AY644/2751.92,IF($F644="Mauro José Salanti",AY644/2751.92,AY644/3356)),F644&lt;&gt;0,SUM(L644,Q644,V644,AA644,AF644,AK644,AP644,AU644)))*(1-0.03),_xlfn.IFS(AW644="SIM",SUM(L644,Q644,V644,AA644,AF644,AK644,AP644,AU644)+AX644/_xlfn.XLOOKUP(_xlfn.XLOOKUP($F644,Clientes!$B$4:$B$39,Clientes!$C$4:$C$39),Cadastros!$L$6:$L$12,Cadastros!$M$6:$M$12)+IF($F644="Bernardino Furlan",AY644/2751.92,IF($F644="Mauro José Salanti",AY644/2751.92,AY644/3356)),F644&lt;&gt;0,SUM(L644,Q644,V644,AA644,AF644,AK644,AP644,AU644))))</f>
        <v xml:space="preserve"> </v>
      </c>
      <c r="BE644" s="120"/>
      <c r="BF644" s="120"/>
      <c r="BG644" s="120"/>
    </row>
    <row r="645" spans="1:59" s="3" customFormat="1" x14ac:dyDescent="0.3">
      <c r="A645" s="15" t="str">
        <f t="shared" si="117"/>
        <v/>
      </c>
      <c r="B645" s="25"/>
      <c r="C645" s="26"/>
      <c r="D645" s="279"/>
      <c r="E645" s="27"/>
      <c r="F645" s="28"/>
      <c r="G645" s="27"/>
      <c r="H645" s="28"/>
      <c r="I645" s="28"/>
      <c r="J645" s="255" t="str">
        <f>IF(H645="","",(_xlfn.XLOOKUP(H645,Cadastros!$D$6:$D$90,Cadastros!$E$6:$E$90))*(1-_xlfn.XLOOKUP(_xlfn.XLOOKUP($F645,Clientes!$B$4:$B$39,Clientes!$C$4:$C$39),Cadastros!$L$6:$L$12,Cadastros!$N$6:$N$12)))</f>
        <v/>
      </c>
      <c r="K645" s="168" t="str">
        <f t="shared" si="118"/>
        <v/>
      </c>
      <c r="L645" s="168" t="str">
        <f>IFERROR(K645/_xlfn.XLOOKUP(_xlfn.XLOOKUP($F645,Clientes!$B$4:$B$39,Clientes!$C$4:$C$39),Cadastros!$L$6:$L$12,Cadastros!$M$6:$M$12)," ")</f>
        <v xml:space="preserve"> </v>
      </c>
      <c r="M645" s="28"/>
      <c r="N645" s="28"/>
      <c r="O645" s="255" t="str">
        <f>IF(M645="","",(_xlfn.XLOOKUP(M645,Cadastros!$D$6:$D$90,Cadastros!$E$6:$E$90))*(1-_xlfn.XLOOKUP(_xlfn.XLOOKUP($F645,Clientes!$B$4:$B$39,Clientes!$C$4:$C$39),Cadastros!$L$6:$L$12,Cadastros!$N$6:$N$12)))</f>
        <v/>
      </c>
      <c r="P645" s="168" t="str">
        <f t="shared" si="119"/>
        <v/>
      </c>
      <c r="Q645" s="168" t="str">
        <f>IFERROR(P645/_xlfn.XLOOKUP(_xlfn.XLOOKUP($F645,Clientes!$B$4:$B$39,Clientes!$C$4:$C$39),Cadastros!$L$6:$L$12,Cadastros!$M$6:$M$12)," ")</f>
        <v xml:space="preserve"> </v>
      </c>
      <c r="R645" s="28"/>
      <c r="S645" s="28"/>
      <c r="T645" s="255" t="str">
        <f>IF(R645="","",(_xlfn.XLOOKUP(R645,Cadastros!$D$6:$D$90,Cadastros!$E$6:$E$90))*(1-_xlfn.XLOOKUP(_xlfn.XLOOKUP($F645,Clientes!$B$4:$B$39,Clientes!$C$4:$C$39),Cadastros!$L$6:$L$12,Cadastros!$N$6:$N$12)))</f>
        <v/>
      </c>
      <c r="U645" s="168" t="str">
        <f t="shared" si="120"/>
        <v/>
      </c>
      <c r="V645" s="168" t="str">
        <f>IFERROR(U645/_xlfn.XLOOKUP(_xlfn.XLOOKUP($F645,Clientes!$B$4:$B$39,Clientes!$C$4:$C$39),Cadastros!$L$6:$L$12,Cadastros!$M$6:$M$12)," ")</f>
        <v xml:space="preserve"> </v>
      </c>
      <c r="W645" s="28"/>
      <c r="X645" s="28"/>
      <c r="Y645" s="255" t="str">
        <f>IF(W645="","",(_xlfn.XLOOKUP(W645,Cadastros!$D$6:$D$90,Cadastros!$E$6:$E$90))*(1-_xlfn.XLOOKUP(_xlfn.XLOOKUP($F645,Clientes!$B$4:$B$39,Clientes!$C$4:$C$39),Cadastros!$L$6:$L$12,Cadastros!$N$6:$N$12)))</f>
        <v/>
      </c>
      <c r="Z645" s="168" t="str">
        <f t="shared" si="121"/>
        <v/>
      </c>
      <c r="AA645" s="168" t="str">
        <f>IFERROR(Z645/_xlfn.XLOOKUP(_xlfn.XLOOKUP($F645,Clientes!$B$4:$B$39,Clientes!$C$4:$C$39),Cadastros!$L$6:$L$12,Cadastros!$M$6:$M$12)," ")</f>
        <v xml:space="preserve"> </v>
      </c>
      <c r="AB645" s="28"/>
      <c r="AC645" s="28"/>
      <c r="AD645" s="20" t="str">
        <f>IF(AB645="","",IF($F645="Bernardino Furlan",_xlfn.XLOOKUP(AB645,Cadastros!$G$6:$G$90,Cadastros!$H$6:$H$90)*(1-0.18),IF($F645="Mauro José Salanti",_xlfn.XLOOKUP(AB645,Cadastros!$G$6:$G$90,Cadastros!$H$6:$H$90)*(1-0.18),_xlfn.XLOOKUP(AB645,Cadastros!$G$6:$G$90,Cadastros!$H$6:$H$90))))</f>
        <v/>
      </c>
      <c r="AE645" s="168" t="str">
        <f t="shared" si="122"/>
        <v/>
      </c>
      <c r="AF645" s="168" t="str">
        <f t="shared" si="123"/>
        <v/>
      </c>
      <c r="AG645" s="28"/>
      <c r="AH645" s="28"/>
      <c r="AI645" s="20" t="str">
        <f>IF(AG645="","",IF($F645="Bernardino Furlan",_xlfn.XLOOKUP(AG645,Cadastros!$G$6:$G$90,Cadastros!$H$6:$H$90)*(1-0.18),IF($F645="Mauro José Salanti",_xlfn.XLOOKUP(AG645,Cadastros!$G$6:$G$90,Cadastros!$H$6:$H$90)*(1-0.18),_xlfn.XLOOKUP(AG645,Cadastros!$G$6:$G$90,Cadastros!$H$6:$H$90))))</f>
        <v/>
      </c>
      <c r="AJ645" s="168" t="str">
        <f t="shared" si="124"/>
        <v/>
      </c>
      <c r="AK645" s="168" t="str">
        <f t="shared" si="125"/>
        <v/>
      </c>
      <c r="AL645" s="28"/>
      <c r="AM645" s="28"/>
      <c r="AN645" s="20" t="str">
        <f>IF(AL645="","",IF($F645="Bernardino Furlan",_xlfn.XLOOKUP(AL645,Cadastros!$G$6:$G$90,Cadastros!$H$6:$H$90)*(1-0.18),IF($F645="Mauro José Salanti",_xlfn.XLOOKUP(AL645,Cadastros!$G$6:$G$90,Cadastros!$H$6:$H$90)*(1-0.18),_xlfn.XLOOKUP(AL645,Cadastros!$G$6:$G$90,Cadastros!$H$6:$H$90))))</f>
        <v/>
      </c>
      <c r="AO645" s="168" t="str">
        <f t="shared" si="126"/>
        <v/>
      </c>
      <c r="AP645" s="168" t="str">
        <f t="shared" si="127"/>
        <v/>
      </c>
      <c r="AQ645" s="28"/>
      <c r="AR645" s="28"/>
      <c r="AS645" s="20" t="str">
        <f>IF(AQ645="","",IF($F645="Bernardino Furlan",_xlfn.XLOOKUP(AQ645,Cadastros!$G$6:$G$90,Cadastros!$H$6:$H$90)*(1-0.18),IF($F645="Mauro José Salanti",_xlfn.XLOOKUP(AQ645,Cadastros!$G$6:$G$90,Cadastros!$H$6:$H$90)*(1-0.18),_xlfn.XLOOKUP(AQ645,Cadastros!$G$6:$G$90,Cadastros!$H$6:$H$90))))</f>
        <v/>
      </c>
      <c r="AT645" s="168" t="str">
        <f t="shared" si="128"/>
        <v/>
      </c>
      <c r="AU645" s="168" t="str">
        <f t="shared" si="129"/>
        <v/>
      </c>
      <c r="AV645" s="227"/>
      <c r="AW645" s="30"/>
      <c r="AX645" s="267"/>
      <c r="AY645" s="267"/>
      <c r="AZ645" s="29"/>
      <c r="BA645" s="30"/>
      <c r="BB645" s="23" t="str" cm="1">
        <f t="array" ref="BB645">_xlfn.IFS(AW645="SIM",SUM(K645,P645,U645,Z645,AE645,AJ645,AO645,AT645,AX645,AY645),F645&lt;&gt;"",SUM(K645,P645,U645,Z645,AE645,AJ645,,AO645,AT645),F645="","")</f>
        <v/>
      </c>
      <c r="BC645" s="211" t="str" cm="1">
        <f t="array" ref="BC645">_xlfn.IFS(E645="","",G645&lt;=E645,BB645*(1-0.03),G645&lt;(E645+8),BB645,AZ645="Boleto",BB645*(1+0.001)^DATEDIF(E645,G645,"D"),AZ645="Cheque",BB645,AZ645="Dinheiro","Alterar forma pgto")</f>
        <v/>
      </c>
      <c r="BD645" s="276" t="str" cm="1">
        <f t="array" ref="BD645">IF(F645=0," ",IF(BC645&lt;BB645,(_xlfn.IFS(AW645="SIM",SUM(L645,Q645,V645,AA645,AF645,AK645,AP645,AU645)+AX645/_xlfn.XLOOKUP(_xlfn.XLOOKUP($F645,Clientes!$B$4:$B$39,Clientes!$C$4:$C$39),Cadastros!$L$6:$L$12,Cadastros!$M$6:$M$12)+IF($F645="Bernardino Furlan",AY645/2751.92,IF($F645="Mauro José Salanti",AY645/2751.92,AY645/3356)),F645&lt;&gt;0,SUM(L645,Q645,V645,AA645,AF645,AK645,AP645,AU645)))*(1-0.03),_xlfn.IFS(AW645="SIM",SUM(L645,Q645,V645,AA645,AF645,AK645,AP645,AU645)+AX645/_xlfn.XLOOKUP(_xlfn.XLOOKUP($F645,Clientes!$B$4:$B$39,Clientes!$C$4:$C$39),Cadastros!$L$6:$L$12,Cadastros!$M$6:$M$12)+IF($F645="Bernardino Furlan",AY645/2751.92,IF($F645="Mauro José Salanti",AY645/2751.92,AY645/3356)),F645&lt;&gt;0,SUM(L645,Q645,V645,AA645,AF645,AK645,AP645,AU645))))</f>
        <v xml:space="preserve"> </v>
      </c>
      <c r="BE645" s="120"/>
      <c r="BF645" s="120"/>
      <c r="BG645" s="120"/>
    </row>
    <row r="646" spans="1:59" s="3" customFormat="1" x14ac:dyDescent="0.3">
      <c r="A646" s="15" t="str">
        <f t="shared" si="117"/>
        <v/>
      </c>
      <c r="B646" s="25"/>
      <c r="C646" s="26"/>
      <c r="D646" s="279"/>
      <c r="E646" s="27"/>
      <c r="F646" s="28"/>
      <c r="G646" s="27"/>
      <c r="H646" s="28"/>
      <c r="I646" s="28"/>
      <c r="J646" s="255" t="str">
        <f>IF(H646="","",(_xlfn.XLOOKUP(H646,Cadastros!$D$6:$D$90,Cadastros!$E$6:$E$90))*(1-_xlfn.XLOOKUP(_xlfn.XLOOKUP($F646,Clientes!$B$4:$B$39,Clientes!$C$4:$C$39),Cadastros!$L$6:$L$12,Cadastros!$N$6:$N$12)))</f>
        <v/>
      </c>
      <c r="K646" s="168" t="str">
        <f t="shared" si="118"/>
        <v/>
      </c>
      <c r="L646" s="168" t="str">
        <f>IFERROR(K646/_xlfn.XLOOKUP(_xlfn.XLOOKUP($F646,Clientes!$B$4:$B$39,Clientes!$C$4:$C$39),Cadastros!$L$6:$L$12,Cadastros!$M$6:$M$12)," ")</f>
        <v xml:space="preserve"> </v>
      </c>
      <c r="M646" s="28"/>
      <c r="N646" s="28"/>
      <c r="O646" s="255" t="str">
        <f>IF(M646="","",(_xlfn.XLOOKUP(M646,Cadastros!$D$6:$D$90,Cadastros!$E$6:$E$90))*(1-_xlfn.XLOOKUP(_xlfn.XLOOKUP($F646,Clientes!$B$4:$B$39,Clientes!$C$4:$C$39),Cadastros!$L$6:$L$12,Cadastros!$N$6:$N$12)))</f>
        <v/>
      </c>
      <c r="P646" s="168" t="str">
        <f t="shared" si="119"/>
        <v/>
      </c>
      <c r="Q646" s="168" t="str">
        <f>IFERROR(P646/_xlfn.XLOOKUP(_xlfn.XLOOKUP($F646,Clientes!$B$4:$B$39,Clientes!$C$4:$C$39),Cadastros!$L$6:$L$12,Cadastros!$M$6:$M$12)," ")</f>
        <v xml:space="preserve"> </v>
      </c>
      <c r="R646" s="28"/>
      <c r="S646" s="28"/>
      <c r="T646" s="255" t="str">
        <f>IF(R646="","",(_xlfn.XLOOKUP(R646,Cadastros!$D$6:$D$90,Cadastros!$E$6:$E$90))*(1-_xlfn.XLOOKUP(_xlfn.XLOOKUP($F646,Clientes!$B$4:$B$39,Clientes!$C$4:$C$39),Cadastros!$L$6:$L$12,Cadastros!$N$6:$N$12)))</f>
        <v/>
      </c>
      <c r="U646" s="168" t="str">
        <f t="shared" si="120"/>
        <v/>
      </c>
      <c r="V646" s="168" t="str">
        <f>IFERROR(U646/_xlfn.XLOOKUP(_xlfn.XLOOKUP($F646,Clientes!$B$4:$B$39,Clientes!$C$4:$C$39),Cadastros!$L$6:$L$12,Cadastros!$M$6:$M$12)," ")</f>
        <v xml:space="preserve"> </v>
      </c>
      <c r="W646" s="28"/>
      <c r="X646" s="28"/>
      <c r="Y646" s="255" t="str">
        <f>IF(W646="","",(_xlfn.XLOOKUP(W646,Cadastros!$D$6:$D$90,Cadastros!$E$6:$E$90))*(1-_xlfn.XLOOKUP(_xlfn.XLOOKUP($F646,Clientes!$B$4:$B$39,Clientes!$C$4:$C$39),Cadastros!$L$6:$L$12,Cadastros!$N$6:$N$12)))</f>
        <v/>
      </c>
      <c r="Z646" s="168" t="str">
        <f t="shared" si="121"/>
        <v/>
      </c>
      <c r="AA646" s="168" t="str">
        <f>IFERROR(Z646/_xlfn.XLOOKUP(_xlfn.XLOOKUP($F646,Clientes!$B$4:$B$39,Clientes!$C$4:$C$39),Cadastros!$L$6:$L$12,Cadastros!$M$6:$M$12)," ")</f>
        <v xml:space="preserve"> </v>
      </c>
      <c r="AB646" s="28"/>
      <c r="AC646" s="28"/>
      <c r="AD646" s="20" t="str">
        <f>IF(AB646="","",IF($F646="Bernardino Furlan",_xlfn.XLOOKUP(AB646,Cadastros!$G$6:$G$90,Cadastros!$H$6:$H$90)*(1-0.18),IF($F646="Mauro José Salanti",_xlfn.XLOOKUP(AB646,Cadastros!$G$6:$G$90,Cadastros!$H$6:$H$90)*(1-0.18),_xlfn.XLOOKUP(AB646,Cadastros!$G$6:$G$90,Cadastros!$H$6:$H$90))))</f>
        <v/>
      </c>
      <c r="AE646" s="168" t="str">
        <f t="shared" si="122"/>
        <v/>
      </c>
      <c r="AF646" s="168" t="str">
        <f t="shared" si="123"/>
        <v/>
      </c>
      <c r="AG646" s="28"/>
      <c r="AH646" s="28"/>
      <c r="AI646" s="20" t="str">
        <f>IF(AG646="","",IF($F646="Bernardino Furlan",_xlfn.XLOOKUP(AG646,Cadastros!$G$6:$G$90,Cadastros!$H$6:$H$90)*(1-0.18),IF($F646="Mauro José Salanti",_xlfn.XLOOKUP(AG646,Cadastros!$G$6:$G$90,Cadastros!$H$6:$H$90)*(1-0.18),_xlfn.XLOOKUP(AG646,Cadastros!$G$6:$G$90,Cadastros!$H$6:$H$90))))</f>
        <v/>
      </c>
      <c r="AJ646" s="168" t="str">
        <f t="shared" si="124"/>
        <v/>
      </c>
      <c r="AK646" s="168" t="str">
        <f t="shared" si="125"/>
        <v/>
      </c>
      <c r="AL646" s="28"/>
      <c r="AM646" s="28"/>
      <c r="AN646" s="20" t="str">
        <f>IF(AL646="","",IF($F646="Bernardino Furlan",_xlfn.XLOOKUP(AL646,Cadastros!$G$6:$G$90,Cadastros!$H$6:$H$90)*(1-0.18),IF($F646="Mauro José Salanti",_xlfn.XLOOKUP(AL646,Cadastros!$G$6:$G$90,Cadastros!$H$6:$H$90)*(1-0.18),_xlfn.XLOOKUP(AL646,Cadastros!$G$6:$G$90,Cadastros!$H$6:$H$90))))</f>
        <v/>
      </c>
      <c r="AO646" s="168" t="str">
        <f t="shared" si="126"/>
        <v/>
      </c>
      <c r="AP646" s="168" t="str">
        <f t="shared" si="127"/>
        <v/>
      </c>
      <c r="AQ646" s="28"/>
      <c r="AR646" s="28"/>
      <c r="AS646" s="20" t="str">
        <f>IF(AQ646="","",IF($F646="Bernardino Furlan",_xlfn.XLOOKUP(AQ646,Cadastros!$G$6:$G$90,Cadastros!$H$6:$H$90)*(1-0.18),IF($F646="Mauro José Salanti",_xlfn.XLOOKUP(AQ646,Cadastros!$G$6:$G$90,Cadastros!$H$6:$H$90)*(1-0.18),_xlfn.XLOOKUP(AQ646,Cadastros!$G$6:$G$90,Cadastros!$H$6:$H$90))))</f>
        <v/>
      </c>
      <c r="AT646" s="168" t="str">
        <f t="shared" si="128"/>
        <v/>
      </c>
      <c r="AU646" s="168" t="str">
        <f t="shared" si="129"/>
        <v/>
      </c>
      <c r="AV646" s="227"/>
      <c r="AW646" s="30"/>
      <c r="AX646" s="267"/>
      <c r="AY646" s="267"/>
      <c r="AZ646" s="29"/>
      <c r="BA646" s="30"/>
      <c r="BB646" s="23" t="str" cm="1">
        <f t="array" ref="BB646">_xlfn.IFS(AW646="SIM",SUM(K646,P646,U646,Z646,AE646,AJ646,AO646,AT646,AX646,AY646),F646&lt;&gt;"",SUM(K646,P646,U646,Z646,AE646,AJ646,,AO646,AT646),F646="","")</f>
        <v/>
      </c>
      <c r="BC646" s="211" t="str" cm="1">
        <f t="array" ref="BC646">_xlfn.IFS(E646="","",G646&lt;=E646,BB646*(1-0.03),G646&lt;(E646+8),BB646,AZ646="Boleto",BB646*(1+0.001)^DATEDIF(E646,G646,"D"),AZ646="Cheque",BB646,AZ646="Dinheiro","Alterar forma pgto")</f>
        <v/>
      </c>
      <c r="BD646" s="276" t="str" cm="1">
        <f t="array" ref="BD646">IF(F646=0," ",IF(BC646&lt;BB646,(_xlfn.IFS(AW646="SIM",SUM(L646,Q646,V646,AA646,AF646,AK646,AP646,AU646)+AX646/_xlfn.XLOOKUP(_xlfn.XLOOKUP($F646,Clientes!$B$4:$B$39,Clientes!$C$4:$C$39),Cadastros!$L$6:$L$12,Cadastros!$M$6:$M$12)+IF($F646="Bernardino Furlan",AY646/2751.92,IF($F646="Mauro José Salanti",AY646/2751.92,AY646/3356)),F646&lt;&gt;0,SUM(L646,Q646,V646,AA646,AF646,AK646,AP646,AU646)))*(1-0.03),_xlfn.IFS(AW646="SIM",SUM(L646,Q646,V646,AA646,AF646,AK646,AP646,AU646)+AX646/_xlfn.XLOOKUP(_xlfn.XLOOKUP($F646,Clientes!$B$4:$B$39,Clientes!$C$4:$C$39),Cadastros!$L$6:$L$12,Cadastros!$M$6:$M$12)+IF($F646="Bernardino Furlan",AY646/2751.92,IF($F646="Mauro José Salanti",AY646/2751.92,AY646/3356)),F646&lt;&gt;0,SUM(L646,Q646,V646,AA646,AF646,AK646,AP646,AU646))))</f>
        <v xml:space="preserve"> </v>
      </c>
      <c r="BE646" s="120"/>
      <c r="BF646" s="120"/>
      <c r="BG646" s="120"/>
    </row>
    <row r="647" spans="1:59" s="3" customFormat="1" x14ac:dyDescent="0.3">
      <c r="A647" s="15" t="str">
        <f t="shared" si="117"/>
        <v/>
      </c>
      <c r="B647" s="25"/>
      <c r="C647" s="26"/>
      <c r="D647" s="279"/>
      <c r="E647" s="27"/>
      <c r="F647" s="28"/>
      <c r="G647" s="27"/>
      <c r="H647" s="28"/>
      <c r="I647" s="28"/>
      <c r="J647" s="255" t="str">
        <f>IF(H647="","",(_xlfn.XLOOKUP(H647,Cadastros!$D$6:$D$90,Cadastros!$E$6:$E$90))*(1-_xlfn.XLOOKUP(_xlfn.XLOOKUP($F647,Clientes!$B$4:$B$39,Clientes!$C$4:$C$39),Cadastros!$L$6:$L$12,Cadastros!$N$6:$N$12)))</f>
        <v/>
      </c>
      <c r="K647" s="168" t="str">
        <f t="shared" si="118"/>
        <v/>
      </c>
      <c r="L647" s="168" t="str">
        <f>IFERROR(K647/_xlfn.XLOOKUP(_xlfn.XLOOKUP($F647,Clientes!$B$4:$B$39,Clientes!$C$4:$C$39),Cadastros!$L$6:$L$12,Cadastros!$M$6:$M$12)," ")</f>
        <v xml:space="preserve"> </v>
      </c>
      <c r="M647" s="28"/>
      <c r="N647" s="28"/>
      <c r="O647" s="255" t="str">
        <f>IF(M647="","",(_xlfn.XLOOKUP(M647,Cadastros!$D$6:$D$90,Cadastros!$E$6:$E$90))*(1-_xlfn.XLOOKUP(_xlfn.XLOOKUP($F647,Clientes!$B$4:$B$39,Clientes!$C$4:$C$39),Cadastros!$L$6:$L$12,Cadastros!$N$6:$N$12)))</f>
        <v/>
      </c>
      <c r="P647" s="168" t="str">
        <f t="shared" si="119"/>
        <v/>
      </c>
      <c r="Q647" s="168" t="str">
        <f>IFERROR(P647/_xlfn.XLOOKUP(_xlfn.XLOOKUP($F647,Clientes!$B$4:$B$39,Clientes!$C$4:$C$39),Cadastros!$L$6:$L$12,Cadastros!$M$6:$M$12)," ")</f>
        <v xml:space="preserve"> </v>
      </c>
      <c r="R647" s="28"/>
      <c r="S647" s="28"/>
      <c r="T647" s="255" t="str">
        <f>IF(R647="","",(_xlfn.XLOOKUP(R647,Cadastros!$D$6:$D$90,Cadastros!$E$6:$E$90))*(1-_xlfn.XLOOKUP(_xlfn.XLOOKUP($F647,Clientes!$B$4:$B$39,Clientes!$C$4:$C$39),Cadastros!$L$6:$L$12,Cadastros!$N$6:$N$12)))</f>
        <v/>
      </c>
      <c r="U647" s="168" t="str">
        <f t="shared" si="120"/>
        <v/>
      </c>
      <c r="V647" s="168" t="str">
        <f>IFERROR(U647/_xlfn.XLOOKUP(_xlfn.XLOOKUP($F647,Clientes!$B$4:$B$39,Clientes!$C$4:$C$39),Cadastros!$L$6:$L$12,Cadastros!$M$6:$M$12)," ")</f>
        <v xml:space="preserve"> </v>
      </c>
      <c r="W647" s="28"/>
      <c r="X647" s="28"/>
      <c r="Y647" s="255" t="str">
        <f>IF(W647="","",(_xlfn.XLOOKUP(W647,Cadastros!$D$6:$D$90,Cadastros!$E$6:$E$90))*(1-_xlfn.XLOOKUP(_xlfn.XLOOKUP($F647,Clientes!$B$4:$B$39,Clientes!$C$4:$C$39),Cadastros!$L$6:$L$12,Cadastros!$N$6:$N$12)))</f>
        <v/>
      </c>
      <c r="Z647" s="168" t="str">
        <f t="shared" si="121"/>
        <v/>
      </c>
      <c r="AA647" s="168" t="str">
        <f>IFERROR(Z647/_xlfn.XLOOKUP(_xlfn.XLOOKUP($F647,Clientes!$B$4:$B$39,Clientes!$C$4:$C$39),Cadastros!$L$6:$L$12,Cadastros!$M$6:$M$12)," ")</f>
        <v xml:space="preserve"> </v>
      </c>
      <c r="AB647" s="28"/>
      <c r="AC647" s="28"/>
      <c r="AD647" s="20" t="str">
        <f>IF(AB647="","",IF($F647="Bernardino Furlan",_xlfn.XLOOKUP(AB647,Cadastros!$G$6:$G$90,Cadastros!$H$6:$H$90)*(1-0.18),IF($F647="Mauro José Salanti",_xlfn.XLOOKUP(AB647,Cadastros!$G$6:$G$90,Cadastros!$H$6:$H$90)*(1-0.18),_xlfn.XLOOKUP(AB647,Cadastros!$G$6:$G$90,Cadastros!$H$6:$H$90))))</f>
        <v/>
      </c>
      <c r="AE647" s="168" t="str">
        <f t="shared" si="122"/>
        <v/>
      </c>
      <c r="AF647" s="168" t="str">
        <f t="shared" si="123"/>
        <v/>
      </c>
      <c r="AG647" s="28"/>
      <c r="AH647" s="28"/>
      <c r="AI647" s="20" t="str">
        <f>IF(AG647="","",IF($F647="Bernardino Furlan",_xlfn.XLOOKUP(AG647,Cadastros!$G$6:$G$90,Cadastros!$H$6:$H$90)*(1-0.18),IF($F647="Mauro José Salanti",_xlfn.XLOOKUP(AG647,Cadastros!$G$6:$G$90,Cadastros!$H$6:$H$90)*(1-0.18),_xlfn.XLOOKUP(AG647,Cadastros!$G$6:$G$90,Cadastros!$H$6:$H$90))))</f>
        <v/>
      </c>
      <c r="AJ647" s="168" t="str">
        <f t="shared" si="124"/>
        <v/>
      </c>
      <c r="AK647" s="168" t="str">
        <f t="shared" si="125"/>
        <v/>
      </c>
      <c r="AL647" s="28"/>
      <c r="AM647" s="28"/>
      <c r="AN647" s="20" t="str">
        <f>IF(AL647="","",IF($F647="Bernardino Furlan",_xlfn.XLOOKUP(AL647,Cadastros!$G$6:$G$90,Cadastros!$H$6:$H$90)*(1-0.18),IF($F647="Mauro José Salanti",_xlfn.XLOOKUP(AL647,Cadastros!$G$6:$G$90,Cadastros!$H$6:$H$90)*(1-0.18),_xlfn.XLOOKUP(AL647,Cadastros!$G$6:$G$90,Cadastros!$H$6:$H$90))))</f>
        <v/>
      </c>
      <c r="AO647" s="168" t="str">
        <f t="shared" si="126"/>
        <v/>
      </c>
      <c r="AP647" s="168" t="str">
        <f t="shared" si="127"/>
        <v/>
      </c>
      <c r="AQ647" s="28"/>
      <c r="AR647" s="28"/>
      <c r="AS647" s="20" t="str">
        <f>IF(AQ647="","",IF($F647="Bernardino Furlan",_xlfn.XLOOKUP(AQ647,Cadastros!$G$6:$G$90,Cadastros!$H$6:$H$90)*(1-0.18),IF($F647="Mauro José Salanti",_xlfn.XLOOKUP(AQ647,Cadastros!$G$6:$G$90,Cadastros!$H$6:$H$90)*(1-0.18),_xlfn.XLOOKUP(AQ647,Cadastros!$G$6:$G$90,Cadastros!$H$6:$H$90))))</f>
        <v/>
      </c>
      <c r="AT647" s="168" t="str">
        <f t="shared" si="128"/>
        <v/>
      </c>
      <c r="AU647" s="168" t="str">
        <f t="shared" si="129"/>
        <v/>
      </c>
      <c r="AV647" s="227"/>
      <c r="AW647" s="30"/>
      <c r="AX647" s="267"/>
      <c r="AY647" s="267"/>
      <c r="AZ647" s="29"/>
      <c r="BA647" s="30"/>
      <c r="BB647" s="23" t="str" cm="1">
        <f t="array" ref="BB647">_xlfn.IFS(AW647="SIM",SUM(K647,P647,U647,Z647,AE647,AJ647,AO647,AT647,AX647,AY647),F647&lt;&gt;"",SUM(K647,P647,U647,Z647,AE647,AJ647,,AO647,AT647),F647="","")</f>
        <v/>
      </c>
      <c r="BC647" s="211" t="str" cm="1">
        <f t="array" ref="BC647">_xlfn.IFS(E647="","",G647&lt;=E647,BB647*(1-0.03),G647&lt;(E647+8),BB647,AZ647="Boleto",BB647*(1+0.001)^DATEDIF(E647,G647,"D"),AZ647="Cheque",BB647,AZ647="Dinheiro","Alterar forma pgto")</f>
        <v/>
      </c>
      <c r="BD647" s="276" t="str" cm="1">
        <f t="array" ref="BD647">IF(F647=0," ",IF(BC647&lt;BB647,(_xlfn.IFS(AW647="SIM",SUM(L647,Q647,V647,AA647,AF647,AK647,AP647,AU647)+AX647/_xlfn.XLOOKUP(_xlfn.XLOOKUP($F647,Clientes!$B$4:$B$39,Clientes!$C$4:$C$39),Cadastros!$L$6:$L$12,Cadastros!$M$6:$M$12)+IF($F647="Bernardino Furlan",AY647/2751.92,IF($F647="Mauro José Salanti",AY647/2751.92,AY647/3356)),F647&lt;&gt;0,SUM(L647,Q647,V647,AA647,AF647,AK647,AP647,AU647)))*(1-0.03),_xlfn.IFS(AW647="SIM",SUM(L647,Q647,V647,AA647,AF647,AK647,AP647,AU647)+AX647/_xlfn.XLOOKUP(_xlfn.XLOOKUP($F647,Clientes!$B$4:$B$39,Clientes!$C$4:$C$39),Cadastros!$L$6:$L$12,Cadastros!$M$6:$M$12)+IF($F647="Bernardino Furlan",AY647/2751.92,IF($F647="Mauro José Salanti",AY647/2751.92,AY647/3356)),F647&lt;&gt;0,SUM(L647,Q647,V647,AA647,AF647,AK647,AP647,AU647))))</f>
        <v xml:space="preserve"> </v>
      </c>
      <c r="BE647" s="120"/>
      <c r="BF647" s="120"/>
      <c r="BG647" s="120"/>
    </row>
    <row r="648" spans="1:59" s="3" customFormat="1" x14ac:dyDescent="0.3">
      <c r="A648" s="15" t="str">
        <f t="shared" ref="A648:A711" si="130">IF(C648="orçamento",25%,IF(C648="aprovado",50%,IF(C648="entregue",100%,IF(C648="não aceito",0%,""))))</f>
        <v/>
      </c>
      <c r="B648" s="25"/>
      <c r="C648" s="26"/>
      <c r="D648" s="279"/>
      <c r="E648" s="27"/>
      <c r="F648" s="28"/>
      <c r="G648" s="27"/>
      <c r="H648" s="28"/>
      <c r="I648" s="28"/>
      <c r="J648" s="255" t="str">
        <f>IF(H648="","",(_xlfn.XLOOKUP(H648,Cadastros!$D$6:$D$90,Cadastros!$E$6:$E$90))*(1-_xlfn.XLOOKUP(_xlfn.XLOOKUP($F648,Clientes!$B$4:$B$39,Clientes!$C$4:$C$39),Cadastros!$L$6:$L$12,Cadastros!$N$6:$N$12)))</f>
        <v/>
      </c>
      <c r="K648" s="168" t="str">
        <f t="shared" ref="K648:K711" si="131">IF(J648="","",I648*J648)</f>
        <v/>
      </c>
      <c r="L648" s="168" t="str">
        <f>IFERROR(K648/_xlfn.XLOOKUP(_xlfn.XLOOKUP($F648,Clientes!$B$4:$B$39,Clientes!$C$4:$C$39),Cadastros!$L$6:$L$12,Cadastros!$M$6:$M$12)," ")</f>
        <v xml:space="preserve"> </v>
      </c>
      <c r="M648" s="28"/>
      <c r="N648" s="28"/>
      <c r="O648" s="255" t="str">
        <f>IF(M648="","",(_xlfn.XLOOKUP(M648,Cadastros!$D$6:$D$90,Cadastros!$E$6:$E$90))*(1-_xlfn.XLOOKUP(_xlfn.XLOOKUP($F648,Clientes!$B$4:$B$39,Clientes!$C$4:$C$39),Cadastros!$L$6:$L$12,Cadastros!$N$6:$N$12)))</f>
        <v/>
      </c>
      <c r="P648" s="168" t="str">
        <f t="shared" ref="P648:P711" si="132">IF(O648="","",N648*O648)</f>
        <v/>
      </c>
      <c r="Q648" s="168" t="str">
        <f>IFERROR(P648/_xlfn.XLOOKUP(_xlfn.XLOOKUP($F648,Clientes!$B$4:$B$39,Clientes!$C$4:$C$39),Cadastros!$L$6:$L$12,Cadastros!$M$6:$M$12)," ")</f>
        <v xml:space="preserve"> </v>
      </c>
      <c r="R648" s="28"/>
      <c r="S648" s="28"/>
      <c r="T648" s="255" t="str">
        <f>IF(R648="","",(_xlfn.XLOOKUP(R648,Cadastros!$D$6:$D$90,Cadastros!$E$6:$E$90))*(1-_xlfn.XLOOKUP(_xlfn.XLOOKUP($F648,Clientes!$B$4:$B$39,Clientes!$C$4:$C$39),Cadastros!$L$6:$L$12,Cadastros!$N$6:$N$12)))</f>
        <v/>
      </c>
      <c r="U648" s="168" t="str">
        <f t="shared" ref="U648:U711" si="133">IF(T648="","",S648*T648)</f>
        <v/>
      </c>
      <c r="V648" s="168" t="str">
        <f>IFERROR(U648/_xlfn.XLOOKUP(_xlfn.XLOOKUP($F648,Clientes!$B$4:$B$39,Clientes!$C$4:$C$39),Cadastros!$L$6:$L$12,Cadastros!$M$6:$M$12)," ")</f>
        <v xml:space="preserve"> </v>
      </c>
      <c r="W648" s="28"/>
      <c r="X648" s="28"/>
      <c r="Y648" s="255" t="str">
        <f>IF(W648="","",(_xlfn.XLOOKUP(W648,Cadastros!$D$6:$D$90,Cadastros!$E$6:$E$90))*(1-_xlfn.XLOOKUP(_xlfn.XLOOKUP($F648,Clientes!$B$4:$B$39,Clientes!$C$4:$C$39),Cadastros!$L$6:$L$12,Cadastros!$N$6:$N$12)))</f>
        <v/>
      </c>
      <c r="Z648" s="168" t="str">
        <f t="shared" ref="Z648:Z711" si="134">IF(Y648="","",X648*Y648)</f>
        <v/>
      </c>
      <c r="AA648" s="168" t="str">
        <f>IFERROR(Z648/_xlfn.XLOOKUP(_xlfn.XLOOKUP($F648,Clientes!$B$4:$B$39,Clientes!$C$4:$C$39),Cadastros!$L$6:$L$12,Cadastros!$M$6:$M$12)," ")</f>
        <v xml:space="preserve"> </v>
      </c>
      <c r="AB648" s="28"/>
      <c r="AC648" s="28"/>
      <c r="AD648" s="20" t="str">
        <f>IF(AB648="","",IF($F648="Bernardino Furlan",_xlfn.XLOOKUP(AB648,Cadastros!$G$6:$G$90,Cadastros!$H$6:$H$90)*(1-0.18),IF($F648="Mauro José Salanti",_xlfn.XLOOKUP(AB648,Cadastros!$G$6:$G$90,Cadastros!$H$6:$H$90)*(1-0.18),_xlfn.XLOOKUP(AB648,Cadastros!$G$6:$G$90,Cadastros!$H$6:$H$90))))</f>
        <v/>
      </c>
      <c r="AE648" s="168" t="str">
        <f t="shared" ref="AE648:AE711" si="135">IF(AD648="","",AC648*AD648)</f>
        <v/>
      </c>
      <c r="AF648" s="168" t="str">
        <f t="shared" ref="AF648:AF711" si="136">IFERROR(IF($F648="Bernardino Furlan",AE648/2751.92,IF($F648="Mauro José Salanti",AE648/2751.92,AE648/3356)),"")</f>
        <v/>
      </c>
      <c r="AG648" s="28"/>
      <c r="AH648" s="28"/>
      <c r="AI648" s="20" t="str">
        <f>IF(AG648="","",IF($F648="Bernardino Furlan",_xlfn.XLOOKUP(AG648,Cadastros!$G$6:$G$90,Cadastros!$H$6:$H$90)*(1-0.18),IF($F648="Mauro José Salanti",_xlfn.XLOOKUP(AG648,Cadastros!$G$6:$G$90,Cadastros!$H$6:$H$90)*(1-0.18),_xlfn.XLOOKUP(AG648,Cadastros!$G$6:$G$90,Cadastros!$H$6:$H$90))))</f>
        <v/>
      </c>
      <c r="AJ648" s="168" t="str">
        <f t="shared" ref="AJ648:AJ711" si="137">IF(AI648="","",AH648*AI648)</f>
        <v/>
      </c>
      <c r="AK648" s="168" t="str">
        <f t="shared" ref="AK648:AK711" si="138">IFERROR(IF($F648="Bernardino Furlan",AJ648/2751.92,IF($F648="Mauro José Salanti",AJ648/2751.92,AJ648/3356)),"")</f>
        <v/>
      </c>
      <c r="AL648" s="28"/>
      <c r="AM648" s="28"/>
      <c r="AN648" s="20" t="str">
        <f>IF(AL648="","",IF($F648="Bernardino Furlan",_xlfn.XLOOKUP(AL648,Cadastros!$G$6:$G$90,Cadastros!$H$6:$H$90)*(1-0.18),IF($F648="Mauro José Salanti",_xlfn.XLOOKUP(AL648,Cadastros!$G$6:$G$90,Cadastros!$H$6:$H$90)*(1-0.18),_xlfn.XLOOKUP(AL648,Cadastros!$G$6:$G$90,Cadastros!$H$6:$H$90))))</f>
        <v/>
      </c>
      <c r="AO648" s="168" t="str">
        <f t="shared" ref="AO648:AO711" si="139">IF(AN648="","",AM648*AN648)</f>
        <v/>
      </c>
      <c r="AP648" s="168" t="str">
        <f t="shared" ref="AP648:AP711" si="140">IFERROR(IF($F648="Bernardino Furlan",AO648/2751.92,IF($F648="Mauro José Salanti",AO648/2751.92,AO648/3356)),"")</f>
        <v/>
      </c>
      <c r="AQ648" s="28"/>
      <c r="AR648" s="28"/>
      <c r="AS648" s="20" t="str">
        <f>IF(AQ648="","",IF($F648="Bernardino Furlan",_xlfn.XLOOKUP(AQ648,Cadastros!$G$6:$G$90,Cadastros!$H$6:$H$90)*(1-0.18),IF($F648="Mauro José Salanti",_xlfn.XLOOKUP(AQ648,Cadastros!$G$6:$G$90,Cadastros!$H$6:$H$90)*(1-0.18),_xlfn.XLOOKUP(AQ648,Cadastros!$G$6:$G$90,Cadastros!$H$6:$H$90))))</f>
        <v/>
      </c>
      <c r="AT648" s="168" t="str">
        <f t="shared" ref="AT648:AT711" si="141">IF(AS648="","",AR648*AS648)</f>
        <v/>
      </c>
      <c r="AU648" s="168" t="str">
        <f t="shared" ref="AU648:AU711" si="142">IFERROR(IF($F648="Bernardino Furlan",AT648/2751.92,IF($F648="Mauro José Salanti",AT648/2751.92,AT648/3356)),"")</f>
        <v/>
      </c>
      <c r="AV648" s="227"/>
      <c r="AW648" s="30"/>
      <c r="AX648" s="267"/>
      <c r="AY648" s="267"/>
      <c r="AZ648" s="29"/>
      <c r="BA648" s="30"/>
      <c r="BB648" s="23" t="str" cm="1">
        <f t="array" ref="BB648">_xlfn.IFS(AW648="SIM",SUM(K648,P648,U648,Z648,AE648,AJ648,AO648,AT648,AX648,AY648),F648&lt;&gt;"",SUM(K648,P648,U648,Z648,AE648,AJ648,,AO648,AT648),F648="","")</f>
        <v/>
      </c>
      <c r="BC648" s="211" t="str" cm="1">
        <f t="array" ref="BC648">_xlfn.IFS(E648="","",G648&lt;=E648,BB648*(1-0.03),G648&lt;(E648+8),BB648,AZ648="Boleto",BB648*(1+0.001)^DATEDIF(E648,G648,"D"),AZ648="Cheque",BB648,AZ648="Dinheiro","Alterar forma pgto")</f>
        <v/>
      </c>
      <c r="BD648" s="276" t="str" cm="1">
        <f t="array" ref="BD648">IF(F648=0," ",IF(BC648&lt;BB648,(_xlfn.IFS(AW648="SIM",SUM(L648,Q648,V648,AA648,AF648,AK648,AP648,AU648)+AX648/_xlfn.XLOOKUP(_xlfn.XLOOKUP($F648,Clientes!$B$4:$B$39,Clientes!$C$4:$C$39),Cadastros!$L$6:$L$12,Cadastros!$M$6:$M$12)+IF($F648="Bernardino Furlan",AY648/2751.92,IF($F648="Mauro José Salanti",AY648/2751.92,AY648/3356)),F648&lt;&gt;0,SUM(L648,Q648,V648,AA648,AF648,AK648,AP648,AU648)))*(1-0.03),_xlfn.IFS(AW648="SIM",SUM(L648,Q648,V648,AA648,AF648,AK648,AP648,AU648)+AX648/_xlfn.XLOOKUP(_xlfn.XLOOKUP($F648,Clientes!$B$4:$B$39,Clientes!$C$4:$C$39),Cadastros!$L$6:$L$12,Cadastros!$M$6:$M$12)+IF($F648="Bernardino Furlan",AY648/2751.92,IF($F648="Mauro José Salanti",AY648/2751.92,AY648/3356)),F648&lt;&gt;0,SUM(L648,Q648,V648,AA648,AF648,AK648,AP648,AU648))))</f>
        <v xml:space="preserve"> </v>
      </c>
      <c r="BE648" s="120"/>
      <c r="BF648" s="120"/>
      <c r="BG648" s="120"/>
    </row>
    <row r="649" spans="1:59" s="3" customFormat="1" x14ac:dyDescent="0.3">
      <c r="A649" s="15" t="str">
        <f t="shared" si="130"/>
        <v/>
      </c>
      <c r="B649" s="25"/>
      <c r="C649" s="26"/>
      <c r="D649" s="279"/>
      <c r="E649" s="27"/>
      <c r="F649" s="28"/>
      <c r="G649" s="27"/>
      <c r="H649" s="28"/>
      <c r="I649" s="28"/>
      <c r="J649" s="255" t="str">
        <f>IF(H649="","",(_xlfn.XLOOKUP(H649,Cadastros!$D$6:$D$90,Cadastros!$E$6:$E$90))*(1-_xlfn.XLOOKUP(_xlfn.XLOOKUP($F649,Clientes!$B$4:$B$39,Clientes!$C$4:$C$39),Cadastros!$L$6:$L$12,Cadastros!$N$6:$N$12)))</f>
        <v/>
      </c>
      <c r="K649" s="168" t="str">
        <f t="shared" si="131"/>
        <v/>
      </c>
      <c r="L649" s="168" t="str">
        <f>IFERROR(K649/_xlfn.XLOOKUP(_xlfn.XLOOKUP($F649,Clientes!$B$4:$B$39,Clientes!$C$4:$C$39),Cadastros!$L$6:$L$12,Cadastros!$M$6:$M$12)," ")</f>
        <v xml:space="preserve"> </v>
      </c>
      <c r="M649" s="28"/>
      <c r="N649" s="28"/>
      <c r="O649" s="255" t="str">
        <f>IF(M649="","",(_xlfn.XLOOKUP(M649,Cadastros!$D$6:$D$90,Cadastros!$E$6:$E$90))*(1-_xlfn.XLOOKUP(_xlfn.XLOOKUP($F649,Clientes!$B$4:$B$39,Clientes!$C$4:$C$39),Cadastros!$L$6:$L$12,Cadastros!$N$6:$N$12)))</f>
        <v/>
      </c>
      <c r="P649" s="168" t="str">
        <f t="shared" si="132"/>
        <v/>
      </c>
      <c r="Q649" s="168" t="str">
        <f>IFERROR(P649/_xlfn.XLOOKUP(_xlfn.XLOOKUP($F649,Clientes!$B$4:$B$39,Clientes!$C$4:$C$39),Cadastros!$L$6:$L$12,Cadastros!$M$6:$M$12)," ")</f>
        <v xml:space="preserve"> </v>
      </c>
      <c r="R649" s="28"/>
      <c r="S649" s="28"/>
      <c r="T649" s="255" t="str">
        <f>IF(R649="","",(_xlfn.XLOOKUP(R649,Cadastros!$D$6:$D$90,Cadastros!$E$6:$E$90))*(1-_xlfn.XLOOKUP(_xlfn.XLOOKUP($F649,Clientes!$B$4:$B$39,Clientes!$C$4:$C$39),Cadastros!$L$6:$L$12,Cadastros!$N$6:$N$12)))</f>
        <v/>
      </c>
      <c r="U649" s="168" t="str">
        <f t="shared" si="133"/>
        <v/>
      </c>
      <c r="V649" s="168" t="str">
        <f>IFERROR(U649/_xlfn.XLOOKUP(_xlfn.XLOOKUP($F649,Clientes!$B$4:$B$39,Clientes!$C$4:$C$39),Cadastros!$L$6:$L$12,Cadastros!$M$6:$M$12)," ")</f>
        <v xml:space="preserve"> </v>
      </c>
      <c r="W649" s="28"/>
      <c r="X649" s="28"/>
      <c r="Y649" s="255" t="str">
        <f>IF(W649="","",(_xlfn.XLOOKUP(W649,Cadastros!$D$6:$D$90,Cadastros!$E$6:$E$90))*(1-_xlfn.XLOOKUP(_xlfn.XLOOKUP($F649,Clientes!$B$4:$B$39,Clientes!$C$4:$C$39),Cadastros!$L$6:$L$12,Cadastros!$N$6:$N$12)))</f>
        <v/>
      </c>
      <c r="Z649" s="168" t="str">
        <f t="shared" si="134"/>
        <v/>
      </c>
      <c r="AA649" s="168" t="str">
        <f>IFERROR(Z649/_xlfn.XLOOKUP(_xlfn.XLOOKUP($F649,Clientes!$B$4:$B$39,Clientes!$C$4:$C$39),Cadastros!$L$6:$L$12,Cadastros!$M$6:$M$12)," ")</f>
        <v xml:space="preserve"> </v>
      </c>
      <c r="AB649" s="28"/>
      <c r="AC649" s="28"/>
      <c r="AD649" s="20" t="str">
        <f>IF(AB649="","",IF($F649="Bernardino Furlan",_xlfn.XLOOKUP(AB649,Cadastros!$G$6:$G$90,Cadastros!$H$6:$H$90)*(1-0.18),IF($F649="Mauro José Salanti",_xlfn.XLOOKUP(AB649,Cadastros!$G$6:$G$90,Cadastros!$H$6:$H$90)*(1-0.18),_xlfn.XLOOKUP(AB649,Cadastros!$G$6:$G$90,Cadastros!$H$6:$H$90))))</f>
        <v/>
      </c>
      <c r="AE649" s="168" t="str">
        <f t="shared" si="135"/>
        <v/>
      </c>
      <c r="AF649" s="168" t="str">
        <f t="shared" si="136"/>
        <v/>
      </c>
      <c r="AG649" s="28"/>
      <c r="AH649" s="28"/>
      <c r="AI649" s="20" t="str">
        <f>IF(AG649="","",IF($F649="Bernardino Furlan",_xlfn.XLOOKUP(AG649,Cadastros!$G$6:$G$90,Cadastros!$H$6:$H$90)*(1-0.18),IF($F649="Mauro José Salanti",_xlfn.XLOOKUP(AG649,Cadastros!$G$6:$G$90,Cadastros!$H$6:$H$90)*(1-0.18),_xlfn.XLOOKUP(AG649,Cadastros!$G$6:$G$90,Cadastros!$H$6:$H$90))))</f>
        <v/>
      </c>
      <c r="AJ649" s="168" t="str">
        <f t="shared" si="137"/>
        <v/>
      </c>
      <c r="AK649" s="168" t="str">
        <f t="shared" si="138"/>
        <v/>
      </c>
      <c r="AL649" s="28"/>
      <c r="AM649" s="28"/>
      <c r="AN649" s="20" t="str">
        <f>IF(AL649="","",IF($F649="Bernardino Furlan",_xlfn.XLOOKUP(AL649,Cadastros!$G$6:$G$90,Cadastros!$H$6:$H$90)*(1-0.18),IF($F649="Mauro José Salanti",_xlfn.XLOOKUP(AL649,Cadastros!$G$6:$G$90,Cadastros!$H$6:$H$90)*(1-0.18),_xlfn.XLOOKUP(AL649,Cadastros!$G$6:$G$90,Cadastros!$H$6:$H$90))))</f>
        <v/>
      </c>
      <c r="AO649" s="168" t="str">
        <f t="shared" si="139"/>
        <v/>
      </c>
      <c r="AP649" s="168" t="str">
        <f t="shared" si="140"/>
        <v/>
      </c>
      <c r="AQ649" s="28"/>
      <c r="AR649" s="28"/>
      <c r="AS649" s="20" t="str">
        <f>IF(AQ649="","",IF($F649="Bernardino Furlan",_xlfn.XLOOKUP(AQ649,Cadastros!$G$6:$G$90,Cadastros!$H$6:$H$90)*(1-0.18),IF($F649="Mauro José Salanti",_xlfn.XLOOKUP(AQ649,Cadastros!$G$6:$G$90,Cadastros!$H$6:$H$90)*(1-0.18),_xlfn.XLOOKUP(AQ649,Cadastros!$G$6:$G$90,Cadastros!$H$6:$H$90))))</f>
        <v/>
      </c>
      <c r="AT649" s="168" t="str">
        <f t="shared" si="141"/>
        <v/>
      </c>
      <c r="AU649" s="168" t="str">
        <f t="shared" si="142"/>
        <v/>
      </c>
      <c r="AV649" s="227"/>
      <c r="AW649" s="30"/>
      <c r="AX649" s="267"/>
      <c r="AY649" s="267"/>
      <c r="AZ649" s="29"/>
      <c r="BA649" s="30"/>
      <c r="BB649" s="23" t="str" cm="1">
        <f t="array" ref="BB649">_xlfn.IFS(AW649="SIM",SUM(K649,P649,U649,Z649,AE649,AJ649,AO649,AT649,AX649,AY649),F649&lt;&gt;"",SUM(K649,P649,U649,Z649,AE649,AJ649,,AO649,AT649),F649="","")</f>
        <v/>
      </c>
      <c r="BC649" s="211" t="str" cm="1">
        <f t="array" ref="BC649">_xlfn.IFS(E649="","",G649&lt;=E649,BB649*(1-0.03),G649&lt;(E649+8),BB649,AZ649="Boleto",BB649*(1+0.001)^DATEDIF(E649,G649,"D"),AZ649="Cheque",BB649,AZ649="Dinheiro","Alterar forma pgto")</f>
        <v/>
      </c>
      <c r="BD649" s="276" t="str" cm="1">
        <f t="array" ref="BD649">IF(F649=0," ",IF(BC649&lt;BB649,(_xlfn.IFS(AW649="SIM",SUM(L649,Q649,V649,AA649,AF649,AK649,AP649,AU649)+AX649/_xlfn.XLOOKUP(_xlfn.XLOOKUP($F649,Clientes!$B$4:$B$39,Clientes!$C$4:$C$39),Cadastros!$L$6:$L$12,Cadastros!$M$6:$M$12)+IF($F649="Bernardino Furlan",AY649/2751.92,IF($F649="Mauro José Salanti",AY649/2751.92,AY649/3356)),F649&lt;&gt;0,SUM(L649,Q649,V649,AA649,AF649,AK649,AP649,AU649)))*(1-0.03),_xlfn.IFS(AW649="SIM",SUM(L649,Q649,V649,AA649,AF649,AK649,AP649,AU649)+AX649/_xlfn.XLOOKUP(_xlfn.XLOOKUP($F649,Clientes!$B$4:$B$39,Clientes!$C$4:$C$39),Cadastros!$L$6:$L$12,Cadastros!$M$6:$M$12)+IF($F649="Bernardino Furlan",AY649/2751.92,IF($F649="Mauro José Salanti",AY649/2751.92,AY649/3356)),F649&lt;&gt;0,SUM(L649,Q649,V649,AA649,AF649,AK649,AP649,AU649))))</f>
        <v xml:space="preserve"> </v>
      </c>
      <c r="BE649" s="120"/>
      <c r="BF649" s="120"/>
      <c r="BG649" s="120"/>
    </row>
    <row r="650" spans="1:59" s="3" customFormat="1" x14ac:dyDescent="0.3">
      <c r="A650" s="15" t="str">
        <f t="shared" si="130"/>
        <v/>
      </c>
      <c r="B650" s="25"/>
      <c r="C650" s="26"/>
      <c r="D650" s="279"/>
      <c r="E650" s="27"/>
      <c r="F650" s="28"/>
      <c r="G650" s="27"/>
      <c r="H650" s="28"/>
      <c r="I650" s="28"/>
      <c r="J650" s="255" t="str">
        <f>IF(H650="","",(_xlfn.XLOOKUP(H650,Cadastros!$D$6:$D$90,Cadastros!$E$6:$E$90))*(1-_xlfn.XLOOKUP(_xlfn.XLOOKUP($F650,Clientes!$B$4:$B$39,Clientes!$C$4:$C$39),Cadastros!$L$6:$L$12,Cadastros!$N$6:$N$12)))</f>
        <v/>
      </c>
      <c r="K650" s="168" t="str">
        <f t="shared" si="131"/>
        <v/>
      </c>
      <c r="L650" s="168" t="str">
        <f>IFERROR(K650/_xlfn.XLOOKUP(_xlfn.XLOOKUP($F650,Clientes!$B$4:$B$39,Clientes!$C$4:$C$39),Cadastros!$L$6:$L$12,Cadastros!$M$6:$M$12)," ")</f>
        <v xml:space="preserve"> </v>
      </c>
      <c r="M650" s="28"/>
      <c r="N650" s="28"/>
      <c r="O650" s="255" t="str">
        <f>IF(M650="","",(_xlfn.XLOOKUP(M650,Cadastros!$D$6:$D$90,Cadastros!$E$6:$E$90))*(1-_xlfn.XLOOKUP(_xlfn.XLOOKUP($F650,Clientes!$B$4:$B$39,Clientes!$C$4:$C$39),Cadastros!$L$6:$L$12,Cadastros!$N$6:$N$12)))</f>
        <v/>
      </c>
      <c r="P650" s="168" t="str">
        <f t="shared" si="132"/>
        <v/>
      </c>
      <c r="Q650" s="168" t="str">
        <f>IFERROR(P650/_xlfn.XLOOKUP(_xlfn.XLOOKUP($F650,Clientes!$B$4:$B$39,Clientes!$C$4:$C$39),Cadastros!$L$6:$L$12,Cadastros!$M$6:$M$12)," ")</f>
        <v xml:space="preserve"> </v>
      </c>
      <c r="R650" s="28"/>
      <c r="S650" s="28"/>
      <c r="T650" s="255" t="str">
        <f>IF(R650="","",(_xlfn.XLOOKUP(R650,Cadastros!$D$6:$D$90,Cadastros!$E$6:$E$90))*(1-_xlfn.XLOOKUP(_xlfn.XLOOKUP($F650,Clientes!$B$4:$B$39,Clientes!$C$4:$C$39),Cadastros!$L$6:$L$12,Cadastros!$N$6:$N$12)))</f>
        <v/>
      </c>
      <c r="U650" s="168" t="str">
        <f t="shared" si="133"/>
        <v/>
      </c>
      <c r="V650" s="168" t="str">
        <f>IFERROR(U650/_xlfn.XLOOKUP(_xlfn.XLOOKUP($F650,Clientes!$B$4:$B$39,Clientes!$C$4:$C$39),Cadastros!$L$6:$L$12,Cadastros!$M$6:$M$12)," ")</f>
        <v xml:space="preserve"> </v>
      </c>
      <c r="W650" s="28"/>
      <c r="X650" s="28"/>
      <c r="Y650" s="255" t="str">
        <f>IF(W650="","",(_xlfn.XLOOKUP(W650,Cadastros!$D$6:$D$90,Cadastros!$E$6:$E$90))*(1-_xlfn.XLOOKUP(_xlfn.XLOOKUP($F650,Clientes!$B$4:$B$39,Clientes!$C$4:$C$39),Cadastros!$L$6:$L$12,Cadastros!$N$6:$N$12)))</f>
        <v/>
      </c>
      <c r="Z650" s="168" t="str">
        <f t="shared" si="134"/>
        <v/>
      </c>
      <c r="AA650" s="168" t="str">
        <f>IFERROR(Z650/_xlfn.XLOOKUP(_xlfn.XLOOKUP($F650,Clientes!$B$4:$B$39,Clientes!$C$4:$C$39),Cadastros!$L$6:$L$12,Cadastros!$M$6:$M$12)," ")</f>
        <v xml:space="preserve"> </v>
      </c>
      <c r="AB650" s="28"/>
      <c r="AC650" s="28"/>
      <c r="AD650" s="20" t="str">
        <f>IF(AB650="","",IF($F650="Bernardino Furlan",_xlfn.XLOOKUP(AB650,Cadastros!$G$6:$G$90,Cadastros!$H$6:$H$90)*(1-0.18),IF($F650="Mauro José Salanti",_xlfn.XLOOKUP(AB650,Cadastros!$G$6:$G$90,Cadastros!$H$6:$H$90)*(1-0.18),_xlfn.XLOOKUP(AB650,Cadastros!$G$6:$G$90,Cadastros!$H$6:$H$90))))</f>
        <v/>
      </c>
      <c r="AE650" s="168" t="str">
        <f t="shared" si="135"/>
        <v/>
      </c>
      <c r="AF650" s="168" t="str">
        <f t="shared" si="136"/>
        <v/>
      </c>
      <c r="AG650" s="28"/>
      <c r="AH650" s="28"/>
      <c r="AI650" s="20" t="str">
        <f>IF(AG650="","",IF($F650="Bernardino Furlan",_xlfn.XLOOKUP(AG650,Cadastros!$G$6:$G$90,Cadastros!$H$6:$H$90)*(1-0.18),IF($F650="Mauro José Salanti",_xlfn.XLOOKUP(AG650,Cadastros!$G$6:$G$90,Cadastros!$H$6:$H$90)*(1-0.18),_xlfn.XLOOKUP(AG650,Cadastros!$G$6:$G$90,Cadastros!$H$6:$H$90))))</f>
        <v/>
      </c>
      <c r="AJ650" s="168" t="str">
        <f t="shared" si="137"/>
        <v/>
      </c>
      <c r="AK650" s="168" t="str">
        <f t="shared" si="138"/>
        <v/>
      </c>
      <c r="AL650" s="28"/>
      <c r="AM650" s="28"/>
      <c r="AN650" s="20" t="str">
        <f>IF(AL650="","",IF($F650="Bernardino Furlan",_xlfn.XLOOKUP(AL650,Cadastros!$G$6:$G$90,Cadastros!$H$6:$H$90)*(1-0.18),IF($F650="Mauro José Salanti",_xlfn.XLOOKUP(AL650,Cadastros!$G$6:$G$90,Cadastros!$H$6:$H$90)*(1-0.18),_xlfn.XLOOKUP(AL650,Cadastros!$G$6:$G$90,Cadastros!$H$6:$H$90))))</f>
        <v/>
      </c>
      <c r="AO650" s="168" t="str">
        <f t="shared" si="139"/>
        <v/>
      </c>
      <c r="AP650" s="168" t="str">
        <f t="shared" si="140"/>
        <v/>
      </c>
      <c r="AQ650" s="28"/>
      <c r="AR650" s="28"/>
      <c r="AS650" s="20" t="str">
        <f>IF(AQ650="","",IF($F650="Bernardino Furlan",_xlfn.XLOOKUP(AQ650,Cadastros!$G$6:$G$90,Cadastros!$H$6:$H$90)*(1-0.18),IF($F650="Mauro José Salanti",_xlfn.XLOOKUP(AQ650,Cadastros!$G$6:$G$90,Cadastros!$H$6:$H$90)*(1-0.18),_xlfn.XLOOKUP(AQ650,Cadastros!$G$6:$G$90,Cadastros!$H$6:$H$90))))</f>
        <v/>
      </c>
      <c r="AT650" s="168" t="str">
        <f t="shared" si="141"/>
        <v/>
      </c>
      <c r="AU650" s="168" t="str">
        <f t="shared" si="142"/>
        <v/>
      </c>
      <c r="AV650" s="227"/>
      <c r="AW650" s="30"/>
      <c r="AX650" s="267"/>
      <c r="AY650" s="267"/>
      <c r="AZ650" s="29"/>
      <c r="BA650" s="30"/>
      <c r="BB650" s="23" t="str" cm="1">
        <f t="array" ref="BB650">_xlfn.IFS(AW650="SIM",SUM(K650,P650,U650,Z650,AE650,AJ650,AO650,AT650,AX650,AY650),F650&lt;&gt;"",SUM(K650,P650,U650,Z650,AE650,AJ650,,AO650,AT650),F650="","")</f>
        <v/>
      </c>
      <c r="BC650" s="211" t="str" cm="1">
        <f t="array" ref="BC650">_xlfn.IFS(E650="","",G650&lt;=E650,BB650*(1-0.03),G650&lt;(E650+8),BB650,AZ650="Boleto",BB650*(1+0.001)^DATEDIF(E650,G650,"D"),AZ650="Cheque",BB650,AZ650="Dinheiro","Alterar forma pgto")</f>
        <v/>
      </c>
      <c r="BD650" s="276" t="str" cm="1">
        <f t="array" ref="BD650">IF(F650=0," ",IF(BC650&lt;BB650,(_xlfn.IFS(AW650="SIM",SUM(L650,Q650,V650,AA650,AF650,AK650,AP650,AU650)+AX650/_xlfn.XLOOKUP(_xlfn.XLOOKUP($F650,Clientes!$B$4:$B$39,Clientes!$C$4:$C$39),Cadastros!$L$6:$L$12,Cadastros!$M$6:$M$12)+IF($F650="Bernardino Furlan",AY650/2751.92,IF($F650="Mauro José Salanti",AY650/2751.92,AY650/3356)),F650&lt;&gt;0,SUM(L650,Q650,V650,AA650,AF650,AK650,AP650,AU650)))*(1-0.03),_xlfn.IFS(AW650="SIM",SUM(L650,Q650,V650,AA650,AF650,AK650,AP650,AU650)+AX650/_xlfn.XLOOKUP(_xlfn.XLOOKUP($F650,Clientes!$B$4:$B$39,Clientes!$C$4:$C$39),Cadastros!$L$6:$L$12,Cadastros!$M$6:$M$12)+IF($F650="Bernardino Furlan",AY650/2751.92,IF($F650="Mauro José Salanti",AY650/2751.92,AY650/3356)),F650&lt;&gt;0,SUM(L650,Q650,V650,AA650,AF650,AK650,AP650,AU650))))</f>
        <v xml:space="preserve"> </v>
      </c>
      <c r="BE650" s="120"/>
      <c r="BF650" s="120"/>
      <c r="BG650" s="120"/>
    </row>
    <row r="651" spans="1:59" s="3" customFormat="1" x14ac:dyDescent="0.3">
      <c r="A651" s="15" t="str">
        <f t="shared" si="130"/>
        <v/>
      </c>
      <c r="B651" s="25"/>
      <c r="C651" s="26"/>
      <c r="D651" s="279"/>
      <c r="E651" s="27"/>
      <c r="F651" s="28"/>
      <c r="G651" s="27"/>
      <c r="H651" s="28"/>
      <c r="I651" s="28"/>
      <c r="J651" s="255" t="str">
        <f>IF(H651="","",(_xlfn.XLOOKUP(H651,Cadastros!$D$6:$D$90,Cadastros!$E$6:$E$90))*(1-_xlfn.XLOOKUP(_xlfn.XLOOKUP($F651,Clientes!$B$4:$B$39,Clientes!$C$4:$C$39),Cadastros!$L$6:$L$12,Cadastros!$N$6:$N$12)))</f>
        <v/>
      </c>
      <c r="K651" s="168" t="str">
        <f t="shared" si="131"/>
        <v/>
      </c>
      <c r="L651" s="168" t="str">
        <f>IFERROR(K651/_xlfn.XLOOKUP(_xlfn.XLOOKUP($F651,Clientes!$B$4:$B$39,Clientes!$C$4:$C$39),Cadastros!$L$6:$L$12,Cadastros!$M$6:$M$12)," ")</f>
        <v xml:space="preserve"> </v>
      </c>
      <c r="M651" s="28"/>
      <c r="N651" s="28"/>
      <c r="O651" s="255" t="str">
        <f>IF(M651="","",(_xlfn.XLOOKUP(M651,Cadastros!$D$6:$D$90,Cadastros!$E$6:$E$90))*(1-_xlfn.XLOOKUP(_xlfn.XLOOKUP($F651,Clientes!$B$4:$B$39,Clientes!$C$4:$C$39),Cadastros!$L$6:$L$12,Cadastros!$N$6:$N$12)))</f>
        <v/>
      </c>
      <c r="P651" s="168" t="str">
        <f t="shared" si="132"/>
        <v/>
      </c>
      <c r="Q651" s="168" t="str">
        <f>IFERROR(P651/_xlfn.XLOOKUP(_xlfn.XLOOKUP($F651,Clientes!$B$4:$B$39,Clientes!$C$4:$C$39),Cadastros!$L$6:$L$12,Cadastros!$M$6:$M$12)," ")</f>
        <v xml:space="preserve"> </v>
      </c>
      <c r="R651" s="28"/>
      <c r="S651" s="28"/>
      <c r="T651" s="255" t="str">
        <f>IF(R651="","",(_xlfn.XLOOKUP(R651,Cadastros!$D$6:$D$90,Cadastros!$E$6:$E$90))*(1-_xlfn.XLOOKUP(_xlfn.XLOOKUP($F651,Clientes!$B$4:$B$39,Clientes!$C$4:$C$39),Cadastros!$L$6:$L$12,Cadastros!$N$6:$N$12)))</f>
        <v/>
      </c>
      <c r="U651" s="168" t="str">
        <f t="shared" si="133"/>
        <v/>
      </c>
      <c r="V651" s="168" t="str">
        <f>IFERROR(U651/_xlfn.XLOOKUP(_xlfn.XLOOKUP($F651,Clientes!$B$4:$B$39,Clientes!$C$4:$C$39),Cadastros!$L$6:$L$12,Cadastros!$M$6:$M$12)," ")</f>
        <v xml:space="preserve"> </v>
      </c>
      <c r="W651" s="28"/>
      <c r="X651" s="28"/>
      <c r="Y651" s="255" t="str">
        <f>IF(W651="","",(_xlfn.XLOOKUP(W651,Cadastros!$D$6:$D$90,Cadastros!$E$6:$E$90))*(1-_xlfn.XLOOKUP(_xlfn.XLOOKUP($F651,Clientes!$B$4:$B$39,Clientes!$C$4:$C$39),Cadastros!$L$6:$L$12,Cadastros!$N$6:$N$12)))</f>
        <v/>
      </c>
      <c r="Z651" s="168" t="str">
        <f t="shared" si="134"/>
        <v/>
      </c>
      <c r="AA651" s="168" t="str">
        <f>IFERROR(Z651/_xlfn.XLOOKUP(_xlfn.XLOOKUP($F651,Clientes!$B$4:$B$39,Clientes!$C$4:$C$39),Cadastros!$L$6:$L$12,Cadastros!$M$6:$M$12)," ")</f>
        <v xml:space="preserve"> </v>
      </c>
      <c r="AB651" s="28"/>
      <c r="AC651" s="28"/>
      <c r="AD651" s="20" t="str">
        <f>IF(AB651="","",IF($F651="Bernardino Furlan",_xlfn.XLOOKUP(AB651,Cadastros!$G$6:$G$90,Cadastros!$H$6:$H$90)*(1-0.18),IF($F651="Mauro José Salanti",_xlfn.XLOOKUP(AB651,Cadastros!$G$6:$G$90,Cadastros!$H$6:$H$90)*(1-0.18),_xlfn.XLOOKUP(AB651,Cadastros!$G$6:$G$90,Cadastros!$H$6:$H$90))))</f>
        <v/>
      </c>
      <c r="AE651" s="168" t="str">
        <f t="shared" si="135"/>
        <v/>
      </c>
      <c r="AF651" s="168" t="str">
        <f t="shared" si="136"/>
        <v/>
      </c>
      <c r="AG651" s="28"/>
      <c r="AH651" s="28"/>
      <c r="AI651" s="20" t="str">
        <f>IF(AG651="","",IF($F651="Bernardino Furlan",_xlfn.XLOOKUP(AG651,Cadastros!$G$6:$G$90,Cadastros!$H$6:$H$90)*(1-0.18),IF($F651="Mauro José Salanti",_xlfn.XLOOKUP(AG651,Cadastros!$G$6:$G$90,Cadastros!$H$6:$H$90)*(1-0.18),_xlfn.XLOOKUP(AG651,Cadastros!$G$6:$G$90,Cadastros!$H$6:$H$90))))</f>
        <v/>
      </c>
      <c r="AJ651" s="168" t="str">
        <f t="shared" si="137"/>
        <v/>
      </c>
      <c r="AK651" s="168" t="str">
        <f t="shared" si="138"/>
        <v/>
      </c>
      <c r="AL651" s="28"/>
      <c r="AM651" s="28"/>
      <c r="AN651" s="20" t="str">
        <f>IF(AL651="","",IF($F651="Bernardino Furlan",_xlfn.XLOOKUP(AL651,Cadastros!$G$6:$G$90,Cadastros!$H$6:$H$90)*(1-0.18),IF($F651="Mauro José Salanti",_xlfn.XLOOKUP(AL651,Cadastros!$G$6:$G$90,Cadastros!$H$6:$H$90)*(1-0.18),_xlfn.XLOOKUP(AL651,Cadastros!$G$6:$G$90,Cadastros!$H$6:$H$90))))</f>
        <v/>
      </c>
      <c r="AO651" s="168" t="str">
        <f t="shared" si="139"/>
        <v/>
      </c>
      <c r="AP651" s="168" t="str">
        <f t="shared" si="140"/>
        <v/>
      </c>
      <c r="AQ651" s="28"/>
      <c r="AR651" s="28"/>
      <c r="AS651" s="20" t="str">
        <f>IF(AQ651="","",IF($F651="Bernardino Furlan",_xlfn.XLOOKUP(AQ651,Cadastros!$G$6:$G$90,Cadastros!$H$6:$H$90)*(1-0.18),IF($F651="Mauro José Salanti",_xlfn.XLOOKUP(AQ651,Cadastros!$G$6:$G$90,Cadastros!$H$6:$H$90)*(1-0.18),_xlfn.XLOOKUP(AQ651,Cadastros!$G$6:$G$90,Cadastros!$H$6:$H$90))))</f>
        <v/>
      </c>
      <c r="AT651" s="168" t="str">
        <f t="shared" si="141"/>
        <v/>
      </c>
      <c r="AU651" s="168" t="str">
        <f t="shared" si="142"/>
        <v/>
      </c>
      <c r="AV651" s="227"/>
      <c r="AW651" s="30"/>
      <c r="AX651" s="267"/>
      <c r="AY651" s="267"/>
      <c r="AZ651" s="29"/>
      <c r="BA651" s="30"/>
      <c r="BB651" s="23" t="str" cm="1">
        <f t="array" ref="BB651">_xlfn.IFS(AW651="SIM",SUM(K651,P651,U651,Z651,AE651,AJ651,AO651,AT651,AX651,AY651),F651&lt;&gt;"",SUM(K651,P651,U651,Z651,AE651,AJ651,,AO651,AT651),F651="","")</f>
        <v/>
      </c>
      <c r="BC651" s="211" t="str" cm="1">
        <f t="array" ref="BC651">_xlfn.IFS(E651="","",G651&lt;=E651,BB651*(1-0.03),G651&lt;(E651+8),BB651,AZ651="Boleto",BB651*(1+0.001)^DATEDIF(E651,G651,"D"),AZ651="Cheque",BB651,AZ651="Dinheiro","Alterar forma pgto")</f>
        <v/>
      </c>
      <c r="BD651" s="276" t="str" cm="1">
        <f t="array" ref="BD651">IF(F651=0," ",IF(BC651&lt;BB651,(_xlfn.IFS(AW651="SIM",SUM(L651,Q651,V651,AA651,AF651,AK651,AP651,AU651)+AX651/_xlfn.XLOOKUP(_xlfn.XLOOKUP($F651,Clientes!$B$4:$B$39,Clientes!$C$4:$C$39),Cadastros!$L$6:$L$12,Cadastros!$M$6:$M$12)+IF($F651="Bernardino Furlan",AY651/2751.92,IF($F651="Mauro José Salanti",AY651/2751.92,AY651/3356)),F651&lt;&gt;0,SUM(L651,Q651,V651,AA651,AF651,AK651,AP651,AU651)))*(1-0.03),_xlfn.IFS(AW651="SIM",SUM(L651,Q651,V651,AA651,AF651,AK651,AP651,AU651)+AX651/_xlfn.XLOOKUP(_xlfn.XLOOKUP($F651,Clientes!$B$4:$B$39,Clientes!$C$4:$C$39),Cadastros!$L$6:$L$12,Cadastros!$M$6:$M$12)+IF($F651="Bernardino Furlan",AY651/2751.92,IF($F651="Mauro José Salanti",AY651/2751.92,AY651/3356)),F651&lt;&gt;0,SUM(L651,Q651,V651,AA651,AF651,AK651,AP651,AU651))))</f>
        <v xml:space="preserve"> </v>
      </c>
      <c r="BE651" s="120"/>
      <c r="BF651" s="120"/>
      <c r="BG651" s="120"/>
    </row>
    <row r="652" spans="1:59" s="3" customFormat="1" x14ac:dyDescent="0.3">
      <c r="A652" s="15" t="str">
        <f t="shared" si="130"/>
        <v/>
      </c>
      <c r="B652" s="25"/>
      <c r="C652" s="26"/>
      <c r="D652" s="279"/>
      <c r="E652" s="27"/>
      <c r="F652" s="28"/>
      <c r="G652" s="27"/>
      <c r="H652" s="28"/>
      <c r="I652" s="28"/>
      <c r="J652" s="255" t="str">
        <f>IF(H652="","",(_xlfn.XLOOKUP(H652,Cadastros!$D$6:$D$90,Cadastros!$E$6:$E$90))*(1-_xlfn.XLOOKUP(_xlfn.XLOOKUP($F652,Clientes!$B$4:$B$39,Clientes!$C$4:$C$39),Cadastros!$L$6:$L$12,Cadastros!$N$6:$N$12)))</f>
        <v/>
      </c>
      <c r="K652" s="168" t="str">
        <f t="shared" si="131"/>
        <v/>
      </c>
      <c r="L652" s="168" t="str">
        <f>IFERROR(K652/_xlfn.XLOOKUP(_xlfn.XLOOKUP($F652,Clientes!$B$4:$B$39,Clientes!$C$4:$C$39),Cadastros!$L$6:$L$12,Cadastros!$M$6:$M$12)," ")</f>
        <v xml:space="preserve"> </v>
      </c>
      <c r="M652" s="28"/>
      <c r="N652" s="28"/>
      <c r="O652" s="255" t="str">
        <f>IF(M652="","",(_xlfn.XLOOKUP(M652,Cadastros!$D$6:$D$90,Cadastros!$E$6:$E$90))*(1-_xlfn.XLOOKUP(_xlfn.XLOOKUP($F652,Clientes!$B$4:$B$39,Clientes!$C$4:$C$39),Cadastros!$L$6:$L$12,Cadastros!$N$6:$N$12)))</f>
        <v/>
      </c>
      <c r="P652" s="168" t="str">
        <f t="shared" si="132"/>
        <v/>
      </c>
      <c r="Q652" s="168" t="str">
        <f>IFERROR(P652/_xlfn.XLOOKUP(_xlfn.XLOOKUP($F652,Clientes!$B$4:$B$39,Clientes!$C$4:$C$39),Cadastros!$L$6:$L$12,Cadastros!$M$6:$M$12)," ")</f>
        <v xml:space="preserve"> </v>
      </c>
      <c r="R652" s="28"/>
      <c r="S652" s="28"/>
      <c r="T652" s="255" t="str">
        <f>IF(R652="","",(_xlfn.XLOOKUP(R652,Cadastros!$D$6:$D$90,Cadastros!$E$6:$E$90))*(1-_xlfn.XLOOKUP(_xlfn.XLOOKUP($F652,Clientes!$B$4:$B$39,Clientes!$C$4:$C$39),Cadastros!$L$6:$L$12,Cadastros!$N$6:$N$12)))</f>
        <v/>
      </c>
      <c r="U652" s="168" t="str">
        <f t="shared" si="133"/>
        <v/>
      </c>
      <c r="V652" s="168" t="str">
        <f>IFERROR(U652/_xlfn.XLOOKUP(_xlfn.XLOOKUP($F652,Clientes!$B$4:$B$39,Clientes!$C$4:$C$39),Cadastros!$L$6:$L$12,Cadastros!$M$6:$M$12)," ")</f>
        <v xml:space="preserve"> </v>
      </c>
      <c r="W652" s="28"/>
      <c r="X652" s="28"/>
      <c r="Y652" s="255" t="str">
        <f>IF(W652="","",(_xlfn.XLOOKUP(W652,Cadastros!$D$6:$D$90,Cadastros!$E$6:$E$90))*(1-_xlfn.XLOOKUP(_xlfn.XLOOKUP($F652,Clientes!$B$4:$B$39,Clientes!$C$4:$C$39),Cadastros!$L$6:$L$12,Cadastros!$N$6:$N$12)))</f>
        <v/>
      </c>
      <c r="Z652" s="168" t="str">
        <f t="shared" si="134"/>
        <v/>
      </c>
      <c r="AA652" s="168" t="str">
        <f>IFERROR(Z652/_xlfn.XLOOKUP(_xlfn.XLOOKUP($F652,Clientes!$B$4:$B$39,Clientes!$C$4:$C$39),Cadastros!$L$6:$L$12,Cadastros!$M$6:$M$12)," ")</f>
        <v xml:space="preserve"> </v>
      </c>
      <c r="AB652" s="28"/>
      <c r="AC652" s="28"/>
      <c r="AD652" s="20" t="str">
        <f>IF(AB652="","",IF($F652="Bernardino Furlan",_xlfn.XLOOKUP(AB652,Cadastros!$G$6:$G$90,Cadastros!$H$6:$H$90)*(1-0.18),IF($F652="Mauro José Salanti",_xlfn.XLOOKUP(AB652,Cadastros!$G$6:$G$90,Cadastros!$H$6:$H$90)*(1-0.18),_xlfn.XLOOKUP(AB652,Cadastros!$G$6:$G$90,Cadastros!$H$6:$H$90))))</f>
        <v/>
      </c>
      <c r="AE652" s="168" t="str">
        <f t="shared" si="135"/>
        <v/>
      </c>
      <c r="AF652" s="168" t="str">
        <f t="shared" si="136"/>
        <v/>
      </c>
      <c r="AG652" s="28"/>
      <c r="AH652" s="28"/>
      <c r="AI652" s="20" t="str">
        <f>IF(AG652="","",IF($F652="Bernardino Furlan",_xlfn.XLOOKUP(AG652,Cadastros!$G$6:$G$90,Cadastros!$H$6:$H$90)*(1-0.18),IF($F652="Mauro José Salanti",_xlfn.XLOOKUP(AG652,Cadastros!$G$6:$G$90,Cadastros!$H$6:$H$90)*(1-0.18),_xlfn.XLOOKUP(AG652,Cadastros!$G$6:$G$90,Cadastros!$H$6:$H$90))))</f>
        <v/>
      </c>
      <c r="AJ652" s="168" t="str">
        <f t="shared" si="137"/>
        <v/>
      </c>
      <c r="AK652" s="168" t="str">
        <f t="shared" si="138"/>
        <v/>
      </c>
      <c r="AL652" s="28"/>
      <c r="AM652" s="28"/>
      <c r="AN652" s="20" t="str">
        <f>IF(AL652="","",IF($F652="Bernardino Furlan",_xlfn.XLOOKUP(AL652,Cadastros!$G$6:$G$90,Cadastros!$H$6:$H$90)*(1-0.18),IF($F652="Mauro José Salanti",_xlfn.XLOOKUP(AL652,Cadastros!$G$6:$G$90,Cadastros!$H$6:$H$90)*(1-0.18),_xlfn.XLOOKUP(AL652,Cadastros!$G$6:$G$90,Cadastros!$H$6:$H$90))))</f>
        <v/>
      </c>
      <c r="AO652" s="168" t="str">
        <f t="shared" si="139"/>
        <v/>
      </c>
      <c r="AP652" s="168" t="str">
        <f t="shared" si="140"/>
        <v/>
      </c>
      <c r="AQ652" s="28"/>
      <c r="AR652" s="28"/>
      <c r="AS652" s="20" t="str">
        <f>IF(AQ652="","",IF($F652="Bernardino Furlan",_xlfn.XLOOKUP(AQ652,Cadastros!$G$6:$G$90,Cadastros!$H$6:$H$90)*(1-0.18),IF($F652="Mauro José Salanti",_xlfn.XLOOKUP(AQ652,Cadastros!$G$6:$G$90,Cadastros!$H$6:$H$90)*(1-0.18),_xlfn.XLOOKUP(AQ652,Cadastros!$G$6:$G$90,Cadastros!$H$6:$H$90))))</f>
        <v/>
      </c>
      <c r="AT652" s="168" t="str">
        <f t="shared" si="141"/>
        <v/>
      </c>
      <c r="AU652" s="168" t="str">
        <f t="shared" si="142"/>
        <v/>
      </c>
      <c r="AV652" s="227"/>
      <c r="AW652" s="30"/>
      <c r="AX652" s="267"/>
      <c r="AY652" s="267"/>
      <c r="AZ652" s="29"/>
      <c r="BA652" s="30"/>
      <c r="BB652" s="23" t="str" cm="1">
        <f t="array" ref="BB652">_xlfn.IFS(AW652="SIM",SUM(K652,P652,U652,Z652,AE652,AJ652,AO652,AT652,AX652,AY652),F652&lt;&gt;"",SUM(K652,P652,U652,Z652,AE652,AJ652,,AO652,AT652),F652="","")</f>
        <v/>
      </c>
      <c r="BC652" s="211" t="str" cm="1">
        <f t="array" ref="BC652">_xlfn.IFS(E652="","",G652&lt;=E652,BB652*(1-0.03),G652&lt;(E652+8),BB652,AZ652="Boleto",BB652*(1+0.001)^DATEDIF(E652,G652,"D"),AZ652="Cheque",BB652,AZ652="Dinheiro","Alterar forma pgto")</f>
        <v/>
      </c>
      <c r="BD652" s="276" t="str" cm="1">
        <f t="array" ref="BD652">IF(F652=0," ",IF(BC652&lt;BB652,(_xlfn.IFS(AW652="SIM",SUM(L652,Q652,V652,AA652,AF652,AK652,AP652,AU652)+AX652/_xlfn.XLOOKUP(_xlfn.XLOOKUP($F652,Clientes!$B$4:$B$39,Clientes!$C$4:$C$39),Cadastros!$L$6:$L$12,Cadastros!$M$6:$M$12)+IF($F652="Bernardino Furlan",AY652/2751.92,IF($F652="Mauro José Salanti",AY652/2751.92,AY652/3356)),F652&lt;&gt;0,SUM(L652,Q652,V652,AA652,AF652,AK652,AP652,AU652)))*(1-0.03),_xlfn.IFS(AW652="SIM",SUM(L652,Q652,V652,AA652,AF652,AK652,AP652,AU652)+AX652/_xlfn.XLOOKUP(_xlfn.XLOOKUP($F652,Clientes!$B$4:$B$39,Clientes!$C$4:$C$39),Cadastros!$L$6:$L$12,Cadastros!$M$6:$M$12)+IF($F652="Bernardino Furlan",AY652/2751.92,IF($F652="Mauro José Salanti",AY652/2751.92,AY652/3356)),F652&lt;&gt;0,SUM(L652,Q652,V652,AA652,AF652,AK652,AP652,AU652))))</f>
        <v xml:space="preserve"> </v>
      </c>
      <c r="BE652" s="120"/>
      <c r="BF652" s="120"/>
      <c r="BG652" s="120"/>
    </row>
    <row r="653" spans="1:59" s="3" customFormat="1" x14ac:dyDescent="0.3">
      <c r="A653" s="15" t="str">
        <f t="shared" si="130"/>
        <v/>
      </c>
      <c r="B653" s="25"/>
      <c r="C653" s="26"/>
      <c r="D653" s="279"/>
      <c r="E653" s="27"/>
      <c r="F653" s="28"/>
      <c r="G653" s="27"/>
      <c r="H653" s="28"/>
      <c r="I653" s="28"/>
      <c r="J653" s="255" t="str">
        <f>IF(H653="","",(_xlfn.XLOOKUP(H653,Cadastros!$D$6:$D$90,Cadastros!$E$6:$E$90))*(1-_xlfn.XLOOKUP(_xlfn.XLOOKUP($F653,Clientes!$B$4:$B$39,Clientes!$C$4:$C$39),Cadastros!$L$6:$L$12,Cadastros!$N$6:$N$12)))</f>
        <v/>
      </c>
      <c r="K653" s="168" t="str">
        <f t="shared" si="131"/>
        <v/>
      </c>
      <c r="L653" s="168" t="str">
        <f>IFERROR(K653/_xlfn.XLOOKUP(_xlfn.XLOOKUP($F653,Clientes!$B$4:$B$39,Clientes!$C$4:$C$39),Cadastros!$L$6:$L$12,Cadastros!$M$6:$M$12)," ")</f>
        <v xml:space="preserve"> </v>
      </c>
      <c r="M653" s="28"/>
      <c r="N653" s="28"/>
      <c r="O653" s="255" t="str">
        <f>IF(M653="","",(_xlfn.XLOOKUP(M653,Cadastros!$D$6:$D$90,Cadastros!$E$6:$E$90))*(1-_xlfn.XLOOKUP(_xlfn.XLOOKUP($F653,Clientes!$B$4:$B$39,Clientes!$C$4:$C$39),Cadastros!$L$6:$L$12,Cadastros!$N$6:$N$12)))</f>
        <v/>
      </c>
      <c r="P653" s="168" t="str">
        <f t="shared" si="132"/>
        <v/>
      </c>
      <c r="Q653" s="168" t="str">
        <f>IFERROR(P653/_xlfn.XLOOKUP(_xlfn.XLOOKUP($F653,Clientes!$B$4:$B$39,Clientes!$C$4:$C$39),Cadastros!$L$6:$L$12,Cadastros!$M$6:$M$12)," ")</f>
        <v xml:space="preserve"> </v>
      </c>
      <c r="R653" s="28"/>
      <c r="S653" s="28"/>
      <c r="T653" s="255" t="str">
        <f>IF(R653="","",(_xlfn.XLOOKUP(R653,Cadastros!$D$6:$D$90,Cadastros!$E$6:$E$90))*(1-_xlfn.XLOOKUP(_xlfn.XLOOKUP($F653,Clientes!$B$4:$B$39,Clientes!$C$4:$C$39),Cadastros!$L$6:$L$12,Cadastros!$N$6:$N$12)))</f>
        <v/>
      </c>
      <c r="U653" s="168" t="str">
        <f t="shared" si="133"/>
        <v/>
      </c>
      <c r="V653" s="168" t="str">
        <f>IFERROR(U653/_xlfn.XLOOKUP(_xlfn.XLOOKUP($F653,Clientes!$B$4:$B$39,Clientes!$C$4:$C$39),Cadastros!$L$6:$L$12,Cadastros!$M$6:$M$12)," ")</f>
        <v xml:space="preserve"> </v>
      </c>
      <c r="W653" s="28"/>
      <c r="X653" s="28"/>
      <c r="Y653" s="255" t="str">
        <f>IF(W653="","",(_xlfn.XLOOKUP(W653,Cadastros!$D$6:$D$90,Cadastros!$E$6:$E$90))*(1-_xlfn.XLOOKUP(_xlfn.XLOOKUP($F653,Clientes!$B$4:$B$39,Clientes!$C$4:$C$39),Cadastros!$L$6:$L$12,Cadastros!$N$6:$N$12)))</f>
        <v/>
      </c>
      <c r="Z653" s="168" t="str">
        <f t="shared" si="134"/>
        <v/>
      </c>
      <c r="AA653" s="168" t="str">
        <f>IFERROR(Z653/_xlfn.XLOOKUP(_xlfn.XLOOKUP($F653,Clientes!$B$4:$B$39,Clientes!$C$4:$C$39),Cadastros!$L$6:$L$12,Cadastros!$M$6:$M$12)," ")</f>
        <v xml:space="preserve"> </v>
      </c>
      <c r="AB653" s="28"/>
      <c r="AC653" s="28"/>
      <c r="AD653" s="20" t="str">
        <f>IF(AB653="","",IF($F653="Bernardino Furlan",_xlfn.XLOOKUP(AB653,Cadastros!$G$6:$G$90,Cadastros!$H$6:$H$90)*(1-0.18),IF($F653="Mauro José Salanti",_xlfn.XLOOKUP(AB653,Cadastros!$G$6:$G$90,Cadastros!$H$6:$H$90)*(1-0.18),_xlfn.XLOOKUP(AB653,Cadastros!$G$6:$G$90,Cadastros!$H$6:$H$90))))</f>
        <v/>
      </c>
      <c r="AE653" s="168" t="str">
        <f t="shared" si="135"/>
        <v/>
      </c>
      <c r="AF653" s="168" t="str">
        <f t="shared" si="136"/>
        <v/>
      </c>
      <c r="AG653" s="28"/>
      <c r="AH653" s="28"/>
      <c r="AI653" s="20" t="str">
        <f>IF(AG653="","",IF($F653="Bernardino Furlan",_xlfn.XLOOKUP(AG653,Cadastros!$G$6:$G$90,Cadastros!$H$6:$H$90)*(1-0.18),IF($F653="Mauro José Salanti",_xlfn.XLOOKUP(AG653,Cadastros!$G$6:$G$90,Cadastros!$H$6:$H$90)*(1-0.18),_xlfn.XLOOKUP(AG653,Cadastros!$G$6:$G$90,Cadastros!$H$6:$H$90))))</f>
        <v/>
      </c>
      <c r="AJ653" s="168" t="str">
        <f t="shared" si="137"/>
        <v/>
      </c>
      <c r="AK653" s="168" t="str">
        <f t="shared" si="138"/>
        <v/>
      </c>
      <c r="AL653" s="28"/>
      <c r="AM653" s="28"/>
      <c r="AN653" s="20" t="str">
        <f>IF(AL653="","",IF($F653="Bernardino Furlan",_xlfn.XLOOKUP(AL653,Cadastros!$G$6:$G$90,Cadastros!$H$6:$H$90)*(1-0.18),IF($F653="Mauro José Salanti",_xlfn.XLOOKUP(AL653,Cadastros!$G$6:$G$90,Cadastros!$H$6:$H$90)*(1-0.18),_xlfn.XLOOKUP(AL653,Cadastros!$G$6:$G$90,Cadastros!$H$6:$H$90))))</f>
        <v/>
      </c>
      <c r="AO653" s="168" t="str">
        <f t="shared" si="139"/>
        <v/>
      </c>
      <c r="AP653" s="168" t="str">
        <f t="shared" si="140"/>
        <v/>
      </c>
      <c r="AQ653" s="28"/>
      <c r="AR653" s="28"/>
      <c r="AS653" s="20" t="str">
        <f>IF(AQ653="","",IF($F653="Bernardino Furlan",_xlfn.XLOOKUP(AQ653,Cadastros!$G$6:$G$90,Cadastros!$H$6:$H$90)*(1-0.18),IF($F653="Mauro José Salanti",_xlfn.XLOOKUP(AQ653,Cadastros!$G$6:$G$90,Cadastros!$H$6:$H$90)*(1-0.18),_xlfn.XLOOKUP(AQ653,Cadastros!$G$6:$G$90,Cadastros!$H$6:$H$90))))</f>
        <v/>
      </c>
      <c r="AT653" s="168" t="str">
        <f t="shared" si="141"/>
        <v/>
      </c>
      <c r="AU653" s="168" t="str">
        <f t="shared" si="142"/>
        <v/>
      </c>
      <c r="AV653" s="227"/>
      <c r="AW653" s="30"/>
      <c r="AX653" s="267"/>
      <c r="AY653" s="267"/>
      <c r="AZ653" s="29"/>
      <c r="BA653" s="30"/>
      <c r="BB653" s="23" t="str" cm="1">
        <f t="array" ref="BB653">_xlfn.IFS(AW653="SIM",SUM(K653,P653,U653,Z653,AE653,AJ653,AO653,AT653,AX653,AY653),F653&lt;&gt;"",SUM(K653,P653,U653,Z653,AE653,AJ653,,AO653,AT653),F653="","")</f>
        <v/>
      </c>
      <c r="BC653" s="211" t="str" cm="1">
        <f t="array" ref="BC653">_xlfn.IFS(E653="","",G653&lt;=E653,BB653*(1-0.03),G653&lt;(E653+8),BB653,AZ653="Boleto",BB653*(1+0.001)^DATEDIF(E653,G653,"D"),AZ653="Cheque",BB653,AZ653="Dinheiro","Alterar forma pgto")</f>
        <v/>
      </c>
      <c r="BD653" s="276" t="str" cm="1">
        <f t="array" ref="BD653">IF(F653=0," ",IF(BC653&lt;BB653,(_xlfn.IFS(AW653="SIM",SUM(L653,Q653,V653,AA653,AF653,AK653,AP653,AU653)+AX653/_xlfn.XLOOKUP(_xlfn.XLOOKUP($F653,Clientes!$B$4:$B$39,Clientes!$C$4:$C$39),Cadastros!$L$6:$L$12,Cadastros!$M$6:$M$12)+IF($F653="Bernardino Furlan",AY653/2751.92,IF($F653="Mauro José Salanti",AY653/2751.92,AY653/3356)),F653&lt;&gt;0,SUM(L653,Q653,V653,AA653,AF653,AK653,AP653,AU653)))*(1-0.03),_xlfn.IFS(AW653="SIM",SUM(L653,Q653,V653,AA653,AF653,AK653,AP653,AU653)+AX653/_xlfn.XLOOKUP(_xlfn.XLOOKUP($F653,Clientes!$B$4:$B$39,Clientes!$C$4:$C$39),Cadastros!$L$6:$L$12,Cadastros!$M$6:$M$12)+IF($F653="Bernardino Furlan",AY653/2751.92,IF($F653="Mauro José Salanti",AY653/2751.92,AY653/3356)),F653&lt;&gt;0,SUM(L653,Q653,V653,AA653,AF653,AK653,AP653,AU653))))</f>
        <v xml:space="preserve"> </v>
      </c>
      <c r="BE653" s="120"/>
      <c r="BF653" s="120"/>
      <c r="BG653" s="120"/>
    </row>
    <row r="654" spans="1:59" s="3" customFormat="1" x14ac:dyDescent="0.3">
      <c r="A654" s="15" t="str">
        <f t="shared" si="130"/>
        <v/>
      </c>
      <c r="B654" s="25"/>
      <c r="C654" s="26"/>
      <c r="D654" s="279"/>
      <c r="E654" s="27"/>
      <c r="F654" s="28"/>
      <c r="G654" s="27"/>
      <c r="H654" s="28"/>
      <c r="I654" s="28"/>
      <c r="J654" s="255" t="str">
        <f>IF(H654="","",(_xlfn.XLOOKUP(H654,Cadastros!$D$6:$D$90,Cadastros!$E$6:$E$90))*(1-_xlfn.XLOOKUP(_xlfn.XLOOKUP($F654,Clientes!$B$4:$B$39,Clientes!$C$4:$C$39),Cadastros!$L$6:$L$12,Cadastros!$N$6:$N$12)))</f>
        <v/>
      </c>
      <c r="K654" s="168" t="str">
        <f t="shared" si="131"/>
        <v/>
      </c>
      <c r="L654" s="168" t="str">
        <f>IFERROR(K654/_xlfn.XLOOKUP(_xlfn.XLOOKUP($F654,Clientes!$B$4:$B$39,Clientes!$C$4:$C$39),Cadastros!$L$6:$L$12,Cadastros!$M$6:$M$12)," ")</f>
        <v xml:space="preserve"> </v>
      </c>
      <c r="M654" s="28"/>
      <c r="N654" s="28"/>
      <c r="O654" s="255" t="str">
        <f>IF(M654="","",(_xlfn.XLOOKUP(M654,Cadastros!$D$6:$D$90,Cadastros!$E$6:$E$90))*(1-_xlfn.XLOOKUP(_xlfn.XLOOKUP($F654,Clientes!$B$4:$B$39,Clientes!$C$4:$C$39),Cadastros!$L$6:$L$12,Cadastros!$N$6:$N$12)))</f>
        <v/>
      </c>
      <c r="P654" s="168" t="str">
        <f t="shared" si="132"/>
        <v/>
      </c>
      <c r="Q654" s="168" t="str">
        <f>IFERROR(P654/_xlfn.XLOOKUP(_xlfn.XLOOKUP($F654,Clientes!$B$4:$B$39,Clientes!$C$4:$C$39),Cadastros!$L$6:$L$12,Cadastros!$M$6:$M$12)," ")</f>
        <v xml:space="preserve"> </v>
      </c>
      <c r="R654" s="28"/>
      <c r="S654" s="28"/>
      <c r="T654" s="255" t="str">
        <f>IF(R654="","",(_xlfn.XLOOKUP(R654,Cadastros!$D$6:$D$90,Cadastros!$E$6:$E$90))*(1-_xlfn.XLOOKUP(_xlfn.XLOOKUP($F654,Clientes!$B$4:$B$39,Clientes!$C$4:$C$39),Cadastros!$L$6:$L$12,Cadastros!$N$6:$N$12)))</f>
        <v/>
      </c>
      <c r="U654" s="168" t="str">
        <f t="shared" si="133"/>
        <v/>
      </c>
      <c r="V654" s="168" t="str">
        <f>IFERROR(U654/_xlfn.XLOOKUP(_xlfn.XLOOKUP($F654,Clientes!$B$4:$B$39,Clientes!$C$4:$C$39),Cadastros!$L$6:$L$12,Cadastros!$M$6:$M$12)," ")</f>
        <v xml:space="preserve"> </v>
      </c>
      <c r="W654" s="28"/>
      <c r="X654" s="28"/>
      <c r="Y654" s="255" t="str">
        <f>IF(W654="","",(_xlfn.XLOOKUP(W654,Cadastros!$D$6:$D$90,Cadastros!$E$6:$E$90))*(1-_xlfn.XLOOKUP(_xlfn.XLOOKUP($F654,Clientes!$B$4:$B$39,Clientes!$C$4:$C$39),Cadastros!$L$6:$L$12,Cadastros!$N$6:$N$12)))</f>
        <v/>
      </c>
      <c r="Z654" s="168" t="str">
        <f t="shared" si="134"/>
        <v/>
      </c>
      <c r="AA654" s="168" t="str">
        <f>IFERROR(Z654/_xlfn.XLOOKUP(_xlfn.XLOOKUP($F654,Clientes!$B$4:$B$39,Clientes!$C$4:$C$39),Cadastros!$L$6:$L$12,Cadastros!$M$6:$M$12)," ")</f>
        <v xml:space="preserve"> </v>
      </c>
      <c r="AB654" s="28"/>
      <c r="AC654" s="28"/>
      <c r="AD654" s="20" t="str">
        <f>IF(AB654="","",IF($F654="Bernardino Furlan",_xlfn.XLOOKUP(AB654,Cadastros!$G$6:$G$90,Cadastros!$H$6:$H$90)*(1-0.18),IF($F654="Mauro José Salanti",_xlfn.XLOOKUP(AB654,Cadastros!$G$6:$G$90,Cadastros!$H$6:$H$90)*(1-0.18),_xlfn.XLOOKUP(AB654,Cadastros!$G$6:$G$90,Cadastros!$H$6:$H$90))))</f>
        <v/>
      </c>
      <c r="AE654" s="168" t="str">
        <f t="shared" si="135"/>
        <v/>
      </c>
      <c r="AF654" s="168" t="str">
        <f t="shared" si="136"/>
        <v/>
      </c>
      <c r="AG654" s="28"/>
      <c r="AH654" s="28"/>
      <c r="AI654" s="20" t="str">
        <f>IF(AG654="","",IF($F654="Bernardino Furlan",_xlfn.XLOOKUP(AG654,Cadastros!$G$6:$G$90,Cadastros!$H$6:$H$90)*(1-0.18),IF($F654="Mauro José Salanti",_xlfn.XLOOKUP(AG654,Cadastros!$G$6:$G$90,Cadastros!$H$6:$H$90)*(1-0.18),_xlfn.XLOOKUP(AG654,Cadastros!$G$6:$G$90,Cadastros!$H$6:$H$90))))</f>
        <v/>
      </c>
      <c r="AJ654" s="168" t="str">
        <f t="shared" si="137"/>
        <v/>
      </c>
      <c r="AK654" s="168" t="str">
        <f t="shared" si="138"/>
        <v/>
      </c>
      <c r="AL654" s="28"/>
      <c r="AM654" s="28"/>
      <c r="AN654" s="20" t="str">
        <f>IF(AL654="","",IF($F654="Bernardino Furlan",_xlfn.XLOOKUP(AL654,Cadastros!$G$6:$G$90,Cadastros!$H$6:$H$90)*(1-0.18),IF($F654="Mauro José Salanti",_xlfn.XLOOKUP(AL654,Cadastros!$G$6:$G$90,Cadastros!$H$6:$H$90)*(1-0.18),_xlfn.XLOOKUP(AL654,Cadastros!$G$6:$G$90,Cadastros!$H$6:$H$90))))</f>
        <v/>
      </c>
      <c r="AO654" s="168" t="str">
        <f t="shared" si="139"/>
        <v/>
      </c>
      <c r="AP654" s="168" t="str">
        <f t="shared" si="140"/>
        <v/>
      </c>
      <c r="AQ654" s="28"/>
      <c r="AR654" s="28"/>
      <c r="AS654" s="20" t="str">
        <f>IF(AQ654="","",IF($F654="Bernardino Furlan",_xlfn.XLOOKUP(AQ654,Cadastros!$G$6:$G$90,Cadastros!$H$6:$H$90)*(1-0.18),IF($F654="Mauro José Salanti",_xlfn.XLOOKUP(AQ654,Cadastros!$G$6:$G$90,Cadastros!$H$6:$H$90)*(1-0.18),_xlfn.XLOOKUP(AQ654,Cadastros!$G$6:$G$90,Cadastros!$H$6:$H$90))))</f>
        <v/>
      </c>
      <c r="AT654" s="168" t="str">
        <f t="shared" si="141"/>
        <v/>
      </c>
      <c r="AU654" s="168" t="str">
        <f t="shared" si="142"/>
        <v/>
      </c>
      <c r="AV654" s="227"/>
      <c r="AW654" s="30"/>
      <c r="AX654" s="267"/>
      <c r="AY654" s="267"/>
      <c r="AZ654" s="29"/>
      <c r="BA654" s="30"/>
      <c r="BB654" s="23" t="str" cm="1">
        <f t="array" ref="BB654">_xlfn.IFS(AW654="SIM",SUM(K654,P654,U654,Z654,AE654,AJ654,AO654,AT654,AX654,AY654),F654&lt;&gt;"",SUM(K654,P654,U654,Z654,AE654,AJ654,,AO654,AT654),F654="","")</f>
        <v/>
      </c>
      <c r="BC654" s="211" t="str" cm="1">
        <f t="array" ref="BC654">_xlfn.IFS(E654="","",G654&lt;=E654,BB654*(1-0.03),G654&lt;(E654+8),BB654,AZ654="Boleto",BB654*(1+0.001)^DATEDIF(E654,G654,"D"),AZ654="Cheque",BB654,AZ654="Dinheiro","Alterar forma pgto")</f>
        <v/>
      </c>
      <c r="BD654" s="276" t="str" cm="1">
        <f t="array" ref="BD654">IF(F654=0," ",IF(BC654&lt;BB654,(_xlfn.IFS(AW654="SIM",SUM(L654,Q654,V654,AA654,AF654,AK654,AP654,AU654)+AX654/_xlfn.XLOOKUP(_xlfn.XLOOKUP($F654,Clientes!$B$4:$B$39,Clientes!$C$4:$C$39),Cadastros!$L$6:$L$12,Cadastros!$M$6:$M$12)+IF($F654="Bernardino Furlan",AY654/2751.92,IF($F654="Mauro José Salanti",AY654/2751.92,AY654/3356)),F654&lt;&gt;0,SUM(L654,Q654,V654,AA654,AF654,AK654,AP654,AU654)))*(1-0.03),_xlfn.IFS(AW654="SIM",SUM(L654,Q654,V654,AA654,AF654,AK654,AP654,AU654)+AX654/_xlfn.XLOOKUP(_xlfn.XLOOKUP($F654,Clientes!$B$4:$B$39,Clientes!$C$4:$C$39),Cadastros!$L$6:$L$12,Cadastros!$M$6:$M$12)+IF($F654="Bernardino Furlan",AY654/2751.92,IF($F654="Mauro José Salanti",AY654/2751.92,AY654/3356)),F654&lt;&gt;0,SUM(L654,Q654,V654,AA654,AF654,AK654,AP654,AU654))))</f>
        <v xml:space="preserve"> </v>
      </c>
      <c r="BE654" s="120"/>
      <c r="BF654" s="120"/>
      <c r="BG654" s="120"/>
    </row>
    <row r="655" spans="1:59" s="3" customFormat="1" x14ac:dyDescent="0.3">
      <c r="A655" s="15" t="str">
        <f t="shared" si="130"/>
        <v/>
      </c>
      <c r="B655" s="25"/>
      <c r="C655" s="26"/>
      <c r="D655" s="279"/>
      <c r="E655" s="27"/>
      <c r="F655" s="28"/>
      <c r="G655" s="27"/>
      <c r="H655" s="28"/>
      <c r="I655" s="28"/>
      <c r="J655" s="255" t="str">
        <f>IF(H655="","",(_xlfn.XLOOKUP(H655,Cadastros!$D$6:$D$90,Cadastros!$E$6:$E$90))*(1-_xlfn.XLOOKUP(_xlfn.XLOOKUP($F655,Clientes!$B$4:$B$39,Clientes!$C$4:$C$39),Cadastros!$L$6:$L$12,Cadastros!$N$6:$N$12)))</f>
        <v/>
      </c>
      <c r="K655" s="168" t="str">
        <f t="shared" si="131"/>
        <v/>
      </c>
      <c r="L655" s="168" t="str">
        <f>IFERROR(K655/_xlfn.XLOOKUP(_xlfn.XLOOKUP($F655,Clientes!$B$4:$B$39,Clientes!$C$4:$C$39),Cadastros!$L$6:$L$12,Cadastros!$M$6:$M$12)," ")</f>
        <v xml:space="preserve"> </v>
      </c>
      <c r="M655" s="28"/>
      <c r="N655" s="28"/>
      <c r="O655" s="255" t="str">
        <f>IF(M655="","",(_xlfn.XLOOKUP(M655,Cadastros!$D$6:$D$90,Cadastros!$E$6:$E$90))*(1-_xlfn.XLOOKUP(_xlfn.XLOOKUP($F655,Clientes!$B$4:$B$39,Clientes!$C$4:$C$39),Cadastros!$L$6:$L$12,Cadastros!$N$6:$N$12)))</f>
        <v/>
      </c>
      <c r="P655" s="168" t="str">
        <f t="shared" si="132"/>
        <v/>
      </c>
      <c r="Q655" s="168" t="str">
        <f>IFERROR(P655/_xlfn.XLOOKUP(_xlfn.XLOOKUP($F655,Clientes!$B$4:$B$39,Clientes!$C$4:$C$39),Cadastros!$L$6:$L$12,Cadastros!$M$6:$M$12)," ")</f>
        <v xml:space="preserve"> </v>
      </c>
      <c r="R655" s="28"/>
      <c r="S655" s="28"/>
      <c r="T655" s="255" t="str">
        <f>IF(R655="","",(_xlfn.XLOOKUP(R655,Cadastros!$D$6:$D$90,Cadastros!$E$6:$E$90))*(1-_xlfn.XLOOKUP(_xlfn.XLOOKUP($F655,Clientes!$B$4:$B$39,Clientes!$C$4:$C$39),Cadastros!$L$6:$L$12,Cadastros!$N$6:$N$12)))</f>
        <v/>
      </c>
      <c r="U655" s="168" t="str">
        <f t="shared" si="133"/>
        <v/>
      </c>
      <c r="V655" s="168" t="str">
        <f>IFERROR(U655/_xlfn.XLOOKUP(_xlfn.XLOOKUP($F655,Clientes!$B$4:$B$39,Clientes!$C$4:$C$39),Cadastros!$L$6:$L$12,Cadastros!$M$6:$M$12)," ")</f>
        <v xml:space="preserve"> </v>
      </c>
      <c r="W655" s="28"/>
      <c r="X655" s="28"/>
      <c r="Y655" s="255" t="str">
        <f>IF(W655="","",(_xlfn.XLOOKUP(W655,Cadastros!$D$6:$D$90,Cadastros!$E$6:$E$90))*(1-_xlfn.XLOOKUP(_xlfn.XLOOKUP($F655,Clientes!$B$4:$B$39,Clientes!$C$4:$C$39),Cadastros!$L$6:$L$12,Cadastros!$N$6:$N$12)))</f>
        <v/>
      </c>
      <c r="Z655" s="168" t="str">
        <f t="shared" si="134"/>
        <v/>
      </c>
      <c r="AA655" s="168" t="str">
        <f>IFERROR(Z655/_xlfn.XLOOKUP(_xlfn.XLOOKUP($F655,Clientes!$B$4:$B$39,Clientes!$C$4:$C$39),Cadastros!$L$6:$L$12,Cadastros!$M$6:$M$12)," ")</f>
        <v xml:space="preserve"> </v>
      </c>
      <c r="AB655" s="28"/>
      <c r="AC655" s="28"/>
      <c r="AD655" s="20" t="str">
        <f>IF(AB655="","",IF($F655="Bernardino Furlan",_xlfn.XLOOKUP(AB655,Cadastros!$G$6:$G$90,Cadastros!$H$6:$H$90)*(1-0.18),IF($F655="Mauro José Salanti",_xlfn.XLOOKUP(AB655,Cadastros!$G$6:$G$90,Cadastros!$H$6:$H$90)*(1-0.18),_xlfn.XLOOKUP(AB655,Cadastros!$G$6:$G$90,Cadastros!$H$6:$H$90))))</f>
        <v/>
      </c>
      <c r="AE655" s="168" t="str">
        <f t="shared" si="135"/>
        <v/>
      </c>
      <c r="AF655" s="168" t="str">
        <f t="shared" si="136"/>
        <v/>
      </c>
      <c r="AG655" s="28"/>
      <c r="AH655" s="28"/>
      <c r="AI655" s="20" t="str">
        <f>IF(AG655="","",IF($F655="Bernardino Furlan",_xlfn.XLOOKUP(AG655,Cadastros!$G$6:$G$90,Cadastros!$H$6:$H$90)*(1-0.18),IF($F655="Mauro José Salanti",_xlfn.XLOOKUP(AG655,Cadastros!$G$6:$G$90,Cadastros!$H$6:$H$90)*(1-0.18),_xlfn.XLOOKUP(AG655,Cadastros!$G$6:$G$90,Cadastros!$H$6:$H$90))))</f>
        <v/>
      </c>
      <c r="AJ655" s="168" t="str">
        <f t="shared" si="137"/>
        <v/>
      </c>
      <c r="AK655" s="168" t="str">
        <f t="shared" si="138"/>
        <v/>
      </c>
      <c r="AL655" s="28"/>
      <c r="AM655" s="28"/>
      <c r="AN655" s="20" t="str">
        <f>IF(AL655="","",IF($F655="Bernardino Furlan",_xlfn.XLOOKUP(AL655,Cadastros!$G$6:$G$90,Cadastros!$H$6:$H$90)*(1-0.18),IF($F655="Mauro José Salanti",_xlfn.XLOOKUP(AL655,Cadastros!$G$6:$G$90,Cadastros!$H$6:$H$90)*(1-0.18),_xlfn.XLOOKUP(AL655,Cadastros!$G$6:$G$90,Cadastros!$H$6:$H$90))))</f>
        <v/>
      </c>
      <c r="AO655" s="168" t="str">
        <f t="shared" si="139"/>
        <v/>
      </c>
      <c r="AP655" s="168" t="str">
        <f t="shared" si="140"/>
        <v/>
      </c>
      <c r="AQ655" s="28"/>
      <c r="AR655" s="28"/>
      <c r="AS655" s="20" t="str">
        <f>IF(AQ655="","",IF($F655="Bernardino Furlan",_xlfn.XLOOKUP(AQ655,Cadastros!$G$6:$G$90,Cadastros!$H$6:$H$90)*(1-0.18),IF($F655="Mauro José Salanti",_xlfn.XLOOKUP(AQ655,Cadastros!$G$6:$G$90,Cadastros!$H$6:$H$90)*(1-0.18),_xlfn.XLOOKUP(AQ655,Cadastros!$G$6:$G$90,Cadastros!$H$6:$H$90))))</f>
        <v/>
      </c>
      <c r="AT655" s="168" t="str">
        <f t="shared" si="141"/>
        <v/>
      </c>
      <c r="AU655" s="168" t="str">
        <f t="shared" si="142"/>
        <v/>
      </c>
      <c r="AV655" s="227"/>
      <c r="AW655" s="30"/>
      <c r="AX655" s="267"/>
      <c r="AY655" s="267"/>
      <c r="AZ655" s="29"/>
      <c r="BA655" s="30"/>
      <c r="BB655" s="23" t="str" cm="1">
        <f t="array" ref="BB655">_xlfn.IFS(AW655="SIM",SUM(K655,P655,U655,Z655,AE655,AJ655,AO655,AT655,AX655,AY655),F655&lt;&gt;"",SUM(K655,P655,U655,Z655,AE655,AJ655,,AO655,AT655),F655="","")</f>
        <v/>
      </c>
      <c r="BC655" s="211" t="str" cm="1">
        <f t="array" ref="BC655">_xlfn.IFS(E655="","",G655&lt;=E655,BB655*(1-0.03),G655&lt;(E655+8),BB655,AZ655="Boleto",BB655*(1+0.001)^DATEDIF(E655,G655,"D"),AZ655="Cheque",BB655,AZ655="Dinheiro","Alterar forma pgto")</f>
        <v/>
      </c>
      <c r="BD655" s="276" t="str" cm="1">
        <f t="array" ref="BD655">IF(F655=0," ",IF(BC655&lt;BB655,(_xlfn.IFS(AW655="SIM",SUM(L655,Q655,V655,AA655,AF655,AK655,AP655,AU655)+AX655/_xlfn.XLOOKUP(_xlfn.XLOOKUP($F655,Clientes!$B$4:$B$39,Clientes!$C$4:$C$39),Cadastros!$L$6:$L$12,Cadastros!$M$6:$M$12)+IF($F655="Bernardino Furlan",AY655/2751.92,IF($F655="Mauro José Salanti",AY655/2751.92,AY655/3356)),F655&lt;&gt;0,SUM(L655,Q655,V655,AA655,AF655,AK655,AP655,AU655)))*(1-0.03),_xlfn.IFS(AW655="SIM",SUM(L655,Q655,V655,AA655,AF655,AK655,AP655,AU655)+AX655/_xlfn.XLOOKUP(_xlfn.XLOOKUP($F655,Clientes!$B$4:$B$39,Clientes!$C$4:$C$39),Cadastros!$L$6:$L$12,Cadastros!$M$6:$M$12)+IF($F655="Bernardino Furlan",AY655/2751.92,IF($F655="Mauro José Salanti",AY655/2751.92,AY655/3356)),F655&lt;&gt;0,SUM(L655,Q655,V655,AA655,AF655,AK655,AP655,AU655))))</f>
        <v xml:space="preserve"> </v>
      </c>
      <c r="BE655" s="120"/>
      <c r="BF655" s="120"/>
      <c r="BG655" s="120"/>
    </row>
    <row r="656" spans="1:59" s="3" customFormat="1" x14ac:dyDescent="0.3">
      <c r="A656" s="15" t="str">
        <f t="shared" si="130"/>
        <v/>
      </c>
      <c r="B656" s="25"/>
      <c r="C656" s="26"/>
      <c r="D656" s="279"/>
      <c r="E656" s="27"/>
      <c r="F656" s="28"/>
      <c r="G656" s="27"/>
      <c r="H656" s="28"/>
      <c r="I656" s="28"/>
      <c r="J656" s="255" t="str">
        <f>IF(H656="","",(_xlfn.XLOOKUP(H656,Cadastros!$D$6:$D$90,Cadastros!$E$6:$E$90))*(1-_xlfn.XLOOKUP(_xlfn.XLOOKUP($F656,Clientes!$B$4:$B$39,Clientes!$C$4:$C$39),Cadastros!$L$6:$L$12,Cadastros!$N$6:$N$12)))</f>
        <v/>
      </c>
      <c r="K656" s="168" t="str">
        <f t="shared" si="131"/>
        <v/>
      </c>
      <c r="L656" s="168" t="str">
        <f>IFERROR(K656/_xlfn.XLOOKUP(_xlfn.XLOOKUP($F656,Clientes!$B$4:$B$39,Clientes!$C$4:$C$39),Cadastros!$L$6:$L$12,Cadastros!$M$6:$M$12)," ")</f>
        <v xml:space="preserve"> </v>
      </c>
      <c r="M656" s="28"/>
      <c r="N656" s="28"/>
      <c r="O656" s="255" t="str">
        <f>IF(M656="","",(_xlfn.XLOOKUP(M656,Cadastros!$D$6:$D$90,Cadastros!$E$6:$E$90))*(1-_xlfn.XLOOKUP(_xlfn.XLOOKUP($F656,Clientes!$B$4:$B$39,Clientes!$C$4:$C$39),Cadastros!$L$6:$L$12,Cadastros!$N$6:$N$12)))</f>
        <v/>
      </c>
      <c r="P656" s="168" t="str">
        <f t="shared" si="132"/>
        <v/>
      </c>
      <c r="Q656" s="168" t="str">
        <f>IFERROR(P656/_xlfn.XLOOKUP(_xlfn.XLOOKUP($F656,Clientes!$B$4:$B$39,Clientes!$C$4:$C$39),Cadastros!$L$6:$L$12,Cadastros!$M$6:$M$12)," ")</f>
        <v xml:space="preserve"> </v>
      </c>
      <c r="R656" s="28"/>
      <c r="S656" s="28"/>
      <c r="T656" s="255" t="str">
        <f>IF(R656="","",(_xlfn.XLOOKUP(R656,Cadastros!$D$6:$D$90,Cadastros!$E$6:$E$90))*(1-_xlfn.XLOOKUP(_xlfn.XLOOKUP($F656,Clientes!$B$4:$B$39,Clientes!$C$4:$C$39),Cadastros!$L$6:$L$12,Cadastros!$N$6:$N$12)))</f>
        <v/>
      </c>
      <c r="U656" s="168" t="str">
        <f t="shared" si="133"/>
        <v/>
      </c>
      <c r="V656" s="168" t="str">
        <f>IFERROR(U656/_xlfn.XLOOKUP(_xlfn.XLOOKUP($F656,Clientes!$B$4:$B$39,Clientes!$C$4:$C$39),Cadastros!$L$6:$L$12,Cadastros!$M$6:$M$12)," ")</f>
        <v xml:space="preserve"> </v>
      </c>
      <c r="W656" s="28"/>
      <c r="X656" s="28"/>
      <c r="Y656" s="255" t="str">
        <f>IF(W656="","",(_xlfn.XLOOKUP(W656,Cadastros!$D$6:$D$90,Cadastros!$E$6:$E$90))*(1-_xlfn.XLOOKUP(_xlfn.XLOOKUP($F656,Clientes!$B$4:$B$39,Clientes!$C$4:$C$39),Cadastros!$L$6:$L$12,Cadastros!$N$6:$N$12)))</f>
        <v/>
      </c>
      <c r="Z656" s="168" t="str">
        <f t="shared" si="134"/>
        <v/>
      </c>
      <c r="AA656" s="168" t="str">
        <f>IFERROR(Z656/_xlfn.XLOOKUP(_xlfn.XLOOKUP($F656,Clientes!$B$4:$B$39,Clientes!$C$4:$C$39),Cadastros!$L$6:$L$12,Cadastros!$M$6:$M$12)," ")</f>
        <v xml:space="preserve"> </v>
      </c>
      <c r="AB656" s="28"/>
      <c r="AC656" s="28"/>
      <c r="AD656" s="20" t="str">
        <f>IF(AB656="","",IF($F656="Bernardino Furlan",_xlfn.XLOOKUP(AB656,Cadastros!$G$6:$G$90,Cadastros!$H$6:$H$90)*(1-0.18),IF($F656="Mauro José Salanti",_xlfn.XLOOKUP(AB656,Cadastros!$G$6:$G$90,Cadastros!$H$6:$H$90)*(1-0.18),_xlfn.XLOOKUP(AB656,Cadastros!$G$6:$G$90,Cadastros!$H$6:$H$90))))</f>
        <v/>
      </c>
      <c r="AE656" s="168" t="str">
        <f t="shared" si="135"/>
        <v/>
      </c>
      <c r="AF656" s="168" t="str">
        <f t="shared" si="136"/>
        <v/>
      </c>
      <c r="AG656" s="28"/>
      <c r="AH656" s="28"/>
      <c r="AI656" s="20" t="str">
        <f>IF(AG656="","",IF($F656="Bernardino Furlan",_xlfn.XLOOKUP(AG656,Cadastros!$G$6:$G$90,Cadastros!$H$6:$H$90)*(1-0.18),IF($F656="Mauro José Salanti",_xlfn.XLOOKUP(AG656,Cadastros!$G$6:$G$90,Cadastros!$H$6:$H$90)*(1-0.18),_xlfn.XLOOKUP(AG656,Cadastros!$G$6:$G$90,Cadastros!$H$6:$H$90))))</f>
        <v/>
      </c>
      <c r="AJ656" s="168" t="str">
        <f t="shared" si="137"/>
        <v/>
      </c>
      <c r="AK656" s="168" t="str">
        <f t="shared" si="138"/>
        <v/>
      </c>
      <c r="AL656" s="28"/>
      <c r="AM656" s="28"/>
      <c r="AN656" s="20" t="str">
        <f>IF(AL656="","",IF($F656="Bernardino Furlan",_xlfn.XLOOKUP(AL656,Cadastros!$G$6:$G$90,Cadastros!$H$6:$H$90)*(1-0.18),IF($F656="Mauro José Salanti",_xlfn.XLOOKUP(AL656,Cadastros!$G$6:$G$90,Cadastros!$H$6:$H$90)*(1-0.18),_xlfn.XLOOKUP(AL656,Cadastros!$G$6:$G$90,Cadastros!$H$6:$H$90))))</f>
        <v/>
      </c>
      <c r="AO656" s="168" t="str">
        <f t="shared" si="139"/>
        <v/>
      </c>
      <c r="AP656" s="168" t="str">
        <f t="shared" si="140"/>
        <v/>
      </c>
      <c r="AQ656" s="28"/>
      <c r="AR656" s="28"/>
      <c r="AS656" s="20" t="str">
        <f>IF(AQ656="","",IF($F656="Bernardino Furlan",_xlfn.XLOOKUP(AQ656,Cadastros!$G$6:$G$90,Cadastros!$H$6:$H$90)*(1-0.18),IF($F656="Mauro José Salanti",_xlfn.XLOOKUP(AQ656,Cadastros!$G$6:$G$90,Cadastros!$H$6:$H$90)*(1-0.18),_xlfn.XLOOKUP(AQ656,Cadastros!$G$6:$G$90,Cadastros!$H$6:$H$90))))</f>
        <v/>
      </c>
      <c r="AT656" s="168" t="str">
        <f t="shared" si="141"/>
        <v/>
      </c>
      <c r="AU656" s="168" t="str">
        <f t="shared" si="142"/>
        <v/>
      </c>
      <c r="AV656" s="227"/>
      <c r="AW656" s="30"/>
      <c r="AX656" s="267"/>
      <c r="AY656" s="267"/>
      <c r="AZ656" s="29"/>
      <c r="BA656" s="30"/>
      <c r="BB656" s="23" t="str" cm="1">
        <f t="array" ref="BB656">_xlfn.IFS(AW656="SIM",SUM(K656,P656,U656,Z656,AE656,AJ656,AO656,AT656,AX656,AY656),F656&lt;&gt;"",SUM(K656,P656,U656,Z656,AE656,AJ656,,AO656,AT656),F656="","")</f>
        <v/>
      </c>
      <c r="BC656" s="211" t="str" cm="1">
        <f t="array" ref="BC656">_xlfn.IFS(E656="","",G656&lt;=E656,BB656*(1-0.03),G656&lt;(E656+8),BB656,AZ656="Boleto",BB656*(1+0.001)^DATEDIF(E656,G656,"D"),AZ656="Cheque",BB656,AZ656="Dinheiro","Alterar forma pgto")</f>
        <v/>
      </c>
      <c r="BD656" s="276" t="str" cm="1">
        <f t="array" ref="BD656">IF(F656=0," ",IF(BC656&lt;BB656,(_xlfn.IFS(AW656="SIM",SUM(L656,Q656,V656,AA656,AF656,AK656,AP656,AU656)+AX656/_xlfn.XLOOKUP(_xlfn.XLOOKUP($F656,Clientes!$B$4:$B$39,Clientes!$C$4:$C$39),Cadastros!$L$6:$L$12,Cadastros!$M$6:$M$12)+IF($F656="Bernardino Furlan",AY656/2751.92,IF($F656="Mauro José Salanti",AY656/2751.92,AY656/3356)),F656&lt;&gt;0,SUM(L656,Q656,V656,AA656,AF656,AK656,AP656,AU656)))*(1-0.03),_xlfn.IFS(AW656="SIM",SUM(L656,Q656,V656,AA656,AF656,AK656,AP656,AU656)+AX656/_xlfn.XLOOKUP(_xlfn.XLOOKUP($F656,Clientes!$B$4:$B$39,Clientes!$C$4:$C$39),Cadastros!$L$6:$L$12,Cadastros!$M$6:$M$12)+IF($F656="Bernardino Furlan",AY656/2751.92,IF($F656="Mauro José Salanti",AY656/2751.92,AY656/3356)),F656&lt;&gt;0,SUM(L656,Q656,V656,AA656,AF656,AK656,AP656,AU656))))</f>
        <v xml:space="preserve"> </v>
      </c>
      <c r="BE656" s="120"/>
      <c r="BF656" s="120"/>
      <c r="BG656" s="120"/>
    </row>
    <row r="657" spans="1:59" s="3" customFormat="1" x14ac:dyDescent="0.3">
      <c r="A657" s="15" t="str">
        <f t="shared" si="130"/>
        <v/>
      </c>
      <c r="B657" s="25"/>
      <c r="C657" s="26"/>
      <c r="D657" s="279"/>
      <c r="E657" s="27"/>
      <c r="F657" s="28"/>
      <c r="G657" s="27"/>
      <c r="H657" s="28"/>
      <c r="I657" s="28"/>
      <c r="J657" s="255" t="str">
        <f>IF(H657="","",(_xlfn.XLOOKUP(H657,Cadastros!$D$6:$D$90,Cadastros!$E$6:$E$90))*(1-_xlfn.XLOOKUP(_xlfn.XLOOKUP($F657,Clientes!$B$4:$B$39,Clientes!$C$4:$C$39),Cadastros!$L$6:$L$12,Cadastros!$N$6:$N$12)))</f>
        <v/>
      </c>
      <c r="K657" s="168" t="str">
        <f t="shared" si="131"/>
        <v/>
      </c>
      <c r="L657" s="168" t="str">
        <f>IFERROR(K657/_xlfn.XLOOKUP(_xlfn.XLOOKUP($F657,Clientes!$B$4:$B$39,Clientes!$C$4:$C$39),Cadastros!$L$6:$L$12,Cadastros!$M$6:$M$12)," ")</f>
        <v xml:space="preserve"> </v>
      </c>
      <c r="M657" s="28"/>
      <c r="N657" s="28"/>
      <c r="O657" s="255" t="str">
        <f>IF(M657="","",(_xlfn.XLOOKUP(M657,Cadastros!$D$6:$D$90,Cadastros!$E$6:$E$90))*(1-_xlfn.XLOOKUP(_xlfn.XLOOKUP($F657,Clientes!$B$4:$B$39,Clientes!$C$4:$C$39),Cadastros!$L$6:$L$12,Cadastros!$N$6:$N$12)))</f>
        <v/>
      </c>
      <c r="P657" s="168" t="str">
        <f t="shared" si="132"/>
        <v/>
      </c>
      <c r="Q657" s="168" t="str">
        <f>IFERROR(P657/_xlfn.XLOOKUP(_xlfn.XLOOKUP($F657,Clientes!$B$4:$B$39,Clientes!$C$4:$C$39),Cadastros!$L$6:$L$12,Cadastros!$M$6:$M$12)," ")</f>
        <v xml:space="preserve"> </v>
      </c>
      <c r="R657" s="28"/>
      <c r="S657" s="28"/>
      <c r="T657" s="255" t="str">
        <f>IF(R657="","",(_xlfn.XLOOKUP(R657,Cadastros!$D$6:$D$90,Cadastros!$E$6:$E$90))*(1-_xlfn.XLOOKUP(_xlfn.XLOOKUP($F657,Clientes!$B$4:$B$39,Clientes!$C$4:$C$39),Cadastros!$L$6:$L$12,Cadastros!$N$6:$N$12)))</f>
        <v/>
      </c>
      <c r="U657" s="168" t="str">
        <f t="shared" si="133"/>
        <v/>
      </c>
      <c r="V657" s="168" t="str">
        <f>IFERROR(U657/_xlfn.XLOOKUP(_xlfn.XLOOKUP($F657,Clientes!$B$4:$B$39,Clientes!$C$4:$C$39),Cadastros!$L$6:$L$12,Cadastros!$M$6:$M$12)," ")</f>
        <v xml:space="preserve"> </v>
      </c>
      <c r="W657" s="28"/>
      <c r="X657" s="28"/>
      <c r="Y657" s="255" t="str">
        <f>IF(W657="","",(_xlfn.XLOOKUP(W657,Cadastros!$D$6:$D$90,Cadastros!$E$6:$E$90))*(1-_xlfn.XLOOKUP(_xlfn.XLOOKUP($F657,Clientes!$B$4:$B$39,Clientes!$C$4:$C$39),Cadastros!$L$6:$L$12,Cadastros!$N$6:$N$12)))</f>
        <v/>
      </c>
      <c r="Z657" s="168" t="str">
        <f t="shared" si="134"/>
        <v/>
      </c>
      <c r="AA657" s="168" t="str">
        <f>IFERROR(Z657/_xlfn.XLOOKUP(_xlfn.XLOOKUP($F657,Clientes!$B$4:$B$39,Clientes!$C$4:$C$39),Cadastros!$L$6:$L$12,Cadastros!$M$6:$M$12)," ")</f>
        <v xml:space="preserve"> </v>
      </c>
      <c r="AB657" s="28"/>
      <c r="AC657" s="28"/>
      <c r="AD657" s="20" t="str">
        <f>IF(AB657="","",IF($F657="Bernardino Furlan",_xlfn.XLOOKUP(AB657,Cadastros!$G$6:$G$90,Cadastros!$H$6:$H$90)*(1-0.18),IF($F657="Mauro José Salanti",_xlfn.XLOOKUP(AB657,Cadastros!$G$6:$G$90,Cadastros!$H$6:$H$90)*(1-0.18),_xlfn.XLOOKUP(AB657,Cadastros!$G$6:$G$90,Cadastros!$H$6:$H$90))))</f>
        <v/>
      </c>
      <c r="AE657" s="168" t="str">
        <f t="shared" si="135"/>
        <v/>
      </c>
      <c r="AF657" s="168" t="str">
        <f t="shared" si="136"/>
        <v/>
      </c>
      <c r="AG657" s="28"/>
      <c r="AH657" s="28"/>
      <c r="AI657" s="20" t="str">
        <f>IF(AG657="","",IF($F657="Bernardino Furlan",_xlfn.XLOOKUP(AG657,Cadastros!$G$6:$G$90,Cadastros!$H$6:$H$90)*(1-0.18),IF($F657="Mauro José Salanti",_xlfn.XLOOKUP(AG657,Cadastros!$G$6:$G$90,Cadastros!$H$6:$H$90)*(1-0.18),_xlfn.XLOOKUP(AG657,Cadastros!$G$6:$G$90,Cadastros!$H$6:$H$90))))</f>
        <v/>
      </c>
      <c r="AJ657" s="168" t="str">
        <f t="shared" si="137"/>
        <v/>
      </c>
      <c r="AK657" s="168" t="str">
        <f t="shared" si="138"/>
        <v/>
      </c>
      <c r="AL657" s="28"/>
      <c r="AM657" s="28"/>
      <c r="AN657" s="20" t="str">
        <f>IF(AL657="","",IF($F657="Bernardino Furlan",_xlfn.XLOOKUP(AL657,Cadastros!$G$6:$G$90,Cadastros!$H$6:$H$90)*(1-0.18),IF($F657="Mauro José Salanti",_xlfn.XLOOKUP(AL657,Cadastros!$G$6:$G$90,Cadastros!$H$6:$H$90)*(1-0.18),_xlfn.XLOOKUP(AL657,Cadastros!$G$6:$G$90,Cadastros!$H$6:$H$90))))</f>
        <v/>
      </c>
      <c r="AO657" s="168" t="str">
        <f t="shared" si="139"/>
        <v/>
      </c>
      <c r="AP657" s="168" t="str">
        <f t="shared" si="140"/>
        <v/>
      </c>
      <c r="AQ657" s="28"/>
      <c r="AR657" s="28"/>
      <c r="AS657" s="20" t="str">
        <f>IF(AQ657="","",IF($F657="Bernardino Furlan",_xlfn.XLOOKUP(AQ657,Cadastros!$G$6:$G$90,Cadastros!$H$6:$H$90)*(1-0.18),IF($F657="Mauro José Salanti",_xlfn.XLOOKUP(AQ657,Cadastros!$G$6:$G$90,Cadastros!$H$6:$H$90)*(1-0.18),_xlfn.XLOOKUP(AQ657,Cadastros!$G$6:$G$90,Cadastros!$H$6:$H$90))))</f>
        <v/>
      </c>
      <c r="AT657" s="168" t="str">
        <f t="shared" si="141"/>
        <v/>
      </c>
      <c r="AU657" s="168" t="str">
        <f t="shared" si="142"/>
        <v/>
      </c>
      <c r="AV657" s="227"/>
      <c r="AW657" s="30"/>
      <c r="AX657" s="267"/>
      <c r="AY657" s="267"/>
      <c r="AZ657" s="29"/>
      <c r="BA657" s="30"/>
      <c r="BB657" s="23" t="str" cm="1">
        <f t="array" ref="BB657">_xlfn.IFS(AW657="SIM",SUM(K657,P657,U657,Z657,AE657,AJ657,AO657,AT657,AX657,AY657),F657&lt;&gt;"",SUM(K657,P657,U657,Z657,AE657,AJ657,,AO657,AT657),F657="","")</f>
        <v/>
      </c>
      <c r="BC657" s="211" t="str" cm="1">
        <f t="array" ref="BC657">_xlfn.IFS(E657="","",G657&lt;=E657,BB657*(1-0.03),G657&lt;(E657+8),BB657,AZ657="Boleto",BB657*(1+0.001)^DATEDIF(E657,G657,"D"),AZ657="Cheque",BB657,AZ657="Dinheiro","Alterar forma pgto")</f>
        <v/>
      </c>
      <c r="BD657" s="276" t="str" cm="1">
        <f t="array" ref="BD657">IF(F657=0," ",IF(BC657&lt;BB657,(_xlfn.IFS(AW657="SIM",SUM(L657,Q657,V657,AA657,AF657,AK657,AP657,AU657)+AX657/_xlfn.XLOOKUP(_xlfn.XLOOKUP($F657,Clientes!$B$4:$B$39,Clientes!$C$4:$C$39),Cadastros!$L$6:$L$12,Cadastros!$M$6:$M$12)+IF($F657="Bernardino Furlan",AY657/2751.92,IF($F657="Mauro José Salanti",AY657/2751.92,AY657/3356)),F657&lt;&gt;0,SUM(L657,Q657,V657,AA657,AF657,AK657,AP657,AU657)))*(1-0.03),_xlfn.IFS(AW657="SIM",SUM(L657,Q657,V657,AA657,AF657,AK657,AP657,AU657)+AX657/_xlfn.XLOOKUP(_xlfn.XLOOKUP($F657,Clientes!$B$4:$B$39,Clientes!$C$4:$C$39),Cadastros!$L$6:$L$12,Cadastros!$M$6:$M$12)+IF($F657="Bernardino Furlan",AY657/2751.92,IF($F657="Mauro José Salanti",AY657/2751.92,AY657/3356)),F657&lt;&gt;0,SUM(L657,Q657,V657,AA657,AF657,AK657,AP657,AU657))))</f>
        <v xml:space="preserve"> </v>
      </c>
      <c r="BE657" s="120"/>
      <c r="BF657" s="120"/>
      <c r="BG657" s="120"/>
    </row>
    <row r="658" spans="1:59" s="3" customFormat="1" x14ac:dyDescent="0.3">
      <c r="A658" s="15" t="str">
        <f t="shared" si="130"/>
        <v/>
      </c>
      <c r="B658" s="25"/>
      <c r="C658" s="26"/>
      <c r="D658" s="279"/>
      <c r="E658" s="27"/>
      <c r="F658" s="28"/>
      <c r="G658" s="27"/>
      <c r="H658" s="28"/>
      <c r="I658" s="28"/>
      <c r="J658" s="255" t="str">
        <f>IF(H658="","",(_xlfn.XLOOKUP(H658,Cadastros!$D$6:$D$90,Cadastros!$E$6:$E$90))*(1-_xlfn.XLOOKUP(_xlfn.XLOOKUP($F658,Clientes!$B$4:$B$39,Clientes!$C$4:$C$39),Cadastros!$L$6:$L$12,Cadastros!$N$6:$N$12)))</f>
        <v/>
      </c>
      <c r="K658" s="168" t="str">
        <f t="shared" si="131"/>
        <v/>
      </c>
      <c r="L658" s="168" t="str">
        <f>IFERROR(K658/_xlfn.XLOOKUP(_xlfn.XLOOKUP($F658,Clientes!$B$4:$B$39,Clientes!$C$4:$C$39),Cadastros!$L$6:$L$12,Cadastros!$M$6:$M$12)," ")</f>
        <v xml:space="preserve"> </v>
      </c>
      <c r="M658" s="28"/>
      <c r="N658" s="28"/>
      <c r="O658" s="255" t="str">
        <f>IF(M658="","",(_xlfn.XLOOKUP(M658,Cadastros!$D$6:$D$90,Cadastros!$E$6:$E$90))*(1-_xlfn.XLOOKUP(_xlfn.XLOOKUP($F658,Clientes!$B$4:$B$39,Clientes!$C$4:$C$39),Cadastros!$L$6:$L$12,Cadastros!$N$6:$N$12)))</f>
        <v/>
      </c>
      <c r="P658" s="168" t="str">
        <f t="shared" si="132"/>
        <v/>
      </c>
      <c r="Q658" s="168" t="str">
        <f>IFERROR(P658/_xlfn.XLOOKUP(_xlfn.XLOOKUP($F658,Clientes!$B$4:$B$39,Clientes!$C$4:$C$39),Cadastros!$L$6:$L$12,Cadastros!$M$6:$M$12)," ")</f>
        <v xml:space="preserve"> </v>
      </c>
      <c r="R658" s="28"/>
      <c r="S658" s="28"/>
      <c r="T658" s="255" t="str">
        <f>IF(R658="","",(_xlfn.XLOOKUP(R658,Cadastros!$D$6:$D$90,Cadastros!$E$6:$E$90))*(1-_xlfn.XLOOKUP(_xlfn.XLOOKUP($F658,Clientes!$B$4:$B$39,Clientes!$C$4:$C$39),Cadastros!$L$6:$L$12,Cadastros!$N$6:$N$12)))</f>
        <v/>
      </c>
      <c r="U658" s="168" t="str">
        <f t="shared" si="133"/>
        <v/>
      </c>
      <c r="V658" s="168" t="str">
        <f>IFERROR(U658/_xlfn.XLOOKUP(_xlfn.XLOOKUP($F658,Clientes!$B$4:$B$39,Clientes!$C$4:$C$39),Cadastros!$L$6:$L$12,Cadastros!$M$6:$M$12)," ")</f>
        <v xml:space="preserve"> </v>
      </c>
      <c r="W658" s="28"/>
      <c r="X658" s="28"/>
      <c r="Y658" s="255" t="str">
        <f>IF(W658="","",(_xlfn.XLOOKUP(W658,Cadastros!$D$6:$D$90,Cadastros!$E$6:$E$90))*(1-_xlfn.XLOOKUP(_xlfn.XLOOKUP($F658,Clientes!$B$4:$B$39,Clientes!$C$4:$C$39),Cadastros!$L$6:$L$12,Cadastros!$N$6:$N$12)))</f>
        <v/>
      </c>
      <c r="Z658" s="168" t="str">
        <f t="shared" si="134"/>
        <v/>
      </c>
      <c r="AA658" s="168" t="str">
        <f>IFERROR(Z658/_xlfn.XLOOKUP(_xlfn.XLOOKUP($F658,Clientes!$B$4:$B$39,Clientes!$C$4:$C$39),Cadastros!$L$6:$L$12,Cadastros!$M$6:$M$12)," ")</f>
        <v xml:space="preserve"> </v>
      </c>
      <c r="AB658" s="28"/>
      <c r="AC658" s="28"/>
      <c r="AD658" s="20" t="str">
        <f>IF(AB658="","",IF($F658="Bernardino Furlan",_xlfn.XLOOKUP(AB658,Cadastros!$G$6:$G$90,Cadastros!$H$6:$H$90)*(1-0.18),IF($F658="Mauro José Salanti",_xlfn.XLOOKUP(AB658,Cadastros!$G$6:$G$90,Cadastros!$H$6:$H$90)*(1-0.18),_xlfn.XLOOKUP(AB658,Cadastros!$G$6:$G$90,Cadastros!$H$6:$H$90))))</f>
        <v/>
      </c>
      <c r="AE658" s="168" t="str">
        <f t="shared" si="135"/>
        <v/>
      </c>
      <c r="AF658" s="168" t="str">
        <f t="shared" si="136"/>
        <v/>
      </c>
      <c r="AG658" s="28"/>
      <c r="AH658" s="28"/>
      <c r="AI658" s="20" t="str">
        <f>IF(AG658="","",IF($F658="Bernardino Furlan",_xlfn.XLOOKUP(AG658,Cadastros!$G$6:$G$90,Cadastros!$H$6:$H$90)*(1-0.18),IF($F658="Mauro José Salanti",_xlfn.XLOOKUP(AG658,Cadastros!$G$6:$G$90,Cadastros!$H$6:$H$90)*(1-0.18),_xlfn.XLOOKUP(AG658,Cadastros!$G$6:$G$90,Cadastros!$H$6:$H$90))))</f>
        <v/>
      </c>
      <c r="AJ658" s="168" t="str">
        <f t="shared" si="137"/>
        <v/>
      </c>
      <c r="AK658" s="168" t="str">
        <f t="shared" si="138"/>
        <v/>
      </c>
      <c r="AL658" s="28"/>
      <c r="AM658" s="28"/>
      <c r="AN658" s="20" t="str">
        <f>IF(AL658="","",IF($F658="Bernardino Furlan",_xlfn.XLOOKUP(AL658,Cadastros!$G$6:$G$90,Cadastros!$H$6:$H$90)*(1-0.18),IF($F658="Mauro José Salanti",_xlfn.XLOOKUP(AL658,Cadastros!$G$6:$G$90,Cadastros!$H$6:$H$90)*(1-0.18),_xlfn.XLOOKUP(AL658,Cadastros!$G$6:$G$90,Cadastros!$H$6:$H$90))))</f>
        <v/>
      </c>
      <c r="AO658" s="168" t="str">
        <f t="shared" si="139"/>
        <v/>
      </c>
      <c r="AP658" s="168" t="str">
        <f t="shared" si="140"/>
        <v/>
      </c>
      <c r="AQ658" s="28"/>
      <c r="AR658" s="28"/>
      <c r="AS658" s="20" t="str">
        <f>IF(AQ658="","",IF($F658="Bernardino Furlan",_xlfn.XLOOKUP(AQ658,Cadastros!$G$6:$G$90,Cadastros!$H$6:$H$90)*(1-0.18),IF($F658="Mauro José Salanti",_xlfn.XLOOKUP(AQ658,Cadastros!$G$6:$G$90,Cadastros!$H$6:$H$90)*(1-0.18),_xlfn.XLOOKUP(AQ658,Cadastros!$G$6:$G$90,Cadastros!$H$6:$H$90))))</f>
        <v/>
      </c>
      <c r="AT658" s="168" t="str">
        <f t="shared" si="141"/>
        <v/>
      </c>
      <c r="AU658" s="168" t="str">
        <f t="shared" si="142"/>
        <v/>
      </c>
      <c r="AV658" s="227"/>
      <c r="AW658" s="30"/>
      <c r="AX658" s="267"/>
      <c r="AY658" s="267"/>
      <c r="AZ658" s="29"/>
      <c r="BA658" s="30"/>
      <c r="BB658" s="23" t="str" cm="1">
        <f t="array" ref="BB658">_xlfn.IFS(AW658="SIM",SUM(K658,P658,U658,Z658,AE658,AJ658,AO658,AT658,AX658,AY658),F658&lt;&gt;"",SUM(K658,P658,U658,Z658,AE658,AJ658,,AO658,AT658),F658="","")</f>
        <v/>
      </c>
      <c r="BC658" s="211" t="str" cm="1">
        <f t="array" ref="BC658">_xlfn.IFS(E658="","",G658&lt;=E658,BB658*(1-0.03),G658&lt;(E658+8),BB658,AZ658="Boleto",BB658*(1+0.001)^DATEDIF(E658,G658,"D"),AZ658="Cheque",BB658,AZ658="Dinheiro","Alterar forma pgto")</f>
        <v/>
      </c>
      <c r="BD658" s="276" t="str" cm="1">
        <f t="array" ref="BD658">IF(F658=0," ",IF(BC658&lt;BB658,(_xlfn.IFS(AW658="SIM",SUM(L658,Q658,V658,AA658,AF658,AK658,AP658,AU658)+AX658/_xlfn.XLOOKUP(_xlfn.XLOOKUP($F658,Clientes!$B$4:$B$39,Clientes!$C$4:$C$39),Cadastros!$L$6:$L$12,Cadastros!$M$6:$M$12)+IF($F658="Bernardino Furlan",AY658/2751.92,IF($F658="Mauro José Salanti",AY658/2751.92,AY658/3356)),F658&lt;&gt;0,SUM(L658,Q658,V658,AA658,AF658,AK658,AP658,AU658)))*(1-0.03),_xlfn.IFS(AW658="SIM",SUM(L658,Q658,V658,AA658,AF658,AK658,AP658,AU658)+AX658/_xlfn.XLOOKUP(_xlfn.XLOOKUP($F658,Clientes!$B$4:$B$39,Clientes!$C$4:$C$39),Cadastros!$L$6:$L$12,Cadastros!$M$6:$M$12)+IF($F658="Bernardino Furlan",AY658/2751.92,IF($F658="Mauro José Salanti",AY658/2751.92,AY658/3356)),F658&lt;&gt;0,SUM(L658,Q658,V658,AA658,AF658,AK658,AP658,AU658))))</f>
        <v xml:space="preserve"> </v>
      </c>
      <c r="BE658" s="120"/>
      <c r="BF658" s="120"/>
      <c r="BG658" s="120"/>
    </row>
    <row r="659" spans="1:59" s="3" customFormat="1" x14ac:dyDescent="0.3">
      <c r="A659" s="15" t="str">
        <f t="shared" si="130"/>
        <v/>
      </c>
      <c r="B659" s="25"/>
      <c r="C659" s="26"/>
      <c r="D659" s="279"/>
      <c r="E659" s="27"/>
      <c r="F659" s="28"/>
      <c r="G659" s="27"/>
      <c r="H659" s="28"/>
      <c r="I659" s="28"/>
      <c r="J659" s="255" t="str">
        <f>IF(H659="","",(_xlfn.XLOOKUP(H659,Cadastros!$D$6:$D$90,Cadastros!$E$6:$E$90))*(1-_xlfn.XLOOKUP(_xlfn.XLOOKUP($F659,Clientes!$B$4:$B$39,Clientes!$C$4:$C$39),Cadastros!$L$6:$L$12,Cadastros!$N$6:$N$12)))</f>
        <v/>
      </c>
      <c r="K659" s="168" t="str">
        <f t="shared" si="131"/>
        <v/>
      </c>
      <c r="L659" s="168" t="str">
        <f>IFERROR(K659/_xlfn.XLOOKUP(_xlfn.XLOOKUP($F659,Clientes!$B$4:$B$39,Clientes!$C$4:$C$39),Cadastros!$L$6:$L$12,Cadastros!$M$6:$M$12)," ")</f>
        <v xml:space="preserve"> </v>
      </c>
      <c r="M659" s="28"/>
      <c r="N659" s="28"/>
      <c r="O659" s="255" t="str">
        <f>IF(M659="","",(_xlfn.XLOOKUP(M659,Cadastros!$D$6:$D$90,Cadastros!$E$6:$E$90))*(1-_xlfn.XLOOKUP(_xlfn.XLOOKUP($F659,Clientes!$B$4:$B$39,Clientes!$C$4:$C$39),Cadastros!$L$6:$L$12,Cadastros!$N$6:$N$12)))</f>
        <v/>
      </c>
      <c r="P659" s="168" t="str">
        <f t="shared" si="132"/>
        <v/>
      </c>
      <c r="Q659" s="168" t="str">
        <f>IFERROR(P659/_xlfn.XLOOKUP(_xlfn.XLOOKUP($F659,Clientes!$B$4:$B$39,Clientes!$C$4:$C$39),Cadastros!$L$6:$L$12,Cadastros!$M$6:$M$12)," ")</f>
        <v xml:space="preserve"> </v>
      </c>
      <c r="R659" s="28"/>
      <c r="S659" s="28"/>
      <c r="T659" s="255" t="str">
        <f>IF(R659="","",(_xlfn.XLOOKUP(R659,Cadastros!$D$6:$D$90,Cadastros!$E$6:$E$90))*(1-_xlfn.XLOOKUP(_xlfn.XLOOKUP($F659,Clientes!$B$4:$B$39,Clientes!$C$4:$C$39),Cadastros!$L$6:$L$12,Cadastros!$N$6:$N$12)))</f>
        <v/>
      </c>
      <c r="U659" s="168" t="str">
        <f t="shared" si="133"/>
        <v/>
      </c>
      <c r="V659" s="168" t="str">
        <f>IFERROR(U659/_xlfn.XLOOKUP(_xlfn.XLOOKUP($F659,Clientes!$B$4:$B$39,Clientes!$C$4:$C$39),Cadastros!$L$6:$L$12,Cadastros!$M$6:$M$12)," ")</f>
        <v xml:space="preserve"> </v>
      </c>
      <c r="W659" s="28"/>
      <c r="X659" s="28"/>
      <c r="Y659" s="255" t="str">
        <f>IF(W659="","",(_xlfn.XLOOKUP(W659,Cadastros!$D$6:$D$90,Cadastros!$E$6:$E$90))*(1-_xlfn.XLOOKUP(_xlfn.XLOOKUP($F659,Clientes!$B$4:$B$39,Clientes!$C$4:$C$39),Cadastros!$L$6:$L$12,Cadastros!$N$6:$N$12)))</f>
        <v/>
      </c>
      <c r="Z659" s="168" t="str">
        <f t="shared" si="134"/>
        <v/>
      </c>
      <c r="AA659" s="168" t="str">
        <f>IFERROR(Z659/_xlfn.XLOOKUP(_xlfn.XLOOKUP($F659,Clientes!$B$4:$B$39,Clientes!$C$4:$C$39),Cadastros!$L$6:$L$12,Cadastros!$M$6:$M$12)," ")</f>
        <v xml:space="preserve"> </v>
      </c>
      <c r="AB659" s="28"/>
      <c r="AC659" s="28"/>
      <c r="AD659" s="20" t="str">
        <f>IF(AB659="","",IF($F659="Bernardino Furlan",_xlfn.XLOOKUP(AB659,Cadastros!$G$6:$G$90,Cadastros!$H$6:$H$90)*(1-0.18),IF($F659="Mauro José Salanti",_xlfn.XLOOKUP(AB659,Cadastros!$G$6:$G$90,Cadastros!$H$6:$H$90)*(1-0.18),_xlfn.XLOOKUP(AB659,Cadastros!$G$6:$G$90,Cadastros!$H$6:$H$90))))</f>
        <v/>
      </c>
      <c r="AE659" s="168" t="str">
        <f t="shared" si="135"/>
        <v/>
      </c>
      <c r="AF659" s="168" t="str">
        <f t="shared" si="136"/>
        <v/>
      </c>
      <c r="AG659" s="28"/>
      <c r="AH659" s="28"/>
      <c r="AI659" s="20" t="str">
        <f>IF(AG659="","",IF($F659="Bernardino Furlan",_xlfn.XLOOKUP(AG659,Cadastros!$G$6:$G$90,Cadastros!$H$6:$H$90)*(1-0.18),IF($F659="Mauro José Salanti",_xlfn.XLOOKUP(AG659,Cadastros!$G$6:$G$90,Cadastros!$H$6:$H$90)*(1-0.18),_xlfn.XLOOKUP(AG659,Cadastros!$G$6:$G$90,Cadastros!$H$6:$H$90))))</f>
        <v/>
      </c>
      <c r="AJ659" s="168" t="str">
        <f t="shared" si="137"/>
        <v/>
      </c>
      <c r="AK659" s="168" t="str">
        <f t="shared" si="138"/>
        <v/>
      </c>
      <c r="AL659" s="28"/>
      <c r="AM659" s="28"/>
      <c r="AN659" s="20" t="str">
        <f>IF(AL659="","",IF($F659="Bernardino Furlan",_xlfn.XLOOKUP(AL659,Cadastros!$G$6:$G$90,Cadastros!$H$6:$H$90)*(1-0.18),IF($F659="Mauro José Salanti",_xlfn.XLOOKUP(AL659,Cadastros!$G$6:$G$90,Cadastros!$H$6:$H$90)*(1-0.18),_xlfn.XLOOKUP(AL659,Cadastros!$G$6:$G$90,Cadastros!$H$6:$H$90))))</f>
        <v/>
      </c>
      <c r="AO659" s="168" t="str">
        <f t="shared" si="139"/>
        <v/>
      </c>
      <c r="AP659" s="168" t="str">
        <f t="shared" si="140"/>
        <v/>
      </c>
      <c r="AQ659" s="28"/>
      <c r="AR659" s="28"/>
      <c r="AS659" s="20" t="str">
        <f>IF(AQ659="","",IF($F659="Bernardino Furlan",_xlfn.XLOOKUP(AQ659,Cadastros!$G$6:$G$90,Cadastros!$H$6:$H$90)*(1-0.18),IF($F659="Mauro José Salanti",_xlfn.XLOOKUP(AQ659,Cadastros!$G$6:$G$90,Cadastros!$H$6:$H$90)*(1-0.18),_xlfn.XLOOKUP(AQ659,Cadastros!$G$6:$G$90,Cadastros!$H$6:$H$90))))</f>
        <v/>
      </c>
      <c r="AT659" s="168" t="str">
        <f t="shared" si="141"/>
        <v/>
      </c>
      <c r="AU659" s="168" t="str">
        <f t="shared" si="142"/>
        <v/>
      </c>
      <c r="AV659" s="227"/>
      <c r="AW659" s="30"/>
      <c r="AX659" s="267"/>
      <c r="AY659" s="267"/>
      <c r="AZ659" s="29"/>
      <c r="BA659" s="30"/>
      <c r="BB659" s="23" t="str" cm="1">
        <f t="array" ref="BB659">_xlfn.IFS(AW659="SIM",SUM(K659,P659,U659,Z659,AE659,AJ659,AO659,AT659,AX659,AY659),F659&lt;&gt;"",SUM(K659,P659,U659,Z659,AE659,AJ659,,AO659,AT659),F659="","")</f>
        <v/>
      </c>
      <c r="BC659" s="211" t="str" cm="1">
        <f t="array" ref="BC659">_xlfn.IFS(E659="","",G659&lt;=E659,BB659*(1-0.03),G659&lt;(E659+8),BB659,AZ659="Boleto",BB659*(1+0.001)^DATEDIF(E659,G659,"D"),AZ659="Cheque",BB659,AZ659="Dinheiro","Alterar forma pgto")</f>
        <v/>
      </c>
      <c r="BD659" s="276" t="str" cm="1">
        <f t="array" ref="BD659">IF(F659=0," ",IF(BC659&lt;BB659,(_xlfn.IFS(AW659="SIM",SUM(L659,Q659,V659,AA659,AF659,AK659,AP659,AU659)+AX659/_xlfn.XLOOKUP(_xlfn.XLOOKUP($F659,Clientes!$B$4:$B$39,Clientes!$C$4:$C$39),Cadastros!$L$6:$L$12,Cadastros!$M$6:$M$12)+IF($F659="Bernardino Furlan",AY659/2751.92,IF($F659="Mauro José Salanti",AY659/2751.92,AY659/3356)),F659&lt;&gt;0,SUM(L659,Q659,V659,AA659,AF659,AK659,AP659,AU659)))*(1-0.03),_xlfn.IFS(AW659="SIM",SUM(L659,Q659,V659,AA659,AF659,AK659,AP659,AU659)+AX659/_xlfn.XLOOKUP(_xlfn.XLOOKUP($F659,Clientes!$B$4:$B$39,Clientes!$C$4:$C$39),Cadastros!$L$6:$L$12,Cadastros!$M$6:$M$12)+IF($F659="Bernardino Furlan",AY659/2751.92,IF($F659="Mauro José Salanti",AY659/2751.92,AY659/3356)),F659&lt;&gt;0,SUM(L659,Q659,V659,AA659,AF659,AK659,AP659,AU659))))</f>
        <v xml:space="preserve"> </v>
      </c>
      <c r="BE659" s="120"/>
      <c r="BF659" s="120"/>
      <c r="BG659" s="120"/>
    </row>
    <row r="660" spans="1:59" s="3" customFormat="1" x14ac:dyDescent="0.3">
      <c r="A660" s="15" t="str">
        <f t="shared" si="130"/>
        <v/>
      </c>
      <c r="B660" s="25"/>
      <c r="C660" s="26"/>
      <c r="D660" s="279"/>
      <c r="E660" s="27"/>
      <c r="F660" s="28"/>
      <c r="G660" s="27"/>
      <c r="H660" s="28"/>
      <c r="I660" s="28"/>
      <c r="J660" s="255" t="str">
        <f>IF(H660="","",(_xlfn.XLOOKUP(H660,Cadastros!$D$6:$D$90,Cadastros!$E$6:$E$90))*(1-_xlfn.XLOOKUP(_xlfn.XLOOKUP($F660,Clientes!$B$4:$B$39,Clientes!$C$4:$C$39),Cadastros!$L$6:$L$12,Cadastros!$N$6:$N$12)))</f>
        <v/>
      </c>
      <c r="K660" s="168" t="str">
        <f t="shared" si="131"/>
        <v/>
      </c>
      <c r="L660" s="168" t="str">
        <f>IFERROR(K660/_xlfn.XLOOKUP(_xlfn.XLOOKUP($F660,Clientes!$B$4:$B$39,Clientes!$C$4:$C$39),Cadastros!$L$6:$L$12,Cadastros!$M$6:$M$12)," ")</f>
        <v xml:space="preserve"> </v>
      </c>
      <c r="M660" s="28"/>
      <c r="N660" s="28"/>
      <c r="O660" s="255" t="str">
        <f>IF(M660="","",(_xlfn.XLOOKUP(M660,Cadastros!$D$6:$D$90,Cadastros!$E$6:$E$90))*(1-_xlfn.XLOOKUP(_xlfn.XLOOKUP($F660,Clientes!$B$4:$B$39,Clientes!$C$4:$C$39),Cadastros!$L$6:$L$12,Cadastros!$N$6:$N$12)))</f>
        <v/>
      </c>
      <c r="P660" s="168" t="str">
        <f t="shared" si="132"/>
        <v/>
      </c>
      <c r="Q660" s="168" t="str">
        <f>IFERROR(P660/_xlfn.XLOOKUP(_xlfn.XLOOKUP($F660,Clientes!$B$4:$B$39,Clientes!$C$4:$C$39),Cadastros!$L$6:$L$12,Cadastros!$M$6:$M$12)," ")</f>
        <v xml:space="preserve"> </v>
      </c>
      <c r="R660" s="28"/>
      <c r="S660" s="28"/>
      <c r="T660" s="255" t="str">
        <f>IF(R660="","",(_xlfn.XLOOKUP(R660,Cadastros!$D$6:$D$90,Cadastros!$E$6:$E$90))*(1-_xlfn.XLOOKUP(_xlfn.XLOOKUP($F660,Clientes!$B$4:$B$39,Clientes!$C$4:$C$39),Cadastros!$L$6:$L$12,Cadastros!$N$6:$N$12)))</f>
        <v/>
      </c>
      <c r="U660" s="168" t="str">
        <f t="shared" si="133"/>
        <v/>
      </c>
      <c r="V660" s="168" t="str">
        <f>IFERROR(U660/_xlfn.XLOOKUP(_xlfn.XLOOKUP($F660,Clientes!$B$4:$B$39,Clientes!$C$4:$C$39),Cadastros!$L$6:$L$12,Cadastros!$M$6:$M$12)," ")</f>
        <v xml:space="preserve"> </v>
      </c>
      <c r="W660" s="28"/>
      <c r="X660" s="28"/>
      <c r="Y660" s="255" t="str">
        <f>IF(W660="","",(_xlfn.XLOOKUP(W660,Cadastros!$D$6:$D$90,Cadastros!$E$6:$E$90))*(1-_xlfn.XLOOKUP(_xlfn.XLOOKUP($F660,Clientes!$B$4:$B$39,Clientes!$C$4:$C$39),Cadastros!$L$6:$L$12,Cadastros!$N$6:$N$12)))</f>
        <v/>
      </c>
      <c r="Z660" s="168" t="str">
        <f t="shared" si="134"/>
        <v/>
      </c>
      <c r="AA660" s="168" t="str">
        <f>IFERROR(Z660/_xlfn.XLOOKUP(_xlfn.XLOOKUP($F660,Clientes!$B$4:$B$39,Clientes!$C$4:$C$39),Cadastros!$L$6:$L$12,Cadastros!$M$6:$M$12)," ")</f>
        <v xml:space="preserve"> </v>
      </c>
      <c r="AB660" s="28"/>
      <c r="AC660" s="28"/>
      <c r="AD660" s="20" t="str">
        <f>IF(AB660="","",IF($F660="Bernardino Furlan",_xlfn.XLOOKUP(AB660,Cadastros!$G$6:$G$90,Cadastros!$H$6:$H$90)*(1-0.18),IF($F660="Mauro José Salanti",_xlfn.XLOOKUP(AB660,Cadastros!$G$6:$G$90,Cadastros!$H$6:$H$90)*(1-0.18),_xlfn.XLOOKUP(AB660,Cadastros!$G$6:$G$90,Cadastros!$H$6:$H$90))))</f>
        <v/>
      </c>
      <c r="AE660" s="168" t="str">
        <f t="shared" si="135"/>
        <v/>
      </c>
      <c r="AF660" s="168" t="str">
        <f t="shared" si="136"/>
        <v/>
      </c>
      <c r="AG660" s="28"/>
      <c r="AH660" s="28"/>
      <c r="AI660" s="20" t="str">
        <f>IF(AG660="","",IF($F660="Bernardino Furlan",_xlfn.XLOOKUP(AG660,Cadastros!$G$6:$G$90,Cadastros!$H$6:$H$90)*(1-0.18),IF($F660="Mauro José Salanti",_xlfn.XLOOKUP(AG660,Cadastros!$G$6:$G$90,Cadastros!$H$6:$H$90)*(1-0.18),_xlfn.XLOOKUP(AG660,Cadastros!$G$6:$G$90,Cadastros!$H$6:$H$90))))</f>
        <v/>
      </c>
      <c r="AJ660" s="168" t="str">
        <f t="shared" si="137"/>
        <v/>
      </c>
      <c r="AK660" s="168" t="str">
        <f t="shared" si="138"/>
        <v/>
      </c>
      <c r="AL660" s="28"/>
      <c r="AM660" s="28"/>
      <c r="AN660" s="20" t="str">
        <f>IF(AL660="","",IF($F660="Bernardino Furlan",_xlfn.XLOOKUP(AL660,Cadastros!$G$6:$G$90,Cadastros!$H$6:$H$90)*(1-0.18),IF($F660="Mauro José Salanti",_xlfn.XLOOKUP(AL660,Cadastros!$G$6:$G$90,Cadastros!$H$6:$H$90)*(1-0.18),_xlfn.XLOOKUP(AL660,Cadastros!$G$6:$G$90,Cadastros!$H$6:$H$90))))</f>
        <v/>
      </c>
      <c r="AO660" s="168" t="str">
        <f t="shared" si="139"/>
        <v/>
      </c>
      <c r="AP660" s="168" t="str">
        <f t="shared" si="140"/>
        <v/>
      </c>
      <c r="AQ660" s="28"/>
      <c r="AR660" s="28"/>
      <c r="AS660" s="20" t="str">
        <f>IF(AQ660="","",IF($F660="Bernardino Furlan",_xlfn.XLOOKUP(AQ660,Cadastros!$G$6:$G$90,Cadastros!$H$6:$H$90)*(1-0.18),IF($F660="Mauro José Salanti",_xlfn.XLOOKUP(AQ660,Cadastros!$G$6:$G$90,Cadastros!$H$6:$H$90)*(1-0.18),_xlfn.XLOOKUP(AQ660,Cadastros!$G$6:$G$90,Cadastros!$H$6:$H$90))))</f>
        <v/>
      </c>
      <c r="AT660" s="168" t="str">
        <f t="shared" si="141"/>
        <v/>
      </c>
      <c r="AU660" s="168" t="str">
        <f t="shared" si="142"/>
        <v/>
      </c>
      <c r="AV660" s="227"/>
      <c r="AW660" s="30"/>
      <c r="AX660" s="267"/>
      <c r="AY660" s="267"/>
      <c r="AZ660" s="29"/>
      <c r="BA660" s="30"/>
      <c r="BB660" s="23" t="str" cm="1">
        <f t="array" ref="BB660">_xlfn.IFS(AW660="SIM",SUM(K660,P660,U660,Z660,AE660,AJ660,AO660,AT660,AX660,AY660),F660&lt;&gt;"",SUM(K660,P660,U660,Z660,AE660,AJ660,,AO660,AT660),F660="","")</f>
        <v/>
      </c>
      <c r="BC660" s="211" t="str" cm="1">
        <f t="array" ref="BC660">_xlfn.IFS(E660="","",G660&lt;=E660,BB660*(1-0.03),G660&lt;(E660+8),BB660,AZ660="Boleto",BB660*(1+0.001)^DATEDIF(E660,G660,"D"),AZ660="Cheque",BB660,AZ660="Dinheiro","Alterar forma pgto")</f>
        <v/>
      </c>
      <c r="BD660" s="276" t="str" cm="1">
        <f t="array" ref="BD660">IF(F660=0," ",IF(BC660&lt;BB660,(_xlfn.IFS(AW660="SIM",SUM(L660,Q660,V660,AA660,AF660,AK660,AP660,AU660)+AX660/_xlfn.XLOOKUP(_xlfn.XLOOKUP($F660,Clientes!$B$4:$B$39,Clientes!$C$4:$C$39),Cadastros!$L$6:$L$12,Cadastros!$M$6:$M$12)+IF($F660="Bernardino Furlan",AY660/2751.92,IF($F660="Mauro José Salanti",AY660/2751.92,AY660/3356)),F660&lt;&gt;0,SUM(L660,Q660,V660,AA660,AF660,AK660,AP660,AU660)))*(1-0.03),_xlfn.IFS(AW660="SIM",SUM(L660,Q660,V660,AA660,AF660,AK660,AP660,AU660)+AX660/_xlfn.XLOOKUP(_xlfn.XLOOKUP($F660,Clientes!$B$4:$B$39,Clientes!$C$4:$C$39),Cadastros!$L$6:$L$12,Cadastros!$M$6:$M$12)+IF($F660="Bernardino Furlan",AY660/2751.92,IF($F660="Mauro José Salanti",AY660/2751.92,AY660/3356)),F660&lt;&gt;0,SUM(L660,Q660,V660,AA660,AF660,AK660,AP660,AU660))))</f>
        <v xml:space="preserve"> </v>
      </c>
      <c r="BE660" s="120"/>
      <c r="BF660" s="120"/>
      <c r="BG660" s="120"/>
    </row>
    <row r="661" spans="1:59" s="3" customFormat="1" x14ac:dyDescent="0.3">
      <c r="A661" s="15" t="str">
        <f t="shared" si="130"/>
        <v/>
      </c>
      <c r="B661" s="25"/>
      <c r="C661" s="26"/>
      <c r="D661" s="279"/>
      <c r="E661" s="27"/>
      <c r="F661" s="28"/>
      <c r="G661" s="27"/>
      <c r="H661" s="28"/>
      <c r="I661" s="28"/>
      <c r="J661" s="255" t="str">
        <f>IF(H661="","",(_xlfn.XLOOKUP(H661,Cadastros!$D$6:$D$90,Cadastros!$E$6:$E$90))*(1-_xlfn.XLOOKUP(_xlfn.XLOOKUP($F661,Clientes!$B$4:$B$39,Clientes!$C$4:$C$39),Cadastros!$L$6:$L$12,Cadastros!$N$6:$N$12)))</f>
        <v/>
      </c>
      <c r="K661" s="168" t="str">
        <f t="shared" si="131"/>
        <v/>
      </c>
      <c r="L661" s="168" t="str">
        <f>IFERROR(K661/_xlfn.XLOOKUP(_xlfn.XLOOKUP($F661,Clientes!$B$4:$B$39,Clientes!$C$4:$C$39),Cadastros!$L$6:$L$12,Cadastros!$M$6:$M$12)," ")</f>
        <v xml:space="preserve"> </v>
      </c>
      <c r="M661" s="28"/>
      <c r="N661" s="28"/>
      <c r="O661" s="255" t="str">
        <f>IF(M661="","",(_xlfn.XLOOKUP(M661,Cadastros!$D$6:$D$90,Cadastros!$E$6:$E$90))*(1-_xlfn.XLOOKUP(_xlfn.XLOOKUP($F661,Clientes!$B$4:$B$39,Clientes!$C$4:$C$39),Cadastros!$L$6:$L$12,Cadastros!$N$6:$N$12)))</f>
        <v/>
      </c>
      <c r="P661" s="168" t="str">
        <f t="shared" si="132"/>
        <v/>
      </c>
      <c r="Q661" s="168" t="str">
        <f>IFERROR(P661/_xlfn.XLOOKUP(_xlfn.XLOOKUP($F661,Clientes!$B$4:$B$39,Clientes!$C$4:$C$39),Cadastros!$L$6:$L$12,Cadastros!$M$6:$M$12)," ")</f>
        <v xml:space="preserve"> </v>
      </c>
      <c r="R661" s="28"/>
      <c r="S661" s="28"/>
      <c r="T661" s="255" t="str">
        <f>IF(R661="","",(_xlfn.XLOOKUP(R661,Cadastros!$D$6:$D$90,Cadastros!$E$6:$E$90))*(1-_xlfn.XLOOKUP(_xlfn.XLOOKUP($F661,Clientes!$B$4:$B$39,Clientes!$C$4:$C$39),Cadastros!$L$6:$L$12,Cadastros!$N$6:$N$12)))</f>
        <v/>
      </c>
      <c r="U661" s="168" t="str">
        <f t="shared" si="133"/>
        <v/>
      </c>
      <c r="V661" s="168" t="str">
        <f>IFERROR(U661/_xlfn.XLOOKUP(_xlfn.XLOOKUP($F661,Clientes!$B$4:$B$39,Clientes!$C$4:$C$39),Cadastros!$L$6:$L$12,Cadastros!$M$6:$M$12)," ")</f>
        <v xml:space="preserve"> </v>
      </c>
      <c r="W661" s="28"/>
      <c r="X661" s="28"/>
      <c r="Y661" s="255" t="str">
        <f>IF(W661="","",(_xlfn.XLOOKUP(W661,Cadastros!$D$6:$D$90,Cadastros!$E$6:$E$90))*(1-_xlfn.XLOOKUP(_xlfn.XLOOKUP($F661,Clientes!$B$4:$B$39,Clientes!$C$4:$C$39),Cadastros!$L$6:$L$12,Cadastros!$N$6:$N$12)))</f>
        <v/>
      </c>
      <c r="Z661" s="168" t="str">
        <f t="shared" si="134"/>
        <v/>
      </c>
      <c r="AA661" s="168" t="str">
        <f>IFERROR(Z661/_xlfn.XLOOKUP(_xlfn.XLOOKUP($F661,Clientes!$B$4:$B$39,Clientes!$C$4:$C$39),Cadastros!$L$6:$L$12,Cadastros!$M$6:$M$12)," ")</f>
        <v xml:space="preserve"> </v>
      </c>
      <c r="AB661" s="28"/>
      <c r="AC661" s="28"/>
      <c r="AD661" s="20" t="str">
        <f>IF(AB661="","",IF($F661="Bernardino Furlan",_xlfn.XLOOKUP(AB661,Cadastros!$G$6:$G$90,Cadastros!$H$6:$H$90)*(1-0.18),IF($F661="Mauro José Salanti",_xlfn.XLOOKUP(AB661,Cadastros!$G$6:$G$90,Cadastros!$H$6:$H$90)*(1-0.18),_xlfn.XLOOKUP(AB661,Cadastros!$G$6:$G$90,Cadastros!$H$6:$H$90))))</f>
        <v/>
      </c>
      <c r="AE661" s="168" t="str">
        <f t="shared" si="135"/>
        <v/>
      </c>
      <c r="AF661" s="168" t="str">
        <f t="shared" si="136"/>
        <v/>
      </c>
      <c r="AG661" s="28"/>
      <c r="AH661" s="28"/>
      <c r="AI661" s="20" t="str">
        <f>IF(AG661="","",IF($F661="Bernardino Furlan",_xlfn.XLOOKUP(AG661,Cadastros!$G$6:$G$90,Cadastros!$H$6:$H$90)*(1-0.18),IF($F661="Mauro José Salanti",_xlfn.XLOOKUP(AG661,Cadastros!$G$6:$G$90,Cadastros!$H$6:$H$90)*(1-0.18),_xlfn.XLOOKUP(AG661,Cadastros!$G$6:$G$90,Cadastros!$H$6:$H$90))))</f>
        <v/>
      </c>
      <c r="AJ661" s="168" t="str">
        <f t="shared" si="137"/>
        <v/>
      </c>
      <c r="AK661" s="168" t="str">
        <f t="shared" si="138"/>
        <v/>
      </c>
      <c r="AL661" s="28"/>
      <c r="AM661" s="28"/>
      <c r="AN661" s="20" t="str">
        <f>IF(AL661="","",IF($F661="Bernardino Furlan",_xlfn.XLOOKUP(AL661,Cadastros!$G$6:$G$90,Cadastros!$H$6:$H$90)*(1-0.18),IF($F661="Mauro José Salanti",_xlfn.XLOOKUP(AL661,Cadastros!$G$6:$G$90,Cadastros!$H$6:$H$90)*(1-0.18),_xlfn.XLOOKUP(AL661,Cadastros!$G$6:$G$90,Cadastros!$H$6:$H$90))))</f>
        <v/>
      </c>
      <c r="AO661" s="168" t="str">
        <f t="shared" si="139"/>
        <v/>
      </c>
      <c r="AP661" s="168" t="str">
        <f t="shared" si="140"/>
        <v/>
      </c>
      <c r="AQ661" s="28"/>
      <c r="AR661" s="28"/>
      <c r="AS661" s="20" t="str">
        <f>IF(AQ661="","",IF($F661="Bernardino Furlan",_xlfn.XLOOKUP(AQ661,Cadastros!$G$6:$G$90,Cadastros!$H$6:$H$90)*(1-0.18),IF($F661="Mauro José Salanti",_xlfn.XLOOKUP(AQ661,Cadastros!$G$6:$G$90,Cadastros!$H$6:$H$90)*(1-0.18),_xlfn.XLOOKUP(AQ661,Cadastros!$G$6:$G$90,Cadastros!$H$6:$H$90))))</f>
        <v/>
      </c>
      <c r="AT661" s="168" t="str">
        <f t="shared" si="141"/>
        <v/>
      </c>
      <c r="AU661" s="168" t="str">
        <f t="shared" si="142"/>
        <v/>
      </c>
      <c r="AV661" s="227"/>
      <c r="AW661" s="30"/>
      <c r="AX661" s="267"/>
      <c r="AY661" s="267"/>
      <c r="AZ661" s="29"/>
      <c r="BA661" s="30"/>
      <c r="BB661" s="23" t="str" cm="1">
        <f t="array" ref="BB661">_xlfn.IFS(AW661="SIM",SUM(K661,P661,U661,Z661,AE661,AJ661,AO661,AT661,AX661,AY661),F661&lt;&gt;"",SUM(K661,P661,U661,Z661,AE661,AJ661,,AO661,AT661),F661="","")</f>
        <v/>
      </c>
      <c r="BC661" s="211" t="str" cm="1">
        <f t="array" ref="BC661">_xlfn.IFS(E661="","",G661&lt;=E661,BB661*(1-0.03),G661&lt;(E661+8),BB661,AZ661="Boleto",BB661*(1+0.001)^DATEDIF(E661,G661,"D"),AZ661="Cheque",BB661,AZ661="Dinheiro","Alterar forma pgto")</f>
        <v/>
      </c>
      <c r="BD661" s="276" t="str" cm="1">
        <f t="array" ref="BD661">IF(F661=0," ",IF(BC661&lt;BB661,(_xlfn.IFS(AW661="SIM",SUM(L661,Q661,V661,AA661,AF661,AK661,AP661,AU661)+AX661/_xlfn.XLOOKUP(_xlfn.XLOOKUP($F661,Clientes!$B$4:$B$39,Clientes!$C$4:$C$39),Cadastros!$L$6:$L$12,Cadastros!$M$6:$M$12)+IF($F661="Bernardino Furlan",AY661/2751.92,IF($F661="Mauro José Salanti",AY661/2751.92,AY661/3356)),F661&lt;&gt;0,SUM(L661,Q661,V661,AA661,AF661,AK661,AP661,AU661)))*(1-0.03),_xlfn.IFS(AW661="SIM",SUM(L661,Q661,V661,AA661,AF661,AK661,AP661,AU661)+AX661/_xlfn.XLOOKUP(_xlfn.XLOOKUP($F661,Clientes!$B$4:$B$39,Clientes!$C$4:$C$39),Cadastros!$L$6:$L$12,Cadastros!$M$6:$M$12)+IF($F661="Bernardino Furlan",AY661/2751.92,IF($F661="Mauro José Salanti",AY661/2751.92,AY661/3356)),F661&lt;&gt;0,SUM(L661,Q661,V661,AA661,AF661,AK661,AP661,AU661))))</f>
        <v xml:space="preserve"> </v>
      </c>
      <c r="BE661" s="120"/>
      <c r="BF661" s="120"/>
      <c r="BG661" s="120"/>
    </row>
    <row r="662" spans="1:59" s="3" customFormat="1" x14ac:dyDescent="0.3">
      <c r="A662" s="15" t="str">
        <f t="shared" si="130"/>
        <v/>
      </c>
      <c r="B662" s="25"/>
      <c r="C662" s="26"/>
      <c r="D662" s="279"/>
      <c r="E662" s="27"/>
      <c r="F662" s="28"/>
      <c r="G662" s="27"/>
      <c r="H662" s="28"/>
      <c r="I662" s="28"/>
      <c r="J662" s="255" t="str">
        <f>IF(H662="","",(_xlfn.XLOOKUP(H662,Cadastros!$D$6:$D$90,Cadastros!$E$6:$E$90))*(1-_xlfn.XLOOKUP(_xlfn.XLOOKUP($F662,Clientes!$B$4:$B$39,Clientes!$C$4:$C$39),Cadastros!$L$6:$L$12,Cadastros!$N$6:$N$12)))</f>
        <v/>
      </c>
      <c r="K662" s="168" t="str">
        <f t="shared" si="131"/>
        <v/>
      </c>
      <c r="L662" s="168" t="str">
        <f>IFERROR(K662/_xlfn.XLOOKUP(_xlfn.XLOOKUP($F662,Clientes!$B$4:$B$39,Clientes!$C$4:$C$39),Cadastros!$L$6:$L$12,Cadastros!$M$6:$M$12)," ")</f>
        <v xml:space="preserve"> </v>
      </c>
      <c r="M662" s="28"/>
      <c r="N662" s="28"/>
      <c r="O662" s="255" t="str">
        <f>IF(M662="","",(_xlfn.XLOOKUP(M662,Cadastros!$D$6:$D$90,Cadastros!$E$6:$E$90))*(1-_xlfn.XLOOKUP(_xlfn.XLOOKUP($F662,Clientes!$B$4:$B$39,Clientes!$C$4:$C$39),Cadastros!$L$6:$L$12,Cadastros!$N$6:$N$12)))</f>
        <v/>
      </c>
      <c r="P662" s="168" t="str">
        <f t="shared" si="132"/>
        <v/>
      </c>
      <c r="Q662" s="168" t="str">
        <f>IFERROR(P662/_xlfn.XLOOKUP(_xlfn.XLOOKUP($F662,Clientes!$B$4:$B$39,Clientes!$C$4:$C$39),Cadastros!$L$6:$L$12,Cadastros!$M$6:$M$12)," ")</f>
        <v xml:space="preserve"> </v>
      </c>
      <c r="R662" s="28"/>
      <c r="S662" s="28"/>
      <c r="T662" s="255" t="str">
        <f>IF(R662="","",(_xlfn.XLOOKUP(R662,Cadastros!$D$6:$D$90,Cadastros!$E$6:$E$90))*(1-_xlfn.XLOOKUP(_xlfn.XLOOKUP($F662,Clientes!$B$4:$B$39,Clientes!$C$4:$C$39),Cadastros!$L$6:$L$12,Cadastros!$N$6:$N$12)))</f>
        <v/>
      </c>
      <c r="U662" s="168" t="str">
        <f t="shared" si="133"/>
        <v/>
      </c>
      <c r="V662" s="168" t="str">
        <f>IFERROR(U662/_xlfn.XLOOKUP(_xlfn.XLOOKUP($F662,Clientes!$B$4:$B$39,Clientes!$C$4:$C$39),Cadastros!$L$6:$L$12,Cadastros!$M$6:$M$12)," ")</f>
        <v xml:space="preserve"> </v>
      </c>
      <c r="W662" s="28"/>
      <c r="X662" s="28"/>
      <c r="Y662" s="255" t="str">
        <f>IF(W662="","",(_xlfn.XLOOKUP(W662,Cadastros!$D$6:$D$90,Cadastros!$E$6:$E$90))*(1-_xlfn.XLOOKUP(_xlfn.XLOOKUP($F662,Clientes!$B$4:$B$39,Clientes!$C$4:$C$39),Cadastros!$L$6:$L$12,Cadastros!$N$6:$N$12)))</f>
        <v/>
      </c>
      <c r="Z662" s="168" t="str">
        <f t="shared" si="134"/>
        <v/>
      </c>
      <c r="AA662" s="168" t="str">
        <f>IFERROR(Z662/_xlfn.XLOOKUP(_xlfn.XLOOKUP($F662,Clientes!$B$4:$B$39,Clientes!$C$4:$C$39),Cadastros!$L$6:$L$12,Cadastros!$M$6:$M$12)," ")</f>
        <v xml:space="preserve"> </v>
      </c>
      <c r="AB662" s="28"/>
      <c r="AC662" s="28"/>
      <c r="AD662" s="20" t="str">
        <f>IF(AB662="","",IF($F662="Bernardino Furlan",_xlfn.XLOOKUP(AB662,Cadastros!$G$6:$G$90,Cadastros!$H$6:$H$90)*(1-0.18),IF($F662="Mauro José Salanti",_xlfn.XLOOKUP(AB662,Cadastros!$G$6:$G$90,Cadastros!$H$6:$H$90)*(1-0.18),_xlfn.XLOOKUP(AB662,Cadastros!$G$6:$G$90,Cadastros!$H$6:$H$90))))</f>
        <v/>
      </c>
      <c r="AE662" s="168" t="str">
        <f t="shared" si="135"/>
        <v/>
      </c>
      <c r="AF662" s="168" t="str">
        <f t="shared" si="136"/>
        <v/>
      </c>
      <c r="AG662" s="28"/>
      <c r="AH662" s="28"/>
      <c r="AI662" s="20" t="str">
        <f>IF(AG662="","",IF($F662="Bernardino Furlan",_xlfn.XLOOKUP(AG662,Cadastros!$G$6:$G$90,Cadastros!$H$6:$H$90)*(1-0.18),IF($F662="Mauro José Salanti",_xlfn.XLOOKUP(AG662,Cadastros!$G$6:$G$90,Cadastros!$H$6:$H$90)*(1-0.18),_xlfn.XLOOKUP(AG662,Cadastros!$G$6:$G$90,Cadastros!$H$6:$H$90))))</f>
        <v/>
      </c>
      <c r="AJ662" s="168" t="str">
        <f t="shared" si="137"/>
        <v/>
      </c>
      <c r="AK662" s="168" t="str">
        <f t="shared" si="138"/>
        <v/>
      </c>
      <c r="AL662" s="28"/>
      <c r="AM662" s="28"/>
      <c r="AN662" s="20" t="str">
        <f>IF(AL662="","",IF($F662="Bernardino Furlan",_xlfn.XLOOKUP(AL662,Cadastros!$G$6:$G$90,Cadastros!$H$6:$H$90)*(1-0.18),IF($F662="Mauro José Salanti",_xlfn.XLOOKUP(AL662,Cadastros!$G$6:$G$90,Cadastros!$H$6:$H$90)*(1-0.18),_xlfn.XLOOKUP(AL662,Cadastros!$G$6:$G$90,Cadastros!$H$6:$H$90))))</f>
        <v/>
      </c>
      <c r="AO662" s="168" t="str">
        <f t="shared" si="139"/>
        <v/>
      </c>
      <c r="AP662" s="168" t="str">
        <f t="shared" si="140"/>
        <v/>
      </c>
      <c r="AQ662" s="28"/>
      <c r="AR662" s="28"/>
      <c r="AS662" s="20" t="str">
        <f>IF(AQ662="","",IF($F662="Bernardino Furlan",_xlfn.XLOOKUP(AQ662,Cadastros!$G$6:$G$90,Cadastros!$H$6:$H$90)*(1-0.18),IF($F662="Mauro José Salanti",_xlfn.XLOOKUP(AQ662,Cadastros!$G$6:$G$90,Cadastros!$H$6:$H$90)*(1-0.18),_xlfn.XLOOKUP(AQ662,Cadastros!$G$6:$G$90,Cadastros!$H$6:$H$90))))</f>
        <v/>
      </c>
      <c r="AT662" s="168" t="str">
        <f t="shared" si="141"/>
        <v/>
      </c>
      <c r="AU662" s="168" t="str">
        <f t="shared" si="142"/>
        <v/>
      </c>
      <c r="AV662" s="227"/>
      <c r="AW662" s="30"/>
      <c r="AX662" s="267"/>
      <c r="AY662" s="267"/>
      <c r="AZ662" s="29"/>
      <c r="BA662" s="30"/>
      <c r="BB662" s="23" t="str" cm="1">
        <f t="array" ref="BB662">_xlfn.IFS(AW662="SIM",SUM(K662,P662,U662,Z662,AE662,AJ662,AO662,AT662,AX662,AY662),F662&lt;&gt;"",SUM(K662,P662,U662,Z662,AE662,AJ662,,AO662,AT662),F662="","")</f>
        <v/>
      </c>
      <c r="BC662" s="211" t="str" cm="1">
        <f t="array" ref="BC662">_xlfn.IFS(E662="","",G662&lt;=E662,BB662*(1-0.03),G662&lt;(E662+8),BB662,AZ662="Boleto",BB662*(1+0.001)^DATEDIF(E662,G662,"D"),AZ662="Cheque",BB662,AZ662="Dinheiro","Alterar forma pgto")</f>
        <v/>
      </c>
      <c r="BD662" s="276" t="str" cm="1">
        <f t="array" ref="BD662">IF(F662=0," ",IF(BC662&lt;BB662,(_xlfn.IFS(AW662="SIM",SUM(L662,Q662,V662,AA662,AF662,AK662,AP662,AU662)+AX662/_xlfn.XLOOKUP(_xlfn.XLOOKUP($F662,Clientes!$B$4:$B$39,Clientes!$C$4:$C$39),Cadastros!$L$6:$L$12,Cadastros!$M$6:$M$12)+IF($F662="Bernardino Furlan",AY662/2751.92,IF($F662="Mauro José Salanti",AY662/2751.92,AY662/3356)),F662&lt;&gt;0,SUM(L662,Q662,V662,AA662,AF662,AK662,AP662,AU662)))*(1-0.03),_xlfn.IFS(AW662="SIM",SUM(L662,Q662,V662,AA662,AF662,AK662,AP662,AU662)+AX662/_xlfn.XLOOKUP(_xlfn.XLOOKUP($F662,Clientes!$B$4:$B$39,Clientes!$C$4:$C$39),Cadastros!$L$6:$L$12,Cadastros!$M$6:$M$12)+IF($F662="Bernardino Furlan",AY662/2751.92,IF($F662="Mauro José Salanti",AY662/2751.92,AY662/3356)),F662&lt;&gt;0,SUM(L662,Q662,V662,AA662,AF662,AK662,AP662,AU662))))</f>
        <v xml:space="preserve"> </v>
      </c>
      <c r="BE662" s="120"/>
      <c r="BF662" s="120"/>
      <c r="BG662" s="120"/>
    </row>
    <row r="663" spans="1:59" s="3" customFormat="1" x14ac:dyDescent="0.3">
      <c r="A663" s="15" t="str">
        <f t="shared" si="130"/>
        <v/>
      </c>
      <c r="B663" s="25"/>
      <c r="C663" s="26"/>
      <c r="D663" s="279"/>
      <c r="E663" s="27"/>
      <c r="F663" s="28"/>
      <c r="G663" s="27"/>
      <c r="H663" s="28"/>
      <c r="I663" s="28"/>
      <c r="J663" s="255" t="str">
        <f>IF(H663="","",(_xlfn.XLOOKUP(H663,Cadastros!$D$6:$D$90,Cadastros!$E$6:$E$90))*(1-_xlfn.XLOOKUP(_xlfn.XLOOKUP($F663,Clientes!$B$4:$B$39,Clientes!$C$4:$C$39),Cadastros!$L$6:$L$12,Cadastros!$N$6:$N$12)))</f>
        <v/>
      </c>
      <c r="K663" s="168" t="str">
        <f t="shared" si="131"/>
        <v/>
      </c>
      <c r="L663" s="168" t="str">
        <f>IFERROR(K663/_xlfn.XLOOKUP(_xlfn.XLOOKUP($F663,Clientes!$B$4:$B$39,Clientes!$C$4:$C$39),Cadastros!$L$6:$L$12,Cadastros!$M$6:$M$12)," ")</f>
        <v xml:space="preserve"> </v>
      </c>
      <c r="M663" s="28"/>
      <c r="N663" s="28"/>
      <c r="O663" s="255" t="str">
        <f>IF(M663="","",(_xlfn.XLOOKUP(M663,Cadastros!$D$6:$D$90,Cadastros!$E$6:$E$90))*(1-_xlfn.XLOOKUP(_xlfn.XLOOKUP($F663,Clientes!$B$4:$B$39,Clientes!$C$4:$C$39),Cadastros!$L$6:$L$12,Cadastros!$N$6:$N$12)))</f>
        <v/>
      </c>
      <c r="P663" s="168" t="str">
        <f t="shared" si="132"/>
        <v/>
      </c>
      <c r="Q663" s="168" t="str">
        <f>IFERROR(P663/_xlfn.XLOOKUP(_xlfn.XLOOKUP($F663,Clientes!$B$4:$B$39,Clientes!$C$4:$C$39),Cadastros!$L$6:$L$12,Cadastros!$M$6:$M$12)," ")</f>
        <v xml:space="preserve"> </v>
      </c>
      <c r="R663" s="28"/>
      <c r="S663" s="28"/>
      <c r="T663" s="255" t="str">
        <f>IF(R663="","",(_xlfn.XLOOKUP(R663,Cadastros!$D$6:$D$90,Cadastros!$E$6:$E$90))*(1-_xlfn.XLOOKUP(_xlfn.XLOOKUP($F663,Clientes!$B$4:$B$39,Clientes!$C$4:$C$39),Cadastros!$L$6:$L$12,Cadastros!$N$6:$N$12)))</f>
        <v/>
      </c>
      <c r="U663" s="168" t="str">
        <f t="shared" si="133"/>
        <v/>
      </c>
      <c r="V663" s="168" t="str">
        <f>IFERROR(U663/_xlfn.XLOOKUP(_xlfn.XLOOKUP($F663,Clientes!$B$4:$B$39,Clientes!$C$4:$C$39),Cadastros!$L$6:$L$12,Cadastros!$M$6:$M$12)," ")</f>
        <v xml:space="preserve"> </v>
      </c>
      <c r="W663" s="28"/>
      <c r="X663" s="28"/>
      <c r="Y663" s="255" t="str">
        <f>IF(W663="","",(_xlfn.XLOOKUP(W663,Cadastros!$D$6:$D$90,Cadastros!$E$6:$E$90))*(1-_xlfn.XLOOKUP(_xlfn.XLOOKUP($F663,Clientes!$B$4:$B$39,Clientes!$C$4:$C$39),Cadastros!$L$6:$L$12,Cadastros!$N$6:$N$12)))</f>
        <v/>
      </c>
      <c r="Z663" s="168" t="str">
        <f t="shared" si="134"/>
        <v/>
      </c>
      <c r="AA663" s="168" t="str">
        <f>IFERROR(Z663/_xlfn.XLOOKUP(_xlfn.XLOOKUP($F663,Clientes!$B$4:$B$39,Clientes!$C$4:$C$39),Cadastros!$L$6:$L$12,Cadastros!$M$6:$M$12)," ")</f>
        <v xml:space="preserve"> </v>
      </c>
      <c r="AB663" s="28"/>
      <c r="AC663" s="28"/>
      <c r="AD663" s="20" t="str">
        <f>IF(AB663="","",IF($F663="Bernardino Furlan",_xlfn.XLOOKUP(AB663,Cadastros!$G$6:$G$90,Cadastros!$H$6:$H$90)*(1-0.18),IF($F663="Mauro José Salanti",_xlfn.XLOOKUP(AB663,Cadastros!$G$6:$G$90,Cadastros!$H$6:$H$90)*(1-0.18),_xlfn.XLOOKUP(AB663,Cadastros!$G$6:$G$90,Cadastros!$H$6:$H$90))))</f>
        <v/>
      </c>
      <c r="AE663" s="168" t="str">
        <f t="shared" si="135"/>
        <v/>
      </c>
      <c r="AF663" s="168" t="str">
        <f t="shared" si="136"/>
        <v/>
      </c>
      <c r="AG663" s="28"/>
      <c r="AH663" s="28"/>
      <c r="AI663" s="20" t="str">
        <f>IF(AG663="","",IF($F663="Bernardino Furlan",_xlfn.XLOOKUP(AG663,Cadastros!$G$6:$G$90,Cadastros!$H$6:$H$90)*(1-0.18),IF($F663="Mauro José Salanti",_xlfn.XLOOKUP(AG663,Cadastros!$G$6:$G$90,Cadastros!$H$6:$H$90)*(1-0.18),_xlfn.XLOOKUP(AG663,Cadastros!$G$6:$G$90,Cadastros!$H$6:$H$90))))</f>
        <v/>
      </c>
      <c r="AJ663" s="168" t="str">
        <f t="shared" si="137"/>
        <v/>
      </c>
      <c r="AK663" s="168" t="str">
        <f t="shared" si="138"/>
        <v/>
      </c>
      <c r="AL663" s="28"/>
      <c r="AM663" s="28"/>
      <c r="AN663" s="20" t="str">
        <f>IF(AL663="","",IF($F663="Bernardino Furlan",_xlfn.XLOOKUP(AL663,Cadastros!$G$6:$G$90,Cadastros!$H$6:$H$90)*(1-0.18),IF($F663="Mauro José Salanti",_xlfn.XLOOKUP(AL663,Cadastros!$G$6:$G$90,Cadastros!$H$6:$H$90)*(1-0.18),_xlfn.XLOOKUP(AL663,Cadastros!$G$6:$G$90,Cadastros!$H$6:$H$90))))</f>
        <v/>
      </c>
      <c r="AO663" s="168" t="str">
        <f t="shared" si="139"/>
        <v/>
      </c>
      <c r="AP663" s="168" t="str">
        <f t="shared" si="140"/>
        <v/>
      </c>
      <c r="AQ663" s="28"/>
      <c r="AR663" s="28"/>
      <c r="AS663" s="20" t="str">
        <f>IF(AQ663="","",IF($F663="Bernardino Furlan",_xlfn.XLOOKUP(AQ663,Cadastros!$G$6:$G$90,Cadastros!$H$6:$H$90)*(1-0.18),IF($F663="Mauro José Salanti",_xlfn.XLOOKUP(AQ663,Cadastros!$G$6:$G$90,Cadastros!$H$6:$H$90)*(1-0.18),_xlfn.XLOOKUP(AQ663,Cadastros!$G$6:$G$90,Cadastros!$H$6:$H$90))))</f>
        <v/>
      </c>
      <c r="AT663" s="168" t="str">
        <f t="shared" si="141"/>
        <v/>
      </c>
      <c r="AU663" s="168" t="str">
        <f t="shared" si="142"/>
        <v/>
      </c>
      <c r="AV663" s="227"/>
      <c r="AW663" s="30"/>
      <c r="AX663" s="267"/>
      <c r="AY663" s="267"/>
      <c r="AZ663" s="29"/>
      <c r="BA663" s="30"/>
      <c r="BB663" s="23" t="str" cm="1">
        <f t="array" ref="BB663">_xlfn.IFS(AW663="SIM",SUM(K663,P663,U663,Z663,AE663,AJ663,AO663,AT663,AX663,AY663),F663&lt;&gt;"",SUM(K663,P663,U663,Z663,AE663,AJ663,,AO663,AT663),F663="","")</f>
        <v/>
      </c>
      <c r="BC663" s="211" t="str" cm="1">
        <f t="array" ref="BC663">_xlfn.IFS(E663="","",G663&lt;=E663,BB663*(1-0.03),G663&lt;(E663+8),BB663,AZ663="Boleto",BB663*(1+0.001)^DATEDIF(E663,G663,"D"),AZ663="Cheque",BB663,AZ663="Dinheiro","Alterar forma pgto")</f>
        <v/>
      </c>
      <c r="BD663" s="276" t="str" cm="1">
        <f t="array" ref="BD663">IF(F663=0," ",IF(BC663&lt;BB663,(_xlfn.IFS(AW663="SIM",SUM(L663,Q663,V663,AA663,AF663,AK663,AP663,AU663)+AX663/_xlfn.XLOOKUP(_xlfn.XLOOKUP($F663,Clientes!$B$4:$B$39,Clientes!$C$4:$C$39),Cadastros!$L$6:$L$12,Cadastros!$M$6:$M$12)+IF($F663="Bernardino Furlan",AY663/2751.92,IF($F663="Mauro José Salanti",AY663/2751.92,AY663/3356)),F663&lt;&gt;0,SUM(L663,Q663,V663,AA663,AF663,AK663,AP663,AU663)))*(1-0.03),_xlfn.IFS(AW663="SIM",SUM(L663,Q663,V663,AA663,AF663,AK663,AP663,AU663)+AX663/_xlfn.XLOOKUP(_xlfn.XLOOKUP($F663,Clientes!$B$4:$B$39,Clientes!$C$4:$C$39),Cadastros!$L$6:$L$12,Cadastros!$M$6:$M$12)+IF($F663="Bernardino Furlan",AY663/2751.92,IF($F663="Mauro José Salanti",AY663/2751.92,AY663/3356)),F663&lt;&gt;0,SUM(L663,Q663,V663,AA663,AF663,AK663,AP663,AU663))))</f>
        <v xml:space="preserve"> </v>
      </c>
      <c r="BE663" s="120"/>
      <c r="BF663" s="120"/>
      <c r="BG663" s="120"/>
    </row>
    <row r="664" spans="1:59" s="3" customFormat="1" x14ac:dyDescent="0.3">
      <c r="A664" s="15" t="str">
        <f t="shared" si="130"/>
        <v/>
      </c>
      <c r="B664" s="25"/>
      <c r="C664" s="26"/>
      <c r="D664" s="279"/>
      <c r="E664" s="27"/>
      <c r="F664" s="28"/>
      <c r="G664" s="27"/>
      <c r="H664" s="28"/>
      <c r="I664" s="28"/>
      <c r="J664" s="255" t="str">
        <f>IF(H664="","",(_xlfn.XLOOKUP(H664,Cadastros!$D$6:$D$90,Cadastros!$E$6:$E$90))*(1-_xlfn.XLOOKUP(_xlfn.XLOOKUP($F664,Clientes!$B$4:$B$39,Clientes!$C$4:$C$39),Cadastros!$L$6:$L$12,Cadastros!$N$6:$N$12)))</f>
        <v/>
      </c>
      <c r="K664" s="168" t="str">
        <f t="shared" si="131"/>
        <v/>
      </c>
      <c r="L664" s="168" t="str">
        <f>IFERROR(K664/_xlfn.XLOOKUP(_xlfn.XLOOKUP($F664,Clientes!$B$4:$B$39,Clientes!$C$4:$C$39),Cadastros!$L$6:$L$12,Cadastros!$M$6:$M$12)," ")</f>
        <v xml:space="preserve"> </v>
      </c>
      <c r="M664" s="28"/>
      <c r="N664" s="28"/>
      <c r="O664" s="255" t="str">
        <f>IF(M664="","",(_xlfn.XLOOKUP(M664,Cadastros!$D$6:$D$90,Cadastros!$E$6:$E$90))*(1-_xlfn.XLOOKUP(_xlfn.XLOOKUP($F664,Clientes!$B$4:$B$39,Clientes!$C$4:$C$39),Cadastros!$L$6:$L$12,Cadastros!$N$6:$N$12)))</f>
        <v/>
      </c>
      <c r="P664" s="168" t="str">
        <f t="shared" si="132"/>
        <v/>
      </c>
      <c r="Q664" s="168" t="str">
        <f>IFERROR(P664/_xlfn.XLOOKUP(_xlfn.XLOOKUP($F664,Clientes!$B$4:$B$39,Clientes!$C$4:$C$39),Cadastros!$L$6:$L$12,Cadastros!$M$6:$M$12)," ")</f>
        <v xml:space="preserve"> </v>
      </c>
      <c r="R664" s="28"/>
      <c r="S664" s="28"/>
      <c r="T664" s="255" t="str">
        <f>IF(R664="","",(_xlfn.XLOOKUP(R664,Cadastros!$D$6:$D$90,Cadastros!$E$6:$E$90))*(1-_xlfn.XLOOKUP(_xlfn.XLOOKUP($F664,Clientes!$B$4:$B$39,Clientes!$C$4:$C$39),Cadastros!$L$6:$L$12,Cadastros!$N$6:$N$12)))</f>
        <v/>
      </c>
      <c r="U664" s="168" t="str">
        <f t="shared" si="133"/>
        <v/>
      </c>
      <c r="V664" s="168" t="str">
        <f>IFERROR(U664/_xlfn.XLOOKUP(_xlfn.XLOOKUP($F664,Clientes!$B$4:$B$39,Clientes!$C$4:$C$39),Cadastros!$L$6:$L$12,Cadastros!$M$6:$M$12)," ")</f>
        <v xml:space="preserve"> </v>
      </c>
      <c r="W664" s="28"/>
      <c r="X664" s="28"/>
      <c r="Y664" s="255" t="str">
        <f>IF(W664="","",(_xlfn.XLOOKUP(W664,Cadastros!$D$6:$D$90,Cadastros!$E$6:$E$90))*(1-_xlfn.XLOOKUP(_xlfn.XLOOKUP($F664,Clientes!$B$4:$B$39,Clientes!$C$4:$C$39),Cadastros!$L$6:$L$12,Cadastros!$N$6:$N$12)))</f>
        <v/>
      </c>
      <c r="Z664" s="168" t="str">
        <f t="shared" si="134"/>
        <v/>
      </c>
      <c r="AA664" s="168" t="str">
        <f>IFERROR(Z664/_xlfn.XLOOKUP(_xlfn.XLOOKUP($F664,Clientes!$B$4:$B$39,Clientes!$C$4:$C$39),Cadastros!$L$6:$L$12,Cadastros!$M$6:$M$12)," ")</f>
        <v xml:space="preserve"> </v>
      </c>
      <c r="AB664" s="28"/>
      <c r="AC664" s="28"/>
      <c r="AD664" s="20" t="str">
        <f>IF(AB664="","",IF($F664="Bernardino Furlan",_xlfn.XLOOKUP(AB664,Cadastros!$G$6:$G$90,Cadastros!$H$6:$H$90)*(1-0.18),IF($F664="Mauro José Salanti",_xlfn.XLOOKUP(AB664,Cadastros!$G$6:$G$90,Cadastros!$H$6:$H$90)*(1-0.18),_xlfn.XLOOKUP(AB664,Cadastros!$G$6:$G$90,Cadastros!$H$6:$H$90))))</f>
        <v/>
      </c>
      <c r="AE664" s="168" t="str">
        <f t="shared" si="135"/>
        <v/>
      </c>
      <c r="AF664" s="168" t="str">
        <f t="shared" si="136"/>
        <v/>
      </c>
      <c r="AG664" s="28"/>
      <c r="AH664" s="28"/>
      <c r="AI664" s="20" t="str">
        <f>IF(AG664="","",IF($F664="Bernardino Furlan",_xlfn.XLOOKUP(AG664,Cadastros!$G$6:$G$90,Cadastros!$H$6:$H$90)*(1-0.18),IF($F664="Mauro José Salanti",_xlfn.XLOOKUP(AG664,Cadastros!$G$6:$G$90,Cadastros!$H$6:$H$90)*(1-0.18),_xlfn.XLOOKUP(AG664,Cadastros!$G$6:$G$90,Cadastros!$H$6:$H$90))))</f>
        <v/>
      </c>
      <c r="AJ664" s="168" t="str">
        <f t="shared" si="137"/>
        <v/>
      </c>
      <c r="AK664" s="168" t="str">
        <f t="shared" si="138"/>
        <v/>
      </c>
      <c r="AL664" s="28"/>
      <c r="AM664" s="28"/>
      <c r="AN664" s="20" t="str">
        <f>IF(AL664="","",IF($F664="Bernardino Furlan",_xlfn.XLOOKUP(AL664,Cadastros!$G$6:$G$90,Cadastros!$H$6:$H$90)*(1-0.18),IF($F664="Mauro José Salanti",_xlfn.XLOOKUP(AL664,Cadastros!$G$6:$G$90,Cadastros!$H$6:$H$90)*(1-0.18),_xlfn.XLOOKUP(AL664,Cadastros!$G$6:$G$90,Cadastros!$H$6:$H$90))))</f>
        <v/>
      </c>
      <c r="AO664" s="168" t="str">
        <f t="shared" si="139"/>
        <v/>
      </c>
      <c r="AP664" s="168" t="str">
        <f t="shared" si="140"/>
        <v/>
      </c>
      <c r="AQ664" s="28"/>
      <c r="AR664" s="28"/>
      <c r="AS664" s="20" t="str">
        <f>IF(AQ664="","",IF($F664="Bernardino Furlan",_xlfn.XLOOKUP(AQ664,Cadastros!$G$6:$G$90,Cadastros!$H$6:$H$90)*(1-0.18),IF($F664="Mauro José Salanti",_xlfn.XLOOKUP(AQ664,Cadastros!$G$6:$G$90,Cadastros!$H$6:$H$90)*(1-0.18),_xlfn.XLOOKUP(AQ664,Cadastros!$G$6:$G$90,Cadastros!$H$6:$H$90))))</f>
        <v/>
      </c>
      <c r="AT664" s="168" t="str">
        <f t="shared" si="141"/>
        <v/>
      </c>
      <c r="AU664" s="168" t="str">
        <f t="shared" si="142"/>
        <v/>
      </c>
      <c r="AV664" s="227"/>
      <c r="AW664" s="30"/>
      <c r="AX664" s="267"/>
      <c r="AY664" s="267"/>
      <c r="AZ664" s="29"/>
      <c r="BA664" s="30"/>
      <c r="BB664" s="23" t="str" cm="1">
        <f t="array" ref="BB664">_xlfn.IFS(AW664="SIM",SUM(K664,P664,U664,Z664,AE664,AJ664,AO664,AT664,AX664,AY664),F664&lt;&gt;"",SUM(K664,P664,U664,Z664,AE664,AJ664,,AO664,AT664),F664="","")</f>
        <v/>
      </c>
      <c r="BC664" s="211" t="str" cm="1">
        <f t="array" ref="BC664">_xlfn.IFS(E664="","",G664&lt;=E664,BB664*(1-0.03),G664&lt;(E664+8),BB664,AZ664="Boleto",BB664*(1+0.001)^DATEDIF(E664,G664,"D"),AZ664="Cheque",BB664,AZ664="Dinheiro","Alterar forma pgto")</f>
        <v/>
      </c>
      <c r="BD664" s="276" t="str" cm="1">
        <f t="array" ref="BD664">IF(F664=0," ",IF(BC664&lt;BB664,(_xlfn.IFS(AW664="SIM",SUM(L664,Q664,V664,AA664,AF664,AK664,AP664,AU664)+AX664/_xlfn.XLOOKUP(_xlfn.XLOOKUP($F664,Clientes!$B$4:$B$39,Clientes!$C$4:$C$39),Cadastros!$L$6:$L$12,Cadastros!$M$6:$M$12)+IF($F664="Bernardino Furlan",AY664/2751.92,IF($F664="Mauro José Salanti",AY664/2751.92,AY664/3356)),F664&lt;&gt;0,SUM(L664,Q664,V664,AA664,AF664,AK664,AP664,AU664)))*(1-0.03),_xlfn.IFS(AW664="SIM",SUM(L664,Q664,V664,AA664,AF664,AK664,AP664,AU664)+AX664/_xlfn.XLOOKUP(_xlfn.XLOOKUP($F664,Clientes!$B$4:$B$39,Clientes!$C$4:$C$39),Cadastros!$L$6:$L$12,Cadastros!$M$6:$M$12)+IF($F664="Bernardino Furlan",AY664/2751.92,IF($F664="Mauro José Salanti",AY664/2751.92,AY664/3356)),F664&lt;&gt;0,SUM(L664,Q664,V664,AA664,AF664,AK664,AP664,AU664))))</f>
        <v xml:space="preserve"> </v>
      </c>
      <c r="BE664" s="120"/>
      <c r="BF664" s="120"/>
      <c r="BG664" s="120"/>
    </row>
    <row r="665" spans="1:59" s="3" customFormat="1" x14ac:dyDescent="0.3">
      <c r="A665" s="15" t="str">
        <f t="shared" si="130"/>
        <v/>
      </c>
      <c r="B665" s="25"/>
      <c r="C665" s="26"/>
      <c r="D665" s="279"/>
      <c r="E665" s="27"/>
      <c r="F665" s="28"/>
      <c r="G665" s="27"/>
      <c r="H665" s="28"/>
      <c r="I665" s="28"/>
      <c r="J665" s="255" t="str">
        <f>IF(H665="","",(_xlfn.XLOOKUP(H665,Cadastros!$D$6:$D$90,Cadastros!$E$6:$E$90))*(1-_xlfn.XLOOKUP(_xlfn.XLOOKUP($F665,Clientes!$B$4:$B$39,Clientes!$C$4:$C$39),Cadastros!$L$6:$L$12,Cadastros!$N$6:$N$12)))</f>
        <v/>
      </c>
      <c r="K665" s="168" t="str">
        <f t="shared" si="131"/>
        <v/>
      </c>
      <c r="L665" s="168" t="str">
        <f>IFERROR(K665/_xlfn.XLOOKUP(_xlfn.XLOOKUP($F665,Clientes!$B$4:$B$39,Clientes!$C$4:$C$39),Cadastros!$L$6:$L$12,Cadastros!$M$6:$M$12)," ")</f>
        <v xml:space="preserve"> </v>
      </c>
      <c r="M665" s="28"/>
      <c r="N665" s="28"/>
      <c r="O665" s="255" t="str">
        <f>IF(M665="","",(_xlfn.XLOOKUP(M665,Cadastros!$D$6:$D$90,Cadastros!$E$6:$E$90))*(1-_xlfn.XLOOKUP(_xlfn.XLOOKUP($F665,Clientes!$B$4:$B$39,Clientes!$C$4:$C$39),Cadastros!$L$6:$L$12,Cadastros!$N$6:$N$12)))</f>
        <v/>
      </c>
      <c r="P665" s="168" t="str">
        <f t="shared" si="132"/>
        <v/>
      </c>
      <c r="Q665" s="168" t="str">
        <f>IFERROR(P665/_xlfn.XLOOKUP(_xlfn.XLOOKUP($F665,Clientes!$B$4:$B$39,Clientes!$C$4:$C$39),Cadastros!$L$6:$L$12,Cadastros!$M$6:$M$12)," ")</f>
        <v xml:space="preserve"> </v>
      </c>
      <c r="R665" s="28"/>
      <c r="S665" s="28"/>
      <c r="T665" s="255" t="str">
        <f>IF(R665="","",(_xlfn.XLOOKUP(R665,Cadastros!$D$6:$D$90,Cadastros!$E$6:$E$90))*(1-_xlfn.XLOOKUP(_xlfn.XLOOKUP($F665,Clientes!$B$4:$B$39,Clientes!$C$4:$C$39),Cadastros!$L$6:$L$12,Cadastros!$N$6:$N$12)))</f>
        <v/>
      </c>
      <c r="U665" s="168" t="str">
        <f t="shared" si="133"/>
        <v/>
      </c>
      <c r="V665" s="168" t="str">
        <f>IFERROR(U665/_xlfn.XLOOKUP(_xlfn.XLOOKUP($F665,Clientes!$B$4:$B$39,Clientes!$C$4:$C$39),Cadastros!$L$6:$L$12,Cadastros!$M$6:$M$12)," ")</f>
        <v xml:space="preserve"> </v>
      </c>
      <c r="W665" s="28"/>
      <c r="X665" s="28"/>
      <c r="Y665" s="255" t="str">
        <f>IF(W665="","",(_xlfn.XLOOKUP(W665,Cadastros!$D$6:$D$90,Cadastros!$E$6:$E$90))*(1-_xlfn.XLOOKUP(_xlfn.XLOOKUP($F665,Clientes!$B$4:$B$39,Clientes!$C$4:$C$39),Cadastros!$L$6:$L$12,Cadastros!$N$6:$N$12)))</f>
        <v/>
      </c>
      <c r="Z665" s="168" t="str">
        <f t="shared" si="134"/>
        <v/>
      </c>
      <c r="AA665" s="168" t="str">
        <f>IFERROR(Z665/_xlfn.XLOOKUP(_xlfn.XLOOKUP($F665,Clientes!$B$4:$B$39,Clientes!$C$4:$C$39),Cadastros!$L$6:$L$12,Cadastros!$M$6:$M$12)," ")</f>
        <v xml:space="preserve"> </v>
      </c>
      <c r="AB665" s="28"/>
      <c r="AC665" s="28"/>
      <c r="AD665" s="20" t="str">
        <f>IF(AB665="","",IF($F665="Bernardino Furlan",_xlfn.XLOOKUP(AB665,Cadastros!$G$6:$G$90,Cadastros!$H$6:$H$90)*(1-0.18),IF($F665="Mauro José Salanti",_xlfn.XLOOKUP(AB665,Cadastros!$G$6:$G$90,Cadastros!$H$6:$H$90)*(1-0.18),_xlfn.XLOOKUP(AB665,Cadastros!$G$6:$G$90,Cadastros!$H$6:$H$90))))</f>
        <v/>
      </c>
      <c r="AE665" s="168" t="str">
        <f t="shared" si="135"/>
        <v/>
      </c>
      <c r="AF665" s="168" t="str">
        <f t="shared" si="136"/>
        <v/>
      </c>
      <c r="AG665" s="28"/>
      <c r="AH665" s="28"/>
      <c r="AI665" s="20" t="str">
        <f>IF(AG665="","",IF($F665="Bernardino Furlan",_xlfn.XLOOKUP(AG665,Cadastros!$G$6:$G$90,Cadastros!$H$6:$H$90)*(1-0.18),IF($F665="Mauro José Salanti",_xlfn.XLOOKUP(AG665,Cadastros!$G$6:$G$90,Cadastros!$H$6:$H$90)*(1-0.18),_xlfn.XLOOKUP(AG665,Cadastros!$G$6:$G$90,Cadastros!$H$6:$H$90))))</f>
        <v/>
      </c>
      <c r="AJ665" s="168" t="str">
        <f t="shared" si="137"/>
        <v/>
      </c>
      <c r="AK665" s="168" t="str">
        <f t="shared" si="138"/>
        <v/>
      </c>
      <c r="AL665" s="28"/>
      <c r="AM665" s="28"/>
      <c r="AN665" s="20" t="str">
        <f>IF(AL665="","",IF($F665="Bernardino Furlan",_xlfn.XLOOKUP(AL665,Cadastros!$G$6:$G$90,Cadastros!$H$6:$H$90)*(1-0.18),IF($F665="Mauro José Salanti",_xlfn.XLOOKUP(AL665,Cadastros!$G$6:$G$90,Cadastros!$H$6:$H$90)*(1-0.18),_xlfn.XLOOKUP(AL665,Cadastros!$G$6:$G$90,Cadastros!$H$6:$H$90))))</f>
        <v/>
      </c>
      <c r="AO665" s="168" t="str">
        <f t="shared" si="139"/>
        <v/>
      </c>
      <c r="AP665" s="168" t="str">
        <f t="shared" si="140"/>
        <v/>
      </c>
      <c r="AQ665" s="28"/>
      <c r="AR665" s="28"/>
      <c r="AS665" s="20" t="str">
        <f>IF(AQ665="","",IF($F665="Bernardino Furlan",_xlfn.XLOOKUP(AQ665,Cadastros!$G$6:$G$90,Cadastros!$H$6:$H$90)*(1-0.18),IF($F665="Mauro José Salanti",_xlfn.XLOOKUP(AQ665,Cadastros!$G$6:$G$90,Cadastros!$H$6:$H$90)*(1-0.18),_xlfn.XLOOKUP(AQ665,Cadastros!$G$6:$G$90,Cadastros!$H$6:$H$90))))</f>
        <v/>
      </c>
      <c r="AT665" s="168" t="str">
        <f t="shared" si="141"/>
        <v/>
      </c>
      <c r="AU665" s="168" t="str">
        <f t="shared" si="142"/>
        <v/>
      </c>
      <c r="AV665" s="227"/>
      <c r="AW665" s="30"/>
      <c r="AX665" s="267"/>
      <c r="AY665" s="267"/>
      <c r="AZ665" s="29"/>
      <c r="BA665" s="30"/>
      <c r="BB665" s="23" t="str" cm="1">
        <f t="array" ref="BB665">_xlfn.IFS(AW665="SIM",SUM(K665,P665,U665,Z665,AE665,AJ665,AO665,AT665,AX665,AY665),F665&lt;&gt;"",SUM(K665,P665,U665,Z665,AE665,AJ665,,AO665,AT665),F665="","")</f>
        <v/>
      </c>
      <c r="BC665" s="211" t="str" cm="1">
        <f t="array" ref="BC665">_xlfn.IFS(E665="","",G665&lt;=E665,BB665*(1-0.03),G665&lt;(E665+8),BB665,AZ665="Boleto",BB665*(1+0.001)^DATEDIF(E665,G665,"D"),AZ665="Cheque",BB665,AZ665="Dinheiro","Alterar forma pgto")</f>
        <v/>
      </c>
      <c r="BD665" s="276" t="str" cm="1">
        <f t="array" ref="BD665">IF(F665=0," ",IF(BC665&lt;BB665,(_xlfn.IFS(AW665="SIM",SUM(L665,Q665,V665,AA665,AF665,AK665,AP665,AU665)+AX665/_xlfn.XLOOKUP(_xlfn.XLOOKUP($F665,Clientes!$B$4:$B$39,Clientes!$C$4:$C$39),Cadastros!$L$6:$L$12,Cadastros!$M$6:$M$12)+IF($F665="Bernardino Furlan",AY665/2751.92,IF($F665="Mauro José Salanti",AY665/2751.92,AY665/3356)),F665&lt;&gt;0,SUM(L665,Q665,V665,AA665,AF665,AK665,AP665,AU665)))*(1-0.03),_xlfn.IFS(AW665="SIM",SUM(L665,Q665,V665,AA665,AF665,AK665,AP665,AU665)+AX665/_xlfn.XLOOKUP(_xlfn.XLOOKUP($F665,Clientes!$B$4:$B$39,Clientes!$C$4:$C$39),Cadastros!$L$6:$L$12,Cadastros!$M$6:$M$12)+IF($F665="Bernardino Furlan",AY665/2751.92,IF($F665="Mauro José Salanti",AY665/2751.92,AY665/3356)),F665&lt;&gt;0,SUM(L665,Q665,V665,AA665,AF665,AK665,AP665,AU665))))</f>
        <v xml:space="preserve"> </v>
      </c>
      <c r="BE665" s="120"/>
      <c r="BF665" s="120"/>
      <c r="BG665" s="120"/>
    </row>
    <row r="666" spans="1:59" s="3" customFormat="1" x14ac:dyDescent="0.3">
      <c r="A666" s="15" t="str">
        <f t="shared" si="130"/>
        <v/>
      </c>
      <c r="B666" s="25"/>
      <c r="C666" s="26"/>
      <c r="D666" s="279"/>
      <c r="E666" s="27"/>
      <c r="F666" s="28"/>
      <c r="G666" s="27"/>
      <c r="H666" s="28"/>
      <c r="I666" s="28"/>
      <c r="J666" s="255" t="str">
        <f>IF(H666="","",(_xlfn.XLOOKUP(H666,Cadastros!$D$6:$D$90,Cadastros!$E$6:$E$90))*(1-_xlfn.XLOOKUP(_xlfn.XLOOKUP($F666,Clientes!$B$4:$B$39,Clientes!$C$4:$C$39),Cadastros!$L$6:$L$12,Cadastros!$N$6:$N$12)))</f>
        <v/>
      </c>
      <c r="K666" s="168" t="str">
        <f t="shared" si="131"/>
        <v/>
      </c>
      <c r="L666" s="168" t="str">
        <f>IFERROR(K666/_xlfn.XLOOKUP(_xlfn.XLOOKUP($F666,Clientes!$B$4:$B$39,Clientes!$C$4:$C$39),Cadastros!$L$6:$L$12,Cadastros!$M$6:$M$12)," ")</f>
        <v xml:space="preserve"> </v>
      </c>
      <c r="M666" s="28"/>
      <c r="N666" s="28"/>
      <c r="O666" s="255" t="str">
        <f>IF(M666="","",(_xlfn.XLOOKUP(M666,Cadastros!$D$6:$D$90,Cadastros!$E$6:$E$90))*(1-_xlfn.XLOOKUP(_xlfn.XLOOKUP($F666,Clientes!$B$4:$B$39,Clientes!$C$4:$C$39),Cadastros!$L$6:$L$12,Cadastros!$N$6:$N$12)))</f>
        <v/>
      </c>
      <c r="P666" s="168" t="str">
        <f t="shared" si="132"/>
        <v/>
      </c>
      <c r="Q666" s="168" t="str">
        <f>IFERROR(P666/_xlfn.XLOOKUP(_xlfn.XLOOKUP($F666,Clientes!$B$4:$B$39,Clientes!$C$4:$C$39),Cadastros!$L$6:$L$12,Cadastros!$M$6:$M$12)," ")</f>
        <v xml:space="preserve"> </v>
      </c>
      <c r="R666" s="28"/>
      <c r="S666" s="28"/>
      <c r="T666" s="255" t="str">
        <f>IF(R666="","",(_xlfn.XLOOKUP(R666,Cadastros!$D$6:$D$90,Cadastros!$E$6:$E$90))*(1-_xlfn.XLOOKUP(_xlfn.XLOOKUP($F666,Clientes!$B$4:$B$39,Clientes!$C$4:$C$39),Cadastros!$L$6:$L$12,Cadastros!$N$6:$N$12)))</f>
        <v/>
      </c>
      <c r="U666" s="168" t="str">
        <f t="shared" si="133"/>
        <v/>
      </c>
      <c r="V666" s="168" t="str">
        <f>IFERROR(U666/_xlfn.XLOOKUP(_xlfn.XLOOKUP($F666,Clientes!$B$4:$B$39,Clientes!$C$4:$C$39),Cadastros!$L$6:$L$12,Cadastros!$M$6:$M$12)," ")</f>
        <v xml:space="preserve"> </v>
      </c>
      <c r="W666" s="28"/>
      <c r="X666" s="28"/>
      <c r="Y666" s="255" t="str">
        <f>IF(W666="","",(_xlfn.XLOOKUP(W666,Cadastros!$D$6:$D$90,Cadastros!$E$6:$E$90))*(1-_xlfn.XLOOKUP(_xlfn.XLOOKUP($F666,Clientes!$B$4:$B$39,Clientes!$C$4:$C$39),Cadastros!$L$6:$L$12,Cadastros!$N$6:$N$12)))</f>
        <v/>
      </c>
      <c r="Z666" s="168" t="str">
        <f t="shared" si="134"/>
        <v/>
      </c>
      <c r="AA666" s="168" t="str">
        <f>IFERROR(Z666/_xlfn.XLOOKUP(_xlfn.XLOOKUP($F666,Clientes!$B$4:$B$39,Clientes!$C$4:$C$39),Cadastros!$L$6:$L$12,Cadastros!$M$6:$M$12)," ")</f>
        <v xml:space="preserve"> </v>
      </c>
      <c r="AB666" s="28"/>
      <c r="AC666" s="28"/>
      <c r="AD666" s="20" t="str">
        <f>IF(AB666="","",IF($F666="Bernardino Furlan",_xlfn.XLOOKUP(AB666,Cadastros!$G$6:$G$90,Cadastros!$H$6:$H$90)*(1-0.18),IF($F666="Mauro José Salanti",_xlfn.XLOOKUP(AB666,Cadastros!$G$6:$G$90,Cadastros!$H$6:$H$90)*(1-0.18),_xlfn.XLOOKUP(AB666,Cadastros!$G$6:$G$90,Cadastros!$H$6:$H$90))))</f>
        <v/>
      </c>
      <c r="AE666" s="168" t="str">
        <f t="shared" si="135"/>
        <v/>
      </c>
      <c r="AF666" s="168" t="str">
        <f t="shared" si="136"/>
        <v/>
      </c>
      <c r="AG666" s="28"/>
      <c r="AH666" s="28"/>
      <c r="AI666" s="20" t="str">
        <f>IF(AG666="","",IF($F666="Bernardino Furlan",_xlfn.XLOOKUP(AG666,Cadastros!$G$6:$G$90,Cadastros!$H$6:$H$90)*(1-0.18),IF($F666="Mauro José Salanti",_xlfn.XLOOKUP(AG666,Cadastros!$G$6:$G$90,Cadastros!$H$6:$H$90)*(1-0.18),_xlfn.XLOOKUP(AG666,Cadastros!$G$6:$G$90,Cadastros!$H$6:$H$90))))</f>
        <v/>
      </c>
      <c r="AJ666" s="168" t="str">
        <f t="shared" si="137"/>
        <v/>
      </c>
      <c r="AK666" s="168" t="str">
        <f t="shared" si="138"/>
        <v/>
      </c>
      <c r="AL666" s="28"/>
      <c r="AM666" s="28"/>
      <c r="AN666" s="20" t="str">
        <f>IF(AL666="","",IF($F666="Bernardino Furlan",_xlfn.XLOOKUP(AL666,Cadastros!$G$6:$G$90,Cadastros!$H$6:$H$90)*(1-0.18),IF($F666="Mauro José Salanti",_xlfn.XLOOKUP(AL666,Cadastros!$G$6:$G$90,Cadastros!$H$6:$H$90)*(1-0.18),_xlfn.XLOOKUP(AL666,Cadastros!$G$6:$G$90,Cadastros!$H$6:$H$90))))</f>
        <v/>
      </c>
      <c r="AO666" s="168" t="str">
        <f t="shared" si="139"/>
        <v/>
      </c>
      <c r="AP666" s="168" t="str">
        <f t="shared" si="140"/>
        <v/>
      </c>
      <c r="AQ666" s="28"/>
      <c r="AR666" s="28"/>
      <c r="AS666" s="20" t="str">
        <f>IF(AQ666="","",IF($F666="Bernardino Furlan",_xlfn.XLOOKUP(AQ666,Cadastros!$G$6:$G$90,Cadastros!$H$6:$H$90)*(1-0.18),IF($F666="Mauro José Salanti",_xlfn.XLOOKUP(AQ666,Cadastros!$G$6:$G$90,Cadastros!$H$6:$H$90)*(1-0.18),_xlfn.XLOOKUP(AQ666,Cadastros!$G$6:$G$90,Cadastros!$H$6:$H$90))))</f>
        <v/>
      </c>
      <c r="AT666" s="168" t="str">
        <f t="shared" si="141"/>
        <v/>
      </c>
      <c r="AU666" s="168" t="str">
        <f t="shared" si="142"/>
        <v/>
      </c>
      <c r="AV666" s="227"/>
      <c r="AW666" s="30"/>
      <c r="AX666" s="267"/>
      <c r="AY666" s="267"/>
      <c r="AZ666" s="29"/>
      <c r="BA666" s="30"/>
      <c r="BB666" s="23" t="str" cm="1">
        <f t="array" ref="BB666">_xlfn.IFS(AW666="SIM",SUM(K666,P666,U666,Z666,AE666,AJ666,AO666,AT666,AX666,AY666),F666&lt;&gt;"",SUM(K666,P666,U666,Z666,AE666,AJ666,,AO666,AT666),F666="","")</f>
        <v/>
      </c>
      <c r="BC666" s="211" t="str" cm="1">
        <f t="array" ref="BC666">_xlfn.IFS(E666="","",G666&lt;=E666,BB666*(1-0.03),G666&lt;(E666+8),BB666,AZ666="Boleto",BB666*(1+0.001)^DATEDIF(E666,G666,"D"),AZ666="Cheque",BB666,AZ666="Dinheiro","Alterar forma pgto")</f>
        <v/>
      </c>
      <c r="BD666" s="276" t="str" cm="1">
        <f t="array" ref="BD666">IF(F666=0," ",IF(BC666&lt;BB666,(_xlfn.IFS(AW666="SIM",SUM(L666,Q666,V666,AA666,AF666,AK666,AP666,AU666)+AX666/_xlfn.XLOOKUP(_xlfn.XLOOKUP($F666,Clientes!$B$4:$B$39,Clientes!$C$4:$C$39),Cadastros!$L$6:$L$12,Cadastros!$M$6:$M$12)+IF($F666="Bernardino Furlan",AY666/2751.92,IF($F666="Mauro José Salanti",AY666/2751.92,AY666/3356)),F666&lt;&gt;0,SUM(L666,Q666,V666,AA666,AF666,AK666,AP666,AU666)))*(1-0.03),_xlfn.IFS(AW666="SIM",SUM(L666,Q666,V666,AA666,AF666,AK666,AP666,AU666)+AX666/_xlfn.XLOOKUP(_xlfn.XLOOKUP($F666,Clientes!$B$4:$B$39,Clientes!$C$4:$C$39),Cadastros!$L$6:$L$12,Cadastros!$M$6:$M$12)+IF($F666="Bernardino Furlan",AY666/2751.92,IF($F666="Mauro José Salanti",AY666/2751.92,AY666/3356)),F666&lt;&gt;0,SUM(L666,Q666,V666,AA666,AF666,AK666,AP666,AU666))))</f>
        <v xml:space="preserve"> </v>
      </c>
      <c r="BE666" s="120"/>
      <c r="BF666" s="120"/>
      <c r="BG666" s="120"/>
    </row>
    <row r="667" spans="1:59" s="3" customFormat="1" x14ac:dyDescent="0.3">
      <c r="A667" s="15" t="str">
        <f t="shared" si="130"/>
        <v/>
      </c>
      <c r="B667" s="25"/>
      <c r="C667" s="26"/>
      <c r="D667" s="279"/>
      <c r="E667" s="27"/>
      <c r="F667" s="28"/>
      <c r="G667" s="27"/>
      <c r="H667" s="28"/>
      <c r="I667" s="28"/>
      <c r="J667" s="255" t="str">
        <f>IF(H667="","",(_xlfn.XLOOKUP(H667,Cadastros!$D$6:$D$90,Cadastros!$E$6:$E$90))*(1-_xlfn.XLOOKUP(_xlfn.XLOOKUP($F667,Clientes!$B$4:$B$39,Clientes!$C$4:$C$39),Cadastros!$L$6:$L$12,Cadastros!$N$6:$N$12)))</f>
        <v/>
      </c>
      <c r="K667" s="168" t="str">
        <f t="shared" si="131"/>
        <v/>
      </c>
      <c r="L667" s="168" t="str">
        <f>IFERROR(K667/_xlfn.XLOOKUP(_xlfn.XLOOKUP($F667,Clientes!$B$4:$B$39,Clientes!$C$4:$C$39),Cadastros!$L$6:$L$12,Cadastros!$M$6:$M$12)," ")</f>
        <v xml:space="preserve"> </v>
      </c>
      <c r="M667" s="28"/>
      <c r="N667" s="28"/>
      <c r="O667" s="255" t="str">
        <f>IF(M667="","",(_xlfn.XLOOKUP(M667,Cadastros!$D$6:$D$90,Cadastros!$E$6:$E$90))*(1-_xlfn.XLOOKUP(_xlfn.XLOOKUP($F667,Clientes!$B$4:$B$39,Clientes!$C$4:$C$39),Cadastros!$L$6:$L$12,Cadastros!$N$6:$N$12)))</f>
        <v/>
      </c>
      <c r="P667" s="168" t="str">
        <f t="shared" si="132"/>
        <v/>
      </c>
      <c r="Q667" s="168" t="str">
        <f>IFERROR(P667/_xlfn.XLOOKUP(_xlfn.XLOOKUP($F667,Clientes!$B$4:$B$39,Clientes!$C$4:$C$39),Cadastros!$L$6:$L$12,Cadastros!$M$6:$M$12)," ")</f>
        <v xml:space="preserve"> </v>
      </c>
      <c r="R667" s="28"/>
      <c r="S667" s="28"/>
      <c r="T667" s="255" t="str">
        <f>IF(R667="","",(_xlfn.XLOOKUP(R667,Cadastros!$D$6:$D$90,Cadastros!$E$6:$E$90))*(1-_xlfn.XLOOKUP(_xlfn.XLOOKUP($F667,Clientes!$B$4:$B$39,Clientes!$C$4:$C$39),Cadastros!$L$6:$L$12,Cadastros!$N$6:$N$12)))</f>
        <v/>
      </c>
      <c r="U667" s="168" t="str">
        <f t="shared" si="133"/>
        <v/>
      </c>
      <c r="V667" s="168" t="str">
        <f>IFERROR(U667/_xlfn.XLOOKUP(_xlfn.XLOOKUP($F667,Clientes!$B$4:$B$39,Clientes!$C$4:$C$39),Cadastros!$L$6:$L$12,Cadastros!$M$6:$M$12)," ")</f>
        <v xml:space="preserve"> </v>
      </c>
      <c r="W667" s="28"/>
      <c r="X667" s="28"/>
      <c r="Y667" s="255" t="str">
        <f>IF(W667="","",(_xlfn.XLOOKUP(W667,Cadastros!$D$6:$D$90,Cadastros!$E$6:$E$90))*(1-_xlfn.XLOOKUP(_xlfn.XLOOKUP($F667,Clientes!$B$4:$B$39,Clientes!$C$4:$C$39),Cadastros!$L$6:$L$12,Cadastros!$N$6:$N$12)))</f>
        <v/>
      </c>
      <c r="Z667" s="168" t="str">
        <f t="shared" si="134"/>
        <v/>
      </c>
      <c r="AA667" s="168" t="str">
        <f>IFERROR(Z667/_xlfn.XLOOKUP(_xlfn.XLOOKUP($F667,Clientes!$B$4:$B$39,Clientes!$C$4:$C$39),Cadastros!$L$6:$L$12,Cadastros!$M$6:$M$12)," ")</f>
        <v xml:space="preserve"> </v>
      </c>
      <c r="AB667" s="28"/>
      <c r="AC667" s="28"/>
      <c r="AD667" s="20" t="str">
        <f>IF(AB667="","",IF($F667="Bernardino Furlan",_xlfn.XLOOKUP(AB667,Cadastros!$G$6:$G$90,Cadastros!$H$6:$H$90)*(1-0.18),IF($F667="Mauro José Salanti",_xlfn.XLOOKUP(AB667,Cadastros!$G$6:$G$90,Cadastros!$H$6:$H$90)*(1-0.18),_xlfn.XLOOKUP(AB667,Cadastros!$G$6:$G$90,Cadastros!$H$6:$H$90))))</f>
        <v/>
      </c>
      <c r="AE667" s="168" t="str">
        <f t="shared" si="135"/>
        <v/>
      </c>
      <c r="AF667" s="168" t="str">
        <f t="shared" si="136"/>
        <v/>
      </c>
      <c r="AG667" s="28"/>
      <c r="AH667" s="28"/>
      <c r="AI667" s="20" t="str">
        <f>IF(AG667="","",IF($F667="Bernardino Furlan",_xlfn.XLOOKUP(AG667,Cadastros!$G$6:$G$90,Cadastros!$H$6:$H$90)*(1-0.18),IF($F667="Mauro José Salanti",_xlfn.XLOOKUP(AG667,Cadastros!$G$6:$G$90,Cadastros!$H$6:$H$90)*(1-0.18),_xlfn.XLOOKUP(AG667,Cadastros!$G$6:$G$90,Cadastros!$H$6:$H$90))))</f>
        <v/>
      </c>
      <c r="AJ667" s="168" t="str">
        <f t="shared" si="137"/>
        <v/>
      </c>
      <c r="AK667" s="168" t="str">
        <f t="shared" si="138"/>
        <v/>
      </c>
      <c r="AL667" s="28"/>
      <c r="AM667" s="28"/>
      <c r="AN667" s="20" t="str">
        <f>IF(AL667="","",IF($F667="Bernardino Furlan",_xlfn.XLOOKUP(AL667,Cadastros!$G$6:$G$90,Cadastros!$H$6:$H$90)*(1-0.18),IF($F667="Mauro José Salanti",_xlfn.XLOOKUP(AL667,Cadastros!$G$6:$G$90,Cadastros!$H$6:$H$90)*(1-0.18),_xlfn.XLOOKUP(AL667,Cadastros!$G$6:$G$90,Cadastros!$H$6:$H$90))))</f>
        <v/>
      </c>
      <c r="AO667" s="168" t="str">
        <f t="shared" si="139"/>
        <v/>
      </c>
      <c r="AP667" s="168" t="str">
        <f t="shared" si="140"/>
        <v/>
      </c>
      <c r="AQ667" s="28"/>
      <c r="AR667" s="28"/>
      <c r="AS667" s="20" t="str">
        <f>IF(AQ667="","",IF($F667="Bernardino Furlan",_xlfn.XLOOKUP(AQ667,Cadastros!$G$6:$G$90,Cadastros!$H$6:$H$90)*(1-0.18),IF($F667="Mauro José Salanti",_xlfn.XLOOKUP(AQ667,Cadastros!$G$6:$G$90,Cadastros!$H$6:$H$90)*(1-0.18),_xlfn.XLOOKUP(AQ667,Cadastros!$G$6:$G$90,Cadastros!$H$6:$H$90))))</f>
        <v/>
      </c>
      <c r="AT667" s="168" t="str">
        <f t="shared" si="141"/>
        <v/>
      </c>
      <c r="AU667" s="168" t="str">
        <f t="shared" si="142"/>
        <v/>
      </c>
      <c r="AV667" s="227"/>
      <c r="AW667" s="30"/>
      <c r="AX667" s="267"/>
      <c r="AY667" s="267"/>
      <c r="AZ667" s="29"/>
      <c r="BA667" s="30"/>
      <c r="BB667" s="23" t="str" cm="1">
        <f t="array" ref="BB667">_xlfn.IFS(AW667="SIM",SUM(K667,P667,U667,Z667,AE667,AJ667,AO667,AT667,AX667,AY667),F667&lt;&gt;"",SUM(K667,P667,U667,Z667,AE667,AJ667,,AO667,AT667),F667="","")</f>
        <v/>
      </c>
      <c r="BC667" s="211" t="str" cm="1">
        <f t="array" ref="BC667">_xlfn.IFS(E667="","",G667&lt;=E667,BB667*(1-0.03),G667&lt;(E667+8),BB667,AZ667="Boleto",BB667*(1+0.001)^DATEDIF(E667,G667,"D"),AZ667="Cheque",BB667,AZ667="Dinheiro","Alterar forma pgto")</f>
        <v/>
      </c>
      <c r="BD667" s="276" t="str" cm="1">
        <f t="array" ref="BD667">IF(F667=0," ",IF(BC667&lt;BB667,(_xlfn.IFS(AW667="SIM",SUM(L667,Q667,V667,AA667,AF667,AK667,AP667,AU667)+AX667/_xlfn.XLOOKUP(_xlfn.XLOOKUP($F667,Clientes!$B$4:$B$39,Clientes!$C$4:$C$39),Cadastros!$L$6:$L$12,Cadastros!$M$6:$M$12)+IF($F667="Bernardino Furlan",AY667/2751.92,IF($F667="Mauro José Salanti",AY667/2751.92,AY667/3356)),F667&lt;&gt;0,SUM(L667,Q667,V667,AA667,AF667,AK667,AP667,AU667)))*(1-0.03),_xlfn.IFS(AW667="SIM",SUM(L667,Q667,V667,AA667,AF667,AK667,AP667,AU667)+AX667/_xlfn.XLOOKUP(_xlfn.XLOOKUP($F667,Clientes!$B$4:$B$39,Clientes!$C$4:$C$39),Cadastros!$L$6:$L$12,Cadastros!$M$6:$M$12)+IF($F667="Bernardino Furlan",AY667/2751.92,IF($F667="Mauro José Salanti",AY667/2751.92,AY667/3356)),F667&lt;&gt;0,SUM(L667,Q667,V667,AA667,AF667,AK667,AP667,AU667))))</f>
        <v xml:space="preserve"> </v>
      </c>
      <c r="BE667" s="120"/>
      <c r="BF667" s="120"/>
      <c r="BG667" s="120"/>
    </row>
    <row r="668" spans="1:59" s="3" customFormat="1" x14ac:dyDescent="0.3">
      <c r="A668" s="15" t="str">
        <f t="shared" si="130"/>
        <v/>
      </c>
      <c r="B668" s="25"/>
      <c r="C668" s="26"/>
      <c r="D668" s="279"/>
      <c r="E668" s="27"/>
      <c r="F668" s="28"/>
      <c r="G668" s="27"/>
      <c r="H668" s="28"/>
      <c r="I668" s="28"/>
      <c r="J668" s="255" t="str">
        <f>IF(H668="","",(_xlfn.XLOOKUP(H668,Cadastros!$D$6:$D$90,Cadastros!$E$6:$E$90))*(1-_xlfn.XLOOKUP(_xlfn.XLOOKUP($F668,Clientes!$B$4:$B$39,Clientes!$C$4:$C$39),Cadastros!$L$6:$L$12,Cadastros!$N$6:$N$12)))</f>
        <v/>
      </c>
      <c r="K668" s="168" t="str">
        <f t="shared" si="131"/>
        <v/>
      </c>
      <c r="L668" s="168" t="str">
        <f>IFERROR(K668/_xlfn.XLOOKUP(_xlfn.XLOOKUP($F668,Clientes!$B$4:$B$39,Clientes!$C$4:$C$39),Cadastros!$L$6:$L$12,Cadastros!$M$6:$M$12)," ")</f>
        <v xml:space="preserve"> </v>
      </c>
      <c r="M668" s="28"/>
      <c r="N668" s="28"/>
      <c r="O668" s="255" t="str">
        <f>IF(M668="","",(_xlfn.XLOOKUP(M668,Cadastros!$D$6:$D$90,Cadastros!$E$6:$E$90))*(1-_xlfn.XLOOKUP(_xlfn.XLOOKUP($F668,Clientes!$B$4:$B$39,Clientes!$C$4:$C$39),Cadastros!$L$6:$L$12,Cadastros!$N$6:$N$12)))</f>
        <v/>
      </c>
      <c r="P668" s="168" t="str">
        <f t="shared" si="132"/>
        <v/>
      </c>
      <c r="Q668" s="168" t="str">
        <f>IFERROR(P668/_xlfn.XLOOKUP(_xlfn.XLOOKUP($F668,Clientes!$B$4:$B$39,Clientes!$C$4:$C$39),Cadastros!$L$6:$L$12,Cadastros!$M$6:$M$12)," ")</f>
        <v xml:space="preserve"> </v>
      </c>
      <c r="R668" s="28"/>
      <c r="S668" s="28"/>
      <c r="T668" s="255" t="str">
        <f>IF(R668="","",(_xlfn.XLOOKUP(R668,Cadastros!$D$6:$D$90,Cadastros!$E$6:$E$90))*(1-_xlfn.XLOOKUP(_xlfn.XLOOKUP($F668,Clientes!$B$4:$B$39,Clientes!$C$4:$C$39),Cadastros!$L$6:$L$12,Cadastros!$N$6:$N$12)))</f>
        <v/>
      </c>
      <c r="U668" s="168" t="str">
        <f t="shared" si="133"/>
        <v/>
      </c>
      <c r="V668" s="168" t="str">
        <f>IFERROR(U668/_xlfn.XLOOKUP(_xlfn.XLOOKUP($F668,Clientes!$B$4:$B$39,Clientes!$C$4:$C$39),Cadastros!$L$6:$L$12,Cadastros!$M$6:$M$12)," ")</f>
        <v xml:space="preserve"> </v>
      </c>
      <c r="W668" s="28"/>
      <c r="X668" s="28"/>
      <c r="Y668" s="255" t="str">
        <f>IF(W668="","",(_xlfn.XLOOKUP(W668,Cadastros!$D$6:$D$90,Cadastros!$E$6:$E$90))*(1-_xlfn.XLOOKUP(_xlfn.XLOOKUP($F668,Clientes!$B$4:$B$39,Clientes!$C$4:$C$39),Cadastros!$L$6:$L$12,Cadastros!$N$6:$N$12)))</f>
        <v/>
      </c>
      <c r="Z668" s="168" t="str">
        <f t="shared" si="134"/>
        <v/>
      </c>
      <c r="AA668" s="168" t="str">
        <f>IFERROR(Z668/_xlfn.XLOOKUP(_xlfn.XLOOKUP($F668,Clientes!$B$4:$B$39,Clientes!$C$4:$C$39),Cadastros!$L$6:$L$12,Cadastros!$M$6:$M$12)," ")</f>
        <v xml:space="preserve"> </v>
      </c>
      <c r="AB668" s="28"/>
      <c r="AC668" s="28"/>
      <c r="AD668" s="20" t="str">
        <f>IF(AB668="","",IF($F668="Bernardino Furlan",_xlfn.XLOOKUP(AB668,Cadastros!$G$6:$G$90,Cadastros!$H$6:$H$90)*(1-0.18),IF($F668="Mauro José Salanti",_xlfn.XLOOKUP(AB668,Cadastros!$G$6:$G$90,Cadastros!$H$6:$H$90)*(1-0.18),_xlfn.XLOOKUP(AB668,Cadastros!$G$6:$G$90,Cadastros!$H$6:$H$90))))</f>
        <v/>
      </c>
      <c r="AE668" s="168" t="str">
        <f t="shared" si="135"/>
        <v/>
      </c>
      <c r="AF668" s="168" t="str">
        <f t="shared" si="136"/>
        <v/>
      </c>
      <c r="AG668" s="28"/>
      <c r="AH668" s="28"/>
      <c r="AI668" s="20" t="str">
        <f>IF(AG668="","",IF($F668="Bernardino Furlan",_xlfn.XLOOKUP(AG668,Cadastros!$G$6:$G$90,Cadastros!$H$6:$H$90)*(1-0.18),IF($F668="Mauro José Salanti",_xlfn.XLOOKUP(AG668,Cadastros!$G$6:$G$90,Cadastros!$H$6:$H$90)*(1-0.18),_xlfn.XLOOKUP(AG668,Cadastros!$G$6:$G$90,Cadastros!$H$6:$H$90))))</f>
        <v/>
      </c>
      <c r="AJ668" s="168" t="str">
        <f t="shared" si="137"/>
        <v/>
      </c>
      <c r="AK668" s="168" t="str">
        <f t="shared" si="138"/>
        <v/>
      </c>
      <c r="AL668" s="28"/>
      <c r="AM668" s="28"/>
      <c r="AN668" s="20" t="str">
        <f>IF(AL668="","",IF($F668="Bernardino Furlan",_xlfn.XLOOKUP(AL668,Cadastros!$G$6:$G$90,Cadastros!$H$6:$H$90)*(1-0.18),IF($F668="Mauro José Salanti",_xlfn.XLOOKUP(AL668,Cadastros!$G$6:$G$90,Cadastros!$H$6:$H$90)*(1-0.18),_xlfn.XLOOKUP(AL668,Cadastros!$G$6:$G$90,Cadastros!$H$6:$H$90))))</f>
        <v/>
      </c>
      <c r="AO668" s="168" t="str">
        <f t="shared" si="139"/>
        <v/>
      </c>
      <c r="AP668" s="168" t="str">
        <f t="shared" si="140"/>
        <v/>
      </c>
      <c r="AQ668" s="28"/>
      <c r="AR668" s="28"/>
      <c r="AS668" s="20" t="str">
        <f>IF(AQ668="","",IF($F668="Bernardino Furlan",_xlfn.XLOOKUP(AQ668,Cadastros!$G$6:$G$90,Cadastros!$H$6:$H$90)*(1-0.18),IF($F668="Mauro José Salanti",_xlfn.XLOOKUP(AQ668,Cadastros!$G$6:$G$90,Cadastros!$H$6:$H$90)*(1-0.18),_xlfn.XLOOKUP(AQ668,Cadastros!$G$6:$G$90,Cadastros!$H$6:$H$90))))</f>
        <v/>
      </c>
      <c r="AT668" s="168" t="str">
        <f t="shared" si="141"/>
        <v/>
      </c>
      <c r="AU668" s="168" t="str">
        <f t="shared" si="142"/>
        <v/>
      </c>
      <c r="AV668" s="227"/>
      <c r="AW668" s="30"/>
      <c r="AX668" s="267"/>
      <c r="AY668" s="267"/>
      <c r="AZ668" s="29"/>
      <c r="BA668" s="30"/>
      <c r="BB668" s="23" t="str" cm="1">
        <f t="array" ref="BB668">_xlfn.IFS(AW668="SIM",SUM(K668,P668,U668,Z668,AE668,AJ668,AO668,AT668,AX668,AY668),F668&lt;&gt;"",SUM(K668,P668,U668,Z668,AE668,AJ668,,AO668,AT668),F668="","")</f>
        <v/>
      </c>
      <c r="BC668" s="211" t="str" cm="1">
        <f t="array" ref="BC668">_xlfn.IFS(E668="","",G668&lt;=E668,BB668*(1-0.03),G668&lt;(E668+8),BB668,AZ668="Boleto",BB668*(1+0.001)^DATEDIF(E668,G668,"D"),AZ668="Cheque",BB668,AZ668="Dinheiro","Alterar forma pgto")</f>
        <v/>
      </c>
      <c r="BD668" s="276" t="str" cm="1">
        <f t="array" ref="BD668">IF(F668=0," ",IF(BC668&lt;BB668,(_xlfn.IFS(AW668="SIM",SUM(L668,Q668,V668,AA668,AF668,AK668,AP668,AU668)+AX668/_xlfn.XLOOKUP(_xlfn.XLOOKUP($F668,Clientes!$B$4:$B$39,Clientes!$C$4:$C$39),Cadastros!$L$6:$L$12,Cadastros!$M$6:$M$12)+IF($F668="Bernardino Furlan",AY668/2751.92,IF($F668="Mauro José Salanti",AY668/2751.92,AY668/3356)),F668&lt;&gt;0,SUM(L668,Q668,V668,AA668,AF668,AK668,AP668,AU668)))*(1-0.03),_xlfn.IFS(AW668="SIM",SUM(L668,Q668,V668,AA668,AF668,AK668,AP668,AU668)+AX668/_xlfn.XLOOKUP(_xlfn.XLOOKUP($F668,Clientes!$B$4:$B$39,Clientes!$C$4:$C$39),Cadastros!$L$6:$L$12,Cadastros!$M$6:$M$12)+IF($F668="Bernardino Furlan",AY668/2751.92,IF($F668="Mauro José Salanti",AY668/2751.92,AY668/3356)),F668&lt;&gt;0,SUM(L668,Q668,V668,AA668,AF668,AK668,AP668,AU668))))</f>
        <v xml:space="preserve"> </v>
      </c>
      <c r="BE668" s="120"/>
      <c r="BF668" s="120"/>
      <c r="BG668" s="120"/>
    </row>
    <row r="669" spans="1:59" s="3" customFormat="1" x14ac:dyDescent="0.3">
      <c r="A669" s="15" t="str">
        <f t="shared" si="130"/>
        <v/>
      </c>
      <c r="B669" s="25"/>
      <c r="C669" s="26"/>
      <c r="D669" s="279"/>
      <c r="E669" s="27"/>
      <c r="F669" s="28"/>
      <c r="G669" s="27"/>
      <c r="H669" s="28"/>
      <c r="I669" s="28"/>
      <c r="J669" s="255" t="str">
        <f>IF(H669="","",(_xlfn.XLOOKUP(H669,Cadastros!$D$6:$D$90,Cadastros!$E$6:$E$90))*(1-_xlfn.XLOOKUP(_xlfn.XLOOKUP($F669,Clientes!$B$4:$B$39,Clientes!$C$4:$C$39),Cadastros!$L$6:$L$12,Cadastros!$N$6:$N$12)))</f>
        <v/>
      </c>
      <c r="K669" s="168" t="str">
        <f t="shared" si="131"/>
        <v/>
      </c>
      <c r="L669" s="168" t="str">
        <f>IFERROR(K669/_xlfn.XLOOKUP(_xlfn.XLOOKUP($F669,Clientes!$B$4:$B$39,Clientes!$C$4:$C$39),Cadastros!$L$6:$L$12,Cadastros!$M$6:$M$12)," ")</f>
        <v xml:space="preserve"> </v>
      </c>
      <c r="M669" s="28"/>
      <c r="N669" s="28"/>
      <c r="O669" s="255" t="str">
        <f>IF(M669="","",(_xlfn.XLOOKUP(M669,Cadastros!$D$6:$D$90,Cadastros!$E$6:$E$90))*(1-_xlfn.XLOOKUP(_xlfn.XLOOKUP($F669,Clientes!$B$4:$B$39,Clientes!$C$4:$C$39),Cadastros!$L$6:$L$12,Cadastros!$N$6:$N$12)))</f>
        <v/>
      </c>
      <c r="P669" s="168" t="str">
        <f t="shared" si="132"/>
        <v/>
      </c>
      <c r="Q669" s="168" t="str">
        <f>IFERROR(P669/_xlfn.XLOOKUP(_xlfn.XLOOKUP($F669,Clientes!$B$4:$B$39,Clientes!$C$4:$C$39),Cadastros!$L$6:$L$12,Cadastros!$M$6:$M$12)," ")</f>
        <v xml:space="preserve"> </v>
      </c>
      <c r="R669" s="28"/>
      <c r="S669" s="28"/>
      <c r="T669" s="255" t="str">
        <f>IF(R669="","",(_xlfn.XLOOKUP(R669,Cadastros!$D$6:$D$90,Cadastros!$E$6:$E$90))*(1-_xlfn.XLOOKUP(_xlfn.XLOOKUP($F669,Clientes!$B$4:$B$39,Clientes!$C$4:$C$39),Cadastros!$L$6:$L$12,Cadastros!$N$6:$N$12)))</f>
        <v/>
      </c>
      <c r="U669" s="168" t="str">
        <f t="shared" si="133"/>
        <v/>
      </c>
      <c r="V669" s="168" t="str">
        <f>IFERROR(U669/_xlfn.XLOOKUP(_xlfn.XLOOKUP($F669,Clientes!$B$4:$B$39,Clientes!$C$4:$C$39),Cadastros!$L$6:$L$12,Cadastros!$M$6:$M$12)," ")</f>
        <v xml:space="preserve"> </v>
      </c>
      <c r="W669" s="28"/>
      <c r="X669" s="28"/>
      <c r="Y669" s="255" t="str">
        <f>IF(W669="","",(_xlfn.XLOOKUP(W669,Cadastros!$D$6:$D$90,Cadastros!$E$6:$E$90))*(1-_xlfn.XLOOKUP(_xlfn.XLOOKUP($F669,Clientes!$B$4:$B$39,Clientes!$C$4:$C$39),Cadastros!$L$6:$L$12,Cadastros!$N$6:$N$12)))</f>
        <v/>
      </c>
      <c r="Z669" s="168" t="str">
        <f t="shared" si="134"/>
        <v/>
      </c>
      <c r="AA669" s="168" t="str">
        <f>IFERROR(Z669/_xlfn.XLOOKUP(_xlfn.XLOOKUP($F669,Clientes!$B$4:$B$39,Clientes!$C$4:$C$39),Cadastros!$L$6:$L$12,Cadastros!$M$6:$M$12)," ")</f>
        <v xml:space="preserve"> </v>
      </c>
      <c r="AB669" s="28"/>
      <c r="AC669" s="28"/>
      <c r="AD669" s="20" t="str">
        <f>IF(AB669="","",IF($F669="Bernardino Furlan",_xlfn.XLOOKUP(AB669,Cadastros!$G$6:$G$90,Cadastros!$H$6:$H$90)*(1-0.18),IF($F669="Mauro José Salanti",_xlfn.XLOOKUP(AB669,Cadastros!$G$6:$G$90,Cadastros!$H$6:$H$90)*(1-0.18),_xlfn.XLOOKUP(AB669,Cadastros!$G$6:$G$90,Cadastros!$H$6:$H$90))))</f>
        <v/>
      </c>
      <c r="AE669" s="168" t="str">
        <f t="shared" si="135"/>
        <v/>
      </c>
      <c r="AF669" s="168" t="str">
        <f t="shared" si="136"/>
        <v/>
      </c>
      <c r="AG669" s="28"/>
      <c r="AH669" s="28"/>
      <c r="AI669" s="20" t="str">
        <f>IF(AG669="","",IF($F669="Bernardino Furlan",_xlfn.XLOOKUP(AG669,Cadastros!$G$6:$G$90,Cadastros!$H$6:$H$90)*(1-0.18),IF($F669="Mauro José Salanti",_xlfn.XLOOKUP(AG669,Cadastros!$G$6:$G$90,Cadastros!$H$6:$H$90)*(1-0.18),_xlfn.XLOOKUP(AG669,Cadastros!$G$6:$G$90,Cadastros!$H$6:$H$90))))</f>
        <v/>
      </c>
      <c r="AJ669" s="168" t="str">
        <f t="shared" si="137"/>
        <v/>
      </c>
      <c r="AK669" s="168" t="str">
        <f t="shared" si="138"/>
        <v/>
      </c>
      <c r="AL669" s="28"/>
      <c r="AM669" s="28"/>
      <c r="AN669" s="20" t="str">
        <f>IF(AL669="","",IF($F669="Bernardino Furlan",_xlfn.XLOOKUP(AL669,Cadastros!$G$6:$G$90,Cadastros!$H$6:$H$90)*(1-0.18),IF($F669="Mauro José Salanti",_xlfn.XLOOKUP(AL669,Cadastros!$G$6:$G$90,Cadastros!$H$6:$H$90)*(1-0.18),_xlfn.XLOOKUP(AL669,Cadastros!$G$6:$G$90,Cadastros!$H$6:$H$90))))</f>
        <v/>
      </c>
      <c r="AO669" s="168" t="str">
        <f t="shared" si="139"/>
        <v/>
      </c>
      <c r="AP669" s="168" t="str">
        <f t="shared" si="140"/>
        <v/>
      </c>
      <c r="AQ669" s="28"/>
      <c r="AR669" s="28"/>
      <c r="AS669" s="20" t="str">
        <f>IF(AQ669="","",IF($F669="Bernardino Furlan",_xlfn.XLOOKUP(AQ669,Cadastros!$G$6:$G$90,Cadastros!$H$6:$H$90)*(1-0.18),IF($F669="Mauro José Salanti",_xlfn.XLOOKUP(AQ669,Cadastros!$G$6:$G$90,Cadastros!$H$6:$H$90)*(1-0.18),_xlfn.XLOOKUP(AQ669,Cadastros!$G$6:$G$90,Cadastros!$H$6:$H$90))))</f>
        <v/>
      </c>
      <c r="AT669" s="168" t="str">
        <f t="shared" si="141"/>
        <v/>
      </c>
      <c r="AU669" s="168" t="str">
        <f t="shared" si="142"/>
        <v/>
      </c>
      <c r="AV669" s="227"/>
      <c r="AW669" s="30"/>
      <c r="AX669" s="267"/>
      <c r="AY669" s="267"/>
      <c r="AZ669" s="29"/>
      <c r="BA669" s="30"/>
      <c r="BB669" s="23" t="str" cm="1">
        <f t="array" ref="BB669">_xlfn.IFS(AW669="SIM",SUM(K669,P669,U669,Z669,AE669,AJ669,AO669,AT669,AX669,AY669),F669&lt;&gt;"",SUM(K669,P669,U669,Z669,AE669,AJ669,,AO669,AT669),F669="","")</f>
        <v/>
      </c>
      <c r="BC669" s="211" t="str" cm="1">
        <f t="array" ref="BC669">_xlfn.IFS(E669="","",G669&lt;=E669,BB669*(1-0.03),G669&lt;(E669+8),BB669,AZ669="Boleto",BB669*(1+0.001)^DATEDIF(E669,G669,"D"),AZ669="Cheque",BB669,AZ669="Dinheiro","Alterar forma pgto")</f>
        <v/>
      </c>
      <c r="BD669" s="276" t="str" cm="1">
        <f t="array" ref="BD669">IF(F669=0," ",IF(BC669&lt;BB669,(_xlfn.IFS(AW669="SIM",SUM(L669,Q669,V669,AA669,AF669,AK669,AP669,AU669)+AX669/_xlfn.XLOOKUP(_xlfn.XLOOKUP($F669,Clientes!$B$4:$B$39,Clientes!$C$4:$C$39),Cadastros!$L$6:$L$12,Cadastros!$M$6:$M$12)+IF($F669="Bernardino Furlan",AY669/2751.92,IF($F669="Mauro José Salanti",AY669/2751.92,AY669/3356)),F669&lt;&gt;0,SUM(L669,Q669,V669,AA669,AF669,AK669,AP669,AU669)))*(1-0.03),_xlfn.IFS(AW669="SIM",SUM(L669,Q669,V669,AA669,AF669,AK669,AP669,AU669)+AX669/_xlfn.XLOOKUP(_xlfn.XLOOKUP($F669,Clientes!$B$4:$B$39,Clientes!$C$4:$C$39),Cadastros!$L$6:$L$12,Cadastros!$M$6:$M$12)+IF($F669="Bernardino Furlan",AY669/2751.92,IF($F669="Mauro José Salanti",AY669/2751.92,AY669/3356)),F669&lt;&gt;0,SUM(L669,Q669,V669,AA669,AF669,AK669,AP669,AU669))))</f>
        <v xml:space="preserve"> </v>
      </c>
      <c r="BE669" s="120"/>
      <c r="BF669" s="120"/>
      <c r="BG669" s="120"/>
    </row>
    <row r="670" spans="1:59" s="3" customFormat="1" x14ac:dyDescent="0.3">
      <c r="A670" s="15" t="str">
        <f t="shared" si="130"/>
        <v/>
      </c>
      <c r="B670" s="25"/>
      <c r="C670" s="26"/>
      <c r="D670" s="279"/>
      <c r="E670" s="27"/>
      <c r="F670" s="28"/>
      <c r="G670" s="27"/>
      <c r="H670" s="28"/>
      <c r="I670" s="28"/>
      <c r="J670" s="255" t="str">
        <f>IF(H670="","",(_xlfn.XLOOKUP(H670,Cadastros!$D$6:$D$90,Cadastros!$E$6:$E$90))*(1-_xlfn.XLOOKUP(_xlfn.XLOOKUP($F670,Clientes!$B$4:$B$39,Clientes!$C$4:$C$39),Cadastros!$L$6:$L$12,Cadastros!$N$6:$N$12)))</f>
        <v/>
      </c>
      <c r="K670" s="168" t="str">
        <f t="shared" si="131"/>
        <v/>
      </c>
      <c r="L670" s="168" t="str">
        <f>IFERROR(K670/_xlfn.XLOOKUP(_xlfn.XLOOKUP($F670,Clientes!$B$4:$B$39,Clientes!$C$4:$C$39),Cadastros!$L$6:$L$12,Cadastros!$M$6:$M$12)," ")</f>
        <v xml:space="preserve"> </v>
      </c>
      <c r="M670" s="28"/>
      <c r="N670" s="28"/>
      <c r="O670" s="255" t="str">
        <f>IF(M670="","",(_xlfn.XLOOKUP(M670,Cadastros!$D$6:$D$90,Cadastros!$E$6:$E$90))*(1-_xlfn.XLOOKUP(_xlfn.XLOOKUP($F670,Clientes!$B$4:$B$39,Clientes!$C$4:$C$39),Cadastros!$L$6:$L$12,Cadastros!$N$6:$N$12)))</f>
        <v/>
      </c>
      <c r="P670" s="168" t="str">
        <f t="shared" si="132"/>
        <v/>
      </c>
      <c r="Q670" s="168" t="str">
        <f>IFERROR(P670/_xlfn.XLOOKUP(_xlfn.XLOOKUP($F670,Clientes!$B$4:$B$39,Clientes!$C$4:$C$39),Cadastros!$L$6:$L$12,Cadastros!$M$6:$M$12)," ")</f>
        <v xml:space="preserve"> </v>
      </c>
      <c r="R670" s="28"/>
      <c r="S670" s="28"/>
      <c r="T670" s="255" t="str">
        <f>IF(R670="","",(_xlfn.XLOOKUP(R670,Cadastros!$D$6:$D$90,Cadastros!$E$6:$E$90))*(1-_xlfn.XLOOKUP(_xlfn.XLOOKUP($F670,Clientes!$B$4:$B$39,Clientes!$C$4:$C$39),Cadastros!$L$6:$L$12,Cadastros!$N$6:$N$12)))</f>
        <v/>
      </c>
      <c r="U670" s="168" t="str">
        <f t="shared" si="133"/>
        <v/>
      </c>
      <c r="V670" s="168" t="str">
        <f>IFERROR(U670/_xlfn.XLOOKUP(_xlfn.XLOOKUP($F670,Clientes!$B$4:$B$39,Clientes!$C$4:$C$39),Cadastros!$L$6:$L$12,Cadastros!$M$6:$M$12)," ")</f>
        <v xml:space="preserve"> </v>
      </c>
      <c r="W670" s="28"/>
      <c r="X670" s="28"/>
      <c r="Y670" s="255" t="str">
        <f>IF(W670="","",(_xlfn.XLOOKUP(W670,Cadastros!$D$6:$D$90,Cadastros!$E$6:$E$90))*(1-_xlfn.XLOOKUP(_xlfn.XLOOKUP($F670,Clientes!$B$4:$B$39,Clientes!$C$4:$C$39),Cadastros!$L$6:$L$12,Cadastros!$N$6:$N$12)))</f>
        <v/>
      </c>
      <c r="Z670" s="168" t="str">
        <f t="shared" si="134"/>
        <v/>
      </c>
      <c r="AA670" s="168" t="str">
        <f>IFERROR(Z670/_xlfn.XLOOKUP(_xlfn.XLOOKUP($F670,Clientes!$B$4:$B$39,Clientes!$C$4:$C$39),Cadastros!$L$6:$L$12,Cadastros!$M$6:$M$12)," ")</f>
        <v xml:space="preserve"> </v>
      </c>
      <c r="AB670" s="28"/>
      <c r="AC670" s="28"/>
      <c r="AD670" s="20" t="str">
        <f>IF(AB670="","",IF($F670="Bernardino Furlan",_xlfn.XLOOKUP(AB670,Cadastros!$G$6:$G$90,Cadastros!$H$6:$H$90)*(1-0.18),IF($F670="Mauro José Salanti",_xlfn.XLOOKUP(AB670,Cadastros!$G$6:$G$90,Cadastros!$H$6:$H$90)*(1-0.18),_xlfn.XLOOKUP(AB670,Cadastros!$G$6:$G$90,Cadastros!$H$6:$H$90))))</f>
        <v/>
      </c>
      <c r="AE670" s="168" t="str">
        <f t="shared" si="135"/>
        <v/>
      </c>
      <c r="AF670" s="168" t="str">
        <f t="shared" si="136"/>
        <v/>
      </c>
      <c r="AG670" s="28"/>
      <c r="AH670" s="28"/>
      <c r="AI670" s="20" t="str">
        <f>IF(AG670="","",IF($F670="Bernardino Furlan",_xlfn.XLOOKUP(AG670,Cadastros!$G$6:$G$90,Cadastros!$H$6:$H$90)*(1-0.18),IF($F670="Mauro José Salanti",_xlfn.XLOOKUP(AG670,Cadastros!$G$6:$G$90,Cadastros!$H$6:$H$90)*(1-0.18),_xlfn.XLOOKUP(AG670,Cadastros!$G$6:$G$90,Cadastros!$H$6:$H$90))))</f>
        <v/>
      </c>
      <c r="AJ670" s="168" t="str">
        <f t="shared" si="137"/>
        <v/>
      </c>
      <c r="AK670" s="168" t="str">
        <f t="shared" si="138"/>
        <v/>
      </c>
      <c r="AL670" s="28"/>
      <c r="AM670" s="28"/>
      <c r="AN670" s="20" t="str">
        <f>IF(AL670="","",IF($F670="Bernardino Furlan",_xlfn.XLOOKUP(AL670,Cadastros!$G$6:$G$90,Cadastros!$H$6:$H$90)*(1-0.18),IF($F670="Mauro José Salanti",_xlfn.XLOOKUP(AL670,Cadastros!$G$6:$G$90,Cadastros!$H$6:$H$90)*(1-0.18),_xlfn.XLOOKUP(AL670,Cadastros!$G$6:$G$90,Cadastros!$H$6:$H$90))))</f>
        <v/>
      </c>
      <c r="AO670" s="168" t="str">
        <f t="shared" si="139"/>
        <v/>
      </c>
      <c r="AP670" s="168" t="str">
        <f t="shared" si="140"/>
        <v/>
      </c>
      <c r="AQ670" s="28"/>
      <c r="AR670" s="28"/>
      <c r="AS670" s="20" t="str">
        <f>IF(AQ670="","",IF($F670="Bernardino Furlan",_xlfn.XLOOKUP(AQ670,Cadastros!$G$6:$G$90,Cadastros!$H$6:$H$90)*(1-0.18),IF($F670="Mauro José Salanti",_xlfn.XLOOKUP(AQ670,Cadastros!$G$6:$G$90,Cadastros!$H$6:$H$90)*(1-0.18),_xlfn.XLOOKUP(AQ670,Cadastros!$G$6:$G$90,Cadastros!$H$6:$H$90))))</f>
        <v/>
      </c>
      <c r="AT670" s="168" t="str">
        <f t="shared" si="141"/>
        <v/>
      </c>
      <c r="AU670" s="168" t="str">
        <f t="shared" si="142"/>
        <v/>
      </c>
      <c r="AV670" s="227"/>
      <c r="AW670" s="30"/>
      <c r="AX670" s="267"/>
      <c r="AY670" s="267"/>
      <c r="AZ670" s="29"/>
      <c r="BA670" s="30"/>
      <c r="BB670" s="23" t="str" cm="1">
        <f t="array" ref="BB670">_xlfn.IFS(AW670="SIM",SUM(K670,P670,U670,Z670,AE670,AJ670,AO670,AT670,AX670,AY670),F670&lt;&gt;"",SUM(K670,P670,U670,Z670,AE670,AJ670,,AO670,AT670),F670="","")</f>
        <v/>
      </c>
      <c r="BC670" s="211" t="str" cm="1">
        <f t="array" ref="BC670">_xlfn.IFS(E670="","",G670&lt;=E670,BB670*(1-0.03),G670&lt;(E670+8),BB670,AZ670="Boleto",BB670*(1+0.001)^DATEDIF(E670,G670,"D"),AZ670="Cheque",BB670,AZ670="Dinheiro","Alterar forma pgto")</f>
        <v/>
      </c>
      <c r="BD670" s="276" t="str" cm="1">
        <f t="array" ref="BD670">IF(F670=0," ",IF(BC670&lt;BB670,(_xlfn.IFS(AW670="SIM",SUM(L670,Q670,V670,AA670,AF670,AK670,AP670,AU670)+AX670/_xlfn.XLOOKUP(_xlfn.XLOOKUP($F670,Clientes!$B$4:$B$39,Clientes!$C$4:$C$39),Cadastros!$L$6:$L$12,Cadastros!$M$6:$M$12)+IF($F670="Bernardino Furlan",AY670/2751.92,IF($F670="Mauro José Salanti",AY670/2751.92,AY670/3356)),F670&lt;&gt;0,SUM(L670,Q670,V670,AA670,AF670,AK670,AP670,AU670)))*(1-0.03),_xlfn.IFS(AW670="SIM",SUM(L670,Q670,V670,AA670,AF670,AK670,AP670,AU670)+AX670/_xlfn.XLOOKUP(_xlfn.XLOOKUP($F670,Clientes!$B$4:$B$39,Clientes!$C$4:$C$39),Cadastros!$L$6:$L$12,Cadastros!$M$6:$M$12)+IF($F670="Bernardino Furlan",AY670/2751.92,IF($F670="Mauro José Salanti",AY670/2751.92,AY670/3356)),F670&lt;&gt;0,SUM(L670,Q670,V670,AA670,AF670,AK670,AP670,AU670))))</f>
        <v xml:space="preserve"> </v>
      </c>
      <c r="BE670" s="120"/>
      <c r="BF670" s="120"/>
      <c r="BG670" s="120"/>
    </row>
    <row r="671" spans="1:59" s="3" customFormat="1" x14ac:dyDescent="0.3">
      <c r="A671" s="15" t="str">
        <f t="shared" si="130"/>
        <v/>
      </c>
      <c r="B671" s="25"/>
      <c r="C671" s="26"/>
      <c r="D671" s="279"/>
      <c r="E671" s="27"/>
      <c r="F671" s="28"/>
      <c r="G671" s="27"/>
      <c r="H671" s="28"/>
      <c r="I671" s="28"/>
      <c r="J671" s="255" t="str">
        <f>IF(H671="","",(_xlfn.XLOOKUP(H671,Cadastros!$D$6:$D$90,Cadastros!$E$6:$E$90))*(1-_xlfn.XLOOKUP(_xlfn.XLOOKUP($F671,Clientes!$B$4:$B$39,Clientes!$C$4:$C$39),Cadastros!$L$6:$L$12,Cadastros!$N$6:$N$12)))</f>
        <v/>
      </c>
      <c r="K671" s="168" t="str">
        <f t="shared" si="131"/>
        <v/>
      </c>
      <c r="L671" s="168" t="str">
        <f>IFERROR(K671/_xlfn.XLOOKUP(_xlfn.XLOOKUP($F671,Clientes!$B$4:$B$39,Clientes!$C$4:$C$39),Cadastros!$L$6:$L$12,Cadastros!$M$6:$M$12)," ")</f>
        <v xml:space="preserve"> </v>
      </c>
      <c r="M671" s="28"/>
      <c r="N671" s="28"/>
      <c r="O671" s="255" t="str">
        <f>IF(M671="","",(_xlfn.XLOOKUP(M671,Cadastros!$D$6:$D$90,Cadastros!$E$6:$E$90))*(1-_xlfn.XLOOKUP(_xlfn.XLOOKUP($F671,Clientes!$B$4:$B$39,Clientes!$C$4:$C$39),Cadastros!$L$6:$L$12,Cadastros!$N$6:$N$12)))</f>
        <v/>
      </c>
      <c r="P671" s="168" t="str">
        <f t="shared" si="132"/>
        <v/>
      </c>
      <c r="Q671" s="168" t="str">
        <f>IFERROR(P671/_xlfn.XLOOKUP(_xlfn.XLOOKUP($F671,Clientes!$B$4:$B$39,Clientes!$C$4:$C$39),Cadastros!$L$6:$L$12,Cadastros!$M$6:$M$12)," ")</f>
        <v xml:space="preserve"> </v>
      </c>
      <c r="R671" s="28"/>
      <c r="S671" s="28"/>
      <c r="T671" s="255" t="str">
        <f>IF(R671="","",(_xlfn.XLOOKUP(R671,Cadastros!$D$6:$D$90,Cadastros!$E$6:$E$90))*(1-_xlfn.XLOOKUP(_xlfn.XLOOKUP($F671,Clientes!$B$4:$B$39,Clientes!$C$4:$C$39),Cadastros!$L$6:$L$12,Cadastros!$N$6:$N$12)))</f>
        <v/>
      </c>
      <c r="U671" s="168" t="str">
        <f t="shared" si="133"/>
        <v/>
      </c>
      <c r="V671" s="168" t="str">
        <f>IFERROR(U671/_xlfn.XLOOKUP(_xlfn.XLOOKUP($F671,Clientes!$B$4:$B$39,Clientes!$C$4:$C$39),Cadastros!$L$6:$L$12,Cadastros!$M$6:$M$12)," ")</f>
        <v xml:space="preserve"> </v>
      </c>
      <c r="W671" s="28"/>
      <c r="X671" s="28"/>
      <c r="Y671" s="255" t="str">
        <f>IF(W671="","",(_xlfn.XLOOKUP(W671,Cadastros!$D$6:$D$90,Cadastros!$E$6:$E$90))*(1-_xlfn.XLOOKUP(_xlfn.XLOOKUP($F671,Clientes!$B$4:$B$39,Clientes!$C$4:$C$39),Cadastros!$L$6:$L$12,Cadastros!$N$6:$N$12)))</f>
        <v/>
      </c>
      <c r="Z671" s="168" t="str">
        <f t="shared" si="134"/>
        <v/>
      </c>
      <c r="AA671" s="168" t="str">
        <f>IFERROR(Z671/_xlfn.XLOOKUP(_xlfn.XLOOKUP($F671,Clientes!$B$4:$B$39,Clientes!$C$4:$C$39),Cadastros!$L$6:$L$12,Cadastros!$M$6:$M$12)," ")</f>
        <v xml:space="preserve"> </v>
      </c>
      <c r="AB671" s="28"/>
      <c r="AC671" s="28"/>
      <c r="AD671" s="20" t="str">
        <f>IF(AB671="","",IF($F671="Bernardino Furlan",_xlfn.XLOOKUP(AB671,Cadastros!$G$6:$G$90,Cadastros!$H$6:$H$90)*(1-0.18),IF($F671="Mauro José Salanti",_xlfn.XLOOKUP(AB671,Cadastros!$G$6:$G$90,Cadastros!$H$6:$H$90)*(1-0.18),_xlfn.XLOOKUP(AB671,Cadastros!$G$6:$G$90,Cadastros!$H$6:$H$90))))</f>
        <v/>
      </c>
      <c r="AE671" s="168" t="str">
        <f t="shared" si="135"/>
        <v/>
      </c>
      <c r="AF671" s="168" t="str">
        <f t="shared" si="136"/>
        <v/>
      </c>
      <c r="AG671" s="28"/>
      <c r="AH671" s="28"/>
      <c r="AI671" s="20" t="str">
        <f>IF(AG671="","",IF($F671="Bernardino Furlan",_xlfn.XLOOKUP(AG671,Cadastros!$G$6:$G$90,Cadastros!$H$6:$H$90)*(1-0.18),IF($F671="Mauro José Salanti",_xlfn.XLOOKUP(AG671,Cadastros!$G$6:$G$90,Cadastros!$H$6:$H$90)*(1-0.18),_xlfn.XLOOKUP(AG671,Cadastros!$G$6:$G$90,Cadastros!$H$6:$H$90))))</f>
        <v/>
      </c>
      <c r="AJ671" s="168" t="str">
        <f t="shared" si="137"/>
        <v/>
      </c>
      <c r="AK671" s="168" t="str">
        <f t="shared" si="138"/>
        <v/>
      </c>
      <c r="AL671" s="28"/>
      <c r="AM671" s="28"/>
      <c r="AN671" s="20" t="str">
        <f>IF(AL671="","",IF($F671="Bernardino Furlan",_xlfn.XLOOKUP(AL671,Cadastros!$G$6:$G$90,Cadastros!$H$6:$H$90)*(1-0.18),IF($F671="Mauro José Salanti",_xlfn.XLOOKUP(AL671,Cadastros!$G$6:$G$90,Cadastros!$H$6:$H$90)*(1-0.18),_xlfn.XLOOKUP(AL671,Cadastros!$G$6:$G$90,Cadastros!$H$6:$H$90))))</f>
        <v/>
      </c>
      <c r="AO671" s="168" t="str">
        <f t="shared" si="139"/>
        <v/>
      </c>
      <c r="AP671" s="168" t="str">
        <f t="shared" si="140"/>
        <v/>
      </c>
      <c r="AQ671" s="28"/>
      <c r="AR671" s="28"/>
      <c r="AS671" s="20" t="str">
        <f>IF(AQ671="","",IF($F671="Bernardino Furlan",_xlfn.XLOOKUP(AQ671,Cadastros!$G$6:$G$90,Cadastros!$H$6:$H$90)*(1-0.18),IF($F671="Mauro José Salanti",_xlfn.XLOOKUP(AQ671,Cadastros!$G$6:$G$90,Cadastros!$H$6:$H$90)*(1-0.18),_xlfn.XLOOKUP(AQ671,Cadastros!$G$6:$G$90,Cadastros!$H$6:$H$90))))</f>
        <v/>
      </c>
      <c r="AT671" s="168" t="str">
        <f t="shared" si="141"/>
        <v/>
      </c>
      <c r="AU671" s="168" t="str">
        <f t="shared" si="142"/>
        <v/>
      </c>
      <c r="AV671" s="227"/>
      <c r="AW671" s="30"/>
      <c r="AX671" s="267"/>
      <c r="AY671" s="267"/>
      <c r="AZ671" s="29"/>
      <c r="BA671" s="30"/>
      <c r="BB671" s="23" t="str" cm="1">
        <f t="array" ref="BB671">_xlfn.IFS(AW671="SIM",SUM(K671,P671,U671,Z671,AE671,AJ671,AO671,AT671,AX671,AY671),F671&lt;&gt;"",SUM(K671,P671,U671,Z671,AE671,AJ671,,AO671,AT671),F671="","")</f>
        <v/>
      </c>
      <c r="BC671" s="211" t="str" cm="1">
        <f t="array" ref="BC671">_xlfn.IFS(E671="","",G671&lt;=E671,BB671*(1-0.03),G671&lt;(E671+8),BB671,AZ671="Boleto",BB671*(1+0.001)^DATEDIF(E671,G671,"D"),AZ671="Cheque",BB671,AZ671="Dinheiro","Alterar forma pgto")</f>
        <v/>
      </c>
      <c r="BD671" s="276" t="str" cm="1">
        <f t="array" ref="BD671">IF(F671=0," ",IF(BC671&lt;BB671,(_xlfn.IFS(AW671="SIM",SUM(L671,Q671,V671,AA671,AF671,AK671,AP671,AU671)+AX671/_xlfn.XLOOKUP(_xlfn.XLOOKUP($F671,Clientes!$B$4:$B$39,Clientes!$C$4:$C$39),Cadastros!$L$6:$L$12,Cadastros!$M$6:$M$12)+IF($F671="Bernardino Furlan",AY671/2751.92,IF($F671="Mauro José Salanti",AY671/2751.92,AY671/3356)),F671&lt;&gt;0,SUM(L671,Q671,V671,AA671,AF671,AK671,AP671,AU671)))*(1-0.03),_xlfn.IFS(AW671="SIM",SUM(L671,Q671,V671,AA671,AF671,AK671,AP671,AU671)+AX671/_xlfn.XLOOKUP(_xlfn.XLOOKUP($F671,Clientes!$B$4:$B$39,Clientes!$C$4:$C$39),Cadastros!$L$6:$L$12,Cadastros!$M$6:$M$12)+IF($F671="Bernardino Furlan",AY671/2751.92,IF($F671="Mauro José Salanti",AY671/2751.92,AY671/3356)),F671&lt;&gt;0,SUM(L671,Q671,V671,AA671,AF671,AK671,AP671,AU671))))</f>
        <v xml:space="preserve"> </v>
      </c>
      <c r="BE671" s="120"/>
      <c r="BF671" s="120"/>
      <c r="BG671" s="120"/>
    </row>
    <row r="672" spans="1:59" s="3" customFormat="1" x14ac:dyDescent="0.3">
      <c r="A672" s="15" t="str">
        <f t="shared" si="130"/>
        <v/>
      </c>
      <c r="B672" s="25"/>
      <c r="C672" s="26"/>
      <c r="D672" s="279"/>
      <c r="E672" s="27"/>
      <c r="F672" s="28"/>
      <c r="G672" s="27"/>
      <c r="H672" s="28"/>
      <c r="I672" s="28"/>
      <c r="J672" s="255" t="str">
        <f>IF(H672="","",(_xlfn.XLOOKUP(H672,Cadastros!$D$6:$D$90,Cadastros!$E$6:$E$90))*(1-_xlfn.XLOOKUP(_xlfn.XLOOKUP($F672,Clientes!$B$4:$B$39,Clientes!$C$4:$C$39),Cadastros!$L$6:$L$12,Cadastros!$N$6:$N$12)))</f>
        <v/>
      </c>
      <c r="K672" s="168" t="str">
        <f t="shared" si="131"/>
        <v/>
      </c>
      <c r="L672" s="168" t="str">
        <f>IFERROR(K672/_xlfn.XLOOKUP(_xlfn.XLOOKUP($F672,Clientes!$B$4:$B$39,Clientes!$C$4:$C$39),Cadastros!$L$6:$L$12,Cadastros!$M$6:$M$12)," ")</f>
        <v xml:space="preserve"> </v>
      </c>
      <c r="M672" s="28"/>
      <c r="N672" s="28"/>
      <c r="O672" s="255" t="str">
        <f>IF(M672="","",(_xlfn.XLOOKUP(M672,Cadastros!$D$6:$D$90,Cadastros!$E$6:$E$90))*(1-_xlfn.XLOOKUP(_xlfn.XLOOKUP($F672,Clientes!$B$4:$B$39,Clientes!$C$4:$C$39),Cadastros!$L$6:$L$12,Cadastros!$N$6:$N$12)))</f>
        <v/>
      </c>
      <c r="P672" s="168" t="str">
        <f t="shared" si="132"/>
        <v/>
      </c>
      <c r="Q672" s="168" t="str">
        <f>IFERROR(P672/_xlfn.XLOOKUP(_xlfn.XLOOKUP($F672,Clientes!$B$4:$B$39,Clientes!$C$4:$C$39),Cadastros!$L$6:$L$12,Cadastros!$M$6:$M$12)," ")</f>
        <v xml:space="preserve"> </v>
      </c>
      <c r="R672" s="28"/>
      <c r="S672" s="28"/>
      <c r="T672" s="255" t="str">
        <f>IF(R672="","",(_xlfn.XLOOKUP(R672,Cadastros!$D$6:$D$90,Cadastros!$E$6:$E$90))*(1-_xlfn.XLOOKUP(_xlfn.XLOOKUP($F672,Clientes!$B$4:$B$39,Clientes!$C$4:$C$39),Cadastros!$L$6:$L$12,Cadastros!$N$6:$N$12)))</f>
        <v/>
      </c>
      <c r="U672" s="168" t="str">
        <f t="shared" si="133"/>
        <v/>
      </c>
      <c r="V672" s="168" t="str">
        <f>IFERROR(U672/_xlfn.XLOOKUP(_xlfn.XLOOKUP($F672,Clientes!$B$4:$B$39,Clientes!$C$4:$C$39),Cadastros!$L$6:$L$12,Cadastros!$M$6:$M$12)," ")</f>
        <v xml:space="preserve"> </v>
      </c>
      <c r="W672" s="28"/>
      <c r="X672" s="28"/>
      <c r="Y672" s="255" t="str">
        <f>IF(W672="","",(_xlfn.XLOOKUP(W672,Cadastros!$D$6:$D$90,Cadastros!$E$6:$E$90))*(1-_xlfn.XLOOKUP(_xlfn.XLOOKUP($F672,Clientes!$B$4:$B$39,Clientes!$C$4:$C$39),Cadastros!$L$6:$L$12,Cadastros!$N$6:$N$12)))</f>
        <v/>
      </c>
      <c r="Z672" s="168" t="str">
        <f t="shared" si="134"/>
        <v/>
      </c>
      <c r="AA672" s="168" t="str">
        <f>IFERROR(Z672/_xlfn.XLOOKUP(_xlfn.XLOOKUP($F672,Clientes!$B$4:$B$39,Clientes!$C$4:$C$39),Cadastros!$L$6:$L$12,Cadastros!$M$6:$M$12)," ")</f>
        <v xml:space="preserve"> </v>
      </c>
      <c r="AB672" s="28"/>
      <c r="AC672" s="28"/>
      <c r="AD672" s="20" t="str">
        <f>IF(AB672="","",IF($F672="Bernardino Furlan",_xlfn.XLOOKUP(AB672,Cadastros!$G$6:$G$90,Cadastros!$H$6:$H$90)*(1-0.18),IF($F672="Mauro José Salanti",_xlfn.XLOOKUP(AB672,Cadastros!$G$6:$G$90,Cadastros!$H$6:$H$90)*(1-0.18),_xlfn.XLOOKUP(AB672,Cadastros!$G$6:$G$90,Cadastros!$H$6:$H$90))))</f>
        <v/>
      </c>
      <c r="AE672" s="168" t="str">
        <f t="shared" si="135"/>
        <v/>
      </c>
      <c r="AF672" s="168" t="str">
        <f t="shared" si="136"/>
        <v/>
      </c>
      <c r="AG672" s="28"/>
      <c r="AH672" s="28"/>
      <c r="AI672" s="20" t="str">
        <f>IF(AG672="","",IF($F672="Bernardino Furlan",_xlfn.XLOOKUP(AG672,Cadastros!$G$6:$G$90,Cadastros!$H$6:$H$90)*(1-0.18),IF($F672="Mauro José Salanti",_xlfn.XLOOKUP(AG672,Cadastros!$G$6:$G$90,Cadastros!$H$6:$H$90)*(1-0.18),_xlfn.XLOOKUP(AG672,Cadastros!$G$6:$G$90,Cadastros!$H$6:$H$90))))</f>
        <v/>
      </c>
      <c r="AJ672" s="168" t="str">
        <f t="shared" si="137"/>
        <v/>
      </c>
      <c r="AK672" s="168" t="str">
        <f t="shared" si="138"/>
        <v/>
      </c>
      <c r="AL672" s="28"/>
      <c r="AM672" s="28"/>
      <c r="AN672" s="20" t="str">
        <f>IF(AL672="","",IF($F672="Bernardino Furlan",_xlfn.XLOOKUP(AL672,Cadastros!$G$6:$G$90,Cadastros!$H$6:$H$90)*(1-0.18),IF($F672="Mauro José Salanti",_xlfn.XLOOKUP(AL672,Cadastros!$G$6:$G$90,Cadastros!$H$6:$H$90)*(1-0.18),_xlfn.XLOOKUP(AL672,Cadastros!$G$6:$G$90,Cadastros!$H$6:$H$90))))</f>
        <v/>
      </c>
      <c r="AO672" s="168" t="str">
        <f t="shared" si="139"/>
        <v/>
      </c>
      <c r="AP672" s="168" t="str">
        <f t="shared" si="140"/>
        <v/>
      </c>
      <c r="AQ672" s="28"/>
      <c r="AR672" s="28"/>
      <c r="AS672" s="20" t="str">
        <f>IF(AQ672="","",IF($F672="Bernardino Furlan",_xlfn.XLOOKUP(AQ672,Cadastros!$G$6:$G$90,Cadastros!$H$6:$H$90)*(1-0.18),IF($F672="Mauro José Salanti",_xlfn.XLOOKUP(AQ672,Cadastros!$G$6:$G$90,Cadastros!$H$6:$H$90)*(1-0.18),_xlfn.XLOOKUP(AQ672,Cadastros!$G$6:$G$90,Cadastros!$H$6:$H$90))))</f>
        <v/>
      </c>
      <c r="AT672" s="168" t="str">
        <f t="shared" si="141"/>
        <v/>
      </c>
      <c r="AU672" s="168" t="str">
        <f t="shared" si="142"/>
        <v/>
      </c>
      <c r="AV672" s="227"/>
      <c r="AW672" s="30"/>
      <c r="AX672" s="267"/>
      <c r="AY672" s="267"/>
      <c r="AZ672" s="29"/>
      <c r="BA672" s="30"/>
      <c r="BB672" s="23" t="str" cm="1">
        <f t="array" ref="BB672">_xlfn.IFS(AW672="SIM",SUM(K672,P672,U672,Z672,AE672,AJ672,AO672,AT672,AX672,AY672),F672&lt;&gt;"",SUM(K672,P672,U672,Z672,AE672,AJ672,,AO672,AT672),F672="","")</f>
        <v/>
      </c>
      <c r="BC672" s="211" t="str" cm="1">
        <f t="array" ref="BC672">_xlfn.IFS(E672="","",G672&lt;=E672,BB672*(1-0.03),G672&lt;(E672+8),BB672,AZ672="Boleto",BB672*(1+0.001)^DATEDIF(E672,G672,"D"),AZ672="Cheque",BB672,AZ672="Dinheiro","Alterar forma pgto")</f>
        <v/>
      </c>
      <c r="BD672" s="276" t="str" cm="1">
        <f t="array" ref="BD672">IF(F672=0," ",IF(BC672&lt;BB672,(_xlfn.IFS(AW672="SIM",SUM(L672,Q672,V672,AA672,AF672,AK672,AP672,AU672)+AX672/_xlfn.XLOOKUP(_xlfn.XLOOKUP($F672,Clientes!$B$4:$B$39,Clientes!$C$4:$C$39),Cadastros!$L$6:$L$12,Cadastros!$M$6:$M$12)+IF($F672="Bernardino Furlan",AY672/2751.92,IF($F672="Mauro José Salanti",AY672/2751.92,AY672/3356)),F672&lt;&gt;0,SUM(L672,Q672,V672,AA672,AF672,AK672,AP672,AU672)))*(1-0.03),_xlfn.IFS(AW672="SIM",SUM(L672,Q672,V672,AA672,AF672,AK672,AP672,AU672)+AX672/_xlfn.XLOOKUP(_xlfn.XLOOKUP($F672,Clientes!$B$4:$B$39,Clientes!$C$4:$C$39),Cadastros!$L$6:$L$12,Cadastros!$M$6:$M$12)+IF($F672="Bernardino Furlan",AY672/2751.92,IF($F672="Mauro José Salanti",AY672/2751.92,AY672/3356)),F672&lt;&gt;0,SUM(L672,Q672,V672,AA672,AF672,AK672,AP672,AU672))))</f>
        <v xml:space="preserve"> </v>
      </c>
      <c r="BE672" s="120"/>
      <c r="BF672" s="120"/>
      <c r="BG672" s="120"/>
    </row>
    <row r="673" spans="1:59" s="3" customFormat="1" x14ac:dyDescent="0.3">
      <c r="A673" s="15" t="str">
        <f t="shared" si="130"/>
        <v/>
      </c>
      <c r="B673" s="25"/>
      <c r="C673" s="26"/>
      <c r="D673" s="279"/>
      <c r="E673" s="27"/>
      <c r="F673" s="28"/>
      <c r="G673" s="27"/>
      <c r="H673" s="28"/>
      <c r="I673" s="28"/>
      <c r="J673" s="255" t="str">
        <f>IF(H673="","",(_xlfn.XLOOKUP(H673,Cadastros!$D$6:$D$90,Cadastros!$E$6:$E$90))*(1-_xlfn.XLOOKUP(_xlfn.XLOOKUP($F673,Clientes!$B$4:$B$39,Clientes!$C$4:$C$39),Cadastros!$L$6:$L$12,Cadastros!$N$6:$N$12)))</f>
        <v/>
      </c>
      <c r="K673" s="168" t="str">
        <f t="shared" si="131"/>
        <v/>
      </c>
      <c r="L673" s="168" t="str">
        <f>IFERROR(K673/_xlfn.XLOOKUP(_xlfn.XLOOKUP($F673,Clientes!$B$4:$B$39,Clientes!$C$4:$C$39),Cadastros!$L$6:$L$12,Cadastros!$M$6:$M$12)," ")</f>
        <v xml:space="preserve"> </v>
      </c>
      <c r="M673" s="28"/>
      <c r="N673" s="28"/>
      <c r="O673" s="255" t="str">
        <f>IF(M673="","",(_xlfn.XLOOKUP(M673,Cadastros!$D$6:$D$90,Cadastros!$E$6:$E$90))*(1-_xlfn.XLOOKUP(_xlfn.XLOOKUP($F673,Clientes!$B$4:$B$39,Clientes!$C$4:$C$39),Cadastros!$L$6:$L$12,Cadastros!$N$6:$N$12)))</f>
        <v/>
      </c>
      <c r="P673" s="168" t="str">
        <f t="shared" si="132"/>
        <v/>
      </c>
      <c r="Q673" s="168" t="str">
        <f>IFERROR(P673/_xlfn.XLOOKUP(_xlfn.XLOOKUP($F673,Clientes!$B$4:$B$39,Clientes!$C$4:$C$39),Cadastros!$L$6:$L$12,Cadastros!$M$6:$M$12)," ")</f>
        <v xml:space="preserve"> </v>
      </c>
      <c r="R673" s="28"/>
      <c r="S673" s="28"/>
      <c r="T673" s="255" t="str">
        <f>IF(R673="","",(_xlfn.XLOOKUP(R673,Cadastros!$D$6:$D$90,Cadastros!$E$6:$E$90))*(1-_xlfn.XLOOKUP(_xlfn.XLOOKUP($F673,Clientes!$B$4:$B$39,Clientes!$C$4:$C$39),Cadastros!$L$6:$L$12,Cadastros!$N$6:$N$12)))</f>
        <v/>
      </c>
      <c r="U673" s="168" t="str">
        <f t="shared" si="133"/>
        <v/>
      </c>
      <c r="V673" s="168" t="str">
        <f>IFERROR(U673/_xlfn.XLOOKUP(_xlfn.XLOOKUP($F673,Clientes!$B$4:$B$39,Clientes!$C$4:$C$39),Cadastros!$L$6:$L$12,Cadastros!$M$6:$M$12)," ")</f>
        <v xml:space="preserve"> </v>
      </c>
      <c r="W673" s="28"/>
      <c r="X673" s="28"/>
      <c r="Y673" s="255" t="str">
        <f>IF(W673="","",(_xlfn.XLOOKUP(W673,Cadastros!$D$6:$D$90,Cadastros!$E$6:$E$90))*(1-_xlfn.XLOOKUP(_xlfn.XLOOKUP($F673,Clientes!$B$4:$B$39,Clientes!$C$4:$C$39),Cadastros!$L$6:$L$12,Cadastros!$N$6:$N$12)))</f>
        <v/>
      </c>
      <c r="Z673" s="168" t="str">
        <f t="shared" si="134"/>
        <v/>
      </c>
      <c r="AA673" s="168" t="str">
        <f>IFERROR(Z673/_xlfn.XLOOKUP(_xlfn.XLOOKUP($F673,Clientes!$B$4:$B$39,Clientes!$C$4:$C$39),Cadastros!$L$6:$L$12,Cadastros!$M$6:$M$12)," ")</f>
        <v xml:space="preserve"> </v>
      </c>
      <c r="AB673" s="28"/>
      <c r="AC673" s="28"/>
      <c r="AD673" s="20" t="str">
        <f>IF(AB673="","",IF($F673="Bernardino Furlan",_xlfn.XLOOKUP(AB673,Cadastros!$G$6:$G$90,Cadastros!$H$6:$H$90)*(1-0.18),IF($F673="Mauro José Salanti",_xlfn.XLOOKUP(AB673,Cadastros!$G$6:$G$90,Cadastros!$H$6:$H$90)*(1-0.18),_xlfn.XLOOKUP(AB673,Cadastros!$G$6:$G$90,Cadastros!$H$6:$H$90))))</f>
        <v/>
      </c>
      <c r="AE673" s="168" t="str">
        <f t="shared" si="135"/>
        <v/>
      </c>
      <c r="AF673" s="168" t="str">
        <f t="shared" si="136"/>
        <v/>
      </c>
      <c r="AG673" s="28"/>
      <c r="AH673" s="28"/>
      <c r="AI673" s="20" t="str">
        <f>IF(AG673="","",IF($F673="Bernardino Furlan",_xlfn.XLOOKUP(AG673,Cadastros!$G$6:$G$90,Cadastros!$H$6:$H$90)*(1-0.18),IF($F673="Mauro José Salanti",_xlfn.XLOOKUP(AG673,Cadastros!$G$6:$G$90,Cadastros!$H$6:$H$90)*(1-0.18),_xlfn.XLOOKUP(AG673,Cadastros!$G$6:$G$90,Cadastros!$H$6:$H$90))))</f>
        <v/>
      </c>
      <c r="AJ673" s="168" t="str">
        <f t="shared" si="137"/>
        <v/>
      </c>
      <c r="AK673" s="168" t="str">
        <f t="shared" si="138"/>
        <v/>
      </c>
      <c r="AL673" s="28"/>
      <c r="AM673" s="28"/>
      <c r="AN673" s="20" t="str">
        <f>IF(AL673="","",IF($F673="Bernardino Furlan",_xlfn.XLOOKUP(AL673,Cadastros!$G$6:$G$90,Cadastros!$H$6:$H$90)*(1-0.18),IF($F673="Mauro José Salanti",_xlfn.XLOOKUP(AL673,Cadastros!$G$6:$G$90,Cadastros!$H$6:$H$90)*(1-0.18),_xlfn.XLOOKUP(AL673,Cadastros!$G$6:$G$90,Cadastros!$H$6:$H$90))))</f>
        <v/>
      </c>
      <c r="AO673" s="168" t="str">
        <f t="shared" si="139"/>
        <v/>
      </c>
      <c r="AP673" s="168" t="str">
        <f t="shared" si="140"/>
        <v/>
      </c>
      <c r="AQ673" s="28"/>
      <c r="AR673" s="28"/>
      <c r="AS673" s="20" t="str">
        <f>IF(AQ673="","",IF($F673="Bernardino Furlan",_xlfn.XLOOKUP(AQ673,Cadastros!$G$6:$G$90,Cadastros!$H$6:$H$90)*(1-0.18),IF($F673="Mauro José Salanti",_xlfn.XLOOKUP(AQ673,Cadastros!$G$6:$G$90,Cadastros!$H$6:$H$90)*(1-0.18),_xlfn.XLOOKUP(AQ673,Cadastros!$G$6:$G$90,Cadastros!$H$6:$H$90))))</f>
        <v/>
      </c>
      <c r="AT673" s="168" t="str">
        <f t="shared" si="141"/>
        <v/>
      </c>
      <c r="AU673" s="168" t="str">
        <f t="shared" si="142"/>
        <v/>
      </c>
      <c r="AV673" s="227"/>
      <c r="AW673" s="30"/>
      <c r="AX673" s="267"/>
      <c r="AY673" s="267"/>
      <c r="AZ673" s="29"/>
      <c r="BA673" s="30"/>
      <c r="BB673" s="23" t="str" cm="1">
        <f t="array" ref="BB673">_xlfn.IFS(AW673="SIM",SUM(K673,P673,U673,Z673,AE673,AJ673,AO673,AT673,AX673,AY673),F673&lt;&gt;"",SUM(K673,P673,U673,Z673,AE673,AJ673,,AO673,AT673),F673="","")</f>
        <v/>
      </c>
      <c r="BC673" s="211" t="str" cm="1">
        <f t="array" ref="BC673">_xlfn.IFS(E673="","",G673&lt;=E673,BB673*(1-0.03),G673&lt;(E673+8),BB673,AZ673="Boleto",BB673*(1+0.001)^DATEDIF(E673,G673,"D"),AZ673="Cheque",BB673,AZ673="Dinheiro","Alterar forma pgto")</f>
        <v/>
      </c>
      <c r="BD673" s="276" t="str" cm="1">
        <f t="array" ref="BD673">IF(F673=0," ",IF(BC673&lt;BB673,(_xlfn.IFS(AW673="SIM",SUM(L673,Q673,V673,AA673,AF673,AK673,AP673,AU673)+AX673/_xlfn.XLOOKUP(_xlfn.XLOOKUP($F673,Clientes!$B$4:$B$39,Clientes!$C$4:$C$39),Cadastros!$L$6:$L$12,Cadastros!$M$6:$M$12)+IF($F673="Bernardino Furlan",AY673/2751.92,IF($F673="Mauro José Salanti",AY673/2751.92,AY673/3356)),F673&lt;&gt;0,SUM(L673,Q673,V673,AA673,AF673,AK673,AP673,AU673)))*(1-0.03),_xlfn.IFS(AW673="SIM",SUM(L673,Q673,V673,AA673,AF673,AK673,AP673,AU673)+AX673/_xlfn.XLOOKUP(_xlfn.XLOOKUP($F673,Clientes!$B$4:$B$39,Clientes!$C$4:$C$39),Cadastros!$L$6:$L$12,Cadastros!$M$6:$M$12)+IF($F673="Bernardino Furlan",AY673/2751.92,IF($F673="Mauro José Salanti",AY673/2751.92,AY673/3356)),F673&lt;&gt;0,SUM(L673,Q673,V673,AA673,AF673,AK673,AP673,AU673))))</f>
        <v xml:space="preserve"> </v>
      </c>
      <c r="BE673" s="120"/>
      <c r="BF673" s="120"/>
      <c r="BG673" s="120"/>
    </row>
    <row r="674" spans="1:59" s="3" customFormat="1" x14ac:dyDescent="0.3">
      <c r="A674" s="15" t="str">
        <f t="shared" si="130"/>
        <v/>
      </c>
      <c r="B674" s="25"/>
      <c r="C674" s="26"/>
      <c r="D674" s="279"/>
      <c r="E674" s="27"/>
      <c r="F674" s="28"/>
      <c r="G674" s="27"/>
      <c r="H674" s="28"/>
      <c r="I674" s="28"/>
      <c r="J674" s="255" t="str">
        <f>IF(H674="","",(_xlfn.XLOOKUP(H674,Cadastros!$D$6:$D$90,Cadastros!$E$6:$E$90))*(1-_xlfn.XLOOKUP(_xlfn.XLOOKUP($F674,Clientes!$B$4:$B$39,Clientes!$C$4:$C$39),Cadastros!$L$6:$L$12,Cadastros!$N$6:$N$12)))</f>
        <v/>
      </c>
      <c r="K674" s="168" t="str">
        <f t="shared" si="131"/>
        <v/>
      </c>
      <c r="L674" s="168" t="str">
        <f>IFERROR(K674/_xlfn.XLOOKUP(_xlfn.XLOOKUP($F674,Clientes!$B$4:$B$39,Clientes!$C$4:$C$39),Cadastros!$L$6:$L$12,Cadastros!$M$6:$M$12)," ")</f>
        <v xml:space="preserve"> </v>
      </c>
      <c r="M674" s="28"/>
      <c r="N674" s="28"/>
      <c r="O674" s="255" t="str">
        <f>IF(M674="","",(_xlfn.XLOOKUP(M674,Cadastros!$D$6:$D$90,Cadastros!$E$6:$E$90))*(1-_xlfn.XLOOKUP(_xlfn.XLOOKUP($F674,Clientes!$B$4:$B$39,Clientes!$C$4:$C$39),Cadastros!$L$6:$L$12,Cadastros!$N$6:$N$12)))</f>
        <v/>
      </c>
      <c r="P674" s="168" t="str">
        <f t="shared" si="132"/>
        <v/>
      </c>
      <c r="Q674" s="168" t="str">
        <f>IFERROR(P674/_xlfn.XLOOKUP(_xlfn.XLOOKUP($F674,Clientes!$B$4:$B$39,Clientes!$C$4:$C$39),Cadastros!$L$6:$L$12,Cadastros!$M$6:$M$12)," ")</f>
        <v xml:space="preserve"> </v>
      </c>
      <c r="R674" s="28"/>
      <c r="S674" s="28"/>
      <c r="T674" s="255" t="str">
        <f>IF(R674="","",(_xlfn.XLOOKUP(R674,Cadastros!$D$6:$D$90,Cadastros!$E$6:$E$90))*(1-_xlfn.XLOOKUP(_xlfn.XLOOKUP($F674,Clientes!$B$4:$B$39,Clientes!$C$4:$C$39),Cadastros!$L$6:$L$12,Cadastros!$N$6:$N$12)))</f>
        <v/>
      </c>
      <c r="U674" s="168" t="str">
        <f t="shared" si="133"/>
        <v/>
      </c>
      <c r="V674" s="168" t="str">
        <f>IFERROR(U674/_xlfn.XLOOKUP(_xlfn.XLOOKUP($F674,Clientes!$B$4:$B$39,Clientes!$C$4:$C$39),Cadastros!$L$6:$L$12,Cadastros!$M$6:$M$12)," ")</f>
        <v xml:space="preserve"> </v>
      </c>
      <c r="W674" s="28"/>
      <c r="X674" s="28"/>
      <c r="Y674" s="255" t="str">
        <f>IF(W674="","",(_xlfn.XLOOKUP(W674,Cadastros!$D$6:$D$90,Cadastros!$E$6:$E$90))*(1-_xlfn.XLOOKUP(_xlfn.XLOOKUP($F674,Clientes!$B$4:$B$39,Clientes!$C$4:$C$39),Cadastros!$L$6:$L$12,Cadastros!$N$6:$N$12)))</f>
        <v/>
      </c>
      <c r="Z674" s="168" t="str">
        <f t="shared" si="134"/>
        <v/>
      </c>
      <c r="AA674" s="168" t="str">
        <f>IFERROR(Z674/_xlfn.XLOOKUP(_xlfn.XLOOKUP($F674,Clientes!$B$4:$B$39,Clientes!$C$4:$C$39),Cadastros!$L$6:$L$12,Cadastros!$M$6:$M$12)," ")</f>
        <v xml:space="preserve"> </v>
      </c>
      <c r="AB674" s="28"/>
      <c r="AC674" s="28"/>
      <c r="AD674" s="20" t="str">
        <f>IF(AB674="","",IF($F674="Bernardino Furlan",_xlfn.XLOOKUP(AB674,Cadastros!$G$6:$G$90,Cadastros!$H$6:$H$90)*(1-0.18),IF($F674="Mauro José Salanti",_xlfn.XLOOKUP(AB674,Cadastros!$G$6:$G$90,Cadastros!$H$6:$H$90)*(1-0.18),_xlfn.XLOOKUP(AB674,Cadastros!$G$6:$G$90,Cadastros!$H$6:$H$90))))</f>
        <v/>
      </c>
      <c r="AE674" s="168" t="str">
        <f t="shared" si="135"/>
        <v/>
      </c>
      <c r="AF674" s="168" t="str">
        <f t="shared" si="136"/>
        <v/>
      </c>
      <c r="AG674" s="28"/>
      <c r="AH674" s="28"/>
      <c r="AI674" s="20" t="str">
        <f>IF(AG674="","",IF($F674="Bernardino Furlan",_xlfn.XLOOKUP(AG674,Cadastros!$G$6:$G$90,Cadastros!$H$6:$H$90)*(1-0.18),IF($F674="Mauro José Salanti",_xlfn.XLOOKUP(AG674,Cadastros!$G$6:$G$90,Cadastros!$H$6:$H$90)*(1-0.18),_xlfn.XLOOKUP(AG674,Cadastros!$G$6:$G$90,Cadastros!$H$6:$H$90))))</f>
        <v/>
      </c>
      <c r="AJ674" s="168" t="str">
        <f t="shared" si="137"/>
        <v/>
      </c>
      <c r="AK674" s="168" t="str">
        <f t="shared" si="138"/>
        <v/>
      </c>
      <c r="AL674" s="28"/>
      <c r="AM674" s="28"/>
      <c r="AN674" s="20" t="str">
        <f>IF(AL674="","",IF($F674="Bernardino Furlan",_xlfn.XLOOKUP(AL674,Cadastros!$G$6:$G$90,Cadastros!$H$6:$H$90)*(1-0.18),IF($F674="Mauro José Salanti",_xlfn.XLOOKUP(AL674,Cadastros!$G$6:$G$90,Cadastros!$H$6:$H$90)*(1-0.18),_xlfn.XLOOKUP(AL674,Cadastros!$G$6:$G$90,Cadastros!$H$6:$H$90))))</f>
        <v/>
      </c>
      <c r="AO674" s="168" t="str">
        <f t="shared" si="139"/>
        <v/>
      </c>
      <c r="AP674" s="168" t="str">
        <f t="shared" si="140"/>
        <v/>
      </c>
      <c r="AQ674" s="28"/>
      <c r="AR674" s="28"/>
      <c r="AS674" s="20" t="str">
        <f>IF(AQ674="","",IF($F674="Bernardino Furlan",_xlfn.XLOOKUP(AQ674,Cadastros!$G$6:$G$90,Cadastros!$H$6:$H$90)*(1-0.18),IF($F674="Mauro José Salanti",_xlfn.XLOOKUP(AQ674,Cadastros!$G$6:$G$90,Cadastros!$H$6:$H$90)*(1-0.18),_xlfn.XLOOKUP(AQ674,Cadastros!$G$6:$G$90,Cadastros!$H$6:$H$90))))</f>
        <v/>
      </c>
      <c r="AT674" s="168" t="str">
        <f t="shared" si="141"/>
        <v/>
      </c>
      <c r="AU674" s="168" t="str">
        <f t="shared" si="142"/>
        <v/>
      </c>
      <c r="AV674" s="227"/>
      <c r="AW674" s="30"/>
      <c r="AX674" s="267"/>
      <c r="AY674" s="267"/>
      <c r="AZ674" s="29"/>
      <c r="BA674" s="30"/>
      <c r="BB674" s="23" t="str" cm="1">
        <f t="array" ref="BB674">_xlfn.IFS(AW674="SIM",SUM(K674,P674,U674,Z674,AE674,AJ674,AO674,AT674,AX674,AY674),F674&lt;&gt;"",SUM(K674,P674,U674,Z674,AE674,AJ674,,AO674,AT674),F674="","")</f>
        <v/>
      </c>
      <c r="BC674" s="211" t="str" cm="1">
        <f t="array" ref="BC674">_xlfn.IFS(E674="","",G674&lt;=E674,BB674*(1-0.03),G674&lt;(E674+8),BB674,AZ674="Boleto",BB674*(1+0.001)^DATEDIF(E674,G674,"D"),AZ674="Cheque",BB674,AZ674="Dinheiro","Alterar forma pgto")</f>
        <v/>
      </c>
      <c r="BD674" s="276" t="str" cm="1">
        <f t="array" ref="BD674">IF(F674=0," ",IF(BC674&lt;BB674,(_xlfn.IFS(AW674="SIM",SUM(L674,Q674,V674,AA674,AF674,AK674,AP674,AU674)+AX674/_xlfn.XLOOKUP(_xlfn.XLOOKUP($F674,Clientes!$B$4:$B$39,Clientes!$C$4:$C$39),Cadastros!$L$6:$L$12,Cadastros!$M$6:$M$12)+IF($F674="Bernardino Furlan",AY674/2751.92,IF($F674="Mauro José Salanti",AY674/2751.92,AY674/3356)),F674&lt;&gt;0,SUM(L674,Q674,V674,AA674,AF674,AK674,AP674,AU674)))*(1-0.03),_xlfn.IFS(AW674="SIM",SUM(L674,Q674,V674,AA674,AF674,AK674,AP674,AU674)+AX674/_xlfn.XLOOKUP(_xlfn.XLOOKUP($F674,Clientes!$B$4:$B$39,Clientes!$C$4:$C$39),Cadastros!$L$6:$L$12,Cadastros!$M$6:$M$12)+IF($F674="Bernardino Furlan",AY674/2751.92,IF($F674="Mauro José Salanti",AY674/2751.92,AY674/3356)),F674&lt;&gt;0,SUM(L674,Q674,V674,AA674,AF674,AK674,AP674,AU674))))</f>
        <v xml:space="preserve"> </v>
      </c>
      <c r="BE674" s="120"/>
      <c r="BF674" s="120"/>
      <c r="BG674" s="120"/>
    </row>
    <row r="675" spans="1:59" s="3" customFormat="1" x14ac:dyDescent="0.3">
      <c r="A675" s="15" t="str">
        <f t="shared" si="130"/>
        <v/>
      </c>
      <c r="B675" s="25"/>
      <c r="C675" s="26"/>
      <c r="D675" s="279"/>
      <c r="E675" s="27"/>
      <c r="F675" s="28"/>
      <c r="G675" s="27"/>
      <c r="H675" s="28"/>
      <c r="I675" s="28"/>
      <c r="J675" s="255" t="str">
        <f>IF(H675="","",(_xlfn.XLOOKUP(H675,Cadastros!$D$6:$D$90,Cadastros!$E$6:$E$90))*(1-_xlfn.XLOOKUP(_xlfn.XLOOKUP($F675,Clientes!$B$4:$B$39,Clientes!$C$4:$C$39),Cadastros!$L$6:$L$12,Cadastros!$N$6:$N$12)))</f>
        <v/>
      </c>
      <c r="K675" s="168" t="str">
        <f t="shared" si="131"/>
        <v/>
      </c>
      <c r="L675" s="168" t="str">
        <f>IFERROR(K675/_xlfn.XLOOKUP(_xlfn.XLOOKUP($F675,Clientes!$B$4:$B$39,Clientes!$C$4:$C$39),Cadastros!$L$6:$L$12,Cadastros!$M$6:$M$12)," ")</f>
        <v xml:space="preserve"> </v>
      </c>
      <c r="M675" s="28"/>
      <c r="N675" s="28"/>
      <c r="O675" s="255" t="str">
        <f>IF(M675="","",(_xlfn.XLOOKUP(M675,Cadastros!$D$6:$D$90,Cadastros!$E$6:$E$90))*(1-_xlfn.XLOOKUP(_xlfn.XLOOKUP($F675,Clientes!$B$4:$B$39,Clientes!$C$4:$C$39),Cadastros!$L$6:$L$12,Cadastros!$N$6:$N$12)))</f>
        <v/>
      </c>
      <c r="P675" s="168" t="str">
        <f t="shared" si="132"/>
        <v/>
      </c>
      <c r="Q675" s="168" t="str">
        <f>IFERROR(P675/_xlfn.XLOOKUP(_xlfn.XLOOKUP($F675,Clientes!$B$4:$B$39,Clientes!$C$4:$C$39),Cadastros!$L$6:$L$12,Cadastros!$M$6:$M$12)," ")</f>
        <v xml:space="preserve"> </v>
      </c>
      <c r="R675" s="28"/>
      <c r="S675" s="28"/>
      <c r="T675" s="255" t="str">
        <f>IF(R675="","",(_xlfn.XLOOKUP(R675,Cadastros!$D$6:$D$90,Cadastros!$E$6:$E$90))*(1-_xlfn.XLOOKUP(_xlfn.XLOOKUP($F675,Clientes!$B$4:$B$39,Clientes!$C$4:$C$39),Cadastros!$L$6:$L$12,Cadastros!$N$6:$N$12)))</f>
        <v/>
      </c>
      <c r="U675" s="168" t="str">
        <f t="shared" si="133"/>
        <v/>
      </c>
      <c r="V675" s="168" t="str">
        <f>IFERROR(U675/_xlfn.XLOOKUP(_xlfn.XLOOKUP($F675,Clientes!$B$4:$B$39,Clientes!$C$4:$C$39),Cadastros!$L$6:$L$12,Cadastros!$M$6:$M$12)," ")</f>
        <v xml:space="preserve"> </v>
      </c>
      <c r="W675" s="28"/>
      <c r="X675" s="28"/>
      <c r="Y675" s="255" t="str">
        <f>IF(W675="","",(_xlfn.XLOOKUP(W675,Cadastros!$D$6:$D$90,Cadastros!$E$6:$E$90))*(1-_xlfn.XLOOKUP(_xlfn.XLOOKUP($F675,Clientes!$B$4:$B$39,Clientes!$C$4:$C$39),Cadastros!$L$6:$L$12,Cadastros!$N$6:$N$12)))</f>
        <v/>
      </c>
      <c r="Z675" s="168" t="str">
        <f t="shared" si="134"/>
        <v/>
      </c>
      <c r="AA675" s="168" t="str">
        <f>IFERROR(Z675/_xlfn.XLOOKUP(_xlfn.XLOOKUP($F675,Clientes!$B$4:$B$39,Clientes!$C$4:$C$39),Cadastros!$L$6:$L$12,Cadastros!$M$6:$M$12)," ")</f>
        <v xml:space="preserve"> </v>
      </c>
      <c r="AB675" s="28"/>
      <c r="AC675" s="28"/>
      <c r="AD675" s="20" t="str">
        <f>IF(AB675="","",IF($F675="Bernardino Furlan",_xlfn.XLOOKUP(AB675,Cadastros!$G$6:$G$90,Cadastros!$H$6:$H$90)*(1-0.18),IF($F675="Mauro José Salanti",_xlfn.XLOOKUP(AB675,Cadastros!$G$6:$G$90,Cadastros!$H$6:$H$90)*(1-0.18),_xlfn.XLOOKUP(AB675,Cadastros!$G$6:$G$90,Cadastros!$H$6:$H$90))))</f>
        <v/>
      </c>
      <c r="AE675" s="168" t="str">
        <f t="shared" si="135"/>
        <v/>
      </c>
      <c r="AF675" s="168" t="str">
        <f t="shared" si="136"/>
        <v/>
      </c>
      <c r="AG675" s="28"/>
      <c r="AH675" s="28"/>
      <c r="AI675" s="20" t="str">
        <f>IF(AG675="","",IF($F675="Bernardino Furlan",_xlfn.XLOOKUP(AG675,Cadastros!$G$6:$G$90,Cadastros!$H$6:$H$90)*(1-0.18),IF($F675="Mauro José Salanti",_xlfn.XLOOKUP(AG675,Cadastros!$G$6:$G$90,Cadastros!$H$6:$H$90)*(1-0.18),_xlfn.XLOOKUP(AG675,Cadastros!$G$6:$G$90,Cadastros!$H$6:$H$90))))</f>
        <v/>
      </c>
      <c r="AJ675" s="168" t="str">
        <f t="shared" si="137"/>
        <v/>
      </c>
      <c r="AK675" s="168" t="str">
        <f t="shared" si="138"/>
        <v/>
      </c>
      <c r="AL675" s="28"/>
      <c r="AM675" s="28"/>
      <c r="AN675" s="20" t="str">
        <f>IF(AL675="","",IF($F675="Bernardino Furlan",_xlfn.XLOOKUP(AL675,Cadastros!$G$6:$G$90,Cadastros!$H$6:$H$90)*(1-0.18),IF($F675="Mauro José Salanti",_xlfn.XLOOKUP(AL675,Cadastros!$G$6:$G$90,Cadastros!$H$6:$H$90)*(1-0.18),_xlfn.XLOOKUP(AL675,Cadastros!$G$6:$G$90,Cadastros!$H$6:$H$90))))</f>
        <v/>
      </c>
      <c r="AO675" s="168" t="str">
        <f t="shared" si="139"/>
        <v/>
      </c>
      <c r="AP675" s="168" t="str">
        <f t="shared" si="140"/>
        <v/>
      </c>
      <c r="AQ675" s="28"/>
      <c r="AR675" s="28"/>
      <c r="AS675" s="20" t="str">
        <f>IF(AQ675="","",IF($F675="Bernardino Furlan",_xlfn.XLOOKUP(AQ675,Cadastros!$G$6:$G$90,Cadastros!$H$6:$H$90)*(1-0.18),IF($F675="Mauro José Salanti",_xlfn.XLOOKUP(AQ675,Cadastros!$G$6:$G$90,Cadastros!$H$6:$H$90)*(1-0.18),_xlfn.XLOOKUP(AQ675,Cadastros!$G$6:$G$90,Cadastros!$H$6:$H$90))))</f>
        <v/>
      </c>
      <c r="AT675" s="168" t="str">
        <f t="shared" si="141"/>
        <v/>
      </c>
      <c r="AU675" s="168" t="str">
        <f t="shared" si="142"/>
        <v/>
      </c>
      <c r="AV675" s="227"/>
      <c r="AW675" s="30"/>
      <c r="AX675" s="267"/>
      <c r="AY675" s="267"/>
      <c r="AZ675" s="29"/>
      <c r="BA675" s="30"/>
      <c r="BB675" s="23" t="str" cm="1">
        <f t="array" ref="BB675">_xlfn.IFS(AW675="SIM",SUM(K675,P675,U675,Z675,AE675,AJ675,AO675,AT675,AX675,AY675),F675&lt;&gt;"",SUM(K675,P675,U675,Z675,AE675,AJ675,,AO675,AT675),F675="","")</f>
        <v/>
      </c>
      <c r="BC675" s="211" t="str" cm="1">
        <f t="array" ref="BC675">_xlfn.IFS(E675="","",G675&lt;=E675,BB675*(1-0.03),G675&lt;(E675+8),BB675,AZ675="Boleto",BB675*(1+0.001)^DATEDIF(E675,G675,"D"),AZ675="Cheque",BB675,AZ675="Dinheiro","Alterar forma pgto")</f>
        <v/>
      </c>
      <c r="BD675" s="276" t="str" cm="1">
        <f t="array" ref="BD675">IF(F675=0," ",IF(BC675&lt;BB675,(_xlfn.IFS(AW675="SIM",SUM(L675,Q675,V675,AA675,AF675,AK675,AP675,AU675)+AX675/_xlfn.XLOOKUP(_xlfn.XLOOKUP($F675,Clientes!$B$4:$B$39,Clientes!$C$4:$C$39),Cadastros!$L$6:$L$12,Cadastros!$M$6:$M$12)+IF($F675="Bernardino Furlan",AY675/2751.92,IF($F675="Mauro José Salanti",AY675/2751.92,AY675/3356)),F675&lt;&gt;0,SUM(L675,Q675,V675,AA675,AF675,AK675,AP675,AU675)))*(1-0.03),_xlfn.IFS(AW675="SIM",SUM(L675,Q675,V675,AA675,AF675,AK675,AP675,AU675)+AX675/_xlfn.XLOOKUP(_xlfn.XLOOKUP($F675,Clientes!$B$4:$B$39,Clientes!$C$4:$C$39),Cadastros!$L$6:$L$12,Cadastros!$M$6:$M$12)+IF($F675="Bernardino Furlan",AY675/2751.92,IF($F675="Mauro José Salanti",AY675/2751.92,AY675/3356)),F675&lt;&gt;0,SUM(L675,Q675,V675,AA675,AF675,AK675,AP675,AU675))))</f>
        <v xml:space="preserve"> </v>
      </c>
      <c r="BE675" s="120"/>
      <c r="BF675" s="120"/>
      <c r="BG675" s="120"/>
    </row>
    <row r="676" spans="1:59" s="3" customFormat="1" x14ac:dyDescent="0.3">
      <c r="A676" s="15" t="str">
        <f t="shared" si="130"/>
        <v/>
      </c>
      <c r="B676" s="25"/>
      <c r="C676" s="26"/>
      <c r="D676" s="279"/>
      <c r="E676" s="27"/>
      <c r="F676" s="28"/>
      <c r="G676" s="27"/>
      <c r="H676" s="28"/>
      <c r="I676" s="28"/>
      <c r="J676" s="255" t="str">
        <f>IF(H676="","",(_xlfn.XLOOKUP(H676,Cadastros!$D$6:$D$90,Cadastros!$E$6:$E$90))*(1-_xlfn.XLOOKUP(_xlfn.XLOOKUP($F676,Clientes!$B$4:$B$39,Clientes!$C$4:$C$39),Cadastros!$L$6:$L$12,Cadastros!$N$6:$N$12)))</f>
        <v/>
      </c>
      <c r="K676" s="168" t="str">
        <f t="shared" si="131"/>
        <v/>
      </c>
      <c r="L676" s="168" t="str">
        <f>IFERROR(K676/_xlfn.XLOOKUP(_xlfn.XLOOKUP($F676,Clientes!$B$4:$B$39,Clientes!$C$4:$C$39),Cadastros!$L$6:$L$12,Cadastros!$M$6:$M$12)," ")</f>
        <v xml:space="preserve"> </v>
      </c>
      <c r="M676" s="28"/>
      <c r="N676" s="28"/>
      <c r="O676" s="255" t="str">
        <f>IF(M676="","",(_xlfn.XLOOKUP(M676,Cadastros!$D$6:$D$90,Cadastros!$E$6:$E$90))*(1-_xlfn.XLOOKUP(_xlfn.XLOOKUP($F676,Clientes!$B$4:$B$39,Clientes!$C$4:$C$39),Cadastros!$L$6:$L$12,Cadastros!$N$6:$N$12)))</f>
        <v/>
      </c>
      <c r="P676" s="168" t="str">
        <f t="shared" si="132"/>
        <v/>
      </c>
      <c r="Q676" s="168" t="str">
        <f>IFERROR(P676/_xlfn.XLOOKUP(_xlfn.XLOOKUP($F676,Clientes!$B$4:$B$39,Clientes!$C$4:$C$39),Cadastros!$L$6:$L$12,Cadastros!$M$6:$M$12)," ")</f>
        <v xml:space="preserve"> </v>
      </c>
      <c r="R676" s="28"/>
      <c r="S676" s="28"/>
      <c r="T676" s="255" t="str">
        <f>IF(R676="","",(_xlfn.XLOOKUP(R676,Cadastros!$D$6:$D$90,Cadastros!$E$6:$E$90))*(1-_xlfn.XLOOKUP(_xlfn.XLOOKUP($F676,Clientes!$B$4:$B$39,Clientes!$C$4:$C$39),Cadastros!$L$6:$L$12,Cadastros!$N$6:$N$12)))</f>
        <v/>
      </c>
      <c r="U676" s="168" t="str">
        <f t="shared" si="133"/>
        <v/>
      </c>
      <c r="V676" s="168" t="str">
        <f>IFERROR(U676/_xlfn.XLOOKUP(_xlfn.XLOOKUP($F676,Clientes!$B$4:$B$39,Clientes!$C$4:$C$39),Cadastros!$L$6:$L$12,Cadastros!$M$6:$M$12)," ")</f>
        <v xml:space="preserve"> </v>
      </c>
      <c r="W676" s="28"/>
      <c r="X676" s="28"/>
      <c r="Y676" s="255" t="str">
        <f>IF(W676="","",(_xlfn.XLOOKUP(W676,Cadastros!$D$6:$D$90,Cadastros!$E$6:$E$90))*(1-_xlfn.XLOOKUP(_xlfn.XLOOKUP($F676,Clientes!$B$4:$B$39,Clientes!$C$4:$C$39),Cadastros!$L$6:$L$12,Cadastros!$N$6:$N$12)))</f>
        <v/>
      </c>
      <c r="Z676" s="168" t="str">
        <f t="shared" si="134"/>
        <v/>
      </c>
      <c r="AA676" s="168" t="str">
        <f>IFERROR(Z676/_xlfn.XLOOKUP(_xlfn.XLOOKUP($F676,Clientes!$B$4:$B$39,Clientes!$C$4:$C$39),Cadastros!$L$6:$L$12,Cadastros!$M$6:$M$12)," ")</f>
        <v xml:space="preserve"> </v>
      </c>
      <c r="AB676" s="28"/>
      <c r="AC676" s="28"/>
      <c r="AD676" s="20" t="str">
        <f>IF(AB676="","",IF($F676="Bernardino Furlan",_xlfn.XLOOKUP(AB676,Cadastros!$G$6:$G$90,Cadastros!$H$6:$H$90)*(1-0.18),IF($F676="Mauro José Salanti",_xlfn.XLOOKUP(AB676,Cadastros!$G$6:$G$90,Cadastros!$H$6:$H$90)*(1-0.18),_xlfn.XLOOKUP(AB676,Cadastros!$G$6:$G$90,Cadastros!$H$6:$H$90))))</f>
        <v/>
      </c>
      <c r="AE676" s="168" t="str">
        <f t="shared" si="135"/>
        <v/>
      </c>
      <c r="AF676" s="168" t="str">
        <f t="shared" si="136"/>
        <v/>
      </c>
      <c r="AG676" s="28"/>
      <c r="AH676" s="28"/>
      <c r="AI676" s="20" t="str">
        <f>IF(AG676="","",IF($F676="Bernardino Furlan",_xlfn.XLOOKUP(AG676,Cadastros!$G$6:$G$90,Cadastros!$H$6:$H$90)*(1-0.18),IF($F676="Mauro José Salanti",_xlfn.XLOOKUP(AG676,Cadastros!$G$6:$G$90,Cadastros!$H$6:$H$90)*(1-0.18),_xlfn.XLOOKUP(AG676,Cadastros!$G$6:$G$90,Cadastros!$H$6:$H$90))))</f>
        <v/>
      </c>
      <c r="AJ676" s="168" t="str">
        <f t="shared" si="137"/>
        <v/>
      </c>
      <c r="AK676" s="168" t="str">
        <f t="shared" si="138"/>
        <v/>
      </c>
      <c r="AL676" s="28"/>
      <c r="AM676" s="28"/>
      <c r="AN676" s="20" t="str">
        <f>IF(AL676="","",IF($F676="Bernardino Furlan",_xlfn.XLOOKUP(AL676,Cadastros!$G$6:$G$90,Cadastros!$H$6:$H$90)*(1-0.18),IF($F676="Mauro José Salanti",_xlfn.XLOOKUP(AL676,Cadastros!$G$6:$G$90,Cadastros!$H$6:$H$90)*(1-0.18),_xlfn.XLOOKUP(AL676,Cadastros!$G$6:$G$90,Cadastros!$H$6:$H$90))))</f>
        <v/>
      </c>
      <c r="AO676" s="168" t="str">
        <f t="shared" si="139"/>
        <v/>
      </c>
      <c r="AP676" s="168" t="str">
        <f t="shared" si="140"/>
        <v/>
      </c>
      <c r="AQ676" s="28"/>
      <c r="AR676" s="28"/>
      <c r="AS676" s="20" t="str">
        <f>IF(AQ676="","",IF($F676="Bernardino Furlan",_xlfn.XLOOKUP(AQ676,Cadastros!$G$6:$G$90,Cadastros!$H$6:$H$90)*(1-0.18),IF($F676="Mauro José Salanti",_xlfn.XLOOKUP(AQ676,Cadastros!$G$6:$G$90,Cadastros!$H$6:$H$90)*(1-0.18),_xlfn.XLOOKUP(AQ676,Cadastros!$G$6:$G$90,Cadastros!$H$6:$H$90))))</f>
        <v/>
      </c>
      <c r="AT676" s="168" t="str">
        <f t="shared" si="141"/>
        <v/>
      </c>
      <c r="AU676" s="168" t="str">
        <f t="shared" si="142"/>
        <v/>
      </c>
      <c r="AV676" s="227"/>
      <c r="AW676" s="30"/>
      <c r="AX676" s="267"/>
      <c r="AY676" s="267"/>
      <c r="AZ676" s="29"/>
      <c r="BA676" s="30"/>
      <c r="BB676" s="23" t="str" cm="1">
        <f t="array" ref="BB676">_xlfn.IFS(AW676="SIM",SUM(K676,P676,U676,Z676,AE676,AJ676,AO676,AT676,AX676,AY676),F676&lt;&gt;"",SUM(K676,P676,U676,Z676,AE676,AJ676,,AO676,AT676),F676="","")</f>
        <v/>
      </c>
      <c r="BC676" s="211" t="str" cm="1">
        <f t="array" ref="BC676">_xlfn.IFS(E676="","",G676&lt;=E676,BB676*(1-0.03),G676&lt;(E676+8),BB676,AZ676="Boleto",BB676*(1+0.001)^DATEDIF(E676,G676,"D"),AZ676="Cheque",BB676,AZ676="Dinheiro","Alterar forma pgto")</f>
        <v/>
      </c>
      <c r="BD676" s="276" t="str" cm="1">
        <f t="array" ref="BD676">IF(F676=0," ",IF(BC676&lt;BB676,(_xlfn.IFS(AW676="SIM",SUM(L676,Q676,V676,AA676,AF676,AK676,AP676,AU676)+AX676/_xlfn.XLOOKUP(_xlfn.XLOOKUP($F676,Clientes!$B$4:$B$39,Clientes!$C$4:$C$39),Cadastros!$L$6:$L$12,Cadastros!$M$6:$M$12)+IF($F676="Bernardino Furlan",AY676/2751.92,IF($F676="Mauro José Salanti",AY676/2751.92,AY676/3356)),F676&lt;&gt;0,SUM(L676,Q676,V676,AA676,AF676,AK676,AP676,AU676)))*(1-0.03),_xlfn.IFS(AW676="SIM",SUM(L676,Q676,V676,AA676,AF676,AK676,AP676,AU676)+AX676/_xlfn.XLOOKUP(_xlfn.XLOOKUP($F676,Clientes!$B$4:$B$39,Clientes!$C$4:$C$39),Cadastros!$L$6:$L$12,Cadastros!$M$6:$M$12)+IF($F676="Bernardino Furlan",AY676/2751.92,IF($F676="Mauro José Salanti",AY676/2751.92,AY676/3356)),F676&lt;&gt;0,SUM(L676,Q676,V676,AA676,AF676,AK676,AP676,AU676))))</f>
        <v xml:space="preserve"> </v>
      </c>
      <c r="BE676" s="120"/>
      <c r="BF676" s="120"/>
      <c r="BG676" s="120"/>
    </row>
    <row r="677" spans="1:59" s="3" customFormat="1" x14ac:dyDescent="0.3">
      <c r="A677" s="15" t="str">
        <f t="shared" si="130"/>
        <v/>
      </c>
      <c r="B677" s="25"/>
      <c r="C677" s="26"/>
      <c r="D677" s="279"/>
      <c r="E677" s="27"/>
      <c r="F677" s="28"/>
      <c r="G677" s="27"/>
      <c r="H677" s="28"/>
      <c r="I677" s="28"/>
      <c r="J677" s="255" t="str">
        <f>IF(H677="","",(_xlfn.XLOOKUP(H677,Cadastros!$D$6:$D$90,Cadastros!$E$6:$E$90))*(1-_xlfn.XLOOKUP(_xlfn.XLOOKUP($F677,Clientes!$B$4:$B$39,Clientes!$C$4:$C$39),Cadastros!$L$6:$L$12,Cadastros!$N$6:$N$12)))</f>
        <v/>
      </c>
      <c r="K677" s="168" t="str">
        <f t="shared" si="131"/>
        <v/>
      </c>
      <c r="L677" s="168" t="str">
        <f>IFERROR(K677/_xlfn.XLOOKUP(_xlfn.XLOOKUP($F677,Clientes!$B$4:$B$39,Clientes!$C$4:$C$39),Cadastros!$L$6:$L$12,Cadastros!$M$6:$M$12)," ")</f>
        <v xml:space="preserve"> </v>
      </c>
      <c r="M677" s="28"/>
      <c r="N677" s="28"/>
      <c r="O677" s="255" t="str">
        <f>IF(M677="","",(_xlfn.XLOOKUP(M677,Cadastros!$D$6:$D$90,Cadastros!$E$6:$E$90))*(1-_xlfn.XLOOKUP(_xlfn.XLOOKUP($F677,Clientes!$B$4:$B$39,Clientes!$C$4:$C$39),Cadastros!$L$6:$L$12,Cadastros!$N$6:$N$12)))</f>
        <v/>
      </c>
      <c r="P677" s="168" t="str">
        <f t="shared" si="132"/>
        <v/>
      </c>
      <c r="Q677" s="168" t="str">
        <f>IFERROR(P677/_xlfn.XLOOKUP(_xlfn.XLOOKUP($F677,Clientes!$B$4:$B$39,Clientes!$C$4:$C$39),Cadastros!$L$6:$L$12,Cadastros!$M$6:$M$12)," ")</f>
        <v xml:space="preserve"> </v>
      </c>
      <c r="R677" s="28"/>
      <c r="S677" s="28"/>
      <c r="T677" s="255" t="str">
        <f>IF(R677="","",(_xlfn.XLOOKUP(R677,Cadastros!$D$6:$D$90,Cadastros!$E$6:$E$90))*(1-_xlfn.XLOOKUP(_xlfn.XLOOKUP($F677,Clientes!$B$4:$B$39,Clientes!$C$4:$C$39),Cadastros!$L$6:$L$12,Cadastros!$N$6:$N$12)))</f>
        <v/>
      </c>
      <c r="U677" s="168" t="str">
        <f t="shared" si="133"/>
        <v/>
      </c>
      <c r="V677" s="168" t="str">
        <f>IFERROR(U677/_xlfn.XLOOKUP(_xlfn.XLOOKUP($F677,Clientes!$B$4:$B$39,Clientes!$C$4:$C$39),Cadastros!$L$6:$L$12,Cadastros!$M$6:$M$12)," ")</f>
        <v xml:space="preserve"> </v>
      </c>
      <c r="W677" s="28"/>
      <c r="X677" s="28"/>
      <c r="Y677" s="255" t="str">
        <f>IF(W677="","",(_xlfn.XLOOKUP(W677,Cadastros!$D$6:$D$90,Cadastros!$E$6:$E$90))*(1-_xlfn.XLOOKUP(_xlfn.XLOOKUP($F677,Clientes!$B$4:$B$39,Clientes!$C$4:$C$39),Cadastros!$L$6:$L$12,Cadastros!$N$6:$N$12)))</f>
        <v/>
      </c>
      <c r="Z677" s="168" t="str">
        <f t="shared" si="134"/>
        <v/>
      </c>
      <c r="AA677" s="168" t="str">
        <f>IFERROR(Z677/_xlfn.XLOOKUP(_xlfn.XLOOKUP($F677,Clientes!$B$4:$B$39,Clientes!$C$4:$C$39),Cadastros!$L$6:$L$12,Cadastros!$M$6:$M$12)," ")</f>
        <v xml:space="preserve"> </v>
      </c>
      <c r="AB677" s="28"/>
      <c r="AC677" s="28"/>
      <c r="AD677" s="20" t="str">
        <f>IF(AB677="","",IF($F677="Bernardino Furlan",_xlfn.XLOOKUP(AB677,Cadastros!$G$6:$G$90,Cadastros!$H$6:$H$90)*(1-0.18),IF($F677="Mauro José Salanti",_xlfn.XLOOKUP(AB677,Cadastros!$G$6:$G$90,Cadastros!$H$6:$H$90)*(1-0.18),_xlfn.XLOOKUP(AB677,Cadastros!$G$6:$G$90,Cadastros!$H$6:$H$90))))</f>
        <v/>
      </c>
      <c r="AE677" s="168" t="str">
        <f t="shared" si="135"/>
        <v/>
      </c>
      <c r="AF677" s="168" t="str">
        <f t="shared" si="136"/>
        <v/>
      </c>
      <c r="AG677" s="28"/>
      <c r="AH677" s="28"/>
      <c r="AI677" s="20" t="str">
        <f>IF(AG677="","",IF($F677="Bernardino Furlan",_xlfn.XLOOKUP(AG677,Cadastros!$G$6:$G$90,Cadastros!$H$6:$H$90)*(1-0.18),IF($F677="Mauro José Salanti",_xlfn.XLOOKUP(AG677,Cadastros!$G$6:$G$90,Cadastros!$H$6:$H$90)*(1-0.18),_xlfn.XLOOKUP(AG677,Cadastros!$G$6:$G$90,Cadastros!$H$6:$H$90))))</f>
        <v/>
      </c>
      <c r="AJ677" s="168" t="str">
        <f t="shared" si="137"/>
        <v/>
      </c>
      <c r="AK677" s="168" t="str">
        <f t="shared" si="138"/>
        <v/>
      </c>
      <c r="AL677" s="28"/>
      <c r="AM677" s="28"/>
      <c r="AN677" s="20" t="str">
        <f>IF(AL677="","",IF($F677="Bernardino Furlan",_xlfn.XLOOKUP(AL677,Cadastros!$G$6:$G$90,Cadastros!$H$6:$H$90)*(1-0.18),IF($F677="Mauro José Salanti",_xlfn.XLOOKUP(AL677,Cadastros!$G$6:$G$90,Cadastros!$H$6:$H$90)*(1-0.18),_xlfn.XLOOKUP(AL677,Cadastros!$G$6:$G$90,Cadastros!$H$6:$H$90))))</f>
        <v/>
      </c>
      <c r="AO677" s="168" t="str">
        <f t="shared" si="139"/>
        <v/>
      </c>
      <c r="AP677" s="168" t="str">
        <f t="shared" si="140"/>
        <v/>
      </c>
      <c r="AQ677" s="28"/>
      <c r="AR677" s="28"/>
      <c r="AS677" s="20" t="str">
        <f>IF(AQ677="","",IF($F677="Bernardino Furlan",_xlfn.XLOOKUP(AQ677,Cadastros!$G$6:$G$90,Cadastros!$H$6:$H$90)*(1-0.18),IF($F677="Mauro José Salanti",_xlfn.XLOOKUP(AQ677,Cadastros!$G$6:$G$90,Cadastros!$H$6:$H$90)*(1-0.18),_xlfn.XLOOKUP(AQ677,Cadastros!$G$6:$G$90,Cadastros!$H$6:$H$90))))</f>
        <v/>
      </c>
      <c r="AT677" s="168" t="str">
        <f t="shared" si="141"/>
        <v/>
      </c>
      <c r="AU677" s="168" t="str">
        <f t="shared" si="142"/>
        <v/>
      </c>
      <c r="AV677" s="227"/>
      <c r="AW677" s="30"/>
      <c r="AX677" s="267"/>
      <c r="AY677" s="267"/>
      <c r="AZ677" s="29"/>
      <c r="BA677" s="30"/>
      <c r="BB677" s="23" t="str" cm="1">
        <f t="array" ref="BB677">_xlfn.IFS(AW677="SIM",SUM(K677,P677,U677,Z677,AE677,AJ677,AO677,AT677,AX677,AY677),F677&lt;&gt;"",SUM(K677,P677,U677,Z677,AE677,AJ677,,AO677,AT677),F677="","")</f>
        <v/>
      </c>
      <c r="BC677" s="211" t="str" cm="1">
        <f t="array" ref="BC677">_xlfn.IFS(E677="","",G677&lt;=E677,BB677*(1-0.03),G677&lt;(E677+8),BB677,AZ677="Boleto",BB677*(1+0.001)^DATEDIF(E677,G677,"D"),AZ677="Cheque",BB677,AZ677="Dinheiro","Alterar forma pgto")</f>
        <v/>
      </c>
      <c r="BD677" s="276" t="str" cm="1">
        <f t="array" ref="BD677">IF(F677=0," ",IF(BC677&lt;BB677,(_xlfn.IFS(AW677="SIM",SUM(L677,Q677,V677,AA677,AF677,AK677,AP677,AU677)+AX677/_xlfn.XLOOKUP(_xlfn.XLOOKUP($F677,Clientes!$B$4:$B$39,Clientes!$C$4:$C$39),Cadastros!$L$6:$L$12,Cadastros!$M$6:$M$12)+IF($F677="Bernardino Furlan",AY677/2751.92,IF($F677="Mauro José Salanti",AY677/2751.92,AY677/3356)),F677&lt;&gt;0,SUM(L677,Q677,V677,AA677,AF677,AK677,AP677,AU677)))*(1-0.03),_xlfn.IFS(AW677="SIM",SUM(L677,Q677,V677,AA677,AF677,AK677,AP677,AU677)+AX677/_xlfn.XLOOKUP(_xlfn.XLOOKUP($F677,Clientes!$B$4:$B$39,Clientes!$C$4:$C$39),Cadastros!$L$6:$L$12,Cadastros!$M$6:$M$12)+IF($F677="Bernardino Furlan",AY677/2751.92,IF($F677="Mauro José Salanti",AY677/2751.92,AY677/3356)),F677&lt;&gt;0,SUM(L677,Q677,V677,AA677,AF677,AK677,AP677,AU677))))</f>
        <v xml:space="preserve"> </v>
      </c>
      <c r="BE677" s="120"/>
      <c r="BF677" s="120"/>
      <c r="BG677" s="120"/>
    </row>
    <row r="678" spans="1:59" s="3" customFormat="1" x14ac:dyDescent="0.3">
      <c r="A678" s="15" t="str">
        <f t="shared" si="130"/>
        <v/>
      </c>
      <c r="B678" s="25"/>
      <c r="C678" s="26"/>
      <c r="D678" s="279"/>
      <c r="E678" s="27"/>
      <c r="F678" s="28"/>
      <c r="G678" s="27"/>
      <c r="H678" s="28"/>
      <c r="I678" s="28"/>
      <c r="J678" s="255" t="str">
        <f>IF(H678="","",(_xlfn.XLOOKUP(H678,Cadastros!$D$6:$D$90,Cadastros!$E$6:$E$90))*(1-_xlfn.XLOOKUP(_xlfn.XLOOKUP($F678,Clientes!$B$4:$B$39,Clientes!$C$4:$C$39),Cadastros!$L$6:$L$12,Cadastros!$N$6:$N$12)))</f>
        <v/>
      </c>
      <c r="K678" s="168" t="str">
        <f t="shared" si="131"/>
        <v/>
      </c>
      <c r="L678" s="168" t="str">
        <f>IFERROR(K678/_xlfn.XLOOKUP(_xlfn.XLOOKUP($F678,Clientes!$B$4:$B$39,Clientes!$C$4:$C$39),Cadastros!$L$6:$L$12,Cadastros!$M$6:$M$12)," ")</f>
        <v xml:space="preserve"> </v>
      </c>
      <c r="M678" s="28"/>
      <c r="N678" s="28"/>
      <c r="O678" s="255" t="str">
        <f>IF(M678="","",(_xlfn.XLOOKUP(M678,Cadastros!$D$6:$D$90,Cadastros!$E$6:$E$90))*(1-_xlfn.XLOOKUP(_xlfn.XLOOKUP($F678,Clientes!$B$4:$B$39,Clientes!$C$4:$C$39),Cadastros!$L$6:$L$12,Cadastros!$N$6:$N$12)))</f>
        <v/>
      </c>
      <c r="P678" s="168" t="str">
        <f t="shared" si="132"/>
        <v/>
      </c>
      <c r="Q678" s="168" t="str">
        <f>IFERROR(P678/_xlfn.XLOOKUP(_xlfn.XLOOKUP($F678,Clientes!$B$4:$B$39,Clientes!$C$4:$C$39),Cadastros!$L$6:$L$12,Cadastros!$M$6:$M$12)," ")</f>
        <v xml:space="preserve"> </v>
      </c>
      <c r="R678" s="28"/>
      <c r="S678" s="28"/>
      <c r="T678" s="255" t="str">
        <f>IF(R678="","",(_xlfn.XLOOKUP(R678,Cadastros!$D$6:$D$90,Cadastros!$E$6:$E$90))*(1-_xlfn.XLOOKUP(_xlfn.XLOOKUP($F678,Clientes!$B$4:$B$39,Clientes!$C$4:$C$39),Cadastros!$L$6:$L$12,Cadastros!$N$6:$N$12)))</f>
        <v/>
      </c>
      <c r="U678" s="168" t="str">
        <f t="shared" si="133"/>
        <v/>
      </c>
      <c r="V678" s="168" t="str">
        <f>IFERROR(U678/_xlfn.XLOOKUP(_xlfn.XLOOKUP($F678,Clientes!$B$4:$B$39,Clientes!$C$4:$C$39),Cadastros!$L$6:$L$12,Cadastros!$M$6:$M$12)," ")</f>
        <v xml:space="preserve"> </v>
      </c>
      <c r="W678" s="28"/>
      <c r="X678" s="28"/>
      <c r="Y678" s="255" t="str">
        <f>IF(W678="","",(_xlfn.XLOOKUP(W678,Cadastros!$D$6:$D$90,Cadastros!$E$6:$E$90))*(1-_xlfn.XLOOKUP(_xlfn.XLOOKUP($F678,Clientes!$B$4:$B$39,Clientes!$C$4:$C$39),Cadastros!$L$6:$L$12,Cadastros!$N$6:$N$12)))</f>
        <v/>
      </c>
      <c r="Z678" s="168" t="str">
        <f t="shared" si="134"/>
        <v/>
      </c>
      <c r="AA678" s="168" t="str">
        <f>IFERROR(Z678/_xlfn.XLOOKUP(_xlfn.XLOOKUP($F678,Clientes!$B$4:$B$39,Clientes!$C$4:$C$39),Cadastros!$L$6:$L$12,Cadastros!$M$6:$M$12)," ")</f>
        <v xml:space="preserve"> </v>
      </c>
      <c r="AB678" s="28"/>
      <c r="AC678" s="28"/>
      <c r="AD678" s="20" t="str">
        <f>IF(AB678="","",IF($F678="Bernardino Furlan",_xlfn.XLOOKUP(AB678,Cadastros!$G$6:$G$90,Cadastros!$H$6:$H$90)*(1-0.18),IF($F678="Mauro José Salanti",_xlfn.XLOOKUP(AB678,Cadastros!$G$6:$G$90,Cadastros!$H$6:$H$90)*(1-0.18),_xlfn.XLOOKUP(AB678,Cadastros!$G$6:$G$90,Cadastros!$H$6:$H$90))))</f>
        <v/>
      </c>
      <c r="AE678" s="168" t="str">
        <f t="shared" si="135"/>
        <v/>
      </c>
      <c r="AF678" s="168" t="str">
        <f t="shared" si="136"/>
        <v/>
      </c>
      <c r="AG678" s="28"/>
      <c r="AH678" s="28"/>
      <c r="AI678" s="20" t="str">
        <f>IF(AG678="","",IF($F678="Bernardino Furlan",_xlfn.XLOOKUP(AG678,Cadastros!$G$6:$G$90,Cadastros!$H$6:$H$90)*(1-0.18),IF($F678="Mauro José Salanti",_xlfn.XLOOKUP(AG678,Cadastros!$G$6:$G$90,Cadastros!$H$6:$H$90)*(1-0.18),_xlfn.XLOOKUP(AG678,Cadastros!$G$6:$G$90,Cadastros!$H$6:$H$90))))</f>
        <v/>
      </c>
      <c r="AJ678" s="168" t="str">
        <f t="shared" si="137"/>
        <v/>
      </c>
      <c r="AK678" s="168" t="str">
        <f t="shared" si="138"/>
        <v/>
      </c>
      <c r="AL678" s="28"/>
      <c r="AM678" s="28"/>
      <c r="AN678" s="20" t="str">
        <f>IF(AL678="","",IF($F678="Bernardino Furlan",_xlfn.XLOOKUP(AL678,Cadastros!$G$6:$G$90,Cadastros!$H$6:$H$90)*(1-0.18),IF($F678="Mauro José Salanti",_xlfn.XLOOKUP(AL678,Cadastros!$G$6:$G$90,Cadastros!$H$6:$H$90)*(1-0.18),_xlfn.XLOOKUP(AL678,Cadastros!$G$6:$G$90,Cadastros!$H$6:$H$90))))</f>
        <v/>
      </c>
      <c r="AO678" s="168" t="str">
        <f t="shared" si="139"/>
        <v/>
      </c>
      <c r="AP678" s="168" t="str">
        <f t="shared" si="140"/>
        <v/>
      </c>
      <c r="AQ678" s="28"/>
      <c r="AR678" s="28"/>
      <c r="AS678" s="20" t="str">
        <f>IF(AQ678="","",IF($F678="Bernardino Furlan",_xlfn.XLOOKUP(AQ678,Cadastros!$G$6:$G$90,Cadastros!$H$6:$H$90)*(1-0.18),IF($F678="Mauro José Salanti",_xlfn.XLOOKUP(AQ678,Cadastros!$G$6:$G$90,Cadastros!$H$6:$H$90)*(1-0.18),_xlfn.XLOOKUP(AQ678,Cadastros!$G$6:$G$90,Cadastros!$H$6:$H$90))))</f>
        <v/>
      </c>
      <c r="AT678" s="168" t="str">
        <f t="shared" si="141"/>
        <v/>
      </c>
      <c r="AU678" s="168" t="str">
        <f t="shared" si="142"/>
        <v/>
      </c>
      <c r="AV678" s="227"/>
      <c r="AW678" s="30"/>
      <c r="AX678" s="267"/>
      <c r="AY678" s="267"/>
      <c r="AZ678" s="29"/>
      <c r="BA678" s="30"/>
      <c r="BB678" s="23" t="str" cm="1">
        <f t="array" ref="BB678">_xlfn.IFS(AW678="SIM",SUM(K678,P678,U678,Z678,AE678,AJ678,AO678,AT678,AX678,AY678),F678&lt;&gt;"",SUM(K678,P678,U678,Z678,AE678,AJ678,,AO678,AT678),F678="","")</f>
        <v/>
      </c>
      <c r="BC678" s="211" t="str" cm="1">
        <f t="array" ref="BC678">_xlfn.IFS(E678="","",G678&lt;=E678,BB678*(1-0.03),G678&lt;(E678+8),BB678,AZ678="Boleto",BB678*(1+0.001)^DATEDIF(E678,G678,"D"),AZ678="Cheque",BB678,AZ678="Dinheiro","Alterar forma pgto")</f>
        <v/>
      </c>
      <c r="BD678" s="276" t="str" cm="1">
        <f t="array" ref="BD678">IF(F678=0," ",IF(BC678&lt;BB678,(_xlfn.IFS(AW678="SIM",SUM(L678,Q678,V678,AA678,AF678,AK678,AP678,AU678)+AX678/_xlfn.XLOOKUP(_xlfn.XLOOKUP($F678,Clientes!$B$4:$B$39,Clientes!$C$4:$C$39),Cadastros!$L$6:$L$12,Cadastros!$M$6:$M$12)+IF($F678="Bernardino Furlan",AY678/2751.92,IF($F678="Mauro José Salanti",AY678/2751.92,AY678/3356)),F678&lt;&gt;0,SUM(L678,Q678,V678,AA678,AF678,AK678,AP678,AU678)))*(1-0.03),_xlfn.IFS(AW678="SIM",SUM(L678,Q678,V678,AA678,AF678,AK678,AP678,AU678)+AX678/_xlfn.XLOOKUP(_xlfn.XLOOKUP($F678,Clientes!$B$4:$B$39,Clientes!$C$4:$C$39),Cadastros!$L$6:$L$12,Cadastros!$M$6:$M$12)+IF($F678="Bernardino Furlan",AY678/2751.92,IF($F678="Mauro José Salanti",AY678/2751.92,AY678/3356)),F678&lt;&gt;0,SUM(L678,Q678,V678,AA678,AF678,AK678,AP678,AU678))))</f>
        <v xml:space="preserve"> </v>
      </c>
      <c r="BE678" s="120"/>
      <c r="BF678" s="120"/>
      <c r="BG678" s="120"/>
    </row>
    <row r="679" spans="1:59" s="3" customFormat="1" x14ac:dyDescent="0.3">
      <c r="A679" s="15" t="str">
        <f t="shared" si="130"/>
        <v/>
      </c>
      <c r="B679" s="25"/>
      <c r="C679" s="26"/>
      <c r="D679" s="279"/>
      <c r="E679" s="27"/>
      <c r="F679" s="28"/>
      <c r="G679" s="27"/>
      <c r="H679" s="28"/>
      <c r="I679" s="28"/>
      <c r="J679" s="255" t="str">
        <f>IF(H679="","",(_xlfn.XLOOKUP(H679,Cadastros!$D$6:$D$90,Cadastros!$E$6:$E$90))*(1-_xlfn.XLOOKUP(_xlfn.XLOOKUP($F679,Clientes!$B$4:$B$39,Clientes!$C$4:$C$39),Cadastros!$L$6:$L$12,Cadastros!$N$6:$N$12)))</f>
        <v/>
      </c>
      <c r="K679" s="168" t="str">
        <f t="shared" si="131"/>
        <v/>
      </c>
      <c r="L679" s="168" t="str">
        <f>IFERROR(K679/_xlfn.XLOOKUP(_xlfn.XLOOKUP($F679,Clientes!$B$4:$B$39,Clientes!$C$4:$C$39),Cadastros!$L$6:$L$12,Cadastros!$M$6:$M$12)," ")</f>
        <v xml:space="preserve"> </v>
      </c>
      <c r="M679" s="28"/>
      <c r="N679" s="28"/>
      <c r="O679" s="255" t="str">
        <f>IF(M679="","",(_xlfn.XLOOKUP(M679,Cadastros!$D$6:$D$90,Cadastros!$E$6:$E$90))*(1-_xlfn.XLOOKUP(_xlfn.XLOOKUP($F679,Clientes!$B$4:$B$39,Clientes!$C$4:$C$39),Cadastros!$L$6:$L$12,Cadastros!$N$6:$N$12)))</f>
        <v/>
      </c>
      <c r="P679" s="168" t="str">
        <f t="shared" si="132"/>
        <v/>
      </c>
      <c r="Q679" s="168" t="str">
        <f>IFERROR(P679/_xlfn.XLOOKUP(_xlfn.XLOOKUP($F679,Clientes!$B$4:$B$39,Clientes!$C$4:$C$39),Cadastros!$L$6:$L$12,Cadastros!$M$6:$M$12)," ")</f>
        <v xml:space="preserve"> </v>
      </c>
      <c r="R679" s="28"/>
      <c r="S679" s="28"/>
      <c r="T679" s="255" t="str">
        <f>IF(R679="","",(_xlfn.XLOOKUP(R679,Cadastros!$D$6:$D$90,Cadastros!$E$6:$E$90))*(1-_xlfn.XLOOKUP(_xlfn.XLOOKUP($F679,Clientes!$B$4:$B$39,Clientes!$C$4:$C$39),Cadastros!$L$6:$L$12,Cadastros!$N$6:$N$12)))</f>
        <v/>
      </c>
      <c r="U679" s="168" t="str">
        <f t="shared" si="133"/>
        <v/>
      </c>
      <c r="V679" s="168" t="str">
        <f>IFERROR(U679/_xlfn.XLOOKUP(_xlfn.XLOOKUP($F679,Clientes!$B$4:$B$39,Clientes!$C$4:$C$39),Cadastros!$L$6:$L$12,Cadastros!$M$6:$M$12)," ")</f>
        <v xml:space="preserve"> </v>
      </c>
      <c r="W679" s="28"/>
      <c r="X679" s="28"/>
      <c r="Y679" s="255" t="str">
        <f>IF(W679="","",(_xlfn.XLOOKUP(W679,Cadastros!$D$6:$D$90,Cadastros!$E$6:$E$90))*(1-_xlfn.XLOOKUP(_xlfn.XLOOKUP($F679,Clientes!$B$4:$B$39,Clientes!$C$4:$C$39),Cadastros!$L$6:$L$12,Cadastros!$N$6:$N$12)))</f>
        <v/>
      </c>
      <c r="Z679" s="168" t="str">
        <f t="shared" si="134"/>
        <v/>
      </c>
      <c r="AA679" s="168" t="str">
        <f>IFERROR(Z679/_xlfn.XLOOKUP(_xlfn.XLOOKUP($F679,Clientes!$B$4:$B$39,Clientes!$C$4:$C$39),Cadastros!$L$6:$L$12,Cadastros!$M$6:$M$12)," ")</f>
        <v xml:space="preserve"> </v>
      </c>
      <c r="AB679" s="28"/>
      <c r="AC679" s="28"/>
      <c r="AD679" s="20" t="str">
        <f>IF(AB679="","",IF($F679="Bernardino Furlan",_xlfn.XLOOKUP(AB679,Cadastros!$G$6:$G$90,Cadastros!$H$6:$H$90)*(1-0.18),IF($F679="Mauro José Salanti",_xlfn.XLOOKUP(AB679,Cadastros!$G$6:$G$90,Cadastros!$H$6:$H$90)*(1-0.18),_xlfn.XLOOKUP(AB679,Cadastros!$G$6:$G$90,Cadastros!$H$6:$H$90))))</f>
        <v/>
      </c>
      <c r="AE679" s="168" t="str">
        <f t="shared" si="135"/>
        <v/>
      </c>
      <c r="AF679" s="168" t="str">
        <f t="shared" si="136"/>
        <v/>
      </c>
      <c r="AG679" s="28"/>
      <c r="AH679" s="28"/>
      <c r="AI679" s="20" t="str">
        <f>IF(AG679="","",IF($F679="Bernardino Furlan",_xlfn.XLOOKUP(AG679,Cadastros!$G$6:$G$90,Cadastros!$H$6:$H$90)*(1-0.18),IF($F679="Mauro José Salanti",_xlfn.XLOOKUP(AG679,Cadastros!$G$6:$G$90,Cadastros!$H$6:$H$90)*(1-0.18),_xlfn.XLOOKUP(AG679,Cadastros!$G$6:$G$90,Cadastros!$H$6:$H$90))))</f>
        <v/>
      </c>
      <c r="AJ679" s="168" t="str">
        <f t="shared" si="137"/>
        <v/>
      </c>
      <c r="AK679" s="168" t="str">
        <f t="shared" si="138"/>
        <v/>
      </c>
      <c r="AL679" s="28"/>
      <c r="AM679" s="28"/>
      <c r="AN679" s="20" t="str">
        <f>IF(AL679="","",IF($F679="Bernardino Furlan",_xlfn.XLOOKUP(AL679,Cadastros!$G$6:$G$90,Cadastros!$H$6:$H$90)*(1-0.18),IF($F679="Mauro José Salanti",_xlfn.XLOOKUP(AL679,Cadastros!$G$6:$G$90,Cadastros!$H$6:$H$90)*(1-0.18),_xlfn.XLOOKUP(AL679,Cadastros!$G$6:$G$90,Cadastros!$H$6:$H$90))))</f>
        <v/>
      </c>
      <c r="AO679" s="168" t="str">
        <f t="shared" si="139"/>
        <v/>
      </c>
      <c r="AP679" s="168" t="str">
        <f t="shared" si="140"/>
        <v/>
      </c>
      <c r="AQ679" s="28"/>
      <c r="AR679" s="28"/>
      <c r="AS679" s="20" t="str">
        <f>IF(AQ679="","",IF($F679="Bernardino Furlan",_xlfn.XLOOKUP(AQ679,Cadastros!$G$6:$G$90,Cadastros!$H$6:$H$90)*(1-0.18),IF($F679="Mauro José Salanti",_xlfn.XLOOKUP(AQ679,Cadastros!$G$6:$G$90,Cadastros!$H$6:$H$90)*(1-0.18),_xlfn.XLOOKUP(AQ679,Cadastros!$G$6:$G$90,Cadastros!$H$6:$H$90))))</f>
        <v/>
      </c>
      <c r="AT679" s="168" t="str">
        <f t="shared" si="141"/>
        <v/>
      </c>
      <c r="AU679" s="168" t="str">
        <f t="shared" si="142"/>
        <v/>
      </c>
      <c r="AV679" s="227"/>
      <c r="AW679" s="30"/>
      <c r="AX679" s="267"/>
      <c r="AY679" s="267"/>
      <c r="AZ679" s="29"/>
      <c r="BA679" s="30"/>
      <c r="BB679" s="23" t="str" cm="1">
        <f t="array" ref="BB679">_xlfn.IFS(AW679="SIM",SUM(K679,P679,U679,Z679,AE679,AJ679,AO679,AT679,AX679,AY679),F679&lt;&gt;"",SUM(K679,P679,U679,Z679,AE679,AJ679,,AO679,AT679),F679="","")</f>
        <v/>
      </c>
      <c r="BC679" s="211" t="str" cm="1">
        <f t="array" ref="BC679">_xlfn.IFS(E679="","",G679&lt;=E679,BB679*(1-0.03),G679&lt;(E679+8),BB679,AZ679="Boleto",BB679*(1+0.001)^DATEDIF(E679,G679,"D"),AZ679="Cheque",BB679,AZ679="Dinheiro","Alterar forma pgto")</f>
        <v/>
      </c>
      <c r="BD679" s="276" t="str" cm="1">
        <f t="array" ref="BD679">IF(F679=0," ",IF(BC679&lt;BB679,(_xlfn.IFS(AW679="SIM",SUM(L679,Q679,V679,AA679,AF679,AK679,AP679,AU679)+AX679/_xlfn.XLOOKUP(_xlfn.XLOOKUP($F679,Clientes!$B$4:$B$39,Clientes!$C$4:$C$39),Cadastros!$L$6:$L$12,Cadastros!$M$6:$M$12)+IF($F679="Bernardino Furlan",AY679/2751.92,IF($F679="Mauro José Salanti",AY679/2751.92,AY679/3356)),F679&lt;&gt;0,SUM(L679,Q679,V679,AA679,AF679,AK679,AP679,AU679)))*(1-0.03),_xlfn.IFS(AW679="SIM",SUM(L679,Q679,V679,AA679,AF679,AK679,AP679,AU679)+AX679/_xlfn.XLOOKUP(_xlfn.XLOOKUP($F679,Clientes!$B$4:$B$39,Clientes!$C$4:$C$39),Cadastros!$L$6:$L$12,Cadastros!$M$6:$M$12)+IF($F679="Bernardino Furlan",AY679/2751.92,IF($F679="Mauro José Salanti",AY679/2751.92,AY679/3356)),F679&lt;&gt;0,SUM(L679,Q679,V679,AA679,AF679,AK679,AP679,AU679))))</f>
        <v xml:space="preserve"> </v>
      </c>
      <c r="BE679" s="120"/>
      <c r="BF679" s="120"/>
      <c r="BG679" s="120"/>
    </row>
    <row r="680" spans="1:59" s="3" customFormat="1" x14ac:dyDescent="0.3">
      <c r="A680" s="15" t="str">
        <f t="shared" si="130"/>
        <v/>
      </c>
      <c r="B680" s="25"/>
      <c r="C680" s="26"/>
      <c r="D680" s="279"/>
      <c r="E680" s="27"/>
      <c r="F680" s="28"/>
      <c r="G680" s="27"/>
      <c r="H680" s="28"/>
      <c r="I680" s="28"/>
      <c r="J680" s="255" t="str">
        <f>IF(H680="","",(_xlfn.XLOOKUP(H680,Cadastros!$D$6:$D$90,Cadastros!$E$6:$E$90))*(1-_xlfn.XLOOKUP(_xlfn.XLOOKUP($F680,Clientes!$B$4:$B$39,Clientes!$C$4:$C$39),Cadastros!$L$6:$L$12,Cadastros!$N$6:$N$12)))</f>
        <v/>
      </c>
      <c r="K680" s="168" t="str">
        <f t="shared" si="131"/>
        <v/>
      </c>
      <c r="L680" s="168" t="str">
        <f>IFERROR(K680/_xlfn.XLOOKUP(_xlfn.XLOOKUP($F680,Clientes!$B$4:$B$39,Clientes!$C$4:$C$39),Cadastros!$L$6:$L$12,Cadastros!$M$6:$M$12)," ")</f>
        <v xml:space="preserve"> </v>
      </c>
      <c r="M680" s="28"/>
      <c r="N680" s="28"/>
      <c r="O680" s="255" t="str">
        <f>IF(M680="","",(_xlfn.XLOOKUP(M680,Cadastros!$D$6:$D$90,Cadastros!$E$6:$E$90))*(1-_xlfn.XLOOKUP(_xlfn.XLOOKUP($F680,Clientes!$B$4:$B$39,Clientes!$C$4:$C$39),Cadastros!$L$6:$L$12,Cadastros!$N$6:$N$12)))</f>
        <v/>
      </c>
      <c r="P680" s="168" t="str">
        <f t="shared" si="132"/>
        <v/>
      </c>
      <c r="Q680" s="168" t="str">
        <f>IFERROR(P680/_xlfn.XLOOKUP(_xlfn.XLOOKUP($F680,Clientes!$B$4:$B$39,Clientes!$C$4:$C$39),Cadastros!$L$6:$L$12,Cadastros!$M$6:$M$12)," ")</f>
        <v xml:space="preserve"> </v>
      </c>
      <c r="R680" s="28"/>
      <c r="S680" s="28"/>
      <c r="T680" s="255" t="str">
        <f>IF(R680="","",(_xlfn.XLOOKUP(R680,Cadastros!$D$6:$D$90,Cadastros!$E$6:$E$90))*(1-_xlfn.XLOOKUP(_xlfn.XLOOKUP($F680,Clientes!$B$4:$B$39,Clientes!$C$4:$C$39),Cadastros!$L$6:$L$12,Cadastros!$N$6:$N$12)))</f>
        <v/>
      </c>
      <c r="U680" s="168" t="str">
        <f t="shared" si="133"/>
        <v/>
      </c>
      <c r="V680" s="168" t="str">
        <f>IFERROR(U680/_xlfn.XLOOKUP(_xlfn.XLOOKUP($F680,Clientes!$B$4:$B$39,Clientes!$C$4:$C$39),Cadastros!$L$6:$L$12,Cadastros!$M$6:$M$12)," ")</f>
        <v xml:space="preserve"> </v>
      </c>
      <c r="W680" s="28"/>
      <c r="X680" s="28"/>
      <c r="Y680" s="255" t="str">
        <f>IF(W680="","",(_xlfn.XLOOKUP(W680,Cadastros!$D$6:$D$90,Cadastros!$E$6:$E$90))*(1-_xlfn.XLOOKUP(_xlfn.XLOOKUP($F680,Clientes!$B$4:$B$39,Clientes!$C$4:$C$39),Cadastros!$L$6:$L$12,Cadastros!$N$6:$N$12)))</f>
        <v/>
      </c>
      <c r="Z680" s="168" t="str">
        <f t="shared" si="134"/>
        <v/>
      </c>
      <c r="AA680" s="168" t="str">
        <f>IFERROR(Z680/_xlfn.XLOOKUP(_xlfn.XLOOKUP($F680,Clientes!$B$4:$B$39,Clientes!$C$4:$C$39),Cadastros!$L$6:$L$12,Cadastros!$M$6:$M$12)," ")</f>
        <v xml:space="preserve"> </v>
      </c>
      <c r="AB680" s="28"/>
      <c r="AC680" s="28"/>
      <c r="AD680" s="20" t="str">
        <f>IF(AB680="","",IF($F680="Bernardino Furlan",_xlfn.XLOOKUP(AB680,Cadastros!$G$6:$G$90,Cadastros!$H$6:$H$90)*(1-0.18),IF($F680="Mauro José Salanti",_xlfn.XLOOKUP(AB680,Cadastros!$G$6:$G$90,Cadastros!$H$6:$H$90)*(1-0.18),_xlfn.XLOOKUP(AB680,Cadastros!$G$6:$G$90,Cadastros!$H$6:$H$90))))</f>
        <v/>
      </c>
      <c r="AE680" s="168" t="str">
        <f t="shared" si="135"/>
        <v/>
      </c>
      <c r="AF680" s="168" t="str">
        <f t="shared" si="136"/>
        <v/>
      </c>
      <c r="AG680" s="28"/>
      <c r="AH680" s="28"/>
      <c r="AI680" s="20" t="str">
        <f>IF(AG680="","",IF($F680="Bernardino Furlan",_xlfn.XLOOKUP(AG680,Cadastros!$G$6:$G$90,Cadastros!$H$6:$H$90)*(1-0.18),IF($F680="Mauro José Salanti",_xlfn.XLOOKUP(AG680,Cadastros!$G$6:$G$90,Cadastros!$H$6:$H$90)*(1-0.18),_xlfn.XLOOKUP(AG680,Cadastros!$G$6:$G$90,Cadastros!$H$6:$H$90))))</f>
        <v/>
      </c>
      <c r="AJ680" s="168" t="str">
        <f t="shared" si="137"/>
        <v/>
      </c>
      <c r="AK680" s="168" t="str">
        <f t="shared" si="138"/>
        <v/>
      </c>
      <c r="AL680" s="28"/>
      <c r="AM680" s="28"/>
      <c r="AN680" s="20" t="str">
        <f>IF(AL680="","",IF($F680="Bernardino Furlan",_xlfn.XLOOKUP(AL680,Cadastros!$G$6:$G$90,Cadastros!$H$6:$H$90)*(1-0.18),IF($F680="Mauro José Salanti",_xlfn.XLOOKUP(AL680,Cadastros!$G$6:$G$90,Cadastros!$H$6:$H$90)*(1-0.18),_xlfn.XLOOKUP(AL680,Cadastros!$G$6:$G$90,Cadastros!$H$6:$H$90))))</f>
        <v/>
      </c>
      <c r="AO680" s="168" t="str">
        <f t="shared" si="139"/>
        <v/>
      </c>
      <c r="AP680" s="168" t="str">
        <f t="shared" si="140"/>
        <v/>
      </c>
      <c r="AQ680" s="28"/>
      <c r="AR680" s="28"/>
      <c r="AS680" s="20" t="str">
        <f>IF(AQ680="","",IF($F680="Bernardino Furlan",_xlfn.XLOOKUP(AQ680,Cadastros!$G$6:$G$90,Cadastros!$H$6:$H$90)*(1-0.18),IF($F680="Mauro José Salanti",_xlfn.XLOOKUP(AQ680,Cadastros!$G$6:$G$90,Cadastros!$H$6:$H$90)*(1-0.18),_xlfn.XLOOKUP(AQ680,Cadastros!$G$6:$G$90,Cadastros!$H$6:$H$90))))</f>
        <v/>
      </c>
      <c r="AT680" s="168" t="str">
        <f t="shared" si="141"/>
        <v/>
      </c>
      <c r="AU680" s="168" t="str">
        <f t="shared" si="142"/>
        <v/>
      </c>
      <c r="AV680" s="227"/>
      <c r="AW680" s="30"/>
      <c r="AX680" s="267"/>
      <c r="AY680" s="267"/>
      <c r="AZ680" s="29"/>
      <c r="BA680" s="30"/>
      <c r="BB680" s="23" t="str" cm="1">
        <f t="array" ref="BB680">_xlfn.IFS(AW680="SIM",SUM(K680,P680,U680,Z680,AE680,AJ680,AO680,AT680,AX680,AY680),F680&lt;&gt;"",SUM(K680,P680,U680,Z680,AE680,AJ680,,AO680,AT680),F680="","")</f>
        <v/>
      </c>
      <c r="BC680" s="211" t="str" cm="1">
        <f t="array" ref="BC680">_xlfn.IFS(E680="","",G680&lt;=E680,BB680*(1-0.03),G680&lt;(E680+8),BB680,AZ680="Boleto",BB680*(1+0.001)^DATEDIF(E680,G680,"D"),AZ680="Cheque",BB680,AZ680="Dinheiro","Alterar forma pgto")</f>
        <v/>
      </c>
      <c r="BD680" s="276" t="str" cm="1">
        <f t="array" ref="BD680">IF(F680=0," ",IF(BC680&lt;BB680,(_xlfn.IFS(AW680="SIM",SUM(L680,Q680,V680,AA680,AF680,AK680,AP680,AU680)+AX680/_xlfn.XLOOKUP(_xlfn.XLOOKUP($F680,Clientes!$B$4:$B$39,Clientes!$C$4:$C$39),Cadastros!$L$6:$L$12,Cadastros!$M$6:$M$12)+IF($F680="Bernardino Furlan",AY680/2751.92,IF($F680="Mauro José Salanti",AY680/2751.92,AY680/3356)),F680&lt;&gt;0,SUM(L680,Q680,V680,AA680,AF680,AK680,AP680,AU680)))*(1-0.03),_xlfn.IFS(AW680="SIM",SUM(L680,Q680,V680,AA680,AF680,AK680,AP680,AU680)+AX680/_xlfn.XLOOKUP(_xlfn.XLOOKUP($F680,Clientes!$B$4:$B$39,Clientes!$C$4:$C$39),Cadastros!$L$6:$L$12,Cadastros!$M$6:$M$12)+IF($F680="Bernardino Furlan",AY680/2751.92,IF($F680="Mauro José Salanti",AY680/2751.92,AY680/3356)),F680&lt;&gt;0,SUM(L680,Q680,V680,AA680,AF680,AK680,AP680,AU680))))</f>
        <v xml:space="preserve"> </v>
      </c>
      <c r="BE680" s="120"/>
      <c r="BF680" s="120"/>
      <c r="BG680" s="120"/>
    </row>
    <row r="681" spans="1:59" s="3" customFormat="1" x14ac:dyDescent="0.3">
      <c r="A681" s="15" t="str">
        <f t="shared" si="130"/>
        <v/>
      </c>
      <c r="B681" s="25"/>
      <c r="C681" s="26"/>
      <c r="D681" s="279"/>
      <c r="E681" s="27"/>
      <c r="F681" s="28"/>
      <c r="G681" s="27"/>
      <c r="H681" s="28"/>
      <c r="I681" s="28"/>
      <c r="J681" s="255" t="str">
        <f>IF(H681="","",(_xlfn.XLOOKUP(H681,Cadastros!$D$6:$D$90,Cadastros!$E$6:$E$90))*(1-_xlfn.XLOOKUP(_xlfn.XLOOKUP($F681,Clientes!$B$4:$B$39,Clientes!$C$4:$C$39),Cadastros!$L$6:$L$12,Cadastros!$N$6:$N$12)))</f>
        <v/>
      </c>
      <c r="K681" s="168" t="str">
        <f t="shared" si="131"/>
        <v/>
      </c>
      <c r="L681" s="168" t="str">
        <f>IFERROR(K681/_xlfn.XLOOKUP(_xlfn.XLOOKUP($F681,Clientes!$B$4:$B$39,Clientes!$C$4:$C$39),Cadastros!$L$6:$L$12,Cadastros!$M$6:$M$12)," ")</f>
        <v xml:space="preserve"> </v>
      </c>
      <c r="M681" s="28"/>
      <c r="N681" s="28"/>
      <c r="O681" s="255" t="str">
        <f>IF(M681="","",(_xlfn.XLOOKUP(M681,Cadastros!$D$6:$D$90,Cadastros!$E$6:$E$90))*(1-_xlfn.XLOOKUP(_xlfn.XLOOKUP($F681,Clientes!$B$4:$B$39,Clientes!$C$4:$C$39),Cadastros!$L$6:$L$12,Cadastros!$N$6:$N$12)))</f>
        <v/>
      </c>
      <c r="P681" s="168" t="str">
        <f t="shared" si="132"/>
        <v/>
      </c>
      <c r="Q681" s="168" t="str">
        <f>IFERROR(P681/_xlfn.XLOOKUP(_xlfn.XLOOKUP($F681,Clientes!$B$4:$B$39,Clientes!$C$4:$C$39),Cadastros!$L$6:$L$12,Cadastros!$M$6:$M$12)," ")</f>
        <v xml:space="preserve"> </v>
      </c>
      <c r="R681" s="28"/>
      <c r="S681" s="28"/>
      <c r="T681" s="255" t="str">
        <f>IF(R681="","",(_xlfn.XLOOKUP(R681,Cadastros!$D$6:$D$90,Cadastros!$E$6:$E$90))*(1-_xlfn.XLOOKUP(_xlfn.XLOOKUP($F681,Clientes!$B$4:$B$39,Clientes!$C$4:$C$39),Cadastros!$L$6:$L$12,Cadastros!$N$6:$N$12)))</f>
        <v/>
      </c>
      <c r="U681" s="168" t="str">
        <f t="shared" si="133"/>
        <v/>
      </c>
      <c r="V681" s="168" t="str">
        <f>IFERROR(U681/_xlfn.XLOOKUP(_xlfn.XLOOKUP($F681,Clientes!$B$4:$B$39,Clientes!$C$4:$C$39),Cadastros!$L$6:$L$12,Cadastros!$M$6:$M$12)," ")</f>
        <v xml:space="preserve"> </v>
      </c>
      <c r="W681" s="28"/>
      <c r="X681" s="28"/>
      <c r="Y681" s="255" t="str">
        <f>IF(W681="","",(_xlfn.XLOOKUP(W681,Cadastros!$D$6:$D$90,Cadastros!$E$6:$E$90))*(1-_xlfn.XLOOKUP(_xlfn.XLOOKUP($F681,Clientes!$B$4:$B$39,Clientes!$C$4:$C$39),Cadastros!$L$6:$L$12,Cadastros!$N$6:$N$12)))</f>
        <v/>
      </c>
      <c r="Z681" s="168" t="str">
        <f t="shared" si="134"/>
        <v/>
      </c>
      <c r="AA681" s="168" t="str">
        <f>IFERROR(Z681/_xlfn.XLOOKUP(_xlfn.XLOOKUP($F681,Clientes!$B$4:$B$39,Clientes!$C$4:$C$39),Cadastros!$L$6:$L$12,Cadastros!$M$6:$M$12)," ")</f>
        <v xml:space="preserve"> </v>
      </c>
      <c r="AB681" s="28"/>
      <c r="AC681" s="28"/>
      <c r="AD681" s="20" t="str">
        <f>IF(AB681="","",IF($F681="Bernardino Furlan",_xlfn.XLOOKUP(AB681,Cadastros!$G$6:$G$90,Cadastros!$H$6:$H$90)*(1-0.18),IF($F681="Mauro José Salanti",_xlfn.XLOOKUP(AB681,Cadastros!$G$6:$G$90,Cadastros!$H$6:$H$90)*(1-0.18),_xlfn.XLOOKUP(AB681,Cadastros!$G$6:$G$90,Cadastros!$H$6:$H$90))))</f>
        <v/>
      </c>
      <c r="AE681" s="168" t="str">
        <f t="shared" si="135"/>
        <v/>
      </c>
      <c r="AF681" s="168" t="str">
        <f t="shared" si="136"/>
        <v/>
      </c>
      <c r="AG681" s="28"/>
      <c r="AH681" s="28"/>
      <c r="AI681" s="20" t="str">
        <f>IF(AG681="","",IF($F681="Bernardino Furlan",_xlfn.XLOOKUP(AG681,Cadastros!$G$6:$G$90,Cadastros!$H$6:$H$90)*(1-0.18),IF($F681="Mauro José Salanti",_xlfn.XLOOKUP(AG681,Cadastros!$G$6:$G$90,Cadastros!$H$6:$H$90)*(1-0.18),_xlfn.XLOOKUP(AG681,Cadastros!$G$6:$G$90,Cadastros!$H$6:$H$90))))</f>
        <v/>
      </c>
      <c r="AJ681" s="168" t="str">
        <f t="shared" si="137"/>
        <v/>
      </c>
      <c r="AK681" s="168" t="str">
        <f t="shared" si="138"/>
        <v/>
      </c>
      <c r="AL681" s="28"/>
      <c r="AM681" s="28"/>
      <c r="AN681" s="20" t="str">
        <f>IF(AL681="","",IF($F681="Bernardino Furlan",_xlfn.XLOOKUP(AL681,Cadastros!$G$6:$G$90,Cadastros!$H$6:$H$90)*(1-0.18),IF($F681="Mauro José Salanti",_xlfn.XLOOKUP(AL681,Cadastros!$G$6:$G$90,Cadastros!$H$6:$H$90)*(1-0.18),_xlfn.XLOOKUP(AL681,Cadastros!$G$6:$G$90,Cadastros!$H$6:$H$90))))</f>
        <v/>
      </c>
      <c r="AO681" s="168" t="str">
        <f t="shared" si="139"/>
        <v/>
      </c>
      <c r="AP681" s="168" t="str">
        <f t="shared" si="140"/>
        <v/>
      </c>
      <c r="AQ681" s="28"/>
      <c r="AR681" s="28"/>
      <c r="AS681" s="20" t="str">
        <f>IF(AQ681="","",IF($F681="Bernardino Furlan",_xlfn.XLOOKUP(AQ681,Cadastros!$G$6:$G$90,Cadastros!$H$6:$H$90)*(1-0.18),IF($F681="Mauro José Salanti",_xlfn.XLOOKUP(AQ681,Cadastros!$G$6:$G$90,Cadastros!$H$6:$H$90)*(1-0.18),_xlfn.XLOOKUP(AQ681,Cadastros!$G$6:$G$90,Cadastros!$H$6:$H$90))))</f>
        <v/>
      </c>
      <c r="AT681" s="168" t="str">
        <f t="shared" si="141"/>
        <v/>
      </c>
      <c r="AU681" s="168" t="str">
        <f t="shared" si="142"/>
        <v/>
      </c>
      <c r="AV681" s="227"/>
      <c r="AW681" s="30"/>
      <c r="AX681" s="267"/>
      <c r="AY681" s="267"/>
      <c r="AZ681" s="29"/>
      <c r="BA681" s="30"/>
      <c r="BB681" s="23" t="str" cm="1">
        <f t="array" ref="BB681">_xlfn.IFS(AW681="SIM",SUM(K681,P681,U681,Z681,AE681,AJ681,AO681,AT681,AX681,AY681),F681&lt;&gt;"",SUM(K681,P681,U681,Z681,AE681,AJ681,,AO681,AT681),F681="","")</f>
        <v/>
      </c>
      <c r="BC681" s="211" t="str" cm="1">
        <f t="array" ref="BC681">_xlfn.IFS(E681="","",G681&lt;=E681,BB681*(1-0.03),G681&lt;(E681+8),BB681,AZ681="Boleto",BB681*(1+0.001)^DATEDIF(E681,G681,"D"),AZ681="Cheque",BB681,AZ681="Dinheiro","Alterar forma pgto")</f>
        <v/>
      </c>
      <c r="BD681" s="276" t="str" cm="1">
        <f t="array" ref="BD681">IF(F681=0," ",IF(BC681&lt;BB681,(_xlfn.IFS(AW681="SIM",SUM(L681,Q681,V681,AA681,AF681,AK681,AP681,AU681)+AX681/_xlfn.XLOOKUP(_xlfn.XLOOKUP($F681,Clientes!$B$4:$B$39,Clientes!$C$4:$C$39),Cadastros!$L$6:$L$12,Cadastros!$M$6:$M$12)+IF($F681="Bernardino Furlan",AY681/2751.92,IF($F681="Mauro José Salanti",AY681/2751.92,AY681/3356)),F681&lt;&gt;0,SUM(L681,Q681,V681,AA681,AF681,AK681,AP681,AU681)))*(1-0.03),_xlfn.IFS(AW681="SIM",SUM(L681,Q681,V681,AA681,AF681,AK681,AP681,AU681)+AX681/_xlfn.XLOOKUP(_xlfn.XLOOKUP($F681,Clientes!$B$4:$B$39,Clientes!$C$4:$C$39),Cadastros!$L$6:$L$12,Cadastros!$M$6:$M$12)+IF($F681="Bernardino Furlan",AY681/2751.92,IF($F681="Mauro José Salanti",AY681/2751.92,AY681/3356)),F681&lt;&gt;0,SUM(L681,Q681,V681,AA681,AF681,AK681,AP681,AU681))))</f>
        <v xml:space="preserve"> </v>
      </c>
      <c r="BE681" s="120"/>
      <c r="BF681" s="120"/>
      <c r="BG681" s="120"/>
    </row>
    <row r="682" spans="1:59" s="3" customFormat="1" x14ac:dyDescent="0.3">
      <c r="A682" s="15" t="str">
        <f t="shared" si="130"/>
        <v/>
      </c>
      <c r="B682" s="25"/>
      <c r="C682" s="26"/>
      <c r="D682" s="279"/>
      <c r="E682" s="27"/>
      <c r="F682" s="28"/>
      <c r="G682" s="27"/>
      <c r="H682" s="28"/>
      <c r="I682" s="28"/>
      <c r="J682" s="255" t="str">
        <f>IF(H682="","",(_xlfn.XLOOKUP(H682,Cadastros!$D$6:$D$90,Cadastros!$E$6:$E$90))*(1-_xlfn.XLOOKUP(_xlfn.XLOOKUP($F682,Clientes!$B$4:$B$39,Clientes!$C$4:$C$39),Cadastros!$L$6:$L$12,Cadastros!$N$6:$N$12)))</f>
        <v/>
      </c>
      <c r="K682" s="168" t="str">
        <f t="shared" si="131"/>
        <v/>
      </c>
      <c r="L682" s="168" t="str">
        <f>IFERROR(K682/_xlfn.XLOOKUP(_xlfn.XLOOKUP($F682,Clientes!$B$4:$B$39,Clientes!$C$4:$C$39),Cadastros!$L$6:$L$12,Cadastros!$M$6:$M$12)," ")</f>
        <v xml:space="preserve"> </v>
      </c>
      <c r="M682" s="28"/>
      <c r="N682" s="28"/>
      <c r="O682" s="255" t="str">
        <f>IF(M682="","",(_xlfn.XLOOKUP(M682,Cadastros!$D$6:$D$90,Cadastros!$E$6:$E$90))*(1-_xlfn.XLOOKUP(_xlfn.XLOOKUP($F682,Clientes!$B$4:$B$39,Clientes!$C$4:$C$39),Cadastros!$L$6:$L$12,Cadastros!$N$6:$N$12)))</f>
        <v/>
      </c>
      <c r="P682" s="168" t="str">
        <f t="shared" si="132"/>
        <v/>
      </c>
      <c r="Q682" s="168" t="str">
        <f>IFERROR(P682/_xlfn.XLOOKUP(_xlfn.XLOOKUP($F682,Clientes!$B$4:$B$39,Clientes!$C$4:$C$39),Cadastros!$L$6:$L$12,Cadastros!$M$6:$M$12)," ")</f>
        <v xml:space="preserve"> </v>
      </c>
      <c r="R682" s="28"/>
      <c r="S682" s="28"/>
      <c r="T682" s="255" t="str">
        <f>IF(R682="","",(_xlfn.XLOOKUP(R682,Cadastros!$D$6:$D$90,Cadastros!$E$6:$E$90))*(1-_xlfn.XLOOKUP(_xlfn.XLOOKUP($F682,Clientes!$B$4:$B$39,Clientes!$C$4:$C$39),Cadastros!$L$6:$L$12,Cadastros!$N$6:$N$12)))</f>
        <v/>
      </c>
      <c r="U682" s="168" t="str">
        <f t="shared" si="133"/>
        <v/>
      </c>
      <c r="V682" s="168" t="str">
        <f>IFERROR(U682/_xlfn.XLOOKUP(_xlfn.XLOOKUP($F682,Clientes!$B$4:$B$39,Clientes!$C$4:$C$39),Cadastros!$L$6:$L$12,Cadastros!$M$6:$M$12)," ")</f>
        <v xml:space="preserve"> </v>
      </c>
      <c r="W682" s="28"/>
      <c r="X682" s="28"/>
      <c r="Y682" s="255" t="str">
        <f>IF(W682="","",(_xlfn.XLOOKUP(W682,Cadastros!$D$6:$D$90,Cadastros!$E$6:$E$90))*(1-_xlfn.XLOOKUP(_xlfn.XLOOKUP($F682,Clientes!$B$4:$B$39,Clientes!$C$4:$C$39),Cadastros!$L$6:$L$12,Cadastros!$N$6:$N$12)))</f>
        <v/>
      </c>
      <c r="Z682" s="168" t="str">
        <f t="shared" si="134"/>
        <v/>
      </c>
      <c r="AA682" s="168" t="str">
        <f>IFERROR(Z682/_xlfn.XLOOKUP(_xlfn.XLOOKUP($F682,Clientes!$B$4:$B$39,Clientes!$C$4:$C$39),Cadastros!$L$6:$L$12,Cadastros!$M$6:$M$12)," ")</f>
        <v xml:space="preserve"> </v>
      </c>
      <c r="AB682" s="28"/>
      <c r="AC682" s="28"/>
      <c r="AD682" s="20" t="str">
        <f>IF(AB682="","",IF($F682="Bernardino Furlan",_xlfn.XLOOKUP(AB682,Cadastros!$G$6:$G$90,Cadastros!$H$6:$H$90)*(1-0.18),IF($F682="Mauro José Salanti",_xlfn.XLOOKUP(AB682,Cadastros!$G$6:$G$90,Cadastros!$H$6:$H$90)*(1-0.18),_xlfn.XLOOKUP(AB682,Cadastros!$G$6:$G$90,Cadastros!$H$6:$H$90))))</f>
        <v/>
      </c>
      <c r="AE682" s="168" t="str">
        <f t="shared" si="135"/>
        <v/>
      </c>
      <c r="AF682" s="168" t="str">
        <f t="shared" si="136"/>
        <v/>
      </c>
      <c r="AG682" s="28"/>
      <c r="AH682" s="28"/>
      <c r="AI682" s="20" t="str">
        <f>IF(AG682="","",IF($F682="Bernardino Furlan",_xlfn.XLOOKUP(AG682,Cadastros!$G$6:$G$90,Cadastros!$H$6:$H$90)*(1-0.18),IF($F682="Mauro José Salanti",_xlfn.XLOOKUP(AG682,Cadastros!$G$6:$G$90,Cadastros!$H$6:$H$90)*(1-0.18),_xlfn.XLOOKUP(AG682,Cadastros!$G$6:$G$90,Cadastros!$H$6:$H$90))))</f>
        <v/>
      </c>
      <c r="AJ682" s="168" t="str">
        <f t="shared" si="137"/>
        <v/>
      </c>
      <c r="AK682" s="168" t="str">
        <f t="shared" si="138"/>
        <v/>
      </c>
      <c r="AL682" s="28"/>
      <c r="AM682" s="28"/>
      <c r="AN682" s="20" t="str">
        <f>IF(AL682="","",IF($F682="Bernardino Furlan",_xlfn.XLOOKUP(AL682,Cadastros!$G$6:$G$90,Cadastros!$H$6:$H$90)*(1-0.18),IF($F682="Mauro José Salanti",_xlfn.XLOOKUP(AL682,Cadastros!$G$6:$G$90,Cadastros!$H$6:$H$90)*(1-0.18),_xlfn.XLOOKUP(AL682,Cadastros!$G$6:$G$90,Cadastros!$H$6:$H$90))))</f>
        <v/>
      </c>
      <c r="AO682" s="168" t="str">
        <f t="shared" si="139"/>
        <v/>
      </c>
      <c r="AP682" s="168" t="str">
        <f t="shared" si="140"/>
        <v/>
      </c>
      <c r="AQ682" s="28"/>
      <c r="AR682" s="28"/>
      <c r="AS682" s="20" t="str">
        <f>IF(AQ682="","",IF($F682="Bernardino Furlan",_xlfn.XLOOKUP(AQ682,Cadastros!$G$6:$G$90,Cadastros!$H$6:$H$90)*(1-0.18),IF($F682="Mauro José Salanti",_xlfn.XLOOKUP(AQ682,Cadastros!$G$6:$G$90,Cadastros!$H$6:$H$90)*(1-0.18),_xlfn.XLOOKUP(AQ682,Cadastros!$G$6:$G$90,Cadastros!$H$6:$H$90))))</f>
        <v/>
      </c>
      <c r="AT682" s="168" t="str">
        <f t="shared" si="141"/>
        <v/>
      </c>
      <c r="AU682" s="168" t="str">
        <f t="shared" si="142"/>
        <v/>
      </c>
      <c r="AV682" s="227"/>
      <c r="AW682" s="30"/>
      <c r="AX682" s="267"/>
      <c r="AY682" s="267"/>
      <c r="AZ682" s="29"/>
      <c r="BA682" s="30"/>
      <c r="BB682" s="23" t="str" cm="1">
        <f t="array" ref="BB682">_xlfn.IFS(AW682="SIM",SUM(K682,P682,U682,Z682,AE682,AJ682,AO682,AT682,AX682,AY682),F682&lt;&gt;"",SUM(K682,P682,U682,Z682,AE682,AJ682,,AO682,AT682),F682="","")</f>
        <v/>
      </c>
      <c r="BC682" s="211" t="str" cm="1">
        <f t="array" ref="BC682">_xlfn.IFS(E682="","",G682&lt;=E682,BB682*(1-0.03),G682&lt;(E682+8),BB682,AZ682="Boleto",BB682*(1+0.001)^DATEDIF(E682,G682,"D"),AZ682="Cheque",BB682,AZ682="Dinheiro","Alterar forma pgto")</f>
        <v/>
      </c>
      <c r="BD682" s="276" t="str" cm="1">
        <f t="array" ref="BD682">IF(F682=0," ",IF(BC682&lt;BB682,(_xlfn.IFS(AW682="SIM",SUM(L682,Q682,V682,AA682,AF682,AK682,AP682,AU682)+AX682/_xlfn.XLOOKUP(_xlfn.XLOOKUP($F682,Clientes!$B$4:$B$39,Clientes!$C$4:$C$39),Cadastros!$L$6:$L$12,Cadastros!$M$6:$M$12)+IF($F682="Bernardino Furlan",AY682/2751.92,IF($F682="Mauro José Salanti",AY682/2751.92,AY682/3356)),F682&lt;&gt;0,SUM(L682,Q682,V682,AA682,AF682,AK682,AP682,AU682)))*(1-0.03),_xlfn.IFS(AW682="SIM",SUM(L682,Q682,V682,AA682,AF682,AK682,AP682,AU682)+AX682/_xlfn.XLOOKUP(_xlfn.XLOOKUP($F682,Clientes!$B$4:$B$39,Clientes!$C$4:$C$39),Cadastros!$L$6:$L$12,Cadastros!$M$6:$M$12)+IF($F682="Bernardino Furlan",AY682/2751.92,IF($F682="Mauro José Salanti",AY682/2751.92,AY682/3356)),F682&lt;&gt;0,SUM(L682,Q682,V682,AA682,AF682,AK682,AP682,AU682))))</f>
        <v xml:space="preserve"> </v>
      </c>
      <c r="BE682" s="120"/>
      <c r="BF682" s="120"/>
      <c r="BG682" s="120"/>
    </row>
    <row r="683" spans="1:59" s="3" customFormat="1" x14ac:dyDescent="0.3">
      <c r="A683" s="15" t="str">
        <f t="shared" si="130"/>
        <v/>
      </c>
      <c r="B683" s="25"/>
      <c r="C683" s="26"/>
      <c r="D683" s="279"/>
      <c r="E683" s="27"/>
      <c r="F683" s="28"/>
      <c r="G683" s="27"/>
      <c r="H683" s="28"/>
      <c r="I683" s="28"/>
      <c r="J683" s="255" t="str">
        <f>IF(H683="","",(_xlfn.XLOOKUP(H683,Cadastros!$D$6:$D$90,Cadastros!$E$6:$E$90))*(1-_xlfn.XLOOKUP(_xlfn.XLOOKUP($F683,Clientes!$B$4:$B$39,Clientes!$C$4:$C$39),Cadastros!$L$6:$L$12,Cadastros!$N$6:$N$12)))</f>
        <v/>
      </c>
      <c r="K683" s="168" t="str">
        <f t="shared" si="131"/>
        <v/>
      </c>
      <c r="L683" s="168" t="str">
        <f>IFERROR(K683/_xlfn.XLOOKUP(_xlfn.XLOOKUP($F683,Clientes!$B$4:$B$39,Clientes!$C$4:$C$39),Cadastros!$L$6:$L$12,Cadastros!$M$6:$M$12)," ")</f>
        <v xml:space="preserve"> </v>
      </c>
      <c r="M683" s="28"/>
      <c r="N683" s="28"/>
      <c r="O683" s="255" t="str">
        <f>IF(M683="","",(_xlfn.XLOOKUP(M683,Cadastros!$D$6:$D$90,Cadastros!$E$6:$E$90))*(1-_xlfn.XLOOKUP(_xlfn.XLOOKUP($F683,Clientes!$B$4:$B$39,Clientes!$C$4:$C$39),Cadastros!$L$6:$L$12,Cadastros!$N$6:$N$12)))</f>
        <v/>
      </c>
      <c r="P683" s="168" t="str">
        <f t="shared" si="132"/>
        <v/>
      </c>
      <c r="Q683" s="168" t="str">
        <f>IFERROR(P683/_xlfn.XLOOKUP(_xlfn.XLOOKUP($F683,Clientes!$B$4:$B$39,Clientes!$C$4:$C$39),Cadastros!$L$6:$L$12,Cadastros!$M$6:$M$12)," ")</f>
        <v xml:space="preserve"> </v>
      </c>
      <c r="R683" s="28"/>
      <c r="S683" s="28"/>
      <c r="T683" s="255" t="str">
        <f>IF(R683="","",(_xlfn.XLOOKUP(R683,Cadastros!$D$6:$D$90,Cadastros!$E$6:$E$90))*(1-_xlfn.XLOOKUP(_xlfn.XLOOKUP($F683,Clientes!$B$4:$B$39,Clientes!$C$4:$C$39),Cadastros!$L$6:$L$12,Cadastros!$N$6:$N$12)))</f>
        <v/>
      </c>
      <c r="U683" s="168" t="str">
        <f t="shared" si="133"/>
        <v/>
      </c>
      <c r="V683" s="168" t="str">
        <f>IFERROR(U683/_xlfn.XLOOKUP(_xlfn.XLOOKUP($F683,Clientes!$B$4:$B$39,Clientes!$C$4:$C$39),Cadastros!$L$6:$L$12,Cadastros!$M$6:$M$12)," ")</f>
        <v xml:space="preserve"> </v>
      </c>
      <c r="W683" s="28"/>
      <c r="X683" s="28"/>
      <c r="Y683" s="255" t="str">
        <f>IF(W683="","",(_xlfn.XLOOKUP(W683,Cadastros!$D$6:$D$90,Cadastros!$E$6:$E$90))*(1-_xlfn.XLOOKUP(_xlfn.XLOOKUP($F683,Clientes!$B$4:$B$39,Clientes!$C$4:$C$39),Cadastros!$L$6:$L$12,Cadastros!$N$6:$N$12)))</f>
        <v/>
      </c>
      <c r="Z683" s="168" t="str">
        <f t="shared" si="134"/>
        <v/>
      </c>
      <c r="AA683" s="168" t="str">
        <f>IFERROR(Z683/_xlfn.XLOOKUP(_xlfn.XLOOKUP($F683,Clientes!$B$4:$B$39,Clientes!$C$4:$C$39),Cadastros!$L$6:$L$12,Cadastros!$M$6:$M$12)," ")</f>
        <v xml:space="preserve"> </v>
      </c>
      <c r="AB683" s="28"/>
      <c r="AC683" s="28"/>
      <c r="AD683" s="20" t="str">
        <f>IF(AB683="","",IF($F683="Bernardino Furlan",_xlfn.XLOOKUP(AB683,Cadastros!$G$6:$G$90,Cadastros!$H$6:$H$90)*(1-0.18),IF($F683="Mauro José Salanti",_xlfn.XLOOKUP(AB683,Cadastros!$G$6:$G$90,Cadastros!$H$6:$H$90)*(1-0.18),_xlfn.XLOOKUP(AB683,Cadastros!$G$6:$G$90,Cadastros!$H$6:$H$90))))</f>
        <v/>
      </c>
      <c r="AE683" s="168" t="str">
        <f t="shared" si="135"/>
        <v/>
      </c>
      <c r="AF683" s="168" t="str">
        <f t="shared" si="136"/>
        <v/>
      </c>
      <c r="AG683" s="28"/>
      <c r="AH683" s="28"/>
      <c r="AI683" s="20" t="str">
        <f>IF(AG683="","",IF($F683="Bernardino Furlan",_xlfn.XLOOKUP(AG683,Cadastros!$G$6:$G$90,Cadastros!$H$6:$H$90)*(1-0.18),IF($F683="Mauro José Salanti",_xlfn.XLOOKUP(AG683,Cadastros!$G$6:$G$90,Cadastros!$H$6:$H$90)*(1-0.18),_xlfn.XLOOKUP(AG683,Cadastros!$G$6:$G$90,Cadastros!$H$6:$H$90))))</f>
        <v/>
      </c>
      <c r="AJ683" s="168" t="str">
        <f t="shared" si="137"/>
        <v/>
      </c>
      <c r="AK683" s="168" t="str">
        <f t="shared" si="138"/>
        <v/>
      </c>
      <c r="AL683" s="28"/>
      <c r="AM683" s="28"/>
      <c r="AN683" s="20" t="str">
        <f>IF(AL683="","",IF($F683="Bernardino Furlan",_xlfn.XLOOKUP(AL683,Cadastros!$G$6:$G$90,Cadastros!$H$6:$H$90)*(1-0.18),IF($F683="Mauro José Salanti",_xlfn.XLOOKUP(AL683,Cadastros!$G$6:$G$90,Cadastros!$H$6:$H$90)*(1-0.18),_xlfn.XLOOKUP(AL683,Cadastros!$G$6:$G$90,Cadastros!$H$6:$H$90))))</f>
        <v/>
      </c>
      <c r="AO683" s="168" t="str">
        <f t="shared" si="139"/>
        <v/>
      </c>
      <c r="AP683" s="168" t="str">
        <f t="shared" si="140"/>
        <v/>
      </c>
      <c r="AQ683" s="28"/>
      <c r="AR683" s="28"/>
      <c r="AS683" s="20" t="str">
        <f>IF(AQ683="","",IF($F683="Bernardino Furlan",_xlfn.XLOOKUP(AQ683,Cadastros!$G$6:$G$90,Cadastros!$H$6:$H$90)*(1-0.18),IF($F683="Mauro José Salanti",_xlfn.XLOOKUP(AQ683,Cadastros!$G$6:$G$90,Cadastros!$H$6:$H$90)*(1-0.18),_xlfn.XLOOKUP(AQ683,Cadastros!$G$6:$G$90,Cadastros!$H$6:$H$90))))</f>
        <v/>
      </c>
      <c r="AT683" s="168" t="str">
        <f t="shared" si="141"/>
        <v/>
      </c>
      <c r="AU683" s="168" t="str">
        <f t="shared" si="142"/>
        <v/>
      </c>
      <c r="AV683" s="227"/>
      <c r="AW683" s="30"/>
      <c r="AX683" s="267"/>
      <c r="AY683" s="267"/>
      <c r="AZ683" s="29"/>
      <c r="BA683" s="30"/>
      <c r="BB683" s="23" t="str" cm="1">
        <f t="array" ref="BB683">_xlfn.IFS(AW683="SIM",SUM(K683,P683,U683,Z683,AE683,AJ683,AO683,AT683,AX683,AY683),F683&lt;&gt;"",SUM(K683,P683,U683,Z683,AE683,AJ683,,AO683,AT683),F683="","")</f>
        <v/>
      </c>
      <c r="BC683" s="211" t="str" cm="1">
        <f t="array" ref="BC683">_xlfn.IFS(E683="","",G683&lt;=E683,BB683*(1-0.03),G683&lt;(E683+8),BB683,AZ683="Boleto",BB683*(1+0.001)^DATEDIF(E683,G683,"D"),AZ683="Cheque",BB683,AZ683="Dinheiro","Alterar forma pgto")</f>
        <v/>
      </c>
      <c r="BD683" s="276" t="str" cm="1">
        <f t="array" ref="BD683">IF(F683=0," ",IF(BC683&lt;BB683,(_xlfn.IFS(AW683="SIM",SUM(L683,Q683,V683,AA683,AF683,AK683,AP683,AU683)+AX683/_xlfn.XLOOKUP(_xlfn.XLOOKUP($F683,Clientes!$B$4:$B$39,Clientes!$C$4:$C$39),Cadastros!$L$6:$L$12,Cadastros!$M$6:$M$12)+IF($F683="Bernardino Furlan",AY683/2751.92,IF($F683="Mauro José Salanti",AY683/2751.92,AY683/3356)),F683&lt;&gt;0,SUM(L683,Q683,V683,AA683,AF683,AK683,AP683,AU683)))*(1-0.03),_xlfn.IFS(AW683="SIM",SUM(L683,Q683,V683,AA683,AF683,AK683,AP683,AU683)+AX683/_xlfn.XLOOKUP(_xlfn.XLOOKUP($F683,Clientes!$B$4:$B$39,Clientes!$C$4:$C$39),Cadastros!$L$6:$L$12,Cadastros!$M$6:$M$12)+IF($F683="Bernardino Furlan",AY683/2751.92,IF($F683="Mauro José Salanti",AY683/2751.92,AY683/3356)),F683&lt;&gt;0,SUM(L683,Q683,V683,AA683,AF683,AK683,AP683,AU683))))</f>
        <v xml:space="preserve"> </v>
      </c>
      <c r="BE683" s="120"/>
      <c r="BF683" s="120"/>
      <c r="BG683" s="120"/>
    </row>
    <row r="684" spans="1:59" s="3" customFormat="1" x14ac:dyDescent="0.3">
      <c r="A684" s="15" t="str">
        <f t="shared" si="130"/>
        <v/>
      </c>
      <c r="B684" s="25"/>
      <c r="C684" s="26"/>
      <c r="D684" s="279"/>
      <c r="E684" s="27"/>
      <c r="F684" s="28"/>
      <c r="G684" s="27"/>
      <c r="H684" s="28"/>
      <c r="I684" s="28"/>
      <c r="J684" s="255" t="str">
        <f>IF(H684="","",(_xlfn.XLOOKUP(H684,Cadastros!$D$6:$D$90,Cadastros!$E$6:$E$90))*(1-_xlfn.XLOOKUP(_xlfn.XLOOKUP($F684,Clientes!$B$4:$B$39,Clientes!$C$4:$C$39),Cadastros!$L$6:$L$12,Cadastros!$N$6:$N$12)))</f>
        <v/>
      </c>
      <c r="K684" s="168" t="str">
        <f t="shared" si="131"/>
        <v/>
      </c>
      <c r="L684" s="168" t="str">
        <f>IFERROR(K684/_xlfn.XLOOKUP(_xlfn.XLOOKUP($F684,Clientes!$B$4:$B$39,Clientes!$C$4:$C$39),Cadastros!$L$6:$L$12,Cadastros!$M$6:$M$12)," ")</f>
        <v xml:space="preserve"> </v>
      </c>
      <c r="M684" s="28"/>
      <c r="N684" s="28"/>
      <c r="O684" s="255" t="str">
        <f>IF(M684="","",(_xlfn.XLOOKUP(M684,Cadastros!$D$6:$D$90,Cadastros!$E$6:$E$90))*(1-_xlfn.XLOOKUP(_xlfn.XLOOKUP($F684,Clientes!$B$4:$B$39,Clientes!$C$4:$C$39),Cadastros!$L$6:$L$12,Cadastros!$N$6:$N$12)))</f>
        <v/>
      </c>
      <c r="P684" s="168" t="str">
        <f t="shared" si="132"/>
        <v/>
      </c>
      <c r="Q684" s="168" t="str">
        <f>IFERROR(P684/_xlfn.XLOOKUP(_xlfn.XLOOKUP($F684,Clientes!$B$4:$B$39,Clientes!$C$4:$C$39),Cadastros!$L$6:$L$12,Cadastros!$M$6:$M$12)," ")</f>
        <v xml:space="preserve"> </v>
      </c>
      <c r="R684" s="28"/>
      <c r="S684" s="28"/>
      <c r="T684" s="255" t="str">
        <f>IF(R684="","",(_xlfn.XLOOKUP(R684,Cadastros!$D$6:$D$90,Cadastros!$E$6:$E$90))*(1-_xlfn.XLOOKUP(_xlfn.XLOOKUP($F684,Clientes!$B$4:$B$39,Clientes!$C$4:$C$39),Cadastros!$L$6:$L$12,Cadastros!$N$6:$N$12)))</f>
        <v/>
      </c>
      <c r="U684" s="168" t="str">
        <f t="shared" si="133"/>
        <v/>
      </c>
      <c r="V684" s="168" t="str">
        <f>IFERROR(U684/_xlfn.XLOOKUP(_xlfn.XLOOKUP($F684,Clientes!$B$4:$B$39,Clientes!$C$4:$C$39),Cadastros!$L$6:$L$12,Cadastros!$M$6:$M$12)," ")</f>
        <v xml:space="preserve"> </v>
      </c>
      <c r="W684" s="28"/>
      <c r="X684" s="28"/>
      <c r="Y684" s="255" t="str">
        <f>IF(W684="","",(_xlfn.XLOOKUP(W684,Cadastros!$D$6:$D$90,Cadastros!$E$6:$E$90))*(1-_xlfn.XLOOKUP(_xlfn.XLOOKUP($F684,Clientes!$B$4:$B$39,Clientes!$C$4:$C$39),Cadastros!$L$6:$L$12,Cadastros!$N$6:$N$12)))</f>
        <v/>
      </c>
      <c r="Z684" s="168" t="str">
        <f t="shared" si="134"/>
        <v/>
      </c>
      <c r="AA684" s="168" t="str">
        <f>IFERROR(Z684/_xlfn.XLOOKUP(_xlfn.XLOOKUP($F684,Clientes!$B$4:$B$39,Clientes!$C$4:$C$39),Cadastros!$L$6:$L$12,Cadastros!$M$6:$M$12)," ")</f>
        <v xml:space="preserve"> </v>
      </c>
      <c r="AB684" s="28"/>
      <c r="AC684" s="28"/>
      <c r="AD684" s="20" t="str">
        <f>IF(AB684="","",IF($F684="Bernardino Furlan",_xlfn.XLOOKUP(AB684,Cadastros!$G$6:$G$90,Cadastros!$H$6:$H$90)*(1-0.18),IF($F684="Mauro José Salanti",_xlfn.XLOOKUP(AB684,Cadastros!$G$6:$G$90,Cadastros!$H$6:$H$90)*(1-0.18),_xlfn.XLOOKUP(AB684,Cadastros!$G$6:$G$90,Cadastros!$H$6:$H$90))))</f>
        <v/>
      </c>
      <c r="AE684" s="168" t="str">
        <f t="shared" si="135"/>
        <v/>
      </c>
      <c r="AF684" s="168" t="str">
        <f t="shared" si="136"/>
        <v/>
      </c>
      <c r="AG684" s="28"/>
      <c r="AH684" s="28"/>
      <c r="AI684" s="20" t="str">
        <f>IF(AG684="","",IF($F684="Bernardino Furlan",_xlfn.XLOOKUP(AG684,Cadastros!$G$6:$G$90,Cadastros!$H$6:$H$90)*(1-0.18),IF($F684="Mauro José Salanti",_xlfn.XLOOKUP(AG684,Cadastros!$G$6:$G$90,Cadastros!$H$6:$H$90)*(1-0.18),_xlfn.XLOOKUP(AG684,Cadastros!$G$6:$G$90,Cadastros!$H$6:$H$90))))</f>
        <v/>
      </c>
      <c r="AJ684" s="168" t="str">
        <f t="shared" si="137"/>
        <v/>
      </c>
      <c r="AK684" s="168" t="str">
        <f t="shared" si="138"/>
        <v/>
      </c>
      <c r="AL684" s="28"/>
      <c r="AM684" s="28"/>
      <c r="AN684" s="20" t="str">
        <f>IF(AL684="","",IF($F684="Bernardino Furlan",_xlfn.XLOOKUP(AL684,Cadastros!$G$6:$G$90,Cadastros!$H$6:$H$90)*(1-0.18),IF($F684="Mauro José Salanti",_xlfn.XLOOKUP(AL684,Cadastros!$G$6:$G$90,Cadastros!$H$6:$H$90)*(1-0.18),_xlfn.XLOOKUP(AL684,Cadastros!$G$6:$G$90,Cadastros!$H$6:$H$90))))</f>
        <v/>
      </c>
      <c r="AO684" s="168" t="str">
        <f t="shared" si="139"/>
        <v/>
      </c>
      <c r="AP684" s="168" t="str">
        <f t="shared" si="140"/>
        <v/>
      </c>
      <c r="AQ684" s="28"/>
      <c r="AR684" s="28"/>
      <c r="AS684" s="20" t="str">
        <f>IF(AQ684="","",IF($F684="Bernardino Furlan",_xlfn.XLOOKUP(AQ684,Cadastros!$G$6:$G$90,Cadastros!$H$6:$H$90)*(1-0.18),IF($F684="Mauro José Salanti",_xlfn.XLOOKUP(AQ684,Cadastros!$G$6:$G$90,Cadastros!$H$6:$H$90)*(1-0.18),_xlfn.XLOOKUP(AQ684,Cadastros!$G$6:$G$90,Cadastros!$H$6:$H$90))))</f>
        <v/>
      </c>
      <c r="AT684" s="168" t="str">
        <f t="shared" si="141"/>
        <v/>
      </c>
      <c r="AU684" s="168" t="str">
        <f t="shared" si="142"/>
        <v/>
      </c>
      <c r="AV684" s="227"/>
      <c r="AW684" s="30"/>
      <c r="AX684" s="267"/>
      <c r="AY684" s="267"/>
      <c r="AZ684" s="29"/>
      <c r="BA684" s="30"/>
      <c r="BB684" s="23" t="str" cm="1">
        <f t="array" ref="BB684">_xlfn.IFS(AW684="SIM",SUM(K684,P684,U684,Z684,AE684,AJ684,AO684,AT684,AX684,AY684),F684&lt;&gt;"",SUM(K684,P684,U684,Z684,AE684,AJ684,,AO684,AT684),F684="","")</f>
        <v/>
      </c>
      <c r="BC684" s="211" t="str" cm="1">
        <f t="array" ref="BC684">_xlfn.IFS(E684="","",G684&lt;=E684,BB684*(1-0.03),G684&lt;(E684+8),BB684,AZ684="Boleto",BB684*(1+0.001)^DATEDIF(E684,G684,"D"),AZ684="Cheque",BB684,AZ684="Dinheiro","Alterar forma pgto")</f>
        <v/>
      </c>
      <c r="BD684" s="276" t="str" cm="1">
        <f t="array" ref="BD684">IF(F684=0," ",IF(BC684&lt;BB684,(_xlfn.IFS(AW684="SIM",SUM(L684,Q684,V684,AA684,AF684,AK684,AP684,AU684)+AX684/_xlfn.XLOOKUP(_xlfn.XLOOKUP($F684,Clientes!$B$4:$B$39,Clientes!$C$4:$C$39),Cadastros!$L$6:$L$12,Cadastros!$M$6:$M$12)+IF($F684="Bernardino Furlan",AY684/2751.92,IF($F684="Mauro José Salanti",AY684/2751.92,AY684/3356)),F684&lt;&gt;0,SUM(L684,Q684,V684,AA684,AF684,AK684,AP684,AU684)))*(1-0.03),_xlfn.IFS(AW684="SIM",SUM(L684,Q684,V684,AA684,AF684,AK684,AP684,AU684)+AX684/_xlfn.XLOOKUP(_xlfn.XLOOKUP($F684,Clientes!$B$4:$B$39,Clientes!$C$4:$C$39),Cadastros!$L$6:$L$12,Cadastros!$M$6:$M$12)+IF($F684="Bernardino Furlan",AY684/2751.92,IF($F684="Mauro José Salanti",AY684/2751.92,AY684/3356)),F684&lt;&gt;0,SUM(L684,Q684,V684,AA684,AF684,AK684,AP684,AU684))))</f>
        <v xml:space="preserve"> </v>
      </c>
      <c r="BE684" s="120"/>
      <c r="BF684" s="120"/>
      <c r="BG684" s="120"/>
    </row>
    <row r="685" spans="1:59" s="3" customFormat="1" x14ac:dyDescent="0.3">
      <c r="A685" s="15" t="str">
        <f t="shared" si="130"/>
        <v/>
      </c>
      <c r="B685" s="25"/>
      <c r="C685" s="26"/>
      <c r="D685" s="279"/>
      <c r="E685" s="27"/>
      <c r="F685" s="28"/>
      <c r="G685" s="27"/>
      <c r="H685" s="28"/>
      <c r="I685" s="28"/>
      <c r="J685" s="255" t="str">
        <f>IF(H685="","",(_xlfn.XLOOKUP(H685,Cadastros!$D$6:$D$90,Cadastros!$E$6:$E$90))*(1-_xlfn.XLOOKUP(_xlfn.XLOOKUP($F685,Clientes!$B$4:$B$39,Clientes!$C$4:$C$39),Cadastros!$L$6:$L$12,Cadastros!$N$6:$N$12)))</f>
        <v/>
      </c>
      <c r="K685" s="168" t="str">
        <f t="shared" si="131"/>
        <v/>
      </c>
      <c r="L685" s="168" t="str">
        <f>IFERROR(K685/_xlfn.XLOOKUP(_xlfn.XLOOKUP($F685,Clientes!$B$4:$B$39,Clientes!$C$4:$C$39),Cadastros!$L$6:$L$12,Cadastros!$M$6:$M$12)," ")</f>
        <v xml:space="preserve"> </v>
      </c>
      <c r="M685" s="28"/>
      <c r="N685" s="28"/>
      <c r="O685" s="255" t="str">
        <f>IF(M685="","",(_xlfn.XLOOKUP(M685,Cadastros!$D$6:$D$90,Cadastros!$E$6:$E$90))*(1-_xlfn.XLOOKUP(_xlfn.XLOOKUP($F685,Clientes!$B$4:$B$39,Clientes!$C$4:$C$39),Cadastros!$L$6:$L$12,Cadastros!$N$6:$N$12)))</f>
        <v/>
      </c>
      <c r="P685" s="168" t="str">
        <f t="shared" si="132"/>
        <v/>
      </c>
      <c r="Q685" s="168" t="str">
        <f>IFERROR(P685/_xlfn.XLOOKUP(_xlfn.XLOOKUP($F685,Clientes!$B$4:$B$39,Clientes!$C$4:$C$39),Cadastros!$L$6:$L$12,Cadastros!$M$6:$M$12)," ")</f>
        <v xml:space="preserve"> </v>
      </c>
      <c r="R685" s="28"/>
      <c r="S685" s="28"/>
      <c r="T685" s="255" t="str">
        <f>IF(R685="","",(_xlfn.XLOOKUP(R685,Cadastros!$D$6:$D$90,Cadastros!$E$6:$E$90))*(1-_xlfn.XLOOKUP(_xlfn.XLOOKUP($F685,Clientes!$B$4:$B$39,Clientes!$C$4:$C$39),Cadastros!$L$6:$L$12,Cadastros!$N$6:$N$12)))</f>
        <v/>
      </c>
      <c r="U685" s="168" t="str">
        <f t="shared" si="133"/>
        <v/>
      </c>
      <c r="V685" s="168" t="str">
        <f>IFERROR(U685/_xlfn.XLOOKUP(_xlfn.XLOOKUP($F685,Clientes!$B$4:$B$39,Clientes!$C$4:$C$39),Cadastros!$L$6:$L$12,Cadastros!$M$6:$M$12)," ")</f>
        <v xml:space="preserve"> </v>
      </c>
      <c r="W685" s="28"/>
      <c r="X685" s="28"/>
      <c r="Y685" s="255" t="str">
        <f>IF(W685="","",(_xlfn.XLOOKUP(W685,Cadastros!$D$6:$D$90,Cadastros!$E$6:$E$90))*(1-_xlfn.XLOOKUP(_xlfn.XLOOKUP($F685,Clientes!$B$4:$B$39,Clientes!$C$4:$C$39),Cadastros!$L$6:$L$12,Cadastros!$N$6:$N$12)))</f>
        <v/>
      </c>
      <c r="Z685" s="168" t="str">
        <f t="shared" si="134"/>
        <v/>
      </c>
      <c r="AA685" s="168" t="str">
        <f>IFERROR(Z685/_xlfn.XLOOKUP(_xlfn.XLOOKUP($F685,Clientes!$B$4:$B$39,Clientes!$C$4:$C$39),Cadastros!$L$6:$L$12,Cadastros!$M$6:$M$12)," ")</f>
        <v xml:space="preserve"> </v>
      </c>
      <c r="AB685" s="28"/>
      <c r="AC685" s="28"/>
      <c r="AD685" s="20" t="str">
        <f>IF(AB685="","",IF($F685="Bernardino Furlan",_xlfn.XLOOKUP(AB685,Cadastros!$G$6:$G$90,Cadastros!$H$6:$H$90)*(1-0.18),IF($F685="Mauro José Salanti",_xlfn.XLOOKUP(AB685,Cadastros!$G$6:$G$90,Cadastros!$H$6:$H$90)*(1-0.18),_xlfn.XLOOKUP(AB685,Cadastros!$G$6:$G$90,Cadastros!$H$6:$H$90))))</f>
        <v/>
      </c>
      <c r="AE685" s="168" t="str">
        <f t="shared" si="135"/>
        <v/>
      </c>
      <c r="AF685" s="168" t="str">
        <f t="shared" si="136"/>
        <v/>
      </c>
      <c r="AG685" s="28"/>
      <c r="AH685" s="28"/>
      <c r="AI685" s="20" t="str">
        <f>IF(AG685="","",IF($F685="Bernardino Furlan",_xlfn.XLOOKUP(AG685,Cadastros!$G$6:$G$90,Cadastros!$H$6:$H$90)*(1-0.18),IF($F685="Mauro José Salanti",_xlfn.XLOOKUP(AG685,Cadastros!$G$6:$G$90,Cadastros!$H$6:$H$90)*(1-0.18),_xlfn.XLOOKUP(AG685,Cadastros!$G$6:$G$90,Cadastros!$H$6:$H$90))))</f>
        <v/>
      </c>
      <c r="AJ685" s="168" t="str">
        <f t="shared" si="137"/>
        <v/>
      </c>
      <c r="AK685" s="168" t="str">
        <f t="shared" si="138"/>
        <v/>
      </c>
      <c r="AL685" s="28"/>
      <c r="AM685" s="28"/>
      <c r="AN685" s="20" t="str">
        <f>IF(AL685="","",IF($F685="Bernardino Furlan",_xlfn.XLOOKUP(AL685,Cadastros!$G$6:$G$90,Cadastros!$H$6:$H$90)*(1-0.18),IF($F685="Mauro José Salanti",_xlfn.XLOOKUP(AL685,Cadastros!$G$6:$G$90,Cadastros!$H$6:$H$90)*(1-0.18),_xlfn.XLOOKUP(AL685,Cadastros!$G$6:$G$90,Cadastros!$H$6:$H$90))))</f>
        <v/>
      </c>
      <c r="AO685" s="168" t="str">
        <f t="shared" si="139"/>
        <v/>
      </c>
      <c r="AP685" s="168" t="str">
        <f t="shared" si="140"/>
        <v/>
      </c>
      <c r="AQ685" s="28"/>
      <c r="AR685" s="28"/>
      <c r="AS685" s="20" t="str">
        <f>IF(AQ685="","",IF($F685="Bernardino Furlan",_xlfn.XLOOKUP(AQ685,Cadastros!$G$6:$G$90,Cadastros!$H$6:$H$90)*(1-0.18),IF($F685="Mauro José Salanti",_xlfn.XLOOKUP(AQ685,Cadastros!$G$6:$G$90,Cadastros!$H$6:$H$90)*(1-0.18),_xlfn.XLOOKUP(AQ685,Cadastros!$G$6:$G$90,Cadastros!$H$6:$H$90))))</f>
        <v/>
      </c>
      <c r="AT685" s="168" t="str">
        <f t="shared" si="141"/>
        <v/>
      </c>
      <c r="AU685" s="168" t="str">
        <f t="shared" si="142"/>
        <v/>
      </c>
      <c r="AV685" s="227"/>
      <c r="AW685" s="30"/>
      <c r="AX685" s="267"/>
      <c r="AY685" s="267"/>
      <c r="AZ685" s="29"/>
      <c r="BA685" s="30"/>
      <c r="BB685" s="23" t="str" cm="1">
        <f t="array" ref="BB685">_xlfn.IFS(AW685="SIM",SUM(K685,P685,U685,Z685,AE685,AJ685,AO685,AT685,AX685,AY685),F685&lt;&gt;"",SUM(K685,P685,U685,Z685,AE685,AJ685,,AO685,AT685),F685="","")</f>
        <v/>
      </c>
      <c r="BC685" s="211" t="str" cm="1">
        <f t="array" ref="BC685">_xlfn.IFS(E685="","",G685&lt;=E685,BB685*(1-0.03),G685&lt;(E685+8),BB685,AZ685="Boleto",BB685*(1+0.001)^DATEDIF(E685,G685,"D"),AZ685="Cheque",BB685,AZ685="Dinheiro","Alterar forma pgto")</f>
        <v/>
      </c>
      <c r="BD685" s="276" t="str" cm="1">
        <f t="array" ref="BD685">IF(F685=0," ",IF(BC685&lt;BB685,(_xlfn.IFS(AW685="SIM",SUM(L685,Q685,V685,AA685,AF685,AK685,AP685,AU685)+AX685/_xlfn.XLOOKUP(_xlfn.XLOOKUP($F685,Clientes!$B$4:$B$39,Clientes!$C$4:$C$39),Cadastros!$L$6:$L$12,Cadastros!$M$6:$M$12)+IF($F685="Bernardino Furlan",AY685/2751.92,IF($F685="Mauro José Salanti",AY685/2751.92,AY685/3356)),F685&lt;&gt;0,SUM(L685,Q685,V685,AA685,AF685,AK685,AP685,AU685)))*(1-0.03),_xlfn.IFS(AW685="SIM",SUM(L685,Q685,V685,AA685,AF685,AK685,AP685,AU685)+AX685/_xlfn.XLOOKUP(_xlfn.XLOOKUP($F685,Clientes!$B$4:$B$39,Clientes!$C$4:$C$39),Cadastros!$L$6:$L$12,Cadastros!$M$6:$M$12)+IF($F685="Bernardino Furlan",AY685/2751.92,IF($F685="Mauro José Salanti",AY685/2751.92,AY685/3356)),F685&lt;&gt;0,SUM(L685,Q685,V685,AA685,AF685,AK685,AP685,AU685))))</f>
        <v xml:space="preserve"> </v>
      </c>
      <c r="BE685" s="120"/>
      <c r="BF685" s="120"/>
      <c r="BG685" s="120"/>
    </row>
    <row r="686" spans="1:59" s="3" customFormat="1" x14ac:dyDescent="0.3">
      <c r="A686" s="15" t="str">
        <f t="shared" si="130"/>
        <v/>
      </c>
      <c r="B686" s="25"/>
      <c r="C686" s="26"/>
      <c r="D686" s="279"/>
      <c r="E686" s="27"/>
      <c r="F686" s="28"/>
      <c r="G686" s="27"/>
      <c r="H686" s="28"/>
      <c r="I686" s="28"/>
      <c r="J686" s="255" t="str">
        <f>IF(H686="","",(_xlfn.XLOOKUP(H686,Cadastros!$D$6:$D$90,Cadastros!$E$6:$E$90))*(1-_xlfn.XLOOKUP(_xlfn.XLOOKUP($F686,Clientes!$B$4:$B$39,Clientes!$C$4:$C$39),Cadastros!$L$6:$L$12,Cadastros!$N$6:$N$12)))</f>
        <v/>
      </c>
      <c r="K686" s="168" t="str">
        <f t="shared" si="131"/>
        <v/>
      </c>
      <c r="L686" s="168" t="str">
        <f>IFERROR(K686/_xlfn.XLOOKUP(_xlfn.XLOOKUP($F686,Clientes!$B$4:$B$39,Clientes!$C$4:$C$39),Cadastros!$L$6:$L$12,Cadastros!$M$6:$M$12)," ")</f>
        <v xml:space="preserve"> </v>
      </c>
      <c r="M686" s="28"/>
      <c r="N686" s="28"/>
      <c r="O686" s="255" t="str">
        <f>IF(M686="","",(_xlfn.XLOOKUP(M686,Cadastros!$D$6:$D$90,Cadastros!$E$6:$E$90))*(1-_xlfn.XLOOKUP(_xlfn.XLOOKUP($F686,Clientes!$B$4:$B$39,Clientes!$C$4:$C$39),Cadastros!$L$6:$L$12,Cadastros!$N$6:$N$12)))</f>
        <v/>
      </c>
      <c r="P686" s="168" t="str">
        <f t="shared" si="132"/>
        <v/>
      </c>
      <c r="Q686" s="168" t="str">
        <f>IFERROR(P686/_xlfn.XLOOKUP(_xlfn.XLOOKUP($F686,Clientes!$B$4:$B$39,Clientes!$C$4:$C$39),Cadastros!$L$6:$L$12,Cadastros!$M$6:$M$12)," ")</f>
        <v xml:space="preserve"> </v>
      </c>
      <c r="R686" s="28"/>
      <c r="S686" s="28"/>
      <c r="T686" s="255" t="str">
        <f>IF(R686="","",(_xlfn.XLOOKUP(R686,Cadastros!$D$6:$D$90,Cadastros!$E$6:$E$90))*(1-_xlfn.XLOOKUP(_xlfn.XLOOKUP($F686,Clientes!$B$4:$B$39,Clientes!$C$4:$C$39),Cadastros!$L$6:$L$12,Cadastros!$N$6:$N$12)))</f>
        <v/>
      </c>
      <c r="U686" s="168" t="str">
        <f t="shared" si="133"/>
        <v/>
      </c>
      <c r="V686" s="168" t="str">
        <f>IFERROR(U686/_xlfn.XLOOKUP(_xlfn.XLOOKUP($F686,Clientes!$B$4:$B$39,Clientes!$C$4:$C$39),Cadastros!$L$6:$L$12,Cadastros!$M$6:$M$12)," ")</f>
        <v xml:space="preserve"> </v>
      </c>
      <c r="W686" s="28"/>
      <c r="X686" s="28"/>
      <c r="Y686" s="255" t="str">
        <f>IF(W686="","",(_xlfn.XLOOKUP(W686,Cadastros!$D$6:$D$90,Cadastros!$E$6:$E$90))*(1-_xlfn.XLOOKUP(_xlfn.XLOOKUP($F686,Clientes!$B$4:$B$39,Clientes!$C$4:$C$39),Cadastros!$L$6:$L$12,Cadastros!$N$6:$N$12)))</f>
        <v/>
      </c>
      <c r="Z686" s="168" t="str">
        <f t="shared" si="134"/>
        <v/>
      </c>
      <c r="AA686" s="168" t="str">
        <f>IFERROR(Z686/_xlfn.XLOOKUP(_xlfn.XLOOKUP($F686,Clientes!$B$4:$B$39,Clientes!$C$4:$C$39),Cadastros!$L$6:$L$12,Cadastros!$M$6:$M$12)," ")</f>
        <v xml:space="preserve"> </v>
      </c>
      <c r="AB686" s="28"/>
      <c r="AC686" s="28"/>
      <c r="AD686" s="20" t="str">
        <f>IF(AB686="","",IF($F686="Bernardino Furlan",_xlfn.XLOOKUP(AB686,Cadastros!$G$6:$G$90,Cadastros!$H$6:$H$90)*(1-0.18),IF($F686="Mauro José Salanti",_xlfn.XLOOKUP(AB686,Cadastros!$G$6:$G$90,Cadastros!$H$6:$H$90)*(1-0.18),_xlfn.XLOOKUP(AB686,Cadastros!$G$6:$G$90,Cadastros!$H$6:$H$90))))</f>
        <v/>
      </c>
      <c r="AE686" s="168" t="str">
        <f t="shared" si="135"/>
        <v/>
      </c>
      <c r="AF686" s="168" t="str">
        <f t="shared" si="136"/>
        <v/>
      </c>
      <c r="AG686" s="28"/>
      <c r="AH686" s="28"/>
      <c r="AI686" s="20" t="str">
        <f>IF(AG686="","",IF($F686="Bernardino Furlan",_xlfn.XLOOKUP(AG686,Cadastros!$G$6:$G$90,Cadastros!$H$6:$H$90)*(1-0.18),IF($F686="Mauro José Salanti",_xlfn.XLOOKUP(AG686,Cadastros!$G$6:$G$90,Cadastros!$H$6:$H$90)*(1-0.18),_xlfn.XLOOKUP(AG686,Cadastros!$G$6:$G$90,Cadastros!$H$6:$H$90))))</f>
        <v/>
      </c>
      <c r="AJ686" s="168" t="str">
        <f t="shared" si="137"/>
        <v/>
      </c>
      <c r="AK686" s="168" t="str">
        <f t="shared" si="138"/>
        <v/>
      </c>
      <c r="AL686" s="28"/>
      <c r="AM686" s="28"/>
      <c r="AN686" s="20" t="str">
        <f>IF(AL686="","",IF($F686="Bernardino Furlan",_xlfn.XLOOKUP(AL686,Cadastros!$G$6:$G$90,Cadastros!$H$6:$H$90)*(1-0.18),IF($F686="Mauro José Salanti",_xlfn.XLOOKUP(AL686,Cadastros!$G$6:$G$90,Cadastros!$H$6:$H$90)*(1-0.18),_xlfn.XLOOKUP(AL686,Cadastros!$G$6:$G$90,Cadastros!$H$6:$H$90))))</f>
        <v/>
      </c>
      <c r="AO686" s="168" t="str">
        <f t="shared" si="139"/>
        <v/>
      </c>
      <c r="AP686" s="168" t="str">
        <f t="shared" si="140"/>
        <v/>
      </c>
      <c r="AQ686" s="28"/>
      <c r="AR686" s="28"/>
      <c r="AS686" s="20" t="str">
        <f>IF(AQ686="","",IF($F686="Bernardino Furlan",_xlfn.XLOOKUP(AQ686,Cadastros!$G$6:$G$90,Cadastros!$H$6:$H$90)*(1-0.18),IF($F686="Mauro José Salanti",_xlfn.XLOOKUP(AQ686,Cadastros!$G$6:$G$90,Cadastros!$H$6:$H$90)*(1-0.18),_xlfn.XLOOKUP(AQ686,Cadastros!$G$6:$G$90,Cadastros!$H$6:$H$90))))</f>
        <v/>
      </c>
      <c r="AT686" s="168" t="str">
        <f t="shared" si="141"/>
        <v/>
      </c>
      <c r="AU686" s="168" t="str">
        <f t="shared" si="142"/>
        <v/>
      </c>
      <c r="AV686" s="227"/>
      <c r="AW686" s="30"/>
      <c r="AX686" s="267"/>
      <c r="AY686" s="267"/>
      <c r="AZ686" s="29"/>
      <c r="BA686" s="30"/>
      <c r="BB686" s="23" t="str" cm="1">
        <f t="array" ref="BB686">_xlfn.IFS(AW686="SIM",SUM(K686,P686,U686,Z686,AE686,AJ686,AO686,AT686,AX686,AY686),F686&lt;&gt;"",SUM(K686,P686,U686,Z686,AE686,AJ686,,AO686,AT686),F686="","")</f>
        <v/>
      </c>
      <c r="BC686" s="211" t="str" cm="1">
        <f t="array" ref="BC686">_xlfn.IFS(E686="","",G686&lt;=E686,BB686*(1-0.03),G686&lt;(E686+8),BB686,AZ686="Boleto",BB686*(1+0.001)^DATEDIF(E686,G686,"D"),AZ686="Cheque",BB686,AZ686="Dinheiro","Alterar forma pgto")</f>
        <v/>
      </c>
      <c r="BD686" s="276" t="str" cm="1">
        <f t="array" ref="BD686">IF(F686=0," ",IF(BC686&lt;BB686,(_xlfn.IFS(AW686="SIM",SUM(L686,Q686,V686,AA686,AF686,AK686,AP686,AU686)+AX686/_xlfn.XLOOKUP(_xlfn.XLOOKUP($F686,Clientes!$B$4:$B$39,Clientes!$C$4:$C$39),Cadastros!$L$6:$L$12,Cadastros!$M$6:$M$12)+IF($F686="Bernardino Furlan",AY686/2751.92,IF($F686="Mauro José Salanti",AY686/2751.92,AY686/3356)),F686&lt;&gt;0,SUM(L686,Q686,V686,AA686,AF686,AK686,AP686,AU686)))*(1-0.03),_xlfn.IFS(AW686="SIM",SUM(L686,Q686,V686,AA686,AF686,AK686,AP686,AU686)+AX686/_xlfn.XLOOKUP(_xlfn.XLOOKUP($F686,Clientes!$B$4:$B$39,Clientes!$C$4:$C$39),Cadastros!$L$6:$L$12,Cadastros!$M$6:$M$12)+IF($F686="Bernardino Furlan",AY686/2751.92,IF($F686="Mauro José Salanti",AY686/2751.92,AY686/3356)),F686&lt;&gt;0,SUM(L686,Q686,V686,AA686,AF686,AK686,AP686,AU686))))</f>
        <v xml:space="preserve"> </v>
      </c>
      <c r="BE686" s="120"/>
      <c r="BF686" s="120"/>
      <c r="BG686" s="120"/>
    </row>
    <row r="687" spans="1:59" s="3" customFormat="1" x14ac:dyDescent="0.3">
      <c r="A687" s="15" t="str">
        <f t="shared" si="130"/>
        <v/>
      </c>
      <c r="B687" s="25"/>
      <c r="C687" s="26"/>
      <c r="D687" s="279"/>
      <c r="E687" s="27"/>
      <c r="F687" s="28"/>
      <c r="G687" s="27"/>
      <c r="H687" s="28"/>
      <c r="I687" s="28"/>
      <c r="J687" s="255" t="str">
        <f>IF(H687="","",(_xlfn.XLOOKUP(H687,Cadastros!$D$6:$D$90,Cadastros!$E$6:$E$90))*(1-_xlfn.XLOOKUP(_xlfn.XLOOKUP($F687,Clientes!$B$4:$B$39,Clientes!$C$4:$C$39),Cadastros!$L$6:$L$12,Cadastros!$N$6:$N$12)))</f>
        <v/>
      </c>
      <c r="K687" s="168" t="str">
        <f t="shared" si="131"/>
        <v/>
      </c>
      <c r="L687" s="168" t="str">
        <f>IFERROR(K687/_xlfn.XLOOKUP(_xlfn.XLOOKUP($F687,Clientes!$B$4:$B$39,Clientes!$C$4:$C$39),Cadastros!$L$6:$L$12,Cadastros!$M$6:$M$12)," ")</f>
        <v xml:space="preserve"> </v>
      </c>
      <c r="M687" s="28"/>
      <c r="N687" s="28"/>
      <c r="O687" s="255" t="str">
        <f>IF(M687="","",(_xlfn.XLOOKUP(M687,Cadastros!$D$6:$D$90,Cadastros!$E$6:$E$90))*(1-_xlfn.XLOOKUP(_xlfn.XLOOKUP($F687,Clientes!$B$4:$B$39,Clientes!$C$4:$C$39),Cadastros!$L$6:$L$12,Cadastros!$N$6:$N$12)))</f>
        <v/>
      </c>
      <c r="P687" s="168" t="str">
        <f t="shared" si="132"/>
        <v/>
      </c>
      <c r="Q687" s="168" t="str">
        <f>IFERROR(P687/_xlfn.XLOOKUP(_xlfn.XLOOKUP($F687,Clientes!$B$4:$B$39,Clientes!$C$4:$C$39),Cadastros!$L$6:$L$12,Cadastros!$M$6:$M$12)," ")</f>
        <v xml:space="preserve"> </v>
      </c>
      <c r="R687" s="28"/>
      <c r="S687" s="28"/>
      <c r="T687" s="255" t="str">
        <f>IF(R687="","",(_xlfn.XLOOKUP(R687,Cadastros!$D$6:$D$90,Cadastros!$E$6:$E$90))*(1-_xlfn.XLOOKUP(_xlfn.XLOOKUP($F687,Clientes!$B$4:$B$39,Clientes!$C$4:$C$39),Cadastros!$L$6:$L$12,Cadastros!$N$6:$N$12)))</f>
        <v/>
      </c>
      <c r="U687" s="168" t="str">
        <f t="shared" si="133"/>
        <v/>
      </c>
      <c r="V687" s="168" t="str">
        <f>IFERROR(U687/_xlfn.XLOOKUP(_xlfn.XLOOKUP($F687,Clientes!$B$4:$B$39,Clientes!$C$4:$C$39),Cadastros!$L$6:$L$12,Cadastros!$M$6:$M$12)," ")</f>
        <v xml:space="preserve"> </v>
      </c>
      <c r="W687" s="28"/>
      <c r="X687" s="28"/>
      <c r="Y687" s="255" t="str">
        <f>IF(W687="","",(_xlfn.XLOOKUP(W687,Cadastros!$D$6:$D$90,Cadastros!$E$6:$E$90))*(1-_xlfn.XLOOKUP(_xlfn.XLOOKUP($F687,Clientes!$B$4:$B$39,Clientes!$C$4:$C$39),Cadastros!$L$6:$L$12,Cadastros!$N$6:$N$12)))</f>
        <v/>
      </c>
      <c r="Z687" s="168" t="str">
        <f t="shared" si="134"/>
        <v/>
      </c>
      <c r="AA687" s="168" t="str">
        <f>IFERROR(Z687/_xlfn.XLOOKUP(_xlfn.XLOOKUP($F687,Clientes!$B$4:$B$39,Clientes!$C$4:$C$39),Cadastros!$L$6:$L$12,Cadastros!$M$6:$M$12)," ")</f>
        <v xml:space="preserve"> </v>
      </c>
      <c r="AB687" s="28"/>
      <c r="AC687" s="28"/>
      <c r="AD687" s="20" t="str">
        <f>IF(AB687="","",IF($F687="Bernardino Furlan",_xlfn.XLOOKUP(AB687,Cadastros!$G$6:$G$90,Cadastros!$H$6:$H$90)*(1-0.18),IF($F687="Mauro José Salanti",_xlfn.XLOOKUP(AB687,Cadastros!$G$6:$G$90,Cadastros!$H$6:$H$90)*(1-0.18),_xlfn.XLOOKUP(AB687,Cadastros!$G$6:$G$90,Cadastros!$H$6:$H$90))))</f>
        <v/>
      </c>
      <c r="AE687" s="168" t="str">
        <f t="shared" si="135"/>
        <v/>
      </c>
      <c r="AF687" s="168" t="str">
        <f t="shared" si="136"/>
        <v/>
      </c>
      <c r="AG687" s="28"/>
      <c r="AH687" s="28"/>
      <c r="AI687" s="20" t="str">
        <f>IF(AG687="","",IF($F687="Bernardino Furlan",_xlfn.XLOOKUP(AG687,Cadastros!$G$6:$G$90,Cadastros!$H$6:$H$90)*(1-0.18),IF($F687="Mauro José Salanti",_xlfn.XLOOKUP(AG687,Cadastros!$G$6:$G$90,Cadastros!$H$6:$H$90)*(1-0.18),_xlfn.XLOOKUP(AG687,Cadastros!$G$6:$G$90,Cadastros!$H$6:$H$90))))</f>
        <v/>
      </c>
      <c r="AJ687" s="168" t="str">
        <f t="shared" si="137"/>
        <v/>
      </c>
      <c r="AK687" s="168" t="str">
        <f t="shared" si="138"/>
        <v/>
      </c>
      <c r="AL687" s="28"/>
      <c r="AM687" s="28"/>
      <c r="AN687" s="20" t="str">
        <f>IF(AL687="","",IF($F687="Bernardino Furlan",_xlfn.XLOOKUP(AL687,Cadastros!$G$6:$G$90,Cadastros!$H$6:$H$90)*(1-0.18),IF($F687="Mauro José Salanti",_xlfn.XLOOKUP(AL687,Cadastros!$G$6:$G$90,Cadastros!$H$6:$H$90)*(1-0.18),_xlfn.XLOOKUP(AL687,Cadastros!$G$6:$G$90,Cadastros!$H$6:$H$90))))</f>
        <v/>
      </c>
      <c r="AO687" s="168" t="str">
        <f t="shared" si="139"/>
        <v/>
      </c>
      <c r="AP687" s="168" t="str">
        <f t="shared" si="140"/>
        <v/>
      </c>
      <c r="AQ687" s="28"/>
      <c r="AR687" s="28"/>
      <c r="AS687" s="20" t="str">
        <f>IF(AQ687="","",IF($F687="Bernardino Furlan",_xlfn.XLOOKUP(AQ687,Cadastros!$G$6:$G$90,Cadastros!$H$6:$H$90)*(1-0.18),IF($F687="Mauro José Salanti",_xlfn.XLOOKUP(AQ687,Cadastros!$G$6:$G$90,Cadastros!$H$6:$H$90)*(1-0.18),_xlfn.XLOOKUP(AQ687,Cadastros!$G$6:$G$90,Cadastros!$H$6:$H$90))))</f>
        <v/>
      </c>
      <c r="AT687" s="168" t="str">
        <f t="shared" si="141"/>
        <v/>
      </c>
      <c r="AU687" s="168" t="str">
        <f t="shared" si="142"/>
        <v/>
      </c>
      <c r="AV687" s="227"/>
      <c r="AW687" s="30"/>
      <c r="AX687" s="267"/>
      <c r="AY687" s="267"/>
      <c r="AZ687" s="29"/>
      <c r="BA687" s="30"/>
      <c r="BB687" s="23" t="str" cm="1">
        <f t="array" ref="BB687">_xlfn.IFS(AW687="SIM",SUM(K687,P687,U687,Z687,AE687,AJ687,AO687,AT687,AX687,AY687),F687&lt;&gt;"",SUM(K687,P687,U687,Z687,AE687,AJ687,,AO687,AT687),F687="","")</f>
        <v/>
      </c>
      <c r="BC687" s="211" t="str" cm="1">
        <f t="array" ref="BC687">_xlfn.IFS(E687="","",G687&lt;=E687,BB687*(1-0.03),G687&lt;(E687+8),BB687,AZ687="Boleto",BB687*(1+0.001)^DATEDIF(E687,G687,"D"),AZ687="Cheque",BB687,AZ687="Dinheiro","Alterar forma pgto")</f>
        <v/>
      </c>
      <c r="BD687" s="276" t="str" cm="1">
        <f t="array" ref="BD687">IF(F687=0," ",IF(BC687&lt;BB687,(_xlfn.IFS(AW687="SIM",SUM(L687,Q687,V687,AA687,AF687,AK687,AP687,AU687)+AX687/_xlfn.XLOOKUP(_xlfn.XLOOKUP($F687,Clientes!$B$4:$B$39,Clientes!$C$4:$C$39),Cadastros!$L$6:$L$12,Cadastros!$M$6:$M$12)+IF($F687="Bernardino Furlan",AY687/2751.92,IF($F687="Mauro José Salanti",AY687/2751.92,AY687/3356)),F687&lt;&gt;0,SUM(L687,Q687,V687,AA687,AF687,AK687,AP687,AU687)))*(1-0.03),_xlfn.IFS(AW687="SIM",SUM(L687,Q687,V687,AA687,AF687,AK687,AP687,AU687)+AX687/_xlfn.XLOOKUP(_xlfn.XLOOKUP($F687,Clientes!$B$4:$B$39,Clientes!$C$4:$C$39),Cadastros!$L$6:$L$12,Cadastros!$M$6:$M$12)+IF($F687="Bernardino Furlan",AY687/2751.92,IF($F687="Mauro José Salanti",AY687/2751.92,AY687/3356)),F687&lt;&gt;0,SUM(L687,Q687,V687,AA687,AF687,AK687,AP687,AU687))))</f>
        <v xml:space="preserve"> </v>
      </c>
      <c r="BE687" s="120"/>
      <c r="BF687" s="120"/>
      <c r="BG687" s="120"/>
    </row>
    <row r="688" spans="1:59" s="3" customFormat="1" x14ac:dyDescent="0.3">
      <c r="A688" s="15" t="str">
        <f t="shared" si="130"/>
        <v/>
      </c>
      <c r="B688" s="25"/>
      <c r="C688" s="26"/>
      <c r="D688" s="279"/>
      <c r="E688" s="27"/>
      <c r="F688" s="28"/>
      <c r="G688" s="27"/>
      <c r="H688" s="28"/>
      <c r="I688" s="28"/>
      <c r="J688" s="255" t="str">
        <f>IF(H688="","",(_xlfn.XLOOKUP(H688,Cadastros!$D$6:$D$90,Cadastros!$E$6:$E$90))*(1-_xlfn.XLOOKUP(_xlfn.XLOOKUP($F688,Clientes!$B$4:$B$39,Clientes!$C$4:$C$39),Cadastros!$L$6:$L$12,Cadastros!$N$6:$N$12)))</f>
        <v/>
      </c>
      <c r="K688" s="168" t="str">
        <f t="shared" si="131"/>
        <v/>
      </c>
      <c r="L688" s="168" t="str">
        <f>IFERROR(K688/_xlfn.XLOOKUP(_xlfn.XLOOKUP($F688,Clientes!$B$4:$B$39,Clientes!$C$4:$C$39),Cadastros!$L$6:$L$12,Cadastros!$M$6:$M$12)," ")</f>
        <v xml:space="preserve"> </v>
      </c>
      <c r="M688" s="28"/>
      <c r="N688" s="28"/>
      <c r="O688" s="255" t="str">
        <f>IF(M688="","",(_xlfn.XLOOKUP(M688,Cadastros!$D$6:$D$90,Cadastros!$E$6:$E$90))*(1-_xlfn.XLOOKUP(_xlfn.XLOOKUP($F688,Clientes!$B$4:$B$39,Clientes!$C$4:$C$39),Cadastros!$L$6:$L$12,Cadastros!$N$6:$N$12)))</f>
        <v/>
      </c>
      <c r="P688" s="168" t="str">
        <f t="shared" si="132"/>
        <v/>
      </c>
      <c r="Q688" s="168" t="str">
        <f>IFERROR(P688/_xlfn.XLOOKUP(_xlfn.XLOOKUP($F688,Clientes!$B$4:$B$39,Clientes!$C$4:$C$39),Cadastros!$L$6:$L$12,Cadastros!$M$6:$M$12)," ")</f>
        <v xml:space="preserve"> </v>
      </c>
      <c r="R688" s="28"/>
      <c r="S688" s="28"/>
      <c r="T688" s="255" t="str">
        <f>IF(R688="","",(_xlfn.XLOOKUP(R688,Cadastros!$D$6:$D$90,Cadastros!$E$6:$E$90))*(1-_xlfn.XLOOKUP(_xlfn.XLOOKUP($F688,Clientes!$B$4:$B$39,Clientes!$C$4:$C$39),Cadastros!$L$6:$L$12,Cadastros!$N$6:$N$12)))</f>
        <v/>
      </c>
      <c r="U688" s="168" t="str">
        <f t="shared" si="133"/>
        <v/>
      </c>
      <c r="V688" s="168" t="str">
        <f>IFERROR(U688/_xlfn.XLOOKUP(_xlfn.XLOOKUP($F688,Clientes!$B$4:$B$39,Clientes!$C$4:$C$39),Cadastros!$L$6:$L$12,Cadastros!$M$6:$M$12)," ")</f>
        <v xml:space="preserve"> </v>
      </c>
      <c r="W688" s="28"/>
      <c r="X688" s="28"/>
      <c r="Y688" s="255" t="str">
        <f>IF(W688="","",(_xlfn.XLOOKUP(W688,Cadastros!$D$6:$D$90,Cadastros!$E$6:$E$90))*(1-_xlfn.XLOOKUP(_xlfn.XLOOKUP($F688,Clientes!$B$4:$B$39,Clientes!$C$4:$C$39),Cadastros!$L$6:$L$12,Cadastros!$N$6:$N$12)))</f>
        <v/>
      </c>
      <c r="Z688" s="168" t="str">
        <f t="shared" si="134"/>
        <v/>
      </c>
      <c r="AA688" s="168" t="str">
        <f>IFERROR(Z688/_xlfn.XLOOKUP(_xlfn.XLOOKUP($F688,Clientes!$B$4:$B$39,Clientes!$C$4:$C$39),Cadastros!$L$6:$L$12,Cadastros!$M$6:$M$12)," ")</f>
        <v xml:space="preserve"> </v>
      </c>
      <c r="AB688" s="28"/>
      <c r="AC688" s="28"/>
      <c r="AD688" s="20" t="str">
        <f>IF(AB688="","",IF($F688="Bernardino Furlan",_xlfn.XLOOKUP(AB688,Cadastros!$G$6:$G$90,Cadastros!$H$6:$H$90)*(1-0.18),IF($F688="Mauro José Salanti",_xlfn.XLOOKUP(AB688,Cadastros!$G$6:$G$90,Cadastros!$H$6:$H$90)*(1-0.18),_xlfn.XLOOKUP(AB688,Cadastros!$G$6:$G$90,Cadastros!$H$6:$H$90))))</f>
        <v/>
      </c>
      <c r="AE688" s="168" t="str">
        <f t="shared" si="135"/>
        <v/>
      </c>
      <c r="AF688" s="168" t="str">
        <f t="shared" si="136"/>
        <v/>
      </c>
      <c r="AG688" s="28"/>
      <c r="AH688" s="28"/>
      <c r="AI688" s="20" t="str">
        <f>IF(AG688="","",IF($F688="Bernardino Furlan",_xlfn.XLOOKUP(AG688,Cadastros!$G$6:$G$90,Cadastros!$H$6:$H$90)*(1-0.18),IF($F688="Mauro José Salanti",_xlfn.XLOOKUP(AG688,Cadastros!$G$6:$G$90,Cadastros!$H$6:$H$90)*(1-0.18),_xlfn.XLOOKUP(AG688,Cadastros!$G$6:$G$90,Cadastros!$H$6:$H$90))))</f>
        <v/>
      </c>
      <c r="AJ688" s="168" t="str">
        <f t="shared" si="137"/>
        <v/>
      </c>
      <c r="AK688" s="168" t="str">
        <f t="shared" si="138"/>
        <v/>
      </c>
      <c r="AL688" s="28"/>
      <c r="AM688" s="28"/>
      <c r="AN688" s="20" t="str">
        <f>IF(AL688="","",IF($F688="Bernardino Furlan",_xlfn.XLOOKUP(AL688,Cadastros!$G$6:$G$90,Cadastros!$H$6:$H$90)*(1-0.18),IF($F688="Mauro José Salanti",_xlfn.XLOOKUP(AL688,Cadastros!$G$6:$G$90,Cadastros!$H$6:$H$90)*(1-0.18),_xlfn.XLOOKUP(AL688,Cadastros!$G$6:$G$90,Cadastros!$H$6:$H$90))))</f>
        <v/>
      </c>
      <c r="AO688" s="168" t="str">
        <f t="shared" si="139"/>
        <v/>
      </c>
      <c r="AP688" s="168" t="str">
        <f t="shared" si="140"/>
        <v/>
      </c>
      <c r="AQ688" s="28"/>
      <c r="AR688" s="28"/>
      <c r="AS688" s="20" t="str">
        <f>IF(AQ688="","",IF($F688="Bernardino Furlan",_xlfn.XLOOKUP(AQ688,Cadastros!$G$6:$G$90,Cadastros!$H$6:$H$90)*(1-0.18),IF($F688="Mauro José Salanti",_xlfn.XLOOKUP(AQ688,Cadastros!$G$6:$G$90,Cadastros!$H$6:$H$90)*(1-0.18),_xlfn.XLOOKUP(AQ688,Cadastros!$G$6:$G$90,Cadastros!$H$6:$H$90))))</f>
        <v/>
      </c>
      <c r="AT688" s="168" t="str">
        <f t="shared" si="141"/>
        <v/>
      </c>
      <c r="AU688" s="168" t="str">
        <f t="shared" si="142"/>
        <v/>
      </c>
      <c r="AV688" s="227"/>
      <c r="AW688" s="30"/>
      <c r="AX688" s="267"/>
      <c r="AY688" s="267"/>
      <c r="AZ688" s="29"/>
      <c r="BA688" s="30"/>
      <c r="BB688" s="23" t="str" cm="1">
        <f t="array" ref="BB688">_xlfn.IFS(AW688="SIM",SUM(K688,P688,U688,Z688,AE688,AJ688,AO688,AT688,AX688,AY688),F688&lt;&gt;"",SUM(K688,P688,U688,Z688,AE688,AJ688,,AO688,AT688),F688="","")</f>
        <v/>
      </c>
      <c r="BC688" s="211" t="str" cm="1">
        <f t="array" ref="BC688">_xlfn.IFS(E688="","",G688&lt;=E688,BB688*(1-0.03),G688&lt;(E688+8),BB688,AZ688="Boleto",BB688*(1+0.001)^DATEDIF(E688,G688,"D"),AZ688="Cheque",BB688,AZ688="Dinheiro","Alterar forma pgto")</f>
        <v/>
      </c>
      <c r="BD688" s="276" t="str" cm="1">
        <f t="array" ref="BD688">IF(F688=0," ",IF(BC688&lt;BB688,(_xlfn.IFS(AW688="SIM",SUM(L688,Q688,V688,AA688,AF688,AK688,AP688,AU688)+AX688/_xlfn.XLOOKUP(_xlfn.XLOOKUP($F688,Clientes!$B$4:$B$39,Clientes!$C$4:$C$39),Cadastros!$L$6:$L$12,Cadastros!$M$6:$M$12)+IF($F688="Bernardino Furlan",AY688/2751.92,IF($F688="Mauro José Salanti",AY688/2751.92,AY688/3356)),F688&lt;&gt;0,SUM(L688,Q688,V688,AA688,AF688,AK688,AP688,AU688)))*(1-0.03),_xlfn.IFS(AW688="SIM",SUM(L688,Q688,V688,AA688,AF688,AK688,AP688,AU688)+AX688/_xlfn.XLOOKUP(_xlfn.XLOOKUP($F688,Clientes!$B$4:$B$39,Clientes!$C$4:$C$39),Cadastros!$L$6:$L$12,Cadastros!$M$6:$M$12)+IF($F688="Bernardino Furlan",AY688/2751.92,IF($F688="Mauro José Salanti",AY688/2751.92,AY688/3356)),F688&lt;&gt;0,SUM(L688,Q688,V688,AA688,AF688,AK688,AP688,AU688))))</f>
        <v xml:space="preserve"> </v>
      </c>
      <c r="BE688" s="120"/>
      <c r="BF688" s="120"/>
      <c r="BG688" s="120"/>
    </row>
    <row r="689" spans="1:59" s="3" customFormat="1" x14ac:dyDescent="0.3">
      <c r="A689" s="15" t="str">
        <f t="shared" si="130"/>
        <v/>
      </c>
      <c r="B689" s="25"/>
      <c r="C689" s="26"/>
      <c r="D689" s="279"/>
      <c r="E689" s="27"/>
      <c r="F689" s="28"/>
      <c r="G689" s="27"/>
      <c r="H689" s="28"/>
      <c r="I689" s="28"/>
      <c r="J689" s="255" t="str">
        <f>IF(H689="","",(_xlfn.XLOOKUP(H689,Cadastros!$D$6:$D$90,Cadastros!$E$6:$E$90))*(1-_xlfn.XLOOKUP(_xlfn.XLOOKUP($F689,Clientes!$B$4:$B$39,Clientes!$C$4:$C$39),Cadastros!$L$6:$L$12,Cadastros!$N$6:$N$12)))</f>
        <v/>
      </c>
      <c r="K689" s="168" t="str">
        <f t="shared" si="131"/>
        <v/>
      </c>
      <c r="L689" s="168" t="str">
        <f>IFERROR(K689/_xlfn.XLOOKUP(_xlfn.XLOOKUP($F689,Clientes!$B$4:$B$39,Clientes!$C$4:$C$39),Cadastros!$L$6:$L$12,Cadastros!$M$6:$M$12)," ")</f>
        <v xml:space="preserve"> </v>
      </c>
      <c r="M689" s="28"/>
      <c r="N689" s="28"/>
      <c r="O689" s="255" t="str">
        <f>IF(M689="","",(_xlfn.XLOOKUP(M689,Cadastros!$D$6:$D$90,Cadastros!$E$6:$E$90))*(1-_xlfn.XLOOKUP(_xlfn.XLOOKUP($F689,Clientes!$B$4:$B$39,Clientes!$C$4:$C$39),Cadastros!$L$6:$L$12,Cadastros!$N$6:$N$12)))</f>
        <v/>
      </c>
      <c r="P689" s="168" t="str">
        <f t="shared" si="132"/>
        <v/>
      </c>
      <c r="Q689" s="168" t="str">
        <f>IFERROR(P689/_xlfn.XLOOKUP(_xlfn.XLOOKUP($F689,Clientes!$B$4:$B$39,Clientes!$C$4:$C$39),Cadastros!$L$6:$L$12,Cadastros!$M$6:$M$12)," ")</f>
        <v xml:space="preserve"> </v>
      </c>
      <c r="R689" s="28"/>
      <c r="S689" s="28"/>
      <c r="T689" s="255" t="str">
        <f>IF(R689="","",(_xlfn.XLOOKUP(R689,Cadastros!$D$6:$D$90,Cadastros!$E$6:$E$90))*(1-_xlfn.XLOOKUP(_xlfn.XLOOKUP($F689,Clientes!$B$4:$B$39,Clientes!$C$4:$C$39),Cadastros!$L$6:$L$12,Cadastros!$N$6:$N$12)))</f>
        <v/>
      </c>
      <c r="U689" s="168" t="str">
        <f t="shared" si="133"/>
        <v/>
      </c>
      <c r="V689" s="168" t="str">
        <f>IFERROR(U689/_xlfn.XLOOKUP(_xlfn.XLOOKUP($F689,Clientes!$B$4:$B$39,Clientes!$C$4:$C$39),Cadastros!$L$6:$L$12,Cadastros!$M$6:$M$12)," ")</f>
        <v xml:space="preserve"> </v>
      </c>
      <c r="W689" s="28"/>
      <c r="X689" s="28"/>
      <c r="Y689" s="255" t="str">
        <f>IF(W689="","",(_xlfn.XLOOKUP(W689,Cadastros!$D$6:$D$90,Cadastros!$E$6:$E$90))*(1-_xlfn.XLOOKUP(_xlfn.XLOOKUP($F689,Clientes!$B$4:$B$39,Clientes!$C$4:$C$39),Cadastros!$L$6:$L$12,Cadastros!$N$6:$N$12)))</f>
        <v/>
      </c>
      <c r="Z689" s="168" t="str">
        <f t="shared" si="134"/>
        <v/>
      </c>
      <c r="AA689" s="168" t="str">
        <f>IFERROR(Z689/_xlfn.XLOOKUP(_xlfn.XLOOKUP($F689,Clientes!$B$4:$B$39,Clientes!$C$4:$C$39),Cadastros!$L$6:$L$12,Cadastros!$M$6:$M$12)," ")</f>
        <v xml:space="preserve"> </v>
      </c>
      <c r="AB689" s="28"/>
      <c r="AC689" s="28"/>
      <c r="AD689" s="20" t="str">
        <f>IF(AB689="","",IF($F689="Bernardino Furlan",_xlfn.XLOOKUP(AB689,Cadastros!$G$6:$G$90,Cadastros!$H$6:$H$90)*(1-0.18),IF($F689="Mauro José Salanti",_xlfn.XLOOKUP(AB689,Cadastros!$G$6:$G$90,Cadastros!$H$6:$H$90)*(1-0.18),_xlfn.XLOOKUP(AB689,Cadastros!$G$6:$G$90,Cadastros!$H$6:$H$90))))</f>
        <v/>
      </c>
      <c r="AE689" s="168" t="str">
        <f t="shared" si="135"/>
        <v/>
      </c>
      <c r="AF689" s="168" t="str">
        <f t="shared" si="136"/>
        <v/>
      </c>
      <c r="AG689" s="28"/>
      <c r="AH689" s="28"/>
      <c r="AI689" s="20" t="str">
        <f>IF(AG689="","",IF($F689="Bernardino Furlan",_xlfn.XLOOKUP(AG689,Cadastros!$G$6:$G$90,Cadastros!$H$6:$H$90)*(1-0.18),IF($F689="Mauro José Salanti",_xlfn.XLOOKUP(AG689,Cadastros!$G$6:$G$90,Cadastros!$H$6:$H$90)*(1-0.18),_xlfn.XLOOKUP(AG689,Cadastros!$G$6:$G$90,Cadastros!$H$6:$H$90))))</f>
        <v/>
      </c>
      <c r="AJ689" s="168" t="str">
        <f t="shared" si="137"/>
        <v/>
      </c>
      <c r="AK689" s="168" t="str">
        <f t="shared" si="138"/>
        <v/>
      </c>
      <c r="AL689" s="28"/>
      <c r="AM689" s="28"/>
      <c r="AN689" s="20" t="str">
        <f>IF(AL689="","",IF($F689="Bernardino Furlan",_xlfn.XLOOKUP(AL689,Cadastros!$G$6:$G$90,Cadastros!$H$6:$H$90)*(1-0.18),IF($F689="Mauro José Salanti",_xlfn.XLOOKUP(AL689,Cadastros!$G$6:$G$90,Cadastros!$H$6:$H$90)*(1-0.18),_xlfn.XLOOKUP(AL689,Cadastros!$G$6:$G$90,Cadastros!$H$6:$H$90))))</f>
        <v/>
      </c>
      <c r="AO689" s="168" t="str">
        <f t="shared" si="139"/>
        <v/>
      </c>
      <c r="AP689" s="168" t="str">
        <f t="shared" si="140"/>
        <v/>
      </c>
      <c r="AQ689" s="28"/>
      <c r="AR689" s="28"/>
      <c r="AS689" s="20" t="str">
        <f>IF(AQ689="","",IF($F689="Bernardino Furlan",_xlfn.XLOOKUP(AQ689,Cadastros!$G$6:$G$90,Cadastros!$H$6:$H$90)*(1-0.18),IF($F689="Mauro José Salanti",_xlfn.XLOOKUP(AQ689,Cadastros!$G$6:$G$90,Cadastros!$H$6:$H$90)*(1-0.18),_xlfn.XLOOKUP(AQ689,Cadastros!$G$6:$G$90,Cadastros!$H$6:$H$90))))</f>
        <v/>
      </c>
      <c r="AT689" s="168" t="str">
        <f t="shared" si="141"/>
        <v/>
      </c>
      <c r="AU689" s="168" t="str">
        <f t="shared" si="142"/>
        <v/>
      </c>
      <c r="AV689" s="227"/>
      <c r="AW689" s="30"/>
      <c r="AX689" s="267"/>
      <c r="AY689" s="267"/>
      <c r="AZ689" s="29"/>
      <c r="BA689" s="30"/>
      <c r="BB689" s="23" t="str" cm="1">
        <f t="array" ref="BB689">_xlfn.IFS(AW689="SIM",SUM(K689,P689,U689,Z689,AE689,AJ689,AO689,AT689,AX689,AY689),F689&lt;&gt;"",SUM(K689,P689,U689,Z689,AE689,AJ689,,AO689,AT689),F689="","")</f>
        <v/>
      </c>
      <c r="BC689" s="211" t="str" cm="1">
        <f t="array" ref="BC689">_xlfn.IFS(E689="","",G689&lt;=E689,BB689*(1-0.03),G689&lt;(E689+8),BB689,AZ689="Boleto",BB689*(1+0.001)^DATEDIF(E689,G689,"D"),AZ689="Cheque",BB689,AZ689="Dinheiro","Alterar forma pgto")</f>
        <v/>
      </c>
      <c r="BD689" s="276" t="str" cm="1">
        <f t="array" ref="BD689">IF(F689=0," ",IF(BC689&lt;BB689,(_xlfn.IFS(AW689="SIM",SUM(L689,Q689,V689,AA689,AF689,AK689,AP689,AU689)+AX689/_xlfn.XLOOKUP(_xlfn.XLOOKUP($F689,Clientes!$B$4:$B$39,Clientes!$C$4:$C$39),Cadastros!$L$6:$L$12,Cadastros!$M$6:$M$12)+IF($F689="Bernardino Furlan",AY689/2751.92,IF($F689="Mauro José Salanti",AY689/2751.92,AY689/3356)),F689&lt;&gt;0,SUM(L689,Q689,V689,AA689,AF689,AK689,AP689,AU689)))*(1-0.03),_xlfn.IFS(AW689="SIM",SUM(L689,Q689,V689,AA689,AF689,AK689,AP689,AU689)+AX689/_xlfn.XLOOKUP(_xlfn.XLOOKUP($F689,Clientes!$B$4:$B$39,Clientes!$C$4:$C$39),Cadastros!$L$6:$L$12,Cadastros!$M$6:$M$12)+IF($F689="Bernardino Furlan",AY689/2751.92,IF($F689="Mauro José Salanti",AY689/2751.92,AY689/3356)),F689&lt;&gt;0,SUM(L689,Q689,V689,AA689,AF689,AK689,AP689,AU689))))</f>
        <v xml:space="preserve"> </v>
      </c>
      <c r="BE689" s="120"/>
      <c r="BF689" s="120"/>
      <c r="BG689" s="120"/>
    </row>
    <row r="690" spans="1:59" s="3" customFormat="1" x14ac:dyDescent="0.3">
      <c r="A690" s="15" t="str">
        <f t="shared" si="130"/>
        <v/>
      </c>
      <c r="B690" s="25"/>
      <c r="C690" s="26"/>
      <c r="D690" s="279"/>
      <c r="E690" s="27"/>
      <c r="F690" s="28"/>
      <c r="G690" s="27"/>
      <c r="H690" s="28"/>
      <c r="I690" s="28"/>
      <c r="J690" s="255" t="str">
        <f>IF(H690="","",(_xlfn.XLOOKUP(H690,Cadastros!$D$6:$D$90,Cadastros!$E$6:$E$90))*(1-_xlfn.XLOOKUP(_xlfn.XLOOKUP($F690,Clientes!$B$4:$B$39,Clientes!$C$4:$C$39),Cadastros!$L$6:$L$12,Cadastros!$N$6:$N$12)))</f>
        <v/>
      </c>
      <c r="K690" s="168" t="str">
        <f t="shared" si="131"/>
        <v/>
      </c>
      <c r="L690" s="168" t="str">
        <f>IFERROR(K690/_xlfn.XLOOKUP(_xlfn.XLOOKUP($F690,Clientes!$B$4:$B$39,Clientes!$C$4:$C$39),Cadastros!$L$6:$L$12,Cadastros!$M$6:$M$12)," ")</f>
        <v xml:space="preserve"> </v>
      </c>
      <c r="M690" s="28"/>
      <c r="N690" s="28"/>
      <c r="O690" s="255" t="str">
        <f>IF(M690="","",(_xlfn.XLOOKUP(M690,Cadastros!$D$6:$D$90,Cadastros!$E$6:$E$90))*(1-_xlfn.XLOOKUP(_xlfn.XLOOKUP($F690,Clientes!$B$4:$B$39,Clientes!$C$4:$C$39),Cadastros!$L$6:$L$12,Cadastros!$N$6:$N$12)))</f>
        <v/>
      </c>
      <c r="P690" s="168" t="str">
        <f t="shared" si="132"/>
        <v/>
      </c>
      <c r="Q690" s="168" t="str">
        <f>IFERROR(P690/_xlfn.XLOOKUP(_xlfn.XLOOKUP($F690,Clientes!$B$4:$B$39,Clientes!$C$4:$C$39),Cadastros!$L$6:$L$12,Cadastros!$M$6:$M$12)," ")</f>
        <v xml:space="preserve"> </v>
      </c>
      <c r="R690" s="28"/>
      <c r="S690" s="28"/>
      <c r="T690" s="255" t="str">
        <f>IF(R690="","",(_xlfn.XLOOKUP(R690,Cadastros!$D$6:$D$90,Cadastros!$E$6:$E$90))*(1-_xlfn.XLOOKUP(_xlfn.XLOOKUP($F690,Clientes!$B$4:$B$39,Clientes!$C$4:$C$39),Cadastros!$L$6:$L$12,Cadastros!$N$6:$N$12)))</f>
        <v/>
      </c>
      <c r="U690" s="168" t="str">
        <f t="shared" si="133"/>
        <v/>
      </c>
      <c r="V690" s="168" t="str">
        <f>IFERROR(U690/_xlfn.XLOOKUP(_xlfn.XLOOKUP($F690,Clientes!$B$4:$B$39,Clientes!$C$4:$C$39),Cadastros!$L$6:$L$12,Cadastros!$M$6:$M$12)," ")</f>
        <v xml:space="preserve"> </v>
      </c>
      <c r="W690" s="28"/>
      <c r="X690" s="28"/>
      <c r="Y690" s="255" t="str">
        <f>IF(W690="","",(_xlfn.XLOOKUP(W690,Cadastros!$D$6:$D$90,Cadastros!$E$6:$E$90))*(1-_xlfn.XLOOKUP(_xlfn.XLOOKUP($F690,Clientes!$B$4:$B$39,Clientes!$C$4:$C$39),Cadastros!$L$6:$L$12,Cadastros!$N$6:$N$12)))</f>
        <v/>
      </c>
      <c r="Z690" s="168" t="str">
        <f t="shared" si="134"/>
        <v/>
      </c>
      <c r="AA690" s="168" t="str">
        <f>IFERROR(Z690/_xlfn.XLOOKUP(_xlfn.XLOOKUP($F690,Clientes!$B$4:$B$39,Clientes!$C$4:$C$39),Cadastros!$L$6:$L$12,Cadastros!$M$6:$M$12)," ")</f>
        <v xml:space="preserve"> </v>
      </c>
      <c r="AB690" s="28"/>
      <c r="AC690" s="28"/>
      <c r="AD690" s="20" t="str">
        <f>IF(AB690="","",IF($F690="Bernardino Furlan",_xlfn.XLOOKUP(AB690,Cadastros!$G$6:$G$90,Cadastros!$H$6:$H$90)*(1-0.18),IF($F690="Mauro José Salanti",_xlfn.XLOOKUP(AB690,Cadastros!$G$6:$G$90,Cadastros!$H$6:$H$90)*(1-0.18),_xlfn.XLOOKUP(AB690,Cadastros!$G$6:$G$90,Cadastros!$H$6:$H$90))))</f>
        <v/>
      </c>
      <c r="AE690" s="168" t="str">
        <f t="shared" si="135"/>
        <v/>
      </c>
      <c r="AF690" s="168" t="str">
        <f t="shared" si="136"/>
        <v/>
      </c>
      <c r="AG690" s="28"/>
      <c r="AH690" s="28"/>
      <c r="AI690" s="20" t="str">
        <f>IF(AG690="","",IF($F690="Bernardino Furlan",_xlfn.XLOOKUP(AG690,Cadastros!$G$6:$G$90,Cadastros!$H$6:$H$90)*(1-0.18),IF($F690="Mauro José Salanti",_xlfn.XLOOKUP(AG690,Cadastros!$G$6:$G$90,Cadastros!$H$6:$H$90)*(1-0.18),_xlfn.XLOOKUP(AG690,Cadastros!$G$6:$G$90,Cadastros!$H$6:$H$90))))</f>
        <v/>
      </c>
      <c r="AJ690" s="168" t="str">
        <f t="shared" si="137"/>
        <v/>
      </c>
      <c r="AK690" s="168" t="str">
        <f t="shared" si="138"/>
        <v/>
      </c>
      <c r="AL690" s="28"/>
      <c r="AM690" s="28"/>
      <c r="AN690" s="20" t="str">
        <f>IF(AL690="","",IF($F690="Bernardino Furlan",_xlfn.XLOOKUP(AL690,Cadastros!$G$6:$G$90,Cadastros!$H$6:$H$90)*(1-0.18),IF($F690="Mauro José Salanti",_xlfn.XLOOKUP(AL690,Cadastros!$G$6:$G$90,Cadastros!$H$6:$H$90)*(1-0.18),_xlfn.XLOOKUP(AL690,Cadastros!$G$6:$G$90,Cadastros!$H$6:$H$90))))</f>
        <v/>
      </c>
      <c r="AO690" s="168" t="str">
        <f t="shared" si="139"/>
        <v/>
      </c>
      <c r="AP690" s="168" t="str">
        <f t="shared" si="140"/>
        <v/>
      </c>
      <c r="AQ690" s="28"/>
      <c r="AR690" s="28"/>
      <c r="AS690" s="20" t="str">
        <f>IF(AQ690="","",IF($F690="Bernardino Furlan",_xlfn.XLOOKUP(AQ690,Cadastros!$G$6:$G$90,Cadastros!$H$6:$H$90)*(1-0.18),IF($F690="Mauro José Salanti",_xlfn.XLOOKUP(AQ690,Cadastros!$G$6:$G$90,Cadastros!$H$6:$H$90)*(1-0.18),_xlfn.XLOOKUP(AQ690,Cadastros!$G$6:$G$90,Cadastros!$H$6:$H$90))))</f>
        <v/>
      </c>
      <c r="AT690" s="168" t="str">
        <f t="shared" si="141"/>
        <v/>
      </c>
      <c r="AU690" s="168" t="str">
        <f t="shared" si="142"/>
        <v/>
      </c>
      <c r="AV690" s="227"/>
      <c r="AW690" s="30"/>
      <c r="AX690" s="267"/>
      <c r="AY690" s="267"/>
      <c r="AZ690" s="29"/>
      <c r="BA690" s="30"/>
      <c r="BB690" s="23" t="str" cm="1">
        <f t="array" ref="BB690">_xlfn.IFS(AW690="SIM",SUM(K690,P690,U690,Z690,AE690,AJ690,AO690,AT690,AX690,AY690),F690&lt;&gt;"",SUM(K690,P690,U690,Z690,AE690,AJ690,,AO690,AT690),F690="","")</f>
        <v/>
      </c>
      <c r="BC690" s="211" t="str" cm="1">
        <f t="array" ref="BC690">_xlfn.IFS(E690="","",G690&lt;=E690,BB690*(1-0.03),G690&lt;(E690+8),BB690,AZ690="Boleto",BB690*(1+0.001)^DATEDIF(E690,G690,"D"),AZ690="Cheque",BB690,AZ690="Dinheiro","Alterar forma pgto")</f>
        <v/>
      </c>
      <c r="BD690" s="276" t="str" cm="1">
        <f t="array" ref="BD690">IF(F690=0," ",IF(BC690&lt;BB690,(_xlfn.IFS(AW690="SIM",SUM(L690,Q690,V690,AA690,AF690,AK690,AP690,AU690)+AX690/_xlfn.XLOOKUP(_xlfn.XLOOKUP($F690,Clientes!$B$4:$B$39,Clientes!$C$4:$C$39),Cadastros!$L$6:$L$12,Cadastros!$M$6:$M$12)+IF($F690="Bernardino Furlan",AY690/2751.92,IF($F690="Mauro José Salanti",AY690/2751.92,AY690/3356)),F690&lt;&gt;0,SUM(L690,Q690,V690,AA690,AF690,AK690,AP690,AU690)))*(1-0.03),_xlfn.IFS(AW690="SIM",SUM(L690,Q690,V690,AA690,AF690,AK690,AP690,AU690)+AX690/_xlfn.XLOOKUP(_xlfn.XLOOKUP($F690,Clientes!$B$4:$B$39,Clientes!$C$4:$C$39),Cadastros!$L$6:$L$12,Cadastros!$M$6:$M$12)+IF($F690="Bernardino Furlan",AY690/2751.92,IF($F690="Mauro José Salanti",AY690/2751.92,AY690/3356)),F690&lt;&gt;0,SUM(L690,Q690,V690,AA690,AF690,AK690,AP690,AU690))))</f>
        <v xml:space="preserve"> </v>
      </c>
      <c r="BE690" s="120"/>
      <c r="BF690" s="120"/>
      <c r="BG690" s="120"/>
    </row>
    <row r="691" spans="1:59" s="3" customFormat="1" x14ac:dyDescent="0.3">
      <c r="A691" s="15" t="str">
        <f t="shared" si="130"/>
        <v/>
      </c>
      <c r="B691" s="25"/>
      <c r="C691" s="26"/>
      <c r="D691" s="279"/>
      <c r="E691" s="27"/>
      <c r="F691" s="28"/>
      <c r="G691" s="27"/>
      <c r="H691" s="28"/>
      <c r="I691" s="28"/>
      <c r="J691" s="255" t="str">
        <f>IF(H691="","",(_xlfn.XLOOKUP(H691,Cadastros!$D$6:$D$90,Cadastros!$E$6:$E$90))*(1-_xlfn.XLOOKUP(_xlfn.XLOOKUP($F691,Clientes!$B$4:$B$39,Clientes!$C$4:$C$39),Cadastros!$L$6:$L$12,Cadastros!$N$6:$N$12)))</f>
        <v/>
      </c>
      <c r="K691" s="168" t="str">
        <f t="shared" si="131"/>
        <v/>
      </c>
      <c r="L691" s="168" t="str">
        <f>IFERROR(K691/_xlfn.XLOOKUP(_xlfn.XLOOKUP($F691,Clientes!$B$4:$B$39,Clientes!$C$4:$C$39),Cadastros!$L$6:$L$12,Cadastros!$M$6:$M$12)," ")</f>
        <v xml:space="preserve"> </v>
      </c>
      <c r="M691" s="28"/>
      <c r="N691" s="28"/>
      <c r="O691" s="255" t="str">
        <f>IF(M691="","",(_xlfn.XLOOKUP(M691,Cadastros!$D$6:$D$90,Cadastros!$E$6:$E$90))*(1-_xlfn.XLOOKUP(_xlfn.XLOOKUP($F691,Clientes!$B$4:$B$39,Clientes!$C$4:$C$39),Cadastros!$L$6:$L$12,Cadastros!$N$6:$N$12)))</f>
        <v/>
      </c>
      <c r="P691" s="168" t="str">
        <f t="shared" si="132"/>
        <v/>
      </c>
      <c r="Q691" s="168" t="str">
        <f>IFERROR(P691/_xlfn.XLOOKUP(_xlfn.XLOOKUP($F691,Clientes!$B$4:$B$39,Clientes!$C$4:$C$39),Cadastros!$L$6:$L$12,Cadastros!$M$6:$M$12)," ")</f>
        <v xml:space="preserve"> </v>
      </c>
      <c r="R691" s="28"/>
      <c r="S691" s="28"/>
      <c r="T691" s="255" t="str">
        <f>IF(R691="","",(_xlfn.XLOOKUP(R691,Cadastros!$D$6:$D$90,Cadastros!$E$6:$E$90))*(1-_xlfn.XLOOKUP(_xlfn.XLOOKUP($F691,Clientes!$B$4:$B$39,Clientes!$C$4:$C$39),Cadastros!$L$6:$L$12,Cadastros!$N$6:$N$12)))</f>
        <v/>
      </c>
      <c r="U691" s="168" t="str">
        <f t="shared" si="133"/>
        <v/>
      </c>
      <c r="V691" s="168" t="str">
        <f>IFERROR(U691/_xlfn.XLOOKUP(_xlfn.XLOOKUP($F691,Clientes!$B$4:$B$39,Clientes!$C$4:$C$39),Cadastros!$L$6:$L$12,Cadastros!$M$6:$M$12)," ")</f>
        <v xml:space="preserve"> </v>
      </c>
      <c r="W691" s="28"/>
      <c r="X691" s="28"/>
      <c r="Y691" s="255" t="str">
        <f>IF(W691="","",(_xlfn.XLOOKUP(W691,Cadastros!$D$6:$D$90,Cadastros!$E$6:$E$90))*(1-_xlfn.XLOOKUP(_xlfn.XLOOKUP($F691,Clientes!$B$4:$B$39,Clientes!$C$4:$C$39),Cadastros!$L$6:$L$12,Cadastros!$N$6:$N$12)))</f>
        <v/>
      </c>
      <c r="Z691" s="168" t="str">
        <f t="shared" si="134"/>
        <v/>
      </c>
      <c r="AA691" s="168" t="str">
        <f>IFERROR(Z691/_xlfn.XLOOKUP(_xlfn.XLOOKUP($F691,Clientes!$B$4:$B$39,Clientes!$C$4:$C$39),Cadastros!$L$6:$L$12,Cadastros!$M$6:$M$12)," ")</f>
        <v xml:space="preserve"> </v>
      </c>
      <c r="AB691" s="28"/>
      <c r="AC691" s="28"/>
      <c r="AD691" s="20" t="str">
        <f>IF(AB691="","",IF($F691="Bernardino Furlan",_xlfn.XLOOKUP(AB691,Cadastros!$G$6:$G$90,Cadastros!$H$6:$H$90)*(1-0.18),IF($F691="Mauro José Salanti",_xlfn.XLOOKUP(AB691,Cadastros!$G$6:$G$90,Cadastros!$H$6:$H$90)*(1-0.18),_xlfn.XLOOKUP(AB691,Cadastros!$G$6:$G$90,Cadastros!$H$6:$H$90))))</f>
        <v/>
      </c>
      <c r="AE691" s="168" t="str">
        <f t="shared" si="135"/>
        <v/>
      </c>
      <c r="AF691" s="168" t="str">
        <f t="shared" si="136"/>
        <v/>
      </c>
      <c r="AG691" s="28"/>
      <c r="AH691" s="28"/>
      <c r="AI691" s="20" t="str">
        <f>IF(AG691="","",IF($F691="Bernardino Furlan",_xlfn.XLOOKUP(AG691,Cadastros!$G$6:$G$90,Cadastros!$H$6:$H$90)*(1-0.18),IF($F691="Mauro José Salanti",_xlfn.XLOOKUP(AG691,Cadastros!$G$6:$G$90,Cadastros!$H$6:$H$90)*(1-0.18),_xlfn.XLOOKUP(AG691,Cadastros!$G$6:$G$90,Cadastros!$H$6:$H$90))))</f>
        <v/>
      </c>
      <c r="AJ691" s="168" t="str">
        <f t="shared" si="137"/>
        <v/>
      </c>
      <c r="AK691" s="168" t="str">
        <f t="shared" si="138"/>
        <v/>
      </c>
      <c r="AL691" s="28"/>
      <c r="AM691" s="28"/>
      <c r="AN691" s="20" t="str">
        <f>IF(AL691="","",IF($F691="Bernardino Furlan",_xlfn.XLOOKUP(AL691,Cadastros!$G$6:$G$90,Cadastros!$H$6:$H$90)*(1-0.18),IF($F691="Mauro José Salanti",_xlfn.XLOOKUP(AL691,Cadastros!$G$6:$G$90,Cadastros!$H$6:$H$90)*(1-0.18),_xlfn.XLOOKUP(AL691,Cadastros!$G$6:$G$90,Cadastros!$H$6:$H$90))))</f>
        <v/>
      </c>
      <c r="AO691" s="168" t="str">
        <f t="shared" si="139"/>
        <v/>
      </c>
      <c r="AP691" s="168" t="str">
        <f t="shared" si="140"/>
        <v/>
      </c>
      <c r="AQ691" s="28"/>
      <c r="AR691" s="28"/>
      <c r="AS691" s="20" t="str">
        <f>IF(AQ691="","",IF($F691="Bernardino Furlan",_xlfn.XLOOKUP(AQ691,Cadastros!$G$6:$G$90,Cadastros!$H$6:$H$90)*(1-0.18),IF($F691="Mauro José Salanti",_xlfn.XLOOKUP(AQ691,Cadastros!$G$6:$G$90,Cadastros!$H$6:$H$90)*(1-0.18),_xlfn.XLOOKUP(AQ691,Cadastros!$G$6:$G$90,Cadastros!$H$6:$H$90))))</f>
        <v/>
      </c>
      <c r="AT691" s="168" t="str">
        <f t="shared" si="141"/>
        <v/>
      </c>
      <c r="AU691" s="168" t="str">
        <f t="shared" si="142"/>
        <v/>
      </c>
      <c r="AV691" s="227"/>
      <c r="AW691" s="30"/>
      <c r="AX691" s="267"/>
      <c r="AY691" s="267"/>
      <c r="AZ691" s="29"/>
      <c r="BA691" s="30"/>
      <c r="BB691" s="23" t="str" cm="1">
        <f t="array" ref="BB691">_xlfn.IFS(AW691="SIM",SUM(K691,P691,U691,Z691,AE691,AJ691,AO691,AT691,AX691,AY691),F691&lt;&gt;"",SUM(K691,P691,U691,Z691,AE691,AJ691,,AO691,AT691),F691="","")</f>
        <v/>
      </c>
      <c r="BC691" s="211" t="str" cm="1">
        <f t="array" ref="BC691">_xlfn.IFS(E691="","",G691&lt;=E691,BB691*(1-0.03),G691&lt;(E691+8),BB691,AZ691="Boleto",BB691*(1+0.001)^DATEDIF(E691,G691,"D"),AZ691="Cheque",BB691,AZ691="Dinheiro","Alterar forma pgto")</f>
        <v/>
      </c>
      <c r="BD691" s="276" t="str" cm="1">
        <f t="array" ref="BD691">IF(F691=0," ",IF(BC691&lt;BB691,(_xlfn.IFS(AW691="SIM",SUM(L691,Q691,V691,AA691,AF691,AK691,AP691,AU691)+AX691/_xlfn.XLOOKUP(_xlfn.XLOOKUP($F691,Clientes!$B$4:$B$39,Clientes!$C$4:$C$39),Cadastros!$L$6:$L$12,Cadastros!$M$6:$M$12)+IF($F691="Bernardino Furlan",AY691/2751.92,IF($F691="Mauro José Salanti",AY691/2751.92,AY691/3356)),F691&lt;&gt;0,SUM(L691,Q691,V691,AA691,AF691,AK691,AP691,AU691)))*(1-0.03),_xlfn.IFS(AW691="SIM",SUM(L691,Q691,V691,AA691,AF691,AK691,AP691,AU691)+AX691/_xlfn.XLOOKUP(_xlfn.XLOOKUP($F691,Clientes!$B$4:$B$39,Clientes!$C$4:$C$39),Cadastros!$L$6:$L$12,Cadastros!$M$6:$M$12)+IF($F691="Bernardino Furlan",AY691/2751.92,IF($F691="Mauro José Salanti",AY691/2751.92,AY691/3356)),F691&lt;&gt;0,SUM(L691,Q691,V691,AA691,AF691,AK691,AP691,AU691))))</f>
        <v xml:space="preserve"> </v>
      </c>
      <c r="BE691" s="120"/>
      <c r="BF691" s="120"/>
      <c r="BG691" s="120"/>
    </row>
    <row r="692" spans="1:59" s="3" customFormat="1" x14ac:dyDescent="0.3">
      <c r="A692" s="15" t="str">
        <f t="shared" si="130"/>
        <v/>
      </c>
      <c r="B692" s="25"/>
      <c r="C692" s="26"/>
      <c r="D692" s="279"/>
      <c r="E692" s="27"/>
      <c r="F692" s="28"/>
      <c r="G692" s="27"/>
      <c r="H692" s="28"/>
      <c r="I692" s="28"/>
      <c r="J692" s="255" t="str">
        <f>IF(H692="","",(_xlfn.XLOOKUP(H692,Cadastros!$D$6:$D$90,Cadastros!$E$6:$E$90))*(1-_xlfn.XLOOKUP(_xlfn.XLOOKUP($F692,Clientes!$B$4:$B$39,Clientes!$C$4:$C$39),Cadastros!$L$6:$L$12,Cadastros!$N$6:$N$12)))</f>
        <v/>
      </c>
      <c r="K692" s="168" t="str">
        <f t="shared" si="131"/>
        <v/>
      </c>
      <c r="L692" s="168" t="str">
        <f>IFERROR(K692/_xlfn.XLOOKUP(_xlfn.XLOOKUP($F692,Clientes!$B$4:$B$39,Clientes!$C$4:$C$39),Cadastros!$L$6:$L$12,Cadastros!$M$6:$M$12)," ")</f>
        <v xml:space="preserve"> </v>
      </c>
      <c r="M692" s="28"/>
      <c r="N692" s="28"/>
      <c r="O692" s="255" t="str">
        <f>IF(M692="","",(_xlfn.XLOOKUP(M692,Cadastros!$D$6:$D$90,Cadastros!$E$6:$E$90))*(1-_xlfn.XLOOKUP(_xlfn.XLOOKUP($F692,Clientes!$B$4:$B$39,Clientes!$C$4:$C$39),Cadastros!$L$6:$L$12,Cadastros!$N$6:$N$12)))</f>
        <v/>
      </c>
      <c r="P692" s="168" t="str">
        <f t="shared" si="132"/>
        <v/>
      </c>
      <c r="Q692" s="168" t="str">
        <f>IFERROR(P692/_xlfn.XLOOKUP(_xlfn.XLOOKUP($F692,Clientes!$B$4:$B$39,Clientes!$C$4:$C$39),Cadastros!$L$6:$L$12,Cadastros!$M$6:$M$12)," ")</f>
        <v xml:space="preserve"> </v>
      </c>
      <c r="R692" s="28"/>
      <c r="S692" s="28"/>
      <c r="T692" s="255" t="str">
        <f>IF(R692="","",(_xlfn.XLOOKUP(R692,Cadastros!$D$6:$D$90,Cadastros!$E$6:$E$90))*(1-_xlfn.XLOOKUP(_xlfn.XLOOKUP($F692,Clientes!$B$4:$B$39,Clientes!$C$4:$C$39),Cadastros!$L$6:$L$12,Cadastros!$N$6:$N$12)))</f>
        <v/>
      </c>
      <c r="U692" s="168" t="str">
        <f t="shared" si="133"/>
        <v/>
      </c>
      <c r="V692" s="168" t="str">
        <f>IFERROR(U692/_xlfn.XLOOKUP(_xlfn.XLOOKUP($F692,Clientes!$B$4:$B$39,Clientes!$C$4:$C$39),Cadastros!$L$6:$L$12,Cadastros!$M$6:$M$12)," ")</f>
        <v xml:space="preserve"> </v>
      </c>
      <c r="W692" s="28"/>
      <c r="X692" s="28"/>
      <c r="Y692" s="255" t="str">
        <f>IF(W692="","",(_xlfn.XLOOKUP(W692,Cadastros!$D$6:$D$90,Cadastros!$E$6:$E$90))*(1-_xlfn.XLOOKUP(_xlfn.XLOOKUP($F692,Clientes!$B$4:$B$39,Clientes!$C$4:$C$39),Cadastros!$L$6:$L$12,Cadastros!$N$6:$N$12)))</f>
        <v/>
      </c>
      <c r="Z692" s="168" t="str">
        <f t="shared" si="134"/>
        <v/>
      </c>
      <c r="AA692" s="168" t="str">
        <f>IFERROR(Z692/_xlfn.XLOOKUP(_xlfn.XLOOKUP($F692,Clientes!$B$4:$B$39,Clientes!$C$4:$C$39),Cadastros!$L$6:$L$12,Cadastros!$M$6:$M$12)," ")</f>
        <v xml:space="preserve"> </v>
      </c>
      <c r="AB692" s="28"/>
      <c r="AC692" s="28"/>
      <c r="AD692" s="20" t="str">
        <f>IF(AB692="","",IF($F692="Bernardino Furlan",_xlfn.XLOOKUP(AB692,Cadastros!$G$6:$G$90,Cadastros!$H$6:$H$90)*(1-0.18),IF($F692="Mauro José Salanti",_xlfn.XLOOKUP(AB692,Cadastros!$G$6:$G$90,Cadastros!$H$6:$H$90)*(1-0.18),_xlfn.XLOOKUP(AB692,Cadastros!$G$6:$G$90,Cadastros!$H$6:$H$90))))</f>
        <v/>
      </c>
      <c r="AE692" s="168" t="str">
        <f t="shared" si="135"/>
        <v/>
      </c>
      <c r="AF692" s="168" t="str">
        <f t="shared" si="136"/>
        <v/>
      </c>
      <c r="AG692" s="28"/>
      <c r="AH692" s="28"/>
      <c r="AI692" s="20" t="str">
        <f>IF(AG692="","",IF($F692="Bernardino Furlan",_xlfn.XLOOKUP(AG692,Cadastros!$G$6:$G$90,Cadastros!$H$6:$H$90)*(1-0.18),IF($F692="Mauro José Salanti",_xlfn.XLOOKUP(AG692,Cadastros!$G$6:$G$90,Cadastros!$H$6:$H$90)*(1-0.18),_xlfn.XLOOKUP(AG692,Cadastros!$G$6:$G$90,Cadastros!$H$6:$H$90))))</f>
        <v/>
      </c>
      <c r="AJ692" s="168" t="str">
        <f t="shared" si="137"/>
        <v/>
      </c>
      <c r="AK692" s="168" t="str">
        <f t="shared" si="138"/>
        <v/>
      </c>
      <c r="AL692" s="28"/>
      <c r="AM692" s="28"/>
      <c r="AN692" s="20" t="str">
        <f>IF(AL692="","",IF($F692="Bernardino Furlan",_xlfn.XLOOKUP(AL692,Cadastros!$G$6:$G$90,Cadastros!$H$6:$H$90)*(1-0.18),IF($F692="Mauro José Salanti",_xlfn.XLOOKUP(AL692,Cadastros!$G$6:$G$90,Cadastros!$H$6:$H$90)*(1-0.18),_xlfn.XLOOKUP(AL692,Cadastros!$G$6:$G$90,Cadastros!$H$6:$H$90))))</f>
        <v/>
      </c>
      <c r="AO692" s="168" t="str">
        <f t="shared" si="139"/>
        <v/>
      </c>
      <c r="AP692" s="168" t="str">
        <f t="shared" si="140"/>
        <v/>
      </c>
      <c r="AQ692" s="28"/>
      <c r="AR692" s="28"/>
      <c r="AS692" s="20" t="str">
        <f>IF(AQ692="","",IF($F692="Bernardino Furlan",_xlfn.XLOOKUP(AQ692,Cadastros!$G$6:$G$90,Cadastros!$H$6:$H$90)*(1-0.18),IF($F692="Mauro José Salanti",_xlfn.XLOOKUP(AQ692,Cadastros!$G$6:$G$90,Cadastros!$H$6:$H$90)*(1-0.18),_xlfn.XLOOKUP(AQ692,Cadastros!$G$6:$G$90,Cadastros!$H$6:$H$90))))</f>
        <v/>
      </c>
      <c r="AT692" s="168" t="str">
        <f t="shared" si="141"/>
        <v/>
      </c>
      <c r="AU692" s="168" t="str">
        <f t="shared" si="142"/>
        <v/>
      </c>
      <c r="AV692" s="227"/>
      <c r="AW692" s="30"/>
      <c r="AX692" s="267"/>
      <c r="AY692" s="267"/>
      <c r="AZ692" s="29"/>
      <c r="BA692" s="30"/>
      <c r="BB692" s="23" t="str" cm="1">
        <f t="array" ref="BB692">_xlfn.IFS(AW692="SIM",SUM(K692,P692,U692,Z692,AE692,AJ692,AO692,AT692,AX692,AY692),F692&lt;&gt;"",SUM(K692,P692,U692,Z692,AE692,AJ692,,AO692,AT692),F692="","")</f>
        <v/>
      </c>
      <c r="BC692" s="211" t="str" cm="1">
        <f t="array" ref="BC692">_xlfn.IFS(E692="","",G692&lt;=E692,BB692*(1-0.03),G692&lt;(E692+8),BB692,AZ692="Boleto",BB692*(1+0.001)^DATEDIF(E692,G692,"D"),AZ692="Cheque",BB692,AZ692="Dinheiro","Alterar forma pgto")</f>
        <v/>
      </c>
      <c r="BD692" s="276" t="str" cm="1">
        <f t="array" ref="BD692">IF(F692=0," ",IF(BC692&lt;BB692,(_xlfn.IFS(AW692="SIM",SUM(L692,Q692,V692,AA692,AF692,AK692,AP692,AU692)+AX692/_xlfn.XLOOKUP(_xlfn.XLOOKUP($F692,Clientes!$B$4:$B$39,Clientes!$C$4:$C$39),Cadastros!$L$6:$L$12,Cadastros!$M$6:$M$12)+IF($F692="Bernardino Furlan",AY692/2751.92,IF($F692="Mauro José Salanti",AY692/2751.92,AY692/3356)),F692&lt;&gt;0,SUM(L692,Q692,V692,AA692,AF692,AK692,AP692,AU692)))*(1-0.03),_xlfn.IFS(AW692="SIM",SUM(L692,Q692,V692,AA692,AF692,AK692,AP692,AU692)+AX692/_xlfn.XLOOKUP(_xlfn.XLOOKUP($F692,Clientes!$B$4:$B$39,Clientes!$C$4:$C$39),Cadastros!$L$6:$L$12,Cadastros!$M$6:$M$12)+IF($F692="Bernardino Furlan",AY692/2751.92,IF($F692="Mauro José Salanti",AY692/2751.92,AY692/3356)),F692&lt;&gt;0,SUM(L692,Q692,V692,AA692,AF692,AK692,AP692,AU692))))</f>
        <v xml:space="preserve"> </v>
      </c>
      <c r="BE692" s="120"/>
      <c r="BF692" s="120"/>
      <c r="BG692" s="120"/>
    </row>
    <row r="693" spans="1:59" s="3" customFormat="1" x14ac:dyDescent="0.3">
      <c r="A693" s="15" t="str">
        <f t="shared" si="130"/>
        <v/>
      </c>
      <c r="B693" s="25"/>
      <c r="C693" s="26"/>
      <c r="D693" s="279"/>
      <c r="E693" s="27"/>
      <c r="F693" s="28"/>
      <c r="G693" s="27"/>
      <c r="H693" s="28"/>
      <c r="I693" s="28"/>
      <c r="J693" s="255" t="str">
        <f>IF(H693="","",(_xlfn.XLOOKUP(H693,Cadastros!$D$6:$D$90,Cadastros!$E$6:$E$90))*(1-_xlfn.XLOOKUP(_xlfn.XLOOKUP($F693,Clientes!$B$4:$B$39,Clientes!$C$4:$C$39),Cadastros!$L$6:$L$12,Cadastros!$N$6:$N$12)))</f>
        <v/>
      </c>
      <c r="K693" s="168" t="str">
        <f t="shared" si="131"/>
        <v/>
      </c>
      <c r="L693" s="168" t="str">
        <f>IFERROR(K693/_xlfn.XLOOKUP(_xlfn.XLOOKUP($F693,Clientes!$B$4:$B$39,Clientes!$C$4:$C$39),Cadastros!$L$6:$L$12,Cadastros!$M$6:$M$12)," ")</f>
        <v xml:space="preserve"> </v>
      </c>
      <c r="M693" s="28"/>
      <c r="N693" s="28"/>
      <c r="O693" s="255" t="str">
        <f>IF(M693="","",(_xlfn.XLOOKUP(M693,Cadastros!$D$6:$D$90,Cadastros!$E$6:$E$90))*(1-_xlfn.XLOOKUP(_xlfn.XLOOKUP($F693,Clientes!$B$4:$B$39,Clientes!$C$4:$C$39),Cadastros!$L$6:$L$12,Cadastros!$N$6:$N$12)))</f>
        <v/>
      </c>
      <c r="P693" s="168" t="str">
        <f t="shared" si="132"/>
        <v/>
      </c>
      <c r="Q693" s="168" t="str">
        <f>IFERROR(P693/_xlfn.XLOOKUP(_xlfn.XLOOKUP($F693,Clientes!$B$4:$B$39,Clientes!$C$4:$C$39),Cadastros!$L$6:$L$12,Cadastros!$M$6:$M$12)," ")</f>
        <v xml:space="preserve"> </v>
      </c>
      <c r="R693" s="28"/>
      <c r="S693" s="28"/>
      <c r="T693" s="255" t="str">
        <f>IF(R693="","",(_xlfn.XLOOKUP(R693,Cadastros!$D$6:$D$90,Cadastros!$E$6:$E$90))*(1-_xlfn.XLOOKUP(_xlfn.XLOOKUP($F693,Clientes!$B$4:$B$39,Clientes!$C$4:$C$39),Cadastros!$L$6:$L$12,Cadastros!$N$6:$N$12)))</f>
        <v/>
      </c>
      <c r="U693" s="168" t="str">
        <f t="shared" si="133"/>
        <v/>
      </c>
      <c r="V693" s="168" t="str">
        <f>IFERROR(U693/_xlfn.XLOOKUP(_xlfn.XLOOKUP($F693,Clientes!$B$4:$B$39,Clientes!$C$4:$C$39),Cadastros!$L$6:$L$12,Cadastros!$M$6:$M$12)," ")</f>
        <v xml:space="preserve"> </v>
      </c>
      <c r="W693" s="28"/>
      <c r="X693" s="28"/>
      <c r="Y693" s="255" t="str">
        <f>IF(W693="","",(_xlfn.XLOOKUP(W693,Cadastros!$D$6:$D$90,Cadastros!$E$6:$E$90))*(1-_xlfn.XLOOKUP(_xlfn.XLOOKUP($F693,Clientes!$B$4:$B$39,Clientes!$C$4:$C$39),Cadastros!$L$6:$L$12,Cadastros!$N$6:$N$12)))</f>
        <v/>
      </c>
      <c r="Z693" s="168" t="str">
        <f t="shared" si="134"/>
        <v/>
      </c>
      <c r="AA693" s="168" t="str">
        <f>IFERROR(Z693/_xlfn.XLOOKUP(_xlfn.XLOOKUP($F693,Clientes!$B$4:$B$39,Clientes!$C$4:$C$39),Cadastros!$L$6:$L$12,Cadastros!$M$6:$M$12)," ")</f>
        <v xml:space="preserve"> </v>
      </c>
      <c r="AB693" s="28"/>
      <c r="AC693" s="28"/>
      <c r="AD693" s="20" t="str">
        <f>IF(AB693="","",IF($F693="Bernardino Furlan",_xlfn.XLOOKUP(AB693,Cadastros!$G$6:$G$90,Cadastros!$H$6:$H$90)*(1-0.18),IF($F693="Mauro José Salanti",_xlfn.XLOOKUP(AB693,Cadastros!$G$6:$G$90,Cadastros!$H$6:$H$90)*(1-0.18),_xlfn.XLOOKUP(AB693,Cadastros!$G$6:$G$90,Cadastros!$H$6:$H$90))))</f>
        <v/>
      </c>
      <c r="AE693" s="168" t="str">
        <f t="shared" si="135"/>
        <v/>
      </c>
      <c r="AF693" s="168" t="str">
        <f t="shared" si="136"/>
        <v/>
      </c>
      <c r="AG693" s="28"/>
      <c r="AH693" s="28"/>
      <c r="AI693" s="20" t="str">
        <f>IF(AG693="","",IF($F693="Bernardino Furlan",_xlfn.XLOOKUP(AG693,Cadastros!$G$6:$G$90,Cadastros!$H$6:$H$90)*(1-0.18),IF($F693="Mauro José Salanti",_xlfn.XLOOKUP(AG693,Cadastros!$G$6:$G$90,Cadastros!$H$6:$H$90)*(1-0.18),_xlfn.XLOOKUP(AG693,Cadastros!$G$6:$G$90,Cadastros!$H$6:$H$90))))</f>
        <v/>
      </c>
      <c r="AJ693" s="168" t="str">
        <f t="shared" si="137"/>
        <v/>
      </c>
      <c r="AK693" s="168" t="str">
        <f t="shared" si="138"/>
        <v/>
      </c>
      <c r="AL693" s="28"/>
      <c r="AM693" s="28"/>
      <c r="AN693" s="20" t="str">
        <f>IF(AL693="","",IF($F693="Bernardino Furlan",_xlfn.XLOOKUP(AL693,Cadastros!$G$6:$G$90,Cadastros!$H$6:$H$90)*(1-0.18),IF($F693="Mauro José Salanti",_xlfn.XLOOKUP(AL693,Cadastros!$G$6:$G$90,Cadastros!$H$6:$H$90)*(1-0.18),_xlfn.XLOOKUP(AL693,Cadastros!$G$6:$G$90,Cadastros!$H$6:$H$90))))</f>
        <v/>
      </c>
      <c r="AO693" s="168" t="str">
        <f t="shared" si="139"/>
        <v/>
      </c>
      <c r="AP693" s="168" t="str">
        <f t="shared" si="140"/>
        <v/>
      </c>
      <c r="AQ693" s="28"/>
      <c r="AR693" s="28"/>
      <c r="AS693" s="20" t="str">
        <f>IF(AQ693="","",IF($F693="Bernardino Furlan",_xlfn.XLOOKUP(AQ693,Cadastros!$G$6:$G$90,Cadastros!$H$6:$H$90)*(1-0.18),IF($F693="Mauro José Salanti",_xlfn.XLOOKUP(AQ693,Cadastros!$G$6:$G$90,Cadastros!$H$6:$H$90)*(1-0.18),_xlfn.XLOOKUP(AQ693,Cadastros!$G$6:$G$90,Cadastros!$H$6:$H$90))))</f>
        <v/>
      </c>
      <c r="AT693" s="168" t="str">
        <f t="shared" si="141"/>
        <v/>
      </c>
      <c r="AU693" s="168" t="str">
        <f t="shared" si="142"/>
        <v/>
      </c>
      <c r="AV693" s="227"/>
      <c r="AW693" s="30"/>
      <c r="AX693" s="267"/>
      <c r="AY693" s="267"/>
      <c r="AZ693" s="29"/>
      <c r="BA693" s="30"/>
      <c r="BB693" s="23" t="str" cm="1">
        <f t="array" ref="BB693">_xlfn.IFS(AW693="SIM",SUM(K693,P693,U693,Z693,AE693,AJ693,AO693,AT693,AX693,AY693),F693&lt;&gt;"",SUM(K693,P693,U693,Z693,AE693,AJ693,,AO693,AT693),F693="","")</f>
        <v/>
      </c>
      <c r="BC693" s="211" t="str" cm="1">
        <f t="array" ref="BC693">_xlfn.IFS(E693="","",G693&lt;=E693,BB693*(1-0.03),G693&lt;(E693+8),BB693,AZ693="Boleto",BB693*(1+0.001)^DATEDIF(E693,G693,"D"),AZ693="Cheque",BB693,AZ693="Dinheiro","Alterar forma pgto")</f>
        <v/>
      </c>
      <c r="BD693" s="276" t="str" cm="1">
        <f t="array" ref="BD693">IF(F693=0," ",IF(BC693&lt;BB693,(_xlfn.IFS(AW693="SIM",SUM(L693,Q693,V693,AA693,AF693,AK693,AP693,AU693)+AX693/_xlfn.XLOOKUP(_xlfn.XLOOKUP($F693,Clientes!$B$4:$B$39,Clientes!$C$4:$C$39),Cadastros!$L$6:$L$12,Cadastros!$M$6:$M$12)+IF($F693="Bernardino Furlan",AY693/2751.92,IF($F693="Mauro José Salanti",AY693/2751.92,AY693/3356)),F693&lt;&gt;0,SUM(L693,Q693,V693,AA693,AF693,AK693,AP693,AU693)))*(1-0.03),_xlfn.IFS(AW693="SIM",SUM(L693,Q693,V693,AA693,AF693,AK693,AP693,AU693)+AX693/_xlfn.XLOOKUP(_xlfn.XLOOKUP($F693,Clientes!$B$4:$B$39,Clientes!$C$4:$C$39),Cadastros!$L$6:$L$12,Cadastros!$M$6:$M$12)+IF($F693="Bernardino Furlan",AY693/2751.92,IF($F693="Mauro José Salanti",AY693/2751.92,AY693/3356)),F693&lt;&gt;0,SUM(L693,Q693,V693,AA693,AF693,AK693,AP693,AU693))))</f>
        <v xml:space="preserve"> </v>
      </c>
      <c r="BE693" s="120"/>
      <c r="BF693" s="120"/>
      <c r="BG693" s="120"/>
    </row>
    <row r="694" spans="1:59" s="3" customFormat="1" x14ac:dyDescent="0.3">
      <c r="A694" s="15" t="str">
        <f t="shared" si="130"/>
        <v/>
      </c>
      <c r="B694" s="25"/>
      <c r="C694" s="26"/>
      <c r="D694" s="279"/>
      <c r="E694" s="27"/>
      <c r="F694" s="28"/>
      <c r="G694" s="27"/>
      <c r="H694" s="28"/>
      <c r="I694" s="28"/>
      <c r="J694" s="255" t="str">
        <f>IF(H694="","",(_xlfn.XLOOKUP(H694,Cadastros!$D$6:$D$90,Cadastros!$E$6:$E$90))*(1-_xlfn.XLOOKUP(_xlfn.XLOOKUP($F694,Clientes!$B$4:$B$39,Clientes!$C$4:$C$39),Cadastros!$L$6:$L$12,Cadastros!$N$6:$N$12)))</f>
        <v/>
      </c>
      <c r="K694" s="168" t="str">
        <f t="shared" si="131"/>
        <v/>
      </c>
      <c r="L694" s="168" t="str">
        <f>IFERROR(K694/_xlfn.XLOOKUP(_xlfn.XLOOKUP($F694,Clientes!$B$4:$B$39,Clientes!$C$4:$C$39),Cadastros!$L$6:$L$12,Cadastros!$M$6:$M$12)," ")</f>
        <v xml:space="preserve"> </v>
      </c>
      <c r="M694" s="28"/>
      <c r="N694" s="28"/>
      <c r="O694" s="255" t="str">
        <f>IF(M694="","",(_xlfn.XLOOKUP(M694,Cadastros!$D$6:$D$90,Cadastros!$E$6:$E$90))*(1-_xlfn.XLOOKUP(_xlfn.XLOOKUP($F694,Clientes!$B$4:$B$39,Clientes!$C$4:$C$39),Cadastros!$L$6:$L$12,Cadastros!$N$6:$N$12)))</f>
        <v/>
      </c>
      <c r="P694" s="168" t="str">
        <f t="shared" si="132"/>
        <v/>
      </c>
      <c r="Q694" s="168" t="str">
        <f>IFERROR(P694/_xlfn.XLOOKUP(_xlfn.XLOOKUP($F694,Clientes!$B$4:$B$39,Clientes!$C$4:$C$39),Cadastros!$L$6:$L$12,Cadastros!$M$6:$M$12)," ")</f>
        <v xml:space="preserve"> </v>
      </c>
      <c r="R694" s="28"/>
      <c r="S694" s="28"/>
      <c r="T694" s="255" t="str">
        <f>IF(R694="","",(_xlfn.XLOOKUP(R694,Cadastros!$D$6:$D$90,Cadastros!$E$6:$E$90))*(1-_xlfn.XLOOKUP(_xlfn.XLOOKUP($F694,Clientes!$B$4:$B$39,Clientes!$C$4:$C$39),Cadastros!$L$6:$L$12,Cadastros!$N$6:$N$12)))</f>
        <v/>
      </c>
      <c r="U694" s="168" t="str">
        <f t="shared" si="133"/>
        <v/>
      </c>
      <c r="V694" s="168" t="str">
        <f>IFERROR(U694/_xlfn.XLOOKUP(_xlfn.XLOOKUP($F694,Clientes!$B$4:$B$39,Clientes!$C$4:$C$39),Cadastros!$L$6:$L$12,Cadastros!$M$6:$M$12)," ")</f>
        <v xml:space="preserve"> </v>
      </c>
      <c r="W694" s="28"/>
      <c r="X694" s="28"/>
      <c r="Y694" s="255" t="str">
        <f>IF(W694="","",(_xlfn.XLOOKUP(W694,Cadastros!$D$6:$D$90,Cadastros!$E$6:$E$90))*(1-_xlfn.XLOOKUP(_xlfn.XLOOKUP($F694,Clientes!$B$4:$B$39,Clientes!$C$4:$C$39),Cadastros!$L$6:$L$12,Cadastros!$N$6:$N$12)))</f>
        <v/>
      </c>
      <c r="Z694" s="168" t="str">
        <f t="shared" si="134"/>
        <v/>
      </c>
      <c r="AA694" s="168" t="str">
        <f>IFERROR(Z694/_xlfn.XLOOKUP(_xlfn.XLOOKUP($F694,Clientes!$B$4:$B$39,Clientes!$C$4:$C$39),Cadastros!$L$6:$L$12,Cadastros!$M$6:$M$12)," ")</f>
        <v xml:space="preserve"> </v>
      </c>
      <c r="AB694" s="28"/>
      <c r="AC694" s="28"/>
      <c r="AD694" s="20" t="str">
        <f>IF(AB694="","",IF($F694="Bernardino Furlan",_xlfn.XLOOKUP(AB694,Cadastros!$G$6:$G$90,Cadastros!$H$6:$H$90)*(1-0.18),IF($F694="Mauro José Salanti",_xlfn.XLOOKUP(AB694,Cadastros!$G$6:$G$90,Cadastros!$H$6:$H$90)*(1-0.18),_xlfn.XLOOKUP(AB694,Cadastros!$G$6:$G$90,Cadastros!$H$6:$H$90))))</f>
        <v/>
      </c>
      <c r="AE694" s="168" t="str">
        <f t="shared" si="135"/>
        <v/>
      </c>
      <c r="AF694" s="168" t="str">
        <f t="shared" si="136"/>
        <v/>
      </c>
      <c r="AG694" s="28"/>
      <c r="AH694" s="28"/>
      <c r="AI694" s="20" t="str">
        <f>IF(AG694="","",IF($F694="Bernardino Furlan",_xlfn.XLOOKUP(AG694,Cadastros!$G$6:$G$90,Cadastros!$H$6:$H$90)*(1-0.18),IF($F694="Mauro José Salanti",_xlfn.XLOOKUP(AG694,Cadastros!$G$6:$G$90,Cadastros!$H$6:$H$90)*(1-0.18),_xlfn.XLOOKUP(AG694,Cadastros!$G$6:$G$90,Cadastros!$H$6:$H$90))))</f>
        <v/>
      </c>
      <c r="AJ694" s="168" t="str">
        <f t="shared" si="137"/>
        <v/>
      </c>
      <c r="AK694" s="168" t="str">
        <f t="shared" si="138"/>
        <v/>
      </c>
      <c r="AL694" s="28"/>
      <c r="AM694" s="28"/>
      <c r="AN694" s="20" t="str">
        <f>IF(AL694="","",IF($F694="Bernardino Furlan",_xlfn.XLOOKUP(AL694,Cadastros!$G$6:$G$90,Cadastros!$H$6:$H$90)*(1-0.18),IF($F694="Mauro José Salanti",_xlfn.XLOOKUP(AL694,Cadastros!$G$6:$G$90,Cadastros!$H$6:$H$90)*(1-0.18),_xlfn.XLOOKUP(AL694,Cadastros!$G$6:$G$90,Cadastros!$H$6:$H$90))))</f>
        <v/>
      </c>
      <c r="AO694" s="168" t="str">
        <f t="shared" si="139"/>
        <v/>
      </c>
      <c r="AP694" s="168" t="str">
        <f t="shared" si="140"/>
        <v/>
      </c>
      <c r="AQ694" s="28"/>
      <c r="AR694" s="28"/>
      <c r="AS694" s="20" t="str">
        <f>IF(AQ694="","",IF($F694="Bernardino Furlan",_xlfn.XLOOKUP(AQ694,Cadastros!$G$6:$G$90,Cadastros!$H$6:$H$90)*(1-0.18),IF($F694="Mauro José Salanti",_xlfn.XLOOKUP(AQ694,Cadastros!$G$6:$G$90,Cadastros!$H$6:$H$90)*(1-0.18),_xlfn.XLOOKUP(AQ694,Cadastros!$G$6:$G$90,Cadastros!$H$6:$H$90))))</f>
        <v/>
      </c>
      <c r="AT694" s="168" t="str">
        <f t="shared" si="141"/>
        <v/>
      </c>
      <c r="AU694" s="168" t="str">
        <f t="shared" si="142"/>
        <v/>
      </c>
      <c r="AV694" s="227"/>
      <c r="AW694" s="30"/>
      <c r="AX694" s="267"/>
      <c r="AY694" s="267"/>
      <c r="AZ694" s="29"/>
      <c r="BA694" s="30"/>
      <c r="BB694" s="23" t="str" cm="1">
        <f t="array" ref="BB694">_xlfn.IFS(AW694="SIM",SUM(K694,P694,U694,Z694,AE694,AJ694,AO694,AT694,AX694,AY694),F694&lt;&gt;"",SUM(K694,P694,U694,Z694,AE694,AJ694,,AO694,AT694),F694="","")</f>
        <v/>
      </c>
      <c r="BC694" s="211" t="str" cm="1">
        <f t="array" ref="BC694">_xlfn.IFS(E694="","",G694&lt;=E694,BB694*(1-0.03),G694&lt;(E694+8),BB694,AZ694="Boleto",BB694*(1+0.001)^DATEDIF(E694,G694,"D"),AZ694="Cheque",BB694,AZ694="Dinheiro","Alterar forma pgto")</f>
        <v/>
      </c>
      <c r="BD694" s="276" t="str" cm="1">
        <f t="array" ref="BD694">IF(F694=0," ",IF(BC694&lt;BB694,(_xlfn.IFS(AW694="SIM",SUM(L694,Q694,V694,AA694,AF694,AK694,AP694,AU694)+AX694/_xlfn.XLOOKUP(_xlfn.XLOOKUP($F694,Clientes!$B$4:$B$39,Clientes!$C$4:$C$39),Cadastros!$L$6:$L$12,Cadastros!$M$6:$M$12)+IF($F694="Bernardino Furlan",AY694/2751.92,IF($F694="Mauro José Salanti",AY694/2751.92,AY694/3356)),F694&lt;&gt;0,SUM(L694,Q694,V694,AA694,AF694,AK694,AP694,AU694)))*(1-0.03),_xlfn.IFS(AW694="SIM",SUM(L694,Q694,V694,AA694,AF694,AK694,AP694,AU694)+AX694/_xlfn.XLOOKUP(_xlfn.XLOOKUP($F694,Clientes!$B$4:$B$39,Clientes!$C$4:$C$39),Cadastros!$L$6:$L$12,Cadastros!$M$6:$M$12)+IF($F694="Bernardino Furlan",AY694/2751.92,IF($F694="Mauro José Salanti",AY694/2751.92,AY694/3356)),F694&lt;&gt;0,SUM(L694,Q694,V694,AA694,AF694,AK694,AP694,AU694))))</f>
        <v xml:space="preserve"> </v>
      </c>
      <c r="BE694" s="120"/>
      <c r="BF694" s="120"/>
      <c r="BG694" s="120"/>
    </row>
    <row r="695" spans="1:59" s="3" customFormat="1" x14ac:dyDescent="0.3">
      <c r="A695" s="15" t="str">
        <f t="shared" si="130"/>
        <v/>
      </c>
      <c r="B695" s="25"/>
      <c r="C695" s="26"/>
      <c r="D695" s="279"/>
      <c r="E695" s="27"/>
      <c r="F695" s="28"/>
      <c r="G695" s="27"/>
      <c r="H695" s="28"/>
      <c r="I695" s="28"/>
      <c r="J695" s="255" t="str">
        <f>IF(H695="","",(_xlfn.XLOOKUP(H695,Cadastros!$D$6:$D$90,Cadastros!$E$6:$E$90))*(1-_xlfn.XLOOKUP(_xlfn.XLOOKUP($F695,Clientes!$B$4:$B$39,Clientes!$C$4:$C$39),Cadastros!$L$6:$L$12,Cadastros!$N$6:$N$12)))</f>
        <v/>
      </c>
      <c r="K695" s="168" t="str">
        <f t="shared" si="131"/>
        <v/>
      </c>
      <c r="L695" s="168" t="str">
        <f>IFERROR(K695/_xlfn.XLOOKUP(_xlfn.XLOOKUP($F695,Clientes!$B$4:$B$39,Clientes!$C$4:$C$39),Cadastros!$L$6:$L$12,Cadastros!$M$6:$M$12)," ")</f>
        <v xml:space="preserve"> </v>
      </c>
      <c r="M695" s="28"/>
      <c r="N695" s="28"/>
      <c r="O695" s="255" t="str">
        <f>IF(M695="","",(_xlfn.XLOOKUP(M695,Cadastros!$D$6:$D$90,Cadastros!$E$6:$E$90))*(1-_xlfn.XLOOKUP(_xlfn.XLOOKUP($F695,Clientes!$B$4:$B$39,Clientes!$C$4:$C$39),Cadastros!$L$6:$L$12,Cadastros!$N$6:$N$12)))</f>
        <v/>
      </c>
      <c r="P695" s="168" t="str">
        <f t="shared" si="132"/>
        <v/>
      </c>
      <c r="Q695" s="168" t="str">
        <f>IFERROR(P695/_xlfn.XLOOKUP(_xlfn.XLOOKUP($F695,Clientes!$B$4:$B$39,Clientes!$C$4:$C$39),Cadastros!$L$6:$L$12,Cadastros!$M$6:$M$12)," ")</f>
        <v xml:space="preserve"> </v>
      </c>
      <c r="R695" s="28"/>
      <c r="S695" s="28"/>
      <c r="T695" s="255" t="str">
        <f>IF(R695="","",(_xlfn.XLOOKUP(R695,Cadastros!$D$6:$D$90,Cadastros!$E$6:$E$90))*(1-_xlfn.XLOOKUP(_xlfn.XLOOKUP($F695,Clientes!$B$4:$B$39,Clientes!$C$4:$C$39),Cadastros!$L$6:$L$12,Cadastros!$N$6:$N$12)))</f>
        <v/>
      </c>
      <c r="U695" s="168" t="str">
        <f t="shared" si="133"/>
        <v/>
      </c>
      <c r="V695" s="168" t="str">
        <f>IFERROR(U695/_xlfn.XLOOKUP(_xlfn.XLOOKUP($F695,Clientes!$B$4:$B$39,Clientes!$C$4:$C$39),Cadastros!$L$6:$L$12,Cadastros!$M$6:$M$12)," ")</f>
        <v xml:space="preserve"> </v>
      </c>
      <c r="W695" s="28"/>
      <c r="X695" s="28"/>
      <c r="Y695" s="255" t="str">
        <f>IF(W695="","",(_xlfn.XLOOKUP(W695,Cadastros!$D$6:$D$90,Cadastros!$E$6:$E$90))*(1-_xlfn.XLOOKUP(_xlfn.XLOOKUP($F695,Clientes!$B$4:$B$39,Clientes!$C$4:$C$39),Cadastros!$L$6:$L$12,Cadastros!$N$6:$N$12)))</f>
        <v/>
      </c>
      <c r="Z695" s="168" t="str">
        <f t="shared" si="134"/>
        <v/>
      </c>
      <c r="AA695" s="168" t="str">
        <f>IFERROR(Z695/_xlfn.XLOOKUP(_xlfn.XLOOKUP($F695,Clientes!$B$4:$B$39,Clientes!$C$4:$C$39),Cadastros!$L$6:$L$12,Cadastros!$M$6:$M$12)," ")</f>
        <v xml:space="preserve"> </v>
      </c>
      <c r="AB695" s="28"/>
      <c r="AC695" s="28"/>
      <c r="AD695" s="20" t="str">
        <f>IF(AB695="","",IF($F695="Bernardino Furlan",_xlfn.XLOOKUP(AB695,Cadastros!$G$6:$G$90,Cadastros!$H$6:$H$90)*(1-0.18),IF($F695="Mauro José Salanti",_xlfn.XLOOKUP(AB695,Cadastros!$G$6:$G$90,Cadastros!$H$6:$H$90)*(1-0.18),_xlfn.XLOOKUP(AB695,Cadastros!$G$6:$G$90,Cadastros!$H$6:$H$90))))</f>
        <v/>
      </c>
      <c r="AE695" s="168" t="str">
        <f t="shared" si="135"/>
        <v/>
      </c>
      <c r="AF695" s="168" t="str">
        <f t="shared" si="136"/>
        <v/>
      </c>
      <c r="AG695" s="28"/>
      <c r="AH695" s="28"/>
      <c r="AI695" s="20" t="str">
        <f>IF(AG695="","",IF($F695="Bernardino Furlan",_xlfn.XLOOKUP(AG695,Cadastros!$G$6:$G$90,Cadastros!$H$6:$H$90)*(1-0.18),IF($F695="Mauro José Salanti",_xlfn.XLOOKUP(AG695,Cadastros!$G$6:$G$90,Cadastros!$H$6:$H$90)*(1-0.18),_xlfn.XLOOKUP(AG695,Cadastros!$G$6:$G$90,Cadastros!$H$6:$H$90))))</f>
        <v/>
      </c>
      <c r="AJ695" s="168" t="str">
        <f t="shared" si="137"/>
        <v/>
      </c>
      <c r="AK695" s="168" t="str">
        <f t="shared" si="138"/>
        <v/>
      </c>
      <c r="AL695" s="28"/>
      <c r="AM695" s="28"/>
      <c r="AN695" s="20" t="str">
        <f>IF(AL695="","",IF($F695="Bernardino Furlan",_xlfn.XLOOKUP(AL695,Cadastros!$G$6:$G$90,Cadastros!$H$6:$H$90)*(1-0.18),IF($F695="Mauro José Salanti",_xlfn.XLOOKUP(AL695,Cadastros!$G$6:$G$90,Cadastros!$H$6:$H$90)*(1-0.18),_xlfn.XLOOKUP(AL695,Cadastros!$G$6:$G$90,Cadastros!$H$6:$H$90))))</f>
        <v/>
      </c>
      <c r="AO695" s="168" t="str">
        <f t="shared" si="139"/>
        <v/>
      </c>
      <c r="AP695" s="168" t="str">
        <f t="shared" si="140"/>
        <v/>
      </c>
      <c r="AQ695" s="28"/>
      <c r="AR695" s="28"/>
      <c r="AS695" s="20" t="str">
        <f>IF(AQ695="","",IF($F695="Bernardino Furlan",_xlfn.XLOOKUP(AQ695,Cadastros!$G$6:$G$90,Cadastros!$H$6:$H$90)*(1-0.18),IF($F695="Mauro José Salanti",_xlfn.XLOOKUP(AQ695,Cadastros!$G$6:$G$90,Cadastros!$H$6:$H$90)*(1-0.18),_xlfn.XLOOKUP(AQ695,Cadastros!$G$6:$G$90,Cadastros!$H$6:$H$90))))</f>
        <v/>
      </c>
      <c r="AT695" s="168" t="str">
        <f t="shared" si="141"/>
        <v/>
      </c>
      <c r="AU695" s="168" t="str">
        <f t="shared" si="142"/>
        <v/>
      </c>
      <c r="AV695" s="227"/>
      <c r="AW695" s="30"/>
      <c r="AX695" s="267"/>
      <c r="AY695" s="267"/>
      <c r="AZ695" s="29"/>
      <c r="BA695" s="30"/>
      <c r="BB695" s="23" t="str" cm="1">
        <f t="array" ref="BB695">_xlfn.IFS(AW695="SIM",SUM(K695,P695,U695,Z695,AE695,AJ695,AO695,AT695,AX695,AY695),F695&lt;&gt;"",SUM(K695,P695,U695,Z695,AE695,AJ695,,AO695,AT695),F695="","")</f>
        <v/>
      </c>
      <c r="BC695" s="211" t="str" cm="1">
        <f t="array" ref="BC695">_xlfn.IFS(E695="","",G695&lt;=E695,BB695*(1-0.03),G695&lt;(E695+8),BB695,AZ695="Boleto",BB695*(1+0.001)^DATEDIF(E695,G695,"D"),AZ695="Cheque",BB695,AZ695="Dinheiro","Alterar forma pgto")</f>
        <v/>
      </c>
      <c r="BD695" s="276" t="str" cm="1">
        <f t="array" ref="BD695">IF(F695=0," ",IF(BC695&lt;BB695,(_xlfn.IFS(AW695="SIM",SUM(L695,Q695,V695,AA695,AF695,AK695,AP695,AU695)+AX695/_xlfn.XLOOKUP(_xlfn.XLOOKUP($F695,Clientes!$B$4:$B$39,Clientes!$C$4:$C$39),Cadastros!$L$6:$L$12,Cadastros!$M$6:$M$12)+IF($F695="Bernardino Furlan",AY695/2751.92,IF($F695="Mauro José Salanti",AY695/2751.92,AY695/3356)),F695&lt;&gt;0,SUM(L695,Q695,V695,AA695,AF695,AK695,AP695,AU695)))*(1-0.03),_xlfn.IFS(AW695="SIM",SUM(L695,Q695,V695,AA695,AF695,AK695,AP695,AU695)+AX695/_xlfn.XLOOKUP(_xlfn.XLOOKUP($F695,Clientes!$B$4:$B$39,Clientes!$C$4:$C$39),Cadastros!$L$6:$L$12,Cadastros!$M$6:$M$12)+IF($F695="Bernardino Furlan",AY695/2751.92,IF($F695="Mauro José Salanti",AY695/2751.92,AY695/3356)),F695&lt;&gt;0,SUM(L695,Q695,V695,AA695,AF695,AK695,AP695,AU695))))</f>
        <v xml:space="preserve"> </v>
      </c>
      <c r="BE695" s="120"/>
      <c r="BF695" s="120"/>
      <c r="BG695" s="120"/>
    </row>
    <row r="696" spans="1:59" s="3" customFormat="1" x14ac:dyDescent="0.3">
      <c r="A696" s="15" t="str">
        <f t="shared" si="130"/>
        <v/>
      </c>
      <c r="B696" s="25"/>
      <c r="C696" s="26"/>
      <c r="D696" s="279"/>
      <c r="E696" s="27"/>
      <c r="F696" s="28"/>
      <c r="G696" s="27"/>
      <c r="H696" s="28"/>
      <c r="I696" s="28"/>
      <c r="J696" s="255" t="str">
        <f>IF(H696="","",(_xlfn.XLOOKUP(H696,Cadastros!$D$6:$D$90,Cadastros!$E$6:$E$90))*(1-_xlfn.XLOOKUP(_xlfn.XLOOKUP($F696,Clientes!$B$4:$B$39,Clientes!$C$4:$C$39),Cadastros!$L$6:$L$12,Cadastros!$N$6:$N$12)))</f>
        <v/>
      </c>
      <c r="K696" s="168" t="str">
        <f t="shared" si="131"/>
        <v/>
      </c>
      <c r="L696" s="168" t="str">
        <f>IFERROR(K696/_xlfn.XLOOKUP(_xlfn.XLOOKUP($F696,Clientes!$B$4:$B$39,Clientes!$C$4:$C$39),Cadastros!$L$6:$L$12,Cadastros!$M$6:$M$12)," ")</f>
        <v xml:space="preserve"> </v>
      </c>
      <c r="M696" s="28"/>
      <c r="N696" s="28"/>
      <c r="O696" s="255" t="str">
        <f>IF(M696="","",(_xlfn.XLOOKUP(M696,Cadastros!$D$6:$D$90,Cadastros!$E$6:$E$90))*(1-_xlfn.XLOOKUP(_xlfn.XLOOKUP($F696,Clientes!$B$4:$B$39,Clientes!$C$4:$C$39),Cadastros!$L$6:$L$12,Cadastros!$N$6:$N$12)))</f>
        <v/>
      </c>
      <c r="P696" s="168" t="str">
        <f t="shared" si="132"/>
        <v/>
      </c>
      <c r="Q696" s="168" t="str">
        <f>IFERROR(P696/_xlfn.XLOOKUP(_xlfn.XLOOKUP($F696,Clientes!$B$4:$B$39,Clientes!$C$4:$C$39),Cadastros!$L$6:$L$12,Cadastros!$M$6:$M$12)," ")</f>
        <v xml:space="preserve"> </v>
      </c>
      <c r="R696" s="28"/>
      <c r="S696" s="28"/>
      <c r="T696" s="255" t="str">
        <f>IF(R696="","",(_xlfn.XLOOKUP(R696,Cadastros!$D$6:$D$90,Cadastros!$E$6:$E$90))*(1-_xlfn.XLOOKUP(_xlfn.XLOOKUP($F696,Clientes!$B$4:$B$39,Clientes!$C$4:$C$39),Cadastros!$L$6:$L$12,Cadastros!$N$6:$N$12)))</f>
        <v/>
      </c>
      <c r="U696" s="168" t="str">
        <f t="shared" si="133"/>
        <v/>
      </c>
      <c r="V696" s="168" t="str">
        <f>IFERROR(U696/_xlfn.XLOOKUP(_xlfn.XLOOKUP($F696,Clientes!$B$4:$B$39,Clientes!$C$4:$C$39),Cadastros!$L$6:$L$12,Cadastros!$M$6:$M$12)," ")</f>
        <v xml:space="preserve"> </v>
      </c>
      <c r="W696" s="28"/>
      <c r="X696" s="28"/>
      <c r="Y696" s="255" t="str">
        <f>IF(W696="","",(_xlfn.XLOOKUP(W696,Cadastros!$D$6:$D$90,Cadastros!$E$6:$E$90))*(1-_xlfn.XLOOKUP(_xlfn.XLOOKUP($F696,Clientes!$B$4:$B$39,Clientes!$C$4:$C$39),Cadastros!$L$6:$L$12,Cadastros!$N$6:$N$12)))</f>
        <v/>
      </c>
      <c r="Z696" s="168" t="str">
        <f t="shared" si="134"/>
        <v/>
      </c>
      <c r="AA696" s="168" t="str">
        <f>IFERROR(Z696/_xlfn.XLOOKUP(_xlfn.XLOOKUP($F696,Clientes!$B$4:$B$39,Clientes!$C$4:$C$39),Cadastros!$L$6:$L$12,Cadastros!$M$6:$M$12)," ")</f>
        <v xml:space="preserve"> </v>
      </c>
      <c r="AB696" s="28"/>
      <c r="AC696" s="28"/>
      <c r="AD696" s="20" t="str">
        <f>IF(AB696="","",IF($F696="Bernardino Furlan",_xlfn.XLOOKUP(AB696,Cadastros!$G$6:$G$90,Cadastros!$H$6:$H$90)*(1-0.18),IF($F696="Mauro José Salanti",_xlfn.XLOOKUP(AB696,Cadastros!$G$6:$G$90,Cadastros!$H$6:$H$90)*(1-0.18),_xlfn.XLOOKUP(AB696,Cadastros!$G$6:$G$90,Cadastros!$H$6:$H$90))))</f>
        <v/>
      </c>
      <c r="AE696" s="168" t="str">
        <f t="shared" si="135"/>
        <v/>
      </c>
      <c r="AF696" s="168" t="str">
        <f t="shared" si="136"/>
        <v/>
      </c>
      <c r="AG696" s="28"/>
      <c r="AH696" s="28"/>
      <c r="AI696" s="20" t="str">
        <f>IF(AG696="","",IF($F696="Bernardino Furlan",_xlfn.XLOOKUP(AG696,Cadastros!$G$6:$G$90,Cadastros!$H$6:$H$90)*(1-0.18),IF($F696="Mauro José Salanti",_xlfn.XLOOKUP(AG696,Cadastros!$G$6:$G$90,Cadastros!$H$6:$H$90)*(1-0.18),_xlfn.XLOOKUP(AG696,Cadastros!$G$6:$G$90,Cadastros!$H$6:$H$90))))</f>
        <v/>
      </c>
      <c r="AJ696" s="168" t="str">
        <f t="shared" si="137"/>
        <v/>
      </c>
      <c r="AK696" s="168" t="str">
        <f t="shared" si="138"/>
        <v/>
      </c>
      <c r="AL696" s="28"/>
      <c r="AM696" s="28"/>
      <c r="AN696" s="20" t="str">
        <f>IF(AL696="","",IF($F696="Bernardino Furlan",_xlfn.XLOOKUP(AL696,Cadastros!$G$6:$G$90,Cadastros!$H$6:$H$90)*(1-0.18),IF($F696="Mauro José Salanti",_xlfn.XLOOKUP(AL696,Cadastros!$G$6:$G$90,Cadastros!$H$6:$H$90)*(1-0.18),_xlfn.XLOOKUP(AL696,Cadastros!$G$6:$G$90,Cadastros!$H$6:$H$90))))</f>
        <v/>
      </c>
      <c r="AO696" s="168" t="str">
        <f t="shared" si="139"/>
        <v/>
      </c>
      <c r="AP696" s="168" t="str">
        <f t="shared" si="140"/>
        <v/>
      </c>
      <c r="AQ696" s="28"/>
      <c r="AR696" s="28"/>
      <c r="AS696" s="20" t="str">
        <f>IF(AQ696="","",IF($F696="Bernardino Furlan",_xlfn.XLOOKUP(AQ696,Cadastros!$G$6:$G$90,Cadastros!$H$6:$H$90)*(1-0.18),IF($F696="Mauro José Salanti",_xlfn.XLOOKUP(AQ696,Cadastros!$G$6:$G$90,Cadastros!$H$6:$H$90)*(1-0.18),_xlfn.XLOOKUP(AQ696,Cadastros!$G$6:$G$90,Cadastros!$H$6:$H$90))))</f>
        <v/>
      </c>
      <c r="AT696" s="168" t="str">
        <f t="shared" si="141"/>
        <v/>
      </c>
      <c r="AU696" s="168" t="str">
        <f t="shared" si="142"/>
        <v/>
      </c>
      <c r="AV696" s="227"/>
      <c r="AW696" s="30"/>
      <c r="AX696" s="267"/>
      <c r="AY696" s="267"/>
      <c r="AZ696" s="29"/>
      <c r="BA696" s="30"/>
      <c r="BB696" s="23" t="str" cm="1">
        <f t="array" ref="BB696">_xlfn.IFS(AW696="SIM",SUM(K696,P696,U696,Z696,AE696,AJ696,AO696,AT696,AX696,AY696),F696&lt;&gt;"",SUM(K696,P696,U696,Z696,AE696,AJ696,,AO696,AT696),F696="","")</f>
        <v/>
      </c>
      <c r="BC696" s="211" t="str" cm="1">
        <f t="array" ref="BC696">_xlfn.IFS(E696="","",G696&lt;=E696,BB696*(1-0.03),G696&lt;(E696+8),BB696,AZ696="Boleto",BB696*(1+0.001)^DATEDIF(E696,G696,"D"),AZ696="Cheque",BB696,AZ696="Dinheiro","Alterar forma pgto")</f>
        <v/>
      </c>
      <c r="BD696" s="276" t="str" cm="1">
        <f t="array" ref="BD696">IF(F696=0," ",IF(BC696&lt;BB696,(_xlfn.IFS(AW696="SIM",SUM(L696,Q696,V696,AA696,AF696,AK696,AP696,AU696)+AX696/_xlfn.XLOOKUP(_xlfn.XLOOKUP($F696,Clientes!$B$4:$B$39,Clientes!$C$4:$C$39),Cadastros!$L$6:$L$12,Cadastros!$M$6:$M$12)+IF($F696="Bernardino Furlan",AY696/2751.92,IF($F696="Mauro José Salanti",AY696/2751.92,AY696/3356)),F696&lt;&gt;0,SUM(L696,Q696,V696,AA696,AF696,AK696,AP696,AU696)))*(1-0.03),_xlfn.IFS(AW696="SIM",SUM(L696,Q696,V696,AA696,AF696,AK696,AP696,AU696)+AX696/_xlfn.XLOOKUP(_xlfn.XLOOKUP($F696,Clientes!$B$4:$B$39,Clientes!$C$4:$C$39),Cadastros!$L$6:$L$12,Cadastros!$M$6:$M$12)+IF($F696="Bernardino Furlan",AY696/2751.92,IF($F696="Mauro José Salanti",AY696/2751.92,AY696/3356)),F696&lt;&gt;0,SUM(L696,Q696,V696,AA696,AF696,AK696,AP696,AU696))))</f>
        <v xml:space="preserve"> </v>
      </c>
      <c r="BE696" s="120"/>
      <c r="BF696" s="120"/>
      <c r="BG696" s="120"/>
    </row>
    <row r="697" spans="1:59" s="3" customFormat="1" x14ac:dyDescent="0.3">
      <c r="A697" s="15" t="str">
        <f t="shared" si="130"/>
        <v/>
      </c>
      <c r="B697" s="25"/>
      <c r="C697" s="26"/>
      <c r="D697" s="279"/>
      <c r="E697" s="27"/>
      <c r="F697" s="28"/>
      <c r="G697" s="27"/>
      <c r="H697" s="28"/>
      <c r="I697" s="28"/>
      <c r="J697" s="255" t="str">
        <f>IF(H697="","",(_xlfn.XLOOKUP(H697,Cadastros!$D$6:$D$90,Cadastros!$E$6:$E$90))*(1-_xlfn.XLOOKUP(_xlfn.XLOOKUP($F697,Clientes!$B$4:$B$39,Clientes!$C$4:$C$39),Cadastros!$L$6:$L$12,Cadastros!$N$6:$N$12)))</f>
        <v/>
      </c>
      <c r="K697" s="168" t="str">
        <f t="shared" si="131"/>
        <v/>
      </c>
      <c r="L697" s="168" t="str">
        <f>IFERROR(K697/_xlfn.XLOOKUP(_xlfn.XLOOKUP($F697,Clientes!$B$4:$B$39,Clientes!$C$4:$C$39),Cadastros!$L$6:$L$12,Cadastros!$M$6:$M$12)," ")</f>
        <v xml:space="preserve"> </v>
      </c>
      <c r="M697" s="28"/>
      <c r="N697" s="28"/>
      <c r="O697" s="255" t="str">
        <f>IF(M697="","",(_xlfn.XLOOKUP(M697,Cadastros!$D$6:$D$90,Cadastros!$E$6:$E$90))*(1-_xlfn.XLOOKUP(_xlfn.XLOOKUP($F697,Clientes!$B$4:$B$39,Clientes!$C$4:$C$39),Cadastros!$L$6:$L$12,Cadastros!$N$6:$N$12)))</f>
        <v/>
      </c>
      <c r="P697" s="168" t="str">
        <f t="shared" si="132"/>
        <v/>
      </c>
      <c r="Q697" s="168" t="str">
        <f>IFERROR(P697/_xlfn.XLOOKUP(_xlfn.XLOOKUP($F697,Clientes!$B$4:$B$39,Clientes!$C$4:$C$39),Cadastros!$L$6:$L$12,Cadastros!$M$6:$M$12)," ")</f>
        <v xml:space="preserve"> </v>
      </c>
      <c r="R697" s="28"/>
      <c r="S697" s="28"/>
      <c r="T697" s="255" t="str">
        <f>IF(R697="","",(_xlfn.XLOOKUP(R697,Cadastros!$D$6:$D$90,Cadastros!$E$6:$E$90))*(1-_xlfn.XLOOKUP(_xlfn.XLOOKUP($F697,Clientes!$B$4:$B$39,Clientes!$C$4:$C$39),Cadastros!$L$6:$L$12,Cadastros!$N$6:$N$12)))</f>
        <v/>
      </c>
      <c r="U697" s="168" t="str">
        <f t="shared" si="133"/>
        <v/>
      </c>
      <c r="V697" s="168" t="str">
        <f>IFERROR(U697/_xlfn.XLOOKUP(_xlfn.XLOOKUP($F697,Clientes!$B$4:$B$39,Clientes!$C$4:$C$39),Cadastros!$L$6:$L$12,Cadastros!$M$6:$M$12)," ")</f>
        <v xml:space="preserve"> </v>
      </c>
      <c r="W697" s="28"/>
      <c r="X697" s="28"/>
      <c r="Y697" s="255" t="str">
        <f>IF(W697="","",(_xlfn.XLOOKUP(W697,Cadastros!$D$6:$D$90,Cadastros!$E$6:$E$90))*(1-_xlfn.XLOOKUP(_xlfn.XLOOKUP($F697,Clientes!$B$4:$B$39,Clientes!$C$4:$C$39),Cadastros!$L$6:$L$12,Cadastros!$N$6:$N$12)))</f>
        <v/>
      </c>
      <c r="Z697" s="168" t="str">
        <f t="shared" si="134"/>
        <v/>
      </c>
      <c r="AA697" s="168" t="str">
        <f>IFERROR(Z697/_xlfn.XLOOKUP(_xlfn.XLOOKUP($F697,Clientes!$B$4:$B$39,Clientes!$C$4:$C$39),Cadastros!$L$6:$L$12,Cadastros!$M$6:$M$12)," ")</f>
        <v xml:space="preserve"> </v>
      </c>
      <c r="AB697" s="28"/>
      <c r="AC697" s="28"/>
      <c r="AD697" s="20" t="str">
        <f>IF(AB697="","",IF($F697="Bernardino Furlan",_xlfn.XLOOKUP(AB697,Cadastros!$G$6:$G$90,Cadastros!$H$6:$H$90)*(1-0.18),IF($F697="Mauro José Salanti",_xlfn.XLOOKUP(AB697,Cadastros!$G$6:$G$90,Cadastros!$H$6:$H$90)*(1-0.18),_xlfn.XLOOKUP(AB697,Cadastros!$G$6:$G$90,Cadastros!$H$6:$H$90))))</f>
        <v/>
      </c>
      <c r="AE697" s="168" t="str">
        <f t="shared" si="135"/>
        <v/>
      </c>
      <c r="AF697" s="168" t="str">
        <f t="shared" si="136"/>
        <v/>
      </c>
      <c r="AG697" s="28"/>
      <c r="AH697" s="28"/>
      <c r="AI697" s="20" t="str">
        <f>IF(AG697="","",IF($F697="Bernardino Furlan",_xlfn.XLOOKUP(AG697,Cadastros!$G$6:$G$90,Cadastros!$H$6:$H$90)*(1-0.18),IF($F697="Mauro José Salanti",_xlfn.XLOOKUP(AG697,Cadastros!$G$6:$G$90,Cadastros!$H$6:$H$90)*(1-0.18),_xlfn.XLOOKUP(AG697,Cadastros!$G$6:$G$90,Cadastros!$H$6:$H$90))))</f>
        <v/>
      </c>
      <c r="AJ697" s="168" t="str">
        <f t="shared" si="137"/>
        <v/>
      </c>
      <c r="AK697" s="168" t="str">
        <f t="shared" si="138"/>
        <v/>
      </c>
      <c r="AL697" s="28"/>
      <c r="AM697" s="28"/>
      <c r="AN697" s="20" t="str">
        <f>IF(AL697="","",IF($F697="Bernardino Furlan",_xlfn.XLOOKUP(AL697,Cadastros!$G$6:$G$90,Cadastros!$H$6:$H$90)*(1-0.18),IF($F697="Mauro José Salanti",_xlfn.XLOOKUP(AL697,Cadastros!$G$6:$G$90,Cadastros!$H$6:$H$90)*(1-0.18),_xlfn.XLOOKUP(AL697,Cadastros!$G$6:$G$90,Cadastros!$H$6:$H$90))))</f>
        <v/>
      </c>
      <c r="AO697" s="168" t="str">
        <f t="shared" si="139"/>
        <v/>
      </c>
      <c r="AP697" s="168" t="str">
        <f t="shared" si="140"/>
        <v/>
      </c>
      <c r="AQ697" s="28"/>
      <c r="AR697" s="28"/>
      <c r="AS697" s="20" t="str">
        <f>IF(AQ697="","",IF($F697="Bernardino Furlan",_xlfn.XLOOKUP(AQ697,Cadastros!$G$6:$G$90,Cadastros!$H$6:$H$90)*(1-0.18),IF($F697="Mauro José Salanti",_xlfn.XLOOKUP(AQ697,Cadastros!$G$6:$G$90,Cadastros!$H$6:$H$90)*(1-0.18),_xlfn.XLOOKUP(AQ697,Cadastros!$G$6:$G$90,Cadastros!$H$6:$H$90))))</f>
        <v/>
      </c>
      <c r="AT697" s="168" t="str">
        <f t="shared" si="141"/>
        <v/>
      </c>
      <c r="AU697" s="168" t="str">
        <f t="shared" si="142"/>
        <v/>
      </c>
      <c r="AV697" s="227"/>
      <c r="AW697" s="30"/>
      <c r="AX697" s="267"/>
      <c r="AY697" s="267"/>
      <c r="AZ697" s="29"/>
      <c r="BA697" s="30"/>
      <c r="BB697" s="23" t="str" cm="1">
        <f t="array" ref="BB697">_xlfn.IFS(AW697="SIM",SUM(K697,P697,U697,Z697,AE697,AJ697,AO697,AT697,AX697,AY697),F697&lt;&gt;"",SUM(K697,P697,U697,Z697,AE697,AJ697,,AO697,AT697),F697="","")</f>
        <v/>
      </c>
      <c r="BC697" s="211" t="str" cm="1">
        <f t="array" ref="BC697">_xlfn.IFS(E697="","",G697&lt;=E697,BB697*(1-0.03),G697&lt;(E697+8),BB697,AZ697="Boleto",BB697*(1+0.001)^DATEDIF(E697,G697,"D"),AZ697="Cheque",BB697,AZ697="Dinheiro","Alterar forma pgto")</f>
        <v/>
      </c>
      <c r="BD697" s="276" t="str" cm="1">
        <f t="array" ref="BD697">IF(F697=0," ",IF(BC697&lt;BB697,(_xlfn.IFS(AW697="SIM",SUM(L697,Q697,V697,AA697,AF697,AK697,AP697,AU697)+AX697/_xlfn.XLOOKUP(_xlfn.XLOOKUP($F697,Clientes!$B$4:$B$39,Clientes!$C$4:$C$39),Cadastros!$L$6:$L$12,Cadastros!$M$6:$M$12)+IF($F697="Bernardino Furlan",AY697/2751.92,IF($F697="Mauro José Salanti",AY697/2751.92,AY697/3356)),F697&lt;&gt;0,SUM(L697,Q697,V697,AA697,AF697,AK697,AP697,AU697)))*(1-0.03),_xlfn.IFS(AW697="SIM",SUM(L697,Q697,V697,AA697,AF697,AK697,AP697,AU697)+AX697/_xlfn.XLOOKUP(_xlfn.XLOOKUP($F697,Clientes!$B$4:$B$39,Clientes!$C$4:$C$39),Cadastros!$L$6:$L$12,Cadastros!$M$6:$M$12)+IF($F697="Bernardino Furlan",AY697/2751.92,IF($F697="Mauro José Salanti",AY697/2751.92,AY697/3356)),F697&lt;&gt;0,SUM(L697,Q697,V697,AA697,AF697,AK697,AP697,AU697))))</f>
        <v xml:space="preserve"> </v>
      </c>
      <c r="BE697" s="120"/>
      <c r="BF697" s="120"/>
      <c r="BG697" s="120"/>
    </row>
    <row r="698" spans="1:59" s="3" customFormat="1" x14ac:dyDescent="0.3">
      <c r="A698" s="15" t="str">
        <f t="shared" si="130"/>
        <v/>
      </c>
      <c r="B698" s="25"/>
      <c r="C698" s="26"/>
      <c r="D698" s="279"/>
      <c r="E698" s="27"/>
      <c r="F698" s="28"/>
      <c r="G698" s="27"/>
      <c r="H698" s="28"/>
      <c r="I698" s="28"/>
      <c r="J698" s="255" t="str">
        <f>IF(H698="","",(_xlfn.XLOOKUP(H698,Cadastros!$D$6:$D$90,Cadastros!$E$6:$E$90))*(1-_xlfn.XLOOKUP(_xlfn.XLOOKUP($F698,Clientes!$B$4:$B$39,Clientes!$C$4:$C$39),Cadastros!$L$6:$L$12,Cadastros!$N$6:$N$12)))</f>
        <v/>
      </c>
      <c r="K698" s="168" t="str">
        <f t="shared" si="131"/>
        <v/>
      </c>
      <c r="L698" s="168" t="str">
        <f>IFERROR(K698/_xlfn.XLOOKUP(_xlfn.XLOOKUP($F698,Clientes!$B$4:$B$39,Clientes!$C$4:$C$39),Cadastros!$L$6:$L$12,Cadastros!$M$6:$M$12)," ")</f>
        <v xml:space="preserve"> </v>
      </c>
      <c r="M698" s="28"/>
      <c r="N698" s="28"/>
      <c r="O698" s="255" t="str">
        <f>IF(M698="","",(_xlfn.XLOOKUP(M698,Cadastros!$D$6:$D$90,Cadastros!$E$6:$E$90))*(1-_xlfn.XLOOKUP(_xlfn.XLOOKUP($F698,Clientes!$B$4:$B$39,Clientes!$C$4:$C$39),Cadastros!$L$6:$L$12,Cadastros!$N$6:$N$12)))</f>
        <v/>
      </c>
      <c r="P698" s="168" t="str">
        <f t="shared" si="132"/>
        <v/>
      </c>
      <c r="Q698" s="168" t="str">
        <f>IFERROR(P698/_xlfn.XLOOKUP(_xlfn.XLOOKUP($F698,Clientes!$B$4:$B$39,Clientes!$C$4:$C$39),Cadastros!$L$6:$L$12,Cadastros!$M$6:$M$12)," ")</f>
        <v xml:space="preserve"> </v>
      </c>
      <c r="R698" s="28"/>
      <c r="S698" s="28"/>
      <c r="T698" s="255" t="str">
        <f>IF(R698="","",(_xlfn.XLOOKUP(R698,Cadastros!$D$6:$D$90,Cadastros!$E$6:$E$90))*(1-_xlfn.XLOOKUP(_xlfn.XLOOKUP($F698,Clientes!$B$4:$B$39,Clientes!$C$4:$C$39),Cadastros!$L$6:$L$12,Cadastros!$N$6:$N$12)))</f>
        <v/>
      </c>
      <c r="U698" s="168" t="str">
        <f t="shared" si="133"/>
        <v/>
      </c>
      <c r="V698" s="168" t="str">
        <f>IFERROR(U698/_xlfn.XLOOKUP(_xlfn.XLOOKUP($F698,Clientes!$B$4:$B$39,Clientes!$C$4:$C$39),Cadastros!$L$6:$L$12,Cadastros!$M$6:$M$12)," ")</f>
        <v xml:space="preserve"> </v>
      </c>
      <c r="W698" s="28"/>
      <c r="X698" s="28"/>
      <c r="Y698" s="255" t="str">
        <f>IF(W698="","",(_xlfn.XLOOKUP(W698,Cadastros!$D$6:$D$90,Cadastros!$E$6:$E$90))*(1-_xlfn.XLOOKUP(_xlfn.XLOOKUP($F698,Clientes!$B$4:$B$39,Clientes!$C$4:$C$39),Cadastros!$L$6:$L$12,Cadastros!$N$6:$N$12)))</f>
        <v/>
      </c>
      <c r="Z698" s="168" t="str">
        <f t="shared" si="134"/>
        <v/>
      </c>
      <c r="AA698" s="168" t="str">
        <f>IFERROR(Z698/_xlfn.XLOOKUP(_xlfn.XLOOKUP($F698,Clientes!$B$4:$B$39,Clientes!$C$4:$C$39),Cadastros!$L$6:$L$12,Cadastros!$M$6:$M$12)," ")</f>
        <v xml:space="preserve"> </v>
      </c>
      <c r="AB698" s="28"/>
      <c r="AC698" s="28"/>
      <c r="AD698" s="20" t="str">
        <f>IF(AB698="","",IF($F698="Bernardino Furlan",_xlfn.XLOOKUP(AB698,Cadastros!$G$6:$G$90,Cadastros!$H$6:$H$90)*(1-0.18),IF($F698="Mauro José Salanti",_xlfn.XLOOKUP(AB698,Cadastros!$G$6:$G$90,Cadastros!$H$6:$H$90)*(1-0.18),_xlfn.XLOOKUP(AB698,Cadastros!$G$6:$G$90,Cadastros!$H$6:$H$90))))</f>
        <v/>
      </c>
      <c r="AE698" s="168" t="str">
        <f t="shared" si="135"/>
        <v/>
      </c>
      <c r="AF698" s="168" t="str">
        <f t="shared" si="136"/>
        <v/>
      </c>
      <c r="AG698" s="28"/>
      <c r="AH698" s="28"/>
      <c r="AI698" s="20" t="str">
        <f>IF(AG698="","",IF($F698="Bernardino Furlan",_xlfn.XLOOKUP(AG698,Cadastros!$G$6:$G$90,Cadastros!$H$6:$H$90)*(1-0.18),IF($F698="Mauro José Salanti",_xlfn.XLOOKUP(AG698,Cadastros!$G$6:$G$90,Cadastros!$H$6:$H$90)*(1-0.18),_xlfn.XLOOKUP(AG698,Cadastros!$G$6:$G$90,Cadastros!$H$6:$H$90))))</f>
        <v/>
      </c>
      <c r="AJ698" s="168" t="str">
        <f t="shared" si="137"/>
        <v/>
      </c>
      <c r="AK698" s="168" t="str">
        <f t="shared" si="138"/>
        <v/>
      </c>
      <c r="AL698" s="28"/>
      <c r="AM698" s="28"/>
      <c r="AN698" s="20" t="str">
        <f>IF(AL698="","",IF($F698="Bernardino Furlan",_xlfn.XLOOKUP(AL698,Cadastros!$G$6:$G$90,Cadastros!$H$6:$H$90)*(1-0.18),IF($F698="Mauro José Salanti",_xlfn.XLOOKUP(AL698,Cadastros!$G$6:$G$90,Cadastros!$H$6:$H$90)*(1-0.18),_xlfn.XLOOKUP(AL698,Cadastros!$G$6:$G$90,Cadastros!$H$6:$H$90))))</f>
        <v/>
      </c>
      <c r="AO698" s="168" t="str">
        <f t="shared" si="139"/>
        <v/>
      </c>
      <c r="AP698" s="168" t="str">
        <f t="shared" si="140"/>
        <v/>
      </c>
      <c r="AQ698" s="28"/>
      <c r="AR698" s="28"/>
      <c r="AS698" s="20" t="str">
        <f>IF(AQ698="","",IF($F698="Bernardino Furlan",_xlfn.XLOOKUP(AQ698,Cadastros!$G$6:$G$90,Cadastros!$H$6:$H$90)*(1-0.18),IF($F698="Mauro José Salanti",_xlfn.XLOOKUP(AQ698,Cadastros!$G$6:$G$90,Cadastros!$H$6:$H$90)*(1-0.18),_xlfn.XLOOKUP(AQ698,Cadastros!$G$6:$G$90,Cadastros!$H$6:$H$90))))</f>
        <v/>
      </c>
      <c r="AT698" s="168" t="str">
        <f t="shared" si="141"/>
        <v/>
      </c>
      <c r="AU698" s="168" t="str">
        <f t="shared" si="142"/>
        <v/>
      </c>
      <c r="AV698" s="227"/>
      <c r="AW698" s="30"/>
      <c r="AX698" s="267"/>
      <c r="AY698" s="267"/>
      <c r="AZ698" s="29"/>
      <c r="BA698" s="30"/>
      <c r="BB698" s="23" t="str" cm="1">
        <f t="array" ref="BB698">_xlfn.IFS(AW698="SIM",SUM(K698,P698,U698,Z698,AE698,AJ698,AO698,AT698,AX698,AY698),F698&lt;&gt;"",SUM(K698,P698,U698,Z698,AE698,AJ698,,AO698,AT698),F698="","")</f>
        <v/>
      </c>
      <c r="BC698" s="211" t="str" cm="1">
        <f t="array" ref="BC698">_xlfn.IFS(E698="","",G698&lt;=E698,BB698*(1-0.03),G698&lt;(E698+8),BB698,AZ698="Boleto",BB698*(1+0.001)^DATEDIF(E698,G698,"D"),AZ698="Cheque",BB698,AZ698="Dinheiro","Alterar forma pgto")</f>
        <v/>
      </c>
      <c r="BD698" s="276" t="str" cm="1">
        <f t="array" ref="BD698">IF(F698=0," ",IF(BC698&lt;BB698,(_xlfn.IFS(AW698="SIM",SUM(L698,Q698,V698,AA698,AF698,AK698,AP698,AU698)+AX698/_xlfn.XLOOKUP(_xlfn.XLOOKUP($F698,Clientes!$B$4:$B$39,Clientes!$C$4:$C$39),Cadastros!$L$6:$L$12,Cadastros!$M$6:$M$12)+IF($F698="Bernardino Furlan",AY698/2751.92,IF($F698="Mauro José Salanti",AY698/2751.92,AY698/3356)),F698&lt;&gt;0,SUM(L698,Q698,V698,AA698,AF698,AK698,AP698,AU698)))*(1-0.03),_xlfn.IFS(AW698="SIM",SUM(L698,Q698,V698,AA698,AF698,AK698,AP698,AU698)+AX698/_xlfn.XLOOKUP(_xlfn.XLOOKUP($F698,Clientes!$B$4:$B$39,Clientes!$C$4:$C$39),Cadastros!$L$6:$L$12,Cadastros!$M$6:$M$12)+IF($F698="Bernardino Furlan",AY698/2751.92,IF($F698="Mauro José Salanti",AY698/2751.92,AY698/3356)),F698&lt;&gt;0,SUM(L698,Q698,V698,AA698,AF698,AK698,AP698,AU698))))</f>
        <v xml:space="preserve"> </v>
      </c>
      <c r="BE698" s="120"/>
      <c r="BF698" s="120"/>
      <c r="BG698" s="120"/>
    </row>
    <row r="699" spans="1:59" s="3" customFormat="1" x14ac:dyDescent="0.3">
      <c r="A699" s="15" t="str">
        <f t="shared" si="130"/>
        <v/>
      </c>
      <c r="B699" s="25"/>
      <c r="C699" s="26"/>
      <c r="D699" s="279"/>
      <c r="E699" s="27"/>
      <c r="F699" s="28"/>
      <c r="G699" s="27"/>
      <c r="H699" s="28"/>
      <c r="I699" s="28"/>
      <c r="J699" s="255" t="str">
        <f>IF(H699="","",(_xlfn.XLOOKUP(H699,Cadastros!$D$6:$D$90,Cadastros!$E$6:$E$90))*(1-_xlfn.XLOOKUP(_xlfn.XLOOKUP($F699,Clientes!$B$4:$B$39,Clientes!$C$4:$C$39),Cadastros!$L$6:$L$12,Cadastros!$N$6:$N$12)))</f>
        <v/>
      </c>
      <c r="K699" s="168" t="str">
        <f t="shared" si="131"/>
        <v/>
      </c>
      <c r="L699" s="168" t="str">
        <f>IFERROR(K699/_xlfn.XLOOKUP(_xlfn.XLOOKUP($F699,Clientes!$B$4:$B$39,Clientes!$C$4:$C$39),Cadastros!$L$6:$L$12,Cadastros!$M$6:$M$12)," ")</f>
        <v xml:space="preserve"> </v>
      </c>
      <c r="M699" s="28"/>
      <c r="N699" s="28"/>
      <c r="O699" s="255" t="str">
        <f>IF(M699="","",(_xlfn.XLOOKUP(M699,Cadastros!$D$6:$D$90,Cadastros!$E$6:$E$90))*(1-_xlfn.XLOOKUP(_xlfn.XLOOKUP($F699,Clientes!$B$4:$B$39,Clientes!$C$4:$C$39),Cadastros!$L$6:$L$12,Cadastros!$N$6:$N$12)))</f>
        <v/>
      </c>
      <c r="P699" s="168" t="str">
        <f t="shared" si="132"/>
        <v/>
      </c>
      <c r="Q699" s="168" t="str">
        <f>IFERROR(P699/_xlfn.XLOOKUP(_xlfn.XLOOKUP($F699,Clientes!$B$4:$B$39,Clientes!$C$4:$C$39),Cadastros!$L$6:$L$12,Cadastros!$M$6:$M$12)," ")</f>
        <v xml:space="preserve"> </v>
      </c>
      <c r="R699" s="28"/>
      <c r="S699" s="28"/>
      <c r="T699" s="255" t="str">
        <f>IF(R699="","",(_xlfn.XLOOKUP(R699,Cadastros!$D$6:$D$90,Cadastros!$E$6:$E$90))*(1-_xlfn.XLOOKUP(_xlfn.XLOOKUP($F699,Clientes!$B$4:$B$39,Clientes!$C$4:$C$39),Cadastros!$L$6:$L$12,Cadastros!$N$6:$N$12)))</f>
        <v/>
      </c>
      <c r="U699" s="168" t="str">
        <f t="shared" si="133"/>
        <v/>
      </c>
      <c r="V699" s="168" t="str">
        <f>IFERROR(U699/_xlfn.XLOOKUP(_xlfn.XLOOKUP($F699,Clientes!$B$4:$B$39,Clientes!$C$4:$C$39),Cadastros!$L$6:$L$12,Cadastros!$M$6:$M$12)," ")</f>
        <v xml:space="preserve"> </v>
      </c>
      <c r="W699" s="28"/>
      <c r="X699" s="28"/>
      <c r="Y699" s="255" t="str">
        <f>IF(W699="","",(_xlfn.XLOOKUP(W699,Cadastros!$D$6:$D$90,Cadastros!$E$6:$E$90))*(1-_xlfn.XLOOKUP(_xlfn.XLOOKUP($F699,Clientes!$B$4:$B$39,Clientes!$C$4:$C$39),Cadastros!$L$6:$L$12,Cadastros!$N$6:$N$12)))</f>
        <v/>
      </c>
      <c r="Z699" s="168" t="str">
        <f t="shared" si="134"/>
        <v/>
      </c>
      <c r="AA699" s="168" t="str">
        <f>IFERROR(Z699/_xlfn.XLOOKUP(_xlfn.XLOOKUP($F699,Clientes!$B$4:$B$39,Clientes!$C$4:$C$39),Cadastros!$L$6:$L$12,Cadastros!$M$6:$M$12)," ")</f>
        <v xml:space="preserve"> </v>
      </c>
      <c r="AB699" s="28"/>
      <c r="AC699" s="28"/>
      <c r="AD699" s="20" t="str">
        <f>IF(AB699="","",IF($F699="Bernardino Furlan",_xlfn.XLOOKUP(AB699,Cadastros!$G$6:$G$90,Cadastros!$H$6:$H$90)*(1-0.18),IF($F699="Mauro José Salanti",_xlfn.XLOOKUP(AB699,Cadastros!$G$6:$G$90,Cadastros!$H$6:$H$90)*(1-0.18),_xlfn.XLOOKUP(AB699,Cadastros!$G$6:$G$90,Cadastros!$H$6:$H$90))))</f>
        <v/>
      </c>
      <c r="AE699" s="168" t="str">
        <f t="shared" si="135"/>
        <v/>
      </c>
      <c r="AF699" s="168" t="str">
        <f t="shared" si="136"/>
        <v/>
      </c>
      <c r="AG699" s="28"/>
      <c r="AH699" s="28"/>
      <c r="AI699" s="20" t="str">
        <f>IF(AG699="","",IF($F699="Bernardino Furlan",_xlfn.XLOOKUP(AG699,Cadastros!$G$6:$G$90,Cadastros!$H$6:$H$90)*(1-0.18),IF($F699="Mauro José Salanti",_xlfn.XLOOKUP(AG699,Cadastros!$G$6:$G$90,Cadastros!$H$6:$H$90)*(1-0.18),_xlfn.XLOOKUP(AG699,Cadastros!$G$6:$G$90,Cadastros!$H$6:$H$90))))</f>
        <v/>
      </c>
      <c r="AJ699" s="168" t="str">
        <f t="shared" si="137"/>
        <v/>
      </c>
      <c r="AK699" s="168" t="str">
        <f t="shared" si="138"/>
        <v/>
      </c>
      <c r="AL699" s="28"/>
      <c r="AM699" s="28"/>
      <c r="AN699" s="20" t="str">
        <f>IF(AL699="","",IF($F699="Bernardino Furlan",_xlfn.XLOOKUP(AL699,Cadastros!$G$6:$G$90,Cadastros!$H$6:$H$90)*(1-0.18),IF($F699="Mauro José Salanti",_xlfn.XLOOKUP(AL699,Cadastros!$G$6:$G$90,Cadastros!$H$6:$H$90)*(1-0.18),_xlfn.XLOOKUP(AL699,Cadastros!$G$6:$G$90,Cadastros!$H$6:$H$90))))</f>
        <v/>
      </c>
      <c r="AO699" s="168" t="str">
        <f t="shared" si="139"/>
        <v/>
      </c>
      <c r="AP699" s="168" t="str">
        <f t="shared" si="140"/>
        <v/>
      </c>
      <c r="AQ699" s="28"/>
      <c r="AR699" s="28"/>
      <c r="AS699" s="20" t="str">
        <f>IF(AQ699="","",IF($F699="Bernardino Furlan",_xlfn.XLOOKUP(AQ699,Cadastros!$G$6:$G$90,Cadastros!$H$6:$H$90)*(1-0.18),IF($F699="Mauro José Salanti",_xlfn.XLOOKUP(AQ699,Cadastros!$G$6:$G$90,Cadastros!$H$6:$H$90)*(1-0.18),_xlfn.XLOOKUP(AQ699,Cadastros!$G$6:$G$90,Cadastros!$H$6:$H$90))))</f>
        <v/>
      </c>
      <c r="AT699" s="168" t="str">
        <f t="shared" si="141"/>
        <v/>
      </c>
      <c r="AU699" s="168" t="str">
        <f t="shared" si="142"/>
        <v/>
      </c>
      <c r="AV699" s="227"/>
      <c r="AW699" s="30"/>
      <c r="AX699" s="267"/>
      <c r="AY699" s="267"/>
      <c r="AZ699" s="29"/>
      <c r="BA699" s="30"/>
      <c r="BB699" s="23" t="str" cm="1">
        <f t="array" ref="BB699">_xlfn.IFS(AW699="SIM",SUM(K699,P699,U699,Z699,AE699,AJ699,AO699,AT699,AX699,AY699),F699&lt;&gt;"",SUM(K699,P699,U699,Z699,AE699,AJ699,,AO699,AT699),F699="","")</f>
        <v/>
      </c>
      <c r="BC699" s="211" t="str" cm="1">
        <f t="array" ref="BC699">_xlfn.IFS(E699="","",G699&lt;=E699,BB699*(1-0.03),G699&lt;(E699+8),BB699,AZ699="Boleto",BB699*(1+0.001)^DATEDIF(E699,G699,"D"),AZ699="Cheque",BB699,AZ699="Dinheiro","Alterar forma pgto")</f>
        <v/>
      </c>
      <c r="BD699" s="276" t="str" cm="1">
        <f t="array" ref="BD699">IF(F699=0," ",IF(BC699&lt;BB699,(_xlfn.IFS(AW699="SIM",SUM(L699,Q699,V699,AA699,AF699,AK699,AP699,AU699)+AX699/_xlfn.XLOOKUP(_xlfn.XLOOKUP($F699,Clientes!$B$4:$B$39,Clientes!$C$4:$C$39),Cadastros!$L$6:$L$12,Cadastros!$M$6:$M$12)+IF($F699="Bernardino Furlan",AY699/2751.92,IF($F699="Mauro José Salanti",AY699/2751.92,AY699/3356)),F699&lt;&gt;0,SUM(L699,Q699,V699,AA699,AF699,AK699,AP699,AU699)))*(1-0.03),_xlfn.IFS(AW699="SIM",SUM(L699,Q699,V699,AA699,AF699,AK699,AP699,AU699)+AX699/_xlfn.XLOOKUP(_xlfn.XLOOKUP($F699,Clientes!$B$4:$B$39,Clientes!$C$4:$C$39),Cadastros!$L$6:$L$12,Cadastros!$M$6:$M$12)+IF($F699="Bernardino Furlan",AY699/2751.92,IF($F699="Mauro José Salanti",AY699/2751.92,AY699/3356)),F699&lt;&gt;0,SUM(L699,Q699,V699,AA699,AF699,AK699,AP699,AU699))))</f>
        <v xml:space="preserve"> </v>
      </c>
      <c r="BE699" s="120"/>
      <c r="BF699" s="120"/>
      <c r="BG699" s="120"/>
    </row>
    <row r="700" spans="1:59" s="3" customFormat="1" x14ac:dyDescent="0.3">
      <c r="A700" s="15" t="str">
        <f t="shared" si="130"/>
        <v/>
      </c>
      <c r="B700" s="25"/>
      <c r="C700" s="26"/>
      <c r="D700" s="279"/>
      <c r="E700" s="27"/>
      <c r="F700" s="28"/>
      <c r="G700" s="27"/>
      <c r="H700" s="28"/>
      <c r="I700" s="28"/>
      <c r="J700" s="255" t="str">
        <f>IF(H700="","",(_xlfn.XLOOKUP(H700,Cadastros!$D$6:$D$90,Cadastros!$E$6:$E$90))*(1-_xlfn.XLOOKUP(_xlfn.XLOOKUP($F700,Clientes!$B$4:$B$39,Clientes!$C$4:$C$39),Cadastros!$L$6:$L$12,Cadastros!$N$6:$N$12)))</f>
        <v/>
      </c>
      <c r="K700" s="168" t="str">
        <f t="shared" si="131"/>
        <v/>
      </c>
      <c r="L700" s="168" t="str">
        <f>IFERROR(K700/_xlfn.XLOOKUP(_xlfn.XLOOKUP($F700,Clientes!$B$4:$B$39,Clientes!$C$4:$C$39),Cadastros!$L$6:$L$12,Cadastros!$M$6:$M$12)," ")</f>
        <v xml:space="preserve"> </v>
      </c>
      <c r="M700" s="28"/>
      <c r="N700" s="28"/>
      <c r="O700" s="255" t="str">
        <f>IF(M700="","",(_xlfn.XLOOKUP(M700,Cadastros!$D$6:$D$90,Cadastros!$E$6:$E$90))*(1-_xlfn.XLOOKUP(_xlfn.XLOOKUP($F700,Clientes!$B$4:$B$39,Clientes!$C$4:$C$39),Cadastros!$L$6:$L$12,Cadastros!$N$6:$N$12)))</f>
        <v/>
      </c>
      <c r="P700" s="168" t="str">
        <f t="shared" si="132"/>
        <v/>
      </c>
      <c r="Q700" s="168" t="str">
        <f>IFERROR(P700/_xlfn.XLOOKUP(_xlfn.XLOOKUP($F700,Clientes!$B$4:$B$39,Clientes!$C$4:$C$39),Cadastros!$L$6:$L$12,Cadastros!$M$6:$M$12)," ")</f>
        <v xml:space="preserve"> </v>
      </c>
      <c r="R700" s="28"/>
      <c r="S700" s="28"/>
      <c r="T700" s="255" t="str">
        <f>IF(R700="","",(_xlfn.XLOOKUP(R700,Cadastros!$D$6:$D$90,Cadastros!$E$6:$E$90))*(1-_xlfn.XLOOKUP(_xlfn.XLOOKUP($F700,Clientes!$B$4:$B$39,Clientes!$C$4:$C$39),Cadastros!$L$6:$L$12,Cadastros!$N$6:$N$12)))</f>
        <v/>
      </c>
      <c r="U700" s="168" t="str">
        <f t="shared" si="133"/>
        <v/>
      </c>
      <c r="V700" s="168" t="str">
        <f>IFERROR(U700/_xlfn.XLOOKUP(_xlfn.XLOOKUP($F700,Clientes!$B$4:$B$39,Clientes!$C$4:$C$39),Cadastros!$L$6:$L$12,Cadastros!$M$6:$M$12)," ")</f>
        <v xml:space="preserve"> </v>
      </c>
      <c r="W700" s="28"/>
      <c r="X700" s="28"/>
      <c r="Y700" s="255" t="str">
        <f>IF(W700="","",(_xlfn.XLOOKUP(W700,Cadastros!$D$6:$D$90,Cadastros!$E$6:$E$90))*(1-_xlfn.XLOOKUP(_xlfn.XLOOKUP($F700,Clientes!$B$4:$B$39,Clientes!$C$4:$C$39),Cadastros!$L$6:$L$12,Cadastros!$N$6:$N$12)))</f>
        <v/>
      </c>
      <c r="Z700" s="168" t="str">
        <f t="shared" si="134"/>
        <v/>
      </c>
      <c r="AA700" s="168" t="str">
        <f>IFERROR(Z700/_xlfn.XLOOKUP(_xlfn.XLOOKUP($F700,Clientes!$B$4:$B$39,Clientes!$C$4:$C$39),Cadastros!$L$6:$L$12,Cadastros!$M$6:$M$12)," ")</f>
        <v xml:space="preserve"> </v>
      </c>
      <c r="AB700" s="28"/>
      <c r="AC700" s="28"/>
      <c r="AD700" s="20" t="str">
        <f>IF(AB700="","",IF($F700="Bernardino Furlan",_xlfn.XLOOKUP(AB700,Cadastros!$G$6:$G$90,Cadastros!$H$6:$H$90)*(1-0.18),IF($F700="Mauro José Salanti",_xlfn.XLOOKUP(AB700,Cadastros!$G$6:$G$90,Cadastros!$H$6:$H$90)*(1-0.18),_xlfn.XLOOKUP(AB700,Cadastros!$G$6:$G$90,Cadastros!$H$6:$H$90))))</f>
        <v/>
      </c>
      <c r="AE700" s="168" t="str">
        <f t="shared" si="135"/>
        <v/>
      </c>
      <c r="AF700" s="168" t="str">
        <f t="shared" si="136"/>
        <v/>
      </c>
      <c r="AG700" s="28"/>
      <c r="AH700" s="28"/>
      <c r="AI700" s="20" t="str">
        <f>IF(AG700="","",IF($F700="Bernardino Furlan",_xlfn.XLOOKUP(AG700,Cadastros!$G$6:$G$90,Cadastros!$H$6:$H$90)*(1-0.18),IF($F700="Mauro José Salanti",_xlfn.XLOOKUP(AG700,Cadastros!$G$6:$G$90,Cadastros!$H$6:$H$90)*(1-0.18),_xlfn.XLOOKUP(AG700,Cadastros!$G$6:$G$90,Cadastros!$H$6:$H$90))))</f>
        <v/>
      </c>
      <c r="AJ700" s="168" t="str">
        <f t="shared" si="137"/>
        <v/>
      </c>
      <c r="AK700" s="168" t="str">
        <f t="shared" si="138"/>
        <v/>
      </c>
      <c r="AL700" s="28"/>
      <c r="AM700" s="28"/>
      <c r="AN700" s="20" t="str">
        <f>IF(AL700="","",IF($F700="Bernardino Furlan",_xlfn.XLOOKUP(AL700,Cadastros!$G$6:$G$90,Cadastros!$H$6:$H$90)*(1-0.18),IF($F700="Mauro José Salanti",_xlfn.XLOOKUP(AL700,Cadastros!$G$6:$G$90,Cadastros!$H$6:$H$90)*(1-0.18),_xlfn.XLOOKUP(AL700,Cadastros!$G$6:$G$90,Cadastros!$H$6:$H$90))))</f>
        <v/>
      </c>
      <c r="AO700" s="168" t="str">
        <f t="shared" si="139"/>
        <v/>
      </c>
      <c r="AP700" s="168" t="str">
        <f t="shared" si="140"/>
        <v/>
      </c>
      <c r="AQ700" s="28"/>
      <c r="AR700" s="28"/>
      <c r="AS700" s="20" t="str">
        <f>IF(AQ700="","",IF($F700="Bernardino Furlan",_xlfn.XLOOKUP(AQ700,Cadastros!$G$6:$G$90,Cadastros!$H$6:$H$90)*(1-0.18),IF($F700="Mauro José Salanti",_xlfn.XLOOKUP(AQ700,Cadastros!$G$6:$G$90,Cadastros!$H$6:$H$90)*(1-0.18),_xlfn.XLOOKUP(AQ700,Cadastros!$G$6:$G$90,Cadastros!$H$6:$H$90))))</f>
        <v/>
      </c>
      <c r="AT700" s="168" t="str">
        <f t="shared" si="141"/>
        <v/>
      </c>
      <c r="AU700" s="168" t="str">
        <f t="shared" si="142"/>
        <v/>
      </c>
      <c r="AV700" s="227"/>
      <c r="AW700" s="30"/>
      <c r="AX700" s="267"/>
      <c r="AY700" s="267"/>
      <c r="AZ700" s="29"/>
      <c r="BA700" s="30"/>
      <c r="BB700" s="23" t="str" cm="1">
        <f t="array" ref="BB700">_xlfn.IFS(AW700="SIM",SUM(K700,P700,U700,Z700,AE700,AJ700,AO700,AT700,AX700,AY700),F700&lt;&gt;"",SUM(K700,P700,U700,Z700,AE700,AJ700,,AO700,AT700),F700="","")</f>
        <v/>
      </c>
      <c r="BC700" s="211" t="str" cm="1">
        <f t="array" ref="BC700">_xlfn.IFS(E700="","",G700&lt;=E700,BB700*(1-0.03),G700&lt;(E700+8),BB700,AZ700="Boleto",BB700*(1+0.001)^DATEDIF(E700,G700,"D"),AZ700="Cheque",BB700,AZ700="Dinheiro","Alterar forma pgto")</f>
        <v/>
      </c>
      <c r="BD700" s="276" t="str" cm="1">
        <f t="array" ref="BD700">IF(F700=0," ",IF(BC700&lt;BB700,(_xlfn.IFS(AW700="SIM",SUM(L700,Q700,V700,AA700,AF700,AK700,AP700,AU700)+AX700/_xlfn.XLOOKUP(_xlfn.XLOOKUP($F700,Clientes!$B$4:$B$39,Clientes!$C$4:$C$39),Cadastros!$L$6:$L$12,Cadastros!$M$6:$M$12)+IF($F700="Bernardino Furlan",AY700/2751.92,IF($F700="Mauro José Salanti",AY700/2751.92,AY700/3356)),F700&lt;&gt;0,SUM(L700,Q700,V700,AA700,AF700,AK700,AP700,AU700)))*(1-0.03),_xlfn.IFS(AW700="SIM",SUM(L700,Q700,V700,AA700,AF700,AK700,AP700,AU700)+AX700/_xlfn.XLOOKUP(_xlfn.XLOOKUP($F700,Clientes!$B$4:$B$39,Clientes!$C$4:$C$39),Cadastros!$L$6:$L$12,Cadastros!$M$6:$M$12)+IF($F700="Bernardino Furlan",AY700/2751.92,IF($F700="Mauro José Salanti",AY700/2751.92,AY700/3356)),F700&lt;&gt;0,SUM(L700,Q700,V700,AA700,AF700,AK700,AP700,AU700))))</f>
        <v xml:space="preserve"> </v>
      </c>
      <c r="BE700" s="120"/>
      <c r="BF700" s="120"/>
      <c r="BG700" s="120"/>
    </row>
    <row r="701" spans="1:59" s="3" customFormat="1" x14ac:dyDescent="0.3">
      <c r="A701" s="15" t="str">
        <f t="shared" si="130"/>
        <v/>
      </c>
      <c r="B701" s="25"/>
      <c r="C701" s="26"/>
      <c r="D701" s="279"/>
      <c r="E701" s="27"/>
      <c r="F701" s="28"/>
      <c r="G701" s="27"/>
      <c r="H701" s="28"/>
      <c r="I701" s="28"/>
      <c r="J701" s="255" t="str">
        <f>IF(H701="","",(_xlfn.XLOOKUP(H701,Cadastros!$D$6:$D$90,Cadastros!$E$6:$E$90))*(1-_xlfn.XLOOKUP(_xlfn.XLOOKUP($F701,Clientes!$B$4:$B$39,Clientes!$C$4:$C$39),Cadastros!$L$6:$L$12,Cadastros!$N$6:$N$12)))</f>
        <v/>
      </c>
      <c r="K701" s="168" t="str">
        <f t="shared" si="131"/>
        <v/>
      </c>
      <c r="L701" s="168" t="str">
        <f>IFERROR(K701/_xlfn.XLOOKUP(_xlfn.XLOOKUP($F701,Clientes!$B$4:$B$39,Clientes!$C$4:$C$39),Cadastros!$L$6:$L$12,Cadastros!$M$6:$M$12)," ")</f>
        <v xml:space="preserve"> </v>
      </c>
      <c r="M701" s="28"/>
      <c r="N701" s="28"/>
      <c r="O701" s="255" t="str">
        <f>IF(M701="","",(_xlfn.XLOOKUP(M701,Cadastros!$D$6:$D$90,Cadastros!$E$6:$E$90))*(1-_xlfn.XLOOKUP(_xlfn.XLOOKUP($F701,Clientes!$B$4:$B$39,Clientes!$C$4:$C$39),Cadastros!$L$6:$L$12,Cadastros!$N$6:$N$12)))</f>
        <v/>
      </c>
      <c r="P701" s="168" t="str">
        <f t="shared" si="132"/>
        <v/>
      </c>
      <c r="Q701" s="168" t="str">
        <f>IFERROR(P701/_xlfn.XLOOKUP(_xlfn.XLOOKUP($F701,Clientes!$B$4:$B$39,Clientes!$C$4:$C$39),Cadastros!$L$6:$L$12,Cadastros!$M$6:$M$12)," ")</f>
        <v xml:space="preserve"> </v>
      </c>
      <c r="R701" s="28"/>
      <c r="S701" s="28"/>
      <c r="T701" s="255" t="str">
        <f>IF(R701="","",(_xlfn.XLOOKUP(R701,Cadastros!$D$6:$D$90,Cadastros!$E$6:$E$90))*(1-_xlfn.XLOOKUP(_xlfn.XLOOKUP($F701,Clientes!$B$4:$B$39,Clientes!$C$4:$C$39),Cadastros!$L$6:$L$12,Cadastros!$N$6:$N$12)))</f>
        <v/>
      </c>
      <c r="U701" s="168" t="str">
        <f t="shared" si="133"/>
        <v/>
      </c>
      <c r="V701" s="168" t="str">
        <f>IFERROR(U701/_xlfn.XLOOKUP(_xlfn.XLOOKUP($F701,Clientes!$B$4:$B$39,Clientes!$C$4:$C$39),Cadastros!$L$6:$L$12,Cadastros!$M$6:$M$12)," ")</f>
        <v xml:space="preserve"> </v>
      </c>
      <c r="W701" s="28"/>
      <c r="X701" s="28"/>
      <c r="Y701" s="255" t="str">
        <f>IF(W701="","",(_xlfn.XLOOKUP(W701,Cadastros!$D$6:$D$90,Cadastros!$E$6:$E$90))*(1-_xlfn.XLOOKUP(_xlfn.XLOOKUP($F701,Clientes!$B$4:$B$39,Clientes!$C$4:$C$39),Cadastros!$L$6:$L$12,Cadastros!$N$6:$N$12)))</f>
        <v/>
      </c>
      <c r="Z701" s="168" t="str">
        <f t="shared" si="134"/>
        <v/>
      </c>
      <c r="AA701" s="168" t="str">
        <f>IFERROR(Z701/_xlfn.XLOOKUP(_xlfn.XLOOKUP($F701,Clientes!$B$4:$B$39,Clientes!$C$4:$C$39),Cadastros!$L$6:$L$12,Cadastros!$M$6:$M$12)," ")</f>
        <v xml:space="preserve"> </v>
      </c>
      <c r="AB701" s="28"/>
      <c r="AC701" s="28"/>
      <c r="AD701" s="20" t="str">
        <f>IF(AB701="","",IF($F701="Bernardino Furlan",_xlfn.XLOOKUP(AB701,Cadastros!$G$6:$G$90,Cadastros!$H$6:$H$90)*(1-0.18),IF($F701="Mauro José Salanti",_xlfn.XLOOKUP(AB701,Cadastros!$G$6:$G$90,Cadastros!$H$6:$H$90)*(1-0.18),_xlfn.XLOOKUP(AB701,Cadastros!$G$6:$G$90,Cadastros!$H$6:$H$90))))</f>
        <v/>
      </c>
      <c r="AE701" s="168" t="str">
        <f t="shared" si="135"/>
        <v/>
      </c>
      <c r="AF701" s="168" t="str">
        <f t="shared" si="136"/>
        <v/>
      </c>
      <c r="AG701" s="28"/>
      <c r="AH701" s="28"/>
      <c r="AI701" s="20" t="str">
        <f>IF(AG701="","",IF($F701="Bernardino Furlan",_xlfn.XLOOKUP(AG701,Cadastros!$G$6:$G$90,Cadastros!$H$6:$H$90)*(1-0.18),IF($F701="Mauro José Salanti",_xlfn.XLOOKUP(AG701,Cadastros!$G$6:$G$90,Cadastros!$H$6:$H$90)*(1-0.18),_xlfn.XLOOKUP(AG701,Cadastros!$G$6:$G$90,Cadastros!$H$6:$H$90))))</f>
        <v/>
      </c>
      <c r="AJ701" s="168" t="str">
        <f t="shared" si="137"/>
        <v/>
      </c>
      <c r="AK701" s="168" t="str">
        <f t="shared" si="138"/>
        <v/>
      </c>
      <c r="AL701" s="28"/>
      <c r="AM701" s="28"/>
      <c r="AN701" s="20" t="str">
        <f>IF(AL701="","",IF($F701="Bernardino Furlan",_xlfn.XLOOKUP(AL701,Cadastros!$G$6:$G$90,Cadastros!$H$6:$H$90)*(1-0.18),IF($F701="Mauro José Salanti",_xlfn.XLOOKUP(AL701,Cadastros!$G$6:$G$90,Cadastros!$H$6:$H$90)*(1-0.18),_xlfn.XLOOKUP(AL701,Cadastros!$G$6:$G$90,Cadastros!$H$6:$H$90))))</f>
        <v/>
      </c>
      <c r="AO701" s="168" t="str">
        <f t="shared" si="139"/>
        <v/>
      </c>
      <c r="AP701" s="168" t="str">
        <f t="shared" si="140"/>
        <v/>
      </c>
      <c r="AQ701" s="28"/>
      <c r="AR701" s="28"/>
      <c r="AS701" s="20" t="str">
        <f>IF(AQ701="","",IF($F701="Bernardino Furlan",_xlfn.XLOOKUP(AQ701,Cadastros!$G$6:$G$90,Cadastros!$H$6:$H$90)*(1-0.18),IF($F701="Mauro José Salanti",_xlfn.XLOOKUP(AQ701,Cadastros!$G$6:$G$90,Cadastros!$H$6:$H$90)*(1-0.18),_xlfn.XLOOKUP(AQ701,Cadastros!$G$6:$G$90,Cadastros!$H$6:$H$90))))</f>
        <v/>
      </c>
      <c r="AT701" s="168" t="str">
        <f t="shared" si="141"/>
        <v/>
      </c>
      <c r="AU701" s="168" t="str">
        <f t="shared" si="142"/>
        <v/>
      </c>
      <c r="AV701" s="227"/>
      <c r="AW701" s="30"/>
      <c r="AX701" s="267"/>
      <c r="AY701" s="267"/>
      <c r="AZ701" s="29"/>
      <c r="BA701" s="30"/>
      <c r="BB701" s="23" t="str" cm="1">
        <f t="array" ref="BB701">_xlfn.IFS(AW701="SIM",SUM(K701,P701,U701,Z701,AE701,AJ701,AO701,AT701,AX701,AY701),F701&lt;&gt;"",SUM(K701,P701,U701,Z701,AE701,AJ701,,AO701,AT701),F701="","")</f>
        <v/>
      </c>
      <c r="BC701" s="211" t="str" cm="1">
        <f t="array" ref="BC701">_xlfn.IFS(E701="","",G701&lt;=E701,BB701*(1-0.03),G701&lt;(E701+8),BB701,AZ701="Boleto",BB701*(1+0.001)^DATEDIF(E701,G701,"D"),AZ701="Cheque",BB701,AZ701="Dinheiro","Alterar forma pgto")</f>
        <v/>
      </c>
      <c r="BD701" s="276" t="str" cm="1">
        <f t="array" ref="BD701">IF(F701=0," ",IF(BC701&lt;BB701,(_xlfn.IFS(AW701="SIM",SUM(L701,Q701,V701,AA701,AF701,AK701,AP701,AU701)+AX701/_xlfn.XLOOKUP(_xlfn.XLOOKUP($F701,Clientes!$B$4:$B$39,Clientes!$C$4:$C$39),Cadastros!$L$6:$L$12,Cadastros!$M$6:$M$12)+IF($F701="Bernardino Furlan",AY701/2751.92,IF($F701="Mauro José Salanti",AY701/2751.92,AY701/3356)),F701&lt;&gt;0,SUM(L701,Q701,V701,AA701,AF701,AK701,AP701,AU701)))*(1-0.03),_xlfn.IFS(AW701="SIM",SUM(L701,Q701,V701,AA701,AF701,AK701,AP701,AU701)+AX701/_xlfn.XLOOKUP(_xlfn.XLOOKUP($F701,Clientes!$B$4:$B$39,Clientes!$C$4:$C$39),Cadastros!$L$6:$L$12,Cadastros!$M$6:$M$12)+IF($F701="Bernardino Furlan",AY701/2751.92,IF($F701="Mauro José Salanti",AY701/2751.92,AY701/3356)),F701&lt;&gt;0,SUM(L701,Q701,V701,AA701,AF701,AK701,AP701,AU701))))</f>
        <v xml:space="preserve"> </v>
      </c>
      <c r="BE701" s="120"/>
      <c r="BF701" s="120"/>
      <c r="BG701" s="120"/>
    </row>
    <row r="702" spans="1:59" s="3" customFormat="1" x14ac:dyDescent="0.3">
      <c r="A702" s="15" t="str">
        <f t="shared" si="130"/>
        <v/>
      </c>
      <c r="B702" s="25"/>
      <c r="C702" s="26"/>
      <c r="D702" s="279"/>
      <c r="E702" s="27"/>
      <c r="F702" s="28"/>
      <c r="G702" s="27"/>
      <c r="H702" s="28"/>
      <c r="I702" s="28"/>
      <c r="J702" s="255" t="str">
        <f>IF(H702="","",(_xlfn.XLOOKUP(H702,Cadastros!$D$6:$D$90,Cadastros!$E$6:$E$90))*(1-_xlfn.XLOOKUP(_xlfn.XLOOKUP($F702,Clientes!$B$4:$B$39,Clientes!$C$4:$C$39),Cadastros!$L$6:$L$12,Cadastros!$N$6:$N$12)))</f>
        <v/>
      </c>
      <c r="K702" s="168" t="str">
        <f t="shared" si="131"/>
        <v/>
      </c>
      <c r="L702" s="168" t="str">
        <f>IFERROR(K702/_xlfn.XLOOKUP(_xlfn.XLOOKUP($F702,Clientes!$B$4:$B$39,Clientes!$C$4:$C$39),Cadastros!$L$6:$L$12,Cadastros!$M$6:$M$12)," ")</f>
        <v xml:space="preserve"> </v>
      </c>
      <c r="M702" s="28"/>
      <c r="N702" s="28"/>
      <c r="O702" s="255" t="str">
        <f>IF(M702="","",(_xlfn.XLOOKUP(M702,Cadastros!$D$6:$D$90,Cadastros!$E$6:$E$90))*(1-_xlfn.XLOOKUP(_xlfn.XLOOKUP($F702,Clientes!$B$4:$B$39,Clientes!$C$4:$C$39),Cadastros!$L$6:$L$12,Cadastros!$N$6:$N$12)))</f>
        <v/>
      </c>
      <c r="P702" s="168" t="str">
        <f t="shared" si="132"/>
        <v/>
      </c>
      <c r="Q702" s="168" t="str">
        <f>IFERROR(P702/_xlfn.XLOOKUP(_xlfn.XLOOKUP($F702,Clientes!$B$4:$B$39,Clientes!$C$4:$C$39),Cadastros!$L$6:$L$12,Cadastros!$M$6:$M$12)," ")</f>
        <v xml:space="preserve"> </v>
      </c>
      <c r="R702" s="28"/>
      <c r="S702" s="28"/>
      <c r="T702" s="255" t="str">
        <f>IF(R702="","",(_xlfn.XLOOKUP(R702,Cadastros!$D$6:$D$90,Cadastros!$E$6:$E$90))*(1-_xlfn.XLOOKUP(_xlfn.XLOOKUP($F702,Clientes!$B$4:$B$39,Clientes!$C$4:$C$39),Cadastros!$L$6:$L$12,Cadastros!$N$6:$N$12)))</f>
        <v/>
      </c>
      <c r="U702" s="168" t="str">
        <f t="shared" si="133"/>
        <v/>
      </c>
      <c r="V702" s="168" t="str">
        <f>IFERROR(U702/_xlfn.XLOOKUP(_xlfn.XLOOKUP($F702,Clientes!$B$4:$B$39,Clientes!$C$4:$C$39),Cadastros!$L$6:$L$12,Cadastros!$M$6:$M$12)," ")</f>
        <v xml:space="preserve"> </v>
      </c>
      <c r="W702" s="28"/>
      <c r="X702" s="28"/>
      <c r="Y702" s="255" t="str">
        <f>IF(W702="","",(_xlfn.XLOOKUP(W702,Cadastros!$D$6:$D$90,Cadastros!$E$6:$E$90))*(1-_xlfn.XLOOKUP(_xlfn.XLOOKUP($F702,Clientes!$B$4:$B$39,Clientes!$C$4:$C$39),Cadastros!$L$6:$L$12,Cadastros!$N$6:$N$12)))</f>
        <v/>
      </c>
      <c r="Z702" s="168" t="str">
        <f t="shared" si="134"/>
        <v/>
      </c>
      <c r="AA702" s="168" t="str">
        <f>IFERROR(Z702/_xlfn.XLOOKUP(_xlfn.XLOOKUP($F702,Clientes!$B$4:$B$39,Clientes!$C$4:$C$39),Cadastros!$L$6:$L$12,Cadastros!$M$6:$M$12)," ")</f>
        <v xml:space="preserve"> </v>
      </c>
      <c r="AB702" s="28"/>
      <c r="AC702" s="28"/>
      <c r="AD702" s="20" t="str">
        <f>IF(AB702="","",IF($F702="Bernardino Furlan",_xlfn.XLOOKUP(AB702,Cadastros!$G$6:$G$90,Cadastros!$H$6:$H$90)*(1-0.18),IF($F702="Mauro José Salanti",_xlfn.XLOOKUP(AB702,Cadastros!$G$6:$G$90,Cadastros!$H$6:$H$90)*(1-0.18),_xlfn.XLOOKUP(AB702,Cadastros!$G$6:$G$90,Cadastros!$H$6:$H$90))))</f>
        <v/>
      </c>
      <c r="AE702" s="168" t="str">
        <f t="shared" si="135"/>
        <v/>
      </c>
      <c r="AF702" s="168" t="str">
        <f t="shared" si="136"/>
        <v/>
      </c>
      <c r="AG702" s="28"/>
      <c r="AH702" s="28"/>
      <c r="AI702" s="20" t="str">
        <f>IF(AG702="","",IF($F702="Bernardino Furlan",_xlfn.XLOOKUP(AG702,Cadastros!$G$6:$G$90,Cadastros!$H$6:$H$90)*(1-0.18),IF($F702="Mauro José Salanti",_xlfn.XLOOKUP(AG702,Cadastros!$G$6:$G$90,Cadastros!$H$6:$H$90)*(1-0.18),_xlfn.XLOOKUP(AG702,Cadastros!$G$6:$G$90,Cadastros!$H$6:$H$90))))</f>
        <v/>
      </c>
      <c r="AJ702" s="168" t="str">
        <f t="shared" si="137"/>
        <v/>
      </c>
      <c r="AK702" s="168" t="str">
        <f t="shared" si="138"/>
        <v/>
      </c>
      <c r="AL702" s="28"/>
      <c r="AM702" s="28"/>
      <c r="AN702" s="20" t="str">
        <f>IF(AL702="","",IF($F702="Bernardino Furlan",_xlfn.XLOOKUP(AL702,Cadastros!$G$6:$G$90,Cadastros!$H$6:$H$90)*(1-0.18),IF($F702="Mauro José Salanti",_xlfn.XLOOKUP(AL702,Cadastros!$G$6:$G$90,Cadastros!$H$6:$H$90)*(1-0.18),_xlfn.XLOOKUP(AL702,Cadastros!$G$6:$G$90,Cadastros!$H$6:$H$90))))</f>
        <v/>
      </c>
      <c r="AO702" s="168" t="str">
        <f t="shared" si="139"/>
        <v/>
      </c>
      <c r="AP702" s="168" t="str">
        <f t="shared" si="140"/>
        <v/>
      </c>
      <c r="AQ702" s="28"/>
      <c r="AR702" s="28"/>
      <c r="AS702" s="20" t="str">
        <f>IF(AQ702="","",IF($F702="Bernardino Furlan",_xlfn.XLOOKUP(AQ702,Cadastros!$G$6:$G$90,Cadastros!$H$6:$H$90)*(1-0.18),IF($F702="Mauro José Salanti",_xlfn.XLOOKUP(AQ702,Cadastros!$G$6:$G$90,Cadastros!$H$6:$H$90)*(1-0.18),_xlfn.XLOOKUP(AQ702,Cadastros!$G$6:$G$90,Cadastros!$H$6:$H$90))))</f>
        <v/>
      </c>
      <c r="AT702" s="168" t="str">
        <f t="shared" si="141"/>
        <v/>
      </c>
      <c r="AU702" s="168" t="str">
        <f t="shared" si="142"/>
        <v/>
      </c>
      <c r="AV702" s="227"/>
      <c r="AW702" s="30"/>
      <c r="AX702" s="267"/>
      <c r="AY702" s="267"/>
      <c r="AZ702" s="29"/>
      <c r="BA702" s="30"/>
      <c r="BB702" s="23" t="str" cm="1">
        <f t="array" ref="BB702">_xlfn.IFS(AW702="SIM",SUM(K702,P702,U702,Z702,AE702,AJ702,AO702,AT702,AX702,AY702),F702&lt;&gt;"",SUM(K702,P702,U702,Z702,AE702,AJ702,,AO702,AT702),F702="","")</f>
        <v/>
      </c>
      <c r="BC702" s="211" t="str" cm="1">
        <f t="array" ref="BC702">_xlfn.IFS(E702="","",G702&lt;=E702,BB702*(1-0.03),G702&lt;(E702+8),BB702,AZ702="Boleto",BB702*(1+0.001)^DATEDIF(E702,G702,"D"),AZ702="Cheque",BB702,AZ702="Dinheiro","Alterar forma pgto")</f>
        <v/>
      </c>
      <c r="BD702" s="276" t="str" cm="1">
        <f t="array" ref="BD702">IF(F702=0," ",IF(BC702&lt;BB702,(_xlfn.IFS(AW702="SIM",SUM(L702,Q702,V702,AA702,AF702,AK702,AP702,AU702)+AX702/_xlfn.XLOOKUP(_xlfn.XLOOKUP($F702,Clientes!$B$4:$B$39,Clientes!$C$4:$C$39),Cadastros!$L$6:$L$12,Cadastros!$M$6:$M$12)+IF($F702="Bernardino Furlan",AY702/2751.92,IF($F702="Mauro José Salanti",AY702/2751.92,AY702/3356)),F702&lt;&gt;0,SUM(L702,Q702,V702,AA702,AF702,AK702,AP702,AU702)))*(1-0.03),_xlfn.IFS(AW702="SIM",SUM(L702,Q702,V702,AA702,AF702,AK702,AP702,AU702)+AX702/_xlfn.XLOOKUP(_xlfn.XLOOKUP($F702,Clientes!$B$4:$B$39,Clientes!$C$4:$C$39),Cadastros!$L$6:$L$12,Cadastros!$M$6:$M$12)+IF($F702="Bernardino Furlan",AY702/2751.92,IF($F702="Mauro José Salanti",AY702/2751.92,AY702/3356)),F702&lt;&gt;0,SUM(L702,Q702,V702,AA702,AF702,AK702,AP702,AU702))))</f>
        <v xml:space="preserve"> </v>
      </c>
      <c r="BE702" s="120"/>
      <c r="BF702" s="120"/>
      <c r="BG702" s="120"/>
    </row>
    <row r="703" spans="1:59" s="3" customFormat="1" x14ac:dyDescent="0.3">
      <c r="A703" s="15" t="str">
        <f t="shared" si="130"/>
        <v/>
      </c>
      <c r="B703" s="25"/>
      <c r="C703" s="26"/>
      <c r="D703" s="279"/>
      <c r="E703" s="27"/>
      <c r="F703" s="28"/>
      <c r="G703" s="27"/>
      <c r="H703" s="28"/>
      <c r="I703" s="28"/>
      <c r="J703" s="255" t="str">
        <f>IF(H703="","",(_xlfn.XLOOKUP(H703,Cadastros!$D$6:$D$90,Cadastros!$E$6:$E$90))*(1-_xlfn.XLOOKUP(_xlfn.XLOOKUP($F703,Clientes!$B$4:$B$39,Clientes!$C$4:$C$39),Cadastros!$L$6:$L$12,Cadastros!$N$6:$N$12)))</f>
        <v/>
      </c>
      <c r="K703" s="168" t="str">
        <f t="shared" si="131"/>
        <v/>
      </c>
      <c r="L703" s="168" t="str">
        <f>IFERROR(K703/_xlfn.XLOOKUP(_xlfn.XLOOKUP($F703,Clientes!$B$4:$B$39,Clientes!$C$4:$C$39),Cadastros!$L$6:$L$12,Cadastros!$M$6:$M$12)," ")</f>
        <v xml:space="preserve"> </v>
      </c>
      <c r="M703" s="28"/>
      <c r="N703" s="28"/>
      <c r="O703" s="255" t="str">
        <f>IF(M703="","",(_xlfn.XLOOKUP(M703,Cadastros!$D$6:$D$90,Cadastros!$E$6:$E$90))*(1-_xlfn.XLOOKUP(_xlfn.XLOOKUP($F703,Clientes!$B$4:$B$39,Clientes!$C$4:$C$39),Cadastros!$L$6:$L$12,Cadastros!$N$6:$N$12)))</f>
        <v/>
      </c>
      <c r="P703" s="168" t="str">
        <f t="shared" si="132"/>
        <v/>
      </c>
      <c r="Q703" s="168" t="str">
        <f>IFERROR(P703/_xlfn.XLOOKUP(_xlfn.XLOOKUP($F703,Clientes!$B$4:$B$39,Clientes!$C$4:$C$39),Cadastros!$L$6:$L$12,Cadastros!$M$6:$M$12)," ")</f>
        <v xml:space="preserve"> </v>
      </c>
      <c r="R703" s="28"/>
      <c r="S703" s="28"/>
      <c r="T703" s="255" t="str">
        <f>IF(R703="","",(_xlfn.XLOOKUP(R703,Cadastros!$D$6:$D$90,Cadastros!$E$6:$E$90))*(1-_xlfn.XLOOKUP(_xlfn.XLOOKUP($F703,Clientes!$B$4:$B$39,Clientes!$C$4:$C$39),Cadastros!$L$6:$L$12,Cadastros!$N$6:$N$12)))</f>
        <v/>
      </c>
      <c r="U703" s="168" t="str">
        <f t="shared" si="133"/>
        <v/>
      </c>
      <c r="V703" s="168" t="str">
        <f>IFERROR(U703/_xlfn.XLOOKUP(_xlfn.XLOOKUP($F703,Clientes!$B$4:$B$39,Clientes!$C$4:$C$39),Cadastros!$L$6:$L$12,Cadastros!$M$6:$M$12)," ")</f>
        <v xml:space="preserve"> </v>
      </c>
      <c r="W703" s="28"/>
      <c r="X703" s="28"/>
      <c r="Y703" s="255" t="str">
        <f>IF(W703="","",(_xlfn.XLOOKUP(W703,Cadastros!$D$6:$D$90,Cadastros!$E$6:$E$90))*(1-_xlfn.XLOOKUP(_xlfn.XLOOKUP($F703,Clientes!$B$4:$B$39,Clientes!$C$4:$C$39),Cadastros!$L$6:$L$12,Cadastros!$N$6:$N$12)))</f>
        <v/>
      </c>
      <c r="Z703" s="168" t="str">
        <f t="shared" si="134"/>
        <v/>
      </c>
      <c r="AA703" s="168" t="str">
        <f>IFERROR(Z703/_xlfn.XLOOKUP(_xlfn.XLOOKUP($F703,Clientes!$B$4:$B$39,Clientes!$C$4:$C$39),Cadastros!$L$6:$L$12,Cadastros!$M$6:$M$12)," ")</f>
        <v xml:space="preserve"> </v>
      </c>
      <c r="AB703" s="28"/>
      <c r="AC703" s="28"/>
      <c r="AD703" s="20" t="str">
        <f>IF(AB703="","",IF($F703="Bernardino Furlan",_xlfn.XLOOKUP(AB703,Cadastros!$G$6:$G$90,Cadastros!$H$6:$H$90)*(1-0.18),IF($F703="Mauro José Salanti",_xlfn.XLOOKUP(AB703,Cadastros!$G$6:$G$90,Cadastros!$H$6:$H$90)*(1-0.18),_xlfn.XLOOKUP(AB703,Cadastros!$G$6:$G$90,Cadastros!$H$6:$H$90))))</f>
        <v/>
      </c>
      <c r="AE703" s="168" t="str">
        <f t="shared" si="135"/>
        <v/>
      </c>
      <c r="AF703" s="168" t="str">
        <f t="shared" si="136"/>
        <v/>
      </c>
      <c r="AG703" s="28"/>
      <c r="AH703" s="28"/>
      <c r="AI703" s="20" t="str">
        <f>IF(AG703="","",IF($F703="Bernardino Furlan",_xlfn.XLOOKUP(AG703,Cadastros!$G$6:$G$90,Cadastros!$H$6:$H$90)*(1-0.18),IF($F703="Mauro José Salanti",_xlfn.XLOOKUP(AG703,Cadastros!$G$6:$G$90,Cadastros!$H$6:$H$90)*(1-0.18),_xlfn.XLOOKUP(AG703,Cadastros!$G$6:$G$90,Cadastros!$H$6:$H$90))))</f>
        <v/>
      </c>
      <c r="AJ703" s="168" t="str">
        <f t="shared" si="137"/>
        <v/>
      </c>
      <c r="AK703" s="168" t="str">
        <f t="shared" si="138"/>
        <v/>
      </c>
      <c r="AL703" s="28"/>
      <c r="AM703" s="28"/>
      <c r="AN703" s="20" t="str">
        <f>IF(AL703="","",IF($F703="Bernardino Furlan",_xlfn.XLOOKUP(AL703,Cadastros!$G$6:$G$90,Cadastros!$H$6:$H$90)*(1-0.18),IF($F703="Mauro José Salanti",_xlfn.XLOOKUP(AL703,Cadastros!$G$6:$G$90,Cadastros!$H$6:$H$90)*(1-0.18),_xlfn.XLOOKUP(AL703,Cadastros!$G$6:$G$90,Cadastros!$H$6:$H$90))))</f>
        <v/>
      </c>
      <c r="AO703" s="168" t="str">
        <f t="shared" si="139"/>
        <v/>
      </c>
      <c r="AP703" s="168" t="str">
        <f t="shared" si="140"/>
        <v/>
      </c>
      <c r="AQ703" s="28"/>
      <c r="AR703" s="28"/>
      <c r="AS703" s="20" t="str">
        <f>IF(AQ703="","",IF($F703="Bernardino Furlan",_xlfn.XLOOKUP(AQ703,Cadastros!$G$6:$G$90,Cadastros!$H$6:$H$90)*(1-0.18),IF($F703="Mauro José Salanti",_xlfn.XLOOKUP(AQ703,Cadastros!$G$6:$G$90,Cadastros!$H$6:$H$90)*(1-0.18),_xlfn.XLOOKUP(AQ703,Cadastros!$G$6:$G$90,Cadastros!$H$6:$H$90))))</f>
        <v/>
      </c>
      <c r="AT703" s="168" t="str">
        <f t="shared" si="141"/>
        <v/>
      </c>
      <c r="AU703" s="168" t="str">
        <f t="shared" si="142"/>
        <v/>
      </c>
      <c r="AV703" s="227"/>
      <c r="AW703" s="30"/>
      <c r="AX703" s="267"/>
      <c r="AY703" s="267"/>
      <c r="AZ703" s="29"/>
      <c r="BA703" s="30"/>
      <c r="BB703" s="23" t="str" cm="1">
        <f t="array" ref="BB703">_xlfn.IFS(AW703="SIM",SUM(K703,P703,U703,Z703,AE703,AJ703,AO703,AT703,AX703,AY703),F703&lt;&gt;"",SUM(K703,P703,U703,Z703,AE703,AJ703,,AO703,AT703),F703="","")</f>
        <v/>
      </c>
      <c r="BC703" s="211" t="str" cm="1">
        <f t="array" ref="BC703">_xlfn.IFS(E703="","",G703&lt;=E703,BB703*(1-0.03),G703&lt;(E703+8),BB703,AZ703="Boleto",BB703*(1+0.001)^DATEDIF(E703,G703,"D"),AZ703="Cheque",BB703,AZ703="Dinheiro","Alterar forma pgto")</f>
        <v/>
      </c>
      <c r="BD703" s="276" t="str" cm="1">
        <f t="array" ref="BD703">IF(F703=0," ",IF(BC703&lt;BB703,(_xlfn.IFS(AW703="SIM",SUM(L703,Q703,V703,AA703,AF703,AK703,AP703,AU703)+AX703/_xlfn.XLOOKUP(_xlfn.XLOOKUP($F703,Clientes!$B$4:$B$39,Clientes!$C$4:$C$39),Cadastros!$L$6:$L$12,Cadastros!$M$6:$M$12)+IF($F703="Bernardino Furlan",AY703/2751.92,IF($F703="Mauro José Salanti",AY703/2751.92,AY703/3356)),F703&lt;&gt;0,SUM(L703,Q703,V703,AA703,AF703,AK703,AP703,AU703)))*(1-0.03),_xlfn.IFS(AW703="SIM",SUM(L703,Q703,V703,AA703,AF703,AK703,AP703,AU703)+AX703/_xlfn.XLOOKUP(_xlfn.XLOOKUP($F703,Clientes!$B$4:$B$39,Clientes!$C$4:$C$39),Cadastros!$L$6:$L$12,Cadastros!$M$6:$M$12)+IF($F703="Bernardino Furlan",AY703/2751.92,IF($F703="Mauro José Salanti",AY703/2751.92,AY703/3356)),F703&lt;&gt;0,SUM(L703,Q703,V703,AA703,AF703,AK703,AP703,AU703))))</f>
        <v xml:space="preserve"> </v>
      </c>
      <c r="BE703" s="120"/>
      <c r="BF703" s="120"/>
      <c r="BG703" s="120"/>
    </row>
    <row r="704" spans="1:59" s="3" customFormat="1" x14ac:dyDescent="0.3">
      <c r="A704" s="15" t="str">
        <f t="shared" si="130"/>
        <v/>
      </c>
      <c r="B704" s="25"/>
      <c r="C704" s="26"/>
      <c r="D704" s="279"/>
      <c r="E704" s="27"/>
      <c r="F704" s="28"/>
      <c r="G704" s="27"/>
      <c r="H704" s="28"/>
      <c r="I704" s="28"/>
      <c r="J704" s="255" t="str">
        <f>IF(H704="","",(_xlfn.XLOOKUP(H704,Cadastros!$D$6:$D$90,Cadastros!$E$6:$E$90))*(1-_xlfn.XLOOKUP(_xlfn.XLOOKUP($F704,Clientes!$B$4:$B$39,Clientes!$C$4:$C$39),Cadastros!$L$6:$L$12,Cadastros!$N$6:$N$12)))</f>
        <v/>
      </c>
      <c r="K704" s="168" t="str">
        <f t="shared" si="131"/>
        <v/>
      </c>
      <c r="L704" s="168" t="str">
        <f>IFERROR(K704/_xlfn.XLOOKUP(_xlfn.XLOOKUP($F704,Clientes!$B$4:$B$39,Clientes!$C$4:$C$39),Cadastros!$L$6:$L$12,Cadastros!$M$6:$M$12)," ")</f>
        <v xml:space="preserve"> </v>
      </c>
      <c r="M704" s="28"/>
      <c r="N704" s="28"/>
      <c r="O704" s="255" t="str">
        <f>IF(M704="","",(_xlfn.XLOOKUP(M704,Cadastros!$D$6:$D$90,Cadastros!$E$6:$E$90))*(1-_xlfn.XLOOKUP(_xlfn.XLOOKUP($F704,Clientes!$B$4:$B$39,Clientes!$C$4:$C$39),Cadastros!$L$6:$L$12,Cadastros!$N$6:$N$12)))</f>
        <v/>
      </c>
      <c r="P704" s="168" t="str">
        <f t="shared" si="132"/>
        <v/>
      </c>
      <c r="Q704" s="168" t="str">
        <f>IFERROR(P704/_xlfn.XLOOKUP(_xlfn.XLOOKUP($F704,Clientes!$B$4:$B$39,Clientes!$C$4:$C$39),Cadastros!$L$6:$L$12,Cadastros!$M$6:$M$12)," ")</f>
        <v xml:space="preserve"> </v>
      </c>
      <c r="R704" s="28"/>
      <c r="S704" s="28"/>
      <c r="T704" s="255" t="str">
        <f>IF(R704="","",(_xlfn.XLOOKUP(R704,Cadastros!$D$6:$D$90,Cadastros!$E$6:$E$90))*(1-_xlfn.XLOOKUP(_xlfn.XLOOKUP($F704,Clientes!$B$4:$B$39,Clientes!$C$4:$C$39),Cadastros!$L$6:$L$12,Cadastros!$N$6:$N$12)))</f>
        <v/>
      </c>
      <c r="U704" s="168" t="str">
        <f t="shared" si="133"/>
        <v/>
      </c>
      <c r="V704" s="168" t="str">
        <f>IFERROR(U704/_xlfn.XLOOKUP(_xlfn.XLOOKUP($F704,Clientes!$B$4:$B$39,Clientes!$C$4:$C$39),Cadastros!$L$6:$L$12,Cadastros!$M$6:$M$12)," ")</f>
        <v xml:space="preserve"> </v>
      </c>
      <c r="W704" s="28"/>
      <c r="X704" s="28"/>
      <c r="Y704" s="255" t="str">
        <f>IF(W704="","",(_xlfn.XLOOKUP(W704,Cadastros!$D$6:$D$90,Cadastros!$E$6:$E$90))*(1-_xlfn.XLOOKUP(_xlfn.XLOOKUP($F704,Clientes!$B$4:$B$39,Clientes!$C$4:$C$39),Cadastros!$L$6:$L$12,Cadastros!$N$6:$N$12)))</f>
        <v/>
      </c>
      <c r="Z704" s="168" t="str">
        <f t="shared" si="134"/>
        <v/>
      </c>
      <c r="AA704" s="168" t="str">
        <f>IFERROR(Z704/_xlfn.XLOOKUP(_xlfn.XLOOKUP($F704,Clientes!$B$4:$B$39,Clientes!$C$4:$C$39),Cadastros!$L$6:$L$12,Cadastros!$M$6:$M$12)," ")</f>
        <v xml:space="preserve"> </v>
      </c>
      <c r="AB704" s="28"/>
      <c r="AC704" s="28"/>
      <c r="AD704" s="20" t="str">
        <f>IF(AB704="","",IF($F704="Bernardino Furlan",_xlfn.XLOOKUP(AB704,Cadastros!$G$6:$G$90,Cadastros!$H$6:$H$90)*(1-0.18),IF($F704="Mauro José Salanti",_xlfn.XLOOKUP(AB704,Cadastros!$G$6:$G$90,Cadastros!$H$6:$H$90)*(1-0.18),_xlfn.XLOOKUP(AB704,Cadastros!$G$6:$G$90,Cadastros!$H$6:$H$90))))</f>
        <v/>
      </c>
      <c r="AE704" s="168" t="str">
        <f t="shared" si="135"/>
        <v/>
      </c>
      <c r="AF704" s="168" t="str">
        <f t="shared" si="136"/>
        <v/>
      </c>
      <c r="AG704" s="28"/>
      <c r="AH704" s="28"/>
      <c r="AI704" s="20" t="str">
        <f>IF(AG704="","",IF($F704="Bernardino Furlan",_xlfn.XLOOKUP(AG704,Cadastros!$G$6:$G$90,Cadastros!$H$6:$H$90)*(1-0.18),IF($F704="Mauro José Salanti",_xlfn.XLOOKUP(AG704,Cadastros!$G$6:$G$90,Cadastros!$H$6:$H$90)*(1-0.18),_xlfn.XLOOKUP(AG704,Cadastros!$G$6:$G$90,Cadastros!$H$6:$H$90))))</f>
        <v/>
      </c>
      <c r="AJ704" s="168" t="str">
        <f t="shared" si="137"/>
        <v/>
      </c>
      <c r="AK704" s="168" t="str">
        <f t="shared" si="138"/>
        <v/>
      </c>
      <c r="AL704" s="28"/>
      <c r="AM704" s="28"/>
      <c r="AN704" s="20" t="str">
        <f>IF(AL704="","",IF($F704="Bernardino Furlan",_xlfn.XLOOKUP(AL704,Cadastros!$G$6:$G$90,Cadastros!$H$6:$H$90)*(1-0.18),IF($F704="Mauro José Salanti",_xlfn.XLOOKUP(AL704,Cadastros!$G$6:$G$90,Cadastros!$H$6:$H$90)*(1-0.18),_xlfn.XLOOKUP(AL704,Cadastros!$G$6:$G$90,Cadastros!$H$6:$H$90))))</f>
        <v/>
      </c>
      <c r="AO704" s="168" t="str">
        <f t="shared" si="139"/>
        <v/>
      </c>
      <c r="AP704" s="168" t="str">
        <f t="shared" si="140"/>
        <v/>
      </c>
      <c r="AQ704" s="28"/>
      <c r="AR704" s="28"/>
      <c r="AS704" s="20" t="str">
        <f>IF(AQ704="","",IF($F704="Bernardino Furlan",_xlfn.XLOOKUP(AQ704,Cadastros!$G$6:$G$90,Cadastros!$H$6:$H$90)*(1-0.18),IF($F704="Mauro José Salanti",_xlfn.XLOOKUP(AQ704,Cadastros!$G$6:$G$90,Cadastros!$H$6:$H$90)*(1-0.18),_xlfn.XLOOKUP(AQ704,Cadastros!$G$6:$G$90,Cadastros!$H$6:$H$90))))</f>
        <v/>
      </c>
      <c r="AT704" s="168" t="str">
        <f t="shared" si="141"/>
        <v/>
      </c>
      <c r="AU704" s="168" t="str">
        <f t="shared" si="142"/>
        <v/>
      </c>
      <c r="AV704" s="227"/>
      <c r="AW704" s="30"/>
      <c r="AX704" s="267"/>
      <c r="AY704" s="267"/>
      <c r="AZ704" s="29"/>
      <c r="BA704" s="30"/>
      <c r="BB704" s="23" t="str" cm="1">
        <f t="array" ref="BB704">_xlfn.IFS(AW704="SIM",SUM(K704,P704,U704,Z704,AE704,AJ704,AO704,AT704,AX704,AY704),F704&lt;&gt;"",SUM(K704,P704,U704,Z704,AE704,AJ704,,AO704,AT704),F704="","")</f>
        <v/>
      </c>
      <c r="BC704" s="211" t="str" cm="1">
        <f t="array" ref="BC704">_xlfn.IFS(E704="","",G704&lt;=E704,BB704*(1-0.03),G704&lt;(E704+8),BB704,AZ704="Boleto",BB704*(1+0.001)^DATEDIF(E704,G704,"D"),AZ704="Cheque",BB704,AZ704="Dinheiro","Alterar forma pgto")</f>
        <v/>
      </c>
      <c r="BD704" s="276" t="str" cm="1">
        <f t="array" ref="BD704">IF(F704=0," ",IF(BC704&lt;BB704,(_xlfn.IFS(AW704="SIM",SUM(L704,Q704,V704,AA704,AF704,AK704,AP704,AU704)+AX704/_xlfn.XLOOKUP(_xlfn.XLOOKUP($F704,Clientes!$B$4:$B$39,Clientes!$C$4:$C$39),Cadastros!$L$6:$L$12,Cadastros!$M$6:$M$12)+IF($F704="Bernardino Furlan",AY704/2751.92,IF($F704="Mauro José Salanti",AY704/2751.92,AY704/3356)),F704&lt;&gt;0,SUM(L704,Q704,V704,AA704,AF704,AK704,AP704,AU704)))*(1-0.03),_xlfn.IFS(AW704="SIM",SUM(L704,Q704,V704,AA704,AF704,AK704,AP704,AU704)+AX704/_xlfn.XLOOKUP(_xlfn.XLOOKUP($F704,Clientes!$B$4:$B$39,Clientes!$C$4:$C$39),Cadastros!$L$6:$L$12,Cadastros!$M$6:$M$12)+IF($F704="Bernardino Furlan",AY704/2751.92,IF($F704="Mauro José Salanti",AY704/2751.92,AY704/3356)),F704&lt;&gt;0,SUM(L704,Q704,V704,AA704,AF704,AK704,AP704,AU704))))</f>
        <v xml:space="preserve"> </v>
      </c>
      <c r="BE704" s="120"/>
      <c r="BF704" s="120"/>
      <c r="BG704" s="120"/>
    </row>
    <row r="705" spans="1:59" s="3" customFormat="1" x14ac:dyDescent="0.3">
      <c r="A705" s="15" t="str">
        <f t="shared" si="130"/>
        <v/>
      </c>
      <c r="B705" s="25"/>
      <c r="C705" s="26"/>
      <c r="D705" s="279"/>
      <c r="E705" s="27"/>
      <c r="F705" s="28"/>
      <c r="G705" s="27"/>
      <c r="H705" s="28"/>
      <c r="I705" s="28"/>
      <c r="J705" s="255" t="str">
        <f>IF(H705="","",(_xlfn.XLOOKUP(H705,Cadastros!$D$6:$D$90,Cadastros!$E$6:$E$90))*(1-_xlfn.XLOOKUP(_xlfn.XLOOKUP($F705,Clientes!$B$4:$B$39,Clientes!$C$4:$C$39),Cadastros!$L$6:$L$12,Cadastros!$N$6:$N$12)))</f>
        <v/>
      </c>
      <c r="K705" s="168" t="str">
        <f t="shared" si="131"/>
        <v/>
      </c>
      <c r="L705" s="168" t="str">
        <f>IFERROR(K705/_xlfn.XLOOKUP(_xlfn.XLOOKUP($F705,Clientes!$B$4:$B$39,Clientes!$C$4:$C$39),Cadastros!$L$6:$L$12,Cadastros!$M$6:$M$12)," ")</f>
        <v xml:space="preserve"> </v>
      </c>
      <c r="M705" s="28"/>
      <c r="N705" s="28"/>
      <c r="O705" s="255" t="str">
        <f>IF(M705="","",(_xlfn.XLOOKUP(M705,Cadastros!$D$6:$D$90,Cadastros!$E$6:$E$90))*(1-_xlfn.XLOOKUP(_xlfn.XLOOKUP($F705,Clientes!$B$4:$B$39,Clientes!$C$4:$C$39),Cadastros!$L$6:$L$12,Cadastros!$N$6:$N$12)))</f>
        <v/>
      </c>
      <c r="P705" s="168" t="str">
        <f t="shared" si="132"/>
        <v/>
      </c>
      <c r="Q705" s="168" t="str">
        <f>IFERROR(P705/_xlfn.XLOOKUP(_xlfn.XLOOKUP($F705,Clientes!$B$4:$B$39,Clientes!$C$4:$C$39),Cadastros!$L$6:$L$12,Cadastros!$M$6:$M$12)," ")</f>
        <v xml:space="preserve"> </v>
      </c>
      <c r="R705" s="28"/>
      <c r="S705" s="28"/>
      <c r="T705" s="255" t="str">
        <f>IF(R705="","",(_xlfn.XLOOKUP(R705,Cadastros!$D$6:$D$90,Cadastros!$E$6:$E$90))*(1-_xlfn.XLOOKUP(_xlfn.XLOOKUP($F705,Clientes!$B$4:$B$39,Clientes!$C$4:$C$39),Cadastros!$L$6:$L$12,Cadastros!$N$6:$N$12)))</f>
        <v/>
      </c>
      <c r="U705" s="168" t="str">
        <f t="shared" si="133"/>
        <v/>
      </c>
      <c r="V705" s="168" t="str">
        <f>IFERROR(U705/_xlfn.XLOOKUP(_xlfn.XLOOKUP($F705,Clientes!$B$4:$B$39,Clientes!$C$4:$C$39),Cadastros!$L$6:$L$12,Cadastros!$M$6:$M$12)," ")</f>
        <v xml:space="preserve"> </v>
      </c>
      <c r="W705" s="28"/>
      <c r="X705" s="28"/>
      <c r="Y705" s="255" t="str">
        <f>IF(W705="","",(_xlfn.XLOOKUP(W705,Cadastros!$D$6:$D$90,Cadastros!$E$6:$E$90))*(1-_xlfn.XLOOKUP(_xlfn.XLOOKUP($F705,Clientes!$B$4:$B$39,Clientes!$C$4:$C$39),Cadastros!$L$6:$L$12,Cadastros!$N$6:$N$12)))</f>
        <v/>
      </c>
      <c r="Z705" s="168" t="str">
        <f t="shared" si="134"/>
        <v/>
      </c>
      <c r="AA705" s="168" t="str">
        <f>IFERROR(Z705/_xlfn.XLOOKUP(_xlfn.XLOOKUP($F705,Clientes!$B$4:$B$39,Clientes!$C$4:$C$39),Cadastros!$L$6:$L$12,Cadastros!$M$6:$M$12)," ")</f>
        <v xml:space="preserve"> </v>
      </c>
      <c r="AB705" s="28"/>
      <c r="AC705" s="28"/>
      <c r="AD705" s="20" t="str">
        <f>IF(AB705="","",IF($F705="Bernardino Furlan",_xlfn.XLOOKUP(AB705,Cadastros!$G$6:$G$90,Cadastros!$H$6:$H$90)*(1-0.18),IF($F705="Mauro José Salanti",_xlfn.XLOOKUP(AB705,Cadastros!$G$6:$G$90,Cadastros!$H$6:$H$90)*(1-0.18),_xlfn.XLOOKUP(AB705,Cadastros!$G$6:$G$90,Cadastros!$H$6:$H$90))))</f>
        <v/>
      </c>
      <c r="AE705" s="168" t="str">
        <f t="shared" si="135"/>
        <v/>
      </c>
      <c r="AF705" s="168" t="str">
        <f t="shared" si="136"/>
        <v/>
      </c>
      <c r="AG705" s="28"/>
      <c r="AH705" s="28"/>
      <c r="AI705" s="20" t="str">
        <f>IF(AG705="","",IF($F705="Bernardino Furlan",_xlfn.XLOOKUP(AG705,Cadastros!$G$6:$G$90,Cadastros!$H$6:$H$90)*(1-0.18),IF($F705="Mauro José Salanti",_xlfn.XLOOKUP(AG705,Cadastros!$G$6:$G$90,Cadastros!$H$6:$H$90)*(1-0.18),_xlfn.XLOOKUP(AG705,Cadastros!$G$6:$G$90,Cadastros!$H$6:$H$90))))</f>
        <v/>
      </c>
      <c r="AJ705" s="168" t="str">
        <f t="shared" si="137"/>
        <v/>
      </c>
      <c r="AK705" s="168" t="str">
        <f t="shared" si="138"/>
        <v/>
      </c>
      <c r="AL705" s="28"/>
      <c r="AM705" s="28"/>
      <c r="AN705" s="20" t="str">
        <f>IF(AL705="","",IF($F705="Bernardino Furlan",_xlfn.XLOOKUP(AL705,Cadastros!$G$6:$G$90,Cadastros!$H$6:$H$90)*(1-0.18),IF($F705="Mauro José Salanti",_xlfn.XLOOKUP(AL705,Cadastros!$G$6:$G$90,Cadastros!$H$6:$H$90)*(1-0.18),_xlfn.XLOOKUP(AL705,Cadastros!$G$6:$G$90,Cadastros!$H$6:$H$90))))</f>
        <v/>
      </c>
      <c r="AO705" s="168" t="str">
        <f t="shared" si="139"/>
        <v/>
      </c>
      <c r="AP705" s="168" t="str">
        <f t="shared" si="140"/>
        <v/>
      </c>
      <c r="AQ705" s="28"/>
      <c r="AR705" s="28"/>
      <c r="AS705" s="20" t="str">
        <f>IF(AQ705="","",IF($F705="Bernardino Furlan",_xlfn.XLOOKUP(AQ705,Cadastros!$G$6:$G$90,Cadastros!$H$6:$H$90)*(1-0.18),IF($F705="Mauro José Salanti",_xlfn.XLOOKUP(AQ705,Cadastros!$G$6:$G$90,Cadastros!$H$6:$H$90)*(1-0.18),_xlfn.XLOOKUP(AQ705,Cadastros!$G$6:$G$90,Cadastros!$H$6:$H$90))))</f>
        <v/>
      </c>
      <c r="AT705" s="168" t="str">
        <f t="shared" si="141"/>
        <v/>
      </c>
      <c r="AU705" s="168" t="str">
        <f t="shared" si="142"/>
        <v/>
      </c>
      <c r="AV705" s="227"/>
      <c r="AW705" s="30"/>
      <c r="AX705" s="267"/>
      <c r="AY705" s="267"/>
      <c r="AZ705" s="29"/>
      <c r="BA705" s="30"/>
      <c r="BB705" s="23" t="str" cm="1">
        <f t="array" ref="BB705">_xlfn.IFS(AW705="SIM",SUM(K705,P705,U705,Z705,AE705,AJ705,AO705,AT705,AX705,AY705),F705&lt;&gt;"",SUM(K705,P705,U705,Z705,AE705,AJ705,,AO705,AT705),F705="","")</f>
        <v/>
      </c>
      <c r="BC705" s="211" t="str" cm="1">
        <f t="array" ref="BC705">_xlfn.IFS(E705="","",G705&lt;=E705,BB705*(1-0.03),G705&lt;(E705+8),BB705,AZ705="Boleto",BB705*(1+0.001)^DATEDIF(E705,G705,"D"),AZ705="Cheque",BB705,AZ705="Dinheiro","Alterar forma pgto")</f>
        <v/>
      </c>
      <c r="BD705" s="276" t="str" cm="1">
        <f t="array" ref="BD705">IF(F705=0," ",IF(BC705&lt;BB705,(_xlfn.IFS(AW705="SIM",SUM(L705,Q705,V705,AA705,AF705,AK705,AP705,AU705)+AX705/_xlfn.XLOOKUP(_xlfn.XLOOKUP($F705,Clientes!$B$4:$B$39,Clientes!$C$4:$C$39),Cadastros!$L$6:$L$12,Cadastros!$M$6:$M$12)+IF($F705="Bernardino Furlan",AY705/2751.92,IF($F705="Mauro José Salanti",AY705/2751.92,AY705/3356)),F705&lt;&gt;0,SUM(L705,Q705,V705,AA705,AF705,AK705,AP705,AU705)))*(1-0.03),_xlfn.IFS(AW705="SIM",SUM(L705,Q705,V705,AA705,AF705,AK705,AP705,AU705)+AX705/_xlfn.XLOOKUP(_xlfn.XLOOKUP($F705,Clientes!$B$4:$B$39,Clientes!$C$4:$C$39),Cadastros!$L$6:$L$12,Cadastros!$M$6:$M$12)+IF($F705="Bernardino Furlan",AY705/2751.92,IF($F705="Mauro José Salanti",AY705/2751.92,AY705/3356)),F705&lt;&gt;0,SUM(L705,Q705,V705,AA705,AF705,AK705,AP705,AU705))))</f>
        <v xml:space="preserve"> </v>
      </c>
      <c r="BE705" s="120"/>
      <c r="BF705" s="120"/>
      <c r="BG705" s="120"/>
    </row>
    <row r="706" spans="1:59" s="3" customFormat="1" x14ac:dyDescent="0.3">
      <c r="A706" s="15" t="str">
        <f t="shared" si="130"/>
        <v/>
      </c>
      <c r="B706" s="25"/>
      <c r="C706" s="26"/>
      <c r="D706" s="279"/>
      <c r="E706" s="27"/>
      <c r="F706" s="28"/>
      <c r="G706" s="27"/>
      <c r="H706" s="28"/>
      <c r="I706" s="28"/>
      <c r="J706" s="255" t="str">
        <f>IF(H706="","",(_xlfn.XLOOKUP(H706,Cadastros!$D$6:$D$90,Cadastros!$E$6:$E$90))*(1-_xlfn.XLOOKUP(_xlfn.XLOOKUP($F706,Clientes!$B$4:$B$39,Clientes!$C$4:$C$39),Cadastros!$L$6:$L$12,Cadastros!$N$6:$N$12)))</f>
        <v/>
      </c>
      <c r="K706" s="168" t="str">
        <f t="shared" si="131"/>
        <v/>
      </c>
      <c r="L706" s="168" t="str">
        <f>IFERROR(K706/_xlfn.XLOOKUP(_xlfn.XLOOKUP($F706,Clientes!$B$4:$B$39,Clientes!$C$4:$C$39),Cadastros!$L$6:$L$12,Cadastros!$M$6:$M$12)," ")</f>
        <v xml:space="preserve"> </v>
      </c>
      <c r="M706" s="28"/>
      <c r="N706" s="28"/>
      <c r="O706" s="255" t="str">
        <f>IF(M706="","",(_xlfn.XLOOKUP(M706,Cadastros!$D$6:$D$90,Cadastros!$E$6:$E$90))*(1-_xlfn.XLOOKUP(_xlfn.XLOOKUP($F706,Clientes!$B$4:$B$39,Clientes!$C$4:$C$39),Cadastros!$L$6:$L$12,Cadastros!$N$6:$N$12)))</f>
        <v/>
      </c>
      <c r="P706" s="168" t="str">
        <f t="shared" si="132"/>
        <v/>
      </c>
      <c r="Q706" s="168" t="str">
        <f>IFERROR(P706/_xlfn.XLOOKUP(_xlfn.XLOOKUP($F706,Clientes!$B$4:$B$39,Clientes!$C$4:$C$39),Cadastros!$L$6:$L$12,Cadastros!$M$6:$M$12)," ")</f>
        <v xml:space="preserve"> </v>
      </c>
      <c r="R706" s="28"/>
      <c r="S706" s="28"/>
      <c r="T706" s="255" t="str">
        <f>IF(R706="","",(_xlfn.XLOOKUP(R706,Cadastros!$D$6:$D$90,Cadastros!$E$6:$E$90))*(1-_xlfn.XLOOKUP(_xlfn.XLOOKUP($F706,Clientes!$B$4:$B$39,Clientes!$C$4:$C$39),Cadastros!$L$6:$L$12,Cadastros!$N$6:$N$12)))</f>
        <v/>
      </c>
      <c r="U706" s="168" t="str">
        <f t="shared" si="133"/>
        <v/>
      </c>
      <c r="V706" s="168" t="str">
        <f>IFERROR(U706/_xlfn.XLOOKUP(_xlfn.XLOOKUP($F706,Clientes!$B$4:$B$39,Clientes!$C$4:$C$39),Cadastros!$L$6:$L$12,Cadastros!$M$6:$M$12)," ")</f>
        <v xml:space="preserve"> </v>
      </c>
      <c r="W706" s="28"/>
      <c r="X706" s="28"/>
      <c r="Y706" s="255" t="str">
        <f>IF(W706="","",(_xlfn.XLOOKUP(W706,Cadastros!$D$6:$D$90,Cadastros!$E$6:$E$90))*(1-_xlfn.XLOOKUP(_xlfn.XLOOKUP($F706,Clientes!$B$4:$B$39,Clientes!$C$4:$C$39),Cadastros!$L$6:$L$12,Cadastros!$N$6:$N$12)))</f>
        <v/>
      </c>
      <c r="Z706" s="168" t="str">
        <f t="shared" si="134"/>
        <v/>
      </c>
      <c r="AA706" s="168" t="str">
        <f>IFERROR(Z706/_xlfn.XLOOKUP(_xlfn.XLOOKUP($F706,Clientes!$B$4:$B$39,Clientes!$C$4:$C$39),Cadastros!$L$6:$L$12,Cadastros!$M$6:$M$12)," ")</f>
        <v xml:space="preserve"> </v>
      </c>
      <c r="AB706" s="28"/>
      <c r="AC706" s="28"/>
      <c r="AD706" s="20" t="str">
        <f>IF(AB706="","",IF($F706="Bernardino Furlan",_xlfn.XLOOKUP(AB706,Cadastros!$G$6:$G$90,Cadastros!$H$6:$H$90)*(1-0.18),IF($F706="Mauro José Salanti",_xlfn.XLOOKUP(AB706,Cadastros!$G$6:$G$90,Cadastros!$H$6:$H$90)*(1-0.18),_xlfn.XLOOKUP(AB706,Cadastros!$G$6:$G$90,Cadastros!$H$6:$H$90))))</f>
        <v/>
      </c>
      <c r="AE706" s="168" t="str">
        <f t="shared" si="135"/>
        <v/>
      </c>
      <c r="AF706" s="168" t="str">
        <f t="shared" si="136"/>
        <v/>
      </c>
      <c r="AG706" s="28"/>
      <c r="AH706" s="28"/>
      <c r="AI706" s="20" t="str">
        <f>IF(AG706="","",IF($F706="Bernardino Furlan",_xlfn.XLOOKUP(AG706,Cadastros!$G$6:$G$90,Cadastros!$H$6:$H$90)*(1-0.18),IF($F706="Mauro José Salanti",_xlfn.XLOOKUP(AG706,Cadastros!$G$6:$G$90,Cadastros!$H$6:$H$90)*(1-0.18),_xlfn.XLOOKUP(AG706,Cadastros!$G$6:$G$90,Cadastros!$H$6:$H$90))))</f>
        <v/>
      </c>
      <c r="AJ706" s="168" t="str">
        <f t="shared" si="137"/>
        <v/>
      </c>
      <c r="AK706" s="168" t="str">
        <f t="shared" si="138"/>
        <v/>
      </c>
      <c r="AL706" s="28"/>
      <c r="AM706" s="28"/>
      <c r="AN706" s="20" t="str">
        <f>IF(AL706="","",IF($F706="Bernardino Furlan",_xlfn.XLOOKUP(AL706,Cadastros!$G$6:$G$90,Cadastros!$H$6:$H$90)*(1-0.18),IF($F706="Mauro José Salanti",_xlfn.XLOOKUP(AL706,Cadastros!$G$6:$G$90,Cadastros!$H$6:$H$90)*(1-0.18),_xlfn.XLOOKUP(AL706,Cadastros!$G$6:$G$90,Cadastros!$H$6:$H$90))))</f>
        <v/>
      </c>
      <c r="AO706" s="168" t="str">
        <f t="shared" si="139"/>
        <v/>
      </c>
      <c r="AP706" s="168" t="str">
        <f t="shared" si="140"/>
        <v/>
      </c>
      <c r="AQ706" s="28"/>
      <c r="AR706" s="28"/>
      <c r="AS706" s="20" t="str">
        <f>IF(AQ706="","",IF($F706="Bernardino Furlan",_xlfn.XLOOKUP(AQ706,Cadastros!$G$6:$G$90,Cadastros!$H$6:$H$90)*(1-0.18),IF($F706="Mauro José Salanti",_xlfn.XLOOKUP(AQ706,Cadastros!$G$6:$G$90,Cadastros!$H$6:$H$90)*(1-0.18),_xlfn.XLOOKUP(AQ706,Cadastros!$G$6:$G$90,Cadastros!$H$6:$H$90))))</f>
        <v/>
      </c>
      <c r="AT706" s="168" t="str">
        <f t="shared" si="141"/>
        <v/>
      </c>
      <c r="AU706" s="168" t="str">
        <f t="shared" si="142"/>
        <v/>
      </c>
      <c r="AV706" s="227"/>
      <c r="AW706" s="30"/>
      <c r="AX706" s="267"/>
      <c r="AY706" s="267"/>
      <c r="AZ706" s="29"/>
      <c r="BA706" s="30"/>
      <c r="BB706" s="23" t="str" cm="1">
        <f t="array" ref="BB706">_xlfn.IFS(AW706="SIM",SUM(K706,P706,U706,Z706,AE706,AJ706,AO706,AT706,AX706,AY706),F706&lt;&gt;"",SUM(K706,P706,U706,Z706,AE706,AJ706,,AO706,AT706),F706="","")</f>
        <v/>
      </c>
      <c r="BC706" s="211" t="str" cm="1">
        <f t="array" ref="BC706">_xlfn.IFS(E706="","",G706&lt;=E706,BB706*(1-0.03),G706&lt;(E706+8),BB706,AZ706="Boleto",BB706*(1+0.001)^DATEDIF(E706,G706,"D"),AZ706="Cheque",BB706,AZ706="Dinheiro","Alterar forma pgto")</f>
        <v/>
      </c>
      <c r="BD706" s="276" t="str" cm="1">
        <f t="array" ref="BD706">IF(F706=0," ",IF(BC706&lt;BB706,(_xlfn.IFS(AW706="SIM",SUM(L706,Q706,V706,AA706,AF706,AK706,AP706,AU706)+AX706/_xlfn.XLOOKUP(_xlfn.XLOOKUP($F706,Clientes!$B$4:$B$39,Clientes!$C$4:$C$39),Cadastros!$L$6:$L$12,Cadastros!$M$6:$M$12)+IF($F706="Bernardino Furlan",AY706/2751.92,IF($F706="Mauro José Salanti",AY706/2751.92,AY706/3356)),F706&lt;&gt;0,SUM(L706,Q706,V706,AA706,AF706,AK706,AP706,AU706)))*(1-0.03),_xlfn.IFS(AW706="SIM",SUM(L706,Q706,V706,AA706,AF706,AK706,AP706,AU706)+AX706/_xlfn.XLOOKUP(_xlfn.XLOOKUP($F706,Clientes!$B$4:$B$39,Clientes!$C$4:$C$39),Cadastros!$L$6:$L$12,Cadastros!$M$6:$M$12)+IF($F706="Bernardino Furlan",AY706/2751.92,IF($F706="Mauro José Salanti",AY706/2751.92,AY706/3356)),F706&lt;&gt;0,SUM(L706,Q706,V706,AA706,AF706,AK706,AP706,AU706))))</f>
        <v xml:space="preserve"> </v>
      </c>
      <c r="BE706" s="120"/>
      <c r="BF706" s="120"/>
      <c r="BG706" s="120"/>
    </row>
    <row r="707" spans="1:59" s="3" customFormat="1" x14ac:dyDescent="0.3">
      <c r="A707" s="15" t="str">
        <f t="shared" si="130"/>
        <v/>
      </c>
      <c r="B707" s="25"/>
      <c r="C707" s="26"/>
      <c r="D707" s="279"/>
      <c r="E707" s="27"/>
      <c r="F707" s="28"/>
      <c r="G707" s="27"/>
      <c r="H707" s="28"/>
      <c r="I707" s="28"/>
      <c r="J707" s="255" t="str">
        <f>IF(H707="","",(_xlfn.XLOOKUP(H707,Cadastros!$D$6:$D$90,Cadastros!$E$6:$E$90))*(1-_xlfn.XLOOKUP(_xlfn.XLOOKUP($F707,Clientes!$B$4:$B$39,Clientes!$C$4:$C$39),Cadastros!$L$6:$L$12,Cadastros!$N$6:$N$12)))</f>
        <v/>
      </c>
      <c r="K707" s="168" t="str">
        <f t="shared" si="131"/>
        <v/>
      </c>
      <c r="L707" s="168" t="str">
        <f>IFERROR(K707/_xlfn.XLOOKUP(_xlfn.XLOOKUP($F707,Clientes!$B$4:$B$39,Clientes!$C$4:$C$39),Cadastros!$L$6:$L$12,Cadastros!$M$6:$M$12)," ")</f>
        <v xml:space="preserve"> </v>
      </c>
      <c r="M707" s="28"/>
      <c r="N707" s="28"/>
      <c r="O707" s="255" t="str">
        <f>IF(M707="","",(_xlfn.XLOOKUP(M707,Cadastros!$D$6:$D$90,Cadastros!$E$6:$E$90))*(1-_xlfn.XLOOKUP(_xlfn.XLOOKUP($F707,Clientes!$B$4:$B$39,Clientes!$C$4:$C$39),Cadastros!$L$6:$L$12,Cadastros!$N$6:$N$12)))</f>
        <v/>
      </c>
      <c r="P707" s="168" t="str">
        <f t="shared" si="132"/>
        <v/>
      </c>
      <c r="Q707" s="168" t="str">
        <f>IFERROR(P707/_xlfn.XLOOKUP(_xlfn.XLOOKUP($F707,Clientes!$B$4:$B$39,Clientes!$C$4:$C$39),Cadastros!$L$6:$L$12,Cadastros!$M$6:$M$12)," ")</f>
        <v xml:space="preserve"> </v>
      </c>
      <c r="R707" s="28"/>
      <c r="S707" s="28"/>
      <c r="T707" s="255" t="str">
        <f>IF(R707="","",(_xlfn.XLOOKUP(R707,Cadastros!$D$6:$D$90,Cadastros!$E$6:$E$90))*(1-_xlfn.XLOOKUP(_xlfn.XLOOKUP($F707,Clientes!$B$4:$B$39,Clientes!$C$4:$C$39),Cadastros!$L$6:$L$12,Cadastros!$N$6:$N$12)))</f>
        <v/>
      </c>
      <c r="U707" s="168" t="str">
        <f t="shared" si="133"/>
        <v/>
      </c>
      <c r="V707" s="168" t="str">
        <f>IFERROR(U707/_xlfn.XLOOKUP(_xlfn.XLOOKUP($F707,Clientes!$B$4:$B$39,Clientes!$C$4:$C$39),Cadastros!$L$6:$L$12,Cadastros!$M$6:$M$12)," ")</f>
        <v xml:space="preserve"> </v>
      </c>
      <c r="W707" s="28"/>
      <c r="X707" s="28"/>
      <c r="Y707" s="255" t="str">
        <f>IF(W707="","",(_xlfn.XLOOKUP(W707,Cadastros!$D$6:$D$90,Cadastros!$E$6:$E$90))*(1-_xlfn.XLOOKUP(_xlfn.XLOOKUP($F707,Clientes!$B$4:$B$39,Clientes!$C$4:$C$39),Cadastros!$L$6:$L$12,Cadastros!$N$6:$N$12)))</f>
        <v/>
      </c>
      <c r="Z707" s="168" t="str">
        <f t="shared" si="134"/>
        <v/>
      </c>
      <c r="AA707" s="168" t="str">
        <f>IFERROR(Z707/_xlfn.XLOOKUP(_xlfn.XLOOKUP($F707,Clientes!$B$4:$B$39,Clientes!$C$4:$C$39),Cadastros!$L$6:$L$12,Cadastros!$M$6:$M$12)," ")</f>
        <v xml:space="preserve"> </v>
      </c>
      <c r="AB707" s="28"/>
      <c r="AC707" s="28"/>
      <c r="AD707" s="20" t="str">
        <f>IF(AB707="","",IF($F707="Bernardino Furlan",_xlfn.XLOOKUP(AB707,Cadastros!$G$6:$G$90,Cadastros!$H$6:$H$90)*(1-0.18),IF($F707="Mauro José Salanti",_xlfn.XLOOKUP(AB707,Cadastros!$G$6:$G$90,Cadastros!$H$6:$H$90)*(1-0.18),_xlfn.XLOOKUP(AB707,Cadastros!$G$6:$G$90,Cadastros!$H$6:$H$90))))</f>
        <v/>
      </c>
      <c r="AE707" s="168" t="str">
        <f t="shared" si="135"/>
        <v/>
      </c>
      <c r="AF707" s="168" t="str">
        <f t="shared" si="136"/>
        <v/>
      </c>
      <c r="AG707" s="28"/>
      <c r="AH707" s="28"/>
      <c r="AI707" s="20" t="str">
        <f>IF(AG707="","",IF($F707="Bernardino Furlan",_xlfn.XLOOKUP(AG707,Cadastros!$G$6:$G$90,Cadastros!$H$6:$H$90)*(1-0.18),IF($F707="Mauro José Salanti",_xlfn.XLOOKUP(AG707,Cadastros!$G$6:$G$90,Cadastros!$H$6:$H$90)*(1-0.18),_xlfn.XLOOKUP(AG707,Cadastros!$G$6:$G$90,Cadastros!$H$6:$H$90))))</f>
        <v/>
      </c>
      <c r="AJ707" s="168" t="str">
        <f t="shared" si="137"/>
        <v/>
      </c>
      <c r="AK707" s="168" t="str">
        <f t="shared" si="138"/>
        <v/>
      </c>
      <c r="AL707" s="28"/>
      <c r="AM707" s="28"/>
      <c r="AN707" s="20" t="str">
        <f>IF(AL707="","",IF($F707="Bernardino Furlan",_xlfn.XLOOKUP(AL707,Cadastros!$G$6:$G$90,Cadastros!$H$6:$H$90)*(1-0.18),IF($F707="Mauro José Salanti",_xlfn.XLOOKUP(AL707,Cadastros!$G$6:$G$90,Cadastros!$H$6:$H$90)*(1-0.18),_xlfn.XLOOKUP(AL707,Cadastros!$G$6:$G$90,Cadastros!$H$6:$H$90))))</f>
        <v/>
      </c>
      <c r="AO707" s="168" t="str">
        <f t="shared" si="139"/>
        <v/>
      </c>
      <c r="AP707" s="168" t="str">
        <f t="shared" si="140"/>
        <v/>
      </c>
      <c r="AQ707" s="28"/>
      <c r="AR707" s="28"/>
      <c r="AS707" s="20" t="str">
        <f>IF(AQ707="","",IF($F707="Bernardino Furlan",_xlfn.XLOOKUP(AQ707,Cadastros!$G$6:$G$90,Cadastros!$H$6:$H$90)*(1-0.18),IF($F707="Mauro José Salanti",_xlfn.XLOOKUP(AQ707,Cadastros!$G$6:$G$90,Cadastros!$H$6:$H$90)*(1-0.18),_xlfn.XLOOKUP(AQ707,Cadastros!$G$6:$G$90,Cadastros!$H$6:$H$90))))</f>
        <v/>
      </c>
      <c r="AT707" s="168" t="str">
        <f t="shared" si="141"/>
        <v/>
      </c>
      <c r="AU707" s="168" t="str">
        <f t="shared" si="142"/>
        <v/>
      </c>
      <c r="AV707" s="227"/>
      <c r="AW707" s="30"/>
      <c r="AX707" s="267"/>
      <c r="AY707" s="267"/>
      <c r="AZ707" s="29"/>
      <c r="BA707" s="30"/>
      <c r="BB707" s="23" t="str" cm="1">
        <f t="array" ref="BB707">_xlfn.IFS(AW707="SIM",SUM(K707,P707,U707,Z707,AE707,AJ707,AO707,AT707,AX707,AY707),F707&lt;&gt;"",SUM(K707,P707,U707,Z707,AE707,AJ707,,AO707,AT707),F707="","")</f>
        <v/>
      </c>
      <c r="BC707" s="211" t="str" cm="1">
        <f t="array" ref="BC707">_xlfn.IFS(E707="","",G707&lt;=E707,BB707*(1-0.03),G707&lt;(E707+8),BB707,AZ707="Boleto",BB707*(1+0.001)^DATEDIF(E707,G707,"D"),AZ707="Cheque",BB707,AZ707="Dinheiro","Alterar forma pgto")</f>
        <v/>
      </c>
      <c r="BD707" s="276" t="str" cm="1">
        <f t="array" ref="BD707">IF(F707=0," ",IF(BC707&lt;BB707,(_xlfn.IFS(AW707="SIM",SUM(L707,Q707,V707,AA707,AF707,AK707,AP707,AU707)+AX707/_xlfn.XLOOKUP(_xlfn.XLOOKUP($F707,Clientes!$B$4:$B$39,Clientes!$C$4:$C$39),Cadastros!$L$6:$L$12,Cadastros!$M$6:$M$12)+IF($F707="Bernardino Furlan",AY707/2751.92,IF($F707="Mauro José Salanti",AY707/2751.92,AY707/3356)),F707&lt;&gt;0,SUM(L707,Q707,V707,AA707,AF707,AK707,AP707,AU707)))*(1-0.03),_xlfn.IFS(AW707="SIM",SUM(L707,Q707,V707,AA707,AF707,AK707,AP707,AU707)+AX707/_xlfn.XLOOKUP(_xlfn.XLOOKUP($F707,Clientes!$B$4:$B$39,Clientes!$C$4:$C$39),Cadastros!$L$6:$L$12,Cadastros!$M$6:$M$12)+IF($F707="Bernardino Furlan",AY707/2751.92,IF($F707="Mauro José Salanti",AY707/2751.92,AY707/3356)),F707&lt;&gt;0,SUM(L707,Q707,V707,AA707,AF707,AK707,AP707,AU707))))</f>
        <v xml:space="preserve"> </v>
      </c>
      <c r="BE707" s="120"/>
      <c r="BF707" s="120"/>
      <c r="BG707" s="120"/>
    </row>
    <row r="708" spans="1:59" s="3" customFormat="1" x14ac:dyDescent="0.3">
      <c r="A708" s="15" t="str">
        <f t="shared" si="130"/>
        <v/>
      </c>
      <c r="B708" s="25"/>
      <c r="C708" s="26"/>
      <c r="D708" s="279"/>
      <c r="E708" s="27"/>
      <c r="F708" s="28"/>
      <c r="G708" s="27"/>
      <c r="H708" s="28"/>
      <c r="I708" s="28"/>
      <c r="J708" s="255" t="str">
        <f>IF(H708="","",(_xlfn.XLOOKUP(H708,Cadastros!$D$6:$D$90,Cadastros!$E$6:$E$90))*(1-_xlfn.XLOOKUP(_xlfn.XLOOKUP($F708,Clientes!$B$4:$B$39,Clientes!$C$4:$C$39),Cadastros!$L$6:$L$12,Cadastros!$N$6:$N$12)))</f>
        <v/>
      </c>
      <c r="K708" s="168" t="str">
        <f t="shared" si="131"/>
        <v/>
      </c>
      <c r="L708" s="168" t="str">
        <f>IFERROR(K708/_xlfn.XLOOKUP(_xlfn.XLOOKUP($F708,Clientes!$B$4:$B$39,Clientes!$C$4:$C$39),Cadastros!$L$6:$L$12,Cadastros!$M$6:$M$12)," ")</f>
        <v xml:space="preserve"> </v>
      </c>
      <c r="M708" s="28"/>
      <c r="N708" s="28"/>
      <c r="O708" s="255" t="str">
        <f>IF(M708="","",(_xlfn.XLOOKUP(M708,Cadastros!$D$6:$D$90,Cadastros!$E$6:$E$90))*(1-_xlfn.XLOOKUP(_xlfn.XLOOKUP($F708,Clientes!$B$4:$B$39,Clientes!$C$4:$C$39),Cadastros!$L$6:$L$12,Cadastros!$N$6:$N$12)))</f>
        <v/>
      </c>
      <c r="P708" s="168" t="str">
        <f t="shared" si="132"/>
        <v/>
      </c>
      <c r="Q708" s="168" t="str">
        <f>IFERROR(P708/_xlfn.XLOOKUP(_xlfn.XLOOKUP($F708,Clientes!$B$4:$B$39,Clientes!$C$4:$C$39),Cadastros!$L$6:$L$12,Cadastros!$M$6:$M$12)," ")</f>
        <v xml:space="preserve"> </v>
      </c>
      <c r="R708" s="28"/>
      <c r="S708" s="28"/>
      <c r="T708" s="255" t="str">
        <f>IF(R708="","",(_xlfn.XLOOKUP(R708,Cadastros!$D$6:$D$90,Cadastros!$E$6:$E$90))*(1-_xlfn.XLOOKUP(_xlfn.XLOOKUP($F708,Clientes!$B$4:$B$39,Clientes!$C$4:$C$39),Cadastros!$L$6:$L$12,Cadastros!$N$6:$N$12)))</f>
        <v/>
      </c>
      <c r="U708" s="168" t="str">
        <f t="shared" si="133"/>
        <v/>
      </c>
      <c r="V708" s="168" t="str">
        <f>IFERROR(U708/_xlfn.XLOOKUP(_xlfn.XLOOKUP($F708,Clientes!$B$4:$B$39,Clientes!$C$4:$C$39),Cadastros!$L$6:$L$12,Cadastros!$M$6:$M$12)," ")</f>
        <v xml:space="preserve"> </v>
      </c>
      <c r="W708" s="28"/>
      <c r="X708" s="28"/>
      <c r="Y708" s="255" t="str">
        <f>IF(W708="","",(_xlfn.XLOOKUP(W708,Cadastros!$D$6:$D$90,Cadastros!$E$6:$E$90))*(1-_xlfn.XLOOKUP(_xlfn.XLOOKUP($F708,Clientes!$B$4:$B$39,Clientes!$C$4:$C$39),Cadastros!$L$6:$L$12,Cadastros!$N$6:$N$12)))</f>
        <v/>
      </c>
      <c r="Z708" s="168" t="str">
        <f t="shared" si="134"/>
        <v/>
      </c>
      <c r="AA708" s="168" t="str">
        <f>IFERROR(Z708/_xlfn.XLOOKUP(_xlfn.XLOOKUP($F708,Clientes!$B$4:$B$39,Clientes!$C$4:$C$39),Cadastros!$L$6:$L$12,Cadastros!$M$6:$M$12)," ")</f>
        <v xml:space="preserve"> </v>
      </c>
      <c r="AB708" s="28"/>
      <c r="AC708" s="28"/>
      <c r="AD708" s="20" t="str">
        <f>IF(AB708="","",IF($F708="Bernardino Furlan",_xlfn.XLOOKUP(AB708,Cadastros!$G$6:$G$90,Cadastros!$H$6:$H$90)*(1-0.18),IF($F708="Mauro José Salanti",_xlfn.XLOOKUP(AB708,Cadastros!$G$6:$G$90,Cadastros!$H$6:$H$90)*(1-0.18),_xlfn.XLOOKUP(AB708,Cadastros!$G$6:$G$90,Cadastros!$H$6:$H$90))))</f>
        <v/>
      </c>
      <c r="AE708" s="168" t="str">
        <f t="shared" si="135"/>
        <v/>
      </c>
      <c r="AF708" s="168" t="str">
        <f t="shared" si="136"/>
        <v/>
      </c>
      <c r="AG708" s="28"/>
      <c r="AH708" s="28"/>
      <c r="AI708" s="20" t="str">
        <f>IF(AG708="","",IF($F708="Bernardino Furlan",_xlfn.XLOOKUP(AG708,Cadastros!$G$6:$G$90,Cadastros!$H$6:$H$90)*(1-0.18),IF($F708="Mauro José Salanti",_xlfn.XLOOKUP(AG708,Cadastros!$G$6:$G$90,Cadastros!$H$6:$H$90)*(1-0.18),_xlfn.XLOOKUP(AG708,Cadastros!$G$6:$G$90,Cadastros!$H$6:$H$90))))</f>
        <v/>
      </c>
      <c r="AJ708" s="168" t="str">
        <f t="shared" si="137"/>
        <v/>
      </c>
      <c r="AK708" s="168" t="str">
        <f t="shared" si="138"/>
        <v/>
      </c>
      <c r="AL708" s="28"/>
      <c r="AM708" s="28"/>
      <c r="AN708" s="20" t="str">
        <f>IF(AL708="","",IF($F708="Bernardino Furlan",_xlfn.XLOOKUP(AL708,Cadastros!$G$6:$G$90,Cadastros!$H$6:$H$90)*(1-0.18),IF($F708="Mauro José Salanti",_xlfn.XLOOKUP(AL708,Cadastros!$G$6:$G$90,Cadastros!$H$6:$H$90)*(1-0.18),_xlfn.XLOOKUP(AL708,Cadastros!$G$6:$G$90,Cadastros!$H$6:$H$90))))</f>
        <v/>
      </c>
      <c r="AO708" s="168" t="str">
        <f t="shared" si="139"/>
        <v/>
      </c>
      <c r="AP708" s="168" t="str">
        <f t="shared" si="140"/>
        <v/>
      </c>
      <c r="AQ708" s="28"/>
      <c r="AR708" s="28"/>
      <c r="AS708" s="20" t="str">
        <f>IF(AQ708="","",IF($F708="Bernardino Furlan",_xlfn.XLOOKUP(AQ708,Cadastros!$G$6:$G$90,Cadastros!$H$6:$H$90)*(1-0.18),IF($F708="Mauro José Salanti",_xlfn.XLOOKUP(AQ708,Cadastros!$G$6:$G$90,Cadastros!$H$6:$H$90)*(1-0.18),_xlfn.XLOOKUP(AQ708,Cadastros!$G$6:$G$90,Cadastros!$H$6:$H$90))))</f>
        <v/>
      </c>
      <c r="AT708" s="168" t="str">
        <f t="shared" si="141"/>
        <v/>
      </c>
      <c r="AU708" s="168" t="str">
        <f t="shared" si="142"/>
        <v/>
      </c>
      <c r="AV708" s="227"/>
      <c r="AW708" s="30"/>
      <c r="AX708" s="267"/>
      <c r="AY708" s="267"/>
      <c r="AZ708" s="29"/>
      <c r="BA708" s="30"/>
      <c r="BB708" s="23" t="str" cm="1">
        <f t="array" ref="BB708">_xlfn.IFS(AW708="SIM",SUM(K708,P708,U708,Z708,AE708,AJ708,AO708,AT708,AX708,AY708),F708&lt;&gt;"",SUM(K708,P708,U708,Z708,AE708,AJ708,,AO708,AT708),F708="","")</f>
        <v/>
      </c>
      <c r="BC708" s="211" t="str" cm="1">
        <f t="array" ref="BC708">_xlfn.IFS(E708="","",G708&lt;=E708,BB708*(1-0.03),G708&lt;(E708+8),BB708,AZ708="Boleto",BB708*(1+0.001)^DATEDIF(E708,G708,"D"),AZ708="Cheque",BB708,AZ708="Dinheiro","Alterar forma pgto")</f>
        <v/>
      </c>
      <c r="BD708" s="276" t="str" cm="1">
        <f t="array" ref="BD708">IF(F708=0," ",IF(BC708&lt;BB708,(_xlfn.IFS(AW708="SIM",SUM(L708,Q708,V708,AA708,AF708,AK708,AP708,AU708)+AX708/_xlfn.XLOOKUP(_xlfn.XLOOKUP($F708,Clientes!$B$4:$B$39,Clientes!$C$4:$C$39),Cadastros!$L$6:$L$12,Cadastros!$M$6:$M$12)+IF($F708="Bernardino Furlan",AY708/2751.92,IF($F708="Mauro José Salanti",AY708/2751.92,AY708/3356)),F708&lt;&gt;0,SUM(L708,Q708,V708,AA708,AF708,AK708,AP708,AU708)))*(1-0.03),_xlfn.IFS(AW708="SIM",SUM(L708,Q708,V708,AA708,AF708,AK708,AP708,AU708)+AX708/_xlfn.XLOOKUP(_xlfn.XLOOKUP($F708,Clientes!$B$4:$B$39,Clientes!$C$4:$C$39),Cadastros!$L$6:$L$12,Cadastros!$M$6:$M$12)+IF($F708="Bernardino Furlan",AY708/2751.92,IF($F708="Mauro José Salanti",AY708/2751.92,AY708/3356)),F708&lt;&gt;0,SUM(L708,Q708,V708,AA708,AF708,AK708,AP708,AU708))))</f>
        <v xml:space="preserve"> </v>
      </c>
      <c r="BE708" s="120"/>
      <c r="BF708" s="120"/>
      <c r="BG708" s="120"/>
    </row>
    <row r="709" spans="1:59" s="3" customFormat="1" x14ac:dyDescent="0.3">
      <c r="A709" s="15" t="str">
        <f t="shared" si="130"/>
        <v/>
      </c>
      <c r="B709" s="25"/>
      <c r="C709" s="26"/>
      <c r="D709" s="279"/>
      <c r="E709" s="27"/>
      <c r="F709" s="28"/>
      <c r="G709" s="27"/>
      <c r="H709" s="28"/>
      <c r="I709" s="28"/>
      <c r="J709" s="255" t="str">
        <f>IF(H709="","",(_xlfn.XLOOKUP(H709,Cadastros!$D$6:$D$90,Cadastros!$E$6:$E$90))*(1-_xlfn.XLOOKUP(_xlfn.XLOOKUP($F709,Clientes!$B$4:$B$39,Clientes!$C$4:$C$39),Cadastros!$L$6:$L$12,Cadastros!$N$6:$N$12)))</f>
        <v/>
      </c>
      <c r="K709" s="168" t="str">
        <f t="shared" si="131"/>
        <v/>
      </c>
      <c r="L709" s="168" t="str">
        <f>IFERROR(K709/_xlfn.XLOOKUP(_xlfn.XLOOKUP($F709,Clientes!$B$4:$B$39,Clientes!$C$4:$C$39),Cadastros!$L$6:$L$12,Cadastros!$M$6:$M$12)," ")</f>
        <v xml:space="preserve"> </v>
      </c>
      <c r="M709" s="28"/>
      <c r="N709" s="28"/>
      <c r="O709" s="255" t="str">
        <f>IF(M709="","",(_xlfn.XLOOKUP(M709,Cadastros!$D$6:$D$90,Cadastros!$E$6:$E$90))*(1-_xlfn.XLOOKUP(_xlfn.XLOOKUP($F709,Clientes!$B$4:$B$39,Clientes!$C$4:$C$39),Cadastros!$L$6:$L$12,Cadastros!$N$6:$N$12)))</f>
        <v/>
      </c>
      <c r="P709" s="168" t="str">
        <f t="shared" si="132"/>
        <v/>
      </c>
      <c r="Q709" s="168" t="str">
        <f>IFERROR(P709/_xlfn.XLOOKUP(_xlfn.XLOOKUP($F709,Clientes!$B$4:$B$39,Clientes!$C$4:$C$39),Cadastros!$L$6:$L$12,Cadastros!$M$6:$M$12)," ")</f>
        <v xml:space="preserve"> </v>
      </c>
      <c r="R709" s="28"/>
      <c r="S709" s="28"/>
      <c r="T709" s="255" t="str">
        <f>IF(R709="","",(_xlfn.XLOOKUP(R709,Cadastros!$D$6:$D$90,Cadastros!$E$6:$E$90))*(1-_xlfn.XLOOKUP(_xlfn.XLOOKUP($F709,Clientes!$B$4:$B$39,Clientes!$C$4:$C$39),Cadastros!$L$6:$L$12,Cadastros!$N$6:$N$12)))</f>
        <v/>
      </c>
      <c r="U709" s="168" t="str">
        <f t="shared" si="133"/>
        <v/>
      </c>
      <c r="V709" s="168" t="str">
        <f>IFERROR(U709/_xlfn.XLOOKUP(_xlfn.XLOOKUP($F709,Clientes!$B$4:$B$39,Clientes!$C$4:$C$39),Cadastros!$L$6:$L$12,Cadastros!$M$6:$M$12)," ")</f>
        <v xml:space="preserve"> </v>
      </c>
      <c r="W709" s="28"/>
      <c r="X709" s="28"/>
      <c r="Y709" s="255" t="str">
        <f>IF(W709="","",(_xlfn.XLOOKUP(W709,Cadastros!$D$6:$D$90,Cadastros!$E$6:$E$90))*(1-_xlfn.XLOOKUP(_xlfn.XLOOKUP($F709,Clientes!$B$4:$B$39,Clientes!$C$4:$C$39),Cadastros!$L$6:$L$12,Cadastros!$N$6:$N$12)))</f>
        <v/>
      </c>
      <c r="Z709" s="168" t="str">
        <f t="shared" si="134"/>
        <v/>
      </c>
      <c r="AA709" s="168" t="str">
        <f>IFERROR(Z709/_xlfn.XLOOKUP(_xlfn.XLOOKUP($F709,Clientes!$B$4:$B$39,Clientes!$C$4:$C$39),Cadastros!$L$6:$L$12,Cadastros!$M$6:$M$12)," ")</f>
        <v xml:space="preserve"> </v>
      </c>
      <c r="AB709" s="28"/>
      <c r="AC709" s="28"/>
      <c r="AD709" s="20" t="str">
        <f>IF(AB709="","",IF($F709="Bernardino Furlan",_xlfn.XLOOKUP(AB709,Cadastros!$G$6:$G$90,Cadastros!$H$6:$H$90)*(1-0.18),IF($F709="Mauro José Salanti",_xlfn.XLOOKUP(AB709,Cadastros!$G$6:$G$90,Cadastros!$H$6:$H$90)*(1-0.18),_xlfn.XLOOKUP(AB709,Cadastros!$G$6:$G$90,Cadastros!$H$6:$H$90))))</f>
        <v/>
      </c>
      <c r="AE709" s="168" t="str">
        <f t="shared" si="135"/>
        <v/>
      </c>
      <c r="AF709" s="168" t="str">
        <f t="shared" si="136"/>
        <v/>
      </c>
      <c r="AG709" s="28"/>
      <c r="AH709" s="28"/>
      <c r="AI709" s="20" t="str">
        <f>IF(AG709="","",IF($F709="Bernardino Furlan",_xlfn.XLOOKUP(AG709,Cadastros!$G$6:$G$90,Cadastros!$H$6:$H$90)*(1-0.18),IF($F709="Mauro José Salanti",_xlfn.XLOOKUP(AG709,Cadastros!$G$6:$G$90,Cadastros!$H$6:$H$90)*(1-0.18),_xlfn.XLOOKUP(AG709,Cadastros!$G$6:$G$90,Cadastros!$H$6:$H$90))))</f>
        <v/>
      </c>
      <c r="AJ709" s="168" t="str">
        <f t="shared" si="137"/>
        <v/>
      </c>
      <c r="AK709" s="168" t="str">
        <f t="shared" si="138"/>
        <v/>
      </c>
      <c r="AL709" s="28"/>
      <c r="AM709" s="28"/>
      <c r="AN709" s="20" t="str">
        <f>IF(AL709="","",IF($F709="Bernardino Furlan",_xlfn.XLOOKUP(AL709,Cadastros!$G$6:$G$90,Cadastros!$H$6:$H$90)*(1-0.18),IF($F709="Mauro José Salanti",_xlfn.XLOOKUP(AL709,Cadastros!$G$6:$G$90,Cadastros!$H$6:$H$90)*(1-0.18),_xlfn.XLOOKUP(AL709,Cadastros!$G$6:$G$90,Cadastros!$H$6:$H$90))))</f>
        <v/>
      </c>
      <c r="AO709" s="168" t="str">
        <f t="shared" si="139"/>
        <v/>
      </c>
      <c r="AP709" s="168" t="str">
        <f t="shared" si="140"/>
        <v/>
      </c>
      <c r="AQ709" s="28"/>
      <c r="AR709" s="28"/>
      <c r="AS709" s="20" t="str">
        <f>IF(AQ709="","",IF($F709="Bernardino Furlan",_xlfn.XLOOKUP(AQ709,Cadastros!$G$6:$G$90,Cadastros!$H$6:$H$90)*(1-0.18),IF($F709="Mauro José Salanti",_xlfn.XLOOKUP(AQ709,Cadastros!$G$6:$G$90,Cadastros!$H$6:$H$90)*(1-0.18),_xlfn.XLOOKUP(AQ709,Cadastros!$G$6:$G$90,Cadastros!$H$6:$H$90))))</f>
        <v/>
      </c>
      <c r="AT709" s="168" t="str">
        <f t="shared" si="141"/>
        <v/>
      </c>
      <c r="AU709" s="168" t="str">
        <f t="shared" si="142"/>
        <v/>
      </c>
      <c r="AV709" s="227"/>
      <c r="AW709" s="30"/>
      <c r="AX709" s="267"/>
      <c r="AY709" s="267"/>
      <c r="AZ709" s="29"/>
      <c r="BA709" s="30"/>
      <c r="BB709" s="23" t="str" cm="1">
        <f t="array" ref="BB709">_xlfn.IFS(AW709="SIM",SUM(K709,P709,U709,Z709,AE709,AJ709,AO709,AT709,AX709,AY709),F709&lt;&gt;"",SUM(K709,P709,U709,Z709,AE709,AJ709,,AO709,AT709),F709="","")</f>
        <v/>
      </c>
      <c r="BC709" s="211" t="str" cm="1">
        <f t="array" ref="BC709">_xlfn.IFS(E709="","",G709&lt;=E709,BB709*(1-0.03),G709&lt;(E709+8),BB709,AZ709="Boleto",BB709*(1+0.001)^DATEDIF(E709,G709,"D"),AZ709="Cheque",BB709,AZ709="Dinheiro","Alterar forma pgto")</f>
        <v/>
      </c>
      <c r="BD709" s="276" t="str" cm="1">
        <f t="array" ref="BD709">IF(F709=0," ",IF(BC709&lt;BB709,(_xlfn.IFS(AW709="SIM",SUM(L709,Q709,V709,AA709,AF709,AK709,AP709,AU709)+AX709/_xlfn.XLOOKUP(_xlfn.XLOOKUP($F709,Clientes!$B$4:$B$39,Clientes!$C$4:$C$39),Cadastros!$L$6:$L$12,Cadastros!$M$6:$M$12)+IF($F709="Bernardino Furlan",AY709/2751.92,IF($F709="Mauro José Salanti",AY709/2751.92,AY709/3356)),F709&lt;&gt;0,SUM(L709,Q709,V709,AA709,AF709,AK709,AP709,AU709)))*(1-0.03),_xlfn.IFS(AW709="SIM",SUM(L709,Q709,V709,AA709,AF709,AK709,AP709,AU709)+AX709/_xlfn.XLOOKUP(_xlfn.XLOOKUP($F709,Clientes!$B$4:$B$39,Clientes!$C$4:$C$39),Cadastros!$L$6:$L$12,Cadastros!$M$6:$M$12)+IF($F709="Bernardino Furlan",AY709/2751.92,IF($F709="Mauro José Salanti",AY709/2751.92,AY709/3356)),F709&lt;&gt;0,SUM(L709,Q709,V709,AA709,AF709,AK709,AP709,AU709))))</f>
        <v xml:space="preserve"> </v>
      </c>
      <c r="BE709" s="120"/>
      <c r="BF709" s="120"/>
      <c r="BG709" s="120"/>
    </row>
    <row r="710" spans="1:59" s="3" customFormat="1" x14ac:dyDescent="0.3">
      <c r="A710" s="15" t="str">
        <f t="shared" si="130"/>
        <v/>
      </c>
      <c r="B710" s="25"/>
      <c r="C710" s="26"/>
      <c r="D710" s="279"/>
      <c r="E710" s="27"/>
      <c r="F710" s="28"/>
      <c r="G710" s="27"/>
      <c r="H710" s="28"/>
      <c r="I710" s="28"/>
      <c r="J710" s="255" t="str">
        <f>IF(H710="","",(_xlfn.XLOOKUP(H710,Cadastros!$D$6:$D$90,Cadastros!$E$6:$E$90))*(1-_xlfn.XLOOKUP(_xlfn.XLOOKUP($F710,Clientes!$B$4:$B$39,Clientes!$C$4:$C$39),Cadastros!$L$6:$L$12,Cadastros!$N$6:$N$12)))</f>
        <v/>
      </c>
      <c r="K710" s="168" t="str">
        <f t="shared" si="131"/>
        <v/>
      </c>
      <c r="L710" s="168" t="str">
        <f>IFERROR(K710/_xlfn.XLOOKUP(_xlfn.XLOOKUP($F710,Clientes!$B$4:$B$39,Clientes!$C$4:$C$39),Cadastros!$L$6:$L$12,Cadastros!$M$6:$M$12)," ")</f>
        <v xml:space="preserve"> </v>
      </c>
      <c r="M710" s="28"/>
      <c r="N710" s="28"/>
      <c r="O710" s="255" t="str">
        <f>IF(M710="","",(_xlfn.XLOOKUP(M710,Cadastros!$D$6:$D$90,Cadastros!$E$6:$E$90))*(1-_xlfn.XLOOKUP(_xlfn.XLOOKUP($F710,Clientes!$B$4:$B$39,Clientes!$C$4:$C$39),Cadastros!$L$6:$L$12,Cadastros!$N$6:$N$12)))</f>
        <v/>
      </c>
      <c r="P710" s="168" t="str">
        <f t="shared" si="132"/>
        <v/>
      </c>
      <c r="Q710" s="168" t="str">
        <f>IFERROR(P710/_xlfn.XLOOKUP(_xlfn.XLOOKUP($F710,Clientes!$B$4:$B$39,Clientes!$C$4:$C$39),Cadastros!$L$6:$L$12,Cadastros!$M$6:$M$12)," ")</f>
        <v xml:space="preserve"> </v>
      </c>
      <c r="R710" s="28"/>
      <c r="S710" s="28"/>
      <c r="T710" s="255" t="str">
        <f>IF(R710="","",(_xlfn.XLOOKUP(R710,Cadastros!$D$6:$D$90,Cadastros!$E$6:$E$90))*(1-_xlfn.XLOOKUP(_xlfn.XLOOKUP($F710,Clientes!$B$4:$B$39,Clientes!$C$4:$C$39),Cadastros!$L$6:$L$12,Cadastros!$N$6:$N$12)))</f>
        <v/>
      </c>
      <c r="U710" s="168" t="str">
        <f t="shared" si="133"/>
        <v/>
      </c>
      <c r="V710" s="168" t="str">
        <f>IFERROR(U710/_xlfn.XLOOKUP(_xlfn.XLOOKUP($F710,Clientes!$B$4:$B$39,Clientes!$C$4:$C$39),Cadastros!$L$6:$L$12,Cadastros!$M$6:$M$12)," ")</f>
        <v xml:space="preserve"> </v>
      </c>
      <c r="W710" s="28"/>
      <c r="X710" s="28"/>
      <c r="Y710" s="255" t="str">
        <f>IF(W710="","",(_xlfn.XLOOKUP(W710,Cadastros!$D$6:$D$90,Cadastros!$E$6:$E$90))*(1-_xlfn.XLOOKUP(_xlfn.XLOOKUP($F710,Clientes!$B$4:$B$39,Clientes!$C$4:$C$39),Cadastros!$L$6:$L$12,Cadastros!$N$6:$N$12)))</f>
        <v/>
      </c>
      <c r="Z710" s="168" t="str">
        <f t="shared" si="134"/>
        <v/>
      </c>
      <c r="AA710" s="168" t="str">
        <f>IFERROR(Z710/_xlfn.XLOOKUP(_xlfn.XLOOKUP($F710,Clientes!$B$4:$B$39,Clientes!$C$4:$C$39),Cadastros!$L$6:$L$12,Cadastros!$M$6:$M$12)," ")</f>
        <v xml:space="preserve"> </v>
      </c>
      <c r="AB710" s="28"/>
      <c r="AC710" s="28"/>
      <c r="AD710" s="20" t="str">
        <f>IF(AB710="","",IF($F710="Bernardino Furlan",_xlfn.XLOOKUP(AB710,Cadastros!$G$6:$G$90,Cadastros!$H$6:$H$90)*(1-0.18),IF($F710="Mauro José Salanti",_xlfn.XLOOKUP(AB710,Cadastros!$G$6:$G$90,Cadastros!$H$6:$H$90)*(1-0.18),_xlfn.XLOOKUP(AB710,Cadastros!$G$6:$G$90,Cadastros!$H$6:$H$90))))</f>
        <v/>
      </c>
      <c r="AE710" s="168" t="str">
        <f t="shared" si="135"/>
        <v/>
      </c>
      <c r="AF710" s="168" t="str">
        <f t="shared" si="136"/>
        <v/>
      </c>
      <c r="AG710" s="28"/>
      <c r="AH710" s="28"/>
      <c r="AI710" s="20" t="str">
        <f>IF(AG710="","",IF($F710="Bernardino Furlan",_xlfn.XLOOKUP(AG710,Cadastros!$G$6:$G$90,Cadastros!$H$6:$H$90)*(1-0.18),IF($F710="Mauro José Salanti",_xlfn.XLOOKUP(AG710,Cadastros!$G$6:$G$90,Cadastros!$H$6:$H$90)*(1-0.18),_xlfn.XLOOKUP(AG710,Cadastros!$G$6:$G$90,Cadastros!$H$6:$H$90))))</f>
        <v/>
      </c>
      <c r="AJ710" s="168" t="str">
        <f t="shared" si="137"/>
        <v/>
      </c>
      <c r="AK710" s="168" t="str">
        <f t="shared" si="138"/>
        <v/>
      </c>
      <c r="AL710" s="28"/>
      <c r="AM710" s="28"/>
      <c r="AN710" s="20" t="str">
        <f>IF(AL710="","",IF($F710="Bernardino Furlan",_xlfn.XLOOKUP(AL710,Cadastros!$G$6:$G$90,Cadastros!$H$6:$H$90)*(1-0.18),IF($F710="Mauro José Salanti",_xlfn.XLOOKUP(AL710,Cadastros!$G$6:$G$90,Cadastros!$H$6:$H$90)*(1-0.18),_xlfn.XLOOKUP(AL710,Cadastros!$G$6:$G$90,Cadastros!$H$6:$H$90))))</f>
        <v/>
      </c>
      <c r="AO710" s="168" t="str">
        <f t="shared" si="139"/>
        <v/>
      </c>
      <c r="AP710" s="168" t="str">
        <f t="shared" si="140"/>
        <v/>
      </c>
      <c r="AQ710" s="28"/>
      <c r="AR710" s="28"/>
      <c r="AS710" s="20" t="str">
        <f>IF(AQ710="","",IF($F710="Bernardino Furlan",_xlfn.XLOOKUP(AQ710,Cadastros!$G$6:$G$90,Cadastros!$H$6:$H$90)*(1-0.18),IF($F710="Mauro José Salanti",_xlfn.XLOOKUP(AQ710,Cadastros!$G$6:$G$90,Cadastros!$H$6:$H$90)*(1-0.18),_xlfn.XLOOKUP(AQ710,Cadastros!$G$6:$G$90,Cadastros!$H$6:$H$90))))</f>
        <v/>
      </c>
      <c r="AT710" s="168" t="str">
        <f t="shared" si="141"/>
        <v/>
      </c>
      <c r="AU710" s="168" t="str">
        <f t="shared" si="142"/>
        <v/>
      </c>
      <c r="AV710" s="227"/>
      <c r="AW710" s="30"/>
      <c r="AX710" s="267"/>
      <c r="AY710" s="267"/>
      <c r="AZ710" s="29"/>
      <c r="BA710" s="30"/>
      <c r="BB710" s="23" t="str" cm="1">
        <f t="array" ref="BB710">_xlfn.IFS(AW710="SIM",SUM(K710,P710,U710,Z710,AE710,AJ710,AO710,AT710,AX710,AY710),F710&lt;&gt;"",SUM(K710,P710,U710,Z710,AE710,AJ710,,AO710,AT710),F710="","")</f>
        <v/>
      </c>
      <c r="BC710" s="211" t="str" cm="1">
        <f t="array" ref="BC710">_xlfn.IFS(E710="","",G710&lt;=E710,BB710*(1-0.03),G710&lt;(E710+8),BB710,AZ710="Boleto",BB710*(1+0.001)^DATEDIF(E710,G710,"D"),AZ710="Cheque",BB710,AZ710="Dinheiro","Alterar forma pgto")</f>
        <v/>
      </c>
      <c r="BD710" s="276" t="str" cm="1">
        <f t="array" ref="BD710">IF(F710=0," ",IF(BC710&lt;BB710,(_xlfn.IFS(AW710="SIM",SUM(L710,Q710,V710,AA710,AF710,AK710,AP710,AU710)+AX710/_xlfn.XLOOKUP(_xlfn.XLOOKUP($F710,Clientes!$B$4:$B$39,Clientes!$C$4:$C$39),Cadastros!$L$6:$L$12,Cadastros!$M$6:$M$12)+IF($F710="Bernardino Furlan",AY710/2751.92,IF($F710="Mauro José Salanti",AY710/2751.92,AY710/3356)),F710&lt;&gt;0,SUM(L710,Q710,V710,AA710,AF710,AK710,AP710,AU710)))*(1-0.03),_xlfn.IFS(AW710="SIM",SUM(L710,Q710,V710,AA710,AF710,AK710,AP710,AU710)+AX710/_xlfn.XLOOKUP(_xlfn.XLOOKUP($F710,Clientes!$B$4:$B$39,Clientes!$C$4:$C$39),Cadastros!$L$6:$L$12,Cadastros!$M$6:$M$12)+IF($F710="Bernardino Furlan",AY710/2751.92,IF($F710="Mauro José Salanti",AY710/2751.92,AY710/3356)),F710&lt;&gt;0,SUM(L710,Q710,V710,AA710,AF710,AK710,AP710,AU710))))</f>
        <v xml:space="preserve"> </v>
      </c>
      <c r="BE710" s="120"/>
      <c r="BF710" s="120"/>
      <c r="BG710" s="120"/>
    </row>
    <row r="711" spans="1:59" s="3" customFormat="1" x14ac:dyDescent="0.3">
      <c r="A711" s="15" t="str">
        <f t="shared" si="130"/>
        <v/>
      </c>
      <c r="B711" s="25"/>
      <c r="C711" s="26"/>
      <c r="D711" s="279"/>
      <c r="E711" s="27"/>
      <c r="F711" s="28"/>
      <c r="G711" s="27"/>
      <c r="H711" s="28"/>
      <c r="I711" s="28"/>
      <c r="J711" s="255" t="str">
        <f>IF(H711="","",(_xlfn.XLOOKUP(H711,Cadastros!$D$6:$D$90,Cadastros!$E$6:$E$90))*(1-_xlfn.XLOOKUP(_xlfn.XLOOKUP($F711,Clientes!$B$4:$B$39,Clientes!$C$4:$C$39),Cadastros!$L$6:$L$12,Cadastros!$N$6:$N$12)))</f>
        <v/>
      </c>
      <c r="K711" s="168" t="str">
        <f t="shared" si="131"/>
        <v/>
      </c>
      <c r="L711" s="168" t="str">
        <f>IFERROR(K711/_xlfn.XLOOKUP(_xlfn.XLOOKUP($F711,Clientes!$B$4:$B$39,Clientes!$C$4:$C$39),Cadastros!$L$6:$L$12,Cadastros!$M$6:$M$12)," ")</f>
        <v xml:space="preserve"> </v>
      </c>
      <c r="M711" s="28"/>
      <c r="N711" s="28"/>
      <c r="O711" s="255" t="str">
        <f>IF(M711="","",(_xlfn.XLOOKUP(M711,Cadastros!$D$6:$D$90,Cadastros!$E$6:$E$90))*(1-_xlfn.XLOOKUP(_xlfn.XLOOKUP($F711,Clientes!$B$4:$B$39,Clientes!$C$4:$C$39),Cadastros!$L$6:$L$12,Cadastros!$N$6:$N$12)))</f>
        <v/>
      </c>
      <c r="P711" s="168" t="str">
        <f t="shared" si="132"/>
        <v/>
      </c>
      <c r="Q711" s="168" t="str">
        <f>IFERROR(P711/_xlfn.XLOOKUP(_xlfn.XLOOKUP($F711,Clientes!$B$4:$B$39,Clientes!$C$4:$C$39),Cadastros!$L$6:$L$12,Cadastros!$M$6:$M$12)," ")</f>
        <v xml:space="preserve"> </v>
      </c>
      <c r="R711" s="28"/>
      <c r="S711" s="28"/>
      <c r="T711" s="255" t="str">
        <f>IF(R711="","",(_xlfn.XLOOKUP(R711,Cadastros!$D$6:$D$90,Cadastros!$E$6:$E$90))*(1-_xlfn.XLOOKUP(_xlfn.XLOOKUP($F711,Clientes!$B$4:$B$39,Clientes!$C$4:$C$39),Cadastros!$L$6:$L$12,Cadastros!$N$6:$N$12)))</f>
        <v/>
      </c>
      <c r="U711" s="168" t="str">
        <f t="shared" si="133"/>
        <v/>
      </c>
      <c r="V711" s="168" t="str">
        <f>IFERROR(U711/_xlfn.XLOOKUP(_xlfn.XLOOKUP($F711,Clientes!$B$4:$B$39,Clientes!$C$4:$C$39),Cadastros!$L$6:$L$12,Cadastros!$M$6:$M$12)," ")</f>
        <v xml:space="preserve"> </v>
      </c>
      <c r="W711" s="28"/>
      <c r="X711" s="28"/>
      <c r="Y711" s="255" t="str">
        <f>IF(W711="","",(_xlfn.XLOOKUP(W711,Cadastros!$D$6:$D$90,Cadastros!$E$6:$E$90))*(1-_xlfn.XLOOKUP(_xlfn.XLOOKUP($F711,Clientes!$B$4:$B$39,Clientes!$C$4:$C$39),Cadastros!$L$6:$L$12,Cadastros!$N$6:$N$12)))</f>
        <v/>
      </c>
      <c r="Z711" s="168" t="str">
        <f t="shared" si="134"/>
        <v/>
      </c>
      <c r="AA711" s="168" t="str">
        <f>IFERROR(Z711/_xlfn.XLOOKUP(_xlfn.XLOOKUP($F711,Clientes!$B$4:$B$39,Clientes!$C$4:$C$39),Cadastros!$L$6:$L$12,Cadastros!$M$6:$M$12)," ")</f>
        <v xml:space="preserve"> </v>
      </c>
      <c r="AB711" s="28"/>
      <c r="AC711" s="28"/>
      <c r="AD711" s="20" t="str">
        <f>IF(AB711="","",IF($F711="Bernardino Furlan",_xlfn.XLOOKUP(AB711,Cadastros!$G$6:$G$90,Cadastros!$H$6:$H$90)*(1-0.18),IF($F711="Mauro José Salanti",_xlfn.XLOOKUP(AB711,Cadastros!$G$6:$G$90,Cadastros!$H$6:$H$90)*(1-0.18),_xlfn.XLOOKUP(AB711,Cadastros!$G$6:$G$90,Cadastros!$H$6:$H$90))))</f>
        <v/>
      </c>
      <c r="AE711" s="168" t="str">
        <f t="shared" si="135"/>
        <v/>
      </c>
      <c r="AF711" s="168" t="str">
        <f t="shared" si="136"/>
        <v/>
      </c>
      <c r="AG711" s="28"/>
      <c r="AH711" s="28"/>
      <c r="AI711" s="20" t="str">
        <f>IF(AG711="","",IF($F711="Bernardino Furlan",_xlfn.XLOOKUP(AG711,Cadastros!$G$6:$G$90,Cadastros!$H$6:$H$90)*(1-0.18),IF($F711="Mauro José Salanti",_xlfn.XLOOKUP(AG711,Cadastros!$G$6:$G$90,Cadastros!$H$6:$H$90)*(1-0.18),_xlfn.XLOOKUP(AG711,Cadastros!$G$6:$G$90,Cadastros!$H$6:$H$90))))</f>
        <v/>
      </c>
      <c r="AJ711" s="168" t="str">
        <f t="shared" si="137"/>
        <v/>
      </c>
      <c r="AK711" s="168" t="str">
        <f t="shared" si="138"/>
        <v/>
      </c>
      <c r="AL711" s="28"/>
      <c r="AM711" s="28"/>
      <c r="AN711" s="20" t="str">
        <f>IF(AL711="","",IF($F711="Bernardino Furlan",_xlfn.XLOOKUP(AL711,Cadastros!$G$6:$G$90,Cadastros!$H$6:$H$90)*(1-0.18),IF($F711="Mauro José Salanti",_xlfn.XLOOKUP(AL711,Cadastros!$G$6:$G$90,Cadastros!$H$6:$H$90)*(1-0.18),_xlfn.XLOOKUP(AL711,Cadastros!$G$6:$G$90,Cadastros!$H$6:$H$90))))</f>
        <v/>
      </c>
      <c r="AO711" s="168" t="str">
        <f t="shared" si="139"/>
        <v/>
      </c>
      <c r="AP711" s="168" t="str">
        <f t="shared" si="140"/>
        <v/>
      </c>
      <c r="AQ711" s="28"/>
      <c r="AR711" s="28"/>
      <c r="AS711" s="20" t="str">
        <f>IF(AQ711="","",IF($F711="Bernardino Furlan",_xlfn.XLOOKUP(AQ711,Cadastros!$G$6:$G$90,Cadastros!$H$6:$H$90)*(1-0.18),IF($F711="Mauro José Salanti",_xlfn.XLOOKUP(AQ711,Cadastros!$G$6:$G$90,Cadastros!$H$6:$H$90)*(1-0.18),_xlfn.XLOOKUP(AQ711,Cadastros!$G$6:$G$90,Cadastros!$H$6:$H$90))))</f>
        <v/>
      </c>
      <c r="AT711" s="168" t="str">
        <f t="shared" si="141"/>
        <v/>
      </c>
      <c r="AU711" s="168" t="str">
        <f t="shared" si="142"/>
        <v/>
      </c>
      <c r="AV711" s="227"/>
      <c r="AW711" s="30"/>
      <c r="AX711" s="267"/>
      <c r="AY711" s="267"/>
      <c r="AZ711" s="29"/>
      <c r="BA711" s="30"/>
      <c r="BB711" s="23" t="str" cm="1">
        <f t="array" ref="BB711">_xlfn.IFS(AW711="SIM",SUM(K711,P711,U711,Z711,AE711,AJ711,AO711,AT711,AX711,AY711),F711&lt;&gt;"",SUM(K711,P711,U711,Z711,AE711,AJ711,,AO711,AT711),F711="","")</f>
        <v/>
      </c>
      <c r="BC711" s="211" t="str" cm="1">
        <f t="array" ref="BC711">_xlfn.IFS(E711="","",G711&lt;=E711,BB711*(1-0.03),G711&lt;(E711+8),BB711,AZ711="Boleto",BB711*(1+0.001)^DATEDIF(E711,G711,"D"),AZ711="Cheque",BB711,AZ711="Dinheiro","Alterar forma pgto")</f>
        <v/>
      </c>
      <c r="BD711" s="276" t="str" cm="1">
        <f t="array" ref="BD711">IF(F711=0," ",IF(BC711&lt;BB711,(_xlfn.IFS(AW711="SIM",SUM(L711,Q711,V711,AA711,AF711,AK711,AP711,AU711)+AX711/_xlfn.XLOOKUP(_xlfn.XLOOKUP($F711,Clientes!$B$4:$B$39,Clientes!$C$4:$C$39),Cadastros!$L$6:$L$12,Cadastros!$M$6:$M$12)+IF($F711="Bernardino Furlan",AY711/2751.92,IF($F711="Mauro José Salanti",AY711/2751.92,AY711/3356)),F711&lt;&gt;0,SUM(L711,Q711,V711,AA711,AF711,AK711,AP711,AU711)))*(1-0.03),_xlfn.IFS(AW711="SIM",SUM(L711,Q711,V711,AA711,AF711,AK711,AP711,AU711)+AX711/_xlfn.XLOOKUP(_xlfn.XLOOKUP($F711,Clientes!$B$4:$B$39,Clientes!$C$4:$C$39),Cadastros!$L$6:$L$12,Cadastros!$M$6:$M$12)+IF($F711="Bernardino Furlan",AY711/2751.92,IF($F711="Mauro José Salanti",AY711/2751.92,AY711/3356)),F711&lt;&gt;0,SUM(L711,Q711,V711,AA711,AF711,AK711,AP711,AU711))))</f>
        <v xml:space="preserve"> </v>
      </c>
      <c r="BE711" s="120"/>
      <c r="BF711" s="120"/>
      <c r="BG711" s="120"/>
    </row>
    <row r="712" spans="1:59" s="3" customFormat="1" x14ac:dyDescent="0.3">
      <c r="A712" s="15" t="str">
        <f t="shared" ref="A712:A775" si="143">IF(C712="orçamento",25%,IF(C712="aprovado",50%,IF(C712="entregue",100%,IF(C712="não aceito",0%,""))))</f>
        <v/>
      </c>
      <c r="B712" s="25"/>
      <c r="C712" s="26"/>
      <c r="D712" s="279"/>
      <c r="E712" s="27"/>
      <c r="F712" s="28"/>
      <c r="G712" s="27"/>
      <c r="H712" s="28"/>
      <c r="I712" s="28"/>
      <c r="J712" s="255" t="str">
        <f>IF(H712="","",(_xlfn.XLOOKUP(H712,Cadastros!$D$6:$D$90,Cadastros!$E$6:$E$90))*(1-_xlfn.XLOOKUP(_xlfn.XLOOKUP($F712,Clientes!$B$4:$B$39,Clientes!$C$4:$C$39),Cadastros!$L$6:$L$12,Cadastros!$N$6:$N$12)))</f>
        <v/>
      </c>
      <c r="K712" s="168" t="str">
        <f t="shared" ref="K712:K775" si="144">IF(J712="","",I712*J712)</f>
        <v/>
      </c>
      <c r="L712" s="168" t="str">
        <f>IFERROR(K712/_xlfn.XLOOKUP(_xlfn.XLOOKUP($F712,Clientes!$B$4:$B$39,Clientes!$C$4:$C$39),Cadastros!$L$6:$L$12,Cadastros!$M$6:$M$12)," ")</f>
        <v xml:space="preserve"> </v>
      </c>
      <c r="M712" s="28"/>
      <c r="N712" s="28"/>
      <c r="O712" s="255" t="str">
        <f>IF(M712="","",(_xlfn.XLOOKUP(M712,Cadastros!$D$6:$D$90,Cadastros!$E$6:$E$90))*(1-_xlfn.XLOOKUP(_xlfn.XLOOKUP($F712,Clientes!$B$4:$B$39,Clientes!$C$4:$C$39),Cadastros!$L$6:$L$12,Cadastros!$N$6:$N$12)))</f>
        <v/>
      </c>
      <c r="P712" s="168" t="str">
        <f t="shared" ref="P712:P775" si="145">IF(O712="","",N712*O712)</f>
        <v/>
      </c>
      <c r="Q712" s="168" t="str">
        <f>IFERROR(P712/_xlfn.XLOOKUP(_xlfn.XLOOKUP($F712,Clientes!$B$4:$B$39,Clientes!$C$4:$C$39),Cadastros!$L$6:$L$12,Cadastros!$M$6:$M$12)," ")</f>
        <v xml:space="preserve"> </v>
      </c>
      <c r="R712" s="28"/>
      <c r="S712" s="28"/>
      <c r="T712" s="255" t="str">
        <f>IF(R712="","",(_xlfn.XLOOKUP(R712,Cadastros!$D$6:$D$90,Cadastros!$E$6:$E$90))*(1-_xlfn.XLOOKUP(_xlfn.XLOOKUP($F712,Clientes!$B$4:$B$39,Clientes!$C$4:$C$39),Cadastros!$L$6:$L$12,Cadastros!$N$6:$N$12)))</f>
        <v/>
      </c>
      <c r="U712" s="168" t="str">
        <f t="shared" ref="U712:U775" si="146">IF(T712="","",S712*T712)</f>
        <v/>
      </c>
      <c r="V712" s="168" t="str">
        <f>IFERROR(U712/_xlfn.XLOOKUP(_xlfn.XLOOKUP($F712,Clientes!$B$4:$B$39,Clientes!$C$4:$C$39),Cadastros!$L$6:$L$12,Cadastros!$M$6:$M$12)," ")</f>
        <v xml:space="preserve"> </v>
      </c>
      <c r="W712" s="28"/>
      <c r="X712" s="28"/>
      <c r="Y712" s="255" t="str">
        <f>IF(W712="","",(_xlfn.XLOOKUP(W712,Cadastros!$D$6:$D$90,Cadastros!$E$6:$E$90))*(1-_xlfn.XLOOKUP(_xlfn.XLOOKUP($F712,Clientes!$B$4:$B$39,Clientes!$C$4:$C$39),Cadastros!$L$6:$L$12,Cadastros!$N$6:$N$12)))</f>
        <v/>
      </c>
      <c r="Z712" s="168" t="str">
        <f t="shared" ref="Z712:Z775" si="147">IF(Y712="","",X712*Y712)</f>
        <v/>
      </c>
      <c r="AA712" s="168" t="str">
        <f>IFERROR(Z712/_xlfn.XLOOKUP(_xlfn.XLOOKUP($F712,Clientes!$B$4:$B$39,Clientes!$C$4:$C$39),Cadastros!$L$6:$L$12,Cadastros!$M$6:$M$12)," ")</f>
        <v xml:space="preserve"> </v>
      </c>
      <c r="AB712" s="28"/>
      <c r="AC712" s="28"/>
      <c r="AD712" s="20" t="str">
        <f>IF(AB712="","",IF($F712="Bernardino Furlan",_xlfn.XLOOKUP(AB712,Cadastros!$G$6:$G$90,Cadastros!$H$6:$H$90)*(1-0.18),IF($F712="Mauro José Salanti",_xlfn.XLOOKUP(AB712,Cadastros!$G$6:$G$90,Cadastros!$H$6:$H$90)*(1-0.18),_xlfn.XLOOKUP(AB712,Cadastros!$G$6:$G$90,Cadastros!$H$6:$H$90))))</f>
        <v/>
      </c>
      <c r="AE712" s="168" t="str">
        <f t="shared" ref="AE712:AE775" si="148">IF(AD712="","",AC712*AD712)</f>
        <v/>
      </c>
      <c r="AF712" s="168" t="str">
        <f t="shared" ref="AF712:AF775" si="149">IFERROR(IF($F712="Bernardino Furlan",AE712/2751.92,IF($F712="Mauro José Salanti",AE712/2751.92,AE712/3356)),"")</f>
        <v/>
      </c>
      <c r="AG712" s="28"/>
      <c r="AH712" s="28"/>
      <c r="AI712" s="20" t="str">
        <f>IF(AG712="","",IF($F712="Bernardino Furlan",_xlfn.XLOOKUP(AG712,Cadastros!$G$6:$G$90,Cadastros!$H$6:$H$90)*(1-0.18),IF($F712="Mauro José Salanti",_xlfn.XLOOKUP(AG712,Cadastros!$G$6:$G$90,Cadastros!$H$6:$H$90)*(1-0.18),_xlfn.XLOOKUP(AG712,Cadastros!$G$6:$G$90,Cadastros!$H$6:$H$90))))</f>
        <v/>
      </c>
      <c r="AJ712" s="168" t="str">
        <f t="shared" ref="AJ712:AJ775" si="150">IF(AI712="","",AH712*AI712)</f>
        <v/>
      </c>
      <c r="AK712" s="168" t="str">
        <f t="shared" ref="AK712:AK775" si="151">IFERROR(IF($F712="Bernardino Furlan",AJ712/2751.92,IF($F712="Mauro José Salanti",AJ712/2751.92,AJ712/3356)),"")</f>
        <v/>
      </c>
      <c r="AL712" s="28"/>
      <c r="AM712" s="28"/>
      <c r="AN712" s="20" t="str">
        <f>IF(AL712="","",IF($F712="Bernardino Furlan",_xlfn.XLOOKUP(AL712,Cadastros!$G$6:$G$90,Cadastros!$H$6:$H$90)*(1-0.18),IF($F712="Mauro José Salanti",_xlfn.XLOOKUP(AL712,Cadastros!$G$6:$G$90,Cadastros!$H$6:$H$90)*(1-0.18),_xlfn.XLOOKUP(AL712,Cadastros!$G$6:$G$90,Cadastros!$H$6:$H$90))))</f>
        <v/>
      </c>
      <c r="AO712" s="168" t="str">
        <f t="shared" ref="AO712:AO775" si="152">IF(AN712="","",AM712*AN712)</f>
        <v/>
      </c>
      <c r="AP712" s="168" t="str">
        <f t="shared" ref="AP712:AP775" si="153">IFERROR(IF($F712="Bernardino Furlan",AO712/2751.92,IF($F712="Mauro José Salanti",AO712/2751.92,AO712/3356)),"")</f>
        <v/>
      </c>
      <c r="AQ712" s="28"/>
      <c r="AR712" s="28"/>
      <c r="AS712" s="20" t="str">
        <f>IF(AQ712="","",IF($F712="Bernardino Furlan",_xlfn.XLOOKUP(AQ712,Cadastros!$G$6:$G$90,Cadastros!$H$6:$H$90)*(1-0.18),IF($F712="Mauro José Salanti",_xlfn.XLOOKUP(AQ712,Cadastros!$G$6:$G$90,Cadastros!$H$6:$H$90)*(1-0.18),_xlfn.XLOOKUP(AQ712,Cadastros!$G$6:$G$90,Cadastros!$H$6:$H$90))))</f>
        <v/>
      </c>
      <c r="AT712" s="168" t="str">
        <f t="shared" ref="AT712:AT775" si="154">IF(AS712="","",AR712*AS712)</f>
        <v/>
      </c>
      <c r="AU712" s="168" t="str">
        <f t="shared" ref="AU712:AU775" si="155">IFERROR(IF($F712="Bernardino Furlan",AT712/2751.92,IF($F712="Mauro José Salanti",AT712/2751.92,AT712/3356)),"")</f>
        <v/>
      </c>
      <c r="AV712" s="227"/>
      <c r="AW712" s="30"/>
      <c r="AX712" s="267"/>
      <c r="AY712" s="267"/>
      <c r="AZ712" s="29"/>
      <c r="BA712" s="30"/>
      <c r="BB712" s="23" t="str" cm="1">
        <f t="array" ref="BB712">_xlfn.IFS(AW712="SIM",SUM(K712,P712,U712,Z712,AE712,AJ712,AO712,AT712,AX712,AY712),F712&lt;&gt;"",SUM(K712,P712,U712,Z712,AE712,AJ712,,AO712,AT712),F712="","")</f>
        <v/>
      </c>
      <c r="BC712" s="211" t="str" cm="1">
        <f t="array" ref="BC712">_xlfn.IFS(E712="","",G712&lt;=E712,BB712*(1-0.03),G712&lt;(E712+8),BB712,AZ712="Boleto",BB712*(1+0.001)^DATEDIF(E712,G712,"D"),AZ712="Cheque",BB712,AZ712="Dinheiro","Alterar forma pgto")</f>
        <v/>
      </c>
      <c r="BD712" s="276" t="str" cm="1">
        <f t="array" ref="BD712">IF(F712=0," ",IF(BC712&lt;BB712,(_xlfn.IFS(AW712="SIM",SUM(L712,Q712,V712,AA712,AF712,AK712,AP712,AU712)+AX712/_xlfn.XLOOKUP(_xlfn.XLOOKUP($F712,Clientes!$B$4:$B$39,Clientes!$C$4:$C$39),Cadastros!$L$6:$L$12,Cadastros!$M$6:$M$12)+IF($F712="Bernardino Furlan",AY712/2751.92,IF($F712="Mauro José Salanti",AY712/2751.92,AY712/3356)),F712&lt;&gt;0,SUM(L712,Q712,V712,AA712,AF712,AK712,AP712,AU712)))*(1-0.03),_xlfn.IFS(AW712="SIM",SUM(L712,Q712,V712,AA712,AF712,AK712,AP712,AU712)+AX712/_xlfn.XLOOKUP(_xlfn.XLOOKUP($F712,Clientes!$B$4:$B$39,Clientes!$C$4:$C$39),Cadastros!$L$6:$L$12,Cadastros!$M$6:$M$12)+IF($F712="Bernardino Furlan",AY712/2751.92,IF($F712="Mauro José Salanti",AY712/2751.92,AY712/3356)),F712&lt;&gt;0,SUM(L712,Q712,V712,AA712,AF712,AK712,AP712,AU712))))</f>
        <v xml:space="preserve"> </v>
      </c>
      <c r="BE712" s="120"/>
      <c r="BF712" s="120"/>
      <c r="BG712" s="120"/>
    </row>
    <row r="713" spans="1:59" s="3" customFormat="1" x14ac:dyDescent="0.3">
      <c r="A713" s="15" t="str">
        <f t="shared" si="143"/>
        <v/>
      </c>
      <c r="B713" s="25"/>
      <c r="C713" s="26"/>
      <c r="D713" s="279"/>
      <c r="E713" s="27"/>
      <c r="F713" s="28"/>
      <c r="G713" s="27"/>
      <c r="H713" s="28"/>
      <c r="I713" s="28"/>
      <c r="J713" s="255" t="str">
        <f>IF(H713="","",(_xlfn.XLOOKUP(H713,Cadastros!$D$6:$D$90,Cadastros!$E$6:$E$90))*(1-_xlfn.XLOOKUP(_xlfn.XLOOKUP($F713,Clientes!$B$4:$B$39,Clientes!$C$4:$C$39),Cadastros!$L$6:$L$12,Cadastros!$N$6:$N$12)))</f>
        <v/>
      </c>
      <c r="K713" s="168" t="str">
        <f t="shared" si="144"/>
        <v/>
      </c>
      <c r="L713" s="168" t="str">
        <f>IFERROR(K713/_xlfn.XLOOKUP(_xlfn.XLOOKUP($F713,Clientes!$B$4:$B$39,Clientes!$C$4:$C$39),Cadastros!$L$6:$L$12,Cadastros!$M$6:$M$12)," ")</f>
        <v xml:space="preserve"> </v>
      </c>
      <c r="M713" s="28"/>
      <c r="N713" s="28"/>
      <c r="O713" s="255" t="str">
        <f>IF(M713="","",(_xlfn.XLOOKUP(M713,Cadastros!$D$6:$D$90,Cadastros!$E$6:$E$90))*(1-_xlfn.XLOOKUP(_xlfn.XLOOKUP($F713,Clientes!$B$4:$B$39,Clientes!$C$4:$C$39),Cadastros!$L$6:$L$12,Cadastros!$N$6:$N$12)))</f>
        <v/>
      </c>
      <c r="P713" s="168" t="str">
        <f t="shared" si="145"/>
        <v/>
      </c>
      <c r="Q713" s="168" t="str">
        <f>IFERROR(P713/_xlfn.XLOOKUP(_xlfn.XLOOKUP($F713,Clientes!$B$4:$B$39,Clientes!$C$4:$C$39),Cadastros!$L$6:$L$12,Cadastros!$M$6:$M$12)," ")</f>
        <v xml:space="preserve"> </v>
      </c>
      <c r="R713" s="28"/>
      <c r="S713" s="28"/>
      <c r="T713" s="255" t="str">
        <f>IF(R713="","",(_xlfn.XLOOKUP(R713,Cadastros!$D$6:$D$90,Cadastros!$E$6:$E$90))*(1-_xlfn.XLOOKUP(_xlfn.XLOOKUP($F713,Clientes!$B$4:$B$39,Clientes!$C$4:$C$39),Cadastros!$L$6:$L$12,Cadastros!$N$6:$N$12)))</f>
        <v/>
      </c>
      <c r="U713" s="168" t="str">
        <f t="shared" si="146"/>
        <v/>
      </c>
      <c r="V713" s="168" t="str">
        <f>IFERROR(U713/_xlfn.XLOOKUP(_xlfn.XLOOKUP($F713,Clientes!$B$4:$B$39,Clientes!$C$4:$C$39),Cadastros!$L$6:$L$12,Cadastros!$M$6:$M$12)," ")</f>
        <v xml:space="preserve"> </v>
      </c>
      <c r="W713" s="28"/>
      <c r="X713" s="28"/>
      <c r="Y713" s="255" t="str">
        <f>IF(W713="","",(_xlfn.XLOOKUP(W713,Cadastros!$D$6:$D$90,Cadastros!$E$6:$E$90))*(1-_xlfn.XLOOKUP(_xlfn.XLOOKUP($F713,Clientes!$B$4:$B$39,Clientes!$C$4:$C$39),Cadastros!$L$6:$L$12,Cadastros!$N$6:$N$12)))</f>
        <v/>
      </c>
      <c r="Z713" s="168" t="str">
        <f t="shared" si="147"/>
        <v/>
      </c>
      <c r="AA713" s="168" t="str">
        <f>IFERROR(Z713/_xlfn.XLOOKUP(_xlfn.XLOOKUP($F713,Clientes!$B$4:$B$39,Clientes!$C$4:$C$39),Cadastros!$L$6:$L$12,Cadastros!$M$6:$M$12)," ")</f>
        <v xml:space="preserve"> </v>
      </c>
      <c r="AB713" s="28"/>
      <c r="AC713" s="28"/>
      <c r="AD713" s="20" t="str">
        <f>IF(AB713="","",IF($F713="Bernardino Furlan",_xlfn.XLOOKUP(AB713,Cadastros!$G$6:$G$90,Cadastros!$H$6:$H$90)*(1-0.18),IF($F713="Mauro José Salanti",_xlfn.XLOOKUP(AB713,Cadastros!$G$6:$G$90,Cadastros!$H$6:$H$90)*(1-0.18),_xlfn.XLOOKUP(AB713,Cadastros!$G$6:$G$90,Cadastros!$H$6:$H$90))))</f>
        <v/>
      </c>
      <c r="AE713" s="168" t="str">
        <f t="shared" si="148"/>
        <v/>
      </c>
      <c r="AF713" s="168" t="str">
        <f t="shared" si="149"/>
        <v/>
      </c>
      <c r="AG713" s="28"/>
      <c r="AH713" s="28"/>
      <c r="AI713" s="20" t="str">
        <f>IF(AG713="","",IF($F713="Bernardino Furlan",_xlfn.XLOOKUP(AG713,Cadastros!$G$6:$G$90,Cadastros!$H$6:$H$90)*(1-0.18),IF($F713="Mauro José Salanti",_xlfn.XLOOKUP(AG713,Cadastros!$G$6:$G$90,Cadastros!$H$6:$H$90)*(1-0.18),_xlfn.XLOOKUP(AG713,Cadastros!$G$6:$G$90,Cadastros!$H$6:$H$90))))</f>
        <v/>
      </c>
      <c r="AJ713" s="168" t="str">
        <f t="shared" si="150"/>
        <v/>
      </c>
      <c r="AK713" s="168" t="str">
        <f t="shared" si="151"/>
        <v/>
      </c>
      <c r="AL713" s="28"/>
      <c r="AM713" s="28"/>
      <c r="AN713" s="20" t="str">
        <f>IF(AL713="","",IF($F713="Bernardino Furlan",_xlfn.XLOOKUP(AL713,Cadastros!$G$6:$G$90,Cadastros!$H$6:$H$90)*(1-0.18),IF($F713="Mauro José Salanti",_xlfn.XLOOKUP(AL713,Cadastros!$G$6:$G$90,Cadastros!$H$6:$H$90)*(1-0.18),_xlfn.XLOOKUP(AL713,Cadastros!$G$6:$G$90,Cadastros!$H$6:$H$90))))</f>
        <v/>
      </c>
      <c r="AO713" s="168" t="str">
        <f t="shared" si="152"/>
        <v/>
      </c>
      <c r="AP713" s="168" t="str">
        <f t="shared" si="153"/>
        <v/>
      </c>
      <c r="AQ713" s="28"/>
      <c r="AR713" s="28"/>
      <c r="AS713" s="20" t="str">
        <f>IF(AQ713="","",IF($F713="Bernardino Furlan",_xlfn.XLOOKUP(AQ713,Cadastros!$G$6:$G$90,Cadastros!$H$6:$H$90)*(1-0.18),IF($F713="Mauro José Salanti",_xlfn.XLOOKUP(AQ713,Cadastros!$G$6:$G$90,Cadastros!$H$6:$H$90)*(1-0.18),_xlfn.XLOOKUP(AQ713,Cadastros!$G$6:$G$90,Cadastros!$H$6:$H$90))))</f>
        <v/>
      </c>
      <c r="AT713" s="168" t="str">
        <f t="shared" si="154"/>
        <v/>
      </c>
      <c r="AU713" s="168" t="str">
        <f t="shared" si="155"/>
        <v/>
      </c>
      <c r="AV713" s="227"/>
      <c r="AW713" s="30"/>
      <c r="AX713" s="267"/>
      <c r="AY713" s="267"/>
      <c r="AZ713" s="29"/>
      <c r="BA713" s="30"/>
      <c r="BB713" s="23" t="str" cm="1">
        <f t="array" ref="BB713">_xlfn.IFS(AW713="SIM",SUM(K713,P713,U713,Z713,AE713,AJ713,AO713,AT713,AX713,AY713),F713&lt;&gt;"",SUM(K713,P713,U713,Z713,AE713,AJ713,,AO713,AT713),F713="","")</f>
        <v/>
      </c>
      <c r="BC713" s="211" t="str" cm="1">
        <f t="array" ref="BC713">_xlfn.IFS(E713="","",G713&lt;=E713,BB713*(1-0.03),G713&lt;(E713+8),BB713,AZ713="Boleto",BB713*(1+0.001)^DATEDIF(E713,G713,"D"),AZ713="Cheque",BB713,AZ713="Dinheiro","Alterar forma pgto")</f>
        <v/>
      </c>
      <c r="BD713" s="276" t="str" cm="1">
        <f t="array" ref="BD713">IF(F713=0," ",IF(BC713&lt;BB713,(_xlfn.IFS(AW713="SIM",SUM(L713,Q713,V713,AA713,AF713,AK713,AP713,AU713)+AX713/_xlfn.XLOOKUP(_xlfn.XLOOKUP($F713,Clientes!$B$4:$B$39,Clientes!$C$4:$C$39),Cadastros!$L$6:$L$12,Cadastros!$M$6:$M$12)+IF($F713="Bernardino Furlan",AY713/2751.92,IF($F713="Mauro José Salanti",AY713/2751.92,AY713/3356)),F713&lt;&gt;0,SUM(L713,Q713,V713,AA713,AF713,AK713,AP713,AU713)))*(1-0.03),_xlfn.IFS(AW713="SIM",SUM(L713,Q713,V713,AA713,AF713,AK713,AP713,AU713)+AX713/_xlfn.XLOOKUP(_xlfn.XLOOKUP($F713,Clientes!$B$4:$B$39,Clientes!$C$4:$C$39),Cadastros!$L$6:$L$12,Cadastros!$M$6:$M$12)+IF($F713="Bernardino Furlan",AY713/2751.92,IF($F713="Mauro José Salanti",AY713/2751.92,AY713/3356)),F713&lt;&gt;0,SUM(L713,Q713,V713,AA713,AF713,AK713,AP713,AU713))))</f>
        <v xml:space="preserve"> </v>
      </c>
      <c r="BE713" s="120"/>
      <c r="BF713" s="120"/>
      <c r="BG713" s="120"/>
    </row>
    <row r="714" spans="1:59" s="3" customFormat="1" x14ac:dyDescent="0.3">
      <c r="A714" s="15" t="str">
        <f t="shared" si="143"/>
        <v/>
      </c>
      <c r="B714" s="25"/>
      <c r="C714" s="26"/>
      <c r="D714" s="279"/>
      <c r="E714" s="27"/>
      <c r="F714" s="28"/>
      <c r="G714" s="27"/>
      <c r="H714" s="28"/>
      <c r="I714" s="28"/>
      <c r="J714" s="255" t="str">
        <f>IF(H714="","",(_xlfn.XLOOKUP(H714,Cadastros!$D$6:$D$90,Cadastros!$E$6:$E$90))*(1-_xlfn.XLOOKUP(_xlfn.XLOOKUP($F714,Clientes!$B$4:$B$39,Clientes!$C$4:$C$39),Cadastros!$L$6:$L$12,Cadastros!$N$6:$N$12)))</f>
        <v/>
      </c>
      <c r="K714" s="168" t="str">
        <f t="shared" si="144"/>
        <v/>
      </c>
      <c r="L714" s="168" t="str">
        <f>IFERROR(K714/_xlfn.XLOOKUP(_xlfn.XLOOKUP($F714,Clientes!$B$4:$B$39,Clientes!$C$4:$C$39),Cadastros!$L$6:$L$12,Cadastros!$M$6:$M$12)," ")</f>
        <v xml:space="preserve"> </v>
      </c>
      <c r="M714" s="28"/>
      <c r="N714" s="28"/>
      <c r="O714" s="255" t="str">
        <f>IF(M714="","",(_xlfn.XLOOKUP(M714,Cadastros!$D$6:$D$90,Cadastros!$E$6:$E$90))*(1-_xlfn.XLOOKUP(_xlfn.XLOOKUP($F714,Clientes!$B$4:$B$39,Clientes!$C$4:$C$39),Cadastros!$L$6:$L$12,Cadastros!$N$6:$N$12)))</f>
        <v/>
      </c>
      <c r="P714" s="168" t="str">
        <f t="shared" si="145"/>
        <v/>
      </c>
      <c r="Q714" s="168" t="str">
        <f>IFERROR(P714/_xlfn.XLOOKUP(_xlfn.XLOOKUP($F714,Clientes!$B$4:$B$39,Clientes!$C$4:$C$39),Cadastros!$L$6:$L$12,Cadastros!$M$6:$M$12)," ")</f>
        <v xml:space="preserve"> </v>
      </c>
      <c r="R714" s="28"/>
      <c r="S714" s="28"/>
      <c r="T714" s="255" t="str">
        <f>IF(R714="","",(_xlfn.XLOOKUP(R714,Cadastros!$D$6:$D$90,Cadastros!$E$6:$E$90))*(1-_xlfn.XLOOKUP(_xlfn.XLOOKUP($F714,Clientes!$B$4:$B$39,Clientes!$C$4:$C$39),Cadastros!$L$6:$L$12,Cadastros!$N$6:$N$12)))</f>
        <v/>
      </c>
      <c r="U714" s="168" t="str">
        <f t="shared" si="146"/>
        <v/>
      </c>
      <c r="V714" s="168" t="str">
        <f>IFERROR(U714/_xlfn.XLOOKUP(_xlfn.XLOOKUP($F714,Clientes!$B$4:$B$39,Clientes!$C$4:$C$39),Cadastros!$L$6:$L$12,Cadastros!$M$6:$M$12)," ")</f>
        <v xml:space="preserve"> </v>
      </c>
      <c r="W714" s="28"/>
      <c r="X714" s="28"/>
      <c r="Y714" s="255" t="str">
        <f>IF(W714="","",(_xlfn.XLOOKUP(W714,Cadastros!$D$6:$D$90,Cadastros!$E$6:$E$90))*(1-_xlfn.XLOOKUP(_xlfn.XLOOKUP($F714,Clientes!$B$4:$B$39,Clientes!$C$4:$C$39),Cadastros!$L$6:$L$12,Cadastros!$N$6:$N$12)))</f>
        <v/>
      </c>
      <c r="Z714" s="168" t="str">
        <f t="shared" si="147"/>
        <v/>
      </c>
      <c r="AA714" s="168" t="str">
        <f>IFERROR(Z714/_xlfn.XLOOKUP(_xlfn.XLOOKUP($F714,Clientes!$B$4:$B$39,Clientes!$C$4:$C$39),Cadastros!$L$6:$L$12,Cadastros!$M$6:$M$12)," ")</f>
        <v xml:space="preserve"> </v>
      </c>
      <c r="AB714" s="28"/>
      <c r="AC714" s="28"/>
      <c r="AD714" s="20" t="str">
        <f>IF(AB714="","",IF($F714="Bernardino Furlan",_xlfn.XLOOKUP(AB714,Cadastros!$G$6:$G$90,Cadastros!$H$6:$H$90)*(1-0.18),IF($F714="Mauro José Salanti",_xlfn.XLOOKUP(AB714,Cadastros!$G$6:$G$90,Cadastros!$H$6:$H$90)*(1-0.18),_xlfn.XLOOKUP(AB714,Cadastros!$G$6:$G$90,Cadastros!$H$6:$H$90))))</f>
        <v/>
      </c>
      <c r="AE714" s="168" t="str">
        <f t="shared" si="148"/>
        <v/>
      </c>
      <c r="AF714" s="168" t="str">
        <f t="shared" si="149"/>
        <v/>
      </c>
      <c r="AG714" s="28"/>
      <c r="AH714" s="28"/>
      <c r="AI714" s="20" t="str">
        <f>IF(AG714="","",IF($F714="Bernardino Furlan",_xlfn.XLOOKUP(AG714,Cadastros!$G$6:$G$90,Cadastros!$H$6:$H$90)*(1-0.18),IF($F714="Mauro José Salanti",_xlfn.XLOOKUP(AG714,Cadastros!$G$6:$G$90,Cadastros!$H$6:$H$90)*(1-0.18),_xlfn.XLOOKUP(AG714,Cadastros!$G$6:$G$90,Cadastros!$H$6:$H$90))))</f>
        <v/>
      </c>
      <c r="AJ714" s="168" t="str">
        <f t="shared" si="150"/>
        <v/>
      </c>
      <c r="AK714" s="168" t="str">
        <f t="shared" si="151"/>
        <v/>
      </c>
      <c r="AL714" s="28"/>
      <c r="AM714" s="28"/>
      <c r="AN714" s="20" t="str">
        <f>IF(AL714="","",IF($F714="Bernardino Furlan",_xlfn.XLOOKUP(AL714,Cadastros!$G$6:$G$90,Cadastros!$H$6:$H$90)*(1-0.18),IF($F714="Mauro José Salanti",_xlfn.XLOOKUP(AL714,Cadastros!$G$6:$G$90,Cadastros!$H$6:$H$90)*(1-0.18),_xlfn.XLOOKUP(AL714,Cadastros!$G$6:$G$90,Cadastros!$H$6:$H$90))))</f>
        <v/>
      </c>
      <c r="AO714" s="168" t="str">
        <f t="shared" si="152"/>
        <v/>
      </c>
      <c r="AP714" s="168" t="str">
        <f t="shared" si="153"/>
        <v/>
      </c>
      <c r="AQ714" s="28"/>
      <c r="AR714" s="28"/>
      <c r="AS714" s="20" t="str">
        <f>IF(AQ714="","",IF($F714="Bernardino Furlan",_xlfn.XLOOKUP(AQ714,Cadastros!$G$6:$G$90,Cadastros!$H$6:$H$90)*(1-0.18),IF($F714="Mauro José Salanti",_xlfn.XLOOKUP(AQ714,Cadastros!$G$6:$G$90,Cadastros!$H$6:$H$90)*(1-0.18),_xlfn.XLOOKUP(AQ714,Cadastros!$G$6:$G$90,Cadastros!$H$6:$H$90))))</f>
        <v/>
      </c>
      <c r="AT714" s="168" t="str">
        <f t="shared" si="154"/>
        <v/>
      </c>
      <c r="AU714" s="168" t="str">
        <f t="shared" si="155"/>
        <v/>
      </c>
      <c r="AV714" s="227"/>
      <c r="AW714" s="30"/>
      <c r="AX714" s="267"/>
      <c r="AY714" s="267"/>
      <c r="AZ714" s="29"/>
      <c r="BA714" s="30"/>
      <c r="BB714" s="23" t="str" cm="1">
        <f t="array" ref="BB714">_xlfn.IFS(AW714="SIM",SUM(K714,P714,U714,Z714,AE714,AJ714,AO714,AT714,AX714,AY714),F714&lt;&gt;"",SUM(K714,P714,U714,Z714,AE714,AJ714,,AO714,AT714),F714="","")</f>
        <v/>
      </c>
      <c r="BC714" s="211" t="str" cm="1">
        <f t="array" ref="BC714">_xlfn.IFS(E714="","",G714&lt;=E714,BB714*(1-0.03),G714&lt;(E714+8),BB714,AZ714="Boleto",BB714*(1+0.001)^DATEDIF(E714,G714,"D"),AZ714="Cheque",BB714,AZ714="Dinheiro","Alterar forma pgto")</f>
        <v/>
      </c>
      <c r="BD714" s="276" t="str" cm="1">
        <f t="array" ref="BD714">IF(F714=0," ",IF(BC714&lt;BB714,(_xlfn.IFS(AW714="SIM",SUM(L714,Q714,V714,AA714,AF714,AK714,AP714,AU714)+AX714/_xlfn.XLOOKUP(_xlfn.XLOOKUP($F714,Clientes!$B$4:$B$39,Clientes!$C$4:$C$39),Cadastros!$L$6:$L$12,Cadastros!$M$6:$M$12)+IF($F714="Bernardino Furlan",AY714/2751.92,IF($F714="Mauro José Salanti",AY714/2751.92,AY714/3356)),F714&lt;&gt;0,SUM(L714,Q714,V714,AA714,AF714,AK714,AP714,AU714)))*(1-0.03),_xlfn.IFS(AW714="SIM",SUM(L714,Q714,V714,AA714,AF714,AK714,AP714,AU714)+AX714/_xlfn.XLOOKUP(_xlfn.XLOOKUP($F714,Clientes!$B$4:$B$39,Clientes!$C$4:$C$39),Cadastros!$L$6:$L$12,Cadastros!$M$6:$M$12)+IF($F714="Bernardino Furlan",AY714/2751.92,IF($F714="Mauro José Salanti",AY714/2751.92,AY714/3356)),F714&lt;&gt;0,SUM(L714,Q714,V714,AA714,AF714,AK714,AP714,AU714))))</f>
        <v xml:space="preserve"> </v>
      </c>
      <c r="BE714" s="120"/>
      <c r="BF714" s="120"/>
      <c r="BG714" s="120"/>
    </row>
    <row r="715" spans="1:59" s="3" customFormat="1" x14ac:dyDescent="0.3">
      <c r="A715" s="15" t="str">
        <f t="shared" si="143"/>
        <v/>
      </c>
      <c r="B715" s="25"/>
      <c r="C715" s="26"/>
      <c r="D715" s="279"/>
      <c r="E715" s="27"/>
      <c r="F715" s="28"/>
      <c r="G715" s="27"/>
      <c r="H715" s="28"/>
      <c r="I715" s="28"/>
      <c r="J715" s="255" t="str">
        <f>IF(H715="","",(_xlfn.XLOOKUP(H715,Cadastros!$D$6:$D$90,Cadastros!$E$6:$E$90))*(1-_xlfn.XLOOKUP(_xlfn.XLOOKUP($F715,Clientes!$B$4:$B$39,Clientes!$C$4:$C$39),Cadastros!$L$6:$L$12,Cadastros!$N$6:$N$12)))</f>
        <v/>
      </c>
      <c r="K715" s="168" t="str">
        <f t="shared" si="144"/>
        <v/>
      </c>
      <c r="L715" s="168" t="str">
        <f>IFERROR(K715/_xlfn.XLOOKUP(_xlfn.XLOOKUP($F715,Clientes!$B$4:$B$39,Clientes!$C$4:$C$39),Cadastros!$L$6:$L$12,Cadastros!$M$6:$M$12)," ")</f>
        <v xml:space="preserve"> </v>
      </c>
      <c r="M715" s="28"/>
      <c r="N715" s="28"/>
      <c r="O715" s="255" t="str">
        <f>IF(M715="","",(_xlfn.XLOOKUP(M715,Cadastros!$D$6:$D$90,Cadastros!$E$6:$E$90))*(1-_xlfn.XLOOKUP(_xlfn.XLOOKUP($F715,Clientes!$B$4:$B$39,Clientes!$C$4:$C$39),Cadastros!$L$6:$L$12,Cadastros!$N$6:$N$12)))</f>
        <v/>
      </c>
      <c r="P715" s="168" t="str">
        <f t="shared" si="145"/>
        <v/>
      </c>
      <c r="Q715" s="168" t="str">
        <f>IFERROR(P715/_xlfn.XLOOKUP(_xlfn.XLOOKUP($F715,Clientes!$B$4:$B$39,Clientes!$C$4:$C$39),Cadastros!$L$6:$L$12,Cadastros!$M$6:$M$12)," ")</f>
        <v xml:space="preserve"> </v>
      </c>
      <c r="R715" s="28"/>
      <c r="S715" s="28"/>
      <c r="T715" s="255" t="str">
        <f>IF(R715="","",(_xlfn.XLOOKUP(R715,Cadastros!$D$6:$D$90,Cadastros!$E$6:$E$90))*(1-_xlfn.XLOOKUP(_xlfn.XLOOKUP($F715,Clientes!$B$4:$B$39,Clientes!$C$4:$C$39),Cadastros!$L$6:$L$12,Cadastros!$N$6:$N$12)))</f>
        <v/>
      </c>
      <c r="U715" s="168" t="str">
        <f t="shared" si="146"/>
        <v/>
      </c>
      <c r="V715" s="168" t="str">
        <f>IFERROR(U715/_xlfn.XLOOKUP(_xlfn.XLOOKUP($F715,Clientes!$B$4:$B$39,Clientes!$C$4:$C$39),Cadastros!$L$6:$L$12,Cadastros!$M$6:$M$12)," ")</f>
        <v xml:space="preserve"> </v>
      </c>
      <c r="W715" s="28"/>
      <c r="X715" s="28"/>
      <c r="Y715" s="255" t="str">
        <f>IF(W715="","",(_xlfn.XLOOKUP(W715,Cadastros!$D$6:$D$90,Cadastros!$E$6:$E$90))*(1-_xlfn.XLOOKUP(_xlfn.XLOOKUP($F715,Clientes!$B$4:$B$39,Clientes!$C$4:$C$39),Cadastros!$L$6:$L$12,Cadastros!$N$6:$N$12)))</f>
        <v/>
      </c>
      <c r="Z715" s="168" t="str">
        <f t="shared" si="147"/>
        <v/>
      </c>
      <c r="AA715" s="168" t="str">
        <f>IFERROR(Z715/_xlfn.XLOOKUP(_xlfn.XLOOKUP($F715,Clientes!$B$4:$B$39,Clientes!$C$4:$C$39),Cadastros!$L$6:$L$12,Cadastros!$M$6:$M$12)," ")</f>
        <v xml:space="preserve"> </v>
      </c>
      <c r="AB715" s="28"/>
      <c r="AC715" s="28"/>
      <c r="AD715" s="20" t="str">
        <f>IF(AB715="","",IF($F715="Bernardino Furlan",_xlfn.XLOOKUP(AB715,Cadastros!$G$6:$G$90,Cadastros!$H$6:$H$90)*(1-0.18),IF($F715="Mauro José Salanti",_xlfn.XLOOKUP(AB715,Cadastros!$G$6:$G$90,Cadastros!$H$6:$H$90)*(1-0.18),_xlfn.XLOOKUP(AB715,Cadastros!$G$6:$G$90,Cadastros!$H$6:$H$90))))</f>
        <v/>
      </c>
      <c r="AE715" s="168" t="str">
        <f t="shared" si="148"/>
        <v/>
      </c>
      <c r="AF715" s="168" t="str">
        <f t="shared" si="149"/>
        <v/>
      </c>
      <c r="AG715" s="28"/>
      <c r="AH715" s="28"/>
      <c r="AI715" s="20" t="str">
        <f>IF(AG715="","",IF($F715="Bernardino Furlan",_xlfn.XLOOKUP(AG715,Cadastros!$G$6:$G$90,Cadastros!$H$6:$H$90)*(1-0.18),IF($F715="Mauro José Salanti",_xlfn.XLOOKUP(AG715,Cadastros!$G$6:$G$90,Cadastros!$H$6:$H$90)*(1-0.18),_xlfn.XLOOKUP(AG715,Cadastros!$G$6:$G$90,Cadastros!$H$6:$H$90))))</f>
        <v/>
      </c>
      <c r="AJ715" s="168" t="str">
        <f t="shared" si="150"/>
        <v/>
      </c>
      <c r="AK715" s="168" t="str">
        <f t="shared" si="151"/>
        <v/>
      </c>
      <c r="AL715" s="28"/>
      <c r="AM715" s="28"/>
      <c r="AN715" s="20" t="str">
        <f>IF(AL715="","",IF($F715="Bernardino Furlan",_xlfn.XLOOKUP(AL715,Cadastros!$G$6:$G$90,Cadastros!$H$6:$H$90)*(1-0.18),IF($F715="Mauro José Salanti",_xlfn.XLOOKUP(AL715,Cadastros!$G$6:$G$90,Cadastros!$H$6:$H$90)*(1-0.18),_xlfn.XLOOKUP(AL715,Cadastros!$G$6:$G$90,Cadastros!$H$6:$H$90))))</f>
        <v/>
      </c>
      <c r="AO715" s="168" t="str">
        <f t="shared" si="152"/>
        <v/>
      </c>
      <c r="AP715" s="168" t="str">
        <f t="shared" si="153"/>
        <v/>
      </c>
      <c r="AQ715" s="28"/>
      <c r="AR715" s="28"/>
      <c r="AS715" s="20" t="str">
        <f>IF(AQ715="","",IF($F715="Bernardino Furlan",_xlfn.XLOOKUP(AQ715,Cadastros!$G$6:$G$90,Cadastros!$H$6:$H$90)*(1-0.18),IF($F715="Mauro José Salanti",_xlfn.XLOOKUP(AQ715,Cadastros!$G$6:$G$90,Cadastros!$H$6:$H$90)*(1-0.18),_xlfn.XLOOKUP(AQ715,Cadastros!$G$6:$G$90,Cadastros!$H$6:$H$90))))</f>
        <v/>
      </c>
      <c r="AT715" s="168" t="str">
        <f t="shared" si="154"/>
        <v/>
      </c>
      <c r="AU715" s="168" t="str">
        <f t="shared" si="155"/>
        <v/>
      </c>
      <c r="AV715" s="227"/>
      <c r="AW715" s="30"/>
      <c r="AX715" s="267"/>
      <c r="AY715" s="267"/>
      <c r="AZ715" s="29"/>
      <c r="BA715" s="30"/>
      <c r="BB715" s="23" t="str" cm="1">
        <f t="array" ref="BB715">_xlfn.IFS(AW715="SIM",SUM(K715,P715,U715,Z715,AE715,AJ715,AO715,AT715,AX715,AY715),F715&lt;&gt;"",SUM(K715,P715,U715,Z715,AE715,AJ715,,AO715,AT715),F715="","")</f>
        <v/>
      </c>
      <c r="BC715" s="211" t="str" cm="1">
        <f t="array" ref="BC715">_xlfn.IFS(E715="","",G715&lt;=E715,BB715*(1-0.03),G715&lt;(E715+8),BB715,AZ715="Boleto",BB715*(1+0.001)^DATEDIF(E715,G715,"D"),AZ715="Cheque",BB715,AZ715="Dinheiro","Alterar forma pgto")</f>
        <v/>
      </c>
      <c r="BD715" s="276" t="str" cm="1">
        <f t="array" ref="BD715">IF(F715=0," ",IF(BC715&lt;BB715,(_xlfn.IFS(AW715="SIM",SUM(L715,Q715,V715,AA715,AF715,AK715,AP715,AU715)+AX715/_xlfn.XLOOKUP(_xlfn.XLOOKUP($F715,Clientes!$B$4:$B$39,Clientes!$C$4:$C$39),Cadastros!$L$6:$L$12,Cadastros!$M$6:$M$12)+IF($F715="Bernardino Furlan",AY715/2751.92,IF($F715="Mauro José Salanti",AY715/2751.92,AY715/3356)),F715&lt;&gt;0,SUM(L715,Q715,V715,AA715,AF715,AK715,AP715,AU715)))*(1-0.03),_xlfn.IFS(AW715="SIM",SUM(L715,Q715,V715,AA715,AF715,AK715,AP715,AU715)+AX715/_xlfn.XLOOKUP(_xlfn.XLOOKUP($F715,Clientes!$B$4:$B$39,Clientes!$C$4:$C$39),Cadastros!$L$6:$L$12,Cadastros!$M$6:$M$12)+IF($F715="Bernardino Furlan",AY715/2751.92,IF($F715="Mauro José Salanti",AY715/2751.92,AY715/3356)),F715&lt;&gt;0,SUM(L715,Q715,V715,AA715,AF715,AK715,AP715,AU715))))</f>
        <v xml:space="preserve"> </v>
      </c>
      <c r="BE715" s="120"/>
      <c r="BF715" s="120"/>
      <c r="BG715" s="120"/>
    </row>
    <row r="716" spans="1:59" s="3" customFormat="1" x14ac:dyDescent="0.3">
      <c r="A716" s="15" t="str">
        <f t="shared" si="143"/>
        <v/>
      </c>
      <c r="B716" s="25"/>
      <c r="C716" s="26"/>
      <c r="D716" s="279"/>
      <c r="E716" s="27"/>
      <c r="F716" s="28"/>
      <c r="G716" s="27"/>
      <c r="H716" s="28"/>
      <c r="I716" s="28"/>
      <c r="J716" s="255" t="str">
        <f>IF(H716="","",(_xlfn.XLOOKUP(H716,Cadastros!$D$6:$D$90,Cadastros!$E$6:$E$90))*(1-_xlfn.XLOOKUP(_xlfn.XLOOKUP($F716,Clientes!$B$4:$B$39,Clientes!$C$4:$C$39),Cadastros!$L$6:$L$12,Cadastros!$N$6:$N$12)))</f>
        <v/>
      </c>
      <c r="K716" s="168" t="str">
        <f t="shared" si="144"/>
        <v/>
      </c>
      <c r="L716" s="168" t="str">
        <f>IFERROR(K716/_xlfn.XLOOKUP(_xlfn.XLOOKUP($F716,Clientes!$B$4:$B$39,Clientes!$C$4:$C$39),Cadastros!$L$6:$L$12,Cadastros!$M$6:$M$12)," ")</f>
        <v xml:space="preserve"> </v>
      </c>
      <c r="M716" s="28"/>
      <c r="N716" s="28"/>
      <c r="O716" s="255" t="str">
        <f>IF(M716="","",(_xlfn.XLOOKUP(M716,Cadastros!$D$6:$D$90,Cadastros!$E$6:$E$90))*(1-_xlfn.XLOOKUP(_xlfn.XLOOKUP($F716,Clientes!$B$4:$B$39,Clientes!$C$4:$C$39),Cadastros!$L$6:$L$12,Cadastros!$N$6:$N$12)))</f>
        <v/>
      </c>
      <c r="P716" s="168" t="str">
        <f t="shared" si="145"/>
        <v/>
      </c>
      <c r="Q716" s="168" t="str">
        <f>IFERROR(P716/_xlfn.XLOOKUP(_xlfn.XLOOKUP($F716,Clientes!$B$4:$B$39,Clientes!$C$4:$C$39),Cadastros!$L$6:$L$12,Cadastros!$M$6:$M$12)," ")</f>
        <v xml:space="preserve"> </v>
      </c>
      <c r="R716" s="28"/>
      <c r="S716" s="28"/>
      <c r="T716" s="255" t="str">
        <f>IF(R716="","",(_xlfn.XLOOKUP(R716,Cadastros!$D$6:$D$90,Cadastros!$E$6:$E$90))*(1-_xlfn.XLOOKUP(_xlfn.XLOOKUP($F716,Clientes!$B$4:$B$39,Clientes!$C$4:$C$39),Cadastros!$L$6:$L$12,Cadastros!$N$6:$N$12)))</f>
        <v/>
      </c>
      <c r="U716" s="168" t="str">
        <f t="shared" si="146"/>
        <v/>
      </c>
      <c r="V716" s="168" t="str">
        <f>IFERROR(U716/_xlfn.XLOOKUP(_xlfn.XLOOKUP($F716,Clientes!$B$4:$B$39,Clientes!$C$4:$C$39),Cadastros!$L$6:$L$12,Cadastros!$M$6:$M$12)," ")</f>
        <v xml:space="preserve"> </v>
      </c>
      <c r="W716" s="28"/>
      <c r="X716" s="28"/>
      <c r="Y716" s="255" t="str">
        <f>IF(W716="","",(_xlfn.XLOOKUP(W716,Cadastros!$D$6:$D$90,Cadastros!$E$6:$E$90))*(1-_xlfn.XLOOKUP(_xlfn.XLOOKUP($F716,Clientes!$B$4:$B$39,Clientes!$C$4:$C$39),Cadastros!$L$6:$L$12,Cadastros!$N$6:$N$12)))</f>
        <v/>
      </c>
      <c r="Z716" s="168" t="str">
        <f t="shared" si="147"/>
        <v/>
      </c>
      <c r="AA716" s="168" t="str">
        <f>IFERROR(Z716/_xlfn.XLOOKUP(_xlfn.XLOOKUP($F716,Clientes!$B$4:$B$39,Clientes!$C$4:$C$39),Cadastros!$L$6:$L$12,Cadastros!$M$6:$M$12)," ")</f>
        <v xml:space="preserve"> </v>
      </c>
      <c r="AB716" s="28"/>
      <c r="AC716" s="28"/>
      <c r="AD716" s="20" t="str">
        <f>IF(AB716="","",IF($F716="Bernardino Furlan",_xlfn.XLOOKUP(AB716,Cadastros!$G$6:$G$90,Cadastros!$H$6:$H$90)*(1-0.18),IF($F716="Mauro José Salanti",_xlfn.XLOOKUP(AB716,Cadastros!$G$6:$G$90,Cadastros!$H$6:$H$90)*(1-0.18),_xlfn.XLOOKUP(AB716,Cadastros!$G$6:$G$90,Cadastros!$H$6:$H$90))))</f>
        <v/>
      </c>
      <c r="AE716" s="168" t="str">
        <f t="shared" si="148"/>
        <v/>
      </c>
      <c r="AF716" s="168" t="str">
        <f t="shared" si="149"/>
        <v/>
      </c>
      <c r="AG716" s="28"/>
      <c r="AH716" s="28"/>
      <c r="AI716" s="20" t="str">
        <f>IF(AG716="","",IF($F716="Bernardino Furlan",_xlfn.XLOOKUP(AG716,Cadastros!$G$6:$G$90,Cadastros!$H$6:$H$90)*(1-0.18),IF($F716="Mauro José Salanti",_xlfn.XLOOKUP(AG716,Cadastros!$G$6:$G$90,Cadastros!$H$6:$H$90)*(1-0.18),_xlfn.XLOOKUP(AG716,Cadastros!$G$6:$G$90,Cadastros!$H$6:$H$90))))</f>
        <v/>
      </c>
      <c r="AJ716" s="168" t="str">
        <f t="shared" si="150"/>
        <v/>
      </c>
      <c r="AK716" s="168" t="str">
        <f t="shared" si="151"/>
        <v/>
      </c>
      <c r="AL716" s="28"/>
      <c r="AM716" s="28"/>
      <c r="AN716" s="20" t="str">
        <f>IF(AL716="","",IF($F716="Bernardino Furlan",_xlfn.XLOOKUP(AL716,Cadastros!$G$6:$G$90,Cadastros!$H$6:$H$90)*(1-0.18),IF($F716="Mauro José Salanti",_xlfn.XLOOKUP(AL716,Cadastros!$G$6:$G$90,Cadastros!$H$6:$H$90)*(1-0.18),_xlfn.XLOOKUP(AL716,Cadastros!$G$6:$G$90,Cadastros!$H$6:$H$90))))</f>
        <v/>
      </c>
      <c r="AO716" s="168" t="str">
        <f t="shared" si="152"/>
        <v/>
      </c>
      <c r="AP716" s="168" t="str">
        <f t="shared" si="153"/>
        <v/>
      </c>
      <c r="AQ716" s="28"/>
      <c r="AR716" s="28"/>
      <c r="AS716" s="20" t="str">
        <f>IF(AQ716="","",IF($F716="Bernardino Furlan",_xlfn.XLOOKUP(AQ716,Cadastros!$G$6:$G$90,Cadastros!$H$6:$H$90)*(1-0.18),IF($F716="Mauro José Salanti",_xlfn.XLOOKUP(AQ716,Cadastros!$G$6:$G$90,Cadastros!$H$6:$H$90)*(1-0.18),_xlfn.XLOOKUP(AQ716,Cadastros!$G$6:$G$90,Cadastros!$H$6:$H$90))))</f>
        <v/>
      </c>
      <c r="AT716" s="168" t="str">
        <f t="shared" si="154"/>
        <v/>
      </c>
      <c r="AU716" s="168" t="str">
        <f t="shared" si="155"/>
        <v/>
      </c>
      <c r="AV716" s="227"/>
      <c r="AW716" s="30"/>
      <c r="AX716" s="267"/>
      <c r="AY716" s="267"/>
      <c r="AZ716" s="29"/>
      <c r="BA716" s="30"/>
      <c r="BB716" s="23" t="str" cm="1">
        <f t="array" ref="BB716">_xlfn.IFS(AW716="SIM",SUM(K716,P716,U716,Z716,AE716,AJ716,AO716,AT716,AX716,AY716),F716&lt;&gt;"",SUM(K716,P716,U716,Z716,AE716,AJ716,,AO716,AT716),F716="","")</f>
        <v/>
      </c>
      <c r="BC716" s="211" t="str" cm="1">
        <f t="array" ref="BC716">_xlfn.IFS(E716="","",G716&lt;=E716,BB716*(1-0.03),G716&lt;(E716+8),BB716,AZ716="Boleto",BB716*(1+0.001)^DATEDIF(E716,G716,"D"),AZ716="Cheque",BB716,AZ716="Dinheiro","Alterar forma pgto")</f>
        <v/>
      </c>
      <c r="BD716" s="276" t="str" cm="1">
        <f t="array" ref="BD716">IF(F716=0," ",IF(BC716&lt;BB716,(_xlfn.IFS(AW716="SIM",SUM(L716,Q716,V716,AA716,AF716,AK716,AP716,AU716)+AX716/_xlfn.XLOOKUP(_xlfn.XLOOKUP($F716,Clientes!$B$4:$B$39,Clientes!$C$4:$C$39),Cadastros!$L$6:$L$12,Cadastros!$M$6:$M$12)+IF($F716="Bernardino Furlan",AY716/2751.92,IF($F716="Mauro José Salanti",AY716/2751.92,AY716/3356)),F716&lt;&gt;0,SUM(L716,Q716,V716,AA716,AF716,AK716,AP716,AU716)))*(1-0.03),_xlfn.IFS(AW716="SIM",SUM(L716,Q716,V716,AA716,AF716,AK716,AP716,AU716)+AX716/_xlfn.XLOOKUP(_xlfn.XLOOKUP($F716,Clientes!$B$4:$B$39,Clientes!$C$4:$C$39),Cadastros!$L$6:$L$12,Cadastros!$M$6:$M$12)+IF($F716="Bernardino Furlan",AY716/2751.92,IF($F716="Mauro José Salanti",AY716/2751.92,AY716/3356)),F716&lt;&gt;0,SUM(L716,Q716,V716,AA716,AF716,AK716,AP716,AU716))))</f>
        <v xml:space="preserve"> </v>
      </c>
      <c r="BE716" s="120"/>
      <c r="BF716" s="120"/>
      <c r="BG716" s="120"/>
    </row>
    <row r="717" spans="1:59" s="3" customFormat="1" x14ac:dyDescent="0.3">
      <c r="A717" s="15" t="str">
        <f t="shared" si="143"/>
        <v/>
      </c>
      <c r="B717" s="25"/>
      <c r="C717" s="26"/>
      <c r="D717" s="279"/>
      <c r="E717" s="27"/>
      <c r="F717" s="28"/>
      <c r="G717" s="27"/>
      <c r="H717" s="28"/>
      <c r="I717" s="28"/>
      <c r="J717" s="255" t="str">
        <f>IF(H717="","",(_xlfn.XLOOKUP(H717,Cadastros!$D$6:$D$90,Cadastros!$E$6:$E$90))*(1-_xlfn.XLOOKUP(_xlfn.XLOOKUP($F717,Clientes!$B$4:$B$39,Clientes!$C$4:$C$39),Cadastros!$L$6:$L$12,Cadastros!$N$6:$N$12)))</f>
        <v/>
      </c>
      <c r="K717" s="168" t="str">
        <f t="shared" si="144"/>
        <v/>
      </c>
      <c r="L717" s="168" t="str">
        <f>IFERROR(K717/_xlfn.XLOOKUP(_xlfn.XLOOKUP($F717,Clientes!$B$4:$B$39,Clientes!$C$4:$C$39),Cadastros!$L$6:$L$12,Cadastros!$M$6:$M$12)," ")</f>
        <v xml:space="preserve"> </v>
      </c>
      <c r="M717" s="28"/>
      <c r="N717" s="28"/>
      <c r="O717" s="255" t="str">
        <f>IF(M717="","",(_xlfn.XLOOKUP(M717,Cadastros!$D$6:$D$90,Cadastros!$E$6:$E$90))*(1-_xlfn.XLOOKUP(_xlfn.XLOOKUP($F717,Clientes!$B$4:$B$39,Clientes!$C$4:$C$39),Cadastros!$L$6:$L$12,Cadastros!$N$6:$N$12)))</f>
        <v/>
      </c>
      <c r="P717" s="168" t="str">
        <f t="shared" si="145"/>
        <v/>
      </c>
      <c r="Q717" s="168" t="str">
        <f>IFERROR(P717/_xlfn.XLOOKUP(_xlfn.XLOOKUP($F717,Clientes!$B$4:$B$39,Clientes!$C$4:$C$39),Cadastros!$L$6:$L$12,Cadastros!$M$6:$M$12)," ")</f>
        <v xml:space="preserve"> </v>
      </c>
      <c r="R717" s="28"/>
      <c r="S717" s="28"/>
      <c r="T717" s="255" t="str">
        <f>IF(R717="","",(_xlfn.XLOOKUP(R717,Cadastros!$D$6:$D$90,Cadastros!$E$6:$E$90))*(1-_xlfn.XLOOKUP(_xlfn.XLOOKUP($F717,Clientes!$B$4:$B$39,Clientes!$C$4:$C$39),Cadastros!$L$6:$L$12,Cadastros!$N$6:$N$12)))</f>
        <v/>
      </c>
      <c r="U717" s="168" t="str">
        <f t="shared" si="146"/>
        <v/>
      </c>
      <c r="V717" s="168" t="str">
        <f>IFERROR(U717/_xlfn.XLOOKUP(_xlfn.XLOOKUP($F717,Clientes!$B$4:$B$39,Clientes!$C$4:$C$39),Cadastros!$L$6:$L$12,Cadastros!$M$6:$M$12)," ")</f>
        <v xml:space="preserve"> </v>
      </c>
      <c r="W717" s="28"/>
      <c r="X717" s="28"/>
      <c r="Y717" s="255" t="str">
        <f>IF(W717="","",(_xlfn.XLOOKUP(W717,Cadastros!$D$6:$D$90,Cadastros!$E$6:$E$90))*(1-_xlfn.XLOOKUP(_xlfn.XLOOKUP($F717,Clientes!$B$4:$B$39,Clientes!$C$4:$C$39),Cadastros!$L$6:$L$12,Cadastros!$N$6:$N$12)))</f>
        <v/>
      </c>
      <c r="Z717" s="168" t="str">
        <f t="shared" si="147"/>
        <v/>
      </c>
      <c r="AA717" s="168" t="str">
        <f>IFERROR(Z717/_xlfn.XLOOKUP(_xlfn.XLOOKUP($F717,Clientes!$B$4:$B$39,Clientes!$C$4:$C$39),Cadastros!$L$6:$L$12,Cadastros!$M$6:$M$12)," ")</f>
        <v xml:space="preserve"> </v>
      </c>
      <c r="AB717" s="28"/>
      <c r="AC717" s="28"/>
      <c r="AD717" s="20" t="str">
        <f>IF(AB717="","",IF($F717="Bernardino Furlan",_xlfn.XLOOKUP(AB717,Cadastros!$G$6:$G$90,Cadastros!$H$6:$H$90)*(1-0.18),IF($F717="Mauro José Salanti",_xlfn.XLOOKUP(AB717,Cadastros!$G$6:$G$90,Cadastros!$H$6:$H$90)*(1-0.18),_xlfn.XLOOKUP(AB717,Cadastros!$G$6:$G$90,Cadastros!$H$6:$H$90))))</f>
        <v/>
      </c>
      <c r="AE717" s="168" t="str">
        <f t="shared" si="148"/>
        <v/>
      </c>
      <c r="AF717" s="168" t="str">
        <f t="shared" si="149"/>
        <v/>
      </c>
      <c r="AG717" s="28"/>
      <c r="AH717" s="28"/>
      <c r="AI717" s="20" t="str">
        <f>IF(AG717="","",IF($F717="Bernardino Furlan",_xlfn.XLOOKUP(AG717,Cadastros!$G$6:$G$90,Cadastros!$H$6:$H$90)*(1-0.18),IF($F717="Mauro José Salanti",_xlfn.XLOOKUP(AG717,Cadastros!$G$6:$G$90,Cadastros!$H$6:$H$90)*(1-0.18),_xlfn.XLOOKUP(AG717,Cadastros!$G$6:$G$90,Cadastros!$H$6:$H$90))))</f>
        <v/>
      </c>
      <c r="AJ717" s="168" t="str">
        <f t="shared" si="150"/>
        <v/>
      </c>
      <c r="AK717" s="168" t="str">
        <f t="shared" si="151"/>
        <v/>
      </c>
      <c r="AL717" s="28"/>
      <c r="AM717" s="28"/>
      <c r="AN717" s="20" t="str">
        <f>IF(AL717="","",IF($F717="Bernardino Furlan",_xlfn.XLOOKUP(AL717,Cadastros!$G$6:$G$90,Cadastros!$H$6:$H$90)*(1-0.18),IF($F717="Mauro José Salanti",_xlfn.XLOOKUP(AL717,Cadastros!$G$6:$G$90,Cadastros!$H$6:$H$90)*(1-0.18),_xlfn.XLOOKUP(AL717,Cadastros!$G$6:$G$90,Cadastros!$H$6:$H$90))))</f>
        <v/>
      </c>
      <c r="AO717" s="168" t="str">
        <f t="shared" si="152"/>
        <v/>
      </c>
      <c r="AP717" s="168" t="str">
        <f t="shared" si="153"/>
        <v/>
      </c>
      <c r="AQ717" s="28"/>
      <c r="AR717" s="28"/>
      <c r="AS717" s="20" t="str">
        <f>IF(AQ717="","",IF($F717="Bernardino Furlan",_xlfn.XLOOKUP(AQ717,Cadastros!$G$6:$G$90,Cadastros!$H$6:$H$90)*(1-0.18),IF($F717="Mauro José Salanti",_xlfn.XLOOKUP(AQ717,Cadastros!$G$6:$G$90,Cadastros!$H$6:$H$90)*(1-0.18),_xlfn.XLOOKUP(AQ717,Cadastros!$G$6:$G$90,Cadastros!$H$6:$H$90))))</f>
        <v/>
      </c>
      <c r="AT717" s="168" t="str">
        <f t="shared" si="154"/>
        <v/>
      </c>
      <c r="AU717" s="168" t="str">
        <f t="shared" si="155"/>
        <v/>
      </c>
      <c r="AV717" s="227"/>
      <c r="AW717" s="30"/>
      <c r="AX717" s="267"/>
      <c r="AY717" s="267"/>
      <c r="AZ717" s="29"/>
      <c r="BA717" s="30"/>
      <c r="BB717" s="23" t="str" cm="1">
        <f t="array" ref="BB717">_xlfn.IFS(AW717="SIM",SUM(K717,P717,U717,Z717,AE717,AJ717,AO717,AT717,AX717,AY717),F717&lt;&gt;"",SUM(K717,P717,U717,Z717,AE717,AJ717,,AO717,AT717),F717="","")</f>
        <v/>
      </c>
      <c r="BC717" s="211" t="str" cm="1">
        <f t="array" ref="BC717">_xlfn.IFS(E717="","",G717&lt;=E717,BB717*(1-0.03),G717&lt;(E717+8),BB717,AZ717="Boleto",BB717*(1+0.001)^DATEDIF(E717,G717,"D"),AZ717="Cheque",BB717,AZ717="Dinheiro","Alterar forma pgto")</f>
        <v/>
      </c>
      <c r="BD717" s="276" t="str" cm="1">
        <f t="array" ref="BD717">IF(F717=0," ",IF(BC717&lt;BB717,(_xlfn.IFS(AW717="SIM",SUM(L717,Q717,V717,AA717,AF717,AK717,AP717,AU717)+AX717/_xlfn.XLOOKUP(_xlfn.XLOOKUP($F717,Clientes!$B$4:$B$39,Clientes!$C$4:$C$39),Cadastros!$L$6:$L$12,Cadastros!$M$6:$M$12)+IF($F717="Bernardino Furlan",AY717/2751.92,IF($F717="Mauro José Salanti",AY717/2751.92,AY717/3356)),F717&lt;&gt;0,SUM(L717,Q717,V717,AA717,AF717,AK717,AP717,AU717)))*(1-0.03),_xlfn.IFS(AW717="SIM",SUM(L717,Q717,V717,AA717,AF717,AK717,AP717,AU717)+AX717/_xlfn.XLOOKUP(_xlfn.XLOOKUP($F717,Clientes!$B$4:$B$39,Clientes!$C$4:$C$39),Cadastros!$L$6:$L$12,Cadastros!$M$6:$M$12)+IF($F717="Bernardino Furlan",AY717/2751.92,IF($F717="Mauro José Salanti",AY717/2751.92,AY717/3356)),F717&lt;&gt;0,SUM(L717,Q717,V717,AA717,AF717,AK717,AP717,AU717))))</f>
        <v xml:space="preserve"> </v>
      </c>
      <c r="BE717" s="120"/>
      <c r="BF717" s="120"/>
      <c r="BG717" s="120"/>
    </row>
    <row r="718" spans="1:59" s="3" customFormat="1" x14ac:dyDescent="0.3">
      <c r="A718" s="15" t="str">
        <f t="shared" si="143"/>
        <v/>
      </c>
      <c r="B718" s="25"/>
      <c r="C718" s="26"/>
      <c r="D718" s="279"/>
      <c r="E718" s="27"/>
      <c r="F718" s="28"/>
      <c r="G718" s="27"/>
      <c r="H718" s="28"/>
      <c r="I718" s="28"/>
      <c r="J718" s="255" t="str">
        <f>IF(H718="","",(_xlfn.XLOOKUP(H718,Cadastros!$D$6:$D$90,Cadastros!$E$6:$E$90))*(1-_xlfn.XLOOKUP(_xlfn.XLOOKUP($F718,Clientes!$B$4:$B$39,Clientes!$C$4:$C$39),Cadastros!$L$6:$L$12,Cadastros!$N$6:$N$12)))</f>
        <v/>
      </c>
      <c r="K718" s="168" t="str">
        <f t="shared" si="144"/>
        <v/>
      </c>
      <c r="L718" s="168" t="str">
        <f>IFERROR(K718/_xlfn.XLOOKUP(_xlfn.XLOOKUP($F718,Clientes!$B$4:$B$39,Clientes!$C$4:$C$39),Cadastros!$L$6:$L$12,Cadastros!$M$6:$M$12)," ")</f>
        <v xml:space="preserve"> </v>
      </c>
      <c r="M718" s="28"/>
      <c r="N718" s="28"/>
      <c r="O718" s="255" t="str">
        <f>IF(M718="","",(_xlfn.XLOOKUP(M718,Cadastros!$D$6:$D$90,Cadastros!$E$6:$E$90))*(1-_xlfn.XLOOKUP(_xlfn.XLOOKUP($F718,Clientes!$B$4:$B$39,Clientes!$C$4:$C$39),Cadastros!$L$6:$L$12,Cadastros!$N$6:$N$12)))</f>
        <v/>
      </c>
      <c r="P718" s="168" t="str">
        <f t="shared" si="145"/>
        <v/>
      </c>
      <c r="Q718" s="168" t="str">
        <f>IFERROR(P718/_xlfn.XLOOKUP(_xlfn.XLOOKUP($F718,Clientes!$B$4:$B$39,Clientes!$C$4:$C$39),Cadastros!$L$6:$L$12,Cadastros!$M$6:$M$12)," ")</f>
        <v xml:space="preserve"> </v>
      </c>
      <c r="R718" s="28"/>
      <c r="S718" s="28"/>
      <c r="T718" s="255" t="str">
        <f>IF(R718="","",(_xlfn.XLOOKUP(R718,Cadastros!$D$6:$D$90,Cadastros!$E$6:$E$90))*(1-_xlfn.XLOOKUP(_xlfn.XLOOKUP($F718,Clientes!$B$4:$B$39,Clientes!$C$4:$C$39),Cadastros!$L$6:$L$12,Cadastros!$N$6:$N$12)))</f>
        <v/>
      </c>
      <c r="U718" s="168" t="str">
        <f t="shared" si="146"/>
        <v/>
      </c>
      <c r="V718" s="168" t="str">
        <f>IFERROR(U718/_xlfn.XLOOKUP(_xlfn.XLOOKUP($F718,Clientes!$B$4:$B$39,Clientes!$C$4:$C$39),Cadastros!$L$6:$L$12,Cadastros!$M$6:$M$12)," ")</f>
        <v xml:space="preserve"> </v>
      </c>
      <c r="W718" s="28"/>
      <c r="X718" s="28"/>
      <c r="Y718" s="255" t="str">
        <f>IF(W718="","",(_xlfn.XLOOKUP(W718,Cadastros!$D$6:$D$90,Cadastros!$E$6:$E$90))*(1-_xlfn.XLOOKUP(_xlfn.XLOOKUP($F718,Clientes!$B$4:$B$39,Clientes!$C$4:$C$39),Cadastros!$L$6:$L$12,Cadastros!$N$6:$N$12)))</f>
        <v/>
      </c>
      <c r="Z718" s="168" t="str">
        <f t="shared" si="147"/>
        <v/>
      </c>
      <c r="AA718" s="168" t="str">
        <f>IFERROR(Z718/_xlfn.XLOOKUP(_xlfn.XLOOKUP($F718,Clientes!$B$4:$B$39,Clientes!$C$4:$C$39),Cadastros!$L$6:$L$12,Cadastros!$M$6:$M$12)," ")</f>
        <v xml:space="preserve"> </v>
      </c>
      <c r="AB718" s="28"/>
      <c r="AC718" s="28"/>
      <c r="AD718" s="20" t="str">
        <f>IF(AB718="","",IF($F718="Bernardino Furlan",_xlfn.XLOOKUP(AB718,Cadastros!$G$6:$G$90,Cadastros!$H$6:$H$90)*(1-0.18),IF($F718="Mauro José Salanti",_xlfn.XLOOKUP(AB718,Cadastros!$G$6:$G$90,Cadastros!$H$6:$H$90)*(1-0.18),_xlfn.XLOOKUP(AB718,Cadastros!$G$6:$G$90,Cadastros!$H$6:$H$90))))</f>
        <v/>
      </c>
      <c r="AE718" s="168" t="str">
        <f t="shared" si="148"/>
        <v/>
      </c>
      <c r="AF718" s="168" t="str">
        <f t="shared" si="149"/>
        <v/>
      </c>
      <c r="AG718" s="28"/>
      <c r="AH718" s="28"/>
      <c r="AI718" s="20" t="str">
        <f>IF(AG718="","",IF($F718="Bernardino Furlan",_xlfn.XLOOKUP(AG718,Cadastros!$G$6:$G$90,Cadastros!$H$6:$H$90)*(1-0.18),IF($F718="Mauro José Salanti",_xlfn.XLOOKUP(AG718,Cadastros!$G$6:$G$90,Cadastros!$H$6:$H$90)*(1-0.18),_xlfn.XLOOKUP(AG718,Cadastros!$G$6:$G$90,Cadastros!$H$6:$H$90))))</f>
        <v/>
      </c>
      <c r="AJ718" s="168" t="str">
        <f t="shared" si="150"/>
        <v/>
      </c>
      <c r="AK718" s="168" t="str">
        <f t="shared" si="151"/>
        <v/>
      </c>
      <c r="AL718" s="28"/>
      <c r="AM718" s="28"/>
      <c r="AN718" s="20" t="str">
        <f>IF(AL718="","",IF($F718="Bernardino Furlan",_xlfn.XLOOKUP(AL718,Cadastros!$G$6:$G$90,Cadastros!$H$6:$H$90)*(1-0.18),IF($F718="Mauro José Salanti",_xlfn.XLOOKUP(AL718,Cadastros!$G$6:$G$90,Cadastros!$H$6:$H$90)*(1-0.18),_xlfn.XLOOKUP(AL718,Cadastros!$G$6:$G$90,Cadastros!$H$6:$H$90))))</f>
        <v/>
      </c>
      <c r="AO718" s="168" t="str">
        <f t="shared" si="152"/>
        <v/>
      </c>
      <c r="AP718" s="168" t="str">
        <f t="shared" si="153"/>
        <v/>
      </c>
      <c r="AQ718" s="28"/>
      <c r="AR718" s="28"/>
      <c r="AS718" s="20" t="str">
        <f>IF(AQ718="","",IF($F718="Bernardino Furlan",_xlfn.XLOOKUP(AQ718,Cadastros!$G$6:$G$90,Cadastros!$H$6:$H$90)*(1-0.18),IF($F718="Mauro José Salanti",_xlfn.XLOOKUP(AQ718,Cadastros!$G$6:$G$90,Cadastros!$H$6:$H$90)*(1-0.18),_xlfn.XLOOKUP(AQ718,Cadastros!$G$6:$G$90,Cadastros!$H$6:$H$90))))</f>
        <v/>
      </c>
      <c r="AT718" s="168" t="str">
        <f t="shared" si="154"/>
        <v/>
      </c>
      <c r="AU718" s="168" t="str">
        <f t="shared" si="155"/>
        <v/>
      </c>
      <c r="AV718" s="227"/>
      <c r="AW718" s="30"/>
      <c r="AX718" s="267"/>
      <c r="AY718" s="267"/>
      <c r="AZ718" s="29"/>
      <c r="BA718" s="30"/>
      <c r="BB718" s="23" t="str" cm="1">
        <f t="array" ref="BB718">_xlfn.IFS(AW718="SIM",SUM(K718,P718,U718,Z718,AE718,AJ718,AO718,AT718,AX718,AY718),F718&lt;&gt;"",SUM(K718,P718,U718,Z718,AE718,AJ718,,AO718,AT718),F718="","")</f>
        <v/>
      </c>
      <c r="BC718" s="211" t="str" cm="1">
        <f t="array" ref="BC718">_xlfn.IFS(E718="","",G718&lt;=E718,BB718*(1-0.03),G718&lt;(E718+8),BB718,AZ718="Boleto",BB718*(1+0.001)^DATEDIF(E718,G718,"D"),AZ718="Cheque",BB718,AZ718="Dinheiro","Alterar forma pgto")</f>
        <v/>
      </c>
      <c r="BD718" s="276" t="str" cm="1">
        <f t="array" ref="BD718">IF(F718=0," ",IF(BC718&lt;BB718,(_xlfn.IFS(AW718="SIM",SUM(L718,Q718,V718,AA718,AF718,AK718,AP718,AU718)+AX718/_xlfn.XLOOKUP(_xlfn.XLOOKUP($F718,Clientes!$B$4:$B$39,Clientes!$C$4:$C$39),Cadastros!$L$6:$L$12,Cadastros!$M$6:$M$12)+IF($F718="Bernardino Furlan",AY718/2751.92,IF($F718="Mauro José Salanti",AY718/2751.92,AY718/3356)),F718&lt;&gt;0,SUM(L718,Q718,V718,AA718,AF718,AK718,AP718,AU718)))*(1-0.03),_xlfn.IFS(AW718="SIM",SUM(L718,Q718,V718,AA718,AF718,AK718,AP718,AU718)+AX718/_xlfn.XLOOKUP(_xlfn.XLOOKUP($F718,Clientes!$B$4:$B$39,Clientes!$C$4:$C$39),Cadastros!$L$6:$L$12,Cadastros!$M$6:$M$12)+IF($F718="Bernardino Furlan",AY718/2751.92,IF($F718="Mauro José Salanti",AY718/2751.92,AY718/3356)),F718&lt;&gt;0,SUM(L718,Q718,V718,AA718,AF718,AK718,AP718,AU718))))</f>
        <v xml:space="preserve"> </v>
      </c>
      <c r="BE718" s="120"/>
      <c r="BF718" s="120"/>
      <c r="BG718" s="120"/>
    </row>
    <row r="719" spans="1:59" s="3" customFormat="1" x14ac:dyDescent="0.3">
      <c r="A719" s="15" t="str">
        <f t="shared" si="143"/>
        <v/>
      </c>
      <c r="B719" s="25"/>
      <c r="C719" s="26"/>
      <c r="D719" s="279"/>
      <c r="E719" s="27"/>
      <c r="F719" s="28"/>
      <c r="G719" s="27"/>
      <c r="H719" s="28"/>
      <c r="I719" s="28"/>
      <c r="J719" s="255" t="str">
        <f>IF(H719="","",(_xlfn.XLOOKUP(H719,Cadastros!$D$6:$D$90,Cadastros!$E$6:$E$90))*(1-_xlfn.XLOOKUP(_xlfn.XLOOKUP($F719,Clientes!$B$4:$B$39,Clientes!$C$4:$C$39),Cadastros!$L$6:$L$12,Cadastros!$N$6:$N$12)))</f>
        <v/>
      </c>
      <c r="K719" s="168" t="str">
        <f t="shared" si="144"/>
        <v/>
      </c>
      <c r="L719" s="168" t="str">
        <f>IFERROR(K719/_xlfn.XLOOKUP(_xlfn.XLOOKUP($F719,Clientes!$B$4:$B$39,Clientes!$C$4:$C$39),Cadastros!$L$6:$L$12,Cadastros!$M$6:$M$12)," ")</f>
        <v xml:space="preserve"> </v>
      </c>
      <c r="M719" s="28"/>
      <c r="N719" s="28"/>
      <c r="O719" s="255" t="str">
        <f>IF(M719="","",(_xlfn.XLOOKUP(M719,Cadastros!$D$6:$D$90,Cadastros!$E$6:$E$90))*(1-_xlfn.XLOOKUP(_xlfn.XLOOKUP($F719,Clientes!$B$4:$B$39,Clientes!$C$4:$C$39),Cadastros!$L$6:$L$12,Cadastros!$N$6:$N$12)))</f>
        <v/>
      </c>
      <c r="P719" s="168" t="str">
        <f t="shared" si="145"/>
        <v/>
      </c>
      <c r="Q719" s="168" t="str">
        <f>IFERROR(P719/_xlfn.XLOOKUP(_xlfn.XLOOKUP($F719,Clientes!$B$4:$B$39,Clientes!$C$4:$C$39),Cadastros!$L$6:$L$12,Cadastros!$M$6:$M$12)," ")</f>
        <v xml:space="preserve"> </v>
      </c>
      <c r="R719" s="28"/>
      <c r="S719" s="28"/>
      <c r="T719" s="255" t="str">
        <f>IF(R719="","",(_xlfn.XLOOKUP(R719,Cadastros!$D$6:$D$90,Cadastros!$E$6:$E$90))*(1-_xlfn.XLOOKUP(_xlfn.XLOOKUP($F719,Clientes!$B$4:$B$39,Clientes!$C$4:$C$39),Cadastros!$L$6:$L$12,Cadastros!$N$6:$N$12)))</f>
        <v/>
      </c>
      <c r="U719" s="168" t="str">
        <f t="shared" si="146"/>
        <v/>
      </c>
      <c r="V719" s="168" t="str">
        <f>IFERROR(U719/_xlfn.XLOOKUP(_xlfn.XLOOKUP($F719,Clientes!$B$4:$B$39,Clientes!$C$4:$C$39),Cadastros!$L$6:$L$12,Cadastros!$M$6:$M$12)," ")</f>
        <v xml:space="preserve"> </v>
      </c>
      <c r="W719" s="28"/>
      <c r="X719" s="28"/>
      <c r="Y719" s="255" t="str">
        <f>IF(W719="","",(_xlfn.XLOOKUP(W719,Cadastros!$D$6:$D$90,Cadastros!$E$6:$E$90))*(1-_xlfn.XLOOKUP(_xlfn.XLOOKUP($F719,Clientes!$B$4:$B$39,Clientes!$C$4:$C$39),Cadastros!$L$6:$L$12,Cadastros!$N$6:$N$12)))</f>
        <v/>
      </c>
      <c r="Z719" s="168" t="str">
        <f t="shared" si="147"/>
        <v/>
      </c>
      <c r="AA719" s="168" t="str">
        <f>IFERROR(Z719/_xlfn.XLOOKUP(_xlfn.XLOOKUP($F719,Clientes!$B$4:$B$39,Clientes!$C$4:$C$39),Cadastros!$L$6:$L$12,Cadastros!$M$6:$M$12)," ")</f>
        <v xml:space="preserve"> </v>
      </c>
      <c r="AB719" s="28"/>
      <c r="AC719" s="28"/>
      <c r="AD719" s="20" t="str">
        <f>IF(AB719="","",IF($F719="Bernardino Furlan",_xlfn.XLOOKUP(AB719,Cadastros!$G$6:$G$90,Cadastros!$H$6:$H$90)*(1-0.18),IF($F719="Mauro José Salanti",_xlfn.XLOOKUP(AB719,Cadastros!$G$6:$G$90,Cadastros!$H$6:$H$90)*(1-0.18),_xlfn.XLOOKUP(AB719,Cadastros!$G$6:$G$90,Cadastros!$H$6:$H$90))))</f>
        <v/>
      </c>
      <c r="AE719" s="168" t="str">
        <f t="shared" si="148"/>
        <v/>
      </c>
      <c r="AF719" s="168" t="str">
        <f t="shared" si="149"/>
        <v/>
      </c>
      <c r="AG719" s="28"/>
      <c r="AH719" s="28"/>
      <c r="AI719" s="20" t="str">
        <f>IF(AG719="","",IF($F719="Bernardino Furlan",_xlfn.XLOOKUP(AG719,Cadastros!$G$6:$G$90,Cadastros!$H$6:$H$90)*(1-0.18),IF($F719="Mauro José Salanti",_xlfn.XLOOKUP(AG719,Cadastros!$G$6:$G$90,Cadastros!$H$6:$H$90)*(1-0.18),_xlfn.XLOOKUP(AG719,Cadastros!$G$6:$G$90,Cadastros!$H$6:$H$90))))</f>
        <v/>
      </c>
      <c r="AJ719" s="168" t="str">
        <f t="shared" si="150"/>
        <v/>
      </c>
      <c r="AK719" s="168" t="str">
        <f t="shared" si="151"/>
        <v/>
      </c>
      <c r="AL719" s="28"/>
      <c r="AM719" s="28"/>
      <c r="AN719" s="20" t="str">
        <f>IF(AL719="","",IF($F719="Bernardino Furlan",_xlfn.XLOOKUP(AL719,Cadastros!$G$6:$G$90,Cadastros!$H$6:$H$90)*(1-0.18),IF($F719="Mauro José Salanti",_xlfn.XLOOKUP(AL719,Cadastros!$G$6:$G$90,Cadastros!$H$6:$H$90)*(1-0.18),_xlfn.XLOOKUP(AL719,Cadastros!$G$6:$G$90,Cadastros!$H$6:$H$90))))</f>
        <v/>
      </c>
      <c r="AO719" s="168" t="str">
        <f t="shared" si="152"/>
        <v/>
      </c>
      <c r="AP719" s="168" t="str">
        <f t="shared" si="153"/>
        <v/>
      </c>
      <c r="AQ719" s="28"/>
      <c r="AR719" s="28"/>
      <c r="AS719" s="20" t="str">
        <f>IF(AQ719="","",IF($F719="Bernardino Furlan",_xlfn.XLOOKUP(AQ719,Cadastros!$G$6:$G$90,Cadastros!$H$6:$H$90)*(1-0.18),IF($F719="Mauro José Salanti",_xlfn.XLOOKUP(AQ719,Cadastros!$G$6:$G$90,Cadastros!$H$6:$H$90)*(1-0.18),_xlfn.XLOOKUP(AQ719,Cadastros!$G$6:$G$90,Cadastros!$H$6:$H$90))))</f>
        <v/>
      </c>
      <c r="AT719" s="168" t="str">
        <f t="shared" si="154"/>
        <v/>
      </c>
      <c r="AU719" s="168" t="str">
        <f t="shared" si="155"/>
        <v/>
      </c>
      <c r="AV719" s="227"/>
      <c r="AW719" s="30"/>
      <c r="AX719" s="267"/>
      <c r="AY719" s="267"/>
      <c r="AZ719" s="29"/>
      <c r="BA719" s="30"/>
      <c r="BB719" s="23" t="str" cm="1">
        <f t="array" ref="BB719">_xlfn.IFS(AW719="SIM",SUM(K719,P719,U719,Z719,AE719,AJ719,AO719,AT719,AX719,AY719),F719&lt;&gt;"",SUM(K719,P719,U719,Z719,AE719,AJ719,,AO719,AT719),F719="","")</f>
        <v/>
      </c>
      <c r="BC719" s="211" t="str" cm="1">
        <f t="array" ref="BC719">_xlfn.IFS(E719="","",G719&lt;=E719,BB719*(1-0.03),G719&lt;(E719+8),BB719,AZ719="Boleto",BB719*(1+0.001)^DATEDIF(E719,G719,"D"),AZ719="Cheque",BB719,AZ719="Dinheiro","Alterar forma pgto")</f>
        <v/>
      </c>
      <c r="BD719" s="276" t="str" cm="1">
        <f t="array" ref="BD719">IF(F719=0," ",IF(BC719&lt;BB719,(_xlfn.IFS(AW719="SIM",SUM(L719,Q719,V719,AA719,AF719,AK719,AP719,AU719)+AX719/_xlfn.XLOOKUP(_xlfn.XLOOKUP($F719,Clientes!$B$4:$B$39,Clientes!$C$4:$C$39),Cadastros!$L$6:$L$12,Cadastros!$M$6:$M$12)+IF($F719="Bernardino Furlan",AY719/2751.92,IF($F719="Mauro José Salanti",AY719/2751.92,AY719/3356)),F719&lt;&gt;0,SUM(L719,Q719,V719,AA719,AF719,AK719,AP719,AU719)))*(1-0.03),_xlfn.IFS(AW719="SIM",SUM(L719,Q719,V719,AA719,AF719,AK719,AP719,AU719)+AX719/_xlfn.XLOOKUP(_xlfn.XLOOKUP($F719,Clientes!$B$4:$B$39,Clientes!$C$4:$C$39),Cadastros!$L$6:$L$12,Cadastros!$M$6:$M$12)+IF($F719="Bernardino Furlan",AY719/2751.92,IF($F719="Mauro José Salanti",AY719/2751.92,AY719/3356)),F719&lt;&gt;0,SUM(L719,Q719,V719,AA719,AF719,AK719,AP719,AU719))))</f>
        <v xml:space="preserve"> </v>
      </c>
      <c r="BE719" s="120"/>
      <c r="BF719" s="120"/>
      <c r="BG719" s="120"/>
    </row>
    <row r="720" spans="1:59" s="3" customFormat="1" x14ac:dyDescent="0.3">
      <c r="A720" s="15" t="str">
        <f t="shared" si="143"/>
        <v/>
      </c>
      <c r="B720" s="25"/>
      <c r="C720" s="26"/>
      <c r="D720" s="279"/>
      <c r="E720" s="27"/>
      <c r="F720" s="28"/>
      <c r="G720" s="27"/>
      <c r="H720" s="28"/>
      <c r="I720" s="28"/>
      <c r="J720" s="255" t="str">
        <f>IF(H720="","",(_xlfn.XLOOKUP(H720,Cadastros!$D$6:$D$90,Cadastros!$E$6:$E$90))*(1-_xlfn.XLOOKUP(_xlfn.XLOOKUP($F720,Clientes!$B$4:$B$39,Clientes!$C$4:$C$39),Cadastros!$L$6:$L$12,Cadastros!$N$6:$N$12)))</f>
        <v/>
      </c>
      <c r="K720" s="168" t="str">
        <f t="shared" si="144"/>
        <v/>
      </c>
      <c r="L720" s="168" t="str">
        <f>IFERROR(K720/_xlfn.XLOOKUP(_xlfn.XLOOKUP($F720,Clientes!$B$4:$B$39,Clientes!$C$4:$C$39),Cadastros!$L$6:$L$12,Cadastros!$M$6:$M$12)," ")</f>
        <v xml:space="preserve"> </v>
      </c>
      <c r="M720" s="28"/>
      <c r="N720" s="28"/>
      <c r="O720" s="255" t="str">
        <f>IF(M720="","",(_xlfn.XLOOKUP(M720,Cadastros!$D$6:$D$90,Cadastros!$E$6:$E$90))*(1-_xlfn.XLOOKUP(_xlfn.XLOOKUP($F720,Clientes!$B$4:$B$39,Clientes!$C$4:$C$39),Cadastros!$L$6:$L$12,Cadastros!$N$6:$N$12)))</f>
        <v/>
      </c>
      <c r="P720" s="168" t="str">
        <f t="shared" si="145"/>
        <v/>
      </c>
      <c r="Q720" s="168" t="str">
        <f>IFERROR(P720/_xlfn.XLOOKUP(_xlfn.XLOOKUP($F720,Clientes!$B$4:$B$39,Clientes!$C$4:$C$39),Cadastros!$L$6:$L$12,Cadastros!$M$6:$M$12)," ")</f>
        <v xml:space="preserve"> </v>
      </c>
      <c r="R720" s="28"/>
      <c r="S720" s="28"/>
      <c r="T720" s="255" t="str">
        <f>IF(R720="","",(_xlfn.XLOOKUP(R720,Cadastros!$D$6:$D$90,Cadastros!$E$6:$E$90))*(1-_xlfn.XLOOKUP(_xlfn.XLOOKUP($F720,Clientes!$B$4:$B$39,Clientes!$C$4:$C$39),Cadastros!$L$6:$L$12,Cadastros!$N$6:$N$12)))</f>
        <v/>
      </c>
      <c r="U720" s="168" t="str">
        <f t="shared" si="146"/>
        <v/>
      </c>
      <c r="V720" s="168" t="str">
        <f>IFERROR(U720/_xlfn.XLOOKUP(_xlfn.XLOOKUP($F720,Clientes!$B$4:$B$39,Clientes!$C$4:$C$39),Cadastros!$L$6:$L$12,Cadastros!$M$6:$M$12)," ")</f>
        <v xml:space="preserve"> </v>
      </c>
      <c r="W720" s="28"/>
      <c r="X720" s="28"/>
      <c r="Y720" s="255" t="str">
        <f>IF(W720="","",(_xlfn.XLOOKUP(W720,Cadastros!$D$6:$D$90,Cadastros!$E$6:$E$90))*(1-_xlfn.XLOOKUP(_xlfn.XLOOKUP($F720,Clientes!$B$4:$B$39,Clientes!$C$4:$C$39),Cadastros!$L$6:$L$12,Cadastros!$N$6:$N$12)))</f>
        <v/>
      </c>
      <c r="Z720" s="168" t="str">
        <f t="shared" si="147"/>
        <v/>
      </c>
      <c r="AA720" s="168" t="str">
        <f>IFERROR(Z720/_xlfn.XLOOKUP(_xlfn.XLOOKUP($F720,Clientes!$B$4:$B$39,Clientes!$C$4:$C$39),Cadastros!$L$6:$L$12,Cadastros!$M$6:$M$12)," ")</f>
        <v xml:space="preserve"> </v>
      </c>
      <c r="AB720" s="28"/>
      <c r="AC720" s="28"/>
      <c r="AD720" s="20" t="str">
        <f>IF(AB720="","",IF($F720="Bernardino Furlan",_xlfn.XLOOKUP(AB720,Cadastros!$G$6:$G$90,Cadastros!$H$6:$H$90)*(1-0.18),IF($F720="Mauro José Salanti",_xlfn.XLOOKUP(AB720,Cadastros!$G$6:$G$90,Cadastros!$H$6:$H$90)*(1-0.18),_xlfn.XLOOKUP(AB720,Cadastros!$G$6:$G$90,Cadastros!$H$6:$H$90))))</f>
        <v/>
      </c>
      <c r="AE720" s="168" t="str">
        <f t="shared" si="148"/>
        <v/>
      </c>
      <c r="AF720" s="168" t="str">
        <f t="shared" si="149"/>
        <v/>
      </c>
      <c r="AG720" s="28"/>
      <c r="AH720" s="28"/>
      <c r="AI720" s="20" t="str">
        <f>IF(AG720="","",IF($F720="Bernardino Furlan",_xlfn.XLOOKUP(AG720,Cadastros!$G$6:$G$90,Cadastros!$H$6:$H$90)*(1-0.18),IF($F720="Mauro José Salanti",_xlfn.XLOOKUP(AG720,Cadastros!$G$6:$G$90,Cadastros!$H$6:$H$90)*(1-0.18),_xlfn.XLOOKUP(AG720,Cadastros!$G$6:$G$90,Cadastros!$H$6:$H$90))))</f>
        <v/>
      </c>
      <c r="AJ720" s="168" t="str">
        <f t="shared" si="150"/>
        <v/>
      </c>
      <c r="AK720" s="168" t="str">
        <f t="shared" si="151"/>
        <v/>
      </c>
      <c r="AL720" s="28"/>
      <c r="AM720" s="28"/>
      <c r="AN720" s="20" t="str">
        <f>IF(AL720="","",IF($F720="Bernardino Furlan",_xlfn.XLOOKUP(AL720,Cadastros!$G$6:$G$90,Cadastros!$H$6:$H$90)*(1-0.18),IF($F720="Mauro José Salanti",_xlfn.XLOOKUP(AL720,Cadastros!$G$6:$G$90,Cadastros!$H$6:$H$90)*(1-0.18),_xlfn.XLOOKUP(AL720,Cadastros!$G$6:$G$90,Cadastros!$H$6:$H$90))))</f>
        <v/>
      </c>
      <c r="AO720" s="168" t="str">
        <f t="shared" si="152"/>
        <v/>
      </c>
      <c r="AP720" s="168" t="str">
        <f t="shared" si="153"/>
        <v/>
      </c>
      <c r="AQ720" s="28"/>
      <c r="AR720" s="28"/>
      <c r="AS720" s="20" t="str">
        <f>IF(AQ720="","",IF($F720="Bernardino Furlan",_xlfn.XLOOKUP(AQ720,Cadastros!$G$6:$G$90,Cadastros!$H$6:$H$90)*(1-0.18),IF($F720="Mauro José Salanti",_xlfn.XLOOKUP(AQ720,Cadastros!$G$6:$G$90,Cadastros!$H$6:$H$90)*(1-0.18),_xlfn.XLOOKUP(AQ720,Cadastros!$G$6:$G$90,Cadastros!$H$6:$H$90))))</f>
        <v/>
      </c>
      <c r="AT720" s="168" t="str">
        <f t="shared" si="154"/>
        <v/>
      </c>
      <c r="AU720" s="168" t="str">
        <f t="shared" si="155"/>
        <v/>
      </c>
      <c r="AV720" s="227"/>
      <c r="AW720" s="30"/>
      <c r="AX720" s="267"/>
      <c r="AY720" s="267"/>
      <c r="AZ720" s="29"/>
      <c r="BA720" s="30"/>
      <c r="BB720" s="23" t="str" cm="1">
        <f t="array" ref="BB720">_xlfn.IFS(AW720="SIM",SUM(K720,P720,U720,Z720,AE720,AJ720,AO720,AT720,AX720,AY720),F720&lt;&gt;"",SUM(K720,P720,U720,Z720,AE720,AJ720,,AO720,AT720),F720="","")</f>
        <v/>
      </c>
      <c r="BC720" s="211" t="str" cm="1">
        <f t="array" ref="BC720">_xlfn.IFS(E720="","",G720&lt;=E720,BB720*(1-0.03),G720&lt;(E720+8),BB720,AZ720="Boleto",BB720*(1+0.001)^DATEDIF(E720,G720,"D"),AZ720="Cheque",BB720,AZ720="Dinheiro","Alterar forma pgto")</f>
        <v/>
      </c>
      <c r="BD720" s="276" t="str" cm="1">
        <f t="array" ref="BD720">IF(F720=0," ",IF(BC720&lt;BB720,(_xlfn.IFS(AW720="SIM",SUM(L720,Q720,V720,AA720,AF720,AK720,AP720,AU720)+AX720/_xlfn.XLOOKUP(_xlfn.XLOOKUP($F720,Clientes!$B$4:$B$39,Clientes!$C$4:$C$39),Cadastros!$L$6:$L$12,Cadastros!$M$6:$M$12)+IF($F720="Bernardino Furlan",AY720/2751.92,IF($F720="Mauro José Salanti",AY720/2751.92,AY720/3356)),F720&lt;&gt;0,SUM(L720,Q720,V720,AA720,AF720,AK720,AP720,AU720)))*(1-0.03),_xlfn.IFS(AW720="SIM",SUM(L720,Q720,V720,AA720,AF720,AK720,AP720,AU720)+AX720/_xlfn.XLOOKUP(_xlfn.XLOOKUP($F720,Clientes!$B$4:$B$39,Clientes!$C$4:$C$39),Cadastros!$L$6:$L$12,Cadastros!$M$6:$M$12)+IF($F720="Bernardino Furlan",AY720/2751.92,IF($F720="Mauro José Salanti",AY720/2751.92,AY720/3356)),F720&lt;&gt;0,SUM(L720,Q720,V720,AA720,AF720,AK720,AP720,AU720))))</f>
        <v xml:space="preserve"> </v>
      </c>
      <c r="BE720" s="120"/>
      <c r="BF720" s="120"/>
      <c r="BG720" s="120"/>
    </row>
    <row r="721" spans="1:59" s="3" customFormat="1" x14ac:dyDescent="0.3">
      <c r="A721" s="15" t="str">
        <f t="shared" si="143"/>
        <v/>
      </c>
      <c r="B721" s="25"/>
      <c r="C721" s="26"/>
      <c r="D721" s="279"/>
      <c r="E721" s="27"/>
      <c r="F721" s="28"/>
      <c r="G721" s="27"/>
      <c r="H721" s="28"/>
      <c r="I721" s="28"/>
      <c r="J721" s="255" t="str">
        <f>IF(H721="","",(_xlfn.XLOOKUP(H721,Cadastros!$D$6:$D$90,Cadastros!$E$6:$E$90))*(1-_xlfn.XLOOKUP(_xlfn.XLOOKUP($F721,Clientes!$B$4:$B$39,Clientes!$C$4:$C$39),Cadastros!$L$6:$L$12,Cadastros!$N$6:$N$12)))</f>
        <v/>
      </c>
      <c r="K721" s="168" t="str">
        <f t="shared" si="144"/>
        <v/>
      </c>
      <c r="L721" s="168" t="str">
        <f>IFERROR(K721/_xlfn.XLOOKUP(_xlfn.XLOOKUP($F721,Clientes!$B$4:$B$39,Clientes!$C$4:$C$39),Cadastros!$L$6:$L$12,Cadastros!$M$6:$M$12)," ")</f>
        <v xml:space="preserve"> </v>
      </c>
      <c r="M721" s="28"/>
      <c r="N721" s="28"/>
      <c r="O721" s="255" t="str">
        <f>IF(M721="","",(_xlfn.XLOOKUP(M721,Cadastros!$D$6:$D$90,Cadastros!$E$6:$E$90))*(1-_xlfn.XLOOKUP(_xlfn.XLOOKUP($F721,Clientes!$B$4:$B$39,Clientes!$C$4:$C$39),Cadastros!$L$6:$L$12,Cadastros!$N$6:$N$12)))</f>
        <v/>
      </c>
      <c r="P721" s="168" t="str">
        <f t="shared" si="145"/>
        <v/>
      </c>
      <c r="Q721" s="168" t="str">
        <f>IFERROR(P721/_xlfn.XLOOKUP(_xlfn.XLOOKUP($F721,Clientes!$B$4:$B$39,Clientes!$C$4:$C$39),Cadastros!$L$6:$L$12,Cadastros!$M$6:$M$12)," ")</f>
        <v xml:space="preserve"> </v>
      </c>
      <c r="R721" s="28"/>
      <c r="S721" s="28"/>
      <c r="T721" s="255" t="str">
        <f>IF(R721="","",(_xlfn.XLOOKUP(R721,Cadastros!$D$6:$D$90,Cadastros!$E$6:$E$90))*(1-_xlfn.XLOOKUP(_xlfn.XLOOKUP($F721,Clientes!$B$4:$B$39,Clientes!$C$4:$C$39),Cadastros!$L$6:$L$12,Cadastros!$N$6:$N$12)))</f>
        <v/>
      </c>
      <c r="U721" s="168" t="str">
        <f t="shared" si="146"/>
        <v/>
      </c>
      <c r="V721" s="168" t="str">
        <f>IFERROR(U721/_xlfn.XLOOKUP(_xlfn.XLOOKUP($F721,Clientes!$B$4:$B$39,Clientes!$C$4:$C$39),Cadastros!$L$6:$L$12,Cadastros!$M$6:$M$12)," ")</f>
        <v xml:space="preserve"> </v>
      </c>
      <c r="W721" s="28"/>
      <c r="X721" s="28"/>
      <c r="Y721" s="255" t="str">
        <f>IF(W721="","",(_xlfn.XLOOKUP(W721,Cadastros!$D$6:$D$90,Cadastros!$E$6:$E$90))*(1-_xlfn.XLOOKUP(_xlfn.XLOOKUP($F721,Clientes!$B$4:$B$39,Clientes!$C$4:$C$39),Cadastros!$L$6:$L$12,Cadastros!$N$6:$N$12)))</f>
        <v/>
      </c>
      <c r="Z721" s="168" t="str">
        <f t="shared" si="147"/>
        <v/>
      </c>
      <c r="AA721" s="168" t="str">
        <f>IFERROR(Z721/_xlfn.XLOOKUP(_xlfn.XLOOKUP($F721,Clientes!$B$4:$B$39,Clientes!$C$4:$C$39),Cadastros!$L$6:$L$12,Cadastros!$M$6:$M$12)," ")</f>
        <v xml:space="preserve"> </v>
      </c>
      <c r="AB721" s="28"/>
      <c r="AC721" s="28"/>
      <c r="AD721" s="20" t="str">
        <f>IF(AB721="","",IF($F721="Bernardino Furlan",_xlfn.XLOOKUP(AB721,Cadastros!$G$6:$G$90,Cadastros!$H$6:$H$90)*(1-0.18),IF($F721="Mauro José Salanti",_xlfn.XLOOKUP(AB721,Cadastros!$G$6:$G$90,Cadastros!$H$6:$H$90)*(1-0.18),_xlfn.XLOOKUP(AB721,Cadastros!$G$6:$G$90,Cadastros!$H$6:$H$90))))</f>
        <v/>
      </c>
      <c r="AE721" s="168" t="str">
        <f t="shared" si="148"/>
        <v/>
      </c>
      <c r="AF721" s="168" t="str">
        <f t="shared" si="149"/>
        <v/>
      </c>
      <c r="AG721" s="28"/>
      <c r="AH721" s="28"/>
      <c r="AI721" s="20" t="str">
        <f>IF(AG721="","",IF($F721="Bernardino Furlan",_xlfn.XLOOKUP(AG721,Cadastros!$G$6:$G$90,Cadastros!$H$6:$H$90)*(1-0.18),IF($F721="Mauro José Salanti",_xlfn.XLOOKUP(AG721,Cadastros!$G$6:$G$90,Cadastros!$H$6:$H$90)*(1-0.18),_xlfn.XLOOKUP(AG721,Cadastros!$G$6:$G$90,Cadastros!$H$6:$H$90))))</f>
        <v/>
      </c>
      <c r="AJ721" s="168" t="str">
        <f t="shared" si="150"/>
        <v/>
      </c>
      <c r="AK721" s="168" t="str">
        <f t="shared" si="151"/>
        <v/>
      </c>
      <c r="AL721" s="28"/>
      <c r="AM721" s="28"/>
      <c r="AN721" s="20" t="str">
        <f>IF(AL721="","",IF($F721="Bernardino Furlan",_xlfn.XLOOKUP(AL721,Cadastros!$G$6:$G$90,Cadastros!$H$6:$H$90)*(1-0.18),IF($F721="Mauro José Salanti",_xlfn.XLOOKUP(AL721,Cadastros!$G$6:$G$90,Cadastros!$H$6:$H$90)*(1-0.18),_xlfn.XLOOKUP(AL721,Cadastros!$G$6:$G$90,Cadastros!$H$6:$H$90))))</f>
        <v/>
      </c>
      <c r="AO721" s="168" t="str">
        <f t="shared" si="152"/>
        <v/>
      </c>
      <c r="AP721" s="168" t="str">
        <f t="shared" si="153"/>
        <v/>
      </c>
      <c r="AQ721" s="28"/>
      <c r="AR721" s="28"/>
      <c r="AS721" s="20" t="str">
        <f>IF(AQ721="","",IF($F721="Bernardino Furlan",_xlfn.XLOOKUP(AQ721,Cadastros!$G$6:$G$90,Cadastros!$H$6:$H$90)*(1-0.18),IF($F721="Mauro José Salanti",_xlfn.XLOOKUP(AQ721,Cadastros!$G$6:$G$90,Cadastros!$H$6:$H$90)*(1-0.18),_xlfn.XLOOKUP(AQ721,Cadastros!$G$6:$G$90,Cadastros!$H$6:$H$90))))</f>
        <v/>
      </c>
      <c r="AT721" s="168" t="str">
        <f t="shared" si="154"/>
        <v/>
      </c>
      <c r="AU721" s="168" t="str">
        <f t="shared" si="155"/>
        <v/>
      </c>
      <c r="AV721" s="227"/>
      <c r="AW721" s="30"/>
      <c r="AX721" s="267"/>
      <c r="AY721" s="267"/>
      <c r="AZ721" s="29"/>
      <c r="BA721" s="30"/>
      <c r="BB721" s="23" t="str" cm="1">
        <f t="array" ref="BB721">_xlfn.IFS(AW721="SIM",SUM(K721,P721,U721,Z721,AE721,AJ721,AO721,AT721,AX721,AY721),F721&lt;&gt;"",SUM(K721,P721,U721,Z721,AE721,AJ721,,AO721,AT721),F721="","")</f>
        <v/>
      </c>
      <c r="BC721" s="211" t="str" cm="1">
        <f t="array" ref="BC721">_xlfn.IFS(E721="","",G721&lt;=E721,BB721*(1-0.03),G721&lt;(E721+8),BB721,AZ721="Boleto",BB721*(1+0.001)^DATEDIF(E721,G721,"D"),AZ721="Cheque",BB721,AZ721="Dinheiro","Alterar forma pgto")</f>
        <v/>
      </c>
      <c r="BD721" s="276" t="str" cm="1">
        <f t="array" ref="BD721">IF(F721=0," ",IF(BC721&lt;BB721,(_xlfn.IFS(AW721="SIM",SUM(L721,Q721,V721,AA721,AF721,AK721,AP721,AU721)+AX721/_xlfn.XLOOKUP(_xlfn.XLOOKUP($F721,Clientes!$B$4:$B$39,Clientes!$C$4:$C$39),Cadastros!$L$6:$L$12,Cadastros!$M$6:$M$12)+IF($F721="Bernardino Furlan",AY721/2751.92,IF($F721="Mauro José Salanti",AY721/2751.92,AY721/3356)),F721&lt;&gt;0,SUM(L721,Q721,V721,AA721,AF721,AK721,AP721,AU721)))*(1-0.03),_xlfn.IFS(AW721="SIM",SUM(L721,Q721,V721,AA721,AF721,AK721,AP721,AU721)+AX721/_xlfn.XLOOKUP(_xlfn.XLOOKUP($F721,Clientes!$B$4:$B$39,Clientes!$C$4:$C$39),Cadastros!$L$6:$L$12,Cadastros!$M$6:$M$12)+IF($F721="Bernardino Furlan",AY721/2751.92,IF($F721="Mauro José Salanti",AY721/2751.92,AY721/3356)),F721&lt;&gt;0,SUM(L721,Q721,V721,AA721,AF721,AK721,AP721,AU721))))</f>
        <v xml:space="preserve"> </v>
      </c>
      <c r="BE721" s="120"/>
      <c r="BF721" s="120"/>
      <c r="BG721" s="120"/>
    </row>
    <row r="722" spans="1:59" s="3" customFormat="1" x14ac:dyDescent="0.3">
      <c r="A722" s="15" t="str">
        <f t="shared" si="143"/>
        <v/>
      </c>
      <c r="B722" s="25"/>
      <c r="C722" s="26"/>
      <c r="D722" s="279"/>
      <c r="E722" s="27"/>
      <c r="F722" s="28"/>
      <c r="G722" s="27"/>
      <c r="H722" s="28"/>
      <c r="I722" s="28"/>
      <c r="J722" s="255" t="str">
        <f>IF(H722="","",(_xlfn.XLOOKUP(H722,Cadastros!$D$6:$D$90,Cadastros!$E$6:$E$90))*(1-_xlfn.XLOOKUP(_xlfn.XLOOKUP($F722,Clientes!$B$4:$B$39,Clientes!$C$4:$C$39),Cadastros!$L$6:$L$12,Cadastros!$N$6:$N$12)))</f>
        <v/>
      </c>
      <c r="K722" s="168" t="str">
        <f t="shared" si="144"/>
        <v/>
      </c>
      <c r="L722" s="168" t="str">
        <f>IFERROR(K722/_xlfn.XLOOKUP(_xlfn.XLOOKUP($F722,Clientes!$B$4:$B$39,Clientes!$C$4:$C$39),Cadastros!$L$6:$L$12,Cadastros!$M$6:$M$12)," ")</f>
        <v xml:space="preserve"> </v>
      </c>
      <c r="M722" s="28"/>
      <c r="N722" s="28"/>
      <c r="O722" s="255" t="str">
        <f>IF(M722="","",(_xlfn.XLOOKUP(M722,Cadastros!$D$6:$D$90,Cadastros!$E$6:$E$90))*(1-_xlfn.XLOOKUP(_xlfn.XLOOKUP($F722,Clientes!$B$4:$B$39,Clientes!$C$4:$C$39),Cadastros!$L$6:$L$12,Cadastros!$N$6:$N$12)))</f>
        <v/>
      </c>
      <c r="P722" s="168" t="str">
        <f t="shared" si="145"/>
        <v/>
      </c>
      <c r="Q722" s="168" t="str">
        <f>IFERROR(P722/_xlfn.XLOOKUP(_xlfn.XLOOKUP($F722,Clientes!$B$4:$B$39,Clientes!$C$4:$C$39),Cadastros!$L$6:$L$12,Cadastros!$M$6:$M$12)," ")</f>
        <v xml:space="preserve"> </v>
      </c>
      <c r="R722" s="28"/>
      <c r="S722" s="28"/>
      <c r="T722" s="255" t="str">
        <f>IF(R722="","",(_xlfn.XLOOKUP(R722,Cadastros!$D$6:$D$90,Cadastros!$E$6:$E$90))*(1-_xlfn.XLOOKUP(_xlfn.XLOOKUP($F722,Clientes!$B$4:$B$39,Clientes!$C$4:$C$39),Cadastros!$L$6:$L$12,Cadastros!$N$6:$N$12)))</f>
        <v/>
      </c>
      <c r="U722" s="168" t="str">
        <f t="shared" si="146"/>
        <v/>
      </c>
      <c r="V722" s="168" t="str">
        <f>IFERROR(U722/_xlfn.XLOOKUP(_xlfn.XLOOKUP($F722,Clientes!$B$4:$B$39,Clientes!$C$4:$C$39),Cadastros!$L$6:$L$12,Cadastros!$M$6:$M$12)," ")</f>
        <v xml:space="preserve"> </v>
      </c>
      <c r="W722" s="28"/>
      <c r="X722" s="28"/>
      <c r="Y722" s="255" t="str">
        <f>IF(W722="","",(_xlfn.XLOOKUP(W722,Cadastros!$D$6:$D$90,Cadastros!$E$6:$E$90))*(1-_xlfn.XLOOKUP(_xlfn.XLOOKUP($F722,Clientes!$B$4:$B$39,Clientes!$C$4:$C$39),Cadastros!$L$6:$L$12,Cadastros!$N$6:$N$12)))</f>
        <v/>
      </c>
      <c r="Z722" s="168" t="str">
        <f t="shared" si="147"/>
        <v/>
      </c>
      <c r="AA722" s="168" t="str">
        <f>IFERROR(Z722/_xlfn.XLOOKUP(_xlfn.XLOOKUP($F722,Clientes!$B$4:$B$39,Clientes!$C$4:$C$39),Cadastros!$L$6:$L$12,Cadastros!$M$6:$M$12)," ")</f>
        <v xml:space="preserve"> </v>
      </c>
      <c r="AB722" s="28"/>
      <c r="AC722" s="28"/>
      <c r="AD722" s="20" t="str">
        <f>IF(AB722="","",IF($F722="Bernardino Furlan",_xlfn.XLOOKUP(AB722,Cadastros!$G$6:$G$90,Cadastros!$H$6:$H$90)*(1-0.18),IF($F722="Mauro José Salanti",_xlfn.XLOOKUP(AB722,Cadastros!$G$6:$G$90,Cadastros!$H$6:$H$90)*(1-0.18),_xlfn.XLOOKUP(AB722,Cadastros!$G$6:$G$90,Cadastros!$H$6:$H$90))))</f>
        <v/>
      </c>
      <c r="AE722" s="168" t="str">
        <f t="shared" si="148"/>
        <v/>
      </c>
      <c r="AF722" s="168" t="str">
        <f t="shared" si="149"/>
        <v/>
      </c>
      <c r="AG722" s="28"/>
      <c r="AH722" s="28"/>
      <c r="AI722" s="20" t="str">
        <f>IF(AG722="","",IF($F722="Bernardino Furlan",_xlfn.XLOOKUP(AG722,Cadastros!$G$6:$G$90,Cadastros!$H$6:$H$90)*(1-0.18),IF($F722="Mauro José Salanti",_xlfn.XLOOKUP(AG722,Cadastros!$G$6:$G$90,Cadastros!$H$6:$H$90)*(1-0.18),_xlfn.XLOOKUP(AG722,Cadastros!$G$6:$G$90,Cadastros!$H$6:$H$90))))</f>
        <v/>
      </c>
      <c r="AJ722" s="168" t="str">
        <f t="shared" si="150"/>
        <v/>
      </c>
      <c r="AK722" s="168" t="str">
        <f t="shared" si="151"/>
        <v/>
      </c>
      <c r="AL722" s="28"/>
      <c r="AM722" s="28"/>
      <c r="AN722" s="20" t="str">
        <f>IF(AL722="","",IF($F722="Bernardino Furlan",_xlfn.XLOOKUP(AL722,Cadastros!$G$6:$G$90,Cadastros!$H$6:$H$90)*(1-0.18),IF($F722="Mauro José Salanti",_xlfn.XLOOKUP(AL722,Cadastros!$G$6:$G$90,Cadastros!$H$6:$H$90)*(1-0.18),_xlfn.XLOOKUP(AL722,Cadastros!$G$6:$G$90,Cadastros!$H$6:$H$90))))</f>
        <v/>
      </c>
      <c r="AO722" s="168" t="str">
        <f t="shared" si="152"/>
        <v/>
      </c>
      <c r="AP722" s="168" t="str">
        <f t="shared" si="153"/>
        <v/>
      </c>
      <c r="AQ722" s="28"/>
      <c r="AR722" s="28"/>
      <c r="AS722" s="20" t="str">
        <f>IF(AQ722="","",IF($F722="Bernardino Furlan",_xlfn.XLOOKUP(AQ722,Cadastros!$G$6:$G$90,Cadastros!$H$6:$H$90)*(1-0.18),IF($F722="Mauro José Salanti",_xlfn.XLOOKUP(AQ722,Cadastros!$G$6:$G$90,Cadastros!$H$6:$H$90)*(1-0.18),_xlfn.XLOOKUP(AQ722,Cadastros!$G$6:$G$90,Cadastros!$H$6:$H$90))))</f>
        <v/>
      </c>
      <c r="AT722" s="168" t="str">
        <f t="shared" si="154"/>
        <v/>
      </c>
      <c r="AU722" s="168" t="str">
        <f t="shared" si="155"/>
        <v/>
      </c>
      <c r="AV722" s="227"/>
      <c r="AW722" s="30"/>
      <c r="AX722" s="267"/>
      <c r="AY722" s="267"/>
      <c r="AZ722" s="29"/>
      <c r="BA722" s="30"/>
      <c r="BB722" s="23" t="str" cm="1">
        <f t="array" ref="BB722">_xlfn.IFS(AW722="SIM",SUM(K722,P722,U722,Z722,AE722,AJ722,AO722,AT722,AX722,AY722),F722&lt;&gt;"",SUM(K722,P722,U722,Z722,AE722,AJ722,,AO722,AT722),F722="","")</f>
        <v/>
      </c>
      <c r="BC722" s="211" t="str" cm="1">
        <f t="array" ref="BC722">_xlfn.IFS(E722="","",G722&lt;=E722,BB722*(1-0.03),G722&lt;(E722+8),BB722,AZ722="Boleto",BB722*(1+0.001)^DATEDIF(E722,G722,"D"),AZ722="Cheque",BB722,AZ722="Dinheiro","Alterar forma pgto")</f>
        <v/>
      </c>
      <c r="BD722" s="276" t="str" cm="1">
        <f t="array" ref="BD722">IF(F722=0," ",IF(BC722&lt;BB722,(_xlfn.IFS(AW722="SIM",SUM(L722,Q722,V722,AA722,AF722,AK722,AP722,AU722)+AX722/_xlfn.XLOOKUP(_xlfn.XLOOKUP($F722,Clientes!$B$4:$B$39,Clientes!$C$4:$C$39),Cadastros!$L$6:$L$12,Cadastros!$M$6:$M$12)+IF($F722="Bernardino Furlan",AY722/2751.92,IF($F722="Mauro José Salanti",AY722/2751.92,AY722/3356)),F722&lt;&gt;0,SUM(L722,Q722,V722,AA722,AF722,AK722,AP722,AU722)))*(1-0.03),_xlfn.IFS(AW722="SIM",SUM(L722,Q722,V722,AA722,AF722,AK722,AP722,AU722)+AX722/_xlfn.XLOOKUP(_xlfn.XLOOKUP($F722,Clientes!$B$4:$B$39,Clientes!$C$4:$C$39),Cadastros!$L$6:$L$12,Cadastros!$M$6:$M$12)+IF($F722="Bernardino Furlan",AY722/2751.92,IF($F722="Mauro José Salanti",AY722/2751.92,AY722/3356)),F722&lt;&gt;0,SUM(L722,Q722,V722,AA722,AF722,AK722,AP722,AU722))))</f>
        <v xml:space="preserve"> </v>
      </c>
      <c r="BE722" s="120"/>
      <c r="BF722" s="120"/>
      <c r="BG722" s="120"/>
    </row>
    <row r="723" spans="1:59" s="3" customFormat="1" x14ac:dyDescent="0.3">
      <c r="A723" s="15" t="str">
        <f t="shared" si="143"/>
        <v/>
      </c>
      <c r="B723" s="25"/>
      <c r="C723" s="26"/>
      <c r="D723" s="279"/>
      <c r="E723" s="27"/>
      <c r="F723" s="28"/>
      <c r="G723" s="27"/>
      <c r="H723" s="28"/>
      <c r="I723" s="28"/>
      <c r="J723" s="255" t="str">
        <f>IF(H723="","",(_xlfn.XLOOKUP(H723,Cadastros!$D$6:$D$90,Cadastros!$E$6:$E$90))*(1-_xlfn.XLOOKUP(_xlfn.XLOOKUP($F723,Clientes!$B$4:$B$39,Clientes!$C$4:$C$39),Cadastros!$L$6:$L$12,Cadastros!$N$6:$N$12)))</f>
        <v/>
      </c>
      <c r="K723" s="168" t="str">
        <f t="shared" si="144"/>
        <v/>
      </c>
      <c r="L723" s="168" t="str">
        <f>IFERROR(K723/_xlfn.XLOOKUP(_xlfn.XLOOKUP($F723,Clientes!$B$4:$B$39,Clientes!$C$4:$C$39),Cadastros!$L$6:$L$12,Cadastros!$M$6:$M$12)," ")</f>
        <v xml:space="preserve"> </v>
      </c>
      <c r="M723" s="28"/>
      <c r="N723" s="28"/>
      <c r="O723" s="255" t="str">
        <f>IF(M723="","",(_xlfn.XLOOKUP(M723,Cadastros!$D$6:$D$90,Cadastros!$E$6:$E$90))*(1-_xlfn.XLOOKUP(_xlfn.XLOOKUP($F723,Clientes!$B$4:$B$39,Clientes!$C$4:$C$39),Cadastros!$L$6:$L$12,Cadastros!$N$6:$N$12)))</f>
        <v/>
      </c>
      <c r="P723" s="168" t="str">
        <f t="shared" si="145"/>
        <v/>
      </c>
      <c r="Q723" s="168" t="str">
        <f>IFERROR(P723/_xlfn.XLOOKUP(_xlfn.XLOOKUP($F723,Clientes!$B$4:$B$39,Clientes!$C$4:$C$39),Cadastros!$L$6:$L$12,Cadastros!$M$6:$M$12)," ")</f>
        <v xml:space="preserve"> </v>
      </c>
      <c r="R723" s="28"/>
      <c r="S723" s="28"/>
      <c r="T723" s="255" t="str">
        <f>IF(R723="","",(_xlfn.XLOOKUP(R723,Cadastros!$D$6:$D$90,Cadastros!$E$6:$E$90))*(1-_xlfn.XLOOKUP(_xlfn.XLOOKUP($F723,Clientes!$B$4:$B$39,Clientes!$C$4:$C$39),Cadastros!$L$6:$L$12,Cadastros!$N$6:$N$12)))</f>
        <v/>
      </c>
      <c r="U723" s="168" t="str">
        <f t="shared" si="146"/>
        <v/>
      </c>
      <c r="V723" s="168" t="str">
        <f>IFERROR(U723/_xlfn.XLOOKUP(_xlfn.XLOOKUP($F723,Clientes!$B$4:$B$39,Clientes!$C$4:$C$39),Cadastros!$L$6:$L$12,Cadastros!$M$6:$M$12)," ")</f>
        <v xml:space="preserve"> </v>
      </c>
      <c r="W723" s="28"/>
      <c r="X723" s="28"/>
      <c r="Y723" s="255" t="str">
        <f>IF(W723="","",(_xlfn.XLOOKUP(W723,Cadastros!$D$6:$D$90,Cadastros!$E$6:$E$90))*(1-_xlfn.XLOOKUP(_xlfn.XLOOKUP($F723,Clientes!$B$4:$B$39,Clientes!$C$4:$C$39),Cadastros!$L$6:$L$12,Cadastros!$N$6:$N$12)))</f>
        <v/>
      </c>
      <c r="Z723" s="168" t="str">
        <f t="shared" si="147"/>
        <v/>
      </c>
      <c r="AA723" s="168" t="str">
        <f>IFERROR(Z723/_xlfn.XLOOKUP(_xlfn.XLOOKUP($F723,Clientes!$B$4:$B$39,Clientes!$C$4:$C$39),Cadastros!$L$6:$L$12,Cadastros!$M$6:$M$12)," ")</f>
        <v xml:space="preserve"> </v>
      </c>
      <c r="AB723" s="28"/>
      <c r="AC723" s="28"/>
      <c r="AD723" s="20" t="str">
        <f>IF(AB723="","",IF($F723="Bernardino Furlan",_xlfn.XLOOKUP(AB723,Cadastros!$G$6:$G$90,Cadastros!$H$6:$H$90)*(1-0.18),IF($F723="Mauro José Salanti",_xlfn.XLOOKUP(AB723,Cadastros!$G$6:$G$90,Cadastros!$H$6:$H$90)*(1-0.18),_xlfn.XLOOKUP(AB723,Cadastros!$G$6:$G$90,Cadastros!$H$6:$H$90))))</f>
        <v/>
      </c>
      <c r="AE723" s="168" t="str">
        <f t="shared" si="148"/>
        <v/>
      </c>
      <c r="AF723" s="168" t="str">
        <f t="shared" si="149"/>
        <v/>
      </c>
      <c r="AG723" s="28"/>
      <c r="AH723" s="28"/>
      <c r="AI723" s="20" t="str">
        <f>IF(AG723="","",IF($F723="Bernardino Furlan",_xlfn.XLOOKUP(AG723,Cadastros!$G$6:$G$90,Cadastros!$H$6:$H$90)*(1-0.18),IF($F723="Mauro José Salanti",_xlfn.XLOOKUP(AG723,Cadastros!$G$6:$G$90,Cadastros!$H$6:$H$90)*(1-0.18),_xlfn.XLOOKUP(AG723,Cadastros!$G$6:$G$90,Cadastros!$H$6:$H$90))))</f>
        <v/>
      </c>
      <c r="AJ723" s="168" t="str">
        <f t="shared" si="150"/>
        <v/>
      </c>
      <c r="AK723" s="168" t="str">
        <f t="shared" si="151"/>
        <v/>
      </c>
      <c r="AL723" s="28"/>
      <c r="AM723" s="28"/>
      <c r="AN723" s="20" t="str">
        <f>IF(AL723="","",IF($F723="Bernardino Furlan",_xlfn.XLOOKUP(AL723,Cadastros!$G$6:$G$90,Cadastros!$H$6:$H$90)*(1-0.18),IF($F723="Mauro José Salanti",_xlfn.XLOOKUP(AL723,Cadastros!$G$6:$G$90,Cadastros!$H$6:$H$90)*(1-0.18),_xlfn.XLOOKUP(AL723,Cadastros!$G$6:$G$90,Cadastros!$H$6:$H$90))))</f>
        <v/>
      </c>
      <c r="AO723" s="168" t="str">
        <f t="shared" si="152"/>
        <v/>
      </c>
      <c r="AP723" s="168" t="str">
        <f t="shared" si="153"/>
        <v/>
      </c>
      <c r="AQ723" s="28"/>
      <c r="AR723" s="28"/>
      <c r="AS723" s="20" t="str">
        <f>IF(AQ723="","",IF($F723="Bernardino Furlan",_xlfn.XLOOKUP(AQ723,Cadastros!$G$6:$G$90,Cadastros!$H$6:$H$90)*(1-0.18),IF($F723="Mauro José Salanti",_xlfn.XLOOKUP(AQ723,Cadastros!$G$6:$G$90,Cadastros!$H$6:$H$90)*(1-0.18),_xlfn.XLOOKUP(AQ723,Cadastros!$G$6:$G$90,Cadastros!$H$6:$H$90))))</f>
        <v/>
      </c>
      <c r="AT723" s="168" t="str">
        <f t="shared" si="154"/>
        <v/>
      </c>
      <c r="AU723" s="168" t="str">
        <f t="shared" si="155"/>
        <v/>
      </c>
      <c r="AV723" s="227"/>
      <c r="AW723" s="30"/>
      <c r="AX723" s="267"/>
      <c r="AY723" s="267"/>
      <c r="AZ723" s="29"/>
      <c r="BA723" s="30"/>
      <c r="BB723" s="23" t="str" cm="1">
        <f t="array" ref="BB723">_xlfn.IFS(AW723="SIM",SUM(K723,P723,U723,Z723,AE723,AJ723,AO723,AT723,AX723,AY723),F723&lt;&gt;"",SUM(K723,P723,U723,Z723,AE723,AJ723,,AO723,AT723),F723="","")</f>
        <v/>
      </c>
      <c r="BC723" s="211" t="str" cm="1">
        <f t="array" ref="BC723">_xlfn.IFS(E723="","",G723&lt;=E723,BB723*(1-0.03),G723&lt;(E723+8),BB723,AZ723="Boleto",BB723*(1+0.001)^DATEDIF(E723,G723,"D"),AZ723="Cheque",BB723,AZ723="Dinheiro","Alterar forma pgto")</f>
        <v/>
      </c>
      <c r="BD723" s="276" t="str" cm="1">
        <f t="array" ref="BD723">IF(F723=0," ",IF(BC723&lt;BB723,(_xlfn.IFS(AW723="SIM",SUM(L723,Q723,V723,AA723,AF723,AK723,AP723,AU723)+AX723/_xlfn.XLOOKUP(_xlfn.XLOOKUP($F723,Clientes!$B$4:$B$39,Clientes!$C$4:$C$39),Cadastros!$L$6:$L$12,Cadastros!$M$6:$M$12)+IF($F723="Bernardino Furlan",AY723/2751.92,IF($F723="Mauro José Salanti",AY723/2751.92,AY723/3356)),F723&lt;&gt;0,SUM(L723,Q723,V723,AA723,AF723,AK723,AP723,AU723)))*(1-0.03),_xlfn.IFS(AW723="SIM",SUM(L723,Q723,V723,AA723,AF723,AK723,AP723,AU723)+AX723/_xlfn.XLOOKUP(_xlfn.XLOOKUP($F723,Clientes!$B$4:$B$39,Clientes!$C$4:$C$39),Cadastros!$L$6:$L$12,Cadastros!$M$6:$M$12)+IF($F723="Bernardino Furlan",AY723/2751.92,IF($F723="Mauro José Salanti",AY723/2751.92,AY723/3356)),F723&lt;&gt;0,SUM(L723,Q723,V723,AA723,AF723,AK723,AP723,AU723))))</f>
        <v xml:space="preserve"> </v>
      </c>
      <c r="BE723" s="120"/>
      <c r="BF723" s="120"/>
      <c r="BG723" s="120"/>
    </row>
    <row r="724" spans="1:59" s="3" customFormat="1" x14ac:dyDescent="0.3">
      <c r="A724" s="15" t="str">
        <f t="shared" si="143"/>
        <v/>
      </c>
      <c r="B724" s="25"/>
      <c r="C724" s="26"/>
      <c r="D724" s="279"/>
      <c r="E724" s="27"/>
      <c r="F724" s="28"/>
      <c r="G724" s="27"/>
      <c r="H724" s="28"/>
      <c r="I724" s="28"/>
      <c r="J724" s="255" t="str">
        <f>IF(H724="","",(_xlfn.XLOOKUP(H724,Cadastros!$D$6:$D$90,Cadastros!$E$6:$E$90))*(1-_xlfn.XLOOKUP(_xlfn.XLOOKUP($F724,Clientes!$B$4:$B$39,Clientes!$C$4:$C$39),Cadastros!$L$6:$L$12,Cadastros!$N$6:$N$12)))</f>
        <v/>
      </c>
      <c r="K724" s="168" t="str">
        <f t="shared" si="144"/>
        <v/>
      </c>
      <c r="L724" s="168" t="str">
        <f>IFERROR(K724/_xlfn.XLOOKUP(_xlfn.XLOOKUP($F724,Clientes!$B$4:$B$39,Clientes!$C$4:$C$39),Cadastros!$L$6:$L$12,Cadastros!$M$6:$M$12)," ")</f>
        <v xml:space="preserve"> </v>
      </c>
      <c r="M724" s="28"/>
      <c r="N724" s="28"/>
      <c r="O724" s="255" t="str">
        <f>IF(M724="","",(_xlfn.XLOOKUP(M724,Cadastros!$D$6:$D$90,Cadastros!$E$6:$E$90))*(1-_xlfn.XLOOKUP(_xlfn.XLOOKUP($F724,Clientes!$B$4:$B$39,Clientes!$C$4:$C$39),Cadastros!$L$6:$L$12,Cadastros!$N$6:$N$12)))</f>
        <v/>
      </c>
      <c r="P724" s="168" t="str">
        <f t="shared" si="145"/>
        <v/>
      </c>
      <c r="Q724" s="168" t="str">
        <f>IFERROR(P724/_xlfn.XLOOKUP(_xlfn.XLOOKUP($F724,Clientes!$B$4:$B$39,Clientes!$C$4:$C$39),Cadastros!$L$6:$L$12,Cadastros!$M$6:$M$12)," ")</f>
        <v xml:space="preserve"> </v>
      </c>
      <c r="R724" s="28"/>
      <c r="S724" s="28"/>
      <c r="T724" s="255" t="str">
        <f>IF(R724="","",(_xlfn.XLOOKUP(R724,Cadastros!$D$6:$D$90,Cadastros!$E$6:$E$90))*(1-_xlfn.XLOOKUP(_xlfn.XLOOKUP($F724,Clientes!$B$4:$B$39,Clientes!$C$4:$C$39),Cadastros!$L$6:$L$12,Cadastros!$N$6:$N$12)))</f>
        <v/>
      </c>
      <c r="U724" s="168" t="str">
        <f t="shared" si="146"/>
        <v/>
      </c>
      <c r="V724" s="168" t="str">
        <f>IFERROR(U724/_xlfn.XLOOKUP(_xlfn.XLOOKUP($F724,Clientes!$B$4:$B$39,Clientes!$C$4:$C$39),Cadastros!$L$6:$L$12,Cadastros!$M$6:$M$12)," ")</f>
        <v xml:space="preserve"> </v>
      </c>
      <c r="W724" s="28"/>
      <c r="X724" s="28"/>
      <c r="Y724" s="255" t="str">
        <f>IF(W724="","",(_xlfn.XLOOKUP(W724,Cadastros!$D$6:$D$90,Cadastros!$E$6:$E$90))*(1-_xlfn.XLOOKUP(_xlfn.XLOOKUP($F724,Clientes!$B$4:$B$39,Clientes!$C$4:$C$39),Cadastros!$L$6:$L$12,Cadastros!$N$6:$N$12)))</f>
        <v/>
      </c>
      <c r="Z724" s="168" t="str">
        <f t="shared" si="147"/>
        <v/>
      </c>
      <c r="AA724" s="168" t="str">
        <f>IFERROR(Z724/_xlfn.XLOOKUP(_xlfn.XLOOKUP($F724,Clientes!$B$4:$B$39,Clientes!$C$4:$C$39),Cadastros!$L$6:$L$12,Cadastros!$M$6:$M$12)," ")</f>
        <v xml:space="preserve"> </v>
      </c>
      <c r="AB724" s="28"/>
      <c r="AC724" s="28"/>
      <c r="AD724" s="20" t="str">
        <f>IF(AB724="","",IF($F724="Bernardino Furlan",_xlfn.XLOOKUP(AB724,Cadastros!$G$6:$G$90,Cadastros!$H$6:$H$90)*(1-0.18),IF($F724="Mauro José Salanti",_xlfn.XLOOKUP(AB724,Cadastros!$G$6:$G$90,Cadastros!$H$6:$H$90)*(1-0.18),_xlfn.XLOOKUP(AB724,Cadastros!$G$6:$G$90,Cadastros!$H$6:$H$90))))</f>
        <v/>
      </c>
      <c r="AE724" s="168" t="str">
        <f t="shared" si="148"/>
        <v/>
      </c>
      <c r="AF724" s="168" t="str">
        <f t="shared" si="149"/>
        <v/>
      </c>
      <c r="AG724" s="28"/>
      <c r="AH724" s="28"/>
      <c r="AI724" s="20" t="str">
        <f>IF(AG724="","",IF($F724="Bernardino Furlan",_xlfn.XLOOKUP(AG724,Cadastros!$G$6:$G$90,Cadastros!$H$6:$H$90)*(1-0.18),IF($F724="Mauro José Salanti",_xlfn.XLOOKUP(AG724,Cadastros!$G$6:$G$90,Cadastros!$H$6:$H$90)*(1-0.18),_xlfn.XLOOKUP(AG724,Cadastros!$G$6:$G$90,Cadastros!$H$6:$H$90))))</f>
        <v/>
      </c>
      <c r="AJ724" s="168" t="str">
        <f t="shared" si="150"/>
        <v/>
      </c>
      <c r="AK724" s="168" t="str">
        <f t="shared" si="151"/>
        <v/>
      </c>
      <c r="AL724" s="28"/>
      <c r="AM724" s="28"/>
      <c r="AN724" s="20" t="str">
        <f>IF(AL724="","",IF($F724="Bernardino Furlan",_xlfn.XLOOKUP(AL724,Cadastros!$G$6:$G$90,Cadastros!$H$6:$H$90)*(1-0.18),IF($F724="Mauro José Salanti",_xlfn.XLOOKUP(AL724,Cadastros!$G$6:$G$90,Cadastros!$H$6:$H$90)*(1-0.18),_xlfn.XLOOKUP(AL724,Cadastros!$G$6:$G$90,Cadastros!$H$6:$H$90))))</f>
        <v/>
      </c>
      <c r="AO724" s="168" t="str">
        <f t="shared" si="152"/>
        <v/>
      </c>
      <c r="AP724" s="168" t="str">
        <f t="shared" si="153"/>
        <v/>
      </c>
      <c r="AQ724" s="28"/>
      <c r="AR724" s="28"/>
      <c r="AS724" s="20" t="str">
        <f>IF(AQ724="","",IF($F724="Bernardino Furlan",_xlfn.XLOOKUP(AQ724,Cadastros!$G$6:$G$90,Cadastros!$H$6:$H$90)*(1-0.18),IF($F724="Mauro José Salanti",_xlfn.XLOOKUP(AQ724,Cadastros!$G$6:$G$90,Cadastros!$H$6:$H$90)*(1-0.18),_xlfn.XLOOKUP(AQ724,Cadastros!$G$6:$G$90,Cadastros!$H$6:$H$90))))</f>
        <v/>
      </c>
      <c r="AT724" s="168" t="str">
        <f t="shared" si="154"/>
        <v/>
      </c>
      <c r="AU724" s="168" t="str">
        <f t="shared" si="155"/>
        <v/>
      </c>
      <c r="AV724" s="227"/>
      <c r="AW724" s="30"/>
      <c r="AX724" s="267"/>
      <c r="AY724" s="267"/>
      <c r="AZ724" s="29"/>
      <c r="BA724" s="30"/>
      <c r="BB724" s="23" t="str" cm="1">
        <f t="array" ref="BB724">_xlfn.IFS(AW724="SIM",SUM(K724,P724,U724,Z724,AE724,AJ724,AO724,AT724,AX724,AY724),F724&lt;&gt;"",SUM(K724,P724,U724,Z724,AE724,AJ724,,AO724,AT724),F724="","")</f>
        <v/>
      </c>
      <c r="BC724" s="211" t="str" cm="1">
        <f t="array" ref="BC724">_xlfn.IFS(E724="","",G724&lt;=E724,BB724*(1-0.03),G724&lt;(E724+8),BB724,AZ724="Boleto",BB724*(1+0.001)^DATEDIF(E724,G724,"D"),AZ724="Cheque",BB724,AZ724="Dinheiro","Alterar forma pgto")</f>
        <v/>
      </c>
      <c r="BD724" s="276" t="str" cm="1">
        <f t="array" ref="BD724">IF(F724=0," ",IF(BC724&lt;BB724,(_xlfn.IFS(AW724="SIM",SUM(L724,Q724,V724,AA724,AF724,AK724,AP724,AU724)+AX724/_xlfn.XLOOKUP(_xlfn.XLOOKUP($F724,Clientes!$B$4:$B$39,Clientes!$C$4:$C$39),Cadastros!$L$6:$L$12,Cadastros!$M$6:$M$12)+IF($F724="Bernardino Furlan",AY724/2751.92,IF($F724="Mauro José Salanti",AY724/2751.92,AY724/3356)),F724&lt;&gt;0,SUM(L724,Q724,V724,AA724,AF724,AK724,AP724,AU724)))*(1-0.03),_xlfn.IFS(AW724="SIM",SUM(L724,Q724,V724,AA724,AF724,AK724,AP724,AU724)+AX724/_xlfn.XLOOKUP(_xlfn.XLOOKUP($F724,Clientes!$B$4:$B$39,Clientes!$C$4:$C$39),Cadastros!$L$6:$L$12,Cadastros!$M$6:$M$12)+IF($F724="Bernardino Furlan",AY724/2751.92,IF($F724="Mauro José Salanti",AY724/2751.92,AY724/3356)),F724&lt;&gt;0,SUM(L724,Q724,V724,AA724,AF724,AK724,AP724,AU724))))</f>
        <v xml:space="preserve"> </v>
      </c>
      <c r="BE724" s="120"/>
      <c r="BF724" s="120"/>
      <c r="BG724" s="120"/>
    </row>
    <row r="725" spans="1:59" s="3" customFormat="1" x14ac:dyDescent="0.3">
      <c r="A725" s="15" t="str">
        <f t="shared" si="143"/>
        <v/>
      </c>
      <c r="B725" s="25"/>
      <c r="C725" s="26"/>
      <c r="D725" s="279"/>
      <c r="E725" s="27"/>
      <c r="F725" s="28"/>
      <c r="G725" s="27"/>
      <c r="H725" s="28"/>
      <c r="I725" s="28"/>
      <c r="J725" s="255" t="str">
        <f>IF(H725="","",(_xlfn.XLOOKUP(H725,Cadastros!$D$6:$D$90,Cadastros!$E$6:$E$90))*(1-_xlfn.XLOOKUP(_xlfn.XLOOKUP($F725,Clientes!$B$4:$B$39,Clientes!$C$4:$C$39),Cadastros!$L$6:$L$12,Cadastros!$N$6:$N$12)))</f>
        <v/>
      </c>
      <c r="K725" s="168" t="str">
        <f t="shared" si="144"/>
        <v/>
      </c>
      <c r="L725" s="168" t="str">
        <f>IFERROR(K725/_xlfn.XLOOKUP(_xlfn.XLOOKUP($F725,Clientes!$B$4:$B$39,Clientes!$C$4:$C$39),Cadastros!$L$6:$L$12,Cadastros!$M$6:$M$12)," ")</f>
        <v xml:space="preserve"> </v>
      </c>
      <c r="M725" s="28"/>
      <c r="N725" s="28"/>
      <c r="O725" s="255" t="str">
        <f>IF(M725="","",(_xlfn.XLOOKUP(M725,Cadastros!$D$6:$D$90,Cadastros!$E$6:$E$90))*(1-_xlfn.XLOOKUP(_xlfn.XLOOKUP($F725,Clientes!$B$4:$B$39,Clientes!$C$4:$C$39),Cadastros!$L$6:$L$12,Cadastros!$N$6:$N$12)))</f>
        <v/>
      </c>
      <c r="P725" s="168" t="str">
        <f t="shared" si="145"/>
        <v/>
      </c>
      <c r="Q725" s="168" t="str">
        <f>IFERROR(P725/_xlfn.XLOOKUP(_xlfn.XLOOKUP($F725,Clientes!$B$4:$B$39,Clientes!$C$4:$C$39),Cadastros!$L$6:$L$12,Cadastros!$M$6:$M$12)," ")</f>
        <v xml:space="preserve"> </v>
      </c>
      <c r="R725" s="28"/>
      <c r="S725" s="28"/>
      <c r="T725" s="255" t="str">
        <f>IF(R725="","",(_xlfn.XLOOKUP(R725,Cadastros!$D$6:$D$90,Cadastros!$E$6:$E$90))*(1-_xlfn.XLOOKUP(_xlfn.XLOOKUP($F725,Clientes!$B$4:$B$39,Clientes!$C$4:$C$39),Cadastros!$L$6:$L$12,Cadastros!$N$6:$N$12)))</f>
        <v/>
      </c>
      <c r="U725" s="168" t="str">
        <f t="shared" si="146"/>
        <v/>
      </c>
      <c r="V725" s="168" t="str">
        <f>IFERROR(U725/_xlfn.XLOOKUP(_xlfn.XLOOKUP($F725,Clientes!$B$4:$B$39,Clientes!$C$4:$C$39),Cadastros!$L$6:$L$12,Cadastros!$M$6:$M$12)," ")</f>
        <v xml:space="preserve"> </v>
      </c>
      <c r="W725" s="28"/>
      <c r="X725" s="28"/>
      <c r="Y725" s="255" t="str">
        <f>IF(W725="","",(_xlfn.XLOOKUP(W725,Cadastros!$D$6:$D$90,Cadastros!$E$6:$E$90))*(1-_xlfn.XLOOKUP(_xlfn.XLOOKUP($F725,Clientes!$B$4:$B$39,Clientes!$C$4:$C$39),Cadastros!$L$6:$L$12,Cadastros!$N$6:$N$12)))</f>
        <v/>
      </c>
      <c r="Z725" s="168" t="str">
        <f t="shared" si="147"/>
        <v/>
      </c>
      <c r="AA725" s="168" t="str">
        <f>IFERROR(Z725/_xlfn.XLOOKUP(_xlfn.XLOOKUP($F725,Clientes!$B$4:$B$39,Clientes!$C$4:$C$39),Cadastros!$L$6:$L$12,Cadastros!$M$6:$M$12)," ")</f>
        <v xml:space="preserve"> </v>
      </c>
      <c r="AB725" s="28"/>
      <c r="AC725" s="28"/>
      <c r="AD725" s="20" t="str">
        <f>IF(AB725="","",IF($F725="Bernardino Furlan",_xlfn.XLOOKUP(AB725,Cadastros!$G$6:$G$90,Cadastros!$H$6:$H$90)*(1-0.18),IF($F725="Mauro José Salanti",_xlfn.XLOOKUP(AB725,Cadastros!$G$6:$G$90,Cadastros!$H$6:$H$90)*(1-0.18),_xlfn.XLOOKUP(AB725,Cadastros!$G$6:$G$90,Cadastros!$H$6:$H$90))))</f>
        <v/>
      </c>
      <c r="AE725" s="168" t="str">
        <f t="shared" si="148"/>
        <v/>
      </c>
      <c r="AF725" s="168" t="str">
        <f t="shared" si="149"/>
        <v/>
      </c>
      <c r="AG725" s="28"/>
      <c r="AH725" s="28"/>
      <c r="AI725" s="20" t="str">
        <f>IF(AG725="","",IF($F725="Bernardino Furlan",_xlfn.XLOOKUP(AG725,Cadastros!$G$6:$G$90,Cadastros!$H$6:$H$90)*(1-0.18),IF($F725="Mauro José Salanti",_xlfn.XLOOKUP(AG725,Cadastros!$G$6:$G$90,Cadastros!$H$6:$H$90)*(1-0.18),_xlfn.XLOOKUP(AG725,Cadastros!$G$6:$G$90,Cadastros!$H$6:$H$90))))</f>
        <v/>
      </c>
      <c r="AJ725" s="168" t="str">
        <f t="shared" si="150"/>
        <v/>
      </c>
      <c r="AK725" s="168" t="str">
        <f t="shared" si="151"/>
        <v/>
      </c>
      <c r="AL725" s="28"/>
      <c r="AM725" s="28"/>
      <c r="AN725" s="20" t="str">
        <f>IF(AL725="","",IF($F725="Bernardino Furlan",_xlfn.XLOOKUP(AL725,Cadastros!$G$6:$G$90,Cadastros!$H$6:$H$90)*(1-0.18),IF($F725="Mauro José Salanti",_xlfn.XLOOKUP(AL725,Cadastros!$G$6:$G$90,Cadastros!$H$6:$H$90)*(1-0.18),_xlfn.XLOOKUP(AL725,Cadastros!$G$6:$G$90,Cadastros!$H$6:$H$90))))</f>
        <v/>
      </c>
      <c r="AO725" s="168" t="str">
        <f t="shared" si="152"/>
        <v/>
      </c>
      <c r="AP725" s="168" t="str">
        <f t="shared" si="153"/>
        <v/>
      </c>
      <c r="AQ725" s="28"/>
      <c r="AR725" s="28"/>
      <c r="AS725" s="20" t="str">
        <f>IF(AQ725="","",IF($F725="Bernardino Furlan",_xlfn.XLOOKUP(AQ725,Cadastros!$G$6:$G$90,Cadastros!$H$6:$H$90)*(1-0.18),IF($F725="Mauro José Salanti",_xlfn.XLOOKUP(AQ725,Cadastros!$G$6:$G$90,Cadastros!$H$6:$H$90)*(1-0.18),_xlfn.XLOOKUP(AQ725,Cadastros!$G$6:$G$90,Cadastros!$H$6:$H$90))))</f>
        <v/>
      </c>
      <c r="AT725" s="168" t="str">
        <f t="shared" si="154"/>
        <v/>
      </c>
      <c r="AU725" s="168" t="str">
        <f t="shared" si="155"/>
        <v/>
      </c>
      <c r="AV725" s="227"/>
      <c r="AW725" s="30"/>
      <c r="AX725" s="267"/>
      <c r="AY725" s="267"/>
      <c r="AZ725" s="29"/>
      <c r="BA725" s="30"/>
      <c r="BB725" s="23" t="str" cm="1">
        <f t="array" ref="BB725">_xlfn.IFS(AW725="SIM",SUM(K725,P725,U725,Z725,AE725,AJ725,AO725,AT725,AX725,AY725),F725&lt;&gt;"",SUM(K725,P725,U725,Z725,AE725,AJ725,,AO725,AT725),F725="","")</f>
        <v/>
      </c>
      <c r="BC725" s="211" t="str" cm="1">
        <f t="array" ref="BC725">_xlfn.IFS(E725="","",G725&lt;=E725,BB725*(1-0.03),G725&lt;(E725+8),BB725,AZ725="Boleto",BB725*(1+0.001)^DATEDIF(E725,G725,"D"),AZ725="Cheque",BB725,AZ725="Dinheiro","Alterar forma pgto")</f>
        <v/>
      </c>
      <c r="BD725" s="276" t="str" cm="1">
        <f t="array" ref="BD725">IF(F725=0," ",IF(BC725&lt;BB725,(_xlfn.IFS(AW725="SIM",SUM(L725,Q725,V725,AA725,AF725,AK725,AP725,AU725)+AX725/_xlfn.XLOOKUP(_xlfn.XLOOKUP($F725,Clientes!$B$4:$B$39,Clientes!$C$4:$C$39),Cadastros!$L$6:$L$12,Cadastros!$M$6:$M$12)+IF($F725="Bernardino Furlan",AY725/2751.92,IF($F725="Mauro José Salanti",AY725/2751.92,AY725/3356)),F725&lt;&gt;0,SUM(L725,Q725,V725,AA725,AF725,AK725,AP725,AU725)))*(1-0.03),_xlfn.IFS(AW725="SIM",SUM(L725,Q725,V725,AA725,AF725,AK725,AP725,AU725)+AX725/_xlfn.XLOOKUP(_xlfn.XLOOKUP($F725,Clientes!$B$4:$B$39,Clientes!$C$4:$C$39),Cadastros!$L$6:$L$12,Cadastros!$M$6:$M$12)+IF($F725="Bernardino Furlan",AY725/2751.92,IF($F725="Mauro José Salanti",AY725/2751.92,AY725/3356)),F725&lt;&gt;0,SUM(L725,Q725,V725,AA725,AF725,AK725,AP725,AU725))))</f>
        <v xml:space="preserve"> </v>
      </c>
      <c r="BE725" s="120"/>
      <c r="BF725" s="120"/>
      <c r="BG725" s="120"/>
    </row>
    <row r="726" spans="1:59" s="3" customFormat="1" x14ac:dyDescent="0.3">
      <c r="A726" s="15" t="str">
        <f t="shared" si="143"/>
        <v/>
      </c>
      <c r="B726" s="25"/>
      <c r="C726" s="26"/>
      <c r="D726" s="279"/>
      <c r="E726" s="27"/>
      <c r="F726" s="28"/>
      <c r="G726" s="27"/>
      <c r="H726" s="28"/>
      <c r="I726" s="28"/>
      <c r="J726" s="255" t="str">
        <f>IF(H726="","",(_xlfn.XLOOKUP(H726,Cadastros!$D$6:$D$90,Cadastros!$E$6:$E$90))*(1-_xlfn.XLOOKUP(_xlfn.XLOOKUP($F726,Clientes!$B$4:$B$39,Clientes!$C$4:$C$39),Cadastros!$L$6:$L$12,Cadastros!$N$6:$N$12)))</f>
        <v/>
      </c>
      <c r="K726" s="168" t="str">
        <f t="shared" si="144"/>
        <v/>
      </c>
      <c r="L726" s="168" t="str">
        <f>IFERROR(K726/_xlfn.XLOOKUP(_xlfn.XLOOKUP($F726,Clientes!$B$4:$B$39,Clientes!$C$4:$C$39),Cadastros!$L$6:$L$12,Cadastros!$M$6:$M$12)," ")</f>
        <v xml:space="preserve"> </v>
      </c>
      <c r="M726" s="28"/>
      <c r="N726" s="28"/>
      <c r="O726" s="255" t="str">
        <f>IF(M726="","",(_xlfn.XLOOKUP(M726,Cadastros!$D$6:$D$90,Cadastros!$E$6:$E$90))*(1-_xlfn.XLOOKUP(_xlfn.XLOOKUP($F726,Clientes!$B$4:$B$39,Clientes!$C$4:$C$39),Cadastros!$L$6:$L$12,Cadastros!$N$6:$N$12)))</f>
        <v/>
      </c>
      <c r="P726" s="168" t="str">
        <f t="shared" si="145"/>
        <v/>
      </c>
      <c r="Q726" s="168" t="str">
        <f>IFERROR(P726/_xlfn.XLOOKUP(_xlfn.XLOOKUP($F726,Clientes!$B$4:$B$39,Clientes!$C$4:$C$39),Cadastros!$L$6:$L$12,Cadastros!$M$6:$M$12)," ")</f>
        <v xml:space="preserve"> </v>
      </c>
      <c r="R726" s="28"/>
      <c r="S726" s="28"/>
      <c r="T726" s="255" t="str">
        <f>IF(R726="","",(_xlfn.XLOOKUP(R726,Cadastros!$D$6:$D$90,Cadastros!$E$6:$E$90))*(1-_xlfn.XLOOKUP(_xlfn.XLOOKUP($F726,Clientes!$B$4:$B$39,Clientes!$C$4:$C$39),Cadastros!$L$6:$L$12,Cadastros!$N$6:$N$12)))</f>
        <v/>
      </c>
      <c r="U726" s="168" t="str">
        <f t="shared" si="146"/>
        <v/>
      </c>
      <c r="V726" s="168" t="str">
        <f>IFERROR(U726/_xlfn.XLOOKUP(_xlfn.XLOOKUP($F726,Clientes!$B$4:$B$39,Clientes!$C$4:$C$39),Cadastros!$L$6:$L$12,Cadastros!$M$6:$M$12)," ")</f>
        <v xml:space="preserve"> </v>
      </c>
      <c r="W726" s="28"/>
      <c r="X726" s="28"/>
      <c r="Y726" s="255" t="str">
        <f>IF(W726="","",(_xlfn.XLOOKUP(W726,Cadastros!$D$6:$D$90,Cadastros!$E$6:$E$90))*(1-_xlfn.XLOOKUP(_xlfn.XLOOKUP($F726,Clientes!$B$4:$B$39,Clientes!$C$4:$C$39),Cadastros!$L$6:$L$12,Cadastros!$N$6:$N$12)))</f>
        <v/>
      </c>
      <c r="Z726" s="168" t="str">
        <f t="shared" si="147"/>
        <v/>
      </c>
      <c r="AA726" s="168" t="str">
        <f>IFERROR(Z726/_xlfn.XLOOKUP(_xlfn.XLOOKUP($F726,Clientes!$B$4:$B$39,Clientes!$C$4:$C$39),Cadastros!$L$6:$L$12,Cadastros!$M$6:$M$12)," ")</f>
        <v xml:space="preserve"> </v>
      </c>
      <c r="AB726" s="28"/>
      <c r="AC726" s="28"/>
      <c r="AD726" s="20" t="str">
        <f>IF(AB726="","",IF($F726="Bernardino Furlan",_xlfn.XLOOKUP(AB726,Cadastros!$G$6:$G$90,Cadastros!$H$6:$H$90)*(1-0.18),IF($F726="Mauro José Salanti",_xlfn.XLOOKUP(AB726,Cadastros!$G$6:$G$90,Cadastros!$H$6:$H$90)*(1-0.18),_xlfn.XLOOKUP(AB726,Cadastros!$G$6:$G$90,Cadastros!$H$6:$H$90))))</f>
        <v/>
      </c>
      <c r="AE726" s="168" t="str">
        <f t="shared" si="148"/>
        <v/>
      </c>
      <c r="AF726" s="168" t="str">
        <f t="shared" si="149"/>
        <v/>
      </c>
      <c r="AG726" s="28"/>
      <c r="AH726" s="28"/>
      <c r="AI726" s="20" t="str">
        <f>IF(AG726="","",IF($F726="Bernardino Furlan",_xlfn.XLOOKUP(AG726,Cadastros!$G$6:$G$90,Cadastros!$H$6:$H$90)*(1-0.18),IF($F726="Mauro José Salanti",_xlfn.XLOOKUP(AG726,Cadastros!$G$6:$G$90,Cadastros!$H$6:$H$90)*(1-0.18),_xlfn.XLOOKUP(AG726,Cadastros!$G$6:$G$90,Cadastros!$H$6:$H$90))))</f>
        <v/>
      </c>
      <c r="AJ726" s="168" t="str">
        <f t="shared" si="150"/>
        <v/>
      </c>
      <c r="AK726" s="168" t="str">
        <f t="shared" si="151"/>
        <v/>
      </c>
      <c r="AL726" s="28"/>
      <c r="AM726" s="28"/>
      <c r="AN726" s="20" t="str">
        <f>IF(AL726="","",IF($F726="Bernardino Furlan",_xlfn.XLOOKUP(AL726,Cadastros!$G$6:$G$90,Cadastros!$H$6:$H$90)*(1-0.18),IF($F726="Mauro José Salanti",_xlfn.XLOOKUP(AL726,Cadastros!$G$6:$G$90,Cadastros!$H$6:$H$90)*(1-0.18),_xlfn.XLOOKUP(AL726,Cadastros!$G$6:$G$90,Cadastros!$H$6:$H$90))))</f>
        <v/>
      </c>
      <c r="AO726" s="168" t="str">
        <f t="shared" si="152"/>
        <v/>
      </c>
      <c r="AP726" s="168" t="str">
        <f t="shared" si="153"/>
        <v/>
      </c>
      <c r="AQ726" s="28"/>
      <c r="AR726" s="28"/>
      <c r="AS726" s="20" t="str">
        <f>IF(AQ726="","",IF($F726="Bernardino Furlan",_xlfn.XLOOKUP(AQ726,Cadastros!$G$6:$G$90,Cadastros!$H$6:$H$90)*(1-0.18),IF($F726="Mauro José Salanti",_xlfn.XLOOKUP(AQ726,Cadastros!$G$6:$G$90,Cadastros!$H$6:$H$90)*(1-0.18),_xlfn.XLOOKUP(AQ726,Cadastros!$G$6:$G$90,Cadastros!$H$6:$H$90))))</f>
        <v/>
      </c>
      <c r="AT726" s="168" t="str">
        <f t="shared" si="154"/>
        <v/>
      </c>
      <c r="AU726" s="168" t="str">
        <f t="shared" si="155"/>
        <v/>
      </c>
      <c r="AV726" s="227"/>
      <c r="AW726" s="30"/>
      <c r="AX726" s="267"/>
      <c r="AY726" s="267"/>
      <c r="AZ726" s="29"/>
      <c r="BA726" s="30"/>
      <c r="BB726" s="23" t="str" cm="1">
        <f t="array" ref="BB726">_xlfn.IFS(AW726="SIM",SUM(K726,P726,U726,Z726,AE726,AJ726,AO726,AT726,AX726,AY726),F726&lt;&gt;"",SUM(K726,P726,U726,Z726,AE726,AJ726,,AO726,AT726),F726="","")</f>
        <v/>
      </c>
      <c r="BC726" s="211" t="str" cm="1">
        <f t="array" ref="BC726">_xlfn.IFS(E726="","",G726&lt;=E726,BB726*(1-0.03),G726&lt;(E726+8),BB726,AZ726="Boleto",BB726*(1+0.001)^DATEDIF(E726,G726,"D"),AZ726="Cheque",BB726,AZ726="Dinheiro","Alterar forma pgto")</f>
        <v/>
      </c>
      <c r="BD726" s="276" t="str" cm="1">
        <f t="array" ref="BD726">IF(F726=0," ",IF(BC726&lt;BB726,(_xlfn.IFS(AW726="SIM",SUM(L726,Q726,V726,AA726,AF726,AK726,AP726,AU726)+AX726/_xlfn.XLOOKUP(_xlfn.XLOOKUP($F726,Clientes!$B$4:$B$39,Clientes!$C$4:$C$39),Cadastros!$L$6:$L$12,Cadastros!$M$6:$M$12)+IF($F726="Bernardino Furlan",AY726/2751.92,IF($F726="Mauro José Salanti",AY726/2751.92,AY726/3356)),F726&lt;&gt;0,SUM(L726,Q726,V726,AA726,AF726,AK726,AP726,AU726)))*(1-0.03),_xlfn.IFS(AW726="SIM",SUM(L726,Q726,V726,AA726,AF726,AK726,AP726,AU726)+AX726/_xlfn.XLOOKUP(_xlfn.XLOOKUP($F726,Clientes!$B$4:$B$39,Clientes!$C$4:$C$39),Cadastros!$L$6:$L$12,Cadastros!$M$6:$M$12)+IF($F726="Bernardino Furlan",AY726/2751.92,IF($F726="Mauro José Salanti",AY726/2751.92,AY726/3356)),F726&lt;&gt;0,SUM(L726,Q726,V726,AA726,AF726,AK726,AP726,AU726))))</f>
        <v xml:space="preserve"> </v>
      </c>
      <c r="BE726" s="120"/>
      <c r="BF726" s="120"/>
      <c r="BG726" s="120"/>
    </row>
    <row r="727" spans="1:59" s="3" customFormat="1" x14ac:dyDescent="0.3">
      <c r="A727" s="15" t="str">
        <f t="shared" si="143"/>
        <v/>
      </c>
      <c r="B727" s="25"/>
      <c r="C727" s="26"/>
      <c r="D727" s="279"/>
      <c r="E727" s="27"/>
      <c r="F727" s="28"/>
      <c r="G727" s="27"/>
      <c r="H727" s="28"/>
      <c r="I727" s="28"/>
      <c r="J727" s="255" t="str">
        <f>IF(H727="","",(_xlfn.XLOOKUP(H727,Cadastros!$D$6:$D$90,Cadastros!$E$6:$E$90))*(1-_xlfn.XLOOKUP(_xlfn.XLOOKUP($F727,Clientes!$B$4:$B$39,Clientes!$C$4:$C$39),Cadastros!$L$6:$L$12,Cadastros!$N$6:$N$12)))</f>
        <v/>
      </c>
      <c r="K727" s="168" t="str">
        <f t="shared" si="144"/>
        <v/>
      </c>
      <c r="L727" s="168" t="str">
        <f>IFERROR(K727/_xlfn.XLOOKUP(_xlfn.XLOOKUP($F727,Clientes!$B$4:$B$39,Clientes!$C$4:$C$39),Cadastros!$L$6:$L$12,Cadastros!$M$6:$M$12)," ")</f>
        <v xml:space="preserve"> </v>
      </c>
      <c r="M727" s="28"/>
      <c r="N727" s="28"/>
      <c r="O727" s="255" t="str">
        <f>IF(M727="","",(_xlfn.XLOOKUP(M727,Cadastros!$D$6:$D$90,Cadastros!$E$6:$E$90))*(1-_xlfn.XLOOKUP(_xlfn.XLOOKUP($F727,Clientes!$B$4:$B$39,Clientes!$C$4:$C$39),Cadastros!$L$6:$L$12,Cadastros!$N$6:$N$12)))</f>
        <v/>
      </c>
      <c r="P727" s="168" t="str">
        <f t="shared" si="145"/>
        <v/>
      </c>
      <c r="Q727" s="168" t="str">
        <f>IFERROR(P727/_xlfn.XLOOKUP(_xlfn.XLOOKUP($F727,Clientes!$B$4:$B$39,Clientes!$C$4:$C$39),Cadastros!$L$6:$L$12,Cadastros!$M$6:$M$12)," ")</f>
        <v xml:space="preserve"> </v>
      </c>
      <c r="R727" s="28"/>
      <c r="S727" s="28"/>
      <c r="T727" s="255" t="str">
        <f>IF(R727="","",(_xlfn.XLOOKUP(R727,Cadastros!$D$6:$D$90,Cadastros!$E$6:$E$90))*(1-_xlfn.XLOOKUP(_xlfn.XLOOKUP($F727,Clientes!$B$4:$B$39,Clientes!$C$4:$C$39),Cadastros!$L$6:$L$12,Cadastros!$N$6:$N$12)))</f>
        <v/>
      </c>
      <c r="U727" s="168" t="str">
        <f t="shared" si="146"/>
        <v/>
      </c>
      <c r="V727" s="168" t="str">
        <f>IFERROR(U727/_xlfn.XLOOKUP(_xlfn.XLOOKUP($F727,Clientes!$B$4:$B$39,Clientes!$C$4:$C$39),Cadastros!$L$6:$L$12,Cadastros!$M$6:$M$12)," ")</f>
        <v xml:space="preserve"> </v>
      </c>
      <c r="W727" s="28"/>
      <c r="X727" s="28"/>
      <c r="Y727" s="255" t="str">
        <f>IF(W727="","",(_xlfn.XLOOKUP(W727,Cadastros!$D$6:$D$90,Cadastros!$E$6:$E$90))*(1-_xlfn.XLOOKUP(_xlfn.XLOOKUP($F727,Clientes!$B$4:$B$39,Clientes!$C$4:$C$39),Cadastros!$L$6:$L$12,Cadastros!$N$6:$N$12)))</f>
        <v/>
      </c>
      <c r="Z727" s="168" t="str">
        <f t="shared" si="147"/>
        <v/>
      </c>
      <c r="AA727" s="168" t="str">
        <f>IFERROR(Z727/_xlfn.XLOOKUP(_xlfn.XLOOKUP($F727,Clientes!$B$4:$B$39,Clientes!$C$4:$C$39),Cadastros!$L$6:$L$12,Cadastros!$M$6:$M$12)," ")</f>
        <v xml:space="preserve"> </v>
      </c>
      <c r="AB727" s="28"/>
      <c r="AC727" s="28"/>
      <c r="AD727" s="20" t="str">
        <f>IF(AB727="","",IF($F727="Bernardino Furlan",_xlfn.XLOOKUP(AB727,Cadastros!$G$6:$G$90,Cadastros!$H$6:$H$90)*(1-0.18),IF($F727="Mauro José Salanti",_xlfn.XLOOKUP(AB727,Cadastros!$G$6:$G$90,Cadastros!$H$6:$H$90)*(1-0.18),_xlfn.XLOOKUP(AB727,Cadastros!$G$6:$G$90,Cadastros!$H$6:$H$90))))</f>
        <v/>
      </c>
      <c r="AE727" s="168" t="str">
        <f t="shared" si="148"/>
        <v/>
      </c>
      <c r="AF727" s="168" t="str">
        <f t="shared" si="149"/>
        <v/>
      </c>
      <c r="AG727" s="28"/>
      <c r="AH727" s="28"/>
      <c r="AI727" s="20" t="str">
        <f>IF(AG727="","",IF($F727="Bernardino Furlan",_xlfn.XLOOKUP(AG727,Cadastros!$G$6:$G$90,Cadastros!$H$6:$H$90)*(1-0.18),IF($F727="Mauro José Salanti",_xlfn.XLOOKUP(AG727,Cadastros!$G$6:$G$90,Cadastros!$H$6:$H$90)*(1-0.18),_xlfn.XLOOKUP(AG727,Cadastros!$G$6:$G$90,Cadastros!$H$6:$H$90))))</f>
        <v/>
      </c>
      <c r="AJ727" s="168" t="str">
        <f t="shared" si="150"/>
        <v/>
      </c>
      <c r="AK727" s="168" t="str">
        <f t="shared" si="151"/>
        <v/>
      </c>
      <c r="AL727" s="28"/>
      <c r="AM727" s="28"/>
      <c r="AN727" s="20" t="str">
        <f>IF(AL727="","",IF($F727="Bernardino Furlan",_xlfn.XLOOKUP(AL727,Cadastros!$G$6:$G$90,Cadastros!$H$6:$H$90)*(1-0.18),IF($F727="Mauro José Salanti",_xlfn.XLOOKUP(AL727,Cadastros!$G$6:$G$90,Cadastros!$H$6:$H$90)*(1-0.18),_xlfn.XLOOKUP(AL727,Cadastros!$G$6:$G$90,Cadastros!$H$6:$H$90))))</f>
        <v/>
      </c>
      <c r="AO727" s="168" t="str">
        <f t="shared" si="152"/>
        <v/>
      </c>
      <c r="AP727" s="168" t="str">
        <f t="shared" si="153"/>
        <v/>
      </c>
      <c r="AQ727" s="28"/>
      <c r="AR727" s="28"/>
      <c r="AS727" s="20" t="str">
        <f>IF(AQ727="","",IF($F727="Bernardino Furlan",_xlfn.XLOOKUP(AQ727,Cadastros!$G$6:$G$90,Cadastros!$H$6:$H$90)*(1-0.18),IF($F727="Mauro José Salanti",_xlfn.XLOOKUP(AQ727,Cadastros!$G$6:$G$90,Cadastros!$H$6:$H$90)*(1-0.18),_xlfn.XLOOKUP(AQ727,Cadastros!$G$6:$G$90,Cadastros!$H$6:$H$90))))</f>
        <v/>
      </c>
      <c r="AT727" s="168" t="str">
        <f t="shared" si="154"/>
        <v/>
      </c>
      <c r="AU727" s="168" t="str">
        <f t="shared" si="155"/>
        <v/>
      </c>
      <c r="AV727" s="227"/>
      <c r="AW727" s="30"/>
      <c r="AX727" s="267"/>
      <c r="AY727" s="267"/>
      <c r="AZ727" s="29"/>
      <c r="BA727" s="30"/>
      <c r="BB727" s="23" t="str" cm="1">
        <f t="array" ref="BB727">_xlfn.IFS(AW727="SIM",SUM(K727,P727,U727,Z727,AE727,AJ727,AO727,AT727,AX727,AY727),F727&lt;&gt;"",SUM(K727,P727,U727,Z727,AE727,AJ727,,AO727,AT727),F727="","")</f>
        <v/>
      </c>
      <c r="BC727" s="211" t="str" cm="1">
        <f t="array" ref="BC727">_xlfn.IFS(E727="","",G727&lt;=E727,BB727*(1-0.03),G727&lt;(E727+8),BB727,AZ727="Boleto",BB727*(1+0.001)^DATEDIF(E727,G727,"D"),AZ727="Cheque",BB727,AZ727="Dinheiro","Alterar forma pgto")</f>
        <v/>
      </c>
      <c r="BD727" s="276" t="str" cm="1">
        <f t="array" ref="BD727">IF(F727=0," ",IF(BC727&lt;BB727,(_xlfn.IFS(AW727="SIM",SUM(L727,Q727,V727,AA727,AF727,AK727,AP727,AU727)+AX727/_xlfn.XLOOKUP(_xlfn.XLOOKUP($F727,Clientes!$B$4:$B$39,Clientes!$C$4:$C$39),Cadastros!$L$6:$L$12,Cadastros!$M$6:$M$12)+IF($F727="Bernardino Furlan",AY727/2751.92,IF($F727="Mauro José Salanti",AY727/2751.92,AY727/3356)),F727&lt;&gt;0,SUM(L727,Q727,V727,AA727,AF727,AK727,AP727,AU727)))*(1-0.03),_xlfn.IFS(AW727="SIM",SUM(L727,Q727,V727,AA727,AF727,AK727,AP727,AU727)+AX727/_xlfn.XLOOKUP(_xlfn.XLOOKUP($F727,Clientes!$B$4:$B$39,Clientes!$C$4:$C$39),Cadastros!$L$6:$L$12,Cadastros!$M$6:$M$12)+IF($F727="Bernardino Furlan",AY727/2751.92,IF($F727="Mauro José Salanti",AY727/2751.92,AY727/3356)),F727&lt;&gt;0,SUM(L727,Q727,V727,AA727,AF727,AK727,AP727,AU727))))</f>
        <v xml:space="preserve"> </v>
      </c>
      <c r="BE727" s="120"/>
      <c r="BF727" s="120"/>
      <c r="BG727" s="120"/>
    </row>
    <row r="728" spans="1:59" s="3" customFormat="1" x14ac:dyDescent="0.3">
      <c r="A728" s="15" t="str">
        <f t="shared" si="143"/>
        <v/>
      </c>
      <c r="B728" s="25"/>
      <c r="C728" s="26"/>
      <c r="D728" s="279"/>
      <c r="E728" s="27"/>
      <c r="F728" s="28"/>
      <c r="G728" s="27"/>
      <c r="H728" s="28"/>
      <c r="I728" s="28"/>
      <c r="J728" s="255" t="str">
        <f>IF(H728="","",(_xlfn.XLOOKUP(H728,Cadastros!$D$6:$D$90,Cadastros!$E$6:$E$90))*(1-_xlfn.XLOOKUP(_xlfn.XLOOKUP($F728,Clientes!$B$4:$B$39,Clientes!$C$4:$C$39),Cadastros!$L$6:$L$12,Cadastros!$N$6:$N$12)))</f>
        <v/>
      </c>
      <c r="K728" s="168" t="str">
        <f t="shared" si="144"/>
        <v/>
      </c>
      <c r="L728" s="168" t="str">
        <f>IFERROR(K728/_xlfn.XLOOKUP(_xlfn.XLOOKUP($F728,Clientes!$B$4:$B$39,Clientes!$C$4:$C$39),Cadastros!$L$6:$L$12,Cadastros!$M$6:$M$12)," ")</f>
        <v xml:space="preserve"> </v>
      </c>
      <c r="M728" s="28"/>
      <c r="N728" s="28"/>
      <c r="O728" s="255" t="str">
        <f>IF(M728="","",(_xlfn.XLOOKUP(M728,Cadastros!$D$6:$D$90,Cadastros!$E$6:$E$90))*(1-_xlfn.XLOOKUP(_xlfn.XLOOKUP($F728,Clientes!$B$4:$B$39,Clientes!$C$4:$C$39),Cadastros!$L$6:$L$12,Cadastros!$N$6:$N$12)))</f>
        <v/>
      </c>
      <c r="P728" s="168" t="str">
        <f t="shared" si="145"/>
        <v/>
      </c>
      <c r="Q728" s="168" t="str">
        <f>IFERROR(P728/_xlfn.XLOOKUP(_xlfn.XLOOKUP($F728,Clientes!$B$4:$B$39,Clientes!$C$4:$C$39),Cadastros!$L$6:$L$12,Cadastros!$M$6:$M$12)," ")</f>
        <v xml:space="preserve"> </v>
      </c>
      <c r="R728" s="28"/>
      <c r="S728" s="28"/>
      <c r="T728" s="255" t="str">
        <f>IF(R728="","",(_xlfn.XLOOKUP(R728,Cadastros!$D$6:$D$90,Cadastros!$E$6:$E$90))*(1-_xlfn.XLOOKUP(_xlfn.XLOOKUP($F728,Clientes!$B$4:$B$39,Clientes!$C$4:$C$39),Cadastros!$L$6:$L$12,Cadastros!$N$6:$N$12)))</f>
        <v/>
      </c>
      <c r="U728" s="168" t="str">
        <f t="shared" si="146"/>
        <v/>
      </c>
      <c r="V728" s="168" t="str">
        <f>IFERROR(U728/_xlfn.XLOOKUP(_xlfn.XLOOKUP($F728,Clientes!$B$4:$B$39,Clientes!$C$4:$C$39),Cadastros!$L$6:$L$12,Cadastros!$M$6:$M$12)," ")</f>
        <v xml:space="preserve"> </v>
      </c>
      <c r="W728" s="28"/>
      <c r="X728" s="28"/>
      <c r="Y728" s="255" t="str">
        <f>IF(W728="","",(_xlfn.XLOOKUP(W728,Cadastros!$D$6:$D$90,Cadastros!$E$6:$E$90))*(1-_xlfn.XLOOKUP(_xlfn.XLOOKUP($F728,Clientes!$B$4:$B$39,Clientes!$C$4:$C$39),Cadastros!$L$6:$L$12,Cadastros!$N$6:$N$12)))</f>
        <v/>
      </c>
      <c r="Z728" s="168" t="str">
        <f t="shared" si="147"/>
        <v/>
      </c>
      <c r="AA728" s="168" t="str">
        <f>IFERROR(Z728/_xlfn.XLOOKUP(_xlfn.XLOOKUP($F728,Clientes!$B$4:$B$39,Clientes!$C$4:$C$39),Cadastros!$L$6:$L$12,Cadastros!$M$6:$M$12)," ")</f>
        <v xml:space="preserve"> </v>
      </c>
      <c r="AB728" s="28"/>
      <c r="AC728" s="28"/>
      <c r="AD728" s="20" t="str">
        <f>IF(AB728="","",IF($F728="Bernardino Furlan",_xlfn.XLOOKUP(AB728,Cadastros!$G$6:$G$90,Cadastros!$H$6:$H$90)*(1-0.18),IF($F728="Mauro José Salanti",_xlfn.XLOOKUP(AB728,Cadastros!$G$6:$G$90,Cadastros!$H$6:$H$90)*(1-0.18),_xlfn.XLOOKUP(AB728,Cadastros!$G$6:$G$90,Cadastros!$H$6:$H$90))))</f>
        <v/>
      </c>
      <c r="AE728" s="168" t="str">
        <f t="shared" si="148"/>
        <v/>
      </c>
      <c r="AF728" s="168" t="str">
        <f t="shared" si="149"/>
        <v/>
      </c>
      <c r="AG728" s="28"/>
      <c r="AH728" s="28"/>
      <c r="AI728" s="20" t="str">
        <f>IF(AG728="","",IF($F728="Bernardino Furlan",_xlfn.XLOOKUP(AG728,Cadastros!$G$6:$G$90,Cadastros!$H$6:$H$90)*(1-0.18),IF($F728="Mauro José Salanti",_xlfn.XLOOKUP(AG728,Cadastros!$G$6:$G$90,Cadastros!$H$6:$H$90)*(1-0.18),_xlfn.XLOOKUP(AG728,Cadastros!$G$6:$G$90,Cadastros!$H$6:$H$90))))</f>
        <v/>
      </c>
      <c r="AJ728" s="168" t="str">
        <f t="shared" si="150"/>
        <v/>
      </c>
      <c r="AK728" s="168" t="str">
        <f t="shared" si="151"/>
        <v/>
      </c>
      <c r="AL728" s="28"/>
      <c r="AM728" s="28"/>
      <c r="AN728" s="20" t="str">
        <f>IF(AL728="","",IF($F728="Bernardino Furlan",_xlfn.XLOOKUP(AL728,Cadastros!$G$6:$G$90,Cadastros!$H$6:$H$90)*(1-0.18),IF($F728="Mauro José Salanti",_xlfn.XLOOKUP(AL728,Cadastros!$G$6:$G$90,Cadastros!$H$6:$H$90)*(1-0.18),_xlfn.XLOOKUP(AL728,Cadastros!$G$6:$G$90,Cadastros!$H$6:$H$90))))</f>
        <v/>
      </c>
      <c r="AO728" s="168" t="str">
        <f t="shared" si="152"/>
        <v/>
      </c>
      <c r="AP728" s="168" t="str">
        <f t="shared" si="153"/>
        <v/>
      </c>
      <c r="AQ728" s="28"/>
      <c r="AR728" s="28"/>
      <c r="AS728" s="20" t="str">
        <f>IF(AQ728="","",IF($F728="Bernardino Furlan",_xlfn.XLOOKUP(AQ728,Cadastros!$G$6:$G$90,Cadastros!$H$6:$H$90)*(1-0.18),IF($F728="Mauro José Salanti",_xlfn.XLOOKUP(AQ728,Cadastros!$G$6:$G$90,Cadastros!$H$6:$H$90)*(1-0.18),_xlfn.XLOOKUP(AQ728,Cadastros!$G$6:$G$90,Cadastros!$H$6:$H$90))))</f>
        <v/>
      </c>
      <c r="AT728" s="168" t="str">
        <f t="shared" si="154"/>
        <v/>
      </c>
      <c r="AU728" s="168" t="str">
        <f t="shared" si="155"/>
        <v/>
      </c>
      <c r="AV728" s="227"/>
      <c r="AW728" s="30"/>
      <c r="AX728" s="267"/>
      <c r="AY728" s="267"/>
      <c r="AZ728" s="29"/>
      <c r="BA728" s="30"/>
      <c r="BB728" s="23" t="str" cm="1">
        <f t="array" ref="BB728">_xlfn.IFS(AW728="SIM",SUM(K728,P728,U728,Z728,AE728,AJ728,AO728,AT728,AX728,AY728),F728&lt;&gt;"",SUM(K728,P728,U728,Z728,AE728,AJ728,,AO728,AT728),F728="","")</f>
        <v/>
      </c>
      <c r="BC728" s="211" t="str" cm="1">
        <f t="array" ref="BC728">_xlfn.IFS(E728="","",G728&lt;=E728,BB728*(1-0.03),G728&lt;(E728+8),BB728,AZ728="Boleto",BB728*(1+0.001)^DATEDIF(E728,G728,"D"),AZ728="Cheque",BB728,AZ728="Dinheiro","Alterar forma pgto")</f>
        <v/>
      </c>
      <c r="BD728" s="276" t="str" cm="1">
        <f t="array" ref="BD728">IF(F728=0," ",IF(BC728&lt;BB728,(_xlfn.IFS(AW728="SIM",SUM(L728,Q728,V728,AA728,AF728,AK728,AP728,AU728)+AX728/_xlfn.XLOOKUP(_xlfn.XLOOKUP($F728,Clientes!$B$4:$B$39,Clientes!$C$4:$C$39),Cadastros!$L$6:$L$12,Cadastros!$M$6:$M$12)+IF($F728="Bernardino Furlan",AY728/2751.92,IF($F728="Mauro José Salanti",AY728/2751.92,AY728/3356)),F728&lt;&gt;0,SUM(L728,Q728,V728,AA728,AF728,AK728,AP728,AU728)))*(1-0.03),_xlfn.IFS(AW728="SIM",SUM(L728,Q728,V728,AA728,AF728,AK728,AP728,AU728)+AX728/_xlfn.XLOOKUP(_xlfn.XLOOKUP($F728,Clientes!$B$4:$B$39,Clientes!$C$4:$C$39),Cadastros!$L$6:$L$12,Cadastros!$M$6:$M$12)+IF($F728="Bernardino Furlan",AY728/2751.92,IF($F728="Mauro José Salanti",AY728/2751.92,AY728/3356)),F728&lt;&gt;0,SUM(L728,Q728,V728,AA728,AF728,AK728,AP728,AU728))))</f>
        <v xml:space="preserve"> </v>
      </c>
      <c r="BE728" s="120"/>
      <c r="BF728" s="120"/>
      <c r="BG728" s="120"/>
    </row>
    <row r="729" spans="1:59" s="3" customFormat="1" x14ac:dyDescent="0.3">
      <c r="A729" s="15" t="str">
        <f t="shared" si="143"/>
        <v/>
      </c>
      <c r="B729" s="25"/>
      <c r="C729" s="26"/>
      <c r="D729" s="279"/>
      <c r="E729" s="27"/>
      <c r="F729" s="28"/>
      <c r="G729" s="27"/>
      <c r="H729" s="28"/>
      <c r="I729" s="28"/>
      <c r="J729" s="255" t="str">
        <f>IF(H729="","",(_xlfn.XLOOKUP(H729,Cadastros!$D$6:$D$90,Cadastros!$E$6:$E$90))*(1-_xlfn.XLOOKUP(_xlfn.XLOOKUP($F729,Clientes!$B$4:$B$39,Clientes!$C$4:$C$39),Cadastros!$L$6:$L$12,Cadastros!$N$6:$N$12)))</f>
        <v/>
      </c>
      <c r="K729" s="168" t="str">
        <f t="shared" si="144"/>
        <v/>
      </c>
      <c r="L729" s="168" t="str">
        <f>IFERROR(K729/_xlfn.XLOOKUP(_xlfn.XLOOKUP($F729,Clientes!$B$4:$B$39,Clientes!$C$4:$C$39),Cadastros!$L$6:$L$12,Cadastros!$M$6:$M$12)," ")</f>
        <v xml:space="preserve"> </v>
      </c>
      <c r="M729" s="28"/>
      <c r="N729" s="28"/>
      <c r="O729" s="255" t="str">
        <f>IF(M729="","",(_xlfn.XLOOKUP(M729,Cadastros!$D$6:$D$90,Cadastros!$E$6:$E$90))*(1-_xlfn.XLOOKUP(_xlfn.XLOOKUP($F729,Clientes!$B$4:$B$39,Clientes!$C$4:$C$39),Cadastros!$L$6:$L$12,Cadastros!$N$6:$N$12)))</f>
        <v/>
      </c>
      <c r="P729" s="168" t="str">
        <f t="shared" si="145"/>
        <v/>
      </c>
      <c r="Q729" s="168" t="str">
        <f>IFERROR(P729/_xlfn.XLOOKUP(_xlfn.XLOOKUP($F729,Clientes!$B$4:$B$39,Clientes!$C$4:$C$39),Cadastros!$L$6:$L$12,Cadastros!$M$6:$M$12)," ")</f>
        <v xml:space="preserve"> </v>
      </c>
      <c r="R729" s="28"/>
      <c r="S729" s="28"/>
      <c r="T729" s="255" t="str">
        <f>IF(R729="","",(_xlfn.XLOOKUP(R729,Cadastros!$D$6:$D$90,Cadastros!$E$6:$E$90))*(1-_xlfn.XLOOKUP(_xlfn.XLOOKUP($F729,Clientes!$B$4:$B$39,Clientes!$C$4:$C$39),Cadastros!$L$6:$L$12,Cadastros!$N$6:$N$12)))</f>
        <v/>
      </c>
      <c r="U729" s="168" t="str">
        <f t="shared" si="146"/>
        <v/>
      </c>
      <c r="V729" s="168" t="str">
        <f>IFERROR(U729/_xlfn.XLOOKUP(_xlfn.XLOOKUP($F729,Clientes!$B$4:$B$39,Clientes!$C$4:$C$39),Cadastros!$L$6:$L$12,Cadastros!$M$6:$M$12)," ")</f>
        <v xml:space="preserve"> </v>
      </c>
      <c r="W729" s="28"/>
      <c r="X729" s="28"/>
      <c r="Y729" s="255" t="str">
        <f>IF(W729="","",(_xlfn.XLOOKUP(W729,Cadastros!$D$6:$D$90,Cadastros!$E$6:$E$90))*(1-_xlfn.XLOOKUP(_xlfn.XLOOKUP($F729,Clientes!$B$4:$B$39,Clientes!$C$4:$C$39),Cadastros!$L$6:$L$12,Cadastros!$N$6:$N$12)))</f>
        <v/>
      </c>
      <c r="Z729" s="168" t="str">
        <f t="shared" si="147"/>
        <v/>
      </c>
      <c r="AA729" s="168" t="str">
        <f>IFERROR(Z729/_xlfn.XLOOKUP(_xlfn.XLOOKUP($F729,Clientes!$B$4:$B$39,Clientes!$C$4:$C$39),Cadastros!$L$6:$L$12,Cadastros!$M$6:$M$12)," ")</f>
        <v xml:space="preserve"> </v>
      </c>
      <c r="AB729" s="28"/>
      <c r="AC729" s="28"/>
      <c r="AD729" s="20" t="str">
        <f>IF(AB729="","",IF($F729="Bernardino Furlan",_xlfn.XLOOKUP(AB729,Cadastros!$G$6:$G$90,Cadastros!$H$6:$H$90)*(1-0.18),IF($F729="Mauro José Salanti",_xlfn.XLOOKUP(AB729,Cadastros!$G$6:$G$90,Cadastros!$H$6:$H$90)*(1-0.18),_xlfn.XLOOKUP(AB729,Cadastros!$G$6:$G$90,Cadastros!$H$6:$H$90))))</f>
        <v/>
      </c>
      <c r="AE729" s="168" t="str">
        <f t="shared" si="148"/>
        <v/>
      </c>
      <c r="AF729" s="168" t="str">
        <f t="shared" si="149"/>
        <v/>
      </c>
      <c r="AG729" s="28"/>
      <c r="AH729" s="28"/>
      <c r="AI729" s="20" t="str">
        <f>IF(AG729="","",IF($F729="Bernardino Furlan",_xlfn.XLOOKUP(AG729,Cadastros!$G$6:$G$90,Cadastros!$H$6:$H$90)*(1-0.18),IF($F729="Mauro José Salanti",_xlfn.XLOOKUP(AG729,Cadastros!$G$6:$G$90,Cadastros!$H$6:$H$90)*(1-0.18),_xlfn.XLOOKUP(AG729,Cadastros!$G$6:$G$90,Cadastros!$H$6:$H$90))))</f>
        <v/>
      </c>
      <c r="AJ729" s="168" t="str">
        <f t="shared" si="150"/>
        <v/>
      </c>
      <c r="AK729" s="168" t="str">
        <f t="shared" si="151"/>
        <v/>
      </c>
      <c r="AL729" s="28"/>
      <c r="AM729" s="28"/>
      <c r="AN729" s="20" t="str">
        <f>IF(AL729="","",IF($F729="Bernardino Furlan",_xlfn.XLOOKUP(AL729,Cadastros!$G$6:$G$90,Cadastros!$H$6:$H$90)*(1-0.18),IF($F729="Mauro José Salanti",_xlfn.XLOOKUP(AL729,Cadastros!$G$6:$G$90,Cadastros!$H$6:$H$90)*(1-0.18),_xlfn.XLOOKUP(AL729,Cadastros!$G$6:$G$90,Cadastros!$H$6:$H$90))))</f>
        <v/>
      </c>
      <c r="AO729" s="168" t="str">
        <f t="shared" si="152"/>
        <v/>
      </c>
      <c r="AP729" s="168" t="str">
        <f t="shared" si="153"/>
        <v/>
      </c>
      <c r="AQ729" s="28"/>
      <c r="AR729" s="28"/>
      <c r="AS729" s="20" t="str">
        <f>IF(AQ729="","",IF($F729="Bernardino Furlan",_xlfn.XLOOKUP(AQ729,Cadastros!$G$6:$G$90,Cadastros!$H$6:$H$90)*(1-0.18),IF($F729="Mauro José Salanti",_xlfn.XLOOKUP(AQ729,Cadastros!$G$6:$G$90,Cadastros!$H$6:$H$90)*(1-0.18),_xlfn.XLOOKUP(AQ729,Cadastros!$G$6:$G$90,Cadastros!$H$6:$H$90))))</f>
        <v/>
      </c>
      <c r="AT729" s="168" t="str">
        <f t="shared" si="154"/>
        <v/>
      </c>
      <c r="AU729" s="168" t="str">
        <f t="shared" si="155"/>
        <v/>
      </c>
      <c r="AV729" s="227"/>
      <c r="AW729" s="30"/>
      <c r="AX729" s="267"/>
      <c r="AY729" s="267"/>
      <c r="AZ729" s="29"/>
      <c r="BA729" s="30"/>
      <c r="BB729" s="23" t="str" cm="1">
        <f t="array" ref="BB729">_xlfn.IFS(AW729="SIM",SUM(K729,P729,U729,Z729,AE729,AJ729,AO729,AT729,AX729,AY729),F729&lt;&gt;"",SUM(K729,P729,U729,Z729,AE729,AJ729,,AO729,AT729),F729="","")</f>
        <v/>
      </c>
      <c r="BC729" s="211" t="str" cm="1">
        <f t="array" ref="BC729">_xlfn.IFS(E729="","",G729&lt;=E729,BB729*(1-0.03),G729&lt;(E729+8),BB729,AZ729="Boleto",BB729*(1+0.001)^DATEDIF(E729,G729,"D"),AZ729="Cheque",BB729,AZ729="Dinheiro","Alterar forma pgto")</f>
        <v/>
      </c>
      <c r="BD729" s="276" t="str" cm="1">
        <f t="array" ref="BD729">IF(F729=0," ",IF(BC729&lt;BB729,(_xlfn.IFS(AW729="SIM",SUM(L729,Q729,V729,AA729,AF729,AK729,AP729,AU729)+AX729/_xlfn.XLOOKUP(_xlfn.XLOOKUP($F729,Clientes!$B$4:$B$39,Clientes!$C$4:$C$39),Cadastros!$L$6:$L$12,Cadastros!$M$6:$M$12)+IF($F729="Bernardino Furlan",AY729/2751.92,IF($F729="Mauro José Salanti",AY729/2751.92,AY729/3356)),F729&lt;&gt;0,SUM(L729,Q729,V729,AA729,AF729,AK729,AP729,AU729)))*(1-0.03),_xlfn.IFS(AW729="SIM",SUM(L729,Q729,V729,AA729,AF729,AK729,AP729,AU729)+AX729/_xlfn.XLOOKUP(_xlfn.XLOOKUP($F729,Clientes!$B$4:$B$39,Clientes!$C$4:$C$39),Cadastros!$L$6:$L$12,Cadastros!$M$6:$M$12)+IF($F729="Bernardino Furlan",AY729/2751.92,IF($F729="Mauro José Salanti",AY729/2751.92,AY729/3356)),F729&lt;&gt;0,SUM(L729,Q729,V729,AA729,AF729,AK729,AP729,AU729))))</f>
        <v xml:space="preserve"> </v>
      </c>
      <c r="BE729" s="120"/>
      <c r="BF729" s="120"/>
      <c r="BG729" s="120"/>
    </row>
    <row r="730" spans="1:59" s="3" customFormat="1" x14ac:dyDescent="0.3">
      <c r="A730" s="15" t="str">
        <f t="shared" si="143"/>
        <v/>
      </c>
      <c r="B730" s="25"/>
      <c r="C730" s="26"/>
      <c r="D730" s="279"/>
      <c r="E730" s="27"/>
      <c r="F730" s="28"/>
      <c r="G730" s="27"/>
      <c r="H730" s="28"/>
      <c r="I730" s="28"/>
      <c r="J730" s="255" t="str">
        <f>IF(H730="","",(_xlfn.XLOOKUP(H730,Cadastros!$D$6:$D$90,Cadastros!$E$6:$E$90))*(1-_xlfn.XLOOKUP(_xlfn.XLOOKUP($F730,Clientes!$B$4:$B$39,Clientes!$C$4:$C$39),Cadastros!$L$6:$L$12,Cadastros!$N$6:$N$12)))</f>
        <v/>
      </c>
      <c r="K730" s="168" t="str">
        <f t="shared" si="144"/>
        <v/>
      </c>
      <c r="L730" s="168" t="str">
        <f>IFERROR(K730/_xlfn.XLOOKUP(_xlfn.XLOOKUP($F730,Clientes!$B$4:$B$39,Clientes!$C$4:$C$39),Cadastros!$L$6:$L$12,Cadastros!$M$6:$M$12)," ")</f>
        <v xml:space="preserve"> </v>
      </c>
      <c r="M730" s="28"/>
      <c r="N730" s="28"/>
      <c r="O730" s="255" t="str">
        <f>IF(M730="","",(_xlfn.XLOOKUP(M730,Cadastros!$D$6:$D$90,Cadastros!$E$6:$E$90))*(1-_xlfn.XLOOKUP(_xlfn.XLOOKUP($F730,Clientes!$B$4:$B$39,Clientes!$C$4:$C$39),Cadastros!$L$6:$L$12,Cadastros!$N$6:$N$12)))</f>
        <v/>
      </c>
      <c r="P730" s="168" t="str">
        <f t="shared" si="145"/>
        <v/>
      </c>
      <c r="Q730" s="168" t="str">
        <f>IFERROR(P730/_xlfn.XLOOKUP(_xlfn.XLOOKUP($F730,Clientes!$B$4:$B$39,Clientes!$C$4:$C$39),Cadastros!$L$6:$L$12,Cadastros!$M$6:$M$12)," ")</f>
        <v xml:space="preserve"> </v>
      </c>
      <c r="R730" s="28"/>
      <c r="S730" s="28"/>
      <c r="T730" s="255" t="str">
        <f>IF(R730="","",(_xlfn.XLOOKUP(R730,Cadastros!$D$6:$D$90,Cadastros!$E$6:$E$90))*(1-_xlfn.XLOOKUP(_xlfn.XLOOKUP($F730,Clientes!$B$4:$B$39,Clientes!$C$4:$C$39),Cadastros!$L$6:$L$12,Cadastros!$N$6:$N$12)))</f>
        <v/>
      </c>
      <c r="U730" s="168" t="str">
        <f t="shared" si="146"/>
        <v/>
      </c>
      <c r="V730" s="168" t="str">
        <f>IFERROR(U730/_xlfn.XLOOKUP(_xlfn.XLOOKUP($F730,Clientes!$B$4:$B$39,Clientes!$C$4:$C$39),Cadastros!$L$6:$L$12,Cadastros!$M$6:$M$12)," ")</f>
        <v xml:space="preserve"> </v>
      </c>
      <c r="W730" s="28"/>
      <c r="X730" s="28"/>
      <c r="Y730" s="255" t="str">
        <f>IF(W730="","",(_xlfn.XLOOKUP(W730,Cadastros!$D$6:$D$90,Cadastros!$E$6:$E$90))*(1-_xlfn.XLOOKUP(_xlfn.XLOOKUP($F730,Clientes!$B$4:$B$39,Clientes!$C$4:$C$39),Cadastros!$L$6:$L$12,Cadastros!$N$6:$N$12)))</f>
        <v/>
      </c>
      <c r="Z730" s="168" t="str">
        <f t="shared" si="147"/>
        <v/>
      </c>
      <c r="AA730" s="168" t="str">
        <f>IFERROR(Z730/_xlfn.XLOOKUP(_xlfn.XLOOKUP($F730,Clientes!$B$4:$B$39,Clientes!$C$4:$C$39),Cadastros!$L$6:$L$12,Cadastros!$M$6:$M$12)," ")</f>
        <v xml:space="preserve"> </v>
      </c>
      <c r="AB730" s="28"/>
      <c r="AC730" s="28"/>
      <c r="AD730" s="20" t="str">
        <f>IF(AB730="","",IF($F730="Bernardino Furlan",_xlfn.XLOOKUP(AB730,Cadastros!$G$6:$G$90,Cadastros!$H$6:$H$90)*(1-0.18),IF($F730="Mauro José Salanti",_xlfn.XLOOKUP(AB730,Cadastros!$G$6:$G$90,Cadastros!$H$6:$H$90)*(1-0.18),_xlfn.XLOOKUP(AB730,Cadastros!$G$6:$G$90,Cadastros!$H$6:$H$90))))</f>
        <v/>
      </c>
      <c r="AE730" s="168" t="str">
        <f t="shared" si="148"/>
        <v/>
      </c>
      <c r="AF730" s="168" t="str">
        <f t="shared" si="149"/>
        <v/>
      </c>
      <c r="AG730" s="28"/>
      <c r="AH730" s="28"/>
      <c r="AI730" s="20" t="str">
        <f>IF(AG730="","",IF($F730="Bernardino Furlan",_xlfn.XLOOKUP(AG730,Cadastros!$G$6:$G$90,Cadastros!$H$6:$H$90)*(1-0.18),IF($F730="Mauro José Salanti",_xlfn.XLOOKUP(AG730,Cadastros!$G$6:$G$90,Cadastros!$H$6:$H$90)*(1-0.18),_xlfn.XLOOKUP(AG730,Cadastros!$G$6:$G$90,Cadastros!$H$6:$H$90))))</f>
        <v/>
      </c>
      <c r="AJ730" s="168" t="str">
        <f t="shared" si="150"/>
        <v/>
      </c>
      <c r="AK730" s="168" t="str">
        <f t="shared" si="151"/>
        <v/>
      </c>
      <c r="AL730" s="28"/>
      <c r="AM730" s="28"/>
      <c r="AN730" s="20" t="str">
        <f>IF(AL730="","",IF($F730="Bernardino Furlan",_xlfn.XLOOKUP(AL730,Cadastros!$G$6:$G$90,Cadastros!$H$6:$H$90)*(1-0.18),IF($F730="Mauro José Salanti",_xlfn.XLOOKUP(AL730,Cadastros!$G$6:$G$90,Cadastros!$H$6:$H$90)*(1-0.18),_xlfn.XLOOKUP(AL730,Cadastros!$G$6:$G$90,Cadastros!$H$6:$H$90))))</f>
        <v/>
      </c>
      <c r="AO730" s="168" t="str">
        <f t="shared" si="152"/>
        <v/>
      </c>
      <c r="AP730" s="168" t="str">
        <f t="shared" si="153"/>
        <v/>
      </c>
      <c r="AQ730" s="28"/>
      <c r="AR730" s="28"/>
      <c r="AS730" s="20" t="str">
        <f>IF(AQ730="","",IF($F730="Bernardino Furlan",_xlfn.XLOOKUP(AQ730,Cadastros!$G$6:$G$90,Cadastros!$H$6:$H$90)*(1-0.18),IF($F730="Mauro José Salanti",_xlfn.XLOOKUP(AQ730,Cadastros!$G$6:$G$90,Cadastros!$H$6:$H$90)*(1-0.18),_xlfn.XLOOKUP(AQ730,Cadastros!$G$6:$G$90,Cadastros!$H$6:$H$90))))</f>
        <v/>
      </c>
      <c r="AT730" s="168" t="str">
        <f t="shared" si="154"/>
        <v/>
      </c>
      <c r="AU730" s="168" t="str">
        <f t="shared" si="155"/>
        <v/>
      </c>
      <c r="AV730" s="227"/>
      <c r="AW730" s="30"/>
      <c r="AX730" s="267"/>
      <c r="AY730" s="267"/>
      <c r="AZ730" s="29"/>
      <c r="BA730" s="30"/>
      <c r="BB730" s="23" t="str" cm="1">
        <f t="array" ref="BB730">_xlfn.IFS(AW730="SIM",SUM(K730,P730,U730,Z730,AE730,AJ730,AO730,AT730,AX730,AY730),F730&lt;&gt;"",SUM(K730,P730,U730,Z730,AE730,AJ730,,AO730,AT730),F730="","")</f>
        <v/>
      </c>
      <c r="BC730" s="211" t="str" cm="1">
        <f t="array" ref="BC730">_xlfn.IFS(E730="","",G730&lt;=E730,BB730*(1-0.03),G730&lt;(E730+8),BB730,AZ730="Boleto",BB730*(1+0.001)^DATEDIF(E730,G730,"D"),AZ730="Cheque",BB730,AZ730="Dinheiro","Alterar forma pgto")</f>
        <v/>
      </c>
      <c r="BD730" s="276" t="str" cm="1">
        <f t="array" ref="BD730">IF(F730=0," ",IF(BC730&lt;BB730,(_xlfn.IFS(AW730="SIM",SUM(L730,Q730,V730,AA730,AF730,AK730,AP730,AU730)+AX730/_xlfn.XLOOKUP(_xlfn.XLOOKUP($F730,Clientes!$B$4:$B$39,Clientes!$C$4:$C$39),Cadastros!$L$6:$L$12,Cadastros!$M$6:$M$12)+IF($F730="Bernardino Furlan",AY730/2751.92,IF($F730="Mauro José Salanti",AY730/2751.92,AY730/3356)),F730&lt;&gt;0,SUM(L730,Q730,V730,AA730,AF730,AK730,AP730,AU730)))*(1-0.03),_xlfn.IFS(AW730="SIM",SUM(L730,Q730,V730,AA730,AF730,AK730,AP730,AU730)+AX730/_xlfn.XLOOKUP(_xlfn.XLOOKUP($F730,Clientes!$B$4:$B$39,Clientes!$C$4:$C$39),Cadastros!$L$6:$L$12,Cadastros!$M$6:$M$12)+IF($F730="Bernardino Furlan",AY730/2751.92,IF($F730="Mauro José Salanti",AY730/2751.92,AY730/3356)),F730&lt;&gt;0,SUM(L730,Q730,V730,AA730,AF730,AK730,AP730,AU730))))</f>
        <v xml:space="preserve"> </v>
      </c>
      <c r="BE730" s="120"/>
      <c r="BF730" s="120"/>
      <c r="BG730" s="120"/>
    </row>
    <row r="731" spans="1:59" s="3" customFormat="1" x14ac:dyDescent="0.3">
      <c r="A731" s="15" t="str">
        <f t="shared" si="143"/>
        <v/>
      </c>
      <c r="B731" s="25"/>
      <c r="C731" s="26"/>
      <c r="D731" s="279"/>
      <c r="E731" s="27"/>
      <c r="F731" s="28"/>
      <c r="G731" s="27"/>
      <c r="H731" s="28"/>
      <c r="I731" s="28"/>
      <c r="J731" s="255" t="str">
        <f>IF(H731="","",(_xlfn.XLOOKUP(H731,Cadastros!$D$6:$D$90,Cadastros!$E$6:$E$90))*(1-_xlfn.XLOOKUP(_xlfn.XLOOKUP($F731,Clientes!$B$4:$B$39,Clientes!$C$4:$C$39),Cadastros!$L$6:$L$12,Cadastros!$N$6:$N$12)))</f>
        <v/>
      </c>
      <c r="K731" s="168" t="str">
        <f t="shared" si="144"/>
        <v/>
      </c>
      <c r="L731" s="168" t="str">
        <f>IFERROR(K731/_xlfn.XLOOKUP(_xlfn.XLOOKUP($F731,Clientes!$B$4:$B$39,Clientes!$C$4:$C$39),Cadastros!$L$6:$L$12,Cadastros!$M$6:$M$12)," ")</f>
        <v xml:space="preserve"> </v>
      </c>
      <c r="M731" s="28"/>
      <c r="N731" s="28"/>
      <c r="O731" s="255" t="str">
        <f>IF(M731="","",(_xlfn.XLOOKUP(M731,Cadastros!$D$6:$D$90,Cadastros!$E$6:$E$90))*(1-_xlfn.XLOOKUP(_xlfn.XLOOKUP($F731,Clientes!$B$4:$B$39,Clientes!$C$4:$C$39),Cadastros!$L$6:$L$12,Cadastros!$N$6:$N$12)))</f>
        <v/>
      </c>
      <c r="P731" s="168" t="str">
        <f t="shared" si="145"/>
        <v/>
      </c>
      <c r="Q731" s="168" t="str">
        <f>IFERROR(P731/_xlfn.XLOOKUP(_xlfn.XLOOKUP($F731,Clientes!$B$4:$B$39,Clientes!$C$4:$C$39),Cadastros!$L$6:$L$12,Cadastros!$M$6:$M$12)," ")</f>
        <v xml:space="preserve"> </v>
      </c>
      <c r="R731" s="28"/>
      <c r="S731" s="28"/>
      <c r="T731" s="255" t="str">
        <f>IF(R731="","",(_xlfn.XLOOKUP(R731,Cadastros!$D$6:$D$90,Cadastros!$E$6:$E$90))*(1-_xlfn.XLOOKUP(_xlfn.XLOOKUP($F731,Clientes!$B$4:$B$39,Clientes!$C$4:$C$39),Cadastros!$L$6:$L$12,Cadastros!$N$6:$N$12)))</f>
        <v/>
      </c>
      <c r="U731" s="168" t="str">
        <f t="shared" si="146"/>
        <v/>
      </c>
      <c r="V731" s="168" t="str">
        <f>IFERROR(U731/_xlfn.XLOOKUP(_xlfn.XLOOKUP($F731,Clientes!$B$4:$B$39,Clientes!$C$4:$C$39),Cadastros!$L$6:$L$12,Cadastros!$M$6:$M$12)," ")</f>
        <v xml:space="preserve"> </v>
      </c>
      <c r="W731" s="28"/>
      <c r="X731" s="28"/>
      <c r="Y731" s="255" t="str">
        <f>IF(W731="","",(_xlfn.XLOOKUP(W731,Cadastros!$D$6:$D$90,Cadastros!$E$6:$E$90))*(1-_xlfn.XLOOKUP(_xlfn.XLOOKUP($F731,Clientes!$B$4:$B$39,Clientes!$C$4:$C$39),Cadastros!$L$6:$L$12,Cadastros!$N$6:$N$12)))</f>
        <v/>
      </c>
      <c r="Z731" s="168" t="str">
        <f t="shared" si="147"/>
        <v/>
      </c>
      <c r="AA731" s="168" t="str">
        <f>IFERROR(Z731/_xlfn.XLOOKUP(_xlfn.XLOOKUP($F731,Clientes!$B$4:$B$39,Clientes!$C$4:$C$39),Cadastros!$L$6:$L$12,Cadastros!$M$6:$M$12)," ")</f>
        <v xml:space="preserve"> </v>
      </c>
      <c r="AB731" s="28"/>
      <c r="AC731" s="28"/>
      <c r="AD731" s="20" t="str">
        <f>IF(AB731="","",IF($F731="Bernardino Furlan",_xlfn.XLOOKUP(AB731,Cadastros!$G$6:$G$90,Cadastros!$H$6:$H$90)*(1-0.18),IF($F731="Mauro José Salanti",_xlfn.XLOOKUP(AB731,Cadastros!$G$6:$G$90,Cadastros!$H$6:$H$90)*(1-0.18),_xlfn.XLOOKUP(AB731,Cadastros!$G$6:$G$90,Cadastros!$H$6:$H$90))))</f>
        <v/>
      </c>
      <c r="AE731" s="168" t="str">
        <f t="shared" si="148"/>
        <v/>
      </c>
      <c r="AF731" s="168" t="str">
        <f t="shared" si="149"/>
        <v/>
      </c>
      <c r="AG731" s="28"/>
      <c r="AH731" s="28"/>
      <c r="AI731" s="20" t="str">
        <f>IF(AG731="","",IF($F731="Bernardino Furlan",_xlfn.XLOOKUP(AG731,Cadastros!$G$6:$G$90,Cadastros!$H$6:$H$90)*(1-0.18),IF($F731="Mauro José Salanti",_xlfn.XLOOKUP(AG731,Cadastros!$G$6:$G$90,Cadastros!$H$6:$H$90)*(1-0.18),_xlfn.XLOOKUP(AG731,Cadastros!$G$6:$G$90,Cadastros!$H$6:$H$90))))</f>
        <v/>
      </c>
      <c r="AJ731" s="168" t="str">
        <f t="shared" si="150"/>
        <v/>
      </c>
      <c r="AK731" s="168" t="str">
        <f t="shared" si="151"/>
        <v/>
      </c>
      <c r="AL731" s="28"/>
      <c r="AM731" s="28"/>
      <c r="AN731" s="20" t="str">
        <f>IF(AL731="","",IF($F731="Bernardino Furlan",_xlfn.XLOOKUP(AL731,Cadastros!$G$6:$G$90,Cadastros!$H$6:$H$90)*(1-0.18),IF($F731="Mauro José Salanti",_xlfn.XLOOKUP(AL731,Cadastros!$G$6:$G$90,Cadastros!$H$6:$H$90)*(1-0.18),_xlfn.XLOOKUP(AL731,Cadastros!$G$6:$G$90,Cadastros!$H$6:$H$90))))</f>
        <v/>
      </c>
      <c r="AO731" s="168" t="str">
        <f t="shared" si="152"/>
        <v/>
      </c>
      <c r="AP731" s="168" t="str">
        <f t="shared" si="153"/>
        <v/>
      </c>
      <c r="AQ731" s="28"/>
      <c r="AR731" s="28"/>
      <c r="AS731" s="20" t="str">
        <f>IF(AQ731="","",IF($F731="Bernardino Furlan",_xlfn.XLOOKUP(AQ731,Cadastros!$G$6:$G$90,Cadastros!$H$6:$H$90)*(1-0.18),IF($F731="Mauro José Salanti",_xlfn.XLOOKUP(AQ731,Cadastros!$G$6:$G$90,Cadastros!$H$6:$H$90)*(1-0.18),_xlfn.XLOOKUP(AQ731,Cadastros!$G$6:$G$90,Cadastros!$H$6:$H$90))))</f>
        <v/>
      </c>
      <c r="AT731" s="168" t="str">
        <f t="shared" si="154"/>
        <v/>
      </c>
      <c r="AU731" s="168" t="str">
        <f t="shared" si="155"/>
        <v/>
      </c>
      <c r="AV731" s="227"/>
      <c r="AW731" s="30"/>
      <c r="AX731" s="267"/>
      <c r="AY731" s="267"/>
      <c r="AZ731" s="29"/>
      <c r="BA731" s="30"/>
      <c r="BB731" s="23" t="str" cm="1">
        <f t="array" ref="BB731">_xlfn.IFS(AW731="SIM",SUM(K731,P731,U731,Z731,AE731,AJ731,AO731,AT731,AX731,AY731),F731&lt;&gt;"",SUM(K731,P731,U731,Z731,AE731,AJ731,,AO731,AT731),F731="","")</f>
        <v/>
      </c>
      <c r="BC731" s="211" t="str" cm="1">
        <f t="array" ref="BC731">_xlfn.IFS(E731="","",G731&lt;=E731,BB731*(1-0.03),G731&lt;(E731+8),BB731,AZ731="Boleto",BB731*(1+0.001)^DATEDIF(E731,G731,"D"),AZ731="Cheque",BB731,AZ731="Dinheiro","Alterar forma pgto")</f>
        <v/>
      </c>
      <c r="BD731" s="276" t="str" cm="1">
        <f t="array" ref="BD731">IF(F731=0," ",IF(BC731&lt;BB731,(_xlfn.IFS(AW731="SIM",SUM(L731,Q731,V731,AA731,AF731,AK731,AP731,AU731)+AX731/_xlfn.XLOOKUP(_xlfn.XLOOKUP($F731,Clientes!$B$4:$B$39,Clientes!$C$4:$C$39),Cadastros!$L$6:$L$12,Cadastros!$M$6:$M$12)+IF($F731="Bernardino Furlan",AY731/2751.92,IF($F731="Mauro José Salanti",AY731/2751.92,AY731/3356)),F731&lt;&gt;0,SUM(L731,Q731,V731,AA731,AF731,AK731,AP731,AU731)))*(1-0.03),_xlfn.IFS(AW731="SIM",SUM(L731,Q731,V731,AA731,AF731,AK731,AP731,AU731)+AX731/_xlfn.XLOOKUP(_xlfn.XLOOKUP($F731,Clientes!$B$4:$B$39,Clientes!$C$4:$C$39),Cadastros!$L$6:$L$12,Cadastros!$M$6:$M$12)+IF($F731="Bernardino Furlan",AY731/2751.92,IF($F731="Mauro José Salanti",AY731/2751.92,AY731/3356)),F731&lt;&gt;0,SUM(L731,Q731,V731,AA731,AF731,AK731,AP731,AU731))))</f>
        <v xml:space="preserve"> </v>
      </c>
      <c r="BE731" s="120"/>
      <c r="BF731" s="120"/>
      <c r="BG731" s="120"/>
    </row>
    <row r="732" spans="1:59" s="3" customFormat="1" x14ac:dyDescent="0.3">
      <c r="A732" s="15" t="str">
        <f t="shared" si="143"/>
        <v/>
      </c>
      <c r="B732" s="25"/>
      <c r="C732" s="26"/>
      <c r="D732" s="279"/>
      <c r="E732" s="27"/>
      <c r="F732" s="28"/>
      <c r="G732" s="27"/>
      <c r="H732" s="28"/>
      <c r="I732" s="28"/>
      <c r="J732" s="255" t="str">
        <f>IF(H732="","",(_xlfn.XLOOKUP(H732,Cadastros!$D$6:$D$90,Cadastros!$E$6:$E$90))*(1-_xlfn.XLOOKUP(_xlfn.XLOOKUP($F732,Clientes!$B$4:$B$39,Clientes!$C$4:$C$39),Cadastros!$L$6:$L$12,Cadastros!$N$6:$N$12)))</f>
        <v/>
      </c>
      <c r="K732" s="168" t="str">
        <f t="shared" si="144"/>
        <v/>
      </c>
      <c r="L732" s="168" t="str">
        <f>IFERROR(K732/_xlfn.XLOOKUP(_xlfn.XLOOKUP($F732,Clientes!$B$4:$B$39,Clientes!$C$4:$C$39),Cadastros!$L$6:$L$12,Cadastros!$M$6:$M$12)," ")</f>
        <v xml:space="preserve"> </v>
      </c>
      <c r="M732" s="28"/>
      <c r="N732" s="28"/>
      <c r="O732" s="255" t="str">
        <f>IF(M732="","",(_xlfn.XLOOKUP(M732,Cadastros!$D$6:$D$90,Cadastros!$E$6:$E$90))*(1-_xlfn.XLOOKUP(_xlfn.XLOOKUP($F732,Clientes!$B$4:$B$39,Clientes!$C$4:$C$39),Cadastros!$L$6:$L$12,Cadastros!$N$6:$N$12)))</f>
        <v/>
      </c>
      <c r="P732" s="168" t="str">
        <f t="shared" si="145"/>
        <v/>
      </c>
      <c r="Q732" s="168" t="str">
        <f>IFERROR(P732/_xlfn.XLOOKUP(_xlfn.XLOOKUP($F732,Clientes!$B$4:$B$39,Clientes!$C$4:$C$39),Cadastros!$L$6:$L$12,Cadastros!$M$6:$M$12)," ")</f>
        <v xml:space="preserve"> </v>
      </c>
      <c r="R732" s="28"/>
      <c r="S732" s="28"/>
      <c r="T732" s="255" t="str">
        <f>IF(R732="","",(_xlfn.XLOOKUP(R732,Cadastros!$D$6:$D$90,Cadastros!$E$6:$E$90))*(1-_xlfn.XLOOKUP(_xlfn.XLOOKUP($F732,Clientes!$B$4:$B$39,Clientes!$C$4:$C$39),Cadastros!$L$6:$L$12,Cadastros!$N$6:$N$12)))</f>
        <v/>
      </c>
      <c r="U732" s="168" t="str">
        <f t="shared" si="146"/>
        <v/>
      </c>
      <c r="V732" s="168" t="str">
        <f>IFERROR(U732/_xlfn.XLOOKUP(_xlfn.XLOOKUP($F732,Clientes!$B$4:$B$39,Clientes!$C$4:$C$39),Cadastros!$L$6:$L$12,Cadastros!$M$6:$M$12)," ")</f>
        <v xml:space="preserve"> </v>
      </c>
      <c r="W732" s="28"/>
      <c r="X732" s="28"/>
      <c r="Y732" s="255" t="str">
        <f>IF(W732="","",(_xlfn.XLOOKUP(W732,Cadastros!$D$6:$D$90,Cadastros!$E$6:$E$90))*(1-_xlfn.XLOOKUP(_xlfn.XLOOKUP($F732,Clientes!$B$4:$B$39,Clientes!$C$4:$C$39),Cadastros!$L$6:$L$12,Cadastros!$N$6:$N$12)))</f>
        <v/>
      </c>
      <c r="Z732" s="168" t="str">
        <f t="shared" si="147"/>
        <v/>
      </c>
      <c r="AA732" s="168" t="str">
        <f>IFERROR(Z732/_xlfn.XLOOKUP(_xlfn.XLOOKUP($F732,Clientes!$B$4:$B$39,Clientes!$C$4:$C$39),Cadastros!$L$6:$L$12,Cadastros!$M$6:$M$12)," ")</f>
        <v xml:space="preserve"> </v>
      </c>
      <c r="AB732" s="28"/>
      <c r="AC732" s="28"/>
      <c r="AD732" s="20" t="str">
        <f>IF(AB732="","",IF($F732="Bernardino Furlan",_xlfn.XLOOKUP(AB732,Cadastros!$G$6:$G$90,Cadastros!$H$6:$H$90)*(1-0.18),IF($F732="Mauro José Salanti",_xlfn.XLOOKUP(AB732,Cadastros!$G$6:$G$90,Cadastros!$H$6:$H$90)*(1-0.18),_xlfn.XLOOKUP(AB732,Cadastros!$G$6:$G$90,Cadastros!$H$6:$H$90))))</f>
        <v/>
      </c>
      <c r="AE732" s="168" t="str">
        <f t="shared" si="148"/>
        <v/>
      </c>
      <c r="AF732" s="168" t="str">
        <f t="shared" si="149"/>
        <v/>
      </c>
      <c r="AG732" s="28"/>
      <c r="AH732" s="28"/>
      <c r="AI732" s="20" t="str">
        <f>IF(AG732="","",IF($F732="Bernardino Furlan",_xlfn.XLOOKUP(AG732,Cadastros!$G$6:$G$90,Cadastros!$H$6:$H$90)*(1-0.18),IF($F732="Mauro José Salanti",_xlfn.XLOOKUP(AG732,Cadastros!$G$6:$G$90,Cadastros!$H$6:$H$90)*(1-0.18),_xlfn.XLOOKUP(AG732,Cadastros!$G$6:$G$90,Cadastros!$H$6:$H$90))))</f>
        <v/>
      </c>
      <c r="AJ732" s="168" t="str">
        <f t="shared" si="150"/>
        <v/>
      </c>
      <c r="AK732" s="168" t="str">
        <f t="shared" si="151"/>
        <v/>
      </c>
      <c r="AL732" s="28"/>
      <c r="AM732" s="28"/>
      <c r="AN732" s="20" t="str">
        <f>IF(AL732="","",IF($F732="Bernardino Furlan",_xlfn.XLOOKUP(AL732,Cadastros!$G$6:$G$90,Cadastros!$H$6:$H$90)*(1-0.18),IF($F732="Mauro José Salanti",_xlfn.XLOOKUP(AL732,Cadastros!$G$6:$G$90,Cadastros!$H$6:$H$90)*(1-0.18),_xlfn.XLOOKUP(AL732,Cadastros!$G$6:$G$90,Cadastros!$H$6:$H$90))))</f>
        <v/>
      </c>
      <c r="AO732" s="168" t="str">
        <f t="shared" si="152"/>
        <v/>
      </c>
      <c r="AP732" s="168" t="str">
        <f t="shared" si="153"/>
        <v/>
      </c>
      <c r="AQ732" s="28"/>
      <c r="AR732" s="28"/>
      <c r="AS732" s="20" t="str">
        <f>IF(AQ732="","",IF($F732="Bernardino Furlan",_xlfn.XLOOKUP(AQ732,Cadastros!$G$6:$G$90,Cadastros!$H$6:$H$90)*(1-0.18),IF($F732="Mauro José Salanti",_xlfn.XLOOKUP(AQ732,Cadastros!$G$6:$G$90,Cadastros!$H$6:$H$90)*(1-0.18),_xlfn.XLOOKUP(AQ732,Cadastros!$G$6:$G$90,Cadastros!$H$6:$H$90))))</f>
        <v/>
      </c>
      <c r="AT732" s="168" t="str">
        <f t="shared" si="154"/>
        <v/>
      </c>
      <c r="AU732" s="168" t="str">
        <f t="shared" si="155"/>
        <v/>
      </c>
      <c r="AV732" s="227"/>
      <c r="AW732" s="30"/>
      <c r="AX732" s="267"/>
      <c r="AY732" s="267"/>
      <c r="AZ732" s="29"/>
      <c r="BA732" s="30"/>
      <c r="BB732" s="23" t="str" cm="1">
        <f t="array" ref="BB732">_xlfn.IFS(AW732="SIM",SUM(K732,P732,U732,Z732,AE732,AJ732,AO732,AT732,AX732,AY732),F732&lt;&gt;"",SUM(K732,P732,U732,Z732,AE732,AJ732,,AO732,AT732),F732="","")</f>
        <v/>
      </c>
      <c r="BC732" s="211" t="str" cm="1">
        <f t="array" ref="BC732">_xlfn.IFS(E732="","",G732&lt;=E732,BB732*(1-0.03),G732&lt;(E732+8),BB732,AZ732="Boleto",BB732*(1+0.001)^DATEDIF(E732,G732,"D"),AZ732="Cheque",BB732,AZ732="Dinheiro","Alterar forma pgto")</f>
        <v/>
      </c>
      <c r="BD732" s="276" t="str" cm="1">
        <f t="array" ref="BD732">IF(F732=0," ",IF(BC732&lt;BB732,(_xlfn.IFS(AW732="SIM",SUM(L732,Q732,V732,AA732,AF732,AK732,AP732,AU732)+AX732/_xlfn.XLOOKUP(_xlfn.XLOOKUP($F732,Clientes!$B$4:$B$39,Clientes!$C$4:$C$39),Cadastros!$L$6:$L$12,Cadastros!$M$6:$M$12)+IF($F732="Bernardino Furlan",AY732/2751.92,IF($F732="Mauro José Salanti",AY732/2751.92,AY732/3356)),F732&lt;&gt;0,SUM(L732,Q732,V732,AA732,AF732,AK732,AP732,AU732)))*(1-0.03),_xlfn.IFS(AW732="SIM",SUM(L732,Q732,V732,AA732,AF732,AK732,AP732,AU732)+AX732/_xlfn.XLOOKUP(_xlfn.XLOOKUP($F732,Clientes!$B$4:$B$39,Clientes!$C$4:$C$39),Cadastros!$L$6:$L$12,Cadastros!$M$6:$M$12)+IF($F732="Bernardino Furlan",AY732/2751.92,IF($F732="Mauro José Salanti",AY732/2751.92,AY732/3356)),F732&lt;&gt;0,SUM(L732,Q732,V732,AA732,AF732,AK732,AP732,AU732))))</f>
        <v xml:space="preserve"> </v>
      </c>
      <c r="BE732" s="120"/>
      <c r="BF732" s="120"/>
      <c r="BG732" s="120"/>
    </row>
    <row r="733" spans="1:59" s="3" customFormat="1" x14ac:dyDescent="0.3">
      <c r="A733" s="15" t="str">
        <f t="shared" si="143"/>
        <v/>
      </c>
      <c r="B733" s="25"/>
      <c r="C733" s="26"/>
      <c r="D733" s="279"/>
      <c r="E733" s="27"/>
      <c r="F733" s="28"/>
      <c r="G733" s="27"/>
      <c r="H733" s="28"/>
      <c r="I733" s="28"/>
      <c r="J733" s="255" t="str">
        <f>IF(H733="","",(_xlfn.XLOOKUP(H733,Cadastros!$D$6:$D$90,Cadastros!$E$6:$E$90))*(1-_xlfn.XLOOKUP(_xlfn.XLOOKUP($F733,Clientes!$B$4:$B$39,Clientes!$C$4:$C$39),Cadastros!$L$6:$L$12,Cadastros!$N$6:$N$12)))</f>
        <v/>
      </c>
      <c r="K733" s="168" t="str">
        <f t="shared" si="144"/>
        <v/>
      </c>
      <c r="L733" s="168" t="str">
        <f>IFERROR(K733/_xlfn.XLOOKUP(_xlfn.XLOOKUP($F733,Clientes!$B$4:$B$39,Clientes!$C$4:$C$39),Cadastros!$L$6:$L$12,Cadastros!$M$6:$M$12)," ")</f>
        <v xml:space="preserve"> </v>
      </c>
      <c r="M733" s="28"/>
      <c r="N733" s="28"/>
      <c r="O733" s="255" t="str">
        <f>IF(M733="","",(_xlfn.XLOOKUP(M733,Cadastros!$D$6:$D$90,Cadastros!$E$6:$E$90))*(1-_xlfn.XLOOKUP(_xlfn.XLOOKUP($F733,Clientes!$B$4:$B$39,Clientes!$C$4:$C$39),Cadastros!$L$6:$L$12,Cadastros!$N$6:$N$12)))</f>
        <v/>
      </c>
      <c r="P733" s="168" t="str">
        <f t="shared" si="145"/>
        <v/>
      </c>
      <c r="Q733" s="168" t="str">
        <f>IFERROR(P733/_xlfn.XLOOKUP(_xlfn.XLOOKUP($F733,Clientes!$B$4:$B$39,Clientes!$C$4:$C$39),Cadastros!$L$6:$L$12,Cadastros!$M$6:$M$12)," ")</f>
        <v xml:space="preserve"> </v>
      </c>
      <c r="R733" s="28"/>
      <c r="S733" s="28"/>
      <c r="T733" s="255" t="str">
        <f>IF(R733="","",(_xlfn.XLOOKUP(R733,Cadastros!$D$6:$D$90,Cadastros!$E$6:$E$90))*(1-_xlfn.XLOOKUP(_xlfn.XLOOKUP($F733,Clientes!$B$4:$B$39,Clientes!$C$4:$C$39),Cadastros!$L$6:$L$12,Cadastros!$N$6:$N$12)))</f>
        <v/>
      </c>
      <c r="U733" s="168" t="str">
        <f t="shared" si="146"/>
        <v/>
      </c>
      <c r="V733" s="168" t="str">
        <f>IFERROR(U733/_xlfn.XLOOKUP(_xlfn.XLOOKUP($F733,Clientes!$B$4:$B$39,Clientes!$C$4:$C$39),Cadastros!$L$6:$L$12,Cadastros!$M$6:$M$12)," ")</f>
        <v xml:space="preserve"> </v>
      </c>
      <c r="W733" s="28"/>
      <c r="X733" s="28"/>
      <c r="Y733" s="255" t="str">
        <f>IF(W733="","",(_xlfn.XLOOKUP(W733,Cadastros!$D$6:$D$90,Cadastros!$E$6:$E$90))*(1-_xlfn.XLOOKUP(_xlfn.XLOOKUP($F733,Clientes!$B$4:$B$39,Clientes!$C$4:$C$39),Cadastros!$L$6:$L$12,Cadastros!$N$6:$N$12)))</f>
        <v/>
      </c>
      <c r="Z733" s="168" t="str">
        <f t="shared" si="147"/>
        <v/>
      </c>
      <c r="AA733" s="168" t="str">
        <f>IFERROR(Z733/_xlfn.XLOOKUP(_xlfn.XLOOKUP($F733,Clientes!$B$4:$B$39,Clientes!$C$4:$C$39),Cadastros!$L$6:$L$12,Cadastros!$M$6:$M$12)," ")</f>
        <v xml:space="preserve"> </v>
      </c>
      <c r="AB733" s="28"/>
      <c r="AC733" s="28"/>
      <c r="AD733" s="20" t="str">
        <f>IF(AB733="","",IF($F733="Bernardino Furlan",_xlfn.XLOOKUP(AB733,Cadastros!$G$6:$G$90,Cadastros!$H$6:$H$90)*(1-0.18),IF($F733="Mauro José Salanti",_xlfn.XLOOKUP(AB733,Cadastros!$G$6:$G$90,Cadastros!$H$6:$H$90)*(1-0.18),_xlfn.XLOOKUP(AB733,Cadastros!$G$6:$G$90,Cadastros!$H$6:$H$90))))</f>
        <v/>
      </c>
      <c r="AE733" s="168" t="str">
        <f t="shared" si="148"/>
        <v/>
      </c>
      <c r="AF733" s="168" t="str">
        <f t="shared" si="149"/>
        <v/>
      </c>
      <c r="AG733" s="28"/>
      <c r="AH733" s="28"/>
      <c r="AI733" s="20" t="str">
        <f>IF(AG733="","",IF($F733="Bernardino Furlan",_xlfn.XLOOKUP(AG733,Cadastros!$G$6:$G$90,Cadastros!$H$6:$H$90)*(1-0.18),IF($F733="Mauro José Salanti",_xlfn.XLOOKUP(AG733,Cadastros!$G$6:$G$90,Cadastros!$H$6:$H$90)*(1-0.18),_xlfn.XLOOKUP(AG733,Cadastros!$G$6:$G$90,Cadastros!$H$6:$H$90))))</f>
        <v/>
      </c>
      <c r="AJ733" s="168" t="str">
        <f t="shared" si="150"/>
        <v/>
      </c>
      <c r="AK733" s="168" t="str">
        <f t="shared" si="151"/>
        <v/>
      </c>
      <c r="AL733" s="28"/>
      <c r="AM733" s="28"/>
      <c r="AN733" s="20" t="str">
        <f>IF(AL733="","",IF($F733="Bernardino Furlan",_xlfn.XLOOKUP(AL733,Cadastros!$G$6:$G$90,Cadastros!$H$6:$H$90)*(1-0.18),IF($F733="Mauro José Salanti",_xlfn.XLOOKUP(AL733,Cadastros!$G$6:$G$90,Cadastros!$H$6:$H$90)*(1-0.18),_xlfn.XLOOKUP(AL733,Cadastros!$G$6:$G$90,Cadastros!$H$6:$H$90))))</f>
        <v/>
      </c>
      <c r="AO733" s="168" t="str">
        <f t="shared" si="152"/>
        <v/>
      </c>
      <c r="AP733" s="168" t="str">
        <f t="shared" si="153"/>
        <v/>
      </c>
      <c r="AQ733" s="28"/>
      <c r="AR733" s="28"/>
      <c r="AS733" s="20" t="str">
        <f>IF(AQ733="","",IF($F733="Bernardino Furlan",_xlfn.XLOOKUP(AQ733,Cadastros!$G$6:$G$90,Cadastros!$H$6:$H$90)*(1-0.18),IF($F733="Mauro José Salanti",_xlfn.XLOOKUP(AQ733,Cadastros!$G$6:$G$90,Cadastros!$H$6:$H$90)*(1-0.18),_xlfn.XLOOKUP(AQ733,Cadastros!$G$6:$G$90,Cadastros!$H$6:$H$90))))</f>
        <v/>
      </c>
      <c r="AT733" s="168" t="str">
        <f t="shared" si="154"/>
        <v/>
      </c>
      <c r="AU733" s="168" t="str">
        <f t="shared" si="155"/>
        <v/>
      </c>
      <c r="AV733" s="227"/>
      <c r="AW733" s="30"/>
      <c r="AX733" s="267"/>
      <c r="AY733" s="267"/>
      <c r="AZ733" s="29"/>
      <c r="BA733" s="30"/>
      <c r="BB733" s="23" t="str" cm="1">
        <f t="array" ref="BB733">_xlfn.IFS(AW733="SIM",SUM(K733,P733,U733,Z733,AE733,AJ733,AO733,AT733,AX733,AY733),F733&lt;&gt;"",SUM(K733,P733,U733,Z733,AE733,AJ733,,AO733,AT733),F733="","")</f>
        <v/>
      </c>
      <c r="BC733" s="211" t="str" cm="1">
        <f t="array" ref="BC733">_xlfn.IFS(E733="","",G733&lt;=E733,BB733*(1-0.03),G733&lt;(E733+8),BB733,AZ733="Boleto",BB733*(1+0.001)^DATEDIF(E733,G733,"D"),AZ733="Cheque",BB733,AZ733="Dinheiro","Alterar forma pgto")</f>
        <v/>
      </c>
      <c r="BD733" s="276" t="str" cm="1">
        <f t="array" ref="BD733">IF(F733=0," ",IF(BC733&lt;BB733,(_xlfn.IFS(AW733="SIM",SUM(L733,Q733,V733,AA733,AF733,AK733,AP733,AU733)+AX733/_xlfn.XLOOKUP(_xlfn.XLOOKUP($F733,Clientes!$B$4:$B$39,Clientes!$C$4:$C$39),Cadastros!$L$6:$L$12,Cadastros!$M$6:$M$12)+IF($F733="Bernardino Furlan",AY733/2751.92,IF($F733="Mauro José Salanti",AY733/2751.92,AY733/3356)),F733&lt;&gt;0,SUM(L733,Q733,V733,AA733,AF733,AK733,AP733,AU733)))*(1-0.03),_xlfn.IFS(AW733="SIM",SUM(L733,Q733,V733,AA733,AF733,AK733,AP733,AU733)+AX733/_xlfn.XLOOKUP(_xlfn.XLOOKUP($F733,Clientes!$B$4:$B$39,Clientes!$C$4:$C$39),Cadastros!$L$6:$L$12,Cadastros!$M$6:$M$12)+IF($F733="Bernardino Furlan",AY733/2751.92,IF($F733="Mauro José Salanti",AY733/2751.92,AY733/3356)),F733&lt;&gt;0,SUM(L733,Q733,V733,AA733,AF733,AK733,AP733,AU733))))</f>
        <v xml:space="preserve"> </v>
      </c>
      <c r="BE733" s="120"/>
      <c r="BF733" s="120"/>
      <c r="BG733" s="120"/>
    </row>
    <row r="734" spans="1:59" s="3" customFormat="1" x14ac:dyDescent="0.3">
      <c r="A734" s="15" t="str">
        <f t="shared" si="143"/>
        <v/>
      </c>
      <c r="B734" s="25"/>
      <c r="C734" s="26"/>
      <c r="D734" s="279"/>
      <c r="E734" s="27"/>
      <c r="F734" s="28"/>
      <c r="G734" s="27"/>
      <c r="H734" s="28"/>
      <c r="I734" s="28"/>
      <c r="J734" s="255" t="str">
        <f>IF(H734="","",(_xlfn.XLOOKUP(H734,Cadastros!$D$6:$D$90,Cadastros!$E$6:$E$90))*(1-_xlfn.XLOOKUP(_xlfn.XLOOKUP($F734,Clientes!$B$4:$B$39,Clientes!$C$4:$C$39),Cadastros!$L$6:$L$12,Cadastros!$N$6:$N$12)))</f>
        <v/>
      </c>
      <c r="K734" s="168" t="str">
        <f t="shared" si="144"/>
        <v/>
      </c>
      <c r="L734" s="168" t="str">
        <f>IFERROR(K734/_xlfn.XLOOKUP(_xlfn.XLOOKUP($F734,Clientes!$B$4:$B$39,Clientes!$C$4:$C$39),Cadastros!$L$6:$L$12,Cadastros!$M$6:$M$12)," ")</f>
        <v xml:space="preserve"> </v>
      </c>
      <c r="M734" s="28"/>
      <c r="N734" s="28"/>
      <c r="O734" s="255" t="str">
        <f>IF(M734="","",(_xlfn.XLOOKUP(M734,Cadastros!$D$6:$D$90,Cadastros!$E$6:$E$90))*(1-_xlfn.XLOOKUP(_xlfn.XLOOKUP($F734,Clientes!$B$4:$B$39,Clientes!$C$4:$C$39),Cadastros!$L$6:$L$12,Cadastros!$N$6:$N$12)))</f>
        <v/>
      </c>
      <c r="P734" s="168" t="str">
        <f t="shared" si="145"/>
        <v/>
      </c>
      <c r="Q734" s="168" t="str">
        <f>IFERROR(P734/_xlfn.XLOOKUP(_xlfn.XLOOKUP($F734,Clientes!$B$4:$B$39,Clientes!$C$4:$C$39),Cadastros!$L$6:$L$12,Cadastros!$M$6:$M$12)," ")</f>
        <v xml:space="preserve"> </v>
      </c>
      <c r="R734" s="28"/>
      <c r="S734" s="28"/>
      <c r="T734" s="255" t="str">
        <f>IF(R734="","",(_xlfn.XLOOKUP(R734,Cadastros!$D$6:$D$90,Cadastros!$E$6:$E$90))*(1-_xlfn.XLOOKUP(_xlfn.XLOOKUP($F734,Clientes!$B$4:$B$39,Clientes!$C$4:$C$39),Cadastros!$L$6:$L$12,Cadastros!$N$6:$N$12)))</f>
        <v/>
      </c>
      <c r="U734" s="168" t="str">
        <f t="shared" si="146"/>
        <v/>
      </c>
      <c r="V734" s="168" t="str">
        <f>IFERROR(U734/_xlfn.XLOOKUP(_xlfn.XLOOKUP($F734,Clientes!$B$4:$B$39,Clientes!$C$4:$C$39),Cadastros!$L$6:$L$12,Cadastros!$M$6:$M$12)," ")</f>
        <v xml:space="preserve"> </v>
      </c>
      <c r="W734" s="28"/>
      <c r="X734" s="28"/>
      <c r="Y734" s="255" t="str">
        <f>IF(W734="","",(_xlfn.XLOOKUP(W734,Cadastros!$D$6:$D$90,Cadastros!$E$6:$E$90))*(1-_xlfn.XLOOKUP(_xlfn.XLOOKUP($F734,Clientes!$B$4:$B$39,Clientes!$C$4:$C$39),Cadastros!$L$6:$L$12,Cadastros!$N$6:$N$12)))</f>
        <v/>
      </c>
      <c r="Z734" s="168" t="str">
        <f t="shared" si="147"/>
        <v/>
      </c>
      <c r="AA734" s="168" t="str">
        <f>IFERROR(Z734/_xlfn.XLOOKUP(_xlfn.XLOOKUP($F734,Clientes!$B$4:$B$39,Clientes!$C$4:$C$39),Cadastros!$L$6:$L$12,Cadastros!$M$6:$M$12)," ")</f>
        <v xml:space="preserve"> </v>
      </c>
      <c r="AB734" s="28"/>
      <c r="AC734" s="28"/>
      <c r="AD734" s="20" t="str">
        <f>IF(AB734="","",IF($F734="Bernardino Furlan",_xlfn.XLOOKUP(AB734,Cadastros!$G$6:$G$90,Cadastros!$H$6:$H$90)*(1-0.18),IF($F734="Mauro José Salanti",_xlfn.XLOOKUP(AB734,Cadastros!$G$6:$G$90,Cadastros!$H$6:$H$90)*(1-0.18),_xlfn.XLOOKUP(AB734,Cadastros!$G$6:$G$90,Cadastros!$H$6:$H$90))))</f>
        <v/>
      </c>
      <c r="AE734" s="168" t="str">
        <f t="shared" si="148"/>
        <v/>
      </c>
      <c r="AF734" s="168" t="str">
        <f t="shared" si="149"/>
        <v/>
      </c>
      <c r="AG734" s="28"/>
      <c r="AH734" s="28"/>
      <c r="AI734" s="20" t="str">
        <f>IF(AG734="","",IF($F734="Bernardino Furlan",_xlfn.XLOOKUP(AG734,Cadastros!$G$6:$G$90,Cadastros!$H$6:$H$90)*(1-0.18),IF($F734="Mauro José Salanti",_xlfn.XLOOKUP(AG734,Cadastros!$G$6:$G$90,Cadastros!$H$6:$H$90)*(1-0.18),_xlfn.XLOOKUP(AG734,Cadastros!$G$6:$G$90,Cadastros!$H$6:$H$90))))</f>
        <v/>
      </c>
      <c r="AJ734" s="168" t="str">
        <f t="shared" si="150"/>
        <v/>
      </c>
      <c r="AK734" s="168" t="str">
        <f t="shared" si="151"/>
        <v/>
      </c>
      <c r="AL734" s="28"/>
      <c r="AM734" s="28"/>
      <c r="AN734" s="20" t="str">
        <f>IF(AL734="","",IF($F734="Bernardino Furlan",_xlfn.XLOOKUP(AL734,Cadastros!$G$6:$G$90,Cadastros!$H$6:$H$90)*(1-0.18),IF($F734="Mauro José Salanti",_xlfn.XLOOKUP(AL734,Cadastros!$G$6:$G$90,Cadastros!$H$6:$H$90)*(1-0.18),_xlfn.XLOOKUP(AL734,Cadastros!$G$6:$G$90,Cadastros!$H$6:$H$90))))</f>
        <v/>
      </c>
      <c r="AO734" s="168" t="str">
        <f t="shared" si="152"/>
        <v/>
      </c>
      <c r="AP734" s="168" t="str">
        <f t="shared" si="153"/>
        <v/>
      </c>
      <c r="AQ734" s="28"/>
      <c r="AR734" s="28"/>
      <c r="AS734" s="20" t="str">
        <f>IF(AQ734="","",IF($F734="Bernardino Furlan",_xlfn.XLOOKUP(AQ734,Cadastros!$G$6:$G$90,Cadastros!$H$6:$H$90)*(1-0.18),IF($F734="Mauro José Salanti",_xlfn.XLOOKUP(AQ734,Cadastros!$G$6:$G$90,Cadastros!$H$6:$H$90)*(1-0.18),_xlfn.XLOOKUP(AQ734,Cadastros!$G$6:$G$90,Cadastros!$H$6:$H$90))))</f>
        <v/>
      </c>
      <c r="AT734" s="168" t="str">
        <f t="shared" si="154"/>
        <v/>
      </c>
      <c r="AU734" s="168" t="str">
        <f t="shared" si="155"/>
        <v/>
      </c>
      <c r="AV734" s="227"/>
      <c r="AW734" s="30"/>
      <c r="AX734" s="267"/>
      <c r="AY734" s="267"/>
      <c r="AZ734" s="29"/>
      <c r="BA734" s="30"/>
      <c r="BB734" s="23" t="str" cm="1">
        <f t="array" ref="BB734">_xlfn.IFS(AW734="SIM",SUM(K734,P734,U734,Z734,AE734,AJ734,AO734,AT734,AX734,AY734),F734&lt;&gt;"",SUM(K734,P734,U734,Z734,AE734,AJ734,,AO734,AT734),F734="","")</f>
        <v/>
      </c>
      <c r="BC734" s="211" t="str" cm="1">
        <f t="array" ref="BC734">_xlfn.IFS(E734="","",G734&lt;=E734,BB734*(1-0.03),G734&lt;(E734+8),BB734,AZ734="Boleto",BB734*(1+0.001)^DATEDIF(E734,G734,"D"),AZ734="Cheque",BB734,AZ734="Dinheiro","Alterar forma pgto")</f>
        <v/>
      </c>
      <c r="BD734" s="276" t="str" cm="1">
        <f t="array" ref="BD734">IF(F734=0," ",IF(BC734&lt;BB734,(_xlfn.IFS(AW734="SIM",SUM(L734,Q734,V734,AA734,AF734,AK734,AP734,AU734)+AX734/_xlfn.XLOOKUP(_xlfn.XLOOKUP($F734,Clientes!$B$4:$B$39,Clientes!$C$4:$C$39),Cadastros!$L$6:$L$12,Cadastros!$M$6:$M$12)+IF($F734="Bernardino Furlan",AY734/2751.92,IF($F734="Mauro José Salanti",AY734/2751.92,AY734/3356)),F734&lt;&gt;0,SUM(L734,Q734,V734,AA734,AF734,AK734,AP734,AU734)))*(1-0.03),_xlfn.IFS(AW734="SIM",SUM(L734,Q734,V734,AA734,AF734,AK734,AP734,AU734)+AX734/_xlfn.XLOOKUP(_xlfn.XLOOKUP($F734,Clientes!$B$4:$B$39,Clientes!$C$4:$C$39),Cadastros!$L$6:$L$12,Cadastros!$M$6:$M$12)+IF($F734="Bernardino Furlan",AY734/2751.92,IF($F734="Mauro José Salanti",AY734/2751.92,AY734/3356)),F734&lt;&gt;0,SUM(L734,Q734,V734,AA734,AF734,AK734,AP734,AU734))))</f>
        <v xml:space="preserve"> </v>
      </c>
      <c r="BE734" s="120"/>
      <c r="BF734" s="120"/>
      <c r="BG734" s="120"/>
    </row>
    <row r="735" spans="1:59" s="3" customFormat="1" x14ac:dyDescent="0.3">
      <c r="A735" s="15" t="str">
        <f t="shared" si="143"/>
        <v/>
      </c>
      <c r="B735" s="25"/>
      <c r="C735" s="26"/>
      <c r="D735" s="279"/>
      <c r="E735" s="27"/>
      <c r="F735" s="28"/>
      <c r="G735" s="27"/>
      <c r="H735" s="28"/>
      <c r="I735" s="28"/>
      <c r="J735" s="255" t="str">
        <f>IF(H735="","",(_xlfn.XLOOKUP(H735,Cadastros!$D$6:$D$90,Cadastros!$E$6:$E$90))*(1-_xlfn.XLOOKUP(_xlfn.XLOOKUP($F735,Clientes!$B$4:$B$39,Clientes!$C$4:$C$39),Cadastros!$L$6:$L$12,Cadastros!$N$6:$N$12)))</f>
        <v/>
      </c>
      <c r="K735" s="168" t="str">
        <f t="shared" si="144"/>
        <v/>
      </c>
      <c r="L735" s="168" t="str">
        <f>IFERROR(K735/_xlfn.XLOOKUP(_xlfn.XLOOKUP($F735,Clientes!$B$4:$B$39,Clientes!$C$4:$C$39),Cadastros!$L$6:$L$12,Cadastros!$M$6:$M$12)," ")</f>
        <v xml:space="preserve"> </v>
      </c>
      <c r="M735" s="28"/>
      <c r="N735" s="28"/>
      <c r="O735" s="255" t="str">
        <f>IF(M735="","",(_xlfn.XLOOKUP(M735,Cadastros!$D$6:$D$90,Cadastros!$E$6:$E$90))*(1-_xlfn.XLOOKUP(_xlfn.XLOOKUP($F735,Clientes!$B$4:$B$39,Clientes!$C$4:$C$39),Cadastros!$L$6:$L$12,Cadastros!$N$6:$N$12)))</f>
        <v/>
      </c>
      <c r="P735" s="168" t="str">
        <f t="shared" si="145"/>
        <v/>
      </c>
      <c r="Q735" s="168" t="str">
        <f>IFERROR(P735/_xlfn.XLOOKUP(_xlfn.XLOOKUP($F735,Clientes!$B$4:$B$39,Clientes!$C$4:$C$39),Cadastros!$L$6:$L$12,Cadastros!$M$6:$M$12)," ")</f>
        <v xml:space="preserve"> </v>
      </c>
      <c r="R735" s="28"/>
      <c r="S735" s="28"/>
      <c r="T735" s="255" t="str">
        <f>IF(R735="","",(_xlfn.XLOOKUP(R735,Cadastros!$D$6:$D$90,Cadastros!$E$6:$E$90))*(1-_xlfn.XLOOKUP(_xlfn.XLOOKUP($F735,Clientes!$B$4:$B$39,Clientes!$C$4:$C$39),Cadastros!$L$6:$L$12,Cadastros!$N$6:$N$12)))</f>
        <v/>
      </c>
      <c r="U735" s="168" t="str">
        <f t="shared" si="146"/>
        <v/>
      </c>
      <c r="V735" s="168" t="str">
        <f>IFERROR(U735/_xlfn.XLOOKUP(_xlfn.XLOOKUP($F735,Clientes!$B$4:$B$39,Clientes!$C$4:$C$39),Cadastros!$L$6:$L$12,Cadastros!$M$6:$M$12)," ")</f>
        <v xml:space="preserve"> </v>
      </c>
      <c r="W735" s="28"/>
      <c r="X735" s="28"/>
      <c r="Y735" s="255" t="str">
        <f>IF(W735="","",(_xlfn.XLOOKUP(W735,Cadastros!$D$6:$D$90,Cadastros!$E$6:$E$90))*(1-_xlfn.XLOOKUP(_xlfn.XLOOKUP($F735,Clientes!$B$4:$B$39,Clientes!$C$4:$C$39),Cadastros!$L$6:$L$12,Cadastros!$N$6:$N$12)))</f>
        <v/>
      </c>
      <c r="Z735" s="168" t="str">
        <f t="shared" si="147"/>
        <v/>
      </c>
      <c r="AA735" s="168" t="str">
        <f>IFERROR(Z735/_xlfn.XLOOKUP(_xlfn.XLOOKUP($F735,Clientes!$B$4:$B$39,Clientes!$C$4:$C$39),Cadastros!$L$6:$L$12,Cadastros!$M$6:$M$12)," ")</f>
        <v xml:space="preserve"> </v>
      </c>
      <c r="AB735" s="28"/>
      <c r="AC735" s="28"/>
      <c r="AD735" s="20" t="str">
        <f>IF(AB735="","",IF($F735="Bernardino Furlan",_xlfn.XLOOKUP(AB735,Cadastros!$G$6:$G$90,Cadastros!$H$6:$H$90)*(1-0.18),IF($F735="Mauro José Salanti",_xlfn.XLOOKUP(AB735,Cadastros!$G$6:$G$90,Cadastros!$H$6:$H$90)*(1-0.18),_xlfn.XLOOKUP(AB735,Cadastros!$G$6:$G$90,Cadastros!$H$6:$H$90))))</f>
        <v/>
      </c>
      <c r="AE735" s="168" t="str">
        <f t="shared" si="148"/>
        <v/>
      </c>
      <c r="AF735" s="168" t="str">
        <f t="shared" si="149"/>
        <v/>
      </c>
      <c r="AG735" s="28"/>
      <c r="AH735" s="28"/>
      <c r="AI735" s="20" t="str">
        <f>IF(AG735="","",IF($F735="Bernardino Furlan",_xlfn.XLOOKUP(AG735,Cadastros!$G$6:$G$90,Cadastros!$H$6:$H$90)*(1-0.18),IF($F735="Mauro José Salanti",_xlfn.XLOOKUP(AG735,Cadastros!$G$6:$G$90,Cadastros!$H$6:$H$90)*(1-0.18),_xlfn.XLOOKUP(AG735,Cadastros!$G$6:$G$90,Cadastros!$H$6:$H$90))))</f>
        <v/>
      </c>
      <c r="AJ735" s="168" t="str">
        <f t="shared" si="150"/>
        <v/>
      </c>
      <c r="AK735" s="168" t="str">
        <f t="shared" si="151"/>
        <v/>
      </c>
      <c r="AL735" s="28"/>
      <c r="AM735" s="28"/>
      <c r="AN735" s="20" t="str">
        <f>IF(AL735="","",IF($F735="Bernardino Furlan",_xlfn.XLOOKUP(AL735,Cadastros!$G$6:$G$90,Cadastros!$H$6:$H$90)*(1-0.18),IF($F735="Mauro José Salanti",_xlfn.XLOOKUP(AL735,Cadastros!$G$6:$G$90,Cadastros!$H$6:$H$90)*(1-0.18),_xlfn.XLOOKUP(AL735,Cadastros!$G$6:$G$90,Cadastros!$H$6:$H$90))))</f>
        <v/>
      </c>
      <c r="AO735" s="168" t="str">
        <f t="shared" si="152"/>
        <v/>
      </c>
      <c r="AP735" s="168" t="str">
        <f t="shared" si="153"/>
        <v/>
      </c>
      <c r="AQ735" s="28"/>
      <c r="AR735" s="28"/>
      <c r="AS735" s="20" t="str">
        <f>IF(AQ735="","",IF($F735="Bernardino Furlan",_xlfn.XLOOKUP(AQ735,Cadastros!$G$6:$G$90,Cadastros!$H$6:$H$90)*(1-0.18),IF($F735="Mauro José Salanti",_xlfn.XLOOKUP(AQ735,Cadastros!$G$6:$G$90,Cadastros!$H$6:$H$90)*(1-0.18),_xlfn.XLOOKUP(AQ735,Cadastros!$G$6:$G$90,Cadastros!$H$6:$H$90))))</f>
        <v/>
      </c>
      <c r="AT735" s="168" t="str">
        <f t="shared" si="154"/>
        <v/>
      </c>
      <c r="AU735" s="168" t="str">
        <f t="shared" si="155"/>
        <v/>
      </c>
      <c r="AV735" s="227"/>
      <c r="AW735" s="30"/>
      <c r="AX735" s="267"/>
      <c r="AY735" s="267"/>
      <c r="AZ735" s="29"/>
      <c r="BA735" s="30"/>
      <c r="BB735" s="23" t="str" cm="1">
        <f t="array" ref="BB735">_xlfn.IFS(AW735="SIM",SUM(K735,P735,U735,Z735,AE735,AJ735,AO735,AT735,AX735,AY735),F735&lt;&gt;"",SUM(K735,P735,U735,Z735,AE735,AJ735,,AO735,AT735),F735="","")</f>
        <v/>
      </c>
      <c r="BC735" s="211" t="str" cm="1">
        <f t="array" ref="BC735">_xlfn.IFS(E735="","",G735&lt;=E735,BB735*(1-0.03),G735&lt;(E735+8),BB735,AZ735="Boleto",BB735*(1+0.001)^DATEDIF(E735,G735,"D"),AZ735="Cheque",BB735,AZ735="Dinheiro","Alterar forma pgto")</f>
        <v/>
      </c>
      <c r="BD735" s="276" t="str" cm="1">
        <f t="array" ref="BD735">IF(F735=0," ",IF(BC735&lt;BB735,(_xlfn.IFS(AW735="SIM",SUM(L735,Q735,V735,AA735,AF735,AK735,AP735,AU735)+AX735/_xlfn.XLOOKUP(_xlfn.XLOOKUP($F735,Clientes!$B$4:$B$39,Clientes!$C$4:$C$39),Cadastros!$L$6:$L$12,Cadastros!$M$6:$M$12)+IF($F735="Bernardino Furlan",AY735/2751.92,IF($F735="Mauro José Salanti",AY735/2751.92,AY735/3356)),F735&lt;&gt;0,SUM(L735,Q735,V735,AA735,AF735,AK735,AP735,AU735)))*(1-0.03),_xlfn.IFS(AW735="SIM",SUM(L735,Q735,V735,AA735,AF735,AK735,AP735,AU735)+AX735/_xlfn.XLOOKUP(_xlfn.XLOOKUP($F735,Clientes!$B$4:$B$39,Clientes!$C$4:$C$39),Cadastros!$L$6:$L$12,Cadastros!$M$6:$M$12)+IF($F735="Bernardino Furlan",AY735/2751.92,IF($F735="Mauro José Salanti",AY735/2751.92,AY735/3356)),F735&lt;&gt;0,SUM(L735,Q735,V735,AA735,AF735,AK735,AP735,AU735))))</f>
        <v xml:space="preserve"> </v>
      </c>
      <c r="BE735" s="120"/>
      <c r="BF735" s="120"/>
      <c r="BG735" s="120"/>
    </row>
    <row r="736" spans="1:59" s="3" customFormat="1" x14ac:dyDescent="0.3">
      <c r="A736" s="15" t="str">
        <f t="shared" si="143"/>
        <v/>
      </c>
      <c r="B736" s="25"/>
      <c r="C736" s="26"/>
      <c r="D736" s="279"/>
      <c r="E736" s="27"/>
      <c r="F736" s="28"/>
      <c r="G736" s="27"/>
      <c r="H736" s="28"/>
      <c r="I736" s="28"/>
      <c r="J736" s="255" t="str">
        <f>IF(H736="","",(_xlfn.XLOOKUP(H736,Cadastros!$D$6:$D$90,Cadastros!$E$6:$E$90))*(1-_xlfn.XLOOKUP(_xlfn.XLOOKUP($F736,Clientes!$B$4:$B$39,Clientes!$C$4:$C$39),Cadastros!$L$6:$L$12,Cadastros!$N$6:$N$12)))</f>
        <v/>
      </c>
      <c r="K736" s="168" t="str">
        <f t="shared" si="144"/>
        <v/>
      </c>
      <c r="L736" s="168" t="str">
        <f>IFERROR(K736/_xlfn.XLOOKUP(_xlfn.XLOOKUP($F736,Clientes!$B$4:$B$39,Clientes!$C$4:$C$39),Cadastros!$L$6:$L$12,Cadastros!$M$6:$M$12)," ")</f>
        <v xml:space="preserve"> </v>
      </c>
      <c r="M736" s="28"/>
      <c r="N736" s="28"/>
      <c r="O736" s="255" t="str">
        <f>IF(M736="","",(_xlfn.XLOOKUP(M736,Cadastros!$D$6:$D$90,Cadastros!$E$6:$E$90))*(1-_xlfn.XLOOKUP(_xlfn.XLOOKUP($F736,Clientes!$B$4:$B$39,Clientes!$C$4:$C$39),Cadastros!$L$6:$L$12,Cadastros!$N$6:$N$12)))</f>
        <v/>
      </c>
      <c r="P736" s="168" t="str">
        <f t="shared" si="145"/>
        <v/>
      </c>
      <c r="Q736" s="168" t="str">
        <f>IFERROR(P736/_xlfn.XLOOKUP(_xlfn.XLOOKUP($F736,Clientes!$B$4:$B$39,Clientes!$C$4:$C$39),Cadastros!$L$6:$L$12,Cadastros!$M$6:$M$12)," ")</f>
        <v xml:space="preserve"> </v>
      </c>
      <c r="R736" s="28"/>
      <c r="S736" s="28"/>
      <c r="T736" s="255" t="str">
        <f>IF(R736="","",(_xlfn.XLOOKUP(R736,Cadastros!$D$6:$D$90,Cadastros!$E$6:$E$90))*(1-_xlfn.XLOOKUP(_xlfn.XLOOKUP($F736,Clientes!$B$4:$B$39,Clientes!$C$4:$C$39),Cadastros!$L$6:$L$12,Cadastros!$N$6:$N$12)))</f>
        <v/>
      </c>
      <c r="U736" s="168" t="str">
        <f t="shared" si="146"/>
        <v/>
      </c>
      <c r="V736" s="168" t="str">
        <f>IFERROR(U736/_xlfn.XLOOKUP(_xlfn.XLOOKUP($F736,Clientes!$B$4:$B$39,Clientes!$C$4:$C$39),Cadastros!$L$6:$L$12,Cadastros!$M$6:$M$12)," ")</f>
        <v xml:space="preserve"> </v>
      </c>
      <c r="W736" s="28"/>
      <c r="X736" s="28"/>
      <c r="Y736" s="255" t="str">
        <f>IF(W736="","",(_xlfn.XLOOKUP(W736,Cadastros!$D$6:$D$90,Cadastros!$E$6:$E$90))*(1-_xlfn.XLOOKUP(_xlfn.XLOOKUP($F736,Clientes!$B$4:$B$39,Clientes!$C$4:$C$39),Cadastros!$L$6:$L$12,Cadastros!$N$6:$N$12)))</f>
        <v/>
      </c>
      <c r="Z736" s="168" t="str">
        <f t="shared" si="147"/>
        <v/>
      </c>
      <c r="AA736" s="168" t="str">
        <f>IFERROR(Z736/_xlfn.XLOOKUP(_xlfn.XLOOKUP($F736,Clientes!$B$4:$B$39,Clientes!$C$4:$C$39),Cadastros!$L$6:$L$12,Cadastros!$M$6:$M$12)," ")</f>
        <v xml:space="preserve"> </v>
      </c>
      <c r="AB736" s="28"/>
      <c r="AC736" s="28"/>
      <c r="AD736" s="20" t="str">
        <f>IF(AB736="","",IF($F736="Bernardino Furlan",_xlfn.XLOOKUP(AB736,Cadastros!$G$6:$G$90,Cadastros!$H$6:$H$90)*(1-0.18),IF($F736="Mauro José Salanti",_xlfn.XLOOKUP(AB736,Cadastros!$G$6:$G$90,Cadastros!$H$6:$H$90)*(1-0.18),_xlfn.XLOOKUP(AB736,Cadastros!$G$6:$G$90,Cadastros!$H$6:$H$90))))</f>
        <v/>
      </c>
      <c r="AE736" s="168" t="str">
        <f t="shared" si="148"/>
        <v/>
      </c>
      <c r="AF736" s="168" t="str">
        <f t="shared" si="149"/>
        <v/>
      </c>
      <c r="AG736" s="28"/>
      <c r="AH736" s="28"/>
      <c r="AI736" s="20" t="str">
        <f>IF(AG736="","",IF($F736="Bernardino Furlan",_xlfn.XLOOKUP(AG736,Cadastros!$G$6:$G$90,Cadastros!$H$6:$H$90)*(1-0.18),IF($F736="Mauro José Salanti",_xlfn.XLOOKUP(AG736,Cadastros!$G$6:$G$90,Cadastros!$H$6:$H$90)*(1-0.18),_xlfn.XLOOKUP(AG736,Cadastros!$G$6:$G$90,Cadastros!$H$6:$H$90))))</f>
        <v/>
      </c>
      <c r="AJ736" s="168" t="str">
        <f t="shared" si="150"/>
        <v/>
      </c>
      <c r="AK736" s="168" t="str">
        <f t="shared" si="151"/>
        <v/>
      </c>
      <c r="AL736" s="28"/>
      <c r="AM736" s="28"/>
      <c r="AN736" s="20" t="str">
        <f>IF(AL736="","",IF($F736="Bernardino Furlan",_xlfn.XLOOKUP(AL736,Cadastros!$G$6:$G$90,Cadastros!$H$6:$H$90)*(1-0.18),IF($F736="Mauro José Salanti",_xlfn.XLOOKUP(AL736,Cadastros!$G$6:$G$90,Cadastros!$H$6:$H$90)*(1-0.18),_xlfn.XLOOKUP(AL736,Cadastros!$G$6:$G$90,Cadastros!$H$6:$H$90))))</f>
        <v/>
      </c>
      <c r="AO736" s="168" t="str">
        <f t="shared" si="152"/>
        <v/>
      </c>
      <c r="AP736" s="168" t="str">
        <f t="shared" si="153"/>
        <v/>
      </c>
      <c r="AQ736" s="28"/>
      <c r="AR736" s="28"/>
      <c r="AS736" s="20" t="str">
        <f>IF(AQ736="","",IF($F736="Bernardino Furlan",_xlfn.XLOOKUP(AQ736,Cadastros!$G$6:$G$90,Cadastros!$H$6:$H$90)*(1-0.18),IF($F736="Mauro José Salanti",_xlfn.XLOOKUP(AQ736,Cadastros!$G$6:$G$90,Cadastros!$H$6:$H$90)*(1-0.18),_xlfn.XLOOKUP(AQ736,Cadastros!$G$6:$G$90,Cadastros!$H$6:$H$90))))</f>
        <v/>
      </c>
      <c r="AT736" s="168" t="str">
        <f t="shared" si="154"/>
        <v/>
      </c>
      <c r="AU736" s="168" t="str">
        <f t="shared" si="155"/>
        <v/>
      </c>
      <c r="AV736" s="227"/>
      <c r="AW736" s="30"/>
      <c r="AX736" s="267"/>
      <c r="AY736" s="267"/>
      <c r="AZ736" s="29"/>
      <c r="BA736" s="30"/>
      <c r="BB736" s="23" t="str" cm="1">
        <f t="array" ref="BB736">_xlfn.IFS(AW736="SIM",SUM(K736,P736,U736,Z736,AE736,AJ736,AO736,AT736,AX736,AY736),F736&lt;&gt;"",SUM(K736,P736,U736,Z736,AE736,AJ736,,AO736,AT736),F736="","")</f>
        <v/>
      </c>
      <c r="BC736" s="211" t="str" cm="1">
        <f t="array" ref="BC736">_xlfn.IFS(E736="","",G736&lt;=E736,BB736*(1-0.03),G736&lt;(E736+8),BB736,AZ736="Boleto",BB736*(1+0.001)^DATEDIF(E736,G736,"D"),AZ736="Cheque",BB736,AZ736="Dinheiro","Alterar forma pgto")</f>
        <v/>
      </c>
      <c r="BD736" s="276" t="str" cm="1">
        <f t="array" ref="BD736">IF(F736=0," ",IF(BC736&lt;BB736,(_xlfn.IFS(AW736="SIM",SUM(L736,Q736,V736,AA736,AF736,AK736,AP736,AU736)+AX736/_xlfn.XLOOKUP(_xlfn.XLOOKUP($F736,Clientes!$B$4:$B$39,Clientes!$C$4:$C$39),Cadastros!$L$6:$L$12,Cadastros!$M$6:$M$12)+IF($F736="Bernardino Furlan",AY736/2751.92,IF($F736="Mauro José Salanti",AY736/2751.92,AY736/3356)),F736&lt;&gt;0,SUM(L736,Q736,V736,AA736,AF736,AK736,AP736,AU736)))*(1-0.03),_xlfn.IFS(AW736="SIM",SUM(L736,Q736,V736,AA736,AF736,AK736,AP736,AU736)+AX736/_xlfn.XLOOKUP(_xlfn.XLOOKUP($F736,Clientes!$B$4:$B$39,Clientes!$C$4:$C$39),Cadastros!$L$6:$L$12,Cadastros!$M$6:$M$12)+IF($F736="Bernardino Furlan",AY736/2751.92,IF($F736="Mauro José Salanti",AY736/2751.92,AY736/3356)),F736&lt;&gt;0,SUM(L736,Q736,V736,AA736,AF736,AK736,AP736,AU736))))</f>
        <v xml:space="preserve"> </v>
      </c>
      <c r="BE736" s="120"/>
      <c r="BF736" s="120"/>
      <c r="BG736" s="120"/>
    </row>
    <row r="737" spans="1:59" s="3" customFormat="1" x14ac:dyDescent="0.3">
      <c r="A737" s="15" t="str">
        <f t="shared" si="143"/>
        <v/>
      </c>
      <c r="B737" s="25"/>
      <c r="C737" s="26"/>
      <c r="D737" s="279"/>
      <c r="E737" s="27"/>
      <c r="F737" s="28"/>
      <c r="G737" s="27"/>
      <c r="H737" s="28"/>
      <c r="I737" s="28"/>
      <c r="J737" s="255" t="str">
        <f>IF(H737="","",(_xlfn.XLOOKUP(H737,Cadastros!$D$6:$D$90,Cadastros!$E$6:$E$90))*(1-_xlfn.XLOOKUP(_xlfn.XLOOKUP($F737,Clientes!$B$4:$B$39,Clientes!$C$4:$C$39),Cadastros!$L$6:$L$12,Cadastros!$N$6:$N$12)))</f>
        <v/>
      </c>
      <c r="K737" s="168" t="str">
        <f t="shared" si="144"/>
        <v/>
      </c>
      <c r="L737" s="168" t="str">
        <f>IFERROR(K737/_xlfn.XLOOKUP(_xlfn.XLOOKUP($F737,Clientes!$B$4:$B$39,Clientes!$C$4:$C$39),Cadastros!$L$6:$L$12,Cadastros!$M$6:$M$12)," ")</f>
        <v xml:space="preserve"> </v>
      </c>
      <c r="M737" s="28"/>
      <c r="N737" s="28"/>
      <c r="O737" s="255" t="str">
        <f>IF(M737="","",(_xlfn.XLOOKUP(M737,Cadastros!$D$6:$D$90,Cadastros!$E$6:$E$90))*(1-_xlfn.XLOOKUP(_xlfn.XLOOKUP($F737,Clientes!$B$4:$B$39,Clientes!$C$4:$C$39),Cadastros!$L$6:$L$12,Cadastros!$N$6:$N$12)))</f>
        <v/>
      </c>
      <c r="P737" s="168" t="str">
        <f t="shared" si="145"/>
        <v/>
      </c>
      <c r="Q737" s="168" t="str">
        <f>IFERROR(P737/_xlfn.XLOOKUP(_xlfn.XLOOKUP($F737,Clientes!$B$4:$B$39,Clientes!$C$4:$C$39),Cadastros!$L$6:$L$12,Cadastros!$M$6:$M$12)," ")</f>
        <v xml:space="preserve"> </v>
      </c>
      <c r="R737" s="28"/>
      <c r="S737" s="28"/>
      <c r="T737" s="255" t="str">
        <f>IF(R737="","",(_xlfn.XLOOKUP(R737,Cadastros!$D$6:$D$90,Cadastros!$E$6:$E$90))*(1-_xlfn.XLOOKUP(_xlfn.XLOOKUP($F737,Clientes!$B$4:$B$39,Clientes!$C$4:$C$39),Cadastros!$L$6:$L$12,Cadastros!$N$6:$N$12)))</f>
        <v/>
      </c>
      <c r="U737" s="168" t="str">
        <f t="shared" si="146"/>
        <v/>
      </c>
      <c r="V737" s="168" t="str">
        <f>IFERROR(U737/_xlfn.XLOOKUP(_xlfn.XLOOKUP($F737,Clientes!$B$4:$B$39,Clientes!$C$4:$C$39),Cadastros!$L$6:$L$12,Cadastros!$M$6:$M$12)," ")</f>
        <v xml:space="preserve"> </v>
      </c>
      <c r="W737" s="28"/>
      <c r="X737" s="28"/>
      <c r="Y737" s="255" t="str">
        <f>IF(W737="","",(_xlfn.XLOOKUP(W737,Cadastros!$D$6:$D$90,Cadastros!$E$6:$E$90))*(1-_xlfn.XLOOKUP(_xlfn.XLOOKUP($F737,Clientes!$B$4:$B$39,Clientes!$C$4:$C$39),Cadastros!$L$6:$L$12,Cadastros!$N$6:$N$12)))</f>
        <v/>
      </c>
      <c r="Z737" s="168" t="str">
        <f t="shared" si="147"/>
        <v/>
      </c>
      <c r="AA737" s="168" t="str">
        <f>IFERROR(Z737/_xlfn.XLOOKUP(_xlfn.XLOOKUP($F737,Clientes!$B$4:$B$39,Clientes!$C$4:$C$39),Cadastros!$L$6:$L$12,Cadastros!$M$6:$M$12)," ")</f>
        <v xml:space="preserve"> </v>
      </c>
      <c r="AB737" s="28"/>
      <c r="AC737" s="28"/>
      <c r="AD737" s="20" t="str">
        <f>IF(AB737="","",IF($F737="Bernardino Furlan",_xlfn.XLOOKUP(AB737,Cadastros!$G$6:$G$90,Cadastros!$H$6:$H$90)*(1-0.18),IF($F737="Mauro José Salanti",_xlfn.XLOOKUP(AB737,Cadastros!$G$6:$G$90,Cadastros!$H$6:$H$90)*(1-0.18),_xlfn.XLOOKUP(AB737,Cadastros!$G$6:$G$90,Cadastros!$H$6:$H$90))))</f>
        <v/>
      </c>
      <c r="AE737" s="168" t="str">
        <f t="shared" si="148"/>
        <v/>
      </c>
      <c r="AF737" s="168" t="str">
        <f t="shared" si="149"/>
        <v/>
      </c>
      <c r="AG737" s="28"/>
      <c r="AH737" s="28"/>
      <c r="AI737" s="20" t="str">
        <f>IF(AG737="","",IF($F737="Bernardino Furlan",_xlfn.XLOOKUP(AG737,Cadastros!$G$6:$G$90,Cadastros!$H$6:$H$90)*(1-0.18),IF($F737="Mauro José Salanti",_xlfn.XLOOKUP(AG737,Cadastros!$G$6:$G$90,Cadastros!$H$6:$H$90)*(1-0.18),_xlfn.XLOOKUP(AG737,Cadastros!$G$6:$G$90,Cadastros!$H$6:$H$90))))</f>
        <v/>
      </c>
      <c r="AJ737" s="168" t="str">
        <f t="shared" si="150"/>
        <v/>
      </c>
      <c r="AK737" s="168" t="str">
        <f t="shared" si="151"/>
        <v/>
      </c>
      <c r="AL737" s="28"/>
      <c r="AM737" s="28"/>
      <c r="AN737" s="20" t="str">
        <f>IF(AL737="","",IF($F737="Bernardino Furlan",_xlfn.XLOOKUP(AL737,Cadastros!$G$6:$G$90,Cadastros!$H$6:$H$90)*(1-0.18),IF($F737="Mauro José Salanti",_xlfn.XLOOKUP(AL737,Cadastros!$G$6:$G$90,Cadastros!$H$6:$H$90)*(1-0.18),_xlfn.XLOOKUP(AL737,Cadastros!$G$6:$G$90,Cadastros!$H$6:$H$90))))</f>
        <v/>
      </c>
      <c r="AO737" s="168" t="str">
        <f t="shared" si="152"/>
        <v/>
      </c>
      <c r="AP737" s="168" t="str">
        <f t="shared" si="153"/>
        <v/>
      </c>
      <c r="AQ737" s="28"/>
      <c r="AR737" s="28"/>
      <c r="AS737" s="20" t="str">
        <f>IF(AQ737="","",IF($F737="Bernardino Furlan",_xlfn.XLOOKUP(AQ737,Cadastros!$G$6:$G$90,Cadastros!$H$6:$H$90)*(1-0.18),IF($F737="Mauro José Salanti",_xlfn.XLOOKUP(AQ737,Cadastros!$G$6:$G$90,Cadastros!$H$6:$H$90)*(1-0.18),_xlfn.XLOOKUP(AQ737,Cadastros!$G$6:$G$90,Cadastros!$H$6:$H$90))))</f>
        <v/>
      </c>
      <c r="AT737" s="168" t="str">
        <f t="shared" si="154"/>
        <v/>
      </c>
      <c r="AU737" s="168" t="str">
        <f t="shared" si="155"/>
        <v/>
      </c>
      <c r="AV737" s="227"/>
      <c r="AW737" s="30"/>
      <c r="AX737" s="267"/>
      <c r="AY737" s="267"/>
      <c r="AZ737" s="29"/>
      <c r="BA737" s="30"/>
      <c r="BB737" s="23" t="str" cm="1">
        <f t="array" ref="BB737">_xlfn.IFS(AW737="SIM",SUM(K737,P737,U737,Z737,AE737,AJ737,AO737,AT737,AX737,AY737),F737&lt;&gt;"",SUM(K737,P737,U737,Z737,AE737,AJ737,,AO737,AT737),F737="","")</f>
        <v/>
      </c>
      <c r="BC737" s="211" t="str" cm="1">
        <f t="array" ref="BC737">_xlfn.IFS(E737="","",G737&lt;=E737,BB737*(1-0.03),G737&lt;(E737+8),BB737,AZ737="Boleto",BB737*(1+0.001)^DATEDIF(E737,G737,"D"),AZ737="Cheque",BB737,AZ737="Dinheiro","Alterar forma pgto")</f>
        <v/>
      </c>
      <c r="BD737" s="276" t="str" cm="1">
        <f t="array" ref="BD737">IF(F737=0," ",IF(BC737&lt;BB737,(_xlfn.IFS(AW737="SIM",SUM(L737,Q737,V737,AA737,AF737,AK737,AP737,AU737)+AX737/_xlfn.XLOOKUP(_xlfn.XLOOKUP($F737,Clientes!$B$4:$B$39,Clientes!$C$4:$C$39),Cadastros!$L$6:$L$12,Cadastros!$M$6:$M$12)+IF($F737="Bernardino Furlan",AY737/2751.92,IF($F737="Mauro José Salanti",AY737/2751.92,AY737/3356)),F737&lt;&gt;0,SUM(L737,Q737,V737,AA737,AF737,AK737,AP737,AU737)))*(1-0.03),_xlfn.IFS(AW737="SIM",SUM(L737,Q737,V737,AA737,AF737,AK737,AP737,AU737)+AX737/_xlfn.XLOOKUP(_xlfn.XLOOKUP($F737,Clientes!$B$4:$B$39,Clientes!$C$4:$C$39),Cadastros!$L$6:$L$12,Cadastros!$M$6:$M$12)+IF($F737="Bernardino Furlan",AY737/2751.92,IF($F737="Mauro José Salanti",AY737/2751.92,AY737/3356)),F737&lt;&gt;0,SUM(L737,Q737,V737,AA737,AF737,AK737,AP737,AU737))))</f>
        <v xml:space="preserve"> </v>
      </c>
      <c r="BE737" s="120"/>
      <c r="BF737" s="120"/>
      <c r="BG737" s="120"/>
    </row>
    <row r="738" spans="1:59" s="3" customFormat="1" x14ac:dyDescent="0.3">
      <c r="A738" s="15" t="str">
        <f t="shared" si="143"/>
        <v/>
      </c>
      <c r="B738" s="25"/>
      <c r="C738" s="26"/>
      <c r="D738" s="279"/>
      <c r="E738" s="27"/>
      <c r="F738" s="28"/>
      <c r="G738" s="27"/>
      <c r="H738" s="28"/>
      <c r="I738" s="28"/>
      <c r="J738" s="255" t="str">
        <f>IF(H738="","",(_xlfn.XLOOKUP(H738,Cadastros!$D$6:$D$90,Cadastros!$E$6:$E$90))*(1-_xlfn.XLOOKUP(_xlfn.XLOOKUP($F738,Clientes!$B$4:$B$39,Clientes!$C$4:$C$39),Cadastros!$L$6:$L$12,Cadastros!$N$6:$N$12)))</f>
        <v/>
      </c>
      <c r="K738" s="168" t="str">
        <f t="shared" si="144"/>
        <v/>
      </c>
      <c r="L738" s="168" t="str">
        <f>IFERROR(K738/_xlfn.XLOOKUP(_xlfn.XLOOKUP($F738,Clientes!$B$4:$B$39,Clientes!$C$4:$C$39),Cadastros!$L$6:$L$12,Cadastros!$M$6:$M$12)," ")</f>
        <v xml:space="preserve"> </v>
      </c>
      <c r="M738" s="28"/>
      <c r="N738" s="28"/>
      <c r="O738" s="255" t="str">
        <f>IF(M738="","",(_xlfn.XLOOKUP(M738,Cadastros!$D$6:$D$90,Cadastros!$E$6:$E$90))*(1-_xlfn.XLOOKUP(_xlfn.XLOOKUP($F738,Clientes!$B$4:$B$39,Clientes!$C$4:$C$39),Cadastros!$L$6:$L$12,Cadastros!$N$6:$N$12)))</f>
        <v/>
      </c>
      <c r="P738" s="168" t="str">
        <f t="shared" si="145"/>
        <v/>
      </c>
      <c r="Q738" s="168" t="str">
        <f>IFERROR(P738/_xlfn.XLOOKUP(_xlfn.XLOOKUP($F738,Clientes!$B$4:$B$39,Clientes!$C$4:$C$39),Cadastros!$L$6:$L$12,Cadastros!$M$6:$M$12)," ")</f>
        <v xml:space="preserve"> </v>
      </c>
      <c r="R738" s="28"/>
      <c r="S738" s="28"/>
      <c r="T738" s="255" t="str">
        <f>IF(R738="","",(_xlfn.XLOOKUP(R738,Cadastros!$D$6:$D$90,Cadastros!$E$6:$E$90))*(1-_xlfn.XLOOKUP(_xlfn.XLOOKUP($F738,Clientes!$B$4:$B$39,Clientes!$C$4:$C$39),Cadastros!$L$6:$L$12,Cadastros!$N$6:$N$12)))</f>
        <v/>
      </c>
      <c r="U738" s="168" t="str">
        <f t="shared" si="146"/>
        <v/>
      </c>
      <c r="V738" s="168" t="str">
        <f>IFERROR(U738/_xlfn.XLOOKUP(_xlfn.XLOOKUP($F738,Clientes!$B$4:$B$39,Clientes!$C$4:$C$39),Cadastros!$L$6:$L$12,Cadastros!$M$6:$M$12)," ")</f>
        <v xml:space="preserve"> </v>
      </c>
      <c r="W738" s="28"/>
      <c r="X738" s="28"/>
      <c r="Y738" s="255" t="str">
        <f>IF(W738="","",(_xlfn.XLOOKUP(W738,Cadastros!$D$6:$D$90,Cadastros!$E$6:$E$90))*(1-_xlfn.XLOOKUP(_xlfn.XLOOKUP($F738,Clientes!$B$4:$B$39,Clientes!$C$4:$C$39),Cadastros!$L$6:$L$12,Cadastros!$N$6:$N$12)))</f>
        <v/>
      </c>
      <c r="Z738" s="168" t="str">
        <f t="shared" si="147"/>
        <v/>
      </c>
      <c r="AA738" s="168" t="str">
        <f>IFERROR(Z738/_xlfn.XLOOKUP(_xlfn.XLOOKUP($F738,Clientes!$B$4:$B$39,Clientes!$C$4:$C$39),Cadastros!$L$6:$L$12,Cadastros!$M$6:$M$12)," ")</f>
        <v xml:space="preserve"> </v>
      </c>
      <c r="AB738" s="28"/>
      <c r="AC738" s="28"/>
      <c r="AD738" s="20" t="str">
        <f>IF(AB738="","",IF($F738="Bernardino Furlan",_xlfn.XLOOKUP(AB738,Cadastros!$G$6:$G$90,Cadastros!$H$6:$H$90)*(1-0.18),IF($F738="Mauro José Salanti",_xlfn.XLOOKUP(AB738,Cadastros!$G$6:$G$90,Cadastros!$H$6:$H$90)*(1-0.18),_xlfn.XLOOKUP(AB738,Cadastros!$G$6:$G$90,Cadastros!$H$6:$H$90))))</f>
        <v/>
      </c>
      <c r="AE738" s="168" t="str">
        <f t="shared" si="148"/>
        <v/>
      </c>
      <c r="AF738" s="168" t="str">
        <f t="shared" si="149"/>
        <v/>
      </c>
      <c r="AG738" s="28"/>
      <c r="AH738" s="28"/>
      <c r="AI738" s="20" t="str">
        <f>IF(AG738="","",IF($F738="Bernardino Furlan",_xlfn.XLOOKUP(AG738,Cadastros!$G$6:$G$90,Cadastros!$H$6:$H$90)*(1-0.18),IF($F738="Mauro José Salanti",_xlfn.XLOOKUP(AG738,Cadastros!$G$6:$G$90,Cadastros!$H$6:$H$90)*(1-0.18),_xlfn.XLOOKUP(AG738,Cadastros!$G$6:$G$90,Cadastros!$H$6:$H$90))))</f>
        <v/>
      </c>
      <c r="AJ738" s="168" t="str">
        <f t="shared" si="150"/>
        <v/>
      </c>
      <c r="AK738" s="168" t="str">
        <f t="shared" si="151"/>
        <v/>
      </c>
      <c r="AL738" s="28"/>
      <c r="AM738" s="28"/>
      <c r="AN738" s="20" t="str">
        <f>IF(AL738="","",IF($F738="Bernardino Furlan",_xlfn.XLOOKUP(AL738,Cadastros!$G$6:$G$90,Cadastros!$H$6:$H$90)*(1-0.18),IF($F738="Mauro José Salanti",_xlfn.XLOOKUP(AL738,Cadastros!$G$6:$G$90,Cadastros!$H$6:$H$90)*(1-0.18),_xlfn.XLOOKUP(AL738,Cadastros!$G$6:$G$90,Cadastros!$H$6:$H$90))))</f>
        <v/>
      </c>
      <c r="AO738" s="168" t="str">
        <f t="shared" si="152"/>
        <v/>
      </c>
      <c r="AP738" s="168" t="str">
        <f t="shared" si="153"/>
        <v/>
      </c>
      <c r="AQ738" s="28"/>
      <c r="AR738" s="28"/>
      <c r="AS738" s="20" t="str">
        <f>IF(AQ738="","",IF($F738="Bernardino Furlan",_xlfn.XLOOKUP(AQ738,Cadastros!$G$6:$G$90,Cadastros!$H$6:$H$90)*(1-0.18),IF($F738="Mauro José Salanti",_xlfn.XLOOKUP(AQ738,Cadastros!$G$6:$G$90,Cadastros!$H$6:$H$90)*(1-0.18),_xlfn.XLOOKUP(AQ738,Cadastros!$G$6:$G$90,Cadastros!$H$6:$H$90))))</f>
        <v/>
      </c>
      <c r="AT738" s="168" t="str">
        <f t="shared" si="154"/>
        <v/>
      </c>
      <c r="AU738" s="168" t="str">
        <f t="shared" si="155"/>
        <v/>
      </c>
      <c r="AV738" s="227"/>
      <c r="AW738" s="30"/>
      <c r="AX738" s="267"/>
      <c r="AY738" s="267"/>
      <c r="AZ738" s="29"/>
      <c r="BA738" s="30"/>
      <c r="BB738" s="23" t="str" cm="1">
        <f t="array" ref="BB738">_xlfn.IFS(AW738="SIM",SUM(K738,P738,U738,Z738,AE738,AJ738,AO738,AT738,AX738,AY738),F738&lt;&gt;"",SUM(K738,P738,U738,Z738,AE738,AJ738,,AO738,AT738),F738="","")</f>
        <v/>
      </c>
      <c r="BC738" s="211" t="str" cm="1">
        <f t="array" ref="BC738">_xlfn.IFS(E738="","",G738&lt;=E738,BB738*(1-0.03),G738&lt;(E738+8),BB738,AZ738="Boleto",BB738*(1+0.001)^DATEDIF(E738,G738,"D"),AZ738="Cheque",BB738,AZ738="Dinheiro","Alterar forma pgto")</f>
        <v/>
      </c>
      <c r="BD738" s="276" t="str" cm="1">
        <f t="array" ref="BD738">IF(F738=0," ",IF(BC738&lt;BB738,(_xlfn.IFS(AW738="SIM",SUM(L738,Q738,V738,AA738,AF738,AK738,AP738,AU738)+AX738/_xlfn.XLOOKUP(_xlfn.XLOOKUP($F738,Clientes!$B$4:$B$39,Clientes!$C$4:$C$39),Cadastros!$L$6:$L$12,Cadastros!$M$6:$M$12)+IF($F738="Bernardino Furlan",AY738/2751.92,IF($F738="Mauro José Salanti",AY738/2751.92,AY738/3356)),F738&lt;&gt;0,SUM(L738,Q738,V738,AA738,AF738,AK738,AP738,AU738)))*(1-0.03),_xlfn.IFS(AW738="SIM",SUM(L738,Q738,V738,AA738,AF738,AK738,AP738,AU738)+AX738/_xlfn.XLOOKUP(_xlfn.XLOOKUP($F738,Clientes!$B$4:$B$39,Clientes!$C$4:$C$39),Cadastros!$L$6:$L$12,Cadastros!$M$6:$M$12)+IF($F738="Bernardino Furlan",AY738/2751.92,IF($F738="Mauro José Salanti",AY738/2751.92,AY738/3356)),F738&lt;&gt;0,SUM(L738,Q738,V738,AA738,AF738,AK738,AP738,AU738))))</f>
        <v xml:space="preserve"> </v>
      </c>
      <c r="BE738" s="120"/>
      <c r="BF738" s="120"/>
      <c r="BG738" s="120"/>
    </row>
    <row r="739" spans="1:59" s="3" customFormat="1" x14ac:dyDescent="0.3">
      <c r="A739" s="15" t="str">
        <f t="shared" si="143"/>
        <v/>
      </c>
      <c r="B739" s="25"/>
      <c r="C739" s="26"/>
      <c r="D739" s="279"/>
      <c r="E739" s="27"/>
      <c r="F739" s="28"/>
      <c r="G739" s="27"/>
      <c r="H739" s="28"/>
      <c r="I739" s="28"/>
      <c r="J739" s="255" t="str">
        <f>IF(H739="","",(_xlfn.XLOOKUP(H739,Cadastros!$D$6:$D$90,Cadastros!$E$6:$E$90))*(1-_xlfn.XLOOKUP(_xlfn.XLOOKUP($F739,Clientes!$B$4:$B$39,Clientes!$C$4:$C$39),Cadastros!$L$6:$L$12,Cadastros!$N$6:$N$12)))</f>
        <v/>
      </c>
      <c r="K739" s="168" t="str">
        <f t="shared" si="144"/>
        <v/>
      </c>
      <c r="L739" s="168" t="str">
        <f>IFERROR(K739/_xlfn.XLOOKUP(_xlfn.XLOOKUP($F739,Clientes!$B$4:$B$39,Clientes!$C$4:$C$39),Cadastros!$L$6:$L$12,Cadastros!$M$6:$M$12)," ")</f>
        <v xml:space="preserve"> </v>
      </c>
      <c r="M739" s="28"/>
      <c r="N739" s="28"/>
      <c r="O739" s="255" t="str">
        <f>IF(M739="","",(_xlfn.XLOOKUP(M739,Cadastros!$D$6:$D$90,Cadastros!$E$6:$E$90))*(1-_xlfn.XLOOKUP(_xlfn.XLOOKUP($F739,Clientes!$B$4:$B$39,Clientes!$C$4:$C$39),Cadastros!$L$6:$L$12,Cadastros!$N$6:$N$12)))</f>
        <v/>
      </c>
      <c r="P739" s="168" t="str">
        <f t="shared" si="145"/>
        <v/>
      </c>
      <c r="Q739" s="168" t="str">
        <f>IFERROR(P739/_xlfn.XLOOKUP(_xlfn.XLOOKUP($F739,Clientes!$B$4:$B$39,Clientes!$C$4:$C$39),Cadastros!$L$6:$L$12,Cadastros!$M$6:$M$12)," ")</f>
        <v xml:space="preserve"> </v>
      </c>
      <c r="R739" s="28"/>
      <c r="S739" s="28"/>
      <c r="T739" s="255" t="str">
        <f>IF(R739="","",(_xlfn.XLOOKUP(R739,Cadastros!$D$6:$D$90,Cadastros!$E$6:$E$90))*(1-_xlfn.XLOOKUP(_xlfn.XLOOKUP($F739,Clientes!$B$4:$B$39,Clientes!$C$4:$C$39),Cadastros!$L$6:$L$12,Cadastros!$N$6:$N$12)))</f>
        <v/>
      </c>
      <c r="U739" s="168" t="str">
        <f t="shared" si="146"/>
        <v/>
      </c>
      <c r="V739" s="168" t="str">
        <f>IFERROR(U739/_xlfn.XLOOKUP(_xlfn.XLOOKUP($F739,Clientes!$B$4:$B$39,Clientes!$C$4:$C$39),Cadastros!$L$6:$L$12,Cadastros!$M$6:$M$12)," ")</f>
        <v xml:space="preserve"> </v>
      </c>
      <c r="W739" s="28"/>
      <c r="X739" s="28"/>
      <c r="Y739" s="255" t="str">
        <f>IF(W739="","",(_xlfn.XLOOKUP(W739,Cadastros!$D$6:$D$90,Cadastros!$E$6:$E$90))*(1-_xlfn.XLOOKUP(_xlfn.XLOOKUP($F739,Clientes!$B$4:$B$39,Clientes!$C$4:$C$39),Cadastros!$L$6:$L$12,Cadastros!$N$6:$N$12)))</f>
        <v/>
      </c>
      <c r="Z739" s="168" t="str">
        <f t="shared" si="147"/>
        <v/>
      </c>
      <c r="AA739" s="168" t="str">
        <f>IFERROR(Z739/_xlfn.XLOOKUP(_xlfn.XLOOKUP($F739,Clientes!$B$4:$B$39,Clientes!$C$4:$C$39),Cadastros!$L$6:$L$12,Cadastros!$M$6:$M$12)," ")</f>
        <v xml:space="preserve"> </v>
      </c>
      <c r="AB739" s="28"/>
      <c r="AC739" s="28"/>
      <c r="AD739" s="20" t="str">
        <f>IF(AB739="","",IF($F739="Bernardino Furlan",_xlfn.XLOOKUP(AB739,Cadastros!$G$6:$G$90,Cadastros!$H$6:$H$90)*(1-0.18),IF($F739="Mauro José Salanti",_xlfn.XLOOKUP(AB739,Cadastros!$G$6:$G$90,Cadastros!$H$6:$H$90)*(1-0.18),_xlfn.XLOOKUP(AB739,Cadastros!$G$6:$G$90,Cadastros!$H$6:$H$90))))</f>
        <v/>
      </c>
      <c r="AE739" s="168" t="str">
        <f t="shared" si="148"/>
        <v/>
      </c>
      <c r="AF739" s="168" t="str">
        <f t="shared" si="149"/>
        <v/>
      </c>
      <c r="AG739" s="28"/>
      <c r="AH739" s="28"/>
      <c r="AI739" s="20" t="str">
        <f>IF(AG739="","",IF($F739="Bernardino Furlan",_xlfn.XLOOKUP(AG739,Cadastros!$G$6:$G$90,Cadastros!$H$6:$H$90)*(1-0.18),IF($F739="Mauro José Salanti",_xlfn.XLOOKUP(AG739,Cadastros!$G$6:$G$90,Cadastros!$H$6:$H$90)*(1-0.18),_xlfn.XLOOKUP(AG739,Cadastros!$G$6:$G$90,Cadastros!$H$6:$H$90))))</f>
        <v/>
      </c>
      <c r="AJ739" s="168" t="str">
        <f t="shared" si="150"/>
        <v/>
      </c>
      <c r="AK739" s="168" t="str">
        <f t="shared" si="151"/>
        <v/>
      </c>
      <c r="AL739" s="28"/>
      <c r="AM739" s="28"/>
      <c r="AN739" s="20" t="str">
        <f>IF(AL739="","",IF($F739="Bernardino Furlan",_xlfn.XLOOKUP(AL739,Cadastros!$G$6:$G$90,Cadastros!$H$6:$H$90)*(1-0.18),IF($F739="Mauro José Salanti",_xlfn.XLOOKUP(AL739,Cadastros!$G$6:$G$90,Cadastros!$H$6:$H$90)*(1-0.18),_xlfn.XLOOKUP(AL739,Cadastros!$G$6:$G$90,Cadastros!$H$6:$H$90))))</f>
        <v/>
      </c>
      <c r="AO739" s="168" t="str">
        <f t="shared" si="152"/>
        <v/>
      </c>
      <c r="AP739" s="168" t="str">
        <f t="shared" si="153"/>
        <v/>
      </c>
      <c r="AQ739" s="28"/>
      <c r="AR739" s="28"/>
      <c r="AS739" s="20" t="str">
        <f>IF(AQ739="","",IF($F739="Bernardino Furlan",_xlfn.XLOOKUP(AQ739,Cadastros!$G$6:$G$90,Cadastros!$H$6:$H$90)*(1-0.18),IF($F739="Mauro José Salanti",_xlfn.XLOOKUP(AQ739,Cadastros!$G$6:$G$90,Cadastros!$H$6:$H$90)*(1-0.18),_xlfn.XLOOKUP(AQ739,Cadastros!$G$6:$G$90,Cadastros!$H$6:$H$90))))</f>
        <v/>
      </c>
      <c r="AT739" s="168" t="str">
        <f t="shared" si="154"/>
        <v/>
      </c>
      <c r="AU739" s="168" t="str">
        <f t="shared" si="155"/>
        <v/>
      </c>
      <c r="AV739" s="227"/>
      <c r="AW739" s="30"/>
      <c r="AX739" s="267"/>
      <c r="AY739" s="267"/>
      <c r="AZ739" s="29"/>
      <c r="BA739" s="30"/>
      <c r="BB739" s="23" t="str" cm="1">
        <f t="array" ref="BB739">_xlfn.IFS(AW739="SIM",SUM(K739,P739,U739,Z739,AE739,AJ739,AO739,AT739,AX739,AY739),F739&lt;&gt;"",SUM(K739,P739,U739,Z739,AE739,AJ739,,AO739,AT739),F739="","")</f>
        <v/>
      </c>
      <c r="BC739" s="211" t="str" cm="1">
        <f t="array" ref="BC739">_xlfn.IFS(E739="","",G739&lt;=E739,BB739*(1-0.03),G739&lt;(E739+8),BB739,AZ739="Boleto",BB739*(1+0.001)^DATEDIF(E739,G739,"D"),AZ739="Cheque",BB739,AZ739="Dinheiro","Alterar forma pgto")</f>
        <v/>
      </c>
      <c r="BD739" s="276" t="str" cm="1">
        <f t="array" ref="BD739">IF(F739=0," ",IF(BC739&lt;BB739,(_xlfn.IFS(AW739="SIM",SUM(L739,Q739,V739,AA739,AF739,AK739,AP739,AU739)+AX739/_xlfn.XLOOKUP(_xlfn.XLOOKUP($F739,Clientes!$B$4:$B$39,Clientes!$C$4:$C$39),Cadastros!$L$6:$L$12,Cadastros!$M$6:$M$12)+IF($F739="Bernardino Furlan",AY739/2751.92,IF($F739="Mauro José Salanti",AY739/2751.92,AY739/3356)),F739&lt;&gt;0,SUM(L739,Q739,V739,AA739,AF739,AK739,AP739,AU739)))*(1-0.03),_xlfn.IFS(AW739="SIM",SUM(L739,Q739,V739,AA739,AF739,AK739,AP739,AU739)+AX739/_xlfn.XLOOKUP(_xlfn.XLOOKUP($F739,Clientes!$B$4:$B$39,Clientes!$C$4:$C$39),Cadastros!$L$6:$L$12,Cadastros!$M$6:$M$12)+IF($F739="Bernardino Furlan",AY739/2751.92,IF($F739="Mauro José Salanti",AY739/2751.92,AY739/3356)),F739&lt;&gt;0,SUM(L739,Q739,V739,AA739,AF739,AK739,AP739,AU739))))</f>
        <v xml:space="preserve"> </v>
      </c>
      <c r="BE739" s="120"/>
      <c r="BF739" s="120"/>
      <c r="BG739" s="120"/>
    </row>
    <row r="740" spans="1:59" s="3" customFormat="1" x14ac:dyDescent="0.3">
      <c r="A740" s="15" t="str">
        <f t="shared" si="143"/>
        <v/>
      </c>
      <c r="B740" s="25"/>
      <c r="C740" s="26"/>
      <c r="D740" s="279"/>
      <c r="E740" s="27"/>
      <c r="F740" s="28"/>
      <c r="G740" s="27"/>
      <c r="H740" s="28"/>
      <c r="I740" s="28"/>
      <c r="J740" s="255" t="str">
        <f>IF(H740="","",(_xlfn.XLOOKUP(H740,Cadastros!$D$6:$D$90,Cadastros!$E$6:$E$90))*(1-_xlfn.XLOOKUP(_xlfn.XLOOKUP($F740,Clientes!$B$4:$B$39,Clientes!$C$4:$C$39),Cadastros!$L$6:$L$12,Cadastros!$N$6:$N$12)))</f>
        <v/>
      </c>
      <c r="K740" s="168" t="str">
        <f t="shared" si="144"/>
        <v/>
      </c>
      <c r="L740" s="168" t="str">
        <f>IFERROR(K740/_xlfn.XLOOKUP(_xlfn.XLOOKUP($F740,Clientes!$B$4:$B$39,Clientes!$C$4:$C$39),Cadastros!$L$6:$L$12,Cadastros!$M$6:$M$12)," ")</f>
        <v xml:space="preserve"> </v>
      </c>
      <c r="M740" s="28"/>
      <c r="N740" s="28"/>
      <c r="O740" s="255" t="str">
        <f>IF(M740="","",(_xlfn.XLOOKUP(M740,Cadastros!$D$6:$D$90,Cadastros!$E$6:$E$90))*(1-_xlfn.XLOOKUP(_xlfn.XLOOKUP($F740,Clientes!$B$4:$B$39,Clientes!$C$4:$C$39),Cadastros!$L$6:$L$12,Cadastros!$N$6:$N$12)))</f>
        <v/>
      </c>
      <c r="P740" s="168" t="str">
        <f t="shared" si="145"/>
        <v/>
      </c>
      <c r="Q740" s="168" t="str">
        <f>IFERROR(P740/_xlfn.XLOOKUP(_xlfn.XLOOKUP($F740,Clientes!$B$4:$B$39,Clientes!$C$4:$C$39),Cadastros!$L$6:$L$12,Cadastros!$M$6:$M$12)," ")</f>
        <v xml:space="preserve"> </v>
      </c>
      <c r="R740" s="28"/>
      <c r="S740" s="28"/>
      <c r="T740" s="255" t="str">
        <f>IF(R740="","",(_xlfn.XLOOKUP(R740,Cadastros!$D$6:$D$90,Cadastros!$E$6:$E$90))*(1-_xlfn.XLOOKUP(_xlfn.XLOOKUP($F740,Clientes!$B$4:$B$39,Clientes!$C$4:$C$39),Cadastros!$L$6:$L$12,Cadastros!$N$6:$N$12)))</f>
        <v/>
      </c>
      <c r="U740" s="168" t="str">
        <f t="shared" si="146"/>
        <v/>
      </c>
      <c r="V740" s="168" t="str">
        <f>IFERROR(U740/_xlfn.XLOOKUP(_xlfn.XLOOKUP($F740,Clientes!$B$4:$B$39,Clientes!$C$4:$C$39),Cadastros!$L$6:$L$12,Cadastros!$M$6:$M$12)," ")</f>
        <v xml:space="preserve"> </v>
      </c>
      <c r="W740" s="28"/>
      <c r="X740" s="28"/>
      <c r="Y740" s="255" t="str">
        <f>IF(W740="","",(_xlfn.XLOOKUP(W740,Cadastros!$D$6:$D$90,Cadastros!$E$6:$E$90))*(1-_xlfn.XLOOKUP(_xlfn.XLOOKUP($F740,Clientes!$B$4:$B$39,Clientes!$C$4:$C$39),Cadastros!$L$6:$L$12,Cadastros!$N$6:$N$12)))</f>
        <v/>
      </c>
      <c r="Z740" s="168" t="str">
        <f t="shared" si="147"/>
        <v/>
      </c>
      <c r="AA740" s="168" t="str">
        <f>IFERROR(Z740/_xlfn.XLOOKUP(_xlfn.XLOOKUP($F740,Clientes!$B$4:$B$39,Clientes!$C$4:$C$39),Cadastros!$L$6:$L$12,Cadastros!$M$6:$M$12)," ")</f>
        <v xml:space="preserve"> </v>
      </c>
      <c r="AB740" s="28"/>
      <c r="AC740" s="28"/>
      <c r="AD740" s="20" t="str">
        <f>IF(AB740="","",IF($F740="Bernardino Furlan",_xlfn.XLOOKUP(AB740,Cadastros!$G$6:$G$90,Cadastros!$H$6:$H$90)*(1-0.18),IF($F740="Mauro José Salanti",_xlfn.XLOOKUP(AB740,Cadastros!$G$6:$G$90,Cadastros!$H$6:$H$90)*(1-0.18),_xlfn.XLOOKUP(AB740,Cadastros!$G$6:$G$90,Cadastros!$H$6:$H$90))))</f>
        <v/>
      </c>
      <c r="AE740" s="168" t="str">
        <f t="shared" si="148"/>
        <v/>
      </c>
      <c r="AF740" s="168" t="str">
        <f t="shared" si="149"/>
        <v/>
      </c>
      <c r="AG740" s="28"/>
      <c r="AH740" s="28"/>
      <c r="AI740" s="20" t="str">
        <f>IF(AG740="","",IF($F740="Bernardino Furlan",_xlfn.XLOOKUP(AG740,Cadastros!$G$6:$G$90,Cadastros!$H$6:$H$90)*(1-0.18),IF($F740="Mauro José Salanti",_xlfn.XLOOKUP(AG740,Cadastros!$G$6:$G$90,Cadastros!$H$6:$H$90)*(1-0.18),_xlfn.XLOOKUP(AG740,Cadastros!$G$6:$G$90,Cadastros!$H$6:$H$90))))</f>
        <v/>
      </c>
      <c r="AJ740" s="168" t="str">
        <f t="shared" si="150"/>
        <v/>
      </c>
      <c r="AK740" s="168" t="str">
        <f t="shared" si="151"/>
        <v/>
      </c>
      <c r="AL740" s="28"/>
      <c r="AM740" s="28"/>
      <c r="AN740" s="20" t="str">
        <f>IF(AL740="","",IF($F740="Bernardino Furlan",_xlfn.XLOOKUP(AL740,Cadastros!$G$6:$G$90,Cadastros!$H$6:$H$90)*(1-0.18),IF($F740="Mauro José Salanti",_xlfn.XLOOKUP(AL740,Cadastros!$G$6:$G$90,Cadastros!$H$6:$H$90)*(1-0.18),_xlfn.XLOOKUP(AL740,Cadastros!$G$6:$G$90,Cadastros!$H$6:$H$90))))</f>
        <v/>
      </c>
      <c r="AO740" s="168" t="str">
        <f t="shared" si="152"/>
        <v/>
      </c>
      <c r="AP740" s="168" t="str">
        <f t="shared" si="153"/>
        <v/>
      </c>
      <c r="AQ740" s="28"/>
      <c r="AR740" s="28"/>
      <c r="AS740" s="20" t="str">
        <f>IF(AQ740="","",IF($F740="Bernardino Furlan",_xlfn.XLOOKUP(AQ740,Cadastros!$G$6:$G$90,Cadastros!$H$6:$H$90)*(1-0.18),IF($F740="Mauro José Salanti",_xlfn.XLOOKUP(AQ740,Cadastros!$G$6:$G$90,Cadastros!$H$6:$H$90)*(1-0.18),_xlfn.XLOOKUP(AQ740,Cadastros!$G$6:$G$90,Cadastros!$H$6:$H$90))))</f>
        <v/>
      </c>
      <c r="AT740" s="168" t="str">
        <f t="shared" si="154"/>
        <v/>
      </c>
      <c r="AU740" s="168" t="str">
        <f t="shared" si="155"/>
        <v/>
      </c>
      <c r="AV740" s="227"/>
      <c r="AW740" s="30"/>
      <c r="AX740" s="267"/>
      <c r="AY740" s="267"/>
      <c r="AZ740" s="29"/>
      <c r="BA740" s="30"/>
      <c r="BB740" s="23" t="str" cm="1">
        <f t="array" ref="BB740">_xlfn.IFS(AW740="SIM",SUM(K740,P740,U740,Z740,AE740,AJ740,AO740,AT740,AX740,AY740),F740&lt;&gt;"",SUM(K740,P740,U740,Z740,AE740,AJ740,,AO740,AT740),F740="","")</f>
        <v/>
      </c>
      <c r="BC740" s="211" t="str" cm="1">
        <f t="array" ref="BC740">_xlfn.IFS(E740="","",G740&lt;=E740,BB740*(1-0.03),G740&lt;(E740+8),BB740,AZ740="Boleto",BB740*(1+0.001)^DATEDIF(E740,G740,"D"),AZ740="Cheque",BB740,AZ740="Dinheiro","Alterar forma pgto")</f>
        <v/>
      </c>
      <c r="BD740" s="276" t="str" cm="1">
        <f t="array" ref="BD740">IF(F740=0," ",IF(BC740&lt;BB740,(_xlfn.IFS(AW740="SIM",SUM(L740,Q740,V740,AA740,AF740,AK740,AP740,AU740)+AX740/_xlfn.XLOOKUP(_xlfn.XLOOKUP($F740,Clientes!$B$4:$B$39,Clientes!$C$4:$C$39),Cadastros!$L$6:$L$12,Cadastros!$M$6:$M$12)+IF($F740="Bernardino Furlan",AY740/2751.92,IF($F740="Mauro José Salanti",AY740/2751.92,AY740/3356)),F740&lt;&gt;0,SUM(L740,Q740,V740,AA740,AF740,AK740,AP740,AU740)))*(1-0.03),_xlfn.IFS(AW740="SIM",SUM(L740,Q740,V740,AA740,AF740,AK740,AP740,AU740)+AX740/_xlfn.XLOOKUP(_xlfn.XLOOKUP($F740,Clientes!$B$4:$B$39,Clientes!$C$4:$C$39),Cadastros!$L$6:$L$12,Cadastros!$M$6:$M$12)+IF($F740="Bernardino Furlan",AY740/2751.92,IF($F740="Mauro José Salanti",AY740/2751.92,AY740/3356)),F740&lt;&gt;0,SUM(L740,Q740,V740,AA740,AF740,AK740,AP740,AU740))))</f>
        <v xml:space="preserve"> </v>
      </c>
      <c r="BE740" s="120"/>
      <c r="BF740" s="120"/>
      <c r="BG740" s="120"/>
    </row>
    <row r="741" spans="1:59" s="3" customFormat="1" x14ac:dyDescent="0.3">
      <c r="A741" s="15" t="str">
        <f t="shared" si="143"/>
        <v/>
      </c>
      <c r="B741" s="25"/>
      <c r="C741" s="26"/>
      <c r="D741" s="279"/>
      <c r="E741" s="27"/>
      <c r="F741" s="28"/>
      <c r="G741" s="27"/>
      <c r="H741" s="28"/>
      <c r="I741" s="28"/>
      <c r="J741" s="255" t="str">
        <f>IF(H741="","",(_xlfn.XLOOKUP(H741,Cadastros!$D$6:$D$90,Cadastros!$E$6:$E$90))*(1-_xlfn.XLOOKUP(_xlfn.XLOOKUP($F741,Clientes!$B$4:$B$39,Clientes!$C$4:$C$39),Cadastros!$L$6:$L$12,Cadastros!$N$6:$N$12)))</f>
        <v/>
      </c>
      <c r="K741" s="168" t="str">
        <f t="shared" si="144"/>
        <v/>
      </c>
      <c r="L741" s="168" t="str">
        <f>IFERROR(K741/_xlfn.XLOOKUP(_xlfn.XLOOKUP($F741,Clientes!$B$4:$B$39,Clientes!$C$4:$C$39),Cadastros!$L$6:$L$12,Cadastros!$M$6:$M$12)," ")</f>
        <v xml:space="preserve"> </v>
      </c>
      <c r="M741" s="28"/>
      <c r="N741" s="28"/>
      <c r="O741" s="255" t="str">
        <f>IF(M741="","",(_xlfn.XLOOKUP(M741,Cadastros!$D$6:$D$90,Cadastros!$E$6:$E$90))*(1-_xlfn.XLOOKUP(_xlfn.XLOOKUP($F741,Clientes!$B$4:$B$39,Clientes!$C$4:$C$39),Cadastros!$L$6:$L$12,Cadastros!$N$6:$N$12)))</f>
        <v/>
      </c>
      <c r="P741" s="168" t="str">
        <f t="shared" si="145"/>
        <v/>
      </c>
      <c r="Q741" s="168" t="str">
        <f>IFERROR(P741/_xlfn.XLOOKUP(_xlfn.XLOOKUP($F741,Clientes!$B$4:$B$39,Clientes!$C$4:$C$39),Cadastros!$L$6:$L$12,Cadastros!$M$6:$M$12)," ")</f>
        <v xml:space="preserve"> </v>
      </c>
      <c r="R741" s="28"/>
      <c r="S741" s="28"/>
      <c r="T741" s="255" t="str">
        <f>IF(R741="","",(_xlfn.XLOOKUP(R741,Cadastros!$D$6:$D$90,Cadastros!$E$6:$E$90))*(1-_xlfn.XLOOKUP(_xlfn.XLOOKUP($F741,Clientes!$B$4:$B$39,Clientes!$C$4:$C$39),Cadastros!$L$6:$L$12,Cadastros!$N$6:$N$12)))</f>
        <v/>
      </c>
      <c r="U741" s="168" t="str">
        <f t="shared" si="146"/>
        <v/>
      </c>
      <c r="V741" s="168" t="str">
        <f>IFERROR(U741/_xlfn.XLOOKUP(_xlfn.XLOOKUP($F741,Clientes!$B$4:$B$39,Clientes!$C$4:$C$39),Cadastros!$L$6:$L$12,Cadastros!$M$6:$M$12)," ")</f>
        <v xml:space="preserve"> </v>
      </c>
      <c r="W741" s="28"/>
      <c r="X741" s="28"/>
      <c r="Y741" s="255" t="str">
        <f>IF(W741="","",(_xlfn.XLOOKUP(W741,Cadastros!$D$6:$D$90,Cadastros!$E$6:$E$90))*(1-_xlfn.XLOOKUP(_xlfn.XLOOKUP($F741,Clientes!$B$4:$B$39,Clientes!$C$4:$C$39),Cadastros!$L$6:$L$12,Cadastros!$N$6:$N$12)))</f>
        <v/>
      </c>
      <c r="Z741" s="168" t="str">
        <f t="shared" si="147"/>
        <v/>
      </c>
      <c r="AA741" s="168" t="str">
        <f>IFERROR(Z741/_xlfn.XLOOKUP(_xlfn.XLOOKUP($F741,Clientes!$B$4:$B$39,Clientes!$C$4:$C$39),Cadastros!$L$6:$L$12,Cadastros!$M$6:$M$12)," ")</f>
        <v xml:space="preserve"> </v>
      </c>
      <c r="AB741" s="28"/>
      <c r="AC741" s="28"/>
      <c r="AD741" s="20" t="str">
        <f>IF(AB741="","",IF($F741="Bernardino Furlan",_xlfn.XLOOKUP(AB741,Cadastros!$G$6:$G$90,Cadastros!$H$6:$H$90)*(1-0.18),IF($F741="Mauro José Salanti",_xlfn.XLOOKUP(AB741,Cadastros!$G$6:$G$90,Cadastros!$H$6:$H$90)*(1-0.18),_xlfn.XLOOKUP(AB741,Cadastros!$G$6:$G$90,Cadastros!$H$6:$H$90))))</f>
        <v/>
      </c>
      <c r="AE741" s="168" t="str">
        <f t="shared" si="148"/>
        <v/>
      </c>
      <c r="AF741" s="168" t="str">
        <f t="shared" si="149"/>
        <v/>
      </c>
      <c r="AG741" s="28"/>
      <c r="AH741" s="28"/>
      <c r="AI741" s="20" t="str">
        <f>IF(AG741="","",IF($F741="Bernardino Furlan",_xlfn.XLOOKUP(AG741,Cadastros!$G$6:$G$90,Cadastros!$H$6:$H$90)*(1-0.18),IF($F741="Mauro José Salanti",_xlfn.XLOOKUP(AG741,Cadastros!$G$6:$G$90,Cadastros!$H$6:$H$90)*(1-0.18),_xlfn.XLOOKUP(AG741,Cadastros!$G$6:$G$90,Cadastros!$H$6:$H$90))))</f>
        <v/>
      </c>
      <c r="AJ741" s="168" t="str">
        <f t="shared" si="150"/>
        <v/>
      </c>
      <c r="AK741" s="168" t="str">
        <f t="shared" si="151"/>
        <v/>
      </c>
      <c r="AL741" s="28"/>
      <c r="AM741" s="28"/>
      <c r="AN741" s="20" t="str">
        <f>IF(AL741="","",IF($F741="Bernardino Furlan",_xlfn.XLOOKUP(AL741,Cadastros!$G$6:$G$90,Cadastros!$H$6:$H$90)*(1-0.18),IF($F741="Mauro José Salanti",_xlfn.XLOOKUP(AL741,Cadastros!$G$6:$G$90,Cadastros!$H$6:$H$90)*(1-0.18),_xlfn.XLOOKUP(AL741,Cadastros!$G$6:$G$90,Cadastros!$H$6:$H$90))))</f>
        <v/>
      </c>
      <c r="AO741" s="168" t="str">
        <f t="shared" si="152"/>
        <v/>
      </c>
      <c r="AP741" s="168" t="str">
        <f t="shared" si="153"/>
        <v/>
      </c>
      <c r="AQ741" s="28"/>
      <c r="AR741" s="28"/>
      <c r="AS741" s="20" t="str">
        <f>IF(AQ741="","",IF($F741="Bernardino Furlan",_xlfn.XLOOKUP(AQ741,Cadastros!$G$6:$G$90,Cadastros!$H$6:$H$90)*(1-0.18),IF($F741="Mauro José Salanti",_xlfn.XLOOKUP(AQ741,Cadastros!$G$6:$G$90,Cadastros!$H$6:$H$90)*(1-0.18),_xlfn.XLOOKUP(AQ741,Cadastros!$G$6:$G$90,Cadastros!$H$6:$H$90))))</f>
        <v/>
      </c>
      <c r="AT741" s="168" t="str">
        <f t="shared" si="154"/>
        <v/>
      </c>
      <c r="AU741" s="168" t="str">
        <f t="shared" si="155"/>
        <v/>
      </c>
      <c r="AV741" s="227"/>
      <c r="AW741" s="30"/>
      <c r="AX741" s="267"/>
      <c r="AY741" s="267"/>
      <c r="AZ741" s="29"/>
      <c r="BA741" s="30"/>
      <c r="BB741" s="23" t="str" cm="1">
        <f t="array" ref="BB741">_xlfn.IFS(AW741="SIM",SUM(K741,P741,U741,Z741,AE741,AJ741,AO741,AT741,AX741,AY741),F741&lt;&gt;"",SUM(K741,P741,U741,Z741,AE741,AJ741,,AO741,AT741),F741="","")</f>
        <v/>
      </c>
      <c r="BC741" s="211" t="str" cm="1">
        <f t="array" ref="BC741">_xlfn.IFS(E741="","",G741&lt;=E741,BB741*(1-0.03),G741&lt;(E741+8),BB741,AZ741="Boleto",BB741*(1+0.001)^DATEDIF(E741,G741,"D"),AZ741="Cheque",BB741,AZ741="Dinheiro","Alterar forma pgto")</f>
        <v/>
      </c>
      <c r="BD741" s="276" t="str" cm="1">
        <f t="array" ref="BD741">IF(F741=0," ",IF(BC741&lt;BB741,(_xlfn.IFS(AW741="SIM",SUM(L741,Q741,V741,AA741,AF741,AK741,AP741,AU741)+AX741/_xlfn.XLOOKUP(_xlfn.XLOOKUP($F741,Clientes!$B$4:$B$39,Clientes!$C$4:$C$39),Cadastros!$L$6:$L$12,Cadastros!$M$6:$M$12)+IF($F741="Bernardino Furlan",AY741/2751.92,IF($F741="Mauro José Salanti",AY741/2751.92,AY741/3356)),F741&lt;&gt;0,SUM(L741,Q741,V741,AA741,AF741,AK741,AP741,AU741)))*(1-0.03),_xlfn.IFS(AW741="SIM",SUM(L741,Q741,V741,AA741,AF741,AK741,AP741,AU741)+AX741/_xlfn.XLOOKUP(_xlfn.XLOOKUP($F741,Clientes!$B$4:$B$39,Clientes!$C$4:$C$39),Cadastros!$L$6:$L$12,Cadastros!$M$6:$M$12)+IF($F741="Bernardino Furlan",AY741/2751.92,IF($F741="Mauro José Salanti",AY741/2751.92,AY741/3356)),F741&lt;&gt;0,SUM(L741,Q741,V741,AA741,AF741,AK741,AP741,AU741))))</f>
        <v xml:space="preserve"> </v>
      </c>
      <c r="BE741" s="120"/>
      <c r="BF741" s="120"/>
      <c r="BG741" s="120"/>
    </row>
    <row r="742" spans="1:59" s="3" customFormat="1" x14ac:dyDescent="0.3">
      <c r="A742" s="15" t="str">
        <f t="shared" si="143"/>
        <v/>
      </c>
      <c r="B742" s="25"/>
      <c r="C742" s="26"/>
      <c r="D742" s="279"/>
      <c r="E742" s="27"/>
      <c r="F742" s="28"/>
      <c r="G742" s="27"/>
      <c r="H742" s="28"/>
      <c r="I742" s="28"/>
      <c r="J742" s="255" t="str">
        <f>IF(H742="","",(_xlfn.XLOOKUP(H742,Cadastros!$D$6:$D$90,Cadastros!$E$6:$E$90))*(1-_xlfn.XLOOKUP(_xlfn.XLOOKUP($F742,Clientes!$B$4:$B$39,Clientes!$C$4:$C$39),Cadastros!$L$6:$L$12,Cadastros!$N$6:$N$12)))</f>
        <v/>
      </c>
      <c r="K742" s="168" t="str">
        <f t="shared" si="144"/>
        <v/>
      </c>
      <c r="L742" s="168" t="str">
        <f>IFERROR(K742/_xlfn.XLOOKUP(_xlfn.XLOOKUP($F742,Clientes!$B$4:$B$39,Clientes!$C$4:$C$39),Cadastros!$L$6:$L$12,Cadastros!$M$6:$M$12)," ")</f>
        <v xml:space="preserve"> </v>
      </c>
      <c r="M742" s="28"/>
      <c r="N742" s="28"/>
      <c r="O742" s="255" t="str">
        <f>IF(M742="","",(_xlfn.XLOOKUP(M742,Cadastros!$D$6:$D$90,Cadastros!$E$6:$E$90))*(1-_xlfn.XLOOKUP(_xlfn.XLOOKUP($F742,Clientes!$B$4:$B$39,Clientes!$C$4:$C$39),Cadastros!$L$6:$L$12,Cadastros!$N$6:$N$12)))</f>
        <v/>
      </c>
      <c r="P742" s="168" t="str">
        <f t="shared" si="145"/>
        <v/>
      </c>
      <c r="Q742" s="168" t="str">
        <f>IFERROR(P742/_xlfn.XLOOKUP(_xlfn.XLOOKUP($F742,Clientes!$B$4:$B$39,Clientes!$C$4:$C$39),Cadastros!$L$6:$L$12,Cadastros!$M$6:$M$12)," ")</f>
        <v xml:space="preserve"> </v>
      </c>
      <c r="R742" s="28"/>
      <c r="S742" s="28"/>
      <c r="T742" s="255" t="str">
        <f>IF(R742="","",(_xlfn.XLOOKUP(R742,Cadastros!$D$6:$D$90,Cadastros!$E$6:$E$90))*(1-_xlfn.XLOOKUP(_xlfn.XLOOKUP($F742,Clientes!$B$4:$B$39,Clientes!$C$4:$C$39),Cadastros!$L$6:$L$12,Cadastros!$N$6:$N$12)))</f>
        <v/>
      </c>
      <c r="U742" s="168" t="str">
        <f t="shared" si="146"/>
        <v/>
      </c>
      <c r="V742" s="168" t="str">
        <f>IFERROR(U742/_xlfn.XLOOKUP(_xlfn.XLOOKUP($F742,Clientes!$B$4:$B$39,Clientes!$C$4:$C$39),Cadastros!$L$6:$L$12,Cadastros!$M$6:$M$12)," ")</f>
        <v xml:space="preserve"> </v>
      </c>
      <c r="W742" s="28"/>
      <c r="X742" s="28"/>
      <c r="Y742" s="255" t="str">
        <f>IF(W742="","",(_xlfn.XLOOKUP(W742,Cadastros!$D$6:$D$90,Cadastros!$E$6:$E$90))*(1-_xlfn.XLOOKUP(_xlfn.XLOOKUP($F742,Clientes!$B$4:$B$39,Clientes!$C$4:$C$39),Cadastros!$L$6:$L$12,Cadastros!$N$6:$N$12)))</f>
        <v/>
      </c>
      <c r="Z742" s="168" t="str">
        <f t="shared" si="147"/>
        <v/>
      </c>
      <c r="AA742" s="168" t="str">
        <f>IFERROR(Z742/_xlfn.XLOOKUP(_xlfn.XLOOKUP($F742,Clientes!$B$4:$B$39,Clientes!$C$4:$C$39),Cadastros!$L$6:$L$12,Cadastros!$M$6:$M$12)," ")</f>
        <v xml:space="preserve"> </v>
      </c>
      <c r="AB742" s="28"/>
      <c r="AC742" s="28"/>
      <c r="AD742" s="20" t="str">
        <f>IF(AB742="","",IF($F742="Bernardino Furlan",_xlfn.XLOOKUP(AB742,Cadastros!$G$6:$G$90,Cadastros!$H$6:$H$90)*(1-0.18),IF($F742="Mauro José Salanti",_xlfn.XLOOKUP(AB742,Cadastros!$G$6:$G$90,Cadastros!$H$6:$H$90)*(1-0.18),_xlfn.XLOOKUP(AB742,Cadastros!$G$6:$G$90,Cadastros!$H$6:$H$90))))</f>
        <v/>
      </c>
      <c r="AE742" s="168" t="str">
        <f t="shared" si="148"/>
        <v/>
      </c>
      <c r="AF742" s="168" t="str">
        <f t="shared" si="149"/>
        <v/>
      </c>
      <c r="AG742" s="28"/>
      <c r="AH742" s="28"/>
      <c r="AI742" s="20" t="str">
        <f>IF(AG742="","",IF($F742="Bernardino Furlan",_xlfn.XLOOKUP(AG742,Cadastros!$G$6:$G$90,Cadastros!$H$6:$H$90)*(1-0.18),IF($F742="Mauro José Salanti",_xlfn.XLOOKUP(AG742,Cadastros!$G$6:$G$90,Cadastros!$H$6:$H$90)*(1-0.18),_xlfn.XLOOKUP(AG742,Cadastros!$G$6:$G$90,Cadastros!$H$6:$H$90))))</f>
        <v/>
      </c>
      <c r="AJ742" s="168" t="str">
        <f t="shared" si="150"/>
        <v/>
      </c>
      <c r="AK742" s="168" t="str">
        <f t="shared" si="151"/>
        <v/>
      </c>
      <c r="AL742" s="28"/>
      <c r="AM742" s="28"/>
      <c r="AN742" s="20" t="str">
        <f>IF(AL742="","",IF($F742="Bernardino Furlan",_xlfn.XLOOKUP(AL742,Cadastros!$G$6:$G$90,Cadastros!$H$6:$H$90)*(1-0.18),IF($F742="Mauro José Salanti",_xlfn.XLOOKUP(AL742,Cadastros!$G$6:$G$90,Cadastros!$H$6:$H$90)*(1-0.18),_xlfn.XLOOKUP(AL742,Cadastros!$G$6:$G$90,Cadastros!$H$6:$H$90))))</f>
        <v/>
      </c>
      <c r="AO742" s="168" t="str">
        <f t="shared" si="152"/>
        <v/>
      </c>
      <c r="AP742" s="168" t="str">
        <f t="shared" si="153"/>
        <v/>
      </c>
      <c r="AQ742" s="28"/>
      <c r="AR742" s="28"/>
      <c r="AS742" s="20" t="str">
        <f>IF(AQ742="","",IF($F742="Bernardino Furlan",_xlfn.XLOOKUP(AQ742,Cadastros!$G$6:$G$90,Cadastros!$H$6:$H$90)*(1-0.18),IF($F742="Mauro José Salanti",_xlfn.XLOOKUP(AQ742,Cadastros!$G$6:$G$90,Cadastros!$H$6:$H$90)*(1-0.18),_xlfn.XLOOKUP(AQ742,Cadastros!$G$6:$G$90,Cadastros!$H$6:$H$90))))</f>
        <v/>
      </c>
      <c r="AT742" s="168" t="str">
        <f t="shared" si="154"/>
        <v/>
      </c>
      <c r="AU742" s="168" t="str">
        <f t="shared" si="155"/>
        <v/>
      </c>
      <c r="AV742" s="227"/>
      <c r="AW742" s="30"/>
      <c r="AX742" s="267"/>
      <c r="AY742" s="267"/>
      <c r="AZ742" s="29"/>
      <c r="BA742" s="30"/>
      <c r="BB742" s="23" t="str" cm="1">
        <f t="array" ref="BB742">_xlfn.IFS(AW742="SIM",SUM(K742,P742,U742,Z742,AE742,AJ742,AO742,AT742,AX742,AY742),F742&lt;&gt;"",SUM(K742,P742,U742,Z742,AE742,AJ742,,AO742,AT742),F742="","")</f>
        <v/>
      </c>
      <c r="BC742" s="211" t="str" cm="1">
        <f t="array" ref="BC742">_xlfn.IFS(E742="","",G742&lt;=E742,BB742*(1-0.03),G742&lt;(E742+8),BB742,AZ742="Boleto",BB742*(1+0.001)^DATEDIF(E742,G742,"D"),AZ742="Cheque",BB742,AZ742="Dinheiro","Alterar forma pgto")</f>
        <v/>
      </c>
      <c r="BD742" s="276" t="str" cm="1">
        <f t="array" ref="BD742">IF(F742=0," ",IF(BC742&lt;BB742,(_xlfn.IFS(AW742="SIM",SUM(L742,Q742,V742,AA742,AF742,AK742,AP742,AU742)+AX742/_xlfn.XLOOKUP(_xlfn.XLOOKUP($F742,Clientes!$B$4:$B$39,Clientes!$C$4:$C$39),Cadastros!$L$6:$L$12,Cadastros!$M$6:$M$12)+IF($F742="Bernardino Furlan",AY742/2751.92,IF($F742="Mauro José Salanti",AY742/2751.92,AY742/3356)),F742&lt;&gt;0,SUM(L742,Q742,V742,AA742,AF742,AK742,AP742,AU742)))*(1-0.03),_xlfn.IFS(AW742="SIM",SUM(L742,Q742,V742,AA742,AF742,AK742,AP742,AU742)+AX742/_xlfn.XLOOKUP(_xlfn.XLOOKUP($F742,Clientes!$B$4:$B$39,Clientes!$C$4:$C$39),Cadastros!$L$6:$L$12,Cadastros!$M$6:$M$12)+IF($F742="Bernardino Furlan",AY742/2751.92,IF($F742="Mauro José Salanti",AY742/2751.92,AY742/3356)),F742&lt;&gt;0,SUM(L742,Q742,V742,AA742,AF742,AK742,AP742,AU742))))</f>
        <v xml:space="preserve"> </v>
      </c>
      <c r="BE742" s="120"/>
      <c r="BF742" s="120"/>
      <c r="BG742" s="120"/>
    </row>
    <row r="743" spans="1:59" s="3" customFormat="1" x14ac:dyDescent="0.3">
      <c r="A743" s="15" t="str">
        <f t="shared" si="143"/>
        <v/>
      </c>
      <c r="B743" s="25"/>
      <c r="C743" s="26"/>
      <c r="D743" s="279"/>
      <c r="E743" s="27"/>
      <c r="F743" s="28"/>
      <c r="G743" s="27"/>
      <c r="H743" s="28"/>
      <c r="I743" s="28"/>
      <c r="J743" s="255" t="str">
        <f>IF(H743="","",(_xlfn.XLOOKUP(H743,Cadastros!$D$6:$D$90,Cadastros!$E$6:$E$90))*(1-_xlfn.XLOOKUP(_xlfn.XLOOKUP($F743,Clientes!$B$4:$B$39,Clientes!$C$4:$C$39),Cadastros!$L$6:$L$12,Cadastros!$N$6:$N$12)))</f>
        <v/>
      </c>
      <c r="K743" s="168" t="str">
        <f t="shared" si="144"/>
        <v/>
      </c>
      <c r="L743" s="168" t="str">
        <f>IFERROR(K743/_xlfn.XLOOKUP(_xlfn.XLOOKUP($F743,Clientes!$B$4:$B$39,Clientes!$C$4:$C$39),Cadastros!$L$6:$L$12,Cadastros!$M$6:$M$12)," ")</f>
        <v xml:space="preserve"> </v>
      </c>
      <c r="M743" s="28"/>
      <c r="N743" s="28"/>
      <c r="O743" s="255" t="str">
        <f>IF(M743="","",(_xlfn.XLOOKUP(M743,Cadastros!$D$6:$D$90,Cadastros!$E$6:$E$90))*(1-_xlfn.XLOOKUP(_xlfn.XLOOKUP($F743,Clientes!$B$4:$B$39,Clientes!$C$4:$C$39),Cadastros!$L$6:$L$12,Cadastros!$N$6:$N$12)))</f>
        <v/>
      </c>
      <c r="P743" s="168" t="str">
        <f t="shared" si="145"/>
        <v/>
      </c>
      <c r="Q743" s="168" t="str">
        <f>IFERROR(P743/_xlfn.XLOOKUP(_xlfn.XLOOKUP($F743,Clientes!$B$4:$B$39,Clientes!$C$4:$C$39),Cadastros!$L$6:$L$12,Cadastros!$M$6:$M$12)," ")</f>
        <v xml:space="preserve"> </v>
      </c>
      <c r="R743" s="28"/>
      <c r="S743" s="28"/>
      <c r="T743" s="255" t="str">
        <f>IF(R743="","",(_xlfn.XLOOKUP(R743,Cadastros!$D$6:$D$90,Cadastros!$E$6:$E$90))*(1-_xlfn.XLOOKUP(_xlfn.XLOOKUP($F743,Clientes!$B$4:$B$39,Clientes!$C$4:$C$39),Cadastros!$L$6:$L$12,Cadastros!$N$6:$N$12)))</f>
        <v/>
      </c>
      <c r="U743" s="168" t="str">
        <f t="shared" si="146"/>
        <v/>
      </c>
      <c r="V743" s="168" t="str">
        <f>IFERROR(U743/_xlfn.XLOOKUP(_xlfn.XLOOKUP($F743,Clientes!$B$4:$B$39,Clientes!$C$4:$C$39),Cadastros!$L$6:$L$12,Cadastros!$M$6:$M$12)," ")</f>
        <v xml:space="preserve"> </v>
      </c>
      <c r="W743" s="28"/>
      <c r="X743" s="28"/>
      <c r="Y743" s="255" t="str">
        <f>IF(W743="","",(_xlfn.XLOOKUP(W743,Cadastros!$D$6:$D$90,Cadastros!$E$6:$E$90))*(1-_xlfn.XLOOKUP(_xlfn.XLOOKUP($F743,Clientes!$B$4:$B$39,Clientes!$C$4:$C$39),Cadastros!$L$6:$L$12,Cadastros!$N$6:$N$12)))</f>
        <v/>
      </c>
      <c r="Z743" s="168" t="str">
        <f t="shared" si="147"/>
        <v/>
      </c>
      <c r="AA743" s="168" t="str">
        <f>IFERROR(Z743/_xlfn.XLOOKUP(_xlfn.XLOOKUP($F743,Clientes!$B$4:$B$39,Clientes!$C$4:$C$39),Cadastros!$L$6:$L$12,Cadastros!$M$6:$M$12)," ")</f>
        <v xml:space="preserve"> </v>
      </c>
      <c r="AB743" s="28"/>
      <c r="AC743" s="28"/>
      <c r="AD743" s="20" t="str">
        <f>IF(AB743="","",IF($F743="Bernardino Furlan",_xlfn.XLOOKUP(AB743,Cadastros!$G$6:$G$90,Cadastros!$H$6:$H$90)*(1-0.18),IF($F743="Mauro José Salanti",_xlfn.XLOOKUP(AB743,Cadastros!$G$6:$G$90,Cadastros!$H$6:$H$90)*(1-0.18),_xlfn.XLOOKUP(AB743,Cadastros!$G$6:$G$90,Cadastros!$H$6:$H$90))))</f>
        <v/>
      </c>
      <c r="AE743" s="168" t="str">
        <f t="shared" si="148"/>
        <v/>
      </c>
      <c r="AF743" s="168" t="str">
        <f t="shared" si="149"/>
        <v/>
      </c>
      <c r="AG743" s="28"/>
      <c r="AH743" s="28"/>
      <c r="AI743" s="20" t="str">
        <f>IF(AG743="","",IF($F743="Bernardino Furlan",_xlfn.XLOOKUP(AG743,Cadastros!$G$6:$G$90,Cadastros!$H$6:$H$90)*(1-0.18),IF($F743="Mauro José Salanti",_xlfn.XLOOKUP(AG743,Cadastros!$G$6:$G$90,Cadastros!$H$6:$H$90)*(1-0.18),_xlfn.XLOOKUP(AG743,Cadastros!$G$6:$G$90,Cadastros!$H$6:$H$90))))</f>
        <v/>
      </c>
      <c r="AJ743" s="168" t="str">
        <f t="shared" si="150"/>
        <v/>
      </c>
      <c r="AK743" s="168" t="str">
        <f t="shared" si="151"/>
        <v/>
      </c>
      <c r="AL743" s="28"/>
      <c r="AM743" s="28"/>
      <c r="AN743" s="20" t="str">
        <f>IF(AL743="","",IF($F743="Bernardino Furlan",_xlfn.XLOOKUP(AL743,Cadastros!$G$6:$G$90,Cadastros!$H$6:$H$90)*(1-0.18),IF($F743="Mauro José Salanti",_xlfn.XLOOKUP(AL743,Cadastros!$G$6:$G$90,Cadastros!$H$6:$H$90)*(1-0.18),_xlfn.XLOOKUP(AL743,Cadastros!$G$6:$G$90,Cadastros!$H$6:$H$90))))</f>
        <v/>
      </c>
      <c r="AO743" s="168" t="str">
        <f t="shared" si="152"/>
        <v/>
      </c>
      <c r="AP743" s="168" t="str">
        <f t="shared" si="153"/>
        <v/>
      </c>
      <c r="AQ743" s="28"/>
      <c r="AR743" s="28"/>
      <c r="AS743" s="20" t="str">
        <f>IF(AQ743="","",IF($F743="Bernardino Furlan",_xlfn.XLOOKUP(AQ743,Cadastros!$G$6:$G$90,Cadastros!$H$6:$H$90)*(1-0.18),IF($F743="Mauro José Salanti",_xlfn.XLOOKUP(AQ743,Cadastros!$G$6:$G$90,Cadastros!$H$6:$H$90)*(1-0.18),_xlfn.XLOOKUP(AQ743,Cadastros!$G$6:$G$90,Cadastros!$H$6:$H$90))))</f>
        <v/>
      </c>
      <c r="AT743" s="168" t="str">
        <f t="shared" si="154"/>
        <v/>
      </c>
      <c r="AU743" s="168" t="str">
        <f t="shared" si="155"/>
        <v/>
      </c>
      <c r="AV743" s="227"/>
      <c r="AW743" s="30"/>
      <c r="AX743" s="267"/>
      <c r="AY743" s="267"/>
      <c r="AZ743" s="29"/>
      <c r="BA743" s="30"/>
      <c r="BB743" s="23" t="str" cm="1">
        <f t="array" ref="BB743">_xlfn.IFS(AW743="SIM",SUM(K743,P743,U743,Z743,AE743,AJ743,AO743,AT743,AX743,AY743),F743&lt;&gt;"",SUM(K743,P743,U743,Z743,AE743,AJ743,,AO743,AT743),F743="","")</f>
        <v/>
      </c>
      <c r="BC743" s="211" t="str" cm="1">
        <f t="array" ref="BC743">_xlfn.IFS(E743="","",G743&lt;=E743,BB743*(1-0.03),G743&lt;(E743+8),BB743,AZ743="Boleto",BB743*(1+0.001)^DATEDIF(E743,G743,"D"),AZ743="Cheque",BB743,AZ743="Dinheiro","Alterar forma pgto")</f>
        <v/>
      </c>
      <c r="BD743" s="276" t="str" cm="1">
        <f t="array" ref="BD743">IF(F743=0," ",IF(BC743&lt;BB743,(_xlfn.IFS(AW743="SIM",SUM(L743,Q743,V743,AA743,AF743,AK743,AP743,AU743)+AX743/_xlfn.XLOOKUP(_xlfn.XLOOKUP($F743,Clientes!$B$4:$B$39,Clientes!$C$4:$C$39),Cadastros!$L$6:$L$12,Cadastros!$M$6:$M$12)+IF($F743="Bernardino Furlan",AY743/2751.92,IF($F743="Mauro José Salanti",AY743/2751.92,AY743/3356)),F743&lt;&gt;0,SUM(L743,Q743,V743,AA743,AF743,AK743,AP743,AU743)))*(1-0.03),_xlfn.IFS(AW743="SIM",SUM(L743,Q743,V743,AA743,AF743,AK743,AP743,AU743)+AX743/_xlfn.XLOOKUP(_xlfn.XLOOKUP($F743,Clientes!$B$4:$B$39,Clientes!$C$4:$C$39),Cadastros!$L$6:$L$12,Cadastros!$M$6:$M$12)+IF($F743="Bernardino Furlan",AY743/2751.92,IF($F743="Mauro José Salanti",AY743/2751.92,AY743/3356)),F743&lt;&gt;0,SUM(L743,Q743,V743,AA743,AF743,AK743,AP743,AU743))))</f>
        <v xml:space="preserve"> </v>
      </c>
      <c r="BE743" s="120"/>
      <c r="BF743" s="120"/>
      <c r="BG743" s="120"/>
    </row>
    <row r="744" spans="1:59" s="3" customFormat="1" x14ac:dyDescent="0.3">
      <c r="A744" s="15" t="str">
        <f t="shared" si="143"/>
        <v/>
      </c>
      <c r="B744" s="25"/>
      <c r="C744" s="26"/>
      <c r="D744" s="279"/>
      <c r="E744" s="27"/>
      <c r="F744" s="28"/>
      <c r="G744" s="27"/>
      <c r="H744" s="28"/>
      <c r="I744" s="28"/>
      <c r="J744" s="255" t="str">
        <f>IF(H744="","",(_xlfn.XLOOKUP(H744,Cadastros!$D$6:$D$90,Cadastros!$E$6:$E$90))*(1-_xlfn.XLOOKUP(_xlfn.XLOOKUP($F744,Clientes!$B$4:$B$39,Clientes!$C$4:$C$39),Cadastros!$L$6:$L$12,Cadastros!$N$6:$N$12)))</f>
        <v/>
      </c>
      <c r="K744" s="168" t="str">
        <f t="shared" si="144"/>
        <v/>
      </c>
      <c r="L744" s="168" t="str">
        <f>IFERROR(K744/_xlfn.XLOOKUP(_xlfn.XLOOKUP($F744,Clientes!$B$4:$B$39,Clientes!$C$4:$C$39),Cadastros!$L$6:$L$12,Cadastros!$M$6:$M$12)," ")</f>
        <v xml:space="preserve"> </v>
      </c>
      <c r="M744" s="28"/>
      <c r="N744" s="28"/>
      <c r="O744" s="255" t="str">
        <f>IF(M744="","",(_xlfn.XLOOKUP(M744,Cadastros!$D$6:$D$90,Cadastros!$E$6:$E$90))*(1-_xlfn.XLOOKUP(_xlfn.XLOOKUP($F744,Clientes!$B$4:$B$39,Clientes!$C$4:$C$39),Cadastros!$L$6:$L$12,Cadastros!$N$6:$N$12)))</f>
        <v/>
      </c>
      <c r="P744" s="168" t="str">
        <f t="shared" si="145"/>
        <v/>
      </c>
      <c r="Q744" s="168" t="str">
        <f>IFERROR(P744/_xlfn.XLOOKUP(_xlfn.XLOOKUP($F744,Clientes!$B$4:$B$39,Clientes!$C$4:$C$39),Cadastros!$L$6:$L$12,Cadastros!$M$6:$M$12)," ")</f>
        <v xml:space="preserve"> </v>
      </c>
      <c r="R744" s="28"/>
      <c r="S744" s="28"/>
      <c r="T744" s="255" t="str">
        <f>IF(R744="","",(_xlfn.XLOOKUP(R744,Cadastros!$D$6:$D$90,Cadastros!$E$6:$E$90))*(1-_xlfn.XLOOKUP(_xlfn.XLOOKUP($F744,Clientes!$B$4:$B$39,Clientes!$C$4:$C$39),Cadastros!$L$6:$L$12,Cadastros!$N$6:$N$12)))</f>
        <v/>
      </c>
      <c r="U744" s="168" t="str">
        <f t="shared" si="146"/>
        <v/>
      </c>
      <c r="V744" s="168" t="str">
        <f>IFERROR(U744/_xlfn.XLOOKUP(_xlfn.XLOOKUP($F744,Clientes!$B$4:$B$39,Clientes!$C$4:$C$39),Cadastros!$L$6:$L$12,Cadastros!$M$6:$M$12)," ")</f>
        <v xml:space="preserve"> </v>
      </c>
      <c r="W744" s="28"/>
      <c r="X744" s="28"/>
      <c r="Y744" s="255" t="str">
        <f>IF(W744="","",(_xlfn.XLOOKUP(W744,Cadastros!$D$6:$D$90,Cadastros!$E$6:$E$90))*(1-_xlfn.XLOOKUP(_xlfn.XLOOKUP($F744,Clientes!$B$4:$B$39,Clientes!$C$4:$C$39),Cadastros!$L$6:$L$12,Cadastros!$N$6:$N$12)))</f>
        <v/>
      </c>
      <c r="Z744" s="168" t="str">
        <f t="shared" si="147"/>
        <v/>
      </c>
      <c r="AA744" s="168" t="str">
        <f>IFERROR(Z744/_xlfn.XLOOKUP(_xlfn.XLOOKUP($F744,Clientes!$B$4:$B$39,Clientes!$C$4:$C$39),Cadastros!$L$6:$L$12,Cadastros!$M$6:$M$12)," ")</f>
        <v xml:space="preserve"> </v>
      </c>
      <c r="AB744" s="28"/>
      <c r="AC744" s="28"/>
      <c r="AD744" s="20" t="str">
        <f>IF(AB744="","",IF($F744="Bernardino Furlan",_xlfn.XLOOKUP(AB744,Cadastros!$G$6:$G$90,Cadastros!$H$6:$H$90)*(1-0.18),IF($F744="Mauro José Salanti",_xlfn.XLOOKUP(AB744,Cadastros!$G$6:$G$90,Cadastros!$H$6:$H$90)*(1-0.18),_xlfn.XLOOKUP(AB744,Cadastros!$G$6:$G$90,Cadastros!$H$6:$H$90))))</f>
        <v/>
      </c>
      <c r="AE744" s="168" t="str">
        <f t="shared" si="148"/>
        <v/>
      </c>
      <c r="AF744" s="168" t="str">
        <f t="shared" si="149"/>
        <v/>
      </c>
      <c r="AG744" s="28"/>
      <c r="AH744" s="28"/>
      <c r="AI744" s="20" t="str">
        <f>IF(AG744="","",IF($F744="Bernardino Furlan",_xlfn.XLOOKUP(AG744,Cadastros!$G$6:$G$90,Cadastros!$H$6:$H$90)*(1-0.18),IF($F744="Mauro José Salanti",_xlfn.XLOOKUP(AG744,Cadastros!$G$6:$G$90,Cadastros!$H$6:$H$90)*(1-0.18),_xlfn.XLOOKUP(AG744,Cadastros!$G$6:$G$90,Cadastros!$H$6:$H$90))))</f>
        <v/>
      </c>
      <c r="AJ744" s="168" t="str">
        <f t="shared" si="150"/>
        <v/>
      </c>
      <c r="AK744" s="168" t="str">
        <f t="shared" si="151"/>
        <v/>
      </c>
      <c r="AL744" s="28"/>
      <c r="AM744" s="28"/>
      <c r="AN744" s="20" t="str">
        <f>IF(AL744="","",IF($F744="Bernardino Furlan",_xlfn.XLOOKUP(AL744,Cadastros!$G$6:$G$90,Cadastros!$H$6:$H$90)*(1-0.18),IF($F744="Mauro José Salanti",_xlfn.XLOOKUP(AL744,Cadastros!$G$6:$G$90,Cadastros!$H$6:$H$90)*(1-0.18),_xlfn.XLOOKUP(AL744,Cadastros!$G$6:$G$90,Cadastros!$H$6:$H$90))))</f>
        <v/>
      </c>
      <c r="AO744" s="168" t="str">
        <f t="shared" si="152"/>
        <v/>
      </c>
      <c r="AP744" s="168" t="str">
        <f t="shared" si="153"/>
        <v/>
      </c>
      <c r="AQ744" s="28"/>
      <c r="AR744" s="28"/>
      <c r="AS744" s="20" t="str">
        <f>IF(AQ744="","",IF($F744="Bernardino Furlan",_xlfn.XLOOKUP(AQ744,Cadastros!$G$6:$G$90,Cadastros!$H$6:$H$90)*(1-0.18),IF($F744="Mauro José Salanti",_xlfn.XLOOKUP(AQ744,Cadastros!$G$6:$G$90,Cadastros!$H$6:$H$90)*(1-0.18),_xlfn.XLOOKUP(AQ744,Cadastros!$G$6:$G$90,Cadastros!$H$6:$H$90))))</f>
        <v/>
      </c>
      <c r="AT744" s="168" t="str">
        <f t="shared" si="154"/>
        <v/>
      </c>
      <c r="AU744" s="168" t="str">
        <f t="shared" si="155"/>
        <v/>
      </c>
      <c r="AV744" s="227"/>
      <c r="AW744" s="30"/>
      <c r="AX744" s="267"/>
      <c r="AY744" s="267"/>
      <c r="AZ744" s="29"/>
      <c r="BA744" s="30"/>
      <c r="BB744" s="23" t="str" cm="1">
        <f t="array" ref="BB744">_xlfn.IFS(AW744="SIM",SUM(K744,P744,U744,Z744,AE744,AJ744,AO744,AT744,AX744,AY744),F744&lt;&gt;"",SUM(K744,P744,U744,Z744,AE744,AJ744,,AO744,AT744),F744="","")</f>
        <v/>
      </c>
      <c r="BC744" s="211" t="str" cm="1">
        <f t="array" ref="BC744">_xlfn.IFS(E744="","",G744&lt;=E744,BB744*(1-0.03),G744&lt;(E744+8),BB744,AZ744="Boleto",BB744*(1+0.001)^DATEDIF(E744,G744,"D"),AZ744="Cheque",BB744,AZ744="Dinheiro","Alterar forma pgto")</f>
        <v/>
      </c>
      <c r="BD744" s="276" t="str" cm="1">
        <f t="array" ref="BD744">IF(F744=0," ",IF(BC744&lt;BB744,(_xlfn.IFS(AW744="SIM",SUM(L744,Q744,V744,AA744,AF744,AK744,AP744,AU744)+AX744/_xlfn.XLOOKUP(_xlfn.XLOOKUP($F744,Clientes!$B$4:$B$39,Clientes!$C$4:$C$39),Cadastros!$L$6:$L$12,Cadastros!$M$6:$M$12)+IF($F744="Bernardino Furlan",AY744/2751.92,IF($F744="Mauro José Salanti",AY744/2751.92,AY744/3356)),F744&lt;&gt;0,SUM(L744,Q744,V744,AA744,AF744,AK744,AP744,AU744)))*(1-0.03),_xlfn.IFS(AW744="SIM",SUM(L744,Q744,V744,AA744,AF744,AK744,AP744,AU744)+AX744/_xlfn.XLOOKUP(_xlfn.XLOOKUP($F744,Clientes!$B$4:$B$39,Clientes!$C$4:$C$39),Cadastros!$L$6:$L$12,Cadastros!$M$6:$M$12)+IF($F744="Bernardino Furlan",AY744/2751.92,IF($F744="Mauro José Salanti",AY744/2751.92,AY744/3356)),F744&lt;&gt;0,SUM(L744,Q744,V744,AA744,AF744,AK744,AP744,AU744))))</f>
        <v xml:space="preserve"> </v>
      </c>
      <c r="BE744" s="120"/>
      <c r="BF744" s="120"/>
      <c r="BG744" s="120"/>
    </row>
    <row r="745" spans="1:59" s="3" customFormat="1" x14ac:dyDescent="0.3">
      <c r="A745" s="15" t="str">
        <f t="shared" si="143"/>
        <v/>
      </c>
      <c r="B745" s="25"/>
      <c r="C745" s="26"/>
      <c r="D745" s="279"/>
      <c r="E745" s="27"/>
      <c r="F745" s="28"/>
      <c r="G745" s="27"/>
      <c r="H745" s="28"/>
      <c r="I745" s="28"/>
      <c r="J745" s="255" t="str">
        <f>IF(H745="","",(_xlfn.XLOOKUP(H745,Cadastros!$D$6:$D$90,Cadastros!$E$6:$E$90))*(1-_xlfn.XLOOKUP(_xlfn.XLOOKUP($F745,Clientes!$B$4:$B$39,Clientes!$C$4:$C$39),Cadastros!$L$6:$L$12,Cadastros!$N$6:$N$12)))</f>
        <v/>
      </c>
      <c r="K745" s="168" t="str">
        <f t="shared" si="144"/>
        <v/>
      </c>
      <c r="L745" s="168" t="str">
        <f>IFERROR(K745/_xlfn.XLOOKUP(_xlfn.XLOOKUP($F745,Clientes!$B$4:$B$39,Clientes!$C$4:$C$39),Cadastros!$L$6:$L$12,Cadastros!$M$6:$M$12)," ")</f>
        <v xml:space="preserve"> </v>
      </c>
      <c r="M745" s="28"/>
      <c r="N745" s="28"/>
      <c r="O745" s="255" t="str">
        <f>IF(M745="","",(_xlfn.XLOOKUP(M745,Cadastros!$D$6:$D$90,Cadastros!$E$6:$E$90))*(1-_xlfn.XLOOKUP(_xlfn.XLOOKUP($F745,Clientes!$B$4:$B$39,Clientes!$C$4:$C$39),Cadastros!$L$6:$L$12,Cadastros!$N$6:$N$12)))</f>
        <v/>
      </c>
      <c r="P745" s="168" t="str">
        <f t="shared" si="145"/>
        <v/>
      </c>
      <c r="Q745" s="168" t="str">
        <f>IFERROR(P745/_xlfn.XLOOKUP(_xlfn.XLOOKUP($F745,Clientes!$B$4:$B$39,Clientes!$C$4:$C$39),Cadastros!$L$6:$L$12,Cadastros!$M$6:$M$12)," ")</f>
        <v xml:space="preserve"> </v>
      </c>
      <c r="R745" s="28"/>
      <c r="S745" s="28"/>
      <c r="T745" s="255" t="str">
        <f>IF(R745="","",(_xlfn.XLOOKUP(R745,Cadastros!$D$6:$D$90,Cadastros!$E$6:$E$90))*(1-_xlfn.XLOOKUP(_xlfn.XLOOKUP($F745,Clientes!$B$4:$B$39,Clientes!$C$4:$C$39),Cadastros!$L$6:$L$12,Cadastros!$N$6:$N$12)))</f>
        <v/>
      </c>
      <c r="U745" s="168" t="str">
        <f t="shared" si="146"/>
        <v/>
      </c>
      <c r="V745" s="168" t="str">
        <f>IFERROR(U745/_xlfn.XLOOKUP(_xlfn.XLOOKUP($F745,Clientes!$B$4:$B$39,Clientes!$C$4:$C$39),Cadastros!$L$6:$L$12,Cadastros!$M$6:$M$12)," ")</f>
        <v xml:space="preserve"> </v>
      </c>
      <c r="W745" s="28"/>
      <c r="X745" s="28"/>
      <c r="Y745" s="255" t="str">
        <f>IF(W745="","",(_xlfn.XLOOKUP(W745,Cadastros!$D$6:$D$90,Cadastros!$E$6:$E$90))*(1-_xlfn.XLOOKUP(_xlfn.XLOOKUP($F745,Clientes!$B$4:$B$39,Clientes!$C$4:$C$39),Cadastros!$L$6:$L$12,Cadastros!$N$6:$N$12)))</f>
        <v/>
      </c>
      <c r="Z745" s="168" t="str">
        <f t="shared" si="147"/>
        <v/>
      </c>
      <c r="AA745" s="168" t="str">
        <f>IFERROR(Z745/_xlfn.XLOOKUP(_xlfn.XLOOKUP($F745,Clientes!$B$4:$B$39,Clientes!$C$4:$C$39),Cadastros!$L$6:$L$12,Cadastros!$M$6:$M$12)," ")</f>
        <v xml:space="preserve"> </v>
      </c>
      <c r="AB745" s="28"/>
      <c r="AC745" s="28"/>
      <c r="AD745" s="20" t="str">
        <f>IF(AB745="","",IF($F745="Bernardino Furlan",_xlfn.XLOOKUP(AB745,Cadastros!$G$6:$G$90,Cadastros!$H$6:$H$90)*(1-0.18),IF($F745="Mauro José Salanti",_xlfn.XLOOKUP(AB745,Cadastros!$G$6:$G$90,Cadastros!$H$6:$H$90)*(1-0.18),_xlfn.XLOOKUP(AB745,Cadastros!$G$6:$G$90,Cadastros!$H$6:$H$90))))</f>
        <v/>
      </c>
      <c r="AE745" s="168" t="str">
        <f t="shared" si="148"/>
        <v/>
      </c>
      <c r="AF745" s="168" t="str">
        <f t="shared" si="149"/>
        <v/>
      </c>
      <c r="AG745" s="28"/>
      <c r="AH745" s="28"/>
      <c r="AI745" s="20" t="str">
        <f>IF(AG745="","",IF($F745="Bernardino Furlan",_xlfn.XLOOKUP(AG745,Cadastros!$G$6:$G$90,Cadastros!$H$6:$H$90)*(1-0.18),IF($F745="Mauro José Salanti",_xlfn.XLOOKUP(AG745,Cadastros!$G$6:$G$90,Cadastros!$H$6:$H$90)*(1-0.18),_xlfn.XLOOKUP(AG745,Cadastros!$G$6:$G$90,Cadastros!$H$6:$H$90))))</f>
        <v/>
      </c>
      <c r="AJ745" s="168" t="str">
        <f t="shared" si="150"/>
        <v/>
      </c>
      <c r="AK745" s="168" t="str">
        <f t="shared" si="151"/>
        <v/>
      </c>
      <c r="AL745" s="28"/>
      <c r="AM745" s="28"/>
      <c r="AN745" s="20" t="str">
        <f>IF(AL745="","",IF($F745="Bernardino Furlan",_xlfn.XLOOKUP(AL745,Cadastros!$G$6:$G$90,Cadastros!$H$6:$H$90)*(1-0.18),IF($F745="Mauro José Salanti",_xlfn.XLOOKUP(AL745,Cadastros!$G$6:$G$90,Cadastros!$H$6:$H$90)*(1-0.18),_xlfn.XLOOKUP(AL745,Cadastros!$G$6:$G$90,Cadastros!$H$6:$H$90))))</f>
        <v/>
      </c>
      <c r="AO745" s="168" t="str">
        <f t="shared" si="152"/>
        <v/>
      </c>
      <c r="AP745" s="168" t="str">
        <f t="shared" si="153"/>
        <v/>
      </c>
      <c r="AQ745" s="28"/>
      <c r="AR745" s="28"/>
      <c r="AS745" s="20" t="str">
        <f>IF(AQ745="","",IF($F745="Bernardino Furlan",_xlfn.XLOOKUP(AQ745,Cadastros!$G$6:$G$90,Cadastros!$H$6:$H$90)*(1-0.18),IF($F745="Mauro José Salanti",_xlfn.XLOOKUP(AQ745,Cadastros!$G$6:$G$90,Cadastros!$H$6:$H$90)*(1-0.18),_xlfn.XLOOKUP(AQ745,Cadastros!$G$6:$G$90,Cadastros!$H$6:$H$90))))</f>
        <v/>
      </c>
      <c r="AT745" s="168" t="str">
        <f t="shared" si="154"/>
        <v/>
      </c>
      <c r="AU745" s="168" t="str">
        <f t="shared" si="155"/>
        <v/>
      </c>
      <c r="AV745" s="227"/>
      <c r="AW745" s="30"/>
      <c r="AX745" s="267"/>
      <c r="AY745" s="267"/>
      <c r="AZ745" s="29"/>
      <c r="BA745" s="30"/>
      <c r="BB745" s="23" t="str" cm="1">
        <f t="array" ref="BB745">_xlfn.IFS(AW745="SIM",SUM(K745,P745,U745,Z745,AE745,AJ745,AO745,AT745,AX745,AY745),F745&lt;&gt;"",SUM(K745,P745,U745,Z745,AE745,AJ745,,AO745,AT745),F745="","")</f>
        <v/>
      </c>
      <c r="BC745" s="211" t="str" cm="1">
        <f t="array" ref="BC745">_xlfn.IFS(E745="","",G745&lt;=E745,BB745*(1-0.03),G745&lt;(E745+8),BB745,AZ745="Boleto",BB745*(1+0.001)^DATEDIF(E745,G745,"D"),AZ745="Cheque",BB745,AZ745="Dinheiro","Alterar forma pgto")</f>
        <v/>
      </c>
      <c r="BD745" s="276" t="str" cm="1">
        <f t="array" ref="BD745">IF(F745=0," ",IF(BC745&lt;BB745,(_xlfn.IFS(AW745="SIM",SUM(L745,Q745,V745,AA745,AF745,AK745,AP745,AU745)+AX745/_xlfn.XLOOKUP(_xlfn.XLOOKUP($F745,Clientes!$B$4:$B$39,Clientes!$C$4:$C$39),Cadastros!$L$6:$L$12,Cadastros!$M$6:$M$12)+IF($F745="Bernardino Furlan",AY745/2751.92,IF($F745="Mauro José Salanti",AY745/2751.92,AY745/3356)),F745&lt;&gt;0,SUM(L745,Q745,V745,AA745,AF745,AK745,AP745,AU745)))*(1-0.03),_xlfn.IFS(AW745="SIM",SUM(L745,Q745,V745,AA745,AF745,AK745,AP745,AU745)+AX745/_xlfn.XLOOKUP(_xlfn.XLOOKUP($F745,Clientes!$B$4:$B$39,Clientes!$C$4:$C$39),Cadastros!$L$6:$L$12,Cadastros!$M$6:$M$12)+IF($F745="Bernardino Furlan",AY745/2751.92,IF($F745="Mauro José Salanti",AY745/2751.92,AY745/3356)),F745&lt;&gt;0,SUM(L745,Q745,V745,AA745,AF745,AK745,AP745,AU745))))</f>
        <v xml:space="preserve"> </v>
      </c>
      <c r="BE745" s="120"/>
      <c r="BF745" s="120"/>
      <c r="BG745" s="120"/>
    </row>
    <row r="746" spans="1:59" s="3" customFormat="1" x14ac:dyDescent="0.3">
      <c r="A746" s="15" t="str">
        <f t="shared" si="143"/>
        <v/>
      </c>
      <c r="B746" s="25"/>
      <c r="C746" s="26"/>
      <c r="D746" s="279"/>
      <c r="E746" s="27"/>
      <c r="F746" s="28"/>
      <c r="G746" s="27"/>
      <c r="H746" s="28"/>
      <c r="I746" s="28"/>
      <c r="J746" s="255" t="str">
        <f>IF(H746="","",(_xlfn.XLOOKUP(H746,Cadastros!$D$6:$D$90,Cadastros!$E$6:$E$90))*(1-_xlfn.XLOOKUP(_xlfn.XLOOKUP($F746,Clientes!$B$4:$B$39,Clientes!$C$4:$C$39),Cadastros!$L$6:$L$12,Cadastros!$N$6:$N$12)))</f>
        <v/>
      </c>
      <c r="K746" s="168" t="str">
        <f t="shared" si="144"/>
        <v/>
      </c>
      <c r="L746" s="168" t="str">
        <f>IFERROR(K746/_xlfn.XLOOKUP(_xlfn.XLOOKUP($F746,Clientes!$B$4:$B$39,Clientes!$C$4:$C$39),Cadastros!$L$6:$L$12,Cadastros!$M$6:$M$12)," ")</f>
        <v xml:space="preserve"> </v>
      </c>
      <c r="M746" s="28"/>
      <c r="N746" s="28"/>
      <c r="O746" s="255" t="str">
        <f>IF(M746="","",(_xlfn.XLOOKUP(M746,Cadastros!$D$6:$D$90,Cadastros!$E$6:$E$90))*(1-_xlfn.XLOOKUP(_xlfn.XLOOKUP($F746,Clientes!$B$4:$B$39,Clientes!$C$4:$C$39),Cadastros!$L$6:$L$12,Cadastros!$N$6:$N$12)))</f>
        <v/>
      </c>
      <c r="P746" s="168" t="str">
        <f t="shared" si="145"/>
        <v/>
      </c>
      <c r="Q746" s="168" t="str">
        <f>IFERROR(P746/_xlfn.XLOOKUP(_xlfn.XLOOKUP($F746,Clientes!$B$4:$B$39,Clientes!$C$4:$C$39),Cadastros!$L$6:$L$12,Cadastros!$M$6:$M$12)," ")</f>
        <v xml:space="preserve"> </v>
      </c>
      <c r="R746" s="28"/>
      <c r="S746" s="28"/>
      <c r="T746" s="255" t="str">
        <f>IF(R746="","",(_xlfn.XLOOKUP(R746,Cadastros!$D$6:$D$90,Cadastros!$E$6:$E$90))*(1-_xlfn.XLOOKUP(_xlfn.XLOOKUP($F746,Clientes!$B$4:$B$39,Clientes!$C$4:$C$39),Cadastros!$L$6:$L$12,Cadastros!$N$6:$N$12)))</f>
        <v/>
      </c>
      <c r="U746" s="168" t="str">
        <f t="shared" si="146"/>
        <v/>
      </c>
      <c r="V746" s="168" t="str">
        <f>IFERROR(U746/_xlfn.XLOOKUP(_xlfn.XLOOKUP($F746,Clientes!$B$4:$B$39,Clientes!$C$4:$C$39),Cadastros!$L$6:$L$12,Cadastros!$M$6:$M$12)," ")</f>
        <v xml:space="preserve"> </v>
      </c>
      <c r="W746" s="28"/>
      <c r="X746" s="28"/>
      <c r="Y746" s="255" t="str">
        <f>IF(W746="","",(_xlfn.XLOOKUP(W746,Cadastros!$D$6:$D$90,Cadastros!$E$6:$E$90))*(1-_xlfn.XLOOKUP(_xlfn.XLOOKUP($F746,Clientes!$B$4:$B$39,Clientes!$C$4:$C$39),Cadastros!$L$6:$L$12,Cadastros!$N$6:$N$12)))</f>
        <v/>
      </c>
      <c r="Z746" s="168" t="str">
        <f t="shared" si="147"/>
        <v/>
      </c>
      <c r="AA746" s="168" t="str">
        <f>IFERROR(Z746/_xlfn.XLOOKUP(_xlfn.XLOOKUP($F746,Clientes!$B$4:$B$39,Clientes!$C$4:$C$39),Cadastros!$L$6:$L$12,Cadastros!$M$6:$M$12)," ")</f>
        <v xml:space="preserve"> </v>
      </c>
      <c r="AB746" s="28"/>
      <c r="AC746" s="28"/>
      <c r="AD746" s="20" t="str">
        <f>IF(AB746="","",IF($F746="Bernardino Furlan",_xlfn.XLOOKUP(AB746,Cadastros!$G$6:$G$90,Cadastros!$H$6:$H$90)*(1-0.18),IF($F746="Mauro José Salanti",_xlfn.XLOOKUP(AB746,Cadastros!$G$6:$G$90,Cadastros!$H$6:$H$90)*(1-0.18),_xlfn.XLOOKUP(AB746,Cadastros!$G$6:$G$90,Cadastros!$H$6:$H$90))))</f>
        <v/>
      </c>
      <c r="AE746" s="168" t="str">
        <f t="shared" si="148"/>
        <v/>
      </c>
      <c r="AF746" s="168" t="str">
        <f t="shared" si="149"/>
        <v/>
      </c>
      <c r="AG746" s="28"/>
      <c r="AH746" s="28"/>
      <c r="AI746" s="20" t="str">
        <f>IF(AG746="","",IF($F746="Bernardino Furlan",_xlfn.XLOOKUP(AG746,Cadastros!$G$6:$G$90,Cadastros!$H$6:$H$90)*(1-0.18),IF($F746="Mauro José Salanti",_xlfn.XLOOKUP(AG746,Cadastros!$G$6:$G$90,Cadastros!$H$6:$H$90)*(1-0.18),_xlfn.XLOOKUP(AG746,Cadastros!$G$6:$G$90,Cadastros!$H$6:$H$90))))</f>
        <v/>
      </c>
      <c r="AJ746" s="168" t="str">
        <f t="shared" si="150"/>
        <v/>
      </c>
      <c r="AK746" s="168" t="str">
        <f t="shared" si="151"/>
        <v/>
      </c>
      <c r="AL746" s="28"/>
      <c r="AM746" s="28"/>
      <c r="AN746" s="20" t="str">
        <f>IF(AL746="","",IF($F746="Bernardino Furlan",_xlfn.XLOOKUP(AL746,Cadastros!$G$6:$G$90,Cadastros!$H$6:$H$90)*(1-0.18),IF($F746="Mauro José Salanti",_xlfn.XLOOKUP(AL746,Cadastros!$G$6:$G$90,Cadastros!$H$6:$H$90)*(1-0.18),_xlfn.XLOOKUP(AL746,Cadastros!$G$6:$G$90,Cadastros!$H$6:$H$90))))</f>
        <v/>
      </c>
      <c r="AO746" s="168" t="str">
        <f t="shared" si="152"/>
        <v/>
      </c>
      <c r="AP746" s="168" t="str">
        <f t="shared" si="153"/>
        <v/>
      </c>
      <c r="AQ746" s="28"/>
      <c r="AR746" s="28"/>
      <c r="AS746" s="20" t="str">
        <f>IF(AQ746="","",IF($F746="Bernardino Furlan",_xlfn.XLOOKUP(AQ746,Cadastros!$G$6:$G$90,Cadastros!$H$6:$H$90)*(1-0.18),IF($F746="Mauro José Salanti",_xlfn.XLOOKUP(AQ746,Cadastros!$G$6:$G$90,Cadastros!$H$6:$H$90)*(1-0.18),_xlfn.XLOOKUP(AQ746,Cadastros!$G$6:$G$90,Cadastros!$H$6:$H$90))))</f>
        <v/>
      </c>
      <c r="AT746" s="168" t="str">
        <f t="shared" si="154"/>
        <v/>
      </c>
      <c r="AU746" s="168" t="str">
        <f t="shared" si="155"/>
        <v/>
      </c>
      <c r="AV746" s="227"/>
      <c r="AW746" s="30"/>
      <c r="AX746" s="267"/>
      <c r="AY746" s="267"/>
      <c r="AZ746" s="29"/>
      <c r="BA746" s="30"/>
      <c r="BB746" s="23" t="str" cm="1">
        <f t="array" ref="BB746">_xlfn.IFS(AW746="SIM",SUM(K746,P746,U746,Z746,AE746,AJ746,AO746,AT746,AX746,AY746),F746&lt;&gt;"",SUM(K746,P746,U746,Z746,AE746,AJ746,,AO746,AT746),F746="","")</f>
        <v/>
      </c>
      <c r="BC746" s="211" t="str" cm="1">
        <f t="array" ref="BC746">_xlfn.IFS(E746="","",G746&lt;=E746,BB746*(1-0.03),G746&lt;(E746+8),BB746,AZ746="Boleto",BB746*(1+0.001)^DATEDIF(E746,G746,"D"),AZ746="Cheque",BB746,AZ746="Dinheiro","Alterar forma pgto")</f>
        <v/>
      </c>
      <c r="BD746" s="276" t="str" cm="1">
        <f t="array" ref="BD746">IF(F746=0," ",IF(BC746&lt;BB746,(_xlfn.IFS(AW746="SIM",SUM(L746,Q746,V746,AA746,AF746,AK746,AP746,AU746)+AX746/_xlfn.XLOOKUP(_xlfn.XLOOKUP($F746,Clientes!$B$4:$B$39,Clientes!$C$4:$C$39),Cadastros!$L$6:$L$12,Cadastros!$M$6:$M$12)+IF($F746="Bernardino Furlan",AY746/2751.92,IF($F746="Mauro José Salanti",AY746/2751.92,AY746/3356)),F746&lt;&gt;0,SUM(L746,Q746,V746,AA746,AF746,AK746,AP746,AU746)))*(1-0.03),_xlfn.IFS(AW746="SIM",SUM(L746,Q746,V746,AA746,AF746,AK746,AP746,AU746)+AX746/_xlfn.XLOOKUP(_xlfn.XLOOKUP($F746,Clientes!$B$4:$B$39,Clientes!$C$4:$C$39),Cadastros!$L$6:$L$12,Cadastros!$M$6:$M$12)+IF($F746="Bernardino Furlan",AY746/2751.92,IF($F746="Mauro José Salanti",AY746/2751.92,AY746/3356)),F746&lt;&gt;0,SUM(L746,Q746,V746,AA746,AF746,AK746,AP746,AU746))))</f>
        <v xml:space="preserve"> </v>
      </c>
      <c r="BE746" s="120"/>
      <c r="BF746" s="120"/>
      <c r="BG746" s="120"/>
    </row>
    <row r="747" spans="1:59" s="3" customFormat="1" x14ac:dyDescent="0.3">
      <c r="A747" s="15" t="str">
        <f t="shared" si="143"/>
        <v/>
      </c>
      <c r="B747" s="25"/>
      <c r="C747" s="26"/>
      <c r="D747" s="279"/>
      <c r="E747" s="27"/>
      <c r="F747" s="28"/>
      <c r="G747" s="27"/>
      <c r="H747" s="28"/>
      <c r="I747" s="28"/>
      <c r="J747" s="255" t="str">
        <f>IF(H747="","",(_xlfn.XLOOKUP(H747,Cadastros!$D$6:$D$90,Cadastros!$E$6:$E$90))*(1-_xlfn.XLOOKUP(_xlfn.XLOOKUP($F747,Clientes!$B$4:$B$39,Clientes!$C$4:$C$39),Cadastros!$L$6:$L$12,Cadastros!$N$6:$N$12)))</f>
        <v/>
      </c>
      <c r="K747" s="168" t="str">
        <f t="shared" si="144"/>
        <v/>
      </c>
      <c r="L747" s="168" t="str">
        <f>IFERROR(K747/_xlfn.XLOOKUP(_xlfn.XLOOKUP($F747,Clientes!$B$4:$B$39,Clientes!$C$4:$C$39),Cadastros!$L$6:$L$12,Cadastros!$M$6:$M$12)," ")</f>
        <v xml:space="preserve"> </v>
      </c>
      <c r="M747" s="28"/>
      <c r="N747" s="28"/>
      <c r="O747" s="255" t="str">
        <f>IF(M747="","",(_xlfn.XLOOKUP(M747,Cadastros!$D$6:$D$90,Cadastros!$E$6:$E$90))*(1-_xlfn.XLOOKUP(_xlfn.XLOOKUP($F747,Clientes!$B$4:$B$39,Clientes!$C$4:$C$39),Cadastros!$L$6:$L$12,Cadastros!$N$6:$N$12)))</f>
        <v/>
      </c>
      <c r="P747" s="168" t="str">
        <f t="shared" si="145"/>
        <v/>
      </c>
      <c r="Q747" s="168" t="str">
        <f>IFERROR(P747/_xlfn.XLOOKUP(_xlfn.XLOOKUP($F747,Clientes!$B$4:$B$39,Clientes!$C$4:$C$39),Cadastros!$L$6:$L$12,Cadastros!$M$6:$M$12)," ")</f>
        <v xml:space="preserve"> </v>
      </c>
      <c r="R747" s="28"/>
      <c r="S747" s="28"/>
      <c r="T747" s="255" t="str">
        <f>IF(R747="","",(_xlfn.XLOOKUP(R747,Cadastros!$D$6:$D$90,Cadastros!$E$6:$E$90))*(1-_xlfn.XLOOKUP(_xlfn.XLOOKUP($F747,Clientes!$B$4:$B$39,Clientes!$C$4:$C$39),Cadastros!$L$6:$L$12,Cadastros!$N$6:$N$12)))</f>
        <v/>
      </c>
      <c r="U747" s="168" t="str">
        <f t="shared" si="146"/>
        <v/>
      </c>
      <c r="V747" s="168" t="str">
        <f>IFERROR(U747/_xlfn.XLOOKUP(_xlfn.XLOOKUP($F747,Clientes!$B$4:$B$39,Clientes!$C$4:$C$39),Cadastros!$L$6:$L$12,Cadastros!$M$6:$M$12)," ")</f>
        <v xml:space="preserve"> </v>
      </c>
      <c r="W747" s="28"/>
      <c r="X747" s="28"/>
      <c r="Y747" s="255" t="str">
        <f>IF(W747="","",(_xlfn.XLOOKUP(W747,Cadastros!$D$6:$D$90,Cadastros!$E$6:$E$90))*(1-_xlfn.XLOOKUP(_xlfn.XLOOKUP($F747,Clientes!$B$4:$B$39,Clientes!$C$4:$C$39),Cadastros!$L$6:$L$12,Cadastros!$N$6:$N$12)))</f>
        <v/>
      </c>
      <c r="Z747" s="168" t="str">
        <f t="shared" si="147"/>
        <v/>
      </c>
      <c r="AA747" s="168" t="str">
        <f>IFERROR(Z747/_xlfn.XLOOKUP(_xlfn.XLOOKUP($F747,Clientes!$B$4:$B$39,Clientes!$C$4:$C$39),Cadastros!$L$6:$L$12,Cadastros!$M$6:$M$12)," ")</f>
        <v xml:space="preserve"> </v>
      </c>
      <c r="AB747" s="28"/>
      <c r="AC747" s="28"/>
      <c r="AD747" s="20" t="str">
        <f>IF(AB747="","",IF($F747="Bernardino Furlan",_xlfn.XLOOKUP(AB747,Cadastros!$G$6:$G$90,Cadastros!$H$6:$H$90)*(1-0.18),IF($F747="Mauro José Salanti",_xlfn.XLOOKUP(AB747,Cadastros!$G$6:$G$90,Cadastros!$H$6:$H$90)*(1-0.18),_xlfn.XLOOKUP(AB747,Cadastros!$G$6:$G$90,Cadastros!$H$6:$H$90))))</f>
        <v/>
      </c>
      <c r="AE747" s="168" t="str">
        <f t="shared" si="148"/>
        <v/>
      </c>
      <c r="AF747" s="168" t="str">
        <f t="shared" si="149"/>
        <v/>
      </c>
      <c r="AG747" s="28"/>
      <c r="AH747" s="28"/>
      <c r="AI747" s="20" t="str">
        <f>IF(AG747="","",IF($F747="Bernardino Furlan",_xlfn.XLOOKUP(AG747,Cadastros!$G$6:$G$90,Cadastros!$H$6:$H$90)*(1-0.18),IF($F747="Mauro José Salanti",_xlfn.XLOOKUP(AG747,Cadastros!$G$6:$G$90,Cadastros!$H$6:$H$90)*(1-0.18),_xlfn.XLOOKUP(AG747,Cadastros!$G$6:$G$90,Cadastros!$H$6:$H$90))))</f>
        <v/>
      </c>
      <c r="AJ747" s="168" t="str">
        <f t="shared" si="150"/>
        <v/>
      </c>
      <c r="AK747" s="168" t="str">
        <f t="shared" si="151"/>
        <v/>
      </c>
      <c r="AL747" s="28"/>
      <c r="AM747" s="28"/>
      <c r="AN747" s="20" t="str">
        <f>IF(AL747="","",IF($F747="Bernardino Furlan",_xlfn.XLOOKUP(AL747,Cadastros!$G$6:$G$90,Cadastros!$H$6:$H$90)*(1-0.18),IF($F747="Mauro José Salanti",_xlfn.XLOOKUP(AL747,Cadastros!$G$6:$G$90,Cadastros!$H$6:$H$90)*(1-0.18),_xlfn.XLOOKUP(AL747,Cadastros!$G$6:$G$90,Cadastros!$H$6:$H$90))))</f>
        <v/>
      </c>
      <c r="AO747" s="168" t="str">
        <f t="shared" si="152"/>
        <v/>
      </c>
      <c r="AP747" s="168" t="str">
        <f t="shared" si="153"/>
        <v/>
      </c>
      <c r="AQ747" s="28"/>
      <c r="AR747" s="28"/>
      <c r="AS747" s="20" t="str">
        <f>IF(AQ747="","",IF($F747="Bernardino Furlan",_xlfn.XLOOKUP(AQ747,Cadastros!$G$6:$G$90,Cadastros!$H$6:$H$90)*(1-0.18),IF($F747="Mauro José Salanti",_xlfn.XLOOKUP(AQ747,Cadastros!$G$6:$G$90,Cadastros!$H$6:$H$90)*(1-0.18),_xlfn.XLOOKUP(AQ747,Cadastros!$G$6:$G$90,Cadastros!$H$6:$H$90))))</f>
        <v/>
      </c>
      <c r="AT747" s="168" t="str">
        <f t="shared" si="154"/>
        <v/>
      </c>
      <c r="AU747" s="168" t="str">
        <f t="shared" si="155"/>
        <v/>
      </c>
      <c r="AV747" s="227"/>
      <c r="AW747" s="30"/>
      <c r="AX747" s="267"/>
      <c r="AY747" s="267"/>
      <c r="AZ747" s="29"/>
      <c r="BA747" s="30"/>
      <c r="BB747" s="23" t="str" cm="1">
        <f t="array" ref="BB747">_xlfn.IFS(AW747="SIM",SUM(K747,P747,U747,Z747,AE747,AJ747,AO747,AT747,AX747,AY747),F747&lt;&gt;"",SUM(K747,P747,U747,Z747,AE747,AJ747,,AO747,AT747),F747="","")</f>
        <v/>
      </c>
      <c r="BC747" s="211" t="str" cm="1">
        <f t="array" ref="BC747">_xlfn.IFS(E747="","",G747&lt;=E747,BB747*(1-0.03),G747&lt;(E747+8),BB747,AZ747="Boleto",BB747*(1+0.001)^DATEDIF(E747,G747,"D"),AZ747="Cheque",BB747,AZ747="Dinheiro","Alterar forma pgto")</f>
        <v/>
      </c>
      <c r="BD747" s="276" t="str" cm="1">
        <f t="array" ref="BD747">IF(F747=0," ",IF(BC747&lt;BB747,(_xlfn.IFS(AW747="SIM",SUM(L747,Q747,V747,AA747,AF747,AK747,AP747,AU747)+AX747/_xlfn.XLOOKUP(_xlfn.XLOOKUP($F747,Clientes!$B$4:$B$39,Clientes!$C$4:$C$39),Cadastros!$L$6:$L$12,Cadastros!$M$6:$M$12)+IF($F747="Bernardino Furlan",AY747/2751.92,IF($F747="Mauro José Salanti",AY747/2751.92,AY747/3356)),F747&lt;&gt;0,SUM(L747,Q747,V747,AA747,AF747,AK747,AP747,AU747)))*(1-0.03),_xlfn.IFS(AW747="SIM",SUM(L747,Q747,V747,AA747,AF747,AK747,AP747,AU747)+AX747/_xlfn.XLOOKUP(_xlfn.XLOOKUP($F747,Clientes!$B$4:$B$39,Clientes!$C$4:$C$39),Cadastros!$L$6:$L$12,Cadastros!$M$6:$M$12)+IF($F747="Bernardino Furlan",AY747/2751.92,IF($F747="Mauro José Salanti",AY747/2751.92,AY747/3356)),F747&lt;&gt;0,SUM(L747,Q747,V747,AA747,AF747,AK747,AP747,AU747))))</f>
        <v xml:space="preserve"> </v>
      </c>
      <c r="BE747" s="120"/>
      <c r="BF747" s="120"/>
      <c r="BG747" s="120"/>
    </row>
    <row r="748" spans="1:59" s="3" customFormat="1" x14ac:dyDescent="0.3">
      <c r="A748" s="15" t="str">
        <f t="shared" si="143"/>
        <v/>
      </c>
      <c r="B748" s="25"/>
      <c r="C748" s="26"/>
      <c r="D748" s="279"/>
      <c r="E748" s="27"/>
      <c r="F748" s="28"/>
      <c r="G748" s="27"/>
      <c r="H748" s="28"/>
      <c r="I748" s="28"/>
      <c r="J748" s="255" t="str">
        <f>IF(H748="","",(_xlfn.XLOOKUP(H748,Cadastros!$D$6:$D$90,Cadastros!$E$6:$E$90))*(1-_xlfn.XLOOKUP(_xlfn.XLOOKUP($F748,Clientes!$B$4:$B$39,Clientes!$C$4:$C$39),Cadastros!$L$6:$L$12,Cadastros!$N$6:$N$12)))</f>
        <v/>
      </c>
      <c r="K748" s="168" t="str">
        <f t="shared" si="144"/>
        <v/>
      </c>
      <c r="L748" s="168" t="str">
        <f>IFERROR(K748/_xlfn.XLOOKUP(_xlfn.XLOOKUP($F748,Clientes!$B$4:$B$39,Clientes!$C$4:$C$39),Cadastros!$L$6:$L$12,Cadastros!$M$6:$M$12)," ")</f>
        <v xml:space="preserve"> </v>
      </c>
      <c r="M748" s="28"/>
      <c r="N748" s="28"/>
      <c r="O748" s="255" t="str">
        <f>IF(M748="","",(_xlfn.XLOOKUP(M748,Cadastros!$D$6:$D$90,Cadastros!$E$6:$E$90))*(1-_xlfn.XLOOKUP(_xlfn.XLOOKUP($F748,Clientes!$B$4:$B$39,Clientes!$C$4:$C$39),Cadastros!$L$6:$L$12,Cadastros!$N$6:$N$12)))</f>
        <v/>
      </c>
      <c r="P748" s="168" t="str">
        <f t="shared" si="145"/>
        <v/>
      </c>
      <c r="Q748" s="168" t="str">
        <f>IFERROR(P748/_xlfn.XLOOKUP(_xlfn.XLOOKUP($F748,Clientes!$B$4:$B$39,Clientes!$C$4:$C$39),Cadastros!$L$6:$L$12,Cadastros!$M$6:$M$12)," ")</f>
        <v xml:space="preserve"> </v>
      </c>
      <c r="R748" s="28"/>
      <c r="S748" s="28"/>
      <c r="T748" s="255" t="str">
        <f>IF(R748="","",(_xlfn.XLOOKUP(R748,Cadastros!$D$6:$D$90,Cadastros!$E$6:$E$90))*(1-_xlfn.XLOOKUP(_xlfn.XLOOKUP($F748,Clientes!$B$4:$B$39,Clientes!$C$4:$C$39),Cadastros!$L$6:$L$12,Cadastros!$N$6:$N$12)))</f>
        <v/>
      </c>
      <c r="U748" s="168" t="str">
        <f t="shared" si="146"/>
        <v/>
      </c>
      <c r="V748" s="168" t="str">
        <f>IFERROR(U748/_xlfn.XLOOKUP(_xlfn.XLOOKUP($F748,Clientes!$B$4:$B$39,Clientes!$C$4:$C$39),Cadastros!$L$6:$L$12,Cadastros!$M$6:$M$12)," ")</f>
        <v xml:space="preserve"> </v>
      </c>
      <c r="W748" s="28"/>
      <c r="X748" s="28"/>
      <c r="Y748" s="255" t="str">
        <f>IF(W748="","",(_xlfn.XLOOKUP(W748,Cadastros!$D$6:$D$90,Cadastros!$E$6:$E$90))*(1-_xlfn.XLOOKUP(_xlfn.XLOOKUP($F748,Clientes!$B$4:$B$39,Clientes!$C$4:$C$39),Cadastros!$L$6:$L$12,Cadastros!$N$6:$N$12)))</f>
        <v/>
      </c>
      <c r="Z748" s="168" t="str">
        <f t="shared" si="147"/>
        <v/>
      </c>
      <c r="AA748" s="168" t="str">
        <f>IFERROR(Z748/_xlfn.XLOOKUP(_xlfn.XLOOKUP($F748,Clientes!$B$4:$B$39,Clientes!$C$4:$C$39),Cadastros!$L$6:$L$12,Cadastros!$M$6:$M$12)," ")</f>
        <v xml:space="preserve"> </v>
      </c>
      <c r="AB748" s="28"/>
      <c r="AC748" s="28"/>
      <c r="AD748" s="20" t="str">
        <f>IF(AB748="","",IF($F748="Bernardino Furlan",_xlfn.XLOOKUP(AB748,Cadastros!$G$6:$G$90,Cadastros!$H$6:$H$90)*(1-0.18),IF($F748="Mauro José Salanti",_xlfn.XLOOKUP(AB748,Cadastros!$G$6:$G$90,Cadastros!$H$6:$H$90)*(1-0.18),_xlfn.XLOOKUP(AB748,Cadastros!$G$6:$G$90,Cadastros!$H$6:$H$90))))</f>
        <v/>
      </c>
      <c r="AE748" s="168" t="str">
        <f t="shared" si="148"/>
        <v/>
      </c>
      <c r="AF748" s="168" t="str">
        <f t="shared" si="149"/>
        <v/>
      </c>
      <c r="AG748" s="28"/>
      <c r="AH748" s="28"/>
      <c r="AI748" s="20" t="str">
        <f>IF(AG748="","",IF($F748="Bernardino Furlan",_xlfn.XLOOKUP(AG748,Cadastros!$G$6:$G$90,Cadastros!$H$6:$H$90)*(1-0.18),IF($F748="Mauro José Salanti",_xlfn.XLOOKUP(AG748,Cadastros!$G$6:$G$90,Cadastros!$H$6:$H$90)*(1-0.18),_xlfn.XLOOKUP(AG748,Cadastros!$G$6:$G$90,Cadastros!$H$6:$H$90))))</f>
        <v/>
      </c>
      <c r="AJ748" s="168" t="str">
        <f t="shared" si="150"/>
        <v/>
      </c>
      <c r="AK748" s="168" t="str">
        <f t="shared" si="151"/>
        <v/>
      </c>
      <c r="AL748" s="28"/>
      <c r="AM748" s="28"/>
      <c r="AN748" s="20" t="str">
        <f>IF(AL748="","",IF($F748="Bernardino Furlan",_xlfn.XLOOKUP(AL748,Cadastros!$G$6:$G$90,Cadastros!$H$6:$H$90)*(1-0.18),IF($F748="Mauro José Salanti",_xlfn.XLOOKUP(AL748,Cadastros!$G$6:$G$90,Cadastros!$H$6:$H$90)*(1-0.18),_xlfn.XLOOKUP(AL748,Cadastros!$G$6:$G$90,Cadastros!$H$6:$H$90))))</f>
        <v/>
      </c>
      <c r="AO748" s="168" t="str">
        <f t="shared" si="152"/>
        <v/>
      </c>
      <c r="AP748" s="168" t="str">
        <f t="shared" si="153"/>
        <v/>
      </c>
      <c r="AQ748" s="28"/>
      <c r="AR748" s="28"/>
      <c r="AS748" s="20" t="str">
        <f>IF(AQ748="","",IF($F748="Bernardino Furlan",_xlfn.XLOOKUP(AQ748,Cadastros!$G$6:$G$90,Cadastros!$H$6:$H$90)*(1-0.18),IF($F748="Mauro José Salanti",_xlfn.XLOOKUP(AQ748,Cadastros!$G$6:$G$90,Cadastros!$H$6:$H$90)*(1-0.18),_xlfn.XLOOKUP(AQ748,Cadastros!$G$6:$G$90,Cadastros!$H$6:$H$90))))</f>
        <v/>
      </c>
      <c r="AT748" s="168" t="str">
        <f t="shared" si="154"/>
        <v/>
      </c>
      <c r="AU748" s="168" t="str">
        <f t="shared" si="155"/>
        <v/>
      </c>
      <c r="AV748" s="227"/>
      <c r="AW748" s="30"/>
      <c r="AX748" s="267"/>
      <c r="AY748" s="267"/>
      <c r="AZ748" s="29"/>
      <c r="BA748" s="30"/>
      <c r="BB748" s="23" t="str" cm="1">
        <f t="array" ref="BB748">_xlfn.IFS(AW748="SIM",SUM(K748,P748,U748,Z748,AE748,AJ748,AO748,AT748,AX748,AY748),F748&lt;&gt;"",SUM(K748,P748,U748,Z748,AE748,AJ748,,AO748,AT748),F748="","")</f>
        <v/>
      </c>
      <c r="BC748" s="211" t="str" cm="1">
        <f t="array" ref="BC748">_xlfn.IFS(E748="","",G748&lt;=E748,BB748*(1-0.03),G748&lt;(E748+8),BB748,AZ748="Boleto",BB748*(1+0.001)^DATEDIF(E748,G748,"D"),AZ748="Cheque",BB748,AZ748="Dinheiro","Alterar forma pgto")</f>
        <v/>
      </c>
      <c r="BD748" s="276" t="str" cm="1">
        <f t="array" ref="BD748">IF(F748=0," ",IF(BC748&lt;BB748,(_xlfn.IFS(AW748="SIM",SUM(L748,Q748,V748,AA748,AF748,AK748,AP748,AU748)+AX748/_xlfn.XLOOKUP(_xlfn.XLOOKUP($F748,Clientes!$B$4:$B$39,Clientes!$C$4:$C$39),Cadastros!$L$6:$L$12,Cadastros!$M$6:$M$12)+IF($F748="Bernardino Furlan",AY748/2751.92,IF($F748="Mauro José Salanti",AY748/2751.92,AY748/3356)),F748&lt;&gt;0,SUM(L748,Q748,V748,AA748,AF748,AK748,AP748,AU748)))*(1-0.03),_xlfn.IFS(AW748="SIM",SUM(L748,Q748,V748,AA748,AF748,AK748,AP748,AU748)+AX748/_xlfn.XLOOKUP(_xlfn.XLOOKUP($F748,Clientes!$B$4:$B$39,Clientes!$C$4:$C$39),Cadastros!$L$6:$L$12,Cadastros!$M$6:$M$12)+IF($F748="Bernardino Furlan",AY748/2751.92,IF($F748="Mauro José Salanti",AY748/2751.92,AY748/3356)),F748&lt;&gt;0,SUM(L748,Q748,V748,AA748,AF748,AK748,AP748,AU748))))</f>
        <v xml:space="preserve"> </v>
      </c>
      <c r="BE748" s="120"/>
      <c r="BF748" s="120"/>
      <c r="BG748" s="120"/>
    </row>
    <row r="749" spans="1:59" s="3" customFormat="1" x14ac:dyDescent="0.3">
      <c r="A749" s="15" t="str">
        <f t="shared" si="143"/>
        <v/>
      </c>
      <c r="B749" s="25"/>
      <c r="C749" s="26"/>
      <c r="D749" s="279"/>
      <c r="E749" s="27"/>
      <c r="F749" s="28"/>
      <c r="G749" s="27"/>
      <c r="H749" s="28"/>
      <c r="I749" s="28"/>
      <c r="J749" s="255" t="str">
        <f>IF(H749="","",(_xlfn.XLOOKUP(H749,Cadastros!$D$6:$D$90,Cadastros!$E$6:$E$90))*(1-_xlfn.XLOOKUP(_xlfn.XLOOKUP($F749,Clientes!$B$4:$B$39,Clientes!$C$4:$C$39),Cadastros!$L$6:$L$12,Cadastros!$N$6:$N$12)))</f>
        <v/>
      </c>
      <c r="K749" s="168" t="str">
        <f t="shared" si="144"/>
        <v/>
      </c>
      <c r="L749" s="168" t="str">
        <f>IFERROR(K749/_xlfn.XLOOKUP(_xlfn.XLOOKUP($F749,Clientes!$B$4:$B$39,Clientes!$C$4:$C$39),Cadastros!$L$6:$L$12,Cadastros!$M$6:$M$12)," ")</f>
        <v xml:space="preserve"> </v>
      </c>
      <c r="M749" s="28"/>
      <c r="N749" s="28"/>
      <c r="O749" s="255" t="str">
        <f>IF(M749="","",(_xlfn.XLOOKUP(M749,Cadastros!$D$6:$D$90,Cadastros!$E$6:$E$90))*(1-_xlfn.XLOOKUP(_xlfn.XLOOKUP($F749,Clientes!$B$4:$B$39,Clientes!$C$4:$C$39),Cadastros!$L$6:$L$12,Cadastros!$N$6:$N$12)))</f>
        <v/>
      </c>
      <c r="P749" s="168" t="str">
        <f t="shared" si="145"/>
        <v/>
      </c>
      <c r="Q749" s="168" t="str">
        <f>IFERROR(P749/_xlfn.XLOOKUP(_xlfn.XLOOKUP($F749,Clientes!$B$4:$B$39,Clientes!$C$4:$C$39),Cadastros!$L$6:$L$12,Cadastros!$M$6:$M$12)," ")</f>
        <v xml:space="preserve"> </v>
      </c>
      <c r="R749" s="28"/>
      <c r="S749" s="28"/>
      <c r="T749" s="255" t="str">
        <f>IF(R749="","",(_xlfn.XLOOKUP(R749,Cadastros!$D$6:$D$90,Cadastros!$E$6:$E$90))*(1-_xlfn.XLOOKUP(_xlfn.XLOOKUP($F749,Clientes!$B$4:$B$39,Clientes!$C$4:$C$39),Cadastros!$L$6:$L$12,Cadastros!$N$6:$N$12)))</f>
        <v/>
      </c>
      <c r="U749" s="168" t="str">
        <f t="shared" si="146"/>
        <v/>
      </c>
      <c r="V749" s="168" t="str">
        <f>IFERROR(U749/_xlfn.XLOOKUP(_xlfn.XLOOKUP($F749,Clientes!$B$4:$B$39,Clientes!$C$4:$C$39),Cadastros!$L$6:$L$12,Cadastros!$M$6:$M$12)," ")</f>
        <v xml:space="preserve"> </v>
      </c>
      <c r="W749" s="28"/>
      <c r="X749" s="28"/>
      <c r="Y749" s="255" t="str">
        <f>IF(W749="","",(_xlfn.XLOOKUP(W749,Cadastros!$D$6:$D$90,Cadastros!$E$6:$E$90))*(1-_xlfn.XLOOKUP(_xlfn.XLOOKUP($F749,Clientes!$B$4:$B$39,Clientes!$C$4:$C$39),Cadastros!$L$6:$L$12,Cadastros!$N$6:$N$12)))</f>
        <v/>
      </c>
      <c r="Z749" s="168" t="str">
        <f t="shared" si="147"/>
        <v/>
      </c>
      <c r="AA749" s="168" t="str">
        <f>IFERROR(Z749/_xlfn.XLOOKUP(_xlfn.XLOOKUP($F749,Clientes!$B$4:$B$39,Clientes!$C$4:$C$39),Cadastros!$L$6:$L$12,Cadastros!$M$6:$M$12)," ")</f>
        <v xml:space="preserve"> </v>
      </c>
      <c r="AB749" s="28"/>
      <c r="AC749" s="28"/>
      <c r="AD749" s="20" t="str">
        <f>IF(AB749="","",IF($F749="Bernardino Furlan",_xlfn.XLOOKUP(AB749,Cadastros!$G$6:$G$90,Cadastros!$H$6:$H$90)*(1-0.18),IF($F749="Mauro José Salanti",_xlfn.XLOOKUP(AB749,Cadastros!$G$6:$G$90,Cadastros!$H$6:$H$90)*(1-0.18),_xlfn.XLOOKUP(AB749,Cadastros!$G$6:$G$90,Cadastros!$H$6:$H$90))))</f>
        <v/>
      </c>
      <c r="AE749" s="168" t="str">
        <f t="shared" si="148"/>
        <v/>
      </c>
      <c r="AF749" s="168" t="str">
        <f t="shared" si="149"/>
        <v/>
      </c>
      <c r="AG749" s="28"/>
      <c r="AH749" s="28"/>
      <c r="AI749" s="20" t="str">
        <f>IF(AG749="","",IF($F749="Bernardino Furlan",_xlfn.XLOOKUP(AG749,Cadastros!$G$6:$G$90,Cadastros!$H$6:$H$90)*(1-0.18),IF($F749="Mauro José Salanti",_xlfn.XLOOKUP(AG749,Cadastros!$G$6:$G$90,Cadastros!$H$6:$H$90)*(1-0.18),_xlfn.XLOOKUP(AG749,Cadastros!$G$6:$G$90,Cadastros!$H$6:$H$90))))</f>
        <v/>
      </c>
      <c r="AJ749" s="168" t="str">
        <f t="shared" si="150"/>
        <v/>
      </c>
      <c r="AK749" s="168" t="str">
        <f t="shared" si="151"/>
        <v/>
      </c>
      <c r="AL749" s="28"/>
      <c r="AM749" s="28"/>
      <c r="AN749" s="20" t="str">
        <f>IF(AL749="","",IF($F749="Bernardino Furlan",_xlfn.XLOOKUP(AL749,Cadastros!$G$6:$G$90,Cadastros!$H$6:$H$90)*(1-0.18),IF($F749="Mauro José Salanti",_xlfn.XLOOKUP(AL749,Cadastros!$G$6:$G$90,Cadastros!$H$6:$H$90)*(1-0.18),_xlfn.XLOOKUP(AL749,Cadastros!$G$6:$G$90,Cadastros!$H$6:$H$90))))</f>
        <v/>
      </c>
      <c r="AO749" s="168" t="str">
        <f t="shared" si="152"/>
        <v/>
      </c>
      <c r="AP749" s="168" t="str">
        <f t="shared" si="153"/>
        <v/>
      </c>
      <c r="AQ749" s="28"/>
      <c r="AR749" s="28"/>
      <c r="AS749" s="20" t="str">
        <f>IF(AQ749="","",IF($F749="Bernardino Furlan",_xlfn.XLOOKUP(AQ749,Cadastros!$G$6:$G$90,Cadastros!$H$6:$H$90)*(1-0.18),IF($F749="Mauro José Salanti",_xlfn.XLOOKUP(AQ749,Cadastros!$G$6:$G$90,Cadastros!$H$6:$H$90)*(1-0.18),_xlfn.XLOOKUP(AQ749,Cadastros!$G$6:$G$90,Cadastros!$H$6:$H$90))))</f>
        <v/>
      </c>
      <c r="AT749" s="168" t="str">
        <f t="shared" si="154"/>
        <v/>
      </c>
      <c r="AU749" s="168" t="str">
        <f t="shared" si="155"/>
        <v/>
      </c>
      <c r="AV749" s="227"/>
      <c r="AW749" s="30"/>
      <c r="AX749" s="267"/>
      <c r="AY749" s="267"/>
      <c r="AZ749" s="29"/>
      <c r="BA749" s="30"/>
      <c r="BB749" s="23" t="str" cm="1">
        <f t="array" ref="BB749">_xlfn.IFS(AW749="SIM",SUM(K749,P749,U749,Z749,AE749,AJ749,AO749,AT749,AX749,AY749),F749&lt;&gt;"",SUM(K749,P749,U749,Z749,AE749,AJ749,,AO749,AT749),F749="","")</f>
        <v/>
      </c>
      <c r="BC749" s="211" t="str" cm="1">
        <f t="array" ref="BC749">_xlfn.IFS(E749="","",G749&lt;=E749,BB749*(1-0.03),G749&lt;(E749+8),BB749,AZ749="Boleto",BB749*(1+0.001)^DATEDIF(E749,G749,"D"),AZ749="Cheque",BB749,AZ749="Dinheiro","Alterar forma pgto")</f>
        <v/>
      </c>
      <c r="BD749" s="276" t="str" cm="1">
        <f t="array" ref="BD749">IF(F749=0," ",IF(BC749&lt;BB749,(_xlfn.IFS(AW749="SIM",SUM(L749,Q749,V749,AA749,AF749,AK749,AP749,AU749)+AX749/_xlfn.XLOOKUP(_xlfn.XLOOKUP($F749,Clientes!$B$4:$B$39,Clientes!$C$4:$C$39),Cadastros!$L$6:$L$12,Cadastros!$M$6:$M$12)+IF($F749="Bernardino Furlan",AY749/2751.92,IF($F749="Mauro José Salanti",AY749/2751.92,AY749/3356)),F749&lt;&gt;0,SUM(L749,Q749,V749,AA749,AF749,AK749,AP749,AU749)))*(1-0.03),_xlfn.IFS(AW749="SIM",SUM(L749,Q749,V749,AA749,AF749,AK749,AP749,AU749)+AX749/_xlfn.XLOOKUP(_xlfn.XLOOKUP($F749,Clientes!$B$4:$B$39,Clientes!$C$4:$C$39),Cadastros!$L$6:$L$12,Cadastros!$M$6:$M$12)+IF($F749="Bernardino Furlan",AY749/2751.92,IF($F749="Mauro José Salanti",AY749/2751.92,AY749/3356)),F749&lt;&gt;0,SUM(L749,Q749,V749,AA749,AF749,AK749,AP749,AU749))))</f>
        <v xml:space="preserve"> </v>
      </c>
      <c r="BE749" s="120"/>
      <c r="BF749" s="120"/>
      <c r="BG749" s="120"/>
    </row>
    <row r="750" spans="1:59" s="3" customFormat="1" x14ac:dyDescent="0.3">
      <c r="A750" s="15" t="str">
        <f t="shared" si="143"/>
        <v/>
      </c>
      <c r="B750" s="25"/>
      <c r="C750" s="26"/>
      <c r="D750" s="279"/>
      <c r="E750" s="27"/>
      <c r="F750" s="28"/>
      <c r="G750" s="27"/>
      <c r="H750" s="28"/>
      <c r="I750" s="28"/>
      <c r="J750" s="255" t="str">
        <f>IF(H750="","",(_xlfn.XLOOKUP(H750,Cadastros!$D$6:$D$90,Cadastros!$E$6:$E$90))*(1-_xlfn.XLOOKUP(_xlfn.XLOOKUP($F750,Clientes!$B$4:$B$39,Clientes!$C$4:$C$39),Cadastros!$L$6:$L$12,Cadastros!$N$6:$N$12)))</f>
        <v/>
      </c>
      <c r="K750" s="168" t="str">
        <f t="shared" si="144"/>
        <v/>
      </c>
      <c r="L750" s="168" t="str">
        <f>IFERROR(K750/_xlfn.XLOOKUP(_xlfn.XLOOKUP($F750,Clientes!$B$4:$B$39,Clientes!$C$4:$C$39),Cadastros!$L$6:$L$12,Cadastros!$M$6:$M$12)," ")</f>
        <v xml:space="preserve"> </v>
      </c>
      <c r="M750" s="28"/>
      <c r="N750" s="28"/>
      <c r="O750" s="255" t="str">
        <f>IF(M750="","",(_xlfn.XLOOKUP(M750,Cadastros!$D$6:$D$90,Cadastros!$E$6:$E$90))*(1-_xlfn.XLOOKUP(_xlfn.XLOOKUP($F750,Clientes!$B$4:$B$39,Clientes!$C$4:$C$39),Cadastros!$L$6:$L$12,Cadastros!$N$6:$N$12)))</f>
        <v/>
      </c>
      <c r="P750" s="168" t="str">
        <f t="shared" si="145"/>
        <v/>
      </c>
      <c r="Q750" s="168" t="str">
        <f>IFERROR(P750/_xlfn.XLOOKUP(_xlfn.XLOOKUP($F750,Clientes!$B$4:$B$39,Clientes!$C$4:$C$39),Cadastros!$L$6:$L$12,Cadastros!$M$6:$M$12)," ")</f>
        <v xml:space="preserve"> </v>
      </c>
      <c r="R750" s="28"/>
      <c r="S750" s="28"/>
      <c r="T750" s="255" t="str">
        <f>IF(R750="","",(_xlfn.XLOOKUP(R750,Cadastros!$D$6:$D$90,Cadastros!$E$6:$E$90))*(1-_xlfn.XLOOKUP(_xlfn.XLOOKUP($F750,Clientes!$B$4:$B$39,Clientes!$C$4:$C$39),Cadastros!$L$6:$L$12,Cadastros!$N$6:$N$12)))</f>
        <v/>
      </c>
      <c r="U750" s="168" t="str">
        <f t="shared" si="146"/>
        <v/>
      </c>
      <c r="V750" s="168" t="str">
        <f>IFERROR(U750/_xlfn.XLOOKUP(_xlfn.XLOOKUP($F750,Clientes!$B$4:$B$39,Clientes!$C$4:$C$39),Cadastros!$L$6:$L$12,Cadastros!$M$6:$M$12)," ")</f>
        <v xml:space="preserve"> </v>
      </c>
      <c r="W750" s="28"/>
      <c r="X750" s="28"/>
      <c r="Y750" s="255" t="str">
        <f>IF(W750="","",(_xlfn.XLOOKUP(W750,Cadastros!$D$6:$D$90,Cadastros!$E$6:$E$90))*(1-_xlfn.XLOOKUP(_xlfn.XLOOKUP($F750,Clientes!$B$4:$B$39,Clientes!$C$4:$C$39),Cadastros!$L$6:$L$12,Cadastros!$N$6:$N$12)))</f>
        <v/>
      </c>
      <c r="Z750" s="168" t="str">
        <f t="shared" si="147"/>
        <v/>
      </c>
      <c r="AA750" s="168" t="str">
        <f>IFERROR(Z750/_xlfn.XLOOKUP(_xlfn.XLOOKUP($F750,Clientes!$B$4:$B$39,Clientes!$C$4:$C$39),Cadastros!$L$6:$L$12,Cadastros!$M$6:$M$12)," ")</f>
        <v xml:space="preserve"> </v>
      </c>
      <c r="AB750" s="28"/>
      <c r="AC750" s="28"/>
      <c r="AD750" s="20" t="str">
        <f>IF(AB750="","",IF($F750="Bernardino Furlan",_xlfn.XLOOKUP(AB750,Cadastros!$G$6:$G$90,Cadastros!$H$6:$H$90)*(1-0.18),IF($F750="Mauro José Salanti",_xlfn.XLOOKUP(AB750,Cadastros!$G$6:$G$90,Cadastros!$H$6:$H$90)*(1-0.18),_xlfn.XLOOKUP(AB750,Cadastros!$G$6:$G$90,Cadastros!$H$6:$H$90))))</f>
        <v/>
      </c>
      <c r="AE750" s="168" t="str">
        <f t="shared" si="148"/>
        <v/>
      </c>
      <c r="AF750" s="168" t="str">
        <f t="shared" si="149"/>
        <v/>
      </c>
      <c r="AG750" s="28"/>
      <c r="AH750" s="28"/>
      <c r="AI750" s="20" t="str">
        <f>IF(AG750="","",IF($F750="Bernardino Furlan",_xlfn.XLOOKUP(AG750,Cadastros!$G$6:$G$90,Cadastros!$H$6:$H$90)*(1-0.18),IF($F750="Mauro José Salanti",_xlfn.XLOOKUP(AG750,Cadastros!$G$6:$G$90,Cadastros!$H$6:$H$90)*(1-0.18),_xlfn.XLOOKUP(AG750,Cadastros!$G$6:$G$90,Cadastros!$H$6:$H$90))))</f>
        <v/>
      </c>
      <c r="AJ750" s="168" t="str">
        <f t="shared" si="150"/>
        <v/>
      </c>
      <c r="AK750" s="168" t="str">
        <f t="shared" si="151"/>
        <v/>
      </c>
      <c r="AL750" s="28"/>
      <c r="AM750" s="28"/>
      <c r="AN750" s="20" t="str">
        <f>IF(AL750="","",IF($F750="Bernardino Furlan",_xlfn.XLOOKUP(AL750,Cadastros!$G$6:$G$90,Cadastros!$H$6:$H$90)*(1-0.18),IF($F750="Mauro José Salanti",_xlfn.XLOOKUP(AL750,Cadastros!$G$6:$G$90,Cadastros!$H$6:$H$90)*(1-0.18),_xlfn.XLOOKUP(AL750,Cadastros!$G$6:$G$90,Cadastros!$H$6:$H$90))))</f>
        <v/>
      </c>
      <c r="AO750" s="168" t="str">
        <f t="shared" si="152"/>
        <v/>
      </c>
      <c r="AP750" s="168" t="str">
        <f t="shared" si="153"/>
        <v/>
      </c>
      <c r="AQ750" s="28"/>
      <c r="AR750" s="28"/>
      <c r="AS750" s="20" t="str">
        <f>IF(AQ750="","",IF($F750="Bernardino Furlan",_xlfn.XLOOKUP(AQ750,Cadastros!$G$6:$G$90,Cadastros!$H$6:$H$90)*(1-0.18),IF($F750="Mauro José Salanti",_xlfn.XLOOKUP(AQ750,Cadastros!$G$6:$G$90,Cadastros!$H$6:$H$90)*(1-0.18),_xlfn.XLOOKUP(AQ750,Cadastros!$G$6:$G$90,Cadastros!$H$6:$H$90))))</f>
        <v/>
      </c>
      <c r="AT750" s="168" t="str">
        <f t="shared" si="154"/>
        <v/>
      </c>
      <c r="AU750" s="168" t="str">
        <f t="shared" si="155"/>
        <v/>
      </c>
      <c r="AV750" s="227"/>
      <c r="AW750" s="30"/>
      <c r="AX750" s="267"/>
      <c r="AY750" s="267"/>
      <c r="AZ750" s="29"/>
      <c r="BA750" s="30"/>
      <c r="BB750" s="23" t="str" cm="1">
        <f t="array" ref="BB750">_xlfn.IFS(AW750="SIM",SUM(K750,P750,U750,Z750,AE750,AJ750,AO750,AT750,AX750,AY750),F750&lt;&gt;"",SUM(K750,P750,U750,Z750,AE750,AJ750,,AO750,AT750),F750="","")</f>
        <v/>
      </c>
      <c r="BC750" s="211" t="str" cm="1">
        <f t="array" ref="BC750">_xlfn.IFS(E750="","",G750&lt;=E750,BB750*(1-0.03),G750&lt;(E750+8),BB750,AZ750="Boleto",BB750*(1+0.001)^DATEDIF(E750,G750,"D"),AZ750="Cheque",BB750,AZ750="Dinheiro","Alterar forma pgto")</f>
        <v/>
      </c>
      <c r="BD750" s="276" t="str" cm="1">
        <f t="array" ref="BD750">IF(F750=0," ",IF(BC750&lt;BB750,(_xlfn.IFS(AW750="SIM",SUM(L750,Q750,V750,AA750,AF750,AK750,AP750,AU750)+AX750/_xlfn.XLOOKUP(_xlfn.XLOOKUP($F750,Clientes!$B$4:$B$39,Clientes!$C$4:$C$39),Cadastros!$L$6:$L$12,Cadastros!$M$6:$M$12)+IF($F750="Bernardino Furlan",AY750/2751.92,IF($F750="Mauro José Salanti",AY750/2751.92,AY750/3356)),F750&lt;&gt;0,SUM(L750,Q750,V750,AA750,AF750,AK750,AP750,AU750)))*(1-0.03),_xlfn.IFS(AW750="SIM",SUM(L750,Q750,V750,AA750,AF750,AK750,AP750,AU750)+AX750/_xlfn.XLOOKUP(_xlfn.XLOOKUP($F750,Clientes!$B$4:$B$39,Clientes!$C$4:$C$39),Cadastros!$L$6:$L$12,Cadastros!$M$6:$M$12)+IF($F750="Bernardino Furlan",AY750/2751.92,IF($F750="Mauro José Salanti",AY750/2751.92,AY750/3356)),F750&lt;&gt;0,SUM(L750,Q750,V750,AA750,AF750,AK750,AP750,AU750))))</f>
        <v xml:space="preserve"> </v>
      </c>
      <c r="BE750" s="120"/>
      <c r="BF750" s="120"/>
      <c r="BG750" s="120"/>
    </row>
    <row r="751" spans="1:59" s="3" customFormat="1" x14ac:dyDescent="0.3">
      <c r="A751" s="15" t="str">
        <f t="shared" si="143"/>
        <v/>
      </c>
      <c r="B751" s="25"/>
      <c r="C751" s="26"/>
      <c r="D751" s="279"/>
      <c r="E751" s="27"/>
      <c r="F751" s="28"/>
      <c r="G751" s="27"/>
      <c r="H751" s="28"/>
      <c r="I751" s="28"/>
      <c r="J751" s="255" t="str">
        <f>IF(H751="","",(_xlfn.XLOOKUP(H751,Cadastros!$D$6:$D$90,Cadastros!$E$6:$E$90))*(1-_xlfn.XLOOKUP(_xlfn.XLOOKUP($F751,Clientes!$B$4:$B$39,Clientes!$C$4:$C$39),Cadastros!$L$6:$L$12,Cadastros!$N$6:$N$12)))</f>
        <v/>
      </c>
      <c r="K751" s="168" t="str">
        <f t="shared" si="144"/>
        <v/>
      </c>
      <c r="L751" s="168" t="str">
        <f>IFERROR(K751/_xlfn.XLOOKUP(_xlfn.XLOOKUP($F751,Clientes!$B$4:$B$39,Clientes!$C$4:$C$39),Cadastros!$L$6:$L$12,Cadastros!$M$6:$M$12)," ")</f>
        <v xml:space="preserve"> </v>
      </c>
      <c r="M751" s="28"/>
      <c r="N751" s="28"/>
      <c r="O751" s="255" t="str">
        <f>IF(M751="","",(_xlfn.XLOOKUP(M751,Cadastros!$D$6:$D$90,Cadastros!$E$6:$E$90))*(1-_xlfn.XLOOKUP(_xlfn.XLOOKUP($F751,Clientes!$B$4:$B$39,Clientes!$C$4:$C$39),Cadastros!$L$6:$L$12,Cadastros!$N$6:$N$12)))</f>
        <v/>
      </c>
      <c r="P751" s="168" t="str">
        <f t="shared" si="145"/>
        <v/>
      </c>
      <c r="Q751" s="168" t="str">
        <f>IFERROR(P751/_xlfn.XLOOKUP(_xlfn.XLOOKUP($F751,Clientes!$B$4:$B$39,Clientes!$C$4:$C$39),Cadastros!$L$6:$L$12,Cadastros!$M$6:$M$12)," ")</f>
        <v xml:space="preserve"> </v>
      </c>
      <c r="R751" s="28"/>
      <c r="S751" s="28"/>
      <c r="T751" s="255" t="str">
        <f>IF(R751="","",(_xlfn.XLOOKUP(R751,Cadastros!$D$6:$D$90,Cadastros!$E$6:$E$90))*(1-_xlfn.XLOOKUP(_xlfn.XLOOKUP($F751,Clientes!$B$4:$B$39,Clientes!$C$4:$C$39),Cadastros!$L$6:$L$12,Cadastros!$N$6:$N$12)))</f>
        <v/>
      </c>
      <c r="U751" s="168" t="str">
        <f t="shared" si="146"/>
        <v/>
      </c>
      <c r="V751" s="168" t="str">
        <f>IFERROR(U751/_xlfn.XLOOKUP(_xlfn.XLOOKUP($F751,Clientes!$B$4:$B$39,Clientes!$C$4:$C$39),Cadastros!$L$6:$L$12,Cadastros!$M$6:$M$12)," ")</f>
        <v xml:space="preserve"> </v>
      </c>
      <c r="W751" s="28"/>
      <c r="X751" s="28"/>
      <c r="Y751" s="255" t="str">
        <f>IF(W751="","",(_xlfn.XLOOKUP(W751,Cadastros!$D$6:$D$90,Cadastros!$E$6:$E$90))*(1-_xlfn.XLOOKUP(_xlfn.XLOOKUP($F751,Clientes!$B$4:$B$39,Clientes!$C$4:$C$39),Cadastros!$L$6:$L$12,Cadastros!$N$6:$N$12)))</f>
        <v/>
      </c>
      <c r="Z751" s="168" t="str">
        <f t="shared" si="147"/>
        <v/>
      </c>
      <c r="AA751" s="168" t="str">
        <f>IFERROR(Z751/_xlfn.XLOOKUP(_xlfn.XLOOKUP($F751,Clientes!$B$4:$B$39,Clientes!$C$4:$C$39),Cadastros!$L$6:$L$12,Cadastros!$M$6:$M$12)," ")</f>
        <v xml:space="preserve"> </v>
      </c>
      <c r="AB751" s="28"/>
      <c r="AC751" s="28"/>
      <c r="AD751" s="20" t="str">
        <f>IF(AB751="","",IF($F751="Bernardino Furlan",_xlfn.XLOOKUP(AB751,Cadastros!$G$6:$G$90,Cadastros!$H$6:$H$90)*(1-0.18),IF($F751="Mauro José Salanti",_xlfn.XLOOKUP(AB751,Cadastros!$G$6:$G$90,Cadastros!$H$6:$H$90)*(1-0.18),_xlfn.XLOOKUP(AB751,Cadastros!$G$6:$G$90,Cadastros!$H$6:$H$90))))</f>
        <v/>
      </c>
      <c r="AE751" s="168" t="str">
        <f t="shared" si="148"/>
        <v/>
      </c>
      <c r="AF751" s="168" t="str">
        <f t="shared" si="149"/>
        <v/>
      </c>
      <c r="AG751" s="28"/>
      <c r="AH751" s="28"/>
      <c r="AI751" s="20" t="str">
        <f>IF(AG751="","",IF($F751="Bernardino Furlan",_xlfn.XLOOKUP(AG751,Cadastros!$G$6:$G$90,Cadastros!$H$6:$H$90)*(1-0.18),IF($F751="Mauro José Salanti",_xlfn.XLOOKUP(AG751,Cadastros!$G$6:$G$90,Cadastros!$H$6:$H$90)*(1-0.18),_xlfn.XLOOKUP(AG751,Cadastros!$G$6:$G$90,Cadastros!$H$6:$H$90))))</f>
        <v/>
      </c>
      <c r="AJ751" s="168" t="str">
        <f t="shared" si="150"/>
        <v/>
      </c>
      <c r="AK751" s="168" t="str">
        <f t="shared" si="151"/>
        <v/>
      </c>
      <c r="AL751" s="28"/>
      <c r="AM751" s="28"/>
      <c r="AN751" s="20" t="str">
        <f>IF(AL751="","",IF($F751="Bernardino Furlan",_xlfn.XLOOKUP(AL751,Cadastros!$G$6:$G$90,Cadastros!$H$6:$H$90)*(1-0.18),IF($F751="Mauro José Salanti",_xlfn.XLOOKUP(AL751,Cadastros!$G$6:$G$90,Cadastros!$H$6:$H$90)*(1-0.18),_xlfn.XLOOKUP(AL751,Cadastros!$G$6:$G$90,Cadastros!$H$6:$H$90))))</f>
        <v/>
      </c>
      <c r="AO751" s="168" t="str">
        <f t="shared" si="152"/>
        <v/>
      </c>
      <c r="AP751" s="168" t="str">
        <f t="shared" si="153"/>
        <v/>
      </c>
      <c r="AQ751" s="28"/>
      <c r="AR751" s="28"/>
      <c r="AS751" s="20" t="str">
        <f>IF(AQ751="","",IF($F751="Bernardino Furlan",_xlfn.XLOOKUP(AQ751,Cadastros!$G$6:$G$90,Cadastros!$H$6:$H$90)*(1-0.18),IF($F751="Mauro José Salanti",_xlfn.XLOOKUP(AQ751,Cadastros!$G$6:$G$90,Cadastros!$H$6:$H$90)*(1-0.18),_xlfn.XLOOKUP(AQ751,Cadastros!$G$6:$G$90,Cadastros!$H$6:$H$90))))</f>
        <v/>
      </c>
      <c r="AT751" s="168" t="str">
        <f t="shared" si="154"/>
        <v/>
      </c>
      <c r="AU751" s="168" t="str">
        <f t="shared" si="155"/>
        <v/>
      </c>
      <c r="AV751" s="227"/>
      <c r="AW751" s="30"/>
      <c r="AX751" s="267"/>
      <c r="AY751" s="267"/>
      <c r="AZ751" s="29"/>
      <c r="BA751" s="30"/>
      <c r="BB751" s="23" t="str" cm="1">
        <f t="array" ref="BB751">_xlfn.IFS(AW751="SIM",SUM(K751,P751,U751,Z751,AE751,AJ751,AO751,AT751,AX751,AY751),F751&lt;&gt;"",SUM(K751,P751,U751,Z751,AE751,AJ751,,AO751,AT751),F751="","")</f>
        <v/>
      </c>
      <c r="BC751" s="211" t="str" cm="1">
        <f t="array" ref="BC751">_xlfn.IFS(E751="","",G751&lt;=E751,BB751*(1-0.03),G751&lt;(E751+8),BB751,AZ751="Boleto",BB751*(1+0.001)^DATEDIF(E751,G751,"D"),AZ751="Cheque",BB751,AZ751="Dinheiro","Alterar forma pgto")</f>
        <v/>
      </c>
      <c r="BD751" s="276" t="str" cm="1">
        <f t="array" ref="BD751">IF(F751=0," ",IF(BC751&lt;BB751,(_xlfn.IFS(AW751="SIM",SUM(L751,Q751,V751,AA751,AF751,AK751,AP751,AU751)+AX751/_xlfn.XLOOKUP(_xlfn.XLOOKUP($F751,Clientes!$B$4:$B$39,Clientes!$C$4:$C$39),Cadastros!$L$6:$L$12,Cadastros!$M$6:$M$12)+IF($F751="Bernardino Furlan",AY751/2751.92,IF($F751="Mauro José Salanti",AY751/2751.92,AY751/3356)),F751&lt;&gt;0,SUM(L751,Q751,V751,AA751,AF751,AK751,AP751,AU751)))*(1-0.03),_xlfn.IFS(AW751="SIM",SUM(L751,Q751,V751,AA751,AF751,AK751,AP751,AU751)+AX751/_xlfn.XLOOKUP(_xlfn.XLOOKUP($F751,Clientes!$B$4:$B$39,Clientes!$C$4:$C$39),Cadastros!$L$6:$L$12,Cadastros!$M$6:$M$12)+IF($F751="Bernardino Furlan",AY751/2751.92,IF($F751="Mauro José Salanti",AY751/2751.92,AY751/3356)),F751&lt;&gt;0,SUM(L751,Q751,V751,AA751,AF751,AK751,AP751,AU751))))</f>
        <v xml:space="preserve"> </v>
      </c>
      <c r="BE751" s="120"/>
      <c r="BF751" s="120"/>
      <c r="BG751" s="120"/>
    </row>
    <row r="752" spans="1:59" s="3" customFormat="1" x14ac:dyDescent="0.3">
      <c r="A752" s="15" t="str">
        <f t="shared" si="143"/>
        <v/>
      </c>
      <c r="B752" s="25"/>
      <c r="C752" s="26"/>
      <c r="D752" s="279"/>
      <c r="E752" s="27"/>
      <c r="F752" s="28"/>
      <c r="G752" s="27"/>
      <c r="H752" s="28"/>
      <c r="I752" s="28"/>
      <c r="J752" s="255" t="str">
        <f>IF(H752="","",(_xlfn.XLOOKUP(H752,Cadastros!$D$6:$D$90,Cadastros!$E$6:$E$90))*(1-_xlfn.XLOOKUP(_xlfn.XLOOKUP($F752,Clientes!$B$4:$B$39,Clientes!$C$4:$C$39),Cadastros!$L$6:$L$12,Cadastros!$N$6:$N$12)))</f>
        <v/>
      </c>
      <c r="K752" s="168" t="str">
        <f t="shared" si="144"/>
        <v/>
      </c>
      <c r="L752" s="168" t="str">
        <f>IFERROR(K752/_xlfn.XLOOKUP(_xlfn.XLOOKUP($F752,Clientes!$B$4:$B$39,Clientes!$C$4:$C$39),Cadastros!$L$6:$L$12,Cadastros!$M$6:$M$12)," ")</f>
        <v xml:space="preserve"> </v>
      </c>
      <c r="M752" s="28"/>
      <c r="N752" s="28"/>
      <c r="O752" s="255" t="str">
        <f>IF(M752="","",(_xlfn.XLOOKUP(M752,Cadastros!$D$6:$D$90,Cadastros!$E$6:$E$90))*(1-_xlfn.XLOOKUP(_xlfn.XLOOKUP($F752,Clientes!$B$4:$B$39,Clientes!$C$4:$C$39),Cadastros!$L$6:$L$12,Cadastros!$N$6:$N$12)))</f>
        <v/>
      </c>
      <c r="P752" s="168" t="str">
        <f t="shared" si="145"/>
        <v/>
      </c>
      <c r="Q752" s="168" t="str">
        <f>IFERROR(P752/_xlfn.XLOOKUP(_xlfn.XLOOKUP($F752,Clientes!$B$4:$B$39,Clientes!$C$4:$C$39),Cadastros!$L$6:$L$12,Cadastros!$M$6:$M$12)," ")</f>
        <v xml:space="preserve"> </v>
      </c>
      <c r="R752" s="28"/>
      <c r="S752" s="28"/>
      <c r="T752" s="255" t="str">
        <f>IF(R752="","",(_xlfn.XLOOKUP(R752,Cadastros!$D$6:$D$90,Cadastros!$E$6:$E$90))*(1-_xlfn.XLOOKUP(_xlfn.XLOOKUP($F752,Clientes!$B$4:$B$39,Clientes!$C$4:$C$39),Cadastros!$L$6:$L$12,Cadastros!$N$6:$N$12)))</f>
        <v/>
      </c>
      <c r="U752" s="168" t="str">
        <f t="shared" si="146"/>
        <v/>
      </c>
      <c r="V752" s="168" t="str">
        <f>IFERROR(U752/_xlfn.XLOOKUP(_xlfn.XLOOKUP($F752,Clientes!$B$4:$B$39,Clientes!$C$4:$C$39),Cadastros!$L$6:$L$12,Cadastros!$M$6:$M$12)," ")</f>
        <v xml:space="preserve"> </v>
      </c>
      <c r="W752" s="28"/>
      <c r="X752" s="28"/>
      <c r="Y752" s="255" t="str">
        <f>IF(W752="","",(_xlfn.XLOOKUP(W752,Cadastros!$D$6:$D$90,Cadastros!$E$6:$E$90))*(1-_xlfn.XLOOKUP(_xlfn.XLOOKUP($F752,Clientes!$B$4:$B$39,Clientes!$C$4:$C$39),Cadastros!$L$6:$L$12,Cadastros!$N$6:$N$12)))</f>
        <v/>
      </c>
      <c r="Z752" s="168" t="str">
        <f t="shared" si="147"/>
        <v/>
      </c>
      <c r="AA752" s="168" t="str">
        <f>IFERROR(Z752/_xlfn.XLOOKUP(_xlfn.XLOOKUP($F752,Clientes!$B$4:$B$39,Clientes!$C$4:$C$39),Cadastros!$L$6:$L$12,Cadastros!$M$6:$M$12)," ")</f>
        <v xml:space="preserve"> </v>
      </c>
      <c r="AB752" s="28"/>
      <c r="AC752" s="28"/>
      <c r="AD752" s="20" t="str">
        <f>IF(AB752="","",IF($F752="Bernardino Furlan",_xlfn.XLOOKUP(AB752,Cadastros!$G$6:$G$90,Cadastros!$H$6:$H$90)*(1-0.18),IF($F752="Mauro José Salanti",_xlfn.XLOOKUP(AB752,Cadastros!$G$6:$G$90,Cadastros!$H$6:$H$90)*(1-0.18),_xlfn.XLOOKUP(AB752,Cadastros!$G$6:$G$90,Cadastros!$H$6:$H$90))))</f>
        <v/>
      </c>
      <c r="AE752" s="168" t="str">
        <f t="shared" si="148"/>
        <v/>
      </c>
      <c r="AF752" s="168" t="str">
        <f t="shared" si="149"/>
        <v/>
      </c>
      <c r="AG752" s="28"/>
      <c r="AH752" s="28"/>
      <c r="AI752" s="20" t="str">
        <f>IF(AG752="","",IF($F752="Bernardino Furlan",_xlfn.XLOOKUP(AG752,Cadastros!$G$6:$G$90,Cadastros!$H$6:$H$90)*(1-0.18),IF($F752="Mauro José Salanti",_xlfn.XLOOKUP(AG752,Cadastros!$G$6:$G$90,Cadastros!$H$6:$H$90)*(1-0.18),_xlfn.XLOOKUP(AG752,Cadastros!$G$6:$G$90,Cadastros!$H$6:$H$90))))</f>
        <v/>
      </c>
      <c r="AJ752" s="168" t="str">
        <f t="shared" si="150"/>
        <v/>
      </c>
      <c r="AK752" s="168" t="str">
        <f t="shared" si="151"/>
        <v/>
      </c>
      <c r="AL752" s="28"/>
      <c r="AM752" s="28"/>
      <c r="AN752" s="20" t="str">
        <f>IF(AL752="","",IF($F752="Bernardino Furlan",_xlfn.XLOOKUP(AL752,Cadastros!$G$6:$G$90,Cadastros!$H$6:$H$90)*(1-0.18),IF($F752="Mauro José Salanti",_xlfn.XLOOKUP(AL752,Cadastros!$G$6:$G$90,Cadastros!$H$6:$H$90)*(1-0.18),_xlfn.XLOOKUP(AL752,Cadastros!$G$6:$G$90,Cadastros!$H$6:$H$90))))</f>
        <v/>
      </c>
      <c r="AO752" s="168" t="str">
        <f t="shared" si="152"/>
        <v/>
      </c>
      <c r="AP752" s="168" t="str">
        <f t="shared" si="153"/>
        <v/>
      </c>
      <c r="AQ752" s="28"/>
      <c r="AR752" s="28"/>
      <c r="AS752" s="20" t="str">
        <f>IF(AQ752="","",IF($F752="Bernardino Furlan",_xlfn.XLOOKUP(AQ752,Cadastros!$G$6:$G$90,Cadastros!$H$6:$H$90)*(1-0.18),IF($F752="Mauro José Salanti",_xlfn.XLOOKUP(AQ752,Cadastros!$G$6:$G$90,Cadastros!$H$6:$H$90)*(1-0.18),_xlfn.XLOOKUP(AQ752,Cadastros!$G$6:$G$90,Cadastros!$H$6:$H$90))))</f>
        <v/>
      </c>
      <c r="AT752" s="168" t="str">
        <f t="shared" si="154"/>
        <v/>
      </c>
      <c r="AU752" s="168" t="str">
        <f t="shared" si="155"/>
        <v/>
      </c>
      <c r="AV752" s="227"/>
      <c r="AW752" s="30"/>
      <c r="AX752" s="267"/>
      <c r="AY752" s="267"/>
      <c r="AZ752" s="29"/>
      <c r="BA752" s="30"/>
      <c r="BB752" s="23" t="str" cm="1">
        <f t="array" ref="BB752">_xlfn.IFS(AW752="SIM",SUM(K752,P752,U752,Z752,AE752,AJ752,AO752,AT752,AX752,AY752),F752&lt;&gt;"",SUM(K752,P752,U752,Z752,AE752,AJ752,,AO752,AT752),F752="","")</f>
        <v/>
      </c>
      <c r="BC752" s="211" t="str" cm="1">
        <f t="array" ref="BC752">_xlfn.IFS(E752="","",G752&lt;=E752,BB752*(1-0.03),G752&lt;(E752+8),BB752,AZ752="Boleto",BB752*(1+0.001)^DATEDIF(E752,G752,"D"),AZ752="Cheque",BB752,AZ752="Dinheiro","Alterar forma pgto")</f>
        <v/>
      </c>
      <c r="BD752" s="276" t="str" cm="1">
        <f t="array" ref="BD752">IF(F752=0," ",IF(BC752&lt;BB752,(_xlfn.IFS(AW752="SIM",SUM(L752,Q752,V752,AA752,AF752,AK752,AP752,AU752)+AX752/_xlfn.XLOOKUP(_xlfn.XLOOKUP($F752,Clientes!$B$4:$B$39,Clientes!$C$4:$C$39),Cadastros!$L$6:$L$12,Cadastros!$M$6:$M$12)+IF($F752="Bernardino Furlan",AY752/2751.92,IF($F752="Mauro José Salanti",AY752/2751.92,AY752/3356)),F752&lt;&gt;0,SUM(L752,Q752,V752,AA752,AF752,AK752,AP752,AU752)))*(1-0.03),_xlfn.IFS(AW752="SIM",SUM(L752,Q752,V752,AA752,AF752,AK752,AP752,AU752)+AX752/_xlfn.XLOOKUP(_xlfn.XLOOKUP($F752,Clientes!$B$4:$B$39,Clientes!$C$4:$C$39),Cadastros!$L$6:$L$12,Cadastros!$M$6:$M$12)+IF($F752="Bernardino Furlan",AY752/2751.92,IF($F752="Mauro José Salanti",AY752/2751.92,AY752/3356)),F752&lt;&gt;0,SUM(L752,Q752,V752,AA752,AF752,AK752,AP752,AU752))))</f>
        <v xml:space="preserve"> </v>
      </c>
      <c r="BE752" s="120"/>
      <c r="BF752" s="120"/>
      <c r="BG752" s="120"/>
    </row>
    <row r="753" spans="1:59" s="3" customFormat="1" x14ac:dyDescent="0.3">
      <c r="A753" s="15" t="str">
        <f t="shared" si="143"/>
        <v/>
      </c>
      <c r="B753" s="25"/>
      <c r="C753" s="26"/>
      <c r="D753" s="279"/>
      <c r="E753" s="27"/>
      <c r="F753" s="28"/>
      <c r="G753" s="27"/>
      <c r="H753" s="28"/>
      <c r="I753" s="28"/>
      <c r="J753" s="255" t="str">
        <f>IF(H753="","",(_xlfn.XLOOKUP(H753,Cadastros!$D$6:$D$90,Cadastros!$E$6:$E$90))*(1-_xlfn.XLOOKUP(_xlfn.XLOOKUP($F753,Clientes!$B$4:$B$39,Clientes!$C$4:$C$39),Cadastros!$L$6:$L$12,Cadastros!$N$6:$N$12)))</f>
        <v/>
      </c>
      <c r="K753" s="168" t="str">
        <f t="shared" si="144"/>
        <v/>
      </c>
      <c r="L753" s="168" t="str">
        <f>IFERROR(K753/_xlfn.XLOOKUP(_xlfn.XLOOKUP($F753,Clientes!$B$4:$B$39,Clientes!$C$4:$C$39),Cadastros!$L$6:$L$12,Cadastros!$M$6:$M$12)," ")</f>
        <v xml:space="preserve"> </v>
      </c>
      <c r="M753" s="28"/>
      <c r="N753" s="28"/>
      <c r="O753" s="255" t="str">
        <f>IF(M753="","",(_xlfn.XLOOKUP(M753,Cadastros!$D$6:$D$90,Cadastros!$E$6:$E$90))*(1-_xlfn.XLOOKUP(_xlfn.XLOOKUP($F753,Clientes!$B$4:$B$39,Clientes!$C$4:$C$39),Cadastros!$L$6:$L$12,Cadastros!$N$6:$N$12)))</f>
        <v/>
      </c>
      <c r="P753" s="168" t="str">
        <f t="shared" si="145"/>
        <v/>
      </c>
      <c r="Q753" s="168" t="str">
        <f>IFERROR(P753/_xlfn.XLOOKUP(_xlfn.XLOOKUP($F753,Clientes!$B$4:$B$39,Clientes!$C$4:$C$39),Cadastros!$L$6:$L$12,Cadastros!$M$6:$M$12)," ")</f>
        <v xml:space="preserve"> </v>
      </c>
      <c r="R753" s="28"/>
      <c r="S753" s="28"/>
      <c r="T753" s="255" t="str">
        <f>IF(R753="","",(_xlfn.XLOOKUP(R753,Cadastros!$D$6:$D$90,Cadastros!$E$6:$E$90))*(1-_xlfn.XLOOKUP(_xlfn.XLOOKUP($F753,Clientes!$B$4:$B$39,Clientes!$C$4:$C$39),Cadastros!$L$6:$L$12,Cadastros!$N$6:$N$12)))</f>
        <v/>
      </c>
      <c r="U753" s="168" t="str">
        <f t="shared" si="146"/>
        <v/>
      </c>
      <c r="V753" s="168" t="str">
        <f>IFERROR(U753/_xlfn.XLOOKUP(_xlfn.XLOOKUP($F753,Clientes!$B$4:$B$39,Clientes!$C$4:$C$39),Cadastros!$L$6:$L$12,Cadastros!$M$6:$M$12)," ")</f>
        <v xml:space="preserve"> </v>
      </c>
      <c r="W753" s="28"/>
      <c r="X753" s="28"/>
      <c r="Y753" s="255" t="str">
        <f>IF(W753="","",(_xlfn.XLOOKUP(W753,Cadastros!$D$6:$D$90,Cadastros!$E$6:$E$90))*(1-_xlfn.XLOOKUP(_xlfn.XLOOKUP($F753,Clientes!$B$4:$B$39,Clientes!$C$4:$C$39),Cadastros!$L$6:$L$12,Cadastros!$N$6:$N$12)))</f>
        <v/>
      </c>
      <c r="Z753" s="168" t="str">
        <f t="shared" si="147"/>
        <v/>
      </c>
      <c r="AA753" s="168" t="str">
        <f>IFERROR(Z753/_xlfn.XLOOKUP(_xlfn.XLOOKUP($F753,Clientes!$B$4:$B$39,Clientes!$C$4:$C$39),Cadastros!$L$6:$L$12,Cadastros!$M$6:$M$12)," ")</f>
        <v xml:space="preserve"> </v>
      </c>
      <c r="AB753" s="28"/>
      <c r="AC753" s="28"/>
      <c r="AD753" s="20" t="str">
        <f>IF(AB753="","",IF($F753="Bernardino Furlan",_xlfn.XLOOKUP(AB753,Cadastros!$G$6:$G$90,Cadastros!$H$6:$H$90)*(1-0.18),IF($F753="Mauro José Salanti",_xlfn.XLOOKUP(AB753,Cadastros!$G$6:$G$90,Cadastros!$H$6:$H$90)*(1-0.18),_xlfn.XLOOKUP(AB753,Cadastros!$G$6:$G$90,Cadastros!$H$6:$H$90))))</f>
        <v/>
      </c>
      <c r="AE753" s="168" t="str">
        <f t="shared" si="148"/>
        <v/>
      </c>
      <c r="AF753" s="168" t="str">
        <f t="shared" si="149"/>
        <v/>
      </c>
      <c r="AG753" s="28"/>
      <c r="AH753" s="28"/>
      <c r="AI753" s="20" t="str">
        <f>IF(AG753="","",IF($F753="Bernardino Furlan",_xlfn.XLOOKUP(AG753,Cadastros!$G$6:$G$90,Cadastros!$H$6:$H$90)*(1-0.18),IF($F753="Mauro José Salanti",_xlfn.XLOOKUP(AG753,Cadastros!$G$6:$G$90,Cadastros!$H$6:$H$90)*(1-0.18),_xlfn.XLOOKUP(AG753,Cadastros!$G$6:$G$90,Cadastros!$H$6:$H$90))))</f>
        <v/>
      </c>
      <c r="AJ753" s="168" t="str">
        <f t="shared" si="150"/>
        <v/>
      </c>
      <c r="AK753" s="168" t="str">
        <f t="shared" si="151"/>
        <v/>
      </c>
      <c r="AL753" s="28"/>
      <c r="AM753" s="28"/>
      <c r="AN753" s="20" t="str">
        <f>IF(AL753="","",IF($F753="Bernardino Furlan",_xlfn.XLOOKUP(AL753,Cadastros!$G$6:$G$90,Cadastros!$H$6:$H$90)*(1-0.18),IF($F753="Mauro José Salanti",_xlfn.XLOOKUP(AL753,Cadastros!$G$6:$G$90,Cadastros!$H$6:$H$90)*(1-0.18),_xlfn.XLOOKUP(AL753,Cadastros!$G$6:$G$90,Cadastros!$H$6:$H$90))))</f>
        <v/>
      </c>
      <c r="AO753" s="168" t="str">
        <f t="shared" si="152"/>
        <v/>
      </c>
      <c r="AP753" s="168" t="str">
        <f t="shared" si="153"/>
        <v/>
      </c>
      <c r="AQ753" s="28"/>
      <c r="AR753" s="28"/>
      <c r="AS753" s="20" t="str">
        <f>IF(AQ753="","",IF($F753="Bernardino Furlan",_xlfn.XLOOKUP(AQ753,Cadastros!$G$6:$G$90,Cadastros!$H$6:$H$90)*(1-0.18),IF($F753="Mauro José Salanti",_xlfn.XLOOKUP(AQ753,Cadastros!$G$6:$G$90,Cadastros!$H$6:$H$90)*(1-0.18),_xlfn.XLOOKUP(AQ753,Cadastros!$G$6:$G$90,Cadastros!$H$6:$H$90))))</f>
        <v/>
      </c>
      <c r="AT753" s="168" t="str">
        <f t="shared" si="154"/>
        <v/>
      </c>
      <c r="AU753" s="168" t="str">
        <f t="shared" si="155"/>
        <v/>
      </c>
      <c r="AV753" s="227"/>
      <c r="AW753" s="30"/>
      <c r="AX753" s="267"/>
      <c r="AY753" s="267"/>
      <c r="AZ753" s="29"/>
      <c r="BA753" s="30"/>
      <c r="BB753" s="23" t="str" cm="1">
        <f t="array" ref="BB753">_xlfn.IFS(AW753="SIM",SUM(K753,P753,U753,Z753,AE753,AJ753,AO753,AT753,AX753,AY753),F753&lt;&gt;"",SUM(K753,P753,U753,Z753,AE753,AJ753,,AO753,AT753),F753="","")</f>
        <v/>
      </c>
      <c r="BC753" s="211" t="str" cm="1">
        <f t="array" ref="BC753">_xlfn.IFS(E753="","",G753&lt;=E753,BB753*(1-0.03),G753&lt;(E753+8),BB753,AZ753="Boleto",BB753*(1+0.001)^DATEDIF(E753,G753,"D"),AZ753="Cheque",BB753,AZ753="Dinheiro","Alterar forma pgto")</f>
        <v/>
      </c>
      <c r="BD753" s="276" t="str" cm="1">
        <f t="array" ref="BD753">IF(F753=0," ",IF(BC753&lt;BB753,(_xlfn.IFS(AW753="SIM",SUM(L753,Q753,V753,AA753,AF753,AK753,AP753,AU753)+AX753/_xlfn.XLOOKUP(_xlfn.XLOOKUP($F753,Clientes!$B$4:$B$39,Clientes!$C$4:$C$39),Cadastros!$L$6:$L$12,Cadastros!$M$6:$M$12)+IF($F753="Bernardino Furlan",AY753/2751.92,IF($F753="Mauro José Salanti",AY753/2751.92,AY753/3356)),F753&lt;&gt;0,SUM(L753,Q753,V753,AA753,AF753,AK753,AP753,AU753)))*(1-0.03),_xlfn.IFS(AW753="SIM",SUM(L753,Q753,V753,AA753,AF753,AK753,AP753,AU753)+AX753/_xlfn.XLOOKUP(_xlfn.XLOOKUP($F753,Clientes!$B$4:$B$39,Clientes!$C$4:$C$39),Cadastros!$L$6:$L$12,Cadastros!$M$6:$M$12)+IF($F753="Bernardino Furlan",AY753/2751.92,IF($F753="Mauro José Salanti",AY753/2751.92,AY753/3356)),F753&lt;&gt;0,SUM(L753,Q753,V753,AA753,AF753,AK753,AP753,AU753))))</f>
        <v xml:space="preserve"> </v>
      </c>
      <c r="BE753" s="120"/>
      <c r="BF753" s="120"/>
      <c r="BG753" s="120"/>
    </row>
    <row r="754" spans="1:59" s="3" customFormat="1" x14ac:dyDescent="0.3">
      <c r="A754" s="15" t="str">
        <f t="shared" si="143"/>
        <v/>
      </c>
      <c r="B754" s="25"/>
      <c r="C754" s="26"/>
      <c r="D754" s="279"/>
      <c r="E754" s="27"/>
      <c r="F754" s="28"/>
      <c r="G754" s="27"/>
      <c r="H754" s="28"/>
      <c r="I754" s="28"/>
      <c r="J754" s="255" t="str">
        <f>IF(H754="","",(_xlfn.XLOOKUP(H754,Cadastros!$D$6:$D$90,Cadastros!$E$6:$E$90))*(1-_xlfn.XLOOKUP(_xlfn.XLOOKUP($F754,Clientes!$B$4:$B$39,Clientes!$C$4:$C$39),Cadastros!$L$6:$L$12,Cadastros!$N$6:$N$12)))</f>
        <v/>
      </c>
      <c r="K754" s="168" t="str">
        <f t="shared" si="144"/>
        <v/>
      </c>
      <c r="L754" s="168" t="str">
        <f>IFERROR(K754/_xlfn.XLOOKUP(_xlfn.XLOOKUP($F754,Clientes!$B$4:$B$39,Clientes!$C$4:$C$39),Cadastros!$L$6:$L$12,Cadastros!$M$6:$M$12)," ")</f>
        <v xml:space="preserve"> </v>
      </c>
      <c r="M754" s="28"/>
      <c r="N754" s="28"/>
      <c r="O754" s="255" t="str">
        <f>IF(M754="","",(_xlfn.XLOOKUP(M754,Cadastros!$D$6:$D$90,Cadastros!$E$6:$E$90))*(1-_xlfn.XLOOKUP(_xlfn.XLOOKUP($F754,Clientes!$B$4:$B$39,Clientes!$C$4:$C$39),Cadastros!$L$6:$L$12,Cadastros!$N$6:$N$12)))</f>
        <v/>
      </c>
      <c r="P754" s="168" t="str">
        <f t="shared" si="145"/>
        <v/>
      </c>
      <c r="Q754" s="168" t="str">
        <f>IFERROR(P754/_xlfn.XLOOKUP(_xlfn.XLOOKUP($F754,Clientes!$B$4:$B$39,Clientes!$C$4:$C$39),Cadastros!$L$6:$L$12,Cadastros!$M$6:$M$12)," ")</f>
        <v xml:space="preserve"> </v>
      </c>
      <c r="R754" s="28"/>
      <c r="S754" s="28"/>
      <c r="T754" s="255" t="str">
        <f>IF(R754="","",(_xlfn.XLOOKUP(R754,Cadastros!$D$6:$D$90,Cadastros!$E$6:$E$90))*(1-_xlfn.XLOOKUP(_xlfn.XLOOKUP($F754,Clientes!$B$4:$B$39,Clientes!$C$4:$C$39),Cadastros!$L$6:$L$12,Cadastros!$N$6:$N$12)))</f>
        <v/>
      </c>
      <c r="U754" s="168" t="str">
        <f t="shared" si="146"/>
        <v/>
      </c>
      <c r="V754" s="168" t="str">
        <f>IFERROR(U754/_xlfn.XLOOKUP(_xlfn.XLOOKUP($F754,Clientes!$B$4:$B$39,Clientes!$C$4:$C$39),Cadastros!$L$6:$L$12,Cadastros!$M$6:$M$12)," ")</f>
        <v xml:space="preserve"> </v>
      </c>
      <c r="W754" s="28"/>
      <c r="X754" s="28"/>
      <c r="Y754" s="255" t="str">
        <f>IF(W754="","",(_xlfn.XLOOKUP(W754,Cadastros!$D$6:$D$90,Cadastros!$E$6:$E$90))*(1-_xlfn.XLOOKUP(_xlfn.XLOOKUP($F754,Clientes!$B$4:$B$39,Clientes!$C$4:$C$39),Cadastros!$L$6:$L$12,Cadastros!$N$6:$N$12)))</f>
        <v/>
      </c>
      <c r="Z754" s="168" t="str">
        <f t="shared" si="147"/>
        <v/>
      </c>
      <c r="AA754" s="168" t="str">
        <f>IFERROR(Z754/_xlfn.XLOOKUP(_xlfn.XLOOKUP($F754,Clientes!$B$4:$B$39,Clientes!$C$4:$C$39),Cadastros!$L$6:$L$12,Cadastros!$M$6:$M$12)," ")</f>
        <v xml:space="preserve"> </v>
      </c>
      <c r="AB754" s="28"/>
      <c r="AC754" s="28"/>
      <c r="AD754" s="20" t="str">
        <f>IF(AB754="","",IF($F754="Bernardino Furlan",_xlfn.XLOOKUP(AB754,Cadastros!$G$6:$G$90,Cadastros!$H$6:$H$90)*(1-0.18),IF($F754="Mauro José Salanti",_xlfn.XLOOKUP(AB754,Cadastros!$G$6:$G$90,Cadastros!$H$6:$H$90)*(1-0.18),_xlfn.XLOOKUP(AB754,Cadastros!$G$6:$G$90,Cadastros!$H$6:$H$90))))</f>
        <v/>
      </c>
      <c r="AE754" s="168" t="str">
        <f t="shared" si="148"/>
        <v/>
      </c>
      <c r="AF754" s="168" t="str">
        <f t="shared" si="149"/>
        <v/>
      </c>
      <c r="AG754" s="28"/>
      <c r="AH754" s="28"/>
      <c r="AI754" s="20" t="str">
        <f>IF(AG754="","",IF($F754="Bernardino Furlan",_xlfn.XLOOKUP(AG754,Cadastros!$G$6:$G$90,Cadastros!$H$6:$H$90)*(1-0.18),IF($F754="Mauro José Salanti",_xlfn.XLOOKUP(AG754,Cadastros!$G$6:$G$90,Cadastros!$H$6:$H$90)*(1-0.18),_xlfn.XLOOKUP(AG754,Cadastros!$G$6:$G$90,Cadastros!$H$6:$H$90))))</f>
        <v/>
      </c>
      <c r="AJ754" s="168" t="str">
        <f t="shared" si="150"/>
        <v/>
      </c>
      <c r="AK754" s="168" t="str">
        <f t="shared" si="151"/>
        <v/>
      </c>
      <c r="AL754" s="28"/>
      <c r="AM754" s="28"/>
      <c r="AN754" s="20" t="str">
        <f>IF(AL754="","",IF($F754="Bernardino Furlan",_xlfn.XLOOKUP(AL754,Cadastros!$G$6:$G$90,Cadastros!$H$6:$H$90)*(1-0.18),IF($F754="Mauro José Salanti",_xlfn.XLOOKUP(AL754,Cadastros!$G$6:$G$90,Cadastros!$H$6:$H$90)*(1-0.18),_xlfn.XLOOKUP(AL754,Cadastros!$G$6:$G$90,Cadastros!$H$6:$H$90))))</f>
        <v/>
      </c>
      <c r="AO754" s="168" t="str">
        <f t="shared" si="152"/>
        <v/>
      </c>
      <c r="AP754" s="168" t="str">
        <f t="shared" si="153"/>
        <v/>
      </c>
      <c r="AQ754" s="28"/>
      <c r="AR754" s="28"/>
      <c r="AS754" s="20" t="str">
        <f>IF(AQ754="","",IF($F754="Bernardino Furlan",_xlfn.XLOOKUP(AQ754,Cadastros!$G$6:$G$90,Cadastros!$H$6:$H$90)*(1-0.18),IF($F754="Mauro José Salanti",_xlfn.XLOOKUP(AQ754,Cadastros!$G$6:$G$90,Cadastros!$H$6:$H$90)*(1-0.18),_xlfn.XLOOKUP(AQ754,Cadastros!$G$6:$G$90,Cadastros!$H$6:$H$90))))</f>
        <v/>
      </c>
      <c r="AT754" s="168" t="str">
        <f t="shared" si="154"/>
        <v/>
      </c>
      <c r="AU754" s="168" t="str">
        <f t="shared" si="155"/>
        <v/>
      </c>
      <c r="AV754" s="227"/>
      <c r="AW754" s="30"/>
      <c r="AX754" s="267"/>
      <c r="AY754" s="267"/>
      <c r="AZ754" s="29"/>
      <c r="BA754" s="30"/>
      <c r="BB754" s="23" t="str" cm="1">
        <f t="array" ref="BB754">_xlfn.IFS(AW754="SIM",SUM(K754,P754,U754,Z754,AE754,AJ754,AO754,AT754,AX754,AY754),F754&lt;&gt;"",SUM(K754,P754,U754,Z754,AE754,AJ754,,AO754,AT754),F754="","")</f>
        <v/>
      </c>
      <c r="BC754" s="211" t="str" cm="1">
        <f t="array" ref="BC754">_xlfn.IFS(E754="","",G754&lt;=E754,BB754*(1-0.03),G754&lt;(E754+8),BB754,AZ754="Boleto",BB754*(1+0.001)^DATEDIF(E754,G754,"D"),AZ754="Cheque",BB754,AZ754="Dinheiro","Alterar forma pgto")</f>
        <v/>
      </c>
      <c r="BD754" s="276" t="str" cm="1">
        <f t="array" ref="BD754">IF(F754=0," ",IF(BC754&lt;BB754,(_xlfn.IFS(AW754="SIM",SUM(L754,Q754,V754,AA754,AF754,AK754,AP754,AU754)+AX754/_xlfn.XLOOKUP(_xlfn.XLOOKUP($F754,Clientes!$B$4:$B$39,Clientes!$C$4:$C$39),Cadastros!$L$6:$L$12,Cadastros!$M$6:$M$12)+IF($F754="Bernardino Furlan",AY754/2751.92,IF($F754="Mauro José Salanti",AY754/2751.92,AY754/3356)),F754&lt;&gt;0,SUM(L754,Q754,V754,AA754,AF754,AK754,AP754,AU754)))*(1-0.03),_xlfn.IFS(AW754="SIM",SUM(L754,Q754,V754,AA754,AF754,AK754,AP754,AU754)+AX754/_xlfn.XLOOKUP(_xlfn.XLOOKUP($F754,Clientes!$B$4:$B$39,Clientes!$C$4:$C$39),Cadastros!$L$6:$L$12,Cadastros!$M$6:$M$12)+IF($F754="Bernardino Furlan",AY754/2751.92,IF($F754="Mauro José Salanti",AY754/2751.92,AY754/3356)),F754&lt;&gt;0,SUM(L754,Q754,V754,AA754,AF754,AK754,AP754,AU754))))</f>
        <v xml:space="preserve"> </v>
      </c>
      <c r="BE754" s="120"/>
      <c r="BF754" s="120"/>
      <c r="BG754" s="120"/>
    </row>
    <row r="755" spans="1:59" s="3" customFormat="1" x14ac:dyDescent="0.3">
      <c r="A755" s="15" t="str">
        <f t="shared" si="143"/>
        <v/>
      </c>
      <c r="B755" s="25"/>
      <c r="C755" s="26"/>
      <c r="D755" s="279"/>
      <c r="E755" s="27"/>
      <c r="F755" s="28"/>
      <c r="G755" s="27"/>
      <c r="H755" s="28"/>
      <c r="I755" s="28"/>
      <c r="J755" s="255" t="str">
        <f>IF(H755="","",(_xlfn.XLOOKUP(H755,Cadastros!$D$6:$D$90,Cadastros!$E$6:$E$90))*(1-_xlfn.XLOOKUP(_xlfn.XLOOKUP($F755,Clientes!$B$4:$B$39,Clientes!$C$4:$C$39),Cadastros!$L$6:$L$12,Cadastros!$N$6:$N$12)))</f>
        <v/>
      </c>
      <c r="K755" s="168" t="str">
        <f t="shared" si="144"/>
        <v/>
      </c>
      <c r="L755" s="168" t="str">
        <f>IFERROR(K755/_xlfn.XLOOKUP(_xlfn.XLOOKUP($F755,Clientes!$B$4:$B$39,Clientes!$C$4:$C$39),Cadastros!$L$6:$L$12,Cadastros!$M$6:$M$12)," ")</f>
        <v xml:space="preserve"> </v>
      </c>
      <c r="M755" s="28"/>
      <c r="N755" s="28"/>
      <c r="O755" s="255" t="str">
        <f>IF(M755="","",(_xlfn.XLOOKUP(M755,Cadastros!$D$6:$D$90,Cadastros!$E$6:$E$90))*(1-_xlfn.XLOOKUP(_xlfn.XLOOKUP($F755,Clientes!$B$4:$B$39,Clientes!$C$4:$C$39),Cadastros!$L$6:$L$12,Cadastros!$N$6:$N$12)))</f>
        <v/>
      </c>
      <c r="P755" s="168" t="str">
        <f t="shared" si="145"/>
        <v/>
      </c>
      <c r="Q755" s="168" t="str">
        <f>IFERROR(P755/_xlfn.XLOOKUP(_xlfn.XLOOKUP($F755,Clientes!$B$4:$B$39,Clientes!$C$4:$C$39),Cadastros!$L$6:$L$12,Cadastros!$M$6:$M$12)," ")</f>
        <v xml:space="preserve"> </v>
      </c>
      <c r="R755" s="28"/>
      <c r="S755" s="28"/>
      <c r="T755" s="255" t="str">
        <f>IF(R755="","",(_xlfn.XLOOKUP(R755,Cadastros!$D$6:$D$90,Cadastros!$E$6:$E$90))*(1-_xlfn.XLOOKUP(_xlfn.XLOOKUP($F755,Clientes!$B$4:$B$39,Clientes!$C$4:$C$39),Cadastros!$L$6:$L$12,Cadastros!$N$6:$N$12)))</f>
        <v/>
      </c>
      <c r="U755" s="168" t="str">
        <f t="shared" si="146"/>
        <v/>
      </c>
      <c r="V755" s="168" t="str">
        <f>IFERROR(U755/_xlfn.XLOOKUP(_xlfn.XLOOKUP($F755,Clientes!$B$4:$B$39,Clientes!$C$4:$C$39),Cadastros!$L$6:$L$12,Cadastros!$M$6:$M$12)," ")</f>
        <v xml:space="preserve"> </v>
      </c>
      <c r="W755" s="28"/>
      <c r="X755" s="28"/>
      <c r="Y755" s="255" t="str">
        <f>IF(W755="","",(_xlfn.XLOOKUP(W755,Cadastros!$D$6:$D$90,Cadastros!$E$6:$E$90))*(1-_xlfn.XLOOKUP(_xlfn.XLOOKUP($F755,Clientes!$B$4:$B$39,Clientes!$C$4:$C$39),Cadastros!$L$6:$L$12,Cadastros!$N$6:$N$12)))</f>
        <v/>
      </c>
      <c r="Z755" s="168" t="str">
        <f t="shared" si="147"/>
        <v/>
      </c>
      <c r="AA755" s="168" t="str">
        <f>IFERROR(Z755/_xlfn.XLOOKUP(_xlfn.XLOOKUP($F755,Clientes!$B$4:$B$39,Clientes!$C$4:$C$39),Cadastros!$L$6:$L$12,Cadastros!$M$6:$M$12)," ")</f>
        <v xml:space="preserve"> </v>
      </c>
      <c r="AB755" s="28"/>
      <c r="AC755" s="28"/>
      <c r="AD755" s="20" t="str">
        <f>IF(AB755="","",IF($F755="Bernardino Furlan",_xlfn.XLOOKUP(AB755,Cadastros!$G$6:$G$90,Cadastros!$H$6:$H$90)*(1-0.18),IF($F755="Mauro José Salanti",_xlfn.XLOOKUP(AB755,Cadastros!$G$6:$G$90,Cadastros!$H$6:$H$90)*(1-0.18),_xlfn.XLOOKUP(AB755,Cadastros!$G$6:$G$90,Cadastros!$H$6:$H$90))))</f>
        <v/>
      </c>
      <c r="AE755" s="168" t="str">
        <f t="shared" si="148"/>
        <v/>
      </c>
      <c r="AF755" s="168" t="str">
        <f t="shared" si="149"/>
        <v/>
      </c>
      <c r="AG755" s="28"/>
      <c r="AH755" s="28"/>
      <c r="AI755" s="20" t="str">
        <f>IF(AG755="","",IF($F755="Bernardino Furlan",_xlfn.XLOOKUP(AG755,Cadastros!$G$6:$G$90,Cadastros!$H$6:$H$90)*(1-0.18),IF($F755="Mauro José Salanti",_xlfn.XLOOKUP(AG755,Cadastros!$G$6:$G$90,Cadastros!$H$6:$H$90)*(1-0.18),_xlfn.XLOOKUP(AG755,Cadastros!$G$6:$G$90,Cadastros!$H$6:$H$90))))</f>
        <v/>
      </c>
      <c r="AJ755" s="168" t="str">
        <f t="shared" si="150"/>
        <v/>
      </c>
      <c r="AK755" s="168" t="str">
        <f t="shared" si="151"/>
        <v/>
      </c>
      <c r="AL755" s="28"/>
      <c r="AM755" s="28"/>
      <c r="AN755" s="20" t="str">
        <f>IF(AL755="","",IF($F755="Bernardino Furlan",_xlfn.XLOOKUP(AL755,Cadastros!$G$6:$G$90,Cadastros!$H$6:$H$90)*(1-0.18),IF($F755="Mauro José Salanti",_xlfn.XLOOKUP(AL755,Cadastros!$G$6:$G$90,Cadastros!$H$6:$H$90)*(1-0.18),_xlfn.XLOOKUP(AL755,Cadastros!$G$6:$G$90,Cadastros!$H$6:$H$90))))</f>
        <v/>
      </c>
      <c r="AO755" s="168" t="str">
        <f t="shared" si="152"/>
        <v/>
      </c>
      <c r="AP755" s="168" t="str">
        <f t="shared" si="153"/>
        <v/>
      </c>
      <c r="AQ755" s="28"/>
      <c r="AR755" s="28"/>
      <c r="AS755" s="20" t="str">
        <f>IF(AQ755="","",IF($F755="Bernardino Furlan",_xlfn.XLOOKUP(AQ755,Cadastros!$G$6:$G$90,Cadastros!$H$6:$H$90)*(1-0.18),IF($F755="Mauro José Salanti",_xlfn.XLOOKUP(AQ755,Cadastros!$G$6:$G$90,Cadastros!$H$6:$H$90)*(1-0.18),_xlfn.XLOOKUP(AQ755,Cadastros!$G$6:$G$90,Cadastros!$H$6:$H$90))))</f>
        <v/>
      </c>
      <c r="AT755" s="168" t="str">
        <f t="shared" si="154"/>
        <v/>
      </c>
      <c r="AU755" s="168" t="str">
        <f t="shared" si="155"/>
        <v/>
      </c>
      <c r="AV755" s="227"/>
      <c r="AW755" s="30"/>
      <c r="AX755" s="267"/>
      <c r="AY755" s="267"/>
      <c r="AZ755" s="29"/>
      <c r="BA755" s="30"/>
      <c r="BB755" s="23" t="str" cm="1">
        <f t="array" ref="BB755">_xlfn.IFS(AW755="SIM",SUM(K755,P755,U755,Z755,AE755,AJ755,AO755,AT755,AX755,AY755),F755&lt;&gt;"",SUM(K755,P755,U755,Z755,AE755,AJ755,,AO755,AT755),F755="","")</f>
        <v/>
      </c>
      <c r="BC755" s="211" t="str" cm="1">
        <f t="array" ref="BC755">_xlfn.IFS(E755="","",G755&lt;=E755,BB755*(1-0.03),G755&lt;(E755+8),BB755,AZ755="Boleto",BB755*(1+0.001)^DATEDIF(E755,G755,"D"),AZ755="Cheque",BB755,AZ755="Dinheiro","Alterar forma pgto")</f>
        <v/>
      </c>
      <c r="BD755" s="276" t="str" cm="1">
        <f t="array" ref="BD755">IF(F755=0," ",IF(BC755&lt;BB755,(_xlfn.IFS(AW755="SIM",SUM(L755,Q755,V755,AA755,AF755,AK755,AP755,AU755)+AX755/_xlfn.XLOOKUP(_xlfn.XLOOKUP($F755,Clientes!$B$4:$B$39,Clientes!$C$4:$C$39),Cadastros!$L$6:$L$12,Cadastros!$M$6:$M$12)+IF($F755="Bernardino Furlan",AY755/2751.92,IF($F755="Mauro José Salanti",AY755/2751.92,AY755/3356)),F755&lt;&gt;0,SUM(L755,Q755,V755,AA755,AF755,AK755,AP755,AU755)))*(1-0.03),_xlfn.IFS(AW755="SIM",SUM(L755,Q755,V755,AA755,AF755,AK755,AP755,AU755)+AX755/_xlfn.XLOOKUP(_xlfn.XLOOKUP($F755,Clientes!$B$4:$B$39,Clientes!$C$4:$C$39),Cadastros!$L$6:$L$12,Cadastros!$M$6:$M$12)+IF($F755="Bernardino Furlan",AY755/2751.92,IF($F755="Mauro José Salanti",AY755/2751.92,AY755/3356)),F755&lt;&gt;0,SUM(L755,Q755,V755,AA755,AF755,AK755,AP755,AU755))))</f>
        <v xml:space="preserve"> </v>
      </c>
      <c r="BE755" s="120"/>
      <c r="BF755" s="120"/>
      <c r="BG755" s="120"/>
    </row>
    <row r="756" spans="1:59" s="3" customFormat="1" x14ac:dyDescent="0.3">
      <c r="A756" s="15" t="str">
        <f t="shared" si="143"/>
        <v/>
      </c>
      <c r="B756" s="25"/>
      <c r="C756" s="26"/>
      <c r="D756" s="279"/>
      <c r="E756" s="27"/>
      <c r="F756" s="28"/>
      <c r="G756" s="27"/>
      <c r="H756" s="28"/>
      <c r="I756" s="28"/>
      <c r="J756" s="255" t="str">
        <f>IF(H756="","",(_xlfn.XLOOKUP(H756,Cadastros!$D$6:$D$90,Cadastros!$E$6:$E$90))*(1-_xlfn.XLOOKUP(_xlfn.XLOOKUP($F756,Clientes!$B$4:$B$39,Clientes!$C$4:$C$39),Cadastros!$L$6:$L$12,Cadastros!$N$6:$N$12)))</f>
        <v/>
      </c>
      <c r="K756" s="168" t="str">
        <f t="shared" si="144"/>
        <v/>
      </c>
      <c r="L756" s="168" t="str">
        <f>IFERROR(K756/_xlfn.XLOOKUP(_xlfn.XLOOKUP($F756,Clientes!$B$4:$B$39,Clientes!$C$4:$C$39),Cadastros!$L$6:$L$12,Cadastros!$M$6:$M$12)," ")</f>
        <v xml:space="preserve"> </v>
      </c>
      <c r="M756" s="28"/>
      <c r="N756" s="28"/>
      <c r="O756" s="255" t="str">
        <f>IF(M756="","",(_xlfn.XLOOKUP(M756,Cadastros!$D$6:$D$90,Cadastros!$E$6:$E$90))*(1-_xlfn.XLOOKUP(_xlfn.XLOOKUP($F756,Clientes!$B$4:$B$39,Clientes!$C$4:$C$39),Cadastros!$L$6:$L$12,Cadastros!$N$6:$N$12)))</f>
        <v/>
      </c>
      <c r="P756" s="168" t="str">
        <f t="shared" si="145"/>
        <v/>
      </c>
      <c r="Q756" s="168" t="str">
        <f>IFERROR(P756/_xlfn.XLOOKUP(_xlfn.XLOOKUP($F756,Clientes!$B$4:$B$39,Clientes!$C$4:$C$39),Cadastros!$L$6:$L$12,Cadastros!$M$6:$M$12)," ")</f>
        <v xml:space="preserve"> </v>
      </c>
      <c r="R756" s="28"/>
      <c r="S756" s="28"/>
      <c r="T756" s="255" t="str">
        <f>IF(R756="","",(_xlfn.XLOOKUP(R756,Cadastros!$D$6:$D$90,Cadastros!$E$6:$E$90))*(1-_xlfn.XLOOKUP(_xlfn.XLOOKUP($F756,Clientes!$B$4:$B$39,Clientes!$C$4:$C$39),Cadastros!$L$6:$L$12,Cadastros!$N$6:$N$12)))</f>
        <v/>
      </c>
      <c r="U756" s="168" t="str">
        <f t="shared" si="146"/>
        <v/>
      </c>
      <c r="V756" s="168" t="str">
        <f>IFERROR(U756/_xlfn.XLOOKUP(_xlfn.XLOOKUP($F756,Clientes!$B$4:$B$39,Clientes!$C$4:$C$39),Cadastros!$L$6:$L$12,Cadastros!$M$6:$M$12)," ")</f>
        <v xml:space="preserve"> </v>
      </c>
      <c r="W756" s="28"/>
      <c r="X756" s="28"/>
      <c r="Y756" s="255" t="str">
        <f>IF(W756="","",(_xlfn.XLOOKUP(W756,Cadastros!$D$6:$D$90,Cadastros!$E$6:$E$90))*(1-_xlfn.XLOOKUP(_xlfn.XLOOKUP($F756,Clientes!$B$4:$B$39,Clientes!$C$4:$C$39),Cadastros!$L$6:$L$12,Cadastros!$N$6:$N$12)))</f>
        <v/>
      </c>
      <c r="Z756" s="168" t="str">
        <f t="shared" si="147"/>
        <v/>
      </c>
      <c r="AA756" s="168" t="str">
        <f>IFERROR(Z756/_xlfn.XLOOKUP(_xlfn.XLOOKUP($F756,Clientes!$B$4:$B$39,Clientes!$C$4:$C$39),Cadastros!$L$6:$L$12,Cadastros!$M$6:$M$12)," ")</f>
        <v xml:space="preserve"> </v>
      </c>
      <c r="AB756" s="28"/>
      <c r="AC756" s="28"/>
      <c r="AD756" s="20" t="str">
        <f>IF(AB756="","",IF($F756="Bernardino Furlan",_xlfn.XLOOKUP(AB756,Cadastros!$G$6:$G$90,Cadastros!$H$6:$H$90)*(1-0.18),IF($F756="Mauro José Salanti",_xlfn.XLOOKUP(AB756,Cadastros!$G$6:$G$90,Cadastros!$H$6:$H$90)*(1-0.18),_xlfn.XLOOKUP(AB756,Cadastros!$G$6:$G$90,Cadastros!$H$6:$H$90))))</f>
        <v/>
      </c>
      <c r="AE756" s="168" t="str">
        <f t="shared" si="148"/>
        <v/>
      </c>
      <c r="AF756" s="168" t="str">
        <f t="shared" si="149"/>
        <v/>
      </c>
      <c r="AG756" s="28"/>
      <c r="AH756" s="28"/>
      <c r="AI756" s="20" t="str">
        <f>IF(AG756="","",IF($F756="Bernardino Furlan",_xlfn.XLOOKUP(AG756,Cadastros!$G$6:$G$90,Cadastros!$H$6:$H$90)*(1-0.18),IF($F756="Mauro José Salanti",_xlfn.XLOOKUP(AG756,Cadastros!$G$6:$G$90,Cadastros!$H$6:$H$90)*(1-0.18),_xlfn.XLOOKUP(AG756,Cadastros!$G$6:$G$90,Cadastros!$H$6:$H$90))))</f>
        <v/>
      </c>
      <c r="AJ756" s="168" t="str">
        <f t="shared" si="150"/>
        <v/>
      </c>
      <c r="AK756" s="168" t="str">
        <f t="shared" si="151"/>
        <v/>
      </c>
      <c r="AL756" s="28"/>
      <c r="AM756" s="28"/>
      <c r="AN756" s="20" t="str">
        <f>IF(AL756="","",IF($F756="Bernardino Furlan",_xlfn.XLOOKUP(AL756,Cadastros!$G$6:$G$90,Cadastros!$H$6:$H$90)*(1-0.18),IF($F756="Mauro José Salanti",_xlfn.XLOOKUP(AL756,Cadastros!$G$6:$G$90,Cadastros!$H$6:$H$90)*(1-0.18),_xlfn.XLOOKUP(AL756,Cadastros!$G$6:$G$90,Cadastros!$H$6:$H$90))))</f>
        <v/>
      </c>
      <c r="AO756" s="168" t="str">
        <f t="shared" si="152"/>
        <v/>
      </c>
      <c r="AP756" s="168" t="str">
        <f t="shared" si="153"/>
        <v/>
      </c>
      <c r="AQ756" s="28"/>
      <c r="AR756" s="28"/>
      <c r="AS756" s="20" t="str">
        <f>IF(AQ756="","",IF($F756="Bernardino Furlan",_xlfn.XLOOKUP(AQ756,Cadastros!$G$6:$G$90,Cadastros!$H$6:$H$90)*(1-0.18),IF($F756="Mauro José Salanti",_xlfn.XLOOKUP(AQ756,Cadastros!$G$6:$G$90,Cadastros!$H$6:$H$90)*(1-0.18),_xlfn.XLOOKUP(AQ756,Cadastros!$G$6:$G$90,Cadastros!$H$6:$H$90))))</f>
        <v/>
      </c>
      <c r="AT756" s="168" t="str">
        <f t="shared" si="154"/>
        <v/>
      </c>
      <c r="AU756" s="168" t="str">
        <f t="shared" si="155"/>
        <v/>
      </c>
      <c r="AV756" s="227"/>
      <c r="AW756" s="30"/>
      <c r="AX756" s="267"/>
      <c r="AY756" s="267"/>
      <c r="AZ756" s="29"/>
      <c r="BA756" s="30"/>
      <c r="BB756" s="23" t="str" cm="1">
        <f t="array" ref="BB756">_xlfn.IFS(AW756="SIM",SUM(K756,P756,U756,Z756,AE756,AJ756,AO756,AT756,AX756,AY756),F756&lt;&gt;"",SUM(K756,P756,U756,Z756,AE756,AJ756,,AO756,AT756),F756="","")</f>
        <v/>
      </c>
      <c r="BC756" s="211" t="str" cm="1">
        <f t="array" ref="BC756">_xlfn.IFS(E756="","",G756&lt;=E756,BB756*(1-0.03),G756&lt;(E756+8),BB756,AZ756="Boleto",BB756*(1+0.001)^DATEDIF(E756,G756,"D"),AZ756="Cheque",BB756,AZ756="Dinheiro","Alterar forma pgto")</f>
        <v/>
      </c>
      <c r="BD756" s="276" t="str" cm="1">
        <f t="array" ref="BD756">IF(F756=0," ",IF(BC756&lt;BB756,(_xlfn.IFS(AW756="SIM",SUM(L756,Q756,V756,AA756,AF756,AK756,AP756,AU756)+AX756/_xlfn.XLOOKUP(_xlfn.XLOOKUP($F756,Clientes!$B$4:$B$39,Clientes!$C$4:$C$39),Cadastros!$L$6:$L$12,Cadastros!$M$6:$M$12)+IF($F756="Bernardino Furlan",AY756/2751.92,IF($F756="Mauro José Salanti",AY756/2751.92,AY756/3356)),F756&lt;&gt;0,SUM(L756,Q756,V756,AA756,AF756,AK756,AP756,AU756)))*(1-0.03),_xlfn.IFS(AW756="SIM",SUM(L756,Q756,V756,AA756,AF756,AK756,AP756,AU756)+AX756/_xlfn.XLOOKUP(_xlfn.XLOOKUP($F756,Clientes!$B$4:$B$39,Clientes!$C$4:$C$39),Cadastros!$L$6:$L$12,Cadastros!$M$6:$M$12)+IF($F756="Bernardino Furlan",AY756/2751.92,IF($F756="Mauro José Salanti",AY756/2751.92,AY756/3356)),F756&lt;&gt;0,SUM(L756,Q756,V756,AA756,AF756,AK756,AP756,AU756))))</f>
        <v xml:space="preserve"> </v>
      </c>
      <c r="BE756" s="120"/>
      <c r="BF756" s="120"/>
      <c r="BG756" s="120"/>
    </row>
    <row r="757" spans="1:59" s="3" customFormat="1" x14ac:dyDescent="0.3">
      <c r="A757" s="15" t="str">
        <f t="shared" si="143"/>
        <v/>
      </c>
      <c r="B757" s="25"/>
      <c r="C757" s="26"/>
      <c r="D757" s="279"/>
      <c r="E757" s="27"/>
      <c r="F757" s="28"/>
      <c r="G757" s="27"/>
      <c r="H757" s="28"/>
      <c r="I757" s="28"/>
      <c r="J757" s="255" t="str">
        <f>IF(H757="","",(_xlfn.XLOOKUP(H757,Cadastros!$D$6:$D$90,Cadastros!$E$6:$E$90))*(1-_xlfn.XLOOKUP(_xlfn.XLOOKUP($F757,Clientes!$B$4:$B$39,Clientes!$C$4:$C$39),Cadastros!$L$6:$L$12,Cadastros!$N$6:$N$12)))</f>
        <v/>
      </c>
      <c r="K757" s="168" t="str">
        <f t="shared" si="144"/>
        <v/>
      </c>
      <c r="L757" s="168" t="str">
        <f>IFERROR(K757/_xlfn.XLOOKUP(_xlfn.XLOOKUP($F757,Clientes!$B$4:$B$39,Clientes!$C$4:$C$39),Cadastros!$L$6:$L$12,Cadastros!$M$6:$M$12)," ")</f>
        <v xml:space="preserve"> </v>
      </c>
      <c r="M757" s="28"/>
      <c r="N757" s="28"/>
      <c r="O757" s="255" t="str">
        <f>IF(M757="","",(_xlfn.XLOOKUP(M757,Cadastros!$D$6:$D$90,Cadastros!$E$6:$E$90))*(1-_xlfn.XLOOKUP(_xlfn.XLOOKUP($F757,Clientes!$B$4:$B$39,Clientes!$C$4:$C$39),Cadastros!$L$6:$L$12,Cadastros!$N$6:$N$12)))</f>
        <v/>
      </c>
      <c r="P757" s="168" t="str">
        <f t="shared" si="145"/>
        <v/>
      </c>
      <c r="Q757" s="168" t="str">
        <f>IFERROR(P757/_xlfn.XLOOKUP(_xlfn.XLOOKUP($F757,Clientes!$B$4:$B$39,Clientes!$C$4:$C$39),Cadastros!$L$6:$L$12,Cadastros!$M$6:$M$12)," ")</f>
        <v xml:space="preserve"> </v>
      </c>
      <c r="R757" s="28"/>
      <c r="S757" s="28"/>
      <c r="T757" s="255" t="str">
        <f>IF(R757="","",(_xlfn.XLOOKUP(R757,Cadastros!$D$6:$D$90,Cadastros!$E$6:$E$90))*(1-_xlfn.XLOOKUP(_xlfn.XLOOKUP($F757,Clientes!$B$4:$B$39,Clientes!$C$4:$C$39),Cadastros!$L$6:$L$12,Cadastros!$N$6:$N$12)))</f>
        <v/>
      </c>
      <c r="U757" s="168" t="str">
        <f t="shared" si="146"/>
        <v/>
      </c>
      <c r="V757" s="168" t="str">
        <f>IFERROR(U757/_xlfn.XLOOKUP(_xlfn.XLOOKUP($F757,Clientes!$B$4:$B$39,Clientes!$C$4:$C$39),Cadastros!$L$6:$L$12,Cadastros!$M$6:$M$12)," ")</f>
        <v xml:space="preserve"> </v>
      </c>
      <c r="W757" s="28"/>
      <c r="X757" s="28"/>
      <c r="Y757" s="255" t="str">
        <f>IF(W757="","",(_xlfn.XLOOKUP(W757,Cadastros!$D$6:$D$90,Cadastros!$E$6:$E$90))*(1-_xlfn.XLOOKUP(_xlfn.XLOOKUP($F757,Clientes!$B$4:$B$39,Clientes!$C$4:$C$39),Cadastros!$L$6:$L$12,Cadastros!$N$6:$N$12)))</f>
        <v/>
      </c>
      <c r="Z757" s="168" t="str">
        <f t="shared" si="147"/>
        <v/>
      </c>
      <c r="AA757" s="168" t="str">
        <f>IFERROR(Z757/_xlfn.XLOOKUP(_xlfn.XLOOKUP($F757,Clientes!$B$4:$B$39,Clientes!$C$4:$C$39),Cadastros!$L$6:$L$12,Cadastros!$M$6:$M$12)," ")</f>
        <v xml:space="preserve"> </v>
      </c>
      <c r="AB757" s="28"/>
      <c r="AC757" s="28"/>
      <c r="AD757" s="20" t="str">
        <f>IF(AB757="","",IF($F757="Bernardino Furlan",_xlfn.XLOOKUP(AB757,Cadastros!$G$6:$G$90,Cadastros!$H$6:$H$90)*(1-0.18),IF($F757="Mauro José Salanti",_xlfn.XLOOKUP(AB757,Cadastros!$G$6:$G$90,Cadastros!$H$6:$H$90)*(1-0.18),_xlfn.XLOOKUP(AB757,Cadastros!$G$6:$G$90,Cadastros!$H$6:$H$90))))</f>
        <v/>
      </c>
      <c r="AE757" s="168" t="str">
        <f t="shared" si="148"/>
        <v/>
      </c>
      <c r="AF757" s="168" t="str">
        <f t="shared" si="149"/>
        <v/>
      </c>
      <c r="AG757" s="28"/>
      <c r="AH757" s="28"/>
      <c r="AI757" s="20" t="str">
        <f>IF(AG757="","",IF($F757="Bernardino Furlan",_xlfn.XLOOKUP(AG757,Cadastros!$G$6:$G$90,Cadastros!$H$6:$H$90)*(1-0.18),IF($F757="Mauro José Salanti",_xlfn.XLOOKUP(AG757,Cadastros!$G$6:$G$90,Cadastros!$H$6:$H$90)*(1-0.18),_xlfn.XLOOKUP(AG757,Cadastros!$G$6:$G$90,Cadastros!$H$6:$H$90))))</f>
        <v/>
      </c>
      <c r="AJ757" s="168" t="str">
        <f t="shared" si="150"/>
        <v/>
      </c>
      <c r="AK757" s="168" t="str">
        <f t="shared" si="151"/>
        <v/>
      </c>
      <c r="AL757" s="28"/>
      <c r="AM757" s="28"/>
      <c r="AN757" s="20" t="str">
        <f>IF(AL757="","",IF($F757="Bernardino Furlan",_xlfn.XLOOKUP(AL757,Cadastros!$G$6:$G$90,Cadastros!$H$6:$H$90)*(1-0.18),IF($F757="Mauro José Salanti",_xlfn.XLOOKUP(AL757,Cadastros!$G$6:$G$90,Cadastros!$H$6:$H$90)*(1-0.18),_xlfn.XLOOKUP(AL757,Cadastros!$G$6:$G$90,Cadastros!$H$6:$H$90))))</f>
        <v/>
      </c>
      <c r="AO757" s="168" t="str">
        <f t="shared" si="152"/>
        <v/>
      </c>
      <c r="AP757" s="168" t="str">
        <f t="shared" si="153"/>
        <v/>
      </c>
      <c r="AQ757" s="28"/>
      <c r="AR757" s="28"/>
      <c r="AS757" s="20" t="str">
        <f>IF(AQ757="","",IF($F757="Bernardino Furlan",_xlfn.XLOOKUP(AQ757,Cadastros!$G$6:$G$90,Cadastros!$H$6:$H$90)*(1-0.18),IF($F757="Mauro José Salanti",_xlfn.XLOOKUP(AQ757,Cadastros!$G$6:$G$90,Cadastros!$H$6:$H$90)*(1-0.18),_xlfn.XLOOKUP(AQ757,Cadastros!$G$6:$G$90,Cadastros!$H$6:$H$90))))</f>
        <v/>
      </c>
      <c r="AT757" s="168" t="str">
        <f t="shared" si="154"/>
        <v/>
      </c>
      <c r="AU757" s="168" t="str">
        <f t="shared" si="155"/>
        <v/>
      </c>
      <c r="AV757" s="227"/>
      <c r="AW757" s="30"/>
      <c r="AX757" s="267"/>
      <c r="AY757" s="267"/>
      <c r="AZ757" s="29"/>
      <c r="BA757" s="30"/>
      <c r="BB757" s="23" t="str" cm="1">
        <f t="array" ref="BB757">_xlfn.IFS(AW757="SIM",SUM(K757,P757,U757,Z757,AE757,AJ757,AO757,AT757,AX757,AY757),F757&lt;&gt;"",SUM(K757,P757,U757,Z757,AE757,AJ757,,AO757,AT757),F757="","")</f>
        <v/>
      </c>
      <c r="BC757" s="211" t="str" cm="1">
        <f t="array" ref="BC757">_xlfn.IFS(E757="","",G757&lt;=E757,BB757*(1-0.03),G757&lt;(E757+8),BB757,AZ757="Boleto",BB757*(1+0.001)^DATEDIF(E757,G757,"D"),AZ757="Cheque",BB757,AZ757="Dinheiro","Alterar forma pgto")</f>
        <v/>
      </c>
      <c r="BD757" s="276" t="str" cm="1">
        <f t="array" ref="BD757">IF(F757=0," ",IF(BC757&lt;BB757,(_xlfn.IFS(AW757="SIM",SUM(L757,Q757,V757,AA757,AF757,AK757,AP757,AU757)+AX757/_xlfn.XLOOKUP(_xlfn.XLOOKUP($F757,Clientes!$B$4:$B$39,Clientes!$C$4:$C$39),Cadastros!$L$6:$L$12,Cadastros!$M$6:$M$12)+IF($F757="Bernardino Furlan",AY757/2751.92,IF($F757="Mauro José Salanti",AY757/2751.92,AY757/3356)),F757&lt;&gt;0,SUM(L757,Q757,V757,AA757,AF757,AK757,AP757,AU757)))*(1-0.03),_xlfn.IFS(AW757="SIM",SUM(L757,Q757,V757,AA757,AF757,AK757,AP757,AU757)+AX757/_xlfn.XLOOKUP(_xlfn.XLOOKUP($F757,Clientes!$B$4:$B$39,Clientes!$C$4:$C$39),Cadastros!$L$6:$L$12,Cadastros!$M$6:$M$12)+IF($F757="Bernardino Furlan",AY757/2751.92,IF($F757="Mauro José Salanti",AY757/2751.92,AY757/3356)),F757&lt;&gt;0,SUM(L757,Q757,V757,AA757,AF757,AK757,AP757,AU757))))</f>
        <v xml:space="preserve"> </v>
      </c>
      <c r="BE757" s="120"/>
      <c r="BF757" s="120"/>
      <c r="BG757" s="120"/>
    </row>
    <row r="758" spans="1:59" s="3" customFormat="1" x14ac:dyDescent="0.3">
      <c r="A758" s="15" t="str">
        <f t="shared" si="143"/>
        <v/>
      </c>
      <c r="B758" s="25"/>
      <c r="C758" s="26"/>
      <c r="D758" s="279"/>
      <c r="E758" s="27"/>
      <c r="F758" s="28"/>
      <c r="G758" s="27"/>
      <c r="H758" s="28"/>
      <c r="I758" s="28"/>
      <c r="J758" s="255" t="str">
        <f>IF(H758="","",(_xlfn.XLOOKUP(H758,Cadastros!$D$6:$D$90,Cadastros!$E$6:$E$90))*(1-_xlfn.XLOOKUP(_xlfn.XLOOKUP($F758,Clientes!$B$4:$B$39,Clientes!$C$4:$C$39),Cadastros!$L$6:$L$12,Cadastros!$N$6:$N$12)))</f>
        <v/>
      </c>
      <c r="K758" s="168" t="str">
        <f t="shared" si="144"/>
        <v/>
      </c>
      <c r="L758" s="168" t="str">
        <f>IFERROR(K758/_xlfn.XLOOKUP(_xlfn.XLOOKUP($F758,Clientes!$B$4:$B$39,Clientes!$C$4:$C$39),Cadastros!$L$6:$L$12,Cadastros!$M$6:$M$12)," ")</f>
        <v xml:space="preserve"> </v>
      </c>
      <c r="M758" s="28"/>
      <c r="N758" s="28"/>
      <c r="O758" s="255" t="str">
        <f>IF(M758="","",(_xlfn.XLOOKUP(M758,Cadastros!$D$6:$D$90,Cadastros!$E$6:$E$90))*(1-_xlfn.XLOOKUP(_xlfn.XLOOKUP($F758,Clientes!$B$4:$B$39,Clientes!$C$4:$C$39),Cadastros!$L$6:$L$12,Cadastros!$N$6:$N$12)))</f>
        <v/>
      </c>
      <c r="P758" s="168" t="str">
        <f t="shared" si="145"/>
        <v/>
      </c>
      <c r="Q758" s="168" t="str">
        <f>IFERROR(P758/_xlfn.XLOOKUP(_xlfn.XLOOKUP($F758,Clientes!$B$4:$B$39,Clientes!$C$4:$C$39),Cadastros!$L$6:$L$12,Cadastros!$M$6:$M$12)," ")</f>
        <v xml:space="preserve"> </v>
      </c>
      <c r="R758" s="28"/>
      <c r="S758" s="28"/>
      <c r="T758" s="255" t="str">
        <f>IF(R758="","",(_xlfn.XLOOKUP(R758,Cadastros!$D$6:$D$90,Cadastros!$E$6:$E$90))*(1-_xlfn.XLOOKUP(_xlfn.XLOOKUP($F758,Clientes!$B$4:$B$39,Clientes!$C$4:$C$39),Cadastros!$L$6:$L$12,Cadastros!$N$6:$N$12)))</f>
        <v/>
      </c>
      <c r="U758" s="168" t="str">
        <f t="shared" si="146"/>
        <v/>
      </c>
      <c r="V758" s="168" t="str">
        <f>IFERROR(U758/_xlfn.XLOOKUP(_xlfn.XLOOKUP($F758,Clientes!$B$4:$B$39,Clientes!$C$4:$C$39),Cadastros!$L$6:$L$12,Cadastros!$M$6:$M$12)," ")</f>
        <v xml:space="preserve"> </v>
      </c>
      <c r="W758" s="28"/>
      <c r="X758" s="28"/>
      <c r="Y758" s="255" t="str">
        <f>IF(W758="","",(_xlfn.XLOOKUP(W758,Cadastros!$D$6:$D$90,Cadastros!$E$6:$E$90))*(1-_xlfn.XLOOKUP(_xlfn.XLOOKUP($F758,Clientes!$B$4:$B$39,Clientes!$C$4:$C$39),Cadastros!$L$6:$L$12,Cadastros!$N$6:$N$12)))</f>
        <v/>
      </c>
      <c r="Z758" s="168" t="str">
        <f t="shared" si="147"/>
        <v/>
      </c>
      <c r="AA758" s="168" t="str">
        <f>IFERROR(Z758/_xlfn.XLOOKUP(_xlfn.XLOOKUP($F758,Clientes!$B$4:$B$39,Clientes!$C$4:$C$39),Cadastros!$L$6:$L$12,Cadastros!$M$6:$M$12)," ")</f>
        <v xml:space="preserve"> </v>
      </c>
      <c r="AB758" s="28"/>
      <c r="AC758" s="28"/>
      <c r="AD758" s="20" t="str">
        <f>IF(AB758="","",IF($F758="Bernardino Furlan",_xlfn.XLOOKUP(AB758,Cadastros!$G$6:$G$90,Cadastros!$H$6:$H$90)*(1-0.18),IF($F758="Mauro José Salanti",_xlfn.XLOOKUP(AB758,Cadastros!$G$6:$G$90,Cadastros!$H$6:$H$90)*(1-0.18),_xlfn.XLOOKUP(AB758,Cadastros!$G$6:$G$90,Cadastros!$H$6:$H$90))))</f>
        <v/>
      </c>
      <c r="AE758" s="168" t="str">
        <f t="shared" si="148"/>
        <v/>
      </c>
      <c r="AF758" s="168" t="str">
        <f t="shared" si="149"/>
        <v/>
      </c>
      <c r="AG758" s="28"/>
      <c r="AH758" s="28"/>
      <c r="AI758" s="20" t="str">
        <f>IF(AG758="","",IF($F758="Bernardino Furlan",_xlfn.XLOOKUP(AG758,Cadastros!$G$6:$G$90,Cadastros!$H$6:$H$90)*(1-0.18),IF($F758="Mauro José Salanti",_xlfn.XLOOKUP(AG758,Cadastros!$G$6:$G$90,Cadastros!$H$6:$H$90)*(1-0.18),_xlfn.XLOOKUP(AG758,Cadastros!$G$6:$G$90,Cadastros!$H$6:$H$90))))</f>
        <v/>
      </c>
      <c r="AJ758" s="168" t="str">
        <f t="shared" si="150"/>
        <v/>
      </c>
      <c r="AK758" s="168" t="str">
        <f t="shared" si="151"/>
        <v/>
      </c>
      <c r="AL758" s="28"/>
      <c r="AM758" s="28"/>
      <c r="AN758" s="20" t="str">
        <f>IF(AL758="","",IF($F758="Bernardino Furlan",_xlfn.XLOOKUP(AL758,Cadastros!$G$6:$G$90,Cadastros!$H$6:$H$90)*(1-0.18),IF($F758="Mauro José Salanti",_xlfn.XLOOKUP(AL758,Cadastros!$G$6:$G$90,Cadastros!$H$6:$H$90)*(1-0.18),_xlfn.XLOOKUP(AL758,Cadastros!$G$6:$G$90,Cadastros!$H$6:$H$90))))</f>
        <v/>
      </c>
      <c r="AO758" s="168" t="str">
        <f t="shared" si="152"/>
        <v/>
      </c>
      <c r="AP758" s="168" t="str">
        <f t="shared" si="153"/>
        <v/>
      </c>
      <c r="AQ758" s="28"/>
      <c r="AR758" s="28"/>
      <c r="AS758" s="20" t="str">
        <f>IF(AQ758="","",IF($F758="Bernardino Furlan",_xlfn.XLOOKUP(AQ758,Cadastros!$G$6:$G$90,Cadastros!$H$6:$H$90)*(1-0.18),IF($F758="Mauro José Salanti",_xlfn.XLOOKUP(AQ758,Cadastros!$G$6:$G$90,Cadastros!$H$6:$H$90)*(1-0.18),_xlfn.XLOOKUP(AQ758,Cadastros!$G$6:$G$90,Cadastros!$H$6:$H$90))))</f>
        <v/>
      </c>
      <c r="AT758" s="168" t="str">
        <f t="shared" si="154"/>
        <v/>
      </c>
      <c r="AU758" s="168" t="str">
        <f t="shared" si="155"/>
        <v/>
      </c>
      <c r="AV758" s="227"/>
      <c r="AW758" s="30"/>
      <c r="AX758" s="267"/>
      <c r="AY758" s="267"/>
      <c r="AZ758" s="29"/>
      <c r="BA758" s="30"/>
      <c r="BB758" s="23" t="str" cm="1">
        <f t="array" ref="BB758">_xlfn.IFS(AW758="SIM",SUM(K758,P758,U758,Z758,AE758,AJ758,AO758,AT758,AX758,AY758),F758&lt;&gt;"",SUM(K758,P758,U758,Z758,AE758,AJ758,,AO758,AT758),F758="","")</f>
        <v/>
      </c>
      <c r="BC758" s="211" t="str" cm="1">
        <f t="array" ref="BC758">_xlfn.IFS(E758="","",G758&lt;=E758,BB758*(1-0.03),G758&lt;(E758+8),BB758,AZ758="Boleto",BB758*(1+0.001)^DATEDIF(E758,G758,"D"),AZ758="Cheque",BB758,AZ758="Dinheiro","Alterar forma pgto")</f>
        <v/>
      </c>
      <c r="BD758" s="276" t="str" cm="1">
        <f t="array" ref="BD758">IF(F758=0," ",IF(BC758&lt;BB758,(_xlfn.IFS(AW758="SIM",SUM(L758,Q758,V758,AA758,AF758,AK758,AP758,AU758)+AX758/_xlfn.XLOOKUP(_xlfn.XLOOKUP($F758,Clientes!$B$4:$B$39,Clientes!$C$4:$C$39),Cadastros!$L$6:$L$12,Cadastros!$M$6:$M$12)+IF($F758="Bernardino Furlan",AY758/2751.92,IF($F758="Mauro José Salanti",AY758/2751.92,AY758/3356)),F758&lt;&gt;0,SUM(L758,Q758,V758,AA758,AF758,AK758,AP758,AU758)))*(1-0.03),_xlfn.IFS(AW758="SIM",SUM(L758,Q758,V758,AA758,AF758,AK758,AP758,AU758)+AX758/_xlfn.XLOOKUP(_xlfn.XLOOKUP($F758,Clientes!$B$4:$B$39,Clientes!$C$4:$C$39),Cadastros!$L$6:$L$12,Cadastros!$M$6:$M$12)+IF($F758="Bernardino Furlan",AY758/2751.92,IF($F758="Mauro José Salanti",AY758/2751.92,AY758/3356)),F758&lt;&gt;0,SUM(L758,Q758,V758,AA758,AF758,AK758,AP758,AU758))))</f>
        <v xml:space="preserve"> </v>
      </c>
      <c r="BE758" s="120"/>
      <c r="BF758" s="120"/>
      <c r="BG758" s="120"/>
    </row>
    <row r="759" spans="1:59" s="3" customFormat="1" x14ac:dyDescent="0.3">
      <c r="A759" s="15" t="str">
        <f t="shared" si="143"/>
        <v/>
      </c>
      <c r="B759" s="25"/>
      <c r="C759" s="26"/>
      <c r="D759" s="279"/>
      <c r="E759" s="27"/>
      <c r="F759" s="28"/>
      <c r="G759" s="27"/>
      <c r="H759" s="28"/>
      <c r="I759" s="28"/>
      <c r="J759" s="255" t="str">
        <f>IF(H759="","",(_xlfn.XLOOKUP(H759,Cadastros!$D$6:$D$90,Cadastros!$E$6:$E$90))*(1-_xlfn.XLOOKUP(_xlfn.XLOOKUP($F759,Clientes!$B$4:$B$39,Clientes!$C$4:$C$39),Cadastros!$L$6:$L$12,Cadastros!$N$6:$N$12)))</f>
        <v/>
      </c>
      <c r="K759" s="168" t="str">
        <f t="shared" si="144"/>
        <v/>
      </c>
      <c r="L759" s="168" t="str">
        <f>IFERROR(K759/_xlfn.XLOOKUP(_xlfn.XLOOKUP($F759,Clientes!$B$4:$B$39,Clientes!$C$4:$C$39),Cadastros!$L$6:$L$12,Cadastros!$M$6:$M$12)," ")</f>
        <v xml:space="preserve"> </v>
      </c>
      <c r="M759" s="28"/>
      <c r="N759" s="28"/>
      <c r="O759" s="255" t="str">
        <f>IF(M759="","",(_xlfn.XLOOKUP(M759,Cadastros!$D$6:$D$90,Cadastros!$E$6:$E$90))*(1-_xlfn.XLOOKUP(_xlfn.XLOOKUP($F759,Clientes!$B$4:$B$39,Clientes!$C$4:$C$39),Cadastros!$L$6:$L$12,Cadastros!$N$6:$N$12)))</f>
        <v/>
      </c>
      <c r="P759" s="168" t="str">
        <f t="shared" si="145"/>
        <v/>
      </c>
      <c r="Q759" s="168" t="str">
        <f>IFERROR(P759/_xlfn.XLOOKUP(_xlfn.XLOOKUP($F759,Clientes!$B$4:$B$39,Clientes!$C$4:$C$39),Cadastros!$L$6:$L$12,Cadastros!$M$6:$M$12)," ")</f>
        <v xml:space="preserve"> </v>
      </c>
      <c r="R759" s="28"/>
      <c r="S759" s="28"/>
      <c r="T759" s="255" t="str">
        <f>IF(R759="","",(_xlfn.XLOOKUP(R759,Cadastros!$D$6:$D$90,Cadastros!$E$6:$E$90))*(1-_xlfn.XLOOKUP(_xlfn.XLOOKUP($F759,Clientes!$B$4:$B$39,Clientes!$C$4:$C$39),Cadastros!$L$6:$L$12,Cadastros!$N$6:$N$12)))</f>
        <v/>
      </c>
      <c r="U759" s="168" t="str">
        <f t="shared" si="146"/>
        <v/>
      </c>
      <c r="V759" s="168" t="str">
        <f>IFERROR(U759/_xlfn.XLOOKUP(_xlfn.XLOOKUP($F759,Clientes!$B$4:$B$39,Clientes!$C$4:$C$39),Cadastros!$L$6:$L$12,Cadastros!$M$6:$M$12)," ")</f>
        <v xml:space="preserve"> </v>
      </c>
      <c r="W759" s="28"/>
      <c r="X759" s="28"/>
      <c r="Y759" s="255" t="str">
        <f>IF(W759="","",(_xlfn.XLOOKUP(W759,Cadastros!$D$6:$D$90,Cadastros!$E$6:$E$90))*(1-_xlfn.XLOOKUP(_xlfn.XLOOKUP($F759,Clientes!$B$4:$B$39,Clientes!$C$4:$C$39),Cadastros!$L$6:$L$12,Cadastros!$N$6:$N$12)))</f>
        <v/>
      </c>
      <c r="Z759" s="168" t="str">
        <f t="shared" si="147"/>
        <v/>
      </c>
      <c r="AA759" s="168" t="str">
        <f>IFERROR(Z759/_xlfn.XLOOKUP(_xlfn.XLOOKUP($F759,Clientes!$B$4:$B$39,Clientes!$C$4:$C$39),Cadastros!$L$6:$L$12,Cadastros!$M$6:$M$12)," ")</f>
        <v xml:space="preserve"> </v>
      </c>
      <c r="AB759" s="28"/>
      <c r="AC759" s="28"/>
      <c r="AD759" s="20" t="str">
        <f>IF(AB759="","",IF($F759="Bernardino Furlan",_xlfn.XLOOKUP(AB759,Cadastros!$G$6:$G$90,Cadastros!$H$6:$H$90)*(1-0.18),IF($F759="Mauro José Salanti",_xlfn.XLOOKUP(AB759,Cadastros!$G$6:$G$90,Cadastros!$H$6:$H$90)*(1-0.18),_xlfn.XLOOKUP(AB759,Cadastros!$G$6:$G$90,Cadastros!$H$6:$H$90))))</f>
        <v/>
      </c>
      <c r="AE759" s="168" t="str">
        <f t="shared" si="148"/>
        <v/>
      </c>
      <c r="AF759" s="168" t="str">
        <f t="shared" si="149"/>
        <v/>
      </c>
      <c r="AG759" s="28"/>
      <c r="AH759" s="28"/>
      <c r="AI759" s="20" t="str">
        <f>IF(AG759="","",IF($F759="Bernardino Furlan",_xlfn.XLOOKUP(AG759,Cadastros!$G$6:$G$90,Cadastros!$H$6:$H$90)*(1-0.18),IF($F759="Mauro José Salanti",_xlfn.XLOOKUP(AG759,Cadastros!$G$6:$G$90,Cadastros!$H$6:$H$90)*(1-0.18),_xlfn.XLOOKUP(AG759,Cadastros!$G$6:$G$90,Cadastros!$H$6:$H$90))))</f>
        <v/>
      </c>
      <c r="AJ759" s="168" t="str">
        <f t="shared" si="150"/>
        <v/>
      </c>
      <c r="AK759" s="168" t="str">
        <f t="shared" si="151"/>
        <v/>
      </c>
      <c r="AL759" s="28"/>
      <c r="AM759" s="28"/>
      <c r="AN759" s="20" t="str">
        <f>IF(AL759="","",IF($F759="Bernardino Furlan",_xlfn.XLOOKUP(AL759,Cadastros!$G$6:$G$90,Cadastros!$H$6:$H$90)*(1-0.18),IF($F759="Mauro José Salanti",_xlfn.XLOOKUP(AL759,Cadastros!$G$6:$G$90,Cadastros!$H$6:$H$90)*(1-0.18),_xlfn.XLOOKUP(AL759,Cadastros!$G$6:$G$90,Cadastros!$H$6:$H$90))))</f>
        <v/>
      </c>
      <c r="AO759" s="168" t="str">
        <f t="shared" si="152"/>
        <v/>
      </c>
      <c r="AP759" s="168" t="str">
        <f t="shared" si="153"/>
        <v/>
      </c>
      <c r="AQ759" s="28"/>
      <c r="AR759" s="28"/>
      <c r="AS759" s="20" t="str">
        <f>IF(AQ759="","",IF($F759="Bernardino Furlan",_xlfn.XLOOKUP(AQ759,Cadastros!$G$6:$G$90,Cadastros!$H$6:$H$90)*(1-0.18),IF($F759="Mauro José Salanti",_xlfn.XLOOKUP(AQ759,Cadastros!$G$6:$G$90,Cadastros!$H$6:$H$90)*(1-0.18),_xlfn.XLOOKUP(AQ759,Cadastros!$G$6:$G$90,Cadastros!$H$6:$H$90))))</f>
        <v/>
      </c>
      <c r="AT759" s="168" t="str">
        <f t="shared" si="154"/>
        <v/>
      </c>
      <c r="AU759" s="168" t="str">
        <f t="shared" si="155"/>
        <v/>
      </c>
      <c r="AV759" s="227"/>
      <c r="AW759" s="30"/>
      <c r="AX759" s="267"/>
      <c r="AY759" s="267"/>
      <c r="AZ759" s="29"/>
      <c r="BA759" s="30"/>
      <c r="BB759" s="23" t="str" cm="1">
        <f t="array" ref="BB759">_xlfn.IFS(AW759="SIM",SUM(K759,P759,U759,Z759,AE759,AJ759,AO759,AT759,AX759,AY759),F759&lt;&gt;"",SUM(K759,P759,U759,Z759,AE759,AJ759,,AO759,AT759),F759="","")</f>
        <v/>
      </c>
      <c r="BC759" s="211" t="str" cm="1">
        <f t="array" ref="BC759">_xlfn.IFS(E759="","",G759&lt;=E759,BB759*(1-0.03),G759&lt;(E759+8),BB759,AZ759="Boleto",BB759*(1+0.001)^DATEDIF(E759,G759,"D"),AZ759="Cheque",BB759,AZ759="Dinheiro","Alterar forma pgto")</f>
        <v/>
      </c>
      <c r="BD759" s="276" t="str" cm="1">
        <f t="array" ref="BD759">IF(F759=0," ",IF(BC759&lt;BB759,(_xlfn.IFS(AW759="SIM",SUM(L759,Q759,V759,AA759,AF759,AK759,AP759,AU759)+AX759/_xlfn.XLOOKUP(_xlfn.XLOOKUP($F759,Clientes!$B$4:$B$39,Clientes!$C$4:$C$39),Cadastros!$L$6:$L$12,Cadastros!$M$6:$M$12)+IF($F759="Bernardino Furlan",AY759/2751.92,IF($F759="Mauro José Salanti",AY759/2751.92,AY759/3356)),F759&lt;&gt;0,SUM(L759,Q759,V759,AA759,AF759,AK759,AP759,AU759)))*(1-0.03),_xlfn.IFS(AW759="SIM",SUM(L759,Q759,V759,AA759,AF759,AK759,AP759,AU759)+AX759/_xlfn.XLOOKUP(_xlfn.XLOOKUP($F759,Clientes!$B$4:$B$39,Clientes!$C$4:$C$39),Cadastros!$L$6:$L$12,Cadastros!$M$6:$M$12)+IF($F759="Bernardino Furlan",AY759/2751.92,IF($F759="Mauro José Salanti",AY759/2751.92,AY759/3356)),F759&lt;&gt;0,SUM(L759,Q759,V759,AA759,AF759,AK759,AP759,AU759))))</f>
        <v xml:space="preserve"> </v>
      </c>
      <c r="BE759" s="120"/>
      <c r="BF759" s="120"/>
      <c r="BG759" s="120"/>
    </row>
    <row r="760" spans="1:59" s="3" customFormat="1" x14ac:dyDescent="0.3">
      <c r="A760" s="15" t="str">
        <f t="shared" si="143"/>
        <v/>
      </c>
      <c r="B760" s="25"/>
      <c r="C760" s="26"/>
      <c r="D760" s="279"/>
      <c r="E760" s="27"/>
      <c r="F760" s="28"/>
      <c r="G760" s="27"/>
      <c r="H760" s="28"/>
      <c r="I760" s="28"/>
      <c r="J760" s="255" t="str">
        <f>IF(H760="","",(_xlfn.XLOOKUP(H760,Cadastros!$D$6:$D$90,Cadastros!$E$6:$E$90))*(1-_xlfn.XLOOKUP(_xlfn.XLOOKUP($F760,Clientes!$B$4:$B$39,Clientes!$C$4:$C$39),Cadastros!$L$6:$L$12,Cadastros!$N$6:$N$12)))</f>
        <v/>
      </c>
      <c r="K760" s="168" t="str">
        <f t="shared" si="144"/>
        <v/>
      </c>
      <c r="L760" s="168" t="str">
        <f>IFERROR(K760/_xlfn.XLOOKUP(_xlfn.XLOOKUP($F760,Clientes!$B$4:$B$39,Clientes!$C$4:$C$39),Cadastros!$L$6:$L$12,Cadastros!$M$6:$M$12)," ")</f>
        <v xml:space="preserve"> </v>
      </c>
      <c r="M760" s="28"/>
      <c r="N760" s="28"/>
      <c r="O760" s="255" t="str">
        <f>IF(M760="","",(_xlfn.XLOOKUP(M760,Cadastros!$D$6:$D$90,Cadastros!$E$6:$E$90))*(1-_xlfn.XLOOKUP(_xlfn.XLOOKUP($F760,Clientes!$B$4:$B$39,Clientes!$C$4:$C$39),Cadastros!$L$6:$L$12,Cadastros!$N$6:$N$12)))</f>
        <v/>
      </c>
      <c r="P760" s="168" t="str">
        <f t="shared" si="145"/>
        <v/>
      </c>
      <c r="Q760" s="168" t="str">
        <f>IFERROR(P760/_xlfn.XLOOKUP(_xlfn.XLOOKUP($F760,Clientes!$B$4:$B$39,Clientes!$C$4:$C$39),Cadastros!$L$6:$L$12,Cadastros!$M$6:$M$12)," ")</f>
        <v xml:space="preserve"> </v>
      </c>
      <c r="R760" s="28"/>
      <c r="S760" s="28"/>
      <c r="T760" s="255" t="str">
        <f>IF(R760="","",(_xlfn.XLOOKUP(R760,Cadastros!$D$6:$D$90,Cadastros!$E$6:$E$90))*(1-_xlfn.XLOOKUP(_xlfn.XLOOKUP($F760,Clientes!$B$4:$B$39,Clientes!$C$4:$C$39),Cadastros!$L$6:$L$12,Cadastros!$N$6:$N$12)))</f>
        <v/>
      </c>
      <c r="U760" s="168" t="str">
        <f t="shared" si="146"/>
        <v/>
      </c>
      <c r="V760" s="168" t="str">
        <f>IFERROR(U760/_xlfn.XLOOKUP(_xlfn.XLOOKUP($F760,Clientes!$B$4:$B$39,Clientes!$C$4:$C$39),Cadastros!$L$6:$L$12,Cadastros!$M$6:$M$12)," ")</f>
        <v xml:space="preserve"> </v>
      </c>
      <c r="W760" s="28"/>
      <c r="X760" s="28"/>
      <c r="Y760" s="255" t="str">
        <f>IF(W760="","",(_xlfn.XLOOKUP(W760,Cadastros!$D$6:$D$90,Cadastros!$E$6:$E$90))*(1-_xlfn.XLOOKUP(_xlfn.XLOOKUP($F760,Clientes!$B$4:$B$39,Clientes!$C$4:$C$39),Cadastros!$L$6:$L$12,Cadastros!$N$6:$N$12)))</f>
        <v/>
      </c>
      <c r="Z760" s="168" t="str">
        <f t="shared" si="147"/>
        <v/>
      </c>
      <c r="AA760" s="168" t="str">
        <f>IFERROR(Z760/_xlfn.XLOOKUP(_xlfn.XLOOKUP($F760,Clientes!$B$4:$B$39,Clientes!$C$4:$C$39),Cadastros!$L$6:$L$12,Cadastros!$M$6:$M$12)," ")</f>
        <v xml:space="preserve"> </v>
      </c>
      <c r="AB760" s="28"/>
      <c r="AC760" s="28"/>
      <c r="AD760" s="20" t="str">
        <f>IF(AB760="","",IF($F760="Bernardino Furlan",_xlfn.XLOOKUP(AB760,Cadastros!$G$6:$G$90,Cadastros!$H$6:$H$90)*(1-0.18),IF($F760="Mauro José Salanti",_xlfn.XLOOKUP(AB760,Cadastros!$G$6:$G$90,Cadastros!$H$6:$H$90)*(1-0.18),_xlfn.XLOOKUP(AB760,Cadastros!$G$6:$G$90,Cadastros!$H$6:$H$90))))</f>
        <v/>
      </c>
      <c r="AE760" s="168" t="str">
        <f t="shared" si="148"/>
        <v/>
      </c>
      <c r="AF760" s="168" t="str">
        <f t="shared" si="149"/>
        <v/>
      </c>
      <c r="AG760" s="28"/>
      <c r="AH760" s="28"/>
      <c r="AI760" s="20" t="str">
        <f>IF(AG760="","",IF($F760="Bernardino Furlan",_xlfn.XLOOKUP(AG760,Cadastros!$G$6:$G$90,Cadastros!$H$6:$H$90)*(1-0.18),IF($F760="Mauro José Salanti",_xlfn.XLOOKUP(AG760,Cadastros!$G$6:$G$90,Cadastros!$H$6:$H$90)*(1-0.18),_xlfn.XLOOKUP(AG760,Cadastros!$G$6:$G$90,Cadastros!$H$6:$H$90))))</f>
        <v/>
      </c>
      <c r="AJ760" s="168" t="str">
        <f t="shared" si="150"/>
        <v/>
      </c>
      <c r="AK760" s="168" t="str">
        <f t="shared" si="151"/>
        <v/>
      </c>
      <c r="AL760" s="28"/>
      <c r="AM760" s="28"/>
      <c r="AN760" s="20" t="str">
        <f>IF(AL760="","",IF($F760="Bernardino Furlan",_xlfn.XLOOKUP(AL760,Cadastros!$G$6:$G$90,Cadastros!$H$6:$H$90)*(1-0.18),IF($F760="Mauro José Salanti",_xlfn.XLOOKUP(AL760,Cadastros!$G$6:$G$90,Cadastros!$H$6:$H$90)*(1-0.18),_xlfn.XLOOKUP(AL760,Cadastros!$G$6:$G$90,Cadastros!$H$6:$H$90))))</f>
        <v/>
      </c>
      <c r="AO760" s="168" t="str">
        <f t="shared" si="152"/>
        <v/>
      </c>
      <c r="AP760" s="168" t="str">
        <f t="shared" si="153"/>
        <v/>
      </c>
      <c r="AQ760" s="28"/>
      <c r="AR760" s="28"/>
      <c r="AS760" s="20" t="str">
        <f>IF(AQ760="","",IF($F760="Bernardino Furlan",_xlfn.XLOOKUP(AQ760,Cadastros!$G$6:$G$90,Cadastros!$H$6:$H$90)*(1-0.18),IF($F760="Mauro José Salanti",_xlfn.XLOOKUP(AQ760,Cadastros!$G$6:$G$90,Cadastros!$H$6:$H$90)*(1-0.18),_xlfn.XLOOKUP(AQ760,Cadastros!$G$6:$G$90,Cadastros!$H$6:$H$90))))</f>
        <v/>
      </c>
      <c r="AT760" s="168" t="str">
        <f t="shared" si="154"/>
        <v/>
      </c>
      <c r="AU760" s="168" t="str">
        <f t="shared" si="155"/>
        <v/>
      </c>
      <c r="AV760" s="227"/>
      <c r="AW760" s="30"/>
      <c r="AX760" s="267"/>
      <c r="AY760" s="267"/>
      <c r="AZ760" s="29"/>
      <c r="BA760" s="30"/>
      <c r="BB760" s="23" t="str" cm="1">
        <f t="array" ref="BB760">_xlfn.IFS(AW760="SIM",SUM(K760,P760,U760,Z760,AE760,AJ760,AO760,AT760,AX760,AY760),F760&lt;&gt;"",SUM(K760,P760,U760,Z760,AE760,AJ760,,AO760,AT760),F760="","")</f>
        <v/>
      </c>
      <c r="BC760" s="211" t="str" cm="1">
        <f t="array" ref="BC760">_xlfn.IFS(E760="","",G760&lt;=E760,BB760*(1-0.03),G760&lt;(E760+8),BB760,AZ760="Boleto",BB760*(1+0.001)^DATEDIF(E760,G760,"D"),AZ760="Cheque",BB760,AZ760="Dinheiro","Alterar forma pgto")</f>
        <v/>
      </c>
      <c r="BD760" s="276" t="str" cm="1">
        <f t="array" ref="BD760">IF(F760=0," ",IF(BC760&lt;BB760,(_xlfn.IFS(AW760="SIM",SUM(L760,Q760,V760,AA760,AF760,AK760,AP760,AU760)+AX760/_xlfn.XLOOKUP(_xlfn.XLOOKUP($F760,Clientes!$B$4:$B$39,Clientes!$C$4:$C$39),Cadastros!$L$6:$L$12,Cadastros!$M$6:$M$12)+IF($F760="Bernardino Furlan",AY760/2751.92,IF($F760="Mauro José Salanti",AY760/2751.92,AY760/3356)),F760&lt;&gt;0,SUM(L760,Q760,V760,AA760,AF760,AK760,AP760,AU760)))*(1-0.03),_xlfn.IFS(AW760="SIM",SUM(L760,Q760,V760,AA760,AF760,AK760,AP760,AU760)+AX760/_xlfn.XLOOKUP(_xlfn.XLOOKUP($F760,Clientes!$B$4:$B$39,Clientes!$C$4:$C$39),Cadastros!$L$6:$L$12,Cadastros!$M$6:$M$12)+IF($F760="Bernardino Furlan",AY760/2751.92,IF($F760="Mauro José Salanti",AY760/2751.92,AY760/3356)),F760&lt;&gt;0,SUM(L760,Q760,V760,AA760,AF760,AK760,AP760,AU760))))</f>
        <v xml:space="preserve"> </v>
      </c>
      <c r="BE760" s="120"/>
      <c r="BF760" s="120"/>
      <c r="BG760" s="120"/>
    </row>
    <row r="761" spans="1:59" s="3" customFormat="1" x14ac:dyDescent="0.3">
      <c r="A761" s="15" t="str">
        <f t="shared" si="143"/>
        <v/>
      </c>
      <c r="B761" s="25"/>
      <c r="C761" s="26"/>
      <c r="D761" s="279"/>
      <c r="E761" s="27"/>
      <c r="F761" s="28"/>
      <c r="G761" s="27"/>
      <c r="H761" s="28"/>
      <c r="I761" s="28"/>
      <c r="J761" s="255" t="str">
        <f>IF(H761="","",(_xlfn.XLOOKUP(H761,Cadastros!$D$6:$D$90,Cadastros!$E$6:$E$90))*(1-_xlfn.XLOOKUP(_xlfn.XLOOKUP($F761,Clientes!$B$4:$B$39,Clientes!$C$4:$C$39),Cadastros!$L$6:$L$12,Cadastros!$N$6:$N$12)))</f>
        <v/>
      </c>
      <c r="K761" s="168" t="str">
        <f t="shared" si="144"/>
        <v/>
      </c>
      <c r="L761" s="168" t="str">
        <f>IFERROR(K761/_xlfn.XLOOKUP(_xlfn.XLOOKUP($F761,Clientes!$B$4:$B$39,Clientes!$C$4:$C$39),Cadastros!$L$6:$L$12,Cadastros!$M$6:$M$12)," ")</f>
        <v xml:space="preserve"> </v>
      </c>
      <c r="M761" s="28"/>
      <c r="N761" s="28"/>
      <c r="O761" s="255" t="str">
        <f>IF(M761="","",(_xlfn.XLOOKUP(M761,Cadastros!$D$6:$D$90,Cadastros!$E$6:$E$90))*(1-_xlfn.XLOOKUP(_xlfn.XLOOKUP($F761,Clientes!$B$4:$B$39,Clientes!$C$4:$C$39),Cadastros!$L$6:$L$12,Cadastros!$N$6:$N$12)))</f>
        <v/>
      </c>
      <c r="P761" s="168" t="str">
        <f t="shared" si="145"/>
        <v/>
      </c>
      <c r="Q761" s="168" t="str">
        <f>IFERROR(P761/_xlfn.XLOOKUP(_xlfn.XLOOKUP($F761,Clientes!$B$4:$B$39,Clientes!$C$4:$C$39),Cadastros!$L$6:$L$12,Cadastros!$M$6:$M$12)," ")</f>
        <v xml:space="preserve"> </v>
      </c>
      <c r="R761" s="28"/>
      <c r="S761" s="28"/>
      <c r="T761" s="255" t="str">
        <f>IF(R761="","",(_xlfn.XLOOKUP(R761,Cadastros!$D$6:$D$90,Cadastros!$E$6:$E$90))*(1-_xlfn.XLOOKUP(_xlfn.XLOOKUP($F761,Clientes!$B$4:$B$39,Clientes!$C$4:$C$39),Cadastros!$L$6:$L$12,Cadastros!$N$6:$N$12)))</f>
        <v/>
      </c>
      <c r="U761" s="168" t="str">
        <f t="shared" si="146"/>
        <v/>
      </c>
      <c r="V761" s="168" t="str">
        <f>IFERROR(U761/_xlfn.XLOOKUP(_xlfn.XLOOKUP($F761,Clientes!$B$4:$B$39,Clientes!$C$4:$C$39),Cadastros!$L$6:$L$12,Cadastros!$M$6:$M$12)," ")</f>
        <v xml:space="preserve"> </v>
      </c>
      <c r="W761" s="28"/>
      <c r="X761" s="28"/>
      <c r="Y761" s="255" t="str">
        <f>IF(W761="","",(_xlfn.XLOOKUP(W761,Cadastros!$D$6:$D$90,Cadastros!$E$6:$E$90))*(1-_xlfn.XLOOKUP(_xlfn.XLOOKUP($F761,Clientes!$B$4:$B$39,Clientes!$C$4:$C$39),Cadastros!$L$6:$L$12,Cadastros!$N$6:$N$12)))</f>
        <v/>
      </c>
      <c r="Z761" s="168" t="str">
        <f t="shared" si="147"/>
        <v/>
      </c>
      <c r="AA761" s="168" t="str">
        <f>IFERROR(Z761/_xlfn.XLOOKUP(_xlfn.XLOOKUP($F761,Clientes!$B$4:$B$39,Clientes!$C$4:$C$39),Cadastros!$L$6:$L$12,Cadastros!$M$6:$M$12)," ")</f>
        <v xml:space="preserve"> </v>
      </c>
      <c r="AB761" s="28"/>
      <c r="AC761" s="28"/>
      <c r="AD761" s="20" t="str">
        <f>IF(AB761="","",IF($F761="Bernardino Furlan",_xlfn.XLOOKUP(AB761,Cadastros!$G$6:$G$90,Cadastros!$H$6:$H$90)*(1-0.18),IF($F761="Mauro José Salanti",_xlfn.XLOOKUP(AB761,Cadastros!$G$6:$G$90,Cadastros!$H$6:$H$90)*(1-0.18),_xlfn.XLOOKUP(AB761,Cadastros!$G$6:$G$90,Cadastros!$H$6:$H$90))))</f>
        <v/>
      </c>
      <c r="AE761" s="168" t="str">
        <f t="shared" si="148"/>
        <v/>
      </c>
      <c r="AF761" s="168" t="str">
        <f t="shared" si="149"/>
        <v/>
      </c>
      <c r="AG761" s="28"/>
      <c r="AH761" s="28"/>
      <c r="AI761" s="20" t="str">
        <f>IF(AG761="","",IF($F761="Bernardino Furlan",_xlfn.XLOOKUP(AG761,Cadastros!$G$6:$G$90,Cadastros!$H$6:$H$90)*(1-0.18),IF($F761="Mauro José Salanti",_xlfn.XLOOKUP(AG761,Cadastros!$G$6:$G$90,Cadastros!$H$6:$H$90)*(1-0.18),_xlfn.XLOOKUP(AG761,Cadastros!$G$6:$G$90,Cadastros!$H$6:$H$90))))</f>
        <v/>
      </c>
      <c r="AJ761" s="168" t="str">
        <f t="shared" si="150"/>
        <v/>
      </c>
      <c r="AK761" s="168" t="str">
        <f t="shared" si="151"/>
        <v/>
      </c>
      <c r="AL761" s="28"/>
      <c r="AM761" s="28"/>
      <c r="AN761" s="20" t="str">
        <f>IF(AL761="","",IF($F761="Bernardino Furlan",_xlfn.XLOOKUP(AL761,Cadastros!$G$6:$G$90,Cadastros!$H$6:$H$90)*(1-0.18),IF($F761="Mauro José Salanti",_xlfn.XLOOKUP(AL761,Cadastros!$G$6:$G$90,Cadastros!$H$6:$H$90)*(1-0.18),_xlfn.XLOOKUP(AL761,Cadastros!$G$6:$G$90,Cadastros!$H$6:$H$90))))</f>
        <v/>
      </c>
      <c r="AO761" s="168" t="str">
        <f t="shared" si="152"/>
        <v/>
      </c>
      <c r="AP761" s="168" t="str">
        <f t="shared" si="153"/>
        <v/>
      </c>
      <c r="AQ761" s="28"/>
      <c r="AR761" s="28"/>
      <c r="AS761" s="20" t="str">
        <f>IF(AQ761="","",IF($F761="Bernardino Furlan",_xlfn.XLOOKUP(AQ761,Cadastros!$G$6:$G$90,Cadastros!$H$6:$H$90)*(1-0.18),IF($F761="Mauro José Salanti",_xlfn.XLOOKUP(AQ761,Cadastros!$G$6:$G$90,Cadastros!$H$6:$H$90)*(1-0.18),_xlfn.XLOOKUP(AQ761,Cadastros!$G$6:$G$90,Cadastros!$H$6:$H$90))))</f>
        <v/>
      </c>
      <c r="AT761" s="168" t="str">
        <f t="shared" si="154"/>
        <v/>
      </c>
      <c r="AU761" s="168" t="str">
        <f t="shared" si="155"/>
        <v/>
      </c>
      <c r="AV761" s="227"/>
      <c r="AW761" s="30"/>
      <c r="AX761" s="267"/>
      <c r="AY761" s="267"/>
      <c r="AZ761" s="29"/>
      <c r="BA761" s="30"/>
      <c r="BB761" s="23" t="str" cm="1">
        <f t="array" ref="BB761">_xlfn.IFS(AW761="SIM",SUM(K761,P761,U761,Z761,AE761,AJ761,AO761,AT761,AX761,AY761),F761&lt;&gt;"",SUM(K761,P761,U761,Z761,AE761,AJ761,,AO761,AT761),F761="","")</f>
        <v/>
      </c>
      <c r="BC761" s="211" t="str" cm="1">
        <f t="array" ref="BC761">_xlfn.IFS(E761="","",G761&lt;=E761,BB761*(1-0.03),G761&lt;(E761+8),BB761,AZ761="Boleto",BB761*(1+0.001)^DATEDIF(E761,G761,"D"),AZ761="Cheque",BB761,AZ761="Dinheiro","Alterar forma pgto")</f>
        <v/>
      </c>
      <c r="BD761" s="276" t="str" cm="1">
        <f t="array" ref="BD761">IF(F761=0," ",IF(BC761&lt;BB761,(_xlfn.IFS(AW761="SIM",SUM(L761,Q761,V761,AA761,AF761,AK761,AP761,AU761)+AX761/_xlfn.XLOOKUP(_xlfn.XLOOKUP($F761,Clientes!$B$4:$B$39,Clientes!$C$4:$C$39),Cadastros!$L$6:$L$12,Cadastros!$M$6:$M$12)+IF($F761="Bernardino Furlan",AY761/2751.92,IF($F761="Mauro José Salanti",AY761/2751.92,AY761/3356)),F761&lt;&gt;0,SUM(L761,Q761,V761,AA761,AF761,AK761,AP761,AU761)))*(1-0.03),_xlfn.IFS(AW761="SIM",SUM(L761,Q761,V761,AA761,AF761,AK761,AP761,AU761)+AX761/_xlfn.XLOOKUP(_xlfn.XLOOKUP($F761,Clientes!$B$4:$B$39,Clientes!$C$4:$C$39),Cadastros!$L$6:$L$12,Cadastros!$M$6:$M$12)+IF($F761="Bernardino Furlan",AY761/2751.92,IF($F761="Mauro José Salanti",AY761/2751.92,AY761/3356)),F761&lt;&gt;0,SUM(L761,Q761,V761,AA761,AF761,AK761,AP761,AU761))))</f>
        <v xml:space="preserve"> </v>
      </c>
      <c r="BE761" s="120"/>
      <c r="BF761" s="120"/>
      <c r="BG761" s="120"/>
    </row>
    <row r="762" spans="1:59" s="3" customFormat="1" x14ac:dyDescent="0.3">
      <c r="A762" s="15" t="str">
        <f t="shared" si="143"/>
        <v/>
      </c>
      <c r="B762" s="25"/>
      <c r="C762" s="26"/>
      <c r="D762" s="279"/>
      <c r="E762" s="27"/>
      <c r="F762" s="28"/>
      <c r="G762" s="27"/>
      <c r="H762" s="28"/>
      <c r="I762" s="28"/>
      <c r="J762" s="255" t="str">
        <f>IF(H762="","",(_xlfn.XLOOKUP(H762,Cadastros!$D$6:$D$90,Cadastros!$E$6:$E$90))*(1-_xlfn.XLOOKUP(_xlfn.XLOOKUP($F762,Clientes!$B$4:$B$39,Clientes!$C$4:$C$39),Cadastros!$L$6:$L$12,Cadastros!$N$6:$N$12)))</f>
        <v/>
      </c>
      <c r="K762" s="168" t="str">
        <f t="shared" si="144"/>
        <v/>
      </c>
      <c r="L762" s="168" t="str">
        <f>IFERROR(K762/_xlfn.XLOOKUP(_xlfn.XLOOKUP($F762,Clientes!$B$4:$B$39,Clientes!$C$4:$C$39),Cadastros!$L$6:$L$12,Cadastros!$M$6:$M$12)," ")</f>
        <v xml:space="preserve"> </v>
      </c>
      <c r="M762" s="28"/>
      <c r="N762" s="28"/>
      <c r="O762" s="255" t="str">
        <f>IF(M762="","",(_xlfn.XLOOKUP(M762,Cadastros!$D$6:$D$90,Cadastros!$E$6:$E$90))*(1-_xlfn.XLOOKUP(_xlfn.XLOOKUP($F762,Clientes!$B$4:$B$39,Clientes!$C$4:$C$39),Cadastros!$L$6:$L$12,Cadastros!$N$6:$N$12)))</f>
        <v/>
      </c>
      <c r="P762" s="168" t="str">
        <f t="shared" si="145"/>
        <v/>
      </c>
      <c r="Q762" s="168" t="str">
        <f>IFERROR(P762/_xlfn.XLOOKUP(_xlfn.XLOOKUP($F762,Clientes!$B$4:$B$39,Clientes!$C$4:$C$39),Cadastros!$L$6:$L$12,Cadastros!$M$6:$M$12)," ")</f>
        <v xml:space="preserve"> </v>
      </c>
      <c r="R762" s="28"/>
      <c r="S762" s="28"/>
      <c r="T762" s="255" t="str">
        <f>IF(R762="","",(_xlfn.XLOOKUP(R762,Cadastros!$D$6:$D$90,Cadastros!$E$6:$E$90))*(1-_xlfn.XLOOKUP(_xlfn.XLOOKUP($F762,Clientes!$B$4:$B$39,Clientes!$C$4:$C$39),Cadastros!$L$6:$L$12,Cadastros!$N$6:$N$12)))</f>
        <v/>
      </c>
      <c r="U762" s="168" t="str">
        <f t="shared" si="146"/>
        <v/>
      </c>
      <c r="V762" s="168" t="str">
        <f>IFERROR(U762/_xlfn.XLOOKUP(_xlfn.XLOOKUP($F762,Clientes!$B$4:$B$39,Clientes!$C$4:$C$39),Cadastros!$L$6:$L$12,Cadastros!$M$6:$M$12)," ")</f>
        <v xml:space="preserve"> </v>
      </c>
      <c r="W762" s="28"/>
      <c r="X762" s="28"/>
      <c r="Y762" s="255" t="str">
        <f>IF(W762="","",(_xlfn.XLOOKUP(W762,Cadastros!$D$6:$D$90,Cadastros!$E$6:$E$90))*(1-_xlfn.XLOOKUP(_xlfn.XLOOKUP($F762,Clientes!$B$4:$B$39,Clientes!$C$4:$C$39),Cadastros!$L$6:$L$12,Cadastros!$N$6:$N$12)))</f>
        <v/>
      </c>
      <c r="Z762" s="168" t="str">
        <f t="shared" si="147"/>
        <v/>
      </c>
      <c r="AA762" s="168" t="str">
        <f>IFERROR(Z762/_xlfn.XLOOKUP(_xlfn.XLOOKUP($F762,Clientes!$B$4:$B$39,Clientes!$C$4:$C$39),Cadastros!$L$6:$L$12,Cadastros!$M$6:$M$12)," ")</f>
        <v xml:space="preserve"> </v>
      </c>
      <c r="AB762" s="28"/>
      <c r="AC762" s="28"/>
      <c r="AD762" s="20" t="str">
        <f>IF(AB762="","",IF($F762="Bernardino Furlan",_xlfn.XLOOKUP(AB762,Cadastros!$G$6:$G$90,Cadastros!$H$6:$H$90)*(1-0.18),IF($F762="Mauro José Salanti",_xlfn.XLOOKUP(AB762,Cadastros!$G$6:$G$90,Cadastros!$H$6:$H$90)*(1-0.18),_xlfn.XLOOKUP(AB762,Cadastros!$G$6:$G$90,Cadastros!$H$6:$H$90))))</f>
        <v/>
      </c>
      <c r="AE762" s="168" t="str">
        <f t="shared" si="148"/>
        <v/>
      </c>
      <c r="AF762" s="168" t="str">
        <f t="shared" si="149"/>
        <v/>
      </c>
      <c r="AG762" s="28"/>
      <c r="AH762" s="28"/>
      <c r="AI762" s="20" t="str">
        <f>IF(AG762="","",IF($F762="Bernardino Furlan",_xlfn.XLOOKUP(AG762,Cadastros!$G$6:$G$90,Cadastros!$H$6:$H$90)*(1-0.18),IF($F762="Mauro José Salanti",_xlfn.XLOOKUP(AG762,Cadastros!$G$6:$G$90,Cadastros!$H$6:$H$90)*(1-0.18),_xlfn.XLOOKUP(AG762,Cadastros!$G$6:$G$90,Cadastros!$H$6:$H$90))))</f>
        <v/>
      </c>
      <c r="AJ762" s="168" t="str">
        <f t="shared" si="150"/>
        <v/>
      </c>
      <c r="AK762" s="168" t="str">
        <f t="shared" si="151"/>
        <v/>
      </c>
      <c r="AL762" s="28"/>
      <c r="AM762" s="28"/>
      <c r="AN762" s="20" t="str">
        <f>IF(AL762="","",IF($F762="Bernardino Furlan",_xlfn.XLOOKUP(AL762,Cadastros!$G$6:$G$90,Cadastros!$H$6:$H$90)*(1-0.18),IF($F762="Mauro José Salanti",_xlfn.XLOOKUP(AL762,Cadastros!$G$6:$G$90,Cadastros!$H$6:$H$90)*(1-0.18),_xlfn.XLOOKUP(AL762,Cadastros!$G$6:$G$90,Cadastros!$H$6:$H$90))))</f>
        <v/>
      </c>
      <c r="AO762" s="168" t="str">
        <f t="shared" si="152"/>
        <v/>
      </c>
      <c r="AP762" s="168" t="str">
        <f t="shared" si="153"/>
        <v/>
      </c>
      <c r="AQ762" s="28"/>
      <c r="AR762" s="28"/>
      <c r="AS762" s="20" t="str">
        <f>IF(AQ762="","",IF($F762="Bernardino Furlan",_xlfn.XLOOKUP(AQ762,Cadastros!$G$6:$G$90,Cadastros!$H$6:$H$90)*(1-0.18),IF($F762="Mauro José Salanti",_xlfn.XLOOKUP(AQ762,Cadastros!$G$6:$G$90,Cadastros!$H$6:$H$90)*(1-0.18),_xlfn.XLOOKUP(AQ762,Cadastros!$G$6:$G$90,Cadastros!$H$6:$H$90))))</f>
        <v/>
      </c>
      <c r="AT762" s="168" t="str">
        <f t="shared" si="154"/>
        <v/>
      </c>
      <c r="AU762" s="168" t="str">
        <f t="shared" si="155"/>
        <v/>
      </c>
      <c r="AV762" s="227"/>
      <c r="AW762" s="30"/>
      <c r="AX762" s="267"/>
      <c r="AY762" s="267"/>
      <c r="AZ762" s="29"/>
      <c r="BA762" s="30"/>
      <c r="BB762" s="23" t="str" cm="1">
        <f t="array" ref="BB762">_xlfn.IFS(AW762="SIM",SUM(K762,P762,U762,Z762,AE762,AJ762,AO762,AT762,AX762,AY762),F762&lt;&gt;"",SUM(K762,P762,U762,Z762,AE762,AJ762,,AO762,AT762),F762="","")</f>
        <v/>
      </c>
      <c r="BC762" s="211" t="str" cm="1">
        <f t="array" ref="BC762">_xlfn.IFS(E762="","",G762&lt;=E762,BB762*(1-0.03),G762&lt;(E762+8),BB762,AZ762="Boleto",BB762*(1+0.001)^DATEDIF(E762,G762,"D"),AZ762="Cheque",BB762,AZ762="Dinheiro","Alterar forma pgto")</f>
        <v/>
      </c>
      <c r="BD762" s="276" t="str" cm="1">
        <f t="array" ref="BD762">IF(F762=0," ",IF(BC762&lt;BB762,(_xlfn.IFS(AW762="SIM",SUM(L762,Q762,V762,AA762,AF762,AK762,AP762,AU762)+AX762/_xlfn.XLOOKUP(_xlfn.XLOOKUP($F762,Clientes!$B$4:$B$39,Clientes!$C$4:$C$39),Cadastros!$L$6:$L$12,Cadastros!$M$6:$M$12)+IF($F762="Bernardino Furlan",AY762/2751.92,IF($F762="Mauro José Salanti",AY762/2751.92,AY762/3356)),F762&lt;&gt;0,SUM(L762,Q762,V762,AA762,AF762,AK762,AP762,AU762)))*(1-0.03),_xlfn.IFS(AW762="SIM",SUM(L762,Q762,V762,AA762,AF762,AK762,AP762,AU762)+AX762/_xlfn.XLOOKUP(_xlfn.XLOOKUP($F762,Clientes!$B$4:$B$39,Clientes!$C$4:$C$39),Cadastros!$L$6:$L$12,Cadastros!$M$6:$M$12)+IF($F762="Bernardino Furlan",AY762/2751.92,IF($F762="Mauro José Salanti",AY762/2751.92,AY762/3356)),F762&lt;&gt;0,SUM(L762,Q762,V762,AA762,AF762,AK762,AP762,AU762))))</f>
        <v xml:space="preserve"> </v>
      </c>
      <c r="BE762" s="120"/>
      <c r="BF762" s="120"/>
      <c r="BG762" s="120"/>
    </row>
    <row r="763" spans="1:59" s="3" customFormat="1" x14ac:dyDescent="0.3">
      <c r="A763" s="15" t="str">
        <f t="shared" si="143"/>
        <v/>
      </c>
      <c r="B763" s="25"/>
      <c r="C763" s="26"/>
      <c r="D763" s="279"/>
      <c r="E763" s="27"/>
      <c r="F763" s="28"/>
      <c r="G763" s="27"/>
      <c r="H763" s="28"/>
      <c r="I763" s="28"/>
      <c r="J763" s="255" t="str">
        <f>IF(H763="","",(_xlfn.XLOOKUP(H763,Cadastros!$D$6:$D$90,Cadastros!$E$6:$E$90))*(1-_xlfn.XLOOKUP(_xlfn.XLOOKUP($F763,Clientes!$B$4:$B$39,Clientes!$C$4:$C$39),Cadastros!$L$6:$L$12,Cadastros!$N$6:$N$12)))</f>
        <v/>
      </c>
      <c r="K763" s="168" t="str">
        <f t="shared" si="144"/>
        <v/>
      </c>
      <c r="L763" s="168" t="str">
        <f>IFERROR(K763/_xlfn.XLOOKUP(_xlfn.XLOOKUP($F763,Clientes!$B$4:$B$39,Clientes!$C$4:$C$39),Cadastros!$L$6:$L$12,Cadastros!$M$6:$M$12)," ")</f>
        <v xml:space="preserve"> </v>
      </c>
      <c r="M763" s="28"/>
      <c r="N763" s="28"/>
      <c r="O763" s="255" t="str">
        <f>IF(M763="","",(_xlfn.XLOOKUP(M763,Cadastros!$D$6:$D$90,Cadastros!$E$6:$E$90))*(1-_xlfn.XLOOKUP(_xlfn.XLOOKUP($F763,Clientes!$B$4:$B$39,Clientes!$C$4:$C$39),Cadastros!$L$6:$L$12,Cadastros!$N$6:$N$12)))</f>
        <v/>
      </c>
      <c r="P763" s="168" t="str">
        <f t="shared" si="145"/>
        <v/>
      </c>
      <c r="Q763" s="168" t="str">
        <f>IFERROR(P763/_xlfn.XLOOKUP(_xlfn.XLOOKUP($F763,Clientes!$B$4:$B$39,Clientes!$C$4:$C$39),Cadastros!$L$6:$L$12,Cadastros!$M$6:$M$12)," ")</f>
        <v xml:space="preserve"> </v>
      </c>
      <c r="R763" s="28"/>
      <c r="S763" s="28"/>
      <c r="T763" s="255" t="str">
        <f>IF(R763="","",(_xlfn.XLOOKUP(R763,Cadastros!$D$6:$D$90,Cadastros!$E$6:$E$90))*(1-_xlfn.XLOOKUP(_xlfn.XLOOKUP($F763,Clientes!$B$4:$B$39,Clientes!$C$4:$C$39),Cadastros!$L$6:$L$12,Cadastros!$N$6:$N$12)))</f>
        <v/>
      </c>
      <c r="U763" s="168" t="str">
        <f t="shared" si="146"/>
        <v/>
      </c>
      <c r="V763" s="168" t="str">
        <f>IFERROR(U763/_xlfn.XLOOKUP(_xlfn.XLOOKUP($F763,Clientes!$B$4:$B$39,Clientes!$C$4:$C$39),Cadastros!$L$6:$L$12,Cadastros!$M$6:$M$12)," ")</f>
        <v xml:space="preserve"> </v>
      </c>
      <c r="W763" s="28"/>
      <c r="X763" s="28"/>
      <c r="Y763" s="255" t="str">
        <f>IF(W763="","",(_xlfn.XLOOKUP(W763,Cadastros!$D$6:$D$90,Cadastros!$E$6:$E$90))*(1-_xlfn.XLOOKUP(_xlfn.XLOOKUP($F763,Clientes!$B$4:$B$39,Clientes!$C$4:$C$39),Cadastros!$L$6:$L$12,Cadastros!$N$6:$N$12)))</f>
        <v/>
      </c>
      <c r="Z763" s="168" t="str">
        <f t="shared" si="147"/>
        <v/>
      </c>
      <c r="AA763" s="168" t="str">
        <f>IFERROR(Z763/_xlfn.XLOOKUP(_xlfn.XLOOKUP($F763,Clientes!$B$4:$B$39,Clientes!$C$4:$C$39),Cadastros!$L$6:$L$12,Cadastros!$M$6:$M$12)," ")</f>
        <v xml:space="preserve"> </v>
      </c>
      <c r="AB763" s="28"/>
      <c r="AC763" s="28"/>
      <c r="AD763" s="20" t="str">
        <f>IF(AB763="","",IF($F763="Bernardino Furlan",_xlfn.XLOOKUP(AB763,Cadastros!$G$6:$G$90,Cadastros!$H$6:$H$90)*(1-0.18),IF($F763="Mauro José Salanti",_xlfn.XLOOKUP(AB763,Cadastros!$G$6:$G$90,Cadastros!$H$6:$H$90)*(1-0.18),_xlfn.XLOOKUP(AB763,Cadastros!$G$6:$G$90,Cadastros!$H$6:$H$90))))</f>
        <v/>
      </c>
      <c r="AE763" s="168" t="str">
        <f t="shared" si="148"/>
        <v/>
      </c>
      <c r="AF763" s="168" t="str">
        <f t="shared" si="149"/>
        <v/>
      </c>
      <c r="AG763" s="28"/>
      <c r="AH763" s="28"/>
      <c r="AI763" s="20" t="str">
        <f>IF(AG763="","",IF($F763="Bernardino Furlan",_xlfn.XLOOKUP(AG763,Cadastros!$G$6:$G$90,Cadastros!$H$6:$H$90)*(1-0.18),IF($F763="Mauro José Salanti",_xlfn.XLOOKUP(AG763,Cadastros!$G$6:$G$90,Cadastros!$H$6:$H$90)*(1-0.18),_xlfn.XLOOKUP(AG763,Cadastros!$G$6:$G$90,Cadastros!$H$6:$H$90))))</f>
        <v/>
      </c>
      <c r="AJ763" s="168" t="str">
        <f t="shared" si="150"/>
        <v/>
      </c>
      <c r="AK763" s="168" t="str">
        <f t="shared" si="151"/>
        <v/>
      </c>
      <c r="AL763" s="28"/>
      <c r="AM763" s="28"/>
      <c r="AN763" s="20" t="str">
        <f>IF(AL763="","",IF($F763="Bernardino Furlan",_xlfn.XLOOKUP(AL763,Cadastros!$G$6:$G$90,Cadastros!$H$6:$H$90)*(1-0.18),IF($F763="Mauro José Salanti",_xlfn.XLOOKUP(AL763,Cadastros!$G$6:$G$90,Cadastros!$H$6:$H$90)*(1-0.18),_xlfn.XLOOKUP(AL763,Cadastros!$G$6:$G$90,Cadastros!$H$6:$H$90))))</f>
        <v/>
      </c>
      <c r="AO763" s="168" t="str">
        <f t="shared" si="152"/>
        <v/>
      </c>
      <c r="AP763" s="168" t="str">
        <f t="shared" si="153"/>
        <v/>
      </c>
      <c r="AQ763" s="28"/>
      <c r="AR763" s="28"/>
      <c r="AS763" s="20" t="str">
        <f>IF(AQ763="","",IF($F763="Bernardino Furlan",_xlfn.XLOOKUP(AQ763,Cadastros!$G$6:$G$90,Cadastros!$H$6:$H$90)*(1-0.18),IF($F763="Mauro José Salanti",_xlfn.XLOOKUP(AQ763,Cadastros!$G$6:$G$90,Cadastros!$H$6:$H$90)*(1-0.18),_xlfn.XLOOKUP(AQ763,Cadastros!$G$6:$G$90,Cadastros!$H$6:$H$90))))</f>
        <v/>
      </c>
      <c r="AT763" s="168" t="str">
        <f t="shared" si="154"/>
        <v/>
      </c>
      <c r="AU763" s="168" t="str">
        <f t="shared" si="155"/>
        <v/>
      </c>
      <c r="AV763" s="227"/>
      <c r="AW763" s="30"/>
      <c r="AX763" s="267"/>
      <c r="AY763" s="267"/>
      <c r="AZ763" s="29"/>
      <c r="BA763" s="30"/>
      <c r="BB763" s="23" t="str" cm="1">
        <f t="array" ref="BB763">_xlfn.IFS(AW763="SIM",SUM(K763,P763,U763,Z763,AE763,AJ763,AO763,AT763,AX763,AY763),F763&lt;&gt;"",SUM(K763,P763,U763,Z763,AE763,AJ763,,AO763,AT763),F763="","")</f>
        <v/>
      </c>
      <c r="BC763" s="211" t="str" cm="1">
        <f t="array" ref="BC763">_xlfn.IFS(E763="","",G763&lt;=E763,BB763*(1-0.03),G763&lt;(E763+8),BB763,AZ763="Boleto",BB763*(1+0.001)^DATEDIF(E763,G763,"D"),AZ763="Cheque",BB763,AZ763="Dinheiro","Alterar forma pgto")</f>
        <v/>
      </c>
      <c r="BD763" s="276" t="str" cm="1">
        <f t="array" ref="BD763">IF(F763=0," ",IF(BC763&lt;BB763,(_xlfn.IFS(AW763="SIM",SUM(L763,Q763,V763,AA763,AF763,AK763,AP763,AU763)+AX763/_xlfn.XLOOKUP(_xlfn.XLOOKUP($F763,Clientes!$B$4:$B$39,Clientes!$C$4:$C$39),Cadastros!$L$6:$L$12,Cadastros!$M$6:$M$12)+IF($F763="Bernardino Furlan",AY763/2751.92,IF($F763="Mauro José Salanti",AY763/2751.92,AY763/3356)),F763&lt;&gt;0,SUM(L763,Q763,V763,AA763,AF763,AK763,AP763,AU763)))*(1-0.03),_xlfn.IFS(AW763="SIM",SUM(L763,Q763,V763,AA763,AF763,AK763,AP763,AU763)+AX763/_xlfn.XLOOKUP(_xlfn.XLOOKUP($F763,Clientes!$B$4:$B$39,Clientes!$C$4:$C$39),Cadastros!$L$6:$L$12,Cadastros!$M$6:$M$12)+IF($F763="Bernardino Furlan",AY763/2751.92,IF($F763="Mauro José Salanti",AY763/2751.92,AY763/3356)),F763&lt;&gt;0,SUM(L763,Q763,V763,AA763,AF763,AK763,AP763,AU763))))</f>
        <v xml:space="preserve"> </v>
      </c>
      <c r="BE763" s="120"/>
      <c r="BF763" s="120"/>
      <c r="BG763" s="120"/>
    </row>
    <row r="764" spans="1:59" s="3" customFormat="1" x14ac:dyDescent="0.3">
      <c r="A764" s="15" t="str">
        <f t="shared" si="143"/>
        <v/>
      </c>
      <c r="B764" s="25"/>
      <c r="C764" s="26"/>
      <c r="D764" s="279"/>
      <c r="E764" s="27"/>
      <c r="F764" s="28"/>
      <c r="G764" s="27"/>
      <c r="H764" s="28"/>
      <c r="I764" s="28"/>
      <c r="J764" s="255" t="str">
        <f>IF(H764="","",(_xlfn.XLOOKUP(H764,Cadastros!$D$6:$D$90,Cadastros!$E$6:$E$90))*(1-_xlfn.XLOOKUP(_xlfn.XLOOKUP($F764,Clientes!$B$4:$B$39,Clientes!$C$4:$C$39),Cadastros!$L$6:$L$12,Cadastros!$N$6:$N$12)))</f>
        <v/>
      </c>
      <c r="K764" s="168" t="str">
        <f t="shared" si="144"/>
        <v/>
      </c>
      <c r="L764" s="168" t="str">
        <f>IFERROR(K764/_xlfn.XLOOKUP(_xlfn.XLOOKUP($F764,Clientes!$B$4:$B$39,Clientes!$C$4:$C$39),Cadastros!$L$6:$L$12,Cadastros!$M$6:$M$12)," ")</f>
        <v xml:space="preserve"> </v>
      </c>
      <c r="M764" s="28"/>
      <c r="N764" s="28"/>
      <c r="O764" s="255" t="str">
        <f>IF(M764="","",(_xlfn.XLOOKUP(M764,Cadastros!$D$6:$D$90,Cadastros!$E$6:$E$90))*(1-_xlfn.XLOOKUP(_xlfn.XLOOKUP($F764,Clientes!$B$4:$B$39,Clientes!$C$4:$C$39),Cadastros!$L$6:$L$12,Cadastros!$N$6:$N$12)))</f>
        <v/>
      </c>
      <c r="P764" s="168" t="str">
        <f t="shared" si="145"/>
        <v/>
      </c>
      <c r="Q764" s="168" t="str">
        <f>IFERROR(P764/_xlfn.XLOOKUP(_xlfn.XLOOKUP($F764,Clientes!$B$4:$B$39,Clientes!$C$4:$C$39),Cadastros!$L$6:$L$12,Cadastros!$M$6:$M$12)," ")</f>
        <v xml:space="preserve"> </v>
      </c>
      <c r="R764" s="28"/>
      <c r="S764" s="28"/>
      <c r="T764" s="255" t="str">
        <f>IF(R764="","",(_xlfn.XLOOKUP(R764,Cadastros!$D$6:$D$90,Cadastros!$E$6:$E$90))*(1-_xlfn.XLOOKUP(_xlfn.XLOOKUP($F764,Clientes!$B$4:$B$39,Clientes!$C$4:$C$39),Cadastros!$L$6:$L$12,Cadastros!$N$6:$N$12)))</f>
        <v/>
      </c>
      <c r="U764" s="168" t="str">
        <f t="shared" si="146"/>
        <v/>
      </c>
      <c r="V764" s="168" t="str">
        <f>IFERROR(U764/_xlfn.XLOOKUP(_xlfn.XLOOKUP($F764,Clientes!$B$4:$B$39,Clientes!$C$4:$C$39),Cadastros!$L$6:$L$12,Cadastros!$M$6:$M$12)," ")</f>
        <v xml:space="preserve"> </v>
      </c>
      <c r="W764" s="28"/>
      <c r="X764" s="28"/>
      <c r="Y764" s="255" t="str">
        <f>IF(W764="","",(_xlfn.XLOOKUP(W764,Cadastros!$D$6:$D$90,Cadastros!$E$6:$E$90))*(1-_xlfn.XLOOKUP(_xlfn.XLOOKUP($F764,Clientes!$B$4:$B$39,Clientes!$C$4:$C$39),Cadastros!$L$6:$L$12,Cadastros!$N$6:$N$12)))</f>
        <v/>
      </c>
      <c r="Z764" s="168" t="str">
        <f t="shared" si="147"/>
        <v/>
      </c>
      <c r="AA764" s="168" t="str">
        <f>IFERROR(Z764/_xlfn.XLOOKUP(_xlfn.XLOOKUP($F764,Clientes!$B$4:$B$39,Clientes!$C$4:$C$39),Cadastros!$L$6:$L$12,Cadastros!$M$6:$M$12)," ")</f>
        <v xml:space="preserve"> </v>
      </c>
      <c r="AB764" s="28"/>
      <c r="AC764" s="28"/>
      <c r="AD764" s="20" t="str">
        <f>IF(AB764="","",IF($F764="Bernardino Furlan",_xlfn.XLOOKUP(AB764,Cadastros!$G$6:$G$90,Cadastros!$H$6:$H$90)*(1-0.18),IF($F764="Mauro José Salanti",_xlfn.XLOOKUP(AB764,Cadastros!$G$6:$G$90,Cadastros!$H$6:$H$90)*(1-0.18),_xlfn.XLOOKUP(AB764,Cadastros!$G$6:$G$90,Cadastros!$H$6:$H$90))))</f>
        <v/>
      </c>
      <c r="AE764" s="168" t="str">
        <f t="shared" si="148"/>
        <v/>
      </c>
      <c r="AF764" s="168" t="str">
        <f t="shared" si="149"/>
        <v/>
      </c>
      <c r="AG764" s="28"/>
      <c r="AH764" s="28"/>
      <c r="AI764" s="20" t="str">
        <f>IF(AG764="","",IF($F764="Bernardino Furlan",_xlfn.XLOOKUP(AG764,Cadastros!$G$6:$G$90,Cadastros!$H$6:$H$90)*(1-0.18),IF($F764="Mauro José Salanti",_xlfn.XLOOKUP(AG764,Cadastros!$G$6:$G$90,Cadastros!$H$6:$H$90)*(1-0.18),_xlfn.XLOOKUP(AG764,Cadastros!$G$6:$G$90,Cadastros!$H$6:$H$90))))</f>
        <v/>
      </c>
      <c r="AJ764" s="168" t="str">
        <f t="shared" si="150"/>
        <v/>
      </c>
      <c r="AK764" s="168" t="str">
        <f t="shared" si="151"/>
        <v/>
      </c>
      <c r="AL764" s="28"/>
      <c r="AM764" s="28"/>
      <c r="AN764" s="20" t="str">
        <f>IF(AL764="","",IF($F764="Bernardino Furlan",_xlfn.XLOOKUP(AL764,Cadastros!$G$6:$G$90,Cadastros!$H$6:$H$90)*(1-0.18),IF($F764="Mauro José Salanti",_xlfn.XLOOKUP(AL764,Cadastros!$G$6:$G$90,Cadastros!$H$6:$H$90)*(1-0.18),_xlfn.XLOOKUP(AL764,Cadastros!$G$6:$G$90,Cadastros!$H$6:$H$90))))</f>
        <v/>
      </c>
      <c r="AO764" s="168" t="str">
        <f t="shared" si="152"/>
        <v/>
      </c>
      <c r="AP764" s="168" t="str">
        <f t="shared" si="153"/>
        <v/>
      </c>
      <c r="AQ764" s="28"/>
      <c r="AR764" s="28"/>
      <c r="AS764" s="20" t="str">
        <f>IF(AQ764="","",IF($F764="Bernardino Furlan",_xlfn.XLOOKUP(AQ764,Cadastros!$G$6:$G$90,Cadastros!$H$6:$H$90)*(1-0.18),IF($F764="Mauro José Salanti",_xlfn.XLOOKUP(AQ764,Cadastros!$G$6:$G$90,Cadastros!$H$6:$H$90)*(1-0.18),_xlfn.XLOOKUP(AQ764,Cadastros!$G$6:$G$90,Cadastros!$H$6:$H$90))))</f>
        <v/>
      </c>
      <c r="AT764" s="168" t="str">
        <f t="shared" si="154"/>
        <v/>
      </c>
      <c r="AU764" s="168" t="str">
        <f t="shared" si="155"/>
        <v/>
      </c>
      <c r="AV764" s="227"/>
      <c r="AW764" s="30"/>
      <c r="AX764" s="267"/>
      <c r="AY764" s="267"/>
      <c r="AZ764" s="29"/>
      <c r="BA764" s="30"/>
      <c r="BB764" s="23" t="str" cm="1">
        <f t="array" ref="BB764">_xlfn.IFS(AW764="SIM",SUM(K764,P764,U764,Z764,AE764,AJ764,AO764,AT764,AX764,AY764),F764&lt;&gt;"",SUM(K764,P764,U764,Z764,AE764,AJ764,,AO764,AT764),F764="","")</f>
        <v/>
      </c>
      <c r="BC764" s="211" t="str" cm="1">
        <f t="array" ref="BC764">_xlfn.IFS(E764="","",G764&lt;=E764,BB764*(1-0.03),G764&lt;(E764+8),BB764,AZ764="Boleto",BB764*(1+0.001)^DATEDIF(E764,G764,"D"),AZ764="Cheque",BB764,AZ764="Dinheiro","Alterar forma pgto")</f>
        <v/>
      </c>
      <c r="BD764" s="276" t="str" cm="1">
        <f t="array" ref="BD764">IF(F764=0," ",IF(BC764&lt;BB764,(_xlfn.IFS(AW764="SIM",SUM(L764,Q764,V764,AA764,AF764,AK764,AP764,AU764)+AX764/_xlfn.XLOOKUP(_xlfn.XLOOKUP($F764,Clientes!$B$4:$B$39,Clientes!$C$4:$C$39),Cadastros!$L$6:$L$12,Cadastros!$M$6:$M$12)+IF($F764="Bernardino Furlan",AY764/2751.92,IF($F764="Mauro José Salanti",AY764/2751.92,AY764/3356)),F764&lt;&gt;0,SUM(L764,Q764,V764,AA764,AF764,AK764,AP764,AU764)))*(1-0.03),_xlfn.IFS(AW764="SIM",SUM(L764,Q764,V764,AA764,AF764,AK764,AP764,AU764)+AX764/_xlfn.XLOOKUP(_xlfn.XLOOKUP($F764,Clientes!$B$4:$B$39,Clientes!$C$4:$C$39),Cadastros!$L$6:$L$12,Cadastros!$M$6:$M$12)+IF($F764="Bernardino Furlan",AY764/2751.92,IF($F764="Mauro José Salanti",AY764/2751.92,AY764/3356)),F764&lt;&gt;0,SUM(L764,Q764,V764,AA764,AF764,AK764,AP764,AU764))))</f>
        <v xml:space="preserve"> </v>
      </c>
      <c r="BE764" s="120"/>
      <c r="BF764" s="120"/>
      <c r="BG764" s="120"/>
    </row>
    <row r="765" spans="1:59" s="3" customFormat="1" x14ac:dyDescent="0.3">
      <c r="A765" s="15" t="str">
        <f t="shared" si="143"/>
        <v/>
      </c>
      <c r="B765" s="25"/>
      <c r="C765" s="26"/>
      <c r="D765" s="279"/>
      <c r="E765" s="27"/>
      <c r="F765" s="28"/>
      <c r="G765" s="27"/>
      <c r="H765" s="28"/>
      <c r="I765" s="28"/>
      <c r="J765" s="255" t="str">
        <f>IF(H765="","",(_xlfn.XLOOKUP(H765,Cadastros!$D$6:$D$90,Cadastros!$E$6:$E$90))*(1-_xlfn.XLOOKUP(_xlfn.XLOOKUP($F765,Clientes!$B$4:$B$39,Clientes!$C$4:$C$39),Cadastros!$L$6:$L$12,Cadastros!$N$6:$N$12)))</f>
        <v/>
      </c>
      <c r="K765" s="168" t="str">
        <f t="shared" si="144"/>
        <v/>
      </c>
      <c r="L765" s="168" t="str">
        <f>IFERROR(K765/_xlfn.XLOOKUP(_xlfn.XLOOKUP($F765,Clientes!$B$4:$B$39,Clientes!$C$4:$C$39),Cadastros!$L$6:$L$12,Cadastros!$M$6:$M$12)," ")</f>
        <v xml:space="preserve"> </v>
      </c>
      <c r="M765" s="28"/>
      <c r="N765" s="28"/>
      <c r="O765" s="255" t="str">
        <f>IF(M765="","",(_xlfn.XLOOKUP(M765,Cadastros!$D$6:$D$90,Cadastros!$E$6:$E$90))*(1-_xlfn.XLOOKUP(_xlfn.XLOOKUP($F765,Clientes!$B$4:$B$39,Clientes!$C$4:$C$39),Cadastros!$L$6:$L$12,Cadastros!$N$6:$N$12)))</f>
        <v/>
      </c>
      <c r="P765" s="168" t="str">
        <f t="shared" si="145"/>
        <v/>
      </c>
      <c r="Q765" s="168" t="str">
        <f>IFERROR(P765/_xlfn.XLOOKUP(_xlfn.XLOOKUP($F765,Clientes!$B$4:$B$39,Clientes!$C$4:$C$39),Cadastros!$L$6:$L$12,Cadastros!$M$6:$M$12)," ")</f>
        <v xml:space="preserve"> </v>
      </c>
      <c r="R765" s="28"/>
      <c r="S765" s="28"/>
      <c r="T765" s="255" t="str">
        <f>IF(R765="","",(_xlfn.XLOOKUP(R765,Cadastros!$D$6:$D$90,Cadastros!$E$6:$E$90))*(1-_xlfn.XLOOKUP(_xlfn.XLOOKUP($F765,Clientes!$B$4:$B$39,Clientes!$C$4:$C$39),Cadastros!$L$6:$L$12,Cadastros!$N$6:$N$12)))</f>
        <v/>
      </c>
      <c r="U765" s="168" t="str">
        <f t="shared" si="146"/>
        <v/>
      </c>
      <c r="V765" s="168" t="str">
        <f>IFERROR(U765/_xlfn.XLOOKUP(_xlfn.XLOOKUP($F765,Clientes!$B$4:$B$39,Clientes!$C$4:$C$39),Cadastros!$L$6:$L$12,Cadastros!$M$6:$M$12)," ")</f>
        <v xml:space="preserve"> </v>
      </c>
      <c r="W765" s="28"/>
      <c r="X765" s="28"/>
      <c r="Y765" s="255" t="str">
        <f>IF(W765="","",(_xlfn.XLOOKUP(W765,Cadastros!$D$6:$D$90,Cadastros!$E$6:$E$90))*(1-_xlfn.XLOOKUP(_xlfn.XLOOKUP($F765,Clientes!$B$4:$B$39,Clientes!$C$4:$C$39),Cadastros!$L$6:$L$12,Cadastros!$N$6:$N$12)))</f>
        <v/>
      </c>
      <c r="Z765" s="168" t="str">
        <f t="shared" si="147"/>
        <v/>
      </c>
      <c r="AA765" s="168" t="str">
        <f>IFERROR(Z765/_xlfn.XLOOKUP(_xlfn.XLOOKUP($F765,Clientes!$B$4:$B$39,Clientes!$C$4:$C$39),Cadastros!$L$6:$L$12,Cadastros!$M$6:$M$12)," ")</f>
        <v xml:space="preserve"> </v>
      </c>
      <c r="AB765" s="28"/>
      <c r="AC765" s="28"/>
      <c r="AD765" s="20" t="str">
        <f>IF(AB765="","",IF($F765="Bernardino Furlan",_xlfn.XLOOKUP(AB765,Cadastros!$G$6:$G$90,Cadastros!$H$6:$H$90)*(1-0.18),IF($F765="Mauro José Salanti",_xlfn.XLOOKUP(AB765,Cadastros!$G$6:$G$90,Cadastros!$H$6:$H$90)*(1-0.18),_xlfn.XLOOKUP(AB765,Cadastros!$G$6:$G$90,Cadastros!$H$6:$H$90))))</f>
        <v/>
      </c>
      <c r="AE765" s="168" t="str">
        <f t="shared" si="148"/>
        <v/>
      </c>
      <c r="AF765" s="168" t="str">
        <f t="shared" si="149"/>
        <v/>
      </c>
      <c r="AG765" s="28"/>
      <c r="AH765" s="28"/>
      <c r="AI765" s="20" t="str">
        <f>IF(AG765="","",IF($F765="Bernardino Furlan",_xlfn.XLOOKUP(AG765,Cadastros!$G$6:$G$90,Cadastros!$H$6:$H$90)*(1-0.18),IF($F765="Mauro José Salanti",_xlfn.XLOOKUP(AG765,Cadastros!$G$6:$G$90,Cadastros!$H$6:$H$90)*(1-0.18),_xlfn.XLOOKUP(AG765,Cadastros!$G$6:$G$90,Cadastros!$H$6:$H$90))))</f>
        <v/>
      </c>
      <c r="AJ765" s="168" t="str">
        <f t="shared" si="150"/>
        <v/>
      </c>
      <c r="AK765" s="168" t="str">
        <f t="shared" si="151"/>
        <v/>
      </c>
      <c r="AL765" s="28"/>
      <c r="AM765" s="28"/>
      <c r="AN765" s="20" t="str">
        <f>IF(AL765="","",IF($F765="Bernardino Furlan",_xlfn.XLOOKUP(AL765,Cadastros!$G$6:$G$90,Cadastros!$H$6:$H$90)*(1-0.18),IF($F765="Mauro José Salanti",_xlfn.XLOOKUP(AL765,Cadastros!$G$6:$G$90,Cadastros!$H$6:$H$90)*(1-0.18),_xlfn.XLOOKUP(AL765,Cadastros!$G$6:$G$90,Cadastros!$H$6:$H$90))))</f>
        <v/>
      </c>
      <c r="AO765" s="168" t="str">
        <f t="shared" si="152"/>
        <v/>
      </c>
      <c r="AP765" s="168" t="str">
        <f t="shared" si="153"/>
        <v/>
      </c>
      <c r="AQ765" s="28"/>
      <c r="AR765" s="28"/>
      <c r="AS765" s="20" t="str">
        <f>IF(AQ765="","",IF($F765="Bernardino Furlan",_xlfn.XLOOKUP(AQ765,Cadastros!$G$6:$G$90,Cadastros!$H$6:$H$90)*(1-0.18),IF($F765="Mauro José Salanti",_xlfn.XLOOKUP(AQ765,Cadastros!$G$6:$G$90,Cadastros!$H$6:$H$90)*(1-0.18),_xlfn.XLOOKUP(AQ765,Cadastros!$G$6:$G$90,Cadastros!$H$6:$H$90))))</f>
        <v/>
      </c>
      <c r="AT765" s="168" t="str">
        <f t="shared" si="154"/>
        <v/>
      </c>
      <c r="AU765" s="168" t="str">
        <f t="shared" si="155"/>
        <v/>
      </c>
      <c r="AV765" s="227"/>
      <c r="AW765" s="30"/>
      <c r="AX765" s="267"/>
      <c r="AY765" s="267"/>
      <c r="AZ765" s="29"/>
      <c r="BA765" s="30"/>
      <c r="BB765" s="23" t="str" cm="1">
        <f t="array" ref="BB765">_xlfn.IFS(AW765="SIM",SUM(K765,P765,U765,Z765,AE765,AJ765,AO765,AT765,AX765,AY765),F765&lt;&gt;"",SUM(K765,P765,U765,Z765,AE765,AJ765,,AO765,AT765),F765="","")</f>
        <v/>
      </c>
      <c r="BC765" s="211" t="str" cm="1">
        <f t="array" ref="BC765">_xlfn.IFS(E765="","",G765&lt;=E765,BB765*(1-0.03),G765&lt;(E765+8),BB765,AZ765="Boleto",BB765*(1+0.001)^DATEDIF(E765,G765,"D"),AZ765="Cheque",BB765,AZ765="Dinheiro","Alterar forma pgto")</f>
        <v/>
      </c>
      <c r="BD765" s="276" t="str" cm="1">
        <f t="array" ref="BD765">IF(F765=0," ",IF(BC765&lt;BB765,(_xlfn.IFS(AW765="SIM",SUM(L765,Q765,V765,AA765,AF765,AK765,AP765,AU765)+AX765/_xlfn.XLOOKUP(_xlfn.XLOOKUP($F765,Clientes!$B$4:$B$39,Clientes!$C$4:$C$39),Cadastros!$L$6:$L$12,Cadastros!$M$6:$M$12)+IF($F765="Bernardino Furlan",AY765/2751.92,IF($F765="Mauro José Salanti",AY765/2751.92,AY765/3356)),F765&lt;&gt;0,SUM(L765,Q765,V765,AA765,AF765,AK765,AP765,AU765)))*(1-0.03),_xlfn.IFS(AW765="SIM",SUM(L765,Q765,V765,AA765,AF765,AK765,AP765,AU765)+AX765/_xlfn.XLOOKUP(_xlfn.XLOOKUP($F765,Clientes!$B$4:$B$39,Clientes!$C$4:$C$39),Cadastros!$L$6:$L$12,Cadastros!$M$6:$M$12)+IF($F765="Bernardino Furlan",AY765/2751.92,IF($F765="Mauro José Salanti",AY765/2751.92,AY765/3356)),F765&lt;&gt;0,SUM(L765,Q765,V765,AA765,AF765,AK765,AP765,AU765))))</f>
        <v xml:space="preserve"> </v>
      </c>
      <c r="BE765" s="120"/>
      <c r="BF765" s="120"/>
      <c r="BG765" s="120"/>
    </row>
    <row r="766" spans="1:59" s="3" customFormat="1" x14ac:dyDescent="0.3">
      <c r="A766" s="15" t="str">
        <f t="shared" si="143"/>
        <v/>
      </c>
      <c r="B766" s="25"/>
      <c r="C766" s="26"/>
      <c r="D766" s="279"/>
      <c r="E766" s="27"/>
      <c r="F766" s="28"/>
      <c r="G766" s="27"/>
      <c r="H766" s="28"/>
      <c r="I766" s="28"/>
      <c r="J766" s="255" t="str">
        <f>IF(H766="","",(_xlfn.XLOOKUP(H766,Cadastros!$D$6:$D$90,Cadastros!$E$6:$E$90))*(1-_xlfn.XLOOKUP(_xlfn.XLOOKUP($F766,Clientes!$B$4:$B$39,Clientes!$C$4:$C$39),Cadastros!$L$6:$L$12,Cadastros!$N$6:$N$12)))</f>
        <v/>
      </c>
      <c r="K766" s="168" t="str">
        <f t="shared" si="144"/>
        <v/>
      </c>
      <c r="L766" s="168" t="str">
        <f>IFERROR(K766/_xlfn.XLOOKUP(_xlfn.XLOOKUP($F766,Clientes!$B$4:$B$39,Clientes!$C$4:$C$39),Cadastros!$L$6:$L$12,Cadastros!$M$6:$M$12)," ")</f>
        <v xml:space="preserve"> </v>
      </c>
      <c r="M766" s="28"/>
      <c r="N766" s="28"/>
      <c r="O766" s="255" t="str">
        <f>IF(M766="","",(_xlfn.XLOOKUP(M766,Cadastros!$D$6:$D$90,Cadastros!$E$6:$E$90))*(1-_xlfn.XLOOKUP(_xlfn.XLOOKUP($F766,Clientes!$B$4:$B$39,Clientes!$C$4:$C$39),Cadastros!$L$6:$L$12,Cadastros!$N$6:$N$12)))</f>
        <v/>
      </c>
      <c r="P766" s="168" t="str">
        <f t="shared" si="145"/>
        <v/>
      </c>
      <c r="Q766" s="168" t="str">
        <f>IFERROR(P766/_xlfn.XLOOKUP(_xlfn.XLOOKUP($F766,Clientes!$B$4:$B$39,Clientes!$C$4:$C$39),Cadastros!$L$6:$L$12,Cadastros!$M$6:$M$12)," ")</f>
        <v xml:space="preserve"> </v>
      </c>
      <c r="R766" s="28"/>
      <c r="S766" s="28"/>
      <c r="T766" s="255" t="str">
        <f>IF(R766="","",(_xlfn.XLOOKUP(R766,Cadastros!$D$6:$D$90,Cadastros!$E$6:$E$90))*(1-_xlfn.XLOOKUP(_xlfn.XLOOKUP($F766,Clientes!$B$4:$B$39,Clientes!$C$4:$C$39),Cadastros!$L$6:$L$12,Cadastros!$N$6:$N$12)))</f>
        <v/>
      </c>
      <c r="U766" s="168" t="str">
        <f t="shared" si="146"/>
        <v/>
      </c>
      <c r="V766" s="168" t="str">
        <f>IFERROR(U766/_xlfn.XLOOKUP(_xlfn.XLOOKUP($F766,Clientes!$B$4:$B$39,Clientes!$C$4:$C$39),Cadastros!$L$6:$L$12,Cadastros!$M$6:$M$12)," ")</f>
        <v xml:space="preserve"> </v>
      </c>
      <c r="W766" s="28"/>
      <c r="X766" s="28"/>
      <c r="Y766" s="255" t="str">
        <f>IF(W766="","",(_xlfn.XLOOKUP(W766,Cadastros!$D$6:$D$90,Cadastros!$E$6:$E$90))*(1-_xlfn.XLOOKUP(_xlfn.XLOOKUP($F766,Clientes!$B$4:$B$39,Clientes!$C$4:$C$39),Cadastros!$L$6:$L$12,Cadastros!$N$6:$N$12)))</f>
        <v/>
      </c>
      <c r="Z766" s="168" t="str">
        <f t="shared" si="147"/>
        <v/>
      </c>
      <c r="AA766" s="168" t="str">
        <f>IFERROR(Z766/_xlfn.XLOOKUP(_xlfn.XLOOKUP($F766,Clientes!$B$4:$B$39,Clientes!$C$4:$C$39),Cadastros!$L$6:$L$12,Cadastros!$M$6:$M$12)," ")</f>
        <v xml:space="preserve"> </v>
      </c>
      <c r="AB766" s="28"/>
      <c r="AC766" s="28"/>
      <c r="AD766" s="20" t="str">
        <f>IF(AB766="","",IF($F766="Bernardino Furlan",_xlfn.XLOOKUP(AB766,Cadastros!$G$6:$G$90,Cadastros!$H$6:$H$90)*(1-0.18),IF($F766="Mauro José Salanti",_xlfn.XLOOKUP(AB766,Cadastros!$G$6:$G$90,Cadastros!$H$6:$H$90)*(1-0.18),_xlfn.XLOOKUP(AB766,Cadastros!$G$6:$G$90,Cadastros!$H$6:$H$90))))</f>
        <v/>
      </c>
      <c r="AE766" s="168" t="str">
        <f t="shared" si="148"/>
        <v/>
      </c>
      <c r="AF766" s="168" t="str">
        <f t="shared" si="149"/>
        <v/>
      </c>
      <c r="AG766" s="28"/>
      <c r="AH766" s="28"/>
      <c r="AI766" s="20" t="str">
        <f>IF(AG766="","",IF($F766="Bernardino Furlan",_xlfn.XLOOKUP(AG766,Cadastros!$G$6:$G$90,Cadastros!$H$6:$H$90)*(1-0.18),IF($F766="Mauro José Salanti",_xlfn.XLOOKUP(AG766,Cadastros!$G$6:$G$90,Cadastros!$H$6:$H$90)*(1-0.18),_xlfn.XLOOKUP(AG766,Cadastros!$G$6:$G$90,Cadastros!$H$6:$H$90))))</f>
        <v/>
      </c>
      <c r="AJ766" s="168" t="str">
        <f t="shared" si="150"/>
        <v/>
      </c>
      <c r="AK766" s="168" t="str">
        <f t="shared" si="151"/>
        <v/>
      </c>
      <c r="AL766" s="28"/>
      <c r="AM766" s="28"/>
      <c r="AN766" s="20" t="str">
        <f>IF(AL766="","",IF($F766="Bernardino Furlan",_xlfn.XLOOKUP(AL766,Cadastros!$G$6:$G$90,Cadastros!$H$6:$H$90)*(1-0.18),IF($F766="Mauro José Salanti",_xlfn.XLOOKUP(AL766,Cadastros!$G$6:$G$90,Cadastros!$H$6:$H$90)*(1-0.18),_xlfn.XLOOKUP(AL766,Cadastros!$G$6:$G$90,Cadastros!$H$6:$H$90))))</f>
        <v/>
      </c>
      <c r="AO766" s="168" t="str">
        <f t="shared" si="152"/>
        <v/>
      </c>
      <c r="AP766" s="168" t="str">
        <f t="shared" si="153"/>
        <v/>
      </c>
      <c r="AQ766" s="28"/>
      <c r="AR766" s="28"/>
      <c r="AS766" s="20" t="str">
        <f>IF(AQ766="","",IF($F766="Bernardino Furlan",_xlfn.XLOOKUP(AQ766,Cadastros!$G$6:$G$90,Cadastros!$H$6:$H$90)*(1-0.18),IF($F766="Mauro José Salanti",_xlfn.XLOOKUP(AQ766,Cadastros!$G$6:$G$90,Cadastros!$H$6:$H$90)*(1-0.18),_xlfn.XLOOKUP(AQ766,Cadastros!$G$6:$G$90,Cadastros!$H$6:$H$90))))</f>
        <v/>
      </c>
      <c r="AT766" s="168" t="str">
        <f t="shared" si="154"/>
        <v/>
      </c>
      <c r="AU766" s="168" t="str">
        <f t="shared" si="155"/>
        <v/>
      </c>
      <c r="AV766" s="227"/>
      <c r="AW766" s="30"/>
      <c r="AX766" s="267"/>
      <c r="AY766" s="267"/>
      <c r="AZ766" s="29"/>
      <c r="BA766" s="30"/>
      <c r="BB766" s="23" t="str" cm="1">
        <f t="array" ref="BB766">_xlfn.IFS(AW766="SIM",SUM(K766,P766,U766,Z766,AE766,AJ766,AO766,AT766,AX766,AY766),F766&lt;&gt;"",SUM(K766,P766,U766,Z766,AE766,AJ766,,AO766,AT766),F766="","")</f>
        <v/>
      </c>
      <c r="BC766" s="211" t="str" cm="1">
        <f t="array" ref="BC766">_xlfn.IFS(E766="","",G766&lt;=E766,BB766*(1-0.03),G766&lt;(E766+8),BB766,AZ766="Boleto",BB766*(1+0.001)^DATEDIF(E766,G766,"D"),AZ766="Cheque",BB766,AZ766="Dinheiro","Alterar forma pgto")</f>
        <v/>
      </c>
      <c r="BD766" s="276" t="str" cm="1">
        <f t="array" ref="BD766">IF(F766=0," ",IF(BC766&lt;BB766,(_xlfn.IFS(AW766="SIM",SUM(L766,Q766,V766,AA766,AF766,AK766,AP766,AU766)+AX766/_xlfn.XLOOKUP(_xlfn.XLOOKUP($F766,Clientes!$B$4:$B$39,Clientes!$C$4:$C$39),Cadastros!$L$6:$L$12,Cadastros!$M$6:$M$12)+IF($F766="Bernardino Furlan",AY766/2751.92,IF($F766="Mauro José Salanti",AY766/2751.92,AY766/3356)),F766&lt;&gt;0,SUM(L766,Q766,V766,AA766,AF766,AK766,AP766,AU766)))*(1-0.03),_xlfn.IFS(AW766="SIM",SUM(L766,Q766,V766,AA766,AF766,AK766,AP766,AU766)+AX766/_xlfn.XLOOKUP(_xlfn.XLOOKUP($F766,Clientes!$B$4:$B$39,Clientes!$C$4:$C$39),Cadastros!$L$6:$L$12,Cadastros!$M$6:$M$12)+IF($F766="Bernardino Furlan",AY766/2751.92,IF($F766="Mauro José Salanti",AY766/2751.92,AY766/3356)),F766&lt;&gt;0,SUM(L766,Q766,V766,AA766,AF766,AK766,AP766,AU766))))</f>
        <v xml:space="preserve"> </v>
      </c>
      <c r="BE766" s="120"/>
      <c r="BF766" s="120"/>
      <c r="BG766" s="120"/>
    </row>
    <row r="767" spans="1:59" s="3" customFormat="1" x14ac:dyDescent="0.3">
      <c r="A767" s="15" t="str">
        <f t="shared" si="143"/>
        <v/>
      </c>
      <c r="B767" s="25"/>
      <c r="C767" s="26"/>
      <c r="D767" s="279"/>
      <c r="E767" s="27"/>
      <c r="F767" s="28"/>
      <c r="G767" s="27"/>
      <c r="H767" s="28"/>
      <c r="I767" s="28"/>
      <c r="J767" s="255" t="str">
        <f>IF(H767="","",(_xlfn.XLOOKUP(H767,Cadastros!$D$6:$D$90,Cadastros!$E$6:$E$90))*(1-_xlfn.XLOOKUP(_xlfn.XLOOKUP($F767,Clientes!$B$4:$B$39,Clientes!$C$4:$C$39),Cadastros!$L$6:$L$12,Cadastros!$N$6:$N$12)))</f>
        <v/>
      </c>
      <c r="K767" s="168" t="str">
        <f t="shared" si="144"/>
        <v/>
      </c>
      <c r="L767" s="168" t="str">
        <f>IFERROR(K767/_xlfn.XLOOKUP(_xlfn.XLOOKUP($F767,Clientes!$B$4:$B$39,Clientes!$C$4:$C$39),Cadastros!$L$6:$L$12,Cadastros!$M$6:$M$12)," ")</f>
        <v xml:space="preserve"> </v>
      </c>
      <c r="M767" s="28"/>
      <c r="N767" s="28"/>
      <c r="O767" s="255" t="str">
        <f>IF(M767="","",(_xlfn.XLOOKUP(M767,Cadastros!$D$6:$D$90,Cadastros!$E$6:$E$90))*(1-_xlfn.XLOOKUP(_xlfn.XLOOKUP($F767,Clientes!$B$4:$B$39,Clientes!$C$4:$C$39),Cadastros!$L$6:$L$12,Cadastros!$N$6:$N$12)))</f>
        <v/>
      </c>
      <c r="P767" s="168" t="str">
        <f t="shared" si="145"/>
        <v/>
      </c>
      <c r="Q767" s="168" t="str">
        <f>IFERROR(P767/_xlfn.XLOOKUP(_xlfn.XLOOKUP($F767,Clientes!$B$4:$B$39,Clientes!$C$4:$C$39),Cadastros!$L$6:$L$12,Cadastros!$M$6:$M$12)," ")</f>
        <v xml:space="preserve"> </v>
      </c>
      <c r="R767" s="28"/>
      <c r="S767" s="28"/>
      <c r="T767" s="255" t="str">
        <f>IF(R767="","",(_xlfn.XLOOKUP(R767,Cadastros!$D$6:$D$90,Cadastros!$E$6:$E$90))*(1-_xlfn.XLOOKUP(_xlfn.XLOOKUP($F767,Clientes!$B$4:$B$39,Clientes!$C$4:$C$39),Cadastros!$L$6:$L$12,Cadastros!$N$6:$N$12)))</f>
        <v/>
      </c>
      <c r="U767" s="168" t="str">
        <f t="shared" si="146"/>
        <v/>
      </c>
      <c r="V767" s="168" t="str">
        <f>IFERROR(U767/_xlfn.XLOOKUP(_xlfn.XLOOKUP($F767,Clientes!$B$4:$B$39,Clientes!$C$4:$C$39),Cadastros!$L$6:$L$12,Cadastros!$M$6:$M$12)," ")</f>
        <v xml:space="preserve"> </v>
      </c>
      <c r="W767" s="28"/>
      <c r="X767" s="28"/>
      <c r="Y767" s="255" t="str">
        <f>IF(W767="","",(_xlfn.XLOOKUP(W767,Cadastros!$D$6:$D$90,Cadastros!$E$6:$E$90))*(1-_xlfn.XLOOKUP(_xlfn.XLOOKUP($F767,Clientes!$B$4:$B$39,Clientes!$C$4:$C$39),Cadastros!$L$6:$L$12,Cadastros!$N$6:$N$12)))</f>
        <v/>
      </c>
      <c r="Z767" s="168" t="str">
        <f t="shared" si="147"/>
        <v/>
      </c>
      <c r="AA767" s="168" t="str">
        <f>IFERROR(Z767/_xlfn.XLOOKUP(_xlfn.XLOOKUP($F767,Clientes!$B$4:$B$39,Clientes!$C$4:$C$39),Cadastros!$L$6:$L$12,Cadastros!$M$6:$M$12)," ")</f>
        <v xml:space="preserve"> </v>
      </c>
      <c r="AB767" s="28"/>
      <c r="AC767" s="28"/>
      <c r="AD767" s="20" t="str">
        <f>IF(AB767="","",IF($F767="Bernardino Furlan",_xlfn.XLOOKUP(AB767,Cadastros!$G$6:$G$90,Cadastros!$H$6:$H$90)*(1-0.18),IF($F767="Mauro José Salanti",_xlfn.XLOOKUP(AB767,Cadastros!$G$6:$G$90,Cadastros!$H$6:$H$90)*(1-0.18),_xlfn.XLOOKUP(AB767,Cadastros!$G$6:$G$90,Cadastros!$H$6:$H$90))))</f>
        <v/>
      </c>
      <c r="AE767" s="168" t="str">
        <f t="shared" si="148"/>
        <v/>
      </c>
      <c r="AF767" s="168" t="str">
        <f t="shared" si="149"/>
        <v/>
      </c>
      <c r="AG767" s="28"/>
      <c r="AH767" s="28"/>
      <c r="AI767" s="20" t="str">
        <f>IF(AG767="","",IF($F767="Bernardino Furlan",_xlfn.XLOOKUP(AG767,Cadastros!$G$6:$G$90,Cadastros!$H$6:$H$90)*(1-0.18),IF($F767="Mauro José Salanti",_xlfn.XLOOKUP(AG767,Cadastros!$G$6:$G$90,Cadastros!$H$6:$H$90)*(1-0.18),_xlfn.XLOOKUP(AG767,Cadastros!$G$6:$G$90,Cadastros!$H$6:$H$90))))</f>
        <v/>
      </c>
      <c r="AJ767" s="168" t="str">
        <f t="shared" si="150"/>
        <v/>
      </c>
      <c r="AK767" s="168" t="str">
        <f t="shared" si="151"/>
        <v/>
      </c>
      <c r="AL767" s="28"/>
      <c r="AM767" s="28"/>
      <c r="AN767" s="20" t="str">
        <f>IF(AL767="","",IF($F767="Bernardino Furlan",_xlfn.XLOOKUP(AL767,Cadastros!$G$6:$G$90,Cadastros!$H$6:$H$90)*(1-0.18),IF($F767="Mauro José Salanti",_xlfn.XLOOKUP(AL767,Cadastros!$G$6:$G$90,Cadastros!$H$6:$H$90)*(1-0.18),_xlfn.XLOOKUP(AL767,Cadastros!$G$6:$G$90,Cadastros!$H$6:$H$90))))</f>
        <v/>
      </c>
      <c r="AO767" s="168" t="str">
        <f t="shared" si="152"/>
        <v/>
      </c>
      <c r="AP767" s="168" t="str">
        <f t="shared" si="153"/>
        <v/>
      </c>
      <c r="AQ767" s="28"/>
      <c r="AR767" s="28"/>
      <c r="AS767" s="20" t="str">
        <f>IF(AQ767="","",IF($F767="Bernardino Furlan",_xlfn.XLOOKUP(AQ767,Cadastros!$G$6:$G$90,Cadastros!$H$6:$H$90)*(1-0.18),IF($F767="Mauro José Salanti",_xlfn.XLOOKUP(AQ767,Cadastros!$G$6:$G$90,Cadastros!$H$6:$H$90)*(1-0.18),_xlfn.XLOOKUP(AQ767,Cadastros!$G$6:$G$90,Cadastros!$H$6:$H$90))))</f>
        <v/>
      </c>
      <c r="AT767" s="168" t="str">
        <f t="shared" si="154"/>
        <v/>
      </c>
      <c r="AU767" s="168" t="str">
        <f t="shared" si="155"/>
        <v/>
      </c>
      <c r="AV767" s="227"/>
      <c r="AW767" s="30"/>
      <c r="AX767" s="267"/>
      <c r="AY767" s="267"/>
      <c r="AZ767" s="29"/>
      <c r="BA767" s="30"/>
      <c r="BB767" s="23" t="str" cm="1">
        <f t="array" ref="BB767">_xlfn.IFS(AW767="SIM",SUM(K767,P767,U767,Z767,AE767,AJ767,AO767,AT767,AX767,AY767),F767&lt;&gt;"",SUM(K767,P767,U767,Z767,AE767,AJ767,,AO767,AT767),F767="","")</f>
        <v/>
      </c>
      <c r="BC767" s="211" t="str" cm="1">
        <f t="array" ref="BC767">_xlfn.IFS(E767="","",G767&lt;=E767,BB767*(1-0.03),G767&lt;(E767+8),BB767,AZ767="Boleto",BB767*(1+0.001)^DATEDIF(E767,G767,"D"),AZ767="Cheque",BB767,AZ767="Dinheiro","Alterar forma pgto")</f>
        <v/>
      </c>
      <c r="BD767" s="276" t="str" cm="1">
        <f t="array" ref="BD767">IF(F767=0," ",IF(BC767&lt;BB767,(_xlfn.IFS(AW767="SIM",SUM(L767,Q767,V767,AA767,AF767,AK767,AP767,AU767)+AX767/_xlfn.XLOOKUP(_xlfn.XLOOKUP($F767,Clientes!$B$4:$B$39,Clientes!$C$4:$C$39),Cadastros!$L$6:$L$12,Cadastros!$M$6:$M$12)+IF($F767="Bernardino Furlan",AY767/2751.92,IF($F767="Mauro José Salanti",AY767/2751.92,AY767/3356)),F767&lt;&gt;0,SUM(L767,Q767,V767,AA767,AF767,AK767,AP767,AU767)))*(1-0.03),_xlfn.IFS(AW767="SIM",SUM(L767,Q767,V767,AA767,AF767,AK767,AP767,AU767)+AX767/_xlfn.XLOOKUP(_xlfn.XLOOKUP($F767,Clientes!$B$4:$B$39,Clientes!$C$4:$C$39),Cadastros!$L$6:$L$12,Cadastros!$M$6:$M$12)+IF($F767="Bernardino Furlan",AY767/2751.92,IF($F767="Mauro José Salanti",AY767/2751.92,AY767/3356)),F767&lt;&gt;0,SUM(L767,Q767,V767,AA767,AF767,AK767,AP767,AU767))))</f>
        <v xml:space="preserve"> </v>
      </c>
      <c r="BE767" s="120"/>
      <c r="BF767" s="120"/>
      <c r="BG767" s="120"/>
    </row>
    <row r="768" spans="1:59" s="3" customFormat="1" x14ac:dyDescent="0.3">
      <c r="A768" s="15" t="str">
        <f t="shared" si="143"/>
        <v/>
      </c>
      <c r="B768" s="25"/>
      <c r="C768" s="26"/>
      <c r="D768" s="279"/>
      <c r="E768" s="27"/>
      <c r="F768" s="28"/>
      <c r="G768" s="27"/>
      <c r="H768" s="28"/>
      <c r="I768" s="28"/>
      <c r="J768" s="255" t="str">
        <f>IF(H768="","",(_xlfn.XLOOKUP(H768,Cadastros!$D$6:$D$90,Cadastros!$E$6:$E$90))*(1-_xlfn.XLOOKUP(_xlfn.XLOOKUP($F768,Clientes!$B$4:$B$39,Clientes!$C$4:$C$39),Cadastros!$L$6:$L$12,Cadastros!$N$6:$N$12)))</f>
        <v/>
      </c>
      <c r="K768" s="168" t="str">
        <f t="shared" si="144"/>
        <v/>
      </c>
      <c r="L768" s="168" t="str">
        <f>IFERROR(K768/_xlfn.XLOOKUP(_xlfn.XLOOKUP($F768,Clientes!$B$4:$B$39,Clientes!$C$4:$C$39),Cadastros!$L$6:$L$12,Cadastros!$M$6:$M$12)," ")</f>
        <v xml:space="preserve"> </v>
      </c>
      <c r="M768" s="28"/>
      <c r="N768" s="28"/>
      <c r="O768" s="255" t="str">
        <f>IF(M768="","",(_xlfn.XLOOKUP(M768,Cadastros!$D$6:$D$90,Cadastros!$E$6:$E$90))*(1-_xlfn.XLOOKUP(_xlfn.XLOOKUP($F768,Clientes!$B$4:$B$39,Clientes!$C$4:$C$39),Cadastros!$L$6:$L$12,Cadastros!$N$6:$N$12)))</f>
        <v/>
      </c>
      <c r="P768" s="168" t="str">
        <f t="shared" si="145"/>
        <v/>
      </c>
      <c r="Q768" s="168" t="str">
        <f>IFERROR(P768/_xlfn.XLOOKUP(_xlfn.XLOOKUP($F768,Clientes!$B$4:$B$39,Clientes!$C$4:$C$39),Cadastros!$L$6:$L$12,Cadastros!$M$6:$M$12)," ")</f>
        <v xml:space="preserve"> </v>
      </c>
      <c r="R768" s="28"/>
      <c r="S768" s="28"/>
      <c r="T768" s="255" t="str">
        <f>IF(R768="","",(_xlfn.XLOOKUP(R768,Cadastros!$D$6:$D$90,Cadastros!$E$6:$E$90))*(1-_xlfn.XLOOKUP(_xlfn.XLOOKUP($F768,Clientes!$B$4:$B$39,Clientes!$C$4:$C$39),Cadastros!$L$6:$L$12,Cadastros!$N$6:$N$12)))</f>
        <v/>
      </c>
      <c r="U768" s="168" t="str">
        <f t="shared" si="146"/>
        <v/>
      </c>
      <c r="V768" s="168" t="str">
        <f>IFERROR(U768/_xlfn.XLOOKUP(_xlfn.XLOOKUP($F768,Clientes!$B$4:$B$39,Clientes!$C$4:$C$39),Cadastros!$L$6:$L$12,Cadastros!$M$6:$M$12)," ")</f>
        <v xml:space="preserve"> </v>
      </c>
      <c r="W768" s="28"/>
      <c r="X768" s="28"/>
      <c r="Y768" s="255" t="str">
        <f>IF(W768="","",(_xlfn.XLOOKUP(W768,Cadastros!$D$6:$D$90,Cadastros!$E$6:$E$90))*(1-_xlfn.XLOOKUP(_xlfn.XLOOKUP($F768,Clientes!$B$4:$B$39,Clientes!$C$4:$C$39),Cadastros!$L$6:$L$12,Cadastros!$N$6:$N$12)))</f>
        <v/>
      </c>
      <c r="Z768" s="168" t="str">
        <f t="shared" si="147"/>
        <v/>
      </c>
      <c r="AA768" s="168" t="str">
        <f>IFERROR(Z768/_xlfn.XLOOKUP(_xlfn.XLOOKUP($F768,Clientes!$B$4:$B$39,Clientes!$C$4:$C$39),Cadastros!$L$6:$L$12,Cadastros!$M$6:$M$12)," ")</f>
        <v xml:space="preserve"> </v>
      </c>
      <c r="AB768" s="28"/>
      <c r="AC768" s="28"/>
      <c r="AD768" s="20" t="str">
        <f>IF(AB768="","",IF($F768="Bernardino Furlan",_xlfn.XLOOKUP(AB768,Cadastros!$G$6:$G$90,Cadastros!$H$6:$H$90)*(1-0.18),IF($F768="Mauro José Salanti",_xlfn.XLOOKUP(AB768,Cadastros!$G$6:$G$90,Cadastros!$H$6:$H$90)*(1-0.18),_xlfn.XLOOKUP(AB768,Cadastros!$G$6:$G$90,Cadastros!$H$6:$H$90))))</f>
        <v/>
      </c>
      <c r="AE768" s="168" t="str">
        <f t="shared" si="148"/>
        <v/>
      </c>
      <c r="AF768" s="168" t="str">
        <f t="shared" si="149"/>
        <v/>
      </c>
      <c r="AG768" s="28"/>
      <c r="AH768" s="28"/>
      <c r="AI768" s="20" t="str">
        <f>IF(AG768="","",IF($F768="Bernardino Furlan",_xlfn.XLOOKUP(AG768,Cadastros!$G$6:$G$90,Cadastros!$H$6:$H$90)*(1-0.18),IF($F768="Mauro José Salanti",_xlfn.XLOOKUP(AG768,Cadastros!$G$6:$G$90,Cadastros!$H$6:$H$90)*(1-0.18),_xlfn.XLOOKUP(AG768,Cadastros!$G$6:$G$90,Cadastros!$H$6:$H$90))))</f>
        <v/>
      </c>
      <c r="AJ768" s="168" t="str">
        <f t="shared" si="150"/>
        <v/>
      </c>
      <c r="AK768" s="168" t="str">
        <f t="shared" si="151"/>
        <v/>
      </c>
      <c r="AL768" s="28"/>
      <c r="AM768" s="28"/>
      <c r="AN768" s="20" t="str">
        <f>IF(AL768="","",IF($F768="Bernardino Furlan",_xlfn.XLOOKUP(AL768,Cadastros!$G$6:$G$90,Cadastros!$H$6:$H$90)*(1-0.18),IF($F768="Mauro José Salanti",_xlfn.XLOOKUP(AL768,Cadastros!$G$6:$G$90,Cadastros!$H$6:$H$90)*(1-0.18),_xlfn.XLOOKUP(AL768,Cadastros!$G$6:$G$90,Cadastros!$H$6:$H$90))))</f>
        <v/>
      </c>
      <c r="AO768" s="168" t="str">
        <f t="shared" si="152"/>
        <v/>
      </c>
      <c r="AP768" s="168" t="str">
        <f t="shared" si="153"/>
        <v/>
      </c>
      <c r="AQ768" s="28"/>
      <c r="AR768" s="28"/>
      <c r="AS768" s="20" t="str">
        <f>IF(AQ768="","",IF($F768="Bernardino Furlan",_xlfn.XLOOKUP(AQ768,Cadastros!$G$6:$G$90,Cadastros!$H$6:$H$90)*(1-0.18),IF($F768="Mauro José Salanti",_xlfn.XLOOKUP(AQ768,Cadastros!$G$6:$G$90,Cadastros!$H$6:$H$90)*(1-0.18),_xlfn.XLOOKUP(AQ768,Cadastros!$G$6:$G$90,Cadastros!$H$6:$H$90))))</f>
        <v/>
      </c>
      <c r="AT768" s="168" t="str">
        <f t="shared" si="154"/>
        <v/>
      </c>
      <c r="AU768" s="168" t="str">
        <f t="shared" si="155"/>
        <v/>
      </c>
      <c r="AV768" s="227"/>
      <c r="AW768" s="30"/>
      <c r="AX768" s="267"/>
      <c r="AY768" s="267"/>
      <c r="AZ768" s="29"/>
      <c r="BA768" s="30"/>
      <c r="BB768" s="23" t="str" cm="1">
        <f t="array" ref="BB768">_xlfn.IFS(AW768="SIM",SUM(K768,P768,U768,Z768,AE768,AJ768,AO768,AT768,AX768,AY768),F768&lt;&gt;"",SUM(K768,P768,U768,Z768,AE768,AJ768,,AO768,AT768),F768="","")</f>
        <v/>
      </c>
      <c r="BC768" s="211" t="str" cm="1">
        <f t="array" ref="BC768">_xlfn.IFS(E768="","",G768&lt;=E768,BB768*(1-0.03),G768&lt;(E768+8),BB768,AZ768="Boleto",BB768*(1+0.001)^DATEDIF(E768,G768,"D"),AZ768="Cheque",BB768,AZ768="Dinheiro","Alterar forma pgto")</f>
        <v/>
      </c>
      <c r="BD768" s="276" t="str" cm="1">
        <f t="array" ref="BD768">IF(F768=0," ",IF(BC768&lt;BB768,(_xlfn.IFS(AW768="SIM",SUM(L768,Q768,V768,AA768,AF768,AK768,AP768,AU768)+AX768/_xlfn.XLOOKUP(_xlfn.XLOOKUP($F768,Clientes!$B$4:$B$39,Clientes!$C$4:$C$39),Cadastros!$L$6:$L$12,Cadastros!$M$6:$M$12)+IF($F768="Bernardino Furlan",AY768/2751.92,IF($F768="Mauro José Salanti",AY768/2751.92,AY768/3356)),F768&lt;&gt;0,SUM(L768,Q768,V768,AA768,AF768,AK768,AP768,AU768)))*(1-0.03),_xlfn.IFS(AW768="SIM",SUM(L768,Q768,V768,AA768,AF768,AK768,AP768,AU768)+AX768/_xlfn.XLOOKUP(_xlfn.XLOOKUP($F768,Clientes!$B$4:$B$39,Clientes!$C$4:$C$39),Cadastros!$L$6:$L$12,Cadastros!$M$6:$M$12)+IF($F768="Bernardino Furlan",AY768/2751.92,IF($F768="Mauro José Salanti",AY768/2751.92,AY768/3356)),F768&lt;&gt;0,SUM(L768,Q768,V768,AA768,AF768,AK768,AP768,AU768))))</f>
        <v xml:space="preserve"> </v>
      </c>
      <c r="BE768" s="120"/>
      <c r="BF768" s="120"/>
      <c r="BG768" s="120"/>
    </row>
    <row r="769" spans="1:59" s="3" customFormat="1" x14ac:dyDescent="0.3">
      <c r="A769" s="15" t="str">
        <f t="shared" si="143"/>
        <v/>
      </c>
      <c r="B769" s="25"/>
      <c r="C769" s="26"/>
      <c r="D769" s="279"/>
      <c r="E769" s="27"/>
      <c r="F769" s="28"/>
      <c r="G769" s="27"/>
      <c r="H769" s="28"/>
      <c r="I769" s="28"/>
      <c r="J769" s="255" t="str">
        <f>IF(H769="","",(_xlfn.XLOOKUP(H769,Cadastros!$D$6:$D$90,Cadastros!$E$6:$E$90))*(1-_xlfn.XLOOKUP(_xlfn.XLOOKUP($F769,Clientes!$B$4:$B$39,Clientes!$C$4:$C$39),Cadastros!$L$6:$L$12,Cadastros!$N$6:$N$12)))</f>
        <v/>
      </c>
      <c r="K769" s="168" t="str">
        <f t="shared" si="144"/>
        <v/>
      </c>
      <c r="L769" s="168" t="str">
        <f>IFERROR(K769/_xlfn.XLOOKUP(_xlfn.XLOOKUP($F769,Clientes!$B$4:$B$39,Clientes!$C$4:$C$39),Cadastros!$L$6:$L$12,Cadastros!$M$6:$M$12)," ")</f>
        <v xml:space="preserve"> </v>
      </c>
      <c r="M769" s="28"/>
      <c r="N769" s="28"/>
      <c r="O769" s="255" t="str">
        <f>IF(M769="","",(_xlfn.XLOOKUP(M769,Cadastros!$D$6:$D$90,Cadastros!$E$6:$E$90))*(1-_xlfn.XLOOKUP(_xlfn.XLOOKUP($F769,Clientes!$B$4:$B$39,Clientes!$C$4:$C$39),Cadastros!$L$6:$L$12,Cadastros!$N$6:$N$12)))</f>
        <v/>
      </c>
      <c r="P769" s="168" t="str">
        <f t="shared" si="145"/>
        <v/>
      </c>
      <c r="Q769" s="168" t="str">
        <f>IFERROR(P769/_xlfn.XLOOKUP(_xlfn.XLOOKUP($F769,Clientes!$B$4:$B$39,Clientes!$C$4:$C$39),Cadastros!$L$6:$L$12,Cadastros!$M$6:$M$12)," ")</f>
        <v xml:space="preserve"> </v>
      </c>
      <c r="R769" s="28"/>
      <c r="S769" s="28"/>
      <c r="T769" s="255" t="str">
        <f>IF(R769="","",(_xlfn.XLOOKUP(R769,Cadastros!$D$6:$D$90,Cadastros!$E$6:$E$90))*(1-_xlfn.XLOOKUP(_xlfn.XLOOKUP($F769,Clientes!$B$4:$B$39,Clientes!$C$4:$C$39),Cadastros!$L$6:$L$12,Cadastros!$N$6:$N$12)))</f>
        <v/>
      </c>
      <c r="U769" s="168" t="str">
        <f t="shared" si="146"/>
        <v/>
      </c>
      <c r="V769" s="168" t="str">
        <f>IFERROR(U769/_xlfn.XLOOKUP(_xlfn.XLOOKUP($F769,Clientes!$B$4:$B$39,Clientes!$C$4:$C$39),Cadastros!$L$6:$L$12,Cadastros!$M$6:$M$12)," ")</f>
        <v xml:space="preserve"> </v>
      </c>
      <c r="W769" s="28"/>
      <c r="X769" s="28"/>
      <c r="Y769" s="255" t="str">
        <f>IF(W769="","",(_xlfn.XLOOKUP(W769,Cadastros!$D$6:$D$90,Cadastros!$E$6:$E$90))*(1-_xlfn.XLOOKUP(_xlfn.XLOOKUP($F769,Clientes!$B$4:$B$39,Clientes!$C$4:$C$39),Cadastros!$L$6:$L$12,Cadastros!$N$6:$N$12)))</f>
        <v/>
      </c>
      <c r="Z769" s="168" t="str">
        <f t="shared" si="147"/>
        <v/>
      </c>
      <c r="AA769" s="168" t="str">
        <f>IFERROR(Z769/_xlfn.XLOOKUP(_xlfn.XLOOKUP($F769,Clientes!$B$4:$B$39,Clientes!$C$4:$C$39),Cadastros!$L$6:$L$12,Cadastros!$M$6:$M$12)," ")</f>
        <v xml:space="preserve"> </v>
      </c>
      <c r="AB769" s="28"/>
      <c r="AC769" s="28"/>
      <c r="AD769" s="20" t="str">
        <f>IF(AB769="","",IF($F769="Bernardino Furlan",_xlfn.XLOOKUP(AB769,Cadastros!$G$6:$G$90,Cadastros!$H$6:$H$90)*(1-0.18),IF($F769="Mauro José Salanti",_xlfn.XLOOKUP(AB769,Cadastros!$G$6:$G$90,Cadastros!$H$6:$H$90)*(1-0.18),_xlfn.XLOOKUP(AB769,Cadastros!$G$6:$G$90,Cadastros!$H$6:$H$90))))</f>
        <v/>
      </c>
      <c r="AE769" s="168" t="str">
        <f t="shared" si="148"/>
        <v/>
      </c>
      <c r="AF769" s="168" t="str">
        <f t="shared" si="149"/>
        <v/>
      </c>
      <c r="AG769" s="28"/>
      <c r="AH769" s="28"/>
      <c r="AI769" s="20" t="str">
        <f>IF(AG769="","",IF($F769="Bernardino Furlan",_xlfn.XLOOKUP(AG769,Cadastros!$G$6:$G$90,Cadastros!$H$6:$H$90)*(1-0.18),IF($F769="Mauro José Salanti",_xlfn.XLOOKUP(AG769,Cadastros!$G$6:$G$90,Cadastros!$H$6:$H$90)*(1-0.18),_xlfn.XLOOKUP(AG769,Cadastros!$G$6:$G$90,Cadastros!$H$6:$H$90))))</f>
        <v/>
      </c>
      <c r="AJ769" s="168" t="str">
        <f t="shared" si="150"/>
        <v/>
      </c>
      <c r="AK769" s="168" t="str">
        <f t="shared" si="151"/>
        <v/>
      </c>
      <c r="AL769" s="28"/>
      <c r="AM769" s="28"/>
      <c r="AN769" s="20" t="str">
        <f>IF(AL769="","",IF($F769="Bernardino Furlan",_xlfn.XLOOKUP(AL769,Cadastros!$G$6:$G$90,Cadastros!$H$6:$H$90)*(1-0.18),IF($F769="Mauro José Salanti",_xlfn.XLOOKUP(AL769,Cadastros!$G$6:$G$90,Cadastros!$H$6:$H$90)*(1-0.18),_xlfn.XLOOKUP(AL769,Cadastros!$G$6:$G$90,Cadastros!$H$6:$H$90))))</f>
        <v/>
      </c>
      <c r="AO769" s="168" t="str">
        <f t="shared" si="152"/>
        <v/>
      </c>
      <c r="AP769" s="168" t="str">
        <f t="shared" si="153"/>
        <v/>
      </c>
      <c r="AQ769" s="28"/>
      <c r="AR769" s="28"/>
      <c r="AS769" s="20" t="str">
        <f>IF(AQ769="","",IF($F769="Bernardino Furlan",_xlfn.XLOOKUP(AQ769,Cadastros!$G$6:$G$90,Cadastros!$H$6:$H$90)*(1-0.18),IF($F769="Mauro José Salanti",_xlfn.XLOOKUP(AQ769,Cadastros!$G$6:$G$90,Cadastros!$H$6:$H$90)*(1-0.18),_xlfn.XLOOKUP(AQ769,Cadastros!$G$6:$G$90,Cadastros!$H$6:$H$90))))</f>
        <v/>
      </c>
      <c r="AT769" s="168" t="str">
        <f t="shared" si="154"/>
        <v/>
      </c>
      <c r="AU769" s="168" t="str">
        <f t="shared" si="155"/>
        <v/>
      </c>
      <c r="AV769" s="227"/>
      <c r="AW769" s="30"/>
      <c r="AX769" s="267"/>
      <c r="AY769" s="267"/>
      <c r="AZ769" s="29"/>
      <c r="BA769" s="30"/>
      <c r="BB769" s="23" t="str" cm="1">
        <f t="array" ref="BB769">_xlfn.IFS(AW769="SIM",SUM(K769,P769,U769,Z769,AE769,AJ769,AO769,AT769,AX769,AY769),F769&lt;&gt;"",SUM(K769,P769,U769,Z769,AE769,AJ769,,AO769,AT769),F769="","")</f>
        <v/>
      </c>
      <c r="BC769" s="211" t="str" cm="1">
        <f t="array" ref="BC769">_xlfn.IFS(E769="","",G769&lt;=E769,BB769*(1-0.03),G769&lt;(E769+8),BB769,AZ769="Boleto",BB769*(1+0.001)^DATEDIF(E769,G769,"D"),AZ769="Cheque",BB769,AZ769="Dinheiro","Alterar forma pgto")</f>
        <v/>
      </c>
      <c r="BD769" s="276" t="str" cm="1">
        <f t="array" ref="BD769">IF(F769=0," ",IF(BC769&lt;BB769,(_xlfn.IFS(AW769="SIM",SUM(L769,Q769,V769,AA769,AF769,AK769,AP769,AU769)+AX769/_xlfn.XLOOKUP(_xlfn.XLOOKUP($F769,Clientes!$B$4:$B$39,Clientes!$C$4:$C$39),Cadastros!$L$6:$L$12,Cadastros!$M$6:$M$12)+IF($F769="Bernardino Furlan",AY769/2751.92,IF($F769="Mauro José Salanti",AY769/2751.92,AY769/3356)),F769&lt;&gt;0,SUM(L769,Q769,V769,AA769,AF769,AK769,AP769,AU769)))*(1-0.03),_xlfn.IFS(AW769="SIM",SUM(L769,Q769,V769,AA769,AF769,AK769,AP769,AU769)+AX769/_xlfn.XLOOKUP(_xlfn.XLOOKUP($F769,Clientes!$B$4:$B$39,Clientes!$C$4:$C$39),Cadastros!$L$6:$L$12,Cadastros!$M$6:$M$12)+IF($F769="Bernardino Furlan",AY769/2751.92,IF($F769="Mauro José Salanti",AY769/2751.92,AY769/3356)),F769&lt;&gt;0,SUM(L769,Q769,V769,AA769,AF769,AK769,AP769,AU769))))</f>
        <v xml:space="preserve"> </v>
      </c>
      <c r="BE769" s="120"/>
      <c r="BF769" s="120"/>
      <c r="BG769" s="120"/>
    </row>
    <row r="770" spans="1:59" s="3" customFormat="1" x14ac:dyDescent="0.3">
      <c r="A770" s="15" t="str">
        <f t="shared" si="143"/>
        <v/>
      </c>
      <c r="B770" s="25"/>
      <c r="C770" s="26"/>
      <c r="D770" s="279"/>
      <c r="E770" s="27"/>
      <c r="F770" s="28"/>
      <c r="G770" s="27"/>
      <c r="H770" s="28"/>
      <c r="I770" s="28"/>
      <c r="J770" s="255" t="str">
        <f>IF(H770="","",(_xlfn.XLOOKUP(H770,Cadastros!$D$6:$D$90,Cadastros!$E$6:$E$90))*(1-_xlfn.XLOOKUP(_xlfn.XLOOKUP($F770,Clientes!$B$4:$B$39,Clientes!$C$4:$C$39),Cadastros!$L$6:$L$12,Cadastros!$N$6:$N$12)))</f>
        <v/>
      </c>
      <c r="K770" s="168" t="str">
        <f t="shared" si="144"/>
        <v/>
      </c>
      <c r="L770" s="168" t="str">
        <f>IFERROR(K770/_xlfn.XLOOKUP(_xlfn.XLOOKUP($F770,Clientes!$B$4:$B$39,Clientes!$C$4:$C$39),Cadastros!$L$6:$L$12,Cadastros!$M$6:$M$12)," ")</f>
        <v xml:space="preserve"> </v>
      </c>
      <c r="M770" s="28"/>
      <c r="N770" s="28"/>
      <c r="O770" s="255" t="str">
        <f>IF(M770="","",(_xlfn.XLOOKUP(M770,Cadastros!$D$6:$D$90,Cadastros!$E$6:$E$90))*(1-_xlfn.XLOOKUP(_xlfn.XLOOKUP($F770,Clientes!$B$4:$B$39,Clientes!$C$4:$C$39),Cadastros!$L$6:$L$12,Cadastros!$N$6:$N$12)))</f>
        <v/>
      </c>
      <c r="P770" s="168" t="str">
        <f t="shared" si="145"/>
        <v/>
      </c>
      <c r="Q770" s="168" t="str">
        <f>IFERROR(P770/_xlfn.XLOOKUP(_xlfn.XLOOKUP($F770,Clientes!$B$4:$B$39,Clientes!$C$4:$C$39),Cadastros!$L$6:$L$12,Cadastros!$M$6:$M$12)," ")</f>
        <v xml:space="preserve"> </v>
      </c>
      <c r="R770" s="28"/>
      <c r="S770" s="28"/>
      <c r="T770" s="255" t="str">
        <f>IF(R770="","",(_xlfn.XLOOKUP(R770,Cadastros!$D$6:$D$90,Cadastros!$E$6:$E$90))*(1-_xlfn.XLOOKUP(_xlfn.XLOOKUP($F770,Clientes!$B$4:$B$39,Clientes!$C$4:$C$39),Cadastros!$L$6:$L$12,Cadastros!$N$6:$N$12)))</f>
        <v/>
      </c>
      <c r="U770" s="168" t="str">
        <f t="shared" si="146"/>
        <v/>
      </c>
      <c r="V770" s="168" t="str">
        <f>IFERROR(U770/_xlfn.XLOOKUP(_xlfn.XLOOKUP($F770,Clientes!$B$4:$B$39,Clientes!$C$4:$C$39),Cadastros!$L$6:$L$12,Cadastros!$M$6:$M$12)," ")</f>
        <v xml:space="preserve"> </v>
      </c>
      <c r="W770" s="28"/>
      <c r="X770" s="28"/>
      <c r="Y770" s="255" t="str">
        <f>IF(W770="","",(_xlfn.XLOOKUP(W770,Cadastros!$D$6:$D$90,Cadastros!$E$6:$E$90))*(1-_xlfn.XLOOKUP(_xlfn.XLOOKUP($F770,Clientes!$B$4:$B$39,Clientes!$C$4:$C$39),Cadastros!$L$6:$L$12,Cadastros!$N$6:$N$12)))</f>
        <v/>
      </c>
      <c r="Z770" s="168" t="str">
        <f t="shared" si="147"/>
        <v/>
      </c>
      <c r="AA770" s="168" t="str">
        <f>IFERROR(Z770/_xlfn.XLOOKUP(_xlfn.XLOOKUP($F770,Clientes!$B$4:$B$39,Clientes!$C$4:$C$39),Cadastros!$L$6:$L$12,Cadastros!$M$6:$M$12)," ")</f>
        <v xml:space="preserve"> </v>
      </c>
      <c r="AB770" s="28"/>
      <c r="AC770" s="28"/>
      <c r="AD770" s="20" t="str">
        <f>IF(AB770="","",IF($F770="Bernardino Furlan",_xlfn.XLOOKUP(AB770,Cadastros!$G$6:$G$90,Cadastros!$H$6:$H$90)*(1-0.18),IF($F770="Mauro José Salanti",_xlfn.XLOOKUP(AB770,Cadastros!$G$6:$G$90,Cadastros!$H$6:$H$90)*(1-0.18),_xlfn.XLOOKUP(AB770,Cadastros!$G$6:$G$90,Cadastros!$H$6:$H$90))))</f>
        <v/>
      </c>
      <c r="AE770" s="168" t="str">
        <f t="shared" si="148"/>
        <v/>
      </c>
      <c r="AF770" s="168" t="str">
        <f t="shared" si="149"/>
        <v/>
      </c>
      <c r="AG770" s="28"/>
      <c r="AH770" s="28"/>
      <c r="AI770" s="20" t="str">
        <f>IF(AG770="","",IF($F770="Bernardino Furlan",_xlfn.XLOOKUP(AG770,Cadastros!$G$6:$G$90,Cadastros!$H$6:$H$90)*(1-0.18),IF($F770="Mauro José Salanti",_xlfn.XLOOKUP(AG770,Cadastros!$G$6:$G$90,Cadastros!$H$6:$H$90)*(1-0.18),_xlfn.XLOOKUP(AG770,Cadastros!$G$6:$G$90,Cadastros!$H$6:$H$90))))</f>
        <v/>
      </c>
      <c r="AJ770" s="168" t="str">
        <f t="shared" si="150"/>
        <v/>
      </c>
      <c r="AK770" s="168" t="str">
        <f t="shared" si="151"/>
        <v/>
      </c>
      <c r="AL770" s="28"/>
      <c r="AM770" s="28"/>
      <c r="AN770" s="20" t="str">
        <f>IF(AL770="","",IF($F770="Bernardino Furlan",_xlfn.XLOOKUP(AL770,Cadastros!$G$6:$G$90,Cadastros!$H$6:$H$90)*(1-0.18),IF($F770="Mauro José Salanti",_xlfn.XLOOKUP(AL770,Cadastros!$G$6:$G$90,Cadastros!$H$6:$H$90)*(1-0.18),_xlfn.XLOOKUP(AL770,Cadastros!$G$6:$G$90,Cadastros!$H$6:$H$90))))</f>
        <v/>
      </c>
      <c r="AO770" s="168" t="str">
        <f t="shared" si="152"/>
        <v/>
      </c>
      <c r="AP770" s="168" t="str">
        <f t="shared" si="153"/>
        <v/>
      </c>
      <c r="AQ770" s="28"/>
      <c r="AR770" s="28"/>
      <c r="AS770" s="20" t="str">
        <f>IF(AQ770="","",IF($F770="Bernardino Furlan",_xlfn.XLOOKUP(AQ770,Cadastros!$G$6:$G$90,Cadastros!$H$6:$H$90)*(1-0.18),IF($F770="Mauro José Salanti",_xlfn.XLOOKUP(AQ770,Cadastros!$G$6:$G$90,Cadastros!$H$6:$H$90)*(1-0.18),_xlfn.XLOOKUP(AQ770,Cadastros!$G$6:$G$90,Cadastros!$H$6:$H$90))))</f>
        <v/>
      </c>
      <c r="AT770" s="168" t="str">
        <f t="shared" si="154"/>
        <v/>
      </c>
      <c r="AU770" s="168" t="str">
        <f t="shared" si="155"/>
        <v/>
      </c>
      <c r="AV770" s="227"/>
      <c r="AW770" s="30"/>
      <c r="AX770" s="267"/>
      <c r="AY770" s="267"/>
      <c r="AZ770" s="29"/>
      <c r="BA770" s="30"/>
      <c r="BB770" s="23" t="str" cm="1">
        <f t="array" ref="BB770">_xlfn.IFS(AW770="SIM",SUM(K770,P770,U770,Z770,AE770,AJ770,AO770,AT770,AX770,AY770),F770&lt;&gt;"",SUM(K770,P770,U770,Z770,AE770,AJ770,,AO770,AT770),F770="","")</f>
        <v/>
      </c>
      <c r="BC770" s="211" t="str" cm="1">
        <f t="array" ref="BC770">_xlfn.IFS(E770="","",G770&lt;=E770,BB770*(1-0.03),G770&lt;(E770+8),BB770,AZ770="Boleto",BB770*(1+0.001)^DATEDIF(E770,G770,"D"),AZ770="Cheque",BB770,AZ770="Dinheiro","Alterar forma pgto")</f>
        <v/>
      </c>
      <c r="BD770" s="276" t="str" cm="1">
        <f t="array" ref="BD770">IF(F770=0," ",IF(BC770&lt;BB770,(_xlfn.IFS(AW770="SIM",SUM(L770,Q770,V770,AA770,AF770,AK770,AP770,AU770)+AX770/_xlfn.XLOOKUP(_xlfn.XLOOKUP($F770,Clientes!$B$4:$B$39,Clientes!$C$4:$C$39),Cadastros!$L$6:$L$12,Cadastros!$M$6:$M$12)+IF($F770="Bernardino Furlan",AY770/2751.92,IF($F770="Mauro José Salanti",AY770/2751.92,AY770/3356)),F770&lt;&gt;0,SUM(L770,Q770,V770,AA770,AF770,AK770,AP770,AU770)))*(1-0.03),_xlfn.IFS(AW770="SIM",SUM(L770,Q770,V770,AA770,AF770,AK770,AP770,AU770)+AX770/_xlfn.XLOOKUP(_xlfn.XLOOKUP($F770,Clientes!$B$4:$B$39,Clientes!$C$4:$C$39),Cadastros!$L$6:$L$12,Cadastros!$M$6:$M$12)+IF($F770="Bernardino Furlan",AY770/2751.92,IF($F770="Mauro José Salanti",AY770/2751.92,AY770/3356)),F770&lt;&gt;0,SUM(L770,Q770,V770,AA770,AF770,AK770,AP770,AU770))))</f>
        <v xml:space="preserve"> </v>
      </c>
      <c r="BE770" s="120"/>
      <c r="BF770" s="120"/>
      <c r="BG770" s="120"/>
    </row>
    <row r="771" spans="1:59" s="3" customFormat="1" x14ac:dyDescent="0.3">
      <c r="A771" s="15" t="str">
        <f t="shared" si="143"/>
        <v/>
      </c>
      <c r="B771" s="25"/>
      <c r="C771" s="26"/>
      <c r="D771" s="279"/>
      <c r="E771" s="27"/>
      <c r="F771" s="28"/>
      <c r="G771" s="27"/>
      <c r="H771" s="28"/>
      <c r="I771" s="28"/>
      <c r="J771" s="255" t="str">
        <f>IF(H771="","",(_xlfn.XLOOKUP(H771,Cadastros!$D$6:$D$90,Cadastros!$E$6:$E$90))*(1-_xlfn.XLOOKUP(_xlfn.XLOOKUP($F771,Clientes!$B$4:$B$39,Clientes!$C$4:$C$39),Cadastros!$L$6:$L$12,Cadastros!$N$6:$N$12)))</f>
        <v/>
      </c>
      <c r="K771" s="168" t="str">
        <f t="shared" si="144"/>
        <v/>
      </c>
      <c r="L771" s="168" t="str">
        <f>IFERROR(K771/_xlfn.XLOOKUP(_xlfn.XLOOKUP($F771,Clientes!$B$4:$B$39,Clientes!$C$4:$C$39),Cadastros!$L$6:$L$12,Cadastros!$M$6:$M$12)," ")</f>
        <v xml:space="preserve"> </v>
      </c>
      <c r="M771" s="28"/>
      <c r="N771" s="28"/>
      <c r="O771" s="255" t="str">
        <f>IF(M771="","",(_xlfn.XLOOKUP(M771,Cadastros!$D$6:$D$90,Cadastros!$E$6:$E$90))*(1-_xlfn.XLOOKUP(_xlfn.XLOOKUP($F771,Clientes!$B$4:$B$39,Clientes!$C$4:$C$39),Cadastros!$L$6:$L$12,Cadastros!$N$6:$N$12)))</f>
        <v/>
      </c>
      <c r="P771" s="168" t="str">
        <f t="shared" si="145"/>
        <v/>
      </c>
      <c r="Q771" s="168" t="str">
        <f>IFERROR(P771/_xlfn.XLOOKUP(_xlfn.XLOOKUP($F771,Clientes!$B$4:$B$39,Clientes!$C$4:$C$39),Cadastros!$L$6:$L$12,Cadastros!$M$6:$M$12)," ")</f>
        <v xml:space="preserve"> </v>
      </c>
      <c r="R771" s="28"/>
      <c r="S771" s="28"/>
      <c r="T771" s="255" t="str">
        <f>IF(R771="","",(_xlfn.XLOOKUP(R771,Cadastros!$D$6:$D$90,Cadastros!$E$6:$E$90))*(1-_xlfn.XLOOKUP(_xlfn.XLOOKUP($F771,Clientes!$B$4:$B$39,Clientes!$C$4:$C$39),Cadastros!$L$6:$L$12,Cadastros!$N$6:$N$12)))</f>
        <v/>
      </c>
      <c r="U771" s="168" t="str">
        <f t="shared" si="146"/>
        <v/>
      </c>
      <c r="V771" s="168" t="str">
        <f>IFERROR(U771/_xlfn.XLOOKUP(_xlfn.XLOOKUP($F771,Clientes!$B$4:$B$39,Clientes!$C$4:$C$39),Cadastros!$L$6:$L$12,Cadastros!$M$6:$M$12)," ")</f>
        <v xml:space="preserve"> </v>
      </c>
      <c r="W771" s="28"/>
      <c r="X771" s="28"/>
      <c r="Y771" s="255" t="str">
        <f>IF(W771="","",(_xlfn.XLOOKUP(W771,Cadastros!$D$6:$D$90,Cadastros!$E$6:$E$90))*(1-_xlfn.XLOOKUP(_xlfn.XLOOKUP($F771,Clientes!$B$4:$B$39,Clientes!$C$4:$C$39),Cadastros!$L$6:$L$12,Cadastros!$N$6:$N$12)))</f>
        <v/>
      </c>
      <c r="Z771" s="168" t="str">
        <f t="shared" si="147"/>
        <v/>
      </c>
      <c r="AA771" s="168" t="str">
        <f>IFERROR(Z771/_xlfn.XLOOKUP(_xlfn.XLOOKUP($F771,Clientes!$B$4:$B$39,Clientes!$C$4:$C$39),Cadastros!$L$6:$L$12,Cadastros!$M$6:$M$12)," ")</f>
        <v xml:space="preserve"> </v>
      </c>
      <c r="AB771" s="28"/>
      <c r="AC771" s="28"/>
      <c r="AD771" s="20" t="str">
        <f>IF(AB771="","",IF($F771="Bernardino Furlan",_xlfn.XLOOKUP(AB771,Cadastros!$G$6:$G$90,Cadastros!$H$6:$H$90)*(1-0.18),IF($F771="Mauro José Salanti",_xlfn.XLOOKUP(AB771,Cadastros!$G$6:$G$90,Cadastros!$H$6:$H$90)*(1-0.18),_xlfn.XLOOKUP(AB771,Cadastros!$G$6:$G$90,Cadastros!$H$6:$H$90))))</f>
        <v/>
      </c>
      <c r="AE771" s="168" t="str">
        <f t="shared" si="148"/>
        <v/>
      </c>
      <c r="AF771" s="168" t="str">
        <f t="shared" si="149"/>
        <v/>
      </c>
      <c r="AG771" s="28"/>
      <c r="AH771" s="28"/>
      <c r="AI771" s="20" t="str">
        <f>IF(AG771="","",IF($F771="Bernardino Furlan",_xlfn.XLOOKUP(AG771,Cadastros!$G$6:$G$90,Cadastros!$H$6:$H$90)*(1-0.18),IF($F771="Mauro José Salanti",_xlfn.XLOOKUP(AG771,Cadastros!$G$6:$G$90,Cadastros!$H$6:$H$90)*(1-0.18),_xlfn.XLOOKUP(AG771,Cadastros!$G$6:$G$90,Cadastros!$H$6:$H$90))))</f>
        <v/>
      </c>
      <c r="AJ771" s="168" t="str">
        <f t="shared" si="150"/>
        <v/>
      </c>
      <c r="AK771" s="168" t="str">
        <f t="shared" si="151"/>
        <v/>
      </c>
      <c r="AL771" s="28"/>
      <c r="AM771" s="28"/>
      <c r="AN771" s="20" t="str">
        <f>IF(AL771="","",IF($F771="Bernardino Furlan",_xlfn.XLOOKUP(AL771,Cadastros!$G$6:$G$90,Cadastros!$H$6:$H$90)*(1-0.18),IF($F771="Mauro José Salanti",_xlfn.XLOOKUP(AL771,Cadastros!$G$6:$G$90,Cadastros!$H$6:$H$90)*(1-0.18),_xlfn.XLOOKUP(AL771,Cadastros!$G$6:$G$90,Cadastros!$H$6:$H$90))))</f>
        <v/>
      </c>
      <c r="AO771" s="168" t="str">
        <f t="shared" si="152"/>
        <v/>
      </c>
      <c r="AP771" s="168" t="str">
        <f t="shared" si="153"/>
        <v/>
      </c>
      <c r="AQ771" s="28"/>
      <c r="AR771" s="28"/>
      <c r="AS771" s="20" t="str">
        <f>IF(AQ771="","",IF($F771="Bernardino Furlan",_xlfn.XLOOKUP(AQ771,Cadastros!$G$6:$G$90,Cadastros!$H$6:$H$90)*(1-0.18),IF($F771="Mauro José Salanti",_xlfn.XLOOKUP(AQ771,Cadastros!$G$6:$G$90,Cadastros!$H$6:$H$90)*(1-0.18),_xlfn.XLOOKUP(AQ771,Cadastros!$G$6:$G$90,Cadastros!$H$6:$H$90))))</f>
        <v/>
      </c>
      <c r="AT771" s="168" t="str">
        <f t="shared" si="154"/>
        <v/>
      </c>
      <c r="AU771" s="168" t="str">
        <f t="shared" si="155"/>
        <v/>
      </c>
      <c r="AV771" s="227"/>
      <c r="AW771" s="30"/>
      <c r="AX771" s="267"/>
      <c r="AY771" s="267"/>
      <c r="AZ771" s="29"/>
      <c r="BA771" s="30"/>
      <c r="BB771" s="23" t="str" cm="1">
        <f t="array" ref="BB771">_xlfn.IFS(AW771="SIM",SUM(K771,P771,U771,Z771,AE771,AJ771,AO771,AT771,AX771,AY771),F771&lt;&gt;"",SUM(K771,P771,U771,Z771,AE771,AJ771,,AO771,AT771),F771="","")</f>
        <v/>
      </c>
      <c r="BC771" s="211" t="str" cm="1">
        <f t="array" ref="BC771">_xlfn.IFS(E771="","",G771&lt;=E771,BB771*(1-0.03),G771&lt;(E771+8),BB771,AZ771="Boleto",BB771*(1+0.001)^DATEDIF(E771,G771,"D"),AZ771="Cheque",BB771,AZ771="Dinheiro","Alterar forma pgto")</f>
        <v/>
      </c>
      <c r="BD771" s="276" t="str" cm="1">
        <f t="array" ref="BD771">IF(F771=0," ",IF(BC771&lt;BB771,(_xlfn.IFS(AW771="SIM",SUM(L771,Q771,V771,AA771,AF771,AK771,AP771,AU771)+AX771/_xlfn.XLOOKUP(_xlfn.XLOOKUP($F771,Clientes!$B$4:$B$39,Clientes!$C$4:$C$39),Cadastros!$L$6:$L$12,Cadastros!$M$6:$M$12)+IF($F771="Bernardino Furlan",AY771/2751.92,IF($F771="Mauro José Salanti",AY771/2751.92,AY771/3356)),F771&lt;&gt;0,SUM(L771,Q771,V771,AA771,AF771,AK771,AP771,AU771)))*(1-0.03),_xlfn.IFS(AW771="SIM",SUM(L771,Q771,V771,AA771,AF771,AK771,AP771,AU771)+AX771/_xlfn.XLOOKUP(_xlfn.XLOOKUP($F771,Clientes!$B$4:$B$39,Clientes!$C$4:$C$39),Cadastros!$L$6:$L$12,Cadastros!$M$6:$M$12)+IF($F771="Bernardino Furlan",AY771/2751.92,IF($F771="Mauro José Salanti",AY771/2751.92,AY771/3356)),F771&lt;&gt;0,SUM(L771,Q771,V771,AA771,AF771,AK771,AP771,AU771))))</f>
        <v xml:space="preserve"> </v>
      </c>
      <c r="BE771" s="120"/>
      <c r="BF771" s="120"/>
      <c r="BG771" s="120"/>
    </row>
    <row r="772" spans="1:59" s="3" customFormat="1" x14ac:dyDescent="0.3">
      <c r="A772" s="15" t="str">
        <f t="shared" si="143"/>
        <v/>
      </c>
      <c r="B772" s="25"/>
      <c r="C772" s="26"/>
      <c r="D772" s="279"/>
      <c r="E772" s="27"/>
      <c r="F772" s="28"/>
      <c r="G772" s="27"/>
      <c r="H772" s="28"/>
      <c r="I772" s="28"/>
      <c r="J772" s="255" t="str">
        <f>IF(H772="","",(_xlfn.XLOOKUP(H772,Cadastros!$D$6:$D$90,Cadastros!$E$6:$E$90))*(1-_xlfn.XLOOKUP(_xlfn.XLOOKUP($F772,Clientes!$B$4:$B$39,Clientes!$C$4:$C$39),Cadastros!$L$6:$L$12,Cadastros!$N$6:$N$12)))</f>
        <v/>
      </c>
      <c r="K772" s="168" t="str">
        <f t="shared" si="144"/>
        <v/>
      </c>
      <c r="L772" s="168" t="str">
        <f>IFERROR(K772/_xlfn.XLOOKUP(_xlfn.XLOOKUP($F772,Clientes!$B$4:$B$39,Clientes!$C$4:$C$39),Cadastros!$L$6:$L$12,Cadastros!$M$6:$M$12)," ")</f>
        <v xml:space="preserve"> </v>
      </c>
      <c r="M772" s="28"/>
      <c r="N772" s="28"/>
      <c r="O772" s="255" t="str">
        <f>IF(M772="","",(_xlfn.XLOOKUP(M772,Cadastros!$D$6:$D$90,Cadastros!$E$6:$E$90))*(1-_xlfn.XLOOKUP(_xlfn.XLOOKUP($F772,Clientes!$B$4:$B$39,Clientes!$C$4:$C$39),Cadastros!$L$6:$L$12,Cadastros!$N$6:$N$12)))</f>
        <v/>
      </c>
      <c r="P772" s="168" t="str">
        <f t="shared" si="145"/>
        <v/>
      </c>
      <c r="Q772" s="168" t="str">
        <f>IFERROR(P772/_xlfn.XLOOKUP(_xlfn.XLOOKUP($F772,Clientes!$B$4:$B$39,Clientes!$C$4:$C$39),Cadastros!$L$6:$L$12,Cadastros!$M$6:$M$12)," ")</f>
        <v xml:space="preserve"> </v>
      </c>
      <c r="R772" s="28"/>
      <c r="S772" s="28"/>
      <c r="T772" s="255" t="str">
        <f>IF(R772="","",(_xlfn.XLOOKUP(R772,Cadastros!$D$6:$D$90,Cadastros!$E$6:$E$90))*(1-_xlfn.XLOOKUP(_xlfn.XLOOKUP($F772,Clientes!$B$4:$B$39,Clientes!$C$4:$C$39),Cadastros!$L$6:$L$12,Cadastros!$N$6:$N$12)))</f>
        <v/>
      </c>
      <c r="U772" s="168" t="str">
        <f t="shared" si="146"/>
        <v/>
      </c>
      <c r="V772" s="168" t="str">
        <f>IFERROR(U772/_xlfn.XLOOKUP(_xlfn.XLOOKUP($F772,Clientes!$B$4:$B$39,Clientes!$C$4:$C$39),Cadastros!$L$6:$L$12,Cadastros!$M$6:$M$12)," ")</f>
        <v xml:space="preserve"> </v>
      </c>
      <c r="W772" s="28"/>
      <c r="X772" s="28"/>
      <c r="Y772" s="255" t="str">
        <f>IF(W772="","",(_xlfn.XLOOKUP(W772,Cadastros!$D$6:$D$90,Cadastros!$E$6:$E$90))*(1-_xlfn.XLOOKUP(_xlfn.XLOOKUP($F772,Clientes!$B$4:$B$39,Clientes!$C$4:$C$39),Cadastros!$L$6:$L$12,Cadastros!$N$6:$N$12)))</f>
        <v/>
      </c>
      <c r="Z772" s="168" t="str">
        <f t="shared" si="147"/>
        <v/>
      </c>
      <c r="AA772" s="168" t="str">
        <f>IFERROR(Z772/_xlfn.XLOOKUP(_xlfn.XLOOKUP($F772,Clientes!$B$4:$B$39,Clientes!$C$4:$C$39),Cadastros!$L$6:$L$12,Cadastros!$M$6:$M$12)," ")</f>
        <v xml:space="preserve"> </v>
      </c>
      <c r="AB772" s="28"/>
      <c r="AC772" s="28"/>
      <c r="AD772" s="20" t="str">
        <f>IF(AB772="","",IF($F772="Bernardino Furlan",_xlfn.XLOOKUP(AB772,Cadastros!$G$6:$G$90,Cadastros!$H$6:$H$90)*(1-0.18),IF($F772="Mauro José Salanti",_xlfn.XLOOKUP(AB772,Cadastros!$G$6:$G$90,Cadastros!$H$6:$H$90)*(1-0.18),_xlfn.XLOOKUP(AB772,Cadastros!$G$6:$G$90,Cadastros!$H$6:$H$90))))</f>
        <v/>
      </c>
      <c r="AE772" s="168" t="str">
        <f t="shared" si="148"/>
        <v/>
      </c>
      <c r="AF772" s="168" t="str">
        <f t="shared" si="149"/>
        <v/>
      </c>
      <c r="AG772" s="28"/>
      <c r="AH772" s="28"/>
      <c r="AI772" s="20" t="str">
        <f>IF(AG772="","",IF($F772="Bernardino Furlan",_xlfn.XLOOKUP(AG772,Cadastros!$G$6:$G$90,Cadastros!$H$6:$H$90)*(1-0.18),IF($F772="Mauro José Salanti",_xlfn.XLOOKUP(AG772,Cadastros!$G$6:$G$90,Cadastros!$H$6:$H$90)*(1-0.18),_xlfn.XLOOKUP(AG772,Cadastros!$G$6:$G$90,Cadastros!$H$6:$H$90))))</f>
        <v/>
      </c>
      <c r="AJ772" s="168" t="str">
        <f t="shared" si="150"/>
        <v/>
      </c>
      <c r="AK772" s="168" t="str">
        <f t="shared" si="151"/>
        <v/>
      </c>
      <c r="AL772" s="28"/>
      <c r="AM772" s="28"/>
      <c r="AN772" s="20" t="str">
        <f>IF(AL772="","",IF($F772="Bernardino Furlan",_xlfn.XLOOKUP(AL772,Cadastros!$G$6:$G$90,Cadastros!$H$6:$H$90)*(1-0.18),IF($F772="Mauro José Salanti",_xlfn.XLOOKUP(AL772,Cadastros!$G$6:$G$90,Cadastros!$H$6:$H$90)*(1-0.18),_xlfn.XLOOKUP(AL772,Cadastros!$G$6:$G$90,Cadastros!$H$6:$H$90))))</f>
        <v/>
      </c>
      <c r="AO772" s="168" t="str">
        <f t="shared" si="152"/>
        <v/>
      </c>
      <c r="AP772" s="168" t="str">
        <f t="shared" si="153"/>
        <v/>
      </c>
      <c r="AQ772" s="28"/>
      <c r="AR772" s="28"/>
      <c r="AS772" s="20" t="str">
        <f>IF(AQ772="","",IF($F772="Bernardino Furlan",_xlfn.XLOOKUP(AQ772,Cadastros!$G$6:$G$90,Cadastros!$H$6:$H$90)*(1-0.18),IF($F772="Mauro José Salanti",_xlfn.XLOOKUP(AQ772,Cadastros!$G$6:$G$90,Cadastros!$H$6:$H$90)*(1-0.18),_xlfn.XLOOKUP(AQ772,Cadastros!$G$6:$G$90,Cadastros!$H$6:$H$90))))</f>
        <v/>
      </c>
      <c r="AT772" s="168" t="str">
        <f t="shared" si="154"/>
        <v/>
      </c>
      <c r="AU772" s="168" t="str">
        <f t="shared" si="155"/>
        <v/>
      </c>
      <c r="AV772" s="227"/>
      <c r="AW772" s="30"/>
      <c r="AX772" s="267"/>
      <c r="AY772" s="267"/>
      <c r="AZ772" s="29"/>
      <c r="BA772" s="30"/>
      <c r="BB772" s="23" t="str" cm="1">
        <f t="array" ref="BB772">_xlfn.IFS(AW772="SIM",SUM(K772,P772,U772,Z772,AE772,AJ772,AO772,AT772,AX772,AY772),F772&lt;&gt;"",SUM(K772,P772,U772,Z772,AE772,AJ772,,AO772,AT772),F772="","")</f>
        <v/>
      </c>
      <c r="BC772" s="211" t="str" cm="1">
        <f t="array" ref="BC772">_xlfn.IFS(E772="","",G772&lt;=E772,BB772*(1-0.03),G772&lt;(E772+8),BB772,AZ772="Boleto",BB772*(1+0.001)^DATEDIF(E772,G772,"D"),AZ772="Cheque",BB772,AZ772="Dinheiro","Alterar forma pgto")</f>
        <v/>
      </c>
      <c r="BD772" s="276" t="str" cm="1">
        <f t="array" ref="BD772">IF(F772=0," ",IF(BC772&lt;BB772,(_xlfn.IFS(AW772="SIM",SUM(L772,Q772,V772,AA772,AF772,AK772,AP772,AU772)+AX772/_xlfn.XLOOKUP(_xlfn.XLOOKUP($F772,Clientes!$B$4:$B$39,Clientes!$C$4:$C$39),Cadastros!$L$6:$L$12,Cadastros!$M$6:$M$12)+IF($F772="Bernardino Furlan",AY772/2751.92,IF($F772="Mauro José Salanti",AY772/2751.92,AY772/3356)),F772&lt;&gt;0,SUM(L772,Q772,V772,AA772,AF772,AK772,AP772,AU772)))*(1-0.03),_xlfn.IFS(AW772="SIM",SUM(L772,Q772,V772,AA772,AF772,AK772,AP772,AU772)+AX772/_xlfn.XLOOKUP(_xlfn.XLOOKUP($F772,Clientes!$B$4:$B$39,Clientes!$C$4:$C$39),Cadastros!$L$6:$L$12,Cadastros!$M$6:$M$12)+IF($F772="Bernardino Furlan",AY772/2751.92,IF($F772="Mauro José Salanti",AY772/2751.92,AY772/3356)),F772&lt;&gt;0,SUM(L772,Q772,V772,AA772,AF772,AK772,AP772,AU772))))</f>
        <v xml:space="preserve"> </v>
      </c>
      <c r="BE772" s="120"/>
      <c r="BF772" s="120"/>
      <c r="BG772" s="120"/>
    </row>
    <row r="773" spans="1:59" s="3" customFormat="1" x14ac:dyDescent="0.3">
      <c r="A773" s="15" t="str">
        <f t="shared" si="143"/>
        <v/>
      </c>
      <c r="B773" s="25"/>
      <c r="C773" s="26"/>
      <c r="D773" s="279"/>
      <c r="E773" s="27"/>
      <c r="F773" s="28"/>
      <c r="G773" s="27"/>
      <c r="H773" s="28"/>
      <c r="I773" s="28"/>
      <c r="J773" s="255" t="str">
        <f>IF(H773="","",(_xlfn.XLOOKUP(H773,Cadastros!$D$6:$D$90,Cadastros!$E$6:$E$90))*(1-_xlfn.XLOOKUP(_xlfn.XLOOKUP($F773,Clientes!$B$4:$B$39,Clientes!$C$4:$C$39),Cadastros!$L$6:$L$12,Cadastros!$N$6:$N$12)))</f>
        <v/>
      </c>
      <c r="K773" s="168" t="str">
        <f t="shared" si="144"/>
        <v/>
      </c>
      <c r="L773" s="168" t="str">
        <f>IFERROR(K773/_xlfn.XLOOKUP(_xlfn.XLOOKUP($F773,Clientes!$B$4:$B$39,Clientes!$C$4:$C$39),Cadastros!$L$6:$L$12,Cadastros!$M$6:$M$12)," ")</f>
        <v xml:space="preserve"> </v>
      </c>
      <c r="M773" s="28"/>
      <c r="N773" s="28"/>
      <c r="O773" s="255" t="str">
        <f>IF(M773="","",(_xlfn.XLOOKUP(M773,Cadastros!$D$6:$D$90,Cadastros!$E$6:$E$90))*(1-_xlfn.XLOOKUP(_xlfn.XLOOKUP($F773,Clientes!$B$4:$B$39,Clientes!$C$4:$C$39),Cadastros!$L$6:$L$12,Cadastros!$N$6:$N$12)))</f>
        <v/>
      </c>
      <c r="P773" s="168" t="str">
        <f t="shared" si="145"/>
        <v/>
      </c>
      <c r="Q773" s="168" t="str">
        <f>IFERROR(P773/_xlfn.XLOOKUP(_xlfn.XLOOKUP($F773,Clientes!$B$4:$B$39,Clientes!$C$4:$C$39),Cadastros!$L$6:$L$12,Cadastros!$M$6:$M$12)," ")</f>
        <v xml:space="preserve"> </v>
      </c>
      <c r="R773" s="28"/>
      <c r="S773" s="28"/>
      <c r="T773" s="255" t="str">
        <f>IF(R773="","",(_xlfn.XLOOKUP(R773,Cadastros!$D$6:$D$90,Cadastros!$E$6:$E$90))*(1-_xlfn.XLOOKUP(_xlfn.XLOOKUP($F773,Clientes!$B$4:$B$39,Clientes!$C$4:$C$39),Cadastros!$L$6:$L$12,Cadastros!$N$6:$N$12)))</f>
        <v/>
      </c>
      <c r="U773" s="168" t="str">
        <f t="shared" si="146"/>
        <v/>
      </c>
      <c r="V773" s="168" t="str">
        <f>IFERROR(U773/_xlfn.XLOOKUP(_xlfn.XLOOKUP($F773,Clientes!$B$4:$B$39,Clientes!$C$4:$C$39),Cadastros!$L$6:$L$12,Cadastros!$M$6:$M$12)," ")</f>
        <v xml:space="preserve"> </v>
      </c>
      <c r="W773" s="28"/>
      <c r="X773" s="28"/>
      <c r="Y773" s="255" t="str">
        <f>IF(W773="","",(_xlfn.XLOOKUP(W773,Cadastros!$D$6:$D$90,Cadastros!$E$6:$E$90))*(1-_xlfn.XLOOKUP(_xlfn.XLOOKUP($F773,Clientes!$B$4:$B$39,Clientes!$C$4:$C$39),Cadastros!$L$6:$L$12,Cadastros!$N$6:$N$12)))</f>
        <v/>
      </c>
      <c r="Z773" s="168" t="str">
        <f t="shared" si="147"/>
        <v/>
      </c>
      <c r="AA773" s="168" t="str">
        <f>IFERROR(Z773/_xlfn.XLOOKUP(_xlfn.XLOOKUP($F773,Clientes!$B$4:$B$39,Clientes!$C$4:$C$39),Cadastros!$L$6:$L$12,Cadastros!$M$6:$M$12)," ")</f>
        <v xml:space="preserve"> </v>
      </c>
      <c r="AB773" s="28"/>
      <c r="AC773" s="28"/>
      <c r="AD773" s="20" t="str">
        <f>IF(AB773="","",IF($F773="Bernardino Furlan",_xlfn.XLOOKUP(AB773,Cadastros!$G$6:$G$90,Cadastros!$H$6:$H$90)*(1-0.18),IF($F773="Mauro José Salanti",_xlfn.XLOOKUP(AB773,Cadastros!$G$6:$G$90,Cadastros!$H$6:$H$90)*(1-0.18),_xlfn.XLOOKUP(AB773,Cadastros!$G$6:$G$90,Cadastros!$H$6:$H$90))))</f>
        <v/>
      </c>
      <c r="AE773" s="168" t="str">
        <f t="shared" si="148"/>
        <v/>
      </c>
      <c r="AF773" s="168" t="str">
        <f t="shared" si="149"/>
        <v/>
      </c>
      <c r="AG773" s="28"/>
      <c r="AH773" s="28"/>
      <c r="AI773" s="20" t="str">
        <f>IF(AG773="","",IF($F773="Bernardino Furlan",_xlfn.XLOOKUP(AG773,Cadastros!$G$6:$G$90,Cadastros!$H$6:$H$90)*(1-0.18),IF($F773="Mauro José Salanti",_xlfn.XLOOKUP(AG773,Cadastros!$G$6:$G$90,Cadastros!$H$6:$H$90)*(1-0.18),_xlfn.XLOOKUP(AG773,Cadastros!$G$6:$G$90,Cadastros!$H$6:$H$90))))</f>
        <v/>
      </c>
      <c r="AJ773" s="168" t="str">
        <f t="shared" si="150"/>
        <v/>
      </c>
      <c r="AK773" s="168" t="str">
        <f t="shared" si="151"/>
        <v/>
      </c>
      <c r="AL773" s="28"/>
      <c r="AM773" s="28"/>
      <c r="AN773" s="20" t="str">
        <f>IF(AL773="","",IF($F773="Bernardino Furlan",_xlfn.XLOOKUP(AL773,Cadastros!$G$6:$G$90,Cadastros!$H$6:$H$90)*(1-0.18),IF($F773="Mauro José Salanti",_xlfn.XLOOKUP(AL773,Cadastros!$G$6:$G$90,Cadastros!$H$6:$H$90)*(1-0.18),_xlfn.XLOOKUP(AL773,Cadastros!$G$6:$G$90,Cadastros!$H$6:$H$90))))</f>
        <v/>
      </c>
      <c r="AO773" s="168" t="str">
        <f t="shared" si="152"/>
        <v/>
      </c>
      <c r="AP773" s="168" t="str">
        <f t="shared" si="153"/>
        <v/>
      </c>
      <c r="AQ773" s="28"/>
      <c r="AR773" s="28"/>
      <c r="AS773" s="20" t="str">
        <f>IF(AQ773="","",IF($F773="Bernardino Furlan",_xlfn.XLOOKUP(AQ773,Cadastros!$G$6:$G$90,Cadastros!$H$6:$H$90)*(1-0.18),IF($F773="Mauro José Salanti",_xlfn.XLOOKUP(AQ773,Cadastros!$G$6:$G$90,Cadastros!$H$6:$H$90)*(1-0.18),_xlfn.XLOOKUP(AQ773,Cadastros!$G$6:$G$90,Cadastros!$H$6:$H$90))))</f>
        <v/>
      </c>
      <c r="AT773" s="168" t="str">
        <f t="shared" si="154"/>
        <v/>
      </c>
      <c r="AU773" s="168" t="str">
        <f t="shared" si="155"/>
        <v/>
      </c>
      <c r="AV773" s="227"/>
      <c r="AW773" s="30"/>
      <c r="AX773" s="267"/>
      <c r="AY773" s="267"/>
      <c r="AZ773" s="29"/>
      <c r="BA773" s="30"/>
      <c r="BB773" s="23" t="str" cm="1">
        <f t="array" ref="BB773">_xlfn.IFS(AW773="SIM",SUM(K773,P773,U773,Z773,AE773,AJ773,AO773,AT773,AX773,AY773),F773&lt;&gt;"",SUM(K773,P773,U773,Z773,AE773,AJ773,,AO773,AT773),F773="","")</f>
        <v/>
      </c>
      <c r="BC773" s="211" t="str" cm="1">
        <f t="array" ref="BC773">_xlfn.IFS(E773="","",G773&lt;=E773,BB773*(1-0.03),G773&lt;(E773+8),BB773,AZ773="Boleto",BB773*(1+0.001)^DATEDIF(E773,G773,"D"),AZ773="Cheque",BB773,AZ773="Dinheiro","Alterar forma pgto")</f>
        <v/>
      </c>
      <c r="BD773" s="276" t="str" cm="1">
        <f t="array" ref="BD773">IF(F773=0," ",IF(BC773&lt;BB773,(_xlfn.IFS(AW773="SIM",SUM(L773,Q773,V773,AA773,AF773,AK773,AP773,AU773)+AX773/_xlfn.XLOOKUP(_xlfn.XLOOKUP($F773,Clientes!$B$4:$B$39,Clientes!$C$4:$C$39),Cadastros!$L$6:$L$12,Cadastros!$M$6:$M$12)+IF($F773="Bernardino Furlan",AY773/2751.92,IF($F773="Mauro José Salanti",AY773/2751.92,AY773/3356)),F773&lt;&gt;0,SUM(L773,Q773,V773,AA773,AF773,AK773,AP773,AU773)))*(1-0.03),_xlfn.IFS(AW773="SIM",SUM(L773,Q773,V773,AA773,AF773,AK773,AP773,AU773)+AX773/_xlfn.XLOOKUP(_xlfn.XLOOKUP($F773,Clientes!$B$4:$B$39,Clientes!$C$4:$C$39),Cadastros!$L$6:$L$12,Cadastros!$M$6:$M$12)+IF($F773="Bernardino Furlan",AY773/2751.92,IF($F773="Mauro José Salanti",AY773/2751.92,AY773/3356)),F773&lt;&gt;0,SUM(L773,Q773,V773,AA773,AF773,AK773,AP773,AU773))))</f>
        <v xml:space="preserve"> </v>
      </c>
      <c r="BE773" s="120"/>
      <c r="BF773" s="120"/>
      <c r="BG773" s="120"/>
    </row>
    <row r="774" spans="1:59" s="3" customFormat="1" x14ac:dyDescent="0.3">
      <c r="A774" s="15" t="str">
        <f t="shared" si="143"/>
        <v/>
      </c>
      <c r="B774" s="25"/>
      <c r="C774" s="26"/>
      <c r="D774" s="279"/>
      <c r="E774" s="27"/>
      <c r="F774" s="28"/>
      <c r="G774" s="27"/>
      <c r="H774" s="28"/>
      <c r="I774" s="28"/>
      <c r="J774" s="255" t="str">
        <f>IF(H774="","",(_xlfn.XLOOKUP(H774,Cadastros!$D$6:$D$90,Cadastros!$E$6:$E$90))*(1-_xlfn.XLOOKUP(_xlfn.XLOOKUP($F774,Clientes!$B$4:$B$39,Clientes!$C$4:$C$39),Cadastros!$L$6:$L$12,Cadastros!$N$6:$N$12)))</f>
        <v/>
      </c>
      <c r="K774" s="168" t="str">
        <f t="shared" si="144"/>
        <v/>
      </c>
      <c r="L774" s="168" t="str">
        <f>IFERROR(K774/_xlfn.XLOOKUP(_xlfn.XLOOKUP($F774,Clientes!$B$4:$B$39,Clientes!$C$4:$C$39),Cadastros!$L$6:$L$12,Cadastros!$M$6:$M$12)," ")</f>
        <v xml:space="preserve"> </v>
      </c>
      <c r="M774" s="28"/>
      <c r="N774" s="28"/>
      <c r="O774" s="255" t="str">
        <f>IF(M774="","",(_xlfn.XLOOKUP(M774,Cadastros!$D$6:$D$90,Cadastros!$E$6:$E$90))*(1-_xlfn.XLOOKUP(_xlfn.XLOOKUP($F774,Clientes!$B$4:$B$39,Clientes!$C$4:$C$39),Cadastros!$L$6:$L$12,Cadastros!$N$6:$N$12)))</f>
        <v/>
      </c>
      <c r="P774" s="168" t="str">
        <f t="shared" si="145"/>
        <v/>
      </c>
      <c r="Q774" s="168" t="str">
        <f>IFERROR(P774/_xlfn.XLOOKUP(_xlfn.XLOOKUP($F774,Clientes!$B$4:$B$39,Clientes!$C$4:$C$39),Cadastros!$L$6:$L$12,Cadastros!$M$6:$M$12)," ")</f>
        <v xml:space="preserve"> </v>
      </c>
      <c r="R774" s="28"/>
      <c r="S774" s="28"/>
      <c r="T774" s="255" t="str">
        <f>IF(R774="","",(_xlfn.XLOOKUP(R774,Cadastros!$D$6:$D$90,Cadastros!$E$6:$E$90))*(1-_xlfn.XLOOKUP(_xlfn.XLOOKUP($F774,Clientes!$B$4:$B$39,Clientes!$C$4:$C$39),Cadastros!$L$6:$L$12,Cadastros!$N$6:$N$12)))</f>
        <v/>
      </c>
      <c r="U774" s="168" t="str">
        <f t="shared" si="146"/>
        <v/>
      </c>
      <c r="V774" s="168" t="str">
        <f>IFERROR(U774/_xlfn.XLOOKUP(_xlfn.XLOOKUP($F774,Clientes!$B$4:$B$39,Clientes!$C$4:$C$39),Cadastros!$L$6:$L$12,Cadastros!$M$6:$M$12)," ")</f>
        <v xml:space="preserve"> </v>
      </c>
      <c r="W774" s="28"/>
      <c r="X774" s="28"/>
      <c r="Y774" s="255" t="str">
        <f>IF(W774="","",(_xlfn.XLOOKUP(W774,Cadastros!$D$6:$D$90,Cadastros!$E$6:$E$90))*(1-_xlfn.XLOOKUP(_xlfn.XLOOKUP($F774,Clientes!$B$4:$B$39,Clientes!$C$4:$C$39),Cadastros!$L$6:$L$12,Cadastros!$N$6:$N$12)))</f>
        <v/>
      </c>
      <c r="Z774" s="168" t="str">
        <f t="shared" si="147"/>
        <v/>
      </c>
      <c r="AA774" s="168" t="str">
        <f>IFERROR(Z774/_xlfn.XLOOKUP(_xlfn.XLOOKUP($F774,Clientes!$B$4:$B$39,Clientes!$C$4:$C$39),Cadastros!$L$6:$L$12,Cadastros!$M$6:$M$12)," ")</f>
        <v xml:space="preserve"> </v>
      </c>
      <c r="AB774" s="28"/>
      <c r="AC774" s="28"/>
      <c r="AD774" s="20" t="str">
        <f>IF(AB774="","",IF($F774="Bernardino Furlan",_xlfn.XLOOKUP(AB774,Cadastros!$G$6:$G$90,Cadastros!$H$6:$H$90)*(1-0.18),IF($F774="Mauro José Salanti",_xlfn.XLOOKUP(AB774,Cadastros!$G$6:$G$90,Cadastros!$H$6:$H$90)*(1-0.18),_xlfn.XLOOKUP(AB774,Cadastros!$G$6:$G$90,Cadastros!$H$6:$H$90))))</f>
        <v/>
      </c>
      <c r="AE774" s="168" t="str">
        <f t="shared" si="148"/>
        <v/>
      </c>
      <c r="AF774" s="168" t="str">
        <f t="shared" si="149"/>
        <v/>
      </c>
      <c r="AG774" s="28"/>
      <c r="AH774" s="28"/>
      <c r="AI774" s="20" t="str">
        <f>IF(AG774="","",IF($F774="Bernardino Furlan",_xlfn.XLOOKUP(AG774,Cadastros!$G$6:$G$90,Cadastros!$H$6:$H$90)*(1-0.18),IF($F774="Mauro José Salanti",_xlfn.XLOOKUP(AG774,Cadastros!$G$6:$G$90,Cadastros!$H$6:$H$90)*(1-0.18),_xlfn.XLOOKUP(AG774,Cadastros!$G$6:$G$90,Cadastros!$H$6:$H$90))))</f>
        <v/>
      </c>
      <c r="AJ774" s="168" t="str">
        <f t="shared" si="150"/>
        <v/>
      </c>
      <c r="AK774" s="168" t="str">
        <f t="shared" si="151"/>
        <v/>
      </c>
      <c r="AL774" s="28"/>
      <c r="AM774" s="28"/>
      <c r="AN774" s="20" t="str">
        <f>IF(AL774="","",IF($F774="Bernardino Furlan",_xlfn.XLOOKUP(AL774,Cadastros!$G$6:$G$90,Cadastros!$H$6:$H$90)*(1-0.18),IF($F774="Mauro José Salanti",_xlfn.XLOOKUP(AL774,Cadastros!$G$6:$G$90,Cadastros!$H$6:$H$90)*(1-0.18),_xlfn.XLOOKUP(AL774,Cadastros!$G$6:$G$90,Cadastros!$H$6:$H$90))))</f>
        <v/>
      </c>
      <c r="AO774" s="168" t="str">
        <f t="shared" si="152"/>
        <v/>
      </c>
      <c r="AP774" s="168" t="str">
        <f t="shared" si="153"/>
        <v/>
      </c>
      <c r="AQ774" s="28"/>
      <c r="AR774" s="28"/>
      <c r="AS774" s="20" t="str">
        <f>IF(AQ774="","",IF($F774="Bernardino Furlan",_xlfn.XLOOKUP(AQ774,Cadastros!$G$6:$G$90,Cadastros!$H$6:$H$90)*(1-0.18),IF($F774="Mauro José Salanti",_xlfn.XLOOKUP(AQ774,Cadastros!$G$6:$G$90,Cadastros!$H$6:$H$90)*(1-0.18),_xlfn.XLOOKUP(AQ774,Cadastros!$G$6:$G$90,Cadastros!$H$6:$H$90))))</f>
        <v/>
      </c>
      <c r="AT774" s="168" t="str">
        <f t="shared" si="154"/>
        <v/>
      </c>
      <c r="AU774" s="168" t="str">
        <f t="shared" si="155"/>
        <v/>
      </c>
      <c r="AV774" s="227"/>
      <c r="AW774" s="30"/>
      <c r="AX774" s="267"/>
      <c r="AY774" s="267"/>
      <c r="AZ774" s="29"/>
      <c r="BA774" s="30"/>
      <c r="BB774" s="23" t="str" cm="1">
        <f t="array" ref="BB774">_xlfn.IFS(AW774="SIM",SUM(K774,P774,U774,Z774,AE774,AJ774,AO774,AT774,AX774,AY774),F774&lt;&gt;"",SUM(K774,P774,U774,Z774,AE774,AJ774,,AO774,AT774),F774="","")</f>
        <v/>
      </c>
      <c r="BC774" s="211" t="str" cm="1">
        <f t="array" ref="BC774">_xlfn.IFS(E774="","",G774&lt;=E774,BB774*(1-0.03),G774&lt;(E774+8),BB774,AZ774="Boleto",BB774*(1+0.001)^DATEDIF(E774,G774,"D"),AZ774="Cheque",BB774,AZ774="Dinheiro","Alterar forma pgto")</f>
        <v/>
      </c>
      <c r="BD774" s="276" t="str" cm="1">
        <f t="array" ref="BD774">IF(F774=0," ",IF(BC774&lt;BB774,(_xlfn.IFS(AW774="SIM",SUM(L774,Q774,V774,AA774,AF774,AK774,AP774,AU774)+AX774/_xlfn.XLOOKUP(_xlfn.XLOOKUP($F774,Clientes!$B$4:$B$39,Clientes!$C$4:$C$39),Cadastros!$L$6:$L$12,Cadastros!$M$6:$M$12)+IF($F774="Bernardino Furlan",AY774/2751.92,IF($F774="Mauro José Salanti",AY774/2751.92,AY774/3356)),F774&lt;&gt;0,SUM(L774,Q774,V774,AA774,AF774,AK774,AP774,AU774)))*(1-0.03),_xlfn.IFS(AW774="SIM",SUM(L774,Q774,V774,AA774,AF774,AK774,AP774,AU774)+AX774/_xlfn.XLOOKUP(_xlfn.XLOOKUP($F774,Clientes!$B$4:$B$39,Clientes!$C$4:$C$39),Cadastros!$L$6:$L$12,Cadastros!$M$6:$M$12)+IF($F774="Bernardino Furlan",AY774/2751.92,IF($F774="Mauro José Salanti",AY774/2751.92,AY774/3356)),F774&lt;&gt;0,SUM(L774,Q774,V774,AA774,AF774,AK774,AP774,AU774))))</f>
        <v xml:space="preserve"> </v>
      </c>
      <c r="BE774" s="120"/>
      <c r="BF774" s="120"/>
      <c r="BG774" s="120"/>
    </row>
    <row r="775" spans="1:59" s="3" customFormat="1" x14ac:dyDescent="0.3">
      <c r="A775" s="15" t="str">
        <f t="shared" si="143"/>
        <v/>
      </c>
      <c r="B775" s="25"/>
      <c r="C775" s="26"/>
      <c r="D775" s="279"/>
      <c r="E775" s="27"/>
      <c r="F775" s="28"/>
      <c r="G775" s="27"/>
      <c r="H775" s="28"/>
      <c r="I775" s="28"/>
      <c r="J775" s="255" t="str">
        <f>IF(H775="","",(_xlfn.XLOOKUP(H775,Cadastros!$D$6:$D$90,Cadastros!$E$6:$E$90))*(1-_xlfn.XLOOKUP(_xlfn.XLOOKUP($F775,Clientes!$B$4:$B$39,Clientes!$C$4:$C$39),Cadastros!$L$6:$L$12,Cadastros!$N$6:$N$12)))</f>
        <v/>
      </c>
      <c r="K775" s="168" t="str">
        <f t="shared" si="144"/>
        <v/>
      </c>
      <c r="L775" s="168" t="str">
        <f>IFERROR(K775/_xlfn.XLOOKUP(_xlfn.XLOOKUP($F775,Clientes!$B$4:$B$39,Clientes!$C$4:$C$39),Cadastros!$L$6:$L$12,Cadastros!$M$6:$M$12)," ")</f>
        <v xml:space="preserve"> </v>
      </c>
      <c r="M775" s="28"/>
      <c r="N775" s="28"/>
      <c r="O775" s="255" t="str">
        <f>IF(M775="","",(_xlfn.XLOOKUP(M775,Cadastros!$D$6:$D$90,Cadastros!$E$6:$E$90))*(1-_xlfn.XLOOKUP(_xlfn.XLOOKUP($F775,Clientes!$B$4:$B$39,Clientes!$C$4:$C$39),Cadastros!$L$6:$L$12,Cadastros!$N$6:$N$12)))</f>
        <v/>
      </c>
      <c r="P775" s="168" t="str">
        <f t="shared" si="145"/>
        <v/>
      </c>
      <c r="Q775" s="168" t="str">
        <f>IFERROR(P775/_xlfn.XLOOKUP(_xlfn.XLOOKUP($F775,Clientes!$B$4:$B$39,Clientes!$C$4:$C$39),Cadastros!$L$6:$L$12,Cadastros!$M$6:$M$12)," ")</f>
        <v xml:space="preserve"> </v>
      </c>
      <c r="R775" s="28"/>
      <c r="S775" s="28"/>
      <c r="T775" s="255" t="str">
        <f>IF(R775="","",(_xlfn.XLOOKUP(R775,Cadastros!$D$6:$D$90,Cadastros!$E$6:$E$90))*(1-_xlfn.XLOOKUP(_xlfn.XLOOKUP($F775,Clientes!$B$4:$B$39,Clientes!$C$4:$C$39),Cadastros!$L$6:$L$12,Cadastros!$N$6:$N$12)))</f>
        <v/>
      </c>
      <c r="U775" s="168" t="str">
        <f t="shared" si="146"/>
        <v/>
      </c>
      <c r="V775" s="168" t="str">
        <f>IFERROR(U775/_xlfn.XLOOKUP(_xlfn.XLOOKUP($F775,Clientes!$B$4:$B$39,Clientes!$C$4:$C$39),Cadastros!$L$6:$L$12,Cadastros!$M$6:$M$12)," ")</f>
        <v xml:space="preserve"> </v>
      </c>
      <c r="W775" s="28"/>
      <c r="X775" s="28"/>
      <c r="Y775" s="255" t="str">
        <f>IF(W775="","",(_xlfn.XLOOKUP(W775,Cadastros!$D$6:$D$90,Cadastros!$E$6:$E$90))*(1-_xlfn.XLOOKUP(_xlfn.XLOOKUP($F775,Clientes!$B$4:$B$39,Clientes!$C$4:$C$39),Cadastros!$L$6:$L$12,Cadastros!$N$6:$N$12)))</f>
        <v/>
      </c>
      <c r="Z775" s="168" t="str">
        <f t="shared" si="147"/>
        <v/>
      </c>
      <c r="AA775" s="168" t="str">
        <f>IFERROR(Z775/_xlfn.XLOOKUP(_xlfn.XLOOKUP($F775,Clientes!$B$4:$B$39,Clientes!$C$4:$C$39),Cadastros!$L$6:$L$12,Cadastros!$M$6:$M$12)," ")</f>
        <v xml:space="preserve"> </v>
      </c>
      <c r="AB775" s="28"/>
      <c r="AC775" s="28"/>
      <c r="AD775" s="20" t="str">
        <f>IF(AB775="","",IF($F775="Bernardino Furlan",_xlfn.XLOOKUP(AB775,Cadastros!$G$6:$G$90,Cadastros!$H$6:$H$90)*(1-0.18),IF($F775="Mauro José Salanti",_xlfn.XLOOKUP(AB775,Cadastros!$G$6:$G$90,Cadastros!$H$6:$H$90)*(1-0.18),_xlfn.XLOOKUP(AB775,Cadastros!$G$6:$G$90,Cadastros!$H$6:$H$90))))</f>
        <v/>
      </c>
      <c r="AE775" s="168" t="str">
        <f t="shared" si="148"/>
        <v/>
      </c>
      <c r="AF775" s="168" t="str">
        <f t="shared" si="149"/>
        <v/>
      </c>
      <c r="AG775" s="28"/>
      <c r="AH775" s="28"/>
      <c r="AI775" s="20" t="str">
        <f>IF(AG775="","",IF($F775="Bernardino Furlan",_xlfn.XLOOKUP(AG775,Cadastros!$G$6:$G$90,Cadastros!$H$6:$H$90)*(1-0.18),IF($F775="Mauro José Salanti",_xlfn.XLOOKUP(AG775,Cadastros!$G$6:$G$90,Cadastros!$H$6:$H$90)*(1-0.18),_xlfn.XLOOKUP(AG775,Cadastros!$G$6:$G$90,Cadastros!$H$6:$H$90))))</f>
        <v/>
      </c>
      <c r="AJ775" s="168" t="str">
        <f t="shared" si="150"/>
        <v/>
      </c>
      <c r="AK775" s="168" t="str">
        <f t="shared" si="151"/>
        <v/>
      </c>
      <c r="AL775" s="28"/>
      <c r="AM775" s="28"/>
      <c r="AN775" s="20" t="str">
        <f>IF(AL775="","",IF($F775="Bernardino Furlan",_xlfn.XLOOKUP(AL775,Cadastros!$G$6:$G$90,Cadastros!$H$6:$H$90)*(1-0.18),IF($F775="Mauro José Salanti",_xlfn.XLOOKUP(AL775,Cadastros!$G$6:$G$90,Cadastros!$H$6:$H$90)*(1-0.18),_xlfn.XLOOKUP(AL775,Cadastros!$G$6:$G$90,Cadastros!$H$6:$H$90))))</f>
        <v/>
      </c>
      <c r="AO775" s="168" t="str">
        <f t="shared" si="152"/>
        <v/>
      </c>
      <c r="AP775" s="168" t="str">
        <f t="shared" si="153"/>
        <v/>
      </c>
      <c r="AQ775" s="28"/>
      <c r="AR775" s="28"/>
      <c r="AS775" s="20" t="str">
        <f>IF(AQ775="","",IF($F775="Bernardino Furlan",_xlfn.XLOOKUP(AQ775,Cadastros!$G$6:$G$90,Cadastros!$H$6:$H$90)*(1-0.18),IF($F775="Mauro José Salanti",_xlfn.XLOOKUP(AQ775,Cadastros!$G$6:$G$90,Cadastros!$H$6:$H$90)*(1-0.18),_xlfn.XLOOKUP(AQ775,Cadastros!$G$6:$G$90,Cadastros!$H$6:$H$90))))</f>
        <v/>
      </c>
      <c r="AT775" s="168" t="str">
        <f t="shared" si="154"/>
        <v/>
      </c>
      <c r="AU775" s="168" t="str">
        <f t="shared" si="155"/>
        <v/>
      </c>
      <c r="AV775" s="227"/>
      <c r="AW775" s="30"/>
      <c r="AX775" s="267"/>
      <c r="AY775" s="267"/>
      <c r="AZ775" s="29"/>
      <c r="BA775" s="30"/>
      <c r="BB775" s="23" t="str" cm="1">
        <f t="array" ref="BB775">_xlfn.IFS(AW775="SIM",SUM(K775,P775,U775,Z775,AE775,AJ775,AO775,AT775,AX775,AY775),F775&lt;&gt;"",SUM(K775,P775,U775,Z775,AE775,AJ775,,AO775,AT775),F775="","")</f>
        <v/>
      </c>
      <c r="BC775" s="211" t="str" cm="1">
        <f t="array" ref="BC775">_xlfn.IFS(E775="","",G775&lt;=E775,BB775*(1-0.03),G775&lt;(E775+8),BB775,AZ775="Boleto",BB775*(1+0.001)^DATEDIF(E775,G775,"D"),AZ775="Cheque",BB775,AZ775="Dinheiro","Alterar forma pgto")</f>
        <v/>
      </c>
      <c r="BD775" s="276" t="str" cm="1">
        <f t="array" ref="BD775">IF(F775=0," ",IF(BC775&lt;BB775,(_xlfn.IFS(AW775="SIM",SUM(L775,Q775,V775,AA775,AF775,AK775,AP775,AU775)+AX775/_xlfn.XLOOKUP(_xlfn.XLOOKUP($F775,Clientes!$B$4:$B$39,Clientes!$C$4:$C$39),Cadastros!$L$6:$L$12,Cadastros!$M$6:$M$12)+IF($F775="Bernardino Furlan",AY775/2751.92,IF($F775="Mauro José Salanti",AY775/2751.92,AY775/3356)),F775&lt;&gt;0,SUM(L775,Q775,V775,AA775,AF775,AK775,AP775,AU775)))*(1-0.03),_xlfn.IFS(AW775="SIM",SUM(L775,Q775,V775,AA775,AF775,AK775,AP775,AU775)+AX775/_xlfn.XLOOKUP(_xlfn.XLOOKUP($F775,Clientes!$B$4:$B$39,Clientes!$C$4:$C$39),Cadastros!$L$6:$L$12,Cadastros!$M$6:$M$12)+IF($F775="Bernardino Furlan",AY775/2751.92,IF($F775="Mauro José Salanti",AY775/2751.92,AY775/3356)),F775&lt;&gt;0,SUM(L775,Q775,V775,AA775,AF775,AK775,AP775,AU775))))</f>
        <v xml:space="preserve"> </v>
      </c>
      <c r="BE775" s="120"/>
      <c r="BF775" s="120"/>
      <c r="BG775" s="120"/>
    </row>
    <row r="776" spans="1:59" s="3" customFormat="1" x14ac:dyDescent="0.3">
      <c r="A776" s="15" t="str">
        <f t="shared" ref="A776:A839" si="156">IF(C776="orçamento",25%,IF(C776="aprovado",50%,IF(C776="entregue",100%,IF(C776="não aceito",0%,""))))</f>
        <v/>
      </c>
      <c r="B776" s="25"/>
      <c r="C776" s="26"/>
      <c r="D776" s="279"/>
      <c r="E776" s="27"/>
      <c r="F776" s="28"/>
      <c r="G776" s="27"/>
      <c r="H776" s="28"/>
      <c r="I776" s="28"/>
      <c r="J776" s="255" t="str">
        <f>IF(H776="","",(_xlfn.XLOOKUP(H776,Cadastros!$D$6:$D$90,Cadastros!$E$6:$E$90))*(1-_xlfn.XLOOKUP(_xlfn.XLOOKUP($F776,Clientes!$B$4:$B$39,Clientes!$C$4:$C$39),Cadastros!$L$6:$L$12,Cadastros!$N$6:$N$12)))</f>
        <v/>
      </c>
      <c r="K776" s="168" t="str">
        <f t="shared" ref="K776:K839" si="157">IF(J776="","",I776*J776)</f>
        <v/>
      </c>
      <c r="L776" s="168" t="str">
        <f>IFERROR(K776/_xlfn.XLOOKUP(_xlfn.XLOOKUP($F776,Clientes!$B$4:$B$39,Clientes!$C$4:$C$39),Cadastros!$L$6:$L$12,Cadastros!$M$6:$M$12)," ")</f>
        <v xml:space="preserve"> </v>
      </c>
      <c r="M776" s="28"/>
      <c r="N776" s="28"/>
      <c r="O776" s="255" t="str">
        <f>IF(M776="","",(_xlfn.XLOOKUP(M776,Cadastros!$D$6:$D$90,Cadastros!$E$6:$E$90))*(1-_xlfn.XLOOKUP(_xlfn.XLOOKUP($F776,Clientes!$B$4:$B$39,Clientes!$C$4:$C$39),Cadastros!$L$6:$L$12,Cadastros!$N$6:$N$12)))</f>
        <v/>
      </c>
      <c r="P776" s="168" t="str">
        <f t="shared" ref="P776:P839" si="158">IF(O776="","",N776*O776)</f>
        <v/>
      </c>
      <c r="Q776" s="168" t="str">
        <f>IFERROR(P776/_xlfn.XLOOKUP(_xlfn.XLOOKUP($F776,Clientes!$B$4:$B$39,Clientes!$C$4:$C$39),Cadastros!$L$6:$L$12,Cadastros!$M$6:$M$12)," ")</f>
        <v xml:space="preserve"> </v>
      </c>
      <c r="R776" s="28"/>
      <c r="S776" s="28"/>
      <c r="T776" s="255" t="str">
        <f>IF(R776="","",(_xlfn.XLOOKUP(R776,Cadastros!$D$6:$D$90,Cadastros!$E$6:$E$90))*(1-_xlfn.XLOOKUP(_xlfn.XLOOKUP($F776,Clientes!$B$4:$B$39,Clientes!$C$4:$C$39),Cadastros!$L$6:$L$12,Cadastros!$N$6:$N$12)))</f>
        <v/>
      </c>
      <c r="U776" s="168" t="str">
        <f t="shared" ref="U776:U839" si="159">IF(T776="","",S776*T776)</f>
        <v/>
      </c>
      <c r="V776" s="168" t="str">
        <f>IFERROR(U776/_xlfn.XLOOKUP(_xlfn.XLOOKUP($F776,Clientes!$B$4:$B$39,Clientes!$C$4:$C$39),Cadastros!$L$6:$L$12,Cadastros!$M$6:$M$12)," ")</f>
        <v xml:space="preserve"> </v>
      </c>
      <c r="W776" s="28"/>
      <c r="X776" s="28"/>
      <c r="Y776" s="255" t="str">
        <f>IF(W776="","",(_xlfn.XLOOKUP(W776,Cadastros!$D$6:$D$90,Cadastros!$E$6:$E$90))*(1-_xlfn.XLOOKUP(_xlfn.XLOOKUP($F776,Clientes!$B$4:$B$39,Clientes!$C$4:$C$39),Cadastros!$L$6:$L$12,Cadastros!$N$6:$N$12)))</f>
        <v/>
      </c>
      <c r="Z776" s="168" t="str">
        <f t="shared" ref="Z776:Z839" si="160">IF(Y776="","",X776*Y776)</f>
        <v/>
      </c>
      <c r="AA776" s="168" t="str">
        <f>IFERROR(Z776/_xlfn.XLOOKUP(_xlfn.XLOOKUP($F776,Clientes!$B$4:$B$39,Clientes!$C$4:$C$39),Cadastros!$L$6:$L$12,Cadastros!$M$6:$M$12)," ")</f>
        <v xml:space="preserve"> </v>
      </c>
      <c r="AB776" s="28"/>
      <c r="AC776" s="28"/>
      <c r="AD776" s="20" t="str">
        <f>IF(AB776="","",IF($F776="Bernardino Furlan",_xlfn.XLOOKUP(AB776,Cadastros!$G$6:$G$90,Cadastros!$H$6:$H$90)*(1-0.18),IF($F776="Mauro José Salanti",_xlfn.XLOOKUP(AB776,Cadastros!$G$6:$G$90,Cadastros!$H$6:$H$90)*(1-0.18),_xlfn.XLOOKUP(AB776,Cadastros!$G$6:$G$90,Cadastros!$H$6:$H$90))))</f>
        <v/>
      </c>
      <c r="AE776" s="168" t="str">
        <f t="shared" ref="AE776:AE839" si="161">IF(AD776="","",AC776*AD776)</f>
        <v/>
      </c>
      <c r="AF776" s="168" t="str">
        <f t="shared" ref="AF776:AF839" si="162">IFERROR(IF($F776="Bernardino Furlan",AE776/2751.92,IF($F776="Mauro José Salanti",AE776/2751.92,AE776/3356)),"")</f>
        <v/>
      </c>
      <c r="AG776" s="28"/>
      <c r="AH776" s="28"/>
      <c r="AI776" s="20" t="str">
        <f>IF(AG776="","",IF($F776="Bernardino Furlan",_xlfn.XLOOKUP(AG776,Cadastros!$G$6:$G$90,Cadastros!$H$6:$H$90)*(1-0.18),IF($F776="Mauro José Salanti",_xlfn.XLOOKUP(AG776,Cadastros!$G$6:$G$90,Cadastros!$H$6:$H$90)*(1-0.18),_xlfn.XLOOKUP(AG776,Cadastros!$G$6:$G$90,Cadastros!$H$6:$H$90))))</f>
        <v/>
      </c>
      <c r="AJ776" s="168" t="str">
        <f t="shared" ref="AJ776:AJ839" si="163">IF(AI776="","",AH776*AI776)</f>
        <v/>
      </c>
      <c r="AK776" s="168" t="str">
        <f t="shared" ref="AK776:AK839" si="164">IFERROR(IF($F776="Bernardino Furlan",AJ776/2751.92,IF($F776="Mauro José Salanti",AJ776/2751.92,AJ776/3356)),"")</f>
        <v/>
      </c>
      <c r="AL776" s="28"/>
      <c r="AM776" s="28"/>
      <c r="AN776" s="20" t="str">
        <f>IF(AL776="","",IF($F776="Bernardino Furlan",_xlfn.XLOOKUP(AL776,Cadastros!$G$6:$G$90,Cadastros!$H$6:$H$90)*(1-0.18),IF($F776="Mauro José Salanti",_xlfn.XLOOKUP(AL776,Cadastros!$G$6:$G$90,Cadastros!$H$6:$H$90)*(1-0.18),_xlfn.XLOOKUP(AL776,Cadastros!$G$6:$G$90,Cadastros!$H$6:$H$90))))</f>
        <v/>
      </c>
      <c r="AO776" s="168" t="str">
        <f t="shared" ref="AO776:AO839" si="165">IF(AN776="","",AM776*AN776)</f>
        <v/>
      </c>
      <c r="AP776" s="168" t="str">
        <f t="shared" ref="AP776:AP839" si="166">IFERROR(IF($F776="Bernardino Furlan",AO776/2751.92,IF($F776="Mauro José Salanti",AO776/2751.92,AO776/3356)),"")</f>
        <v/>
      </c>
      <c r="AQ776" s="28"/>
      <c r="AR776" s="28"/>
      <c r="AS776" s="20" t="str">
        <f>IF(AQ776="","",IF($F776="Bernardino Furlan",_xlfn.XLOOKUP(AQ776,Cadastros!$G$6:$G$90,Cadastros!$H$6:$H$90)*(1-0.18),IF($F776="Mauro José Salanti",_xlfn.XLOOKUP(AQ776,Cadastros!$G$6:$G$90,Cadastros!$H$6:$H$90)*(1-0.18),_xlfn.XLOOKUP(AQ776,Cadastros!$G$6:$G$90,Cadastros!$H$6:$H$90))))</f>
        <v/>
      </c>
      <c r="AT776" s="168" t="str">
        <f t="shared" ref="AT776:AT839" si="167">IF(AS776="","",AR776*AS776)</f>
        <v/>
      </c>
      <c r="AU776" s="168" t="str">
        <f t="shared" ref="AU776:AU839" si="168">IFERROR(IF($F776="Bernardino Furlan",AT776/2751.92,IF($F776="Mauro José Salanti",AT776/2751.92,AT776/3356)),"")</f>
        <v/>
      </c>
      <c r="AV776" s="227"/>
      <c r="AW776" s="30"/>
      <c r="AX776" s="267"/>
      <c r="AY776" s="267"/>
      <c r="AZ776" s="29"/>
      <c r="BA776" s="30"/>
      <c r="BB776" s="23" t="str" cm="1">
        <f t="array" ref="BB776">_xlfn.IFS(AW776="SIM",SUM(K776,P776,U776,Z776,AE776,AJ776,AO776,AT776,AX776,AY776),F776&lt;&gt;"",SUM(K776,P776,U776,Z776,AE776,AJ776,,AO776,AT776),F776="","")</f>
        <v/>
      </c>
      <c r="BC776" s="211" t="str" cm="1">
        <f t="array" ref="BC776">_xlfn.IFS(E776="","",G776&lt;=E776,BB776*(1-0.03),G776&lt;(E776+8),BB776,AZ776="Boleto",BB776*(1+0.001)^DATEDIF(E776,G776,"D"),AZ776="Cheque",BB776,AZ776="Dinheiro","Alterar forma pgto")</f>
        <v/>
      </c>
      <c r="BD776" s="276" t="str" cm="1">
        <f t="array" ref="BD776">IF(F776=0," ",IF(BC776&lt;BB776,(_xlfn.IFS(AW776="SIM",SUM(L776,Q776,V776,AA776,AF776,AK776,AP776,AU776)+AX776/_xlfn.XLOOKUP(_xlfn.XLOOKUP($F776,Clientes!$B$4:$B$39,Clientes!$C$4:$C$39),Cadastros!$L$6:$L$12,Cadastros!$M$6:$M$12)+IF($F776="Bernardino Furlan",AY776/2751.92,IF($F776="Mauro José Salanti",AY776/2751.92,AY776/3356)),F776&lt;&gt;0,SUM(L776,Q776,V776,AA776,AF776,AK776,AP776,AU776)))*(1-0.03),_xlfn.IFS(AW776="SIM",SUM(L776,Q776,V776,AA776,AF776,AK776,AP776,AU776)+AX776/_xlfn.XLOOKUP(_xlfn.XLOOKUP($F776,Clientes!$B$4:$B$39,Clientes!$C$4:$C$39),Cadastros!$L$6:$L$12,Cadastros!$M$6:$M$12)+IF($F776="Bernardino Furlan",AY776/2751.92,IF($F776="Mauro José Salanti",AY776/2751.92,AY776/3356)),F776&lt;&gt;0,SUM(L776,Q776,V776,AA776,AF776,AK776,AP776,AU776))))</f>
        <v xml:space="preserve"> </v>
      </c>
      <c r="BE776" s="120"/>
      <c r="BF776" s="120"/>
      <c r="BG776" s="120"/>
    </row>
    <row r="777" spans="1:59" s="3" customFormat="1" x14ac:dyDescent="0.3">
      <c r="A777" s="15" t="str">
        <f t="shared" si="156"/>
        <v/>
      </c>
      <c r="B777" s="25"/>
      <c r="C777" s="26"/>
      <c r="D777" s="279"/>
      <c r="E777" s="27"/>
      <c r="F777" s="28"/>
      <c r="G777" s="27"/>
      <c r="H777" s="28"/>
      <c r="I777" s="28"/>
      <c r="J777" s="255" t="str">
        <f>IF(H777="","",(_xlfn.XLOOKUP(H777,Cadastros!$D$6:$D$90,Cadastros!$E$6:$E$90))*(1-_xlfn.XLOOKUP(_xlfn.XLOOKUP($F777,Clientes!$B$4:$B$39,Clientes!$C$4:$C$39),Cadastros!$L$6:$L$12,Cadastros!$N$6:$N$12)))</f>
        <v/>
      </c>
      <c r="K777" s="168" t="str">
        <f t="shared" si="157"/>
        <v/>
      </c>
      <c r="L777" s="168" t="str">
        <f>IFERROR(K777/_xlfn.XLOOKUP(_xlfn.XLOOKUP($F777,Clientes!$B$4:$B$39,Clientes!$C$4:$C$39),Cadastros!$L$6:$L$12,Cadastros!$M$6:$M$12)," ")</f>
        <v xml:space="preserve"> </v>
      </c>
      <c r="M777" s="28"/>
      <c r="N777" s="28"/>
      <c r="O777" s="255" t="str">
        <f>IF(M777="","",(_xlfn.XLOOKUP(M777,Cadastros!$D$6:$D$90,Cadastros!$E$6:$E$90))*(1-_xlfn.XLOOKUP(_xlfn.XLOOKUP($F777,Clientes!$B$4:$B$39,Clientes!$C$4:$C$39),Cadastros!$L$6:$L$12,Cadastros!$N$6:$N$12)))</f>
        <v/>
      </c>
      <c r="P777" s="168" t="str">
        <f t="shared" si="158"/>
        <v/>
      </c>
      <c r="Q777" s="168" t="str">
        <f>IFERROR(P777/_xlfn.XLOOKUP(_xlfn.XLOOKUP($F777,Clientes!$B$4:$B$39,Clientes!$C$4:$C$39),Cadastros!$L$6:$L$12,Cadastros!$M$6:$M$12)," ")</f>
        <v xml:space="preserve"> </v>
      </c>
      <c r="R777" s="28"/>
      <c r="S777" s="28"/>
      <c r="T777" s="255" t="str">
        <f>IF(R777="","",(_xlfn.XLOOKUP(R777,Cadastros!$D$6:$D$90,Cadastros!$E$6:$E$90))*(1-_xlfn.XLOOKUP(_xlfn.XLOOKUP($F777,Clientes!$B$4:$B$39,Clientes!$C$4:$C$39),Cadastros!$L$6:$L$12,Cadastros!$N$6:$N$12)))</f>
        <v/>
      </c>
      <c r="U777" s="168" t="str">
        <f t="shared" si="159"/>
        <v/>
      </c>
      <c r="V777" s="168" t="str">
        <f>IFERROR(U777/_xlfn.XLOOKUP(_xlfn.XLOOKUP($F777,Clientes!$B$4:$B$39,Clientes!$C$4:$C$39),Cadastros!$L$6:$L$12,Cadastros!$M$6:$M$12)," ")</f>
        <v xml:space="preserve"> </v>
      </c>
      <c r="W777" s="28"/>
      <c r="X777" s="28"/>
      <c r="Y777" s="255" t="str">
        <f>IF(W777="","",(_xlfn.XLOOKUP(W777,Cadastros!$D$6:$D$90,Cadastros!$E$6:$E$90))*(1-_xlfn.XLOOKUP(_xlfn.XLOOKUP($F777,Clientes!$B$4:$B$39,Clientes!$C$4:$C$39),Cadastros!$L$6:$L$12,Cadastros!$N$6:$N$12)))</f>
        <v/>
      </c>
      <c r="Z777" s="168" t="str">
        <f t="shared" si="160"/>
        <v/>
      </c>
      <c r="AA777" s="168" t="str">
        <f>IFERROR(Z777/_xlfn.XLOOKUP(_xlfn.XLOOKUP($F777,Clientes!$B$4:$B$39,Clientes!$C$4:$C$39),Cadastros!$L$6:$L$12,Cadastros!$M$6:$M$12)," ")</f>
        <v xml:space="preserve"> </v>
      </c>
      <c r="AB777" s="28"/>
      <c r="AC777" s="28"/>
      <c r="AD777" s="20" t="str">
        <f>IF(AB777="","",IF($F777="Bernardino Furlan",_xlfn.XLOOKUP(AB777,Cadastros!$G$6:$G$90,Cadastros!$H$6:$H$90)*(1-0.18),IF($F777="Mauro José Salanti",_xlfn.XLOOKUP(AB777,Cadastros!$G$6:$G$90,Cadastros!$H$6:$H$90)*(1-0.18),_xlfn.XLOOKUP(AB777,Cadastros!$G$6:$G$90,Cadastros!$H$6:$H$90))))</f>
        <v/>
      </c>
      <c r="AE777" s="168" t="str">
        <f t="shared" si="161"/>
        <v/>
      </c>
      <c r="AF777" s="168" t="str">
        <f t="shared" si="162"/>
        <v/>
      </c>
      <c r="AG777" s="28"/>
      <c r="AH777" s="28"/>
      <c r="AI777" s="20" t="str">
        <f>IF(AG777="","",IF($F777="Bernardino Furlan",_xlfn.XLOOKUP(AG777,Cadastros!$G$6:$G$90,Cadastros!$H$6:$H$90)*(1-0.18),IF($F777="Mauro José Salanti",_xlfn.XLOOKUP(AG777,Cadastros!$G$6:$G$90,Cadastros!$H$6:$H$90)*(1-0.18),_xlfn.XLOOKUP(AG777,Cadastros!$G$6:$G$90,Cadastros!$H$6:$H$90))))</f>
        <v/>
      </c>
      <c r="AJ777" s="168" t="str">
        <f t="shared" si="163"/>
        <v/>
      </c>
      <c r="AK777" s="168" t="str">
        <f t="shared" si="164"/>
        <v/>
      </c>
      <c r="AL777" s="28"/>
      <c r="AM777" s="28"/>
      <c r="AN777" s="20" t="str">
        <f>IF(AL777="","",IF($F777="Bernardino Furlan",_xlfn.XLOOKUP(AL777,Cadastros!$G$6:$G$90,Cadastros!$H$6:$H$90)*(1-0.18),IF($F777="Mauro José Salanti",_xlfn.XLOOKUP(AL777,Cadastros!$G$6:$G$90,Cadastros!$H$6:$H$90)*(1-0.18),_xlfn.XLOOKUP(AL777,Cadastros!$G$6:$G$90,Cadastros!$H$6:$H$90))))</f>
        <v/>
      </c>
      <c r="AO777" s="168" t="str">
        <f t="shared" si="165"/>
        <v/>
      </c>
      <c r="AP777" s="168" t="str">
        <f t="shared" si="166"/>
        <v/>
      </c>
      <c r="AQ777" s="28"/>
      <c r="AR777" s="28"/>
      <c r="AS777" s="20" t="str">
        <f>IF(AQ777="","",IF($F777="Bernardino Furlan",_xlfn.XLOOKUP(AQ777,Cadastros!$G$6:$G$90,Cadastros!$H$6:$H$90)*(1-0.18),IF($F777="Mauro José Salanti",_xlfn.XLOOKUP(AQ777,Cadastros!$G$6:$G$90,Cadastros!$H$6:$H$90)*(1-0.18),_xlfn.XLOOKUP(AQ777,Cadastros!$G$6:$G$90,Cadastros!$H$6:$H$90))))</f>
        <v/>
      </c>
      <c r="AT777" s="168" t="str">
        <f t="shared" si="167"/>
        <v/>
      </c>
      <c r="AU777" s="168" t="str">
        <f t="shared" si="168"/>
        <v/>
      </c>
      <c r="AV777" s="227"/>
      <c r="AW777" s="30"/>
      <c r="AX777" s="267"/>
      <c r="AY777" s="267"/>
      <c r="AZ777" s="29"/>
      <c r="BA777" s="30"/>
      <c r="BB777" s="23" t="str" cm="1">
        <f t="array" ref="BB777">_xlfn.IFS(AW777="SIM",SUM(K777,P777,U777,Z777,AE777,AJ777,AO777,AT777,AX777,AY777),F777&lt;&gt;"",SUM(K777,P777,U777,Z777,AE777,AJ777,,AO777,AT777),F777="","")</f>
        <v/>
      </c>
      <c r="BC777" s="211" t="str" cm="1">
        <f t="array" ref="BC777">_xlfn.IFS(E777="","",G777&lt;=E777,BB777*(1-0.03),G777&lt;(E777+8),BB777,AZ777="Boleto",BB777*(1+0.001)^DATEDIF(E777,G777,"D"),AZ777="Cheque",BB777,AZ777="Dinheiro","Alterar forma pgto")</f>
        <v/>
      </c>
      <c r="BD777" s="276" t="str" cm="1">
        <f t="array" ref="BD777">IF(F777=0," ",IF(BC777&lt;BB777,(_xlfn.IFS(AW777="SIM",SUM(L777,Q777,V777,AA777,AF777,AK777,AP777,AU777)+AX777/_xlfn.XLOOKUP(_xlfn.XLOOKUP($F777,Clientes!$B$4:$B$39,Clientes!$C$4:$C$39),Cadastros!$L$6:$L$12,Cadastros!$M$6:$M$12)+IF($F777="Bernardino Furlan",AY777/2751.92,IF($F777="Mauro José Salanti",AY777/2751.92,AY777/3356)),F777&lt;&gt;0,SUM(L777,Q777,V777,AA777,AF777,AK777,AP777,AU777)))*(1-0.03),_xlfn.IFS(AW777="SIM",SUM(L777,Q777,V777,AA777,AF777,AK777,AP777,AU777)+AX777/_xlfn.XLOOKUP(_xlfn.XLOOKUP($F777,Clientes!$B$4:$B$39,Clientes!$C$4:$C$39),Cadastros!$L$6:$L$12,Cadastros!$M$6:$M$12)+IF($F777="Bernardino Furlan",AY777/2751.92,IF($F777="Mauro José Salanti",AY777/2751.92,AY777/3356)),F777&lt;&gt;0,SUM(L777,Q777,V777,AA777,AF777,AK777,AP777,AU777))))</f>
        <v xml:space="preserve"> </v>
      </c>
      <c r="BE777" s="120"/>
      <c r="BF777" s="120"/>
      <c r="BG777" s="120"/>
    </row>
    <row r="778" spans="1:59" s="3" customFormat="1" x14ac:dyDescent="0.3">
      <c r="A778" s="15" t="str">
        <f t="shared" si="156"/>
        <v/>
      </c>
      <c r="B778" s="25"/>
      <c r="C778" s="26"/>
      <c r="D778" s="279"/>
      <c r="E778" s="27"/>
      <c r="F778" s="28"/>
      <c r="G778" s="27"/>
      <c r="H778" s="28"/>
      <c r="I778" s="28"/>
      <c r="J778" s="255" t="str">
        <f>IF(H778="","",(_xlfn.XLOOKUP(H778,Cadastros!$D$6:$D$90,Cadastros!$E$6:$E$90))*(1-_xlfn.XLOOKUP(_xlfn.XLOOKUP($F778,Clientes!$B$4:$B$39,Clientes!$C$4:$C$39),Cadastros!$L$6:$L$12,Cadastros!$N$6:$N$12)))</f>
        <v/>
      </c>
      <c r="K778" s="168" t="str">
        <f t="shared" si="157"/>
        <v/>
      </c>
      <c r="L778" s="168" t="str">
        <f>IFERROR(K778/_xlfn.XLOOKUP(_xlfn.XLOOKUP($F778,Clientes!$B$4:$B$39,Clientes!$C$4:$C$39),Cadastros!$L$6:$L$12,Cadastros!$M$6:$M$12)," ")</f>
        <v xml:space="preserve"> </v>
      </c>
      <c r="M778" s="28"/>
      <c r="N778" s="28"/>
      <c r="O778" s="255" t="str">
        <f>IF(M778="","",(_xlfn.XLOOKUP(M778,Cadastros!$D$6:$D$90,Cadastros!$E$6:$E$90))*(1-_xlfn.XLOOKUP(_xlfn.XLOOKUP($F778,Clientes!$B$4:$B$39,Clientes!$C$4:$C$39),Cadastros!$L$6:$L$12,Cadastros!$N$6:$N$12)))</f>
        <v/>
      </c>
      <c r="P778" s="168" t="str">
        <f t="shared" si="158"/>
        <v/>
      </c>
      <c r="Q778" s="168" t="str">
        <f>IFERROR(P778/_xlfn.XLOOKUP(_xlfn.XLOOKUP($F778,Clientes!$B$4:$B$39,Clientes!$C$4:$C$39),Cadastros!$L$6:$L$12,Cadastros!$M$6:$M$12)," ")</f>
        <v xml:space="preserve"> </v>
      </c>
      <c r="R778" s="28"/>
      <c r="S778" s="28"/>
      <c r="T778" s="255" t="str">
        <f>IF(R778="","",(_xlfn.XLOOKUP(R778,Cadastros!$D$6:$D$90,Cadastros!$E$6:$E$90))*(1-_xlfn.XLOOKUP(_xlfn.XLOOKUP($F778,Clientes!$B$4:$B$39,Clientes!$C$4:$C$39),Cadastros!$L$6:$L$12,Cadastros!$N$6:$N$12)))</f>
        <v/>
      </c>
      <c r="U778" s="168" t="str">
        <f t="shared" si="159"/>
        <v/>
      </c>
      <c r="V778" s="168" t="str">
        <f>IFERROR(U778/_xlfn.XLOOKUP(_xlfn.XLOOKUP($F778,Clientes!$B$4:$B$39,Clientes!$C$4:$C$39),Cadastros!$L$6:$L$12,Cadastros!$M$6:$M$12)," ")</f>
        <v xml:space="preserve"> </v>
      </c>
      <c r="W778" s="28"/>
      <c r="X778" s="28"/>
      <c r="Y778" s="255" t="str">
        <f>IF(W778="","",(_xlfn.XLOOKUP(W778,Cadastros!$D$6:$D$90,Cadastros!$E$6:$E$90))*(1-_xlfn.XLOOKUP(_xlfn.XLOOKUP($F778,Clientes!$B$4:$B$39,Clientes!$C$4:$C$39),Cadastros!$L$6:$L$12,Cadastros!$N$6:$N$12)))</f>
        <v/>
      </c>
      <c r="Z778" s="168" t="str">
        <f t="shared" si="160"/>
        <v/>
      </c>
      <c r="AA778" s="168" t="str">
        <f>IFERROR(Z778/_xlfn.XLOOKUP(_xlfn.XLOOKUP($F778,Clientes!$B$4:$B$39,Clientes!$C$4:$C$39),Cadastros!$L$6:$L$12,Cadastros!$M$6:$M$12)," ")</f>
        <v xml:space="preserve"> </v>
      </c>
      <c r="AB778" s="28"/>
      <c r="AC778" s="28"/>
      <c r="AD778" s="20" t="str">
        <f>IF(AB778="","",IF($F778="Bernardino Furlan",_xlfn.XLOOKUP(AB778,Cadastros!$G$6:$G$90,Cadastros!$H$6:$H$90)*(1-0.18),IF($F778="Mauro José Salanti",_xlfn.XLOOKUP(AB778,Cadastros!$G$6:$G$90,Cadastros!$H$6:$H$90)*(1-0.18),_xlfn.XLOOKUP(AB778,Cadastros!$G$6:$G$90,Cadastros!$H$6:$H$90))))</f>
        <v/>
      </c>
      <c r="AE778" s="168" t="str">
        <f t="shared" si="161"/>
        <v/>
      </c>
      <c r="AF778" s="168" t="str">
        <f t="shared" si="162"/>
        <v/>
      </c>
      <c r="AG778" s="28"/>
      <c r="AH778" s="28"/>
      <c r="AI778" s="20" t="str">
        <f>IF(AG778="","",IF($F778="Bernardino Furlan",_xlfn.XLOOKUP(AG778,Cadastros!$G$6:$G$90,Cadastros!$H$6:$H$90)*(1-0.18),IF($F778="Mauro José Salanti",_xlfn.XLOOKUP(AG778,Cadastros!$G$6:$G$90,Cadastros!$H$6:$H$90)*(1-0.18),_xlfn.XLOOKUP(AG778,Cadastros!$G$6:$G$90,Cadastros!$H$6:$H$90))))</f>
        <v/>
      </c>
      <c r="AJ778" s="168" t="str">
        <f t="shared" si="163"/>
        <v/>
      </c>
      <c r="AK778" s="168" t="str">
        <f t="shared" si="164"/>
        <v/>
      </c>
      <c r="AL778" s="28"/>
      <c r="AM778" s="28"/>
      <c r="AN778" s="20" t="str">
        <f>IF(AL778="","",IF($F778="Bernardino Furlan",_xlfn.XLOOKUP(AL778,Cadastros!$G$6:$G$90,Cadastros!$H$6:$H$90)*(1-0.18),IF($F778="Mauro José Salanti",_xlfn.XLOOKUP(AL778,Cadastros!$G$6:$G$90,Cadastros!$H$6:$H$90)*(1-0.18),_xlfn.XLOOKUP(AL778,Cadastros!$G$6:$G$90,Cadastros!$H$6:$H$90))))</f>
        <v/>
      </c>
      <c r="AO778" s="168" t="str">
        <f t="shared" si="165"/>
        <v/>
      </c>
      <c r="AP778" s="168" t="str">
        <f t="shared" si="166"/>
        <v/>
      </c>
      <c r="AQ778" s="28"/>
      <c r="AR778" s="28"/>
      <c r="AS778" s="20" t="str">
        <f>IF(AQ778="","",IF($F778="Bernardino Furlan",_xlfn.XLOOKUP(AQ778,Cadastros!$G$6:$G$90,Cadastros!$H$6:$H$90)*(1-0.18),IF($F778="Mauro José Salanti",_xlfn.XLOOKUP(AQ778,Cadastros!$G$6:$G$90,Cadastros!$H$6:$H$90)*(1-0.18),_xlfn.XLOOKUP(AQ778,Cadastros!$G$6:$G$90,Cadastros!$H$6:$H$90))))</f>
        <v/>
      </c>
      <c r="AT778" s="168" t="str">
        <f t="shared" si="167"/>
        <v/>
      </c>
      <c r="AU778" s="168" t="str">
        <f t="shared" si="168"/>
        <v/>
      </c>
      <c r="AV778" s="227"/>
      <c r="AW778" s="30"/>
      <c r="AX778" s="267"/>
      <c r="AY778" s="267"/>
      <c r="AZ778" s="29"/>
      <c r="BA778" s="30"/>
      <c r="BB778" s="23" t="str" cm="1">
        <f t="array" ref="BB778">_xlfn.IFS(AW778="SIM",SUM(K778,P778,U778,Z778,AE778,AJ778,AO778,AT778,AX778,AY778),F778&lt;&gt;"",SUM(K778,P778,U778,Z778,AE778,AJ778,,AO778,AT778),F778="","")</f>
        <v/>
      </c>
      <c r="BC778" s="211" t="str" cm="1">
        <f t="array" ref="BC778">_xlfn.IFS(E778="","",G778&lt;=E778,BB778*(1-0.03),G778&lt;(E778+8),BB778,AZ778="Boleto",BB778*(1+0.001)^DATEDIF(E778,G778,"D"),AZ778="Cheque",BB778,AZ778="Dinheiro","Alterar forma pgto")</f>
        <v/>
      </c>
      <c r="BD778" s="276" t="str" cm="1">
        <f t="array" ref="BD778">IF(F778=0," ",IF(BC778&lt;BB778,(_xlfn.IFS(AW778="SIM",SUM(L778,Q778,V778,AA778,AF778,AK778,AP778,AU778)+AX778/_xlfn.XLOOKUP(_xlfn.XLOOKUP($F778,Clientes!$B$4:$B$39,Clientes!$C$4:$C$39),Cadastros!$L$6:$L$12,Cadastros!$M$6:$M$12)+IF($F778="Bernardino Furlan",AY778/2751.92,IF($F778="Mauro José Salanti",AY778/2751.92,AY778/3356)),F778&lt;&gt;0,SUM(L778,Q778,V778,AA778,AF778,AK778,AP778,AU778)))*(1-0.03),_xlfn.IFS(AW778="SIM",SUM(L778,Q778,V778,AA778,AF778,AK778,AP778,AU778)+AX778/_xlfn.XLOOKUP(_xlfn.XLOOKUP($F778,Clientes!$B$4:$B$39,Clientes!$C$4:$C$39),Cadastros!$L$6:$L$12,Cadastros!$M$6:$M$12)+IF($F778="Bernardino Furlan",AY778/2751.92,IF($F778="Mauro José Salanti",AY778/2751.92,AY778/3356)),F778&lt;&gt;0,SUM(L778,Q778,V778,AA778,AF778,AK778,AP778,AU778))))</f>
        <v xml:space="preserve"> </v>
      </c>
      <c r="BE778" s="120"/>
      <c r="BF778" s="120"/>
      <c r="BG778" s="120"/>
    </row>
    <row r="779" spans="1:59" s="3" customFormat="1" x14ac:dyDescent="0.3">
      <c r="A779" s="15" t="str">
        <f t="shared" si="156"/>
        <v/>
      </c>
      <c r="B779" s="25"/>
      <c r="C779" s="26"/>
      <c r="D779" s="279"/>
      <c r="E779" s="27"/>
      <c r="F779" s="28"/>
      <c r="G779" s="27"/>
      <c r="H779" s="28"/>
      <c r="I779" s="28"/>
      <c r="J779" s="255" t="str">
        <f>IF(H779="","",(_xlfn.XLOOKUP(H779,Cadastros!$D$6:$D$90,Cadastros!$E$6:$E$90))*(1-_xlfn.XLOOKUP(_xlfn.XLOOKUP($F779,Clientes!$B$4:$B$39,Clientes!$C$4:$C$39),Cadastros!$L$6:$L$12,Cadastros!$N$6:$N$12)))</f>
        <v/>
      </c>
      <c r="K779" s="168" t="str">
        <f t="shared" si="157"/>
        <v/>
      </c>
      <c r="L779" s="168" t="str">
        <f>IFERROR(K779/_xlfn.XLOOKUP(_xlfn.XLOOKUP($F779,Clientes!$B$4:$B$39,Clientes!$C$4:$C$39),Cadastros!$L$6:$L$12,Cadastros!$M$6:$M$12)," ")</f>
        <v xml:space="preserve"> </v>
      </c>
      <c r="M779" s="28"/>
      <c r="N779" s="28"/>
      <c r="O779" s="255" t="str">
        <f>IF(M779="","",(_xlfn.XLOOKUP(M779,Cadastros!$D$6:$D$90,Cadastros!$E$6:$E$90))*(1-_xlfn.XLOOKUP(_xlfn.XLOOKUP($F779,Clientes!$B$4:$B$39,Clientes!$C$4:$C$39),Cadastros!$L$6:$L$12,Cadastros!$N$6:$N$12)))</f>
        <v/>
      </c>
      <c r="P779" s="168" t="str">
        <f t="shared" si="158"/>
        <v/>
      </c>
      <c r="Q779" s="168" t="str">
        <f>IFERROR(P779/_xlfn.XLOOKUP(_xlfn.XLOOKUP($F779,Clientes!$B$4:$B$39,Clientes!$C$4:$C$39),Cadastros!$L$6:$L$12,Cadastros!$M$6:$M$12)," ")</f>
        <v xml:space="preserve"> </v>
      </c>
      <c r="R779" s="28"/>
      <c r="S779" s="28"/>
      <c r="T779" s="255" t="str">
        <f>IF(R779="","",(_xlfn.XLOOKUP(R779,Cadastros!$D$6:$D$90,Cadastros!$E$6:$E$90))*(1-_xlfn.XLOOKUP(_xlfn.XLOOKUP($F779,Clientes!$B$4:$B$39,Clientes!$C$4:$C$39),Cadastros!$L$6:$L$12,Cadastros!$N$6:$N$12)))</f>
        <v/>
      </c>
      <c r="U779" s="168" t="str">
        <f t="shared" si="159"/>
        <v/>
      </c>
      <c r="V779" s="168" t="str">
        <f>IFERROR(U779/_xlfn.XLOOKUP(_xlfn.XLOOKUP($F779,Clientes!$B$4:$B$39,Clientes!$C$4:$C$39),Cadastros!$L$6:$L$12,Cadastros!$M$6:$M$12)," ")</f>
        <v xml:space="preserve"> </v>
      </c>
      <c r="W779" s="28"/>
      <c r="X779" s="28"/>
      <c r="Y779" s="255" t="str">
        <f>IF(W779="","",(_xlfn.XLOOKUP(W779,Cadastros!$D$6:$D$90,Cadastros!$E$6:$E$90))*(1-_xlfn.XLOOKUP(_xlfn.XLOOKUP($F779,Clientes!$B$4:$B$39,Clientes!$C$4:$C$39),Cadastros!$L$6:$L$12,Cadastros!$N$6:$N$12)))</f>
        <v/>
      </c>
      <c r="Z779" s="168" t="str">
        <f t="shared" si="160"/>
        <v/>
      </c>
      <c r="AA779" s="168" t="str">
        <f>IFERROR(Z779/_xlfn.XLOOKUP(_xlfn.XLOOKUP($F779,Clientes!$B$4:$B$39,Clientes!$C$4:$C$39),Cadastros!$L$6:$L$12,Cadastros!$M$6:$M$12)," ")</f>
        <v xml:space="preserve"> </v>
      </c>
      <c r="AB779" s="28"/>
      <c r="AC779" s="28"/>
      <c r="AD779" s="20" t="str">
        <f>IF(AB779="","",IF($F779="Bernardino Furlan",_xlfn.XLOOKUP(AB779,Cadastros!$G$6:$G$90,Cadastros!$H$6:$H$90)*(1-0.18),IF($F779="Mauro José Salanti",_xlfn.XLOOKUP(AB779,Cadastros!$G$6:$G$90,Cadastros!$H$6:$H$90)*(1-0.18),_xlfn.XLOOKUP(AB779,Cadastros!$G$6:$G$90,Cadastros!$H$6:$H$90))))</f>
        <v/>
      </c>
      <c r="AE779" s="168" t="str">
        <f t="shared" si="161"/>
        <v/>
      </c>
      <c r="AF779" s="168" t="str">
        <f t="shared" si="162"/>
        <v/>
      </c>
      <c r="AG779" s="28"/>
      <c r="AH779" s="28"/>
      <c r="AI779" s="20" t="str">
        <f>IF(AG779="","",IF($F779="Bernardino Furlan",_xlfn.XLOOKUP(AG779,Cadastros!$G$6:$G$90,Cadastros!$H$6:$H$90)*(1-0.18),IF($F779="Mauro José Salanti",_xlfn.XLOOKUP(AG779,Cadastros!$G$6:$G$90,Cadastros!$H$6:$H$90)*(1-0.18),_xlfn.XLOOKUP(AG779,Cadastros!$G$6:$G$90,Cadastros!$H$6:$H$90))))</f>
        <v/>
      </c>
      <c r="AJ779" s="168" t="str">
        <f t="shared" si="163"/>
        <v/>
      </c>
      <c r="AK779" s="168" t="str">
        <f t="shared" si="164"/>
        <v/>
      </c>
      <c r="AL779" s="28"/>
      <c r="AM779" s="28"/>
      <c r="AN779" s="20" t="str">
        <f>IF(AL779="","",IF($F779="Bernardino Furlan",_xlfn.XLOOKUP(AL779,Cadastros!$G$6:$G$90,Cadastros!$H$6:$H$90)*(1-0.18),IF($F779="Mauro José Salanti",_xlfn.XLOOKUP(AL779,Cadastros!$G$6:$G$90,Cadastros!$H$6:$H$90)*(1-0.18),_xlfn.XLOOKUP(AL779,Cadastros!$G$6:$G$90,Cadastros!$H$6:$H$90))))</f>
        <v/>
      </c>
      <c r="AO779" s="168" t="str">
        <f t="shared" si="165"/>
        <v/>
      </c>
      <c r="AP779" s="168" t="str">
        <f t="shared" si="166"/>
        <v/>
      </c>
      <c r="AQ779" s="28"/>
      <c r="AR779" s="28"/>
      <c r="AS779" s="20" t="str">
        <f>IF(AQ779="","",IF($F779="Bernardino Furlan",_xlfn.XLOOKUP(AQ779,Cadastros!$G$6:$G$90,Cadastros!$H$6:$H$90)*(1-0.18),IF($F779="Mauro José Salanti",_xlfn.XLOOKUP(AQ779,Cadastros!$G$6:$G$90,Cadastros!$H$6:$H$90)*(1-0.18),_xlfn.XLOOKUP(AQ779,Cadastros!$G$6:$G$90,Cadastros!$H$6:$H$90))))</f>
        <v/>
      </c>
      <c r="AT779" s="168" t="str">
        <f t="shared" si="167"/>
        <v/>
      </c>
      <c r="AU779" s="168" t="str">
        <f t="shared" si="168"/>
        <v/>
      </c>
      <c r="AV779" s="227"/>
      <c r="AW779" s="30"/>
      <c r="AX779" s="267"/>
      <c r="AY779" s="267"/>
      <c r="AZ779" s="29"/>
      <c r="BA779" s="30"/>
      <c r="BB779" s="23" t="str" cm="1">
        <f t="array" ref="BB779">_xlfn.IFS(AW779="SIM",SUM(K779,P779,U779,Z779,AE779,AJ779,AO779,AT779,AX779,AY779),F779&lt;&gt;"",SUM(K779,P779,U779,Z779,AE779,AJ779,,AO779,AT779),F779="","")</f>
        <v/>
      </c>
      <c r="BC779" s="211" t="str" cm="1">
        <f t="array" ref="BC779">_xlfn.IFS(E779="","",G779&lt;=E779,BB779*(1-0.03),G779&lt;(E779+8),BB779,AZ779="Boleto",BB779*(1+0.001)^DATEDIF(E779,G779,"D"),AZ779="Cheque",BB779,AZ779="Dinheiro","Alterar forma pgto")</f>
        <v/>
      </c>
      <c r="BD779" s="276" t="str" cm="1">
        <f t="array" ref="BD779">IF(F779=0," ",IF(BC779&lt;BB779,(_xlfn.IFS(AW779="SIM",SUM(L779,Q779,V779,AA779,AF779,AK779,AP779,AU779)+AX779/_xlfn.XLOOKUP(_xlfn.XLOOKUP($F779,Clientes!$B$4:$B$39,Clientes!$C$4:$C$39),Cadastros!$L$6:$L$12,Cadastros!$M$6:$M$12)+IF($F779="Bernardino Furlan",AY779/2751.92,IF($F779="Mauro José Salanti",AY779/2751.92,AY779/3356)),F779&lt;&gt;0,SUM(L779,Q779,V779,AA779,AF779,AK779,AP779,AU779)))*(1-0.03),_xlfn.IFS(AW779="SIM",SUM(L779,Q779,V779,AA779,AF779,AK779,AP779,AU779)+AX779/_xlfn.XLOOKUP(_xlfn.XLOOKUP($F779,Clientes!$B$4:$B$39,Clientes!$C$4:$C$39),Cadastros!$L$6:$L$12,Cadastros!$M$6:$M$12)+IF($F779="Bernardino Furlan",AY779/2751.92,IF($F779="Mauro José Salanti",AY779/2751.92,AY779/3356)),F779&lt;&gt;0,SUM(L779,Q779,V779,AA779,AF779,AK779,AP779,AU779))))</f>
        <v xml:space="preserve"> </v>
      </c>
      <c r="BE779" s="120"/>
      <c r="BF779" s="120"/>
      <c r="BG779" s="120"/>
    </row>
    <row r="780" spans="1:59" s="3" customFormat="1" x14ac:dyDescent="0.3">
      <c r="A780" s="15" t="str">
        <f t="shared" si="156"/>
        <v/>
      </c>
      <c r="B780" s="25"/>
      <c r="C780" s="26"/>
      <c r="D780" s="279"/>
      <c r="E780" s="27"/>
      <c r="F780" s="28"/>
      <c r="G780" s="27"/>
      <c r="H780" s="28"/>
      <c r="I780" s="28"/>
      <c r="J780" s="255" t="str">
        <f>IF(H780="","",(_xlfn.XLOOKUP(H780,Cadastros!$D$6:$D$90,Cadastros!$E$6:$E$90))*(1-_xlfn.XLOOKUP(_xlfn.XLOOKUP($F780,Clientes!$B$4:$B$39,Clientes!$C$4:$C$39),Cadastros!$L$6:$L$12,Cadastros!$N$6:$N$12)))</f>
        <v/>
      </c>
      <c r="K780" s="168" t="str">
        <f t="shared" si="157"/>
        <v/>
      </c>
      <c r="L780" s="168" t="str">
        <f>IFERROR(K780/_xlfn.XLOOKUP(_xlfn.XLOOKUP($F780,Clientes!$B$4:$B$39,Clientes!$C$4:$C$39),Cadastros!$L$6:$L$12,Cadastros!$M$6:$M$12)," ")</f>
        <v xml:space="preserve"> </v>
      </c>
      <c r="M780" s="28"/>
      <c r="N780" s="28"/>
      <c r="O780" s="255" t="str">
        <f>IF(M780="","",(_xlfn.XLOOKUP(M780,Cadastros!$D$6:$D$90,Cadastros!$E$6:$E$90))*(1-_xlfn.XLOOKUP(_xlfn.XLOOKUP($F780,Clientes!$B$4:$B$39,Clientes!$C$4:$C$39),Cadastros!$L$6:$L$12,Cadastros!$N$6:$N$12)))</f>
        <v/>
      </c>
      <c r="P780" s="168" t="str">
        <f t="shared" si="158"/>
        <v/>
      </c>
      <c r="Q780" s="168" t="str">
        <f>IFERROR(P780/_xlfn.XLOOKUP(_xlfn.XLOOKUP($F780,Clientes!$B$4:$B$39,Clientes!$C$4:$C$39),Cadastros!$L$6:$L$12,Cadastros!$M$6:$M$12)," ")</f>
        <v xml:space="preserve"> </v>
      </c>
      <c r="R780" s="28"/>
      <c r="S780" s="28"/>
      <c r="T780" s="255" t="str">
        <f>IF(R780="","",(_xlfn.XLOOKUP(R780,Cadastros!$D$6:$D$90,Cadastros!$E$6:$E$90))*(1-_xlfn.XLOOKUP(_xlfn.XLOOKUP($F780,Clientes!$B$4:$B$39,Clientes!$C$4:$C$39),Cadastros!$L$6:$L$12,Cadastros!$N$6:$N$12)))</f>
        <v/>
      </c>
      <c r="U780" s="168" t="str">
        <f t="shared" si="159"/>
        <v/>
      </c>
      <c r="V780" s="168" t="str">
        <f>IFERROR(U780/_xlfn.XLOOKUP(_xlfn.XLOOKUP($F780,Clientes!$B$4:$B$39,Clientes!$C$4:$C$39),Cadastros!$L$6:$L$12,Cadastros!$M$6:$M$12)," ")</f>
        <v xml:space="preserve"> </v>
      </c>
      <c r="W780" s="28"/>
      <c r="X780" s="28"/>
      <c r="Y780" s="255" t="str">
        <f>IF(W780="","",(_xlfn.XLOOKUP(W780,Cadastros!$D$6:$D$90,Cadastros!$E$6:$E$90))*(1-_xlfn.XLOOKUP(_xlfn.XLOOKUP($F780,Clientes!$B$4:$B$39,Clientes!$C$4:$C$39),Cadastros!$L$6:$L$12,Cadastros!$N$6:$N$12)))</f>
        <v/>
      </c>
      <c r="Z780" s="168" t="str">
        <f t="shared" si="160"/>
        <v/>
      </c>
      <c r="AA780" s="168" t="str">
        <f>IFERROR(Z780/_xlfn.XLOOKUP(_xlfn.XLOOKUP($F780,Clientes!$B$4:$B$39,Clientes!$C$4:$C$39),Cadastros!$L$6:$L$12,Cadastros!$M$6:$M$12)," ")</f>
        <v xml:space="preserve"> </v>
      </c>
      <c r="AB780" s="28"/>
      <c r="AC780" s="28"/>
      <c r="AD780" s="20" t="str">
        <f>IF(AB780="","",IF($F780="Bernardino Furlan",_xlfn.XLOOKUP(AB780,Cadastros!$G$6:$G$90,Cadastros!$H$6:$H$90)*(1-0.18),IF($F780="Mauro José Salanti",_xlfn.XLOOKUP(AB780,Cadastros!$G$6:$G$90,Cadastros!$H$6:$H$90)*(1-0.18),_xlfn.XLOOKUP(AB780,Cadastros!$G$6:$G$90,Cadastros!$H$6:$H$90))))</f>
        <v/>
      </c>
      <c r="AE780" s="168" t="str">
        <f t="shared" si="161"/>
        <v/>
      </c>
      <c r="AF780" s="168" t="str">
        <f t="shared" si="162"/>
        <v/>
      </c>
      <c r="AG780" s="28"/>
      <c r="AH780" s="28"/>
      <c r="AI780" s="20" t="str">
        <f>IF(AG780="","",IF($F780="Bernardino Furlan",_xlfn.XLOOKUP(AG780,Cadastros!$G$6:$G$90,Cadastros!$H$6:$H$90)*(1-0.18),IF($F780="Mauro José Salanti",_xlfn.XLOOKUP(AG780,Cadastros!$G$6:$G$90,Cadastros!$H$6:$H$90)*(1-0.18),_xlfn.XLOOKUP(AG780,Cadastros!$G$6:$G$90,Cadastros!$H$6:$H$90))))</f>
        <v/>
      </c>
      <c r="AJ780" s="168" t="str">
        <f t="shared" si="163"/>
        <v/>
      </c>
      <c r="AK780" s="168" t="str">
        <f t="shared" si="164"/>
        <v/>
      </c>
      <c r="AL780" s="28"/>
      <c r="AM780" s="28"/>
      <c r="AN780" s="20" t="str">
        <f>IF(AL780="","",IF($F780="Bernardino Furlan",_xlfn.XLOOKUP(AL780,Cadastros!$G$6:$G$90,Cadastros!$H$6:$H$90)*(1-0.18),IF($F780="Mauro José Salanti",_xlfn.XLOOKUP(AL780,Cadastros!$G$6:$G$90,Cadastros!$H$6:$H$90)*(1-0.18),_xlfn.XLOOKUP(AL780,Cadastros!$G$6:$G$90,Cadastros!$H$6:$H$90))))</f>
        <v/>
      </c>
      <c r="AO780" s="168" t="str">
        <f t="shared" si="165"/>
        <v/>
      </c>
      <c r="AP780" s="168" t="str">
        <f t="shared" si="166"/>
        <v/>
      </c>
      <c r="AQ780" s="28"/>
      <c r="AR780" s="28"/>
      <c r="AS780" s="20" t="str">
        <f>IF(AQ780="","",IF($F780="Bernardino Furlan",_xlfn.XLOOKUP(AQ780,Cadastros!$G$6:$G$90,Cadastros!$H$6:$H$90)*(1-0.18),IF($F780="Mauro José Salanti",_xlfn.XLOOKUP(AQ780,Cadastros!$G$6:$G$90,Cadastros!$H$6:$H$90)*(1-0.18),_xlfn.XLOOKUP(AQ780,Cadastros!$G$6:$G$90,Cadastros!$H$6:$H$90))))</f>
        <v/>
      </c>
      <c r="AT780" s="168" t="str">
        <f t="shared" si="167"/>
        <v/>
      </c>
      <c r="AU780" s="168" t="str">
        <f t="shared" si="168"/>
        <v/>
      </c>
      <c r="AV780" s="227"/>
      <c r="AW780" s="30"/>
      <c r="AX780" s="267"/>
      <c r="AY780" s="267"/>
      <c r="AZ780" s="29"/>
      <c r="BA780" s="30"/>
      <c r="BB780" s="23" t="str" cm="1">
        <f t="array" ref="BB780">_xlfn.IFS(AW780="SIM",SUM(K780,P780,U780,Z780,AE780,AJ780,AO780,AT780,AX780,AY780),F780&lt;&gt;"",SUM(K780,P780,U780,Z780,AE780,AJ780,,AO780,AT780),F780="","")</f>
        <v/>
      </c>
      <c r="BC780" s="211" t="str" cm="1">
        <f t="array" ref="BC780">_xlfn.IFS(E780="","",G780&lt;=E780,BB780*(1-0.03),G780&lt;(E780+8),BB780,AZ780="Boleto",BB780*(1+0.001)^DATEDIF(E780,G780,"D"),AZ780="Cheque",BB780,AZ780="Dinheiro","Alterar forma pgto")</f>
        <v/>
      </c>
      <c r="BD780" s="276" t="str" cm="1">
        <f t="array" ref="BD780">IF(F780=0," ",IF(BC780&lt;BB780,(_xlfn.IFS(AW780="SIM",SUM(L780,Q780,V780,AA780,AF780,AK780,AP780,AU780)+AX780/_xlfn.XLOOKUP(_xlfn.XLOOKUP($F780,Clientes!$B$4:$B$39,Clientes!$C$4:$C$39),Cadastros!$L$6:$L$12,Cadastros!$M$6:$M$12)+IF($F780="Bernardino Furlan",AY780/2751.92,IF($F780="Mauro José Salanti",AY780/2751.92,AY780/3356)),F780&lt;&gt;0,SUM(L780,Q780,V780,AA780,AF780,AK780,AP780,AU780)))*(1-0.03),_xlfn.IFS(AW780="SIM",SUM(L780,Q780,V780,AA780,AF780,AK780,AP780,AU780)+AX780/_xlfn.XLOOKUP(_xlfn.XLOOKUP($F780,Clientes!$B$4:$B$39,Clientes!$C$4:$C$39),Cadastros!$L$6:$L$12,Cadastros!$M$6:$M$12)+IF($F780="Bernardino Furlan",AY780/2751.92,IF($F780="Mauro José Salanti",AY780/2751.92,AY780/3356)),F780&lt;&gt;0,SUM(L780,Q780,V780,AA780,AF780,AK780,AP780,AU780))))</f>
        <v xml:space="preserve"> </v>
      </c>
      <c r="BE780" s="120"/>
      <c r="BF780" s="120"/>
      <c r="BG780" s="120"/>
    </row>
    <row r="781" spans="1:59" s="3" customFormat="1" x14ac:dyDescent="0.3">
      <c r="A781" s="15" t="str">
        <f t="shared" si="156"/>
        <v/>
      </c>
      <c r="B781" s="25"/>
      <c r="C781" s="26"/>
      <c r="D781" s="279"/>
      <c r="E781" s="27"/>
      <c r="F781" s="28"/>
      <c r="G781" s="27"/>
      <c r="H781" s="28"/>
      <c r="I781" s="28"/>
      <c r="J781" s="255" t="str">
        <f>IF(H781="","",(_xlfn.XLOOKUP(H781,Cadastros!$D$6:$D$90,Cadastros!$E$6:$E$90))*(1-_xlfn.XLOOKUP(_xlfn.XLOOKUP($F781,Clientes!$B$4:$B$39,Clientes!$C$4:$C$39),Cadastros!$L$6:$L$12,Cadastros!$N$6:$N$12)))</f>
        <v/>
      </c>
      <c r="K781" s="168" t="str">
        <f t="shared" si="157"/>
        <v/>
      </c>
      <c r="L781" s="168" t="str">
        <f>IFERROR(K781/_xlfn.XLOOKUP(_xlfn.XLOOKUP($F781,Clientes!$B$4:$B$39,Clientes!$C$4:$C$39),Cadastros!$L$6:$L$12,Cadastros!$M$6:$M$12)," ")</f>
        <v xml:space="preserve"> </v>
      </c>
      <c r="M781" s="28"/>
      <c r="N781" s="28"/>
      <c r="O781" s="255" t="str">
        <f>IF(M781="","",(_xlfn.XLOOKUP(M781,Cadastros!$D$6:$D$90,Cadastros!$E$6:$E$90))*(1-_xlfn.XLOOKUP(_xlfn.XLOOKUP($F781,Clientes!$B$4:$B$39,Clientes!$C$4:$C$39),Cadastros!$L$6:$L$12,Cadastros!$N$6:$N$12)))</f>
        <v/>
      </c>
      <c r="P781" s="168" t="str">
        <f t="shared" si="158"/>
        <v/>
      </c>
      <c r="Q781" s="168" t="str">
        <f>IFERROR(P781/_xlfn.XLOOKUP(_xlfn.XLOOKUP($F781,Clientes!$B$4:$B$39,Clientes!$C$4:$C$39),Cadastros!$L$6:$L$12,Cadastros!$M$6:$M$12)," ")</f>
        <v xml:space="preserve"> </v>
      </c>
      <c r="R781" s="28"/>
      <c r="S781" s="28"/>
      <c r="T781" s="255" t="str">
        <f>IF(R781="","",(_xlfn.XLOOKUP(R781,Cadastros!$D$6:$D$90,Cadastros!$E$6:$E$90))*(1-_xlfn.XLOOKUP(_xlfn.XLOOKUP($F781,Clientes!$B$4:$B$39,Clientes!$C$4:$C$39),Cadastros!$L$6:$L$12,Cadastros!$N$6:$N$12)))</f>
        <v/>
      </c>
      <c r="U781" s="168" t="str">
        <f t="shared" si="159"/>
        <v/>
      </c>
      <c r="V781" s="168" t="str">
        <f>IFERROR(U781/_xlfn.XLOOKUP(_xlfn.XLOOKUP($F781,Clientes!$B$4:$B$39,Clientes!$C$4:$C$39),Cadastros!$L$6:$L$12,Cadastros!$M$6:$M$12)," ")</f>
        <v xml:space="preserve"> </v>
      </c>
      <c r="W781" s="28"/>
      <c r="X781" s="28"/>
      <c r="Y781" s="255" t="str">
        <f>IF(W781="","",(_xlfn.XLOOKUP(W781,Cadastros!$D$6:$D$90,Cadastros!$E$6:$E$90))*(1-_xlfn.XLOOKUP(_xlfn.XLOOKUP($F781,Clientes!$B$4:$B$39,Clientes!$C$4:$C$39),Cadastros!$L$6:$L$12,Cadastros!$N$6:$N$12)))</f>
        <v/>
      </c>
      <c r="Z781" s="168" t="str">
        <f t="shared" si="160"/>
        <v/>
      </c>
      <c r="AA781" s="168" t="str">
        <f>IFERROR(Z781/_xlfn.XLOOKUP(_xlfn.XLOOKUP($F781,Clientes!$B$4:$B$39,Clientes!$C$4:$C$39),Cadastros!$L$6:$L$12,Cadastros!$M$6:$M$12)," ")</f>
        <v xml:space="preserve"> </v>
      </c>
      <c r="AB781" s="28"/>
      <c r="AC781" s="28"/>
      <c r="AD781" s="20" t="str">
        <f>IF(AB781="","",IF($F781="Bernardino Furlan",_xlfn.XLOOKUP(AB781,Cadastros!$G$6:$G$90,Cadastros!$H$6:$H$90)*(1-0.18),IF($F781="Mauro José Salanti",_xlfn.XLOOKUP(AB781,Cadastros!$G$6:$G$90,Cadastros!$H$6:$H$90)*(1-0.18),_xlfn.XLOOKUP(AB781,Cadastros!$G$6:$G$90,Cadastros!$H$6:$H$90))))</f>
        <v/>
      </c>
      <c r="AE781" s="168" t="str">
        <f t="shared" si="161"/>
        <v/>
      </c>
      <c r="AF781" s="168" t="str">
        <f t="shared" si="162"/>
        <v/>
      </c>
      <c r="AG781" s="28"/>
      <c r="AH781" s="28"/>
      <c r="AI781" s="20" t="str">
        <f>IF(AG781="","",IF($F781="Bernardino Furlan",_xlfn.XLOOKUP(AG781,Cadastros!$G$6:$G$90,Cadastros!$H$6:$H$90)*(1-0.18),IF($F781="Mauro José Salanti",_xlfn.XLOOKUP(AG781,Cadastros!$G$6:$G$90,Cadastros!$H$6:$H$90)*(1-0.18),_xlfn.XLOOKUP(AG781,Cadastros!$G$6:$G$90,Cadastros!$H$6:$H$90))))</f>
        <v/>
      </c>
      <c r="AJ781" s="168" t="str">
        <f t="shared" si="163"/>
        <v/>
      </c>
      <c r="AK781" s="168" t="str">
        <f t="shared" si="164"/>
        <v/>
      </c>
      <c r="AL781" s="28"/>
      <c r="AM781" s="28"/>
      <c r="AN781" s="20" t="str">
        <f>IF(AL781="","",IF($F781="Bernardino Furlan",_xlfn.XLOOKUP(AL781,Cadastros!$G$6:$G$90,Cadastros!$H$6:$H$90)*(1-0.18),IF($F781="Mauro José Salanti",_xlfn.XLOOKUP(AL781,Cadastros!$G$6:$G$90,Cadastros!$H$6:$H$90)*(1-0.18),_xlfn.XLOOKUP(AL781,Cadastros!$G$6:$G$90,Cadastros!$H$6:$H$90))))</f>
        <v/>
      </c>
      <c r="AO781" s="168" t="str">
        <f t="shared" si="165"/>
        <v/>
      </c>
      <c r="AP781" s="168" t="str">
        <f t="shared" si="166"/>
        <v/>
      </c>
      <c r="AQ781" s="28"/>
      <c r="AR781" s="28"/>
      <c r="AS781" s="20" t="str">
        <f>IF(AQ781="","",IF($F781="Bernardino Furlan",_xlfn.XLOOKUP(AQ781,Cadastros!$G$6:$G$90,Cadastros!$H$6:$H$90)*(1-0.18),IF($F781="Mauro José Salanti",_xlfn.XLOOKUP(AQ781,Cadastros!$G$6:$G$90,Cadastros!$H$6:$H$90)*(1-0.18),_xlfn.XLOOKUP(AQ781,Cadastros!$G$6:$G$90,Cadastros!$H$6:$H$90))))</f>
        <v/>
      </c>
      <c r="AT781" s="168" t="str">
        <f t="shared" si="167"/>
        <v/>
      </c>
      <c r="AU781" s="168" t="str">
        <f t="shared" si="168"/>
        <v/>
      </c>
      <c r="AV781" s="227"/>
      <c r="AW781" s="30"/>
      <c r="AX781" s="267"/>
      <c r="AY781" s="267"/>
      <c r="AZ781" s="29"/>
      <c r="BA781" s="30"/>
      <c r="BB781" s="23" t="str" cm="1">
        <f t="array" ref="BB781">_xlfn.IFS(AW781="SIM",SUM(K781,P781,U781,Z781,AE781,AJ781,AO781,AT781,AX781,AY781),F781&lt;&gt;"",SUM(K781,P781,U781,Z781,AE781,AJ781,,AO781,AT781),F781="","")</f>
        <v/>
      </c>
      <c r="BC781" s="211" t="str" cm="1">
        <f t="array" ref="BC781">_xlfn.IFS(E781="","",G781&lt;=E781,BB781*(1-0.03),G781&lt;(E781+8),BB781,AZ781="Boleto",BB781*(1+0.001)^DATEDIF(E781,G781,"D"),AZ781="Cheque",BB781,AZ781="Dinheiro","Alterar forma pgto")</f>
        <v/>
      </c>
      <c r="BD781" s="276" t="str" cm="1">
        <f t="array" ref="BD781">IF(F781=0," ",IF(BC781&lt;BB781,(_xlfn.IFS(AW781="SIM",SUM(L781,Q781,V781,AA781,AF781,AK781,AP781,AU781)+AX781/_xlfn.XLOOKUP(_xlfn.XLOOKUP($F781,Clientes!$B$4:$B$39,Clientes!$C$4:$C$39),Cadastros!$L$6:$L$12,Cadastros!$M$6:$M$12)+IF($F781="Bernardino Furlan",AY781/2751.92,IF($F781="Mauro José Salanti",AY781/2751.92,AY781/3356)),F781&lt;&gt;0,SUM(L781,Q781,V781,AA781,AF781,AK781,AP781,AU781)))*(1-0.03),_xlfn.IFS(AW781="SIM",SUM(L781,Q781,V781,AA781,AF781,AK781,AP781,AU781)+AX781/_xlfn.XLOOKUP(_xlfn.XLOOKUP($F781,Clientes!$B$4:$B$39,Clientes!$C$4:$C$39),Cadastros!$L$6:$L$12,Cadastros!$M$6:$M$12)+IF($F781="Bernardino Furlan",AY781/2751.92,IF($F781="Mauro José Salanti",AY781/2751.92,AY781/3356)),F781&lt;&gt;0,SUM(L781,Q781,V781,AA781,AF781,AK781,AP781,AU781))))</f>
        <v xml:space="preserve"> </v>
      </c>
      <c r="BE781" s="120"/>
      <c r="BF781" s="120"/>
      <c r="BG781" s="120"/>
    </row>
    <row r="782" spans="1:59" s="3" customFormat="1" x14ac:dyDescent="0.3">
      <c r="A782" s="15" t="str">
        <f t="shared" si="156"/>
        <v/>
      </c>
      <c r="B782" s="25"/>
      <c r="C782" s="26"/>
      <c r="D782" s="279"/>
      <c r="E782" s="27"/>
      <c r="F782" s="28"/>
      <c r="G782" s="27"/>
      <c r="H782" s="28"/>
      <c r="I782" s="28"/>
      <c r="J782" s="255" t="str">
        <f>IF(H782="","",(_xlfn.XLOOKUP(H782,Cadastros!$D$6:$D$90,Cadastros!$E$6:$E$90))*(1-_xlfn.XLOOKUP(_xlfn.XLOOKUP($F782,Clientes!$B$4:$B$39,Clientes!$C$4:$C$39),Cadastros!$L$6:$L$12,Cadastros!$N$6:$N$12)))</f>
        <v/>
      </c>
      <c r="K782" s="168" t="str">
        <f t="shared" si="157"/>
        <v/>
      </c>
      <c r="L782" s="168" t="str">
        <f>IFERROR(K782/_xlfn.XLOOKUP(_xlfn.XLOOKUP($F782,Clientes!$B$4:$B$39,Clientes!$C$4:$C$39),Cadastros!$L$6:$L$12,Cadastros!$M$6:$M$12)," ")</f>
        <v xml:space="preserve"> </v>
      </c>
      <c r="M782" s="28"/>
      <c r="N782" s="28"/>
      <c r="O782" s="255" t="str">
        <f>IF(M782="","",(_xlfn.XLOOKUP(M782,Cadastros!$D$6:$D$90,Cadastros!$E$6:$E$90))*(1-_xlfn.XLOOKUP(_xlfn.XLOOKUP($F782,Clientes!$B$4:$B$39,Clientes!$C$4:$C$39),Cadastros!$L$6:$L$12,Cadastros!$N$6:$N$12)))</f>
        <v/>
      </c>
      <c r="P782" s="168" t="str">
        <f t="shared" si="158"/>
        <v/>
      </c>
      <c r="Q782" s="168" t="str">
        <f>IFERROR(P782/_xlfn.XLOOKUP(_xlfn.XLOOKUP($F782,Clientes!$B$4:$B$39,Clientes!$C$4:$C$39),Cadastros!$L$6:$L$12,Cadastros!$M$6:$M$12)," ")</f>
        <v xml:space="preserve"> </v>
      </c>
      <c r="R782" s="28"/>
      <c r="S782" s="28"/>
      <c r="T782" s="255" t="str">
        <f>IF(R782="","",(_xlfn.XLOOKUP(R782,Cadastros!$D$6:$D$90,Cadastros!$E$6:$E$90))*(1-_xlfn.XLOOKUP(_xlfn.XLOOKUP($F782,Clientes!$B$4:$B$39,Clientes!$C$4:$C$39),Cadastros!$L$6:$L$12,Cadastros!$N$6:$N$12)))</f>
        <v/>
      </c>
      <c r="U782" s="168" t="str">
        <f t="shared" si="159"/>
        <v/>
      </c>
      <c r="V782" s="168" t="str">
        <f>IFERROR(U782/_xlfn.XLOOKUP(_xlfn.XLOOKUP($F782,Clientes!$B$4:$B$39,Clientes!$C$4:$C$39),Cadastros!$L$6:$L$12,Cadastros!$M$6:$M$12)," ")</f>
        <v xml:space="preserve"> </v>
      </c>
      <c r="W782" s="28"/>
      <c r="X782" s="28"/>
      <c r="Y782" s="255" t="str">
        <f>IF(W782="","",(_xlfn.XLOOKUP(W782,Cadastros!$D$6:$D$90,Cadastros!$E$6:$E$90))*(1-_xlfn.XLOOKUP(_xlfn.XLOOKUP($F782,Clientes!$B$4:$B$39,Clientes!$C$4:$C$39),Cadastros!$L$6:$L$12,Cadastros!$N$6:$N$12)))</f>
        <v/>
      </c>
      <c r="Z782" s="168" t="str">
        <f t="shared" si="160"/>
        <v/>
      </c>
      <c r="AA782" s="168" t="str">
        <f>IFERROR(Z782/_xlfn.XLOOKUP(_xlfn.XLOOKUP($F782,Clientes!$B$4:$B$39,Clientes!$C$4:$C$39),Cadastros!$L$6:$L$12,Cadastros!$M$6:$M$12)," ")</f>
        <v xml:space="preserve"> </v>
      </c>
      <c r="AB782" s="28"/>
      <c r="AC782" s="28"/>
      <c r="AD782" s="20" t="str">
        <f>IF(AB782="","",IF($F782="Bernardino Furlan",_xlfn.XLOOKUP(AB782,Cadastros!$G$6:$G$90,Cadastros!$H$6:$H$90)*(1-0.18),IF($F782="Mauro José Salanti",_xlfn.XLOOKUP(AB782,Cadastros!$G$6:$G$90,Cadastros!$H$6:$H$90)*(1-0.18),_xlfn.XLOOKUP(AB782,Cadastros!$G$6:$G$90,Cadastros!$H$6:$H$90))))</f>
        <v/>
      </c>
      <c r="AE782" s="168" t="str">
        <f t="shared" si="161"/>
        <v/>
      </c>
      <c r="AF782" s="168" t="str">
        <f t="shared" si="162"/>
        <v/>
      </c>
      <c r="AG782" s="28"/>
      <c r="AH782" s="28"/>
      <c r="AI782" s="20" t="str">
        <f>IF(AG782="","",IF($F782="Bernardino Furlan",_xlfn.XLOOKUP(AG782,Cadastros!$G$6:$G$90,Cadastros!$H$6:$H$90)*(1-0.18),IF($F782="Mauro José Salanti",_xlfn.XLOOKUP(AG782,Cadastros!$G$6:$G$90,Cadastros!$H$6:$H$90)*(1-0.18),_xlfn.XLOOKUP(AG782,Cadastros!$G$6:$G$90,Cadastros!$H$6:$H$90))))</f>
        <v/>
      </c>
      <c r="AJ782" s="168" t="str">
        <f t="shared" si="163"/>
        <v/>
      </c>
      <c r="AK782" s="168" t="str">
        <f t="shared" si="164"/>
        <v/>
      </c>
      <c r="AL782" s="28"/>
      <c r="AM782" s="28"/>
      <c r="AN782" s="20" t="str">
        <f>IF(AL782="","",IF($F782="Bernardino Furlan",_xlfn.XLOOKUP(AL782,Cadastros!$G$6:$G$90,Cadastros!$H$6:$H$90)*(1-0.18),IF($F782="Mauro José Salanti",_xlfn.XLOOKUP(AL782,Cadastros!$G$6:$G$90,Cadastros!$H$6:$H$90)*(1-0.18),_xlfn.XLOOKUP(AL782,Cadastros!$G$6:$G$90,Cadastros!$H$6:$H$90))))</f>
        <v/>
      </c>
      <c r="AO782" s="168" t="str">
        <f t="shared" si="165"/>
        <v/>
      </c>
      <c r="AP782" s="168" t="str">
        <f t="shared" si="166"/>
        <v/>
      </c>
      <c r="AQ782" s="28"/>
      <c r="AR782" s="28"/>
      <c r="AS782" s="20" t="str">
        <f>IF(AQ782="","",IF($F782="Bernardino Furlan",_xlfn.XLOOKUP(AQ782,Cadastros!$G$6:$G$90,Cadastros!$H$6:$H$90)*(1-0.18),IF($F782="Mauro José Salanti",_xlfn.XLOOKUP(AQ782,Cadastros!$G$6:$G$90,Cadastros!$H$6:$H$90)*(1-0.18),_xlfn.XLOOKUP(AQ782,Cadastros!$G$6:$G$90,Cadastros!$H$6:$H$90))))</f>
        <v/>
      </c>
      <c r="AT782" s="168" t="str">
        <f t="shared" si="167"/>
        <v/>
      </c>
      <c r="AU782" s="168" t="str">
        <f t="shared" si="168"/>
        <v/>
      </c>
      <c r="AV782" s="227"/>
      <c r="AW782" s="30"/>
      <c r="AX782" s="267"/>
      <c r="AY782" s="267"/>
      <c r="AZ782" s="29"/>
      <c r="BA782" s="30"/>
      <c r="BB782" s="23" t="str" cm="1">
        <f t="array" ref="BB782">_xlfn.IFS(AW782="SIM",SUM(K782,P782,U782,Z782,AE782,AJ782,AO782,AT782,AX782,AY782),F782&lt;&gt;"",SUM(K782,P782,U782,Z782,AE782,AJ782,,AO782,AT782),F782="","")</f>
        <v/>
      </c>
      <c r="BC782" s="211" t="str" cm="1">
        <f t="array" ref="BC782">_xlfn.IFS(E782="","",G782&lt;=E782,BB782*(1-0.03),G782&lt;(E782+8),BB782,AZ782="Boleto",BB782*(1+0.001)^DATEDIF(E782,G782,"D"),AZ782="Cheque",BB782,AZ782="Dinheiro","Alterar forma pgto")</f>
        <v/>
      </c>
      <c r="BD782" s="276" t="str" cm="1">
        <f t="array" ref="BD782">IF(F782=0," ",IF(BC782&lt;BB782,(_xlfn.IFS(AW782="SIM",SUM(L782,Q782,V782,AA782,AF782,AK782,AP782,AU782)+AX782/_xlfn.XLOOKUP(_xlfn.XLOOKUP($F782,Clientes!$B$4:$B$39,Clientes!$C$4:$C$39),Cadastros!$L$6:$L$12,Cadastros!$M$6:$M$12)+IF($F782="Bernardino Furlan",AY782/2751.92,IF($F782="Mauro José Salanti",AY782/2751.92,AY782/3356)),F782&lt;&gt;0,SUM(L782,Q782,V782,AA782,AF782,AK782,AP782,AU782)))*(1-0.03),_xlfn.IFS(AW782="SIM",SUM(L782,Q782,V782,AA782,AF782,AK782,AP782,AU782)+AX782/_xlfn.XLOOKUP(_xlfn.XLOOKUP($F782,Clientes!$B$4:$B$39,Clientes!$C$4:$C$39),Cadastros!$L$6:$L$12,Cadastros!$M$6:$M$12)+IF($F782="Bernardino Furlan",AY782/2751.92,IF($F782="Mauro José Salanti",AY782/2751.92,AY782/3356)),F782&lt;&gt;0,SUM(L782,Q782,V782,AA782,AF782,AK782,AP782,AU782))))</f>
        <v xml:space="preserve"> </v>
      </c>
      <c r="BE782" s="120"/>
      <c r="BF782" s="120"/>
      <c r="BG782" s="120"/>
    </row>
    <row r="783" spans="1:59" s="3" customFormat="1" x14ac:dyDescent="0.3">
      <c r="A783" s="15" t="str">
        <f t="shared" si="156"/>
        <v/>
      </c>
      <c r="B783" s="25"/>
      <c r="C783" s="26"/>
      <c r="D783" s="279"/>
      <c r="E783" s="27"/>
      <c r="F783" s="28"/>
      <c r="G783" s="27"/>
      <c r="H783" s="28"/>
      <c r="I783" s="28"/>
      <c r="J783" s="255" t="str">
        <f>IF(H783="","",(_xlfn.XLOOKUP(H783,Cadastros!$D$6:$D$90,Cadastros!$E$6:$E$90))*(1-_xlfn.XLOOKUP(_xlfn.XLOOKUP($F783,Clientes!$B$4:$B$39,Clientes!$C$4:$C$39),Cadastros!$L$6:$L$12,Cadastros!$N$6:$N$12)))</f>
        <v/>
      </c>
      <c r="K783" s="168" t="str">
        <f t="shared" si="157"/>
        <v/>
      </c>
      <c r="L783" s="168" t="str">
        <f>IFERROR(K783/_xlfn.XLOOKUP(_xlfn.XLOOKUP($F783,Clientes!$B$4:$B$39,Clientes!$C$4:$C$39),Cadastros!$L$6:$L$12,Cadastros!$M$6:$M$12)," ")</f>
        <v xml:space="preserve"> </v>
      </c>
      <c r="M783" s="28"/>
      <c r="N783" s="28"/>
      <c r="O783" s="255" t="str">
        <f>IF(M783="","",(_xlfn.XLOOKUP(M783,Cadastros!$D$6:$D$90,Cadastros!$E$6:$E$90))*(1-_xlfn.XLOOKUP(_xlfn.XLOOKUP($F783,Clientes!$B$4:$B$39,Clientes!$C$4:$C$39),Cadastros!$L$6:$L$12,Cadastros!$N$6:$N$12)))</f>
        <v/>
      </c>
      <c r="P783" s="168" t="str">
        <f t="shared" si="158"/>
        <v/>
      </c>
      <c r="Q783" s="168" t="str">
        <f>IFERROR(P783/_xlfn.XLOOKUP(_xlfn.XLOOKUP($F783,Clientes!$B$4:$B$39,Clientes!$C$4:$C$39),Cadastros!$L$6:$L$12,Cadastros!$M$6:$M$12)," ")</f>
        <v xml:space="preserve"> </v>
      </c>
      <c r="R783" s="28"/>
      <c r="S783" s="28"/>
      <c r="T783" s="255" t="str">
        <f>IF(R783="","",(_xlfn.XLOOKUP(R783,Cadastros!$D$6:$D$90,Cadastros!$E$6:$E$90))*(1-_xlfn.XLOOKUP(_xlfn.XLOOKUP($F783,Clientes!$B$4:$B$39,Clientes!$C$4:$C$39),Cadastros!$L$6:$L$12,Cadastros!$N$6:$N$12)))</f>
        <v/>
      </c>
      <c r="U783" s="168" t="str">
        <f t="shared" si="159"/>
        <v/>
      </c>
      <c r="V783" s="168" t="str">
        <f>IFERROR(U783/_xlfn.XLOOKUP(_xlfn.XLOOKUP($F783,Clientes!$B$4:$B$39,Clientes!$C$4:$C$39),Cadastros!$L$6:$L$12,Cadastros!$M$6:$M$12)," ")</f>
        <v xml:space="preserve"> </v>
      </c>
      <c r="W783" s="28"/>
      <c r="X783" s="28"/>
      <c r="Y783" s="255" t="str">
        <f>IF(W783="","",(_xlfn.XLOOKUP(W783,Cadastros!$D$6:$D$90,Cadastros!$E$6:$E$90))*(1-_xlfn.XLOOKUP(_xlfn.XLOOKUP($F783,Clientes!$B$4:$B$39,Clientes!$C$4:$C$39),Cadastros!$L$6:$L$12,Cadastros!$N$6:$N$12)))</f>
        <v/>
      </c>
      <c r="Z783" s="168" t="str">
        <f t="shared" si="160"/>
        <v/>
      </c>
      <c r="AA783" s="168" t="str">
        <f>IFERROR(Z783/_xlfn.XLOOKUP(_xlfn.XLOOKUP($F783,Clientes!$B$4:$B$39,Clientes!$C$4:$C$39),Cadastros!$L$6:$L$12,Cadastros!$M$6:$M$12)," ")</f>
        <v xml:space="preserve"> </v>
      </c>
      <c r="AB783" s="28"/>
      <c r="AC783" s="28"/>
      <c r="AD783" s="20" t="str">
        <f>IF(AB783="","",IF($F783="Bernardino Furlan",_xlfn.XLOOKUP(AB783,Cadastros!$G$6:$G$90,Cadastros!$H$6:$H$90)*(1-0.18),IF($F783="Mauro José Salanti",_xlfn.XLOOKUP(AB783,Cadastros!$G$6:$G$90,Cadastros!$H$6:$H$90)*(1-0.18),_xlfn.XLOOKUP(AB783,Cadastros!$G$6:$G$90,Cadastros!$H$6:$H$90))))</f>
        <v/>
      </c>
      <c r="AE783" s="168" t="str">
        <f t="shared" si="161"/>
        <v/>
      </c>
      <c r="AF783" s="168" t="str">
        <f t="shared" si="162"/>
        <v/>
      </c>
      <c r="AG783" s="28"/>
      <c r="AH783" s="28"/>
      <c r="AI783" s="20" t="str">
        <f>IF(AG783="","",IF($F783="Bernardino Furlan",_xlfn.XLOOKUP(AG783,Cadastros!$G$6:$G$90,Cadastros!$H$6:$H$90)*(1-0.18),IF($F783="Mauro José Salanti",_xlfn.XLOOKUP(AG783,Cadastros!$G$6:$G$90,Cadastros!$H$6:$H$90)*(1-0.18),_xlfn.XLOOKUP(AG783,Cadastros!$G$6:$G$90,Cadastros!$H$6:$H$90))))</f>
        <v/>
      </c>
      <c r="AJ783" s="168" t="str">
        <f t="shared" si="163"/>
        <v/>
      </c>
      <c r="AK783" s="168" t="str">
        <f t="shared" si="164"/>
        <v/>
      </c>
      <c r="AL783" s="28"/>
      <c r="AM783" s="28"/>
      <c r="AN783" s="20" t="str">
        <f>IF(AL783="","",IF($F783="Bernardino Furlan",_xlfn.XLOOKUP(AL783,Cadastros!$G$6:$G$90,Cadastros!$H$6:$H$90)*(1-0.18),IF($F783="Mauro José Salanti",_xlfn.XLOOKUP(AL783,Cadastros!$G$6:$G$90,Cadastros!$H$6:$H$90)*(1-0.18),_xlfn.XLOOKUP(AL783,Cadastros!$G$6:$G$90,Cadastros!$H$6:$H$90))))</f>
        <v/>
      </c>
      <c r="AO783" s="168" t="str">
        <f t="shared" si="165"/>
        <v/>
      </c>
      <c r="AP783" s="168" t="str">
        <f t="shared" si="166"/>
        <v/>
      </c>
      <c r="AQ783" s="28"/>
      <c r="AR783" s="28"/>
      <c r="AS783" s="20" t="str">
        <f>IF(AQ783="","",IF($F783="Bernardino Furlan",_xlfn.XLOOKUP(AQ783,Cadastros!$G$6:$G$90,Cadastros!$H$6:$H$90)*(1-0.18),IF($F783="Mauro José Salanti",_xlfn.XLOOKUP(AQ783,Cadastros!$G$6:$G$90,Cadastros!$H$6:$H$90)*(1-0.18),_xlfn.XLOOKUP(AQ783,Cadastros!$G$6:$G$90,Cadastros!$H$6:$H$90))))</f>
        <v/>
      </c>
      <c r="AT783" s="168" t="str">
        <f t="shared" si="167"/>
        <v/>
      </c>
      <c r="AU783" s="168" t="str">
        <f t="shared" si="168"/>
        <v/>
      </c>
      <c r="AV783" s="227"/>
      <c r="AW783" s="30"/>
      <c r="AX783" s="267"/>
      <c r="AY783" s="267"/>
      <c r="AZ783" s="29"/>
      <c r="BA783" s="30"/>
      <c r="BB783" s="23" t="str" cm="1">
        <f t="array" ref="BB783">_xlfn.IFS(AW783="SIM",SUM(K783,P783,U783,Z783,AE783,AJ783,AO783,AT783,AX783,AY783),F783&lt;&gt;"",SUM(K783,P783,U783,Z783,AE783,AJ783,,AO783,AT783),F783="","")</f>
        <v/>
      </c>
      <c r="BC783" s="211" t="str" cm="1">
        <f t="array" ref="BC783">_xlfn.IFS(E783="","",G783&lt;=E783,BB783*(1-0.03),G783&lt;(E783+8),BB783,AZ783="Boleto",BB783*(1+0.001)^DATEDIF(E783,G783,"D"),AZ783="Cheque",BB783,AZ783="Dinheiro","Alterar forma pgto")</f>
        <v/>
      </c>
      <c r="BD783" s="276" t="str" cm="1">
        <f t="array" ref="BD783">IF(F783=0," ",IF(BC783&lt;BB783,(_xlfn.IFS(AW783="SIM",SUM(L783,Q783,V783,AA783,AF783,AK783,AP783,AU783)+AX783/_xlfn.XLOOKUP(_xlfn.XLOOKUP($F783,Clientes!$B$4:$B$39,Clientes!$C$4:$C$39),Cadastros!$L$6:$L$12,Cadastros!$M$6:$M$12)+IF($F783="Bernardino Furlan",AY783/2751.92,IF($F783="Mauro José Salanti",AY783/2751.92,AY783/3356)),F783&lt;&gt;0,SUM(L783,Q783,V783,AA783,AF783,AK783,AP783,AU783)))*(1-0.03),_xlfn.IFS(AW783="SIM",SUM(L783,Q783,V783,AA783,AF783,AK783,AP783,AU783)+AX783/_xlfn.XLOOKUP(_xlfn.XLOOKUP($F783,Clientes!$B$4:$B$39,Clientes!$C$4:$C$39),Cadastros!$L$6:$L$12,Cadastros!$M$6:$M$12)+IF($F783="Bernardino Furlan",AY783/2751.92,IF($F783="Mauro José Salanti",AY783/2751.92,AY783/3356)),F783&lt;&gt;0,SUM(L783,Q783,V783,AA783,AF783,AK783,AP783,AU783))))</f>
        <v xml:space="preserve"> </v>
      </c>
      <c r="BE783" s="120"/>
      <c r="BF783" s="120"/>
      <c r="BG783" s="120"/>
    </row>
    <row r="784" spans="1:59" s="3" customFormat="1" x14ac:dyDescent="0.3">
      <c r="A784" s="15" t="str">
        <f t="shared" si="156"/>
        <v/>
      </c>
      <c r="B784" s="25"/>
      <c r="C784" s="26"/>
      <c r="D784" s="279"/>
      <c r="E784" s="27"/>
      <c r="F784" s="28"/>
      <c r="G784" s="27"/>
      <c r="H784" s="28"/>
      <c r="I784" s="28"/>
      <c r="J784" s="255" t="str">
        <f>IF(H784="","",(_xlfn.XLOOKUP(H784,Cadastros!$D$6:$D$90,Cadastros!$E$6:$E$90))*(1-_xlfn.XLOOKUP(_xlfn.XLOOKUP($F784,Clientes!$B$4:$B$39,Clientes!$C$4:$C$39),Cadastros!$L$6:$L$12,Cadastros!$N$6:$N$12)))</f>
        <v/>
      </c>
      <c r="K784" s="168" t="str">
        <f t="shared" si="157"/>
        <v/>
      </c>
      <c r="L784" s="168" t="str">
        <f>IFERROR(K784/_xlfn.XLOOKUP(_xlfn.XLOOKUP($F784,Clientes!$B$4:$B$39,Clientes!$C$4:$C$39),Cadastros!$L$6:$L$12,Cadastros!$M$6:$M$12)," ")</f>
        <v xml:space="preserve"> </v>
      </c>
      <c r="M784" s="28"/>
      <c r="N784" s="28"/>
      <c r="O784" s="255" t="str">
        <f>IF(M784="","",(_xlfn.XLOOKUP(M784,Cadastros!$D$6:$D$90,Cadastros!$E$6:$E$90))*(1-_xlfn.XLOOKUP(_xlfn.XLOOKUP($F784,Clientes!$B$4:$B$39,Clientes!$C$4:$C$39),Cadastros!$L$6:$L$12,Cadastros!$N$6:$N$12)))</f>
        <v/>
      </c>
      <c r="P784" s="168" t="str">
        <f t="shared" si="158"/>
        <v/>
      </c>
      <c r="Q784" s="168" t="str">
        <f>IFERROR(P784/_xlfn.XLOOKUP(_xlfn.XLOOKUP($F784,Clientes!$B$4:$B$39,Clientes!$C$4:$C$39),Cadastros!$L$6:$L$12,Cadastros!$M$6:$M$12)," ")</f>
        <v xml:space="preserve"> </v>
      </c>
      <c r="R784" s="28"/>
      <c r="S784" s="28"/>
      <c r="T784" s="255" t="str">
        <f>IF(R784="","",(_xlfn.XLOOKUP(R784,Cadastros!$D$6:$D$90,Cadastros!$E$6:$E$90))*(1-_xlfn.XLOOKUP(_xlfn.XLOOKUP($F784,Clientes!$B$4:$B$39,Clientes!$C$4:$C$39),Cadastros!$L$6:$L$12,Cadastros!$N$6:$N$12)))</f>
        <v/>
      </c>
      <c r="U784" s="168" t="str">
        <f t="shared" si="159"/>
        <v/>
      </c>
      <c r="V784" s="168" t="str">
        <f>IFERROR(U784/_xlfn.XLOOKUP(_xlfn.XLOOKUP($F784,Clientes!$B$4:$B$39,Clientes!$C$4:$C$39),Cadastros!$L$6:$L$12,Cadastros!$M$6:$M$12)," ")</f>
        <v xml:space="preserve"> </v>
      </c>
      <c r="W784" s="28"/>
      <c r="X784" s="28"/>
      <c r="Y784" s="255" t="str">
        <f>IF(W784="","",(_xlfn.XLOOKUP(W784,Cadastros!$D$6:$D$90,Cadastros!$E$6:$E$90))*(1-_xlfn.XLOOKUP(_xlfn.XLOOKUP($F784,Clientes!$B$4:$B$39,Clientes!$C$4:$C$39),Cadastros!$L$6:$L$12,Cadastros!$N$6:$N$12)))</f>
        <v/>
      </c>
      <c r="Z784" s="168" t="str">
        <f t="shared" si="160"/>
        <v/>
      </c>
      <c r="AA784" s="168" t="str">
        <f>IFERROR(Z784/_xlfn.XLOOKUP(_xlfn.XLOOKUP($F784,Clientes!$B$4:$B$39,Clientes!$C$4:$C$39),Cadastros!$L$6:$L$12,Cadastros!$M$6:$M$12)," ")</f>
        <v xml:space="preserve"> </v>
      </c>
      <c r="AB784" s="28"/>
      <c r="AC784" s="28"/>
      <c r="AD784" s="20" t="str">
        <f>IF(AB784="","",IF($F784="Bernardino Furlan",_xlfn.XLOOKUP(AB784,Cadastros!$G$6:$G$90,Cadastros!$H$6:$H$90)*(1-0.18),IF($F784="Mauro José Salanti",_xlfn.XLOOKUP(AB784,Cadastros!$G$6:$G$90,Cadastros!$H$6:$H$90)*(1-0.18),_xlfn.XLOOKUP(AB784,Cadastros!$G$6:$G$90,Cadastros!$H$6:$H$90))))</f>
        <v/>
      </c>
      <c r="AE784" s="168" t="str">
        <f t="shared" si="161"/>
        <v/>
      </c>
      <c r="AF784" s="168" t="str">
        <f t="shared" si="162"/>
        <v/>
      </c>
      <c r="AG784" s="28"/>
      <c r="AH784" s="28"/>
      <c r="AI784" s="20" t="str">
        <f>IF(AG784="","",IF($F784="Bernardino Furlan",_xlfn.XLOOKUP(AG784,Cadastros!$G$6:$G$90,Cadastros!$H$6:$H$90)*(1-0.18),IF($F784="Mauro José Salanti",_xlfn.XLOOKUP(AG784,Cadastros!$G$6:$G$90,Cadastros!$H$6:$H$90)*(1-0.18),_xlfn.XLOOKUP(AG784,Cadastros!$G$6:$G$90,Cadastros!$H$6:$H$90))))</f>
        <v/>
      </c>
      <c r="AJ784" s="168" t="str">
        <f t="shared" si="163"/>
        <v/>
      </c>
      <c r="AK784" s="168" t="str">
        <f t="shared" si="164"/>
        <v/>
      </c>
      <c r="AL784" s="28"/>
      <c r="AM784" s="28"/>
      <c r="AN784" s="20" t="str">
        <f>IF(AL784="","",IF($F784="Bernardino Furlan",_xlfn.XLOOKUP(AL784,Cadastros!$G$6:$G$90,Cadastros!$H$6:$H$90)*(1-0.18),IF($F784="Mauro José Salanti",_xlfn.XLOOKUP(AL784,Cadastros!$G$6:$G$90,Cadastros!$H$6:$H$90)*(1-0.18),_xlfn.XLOOKUP(AL784,Cadastros!$G$6:$G$90,Cadastros!$H$6:$H$90))))</f>
        <v/>
      </c>
      <c r="AO784" s="168" t="str">
        <f t="shared" si="165"/>
        <v/>
      </c>
      <c r="AP784" s="168" t="str">
        <f t="shared" si="166"/>
        <v/>
      </c>
      <c r="AQ784" s="28"/>
      <c r="AR784" s="28"/>
      <c r="AS784" s="20" t="str">
        <f>IF(AQ784="","",IF($F784="Bernardino Furlan",_xlfn.XLOOKUP(AQ784,Cadastros!$G$6:$G$90,Cadastros!$H$6:$H$90)*(1-0.18),IF($F784="Mauro José Salanti",_xlfn.XLOOKUP(AQ784,Cadastros!$G$6:$G$90,Cadastros!$H$6:$H$90)*(1-0.18),_xlfn.XLOOKUP(AQ784,Cadastros!$G$6:$G$90,Cadastros!$H$6:$H$90))))</f>
        <v/>
      </c>
      <c r="AT784" s="168" t="str">
        <f t="shared" si="167"/>
        <v/>
      </c>
      <c r="AU784" s="168" t="str">
        <f t="shared" si="168"/>
        <v/>
      </c>
      <c r="AV784" s="227"/>
      <c r="AW784" s="30"/>
      <c r="AX784" s="267"/>
      <c r="AY784" s="267"/>
      <c r="AZ784" s="29"/>
      <c r="BA784" s="30"/>
      <c r="BB784" s="23" t="str" cm="1">
        <f t="array" ref="BB784">_xlfn.IFS(AW784="SIM",SUM(K784,P784,U784,Z784,AE784,AJ784,AO784,AT784,AX784,AY784),F784&lt;&gt;"",SUM(K784,P784,U784,Z784,AE784,AJ784,,AO784,AT784),F784="","")</f>
        <v/>
      </c>
      <c r="BC784" s="211" t="str" cm="1">
        <f t="array" ref="BC784">_xlfn.IFS(E784="","",G784&lt;=E784,BB784*(1-0.03),G784&lt;(E784+8),BB784,AZ784="Boleto",BB784*(1+0.001)^DATEDIF(E784,G784,"D"),AZ784="Cheque",BB784,AZ784="Dinheiro","Alterar forma pgto")</f>
        <v/>
      </c>
      <c r="BD784" s="276" t="str" cm="1">
        <f t="array" ref="BD784">IF(F784=0," ",IF(BC784&lt;BB784,(_xlfn.IFS(AW784="SIM",SUM(L784,Q784,V784,AA784,AF784,AK784,AP784,AU784)+AX784/_xlfn.XLOOKUP(_xlfn.XLOOKUP($F784,Clientes!$B$4:$B$39,Clientes!$C$4:$C$39),Cadastros!$L$6:$L$12,Cadastros!$M$6:$M$12)+IF($F784="Bernardino Furlan",AY784/2751.92,IF($F784="Mauro José Salanti",AY784/2751.92,AY784/3356)),F784&lt;&gt;0,SUM(L784,Q784,V784,AA784,AF784,AK784,AP784,AU784)))*(1-0.03),_xlfn.IFS(AW784="SIM",SUM(L784,Q784,V784,AA784,AF784,AK784,AP784,AU784)+AX784/_xlfn.XLOOKUP(_xlfn.XLOOKUP($F784,Clientes!$B$4:$B$39,Clientes!$C$4:$C$39),Cadastros!$L$6:$L$12,Cadastros!$M$6:$M$12)+IF($F784="Bernardino Furlan",AY784/2751.92,IF($F784="Mauro José Salanti",AY784/2751.92,AY784/3356)),F784&lt;&gt;0,SUM(L784,Q784,V784,AA784,AF784,AK784,AP784,AU784))))</f>
        <v xml:space="preserve"> </v>
      </c>
      <c r="BE784" s="120"/>
      <c r="BF784" s="120"/>
      <c r="BG784" s="120"/>
    </row>
    <row r="785" spans="1:59" s="3" customFormat="1" x14ac:dyDescent="0.3">
      <c r="A785" s="15" t="str">
        <f t="shared" si="156"/>
        <v/>
      </c>
      <c r="B785" s="25"/>
      <c r="C785" s="26"/>
      <c r="D785" s="279"/>
      <c r="E785" s="27"/>
      <c r="F785" s="28"/>
      <c r="G785" s="27"/>
      <c r="H785" s="28"/>
      <c r="I785" s="28"/>
      <c r="J785" s="255" t="str">
        <f>IF(H785="","",(_xlfn.XLOOKUP(H785,Cadastros!$D$6:$D$90,Cadastros!$E$6:$E$90))*(1-_xlfn.XLOOKUP(_xlfn.XLOOKUP($F785,Clientes!$B$4:$B$39,Clientes!$C$4:$C$39),Cadastros!$L$6:$L$12,Cadastros!$N$6:$N$12)))</f>
        <v/>
      </c>
      <c r="K785" s="168" t="str">
        <f t="shared" si="157"/>
        <v/>
      </c>
      <c r="L785" s="168" t="str">
        <f>IFERROR(K785/_xlfn.XLOOKUP(_xlfn.XLOOKUP($F785,Clientes!$B$4:$B$39,Clientes!$C$4:$C$39),Cadastros!$L$6:$L$12,Cadastros!$M$6:$M$12)," ")</f>
        <v xml:space="preserve"> </v>
      </c>
      <c r="M785" s="28"/>
      <c r="N785" s="28"/>
      <c r="O785" s="255" t="str">
        <f>IF(M785="","",(_xlfn.XLOOKUP(M785,Cadastros!$D$6:$D$90,Cadastros!$E$6:$E$90))*(1-_xlfn.XLOOKUP(_xlfn.XLOOKUP($F785,Clientes!$B$4:$B$39,Clientes!$C$4:$C$39),Cadastros!$L$6:$L$12,Cadastros!$N$6:$N$12)))</f>
        <v/>
      </c>
      <c r="P785" s="168" t="str">
        <f t="shared" si="158"/>
        <v/>
      </c>
      <c r="Q785" s="168" t="str">
        <f>IFERROR(P785/_xlfn.XLOOKUP(_xlfn.XLOOKUP($F785,Clientes!$B$4:$B$39,Clientes!$C$4:$C$39),Cadastros!$L$6:$L$12,Cadastros!$M$6:$M$12)," ")</f>
        <v xml:space="preserve"> </v>
      </c>
      <c r="R785" s="28"/>
      <c r="S785" s="28"/>
      <c r="T785" s="255" t="str">
        <f>IF(R785="","",(_xlfn.XLOOKUP(R785,Cadastros!$D$6:$D$90,Cadastros!$E$6:$E$90))*(1-_xlfn.XLOOKUP(_xlfn.XLOOKUP($F785,Clientes!$B$4:$B$39,Clientes!$C$4:$C$39),Cadastros!$L$6:$L$12,Cadastros!$N$6:$N$12)))</f>
        <v/>
      </c>
      <c r="U785" s="168" t="str">
        <f t="shared" si="159"/>
        <v/>
      </c>
      <c r="V785" s="168" t="str">
        <f>IFERROR(U785/_xlfn.XLOOKUP(_xlfn.XLOOKUP($F785,Clientes!$B$4:$B$39,Clientes!$C$4:$C$39),Cadastros!$L$6:$L$12,Cadastros!$M$6:$M$12)," ")</f>
        <v xml:space="preserve"> </v>
      </c>
      <c r="W785" s="28"/>
      <c r="X785" s="28"/>
      <c r="Y785" s="255" t="str">
        <f>IF(W785="","",(_xlfn.XLOOKUP(W785,Cadastros!$D$6:$D$90,Cadastros!$E$6:$E$90))*(1-_xlfn.XLOOKUP(_xlfn.XLOOKUP($F785,Clientes!$B$4:$B$39,Clientes!$C$4:$C$39),Cadastros!$L$6:$L$12,Cadastros!$N$6:$N$12)))</f>
        <v/>
      </c>
      <c r="Z785" s="168" t="str">
        <f t="shared" si="160"/>
        <v/>
      </c>
      <c r="AA785" s="168" t="str">
        <f>IFERROR(Z785/_xlfn.XLOOKUP(_xlfn.XLOOKUP($F785,Clientes!$B$4:$B$39,Clientes!$C$4:$C$39),Cadastros!$L$6:$L$12,Cadastros!$M$6:$M$12)," ")</f>
        <v xml:space="preserve"> </v>
      </c>
      <c r="AB785" s="28"/>
      <c r="AC785" s="28"/>
      <c r="AD785" s="20" t="str">
        <f>IF(AB785="","",IF($F785="Bernardino Furlan",_xlfn.XLOOKUP(AB785,Cadastros!$G$6:$G$90,Cadastros!$H$6:$H$90)*(1-0.18),IF($F785="Mauro José Salanti",_xlfn.XLOOKUP(AB785,Cadastros!$G$6:$G$90,Cadastros!$H$6:$H$90)*(1-0.18),_xlfn.XLOOKUP(AB785,Cadastros!$G$6:$G$90,Cadastros!$H$6:$H$90))))</f>
        <v/>
      </c>
      <c r="AE785" s="168" t="str">
        <f t="shared" si="161"/>
        <v/>
      </c>
      <c r="AF785" s="168" t="str">
        <f t="shared" si="162"/>
        <v/>
      </c>
      <c r="AG785" s="28"/>
      <c r="AH785" s="28"/>
      <c r="AI785" s="20" t="str">
        <f>IF(AG785="","",IF($F785="Bernardino Furlan",_xlfn.XLOOKUP(AG785,Cadastros!$G$6:$G$90,Cadastros!$H$6:$H$90)*(1-0.18),IF($F785="Mauro José Salanti",_xlfn.XLOOKUP(AG785,Cadastros!$G$6:$G$90,Cadastros!$H$6:$H$90)*(1-0.18),_xlfn.XLOOKUP(AG785,Cadastros!$G$6:$G$90,Cadastros!$H$6:$H$90))))</f>
        <v/>
      </c>
      <c r="AJ785" s="168" t="str">
        <f t="shared" si="163"/>
        <v/>
      </c>
      <c r="AK785" s="168" t="str">
        <f t="shared" si="164"/>
        <v/>
      </c>
      <c r="AL785" s="28"/>
      <c r="AM785" s="28"/>
      <c r="AN785" s="20" t="str">
        <f>IF(AL785="","",IF($F785="Bernardino Furlan",_xlfn.XLOOKUP(AL785,Cadastros!$G$6:$G$90,Cadastros!$H$6:$H$90)*(1-0.18),IF($F785="Mauro José Salanti",_xlfn.XLOOKUP(AL785,Cadastros!$G$6:$G$90,Cadastros!$H$6:$H$90)*(1-0.18),_xlfn.XLOOKUP(AL785,Cadastros!$G$6:$G$90,Cadastros!$H$6:$H$90))))</f>
        <v/>
      </c>
      <c r="AO785" s="168" t="str">
        <f t="shared" si="165"/>
        <v/>
      </c>
      <c r="AP785" s="168" t="str">
        <f t="shared" si="166"/>
        <v/>
      </c>
      <c r="AQ785" s="28"/>
      <c r="AR785" s="28"/>
      <c r="AS785" s="20" t="str">
        <f>IF(AQ785="","",IF($F785="Bernardino Furlan",_xlfn.XLOOKUP(AQ785,Cadastros!$G$6:$G$90,Cadastros!$H$6:$H$90)*(1-0.18),IF($F785="Mauro José Salanti",_xlfn.XLOOKUP(AQ785,Cadastros!$G$6:$G$90,Cadastros!$H$6:$H$90)*(1-0.18),_xlfn.XLOOKUP(AQ785,Cadastros!$G$6:$G$90,Cadastros!$H$6:$H$90))))</f>
        <v/>
      </c>
      <c r="AT785" s="168" t="str">
        <f t="shared" si="167"/>
        <v/>
      </c>
      <c r="AU785" s="168" t="str">
        <f t="shared" si="168"/>
        <v/>
      </c>
      <c r="AV785" s="227"/>
      <c r="AW785" s="30"/>
      <c r="AX785" s="267"/>
      <c r="AY785" s="267"/>
      <c r="AZ785" s="29"/>
      <c r="BA785" s="30"/>
      <c r="BB785" s="23" t="str" cm="1">
        <f t="array" ref="BB785">_xlfn.IFS(AW785="SIM",SUM(K785,P785,U785,Z785,AE785,AJ785,AO785,AT785,AX785,AY785),F785&lt;&gt;"",SUM(K785,P785,U785,Z785,AE785,AJ785,,AO785,AT785),F785="","")</f>
        <v/>
      </c>
      <c r="BC785" s="211" t="str" cm="1">
        <f t="array" ref="BC785">_xlfn.IFS(E785="","",G785&lt;=E785,BB785*(1-0.03),G785&lt;(E785+8),BB785,AZ785="Boleto",BB785*(1+0.001)^DATEDIF(E785,G785,"D"),AZ785="Cheque",BB785,AZ785="Dinheiro","Alterar forma pgto")</f>
        <v/>
      </c>
      <c r="BD785" s="276" t="str" cm="1">
        <f t="array" ref="BD785">IF(F785=0," ",IF(BC785&lt;BB785,(_xlfn.IFS(AW785="SIM",SUM(L785,Q785,V785,AA785,AF785,AK785,AP785,AU785)+AX785/_xlfn.XLOOKUP(_xlfn.XLOOKUP($F785,Clientes!$B$4:$B$39,Clientes!$C$4:$C$39),Cadastros!$L$6:$L$12,Cadastros!$M$6:$M$12)+IF($F785="Bernardino Furlan",AY785/2751.92,IF($F785="Mauro José Salanti",AY785/2751.92,AY785/3356)),F785&lt;&gt;0,SUM(L785,Q785,V785,AA785,AF785,AK785,AP785,AU785)))*(1-0.03),_xlfn.IFS(AW785="SIM",SUM(L785,Q785,V785,AA785,AF785,AK785,AP785,AU785)+AX785/_xlfn.XLOOKUP(_xlfn.XLOOKUP($F785,Clientes!$B$4:$B$39,Clientes!$C$4:$C$39),Cadastros!$L$6:$L$12,Cadastros!$M$6:$M$12)+IF($F785="Bernardino Furlan",AY785/2751.92,IF($F785="Mauro José Salanti",AY785/2751.92,AY785/3356)),F785&lt;&gt;0,SUM(L785,Q785,V785,AA785,AF785,AK785,AP785,AU785))))</f>
        <v xml:space="preserve"> </v>
      </c>
      <c r="BE785" s="120"/>
      <c r="BF785" s="120"/>
      <c r="BG785" s="120"/>
    </row>
    <row r="786" spans="1:59" s="3" customFormat="1" x14ac:dyDescent="0.3">
      <c r="A786" s="15" t="str">
        <f t="shared" si="156"/>
        <v/>
      </c>
      <c r="B786" s="25"/>
      <c r="C786" s="26"/>
      <c r="D786" s="279"/>
      <c r="E786" s="27"/>
      <c r="F786" s="28"/>
      <c r="G786" s="27"/>
      <c r="H786" s="28"/>
      <c r="I786" s="28"/>
      <c r="J786" s="255" t="str">
        <f>IF(H786="","",(_xlfn.XLOOKUP(H786,Cadastros!$D$6:$D$90,Cadastros!$E$6:$E$90))*(1-_xlfn.XLOOKUP(_xlfn.XLOOKUP($F786,Clientes!$B$4:$B$39,Clientes!$C$4:$C$39),Cadastros!$L$6:$L$12,Cadastros!$N$6:$N$12)))</f>
        <v/>
      </c>
      <c r="K786" s="168" t="str">
        <f t="shared" si="157"/>
        <v/>
      </c>
      <c r="L786" s="168" t="str">
        <f>IFERROR(K786/_xlfn.XLOOKUP(_xlfn.XLOOKUP($F786,Clientes!$B$4:$B$39,Clientes!$C$4:$C$39),Cadastros!$L$6:$L$12,Cadastros!$M$6:$M$12)," ")</f>
        <v xml:space="preserve"> </v>
      </c>
      <c r="M786" s="28"/>
      <c r="N786" s="28"/>
      <c r="O786" s="255" t="str">
        <f>IF(M786="","",(_xlfn.XLOOKUP(M786,Cadastros!$D$6:$D$90,Cadastros!$E$6:$E$90))*(1-_xlfn.XLOOKUP(_xlfn.XLOOKUP($F786,Clientes!$B$4:$B$39,Clientes!$C$4:$C$39),Cadastros!$L$6:$L$12,Cadastros!$N$6:$N$12)))</f>
        <v/>
      </c>
      <c r="P786" s="168" t="str">
        <f t="shared" si="158"/>
        <v/>
      </c>
      <c r="Q786" s="168" t="str">
        <f>IFERROR(P786/_xlfn.XLOOKUP(_xlfn.XLOOKUP($F786,Clientes!$B$4:$B$39,Clientes!$C$4:$C$39),Cadastros!$L$6:$L$12,Cadastros!$M$6:$M$12)," ")</f>
        <v xml:space="preserve"> </v>
      </c>
      <c r="R786" s="28"/>
      <c r="S786" s="28"/>
      <c r="T786" s="255" t="str">
        <f>IF(R786="","",(_xlfn.XLOOKUP(R786,Cadastros!$D$6:$D$90,Cadastros!$E$6:$E$90))*(1-_xlfn.XLOOKUP(_xlfn.XLOOKUP($F786,Clientes!$B$4:$B$39,Clientes!$C$4:$C$39),Cadastros!$L$6:$L$12,Cadastros!$N$6:$N$12)))</f>
        <v/>
      </c>
      <c r="U786" s="168" t="str">
        <f t="shared" si="159"/>
        <v/>
      </c>
      <c r="V786" s="168" t="str">
        <f>IFERROR(U786/_xlfn.XLOOKUP(_xlfn.XLOOKUP($F786,Clientes!$B$4:$B$39,Clientes!$C$4:$C$39),Cadastros!$L$6:$L$12,Cadastros!$M$6:$M$12)," ")</f>
        <v xml:space="preserve"> </v>
      </c>
      <c r="W786" s="28"/>
      <c r="X786" s="28"/>
      <c r="Y786" s="255" t="str">
        <f>IF(W786="","",(_xlfn.XLOOKUP(W786,Cadastros!$D$6:$D$90,Cadastros!$E$6:$E$90))*(1-_xlfn.XLOOKUP(_xlfn.XLOOKUP($F786,Clientes!$B$4:$B$39,Clientes!$C$4:$C$39),Cadastros!$L$6:$L$12,Cadastros!$N$6:$N$12)))</f>
        <v/>
      </c>
      <c r="Z786" s="168" t="str">
        <f t="shared" si="160"/>
        <v/>
      </c>
      <c r="AA786" s="168" t="str">
        <f>IFERROR(Z786/_xlfn.XLOOKUP(_xlfn.XLOOKUP($F786,Clientes!$B$4:$B$39,Clientes!$C$4:$C$39),Cadastros!$L$6:$L$12,Cadastros!$M$6:$M$12)," ")</f>
        <v xml:space="preserve"> </v>
      </c>
      <c r="AB786" s="28"/>
      <c r="AC786" s="28"/>
      <c r="AD786" s="20" t="str">
        <f>IF(AB786="","",IF($F786="Bernardino Furlan",_xlfn.XLOOKUP(AB786,Cadastros!$G$6:$G$90,Cadastros!$H$6:$H$90)*(1-0.18),IF($F786="Mauro José Salanti",_xlfn.XLOOKUP(AB786,Cadastros!$G$6:$G$90,Cadastros!$H$6:$H$90)*(1-0.18),_xlfn.XLOOKUP(AB786,Cadastros!$G$6:$G$90,Cadastros!$H$6:$H$90))))</f>
        <v/>
      </c>
      <c r="AE786" s="168" t="str">
        <f t="shared" si="161"/>
        <v/>
      </c>
      <c r="AF786" s="168" t="str">
        <f t="shared" si="162"/>
        <v/>
      </c>
      <c r="AG786" s="28"/>
      <c r="AH786" s="28"/>
      <c r="AI786" s="20" t="str">
        <f>IF(AG786="","",IF($F786="Bernardino Furlan",_xlfn.XLOOKUP(AG786,Cadastros!$G$6:$G$90,Cadastros!$H$6:$H$90)*(1-0.18),IF($F786="Mauro José Salanti",_xlfn.XLOOKUP(AG786,Cadastros!$G$6:$G$90,Cadastros!$H$6:$H$90)*(1-0.18),_xlfn.XLOOKUP(AG786,Cadastros!$G$6:$G$90,Cadastros!$H$6:$H$90))))</f>
        <v/>
      </c>
      <c r="AJ786" s="168" t="str">
        <f t="shared" si="163"/>
        <v/>
      </c>
      <c r="AK786" s="168" t="str">
        <f t="shared" si="164"/>
        <v/>
      </c>
      <c r="AL786" s="28"/>
      <c r="AM786" s="28"/>
      <c r="AN786" s="20" t="str">
        <f>IF(AL786="","",IF($F786="Bernardino Furlan",_xlfn.XLOOKUP(AL786,Cadastros!$G$6:$G$90,Cadastros!$H$6:$H$90)*(1-0.18),IF($F786="Mauro José Salanti",_xlfn.XLOOKUP(AL786,Cadastros!$G$6:$G$90,Cadastros!$H$6:$H$90)*(1-0.18),_xlfn.XLOOKUP(AL786,Cadastros!$G$6:$G$90,Cadastros!$H$6:$H$90))))</f>
        <v/>
      </c>
      <c r="AO786" s="168" t="str">
        <f t="shared" si="165"/>
        <v/>
      </c>
      <c r="AP786" s="168" t="str">
        <f t="shared" si="166"/>
        <v/>
      </c>
      <c r="AQ786" s="28"/>
      <c r="AR786" s="28"/>
      <c r="AS786" s="20" t="str">
        <f>IF(AQ786="","",IF($F786="Bernardino Furlan",_xlfn.XLOOKUP(AQ786,Cadastros!$G$6:$G$90,Cadastros!$H$6:$H$90)*(1-0.18),IF($F786="Mauro José Salanti",_xlfn.XLOOKUP(AQ786,Cadastros!$G$6:$G$90,Cadastros!$H$6:$H$90)*(1-0.18),_xlfn.XLOOKUP(AQ786,Cadastros!$G$6:$G$90,Cadastros!$H$6:$H$90))))</f>
        <v/>
      </c>
      <c r="AT786" s="168" t="str">
        <f t="shared" si="167"/>
        <v/>
      </c>
      <c r="AU786" s="168" t="str">
        <f t="shared" si="168"/>
        <v/>
      </c>
      <c r="AV786" s="227"/>
      <c r="AW786" s="30"/>
      <c r="AX786" s="267"/>
      <c r="AY786" s="267"/>
      <c r="AZ786" s="29"/>
      <c r="BA786" s="30"/>
      <c r="BB786" s="23" t="str" cm="1">
        <f t="array" ref="BB786">_xlfn.IFS(AW786="SIM",SUM(K786,P786,U786,Z786,AE786,AJ786,AO786,AT786,AX786,AY786),F786&lt;&gt;"",SUM(K786,P786,U786,Z786,AE786,AJ786,,AO786,AT786),F786="","")</f>
        <v/>
      </c>
      <c r="BC786" s="211" t="str" cm="1">
        <f t="array" ref="BC786">_xlfn.IFS(E786="","",G786&lt;=E786,BB786*(1-0.03),G786&lt;(E786+8),BB786,AZ786="Boleto",BB786*(1+0.001)^DATEDIF(E786,G786,"D"),AZ786="Cheque",BB786,AZ786="Dinheiro","Alterar forma pgto")</f>
        <v/>
      </c>
      <c r="BD786" s="276" t="str" cm="1">
        <f t="array" ref="BD786">IF(F786=0," ",IF(BC786&lt;BB786,(_xlfn.IFS(AW786="SIM",SUM(L786,Q786,V786,AA786,AF786,AK786,AP786,AU786)+AX786/_xlfn.XLOOKUP(_xlfn.XLOOKUP($F786,Clientes!$B$4:$B$39,Clientes!$C$4:$C$39),Cadastros!$L$6:$L$12,Cadastros!$M$6:$M$12)+IF($F786="Bernardino Furlan",AY786/2751.92,IF($F786="Mauro José Salanti",AY786/2751.92,AY786/3356)),F786&lt;&gt;0,SUM(L786,Q786,V786,AA786,AF786,AK786,AP786,AU786)))*(1-0.03),_xlfn.IFS(AW786="SIM",SUM(L786,Q786,V786,AA786,AF786,AK786,AP786,AU786)+AX786/_xlfn.XLOOKUP(_xlfn.XLOOKUP($F786,Clientes!$B$4:$B$39,Clientes!$C$4:$C$39),Cadastros!$L$6:$L$12,Cadastros!$M$6:$M$12)+IF($F786="Bernardino Furlan",AY786/2751.92,IF($F786="Mauro José Salanti",AY786/2751.92,AY786/3356)),F786&lt;&gt;0,SUM(L786,Q786,V786,AA786,AF786,AK786,AP786,AU786))))</f>
        <v xml:space="preserve"> </v>
      </c>
      <c r="BE786" s="120"/>
      <c r="BF786" s="120"/>
      <c r="BG786" s="120"/>
    </row>
    <row r="787" spans="1:59" s="3" customFormat="1" x14ac:dyDescent="0.3">
      <c r="A787" s="15" t="str">
        <f t="shared" si="156"/>
        <v/>
      </c>
      <c r="B787" s="25"/>
      <c r="C787" s="26"/>
      <c r="D787" s="279"/>
      <c r="E787" s="27"/>
      <c r="F787" s="28"/>
      <c r="G787" s="27"/>
      <c r="H787" s="28"/>
      <c r="I787" s="28"/>
      <c r="J787" s="255" t="str">
        <f>IF(H787="","",(_xlfn.XLOOKUP(H787,Cadastros!$D$6:$D$90,Cadastros!$E$6:$E$90))*(1-_xlfn.XLOOKUP(_xlfn.XLOOKUP($F787,Clientes!$B$4:$B$39,Clientes!$C$4:$C$39),Cadastros!$L$6:$L$12,Cadastros!$N$6:$N$12)))</f>
        <v/>
      </c>
      <c r="K787" s="168" t="str">
        <f t="shared" si="157"/>
        <v/>
      </c>
      <c r="L787" s="168" t="str">
        <f>IFERROR(K787/_xlfn.XLOOKUP(_xlfn.XLOOKUP($F787,Clientes!$B$4:$B$39,Clientes!$C$4:$C$39),Cadastros!$L$6:$L$12,Cadastros!$M$6:$M$12)," ")</f>
        <v xml:space="preserve"> </v>
      </c>
      <c r="M787" s="28"/>
      <c r="N787" s="28"/>
      <c r="O787" s="255" t="str">
        <f>IF(M787="","",(_xlfn.XLOOKUP(M787,Cadastros!$D$6:$D$90,Cadastros!$E$6:$E$90))*(1-_xlfn.XLOOKUP(_xlfn.XLOOKUP($F787,Clientes!$B$4:$B$39,Clientes!$C$4:$C$39),Cadastros!$L$6:$L$12,Cadastros!$N$6:$N$12)))</f>
        <v/>
      </c>
      <c r="P787" s="168" t="str">
        <f t="shared" si="158"/>
        <v/>
      </c>
      <c r="Q787" s="168" t="str">
        <f>IFERROR(P787/_xlfn.XLOOKUP(_xlfn.XLOOKUP($F787,Clientes!$B$4:$B$39,Clientes!$C$4:$C$39),Cadastros!$L$6:$L$12,Cadastros!$M$6:$M$12)," ")</f>
        <v xml:space="preserve"> </v>
      </c>
      <c r="R787" s="28"/>
      <c r="S787" s="28"/>
      <c r="T787" s="255" t="str">
        <f>IF(R787="","",(_xlfn.XLOOKUP(R787,Cadastros!$D$6:$D$90,Cadastros!$E$6:$E$90))*(1-_xlfn.XLOOKUP(_xlfn.XLOOKUP($F787,Clientes!$B$4:$B$39,Clientes!$C$4:$C$39),Cadastros!$L$6:$L$12,Cadastros!$N$6:$N$12)))</f>
        <v/>
      </c>
      <c r="U787" s="168" t="str">
        <f t="shared" si="159"/>
        <v/>
      </c>
      <c r="V787" s="168" t="str">
        <f>IFERROR(U787/_xlfn.XLOOKUP(_xlfn.XLOOKUP($F787,Clientes!$B$4:$B$39,Clientes!$C$4:$C$39),Cadastros!$L$6:$L$12,Cadastros!$M$6:$M$12)," ")</f>
        <v xml:space="preserve"> </v>
      </c>
      <c r="W787" s="28"/>
      <c r="X787" s="28"/>
      <c r="Y787" s="255" t="str">
        <f>IF(W787="","",(_xlfn.XLOOKUP(W787,Cadastros!$D$6:$D$90,Cadastros!$E$6:$E$90))*(1-_xlfn.XLOOKUP(_xlfn.XLOOKUP($F787,Clientes!$B$4:$B$39,Clientes!$C$4:$C$39),Cadastros!$L$6:$L$12,Cadastros!$N$6:$N$12)))</f>
        <v/>
      </c>
      <c r="Z787" s="168" t="str">
        <f t="shared" si="160"/>
        <v/>
      </c>
      <c r="AA787" s="168" t="str">
        <f>IFERROR(Z787/_xlfn.XLOOKUP(_xlfn.XLOOKUP($F787,Clientes!$B$4:$B$39,Clientes!$C$4:$C$39),Cadastros!$L$6:$L$12,Cadastros!$M$6:$M$12)," ")</f>
        <v xml:space="preserve"> </v>
      </c>
      <c r="AB787" s="28"/>
      <c r="AC787" s="28"/>
      <c r="AD787" s="20" t="str">
        <f>IF(AB787="","",IF($F787="Bernardino Furlan",_xlfn.XLOOKUP(AB787,Cadastros!$G$6:$G$90,Cadastros!$H$6:$H$90)*(1-0.18),IF($F787="Mauro José Salanti",_xlfn.XLOOKUP(AB787,Cadastros!$G$6:$G$90,Cadastros!$H$6:$H$90)*(1-0.18),_xlfn.XLOOKUP(AB787,Cadastros!$G$6:$G$90,Cadastros!$H$6:$H$90))))</f>
        <v/>
      </c>
      <c r="AE787" s="168" t="str">
        <f t="shared" si="161"/>
        <v/>
      </c>
      <c r="AF787" s="168" t="str">
        <f t="shared" si="162"/>
        <v/>
      </c>
      <c r="AG787" s="28"/>
      <c r="AH787" s="28"/>
      <c r="AI787" s="20" t="str">
        <f>IF(AG787="","",IF($F787="Bernardino Furlan",_xlfn.XLOOKUP(AG787,Cadastros!$G$6:$G$90,Cadastros!$H$6:$H$90)*(1-0.18),IF($F787="Mauro José Salanti",_xlfn.XLOOKUP(AG787,Cadastros!$G$6:$G$90,Cadastros!$H$6:$H$90)*(1-0.18),_xlfn.XLOOKUP(AG787,Cadastros!$G$6:$G$90,Cadastros!$H$6:$H$90))))</f>
        <v/>
      </c>
      <c r="AJ787" s="168" t="str">
        <f t="shared" si="163"/>
        <v/>
      </c>
      <c r="AK787" s="168" t="str">
        <f t="shared" si="164"/>
        <v/>
      </c>
      <c r="AL787" s="28"/>
      <c r="AM787" s="28"/>
      <c r="AN787" s="20" t="str">
        <f>IF(AL787="","",IF($F787="Bernardino Furlan",_xlfn.XLOOKUP(AL787,Cadastros!$G$6:$G$90,Cadastros!$H$6:$H$90)*(1-0.18),IF($F787="Mauro José Salanti",_xlfn.XLOOKUP(AL787,Cadastros!$G$6:$G$90,Cadastros!$H$6:$H$90)*(1-0.18),_xlfn.XLOOKUP(AL787,Cadastros!$G$6:$G$90,Cadastros!$H$6:$H$90))))</f>
        <v/>
      </c>
      <c r="AO787" s="168" t="str">
        <f t="shared" si="165"/>
        <v/>
      </c>
      <c r="AP787" s="168" t="str">
        <f t="shared" si="166"/>
        <v/>
      </c>
      <c r="AQ787" s="28"/>
      <c r="AR787" s="28"/>
      <c r="AS787" s="20" t="str">
        <f>IF(AQ787="","",IF($F787="Bernardino Furlan",_xlfn.XLOOKUP(AQ787,Cadastros!$G$6:$G$90,Cadastros!$H$6:$H$90)*(1-0.18),IF($F787="Mauro José Salanti",_xlfn.XLOOKUP(AQ787,Cadastros!$G$6:$G$90,Cadastros!$H$6:$H$90)*(1-0.18),_xlfn.XLOOKUP(AQ787,Cadastros!$G$6:$G$90,Cadastros!$H$6:$H$90))))</f>
        <v/>
      </c>
      <c r="AT787" s="168" t="str">
        <f t="shared" si="167"/>
        <v/>
      </c>
      <c r="AU787" s="168" t="str">
        <f t="shared" si="168"/>
        <v/>
      </c>
      <c r="AV787" s="227"/>
      <c r="AW787" s="30"/>
      <c r="AX787" s="267"/>
      <c r="AY787" s="267"/>
      <c r="AZ787" s="29"/>
      <c r="BA787" s="30"/>
      <c r="BB787" s="23" t="str" cm="1">
        <f t="array" ref="BB787">_xlfn.IFS(AW787="SIM",SUM(K787,P787,U787,Z787,AE787,AJ787,AO787,AT787,AX787,AY787),F787&lt;&gt;"",SUM(K787,P787,U787,Z787,AE787,AJ787,,AO787,AT787),F787="","")</f>
        <v/>
      </c>
      <c r="BC787" s="211" t="str" cm="1">
        <f t="array" ref="BC787">_xlfn.IFS(E787="","",G787&lt;=E787,BB787*(1-0.03),G787&lt;(E787+8),BB787,AZ787="Boleto",BB787*(1+0.001)^DATEDIF(E787,G787,"D"),AZ787="Cheque",BB787,AZ787="Dinheiro","Alterar forma pgto")</f>
        <v/>
      </c>
      <c r="BD787" s="276" t="str" cm="1">
        <f t="array" ref="BD787">IF(F787=0," ",IF(BC787&lt;BB787,(_xlfn.IFS(AW787="SIM",SUM(L787,Q787,V787,AA787,AF787,AK787,AP787,AU787)+AX787/_xlfn.XLOOKUP(_xlfn.XLOOKUP($F787,Clientes!$B$4:$B$39,Clientes!$C$4:$C$39),Cadastros!$L$6:$L$12,Cadastros!$M$6:$M$12)+IF($F787="Bernardino Furlan",AY787/2751.92,IF($F787="Mauro José Salanti",AY787/2751.92,AY787/3356)),F787&lt;&gt;0,SUM(L787,Q787,V787,AA787,AF787,AK787,AP787,AU787)))*(1-0.03),_xlfn.IFS(AW787="SIM",SUM(L787,Q787,V787,AA787,AF787,AK787,AP787,AU787)+AX787/_xlfn.XLOOKUP(_xlfn.XLOOKUP($F787,Clientes!$B$4:$B$39,Clientes!$C$4:$C$39),Cadastros!$L$6:$L$12,Cadastros!$M$6:$M$12)+IF($F787="Bernardino Furlan",AY787/2751.92,IF($F787="Mauro José Salanti",AY787/2751.92,AY787/3356)),F787&lt;&gt;0,SUM(L787,Q787,V787,AA787,AF787,AK787,AP787,AU787))))</f>
        <v xml:space="preserve"> </v>
      </c>
      <c r="BE787" s="120"/>
      <c r="BF787" s="120"/>
      <c r="BG787" s="120"/>
    </row>
    <row r="788" spans="1:59" s="3" customFormat="1" x14ac:dyDescent="0.3">
      <c r="A788" s="15" t="str">
        <f t="shared" si="156"/>
        <v/>
      </c>
      <c r="B788" s="25"/>
      <c r="C788" s="26"/>
      <c r="D788" s="279"/>
      <c r="E788" s="27"/>
      <c r="F788" s="28"/>
      <c r="G788" s="27"/>
      <c r="H788" s="28"/>
      <c r="I788" s="28"/>
      <c r="J788" s="255" t="str">
        <f>IF(H788="","",(_xlfn.XLOOKUP(H788,Cadastros!$D$6:$D$90,Cadastros!$E$6:$E$90))*(1-_xlfn.XLOOKUP(_xlfn.XLOOKUP($F788,Clientes!$B$4:$B$39,Clientes!$C$4:$C$39),Cadastros!$L$6:$L$12,Cadastros!$N$6:$N$12)))</f>
        <v/>
      </c>
      <c r="K788" s="168" t="str">
        <f t="shared" si="157"/>
        <v/>
      </c>
      <c r="L788" s="168" t="str">
        <f>IFERROR(K788/_xlfn.XLOOKUP(_xlfn.XLOOKUP($F788,Clientes!$B$4:$B$39,Clientes!$C$4:$C$39),Cadastros!$L$6:$L$12,Cadastros!$M$6:$M$12)," ")</f>
        <v xml:space="preserve"> </v>
      </c>
      <c r="M788" s="28"/>
      <c r="N788" s="28"/>
      <c r="O788" s="255" t="str">
        <f>IF(M788="","",(_xlfn.XLOOKUP(M788,Cadastros!$D$6:$D$90,Cadastros!$E$6:$E$90))*(1-_xlfn.XLOOKUP(_xlfn.XLOOKUP($F788,Clientes!$B$4:$B$39,Clientes!$C$4:$C$39),Cadastros!$L$6:$L$12,Cadastros!$N$6:$N$12)))</f>
        <v/>
      </c>
      <c r="P788" s="168" t="str">
        <f t="shared" si="158"/>
        <v/>
      </c>
      <c r="Q788" s="168" t="str">
        <f>IFERROR(P788/_xlfn.XLOOKUP(_xlfn.XLOOKUP($F788,Clientes!$B$4:$B$39,Clientes!$C$4:$C$39),Cadastros!$L$6:$L$12,Cadastros!$M$6:$M$12)," ")</f>
        <v xml:space="preserve"> </v>
      </c>
      <c r="R788" s="28"/>
      <c r="S788" s="28"/>
      <c r="T788" s="255" t="str">
        <f>IF(R788="","",(_xlfn.XLOOKUP(R788,Cadastros!$D$6:$D$90,Cadastros!$E$6:$E$90))*(1-_xlfn.XLOOKUP(_xlfn.XLOOKUP($F788,Clientes!$B$4:$B$39,Clientes!$C$4:$C$39),Cadastros!$L$6:$L$12,Cadastros!$N$6:$N$12)))</f>
        <v/>
      </c>
      <c r="U788" s="168" t="str">
        <f t="shared" si="159"/>
        <v/>
      </c>
      <c r="V788" s="168" t="str">
        <f>IFERROR(U788/_xlfn.XLOOKUP(_xlfn.XLOOKUP($F788,Clientes!$B$4:$B$39,Clientes!$C$4:$C$39),Cadastros!$L$6:$L$12,Cadastros!$M$6:$M$12)," ")</f>
        <v xml:space="preserve"> </v>
      </c>
      <c r="W788" s="28"/>
      <c r="X788" s="28"/>
      <c r="Y788" s="255" t="str">
        <f>IF(W788="","",(_xlfn.XLOOKUP(W788,Cadastros!$D$6:$D$90,Cadastros!$E$6:$E$90))*(1-_xlfn.XLOOKUP(_xlfn.XLOOKUP($F788,Clientes!$B$4:$B$39,Clientes!$C$4:$C$39),Cadastros!$L$6:$L$12,Cadastros!$N$6:$N$12)))</f>
        <v/>
      </c>
      <c r="Z788" s="168" t="str">
        <f t="shared" si="160"/>
        <v/>
      </c>
      <c r="AA788" s="168" t="str">
        <f>IFERROR(Z788/_xlfn.XLOOKUP(_xlfn.XLOOKUP($F788,Clientes!$B$4:$B$39,Clientes!$C$4:$C$39),Cadastros!$L$6:$L$12,Cadastros!$M$6:$M$12)," ")</f>
        <v xml:space="preserve"> </v>
      </c>
      <c r="AB788" s="28"/>
      <c r="AC788" s="28"/>
      <c r="AD788" s="20" t="str">
        <f>IF(AB788="","",IF($F788="Bernardino Furlan",_xlfn.XLOOKUP(AB788,Cadastros!$G$6:$G$90,Cadastros!$H$6:$H$90)*(1-0.18),IF($F788="Mauro José Salanti",_xlfn.XLOOKUP(AB788,Cadastros!$G$6:$G$90,Cadastros!$H$6:$H$90)*(1-0.18),_xlfn.XLOOKUP(AB788,Cadastros!$G$6:$G$90,Cadastros!$H$6:$H$90))))</f>
        <v/>
      </c>
      <c r="AE788" s="168" t="str">
        <f t="shared" si="161"/>
        <v/>
      </c>
      <c r="AF788" s="168" t="str">
        <f t="shared" si="162"/>
        <v/>
      </c>
      <c r="AG788" s="28"/>
      <c r="AH788" s="28"/>
      <c r="AI788" s="20" t="str">
        <f>IF(AG788="","",IF($F788="Bernardino Furlan",_xlfn.XLOOKUP(AG788,Cadastros!$G$6:$G$90,Cadastros!$H$6:$H$90)*(1-0.18),IF($F788="Mauro José Salanti",_xlfn.XLOOKUP(AG788,Cadastros!$G$6:$G$90,Cadastros!$H$6:$H$90)*(1-0.18),_xlfn.XLOOKUP(AG788,Cadastros!$G$6:$G$90,Cadastros!$H$6:$H$90))))</f>
        <v/>
      </c>
      <c r="AJ788" s="168" t="str">
        <f t="shared" si="163"/>
        <v/>
      </c>
      <c r="AK788" s="168" t="str">
        <f t="shared" si="164"/>
        <v/>
      </c>
      <c r="AL788" s="28"/>
      <c r="AM788" s="28"/>
      <c r="AN788" s="20" t="str">
        <f>IF(AL788="","",IF($F788="Bernardino Furlan",_xlfn.XLOOKUP(AL788,Cadastros!$G$6:$G$90,Cadastros!$H$6:$H$90)*(1-0.18),IF($F788="Mauro José Salanti",_xlfn.XLOOKUP(AL788,Cadastros!$G$6:$G$90,Cadastros!$H$6:$H$90)*(1-0.18),_xlfn.XLOOKUP(AL788,Cadastros!$G$6:$G$90,Cadastros!$H$6:$H$90))))</f>
        <v/>
      </c>
      <c r="AO788" s="168" t="str">
        <f t="shared" si="165"/>
        <v/>
      </c>
      <c r="AP788" s="168" t="str">
        <f t="shared" si="166"/>
        <v/>
      </c>
      <c r="AQ788" s="28"/>
      <c r="AR788" s="28"/>
      <c r="AS788" s="20" t="str">
        <f>IF(AQ788="","",IF($F788="Bernardino Furlan",_xlfn.XLOOKUP(AQ788,Cadastros!$G$6:$G$90,Cadastros!$H$6:$H$90)*(1-0.18),IF($F788="Mauro José Salanti",_xlfn.XLOOKUP(AQ788,Cadastros!$G$6:$G$90,Cadastros!$H$6:$H$90)*(1-0.18),_xlfn.XLOOKUP(AQ788,Cadastros!$G$6:$G$90,Cadastros!$H$6:$H$90))))</f>
        <v/>
      </c>
      <c r="AT788" s="168" t="str">
        <f t="shared" si="167"/>
        <v/>
      </c>
      <c r="AU788" s="168" t="str">
        <f t="shared" si="168"/>
        <v/>
      </c>
      <c r="AV788" s="227"/>
      <c r="AW788" s="30"/>
      <c r="AX788" s="267"/>
      <c r="AY788" s="267"/>
      <c r="AZ788" s="29"/>
      <c r="BA788" s="30"/>
      <c r="BB788" s="23" t="str" cm="1">
        <f t="array" ref="BB788">_xlfn.IFS(AW788="SIM",SUM(K788,P788,U788,Z788,AE788,AJ788,AO788,AT788,AX788,AY788),F788&lt;&gt;"",SUM(K788,P788,U788,Z788,AE788,AJ788,,AO788,AT788),F788="","")</f>
        <v/>
      </c>
      <c r="BC788" s="211" t="str" cm="1">
        <f t="array" ref="BC788">_xlfn.IFS(E788="","",G788&lt;=E788,BB788*(1-0.03),G788&lt;(E788+8),BB788,AZ788="Boleto",BB788*(1+0.001)^DATEDIF(E788,G788,"D"),AZ788="Cheque",BB788,AZ788="Dinheiro","Alterar forma pgto")</f>
        <v/>
      </c>
      <c r="BD788" s="276" t="str" cm="1">
        <f t="array" ref="BD788">IF(F788=0," ",IF(BC788&lt;BB788,(_xlfn.IFS(AW788="SIM",SUM(L788,Q788,V788,AA788,AF788,AK788,AP788,AU788)+AX788/_xlfn.XLOOKUP(_xlfn.XLOOKUP($F788,Clientes!$B$4:$B$39,Clientes!$C$4:$C$39),Cadastros!$L$6:$L$12,Cadastros!$M$6:$M$12)+IF($F788="Bernardino Furlan",AY788/2751.92,IF($F788="Mauro José Salanti",AY788/2751.92,AY788/3356)),F788&lt;&gt;0,SUM(L788,Q788,V788,AA788,AF788,AK788,AP788,AU788)))*(1-0.03),_xlfn.IFS(AW788="SIM",SUM(L788,Q788,V788,AA788,AF788,AK788,AP788,AU788)+AX788/_xlfn.XLOOKUP(_xlfn.XLOOKUP($F788,Clientes!$B$4:$B$39,Clientes!$C$4:$C$39),Cadastros!$L$6:$L$12,Cadastros!$M$6:$M$12)+IF($F788="Bernardino Furlan",AY788/2751.92,IF($F788="Mauro José Salanti",AY788/2751.92,AY788/3356)),F788&lt;&gt;0,SUM(L788,Q788,V788,AA788,AF788,AK788,AP788,AU788))))</f>
        <v xml:space="preserve"> </v>
      </c>
      <c r="BE788" s="120"/>
      <c r="BF788" s="120"/>
      <c r="BG788" s="120"/>
    </row>
    <row r="789" spans="1:59" s="3" customFormat="1" x14ac:dyDescent="0.3">
      <c r="A789" s="15" t="str">
        <f t="shared" si="156"/>
        <v/>
      </c>
      <c r="B789" s="25"/>
      <c r="C789" s="26"/>
      <c r="D789" s="279"/>
      <c r="E789" s="27"/>
      <c r="F789" s="28"/>
      <c r="G789" s="27"/>
      <c r="H789" s="28"/>
      <c r="I789" s="28"/>
      <c r="J789" s="255" t="str">
        <f>IF(H789="","",(_xlfn.XLOOKUP(H789,Cadastros!$D$6:$D$90,Cadastros!$E$6:$E$90))*(1-_xlfn.XLOOKUP(_xlfn.XLOOKUP($F789,Clientes!$B$4:$B$39,Clientes!$C$4:$C$39),Cadastros!$L$6:$L$12,Cadastros!$N$6:$N$12)))</f>
        <v/>
      </c>
      <c r="K789" s="168" t="str">
        <f t="shared" si="157"/>
        <v/>
      </c>
      <c r="L789" s="168" t="str">
        <f>IFERROR(K789/_xlfn.XLOOKUP(_xlfn.XLOOKUP($F789,Clientes!$B$4:$B$39,Clientes!$C$4:$C$39),Cadastros!$L$6:$L$12,Cadastros!$M$6:$M$12)," ")</f>
        <v xml:space="preserve"> </v>
      </c>
      <c r="M789" s="28"/>
      <c r="N789" s="28"/>
      <c r="O789" s="255" t="str">
        <f>IF(M789="","",(_xlfn.XLOOKUP(M789,Cadastros!$D$6:$D$90,Cadastros!$E$6:$E$90))*(1-_xlfn.XLOOKUP(_xlfn.XLOOKUP($F789,Clientes!$B$4:$B$39,Clientes!$C$4:$C$39),Cadastros!$L$6:$L$12,Cadastros!$N$6:$N$12)))</f>
        <v/>
      </c>
      <c r="P789" s="168" t="str">
        <f t="shared" si="158"/>
        <v/>
      </c>
      <c r="Q789" s="168" t="str">
        <f>IFERROR(P789/_xlfn.XLOOKUP(_xlfn.XLOOKUP($F789,Clientes!$B$4:$B$39,Clientes!$C$4:$C$39),Cadastros!$L$6:$L$12,Cadastros!$M$6:$M$12)," ")</f>
        <v xml:space="preserve"> </v>
      </c>
      <c r="R789" s="28"/>
      <c r="S789" s="28"/>
      <c r="T789" s="255" t="str">
        <f>IF(R789="","",(_xlfn.XLOOKUP(R789,Cadastros!$D$6:$D$90,Cadastros!$E$6:$E$90))*(1-_xlfn.XLOOKUP(_xlfn.XLOOKUP($F789,Clientes!$B$4:$B$39,Clientes!$C$4:$C$39),Cadastros!$L$6:$L$12,Cadastros!$N$6:$N$12)))</f>
        <v/>
      </c>
      <c r="U789" s="168" t="str">
        <f t="shared" si="159"/>
        <v/>
      </c>
      <c r="V789" s="168" t="str">
        <f>IFERROR(U789/_xlfn.XLOOKUP(_xlfn.XLOOKUP($F789,Clientes!$B$4:$B$39,Clientes!$C$4:$C$39),Cadastros!$L$6:$L$12,Cadastros!$M$6:$M$12)," ")</f>
        <v xml:space="preserve"> </v>
      </c>
      <c r="W789" s="28"/>
      <c r="X789" s="28"/>
      <c r="Y789" s="255" t="str">
        <f>IF(W789="","",(_xlfn.XLOOKUP(W789,Cadastros!$D$6:$D$90,Cadastros!$E$6:$E$90))*(1-_xlfn.XLOOKUP(_xlfn.XLOOKUP($F789,Clientes!$B$4:$B$39,Clientes!$C$4:$C$39),Cadastros!$L$6:$L$12,Cadastros!$N$6:$N$12)))</f>
        <v/>
      </c>
      <c r="Z789" s="168" t="str">
        <f t="shared" si="160"/>
        <v/>
      </c>
      <c r="AA789" s="168" t="str">
        <f>IFERROR(Z789/_xlfn.XLOOKUP(_xlfn.XLOOKUP($F789,Clientes!$B$4:$B$39,Clientes!$C$4:$C$39),Cadastros!$L$6:$L$12,Cadastros!$M$6:$M$12)," ")</f>
        <v xml:space="preserve"> </v>
      </c>
      <c r="AB789" s="28"/>
      <c r="AC789" s="28"/>
      <c r="AD789" s="20" t="str">
        <f>IF(AB789="","",IF($F789="Bernardino Furlan",_xlfn.XLOOKUP(AB789,Cadastros!$G$6:$G$90,Cadastros!$H$6:$H$90)*(1-0.18),IF($F789="Mauro José Salanti",_xlfn.XLOOKUP(AB789,Cadastros!$G$6:$G$90,Cadastros!$H$6:$H$90)*(1-0.18),_xlfn.XLOOKUP(AB789,Cadastros!$G$6:$G$90,Cadastros!$H$6:$H$90))))</f>
        <v/>
      </c>
      <c r="AE789" s="168" t="str">
        <f t="shared" si="161"/>
        <v/>
      </c>
      <c r="AF789" s="168" t="str">
        <f t="shared" si="162"/>
        <v/>
      </c>
      <c r="AG789" s="28"/>
      <c r="AH789" s="28"/>
      <c r="AI789" s="20" t="str">
        <f>IF(AG789="","",IF($F789="Bernardino Furlan",_xlfn.XLOOKUP(AG789,Cadastros!$G$6:$G$90,Cadastros!$H$6:$H$90)*(1-0.18),IF($F789="Mauro José Salanti",_xlfn.XLOOKUP(AG789,Cadastros!$G$6:$G$90,Cadastros!$H$6:$H$90)*(1-0.18),_xlfn.XLOOKUP(AG789,Cadastros!$G$6:$G$90,Cadastros!$H$6:$H$90))))</f>
        <v/>
      </c>
      <c r="AJ789" s="168" t="str">
        <f t="shared" si="163"/>
        <v/>
      </c>
      <c r="AK789" s="168" t="str">
        <f t="shared" si="164"/>
        <v/>
      </c>
      <c r="AL789" s="28"/>
      <c r="AM789" s="28"/>
      <c r="AN789" s="20" t="str">
        <f>IF(AL789="","",IF($F789="Bernardino Furlan",_xlfn.XLOOKUP(AL789,Cadastros!$G$6:$G$90,Cadastros!$H$6:$H$90)*(1-0.18),IF($F789="Mauro José Salanti",_xlfn.XLOOKUP(AL789,Cadastros!$G$6:$G$90,Cadastros!$H$6:$H$90)*(1-0.18),_xlfn.XLOOKUP(AL789,Cadastros!$G$6:$G$90,Cadastros!$H$6:$H$90))))</f>
        <v/>
      </c>
      <c r="AO789" s="168" t="str">
        <f t="shared" si="165"/>
        <v/>
      </c>
      <c r="AP789" s="168" t="str">
        <f t="shared" si="166"/>
        <v/>
      </c>
      <c r="AQ789" s="28"/>
      <c r="AR789" s="28"/>
      <c r="AS789" s="20" t="str">
        <f>IF(AQ789="","",IF($F789="Bernardino Furlan",_xlfn.XLOOKUP(AQ789,Cadastros!$G$6:$G$90,Cadastros!$H$6:$H$90)*(1-0.18),IF($F789="Mauro José Salanti",_xlfn.XLOOKUP(AQ789,Cadastros!$G$6:$G$90,Cadastros!$H$6:$H$90)*(1-0.18),_xlfn.XLOOKUP(AQ789,Cadastros!$G$6:$G$90,Cadastros!$H$6:$H$90))))</f>
        <v/>
      </c>
      <c r="AT789" s="168" t="str">
        <f t="shared" si="167"/>
        <v/>
      </c>
      <c r="AU789" s="168" t="str">
        <f t="shared" si="168"/>
        <v/>
      </c>
      <c r="AV789" s="227"/>
      <c r="AW789" s="30"/>
      <c r="AX789" s="267"/>
      <c r="AY789" s="267"/>
      <c r="AZ789" s="29"/>
      <c r="BA789" s="30"/>
      <c r="BB789" s="23" t="str" cm="1">
        <f t="array" ref="BB789">_xlfn.IFS(AW789="SIM",SUM(K789,P789,U789,Z789,AE789,AJ789,AO789,AT789,AX789,AY789),F789&lt;&gt;"",SUM(K789,P789,U789,Z789,AE789,AJ789,,AO789,AT789),F789="","")</f>
        <v/>
      </c>
      <c r="BC789" s="211" t="str" cm="1">
        <f t="array" ref="BC789">_xlfn.IFS(E789="","",G789&lt;=E789,BB789*(1-0.03),G789&lt;(E789+8),BB789,AZ789="Boleto",BB789*(1+0.001)^DATEDIF(E789,G789,"D"),AZ789="Cheque",BB789,AZ789="Dinheiro","Alterar forma pgto")</f>
        <v/>
      </c>
      <c r="BD789" s="276" t="str" cm="1">
        <f t="array" ref="BD789">IF(F789=0," ",IF(BC789&lt;BB789,(_xlfn.IFS(AW789="SIM",SUM(L789,Q789,V789,AA789,AF789,AK789,AP789,AU789)+AX789/_xlfn.XLOOKUP(_xlfn.XLOOKUP($F789,Clientes!$B$4:$B$39,Clientes!$C$4:$C$39),Cadastros!$L$6:$L$12,Cadastros!$M$6:$M$12)+IF($F789="Bernardino Furlan",AY789/2751.92,IF($F789="Mauro José Salanti",AY789/2751.92,AY789/3356)),F789&lt;&gt;0,SUM(L789,Q789,V789,AA789,AF789,AK789,AP789,AU789)))*(1-0.03),_xlfn.IFS(AW789="SIM",SUM(L789,Q789,V789,AA789,AF789,AK789,AP789,AU789)+AX789/_xlfn.XLOOKUP(_xlfn.XLOOKUP($F789,Clientes!$B$4:$B$39,Clientes!$C$4:$C$39),Cadastros!$L$6:$L$12,Cadastros!$M$6:$M$12)+IF($F789="Bernardino Furlan",AY789/2751.92,IF($F789="Mauro José Salanti",AY789/2751.92,AY789/3356)),F789&lt;&gt;0,SUM(L789,Q789,V789,AA789,AF789,AK789,AP789,AU789))))</f>
        <v xml:space="preserve"> </v>
      </c>
      <c r="BE789" s="120"/>
      <c r="BF789" s="120"/>
      <c r="BG789" s="120"/>
    </row>
    <row r="790" spans="1:59" s="3" customFormat="1" x14ac:dyDescent="0.3">
      <c r="A790" s="15" t="str">
        <f t="shared" si="156"/>
        <v/>
      </c>
      <c r="B790" s="25"/>
      <c r="C790" s="26"/>
      <c r="D790" s="279"/>
      <c r="E790" s="27"/>
      <c r="F790" s="28"/>
      <c r="G790" s="27"/>
      <c r="H790" s="28"/>
      <c r="I790" s="28"/>
      <c r="J790" s="255" t="str">
        <f>IF(H790="","",(_xlfn.XLOOKUP(H790,Cadastros!$D$6:$D$90,Cadastros!$E$6:$E$90))*(1-_xlfn.XLOOKUP(_xlfn.XLOOKUP($F790,Clientes!$B$4:$B$39,Clientes!$C$4:$C$39),Cadastros!$L$6:$L$12,Cadastros!$N$6:$N$12)))</f>
        <v/>
      </c>
      <c r="K790" s="168" t="str">
        <f t="shared" si="157"/>
        <v/>
      </c>
      <c r="L790" s="168" t="str">
        <f>IFERROR(K790/_xlfn.XLOOKUP(_xlfn.XLOOKUP($F790,Clientes!$B$4:$B$39,Clientes!$C$4:$C$39),Cadastros!$L$6:$L$12,Cadastros!$M$6:$M$12)," ")</f>
        <v xml:space="preserve"> </v>
      </c>
      <c r="M790" s="28"/>
      <c r="N790" s="28"/>
      <c r="O790" s="255" t="str">
        <f>IF(M790="","",(_xlfn.XLOOKUP(M790,Cadastros!$D$6:$D$90,Cadastros!$E$6:$E$90))*(1-_xlfn.XLOOKUP(_xlfn.XLOOKUP($F790,Clientes!$B$4:$B$39,Clientes!$C$4:$C$39),Cadastros!$L$6:$L$12,Cadastros!$N$6:$N$12)))</f>
        <v/>
      </c>
      <c r="P790" s="168" t="str">
        <f t="shared" si="158"/>
        <v/>
      </c>
      <c r="Q790" s="168" t="str">
        <f>IFERROR(P790/_xlfn.XLOOKUP(_xlfn.XLOOKUP($F790,Clientes!$B$4:$B$39,Clientes!$C$4:$C$39),Cadastros!$L$6:$L$12,Cadastros!$M$6:$M$12)," ")</f>
        <v xml:space="preserve"> </v>
      </c>
      <c r="R790" s="28"/>
      <c r="S790" s="28"/>
      <c r="T790" s="255" t="str">
        <f>IF(R790="","",(_xlfn.XLOOKUP(R790,Cadastros!$D$6:$D$90,Cadastros!$E$6:$E$90))*(1-_xlfn.XLOOKUP(_xlfn.XLOOKUP($F790,Clientes!$B$4:$B$39,Clientes!$C$4:$C$39),Cadastros!$L$6:$L$12,Cadastros!$N$6:$N$12)))</f>
        <v/>
      </c>
      <c r="U790" s="168" t="str">
        <f t="shared" si="159"/>
        <v/>
      </c>
      <c r="V790" s="168" t="str">
        <f>IFERROR(U790/_xlfn.XLOOKUP(_xlfn.XLOOKUP($F790,Clientes!$B$4:$B$39,Clientes!$C$4:$C$39),Cadastros!$L$6:$L$12,Cadastros!$M$6:$M$12)," ")</f>
        <v xml:space="preserve"> </v>
      </c>
      <c r="W790" s="28"/>
      <c r="X790" s="28"/>
      <c r="Y790" s="255" t="str">
        <f>IF(W790="","",(_xlfn.XLOOKUP(W790,Cadastros!$D$6:$D$90,Cadastros!$E$6:$E$90))*(1-_xlfn.XLOOKUP(_xlfn.XLOOKUP($F790,Clientes!$B$4:$B$39,Clientes!$C$4:$C$39),Cadastros!$L$6:$L$12,Cadastros!$N$6:$N$12)))</f>
        <v/>
      </c>
      <c r="Z790" s="168" t="str">
        <f t="shared" si="160"/>
        <v/>
      </c>
      <c r="AA790" s="168" t="str">
        <f>IFERROR(Z790/_xlfn.XLOOKUP(_xlfn.XLOOKUP($F790,Clientes!$B$4:$B$39,Clientes!$C$4:$C$39),Cadastros!$L$6:$L$12,Cadastros!$M$6:$M$12)," ")</f>
        <v xml:space="preserve"> </v>
      </c>
      <c r="AB790" s="28"/>
      <c r="AC790" s="28"/>
      <c r="AD790" s="20" t="str">
        <f>IF(AB790="","",IF($F790="Bernardino Furlan",_xlfn.XLOOKUP(AB790,Cadastros!$G$6:$G$90,Cadastros!$H$6:$H$90)*(1-0.18),IF($F790="Mauro José Salanti",_xlfn.XLOOKUP(AB790,Cadastros!$G$6:$G$90,Cadastros!$H$6:$H$90)*(1-0.18),_xlfn.XLOOKUP(AB790,Cadastros!$G$6:$G$90,Cadastros!$H$6:$H$90))))</f>
        <v/>
      </c>
      <c r="AE790" s="168" t="str">
        <f t="shared" si="161"/>
        <v/>
      </c>
      <c r="AF790" s="168" t="str">
        <f t="shared" si="162"/>
        <v/>
      </c>
      <c r="AG790" s="28"/>
      <c r="AH790" s="28"/>
      <c r="AI790" s="20" t="str">
        <f>IF(AG790="","",IF($F790="Bernardino Furlan",_xlfn.XLOOKUP(AG790,Cadastros!$G$6:$G$90,Cadastros!$H$6:$H$90)*(1-0.18),IF($F790="Mauro José Salanti",_xlfn.XLOOKUP(AG790,Cadastros!$G$6:$G$90,Cadastros!$H$6:$H$90)*(1-0.18),_xlfn.XLOOKUP(AG790,Cadastros!$G$6:$G$90,Cadastros!$H$6:$H$90))))</f>
        <v/>
      </c>
      <c r="AJ790" s="168" t="str">
        <f t="shared" si="163"/>
        <v/>
      </c>
      <c r="AK790" s="168" t="str">
        <f t="shared" si="164"/>
        <v/>
      </c>
      <c r="AL790" s="28"/>
      <c r="AM790" s="28"/>
      <c r="AN790" s="20" t="str">
        <f>IF(AL790="","",IF($F790="Bernardino Furlan",_xlfn.XLOOKUP(AL790,Cadastros!$G$6:$G$90,Cadastros!$H$6:$H$90)*(1-0.18),IF($F790="Mauro José Salanti",_xlfn.XLOOKUP(AL790,Cadastros!$G$6:$G$90,Cadastros!$H$6:$H$90)*(1-0.18),_xlfn.XLOOKUP(AL790,Cadastros!$G$6:$G$90,Cadastros!$H$6:$H$90))))</f>
        <v/>
      </c>
      <c r="AO790" s="168" t="str">
        <f t="shared" si="165"/>
        <v/>
      </c>
      <c r="AP790" s="168" t="str">
        <f t="shared" si="166"/>
        <v/>
      </c>
      <c r="AQ790" s="28"/>
      <c r="AR790" s="28"/>
      <c r="AS790" s="20" t="str">
        <f>IF(AQ790="","",IF($F790="Bernardino Furlan",_xlfn.XLOOKUP(AQ790,Cadastros!$G$6:$G$90,Cadastros!$H$6:$H$90)*(1-0.18),IF($F790="Mauro José Salanti",_xlfn.XLOOKUP(AQ790,Cadastros!$G$6:$G$90,Cadastros!$H$6:$H$90)*(1-0.18),_xlfn.XLOOKUP(AQ790,Cadastros!$G$6:$G$90,Cadastros!$H$6:$H$90))))</f>
        <v/>
      </c>
      <c r="AT790" s="168" t="str">
        <f t="shared" si="167"/>
        <v/>
      </c>
      <c r="AU790" s="168" t="str">
        <f t="shared" si="168"/>
        <v/>
      </c>
      <c r="AV790" s="227"/>
      <c r="AW790" s="30"/>
      <c r="AX790" s="267"/>
      <c r="AY790" s="267"/>
      <c r="AZ790" s="29"/>
      <c r="BA790" s="30"/>
      <c r="BB790" s="23" t="str" cm="1">
        <f t="array" ref="BB790">_xlfn.IFS(AW790="SIM",SUM(K790,P790,U790,Z790,AE790,AJ790,AO790,AT790,AX790,AY790),F790&lt;&gt;"",SUM(K790,P790,U790,Z790,AE790,AJ790,,AO790,AT790),F790="","")</f>
        <v/>
      </c>
      <c r="BC790" s="211" t="str" cm="1">
        <f t="array" ref="BC790">_xlfn.IFS(E790="","",G790&lt;=E790,BB790*(1-0.03),G790&lt;(E790+8),BB790,AZ790="Boleto",BB790*(1+0.001)^DATEDIF(E790,G790,"D"),AZ790="Cheque",BB790,AZ790="Dinheiro","Alterar forma pgto")</f>
        <v/>
      </c>
      <c r="BD790" s="276" t="str" cm="1">
        <f t="array" ref="BD790">IF(F790=0," ",IF(BC790&lt;BB790,(_xlfn.IFS(AW790="SIM",SUM(L790,Q790,V790,AA790,AF790,AK790,AP790,AU790)+AX790/_xlfn.XLOOKUP(_xlfn.XLOOKUP($F790,Clientes!$B$4:$B$39,Clientes!$C$4:$C$39),Cadastros!$L$6:$L$12,Cadastros!$M$6:$M$12)+IF($F790="Bernardino Furlan",AY790/2751.92,IF($F790="Mauro José Salanti",AY790/2751.92,AY790/3356)),F790&lt;&gt;0,SUM(L790,Q790,V790,AA790,AF790,AK790,AP790,AU790)))*(1-0.03),_xlfn.IFS(AW790="SIM",SUM(L790,Q790,V790,AA790,AF790,AK790,AP790,AU790)+AX790/_xlfn.XLOOKUP(_xlfn.XLOOKUP($F790,Clientes!$B$4:$B$39,Clientes!$C$4:$C$39),Cadastros!$L$6:$L$12,Cadastros!$M$6:$M$12)+IF($F790="Bernardino Furlan",AY790/2751.92,IF($F790="Mauro José Salanti",AY790/2751.92,AY790/3356)),F790&lt;&gt;0,SUM(L790,Q790,V790,AA790,AF790,AK790,AP790,AU790))))</f>
        <v xml:space="preserve"> </v>
      </c>
      <c r="BE790" s="120"/>
      <c r="BF790" s="120"/>
      <c r="BG790" s="120"/>
    </row>
    <row r="791" spans="1:59" s="3" customFormat="1" x14ac:dyDescent="0.3">
      <c r="A791" s="15" t="str">
        <f t="shared" si="156"/>
        <v/>
      </c>
      <c r="B791" s="25"/>
      <c r="C791" s="26"/>
      <c r="D791" s="279"/>
      <c r="E791" s="27"/>
      <c r="F791" s="28"/>
      <c r="G791" s="27"/>
      <c r="H791" s="28"/>
      <c r="I791" s="28"/>
      <c r="J791" s="255" t="str">
        <f>IF(H791="","",(_xlfn.XLOOKUP(H791,Cadastros!$D$6:$D$90,Cadastros!$E$6:$E$90))*(1-_xlfn.XLOOKUP(_xlfn.XLOOKUP($F791,Clientes!$B$4:$B$39,Clientes!$C$4:$C$39),Cadastros!$L$6:$L$12,Cadastros!$N$6:$N$12)))</f>
        <v/>
      </c>
      <c r="K791" s="168" t="str">
        <f t="shared" si="157"/>
        <v/>
      </c>
      <c r="L791" s="168" t="str">
        <f>IFERROR(K791/_xlfn.XLOOKUP(_xlfn.XLOOKUP($F791,Clientes!$B$4:$B$39,Clientes!$C$4:$C$39),Cadastros!$L$6:$L$12,Cadastros!$M$6:$M$12)," ")</f>
        <v xml:space="preserve"> </v>
      </c>
      <c r="M791" s="28"/>
      <c r="N791" s="28"/>
      <c r="O791" s="255" t="str">
        <f>IF(M791="","",(_xlfn.XLOOKUP(M791,Cadastros!$D$6:$D$90,Cadastros!$E$6:$E$90))*(1-_xlfn.XLOOKUP(_xlfn.XLOOKUP($F791,Clientes!$B$4:$B$39,Clientes!$C$4:$C$39),Cadastros!$L$6:$L$12,Cadastros!$N$6:$N$12)))</f>
        <v/>
      </c>
      <c r="P791" s="168" t="str">
        <f t="shared" si="158"/>
        <v/>
      </c>
      <c r="Q791" s="168" t="str">
        <f>IFERROR(P791/_xlfn.XLOOKUP(_xlfn.XLOOKUP($F791,Clientes!$B$4:$B$39,Clientes!$C$4:$C$39),Cadastros!$L$6:$L$12,Cadastros!$M$6:$M$12)," ")</f>
        <v xml:space="preserve"> </v>
      </c>
      <c r="R791" s="28"/>
      <c r="S791" s="28"/>
      <c r="T791" s="255" t="str">
        <f>IF(R791="","",(_xlfn.XLOOKUP(R791,Cadastros!$D$6:$D$90,Cadastros!$E$6:$E$90))*(1-_xlfn.XLOOKUP(_xlfn.XLOOKUP($F791,Clientes!$B$4:$B$39,Clientes!$C$4:$C$39),Cadastros!$L$6:$L$12,Cadastros!$N$6:$N$12)))</f>
        <v/>
      </c>
      <c r="U791" s="168" t="str">
        <f t="shared" si="159"/>
        <v/>
      </c>
      <c r="V791" s="168" t="str">
        <f>IFERROR(U791/_xlfn.XLOOKUP(_xlfn.XLOOKUP($F791,Clientes!$B$4:$B$39,Clientes!$C$4:$C$39),Cadastros!$L$6:$L$12,Cadastros!$M$6:$M$12)," ")</f>
        <v xml:space="preserve"> </v>
      </c>
      <c r="W791" s="28"/>
      <c r="X791" s="28"/>
      <c r="Y791" s="255" t="str">
        <f>IF(W791="","",(_xlfn.XLOOKUP(W791,Cadastros!$D$6:$D$90,Cadastros!$E$6:$E$90))*(1-_xlfn.XLOOKUP(_xlfn.XLOOKUP($F791,Clientes!$B$4:$B$39,Clientes!$C$4:$C$39),Cadastros!$L$6:$L$12,Cadastros!$N$6:$N$12)))</f>
        <v/>
      </c>
      <c r="Z791" s="168" t="str">
        <f t="shared" si="160"/>
        <v/>
      </c>
      <c r="AA791" s="168" t="str">
        <f>IFERROR(Z791/_xlfn.XLOOKUP(_xlfn.XLOOKUP($F791,Clientes!$B$4:$B$39,Clientes!$C$4:$C$39),Cadastros!$L$6:$L$12,Cadastros!$M$6:$M$12)," ")</f>
        <v xml:space="preserve"> </v>
      </c>
      <c r="AB791" s="28"/>
      <c r="AC791" s="28"/>
      <c r="AD791" s="20" t="str">
        <f>IF(AB791="","",IF($F791="Bernardino Furlan",_xlfn.XLOOKUP(AB791,Cadastros!$G$6:$G$90,Cadastros!$H$6:$H$90)*(1-0.18),IF($F791="Mauro José Salanti",_xlfn.XLOOKUP(AB791,Cadastros!$G$6:$G$90,Cadastros!$H$6:$H$90)*(1-0.18),_xlfn.XLOOKUP(AB791,Cadastros!$G$6:$G$90,Cadastros!$H$6:$H$90))))</f>
        <v/>
      </c>
      <c r="AE791" s="168" t="str">
        <f t="shared" si="161"/>
        <v/>
      </c>
      <c r="AF791" s="168" t="str">
        <f t="shared" si="162"/>
        <v/>
      </c>
      <c r="AG791" s="28"/>
      <c r="AH791" s="28"/>
      <c r="AI791" s="20" t="str">
        <f>IF(AG791="","",IF($F791="Bernardino Furlan",_xlfn.XLOOKUP(AG791,Cadastros!$G$6:$G$90,Cadastros!$H$6:$H$90)*(1-0.18),IF($F791="Mauro José Salanti",_xlfn.XLOOKUP(AG791,Cadastros!$G$6:$G$90,Cadastros!$H$6:$H$90)*(1-0.18),_xlfn.XLOOKUP(AG791,Cadastros!$G$6:$G$90,Cadastros!$H$6:$H$90))))</f>
        <v/>
      </c>
      <c r="AJ791" s="168" t="str">
        <f t="shared" si="163"/>
        <v/>
      </c>
      <c r="AK791" s="168" t="str">
        <f t="shared" si="164"/>
        <v/>
      </c>
      <c r="AL791" s="28"/>
      <c r="AM791" s="28"/>
      <c r="AN791" s="20" t="str">
        <f>IF(AL791="","",IF($F791="Bernardino Furlan",_xlfn.XLOOKUP(AL791,Cadastros!$G$6:$G$90,Cadastros!$H$6:$H$90)*(1-0.18),IF($F791="Mauro José Salanti",_xlfn.XLOOKUP(AL791,Cadastros!$G$6:$G$90,Cadastros!$H$6:$H$90)*(1-0.18),_xlfn.XLOOKUP(AL791,Cadastros!$G$6:$G$90,Cadastros!$H$6:$H$90))))</f>
        <v/>
      </c>
      <c r="AO791" s="168" t="str">
        <f t="shared" si="165"/>
        <v/>
      </c>
      <c r="AP791" s="168" t="str">
        <f t="shared" si="166"/>
        <v/>
      </c>
      <c r="AQ791" s="28"/>
      <c r="AR791" s="28"/>
      <c r="AS791" s="20" t="str">
        <f>IF(AQ791="","",IF($F791="Bernardino Furlan",_xlfn.XLOOKUP(AQ791,Cadastros!$G$6:$G$90,Cadastros!$H$6:$H$90)*(1-0.18),IF($F791="Mauro José Salanti",_xlfn.XLOOKUP(AQ791,Cadastros!$G$6:$G$90,Cadastros!$H$6:$H$90)*(1-0.18),_xlfn.XLOOKUP(AQ791,Cadastros!$G$6:$G$90,Cadastros!$H$6:$H$90))))</f>
        <v/>
      </c>
      <c r="AT791" s="168" t="str">
        <f t="shared" si="167"/>
        <v/>
      </c>
      <c r="AU791" s="168" t="str">
        <f t="shared" si="168"/>
        <v/>
      </c>
      <c r="AV791" s="227"/>
      <c r="AW791" s="30"/>
      <c r="AX791" s="267"/>
      <c r="AY791" s="267"/>
      <c r="AZ791" s="29"/>
      <c r="BA791" s="30"/>
      <c r="BB791" s="23" t="str" cm="1">
        <f t="array" ref="BB791">_xlfn.IFS(AW791="SIM",SUM(K791,P791,U791,Z791,AE791,AJ791,AO791,AT791,AX791,AY791),F791&lt;&gt;"",SUM(K791,P791,U791,Z791,AE791,AJ791,,AO791,AT791),F791="","")</f>
        <v/>
      </c>
      <c r="BC791" s="211" t="str" cm="1">
        <f t="array" ref="BC791">_xlfn.IFS(E791="","",G791&lt;=E791,BB791*(1-0.03),G791&lt;(E791+8),BB791,AZ791="Boleto",BB791*(1+0.001)^DATEDIF(E791,G791,"D"),AZ791="Cheque",BB791,AZ791="Dinheiro","Alterar forma pgto")</f>
        <v/>
      </c>
      <c r="BD791" s="276" t="str" cm="1">
        <f t="array" ref="BD791">IF(F791=0," ",IF(BC791&lt;BB791,(_xlfn.IFS(AW791="SIM",SUM(L791,Q791,V791,AA791,AF791,AK791,AP791,AU791)+AX791/_xlfn.XLOOKUP(_xlfn.XLOOKUP($F791,Clientes!$B$4:$B$39,Clientes!$C$4:$C$39),Cadastros!$L$6:$L$12,Cadastros!$M$6:$M$12)+IF($F791="Bernardino Furlan",AY791/2751.92,IF($F791="Mauro José Salanti",AY791/2751.92,AY791/3356)),F791&lt;&gt;0,SUM(L791,Q791,V791,AA791,AF791,AK791,AP791,AU791)))*(1-0.03),_xlfn.IFS(AW791="SIM",SUM(L791,Q791,V791,AA791,AF791,AK791,AP791,AU791)+AX791/_xlfn.XLOOKUP(_xlfn.XLOOKUP($F791,Clientes!$B$4:$B$39,Clientes!$C$4:$C$39),Cadastros!$L$6:$L$12,Cadastros!$M$6:$M$12)+IF($F791="Bernardino Furlan",AY791/2751.92,IF($F791="Mauro José Salanti",AY791/2751.92,AY791/3356)),F791&lt;&gt;0,SUM(L791,Q791,V791,AA791,AF791,AK791,AP791,AU791))))</f>
        <v xml:space="preserve"> </v>
      </c>
      <c r="BE791" s="120"/>
      <c r="BF791" s="120"/>
      <c r="BG791" s="120"/>
    </row>
    <row r="792" spans="1:59" s="3" customFormat="1" x14ac:dyDescent="0.3">
      <c r="A792" s="15" t="str">
        <f t="shared" si="156"/>
        <v/>
      </c>
      <c r="B792" s="25"/>
      <c r="C792" s="26"/>
      <c r="D792" s="279"/>
      <c r="E792" s="27"/>
      <c r="F792" s="28"/>
      <c r="G792" s="27"/>
      <c r="H792" s="28"/>
      <c r="I792" s="28"/>
      <c r="J792" s="255" t="str">
        <f>IF(H792="","",(_xlfn.XLOOKUP(H792,Cadastros!$D$6:$D$90,Cadastros!$E$6:$E$90))*(1-_xlfn.XLOOKUP(_xlfn.XLOOKUP($F792,Clientes!$B$4:$B$39,Clientes!$C$4:$C$39),Cadastros!$L$6:$L$12,Cadastros!$N$6:$N$12)))</f>
        <v/>
      </c>
      <c r="K792" s="168" t="str">
        <f t="shared" si="157"/>
        <v/>
      </c>
      <c r="L792" s="168" t="str">
        <f>IFERROR(K792/_xlfn.XLOOKUP(_xlfn.XLOOKUP($F792,Clientes!$B$4:$B$39,Clientes!$C$4:$C$39),Cadastros!$L$6:$L$12,Cadastros!$M$6:$M$12)," ")</f>
        <v xml:space="preserve"> </v>
      </c>
      <c r="M792" s="28"/>
      <c r="N792" s="28"/>
      <c r="O792" s="255" t="str">
        <f>IF(M792="","",(_xlfn.XLOOKUP(M792,Cadastros!$D$6:$D$90,Cadastros!$E$6:$E$90))*(1-_xlfn.XLOOKUP(_xlfn.XLOOKUP($F792,Clientes!$B$4:$B$39,Clientes!$C$4:$C$39),Cadastros!$L$6:$L$12,Cadastros!$N$6:$N$12)))</f>
        <v/>
      </c>
      <c r="P792" s="168" t="str">
        <f t="shared" si="158"/>
        <v/>
      </c>
      <c r="Q792" s="168" t="str">
        <f>IFERROR(P792/_xlfn.XLOOKUP(_xlfn.XLOOKUP($F792,Clientes!$B$4:$B$39,Clientes!$C$4:$C$39),Cadastros!$L$6:$L$12,Cadastros!$M$6:$M$12)," ")</f>
        <v xml:space="preserve"> </v>
      </c>
      <c r="R792" s="28"/>
      <c r="S792" s="28"/>
      <c r="T792" s="255" t="str">
        <f>IF(R792="","",(_xlfn.XLOOKUP(R792,Cadastros!$D$6:$D$90,Cadastros!$E$6:$E$90))*(1-_xlfn.XLOOKUP(_xlfn.XLOOKUP($F792,Clientes!$B$4:$B$39,Clientes!$C$4:$C$39),Cadastros!$L$6:$L$12,Cadastros!$N$6:$N$12)))</f>
        <v/>
      </c>
      <c r="U792" s="168" t="str">
        <f t="shared" si="159"/>
        <v/>
      </c>
      <c r="V792" s="168" t="str">
        <f>IFERROR(U792/_xlfn.XLOOKUP(_xlfn.XLOOKUP($F792,Clientes!$B$4:$B$39,Clientes!$C$4:$C$39),Cadastros!$L$6:$L$12,Cadastros!$M$6:$M$12)," ")</f>
        <v xml:space="preserve"> </v>
      </c>
      <c r="W792" s="28"/>
      <c r="X792" s="28"/>
      <c r="Y792" s="255" t="str">
        <f>IF(W792="","",(_xlfn.XLOOKUP(W792,Cadastros!$D$6:$D$90,Cadastros!$E$6:$E$90))*(1-_xlfn.XLOOKUP(_xlfn.XLOOKUP($F792,Clientes!$B$4:$B$39,Clientes!$C$4:$C$39),Cadastros!$L$6:$L$12,Cadastros!$N$6:$N$12)))</f>
        <v/>
      </c>
      <c r="Z792" s="168" t="str">
        <f t="shared" si="160"/>
        <v/>
      </c>
      <c r="AA792" s="168" t="str">
        <f>IFERROR(Z792/_xlfn.XLOOKUP(_xlfn.XLOOKUP($F792,Clientes!$B$4:$B$39,Clientes!$C$4:$C$39),Cadastros!$L$6:$L$12,Cadastros!$M$6:$M$12)," ")</f>
        <v xml:space="preserve"> </v>
      </c>
      <c r="AB792" s="28"/>
      <c r="AC792" s="28"/>
      <c r="AD792" s="20" t="str">
        <f>IF(AB792="","",IF($F792="Bernardino Furlan",_xlfn.XLOOKUP(AB792,Cadastros!$G$6:$G$90,Cadastros!$H$6:$H$90)*(1-0.18),IF($F792="Mauro José Salanti",_xlfn.XLOOKUP(AB792,Cadastros!$G$6:$G$90,Cadastros!$H$6:$H$90)*(1-0.18),_xlfn.XLOOKUP(AB792,Cadastros!$G$6:$G$90,Cadastros!$H$6:$H$90))))</f>
        <v/>
      </c>
      <c r="AE792" s="168" t="str">
        <f t="shared" si="161"/>
        <v/>
      </c>
      <c r="AF792" s="168" t="str">
        <f t="shared" si="162"/>
        <v/>
      </c>
      <c r="AG792" s="28"/>
      <c r="AH792" s="28"/>
      <c r="AI792" s="20" t="str">
        <f>IF(AG792="","",IF($F792="Bernardino Furlan",_xlfn.XLOOKUP(AG792,Cadastros!$G$6:$G$90,Cadastros!$H$6:$H$90)*(1-0.18),IF($F792="Mauro José Salanti",_xlfn.XLOOKUP(AG792,Cadastros!$G$6:$G$90,Cadastros!$H$6:$H$90)*(1-0.18),_xlfn.XLOOKUP(AG792,Cadastros!$G$6:$G$90,Cadastros!$H$6:$H$90))))</f>
        <v/>
      </c>
      <c r="AJ792" s="168" t="str">
        <f t="shared" si="163"/>
        <v/>
      </c>
      <c r="AK792" s="168" t="str">
        <f t="shared" si="164"/>
        <v/>
      </c>
      <c r="AL792" s="28"/>
      <c r="AM792" s="28"/>
      <c r="AN792" s="20" t="str">
        <f>IF(AL792="","",IF($F792="Bernardino Furlan",_xlfn.XLOOKUP(AL792,Cadastros!$G$6:$G$90,Cadastros!$H$6:$H$90)*(1-0.18),IF($F792="Mauro José Salanti",_xlfn.XLOOKUP(AL792,Cadastros!$G$6:$G$90,Cadastros!$H$6:$H$90)*(1-0.18),_xlfn.XLOOKUP(AL792,Cadastros!$G$6:$G$90,Cadastros!$H$6:$H$90))))</f>
        <v/>
      </c>
      <c r="AO792" s="168" t="str">
        <f t="shared" si="165"/>
        <v/>
      </c>
      <c r="AP792" s="168" t="str">
        <f t="shared" si="166"/>
        <v/>
      </c>
      <c r="AQ792" s="28"/>
      <c r="AR792" s="28"/>
      <c r="AS792" s="20" t="str">
        <f>IF(AQ792="","",IF($F792="Bernardino Furlan",_xlfn.XLOOKUP(AQ792,Cadastros!$G$6:$G$90,Cadastros!$H$6:$H$90)*(1-0.18),IF($F792="Mauro José Salanti",_xlfn.XLOOKUP(AQ792,Cadastros!$G$6:$G$90,Cadastros!$H$6:$H$90)*(1-0.18),_xlfn.XLOOKUP(AQ792,Cadastros!$G$6:$G$90,Cadastros!$H$6:$H$90))))</f>
        <v/>
      </c>
      <c r="AT792" s="168" t="str">
        <f t="shared" si="167"/>
        <v/>
      </c>
      <c r="AU792" s="168" t="str">
        <f t="shared" si="168"/>
        <v/>
      </c>
      <c r="AV792" s="227"/>
      <c r="AW792" s="30"/>
      <c r="AX792" s="267"/>
      <c r="AY792" s="267"/>
      <c r="AZ792" s="29"/>
      <c r="BA792" s="30"/>
      <c r="BB792" s="23" t="str" cm="1">
        <f t="array" ref="BB792">_xlfn.IFS(AW792="SIM",SUM(K792,P792,U792,Z792,AE792,AJ792,AO792,AT792,AX792,AY792),F792&lt;&gt;"",SUM(K792,P792,U792,Z792,AE792,AJ792,,AO792,AT792),F792="","")</f>
        <v/>
      </c>
      <c r="BC792" s="211" t="str" cm="1">
        <f t="array" ref="BC792">_xlfn.IFS(E792="","",G792&lt;=E792,BB792*(1-0.03),G792&lt;(E792+8),BB792,AZ792="Boleto",BB792*(1+0.001)^DATEDIF(E792,G792,"D"),AZ792="Cheque",BB792,AZ792="Dinheiro","Alterar forma pgto")</f>
        <v/>
      </c>
      <c r="BD792" s="276" t="str" cm="1">
        <f t="array" ref="BD792">IF(F792=0," ",IF(BC792&lt;BB792,(_xlfn.IFS(AW792="SIM",SUM(L792,Q792,V792,AA792,AF792,AK792,AP792,AU792)+AX792/_xlfn.XLOOKUP(_xlfn.XLOOKUP($F792,Clientes!$B$4:$B$39,Clientes!$C$4:$C$39),Cadastros!$L$6:$L$12,Cadastros!$M$6:$M$12)+IF($F792="Bernardino Furlan",AY792/2751.92,IF($F792="Mauro José Salanti",AY792/2751.92,AY792/3356)),F792&lt;&gt;0,SUM(L792,Q792,V792,AA792,AF792,AK792,AP792,AU792)))*(1-0.03),_xlfn.IFS(AW792="SIM",SUM(L792,Q792,V792,AA792,AF792,AK792,AP792,AU792)+AX792/_xlfn.XLOOKUP(_xlfn.XLOOKUP($F792,Clientes!$B$4:$B$39,Clientes!$C$4:$C$39),Cadastros!$L$6:$L$12,Cadastros!$M$6:$M$12)+IF($F792="Bernardino Furlan",AY792/2751.92,IF($F792="Mauro José Salanti",AY792/2751.92,AY792/3356)),F792&lt;&gt;0,SUM(L792,Q792,V792,AA792,AF792,AK792,AP792,AU792))))</f>
        <v xml:space="preserve"> </v>
      </c>
      <c r="BE792" s="120"/>
      <c r="BF792" s="120"/>
      <c r="BG792" s="120"/>
    </row>
    <row r="793" spans="1:59" s="3" customFormat="1" x14ac:dyDescent="0.3">
      <c r="A793" s="15" t="str">
        <f t="shared" si="156"/>
        <v/>
      </c>
      <c r="B793" s="25"/>
      <c r="C793" s="26"/>
      <c r="D793" s="279"/>
      <c r="E793" s="27"/>
      <c r="F793" s="28"/>
      <c r="G793" s="27"/>
      <c r="H793" s="28"/>
      <c r="I793" s="28"/>
      <c r="J793" s="255" t="str">
        <f>IF(H793="","",(_xlfn.XLOOKUP(H793,Cadastros!$D$6:$D$90,Cadastros!$E$6:$E$90))*(1-_xlfn.XLOOKUP(_xlfn.XLOOKUP($F793,Clientes!$B$4:$B$39,Clientes!$C$4:$C$39),Cadastros!$L$6:$L$12,Cadastros!$N$6:$N$12)))</f>
        <v/>
      </c>
      <c r="K793" s="168" t="str">
        <f t="shared" si="157"/>
        <v/>
      </c>
      <c r="L793" s="168" t="str">
        <f>IFERROR(K793/_xlfn.XLOOKUP(_xlfn.XLOOKUP($F793,Clientes!$B$4:$B$39,Clientes!$C$4:$C$39),Cadastros!$L$6:$L$12,Cadastros!$M$6:$M$12)," ")</f>
        <v xml:space="preserve"> </v>
      </c>
      <c r="M793" s="28"/>
      <c r="N793" s="28"/>
      <c r="O793" s="255" t="str">
        <f>IF(M793="","",(_xlfn.XLOOKUP(M793,Cadastros!$D$6:$D$90,Cadastros!$E$6:$E$90))*(1-_xlfn.XLOOKUP(_xlfn.XLOOKUP($F793,Clientes!$B$4:$B$39,Clientes!$C$4:$C$39),Cadastros!$L$6:$L$12,Cadastros!$N$6:$N$12)))</f>
        <v/>
      </c>
      <c r="P793" s="168" t="str">
        <f t="shared" si="158"/>
        <v/>
      </c>
      <c r="Q793" s="168" t="str">
        <f>IFERROR(P793/_xlfn.XLOOKUP(_xlfn.XLOOKUP($F793,Clientes!$B$4:$B$39,Clientes!$C$4:$C$39),Cadastros!$L$6:$L$12,Cadastros!$M$6:$M$12)," ")</f>
        <v xml:space="preserve"> </v>
      </c>
      <c r="R793" s="28"/>
      <c r="S793" s="28"/>
      <c r="T793" s="255" t="str">
        <f>IF(R793="","",(_xlfn.XLOOKUP(R793,Cadastros!$D$6:$D$90,Cadastros!$E$6:$E$90))*(1-_xlfn.XLOOKUP(_xlfn.XLOOKUP($F793,Clientes!$B$4:$B$39,Clientes!$C$4:$C$39),Cadastros!$L$6:$L$12,Cadastros!$N$6:$N$12)))</f>
        <v/>
      </c>
      <c r="U793" s="168" t="str">
        <f t="shared" si="159"/>
        <v/>
      </c>
      <c r="V793" s="168" t="str">
        <f>IFERROR(U793/_xlfn.XLOOKUP(_xlfn.XLOOKUP($F793,Clientes!$B$4:$B$39,Clientes!$C$4:$C$39),Cadastros!$L$6:$L$12,Cadastros!$M$6:$M$12)," ")</f>
        <v xml:space="preserve"> </v>
      </c>
      <c r="W793" s="28"/>
      <c r="X793" s="28"/>
      <c r="Y793" s="255" t="str">
        <f>IF(W793="","",(_xlfn.XLOOKUP(W793,Cadastros!$D$6:$D$90,Cadastros!$E$6:$E$90))*(1-_xlfn.XLOOKUP(_xlfn.XLOOKUP($F793,Clientes!$B$4:$B$39,Clientes!$C$4:$C$39),Cadastros!$L$6:$L$12,Cadastros!$N$6:$N$12)))</f>
        <v/>
      </c>
      <c r="Z793" s="168" t="str">
        <f t="shared" si="160"/>
        <v/>
      </c>
      <c r="AA793" s="168" t="str">
        <f>IFERROR(Z793/_xlfn.XLOOKUP(_xlfn.XLOOKUP($F793,Clientes!$B$4:$B$39,Clientes!$C$4:$C$39),Cadastros!$L$6:$L$12,Cadastros!$M$6:$M$12)," ")</f>
        <v xml:space="preserve"> </v>
      </c>
      <c r="AB793" s="28"/>
      <c r="AC793" s="28"/>
      <c r="AD793" s="20" t="str">
        <f>IF(AB793="","",IF($F793="Bernardino Furlan",_xlfn.XLOOKUP(AB793,Cadastros!$G$6:$G$90,Cadastros!$H$6:$H$90)*(1-0.18),IF($F793="Mauro José Salanti",_xlfn.XLOOKUP(AB793,Cadastros!$G$6:$G$90,Cadastros!$H$6:$H$90)*(1-0.18),_xlfn.XLOOKUP(AB793,Cadastros!$G$6:$G$90,Cadastros!$H$6:$H$90))))</f>
        <v/>
      </c>
      <c r="AE793" s="168" t="str">
        <f t="shared" si="161"/>
        <v/>
      </c>
      <c r="AF793" s="168" t="str">
        <f t="shared" si="162"/>
        <v/>
      </c>
      <c r="AG793" s="28"/>
      <c r="AH793" s="28"/>
      <c r="AI793" s="20" t="str">
        <f>IF(AG793="","",IF($F793="Bernardino Furlan",_xlfn.XLOOKUP(AG793,Cadastros!$G$6:$G$90,Cadastros!$H$6:$H$90)*(1-0.18),IF($F793="Mauro José Salanti",_xlfn.XLOOKUP(AG793,Cadastros!$G$6:$G$90,Cadastros!$H$6:$H$90)*(1-0.18),_xlfn.XLOOKUP(AG793,Cadastros!$G$6:$G$90,Cadastros!$H$6:$H$90))))</f>
        <v/>
      </c>
      <c r="AJ793" s="168" t="str">
        <f t="shared" si="163"/>
        <v/>
      </c>
      <c r="AK793" s="168" t="str">
        <f t="shared" si="164"/>
        <v/>
      </c>
      <c r="AL793" s="28"/>
      <c r="AM793" s="28"/>
      <c r="AN793" s="20" t="str">
        <f>IF(AL793="","",IF($F793="Bernardino Furlan",_xlfn.XLOOKUP(AL793,Cadastros!$G$6:$G$90,Cadastros!$H$6:$H$90)*(1-0.18),IF($F793="Mauro José Salanti",_xlfn.XLOOKUP(AL793,Cadastros!$G$6:$G$90,Cadastros!$H$6:$H$90)*(1-0.18),_xlfn.XLOOKUP(AL793,Cadastros!$G$6:$G$90,Cadastros!$H$6:$H$90))))</f>
        <v/>
      </c>
      <c r="AO793" s="168" t="str">
        <f t="shared" si="165"/>
        <v/>
      </c>
      <c r="AP793" s="168" t="str">
        <f t="shared" si="166"/>
        <v/>
      </c>
      <c r="AQ793" s="28"/>
      <c r="AR793" s="28"/>
      <c r="AS793" s="20" t="str">
        <f>IF(AQ793="","",IF($F793="Bernardino Furlan",_xlfn.XLOOKUP(AQ793,Cadastros!$G$6:$G$90,Cadastros!$H$6:$H$90)*(1-0.18),IF($F793="Mauro José Salanti",_xlfn.XLOOKUP(AQ793,Cadastros!$G$6:$G$90,Cadastros!$H$6:$H$90)*(1-0.18),_xlfn.XLOOKUP(AQ793,Cadastros!$G$6:$G$90,Cadastros!$H$6:$H$90))))</f>
        <v/>
      </c>
      <c r="AT793" s="168" t="str">
        <f t="shared" si="167"/>
        <v/>
      </c>
      <c r="AU793" s="168" t="str">
        <f t="shared" si="168"/>
        <v/>
      </c>
      <c r="AV793" s="227"/>
      <c r="AW793" s="30"/>
      <c r="AX793" s="267"/>
      <c r="AY793" s="267"/>
      <c r="AZ793" s="29"/>
      <c r="BA793" s="30"/>
      <c r="BB793" s="23" t="str" cm="1">
        <f t="array" ref="BB793">_xlfn.IFS(AW793="SIM",SUM(K793,P793,U793,Z793,AE793,AJ793,AO793,AT793,AX793,AY793),F793&lt;&gt;"",SUM(K793,P793,U793,Z793,AE793,AJ793,,AO793,AT793),F793="","")</f>
        <v/>
      </c>
      <c r="BC793" s="211" t="str" cm="1">
        <f t="array" ref="BC793">_xlfn.IFS(E793="","",G793&lt;=E793,BB793*(1-0.03),G793&lt;(E793+8),BB793,AZ793="Boleto",BB793*(1+0.001)^DATEDIF(E793,G793,"D"),AZ793="Cheque",BB793,AZ793="Dinheiro","Alterar forma pgto")</f>
        <v/>
      </c>
      <c r="BD793" s="276" t="str" cm="1">
        <f t="array" ref="BD793">IF(F793=0," ",IF(BC793&lt;BB793,(_xlfn.IFS(AW793="SIM",SUM(L793,Q793,V793,AA793,AF793,AK793,AP793,AU793)+AX793/_xlfn.XLOOKUP(_xlfn.XLOOKUP($F793,Clientes!$B$4:$B$39,Clientes!$C$4:$C$39),Cadastros!$L$6:$L$12,Cadastros!$M$6:$M$12)+IF($F793="Bernardino Furlan",AY793/2751.92,IF($F793="Mauro José Salanti",AY793/2751.92,AY793/3356)),F793&lt;&gt;0,SUM(L793,Q793,V793,AA793,AF793,AK793,AP793,AU793)))*(1-0.03),_xlfn.IFS(AW793="SIM",SUM(L793,Q793,V793,AA793,AF793,AK793,AP793,AU793)+AX793/_xlfn.XLOOKUP(_xlfn.XLOOKUP($F793,Clientes!$B$4:$B$39,Clientes!$C$4:$C$39),Cadastros!$L$6:$L$12,Cadastros!$M$6:$M$12)+IF($F793="Bernardino Furlan",AY793/2751.92,IF($F793="Mauro José Salanti",AY793/2751.92,AY793/3356)),F793&lt;&gt;0,SUM(L793,Q793,V793,AA793,AF793,AK793,AP793,AU793))))</f>
        <v xml:space="preserve"> </v>
      </c>
      <c r="BE793" s="120"/>
      <c r="BF793" s="120"/>
      <c r="BG793" s="120"/>
    </row>
    <row r="794" spans="1:59" s="3" customFormat="1" x14ac:dyDescent="0.3">
      <c r="A794" s="15" t="str">
        <f t="shared" si="156"/>
        <v/>
      </c>
      <c r="B794" s="25"/>
      <c r="C794" s="26"/>
      <c r="D794" s="279"/>
      <c r="E794" s="27"/>
      <c r="F794" s="28"/>
      <c r="G794" s="27"/>
      <c r="H794" s="28"/>
      <c r="I794" s="28"/>
      <c r="J794" s="255" t="str">
        <f>IF(H794="","",(_xlfn.XLOOKUP(H794,Cadastros!$D$6:$D$90,Cadastros!$E$6:$E$90))*(1-_xlfn.XLOOKUP(_xlfn.XLOOKUP($F794,Clientes!$B$4:$B$39,Clientes!$C$4:$C$39),Cadastros!$L$6:$L$12,Cadastros!$N$6:$N$12)))</f>
        <v/>
      </c>
      <c r="K794" s="168" t="str">
        <f t="shared" si="157"/>
        <v/>
      </c>
      <c r="L794" s="168" t="str">
        <f>IFERROR(K794/_xlfn.XLOOKUP(_xlfn.XLOOKUP($F794,Clientes!$B$4:$B$39,Clientes!$C$4:$C$39),Cadastros!$L$6:$L$12,Cadastros!$M$6:$M$12)," ")</f>
        <v xml:space="preserve"> </v>
      </c>
      <c r="M794" s="28"/>
      <c r="N794" s="28"/>
      <c r="O794" s="255" t="str">
        <f>IF(M794="","",(_xlfn.XLOOKUP(M794,Cadastros!$D$6:$D$90,Cadastros!$E$6:$E$90))*(1-_xlfn.XLOOKUP(_xlfn.XLOOKUP($F794,Clientes!$B$4:$B$39,Clientes!$C$4:$C$39),Cadastros!$L$6:$L$12,Cadastros!$N$6:$N$12)))</f>
        <v/>
      </c>
      <c r="P794" s="168" t="str">
        <f t="shared" si="158"/>
        <v/>
      </c>
      <c r="Q794" s="168" t="str">
        <f>IFERROR(P794/_xlfn.XLOOKUP(_xlfn.XLOOKUP($F794,Clientes!$B$4:$B$39,Clientes!$C$4:$C$39),Cadastros!$L$6:$L$12,Cadastros!$M$6:$M$12)," ")</f>
        <v xml:space="preserve"> </v>
      </c>
      <c r="R794" s="28"/>
      <c r="S794" s="28"/>
      <c r="T794" s="255" t="str">
        <f>IF(R794="","",(_xlfn.XLOOKUP(R794,Cadastros!$D$6:$D$90,Cadastros!$E$6:$E$90))*(1-_xlfn.XLOOKUP(_xlfn.XLOOKUP($F794,Clientes!$B$4:$B$39,Clientes!$C$4:$C$39),Cadastros!$L$6:$L$12,Cadastros!$N$6:$N$12)))</f>
        <v/>
      </c>
      <c r="U794" s="168" t="str">
        <f t="shared" si="159"/>
        <v/>
      </c>
      <c r="V794" s="168" t="str">
        <f>IFERROR(U794/_xlfn.XLOOKUP(_xlfn.XLOOKUP($F794,Clientes!$B$4:$B$39,Clientes!$C$4:$C$39),Cadastros!$L$6:$L$12,Cadastros!$M$6:$M$12)," ")</f>
        <v xml:space="preserve"> </v>
      </c>
      <c r="W794" s="28"/>
      <c r="X794" s="28"/>
      <c r="Y794" s="255" t="str">
        <f>IF(W794="","",(_xlfn.XLOOKUP(W794,Cadastros!$D$6:$D$90,Cadastros!$E$6:$E$90))*(1-_xlfn.XLOOKUP(_xlfn.XLOOKUP($F794,Clientes!$B$4:$B$39,Clientes!$C$4:$C$39),Cadastros!$L$6:$L$12,Cadastros!$N$6:$N$12)))</f>
        <v/>
      </c>
      <c r="Z794" s="168" t="str">
        <f t="shared" si="160"/>
        <v/>
      </c>
      <c r="AA794" s="168" t="str">
        <f>IFERROR(Z794/_xlfn.XLOOKUP(_xlfn.XLOOKUP($F794,Clientes!$B$4:$B$39,Clientes!$C$4:$C$39),Cadastros!$L$6:$L$12,Cadastros!$M$6:$M$12)," ")</f>
        <v xml:space="preserve"> </v>
      </c>
      <c r="AB794" s="28"/>
      <c r="AC794" s="28"/>
      <c r="AD794" s="20" t="str">
        <f>IF(AB794="","",IF($F794="Bernardino Furlan",_xlfn.XLOOKUP(AB794,Cadastros!$G$6:$G$90,Cadastros!$H$6:$H$90)*(1-0.18),IF($F794="Mauro José Salanti",_xlfn.XLOOKUP(AB794,Cadastros!$G$6:$G$90,Cadastros!$H$6:$H$90)*(1-0.18),_xlfn.XLOOKUP(AB794,Cadastros!$G$6:$G$90,Cadastros!$H$6:$H$90))))</f>
        <v/>
      </c>
      <c r="AE794" s="168" t="str">
        <f t="shared" si="161"/>
        <v/>
      </c>
      <c r="AF794" s="168" t="str">
        <f t="shared" si="162"/>
        <v/>
      </c>
      <c r="AG794" s="28"/>
      <c r="AH794" s="28"/>
      <c r="AI794" s="20" t="str">
        <f>IF(AG794="","",IF($F794="Bernardino Furlan",_xlfn.XLOOKUP(AG794,Cadastros!$G$6:$G$90,Cadastros!$H$6:$H$90)*(1-0.18),IF($F794="Mauro José Salanti",_xlfn.XLOOKUP(AG794,Cadastros!$G$6:$G$90,Cadastros!$H$6:$H$90)*(1-0.18),_xlfn.XLOOKUP(AG794,Cadastros!$G$6:$G$90,Cadastros!$H$6:$H$90))))</f>
        <v/>
      </c>
      <c r="AJ794" s="168" t="str">
        <f t="shared" si="163"/>
        <v/>
      </c>
      <c r="AK794" s="168" t="str">
        <f t="shared" si="164"/>
        <v/>
      </c>
      <c r="AL794" s="28"/>
      <c r="AM794" s="28"/>
      <c r="AN794" s="20" t="str">
        <f>IF(AL794="","",IF($F794="Bernardino Furlan",_xlfn.XLOOKUP(AL794,Cadastros!$G$6:$G$90,Cadastros!$H$6:$H$90)*(1-0.18),IF($F794="Mauro José Salanti",_xlfn.XLOOKUP(AL794,Cadastros!$G$6:$G$90,Cadastros!$H$6:$H$90)*(1-0.18),_xlfn.XLOOKUP(AL794,Cadastros!$G$6:$G$90,Cadastros!$H$6:$H$90))))</f>
        <v/>
      </c>
      <c r="AO794" s="168" t="str">
        <f t="shared" si="165"/>
        <v/>
      </c>
      <c r="AP794" s="168" t="str">
        <f t="shared" si="166"/>
        <v/>
      </c>
      <c r="AQ794" s="28"/>
      <c r="AR794" s="28"/>
      <c r="AS794" s="20" t="str">
        <f>IF(AQ794="","",IF($F794="Bernardino Furlan",_xlfn.XLOOKUP(AQ794,Cadastros!$G$6:$G$90,Cadastros!$H$6:$H$90)*(1-0.18),IF($F794="Mauro José Salanti",_xlfn.XLOOKUP(AQ794,Cadastros!$G$6:$G$90,Cadastros!$H$6:$H$90)*(1-0.18),_xlfn.XLOOKUP(AQ794,Cadastros!$G$6:$G$90,Cadastros!$H$6:$H$90))))</f>
        <v/>
      </c>
      <c r="AT794" s="168" t="str">
        <f t="shared" si="167"/>
        <v/>
      </c>
      <c r="AU794" s="168" t="str">
        <f t="shared" si="168"/>
        <v/>
      </c>
      <c r="AV794" s="227"/>
      <c r="AW794" s="30"/>
      <c r="AX794" s="267"/>
      <c r="AY794" s="267"/>
      <c r="AZ794" s="29"/>
      <c r="BA794" s="30"/>
      <c r="BB794" s="23" t="str" cm="1">
        <f t="array" ref="BB794">_xlfn.IFS(AW794="SIM",SUM(K794,P794,U794,Z794,AE794,AJ794,AO794,AT794,AX794,AY794),F794&lt;&gt;"",SUM(K794,P794,U794,Z794,AE794,AJ794,,AO794,AT794),F794="","")</f>
        <v/>
      </c>
      <c r="BC794" s="211" t="str" cm="1">
        <f t="array" ref="BC794">_xlfn.IFS(E794="","",G794&lt;=E794,BB794*(1-0.03),G794&lt;(E794+8),BB794,AZ794="Boleto",BB794*(1+0.001)^DATEDIF(E794,G794,"D"),AZ794="Cheque",BB794,AZ794="Dinheiro","Alterar forma pgto")</f>
        <v/>
      </c>
      <c r="BD794" s="276" t="str" cm="1">
        <f t="array" ref="BD794">IF(F794=0," ",IF(BC794&lt;BB794,(_xlfn.IFS(AW794="SIM",SUM(L794,Q794,V794,AA794,AF794,AK794,AP794,AU794)+AX794/_xlfn.XLOOKUP(_xlfn.XLOOKUP($F794,Clientes!$B$4:$B$39,Clientes!$C$4:$C$39),Cadastros!$L$6:$L$12,Cadastros!$M$6:$M$12)+IF($F794="Bernardino Furlan",AY794/2751.92,IF($F794="Mauro José Salanti",AY794/2751.92,AY794/3356)),F794&lt;&gt;0,SUM(L794,Q794,V794,AA794,AF794,AK794,AP794,AU794)))*(1-0.03),_xlfn.IFS(AW794="SIM",SUM(L794,Q794,V794,AA794,AF794,AK794,AP794,AU794)+AX794/_xlfn.XLOOKUP(_xlfn.XLOOKUP($F794,Clientes!$B$4:$B$39,Clientes!$C$4:$C$39),Cadastros!$L$6:$L$12,Cadastros!$M$6:$M$12)+IF($F794="Bernardino Furlan",AY794/2751.92,IF($F794="Mauro José Salanti",AY794/2751.92,AY794/3356)),F794&lt;&gt;0,SUM(L794,Q794,V794,AA794,AF794,AK794,AP794,AU794))))</f>
        <v xml:space="preserve"> </v>
      </c>
      <c r="BE794" s="120"/>
      <c r="BF794" s="120"/>
      <c r="BG794" s="120"/>
    </row>
    <row r="795" spans="1:59" s="3" customFormat="1" x14ac:dyDescent="0.3">
      <c r="A795" s="15" t="str">
        <f t="shared" si="156"/>
        <v/>
      </c>
      <c r="B795" s="25"/>
      <c r="C795" s="26"/>
      <c r="D795" s="279"/>
      <c r="E795" s="27"/>
      <c r="F795" s="28"/>
      <c r="G795" s="27"/>
      <c r="H795" s="28"/>
      <c r="I795" s="28"/>
      <c r="J795" s="255" t="str">
        <f>IF(H795="","",(_xlfn.XLOOKUP(H795,Cadastros!$D$6:$D$90,Cadastros!$E$6:$E$90))*(1-_xlfn.XLOOKUP(_xlfn.XLOOKUP($F795,Clientes!$B$4:$B$39,Clientes!$C$4:$C$39),Cadastros!$L$6:$L$12,Cadastros!$N$6:$N$12)))</f>
        <v/>
      </c>
      <c r="K795" s="168" t="str">
        <f t="shared" si="157"/>
        <v/>
      </c>
      <c r="L795" s="168" t="str">
        <f>IFERROR(K795/_xlfn.XLOOKUP(_xlfn.XLOOKUP($F795,Clientes!$B$4:$B$39,Clientes!$C$4:$C$39),Cadastros!$L$6:$L$12,Cadastros!$M$6:$M$12)," ")</f>
        <v xml:space="preserve"> </v>
      </c>
      <c r="M795" s="28"/>
      <c r="N795" s="28"/>
      <c r="O795" s="255" t="str">
        <f>IF(M795="","",(_xlfn.XLOOKUP(M795,Cadastros!$D$6:$D$90,Cadastros!$E$6:$E$90))*(1-_xlfn.XLOOKUP(_xlfn.XLOOKUP($F795,Clientes!$B$4:$B$39,Clientes!$C$4:$C$39),Cadastros!$L$6:$L$12,Cadastros!$N$6:$N$12)))</f>
        <v/>
      </c>
      <c r="P795" s="168" t="str">
        <f t="shared" si="158"/>
        <v/>
      </c>
      <c r="Q795" s="168" t="str">
        <f>IFERROR(P795/_xlfn.XLOOKUP(_xlfn.XLOOKUP($F795,Clientes!$B$4:$B$39,Clientes!$C$4:$C$39),Cadastros!$L$6:$L$12,Cadastros!$M$6:$M$12)," ")</f>
        <v xml:space="preserve"> </v>
      </c>
      <c r="R795" s="28"/>
      <c r="S795" s="28"/>
      <c r="T795" s="255" t="str">
        <f>IF(R795="","",(_xlfn.XLOOKUP(R795,Cadastros!$D$6:$D$90,Cadastros!$E$6:$E$90))*(1-_xlfn.XLOOKUP(_xlfn.XLOOKUP($F795,Clientes!$B$4:$B$39,Clientes!$C$4:$C$39),Cadastros!$L$6:$L$12,Cadastros!$N$6:$N$12)))</f>
        <v/>
      </c>
      <c r="U795" s="168" t="str">
        <f t="shared" si="159"/>
        <v/>
      </c>
      <c r="V795" s="168" t="str">
        <f>IFERROR(U795/_xlfn.XLOOKUP(_xlfn.XLOOKUP($F795,Clientes!$B$4:$B$39,Clientes!$C$4:$C$39),Cadastros!$L$6:$L$12,Cadastros!$M$6:$M$12)," ")</f>
        <v xml:space="preserve"> </v>
      </c>
      <c r="W795" s="28"/>
      <c r="X795" s="28"/>
      <c r="Y795" s="255" t="str">
        <f>IF(W795="","",(_xlfn.XLOOKUP(W795,Cadastros!$D$6:$D$90,Cadastros!$E$6:$E$90))*(1-_xlfn.XLOOKUP(_xlfn.XLOOKUP($F795,Clientes!$B$4:$B$39,Clientes!$C$4:$C$39),Cadastros!$L$6:$L$12,Cadastros!$N$6:$N$12)))</f>
        <v/>
      </c>
      <c r="Z795" s="168" t="str">
        <f t="shared" si="160"/>
        <v/>
      </c>
      <c r="AA795" s="168" t="str">
        <f>IFERROR(Z795/_xlfn.XLOOKUP(_xlfn.XLOOKUP($F795,Clientes!$B$4:$B$39,Clientes!$C$4:$C$39),Cadastros!$L$6:$L$12,Cadastros!$M$6:$M$12)," ")</f>
        <v xml:space="preserve"> </v>
      </c>
      <c r="AB795" s="28"/>
      <c r="AC795" s="28"/>
      <c r="AD795" s="20" t="str">
        <f>IF(AB795="","",IF($F795="Bernardino Furlan",_xlfn.XLOOKUP(AB795,Cadastros!$G$6:$G$90,Cadastros!$H$6:$H$90)*(1-0.18),IF($F795="Mauro José Salanti",_xlfn.XLOOKUP(AB795,Cadastros!$G$6:$G$90,Cadastros!$H$6:$H$90)*(1-0.18),_xlfn.XLOOKUP(AB795,Cadastros!$G$6:$G$90,Cadastros!$H$6:$H$90))))</f>
        <v/>
      </c>
      <c r="AE795" s="168" t="str">
        <f t="shared" si="161"/>
        <v/>
      </c>
      <c r="AF795" s="168" t="str">
        <f t="shared" si="162"/>
        <v/>
      </c>
      <c r="AG795" s="28"/>
      <c r="AH795" s="28"/>
      <c r="AI795" s="20" t="str">
        <f>IF(AG795="","",IF($F795="Bernardino Furlan",_xlfn.XLOOKUP(AG795,Cadastros!$G$6:$G$90,Cadastros!$H$6:$H$90)*(1-0.18),IF($F795="Mauro José Salanti",_xlfn.XLOOKUP(AG795,Cadastros!$G$6:$G$90,Cadastros!$H$6:$H$90)*(1-0.18),_xlfn.XLOOKUP(AG795,Cadastros!$G$6:$G$90,Cadastros!$H$6:$H$90))))</f>
        <v/>
      </c>
      <c r="AJ795" s="168" t="str">
        <f t="shared" si="163"/>
        <v/>
      </c>
      <c r="AK795" s="168" t="str">
        <f t="shared" si="164"/>
        <v/>
      </c>
      <c r="AL795" s="28"/>
      <c r="AM795" s="28"/>
      <c r="AN795" s="20" t="str">
        <f>IF(AL795="","",IF($F795="Bernardino Furlan",_xlfn.XLOOKUP(AL795,Cadastros!$G$6:$G$90,Cadastros!$H$6:$H$90)*(1-0.18),IF($F795="Mauro José Salanti",_xlfn.XLOOKUP(AL795,Cadastros!$G$6:$G$90,Cadastros!$H$6:$H$90)*(1-0.18),_xlfn.XLOOKUP(AL795,Cadastros!$G$6:$G$90,Cadastros!$H$6:$H$90))))</f>
        <v/>
      </c>
      <c r="AO795" s="168" t="str">
        <f t="shared" si="165"/>
        <v/>
      </c>
      <c r="AP795" s="168" t="str">
        <f t="shared" si="166"/>
        <v/>
      </c>
      <c r="AQ795" s="28"/>
      <c r="AR795" s="28"/>
      <c r="AS795" s="20" t="str">
        <f>IF(AQ795="","",IF($F795="Bernardino Furlan",_xlfn.XLOOKUP(AQ795,Cadastros!$G$6:$G$90,Cadastros!$H$6:$H$90)*(1-0.18),IF($F795="Mauro José Salanti",_xlfn.XLOOKUP(AQ795,Cadastros!$G$6:$G$90,Cadastros!$H$6:$H$90)*(1-0.18),_xlfn.XLOOKUP(AQ795,Cadastros!$G$6:$G$90,Cadastros!$H$6:$H$90))))</f>
        <v/>
      </c>
      <c r="AT795" s="168" t="str">
        <f t="shared" si="167"/>
        <v/>
      </c>
      <c r="AU795" s="168" t="str">
        <f t="shared" si="168"/>
        <v/>
      </c>
      <c r="AV795" s="227"/>
      <c r="AW795" s="30"/>
      <c r="AX795" s="267"/>
      <c r="AY795" s="267"/>
      <c r="AZ795" s="29"/>
      <c r="BA795" s="30"/>
      <c r="BB795" s="23" t="str" cm="1">
        <f t="array" ref="BB795">_xlfn.IFS(AW795="SIM",SUM(K795,P795,U795,Z795,AE795,AJ795,AO795,AT795,AX795,AY795),F795&lt;&gt;"",SUM(K795,P795,U795,Z795,AE795,AJ795,,AO795,AT795),F795="","")</f>
        <v/>
      </c>
      <c r="BC795" s="211" t="str" cm="1">
        <f t="array" ref="BC795">_xlfn.IFS(E795="","",G795&lt;=E795,BB795*(1-0.03),G795&lt;(E795+8),BB795,AZ795="Boleto",BB795*(1+0.001)^DATEDIF(E795,G795,"D"),AZ795="Cheque",BB795,AZ795="Dinheiro","Alterar forma pgto")</f>
        <v/>
      </c>
      <c r="BD795" s="276" t="str" cm="1">
        <f t="array" ref="BD795">IF(F795=0," ",IF(BC795&lt;BB795,(_xlfn.IFS(AW795="SIM",SUM(L795,Q795,V795,AA795,AF795,AK795,AP795,AU795)+AX795/_xlfn.XLOOKUP(_xlfn.XLOOKUP($F795,Clientes!$B$4:$B$39,Clientes!$C$4:$C$39),Cadastros!$L$6:$L$12,Cadastros!$M$6:$M$12)+IF($F795="Bernardino Furlan",AY795/2751.92,IF($F795="Mauro José Salanti",AY795/2751.92,AY795/3356)),F795&lt;&gt;0,SUM(L795,Q795,V795,AA795,AF795,AK795,AP795,AU795)))*(1-0.03),_xlfn.IFS(AW795="SIM",SUM(L795,Q795,V795,AA795,AF795,AK795,AP795,AU795)+AX795/_xlfn.XLOOKUP(_xlfn.XLOOKUP($F795,Clientes!$B$4:$B$39,Clientes!$C$4:$C$39),Cadastros!$L$6:$L$12,Cadastros!$M$6:$M$12)+IF($F795="Bernardino Furlan",AY795/2751.92,IF($F795="Mauro José Salanti",AY795/2751.92,AY795/3356)),F795&lt;&gt;0,SUM(L795,Q795,V795,AA795,AF795,AK795,AP795,AU795))))</f>
        <v xml:space="preserve"> </v>
      </c>
      <c r="BE795" s="120"/>
      <c r="BF795" s="120"/>
      <c r="BG795" s="120"/>
    </row>
    <row r="796" spans="1:59" s="3" customFormat="1" x14ac:dyDescent="0.3">
      <c r="A796" s="15" t="str">
        <f t="shared" si="156"/>
        <v/>
      </c>
      <c r="B796" s="25"/>
      <c r="C796" s="26"/>
      <c r="D796" s="279"/>
      <c r="E796" s="27"/>
      <c r="F796" s="28"/>
      <c r="G796" s="27"/>
      <c r="H796" s="28"/>
      <c r="I796" s="28"/>
      <c r="J796" s="255" t="str">
        <f>IF(H796="","",(_xlfn.XLOOKUP(H796,Cadastros!$D$6:$D$90,Cadastros!$E$6:$E$90))*(1-_xlfn.XLOOKUP(_xlfn.XLOOKUP($F796,Clientes!$B$4:$B$39,Clientes!$C$4:$C$39),Cadastros!$L$6:$L$12,Cadastros!$N$6:$N$12)))</f>
        <v/>
      </c>
      <c r="K796" s="168" t="str">
        <f t="shared" si="157"/>
        <v/>
      </c>
      <c r="L796" s="168" t="str">
        <f>IFERROR(K796/_xlfn.XLOOKUP(_xlfn.XLOOKUP($F796,Clientes!$B$4:$B$39,Clientes!$C$4:$C$39),Cadastros!$L$6:$L$12,Cadastros!$M$6:$M$12)," ")</f>
        <v xml:space="preserve"> </v>
      </c>
      <c r="M796" s="28"/>
      <c r="N796" s="28"/>
      <c r="O796" s="255" t="str">
        <f>IF(M796="","",(_xlfn.XLOOKUP(M796,Cadastros!$D$6:$D$90,Cadastros!$E$6:$E$90))*(1-_xlfn.XLOOKUP(_xlfn.XLOOKUP($F796,Clientes!$B$4:$B$39,Clientes!$C$4:$C$39),Cadastros!$L$6:$L$12,Cadastros!$N$6:$N$12)))</f>
        <v/>
      </c>
      <c r="P796" s="168" t="str">
        <f t="shared" si="158"/>
        <v/>
      </c>
      <c r="Q796" s="168" t="str">
        <f>IFERROR(P796/_xlfn.XLOOKUP(_xlfn.XLOOKUP($F796,Clientes!$B$4:$B$39,Clientes!$C$4:$C$39),Cadastros!$L$6:$L$12,Cadastros!$M$6:$M$12)," ")</f>
        <v xml:space="preserve"> </v>
      </c>
      <c r="R796" s="28"/>
      <c r="S796" s="28"/>
      <c r="T796" s="255" t="str">
        <f>IF(R796="","",(_xlfn.XLOOKUP(R796,Cadastros!$D$6:$D$90,Cadastros!$E$6:$E$90))*(1-_xlfn.XLOOKUP(_xlfn.XLOOKUP($F796,Clientes!$B$4:$B$39,Clientes!$C$4:$C$39),Cadastros!$L$6:$L$12,Cadastros!$N$6:$N$12)))</f>
        <v/>
      </c>
      <c r="U796" s="168" t="str">
        <f t="shared" si="159"/>
        <v/>
      </c>
      <c r="V796" s="168" t="str">
        <f>IFERROR(U796/_xlfn.XLOOKUP(_xlfn.XLOOKUP($F796,Clientes!$B$4:$B$39,Clientes!$C$4:$C$39),Cadastros!$L$6:$L$12,Cadastros!$M$6:$M$12)," ")</f>
        <v xml:space="preserve"> </v>
      </c>
      <c r="W796" s="28"/>
      <c r="X796" s="28"/>
      <c r="Y796" s="255" t="str">
        <f>IF(W796="","",(_xlfn.XLOOKUP(W796,Cadastros!$D$6:$D$90,Cadastros!$E$6:$E$90))*(1-_xlfn.XLOOKUP(_xlfn.XLOOKUP($F796,Clientes!$B$4:$B$39,Clientes!$C$4:$C$39),Cadastros!$L$6:$L$12,Cadastros!$N$6:$N$12)))</f>
        <v/>
      </c>
      <c r="Z796" s="168" t="str">
        <f t="shared" si="160"/>
        <v/>
      </c>
      <c r="AA796" s="168" t="str">
        <f>IFERROR(Z796/_xlfn.XLOOKUP(_xlfn.XLOOKUP($F796,Clientes!$B$4:$B$39,Clientes!$C$4:$C$39),Cadastros!$L$6:$L$12,Cadastros!$M$6:$M$12)," ")</f>
        <v xml:space="preserve"> </v>
      </c>
      <c r="AB796" s="28"/>
      <c r="AC796" s="28"/>
      <c r="AD796" s="20" t="str">
        <f>IF(AB796="","",IF($F796="Bernardino Furlan",_xlfn.XLOOKUP(AB796,Cadastros!$G$6:$G$90,Cadastros!$H$6:$H$90)*(1-0.18),IF($F796="Mauro José Salanti",_xlfn.XLOOKUP(AB796,Cadastros!$G$6:$G$90,Cadastros!$H$6:$H$90)*(1-0.18),_xlfn.XLOOKUP(AB796,Cadastros!$G$6:$G$90,Cadastros!$H$6:$H$90))))</f>
        <v/>
      </c>
      <c r="AE796" s="168" t="str">
        <f t="shared" si="161"/>
        <v/>
      </c>
      <c r="AF796" s="168" t="str">
        <f t="shared" si="162"/>
        <v/>
      </c>
      <c r="AG796" s="28"/>
      <c r="AH796" s="28"/>
      <c r="AI796" s="20" t="str">
        <f>IF(AG796="","",IF($F796="Bernardino Furlan",_xlfn.XLOOKUP(AG796,Cadastros!$G$6:$G$90,Cadastros!$H$6:$H$90)*(1-0.18),IF($F796="Mauro José Salanti",_xlfn.XLOOKUP(AG796,Cadastros!$G$6:$G$90,Cadastros!$H$6:$H$90)*(1-0.18),_xlfn.XLOOKUP(AG796,Cadastros!$G$6:$G$90,Cadastros!$H$6:$H$90))))</f>
        <v/>
      </c>
      <c r="AJ796" s="168" t="str">
        <f t="shared" si="163"/>
        <v/>
      </c>
      <c r="AK796" s="168" t="str">
        <f t="shared" si="164"/>
        <v/>
      </c>
      <c r="AL796" s="28"/>
      <c r="AM796" s="28"/>
      <c r="AN796" s="20" t="str">
        <f>IF(AL796="","",IF($F796="Bernardino Furlan",_xlfn.XLOOKUP(AL796,Cadastros!$G$6:$G$90,Cadastros!$H$6:$H$90)*(1-0.18),IF($F796="Mauro José Salanti",_xlfn.XLOOKUP(AL796,Cadastros!$G$6:$G$90,Cadastros!$H$6:$H$90)*(1-0.18),_xlfn.XLOOKUP(AL796,Cadastros!$G$6:$G$90,Cadastros!$H$6:$H$90))))</f>
        <v/>
      </c>
      <c r="AO796" s="168" t="str">
        <f t="shared" si="165"/>
        <v/>
      </c>
      <c r="AP796" s="168" t="str">
        <f t="shared" si="166"/>
        <v/>
      </c>
      <c r="AQ796" s="28"/>
      <c r="AR796" s="28"/>
      <c r="AS796" s="20" t="str">
        <f>IF(AQ796="","",IF($F796="Bernardino Furlan",_xlfn.XLOOKUP(AQ796,Cadastros!$G$6:$G$90,Cadastros!$H$6:$H$90)*(1-0.18),IF($F796="Mauro José Salanti",_xlfn.XLOOKUP(AQ796,Cadastros!$G$6:$G$90,Cadastros!$H$6:$H$90)*(1-0.18),_xlfn.XLOOKUP(AQ796,Cadastros!$G$6:$G$90,Cadastros!$H$6:$H$90))))</f>
        <v/>
      </c>
      <c r="AT796" s="168" t="str">
        <f t="shared" si="167"/>
        <v/>
      </c>
      <c r="AU796" s="168" t="str">
        <f t="shared" si="168"/>
        <v/>
      </c>
      <c r="AV796" s="227"/>
      <c r="AW796" s="30"/>
      <c r="AX796" s="267"/>
      <c r="AY796" s="267"/>
      <c r="AZ796" s="29"/>
      <c r="BA796" s="30"/>
      <c r="BB796" s="23" t="str" cm="1">
        <f t="array" ref="BB796">_xlfn.IFS(AW796="SIM",SUM(K796,P796,U796,Z796,AE796,AJ796,AO796,AT796,AX796,AY796),F796&lt;&gt;"",SUM(K796,P796,U796,Z796,AE796,AJ796,,AO796,AT796),F796="","")</f>
        <v/>
      </c>
      <c r="BC796" s="211" t="str" cm="1">
        <f t="array" ref="BC796">_xlfn.IFS(E796="","",G796&lt;=E796,BB796*(1-0.03),G796&lt;(E796+8),BB796,AZ796="Boleto",BB796*(1+0.001)^DATEDIF(E796,G796,"D"),AZ796="Cheque",BB796,AZ796="Dinheiro","Alterar forma pgto")</f>
        <v/>
      </c>
      <c r="BD796" s="276" t="str" cm="1">
        <f t="array" ref="BD796">IF(F796=0," ",IF(BC796&lt;BB796,(_xlfn.IFS(AW796="SIM",SUM(L796,Q796,V796,AA796,AF796,AK796,AP796,AU796)+AX796/_xlfn.XLOOKUP(_xlfn.XLOOKUP($F796,Clientes!$B$4:$B$39,Clientes!$C$4:$C$39),Cadastros!$L$6:$L$12,Cadastros!$M$6:$M$12)+IF($F796="Bernardino Furlan",AY796/2751.92,IF($F796="Mauro José Salanti",AY796/2751.92,AY796/3356)),F796&lt;&gt;0,SUM(L796,Q796,V796,AA796,AF796,AK796,AP796,AU796)))*(1-0.03),_xlfn.IFS(AW796="SIM",SUM(L796,Q796,V796,AA796,AF796,AK796,AP796,AU796)+AX796/_xlfn.XLOOKUP(_xlfn.XLOOKUP($F796,Clientes!$B$4:$B$39,Clientes!$C$4:$C$39),Cadastros!$L$6:$L$12,Cadastros!$M$6:$M$12)+IF($F796="Bernardino Furlan",AY796/2751.92,IF($F796="Mauro José Salanti",AY796/2751.92,AY796/3356)),F796&lt;&gt;0,SUM(L796,Q796,V796,AA796,AF796,AK796,AP796,AU796))))</f>
        <v xml:space="preserve"> </v>
      </c>
      <c r="BE796" s="120"/>
      <c r="BF796" s="120"/>
      <c r="BG796" s="120"/>
    </row>
    <row r="797" spans="1:59" s="3" customFormat="1" x14ac:dyDescent="0.3">
      <c r="A797" s="15" t="str">
        <f t="shared" si="156"/>
        <v/>
      </c>
      <c r="B797" s="25"/>
      <c r="C797" s="26"/>
      <c r="D797" s="279"/>
      <c r="E797" s="27"/>
      <c r="F797" s="28"/>
      <c r="G797" s="27"/>
      <c r="H797" s="28"/>
      <c r="I797" s="28"/>
      <c r="J797" s="255" t="str">
        <f>IF(H797="","",(_xlfn.XLOOKUP(H797,Cadastros!$D$6:$D$90,Cadastros!$E$6:$E$90))*(1-_xlfn.XLOOKUP(_xlfn.XLOOKUP($F797,Clientes!$B$4:$B$39,Clientes!$C$4:$C$39),Cadastros!$L$6:$L$12,Cadastros!$N$6:$N$12)))</f>
        <v/>
      </c>
      <c r="K797" s="168" t="str">
        <f t="shared" si="157"/>
        <v/>
      </c>
      <c r="L797" s="168" t="str">
        <f>IFERROR(K797/_xlfn.XLOOKUP(_xlfn.XLOOKUP($F797,Clientes!$B$4:$B$39,Clientes!$C$4:$C$39),Cadastros!$L$6:$L$12,Cadastros!$M$6:$M$12)," ")</f>
        <v xml:space="preserve"> </v>
      </c>
      <c r="M797" s="28"/>
      <c r="N797" s="28"/>
      <c r="O797" s="255" t="str">
        <f>IF(M797="","",(_xlfn.XLOOKUP(M797,Cadastros!$D$6:$D$90,Cadastros!$E$6:$E$90))*(1-_xlfn.XLOOKUP(_xlfn.XLOOKUP($F797,Clientes!$B$4:$B$39,Clientes!$C$4:$C$39),Cadastros!$L$6:$L$12,Cadastros!$N$6:$N$12)))</f>
        <v/>
      </c>
      <c r="P797" s="168" t="str">
        <f t="shared" si="158"/>
        <v/>
      </c>
      <c r="Q797" s="168" t="str">
        <f>IFERROR(P797/_xlfn.XLOOKUP(_xlfn.XLOOKUP($F797,Clientes!$B$4:$B$39,Clientes!$C$4:$C$39),Cadastros!$L$6:$L$12,Cadastros!$M$6:$M$12)," ")</f>
        <v xml:space="preserve"> </v>
      </c>
      <c r="R797" s="28"/>
      <c r="S797" s="28"/>
      <c r="T797" s="255" t="str">
        <f>IF(R797="","",(_xlfn.XLOOKUP(R797,Cadastros!$D$6:$D$90,Cadastros!$E$6:$E$90))*(1-_xlfn.XLOOKUP(_xlfn.XLOOKUP($F797,Clientes!$B$4:$B$39,Clientes!$C$4:$C$39),Cadastros!$L$6:$L$12,Cadastros!$N$6:$N$12)))</f>
        <v/>
      </c>
      <c r="U797" s="168" t="str">
        <f t="shared" si="159"/>
        <v/>
      </c>
      <c r="V797" s="168" t="str">
        <f>IFERROR(U797/_xlfn.XLOOKUP(_xlfn.XLOOKUP($F797,Clientes!$B$4:$B$39,Clientes!$C$4:$C$39),Cadastros!$L$6:$L$12,Cadastros!$M$6:$M$12)," ")</f>
        <v xml:space="preserve"> </v>
      </c>
      <c r="W797" s="28"/>
      <c r="X797" s="28"/>
      <c r="Y797" s="255" t="str">
        <f>IF(W797="","",(_xlfn.XLOOKUP(W797,Cadastros!$D$6:$D$90,Cadastros!$E$6:$E$90))*(1-_xlfn.XLOOKUP(_xlfn.XLOOKUP($F797,Clientes!$B$4:$B$39,Clientes!$C$4:$C$39),Cadastros!$L$6:$L$12,Cadastros!$N$6:$N$12)))</f>
        <v/>
      </c>
      <c r="Z797" s="168" t="str">
        <f t="shared" si="160"/>
        <v/>
      </c>
      <c r="AA797" s="168" t="str">
        <f>IFERROR(Z797/_xlfn.XLOOKUP(_xlfn.XLOOKUP($F797,Clientes!$B$4:$B$39,Clientes!$C$4:$C$39),Cadastros!$L$6:$L$12,Cadastros!$M$6:$M$12)," ")</f>
        <v xml:space="preserve"> </v>
      </c>
      <c r="AB797" s="28"/>
      <c r="AC797" s="28"/>
      <c r="AD797" s="20" t="str">
        <f>IF(AB797="","",IF($F797="Bernardino Furlan",_xlfn.XLOOKUP(AB797,Cadastros!$G$6:$G$90,Cadastros!$H$6:$H$90)*(1-0.18),IF($F797="Mauro José Salanti",_xlfn.XLOOKUP(AB797,Cadastros!$G$6:$G$90,Cadastros!$H$6:$H$90)*(1-0.18),_xlfn.XLOOKUP(AB797,Cadastros!$G$6:$G$90,Cadastros!$H$6:$H$90))))</f>
        <v/>
      </c>
      <c r="AE797" s="168" t="str">
        <f t="shared" si="161"/>
        <v/>
      </c>
      <c r="AF797" s="168" t="str">
        <f t="shared" si="162"/>
        <v/>
      </c>
      <c r="AG797" s="28"/>
      <c r="AH797" s="28"/>
      <c r="AI797" s="20" t="str">
        <f>IF(AG797="","",IF($F797="Bernardino Furlan",_xlfn.XLOOKUP(AG797,Cadastros!$G$6:$G$90,Cadastros!$H$6:$H$90)*(1-0.18),IF($F797="Mauro José Salanti",_xlfn.XLOOKUP(AG797,Cadastros!$G$6:$G$90,Cadastros!$H$6:$H$90)*(1-0.18),_xlfn.XLOOKUP(AG797,Cadastros!$G$6:$G$90,Cadastros!$H$6:$H$90))))</f>
        <v/>
      </c>
      <c r="AJ797" s="168" t="str">
        <f t="shared" si="163"/>
        <v/>
      </c>
      <c r="AK797" s="168" t="str">
        <f t="shared" si="164"/>
        <v/>
      </c>
      <c r="AL797" s="28"/>
      <c r="AM797" s="28"/>
      <c r="AN797" s="20" t="str">
        <f>IF(AL797="","",IF($F797="Bernardino Furlan",_xlfn.XLOOKUP(AL797,Cadastros!$G$6:$G$90,Cadastros!$H$6:$H$90)*(1-0.18),IF($F797="Mauro José Salanti",_xlfn.XLOOKUP(AL797,Cadastros!$G$6:$G$90,Cadastros!$H$6:$H$90)*(1-0.18),_xlfn.XLOOKUP(AL797,Cadastros!$G$6:$G$90,Cadastros!$H$6:$H$90))))</f>
        <v/>
      </c>
      <c r="AO797" s="168" t="str">
        <f t="shared" si="165"/>
        <v/>
      </c>
      <c r="AP797" s="168" t="str">
        <f t="shared" si="166"/>
        <v/>
      </c>
      <c r="AQ797" s="28"/>
      <c r="AR797" s="28"/>
      <c r="AS797" s="20" t="str">
        <f>IF(AQ797="","",IF($F797="Bernardino Furlan",_xlfn.XLOOKUP(AQ797,Cadastros!$G$6:$G$90,Cadastros!$H$6:$H$90)*(1-0.18),IF($F797="Mauro José Salanti",_xlfn.XLOOKUP(AQ797,Cadastros!$G$6:$G$90,Cadastros!$H$6:$H$90)*(1-0.18),_xlfn.XLOOKUP(AQ797,Cadastros!$G$6:$G$90,Cadastros!$H$6:$H$90))))</f>
        <v/>
      </c>
      <c r="AT797" s="168" t="str">
        <f t="shared" si="167"/>
        <v/>
      </c>
      <c r="AU797" s="168" t="str">
        <f t="shared" si="168"/>
        <v/>
      </c>
      <c r="AV797" s="227"/>
      <c r="AW797" s="30"/>
      <c r="AX797" s="267"/>
      <c r="AY797" s="267"/>
      <c r="AZ797" s="29"/>
      <c r="BA797" s="30"/>
      <c r="BB797" s="23" t="str" cm="1">
        <f t="array" ref="BB797">_xlfn.IFS(AW797="SIM",SUM(K797,P797,U797,Z797,AE797,AJ797,AO797,AT797,AX797,AY797),F797&lt;&gt;"",SUM(K797,P797,U797,Z797,AE797,AJ797,,AO797,AT797),F797="","")</f>
        <v/>
      </c>
      <c r="BC797" s="211" t="str" cm="1">
        <f t="array" ref="BC797">_xlfn.IFS(E797="","",G797&lt;=E797,BB797*(1-0.03),G797&lt;(E797+8),BB797,AZ797="Boleto",BB797*(1+0.001)^DATEDIF(E797,G797,"D"),AZ797="Cheque",BB797,AZ797="Dinheiro","Alterar forma pgto")</f>
        <v/>
      </c>
      <c r="BD797" s="276" t="str" cm="1">
        <f t="array" ref="BD797">IF(F797=0," ",IF(BC797&lt;BB797,(_xlfn.IFS(AW797="SIM",SUM(L797,Q797,V797,AA797,AF797,AK797,AP797,AU797)+AX797/_xlfn.XLOOKUP(_xlfn.XLOOKUP($F797,Clientes!$B$4:$B$39,Clientes!$C$4:$C$39),Cadastros!$L$6:$L$12,Cadastros!$M$6:$M$12)+IF($F797="Bernardino Furlan",AY797/2751.92,IF($F797="Mauro José Salanti",AY797/2751.92,AY797/3356)),F797&lt;&gt;0,SUM(L797,Q797,V797,AA797,AF797,AK797,AP797,AU797)))*(1-0.03),_xlfn.IFS(AW797="SIM",SUM(L797,Q797,V797,AA797,AF797,AK797,AP797,AU797)+AX797/_xlfn.XLOOKUP(_xlfn.XLOOKUP($F797,Clientes!$B$4:$B$39,Clientes!$C$4:$C$39),Cadastros!$L$6:$L$12,Cadastros!$M$6:$M$12)+IF($F797="Bernardino Furlan",AY797/2751.92,IF($F797="Mauro José Salanti",AY797/2751.92,AY797/3356)),F797&lt;&gt;0,SUM(L797,Q797,V797,AA797,AF797,AK797,AP797,AU797))))</f>
        <v xml:space="preserve"> </v>
      </c>
      <c r="BE797" s="120"/>
      <c r="BF797" s="120"/>
      <c r="BG797" s="120"/>
    </row>
    <row r="798" spans="1:59" s="3" customFormat="1" x14ac:dyDescent="0.3">
      <c r="A798" s="15" t="str">
        <f t="shared" si="156"/>
        <v/>
      </c>
      <c r="B798" s="25"/>
      <c r="C798" s="26"/>
      <c r="D798" s="279"/>
      <c r="E798" s="27"/>
      <c r="F798" s="28"/>
      <c r="G798" s="27"/>
      <c r="H798" s="28"/>
      <c r="I798" s="28"/>
      <c r="J798" s="255" t="str">
        <f>IF(H798="","",(_xlfn.XLOOKUP(H798,Cadastros!$D$6:$D$90,Cadastros!$E$6:$E$90))*(1-_xlfn.XLOOKUP(_xlfn.XLOOKUP($F798,Clientes!$B$4:$B$39,Clientes!$C$4:$C$39),Cadastros!$L$6:$L$12,Cadastros!$N$6:$N$12)))</f>
        <v/>
      </c>
      <c r="K798" s="168" t="str">
        <f t="shared" si="157"/>
        <v/>
      </c>
      <c r="L798" s="168" t="str">
        <f>IFERROR(K798/_xlfn.XLOOKUP(_xlfn.XLOOKUP($F798,Clientes!$B$4:$B$39,Clientes!$C$4:$C$39),Cadastros!$L$6:$L$12,Cadastros!$M$6:$M$12)," ")</f>
        <v xml:space="preserve"> </v>
      </c>
      <c r="M798" s="28"/>
      <c r="N798" s="28"/>
      <c r="O798" s="255" t="str">
        <f>IF(M798="","",(_xlfn.XLOOKUP(M798,Cadastros!$D$6:$D$90,Cadastros!$E$6:$E$90))*(1-_xlfn.XLOOKUP(_xlfn.XLOOKUP($F798,Clientes!$B$4:$B$39,Clientes!$C$4:$C$39),Cadastros!$L$6:$L$12,Cadastros!$N$6:$N$12)))</f>
        <v/>
      </c>
      <c r="P798" s="168" t="str">
        <f t="shared" si="158"/>
        <v/>
      </c>
      <c r="Q798" s="168" t="str">
        <f>IFERROR(P798/_xlfn.XLOOKUP(_xlfn.XLOOKUP($F798,Clientes!$B$4:$B$39,Clientes!$C$4:$C$39),Cadastros!$L$6:$L$12,Cadastros!$M$6:$M$12)," ")</f>
        <v xml:space="preserve"> </v>
      </c>
      <c r="R798" s="28"/>
      <c r="S798" s="28"/>
      <c r="T798" s="255" t="str">
        <f>IF(R798="","",(_xlfn.XLOOKUP(R798,Cadastros!$D$6:$D$90,Cadastros!$E$6:$E$90))*(1-_xlfn.XLOOKUP(_xlfn.XLOOKUP($F798,Clientes!$B$4:$B$39,Clientes!$C$4:$C$39),Cadastros!$L$6:$L$12,Cadastros!$N$6:$N$12)))</f>
        <v/>
      </c>
      <c r="U798" s="168" t="str">
        <f t="shared" si="159"/>
        <v/>
      </c>
      <c r="V798" s="168" t="str">
        <f>IFERROR(U798/_xlfn.XLOOKUP(_xlfn.XLOOKUP($F798,Clientes!$B$4:$B$39,Clientes!$C$4:$C$39),Cadastros!$L$6:$L$12,Cadastros!$M$6:$M$12)," ")</f>
        <v xml:space="preserve"> </v>
      </c>
      <c r="W798" s="28"/>
      <c r="X798" s="28"/>
      <c r="Y798" s="255" t="str">
        <f>IF(W798="","",(_xlfn.XLOOKUP(W798,Cadastros!$D$6:$D$90,Cadastros!$E$6:$E$90))*(1-_xlfn.XLOOKUP(_xlfn.XLOOKUP($F798,Clientes!$B$4:$B$39,Clientes!$C$4:$C$39),Cadastros!$L$6:$L$12,Cadastros!$N$6:$N$12)))</f>
        <v/>
      </c>
      <c r="Z798" s="168" t="str">
        <f t="shared" si="160"/>
        <v/>
      </c>
      <c r="AA798" s="168" t="str">
        <f>IFERROR(Z798/_xlfn.XLOOKUP(_xlfn.XLOOKUP($F798,Clientes!$B$4:$B$39,Clientes!$C$4:$C$39),Cadastros!$L$6:$L$12,Cadastros!$M$6:$M$12)," ")</f>
        <v xml:space="preserve"> </v>
      </c>
      <c r="AB798" s="28"/>
      <c r="AC798" s="28"/>
      <c r="AD798" s="20" t="str">
        <f>IF(AB798="","",IF($F798="Bernardino Furlan",_xlfn.XLOOKUP(AB798,Cadastros!$G$6:$G$90,Cadastros!$H$6:$H$90)*(1-0.18),IF($F798="Mauro José Salanti",_xlfn.XLOOKUP(AB798,Cadastros!$G$6:$G$90,Cadastros!$H$6:$H$90)*(1-0.18),_xlfn.XLOOKUP(AB798,Cadastros!$G$6:$G$90,Cadastros!$H$6:$H$90))))</f>
        <v/>
      </c>
      <c r="AE798" s="168" t="str">
        <f t="shared" si="161"/>
        <v/>
      </c>
      <c r="AF798" s="168" t="str">
        <f t="shared" si="162"/>
        <v/>
      </c>
      <c r="AG798" s="28"/>
      <c r="AH798" s="28"/>
      <c r="AI798" s="20" t="str">
        <f>IF(AG798="","",IF($F798="Bernardino Furlan",_xlfn.XLOOKUP(AG798,Cadastros!$G$6:$G$90,Cadastros!$H$6:$H$90)*(1-0.18),IF($F798="Mauro José Salanti",_xlfn.XLOOKUP(AG798,Cadastros!$G$6:$G$90,Cadastros!$H$6:$H$90)*(1-0.18),_xlfn.XLOOKUP(AG798,Cadastros!$G$6:$G$90,Cadastros!$H$6:$H$90))))</f>
        <v/>
      </c>
      <c r="AJ798" s="168" t="str">
        <f t="shared" si="163"/>
        <v/>
      </c>
      <c r="AK798" s="168" t="str">
        <f t="shared" si="164"/>
        <v/>
      </c>
      <c r="AL798" s="28"/>
      <c r="AM798" s="28"/>
      <c r="AN798" s="20" t="str">
        <f>IF(AL798="","",IF($F798="Bernardino Furlan",_xlfn.XLOOKUP(AL798,Cadastros!$G$6:$G$90,Cadastros!$H$6:$H$90)*(1-0.18),IF($F798="Mauro José Salanti",_xlfn.XLOOKUP(AL798,Cadastros!$G$6:$G$90,Cadastros!$H$6:$H$90)*(1-0.18),_xlfn.XLOOKUP(AL798,Cadastros!$G$6:$G$90,Cadastros!$H$6:$H$90))))</f>
        <v/>
      </c>
      <c r="AO798" s="168" t="str">
        <f t="shared" si="165"/>
        <v/>
      </c>
      <c r="AP798" s="168" t="str">
        <f t="shared" si="166"/>
        <v/>
      </c>
      <c r="AQ798" s="28"/>
      <c r="AR798" s="28"/>
      <c r="AS798" s="20" t="str">
        <f>IF(AQ798="","",IF($F798="Bernardino Furlan",_xlfn.XLOOKUP(AQ798,Cadastros!$G$6:$G$90,Cadastros!$H$6:$H$90)*(1-0.18),IF($F798="Mauro José Salanti",_xlfn.XLOOKUP(AQ798,Cadastros!$G$6:$G$90,Cadastros!$H$6:$H$90)*(1-0.18),_xlfn.XLOOKUP(AQ798,Cadastros!$G$6:$G$90,Cadastros!$H$6:$H$90))))</f>
        <v/>
      </c>
      <c r="AT798" s="168" t="str">
        <f t="shared" si="167"/>
        <v/>
      </c>
      <c r="AU798" s="168" t="str">
        <f t="shared" si="168"/>
        <v/>
      </c>
      <c r="AV798" s="227"/>
      <c r="AW798" s="30"/>
      <c r="AX798" s="267"/>
      <c r="AY798" s="267"/>
      <c r="AZ798" s="29"/>
      <c r="BA798" s="30"/>
      <c r="BB798" s="23" t="str" cm="1">
        <f t="array" ref="BB798">_xlfn.IFS(AW798="SIM",SUM(K798,P798,U798,Z798,AE798,AJ798,AO798,AT798,AX798,AY798),F798&lt;&gt;"",SUM(K798,P798,U798,Z798,AE798,AJ798,,AO798,AT798),F798="","")</f>
        <v/>
      </c>
      <c r="BC798" s="211" t="str" cm="1">
        <f t="array" ref="BC798">_xlfn.IFS(E798="","",G798&lt;=E798,BB798*(1-0.03),G798&lt;(E798+8),BB798,AZ798="Boleto",BB798*(1+0.001)^DATEDIF(E798,G798,"D"),AZ798="Cheque",BB798,AZ798="Dinheiro","Alterar forma pgto")</f>
        <v/>
      </c>
      <c r="BD798" s="276" t="str" cm="1">
        <f t="array" ref="BD798">IF(F798=0," ",IF(BC798&lt;BB798,(_xlfn.IFS(AW798="SIM",SUM(L798,Q798,V798,AA798,AF798,AK798,AP798,AU798)+AX798/_xlfn.XLOOKUP(_xlfn.XLOOKUP($F798,Clientes!$B$4:$B$39,Clientes!$C$4:$C$39),Cadastros!$L$6:$L$12,Cadastros!$M$6:$M$12)+IF($F798="Bernardino Furlan",AY798/2751.92,IF($F798="Mauro José Salanti",AY798/2751.92,AY798/3356)),F798&lt;&gt;0,SUM(L798,Q798,V798,AA798,AF798,AK798,AP798,AU798)))*(1-0.03),_xlfn.IFS(AW798="SIM",SUM(L798,Q798,V798,AA798,AF798,AK798,AP798,AU798)+AX798/_xlfn.XLOOKUP(_xlfn.XLOOKUP($F798,Clientes!$B$4:$B$39,Clientes!$C$4:$C$39),Cadastros!$L$6:$L$12,Cadastros!$M$6:$M$12)+IF($F798="Bernardino Furlan",AY798/2751.92,IF($F798="Mauro José Salanti",AY798/2751.92,AY798/3356)),F798&lt;&gt;0,SUM(L798,Q798,V798,AA798,AF798,AK798,AP798,AU798))))</f>
        <v xml:space="preserve"> </v>
      </c>
      <c r="BE798" s="120"/>
      <c r="BF798" s="120"/>
      <c r="BG798" s="120"/>
    </row>
    <row r="799" spans="1:59" s="3" customFormat="1" x14ac:dyDescent="0.3">
      <c r="A799" s="15" t="str">
        <f t="shared" si="156"/>
        <v/>
      </c>
      <c r="B799" s="25"/>
      <c r="C799" s="26"/>
      <c r="D799" s="279"/>
      <c r="E799" s="27"/>
      <c r="F799" s="28"/>
      <c r="G799" s="27"/>
      <c r="H799" s="28"/>
      <c r="I799" s="28"/>
      <c r="J799" s="255" t="str">
        <f>IF(H799="","",(_xlfn.XLOOKUP(H799,Cadastros!$D$6:$D$90,Cadastros!$E$6:$E$90))*(1-_xlfn.XLOOKUP(_xlfn.XLOOKUP($F799,Clientes!$B$4:$B$39,Clientes!$C$4:$C$39),Cadastros!$L$6:$L$12,Cadastros!$N$6:$N$12)))</f>
        <v/>
      </c>
      <c r="K799" s="168" t="str">
        <f t="shared" si="157"/>
        <v/>
      </c>
      <c r="L799" s="168" t="str">
        <f>IFERROR(K799/_xlfn.XLOOKUP(_xlfn.XLOOKUP($F799,Clientes!$B$4:$B$39,Clientes!$C$4:$C$39),Cadastros!$L$6:$L$12,Cadastros!$M$6:$M$12)," ")</f>
        <v xml:space="preserve"> </v>
      </c>
      <c r="M799" s="28"/>
      <c r="N799" s="28"/>
      <c r="O799" s="255" t="str">
        <f>IF(M799="","",(_xlfn.XLOOKUP(M799,Cadastros!$D$6:$D$90,Cadastros!$E$6:$E$90))*(1-_xlfn.XLOOKUP(_xlfn.XLOOKUP($F799,Clientes!$B$4:$B$39,Clientes!$C$4:$C$39),Cadastros!$L$6:$L$12,Cadastros!$N$6:$N$12)))</f>
        <v/>
      </c>
      <c r="P799" s="168" t="str">
        <f t="shared" si="158"/>
        <v/>
      </c>
      <c r="Q799" s="168" t="str">
        <f>IFERROR(P799/_xlfn.XLOOKUP(_xlfn.XLOOKUP($F799,Clientes!$B$4:$B$39,Clientes!$C$4:$C$39),Cadastros!$L$6:$L$12,Cadastros!$M$6:$M$12)," ")</f>
        <v xml:space="preserve"> </v>
      </c>
      <c r="R799" s="28"/>
      <c r="S799" s="28"/>
      <c r="T799" s="255" t="str">
        <f>IF(R799="","",(_xlfn.XLOOKUP(R799,Cadastros!$D$6:$D$90,Cadastros!$E$6:$E$90))*(1-_xlfn.XLOOKUP(_xlfn.XLOOKUP($F799,Clientes!$B$4:$B$39,Clientes!$C$4:$C$39),Cadastros!$L$6:$L$12,Cadastros!$N$6:$N$12)))</f>
        <v/>
      </c>
      <c r="U799" s="168" t="str">
        <f t="shared" si="159"/>
        <v/>
      </c>
      <c r="V799" s="168" t="str">
        <f>IFERROR(U799/_xlfn.XLOOKUP(_xlfn.XLOOKUP($F799,Clientes!$B$4:$B$39,Clientes!$C$4:$C$39),Cadastros!$L$6:$L$12,Cadastros!$M$6:$M$12)," ")</f>
        <v xml:space="preserve"> </v>
      </c>
      <c r="W799" s="28"/>
      <c r="X799" s="28"/>
      <c r="Y799" s="255" t="str">
        <f>IF(W799="","",(_xlfn.XLOOKUP(W799,Cadastros!$D$6:$D$90,Cadastros!$E$6:$E$90))*(1-_xlfn.XLOOKUP(_xlfn.XLOOKUP($F799,Clientes!$B$4:$B$39,Clientes!$C$4:$C$39),Cadastros!$L$6:$L$12,Cadastros!$N$6:$N$12)))</f>
        <v/>
      </c>
      <c r="Z799" s="168" t="str">
        <f t="shared" si="160"/>
        <v/>
      </c>
      <c r="AA799" s="168" t="str">
        <f>IFERROR(Z799/_xlfn.XLOOKUP(_xlfn.XLOOKUP($F799,Clientes!$B$4:$B$39,Clientes!$C$4:$C$39),Cadastros!$L$6:$L$12,Cadastros!$M$6:$M$12)," ")</f>
        <v xml:space="preserve"> </v>
      </c>
      <c r="AB799" s="28"/>
      <c r="AC799" s="28"/>
      <c r="AD799" s="20" t="str">
        <f>IF(AB799="","",IF($F799="Bernardino Furlan",_xlfn.XLOOKUP(AB799,Cadastros!$G$6:$G$90,Cadastros!$H$6:$H$90)*(1-0.18),IF($F799="Mauro José Salanti",_xlfn.XLOOKUP(AB799,Cadastros!$G$6:$G$90,Cadastros!$H$6:$H$90)*(1-0.18),_xlfn.XLOOKUP(AB799,Cadastros!$G$6:$G$90,Cadastros!$H$6:$H$90))))</f>
        <v/>
      </c>
      <c r="AE799" s="168" t="str">
        <f t="shared" si="161"/>
        <v/>
      </c>
      <c r="AF799" s="168" t="str">
        <f t="shared" si="162"/>
        <v/>
      </c>
      <c r="AG799" s="28"/>
      <c r="AH799" s="28"/>
      <c r="AI799" s="20" t="str">
        <f>IF(AG799="","",IF($F799="Bernardino Furlan",_xlfn.XLOOKUP(AG799,Cadastros!$G$6:$G$90,Cadastros!$H$6:$H$90)*(1-0.18),IF($F799="Mauro José Salanti",_xlfn.XLOOKUP(AG799,Cadastros!$G$6:$G$90,Cadastros!$H$6:$H$90)*(1-0.18),_xlfn.XLOOKUP(AG799,Cadastros!$G$6:$G$90,Cadastros!$H$6:$H$90))))</f>
        <v/>
      </c>
      <c r="AJ799" s="168" t="str">
        <f t="shared" si="163"/>
        <v/>
      </c>
      <c r="AK799" s="168" t="str">
        <f t="shared" si="164"/>
        <v/>
      </c>
      <c r="AL799" s="28"/>
      <c r="AM799" s="28"/>
      <c r="AN799" s="20" t="str">
        <f>IF(AL799="","",IF($F799="Bernardino Furlan",_xlfn.XLOOKUP(AL799,Cadastros!$G$6:$G$90,Cadastros!$H$6:$H$90)*(1-0.18),IF($F799="Mauro José Salanti",_xlfn.XLOOKUP(AL799,Cadastros!$G$6:$G$90,Cadastros!$H$6:$H$90)*(1-0.18),_xlfn.XLOOKUP(AL799,Cadastros!$G$6:$G$90,Cadastros!$H$6:$H$90))))</f>
        <v/>
      </c>
      <c r="AO799" s="168" t="str">
        <f t="shared" si="165"/>
        <v/>
      </c>
      <c r="AP799" s="168" t="str">
        <f t="shared" si="166"/>
        <v/>
      </c>
      <c r="AQ799" s="28"/>
      <c r="AR799" s="28"/>
      <c r="AS799" s="20" t="str">
        <f>IF(AQ799="","",IF($F799="Bernardino Furlan",_xlfn.XLOOKUP(AQ799,Cadastros!$G$6:$G$90,Cadastros!$H$6:$H$90)*(1-0.18),IF($F799="Mauro José Salanti",_xlfn.XLOOKUP(AQ799,Cadastros!$G$6:$G$90,Cadastros!$H$6:$H$90)*(1-0.18),_xlfn.XLOOKUP(AQ799,Cadastros!$G$6:$G$90,Cadastros!$H$6:$H$90))))</f>
        <v/>
      </c>
      <c r="AT799" s="168" t="str">
        <f t="shared" si="167"/>
        <v/>
      </c>
      <c r="AU799" s="168" t="str">
        <f t="shared" si="168"/>
        <v/>
      </c>
      <c r="AV799" s="227"/>
      <c r="AW799" s="30"/>
      <c r="AX799" s="267"/>
      <c r="AY799" s="267"/>
      <c r="AZ799" s="29"/>
      <c r="BA799" s="30"/>
      <c r="BB799" s="23" t="str" cm="1">
        <f t="array" ref="BB799">_xlfn.IFS(AW799="SIM",SUM(K799,P799,U799,Z799,AE799,AJ799,AO799,AT799,AX799,AY799),F799&lt;&gt;"",SUM(K799,P799,U799,Z799,AE799,AJ799,,AO799,AT799),F799="","")</f>
        <v/>
      </c>
      <c r="BC799" s="211" t="str" cm="1">
        <f t="array" ref="BC799">_xlfn.IFS(E799="","",G799&lt;=E799,BB799*(1-0.03),G799&lt;(E799+8),BB799,AZ799="Boleto",BB799*(1+0.001)^DATEDIF(E799,G799,"D"),AZ799="Cheque",BB799,AZ799="Dinheiro","Alterar forma pgto")</f>
        <v/>
      </c>
      <c r="BD799" s="276" t="str" cm="1">
        <f t="array" ref="BD799">IF(F799=0," ",IF(BC799&lt;BB799,(_xlfn.IFS(AW799="SIM",SUM(L799,Q799,V799,AA799,AF799,AK799,AP799,AU799)+AX799/_xlfn.XLOOKUP(_xlfn.XLOOKUP($F799,Clientes!$B$4:$B$39,Clientes!$C$4:$C$39),Cadastros!$L$6:$L$12,Cadastros!$M$6:$M$12)+IF($F799="Bernardino Furlan",AY799/2751.92,IF($F799="Mauro José Salanti",AY799/2751.92,AY799/3356)),F799&lt;&gt;0,SUM(L799,Q799,V799,AA799,AF799,AK799,AP799,AU799)))*(1-0.03),_xlfn.IFS(AW799="SIM",SUM(L799,Q799,V799,AA799,AF799,AK799,AP799,AU799)+AX799/_xlfn.XLOOKUP(_xlfn.XLOOKUP($F799,Clientes!$B$4:$B$39,Clientes!$C$4:$C$39),Cadastros!$L$6:$L$12,Cadastros!$M$6:$M$12)+IF($F799="Bernardino Furlan",AY799/2751.92,IF($F799="Mauro José Salanti",AY799/2751.92,AY799/3356)),F799&lt;&gt;0,SUM(L799,Q799,V799,AA799,AF799,AK799,AP799,AU799))))</f>
        <v xml:space="preserve"> </v>
      </c>
      <c r="BE799" s="120"/>
      <c r="BF799" s="120"/>
      <c r="BG799" s="120"/>
    </row>
    <row r="800" spans="1:59" s="3" customFormat="1" x14ac:dyDescent="0.3">
      <c r="A800" s="15" t="str">
        <f t="shared" si="156"/>
        <v/>
      </c>
      <c r="B800" s="25"/>
      <c r="C800" s="26"/>
      <c r="D800" s="279"/>
      <c r="E800" s="27"/>
      <c r="F800" s="28"/>
      <c r="G800" s="27"/>
      <c r="H800" s="28"/>
      <c r="I800" s="28"/>
      <c r="J800" s="255" t="str">
        <f>IF(H800="","",(_xlfn.XLOOKUP(H800,Cadastros!$D$6:$D$90,Cadastros!$E$6:$E$90))*(1-_xlfn.XLOOKUP(_xlfn.XLOOKUP($F800,Clientes!$B$4:$B$39,Clientes!$C$4:$C$39),Cadastros!$L$6:$L$12,Cadastros!$N$6:$N$12)))</f>
        <v/>
      </c>
      <c r="K800" s="168" t="str">
        <f t="shared" si="157"/>
        <v/>
      </c>
      <c r="L800" s="168" t="str">
        <f>IFERROR(K800/_xlfn.XLOOKUP(_xlfn.XLOOKUP($F800,Clientes!$B$4:$B$39,Clientes!$C$4:$C$39),Cadastros!$L$6:$L$12,Cadastros!$M$6:$M$12)," ")</f>
        <v xml:space="preserve"> </v>
      </c>
      <c r="M800" s="28"/>
      <c r="N800" s="28"/>
      <c r="O800" s="255" t="str">
        <f>IF(M800="","",(_xlfn.XLOOKUP(M800,Cadastros!$D$6:$D$90,Cadastros!$E$6:$E$90))*(1-_xlfn.XLOOKUP(_xlfn.XLOOKUP($F800,Clientes!$B$4:$B$39,Clientes!$C$4:$C$39),Cadastros!$L$6:$L$12,Cadastros!$N$6:$N$12)))</f>
        <v/>
      </c>
      <c r="P800" s="168" t="str">
        <f t="shared" si="158"/>
        <v/>
      </c>
      <c r="Q800" s="168" t="str">
        <f>IFERROR(P800/_xlfn.XLOOKUP(_xlfn.XLOOKUP($F800,Clientes!$B$4:$B$39,Clientes!$C$4:$C$39),Cadastros!$L$6:$L$12,Cadastros!$M$6:$M$12)," ")</f>
        <v xml:space="preserve"> </v>
      </c>
      <c r="R800" s="28"/>
      <c r="S800" s="28"/>
      <c r="T800" s="255" t="str">
        <f>IF(R800="","",(_xlfn.XLOOKUP(R800,Cadastros!$D$6:$D$90,Cadastros!$E$6:$E$90))*(1-_xlfn.XLOOKUP(_xlfn.XLOOKUP($F800,Clientes!$B$4:$B$39,Clientes!$C$4:$C$39),Cadastros!$L$6:$L$12,Cadastros!$N$6:$N$12)))</f>
        <v/>
      </c>
      <c r="U800" s="168" t="str">
        <f t="shared" si="159"/>
        <v/>
      </c>
      <c r="V800" s="168" t="str">
        <f>IFERROR(U800/_xlfn.XLOOKUP(_xlfn.XLOOKUP($F800,Clientes!$B$4:$B$39,Clientes!$C$4:$C$39),Cadastros!$L$6:$L$12,Cadastros!$M$6:$M$12)," ")</f>
        <v xml:space="preserve"> </v>
      </c>
      <c r="W800" s="28"/>
      <c r="X800" s="28"/>
      <c r="Y800" s="255" t="str">
        <f>IF(W800="","",(_xlfn.XLOOKUP(W800,Cadastros!$D$6:$D$90,Cadastros!$E$6:$E$90))*(1-_xlfn.XLOOKUP(_xlfn.XLOOKUP($F800,Clientes!$B$4:$B$39,Clientes!$C$4:$C$39),Cadastros!$L$6:$L$12,Cadastros!$N$6:$N$12)))</f>
        <v/>
      </c>
      <c r="Z800" s="168" t="str">
        <f t="shared" si="160"/>
        <v/>
      </c>
      <c r="AA800" s="168" t="str">
        <f>IFERROR(Z800/_xlfn.XLOOKUP(_xlfn.XLOOKUP($F800,Clientes!$B$4:$B$39,Clientes!$C$4:$C$39),Cadastros!$L$6:$L$12,Cadastros!$M$6:$M$12)," ")</f>
        <v xml:space="preserve"> </v>
      </c>
      <c r="AB800" s="28"/>
      <c r="AC800" s="28"/>
      <c r="AD800" s="20" t="str">
        <f>IF(AB800="","",IF($F800="Bernardino Furlan",_xlfn.XLOOKUP(AB800,Cadastros!$G$6:$G$90,Cadastros!$H$6:$H$90)*(1-0.18),IF($F800="Mauro José Salanti",_xlfn.XLOOKUP(AB800,Cadastros!$G$6:$G$90,Cadastros!$H$6:$H$90)*(1-0.18),_xlfn.XLOOKUP(AB800,Cadastros!$G$6:$G$90,Cadastros!$H$6:$H$90))))</f>
        <v/>
      </c>
      <c r="AE800" s="168" t="str">
        <f t="shared" si="161"/>
        <v/>
      </c>
      <c r="AF800" s="168" t="str">
        <f t="shared" si="162"/>
        <v/>
      </c>
      <c r="AG800" s="28"/>
      <c r="AH800" s="28"/>
      <c r="AI800" s="20" t="str">
        <f>IF(AG800="","",IF($F800="Bernardino Furlan",_xlfn.XLOOKUP(AG800,Cadastros!$G$6:$G$90,Cadastros!$H$6:$H$90)*(1-0.18),IF($F800="Mauro José Salanti",_xlfn.XLOOKUP(AG800,Cadastros!$G$6:$G$90,Cadastros!$H$6:$H$90)*(1-0.18),_xlfn.XLOOKUP(AG800,Cadastros!$G$6:$G$90,Cadastros!$H$6:$H$90))))</f>
        <v/>
      </c>
      <c r="AJ800" s="168" t="str">
        <f t="shared" si="163"/>
        <v/>
      </c>
      <c r="AK800" s="168" t="str">
        <f t="shared" si="164"/>
        <v/>
      </c>
      <c r="AL800" s="28"/>
      <c r="AM800" s="28"/>
      <c r="AN800" s="20" t="str">
        <f>IF(AL800="","",IF($F800="Bernardino Furlan",_xlfn.XLOOKUP(AL800,Cadastros!$G$6:$G$90,Cadastros!$H$6:$H$90)*(1-0.18),IF($F800="Mauro José Salanti",_xlfn.XLOOKUP(AL800,Cadastros!$G$6:$G$90,Cadastros!$H$6:$H$90)*(1-0.18),_xlfn.XLOOKUP(AL800,Cadastros!$G$6:$G$90,Cadastros!$H$6:$H$90))))</f>
        <v/>
      </c>
      <c r="AO800" s="168" t="str">
        <f t="shared" si="165"/>
        <v/>
      </c>
      <c r="AP800" s="168" t="str">
        <f t="shared" si="166"/>
        <v/>
      </c>
      <c r="AQ800" s="28"/>
      <c r="AR800" s="28"/>
      <c r="AS800" s="20" t="str">
        <f>IF(AQ800="","",IF($F800="Bernardino Furlan",_xlfn.XLOOKUP(AQ800,Cadastros!$G$6:$G$90,Cadastros!$H$6:$H$90)*(1-0.18),IF($F800="Mauro José Salanti",_xlfn.XLOOKUP(AQ800,Cadastros!$G$6:$G$90,Cadastros!$H$6:$H$90)*(1-0.18),_xlfn.XLOOKUP(AQ800,Cadastros!$G$6:$G$90,Cadastros!$H$6:$H$90))))</f>
        <v/>
      </c>
      <c r="AT800" s="168" t="str">
        <f t="shared" si="167"/>
        <v/>
      </c>
      <c r="AU800" s="168" t="str">
        <f t="shared" si="168"/>
        <v/>
      </c>
      <c r="AV800" s="227"/>
      <c r="AW800" s="30"/>
      <c r="AX800" s="267"/>
      <c r="AY800" s="267"/>
      <c r="AZ800" s="29"/>
      <c r="BA800" s="30"/>
      <c r="BB800" s="23" t="str" cm="1">
        <f t="array" ref="BB800">_xlfn.IFS(AW800="SIM",SUM(K800,P800,U800,Z800,AE800,AJ800,AO800,AT800,AX800,AY800),F800&lt;&gt;"",SUM(K800,P800,U800,Z800,AE800,AJ800,,AO800,AT800),F800="","")</f>
        <v/>
      </c>
      <c r="BC800" s="211" t="str" cm="1">
        <f t="array" ref="BC800">_xlfn.IFS(E800="","",G800&lt;=E800,BB800*(1-0.03),G800&lt;(E800+8),BB800,AZ800="Boleto",BB800*(1+0.001)^DATEDIF(E800,G800,"D"),AZ800="Cheque",BB800,AZ800="Dinheiro","Alterar forma pgto")</f>
        <v/>
      </c>
      <c r="BD800" s="276" t="str" cm="1">
        <f t="array" ref="BD800">IF(F800=0," ",IF(BC800&lt;BB800,(_xlfn.IFS(AW800="SIM",SUM(L800,Q800,V800,AA800,AF800,AK800,AP800,AU800)+AX800/_xlfn.XLOOKUP(_xlfn.XLOOKUP($F800,Clientes!$B$4:$B$39,Clientes!$C$4:$C$39),Cadastros!$L$6:$L$12,Cadastros!$M$6:$M$12)+IF($F800="Bernardino Furlan",AY800/2751.92,IF($F800="Mauro José Salanti",AY800/2751.92,AY800/3356)),F800&lt;&gt;0,SUM(L800,Q800,V800,AA800,AF800,AK800,AP800,AU800)))*(1-0.03),_xlfn.IFS(AW800="SIM",SUM(L800,Q800,V800,AA800,AF800,AK800,AP800,AU800)+AX800/_xlfn.XLOOKUP(_xlfn.XLOOKUP($F800,Clientes!$B$4:$B$39,Clientes!$C$4:$C$39),Cadastros!$L$6:$L$12,Cadastros!$M$6:$M$12)+IF($F800="Bernardino Furlan",AY800/2751.92,IF($F800="Mauro José Salanti",AY800/2751.92,AY800/3356)),F800&lt;&gt;0,SUM(L800,Q800,V800,AA800,AF800,AK800,AP800,AU800))))</f>
        <v xml:space="preserve"> </v>
      </c>
      <c r="BE800" s="120"/>
      <c r="BF800" s="120"/>
      <c r="BG800" s="120"/>
    </row>
    <row r="801" spans="1:59" s="3" customFormat="1" x14ac:dyDescent="0.3">
      <c r="A801" s="15" t="str">
        <f t="shared" si="156"/>
        <v/>
      </c>
      <c r="B801" s="25"/>
      <c r="C801" s="26"/>
      <c r="D801" s="279"/>
      <c r="E801" s="27"/>
      <c r="F801" s="28"/>
      <c r="G801" s="27"/>
      <c r="H801" s="28"/>
      <c r="I801" s="28"/>
      <c r="J801" s="255" t="str">
        <f>IF(H801="","",(_xlfn.XLOOKUP(H801,Cadastros!$D$6:$D$90,Cadastros!$E$6:$E$90))*(1-_xlfn.XLOOKUP(_xlfn.XLOOKUP($F801,Clientes!$B$4:$B$39,Clientes!$C$4:$C$39),Cadastros!$L$6:$L$12,Cadastros!$N$6:$N$12)))</f>
        <v/>
      </c>
      <c r="K801" s="168" t="str">
        <f t="shared" si="157"/>
        <v/>
      </c>
      <c r="L801" s="168" t="str">
        <f>IFERROR(K801/_xlfn.XLOOKUP(_xlfn.XLOOKUP($F801,Clientes!$B$4:$B$39,Clientes!$C$4:$C$39),Cadastros!$L$6:$L$12,Cadastros!$M$6:$M$12)," ")</f>
        <v xml:space="preserve"> </v>
      </c>
      <c r="M801" s="28"/>
      <c r="N801" s="28"/>
      <c r="O801" s="255" t="str">
        <f>IF(M801="","",(_xlfn.XLOOKUP(M801,Cadastros!$D$6:$D$90,Cadastros!$E$6:$E$90))*(1-_xlfn.XLOOKUP(_xlfn.XLOOKUP($F801,Clientes!$B$4:$B$39,Clientes!$C$4:$C$39),Cadastros!$L$6:$L$12,Cadastros!$N$6:$N$12)))</f>
        <v/>
      </c>
      <c r="P801" s="168" t="str">
        <f t="shared" si="158"/>
        <v/>
      </c>
      <c r="Q801" s="168" t="str">
        <f>IFERROR(P801/_xlfn.XLOOKUP(_xlfn.XLOOKUP($F801,Clientes!$B$4:$B$39,Clientes!$C$4:$C$39),Cadastros!$L$6:$L$12,Cadastros!$M$6:$M$12)," ")</f>
        <v xml:space="preserve"> </v>
      </c>
      <c r="R801" s="28"/>
      <c r="S801" s="28"/>
      <c r="T801" s="255" t="str">
        <f>IF(R801="","",(_xlfn.XLOOKUP(R801,Cadastros!$D$6:$D$90,Cadastros!$E$6:$E$90))*(1-_xlfn.XLOOKUP(_xlfn.XLOOKUP($F801,Clientes!$B$4:$B$39,Clientes!$C$4:$C$39),Cadastros!$L$6:$L$12,Cadastros!$N$6:$N$12)))</f>
        <v/>
      </c>
      <c r="U801" s="168" t="str">
        <f t="shared" si="159"/>
        <v/>
      </c>
      <c r="V801" s="168" t="str">
        <f>IFERROR(U801/_xlfn.XLOOKUP(_xlfn.XLOOKUP($F801,Clientes!$B$4:$B$39,Clientes!$C$4:$C$39),Cadastros!$L$6:$L$12,Cadastros!$M$6:$M$12)," ")</f>
        <v xml:space="preserve"> </v>
      </c>
      <c r="W801" s="28"/>
      <c r="X801" s="28"/>
      <c r="Y801" s="255" t="str">
        <f>IF(W801="","",(_xlfn.XLOOKUP(W801,Cadastros!$D$6:$D$90,Cadastros!$E$6:$E$90))*(1-_xlfn.XLOOKUP(_xlfn.XLOOKUP($F801,Clientes!$B$4:$B$39,Clientes!$C$4:$C$39),Cadastros!$L$6:$L$12,Cadastros!$N$6:$N$12)))</f>
        <v/>
      </c>
      <c r="Z801" s="168" t="str">
        <f t="shared" si="160"/>
        <v/>
      </c>
      <c r="AA801" s="168" t="str">
        <f>IFERROR(Z801/_xlfn.XLOOKUP(_xlfn.XLOOKUP($F801,Clientes!$B$4:$B$39,Clientes!$C$4:$C$39),Cadastros!$L$6:$L$12,Cadastros!$M$6:$M$12)," ")</f>
        <v xml:space="preserve"> </v>
      </c>
      <c r="AB801" s="28"/>
      <c r="AC801" s="28"/>
      <c r="AD801" s="20" t="str">
        <f>IF(AB801="","",IF($F801="Bernardino Furlan",_xlfn.XLOOKUP(AB801,Cadastros!$G$6:$G$90,Cadastros!$H$6:$H$90)*(1-0.18),IF($F801="Mauro José Salanti",_xlfn.XLOOKUP(AB801,Cadastros!$G$6:$G$90,Cadastros!$H$6:$H$90)*(1-0.18),_xlfn.XLOOKUP(AB801,Cadastros!$G$6:$G$90,Cadastros!$H$6:$H$90))))</f>
        <v/>
      </c>
      <c r="AE801" s="168" t="str">
        <f t="shared" si="161"/>
        <v/>
      </c>
      <c r="AF801" s="168" t="str">
        <f t="shared" si="162"/>
        <v/>
      </c>
      <c r="AG801" s="28"/>
      <c r="AH801" s="28"/>
      <c r="AI801" s="20" t="str">
        <f>IF(AG801="","",IF($F801="Bernardino Furlan",_xlfn.XLOOKUP(AG801,Cadastros!$G$6:$G$90,Cadastros!$H$6:$H$90)*(1-0.18),IF($F801="Mauro José Salanti",_xlfn.XLOOKUP(AG801,Cadastros!$G$6:$G$90,Cadastros!$H$6:$H$90)*(1-0.18),_xlfn.XLOOKUP(AG801,Cadastros!$G$6:$G$90,Cadastros!$H$6:$H$90))))</f>
        <v/>
      </c>
      <c r="AJ801" s="168" t="str">
        <f t="shared" si="163"/>
        <v/>
      </c>
      <c r="AK801" s="168" t="str">
        <f t="shared" si="164"/>
        <v/>
      </c>
      <c r="AL801" s="28"/>
      <c r="AM801" s="28"/>
      <c r="AN801" s="20" t="str">
        <f>IF(AL801="","",IF($F801="Bernardino Furlan",_xlfn.XLOOKUP(AL801,Cadastros!$G$6:$G$90,Cadastros!$H$6:$H$90)*(1-0.18),IF($F801="Mauro José Salanti",_xlfn.XLOOKUP(AL801,Cadastros!$G$6:$G$90,Cadastros!$H$6:$H$90)*(1-0.18),_xlfn.XLOOKUP(AL801,Cadastros!$G$6:$G$90,Cadastros!$H$6:$H$90))))</f>
        <v/>
      </c>
      <c r="AO801" s="168" t="str">
        <f t="shared" si="165"/>
        <v/>
      </c>
      <c r="AP801" s="168" t="str">
        <f t="shared" si="166"/>
        <v/>
      </c>
      <c r="AQ801" s="28"/>
      <c r="AR801" s="28"/>
      <c r="AS801" s="20" t="str">
        <f>IF(AQ801="","",IF($F801="Bernardino Furlan",_xlfn.XLOOKUP(AQ801,Cadastros!$G$6:$G$90,Cadastros!$H$6:$H$90)*(1-0.18),IF($F801="Mauro José Salanti",_xlfn.XLOOKUP(AQ801,Cadastros!$G$6:$G$90,Cadastros!$H$6:$H$90)*(1-0.18),_xlfn.XLOOKUP(AQ801,Cadastros!$G$6:$G$90,Cadastros!$H$6:$H$90))))</f>
        <v/>
      </c>
      <c r="AT801" s="168" t="str">
        <f t="shared" si="167"/>
        <v/>
      </c>
      <c r="AU801" s="168" t="str">
        <f t="shared" si="168"/>
        <v/>
      </c>
      <c r="AV801" s="227"/>
      <c r="AW801" s="30"/>
      <c r="AX801" s="267"/>
      <c r="AY801" s="267"/>
      <c r="AZ801" s="29"/>
      <c r="BA801" s="30"/>
      <c r="BB801" s="23" t="str" cm="1">
        <f t="array" ref="BB801">_xlfn.IFS(AW801="SIM",SUM(K801,P801,U801,Z801,AE801,AJ801,AO801,AT801,AX801,AY801),F801&lt;&gt;"",SUM(K801,P801,U801,Z801,AE801,AJ801,,AO801,AT801),F801="","")</f>
        <v/>
      </c>
      <c r="BC801" s="211" t="str" cm="1">
        <f t="array" ref="BC801">_xlfn.IFS(E801="","",G801&lt;=E801,BB801*(1-0.03),G801&lt;(E801+8),BB801,AZ801="Boleto",BB801*(1+0.001)^DATEDIF(E801,G801,"D"),AZ801="Cheque",BB801,AZ801="Dinheiro","Alterar forma pgto")</f>
        <v/>
      </c>
      <c r="BD801" s="276" t="str" cm="1">
        <f t="array" ref="BD801">IF(F801=0," ",IF(BC801&lt;BB801,(_xlfn.IFS(AW801="SIM",SUM(L801,Q801,V801,AA801,AF801,AK801,AP801,AU801)+AX801/_xlfn.XLOOKUP(_xlfn.XLOOKUP($F801,Clientes!$B$4:$B$39,Clientes!$C$4:$C$39),Cadastros!$L$6:$L$12,Cadastros!$M$6:$M$12)+IF($F801="Bernardino Furlan",AY801/2751.92,IF($F801="Mauro José Salanti",AY801/2751.92,AY801/3356)),F801&lt;&gt;0,SUM(L801,Q801,V801,AA801,AF801,AK801,AP801,AU801)))*(1-0.03),_xlfn.IFS(AW801="SIM",SUM(L801,Q801,V801,AA801,AF801,AK801,AP801,AU801)+AX801/_xlfn.XLOOKUP(_xlfn.XLOOKUP($F801,Clientes!$B$4:$B$39,Clientes!$C$4:$C$39),Cadastros!$L$6:$L$12,Cadastros!$M$6:$M$12)+IF($F801="Bernardino Furlan",AY801/2751.92,IF($F801="Mauro José Salanti",AY801/2751.92,AY801/3356)),F801&lt;&gt;0,SUM(L801,Q801,V801,AA801,AF801,AK801,AP801,AU801))))</f>
        <v xml:space="preserve"> </v>
      </c>
      <c r="BE801" s="120"/>
      <c r="BF801" s="120"/>
      <c r="BG801" s="120"/>
    </row>
    <row r="802" spans="1:59" s="3" customFormat="1" x14ac:dyDescent="0.3">
      <c r="A802" s="15" t="str">
        <f t="shared" si="156"/>
        <v/>
      </c>
      <c r="B802" s="25"/>
      <c r="C802" s="26"/>
      <c r="D802" s="279"/>
      <c r="E802" s="27"/>
      <c r="F802" s="28"/>
      <c r="G802" s="27"/>
      <c r="H802" s="28"/>
      <c r="I802" s="28"/>
      <c r="J802" s="255" t="str">
        <f>IF(H802="","",(_xlfn.XLOOKUP(H802,Cadastros!$D$6:$D$90,Cadastros!$E$6:$E$90))*(1-_xlfn.XLOOKUP(_xlfn.XLOOKUP($F802,Clientes!$B$4:$B$39,Clientes!$C$4:$C$39),Cadastros!$L$6:$L$12,Cadastros!$N$6:$N$12)))</f>
        <v/>
      </c>
      <c r="K802" s="168" t="str">
        <f t="shared" si="157"/>
        <v/>
      </c>
      <c r="L802" s="168" t="str">
        <f>IFERROR(K802/_xlfn.XLOOKUP(_xlfn.XLOOKUP($F802,Clientes!$B$4:$B$39,Clientes!$C$4:$C$39),Cadastros!$L$6:$L$12,Cadastros!$M$6:$M$12)," ")</f>
        <v xml:space="preserve"> </v>
      </c>
      <c r="M802" s="28"/>
      <c r="N802" s="28"/>
      <c r="O802" s="255" t="str">
        <f>IF(M802="","",(_xlfn.XLOOKUP(M802,Cadastros!$D$6:$D$90,Cadastros!$E$6:$E$90))*(1-_xlfn.XLOOKUP(_xlfn.XLOOKUP($F802,Clientes!$B$4:$B$39,Clientes!$C$4:$C$39),Cadastros!$L$6:$L$12,Cadastros!$N$6:$N$12)))</f>
        <v/>
      </c>
      <c r="P802" s="168" t="str">
        <f t="shared" si="158"/>
        <v/>
      </c>
      <c r="Q802" s="168" t="str">
        <f>IFERROR(P802/_xlfn.XLOOKUP(_xlfn.XLOOKUP($F802,Clientes!$B$4:$B$39,Clientes!$C$4:$C$39),Cadastros!$L$6:$L$12,Cadastros!$M$6:$M$12)," ")</f>
        <v xml:space="preserve"> </v>
      </c>
      <c r="R802" s="28"/>
      <c r="S802" s="28"/>
      <c r="T802" s="255" t="str">
        <f>IF(R802="","",(_xlfn.XLOOKUP(R802,Cadastros!$D$6:$D$90,Cadastros!$E$6:$E$90))*(1-_xlfn.XLOOKUP(_xlfn.XLOOKUP($F802,Clientes!$B$4:$B$39,Clientes!$C$4:$C$39),Cadastros!$L$6:$L$12,Cadastros!$N$6:$N$12)))</f>
        <v/>
      </c>
      <c r="U802" s="168" t="str">
        <f t="shared" si="159"/>
        <v/>
      </c>
      <c r="V802" s="168" t="str">
        <f>IFERROR(U802/_xlfn.XLOOKUP(_xlfn.XLOOKUP($F802,Clientes!$B$4:$B$39,Clientes!$C$4:$C$39),Cadastros!$L$6:$L$12,Cadastros!$M$6:$M$12)," ")</f>
        <v xml:space="preserve"> </v>
      </c>
      <c r="W802" s="28"/>
      <c r="X802" s="28"/>
      <c r="Y802" s="255" t="str">
        <f>IF(W802="","",(_xlfn.XLOOKUP(W802,Cadastros!$D$6:$D$90,Cadastros!$E$6:$E$90))*(1-_xlfn.XLOOKUP(_xlfn.XLOOKUP($F802,Clientes!$B$4:$B$39,Clientes!$C$4:$C$39),Cadastros!$L$6:$L$12,Cadastros!$N$6:$N$12)))</f>
        <v/>
      </c>
      <c r="Z802" s="168" t="str">
        <f t="shared" si="160"/>
        <v/>
      </c>
      <c r="AA802" s="168" t="str">
        <f>IFERROR(Z802/_xlfn.XLOOKUP(_xlfn.XLOOKUP($F802,Clientes!$B$4:$B$39,Clientes!$C$4:$C$39),Cadastros!$L$6:$L$12,Cadastros!$M$6:$M$12)," ")</f>
        <v xml:space="preserve"> </v>
      </c>
      <c r="AB802" s="28"/>
      <c r="AC802" s="28"/>
      <c r="AD802" s="20" t="str">
        <f>IF(AB802="","",IF($F802="Bernardino Furlan",_xlfn.XLOOKUP(AB802,Cadastros!$G$6:$G$90,Cadastros!$H$6:$H$90)*(1-0.18),IF($F802="Mauro José Salanti",_xlfn.XLOOKUP(AB802,Cadastros!$G$6:$G$90,Cadastros!$H$6:$H$90)*(1-0.18),_xlfn.XLOOKUP(AB802,Cadastros!$G$6:$G$90,Cadastros!$H$6:$H$90))))</f>
        <v/>
      </c>
      <c r="AE802" s="168" t="str">
        <f t="shared" si="161"/>
        <v/>
      </c>
      <c r="AF802" s="168" t="str">
        <f t="shared" si="162"/>
        <v/>
      </c>
      <c r="AG802" s="28"/>
      <c r="AH802" s="28"/>
      <c r="AI802" s="20" t="str">
        <f>IF(AG802="","",IF($F802="Bernardino Furlan",_xlfn.XLOOKUP(AG802,Cadastros!$G$6:$G$90,Cadastros!$H$6:$H$90)*(1-0.18),IF($F802="Mauro José Salanti",_xlfn.XLOOKUP(AG802,Cadastros!$G$6:$G$90,Cadastros!$H$6:$H$90)*(1-0.18),_xlfn.XLOOKUP(AG802,Cadastros!$G$6:$G$90,Cadastros!$H$6:$H$90))))</f>
        <v/>
      </c>
      <c r="AJ802" s="168" t="str">
        <f t="shared" si="163"/>
        <v/>
      </c>
      <c r="AK802" s="168" t="str">
        <f t="shared" si="164"/>
        <v/>
      </c>
      <c r="AL802" s="28"/>
      <c r="AM802" s="28"/>
      <c r="AN802" s="20" t="str">
        <f>IF(AL802="","",IF($F802="Bernardino Furlan",_xlfn.XLOOKUP(AL802,Cadastros!$G$6:$G$90,Cadastros!$H$6:$H$90)*(1-0.18),IF($F802="Mauro José Salanti",_xlfn.XLOOKUP(AL802,Cadastros!$G$6:$G$90,Cadastros!$H$6:$H$90)*(1-0.18),_xlfn.XLOOKUP(AL802,Cadastros!$G$6:$G$90,Cadastros!$H$6:$H$90))))</f>
        <v/>
      </c>
      <c r="AO802" s="168" t="str">
        <f t="shared" si="165"/>
        <v/>
      </c>
      <c r="AP802" s="168" t="str">
        <f t="shared" si="166"/>
        <v/>
      </c>
      <c r="AQ802" s="28"/>
      <c r="AR802" s="28"/>
      <c r="AS802" s="20" t="str">
        <f>IF(AQ802="","",IF($F802="Bernardino Furlan",_xlfn.XLOOKUP(AQ802,Cadastros!$G$6:$G$90,Cadastros!$H$6:$H$90)*(1-0.18),IF($F802="Mauro José Salanti",_xlfn.XLOOKUP(AQ802,Cadastros!$G$6:$G$90,Cadastros!$H$6:$H$90)*(1-0.18),_xlfn.XLOOKUP(AQ802,Cadastros!$G$6:$G$90,Cadastros!$H$6:$H$90))))</f>
        <v/>
      </c>
      <c r="AT802" s="168" t="str">
        <f t="shared" si="167"/>
        <v/>
      </c>
      <c r="AU802" s="168" t="str">
        <f t="shared" si="168"/>
        <v/>
      </c>
      <c r="AV802" s="227"/>
      <c r="AW802" s="30"/>
      <c r="AX802" s="267"/>
      <c r="AY802" s="267"/>
      <c r="AZ802" s="29"/>
      <c r="BA802" s="30"/>
      <c r="BB802" s="23" t="str" cm="1">
        <f t="array" ref="BB802">_xlfn.IFS(AW802="SIM",SUM(K802,P802,U802,Z802,AE802,AJ802,AO802,AT802,AX802,AY802),F802&lt;&gt;"",SUM(K802,P802,U802,Z802,AE802,AJ802,,AO802,AT802),F802="","")</f>
        <v/>
      </c>
      <c r="BC802" s="211" t="str" cm="1">
        <f t="array" ref="BC802">_xlfn.IFS(E802="","",G802&lt;=E802,BB802*(1-0.03),G802&lt;(E802+8),BB802,AZ802="Boleto",BB802*(1+0.001)^DATEDIF(E802,G802,"D"),AZ802="Cheque",BB802,AZ802="Dinheiro","Alterar forma pgto")</f>
        <v/>
      </c>
      <c r="BD802" s="276" t="str" cm="1">
        <f t="array" ref="BD802">IF(F802=0," ",IF(BC802&lt;BB802,(_xlfn.IFS(AW802="SIM",SUM(L802,Q802,V802,AA802,AF802,AK802,AP802,AU802)+AX802/_xlfn.XLOOKUP(_xlfn.XLOOKUP($F802,Clientes!$B$4:$B$39,Clientes!$C$4:$C$39),Cadastros!$L$6:$L$12,Cadastros!$M$6:$M$12)+IF($F802="Bernardino Furlan",AY802/2751.92,IF($F802="Mauro José Salanti",AY802/2751.92,AY802/3356)),F802&lt;&gt;0,SUM(L802,Q802,V802,AA802,AF802,AK802,AP802,AU802)))*(1-0.03),_xlfn.IFS(AW802="SIM",SUM(L802,Q802,V802,AA802,AF802,AK802,AP802,AU802)+AX802/_xlfn.XLOOKUP(_xlfn.XLOOKUP($F802,Clientes!$B$4:$B$39,Clientes!$C$4:$C$39),Cadastros!$L$6:$L$12,Cadastros!$M$6:$M$12)+IF($F802="Bernardino Furlan",AY802/2751.92,IF($F802="Mauro José Salanti",AY802/2751.92,AY802/3356)),F802&lt;&gt;0,SUM(L802,Q802,V802,AA802,AF802,AK802,AP802,AU802))))</f>
        <v xml:space="preserve"> </v>
      </c>
      <c r="BE802" s="120"/>
      <c r="BF802" s="120"/>
      <c r="BG802" s="120"/>
    </row>
    <row r="803" spans="1:59" s="3" customFormat="1" x14ac:dyDescent="0.3">
      <c r="A803" s="15" t="str">
        <f t="shared" si="156"/>
        <v/>
      </c>
      <c r="B803" s="25"/>
      <c r="C803" s="26"/>
      <c r="D803" s="279"/>
      <c r="E803" s="27"/>
      <c r="F803" s="28"/>
      <c r="G803" s="27"/>
      <c r="H803" s="28"/>
      <c r="I803" s="28"/>
      <c r="J803" s="255" t="str">
        <f>IF(H803="","",(_xlfn.XLOOKUP(H803,Cadastros!$D$6:$D$90,Cadastros!$E$6:$E$90))*(1-_xlfn.XLOOKUP(_xlfn.XLOOKUP($F803,Clientes!$B$4:$B$39,Clientes!$C$4:$C$39),Cadastros!$L$6:$L$12,Cadastros!$N$6:$N$12)))</f>
        <v/>
      </c>
      <c r="K803" s="168" t="str">
        <f t="shared" si="157"/>
        <v/>
      </c>
      <c r="L803" s="168" t="str">
        <f>IFERROR(K803/_xlfn.XLOOKUP(_xlfn.XLOOKUP($F803,Clientes!$B$4:$B$39,Clientes!$C$4:$C$39),Cadastros!$L$6:$L$12,Cadastros!$M$6:$M$12)," ")</f>
        <v xml:space="preserve"> </v>
      </c>
      <c r="M803" s="28"/>
      <c r="N803" s="28"/>
      <c r="O803" s="255" t="str">
        <f>IF(M803="","",(_xlfn.XLOOKUP(M803,Cadastros!$D$6:$D$90,Cadastros!$E$6:$E$90))*(1-_xlfn.XLOOKUP(_xlfn.XLOOKUP($F803,Clientes!$B$4:$B$39,Clientes!$C$4:$C$39),Cadastros!$L$6:$L$12,Cadastros!$N$6:$N$12)))</f>
        <v/>
      </c>
      <c r="P803" s="168" t="str">
        <f t="shared" si="158"/>
        <v/>
      </c>
      <c r="Q803" s="168" t="str">
        <f>IFERROR(P803/_xlfn.XLOOKUP(_xlfn.XLOOKUP($F803,Clientes!$B$4:$B$39,Clientes!$C$4:$C$39),Cadastros!$L$6:$L$12,Cadastros!$M$6:$M$12)," ")</f>
        <v xml:space="preserve"> </v>
      </c>
      <c r="R803" s="28"/>
      <c r="S803" s="28"/>
      <c r="T803" s="255" t="str">
        <f>IF(R803="","",(_xlfn.XLOOKUP(R803,Cadastros!$D$6:$D$90,Cadastros!$E$6:$E$90))*(1-_xlfn.XLOOKUP(_xlfn.XLOOKUP($F803,Clientes!$B$4:$B$39,Clientes!$C$4:$C$39),Cadastros!$L$6:$L$12,Cadastros!$N$6:$N$12)))</f>
        <v/>
      </c>
      <c r="U803" s="168" t="str">
        <f t="shared" si="159"/>
        <v/>
      </c>
      <c r="V803" s="168" t="str">
        <f>IFERROR(U803/_xlfn.XLOOKUP(_xlfn.XLOOKUP($F803,Clientes!$B$4:$B$39,Clientes!$C$4:$C$39),Cadastros!$L$6:$L$12,Cadastros!$M$6:$M$12)," ")</f>
        <v xml:space="preserve"> </v>
      </c>
      <c r="W803" s="28"/>
      <c r="X803" s="28"/>
      <c r="Y803" s="255" t="str">
        <f>IF(W803="","",(_xlfn.XLOOKUP(W803,Cadastros!$D$6:$D$90,Cadastros!$E$6:$E$90))*(1-_xlfn.XLOOKUP(_xlfn.XLOOKUP($F803,Clientes!$B$4:$B$39,Clientes!$C$4:$C$39),Cadastros!$L$6:$L$12,Cadastros!$N$6:$N$12)))</f>
        <v/>
      </c>
      <c r="Z803" s="168" t="str">
        <f t="shared" si="160"/>
        <v/>
      </c>
      <c r="AA803" s="168" t="str">
        <f>IFERROR(Z803/_xlfn.XLOOKUP(_xlfn.XLOOKUP($F803,Clientes!$B$4:$B$39,Clientes!$C$4:$C$39),Cadastros!$L$6:$L$12,Cadastros!$M$6:$M$12)," ")</f>
        <v xml:space="preserve"> </v>
      </c>
      <c r="AB803" s="28"/>
      <c r="AC803" s="28"/>
      <c r="AD803" s="20" t="str">
        <f>IF(AB803="","",IF($F803="Bernardino Furlan",_xlfn.XLOOKUP(AB803,Cadastros!$G$6:$G$90,Cadastros!$H$6:$H$90)*(1-0.18),IF($F803="Mauro José Salanti",_xlfn.XLOOKUP(AB803,Cadastros!$G$6:$G$90,Cadastros!$H$6:$H$90)*(1-0.18),_xlfn.XLOOKUP(AB803,Cadastros!$G$6:$G$90,Cadastros!$H$6:$H$90))))</f>
        <v/>
      </c>
      <c r="AE803" s="168" t="str">
        <f t="shared" si="161"/>
        <v/>
      </c>
      <c r="AF803" s="168" t="str">
        <f t="shared" si="162"/>
        <v/>
      </c>
      <c r="AG803" s="28"/>
      <c r="AH803" s="28"/>
      <c r="AI803" s="20" t="str">
        <f>IF(AG803="","",IF($F803="Bernardino Furlan",_xlfn.XLOOKUP(AG803,Cadastros!$G$6:$G$90,Cadastros!$H$6:$H$90)*(1-0.18),IF($F803="Mauro José Salanti",_xlfn.XLOOKUP(AG803,Cadastros!$G$6:$G$90,Cadastros!$H$6:$H$90)*(1-0.18),_xlfn.XLOOKUP(AG803,Cadastros!$G$6:$G$90,Cadastros!$H$6:$H$90))))</f>
        <v/>
      </c>
      <c r="AJ803" s="168" t="str">
        <f t="shared" si="163"/>
        <v/>
      </c>
      <c r="AK803" s="168" t="str">
        <f t="shared" si="164"/>
        <v/>
      </c>
      <c r="AL803" s="28"/>
      <c r="AM803" s="28"/>
      <c r="AN803" s="20" t="str">
        <f>IF(AL803="","",IF($F803="Bernardino Furlan",_xlfn.XLOOKUP(AL803,Cadastros!$G$6:$G$90,Cadastros!$H$6:$H$90)*(1-0.18),IF($F803="Mauro José Salanti",_xlfn.XLOOKUP(AL803,Cadastros!$G$6:$G$90,Cadastros!$H$6:$H$90)*(1-0.18),_xlfn.XLOOKUP(AL803,Cadastros!$G$6:$G$90,Cadastros!$H$6:$H$90))))</f>
        <v/>
      </c>
      <c r="AO803" s="168" t="str">
        <f t="shared" si="165"/>
        <v/>
      </c>
      <c r="AP803" s="168" t="str">
        <f t="shared" si="166"/>
        <v/>
      </c>
      <c r="AQ803" s="28"/>
      <c r="AR803" s="28"/>
      <c r="AS803" s="20" t="str">
        <f>IF(AQ803="","",IF($F803="Bernardino Furlan",_xlfn.XLOOKUP(AQ803,Cadastros!$G$6:$G$90,Cadastros!$H$6:$H$90)*(1-0.18),IF($F803="Mauro José Salanti",_xlfn.XLOOKUP(AQ803,Cadastros!$G$6:$G$90,Cadastros!$H$6:$H$90)*(1-0.18),_xlfn.XLOOKUP(AQ803,Cadastros!$G$6:$G$90,Cadastros!$H$6:$H$90))))</f>
        <v/>
      </c>
      <c r="AT803" s="168" t="str">
        <f t="shared" si="167"/>
        <v/>
      </c>
      <c r="AU803" s="168" t="str">
        <f t="shared" si="168"/>
        <v/>
      </c>
      <c r="AV803" s="227"/>
      <c r="AW803" s="30"/>
      <c r="AX803" s="267"/>
      <c r="AY803" s="267"/>
      <c r="AZ803" s="29"/>
      <c r="BA803" s="30"/>
      <c r="BB803" s="23" t="str" cm="1">
        <f t="array" ref="BB803">_xlfn.IFS(AW803="SIM",SUM(K803,P803,U803,Z803,AE803,AJ803,AO803,AT803,AX803,AY803),F803&lt;&gt;"",SUM(K803,P803,U803,Z803,AE803,AJ803,,AO803,AT803),F803="","")</f>
        <v/>
      </c>
      <c r="BC803" s="211" t="str" cm="1">
        <f t="array" ref="BC803">_xlfn.IFS(E803="","",G803&lt;=E803,BB803*(1-0.03),G803&lt;(E803+8),BB803,AZ803="Boleto",BB803*(1+0.001)^DATEDIF(E803,G803,"D"),AZ803="Cheque",BB803,AZ803="Dinheiro","Alterar forma pgto")</f>
        <v/>
      </c>
      <c r="BD803" s="276" t="str" cm="1">
        <f t="array" ref="BD803">IF(F803=0," ",IF(BC803&lt;BB803,(_xlfn.IFS(AW803="SIM",SUM(L803,Q803,V803,AA803,AF803,AK803,AP803,AU803)+AX803/_xlfn.XLOOKUP(_xlfn.XLOOKUP($F803,Clientes!$B$4:$B$39,Clientes!$C$4:$C$39),Cadastros!$L$6:$L$12,Cadastros!$M$6:$M$12)+IF($F803="Bernardino Furlan",AY803/2751.92,IF($F803="Mauro José Salanti",AY803/2751.92,AY803/3356)),F803&lt;&gt;0,SUM(L803,Q803,V803,AA803,AF803,AK803,AP803,AU803)))*(1-0.03),_xlfn.IFS(AW803="SIM",SUM(L803,Q803,V803,AA803,AF803,AK803,AP803,AU803)+AX803/_xlfn.XLOOKUP(_xlfn.XLOOKUP($F803,Clientes!$B$4:$B$39,Clientes!$C$4:$C$39),Cadastros!$L$6:$L$12,Cadastros!$M$6:$M$12)+IF($F803="Bernardino Furlan",AY803/2751.92,IF($F803="Mauro José Salanti",AY803/2751.92,AY803/3356)),F803&lt;&gt;0,SUM(L803,Q803,V803,AA803,AF803,AK803,AP803,AU803))))</f>
        <v xml:space="preserve"> </v>
      </c>
      <c r="BE803" s="120"/>
      <c r="BF803" s="120"/>
      <c r="BG803" s="120"/>
    </row>
    <row r="804" spans="1:59" s="3" customFormat="1" x14ac:dyDescent="0.3">
      <c r="A804" s="15" t="str">
        <f t="shared" si="156"/>
        <v/>
      </c>
      <c r="B804" s="25"/>
      <c r="C804" s="26"/>
      <c r="D804" s="279"/>
      <c r="E804" s="27"/>
      <c r="F804" s="28"/>
      <c r="G804" s="27"/>
      <c r="H804" s="28"/>
      <c r="I804" s="28"/>
      <c r="J804" s="255" t="str">
        <f>IF(H804="","",(_xlfn.XLOOKUP(H804,Cadastros!$D$6:$D$90,Cadastros!$E$6:$E$90))*(1-_xlfn.XLOOKUP(_xlfn.XLOOKUP($F804,Clientes!$B$4:$B$39,Clientes!$C$4:$C$39),Cadastros!$L$6:$L$12,Cadastros!$N$6:$N$12)))</f>
        <v/>
      </c>
      <c r="K804" s="168" t="str">
        <f t="shared" si="157"/>
        <v/>
      </c>
      <c r="L804" s="168" t="str">
        <f>IFERROR(K804/_xlfn.XLOOKUP(_xlfn.XLOOKUP($F804,Clientes!$B$4:$B$39,Clientes!$C$4:$C$39),Cadastros!$L$6:$L$12,Cadastros!$M$6:$M$12)," ")</f>
        <v xml:space="preserve"> </v>
      </c>
      <c r="M804" s="28"/>
      <c r="N804" s="28"/>
      <c r="O804" s="255" t="str">
        <f>IF(M804="","",(_xlfn.XLOOKUP(M804,Cadastros!$D$6:$D$90,Cadastros!$E$6:$E$90))*(1-_xlfn.XLOOKUP(_xlfn.XLOOKUP($F804,Clientes!$B$4:$B$39,Clientes!$C$4:$C$39),Cadastros!$L$6:$L$12,Cadastros!$N$6:$N$12)))</f>
        <v/>
      </c>
      <c r="P804" s="168" t="str">
        <f t="shared" si="158"/>
        <v/>
      </c>
      <c r="Q804" s="168" t="str">
        <f>IFERROR(P804/_xlfn.XLOOKUP(_xlfn.XLOOKUP($F804,Clientes!$B$4:$B$39,Clientes!$C$4:$C$39),Cadastros!$L$6:$L$12,Cadastros!$M$6:$M$12)," ")</f>
        <v xml:space="preserve"> </v>
      </c>
      <c r="R804" s="28"/>
      <c r="S804" s="28"/>
      <c r="T804" s="255" t="str">
        <f>IF(R804="","",(_xlfn.XLOOKUP(R804,Cadastros!$D$6:$D$90,Cadastros!$E$6:$E$90))*(1-_xlfn.XLOOKUP(_xlfn.XLOOKUP($F804,Clientes!$B$4:$B$39,Clientes!$C$4:$C$39),Cadastros!$L$6:$L$12,Cadastros!$N$6:$N$12)))</f>
        <v/>
      </c>
      <c r="U804" s="168" t="str">
        <f t="shared" si="159"/>
        <v/>
      </c>
      <c r="V804" s="168" t="str">
        <f>IFERROR(U804/_xlfn.XLOOKUP(_xlfn.XLOOKUP($F804,Clientes!$B$4:$B$39,Clientes!$C$4:$C$39),Cadastros!$L$6:$L$12,Cadastros!$M$6:$M$12)," ")</f>
        <v xml:space="preserve"> </v>
      </c>
      <c r="W804" s="28"/>
      <c r="X804" s="28"/>
      <c r="Y804" s="255" t="str">
        <f>IF(W804="","",(_xlfn.XLOOKUP(W804,Cadastros!$D$6:$D$90,Cadastros!$E$6:$E$90))*(1-_xlfn.XLOOKUP(_xlfn.XLOOKUP($F804,Clientes!$B$4:$B$39,Clientes!$C$4:$C$39),Cadastros!$L$6:$L$12,Cadastros!$N$6:$N$12)))</f>
        <v/>
      </c>
      <c r="Z804" s="168" t="str">
        <f t="shared" si="160"/>
        <v/>
      </c>
      <c r="AA804" s="168" t="str">
        <f>IFERROR(Z804/_xlfn.XLOOKUP(_xlfn.XLOOKUP($F804,Clientes!$B$4:$B$39,Clientes!$C$4:$C$39),Cadastros!$L$6:$L$12,Cadastros!$M$6:$M$12)," ")</f>
        <v xml:space="preserve"> </v>
      </c>
      <c r="AB804" s="28"/>
      <c r="AC804" s="28"/>
      <c r="AD804" s="20" t="str">
        <f>IF(AB804="","",IF($F804="Bernardino Furlan",_xlfn.XLOOKUP(AB804,Cadastros!$G$6:$G$90,Cadastros!$H$6:$H$90)*(1-0.18),IF($F804="Mauro José Salanti",_xlfn.XLOOKUP(AB804,Cadastros!$G$6:$G$90,Cadastros!$H$6:$H$90)*(1-0.18),_xlfn.XLOOKUP(AB804,Cadastros!$G$6:$G$90,Cadastros!$H$6:$H$90))))</f>
        <v/>
      </c>
      <c r="AE804" s="168" t="str">
        <f t="shared" si="161"/>
        <v/>
      </c>
      <c r="AF804" s="168" t="str">
        <f t="shared" si="162"/>
        <v/>
      </c>
      <c r="AG804" s="28"/>
      <c r="AH804" s="28"/>
      <c r="AI804" s="20" t="str">
        <f>IF(AG804="","",IF($F804="Bernardino Furlan",_xlfn.XLOOKUP(AG804,Cadastros!$G$6:$G$90,Cadastros!$H$6:$H$90)*(1-0.18),IF($F804="Mauro José Salanti",_xlfn.XLOOKUP(AG804,Cadastros!$G$6:$G$90,Cadastros!$H$6:$H$90)*(1-0.18),_xlfn.XLOOKUP(AG804,Cadastros!$G$6:$G$90,Cadastros!$H$6:$H$90))))</f>
        <v/>
      </c>
      <c r="AJ804" s="168" t="str">
        <f t="shared" si="163"/>
        <v/>
      </c>
      <c r="AK804" s="168" t="str">
        <f t="shared" si="164"/>
        <v/>
      </c>
      <c r="AL804" s="28"/>
      <c r="AM804" s="28"/>
      <c r="AN804" s="20" t="str">
        <f>IF(AL804="","",IF($F804="Bernardino Furlan",_xlfn.XLOOKUP(AL804,Cadastros!$G$6:$G$90,Cadastros!$H$6:$H$90)*(1-0.18),IF($F804="Mauro José Salanti",_xlfn.XLOOKUP(AL804,Cadastros!$G$6:$G$90,Cadastros!$H$6:$H$90)*(1-0.18),_xlfn.XLOOKUP(AL804,Cadastros!$G$6:$G$90,Cadastros!$H$6:$H$90))))</f>
        <v/>
      </c>
      <c r="AO804" s="168" t="str">
        <f t="shared" si="165"/>
        <v/>
      </c>
      <c r="AP804" s="168" t="str">
        <f t="shared" si="166"/>
        <v/>
      </c>
      <c r="AQ804" s="28"/>
      <c r="AR804" s="28"/>
      <c r="AS804" s="20" t="str">
        <f>IF(AQ804="","",IF($F804="Bernardino Furlan",_xlfn.XLOOKUP(AQ804,Cadastros!$G$6:$G$90,Cadastros!$H$6:$H$90)*(1-0.18),IF($F804="Mauro José Salanti",_xlfn.XLOOKUP(AQ804,Cadastros!$G$6:$G$90,Cadastros!$H$6:$H$90)*(1-0.18),_xlfn.XLOOKUP(AQ804,Cadastros!$G$6:$G$90,Cadastros!$H$6:$H$90))))</f>
        <v/>
      </c>
      <c r="AT804" s="168" t="str">
        <f t="shared" si="167"/>
        <v/>
      </c>
      <c r="AU804" s="168" t="str">
        <f t="shared" si="168"/>
        <v/>
      </c>
      <c r="AV804" s="227"/>
      <c r="AW804" s="30"/>
      <c r="AX804" s="267"/>
      <c r="AY804" s="267"/>
      <c r="AZ804" s="29"/>
      <c r="BA804" s="30"/>
      <c r="BB804" s="23" t="str" cm="1">
        <f t="array" ref="BB804">_xlfn.IFS(AW804="SIM",SUM(K804,P804,U804,Z804,AE804,AJ804,AO804,AT804,AX804,AY804),F804&lt;&gt;"",SUM(K804,P804,U804,Z804,AE804,AJ804,,AO804,AT804),F804="","")</f>
        <v/>
      </c>
      <c r="BC804" s="211" t="str" cm="1">
        <f t="array" ref="BC804">_xlfn.IFS(E804="","",G804&lt;=E804,BB804*(1-0.03),G804&lt;(E804+8),BB804,AZ804="Boleto",BB804*(1+0.001)^DATEDIF(E804,G804,"D"),AZ804="Cheque",BB804,AZ804="Dinheiro","Alterar forma pgto")</f>
        <v/>
      </c>
      <c r="BD804" s="276" t="str" cm="1">
        <f t="array" ref="BD804">IF(F804=0," ",IF(BC804&lt;BB804,(_xlfn.IFS(AW804="SIM",SUM(L804,Q804,V804,AA804,AF804,AK804,AP804,AU804)+AX804/_xlfn.XLOOKUP(_xlfn.XLOOKUP($F804,Clientes!$B$4:$B$39,Clientes!$C$4:$C$39),Cadastros!$L$6:$L$12,Cadastros!$M$6:$M$12)+IF($F804="Bernardino Furlan",AY804/2751.92,IF($F804="Mauro José Salanti",AY804/2751.92,AY804/3356)),F804&lt;&gt;0,SUM(L804,Q804,V804,AA804,AF804,AK804,AP804,AU804)))*(1-0.03),_xlfn.IFS(AW804="SIM",SUM(L804,Q804,V804,AA804,AF804,AK804,AP804,AU804)+AX804/_xlfn.XLOOKUP(_xlfn.XLOOKUP($F804,Clientes!$B$4:$B$39,Clientes!$C$4:$C$39),Cadastros!$L$6:$L$12,Cadastros!$M$6:$M$12)+IF($F804="Bernardino Furlan",AY804/2751.92,IF($F804="Mauro José Salanti",AY804/2751.92,AY804/3356)),F804&lt;&gt;0,SUM(L804,Q804,V804,AA804,AF804,AK804,AP804,AU804))))</f>
        <v xml:space="preserve"> </v>
      </c>
      <c r="BE804" s="120"/>
      <c r="BF804" s="120"/>
      <c r="BG804" s="120"/>
    </row>
    <row r="805" spans="1:59" s="3" customFormat="1" x14ac:dyDescent="0.3">
      <c r="A805" s="15" t="str">
        <f t="shared" si="156"/>
        <v/>
      </c>
      <c r="B805" s="25"/>
      <c r="C805" s="26"/>
      <c r="D805" s="279"/>
      <c r="E805" s="27"/>
      <c r="F805" s="28"/>
      <c r="G805" s="27"/>
      <c r="H805" s="28"/>
      <c r="I805" s="28"/>
      <c r="J805" s="255" t="str">
        <f>IF(H805="","",(_xlfn.XLOOKUP(H805,Cadastros!$D$6:$D$90,Cadastros!$E$6:$E$90))*(1-_xlfn.XLOOKUP(_xlfn.XLOOKUP($F805,Clientes!$B$4:$B$39,Clientes!$C$4:$C$39),Cadastros!$L$6:$L$12,Cadastros!$N$6:$N$12)))</f>
        <v/>
      </c>
      <c r="K805" s="168" t="str">
        <f t="shared" si="157"/>
        <v/>
      </c>
      <c r="L805" s="168" t="str">
        <f>IFERROR(K805/_xlfn.XLOOKUP(_xlfn.XLOOKUP($F805,Clientes!$B$4:$B$39,Clientes!$C$4:$C$39),Cadastros!$L$6:$L$12,Cadastros!$M$6:$M$12)," ")</f>
        <v xml:space="preserve"> </v>
      </c>
      <c r="M805" s="28"/>
      <c r="N805" s="28"/>
      <c r="O805" s="255" t="str">
        <f>IF(M805="","",(_xlfn.XLOOKUP(M805,Cadastros!$D$6:$D$90,Cadastros!$E$6:$E$90))*(1-_xlfn.XLOOKUP(_xlfn.XLOOKUP($F805,Clientes!$B$4:$B$39,Clientes!$C$4:$C$39),Cadastros!$L$6:$L$12,Cadastros!$N$6:$N$12)))</f>
        <v/>
      </c>
      <c r="P805" s="168" t="str">
        <f t="shared" si="158"/>
        <v/>
      </c>
      <c r="Q805" s="168" t="str">
        <f>IFERROR(P805/_xlfn.XLOOKUP(_xlfn.XLOOKUP($F805,Clientes!$B$4:$B$39,Clientes!$C$4:$C$39),Cadastros!$L$6:$L$12,Cadastros!$M$6:$M$12)," ")</f>
        <v xml:space="preserve"> </v>
      </c>
      <c r="R805" s="28"/>
      <c r="S805" s="28"/>
      <c r="T805" s="255" t="str">
        <f>IF(R805="","",(_xlfn.XLOOKUP(R805,Cadastros!$D$6:$D$90,Cadastros!$E$6:$E$90))*(1-_xlfn.XLOOKUP(_xlfn.XLOOKUP($F805,Clientes!$B$4:$B$39,Clientes!$C$4:$C$39),Cadastros!$L$6:$L$12,Cadastros!$N$6:$N$12)))</f>
        <v/>
      </c>
      <c r="U805" s="168" t="str">
        <f t="shared" si="159"/>
        <v/>
      </c>
      <c r="V805" s="168" t="str">
        <f>IFERROR(U805/_xlfn.XLOOKUP(_xlfn.XLOOKUP($F805,Clientes!$B$4:$B$39,Clientes!$C$4:$C$39),Cadastros!$L$6:$L$12,Cadastros!$M$6:$M$12)," ")</f>
        <v xml:space="preserve"> </v>
      </c>
      <c r="W805" s="28"/>
      <c r="X805" s="28"/>
      <c r="Y805" s="255" t="str">
        <f>IF(W805="","",(_xlfn.XLOOKUP(W805,Cadastros!$D$6:$D$90,Cadastros!$E$6:$E$90))*(1-_xlfn.XLOOKUP(_xlfn.XLOOKUP($F805,Clientes!$B$4:$B$39,Clientes!$C$4:$C$39),Cadastros!$L$6:$L$12,Cadastros!$N$6:$N$12)))</f>
        <v/>
      </c>
      <c r="Z805" s="168" t="str">
        <f t="shared" si="160"/>
        <v/>
      </c>
      <c r="AA805" s="168" t="str">
        <f>IFERROR(Z805/_xlfn.XLOOKUP(_xlfn.XLOOKUP($F805,Clientes!$B$4:$B$39,Clientes!$C$4:$C$39),Cadastros!$L$6:$L$12,Cadastros!$M$6:$M$12)," ")</f>
        <v xml:space="preserve"> </v>
      </c>
      <c r="AB805" s="28"/>
      <c r="AC805" s="28"/>
      <c r="AD805" s="20" t="str">
        <f>IF(AB805="","",IF($F805="Bernardino Furlan",_xlfn.XLOOKUP(AB805,Cadastros!$G$6:$G$90,Cadastros!$H$6:$H$90)*(1-0.18),IF($F805="Mauro José Salanti",_xlfn.XLOOKUP(AB805,Cadastros!$G$6:$G$90,Cadastros!$H$6:$H$90)*(1-0.18),_xlfn.XLOOKUP(AB805,Cadastros!$G$6:$G$90,Cadastros!$H$6:$H$90))))</f>
        <v/>
      </c>
      <c r="AE805" s="168" t="str">
        <f t="shared" si="161"/>
        <v/>
      </c>
      <c r="AF805" s="168" t="str">
        <f t="shared" si="162"/>
        <v/>
      </c>
      <c r="AG805" s="28"/>
      <c r="AH805" s="28"/>
      <c r="AI805" s="20" t="str">
        <f>IF(AG805="","",IF($F805="Bernardino Furlan",_xlfn.XLOOKUP(AG805,Cadastros!$G$6:$G$90,Cadastros!$H$6:$H$90)*(1-0.18),IF($F805="Mauro José Salanti",_xlfn.XLOOKUP(AG805,Cadastros!$G$6:$G$90,Cadastros!$H$6:$H$90)*(1-0.18),_xlfn.XLOOKUP(AG805,Cadastros!$G$6:$G$90,Cadastros!$H$6:$H$90))))</f>
        <v/>
      </c>
      <c r="AJ805" s="168" t="str">
        <f t="shared" si="163"/>
        <v/>
      </c>
      <c r="AK805" s="168" t="str">
        <f t="shared" si="164"/>
        <v/>
      </c>
      <c r="AL805" s="28"/>
      <c r="AM805" s="28"/>
      <c r="AN805" s="20" t="str">
        <f>IF(AL805="","",IF($F805="Bernardino Furlan",_xlfn.XLOOKUP(AL805,Cadastros!$G$6:$G$90,Cadastros!$H$6:$H$90)*(1-0.18),IF($F805="Mauro José Salanti",_xlfn.XLOOKUP(AL805,Cadastros!$G$6:$G$90,Cadastros!$H$6:$H$90)*(1-0.18),_xlfn.XLOOKUP(AL805,Cadastros!$G$6:$G$90,Cadastros!$H$6:$H$90))))</f>
        <v/>
      </c>
      <c r="AO805" s="168" t="str">
        <f t="shared" si="165"/>
        <v/>
      </c>
      <c r="AP805" s="168" t="str">
        <f t="shared" si="166"/>
        <v/>
      </c>
      <c r="AQ805" s="28"/>
      <c r="AR805" s="28"/>
      <c r="AS805" s="20" t="str">
        <f>IF(AQ805="","",IF($F805="Bernardino Furlan",_xlfn.XLOOKUP(AQ805,Cadastros!$G$6:$G$90,Cadastros!$H$6:$H$90)*(1-0.18),IF($F805="Mauro José Salanti",_xlfn.XLOOKUP(AQ805,Cadastros!$G$6:$G$90,Cadastros!$H$6:$H$90)*(1-0.18),_xlfn.XLOOKUP(AQ805,Cadastros!$G$6:$G$90,Cadastros!$H$6:$H$90))))</f>
        <v/>
      </c>
      <c r="AT805" s="168" t="str">
        <f t="shared" si="167"/>
        <v/>
      </c>
      <c r="AU805" s="168" t="str">
        <f t="shared" si="168"/>
        <v/>
      </c>
      <c r="AV805" s="227"/>
      <c r="AW805" s="30"/>
      <c r="AX805" s="267"/>
      <c r="AY805" s="267"/>
      <c r="AZ805" s="29"/>
      <c r="BA805" s="30"/>
      <c r="BB805" s="23" t="str" cm="1">
        <f t="array" ref="BB805">_xlfn.IFS(AW805="SIM",SUM(K805,P805,U805,Z805,AE805,AJ805,AO805,AT805,AX805,AY805),F805&lt;&gt;"",SUM(K805,P805,U805,Z805,AE805,AJ805,,AO805,AT805),F805="","")</f>
        <v/>
      </c>
      <c r="BC805" s="211" t="str" cm="1">
        <f t="array" ref="BC805">_xlfn.IFS(E805="","",G805&lt;=E805,BB805*(1-0.03),G805&lt;(E805+8),BB805,AZ805="Boleto",BB805*(1+0.001)^DATEDIF(E805,G805,"D"),AZ805="Cheque",BB805,AZ805="Dinheiro","Alterar forma pgto")</f>
        <v/>
      </c>
      <c r="BD805" s="276" t="str" cm="1">
        <f t="array" ref="BD805">IF(F805=0," ",IF(BC805&lt;BB805,(_xlfn.IFS(AW805="SIM",SUM(L805,Q805,V805,AA805,AF805,AK805,AP805,AU805)+AX805/_xlfn.XLOOKUP(_xlfn.XLOOKUP($F805,Clientes!$B$4:$B$39,Clientes!$C$4:$C$39),Cadastros!$L$6:$L$12,Cadastros!$M$6:$M$12)+IF($F805="Bernardino Furlan",AY805/2751.92,IF($F805="Mauro José Salanti",AY805/2751.92,AY805/3356)),F805&lt;&gt;0,SUM(L805,Q805,V805,AA805,AF805,AK805,AP805,AU805)))*(1-0.03),_xlfn.IFS(AW805="SIM",SUM(L805,Q805,V805,AA805,AF805,AK805,AP805,AU805)+AX805/_xlfn.XLOOKUP(_xlfn.XLOOKUP($F805,Clientes!$B$4:$B$39,Clientes!$C$4:$C$39),Cadastros!$L$6:$L$12,Cadastros!$M$6:$M$12)+IF($F805="Bernardino Furlan",AY805/2751.92,IF($F805="Mauro José Salanti",AY805/2751.92,AY805/3356)),F805&lt;&gt;0,SUM(L805,Q805,V805,AA805,AF805,AK805,AP805,AU805))))</f>
        <v xml:space="preserve"> </v>
      </c>
      <c r="BE805" s="120"/>
      <c r="BF805" s="120"/>
      <c r="BG805" s="120"/>
    </row>
    <row r="806" spans="1:59" s="3" customFormat="1" x14ac:dyDescent="0.3">
      <c r="A806" s="15" t="str">
        <f t="shared" si="156"/>
        <v/>
      </c>
      <c r="B806" s="25"/>
      <c r="C806" s="26"/>
      <c r="D806" s="279"/>
      <c r="E806" s="27"/>
      <c r="F806" s="28"/>
      <c r="G806" s="27"/>
      <c r="H806" s="28"/>
      <c r="I806" s="28"/>
      <c r="J806" s="255" t="str">
        <f>IF(H806="","",(_xlfn.XLOOKUP(H806,Cadastros!$D$6:$D$90,Cadastros!$E$6:$E$90))*(1-_xlfn.XLOOKUP(_xlfn.XLOOKUP($F806,Clientes!$B$4:$B$39,Clientes!$C$4:$C$39),Cadastros!$L$6:$L$12,Cadastros!$N$6:$N$12)))</f>
        <v/>
      </c>
      <c r="K806" s="168" t="str">
        <f t="shared" si="157"/>
        <v/>
      </c>
      <c r="L806" s="168" t="str">
        <f>IFERROR(K806/_xlfn.XLOOKUP(_xlfn.XLOOKUP($F806,Clientes!$B$4:$B$39,Clientes!$C$4:$C$39),Cadastros!$L$6:$L$12,Cadastros!$M$6:$M$12)," ")</f>
        <v xml:space="preserve"> </v>
      </c>
      <c r="M806" s="28"/>
      <c r="N806" s="28"/>
      <c r="O806" s="255" t="str">
        <f>IF(M806="","",(_xlfn.XLOOKUP(M806,Cadastros!$D$6:$D$90,Cadastros!$E$6:$E$90))*(1-_xlfn.XLOOKUP(_xlfn.XLOOKUP($F806,Clientes!$B$4:$B$39,Clientes!$C$4:$C$39),Cadastros!$L$6:$L$12,Cadastros!$N$6:$N$12)))</f>
        <v/>
      </c>
      <c r="P806" s="168" t="str">
        <f t="shared" si="158"/>
        <v/>
      </c>
      <c r="Q806" s="168" t="str">
        <f>IFERROR(P806/_xlfn.XLOOKUP(_xlfn.XLOOKUP($F806,Clientes!$B$4:$B$39,Clientes!$C$4:$C$39),Cadastros!$L$6:$L$12,Cadastros!$M$6:$M$12)," ")</f>
        <v xml:space="preserve"> </v>
      </c>
      <c r="R806" s="28"/>
      <c r="S806" s="28"/>
      <c r="T806" s="255" t="str">
        <f>IF(R806="","",(_xlfn.XLOOKUP(R806,Cadastros!$D$6:$D$90,Cadastros!$E$6:$E$90))*(1-_xlfn.XLOOKUP(_xlfn.XLOOKUP($F806,Clientes!$B$4:$B$39,Clientes!$C$4:$C$39),Cadastros!$L$6:$L$12,Cadastros!$N$6:$N$12)))</f>
        <v/>
      </c>
      <c r="U806" s="168" t="str">
        <f t="shared" si="159"/>
        <v/>
      </c>
      <c r="V806" s="168" t="str">
        <f>IFERROR(U806/_xlfn.XLOOKUP(_xlfn.XLOOKUP($F806,Clientes!$B$4:$B$39,Clientes!$C$4:$C$39),Cadastros!$L$6:$L$12,Cadastros!$M$6:$M$12)," ")</f>
        <v xml:space="preserve"> </v>
      </c>
      <c r="W806" s="28"/>
      <c r="X806" s="28"/>
      <c r="Y806" s="255" t="str">
        <f>IF(W806="","",(_xlfn.XLOOKUP(W806,Cadastros!$D$6:$D$90,Cadastros!$E$6:$E$90))*(1-_xlfn.XLOOKUP(_xlfn.XLOOKUP($F806,Clientes!$B$4:$B$39,Clientes!$C$4:$C$39),Cadastros!$L$6:$L$12,Cadastros!$N$6:$N$12)))</f>
        <v/>
      </c>
      <c r="Z806" s="168" t="str">
        <f t="shared" si="160"/>
        <v/>
      </c>
      <c r="AA806" s="168" t="str">
        <f>IFERROR(Z806/_xlfn.XLOOKUP(_xlfn.XLOOKUP($F806,Clientes!$B$4:$B$39,Clientes!$C$4:$C$39),Cadastros!$L$6:$L$12,Cadastros!$M$6:$M$12)," ")</f>
        <v xml:space="preserve"> </v>
      </c>
      <c r="AB806" s="28"/>
      <c r="AC806" s="28"/>
      <c r="AD806" s="20" t="str">
        <f>IF(AB806="","",IF($F806="Bernardino Furlan",_xlfn.XLOOKUP(AB806,Cadastros!$G$6:$G$90,Cadastros!$H$6:$H$90)*(1-0.18),IF($F806="Mauro José Salanti",_xlfn.XLOOKUP(AB806,Cadastros!$G$6:$G$90,Cadastros!$H$6:$H$90)*(1-0.18),_xlfn.XLOOKUP(AB806,Cadastros!$G$6:$G$90,Cadastros!$H$6:$H$90))))</f>
        <v/>
      </c>
      <c r="AE806" s="168" t="str">
        <f t="shared" si="161"/>
        <v/>
      </c>
      <c r="AF806" s="168" t="str">
        <f t="shared" si="162"/>
        <v/>
      </c>
      <c r="AG806" s="28"/>
      <c r="AH806" s="28"/>
      <c r="AI806" s="20" t="str">
        <f>IF(AG806="","",IF($F806="Bernardino Furlan",_xlfn.XLOOKUP(AG806,Cadastros!$G$6:$G$90,Cadastros!$H$6:$H$90)*(1-0.18),IF($F806="Mauro José Salanti",_xlfn.XLOOKUP(AG806,Cadastros!$G$6:$G$90,Cadastros!$H$6:$H$90)*(1-0.18),_xlfn.XLOOKUP(AG806,Cadastros!$G$6:$G$90,Cadastros!$H$6:$H$90))))</f>
        <v/>
      </c>
      <c r="AJ806" s="168" t="str">
        <f t="shared" si="163"/>
        <v/>
      </c>
      <c r="AK806" s="168" t="str">
        <f t="shared" si="164"/>
        <v/>
      </c>
      <c r="AL806" s="28"/>
      <c r="AM806" s="28"/>
      <c r="AN806" s="20" t="str">
        <f>IF(AL806="","",IF($F806="Bernardino Furlan",_xlfn.XLOOKUP(AL806,Cadastros!$G$6:$G$90,Cadastros!$H$6:$H$90)*(1-0.18),IF($F806="Mauro José Salanti",_xlfn.XLOOKUP(AL806,Cadastros!$G$6:$G$90,Cadastros!$H$6:$H$90)*(1-0.18),_xlfn.XLOOKUP(AL806,Cadastros!$G$6:$G$90,Cadastros!$H$6:$H$90))))</f>
        <v/>
      </c>
      <c r="AO806" s="168" t="str">
        <f t="shared" si="165"/>
        <v/>
      </c>
      <c r="AP806" s="168" t="str">
        <f t="shared" si="166"/>
        <v/>
      </c>
      <c r="AQ806" s="28"/>
      <c r="AR806" s="28"/>
      <c r="AS806" s="20" t="str">
        <f>IF(AQ806="","",IF($F806="Bernardino Furlan",_xlfn.XLOOKUP(AQ806,Cadastros!$G$6:$G$90,Cadastros!$H$6:$H$90)*(1-0.18),IF($F806="Mauro José Salanti",_xlfn.XLOOKUP(AQ806,Cadastros!$G$6:$G$90,Cadastros!$H$6:$H$90)*(1-0.18),_xlfn.XLOOKUP(AQ806,Cadastros!$G$6:$G$90,Cadastros!$H$6:$H$90))))</f>
        <v/>
      </c>
      <c r="AT806" s="168" t="str">
        <f t="shared" si="167"/>
        <v/>
      </c>
      <c r="AU806" s="168" t="str">
        <f t="shared" si="168"/>
        <v/>
      </c>
      <c r="AV806" s="227"/>
      <c r="AW806" s="30"/>
      <c r="AX806" s="267"/>
      <c r="AY806" s="267"/>
      <c r="AZ806" s="29"/>
      <c r="BA806" s="30"/>
      <c r="BB806" s="23" t="str" cm="1">
        <f t="array" ref="BB806">_xlfn.IFS(AW806="SIM",SUM(K806,P806,U806,Z806,AE806,AJ806,AO806,AT806,AX806,AY806),F806&lt;&gt;"",SUM(K806,P806,U806,Z806,AE806,AJ806,,AO806,AT806),F806="","")</f>
        <v/>
      </c>
      <c r="BC806" s="211" t="str" cm="1">
        <f t="array" ref="BC806">_xlfn.IFS(E806="","",G806&lt;=E806,BB806*(1-0.03),G806&lt;(E806+8),BB806,AZ806="Boleto",BB806*(1+0.001)^DATEDIF(E806,G806,"D"),AZ806="Cheque",BB806,AZ806="Dinheiro","Alterar forma pgto")</f>
        <v/>
      </c>
      <c r="BD806" s="276" t="str" cm="1">
        <f t="array" ref="BD806">IF(F806=0," ",IF(BC806&lt;BB806,(_xlfn.IFS(AW806="SIM",SUM(L806,Q806,V806,AA806,AF806,AK806,AP806,AU806)+AX806/_xlfn.XLOOKUP(_xlfn.XLOOKUP($F806,Clientes!$B$4:$B$39,Clientes!$C$4:$C$39),Cadastros!$L$6:$L$12,Cadastros!$M$6:$M$12)+IF($F806="Bernardino Furlan",AY806/2751.92,IF($F806="Mauro José Salanti",AY806/2751.92,AY806/3356)),F806&lt;&gt;0,SUM(L806,Q806,V806,AA806,AF806,AK806,AP806,AU806)))*(1-0.03),_xlfn.IFS(AW806="SIM",SUM(L806,Q806,V806,AA806,AF806,AK806,AP806,AU806)+AX806/_xlfn.XLOOKUP(_xlfn.XLOOKUP($F806,Clientes!$B$4:$B$39,Clientes!$C$4:$C$39),Cadastros!$L$6:$L$12,Cadastros!$M$6:$M$12)+IF($F806="Bernardino Furlan",AY806/2751.92,IF($F806="Mauro José Salanti",AY806/2751.92,AY806/3356)),F806&lt;&gt;0,SUM(L806,Q806,V806,AA806,AF806,AK806,AP806,AU806))))</f>
        <v xml:space="preserve"> </v>
      </c>
      <c r="BE806" s="120"/>
      <c r="BF806" s="120"/>
      <c r="BG806" s="120"/>
    </row>
    <row r="807" spans="1:59" s="3" customFormat="1" x14ac:dyDescent="0.3">
      <c r="A807" s="15" t="str">
        <f t="shared" si="156"/>
        <v/>
      </c>
      <c r="B807" s="25"/>
      <c r="C807" s="26"/>
      <c r="D807" s="279"/>
      <c r="E807" s="27"/>
      <c r="F807" s="28"/>
      <c r="G807" s="27"/>
      <c r="H807" s="28"/>
      <c r="I807" s="28"/>
      <c r="J807" s="255" t="str">
        <f>IF(H807="","",(_xlfn.XLOOKUP(H807,Cadastros!$D$6:$D$90,Cadastros!$E$6:$E$90))*(1-_xlfn.XLOOKUP(_xlfn.XLOOKUP($F807,Clientes!$B$4:$B$39,Clientes!$C$4:$C$39),Cadastros!$L$6:$L$12,Cadastros!$N$6:$N$12)))</f>
        <v/>
      </c>
      <c r="K807" s="168" t="str">
        <f t="shared" si="157"/>
        <v/>
      </c>
      <c r="L807" s="168" t="str">
        <f>IFERROR(K807/_xlfn.XLOOKUP(_xlfn.XLOOKUP($F807,Clientes!$B$4:$B$39,Clientes!$C$4:$C$39),Cadastros!$L$6:$L$12,Cadastros!$M$6:$M$12)," ")</f>
        <v xml:space="preserve"> </v>
      </c>
      <c r="M807" s="28"/>
      <c r="N807" s="28"/>
      <c r="O807" s="255" t="str">
        <f>IF(M807="","",(_xlfn.XLOOKUP(M807,Cadastros!$D$6:$D$90,Cadastros!$E$6:$E$90))*(1-_xlfn.XLOOKUP(_xlfn.XLOOKUP($F807,Clientes!$B$4:$B$39,Clientes!$C$4:$C$39),Cadastros!$L$6:$L$12,Cadastros!$N$6:$N$12)))</f>
        <v/>
      </c>
      <c r="P807" s="168" t="str">
        <f t="shared" si="158"/>
        <v/>
      </c>
      <c r="Q807" s="168" t="str">
        <f>IFERROR(P807/_xlfn.XLOOKUP(_xlfn.XLOOKUP($F807,Clientes!$B$4:$B$39,Clientes!$C$4:$C$39),Cadastros!$L$6:$L$12,Cadastros!$M$6:$M$12)," ")</f>
        <v xml:space="preserve"> </v>
      </c>
      <c r="R807" s="28"/>
      <c r="S807" s="28"/>
      <c r="T807" s="255" t="str">
        <f>IF(R807="","",(_xlfn.XLOOKUP(R807,Cadastros!$D$6:$D$90,Cadastros!$E$6:$E$90))*(1-_xlfn.XLOOKUP(_xlfn.XLOOKUP($F807,Clientes!$B$4:$B$39,Clientes!$C$4:$C$39),Cadastros!$L$6:$L$12,Cadastros!$N$6:$N$12)))</f>
        <v/>
      </c>
      <c r="U807" s="168" t="str">
        <f t="shared" si="159"/>
        <v/>
      </c>
      <c r="V807" s="168" t="str">
        <f>IFERROR(U807/_xlfn.XLOOKUP(_xlfn.XLOOKUP($F807,Clientes!$B$4:$B$39,Clientes!$C$4:$C$39),Cadastros!$L$6:$L$12,Cadastros!$M$6:$M$12)," ")</f>
        <v xml:space="preserve"> </v>
      </c>
      <c r="W807" s="28"/>
      <c r="X807" s="28"/>
      <c r="Y807" s="255" t="str">
        <f>IF(W807="","",(_xlfn.XLOOKUP(W807,Cadastros!$D$6:$D$90,Cadastros!$E$6:$E$90))*(1-_xlfn.XLOOKUP(_xlfn.XLOOKUP($F807,Clientes!$B$4:$B$39,Clientes!$C$4:$C$39),Cadastros!$L$6:$L$12,Cadastros!$N$6:$N$12)))</f>
        <v/>
      </c>
      <c r="Z807" s="168" t="str">
        <f t="shared" si="160"/>
        <v/>
      </c>
      <c r="AA807" s="168" t="str">
        <f>IFERROR(Z807/_xlfn.XLOOKUP(_xlfn.XLOOKUP($F807,Clientes!$B$4:$B$39,Clientes!$C$4:$C$39),Cadastros!$L$6:$L$12,Cadastros!$M$6:$M$12)," ")</f>
        <v xml:space="preserve"> </v>
      </c>
      <c r="AB807" s="28"/>
      <c r="AC807" s="28"/>
      <c r="AD807" s="20" t="str">
        <f>IF(AB807="","",IF($F807="Bernardino Furlan",_xlfn.XLOOKUP(AB807,Cadastros!$G$6:$G$90,Cadastros!$H$6:$H$90)*(1-0.18),IF($F807="Mauro José Salanti",_xlfn.XLOOKUP(AB807,Cadastros!$G$6:$G$90,Cadastros!$H$6:$H$90)*(1-0.18),_xlfn.XLOOKUP(AB807,Cadastros!$G$6:$G$90,Cadastros!$H$6:$H$90))))</f>
        <v/>
      </c>
      <c r="AE807" s="168" t="str">
        <f t="shared" si="161"/>
        <v/>
      </c>
      <c r="AF807" s="168" t="str">
        <f t="shared" si="162"/>
        <v/>
      </c>
      <c r="AG807" s="28"/>
      <c r="AH807" s="28"/>
      <c r="AI807" s="20" t="str">
        <f>IF(AG807="","",IF($F807="Bernardino Furlan",_xlfn.XLOOKUP(AG807,Cadastros!$G$6:$G$90,Cadastros!$H$6:$H$90)*(1-0.18),IF($F807="Mauro José Salanti",_xlfn.XLOOKUP(AG807,Cadastros!$G$6:$G$90,Cadastros!$H$6:$H$90)*(1-0.18),_xlfn.XLOOKUP(AG807,Cadastros!$G$6:$G$90,Cadastros!$H$6:$H$90))))</f>
        <v/>
      </c>
      <c r="AJ807" s="168" t="str">
        <f t="shared" si="163"/>
        <v/>
      </c>
      <c r="AK807" s="168" t="str">
        <f t="shared" si="164"/>
        <v/>
      </c>
      <c r="AL807" s="28"/>
      <c r="AM807" s="28"/>
      <c r="AN807" s="20" t="str">
        <f>IF(AL807="","",IF($F807="Bernardino Furlan",_xlfn.XLOOKUP(AL807,Cadastros!$G$6:$G$90,Cadastros!$H$6:$H$90)*(1-0.18),IF($F807="Mauro José Salanti",_xlfn.XLOOKUP(AL807,Cadastros!$G$6:$G$90,Cadastros!$H$6:$H$90)*(1-0.18),_xlfn.XLOOKUP(AL807,Cadastros!$G$6:$G$90,Cadastros!$H$6:$H$90))))</f>
        <v/>
      </c>
      <c r="AO807" s="168" t="str">
        <f t="shared" si="165"/>
        <v/>
      </c>
      <c r="AP807" s="168" t="str">
        <f t="shared" si="166"/>
        <v/>
      </c>
      <c r="AQ807" s="28"/>
      <c r="AR807" s="28"/>
      <c r="AS807" s="20" t="str">
        <f>IF(AQ807="","",IF($F807="Bernardino Furlan",_xlfn.XLOOKUP(AQ807,Cadastros!$G$6:$G$90,Cadastros!$H$6:$H$90)*(1-0.18),IF($F807="Mauro José Salanti",_xlfn.XLOOKUP(AQ807,Cadastros!$G$6:$G$90,Cadastros!$H$6:$H$90)*(1-0.18),_xlfn.XLOOKUP(AQ807,Cadastros!$G$6:$G$90,Cadastros!$H$6:$H$90))))</f>
        <v/>
      </c>
      <c r="AT807" s="168" t="str">
        <f t="shared" si="167"/>
        <v/>
      </c>
      <c r="AU807" s="168" t="str">
        <f t="shared" si="168"/>
        <v/>
      </c>
      <c r="AV807" s="227"/>
      <c r="AW807" s="30"/>
      <c r="AX807" s="267"/>
      <c r="AY807" s="267"/>
      <c r="AZ807" s="29"/>
      <c r="BA807" s="30"/>
      <c r="BB807" s="23" t="str" cm="1">
        <f t="array" ref="BB807">_xlfn.IFS(AW807="SIM",SUM(K807,P807,U807,Z807,AE807,AJ807,AO807,AT807,AX807,AY807),F807&lt;&gt;"",SUM(K807,P807,U807,Z807,AE807,AJ807,,AO807,AT807),F807="","")</f>
        <v/>
      </c>
      <c r="BC807" s="211" t="str" cm="1">
        <f t="array" ref="BC807">_xlfn.IFS(E807="","",G807&lt;=E807,BB807*(1-0.03),G807&lt;(E807+8),BB807,AZ807="Boleto",BB807*(1+0.001)^DATEDIF(E807,G807,"D"),AZ807="Cheque",BB807,AZ807="Dinheiro","Alterar forma pgto")</f>
        <v/>
      </c>
      <c r="BD807" s="276" t="str" cm="1">
        <f t="array" ref="BD807">IF(F807=0," ",IF(BC807&lt;BB807,(_xlfn.IFS(AW807="SIM",SUM(L807,Q807,V807,AA807,AF807,AK807,AP807,AU807)+AX807/_xlfn.XLOOKUP(_xlfn.XLOOKUP($F807,Clientes!$B$4:$B$39,Clientes!$C$4:$C$39),Cadastros!$L$6:$L$12,Cadastros!$M$6:$M$12)+IF($F807="Bernardino Furlan",AY807/2751.92,IF($F807="Mauro José Salanti",AY807/2751.92,AY807/3356)),F807&lt;&gt;0,SUM(L807,Q807,V807,AA807,AF807,AK807,AP807,AU807)))*(1-0.03),_xlfn.IFS(AW807="SIM",SUM(L807,Q807,V807,AA807,AF807,AK807,AP807,AU807)+AX807/_xlfn.XLOOKUP(_xlfn.XLOOKUP($F807,Clientes!$B$4:$B$39,Clientes!$C$4:$C$39),Cadastros!$L$6:$L$12,Cadastros!$M$6:$M$12)+IF($F807="Bernardino Furlan",AY807/2751.92,IF($F807="Mauro José Salanti",AY807/2751.92,AY807/3356)),F807&lt;&gt;0,SUM(L807,Q807,V807,AA807,AF807,AK807,AP807,AU807))))</f>
        <v xml:space="preserve"> </v>
      </c>
      <c r="BE807" s="120"/>
      <c r="BF807" s="120"/>
      <c r="BG807" s="120"/>
    </row>
    <row r="808" spans="1:59" s="3" customFormat="1" x14ac:dyDescent="0.3">
      <c r="A808" s="15" t="str">
        <f t="shared" si="156"/>
        <v/>
      </c>
      <c r="B808" s="25"/>
      <c r="C808" s="26"/>
      <c r="D808" s="279"/>
      <c r="E808" s="27"/>
      <c r="F808" s="28"/>
      <c r="G808" s="27"/>
      <c r="H808" s="28"/>
      <c r="I808" s="28"/>
      <c r="J808" s="255" t="str">
        <f>IF(H808="","",(_xlfn.XLOOKUP(H808,Cadastros!$D$6:$D$90,Cadastros!$E$6:$E$90))*(1-_xlfn.XLOOKUP(_xlfn.XLOOKUP($F808,Clientes!$B$4:$B$39,Clientes!$C$4:$C$39),Cadastros!$L$6:$L$12,Cadastros!$N$6:$N$12)))</f>
        <v/>
      </c>
      <c r="K808" s="168" t="str">
        <f t="shared" si="157"/>
        <v/>
      </c>
      <c r="L808" s="168" t="str">
        <f>IFERROR(K808/_xlfn.XLOOKUP(_xlfn.XLOOKUP($F808,Clientes!$B$4:$B$39,Clientes!$C$4:$C$39),Cadastros!$L$6:$L$12,Cadastros!$M$6:$M$12)," ")</f>
        <v xml:space="preserve"> </v>
      </c>
      <c r="M808" s="28"/>
      <c r="N808" s="28"/>
      <c r="O808" s="255" t="str">
        <f>IF(M808="","",(_xlfn.XLOOKUP(M808,Cadastros!$D$6:$D$90,Cadastros!$E$6:$E$90))*(1-_xlfn.XLOOKUP(_xlfn.XLOOKUP($F808,Clientes!$B$4:$B$39,Clientes!$C$4:$C$39),Cadastros!$L$6:$L$12,Cadastros!$N$6:$N$12)))</f>
        <v/>
      </c>
      <c r="P808" s="168" t="str">
        <f t="shared" si="158"/>
        <v/>
      </c>
      <c r="Q808" s="168" t="str">
        <f>IFERROR(P808/_xlfn.XLOOKUP(_xlfn.XLOOKUP($F808,Clientes!$B$4:$B$39,Clientes!$C$4:$C$39),Cadastros!$L$6:$L$12,Cadastros!$M$6:$M$12)," ")</f>
        <v xml:space="preserve"> </v>
      </c>
      <c r="R808" s="28"/>
      <c r="S808" s="28"/>
      <c r="T808" s="255" t="str">
        <f>IF(R808="","",(_xlfn.XLOOKUP(R808,Cadastros!$D$6:$D$90,Cadastros!$E$6:$E$90))*(1-_xlfn.XLOOKUP(_xlfn.XLOOKUP($F808,Clientes!$B$4:$B$39,Clientes!$C$4:$C$39),Cadastros!$L$6:$L$12,Cadastros!$N$6:$N$12)))</f>
        <v/>
      </c>
      <c r="U808" s="168" t="str">
        <f t="shared" si="159"/>
        <v/>
      </c>
      <c r="V808" s="168" t="str">
        <f>IFERROR(U808/_xlfn.XLOOKUP(_xlfn.XLOOKUP($F808,Clientes!$B$4:$B$39,Clientes!$C$4:$C$39),Cadastros!$L$6:$L$12,Cadastros!$M$6:$M$12)," ")</f>
        <v xml:space="preserve"> </v>
      </c>
      <c r="W808" s="28"/>
      <c r="X808" s="28"/>
      <c r="Y808" s="255" t="str">
        <f>IF(W808="","",(_xlfn.XLOOKUP(W808,Cadastros!$D$6:$D$90,Cadastros!$E$6:$E$90))*(1-_xlfn.XLOOKUP(_xlfn.XLOOKUP($F808,Clientes!$B$4:$B$39,Clientes!$C$4:$C$39),Cadastros!$L$6:$L$12,Cadastros!$N$6:$N$12)))</f>
        <v/>
      </c>
      <c r="Z808" s="168" t="str">
        <f t="shared" si="160"/>
        <v/>
      </c>
      <c r="AA808" s="168" t="str">
        <f>IFERROR(Z808/_xlfn.XLOOKUP(_xlfn.XLOOKUP($F808,Clientes!$B$4:$B$39,Clientes!$C$4:$C$39),Cadastros!$L$6:$L$12,Cadastros!$M$6:$M$12)," ")</f>
        <v xml:space="preserve"> </v>
      </c>
      <c r="AB808" s="28"/>
      <c r="AC808" s="28"/>
      <c r="AD808" s="20" t="str">
        <f>IF(AB808="","",IF($F808="Bernardino Furlan",_xlfn.XLOOKUP(AB808,Cadastros!$G$6:$G$90,Cadastros!$H$6:$H$90)*(1-0.18),IF($F808="Mauro José Salanti",_xlfn.XLOOKUP(AB808,Cadastros!$G$6:$G$90,Cadastros!$H$6:$H$90)*(1-0.18),_xlfn.XLOOKUP(AB808,Cadastros!$G$6:$G$90,Cadastros!$H$6:$H$90))))</f>
        <v/>
      </c>
      <c r="AE808" s="168" t="str">
        <f t="shared" si="161"/>
        <v/>
      </c>
      <c r="AF808" s="168" t="str">
        <f t="shared" si="162"/>
        <v/>
      </c>
      <c r="AG808" s="28"/>
      <c r="AH808" s="28"/>
      <c r="AI808" s="20" t="str">
        <f>IF(AG808="","",IF($F808="Bernardino Furlan",_xlfn.XLOOKUP(AG808,Cadastros!$G$6:$G$90,Cadastros!$H$6:$H$90)*(1-0.18),IF($F808="Mauro José Salanti",_xlfn.XLOOKUP(AG808,Cadastros!$G$6:$G$90,Cadastros!$H$6:$H$90)*(1-0.18),_xlfn.XLOOKUP(AG808,Cadastros!$G$6:$G$90,Cadastros!$H$6:$H$90))))</f>
        <v/>
      </c>
      <c r="AJ808" s="168" t="str">
        <f t="shared" si="163"/>
        <v/>
      </c>
      <c r="AK808" s="168" t="str">
        <f t="shared" si="164"/>
        <v/>
      </c>
      <c r="AL808" s="28"/>
      <c r="AM808" s="28"/>
      <c r="AN808" s="20" t="str">
        <f>IF(AL808="","",IF($F808="Bernardino Furlan",_xlfn.XLOOKUP(AL808,Cadastros!$G$6:$G$90,Cadastros!$H$6:$H$90)*(1-0.18),IF($F808="Mauro José Salanti",_xlfn.XLOOKUP(AL808,Cadastros!$G$6:$G$90,Cadastros!$H$6:$H$90)*(1-0.18),_xlfn.XLOOKUP(AL808,Cadastros!$G$6:$G$90,Cadastros!$H$6:$H$90))))</f>
        <v/>
      </c>
      <c r="AO808" s="168" t="str">
        <f t="shared" si="165"/>
        <v/>
      </c>
      <c r="AP808" s="168" t="str">
        <f t="shared" si="166"/>
        <v/>
      </c>
      <c r="AQ808" s="28"/>
      <c r="AR808" s="28"/>
      <c r="AS808" s="20" t="str">
        <f>IF(AQ808="","",IF($F808="Bernardino Furlan",_xlfn.XLOOKUP(AQ808,Cadastros!$G$6:$G$90,Cadastros!$H$6:$H$90)*(1-0.18),IF($F808="Mauro José Salanti",_xlfn.XLOOKUP(AQ808,Cadastros!$G$6:$G$90,Cadastros!$H$6:$H$90)*(1-0.18),_xlfn.XLOOKUP(AQ808,Cadastros!$G$6:$G$90,Cadastros!$H$6:$H$90))))</f>
        <v/>
      </c>
      <c r="AT808" s="168" t="str">
        <f t="shared" si="167"/>
        <v/>
      </c>
      <c r="AU808" s="168" t="str">
        <f t="shared" si="168"/>
        <v/>
      </c>
      <c r="AV808" s="227"/>
      <c r="AW808" s="30"/>
      <c r="AX808" s="267"/>
      <c r="AY808" s="267"/>
      <c r="AZ808" s="29"/>
      <c r="BA808" s="30"/>
      <c r="BB808" s="23" t="str" cm="1">
        <f t="array" ref="BB808">_xlfn.IFS(AW808="SIM",SUM(K808,P808,U808,Z808,AE808,AJ808,AO808,AT808,AX808,AY808),F808&lt;&gt;"",SUM(K808,P808,U808,Z808,AE808,AJ808,,AO808,AT808),F808="","")</f>
        <v/>
      </c>
      <c r="BC808" s="211" t="str" cm="1">
        <f t="array" ref="BC808">_xlfn.IFS(E808="","",G808&lt;=E808,BB808*(1-0.03),G808&lt;(E808+8),BB808,AZ808="Boleto",BB808*(1+0.001)^DATEDIF(E808,G808,"D"),AZ808="Cheque",BB808,AZ808="Dinheiro","Alterar forma pgto")</f>
        <v/>
      </c>
      <c r="BD808" s="276" t="str" cm="1">
        <f t="array" ref="BD808">IF(F808=0," ",IF(BC808&lt;BB808,(_xlfn.IFS(AW808="SIM",SUM(L808,Q808,V808,AA808,AF808,AK808,AP808,AU808)+AX808/_xlfn.XLOOKUP(_xlfn.XLOOKUP($F808,Clientes!$B$4:$B$39,Clientes!$C$4:$C$39),Cadastros!$L$6:$L$12,Cadastros!$M$6:$M$12)+IF($F808="Bernardino Furlan",AY808/2751.92,IF($F808="Mauro José Salanti",AY808/2751.92,AY808/3356)),F808&lt;&gt;0,SUM(L808,Q808,V808,AA808,AF808,AK808,AP808,AU808)))*(1-0.03),_xlfn.IFS(AW808="SIM",SUM(L808,Q808,V808,AA808,AF808,AK808,AP808,AU808)+AX808/_xlfn.XLOOKUP(_xlfn.XLOOKUP($F808,Clientes!$B$4:$B$39,Clientes!$C$4:$C$39),Cadastros!$L$6:$L$12,Cadastros!$M$6:$M$12)+IF($F808="Bernardino Furlan",AY808/2751.92,IF($F808="Mauro José Salanti",AY808/2751.92,AY808/3356)),F808&lt;&gt;0,SUM(L808,Q808,V808,AA808,AF808,AK808,AP808,AU808))))</f>
        <v xml:space="preserve"> </v>
      </c>
      <c r="BE808" s="120"/>
      <c r="BF808" s="120"/>
      <c r="BG808" s="120"/>
    </row>
    <row r="809" spans="1:59" s="3" customFormat="1" x14ac:dyDescent="0.3">
      <c r="A809" s="15" t="str">
        <f t="shared" si="156"/>
        <v/>
      </c>
      <c r="B809" s="25"/>
      <c r="C809" s="26"/>
      <c r="D809" s="279"/>
      <c r="E809" s="27"/>
      <c r="F809" s="28"/>
      <c r="G809" s="27"/>
      <c r="H809" s="28"/>
      <c r="I809" s="28"/>
      <c r="J809" s="255" t="str">
        <f>IF(H809="","",(_xlfn.XLOOKUP(H809,Cadastros!$D$6:$D$90,Cadastros!$E$6:$E$90))*(1-_xlfn.XLOOKUP(_xlfn.XLOOKUP($F809,Clientes!$B$4:$B$39,Clientes!$C$4:$C$39),Cadastros!$L$6:$L$12,Cadastros!$N$6:$N$12)))</f>
        <v/>
      </c>
      <c r="K809" s="168" t="str">
        <f t="shared" si="157"/>
        <v/>
      </c>
      <c r="L809" s="168" t="str">
        <f>IFERROR(K809/_xlfn.XLOOKUP(_xlfn.XLOOKUP($F809,Clientes!$B$4:$B$39,Clientes!$C$4:$C$39),Cadastros!$L$6:$L$12,Cadastros!$M$6:$M$12)," ")</f>
        <v xml:space="preserve"> </v>
      </c>
      <c r="M809" s="28"/>
      <c r="N809" s="28"/>
      <c r="O809" s="255" t="str">
        <f>IF(M809="","",(_xlfn.XLOOKUP(M809,Cadastros!$D$6:$D$90,Cadastros!$E$6:$E$90))*(1-_xlfn.XLOOKUP(_xlfn.XLOOKUP($F809,Clientes!$B$4:$B$39,Clientes!$C$4:$C$39),Cadastros!$L$6:$L$12,Cadastros!$N$6:$N$12)))</f>
        <v/>
      </c>
      <c r="P809" s="168" t="str">
        <f t="shared" si="158"/>
        <v/>
      </c>
      <c r="Q809" s="168" t="str">
        <f>IFERROR(P809/_xlfn.XLOOKUP(_xlfn.XLOOKUP($F809,Clientes!$B$4:$B$39,Clientes!$C$4:$C$39),Cadastros!$L$6:$L$12,Cadastros!$M$6:$M$12)," ")</f>
        <v xml:space="preserve"> </v>
      </c>
      <c r="R809" s="28"/>
      <c r="S809" s="28"/>
      <c r="T809" s="255" t="str">
        <f>IF(R809="","",(_xlfn.XLOOKUP(R809,Cadastros!$D$6:$D$90,Cadastros!$E$6:$E$90))*(1-_xlfn.XLOOKUP(_xlfn.XLOOKUP($F809,Clientes!$B$4:$B$39,Clientes!$C$4:$C$39),Cadastros!$L$6:$L$12,Cadastros!$N$6:$N$12)))</f>
        <v/>
      </c>
      <c r="U809" s="168" t="str">
        <f t="shared" si="159"/>
        <v/>
      </c>
      <c r="V809" s="168" t="str">
        <f>IFERROR(U809/_xlfn.XLOOKUP(_xlfn.XLOOKUP($F809,Clientes!$B$4:$B$39,Clientes!$C$4:$C$39),Cadastros!$L$6:$L$12,Cadastros!$M$6:$M$12)," ")</f>
        <v xml:space="preserve"> </v>
      </c>
      <c r="W809" s="28"/>
      <c r="X809" s="28"/>
      <c r="Y809" s="255" t="str">
        <f>IF(W809="","",(_xlfn.XLOOKUP(W809,Cadastros!$D$6:$D$90,Cadastros!$E$6:$E$90))*(1-_xlfn.XLOOKUP(_xlfn.XLOOKUP($F809,Clientes!$B$4:$B$39,Clientes!$C$4:$C$39),Cadastros!$L$6:$L$12,Cadastros!$N$6:$N$12)))</f>
        <v/>
      </c>
      <c r="Z809" s="168" t="str">
        <f t="shared" si="160"/>
        <v/>
      </c>
      <c r="AA809" s="168" t="str">
        <f>IFERROR(Z809/_xlfn.XLOOKUP(_xlfn.XLOOKUP($F809,Clientes!$B$4:$B$39,Clientes!$C$4:$C$39),Cadastros!$L$6:$L$12,Cadastros!$M$6:$M$12)," ")</f>
        <v xml:space="preserve"> </v>
      </c>
      <c r="AB809" s="28"/>
      <c r="AC809" s="28"/>
      <c r="AD809" s="20" t="str">
        <f>IF(AB809="","",IF($F809="Bernardino Furlan",_xlfn.XLOOKUP(AB809,Cadastros!$G$6:$G$90,Cadastros!$H$6:$H$90)*(1-0.18),IF($F809="Mauro José Salanti",_xlfn.XLOOKUP(AB809,Cadastros!$G$6:$G$90,Cadastros!$H$6:$H$90)*(1-0.18),_xlfn.XLOOKUP(AB809,Cadastros!$G$6:$G$90,Cadastros!$H$6:$H$90))))</f>
        <v/>
      </c>
      <c r="AE809" s="168" t="str">
        <f t="shared" si="161"/>
        <v/>
      </c>
      <c r="AF809" s="168" t="str">
        <f t="shared" si="162"/>
        <v/>
      </c>
      <c r="AG809" s="28"/>
      <c r="AH809" s="28"/>
      <c r="AI809" s="20" t="str">
        <f>IF(AG809="","",IF($F809="Bernardino Furlan",_xlfn.XLOOKUP(AG809,Cadastros!$G$6:$G$90,Cadastros!$H$6:$H$90)*(1-0.18),IF($F809="Mauro José Salanti",_xlfn.XLOOKUP(AG809,Cadastros!$G$6:$G$90,Cadastros!$H$6:$H$90)*(1-0.18),_xlfn.XLOOKUP(AG809,Cadastros!$G$6:$G$90,Cadastros!$H$6:$H$90))))</f>
        <v/>
      </c>
      <c r="AJ809" s="168" t="str">
        <f t="shared" si="163"/>
        <v/>
      </c>
      <c r="AK809" s="168" t="str">
        <f t="shared" si="164"/>
        <v/>
      </c>
      <c r="AL809" s="28"/>
      <c r="AM809" s="28"/>
      <c r="AN809" s="20" t="str">
        <f>IF(AL809="","",IF($F809="Bernardino Furlan",_xlfn.XLOOKUP(AL809,Cadastros!$G$6:$G$90,Cadastros!$H$6:$H$90)*(1-0.18),IF($F809="Mauro José Salanti",_xlfn.XLOOKUP(AL809,Cadastros!$G$6:$G$90,Cadastros!$H$6:$H$90)*(1-0.18),_xlfn.XLOOKUP(AL809,Cadastros!$G$6:$G$90,Cadastros!$H$6:$H$90))))</f>
        <v/>
      </c>
      <c r="AO809" s="168" t="str">
        <f t="shared" si="165"/>
        <v/>
      </c>
      <c r="AP809" s="168" t="str">
        <f t="shared" si="166"/>
        <v/>
      </c>
      <c r="AQ809" s="28"/>
      <c r="AR809" s="28"/>
      <c r="AS809" s="20" t="str">
        <f>IF(AQ809="","",IF($F809="Bernardino Furlan",_xlfn.XLOOKUP(AQ809,Cadastros!$G$6:$G$90,Cadastros!$H$6:$H$90)*(1-0.18),IF($F809="Mauro José Salanti",_xlfn.XLOOKUP(AQ809,Cadastros!$G$6:$G$90,Cadastros!$H$6:$H$90)*(1-0.18),_xlfn.XLOOKUP(AQ809,Cadastros!$G$6:$G$90,Cadastros!$H$6:$H$90))))</f>
        <v/>
      </c>
      <c r="AT809" s="168" t="str">
        <f t="shared" si="167"/>
        <v/>
      </c>
      <c r="AU809" s="168" t="str">
        <f t="shared" si="168"/>
        <v/>
      </c>
      <c r="AV809" s="227"/>
      <c r="AW809" s="30"/>
      <c r="AX809" s="267"/>
      <c r="AY809" s="267"/>
      <c r="AZ809" s="29"/>
      <c r="BA809" s="30"/>
      <c r="BB809" s="23" t="str" cm="1">
        <f t="array" ref="BB809">_xlfn.IFS(AW809="SIM",SUM(K809,P809,U809,Z809,AE809,AJ809,AO809,AT809,AX809,AY809),F809&lt;&gt;"",SUM(K809,P809,U809,Z809,AE809,AJ809,,AO809,AT809),F809="","")</f>
        <v/>
      </c>
      <c r="BC809" s="211" t="str" cm="1">
        <f t="array" ref="BC809">_xlfn.IFS(E809="","",G809&lt;=E809,BB809*(1-0.03),G809&lt;(E809+8),BB809,AZ809="Boleto",BB809*(1+0.001)^DATEDIF(E809,G809,"D"),AZ809="Cheque",BB809,AZ809="Dinheiro","Alterar forma pgto")</f>
        <v/>
      </c>
      <c r="BD809" s="276" t="str" cm="1">
        <f t="array" ref="BD809">IF(F809=0," ",IF(BC809&lt;BB809,(_xlfn.IFS(AW809="SIM",SUM(L809,Q809,V809,AA809,AF809,AK809,AP809,AU809)+AX809/_xlfn.XLOOKUP(_xlfn.XLOOKUP($F809,Clientes!$B$4:$B$39,Clientes!$C$4:$C$39),Cadastros!$L$6:$L$12,Cadastros!$M$6:$M$12)+IF($F809="Bernardino Furlan",AY809/2751.92,IF($F809="Mauro José Salanti",AY809/2751.92,AY809/3356)),F809&lt;&gt;0,SUM(L809,Q809,V809,AA809,AF809,AK809,AP809,AU809)))*(1-0.03),_xlfn.IFS(AW809="SIM",SUM(L809,Q809,V809,AA809,AF809,AK809,AP809,AU809)+AX809/_xlfn.XLOOKUP(_xlfn.XLOOKUP($F809,Clientes!$B$4:$B$39,Clientes!$C$4:$C$39),Cadastros!$L$6:$L$12,Cadastros!$M$6:$M$12)+IF($F809="Bernardino Furlan",AY809/2751.92,IF($F809="Mauro José Salanti",AY809/2751.92,AY809/3356)),F809&lt;&gt;0,SUM(L809,Q809,V809,AA809,AF809,AK809,AP809,AU809))))</f>
        <v xml:space="preserve"> </v>
      </c>
      <c r="BE809" s="120"/>
      <c r="BF809" s="120"/>
      <c r="BG809" s="120"/>
    </row>
    <row r="810" spans="1:59" s="3" customFormat="1" x14ac:dyDescent="0.3">
      <c r="A810" s="15" t="str">
        <f t="shared" si="156"/>
        <v/>
      </c>
      <c r="B810" s="25"/>
      <c r="C810" s="26"/>
      <c r="D810" s="279"/>
      <c r="E810" s="27"/>
      <c r="F810" s="28"/>
      <c r="G810" s="27"/>
      <c r="H810" s="28"/>
      <c r="I810" s="28"/>
      <c r="J810" s="255" t="str">
        <f>IF(H810="","",(_xlfn.XLOOKUP(H810,Cadastros!$D$6:$D$90,Cadastros!$E$6:$E$90))*(1-_xlfn.XLOOKUP(_xlfn.XLOOKUP($F810,Clientes!$B$4:$B$39,Clientes!$C$4:$C$39),Cadastros!$L$6:$L$12,Cadastros!$N$6:$N$12)))</f>
        <v/>
      </c>
      <c r="K810" s="168" t="str">
        <f t="shared" si="157"/>
        <v/>
      </c>
      <c r="L810" s="168" t="str">
        <f>IFERROR(K810/_xlfn.XLOOKUP(_xlfn.XLOOKUP($F810,Clientes!$B$4:$B$39,Clientes!$C$4:$C$39),Cadastros!$L$6:$L$12,Cadastros!$M$6:$M$12)," ")</f>
        <v xml:space="preserve"> </v>
      </c>
      <c r="M810" s="28"/>
      <c r="N810" s="28"/>
      <c r="O810" s="255" t="str">
        <f>IF(M810="","",(_xlfn.XLOOKUP(M810,Cadastros!$D$6:$D$90,Cadastros!$E$6:$E$90))*(1-_xlfn.XLOOKUP(_xlfn.XLOOKUP($F810,Clientes!$B$4:$B$39,Clientes!$C$4:$C$39),Cadastros!$L$6:$L$12,Cadastros!$N$6:$N$12)))</f>
        <v/>
      </c>
      <c r="P810" s="168" t="str">
        <f t="shared" si="158"/>
        <v/>
      </c>
      <c r="Q810" s="168" t="str">
        <f>IFERROR(P810/_xlfn.XLOOKUP(_xlfn.XLOOKUP($F810,Clientes!$B$4:$B$39,Clientes!$C$4:$C$39),Cadastros!$L$6:$L$12,Cadastros!$M$6:$M$12)," ")</f>
        <v xml:space="preserve"> </v>
      </c>
      <c r="R810" s="28"/>
      <c r="S810" s="28"/>
      <c r="T810" s="255" t="str">
        <f>IF(R810="","",(_xlfn.XLOOKUP(R810,Cadastros!$D$6:$D$90,Cadastros!$E$6:$E$90))*(1-_xlfn.XLOOKUP(_xlfn.XLOOKUP($F810,Clientes!$B$4:$B$39,Clientes!$C$4:$C$39),Cadastros!$L$6:$L$12,Cadastros!$N$6:$N$12)))</f>
        <v/>
      </c>
      <c r="U810" s="168" t="str">
        <f t="shared" si="159"/>
        <v/>
      </c>
      <c r="V810" s="168" t="str">
        <f>IFERROR(U810/_xlfn.XLOOKUP(_xlfn.XLOOKUP($F810,Clientes!$B$4:$B$39,Clientes!$C$4:$C$39),Cadastros!$L$6:$L$12,Cadastros!$M$6:$M$12)," ")</f>
        <v xml:space="preserve"> </v>
      </c>
      <c r="W810" s="28"/>
      <c r="X810" s="28"/>
      <c r="Y810" s="255" t="str">
        <f>IF(W810="","",(_xlfn.XLOOKUP(W810,Cadastros!$D$6:$D$90,Cadastros!$E$6:$E$90))*(1-_xlfn.XLOOKUP(_xlfn.XLOOKUP($F810,Clientes!$B$4:$B$39,Clientes!$C$4:$C$39),Cadastros!$L$6:$L$12,Cadastros!$N$6:$N$12)))</f>
        <v/>
      </c>
      <c r="Z810" s="168" t="str">
        <f t="shared" si="160"/>
        <v/>
      </c>
      <c r="AA810" s="168" t="str">
        <f>IFERROR(Z810/_xlfn.XLOOKUP(_xlfn.XLOOKUP($F810,Clientes!$B$4:$B$39,Clientes!$C$4:$C$39),Cadastros!$L$6:$L$12,Cadastros!$M$6:$M$12)," ")</f>
        <v xml:space="preserve"> </v>
      </c>
      <c r="AB810" s="28"/>
      <c r="AC810" s="28"/>
      <c r="AD810" s="20" t="str">
        <f>IF(AB810="","",IF($F810="Bernardino Furlan",_xlfn.XLOOKUP(AB810,Cadastros!$G$6:$G$90,Cadastros!$H$6:$H$90)*(1-0.18),IF($F810="Mauro José Salanti",_xlfn.XLOOKUP(AB810,Cadastros!$G$6:$G$90,Cadastros!$H$6:$H$90)*(1-0.18),_xlfn.XLOOKUP(AB810,Cadastros!$G$6:$G$90,Cadastros!$H$6:$H$90))))</f>
        <v/>
      </c>
      <c r="AE810" s="168" t="str">
        <f t="shared" si="161"/>
        <v/>
      </c>
      <c r="AF810" s="168" t="str">
        <f t="shared" si="162"/>
        <v/>
      </c>
      <c r="AG810" s="28"/>
      <c r="AH810" s="28"/>
      <c r="AI810" s="20" t="str">
        <f>IF(AG810="","",IF($F810="Bernardino Furlan",_xlfn.XLOOKUP(AG810,Cadastros!$G$6:$G$90,Cadastros!$H$6:$H$90)*(1-0.18),IF($F810="Mauro José Salanti",_xlfn.XLOOKUP(AG810,Cadastros!$G$6:$G$90,Cadastros!$H$6:$H$90)*(1-0.18),_xlfn.XLOOKUP(AG810,Cadastros!$G$6:$G$90,Cadastros!$H$6:$H$90))))</f>
        <v/>
      </c>
      <c r="AJ810" s="168" t="str">
        <f t="shared" si="163"/>
        <v/>
      </c>
      <c r="AK810" s="168" t="str">
        <f t="shared" si="164"/>
        <v/>
      </c>
      <c r="AL810" s="28"/>
      <c r="AM810" s="28"/>
      <c r="AN810" s="20" t="str">
        <f>IF(AL810="","",IF($F810="Bernardino Furlan",_xlfn.XLOOKUP(AL810,Cadastros!$G$6:$G$90,Cadastros!$H$6:$H$90)*(1-0.18),IF($F810="Mauro José Salanti",_xlfn.XLOOKUP(AL810,Cadastros!$G$6:$G$90,Cadastros!$H$6:$H$90)*(1-0.18),_xlfn.XLOOKUP(AL810,Cadastros!$G$6:$G$90,Cadastros!$H$6:$H$90))))</f>
        <v/>
      </c>
      <c r="AO810" s="168" t="str">
        <f t="shared" si="165"/>
        <v/>
      </c>
      <c r="AP810" s="168" t="str">
        <f t="shared" si="166"/>
        <v/>
      </c>
      <c r="AQ810" s="28"/>
      <c r="AR810" s="28"/>
      <c r="AS810" s="20" t="str">
        <f>IF(AQ810="","",IF($F810="Bernardino Furlan",_xlfn.XLOOKUP(AQ810,Cadastros!$G$6:$G$90,Cadastros!$H$6:$H$90)*(1-0.18),IF($F810="Mauro José Salanti",_xlfn.XLOOKUP(AQ810,Cadastros!$G$6:$G$90,Cadastros!$H$6:$H$90)*(1-0.18),_xlfn.XLOOKUP(AQ810,Cadastros!$G$6:$G$90,Cadastros!$H$6:$H$90))))</f>
        <v/>
      </c>
      <c r="AT810" s="168" t="str">
        <f t="shared" si="167"/>
        <v/>
      </c>
      <c r="AU810" s="168" t="str">
        <f t="shared" si="168"/>
        <v/>
      </c>
      <c r="AV810" s="227"/>
      <c r="AW810" s="30"/>
      <c r="AX810" s="267"/>
      <c r="AY810" s="267"/>
      <c r="AZ810" s="29"/>
      <c r="BA810" s="30"/>
      <c r="BB810" s="23" t="str" cm="1">
        <f t="array" ref="BB810">_xlfn.IFS(AW810="SIM",SUM(K810,P810,U810,Z810,AE810,AJ810,AO810,AT810,AX810,AY810),F810&lt;&gt;"",SUM(K810,P810,U810,Z810,AE810,AJ810,,AO810,AT810),F810="","")</f>
        <v/>
      </c>
      <c r="BC810" s="211" t="str" cm="1">
        <f t="array" ref="BC810">_xlfn.IFS(E810="","",G810&lt;=E810,BB810*(1-0.03),G810&lt;(E810+8),BB810,AZ810="Boleto",BB810*(1+0.001)^DATEDIF(E810,G810,"D"),AZ810="Cheque",BB810,AZ810="Dinheiro","Alterar forma pgto")</f>
        <v/>
      </c>
      <c r="BD810" s="276" t="str" cm="1">
        <f t="array" ref="BD810">IF(F810=0," ",IF(BC810&lt;BB810,(_xlfn.IFS(AW810="SIM",SUM(L810,Q810,V810,AA810,AF810,AK810,AP810,AU810)+AX810/_xlfn.XLOOKUP(_xlfn.XLOOKUP($F810,Clientes!$B$4:$B$39,Clientes!$C$4:$C$39),Cadastros!$L$6:$L$12,Cadastros!$M$6:$M$12)+IF($F810="Bernardino Furlan",AY810/2751.92,IF($F810="Mauro José Salanti",AY810/2751.92,AY810/3356)),F810&lt;&gt;0,SUM(L810,Q810,V810,AA810,AF810,AK810,AP810,AU810)))*(1-0.03),_xlfn.IFS(AW810="SIM",SUM(L810,Q810,V810,AA810,AF810,AK810,AP810,AU810)+AX810/_xlfn.XLOOKUP(_xlfn.XLOOKUP($F810,Clientes!$B$4:$B$39,Clientes!$C$4:$C$39),Cadastros!$L$6:$L$12,Cadastros!$M$6:$M$12)+IF($F810="Bernardino Furlan",AY810/2751.92,IF($F810="Mauro José Salanti",AY810/2751.92,AY810/3356)),F810&lt;&gt;0,SUM(L810,Q810,V810,AA810,AF810,AK810,AP810,AU810))))</f>
        <v xml:space="preserve"> </v>
      </c>
      <c r="BE810" s="120"/>
      <c r="BF810" s="120"/>
      <c r="BG810" s="120"/>
    </row>
    <row r="811" spans="1:59" s="3" customFormat="1" x14ac:dyDescent="0.3">
      <c r="A811" s="15" t="str">
        <f t="shared" si="156"/>
        <v/>
      </c>
      <c r="B811" s="25"/>
      <c r="C811" s="26"/>
      <c r="D811" s="279"/>
      <c r="E811" s="27"/>
      <c r="F811" s="28"/>
      <c r="G811" s="27"/>
      <c r="H811" s="28"/>
      <c r="I811" s="28"/>
      <c r="J811" s="255" t="str">
        <f>IF(H811="","",(_xlfn.XLOOKUP(H811,Cadastros!$D$6:$D$90,Cadastros!$E$6:$E$90))*(1-_xlfn.XLOOKUP(_xlfn.XLOOKUP($F811,Clientes!$B$4:$B$39,Clientes!$C$4:$C$39),Cadastros!$L$6:$L$12,Cadastros!$N$6:$N$12)))</f>
        <v/>
      </c>
      <c r="K811" s="168" t="str">
        <f t="shared" si="157"/>
        <v/>
      </c>
      <c r="L811" s="168" t="str">
        <f>IFERROR(K811/_xlfn.XLOOKUP(_xlfn.XLOOKUP($F811,Clientes!$B$4:$B$39,Clientes!$C$4:$C$39),Cadastros!$L$6:$L$12,Cadastros!$M$6:$M$12)," ")</f>
        <v xml:space="preserve"> </v>
      </c>
      <c r="M811" s="28"/>
      <c r="N811" s="28"/>
      <c r="O811" s="255" t="str">
        <f>IF(M811="","",(_xlfn.XLOOKUP(M811,Cadastros!$D$6:$D$90,Cadastros!$E$6:$E$90))*(1-_xlfn.XLOOKUP(_xlfn.XLOOKUP($F811,Clientes!$B$4:$B$39,Clientes!$C$4:$C$39),Cadastros!$L$6:$L$12,Cadastros!$N$6:$N$12)))</f>
        <v/>
      </c>
      <c r="P811" s="168" t="str">
        <f t="shared" si="158"/>
        <v/>
      </c>
      <c r="Q811" s="168" t="str">
        <f>IFERROR(P811/_xlfn.XLOOKUP(_xlfn.XLOOKUP($F811,Clientes!$B$4:$B$39,Clientes!$C$4:$C$39),Cadastros!$L$6:$L$12,Cadastros!$M$6:$M$12)," ")</f>
        <v xml:space="preserve"> </v>
      </c>
      <c r="R811" s="28"/>
      <c r="S811" s="28"/>
      <c r="T811" s="255" t="str">
        <f>IF(R811="","",(_xlfn.XLOOKUP(R811,Cadastros!$D$6:$D$90,Cadastros!$E$6:$E$90))*(1-_xlfn.XLOOKUP(_xlfn.XLOOKUP($F811,Clientes!$B$4:$B$39,Clientes!$C$4:$C$39),Cadastros!$L$6:$L$12,Cadastros!$N$6:$N$12)))</f>
        <v/>
      </c>
      <c r="U811" s="168" t="str">
        <f t="shared" si="159"/>
        <v/>
      </c>
      <c r="V811" s="168" t="str">
        <f>IFERROR(U811/_xlfn.XLOOKUP(_xlfn.XLOOKUP($F811,Clientes!$B$4:$B$39,Clientes!$C$4:$C$39),Cadastros!$L$6:$L$12,Cadastros!$M$6:$M$12)," ")</f>
        <v xml:space="preserve"> </v>
      </c>
      <c r="W811" s="28"/>
      <c r="X811" s="28"/>
      <c r="Y811" s="255" t="str">
        <f>IF(W811="","",(_xlfn.XLOOKUP(W811,Cadastros!$D$6:$D$90,Cadastros!$E$6:$E$90))*(1-_xlfn.XLOOKUP(_xlfn.XLOOKUP($F811,Clientes!$B$4:$B$39,Clientes!$C$4:$C$39),Cadastros!$L$6:$L$12,Cadastros!$N$6:$N$12)))</f>
        <v/>
      </c>
      <c r="Z811" s="168" t="str">
        <f t="shared" si="160"/>
        <v/>
      </c>
      <c r="AA811" s="168" t="str">
        <f>IFERROR(Z811/_xlfn.XLOOKUP(_xlfn.XLOOKUP($F811,Clientes!$B$4:$B$39,Clientes!$C$4:$C$39),Cadastros!$L$6:$L$12,Cadastros!$M$6:$M$12)," ")</f>
        <v xml:space="preserve"> </v>
      </c>
      <c r="AB811" s="28"/>
      <c r="AC811" s="28"/>
      <c r="AD811" s="20" t="str">
        <f>IF(AB811="","",IF($F811="Bernardino Furlan",_xlfn.XLOOKUP(AB811,Cadastros!$G$6:$G$90,Cadastros!$H$6:$H$90)*(1-0.18),IF($F811="Mauro José Salanti",_xlfn.XLOOKUP(AB811,Cadastros!$G$6:$G$90,Cadastros!$H$6:$H$90)*(1-0.18),_xlfn.XLOOKUP(AB811,Cadastros!$G$6:$G$90,Cadastros!$H$6:$H$90))))</f>
        <v/>
      </c>
      <c r="AE811" s="168" t="str">
        <f t="shared" si="161"/>
        <v/>
      </c>
      <c r="AF811" s="168" t="str">
        <f t="shared" si="162"/>
        <v/>
      </c>
      <c r="AG811" s="28"/>
      <c r="AH811" s="28"/>
      <c r="AI811" s="20" t="str">
        <f>IF(AG811="","",IF($F811="Bernardino Furlan",_xlfn.XLOOKUP(AG811,Cadastros!$G$6:$G$90,Cadastros!$H$6:$H$90)*(1-0.18),IF($F811="Mauro José Salanti",_xlfn.XLOOKUP(AG811,Cadastros!$G$6:$G$90,Cadastros!$H$6:$H$90)*(1-0.18),_xlfn.XLOOKUP(AG811,Cadastros!$G$6:$G$90,Cadastros!$H$6:$H$90))))</f>
        <v/>
      </c>
      <c r="AJ811" s="168" t="str">
        <f t="shared" si="163"/>
        <v/>
      </c>
      <c r="AK811" s="168" t="str">
        <f t="shared" si="164"/>
        <v/>
      </c>
      <c r="AL811" s="28"/>
      <c r="AM811" s="28"/>
      <c r="AN811" s="20" t="str">
        <f>IF(AL811="","",IF($F811="Bernardino Furlan",_xlfn.XLOOKUP(AL811,Cadastros!$G$6:$G$90,Cadastros!$H$6:$H$90)*(1-0.18),IF($F811="Mauro José Salanti",_xlfn.XLOOKUP(AL811,Cadastros!$G$6:$G$90,Cadastros!$H$6:$H$90)*(1-0.18),_xlfn.XLOOKUP(AL811,Cadastros!$G$6:$G$90,Cadastros!$H$6:$H$90))))</f>
        <v/>
      </c>
      <c r="AO811" s="168" t="str">
        <f t="shared" si="165"/>
        <v/>
      </c>
      <c r="AP811" s="168" t="str">
        <f t="shared" si="166"/>
        <v/>
      </c>
      <c r="AQ811" s="28"/>
      <c r="AR811" s="28"/>
      <c r="AS811" s="20" t="str">
        <f>IF(AQ811="","",IF($F811="Bernardino Furlan",_xlfn.XLOOKUP(AQ811,Cadastros!$G$6:$G$90,Cadastros!$H$6:$H$90)*(1-0.18),IF($F811="Mauro José Salanti",_xlfn.XLOOKUP(AQ811,Cadastros!$G$6:$G$90,Cadastros!$H$6:$H$90)*(1-0.18),_xlfn.XLOOKUP(AQ811,Cadastros!$G$6:$G$90,Cadastros!$H$6:$H$90))))</f>
        <v/>
      </c>
      <c r="AT811" s="168" t="str">
        <f t="shared" si="167"/>
        <v/>
      </c>
      <c r="AU811" s="168" t="str">
        <f t="shared" si="168"/>
        <v/>
      </c>
      <c r="AV811" s="227"/>
      <c r="AW811" s="30"/>
      <c r="AX811" s="267"/>
      <c r="AY811" s="267"/>
      <c r="AZ811" s="29"/>
      <c r="BA811" s="30"/>
      <c r="BB811" s="23" t="str" cm="1">
        <f t="array" ref="BB811">_xlfn.IFS(AW811="SIM",SUM(K811,P811,U811,Z811,AE811,AJ811,AO811,AT811,AX811,AY811),F811&lt;&gt;"",SUM(K811,P811,U811,Z811,AE811,AJ811,,AO811,AT811),F811="","")</f>
        <v/>
      </c>
      <c r="BC811" s="211" t="str" cm="1">
        <f t="array" ref="BC811">_xlfn.IFS(E811="","",G811&lt;=E811,BB811*(1-0.03),G811&lt;(E811+8),BB811,AZ811="Boleto",BB811*(1+0.001)^DATEDIF(E811,G811,"D"),AZ811="Cheque",BB811,AZ811="Dinheiro","Alterar forma pgto")</f>
        <v/>
      </c>
      <c r="BD811" s="276" t="str" cm="1">
        <f t="array" ref="BD811">IF(F811=0," ",IF(BC811&lt;BB811,(_xlfn.IFS(AW811="SIM",SUM(L811,Q811,V811,AA811,AF811,AK811,AP811,AU811)+AX811/_xlfn.XLOOKUP(_xlfn.XLOOKUP($F811,Clientes!$B$4:$B$39,Clientes!$C$4:$C$39),Cadastros!$L$6:$L$12,Cadastros!$M$6:$M$12)+IF($F811="Bernardino Furlan",AY811/2751.92,IF($F811="Mauro José Salanti",AY811/2751.92,AY811/3356)),F811&lt;&gt;0,SUM(L811,Q811,V811,AA811,AF811,AK811,AP811,AU811)))*(1-0.03),_xlfn.IFS(AW811="SIM",SUM(L811,Q811,V811,AA811,AF811,AK811,AP811,AU811)+AX811/_xlfn.XLOOKUP(_xlfn.XLOOKUP($F811,Clientes!$B$4:$B$39,Clientes!$C$4:$C$39),Cadastros!$L$6:$L$12,Cadastros!$M$6:$M$12)+IF($F811="Bernardino Furlan",AY811/2751.92,IF($F811="Mauro José Salanti",AY811/2751.92,AY811/3356)),F811&lt;&gt;0,SUM(L811,Q811,V811,AA811,AF811,AK811,AP811,AU811))))</f>
        <v xml:space="preserve"> </v>
      </c>
      <c r="BE811" s="120"/>
      <c r="BF811" s="120"/>
      <c r="BG811" s="120"/>
    </row>
    <row r="812" spans="1:59" s="3" customFormat="1" x14ac:dyDescent="0.3">
      <c r="A812" s="15" t="str">
        <f t="shared" si="156"/>
        <v/>
      </c>
      <c r="B812" s="25"/>
      <c r="C812" s="26"/>
      <c r="D812" s="279"/>
      <c r="E812" s="27"/>
      <c r="F812" s="28"/>
      <c r="G812" s="27"/>
      <c r="H812" s="28"/>
      <c r="I812" s="28"/>
      <c r="J812" s="255" t="str">
        <f>IF(H812="","",(_xlfn.XLOOKUP(H812,Cadastros!$D$6:$D$90,Cadastros!$E$6:$E$90))*(1-_xlfn.XLOOKUP(_xlfn.XLOOKUP($F812,Clientes!$B$4:$B$39,Clientes!$C$4:$C$39),Cadastros!$L$6:$L$12,Cadastros!$N$6:$N$12)))</f>
        <v/>
      </c>
      <c r="K812" s="168" t="str">
        <f t="shared" si="157"/>
        <v/>
      </c>
      <c r="L812" s="168" t="str">
        <f>IFERROR(K812/_xlfn.XLOOKUP(_xlfn.XLOOKUP($F812,Clientes!$B$4:$B$39,Clientes!$C$4:$C$39),Cadastros!$L$6:$L$12,Cadastros!$M$6:$M$12)," ")</f>
        <v xml:space="preserve"> </v>
      </c>
      <c r="M812" s="28"/>
      <c r="N812" s="28"/>
      <c r="O812" s="255" t="str">
        <f>IF(M812="","",(_xlfn.XLOOKUP(M812,Cadastros!$D$6:$D$90,Cadastros!$E$6:$E$90))*(1-_xlfn.XLOOKUP(_xlfn.XLOOKUP($F812,Clientes!$B$4:$B$39,Clientes!$C$4:$C$39),Cadastros!$L$6:$L$12,Cadastros!$N$6:$N$12)))</f>
        <v/>
      </c>
      <c r="P812" s="168" t="str">
        <f t="shared" si="158"/>
        <v/>
      </c>
      <c r="Q812" s="168" t="str">
        <f>IFERROR(P812/_xlfn.XLOOKUP(_xlfn.XLOOKUP($F812,Clientes!$B$4:$B$39,Clientes!$C$4:$C$39),Cadastros!$L$6:$L$12,Cadastros!$M$6:$M$12)," ")</f>
        <v xml:space="preserve"> </v>
      </c>
      <c r="R812" s="28"/>
      <c r="S812" s="28"/>
      <c r="T812" s="255" t="str">
        <f>IF(R812="","",(_xlfn.XLOOKUP(R812,Cadastros!$D$6:$D$90,Cadastros!$E$6:$E$90))*(1-_xlfn.XLOOKUP(_xlfn.XLOOKUP($F812,Clientes!$B$4:$B$39,Clientes!$C$4:$C$39),Cadastros!$L$6:$L$12,Cadastros!$N$6:$N$12)))</f>
        <v/>
      </c>
      <c r="U812" s="168" t="str">
        <f t="shared" si="159"/>
        <v/>
      </c>
      <c r="V812" s="168" t="str">
        <f>IFERROR(U812/_xlfn.XLOOKUP(_xlfn.XLOOKUP($F812,Clientes!$B$4:$B$39,Clientes!$C$4:$C$39),Cadastros!$L$6:$L$12,Cadastros!$M$6:$M$12)," ")</f>
        <v xml:space="preserve"> </v>
      </c>
      <c r="W812" s="28"/>
      <c r="X812" s="28"/>
      <c r="Y812" s="255" t="str">
        <f>IF(W812="","",(_xlfn.XLOOKUP(W812,Cadastros!$D$6:$D$90,Cadastros!$E$6:$E$90))*(1-_xlfn.XLOOKUP(_xlfn.XLOOKUP($F812,Clientes!$B$4:$B$39,Clientes!$C$4:$C$39),Cadastros!$L$6:$L$12,Cadastros!$N$6:$N$12)))</f>
        <v/>
      </c>
      <c r="Z812" s="168" t="str">
        <f t="shared" si="160"/>
        <v/>
      </c>
      <c r="AA812" s="168" t="str">
        <f>IFERROR(Z812/_xlfn.XLOOKUP(_xlfn.XLOOKUP($F812,Clientes!$B$4:$B$39,Clientes!$C$4:$C$39),Cadastros!$L$6:$L$12,Cadastros!$M$6:$M$12)," ")</f>
        <v xml:space="preserve"> </v>
      </c>
      <c r="AB812" s="28"/>
      <c r="AC812" s="28"/>
      <c r="AD812" s="20" t="str">
        <f>IF(AB812="","",IF($F812="Bernardino Furlan",_xlfn.XLOOKUP(AB812,Cadastros!$G$6:$G$90,Cadastros!$H$6:$H$90)*(1-0.18),IF($F812="Mauro José Salanti",_xlfn.XLOOKUP(AB812,Cadastros!$G$6:$G$90,Cadastros!$H$6:$H$90)*(1-0.18),_xlfn.XLOOKUP(AB812,Cadastros!$G$6:$G$90,Cadastros!$H$6:$H$90))))</f>
        <v/>
      </c>
      <c r="AE812" s="168" t="str">
        <f t="shared" si="161"/>
        <v/>
      </c>
      <c r="AF812" s="168" t="str">
        <f t="shared" si="162"/>
        <v/>
      </c>
      <c r="AG812" s="28"/>
      <c r="AH812" s="28"/>
      <c r="AI812" s="20" t="str">
        <f>IF(AG812="","",IF($F812="Bernardino Furlan",_xlfn.XLOOKUP(AG812,Cadastros!$G$6:$G$90,Cadastros!$H$6:$H$90)*(1-0.18),IF($F812="Mauro José Salanti",_xlfn.XLOOKUP(AG812,Cadastros!$G$6:$G$90,Cadastros!$H$6:$H$90)*(1-0.18),_xlfn.XLOOKUP(AG812,Cadastros!$G$6:$G$90,Cadastros!$H$6:$H$90))))</f>
        <v/>
      </c>
      <c r="AJ812" s="168" t="str">
        <f t="shared" si="163"/>
        <v/>
      </c>
      <c r="AK812" s="168" t="str">
        <f t="shared" si="164"/>
        <v/>
      </c>
      <c r="AL812" s="28"/>
      <c r="AM812" s="28"/>
      <c r="AN812" s="20" t="str">
        <f>IF(AL812="","",IF($F812="Bernardino Furlan",_xlfn.XLOOKUP(AL812,Cadastros!$G$6:$G$90,Cadastros!$H$6:$H$90)*(1-0.18),IF($F812="Mauro José Salanti",_xlfn.XLOOKUP(AL812,Cadastros!$G$6:$G$90,Cadastros!$H$6:$H$90)*(1-0.18),_xlfn.XLOOKUP(AL812,Cadastros!$G$6:$G$90,Cadastros!$H$6:$H$90))))</f>
        <v/>
      </c>
      <c r="AO812" s="168" t="str">
        <f t="shared" si="165"/>
        <v/>
      </c>
      <c r="AP812" s="168" t="str">
        <f t="shared" si="166"/>
        <v/>
      </c>
      <c r="AQ812" s="28"/>
      <c r="AR812" s="28"/>
      <c r="AS812" s="20" t="str">
        <f>IF(AQ812="","",IF($F812="Bernardino Furlan",_xlfn.XLOOKUP(AQ812,Cadastros!$G$6:$G$90,Cadastros!$H$6:$H$90)*(1-0.18),IF($F812="Mauro José Salanti",_xlfn.XLOOKUP(AQ812,Cadastros!$G$6:$G$90,Cadastros!$H$6:$H$90)*(1-0.18),_xlfn.XLOOKUP(AQ812,Cadastros!$G$6:$G$90,Cadastros!$H$6:$H$90))))</f>
        <v/>
      </c>
      <c r="AT812" s="168" t="str">
        <f t="shared" si="167"/>
        <v/>
      </c>
      <c r="AU812" s="168" t="str">
        <f t="shared" si="168"/>
        <v/>
      </c>
      <c r="AV812" s="227"/>
      <c r="AW812" s="30"/>
      <c r="AX812" s="267"/>
      <c r="AY812" s="267"/>
      <c r="AZ812" s="29"/>
      <c r="BA812" s="30"/>
      <c r="BB812" s="23" t="str" cm="1">
        <f t="array" ref="BB812">_xlfn.IFS(AW812="SIM",SUM(K812,P812,U812,Z812,AE812,AJ812,AO812,AT812,AX812,AY812),F812&lt;&gt;"",SUM(K812,P812,U812,Z812,AE812,AJ812,,AO812,AT812),F812="","")</f>
        <v/>
      </c>
      <c r="BC812" s="211" t="str" cm="1">
        <f t="array" ref="BC812">_xlfn.IFS(E812="","",G812&lt;=E812,BB812*(1-0.03),G812&lt;(E812+8),BB812,AZ812="Boleto",BB812*(1+0.001)^DATEDIF(E812,G812,"D"),AZ812="Cheque",BB812,AZ812="Dinheiro","Alterar forma pgto")</f>
        <v/>
      </c>
      <c r="BD812" s="276" t="str" cm="1">
        <f t="array" ref="BD812">IF(F812=0," ",IF(BC812&lt;BB812,(_xlfn.IFS(AW812="SIM",SUM(L812,Q812,V812,AA812,AF812,AK812,AP812,AU812)+AX812/_xlfn.XLOOKUP(_xlfn.XLOOKUP($F812,Clientes!$B$4:$B$39,Clientes!$C$4:$C$39),Cadastros!$L$6:$L$12,Cadastros!$M$6:$M$12)+IF($F812="Bernardino Furlan",AY812/2751.92,IF($F812="Mauro José Salanti",AY812/2751.92,AY812/3356)),F812&lt;&gt;0,SUM(L812,Q812,V812,AA812,AF812,AK812,AP812,AU812)))*(1-0.03),_xlfn.IFS(AW812="SIM",SUM(L812,Q812,V812,AA812,AF812,AK812,AP812,AU812)+AX812/_xlfn.XLOOKUP(_xlfn.XLOOKUP($F812,Clientes!$B$4:$B$39,Clientes!$C$4:$C$39),Cadastros!$L$6:$L$12,Cadastros!$M$6:$M$12)+IF($F812="Bernardino Furlan",AY812/2751.92,IF($F812="Mauro José Salanti",AY812/2751.92,AY812/3356)),F812&lt;&gt;0,SUM(L812,Q812,V812,AA812,AF812,AK812,AP812,AU812))))</f>
        <v xml:space="preserve"> </v>
      </c>
      <c r="BE812" s="120"/>
      <c r="BF812" s="120"/>
      <c r="BG812" s="120"/>
    </row>
    <row r="813" spans="1:59" s="3" customFormat="1" x14ac:dyDescent="0.3">
      <c r="A813" s="15" t="str">
        <f t="shared" si="156"/>
        <v/>
      </c>
      <c r="B813" s="25"/>
      <c r="C813" s="26"/>
      <c r="D813" s="279"/>
      <c r="E813" s="27"/>
      <c r="F813" s="28"/>
      <c r="G813" s="27"/>
      <c r="H813" s="28"/>
      <c r="I813" s="28"/>
      <c r="J813" s="255" t="str">
        <f>IF(H813="","",(_xlfn.XLOOKUP(H813,Cadastros!$D$6:$D$90,Cadastros!$E$6:$E$90))*(1-_xlfn.XLOOKUP(_xlfn.XLOOKUP($F813,Clientes!$B$4:$B$39,Clientes!$C$4:$C$39),Cadastros!$L$6:$L$12,Cadastros!$N$6:$N$12)))</f>
        <v/>
      </c>
      <c r="K813" s="168" t="str">
        <f t="shared" si="157"/>
        <v/>
      </c>
      <c r="L813" s="168" t="str">
        <f>IFERROR(K813/_xlfn.XLOOKUP(_xlfn.XLOOKUP($F813,Clientes!$B$4:$B$39,Clientes!$C$4:$C$39),Cadastros!$L$6:$L$12,Cadastros!$M$6:$M$12)," ")</f>
        <v xml:space="preserve"> </v>
      </c>
      <c r="M813" s="28"/>
      <c r="N813" s="28"/>
      <c r="O813" s="255" t="str">
        <f>IF(M813="","",(_xlfn.XLOOKUP(M813,Cadastros!$D$6:$D$90,Cadastros!$E$6:$E$90))*(1-_xlfn.XLOOKUP(_xlfn.XLOOKUP($F813,Clientes!$B$4:$B$39,Clientes!$C$4:$C$39),Cadastros!$L$6:$L$12,Cadastros!$N$6:$N$12)))</f>
        <v/>
      </c>
      <c r="P813" s="168" t="str">
        <f t="shared" si="158"/>
        <v/>
      </c>
      <c r="Q813" s="168" t="str">
        <f>IFERROR(P813/_xlfn.XLOOKUP(_xlfn.XLOOKUP($F813,Clientes!$B$4:$B$39,Clientes!$C$4:$C$39),Cadastros!$L$6:$L$12,Cadastros!$M$6:$M$12)," ")</f>
        <v xml:space="preserve"> </v>
      </c>
      <c r="R813" s="28"/>
      <c r="S813" s="28"/>
      <c r="T813" s="255" t="str">
        <f>IF(R813="","",(_xlfn.XLOOKUP(R813,Cadastros!$D$6:$D$90,Cadastros!$E$6:$E$90))*(1-_xlfn.XLOOKUP(_xlfn.XLOOKUP($F813,Clientes!$B$4:$B$39,Clientes!$C$4:$C$39),Cadastros!$L$6:$L$12,Cadastros!$N$6:$N$12)))</f>
        <v/>
      </c>
      <c r="U813" s="168" t="str">
        <f t="shared" si="159"/>
        <v/>
      </c>
      <c r="V813" s="168" t="str">
        <f>IFERROR(U813/_xlfn.XLOOKUP(_xlfn.XLOOKUP($F813,Clientes!$B$4:$B$39,Clientes!$C$4:$C$39),Cadastros!$L$6:$L$12,Cadastros!$M$6:$M$12)," ")</f>
        <v xml:space="preserve"> </v>
      </c>
      <c r="W813" s="28"/>
      <c r="X813" s="28"/>
      <c r="Y813" s="255" t="str">
        <f>IF(W813="","",(_xlfn.XLOOKUP(W813,Cadastros!$D$6:$D$90,Cadastros!$E$6:$E$90))*(1-_xlfn.XLOOKUP(_xlfn.XLOOKUP($F813,Clientes!$B$4:$B$39,Clientes!$C$4:$C$39),Cadastros!$L$6:$L$12,Cadastros!$N$6:$N$12)))</f>
        <v/>
      </c>
      <c r="Z813" s="168" t="str">
        <f t="shared" si="160"/>
        <v/>
      </c>
      <c r="AA813" s="168" t="str">
        <f>IFERROR(Z813/_xlfn.XLOOKUP(_xlfn.XLOOKUP($F813,Clientes!$B$4:$B$39,Clientes!$C$4:$C$39),Cadastros!$L$6:$L$12,Cadastros!$M$6:$M$12)," ")</f>
        <v xml:space="preserve"> </v>
      </c>
      <c r="AB813" s="28"/>
      <c r="AC813" s="28"/>
      <c r="AD813" s="20" t="str">
        <f>IF(AB813="","",IF($F813="Bernardino Furlan",_xlfn.XLOOKUP(AB813,Cadastros!$G$6:$G$90,Cadastros!$H$6:$H$90)*(1-0.18),IF($F813="Mauro José Salanti",_xlfn.XLOOKUP(AB813,Cadastros!$G$6:$G$90,Cadastros!$H$6:$H$90)*(1-0.18),_xlfn.XLOOKUP(AB813,Cadastros!$G$6:$G$90,Cadastros!$H$6:$H$90))))</f>
        <v/>
      </c>
      <c r="AE813" s="168" t="str">
        <f t="shared" si="161"/>
        <v/>
      </c>
      <c r="AF813" s="168" t="str">
        <f t="shared" si="162"/>
        <v/>
      </c>
      <c r="AG813" s="28"/>
      <c r="AH813" s="28"/>
      <c r="AI813" s="20" t="str">
        <f>IF(AG813="","",IF($F813="Bernardino Furlan",_xlfn.XLOOKUP(AG813,Cadastros!$G$6:$G$90,Cadastros!$H$6:$H$90)*(1-0.18),IF($F813="Mauro José Salanti",_xlfn.XLOOKUP(AG813,Cadastros!$G$6:$G$90,Cadastros!$H$6:$H$90)*(1-0.18),_xlfn.XLOOKUP(AG813,Cadastros!$G$6:$G$90,Cadastros!$H$6:$H$90))))</f>
        <v/>
      </c>
      <c r="AJ813" s="168" t="str">
        <f t="shared" si="163"/>
        <v/>
      </c>
      <c r="AK813" s="168" t="str">
        <f t="shared" si="164"/>
        <v/>
      </c>
      <c r="AL813" s="28"/>
      <c r="AM813" s="28"/>
      <c r="AN813" s="20" t="str">
        <f>IF(AL813="","",IF($F813="Bernardino Furlan",_xlfn.XLOOKUP(AL813,Cadastros!$G$6:$G$90,Cadastros!$H$6:$H$90)*(1-0.18),IF($F813="Mauro José Salanti",_xlfn.XLOOKUP(AL813,Cadastros!$G$6:$G$90,Cadastros!$H$6:$H$90)*(1-0.18),_xlfn.XLOOKUP(AL813,Cadastros!$G$6:$G$90,Cadastros!$H$6:$H$90))))</f>
        <v/>
      </c>
      <c r="AO813" s="168" t="str">
        <f t="shared" si="165"/>
        <v/>
      </c>
      <c r="AP813" s="168" t="str">
        <f t="shared" si="166"/>
        <v/>
      </c>
      <c r="AQ813" s="28"/>
      <c r="AR813" s="28"/>
      <c r="AS813" s="20" t="str">
        <f>IF(AQ813="","",IF($F813="Bernardino Furlan",_xlfn.XLOOKUP(AQ813,Cadastros!$G$6:$G$90,Cadastros!$H$6:$H$90)*(1-0.18),IF($F813="Mauro José Salanti",_xlfn.XLOOKUP(AQ813,Cadastros!$G$6:$G$90,Cadastros!$H$6:$H$90)*(1-0.18),_xlfn.XLOOKUP(AQ813,Cadastros!$G$6:$G$90,Cadastros!$H$6:$H$90))))</f>
        <v/>
      </c>
      <c r="AT813" s="168" t="str">
        <f t="shared" si="167"/>
        <v/>
      </c>
      <c r="AU813" s="168" t="str">
        <f t="shared" si="168"/>
        <v/>
      </c>
      <c r="AV813" s="227"/>
      <c r="AW813" s="30"/>
      <c r="AX813" s="267"/>
      <c r="AY813" s="267"/>
      <c r="AZ813" s="29"/>
      <c r="BA813" s="30"/>
      <c r="BB813" s="23" t="str" cm="1">
        <f t="array" ref="BB813">_xlfn.IFS(AW813="SIM",SUM(K813,P813,U813,Z813,AE813,AJ813,AO813,AT813,AX813,AY813),F813&lt;&gt;"",SUM(K813,P813,U813,Z813,AE813,AJ813,,AO813,AT813),F813="","")</f>
        <v/>
      </c>
      <c r="BC813" s="211" t="str" cm="1">
        <f t="array" ref="BC813">_xlfn.IFS(E813="","",G813&lt;=E813,BB813*(1-0.03),G813&lt;(E813+8),BB813,AZ813="Boleto",BB813*(1+0.001)^DATEDIF(E813,G813,"D"),AZ813="Cheque",BB813,AZ813="Dinheiro","Alterar forma pgto")</f>
        <v/>
      </c>
      <c r="BD813" s="276" t="str" cm="1">
        <f t="array" ref="BD813">IF(F813=0," ",IF(BC813&lt;BB813,(_xlfn.IFS(AW813="SIM",SUM(L813,Q813,V813,AA813,AF813,AK813,AP813,AU813)+AX813/_xlfn.XLOOKUP(_xlfn.XLOOKUP($F813,Clientes!$B$4:$B$39,Clientes!$C$4:$C$39),Cadastros!$L$6:$L$12,Cadastros!$M$6:$M$12)+IF($F813="Bernardino Furlan",AY813/2751.92,IF($F813="Mauro José Salanti",AY813/2751.92,AY813/3356)),F813&lt;&gt;0,SUM(L813,Q813,V813,AA813,AF813,AK813,AP813,AU813)))*(1-0.03),_xlfn.IFS(AW813="SIM",SUM(L813,Q813,V813,AA813,AF813,AK813,AP813,AU813)+AX813/_xlfn.XLOOKUP(_xlfn.XLOOKUP($F813,Clientes!$B$4:$B$39,Clientes!$C$4:$C$39),Cadastros!$L$6:$L$12,Cadastros!$M$6:$M$12)+IF($F813="Bernardino Furlan",AY813/2751.92,IF($F813="Mauro José Salanti",AY813/2751.92,AY813/3356)),F813&lt;&gt;0,SUM(L813,Q813,V813,AA813,AF813,AK813,AP813,AU813))))</f>
        <v xml:space="preserve"> </v>
      </c>
      <c r="BE813" s="120"/>
      <c r="BF813" s="120"/>
      <c r="BG813" s="120"/>
    </row>
    <row r="814" spans="1:59" s="3" customFormat="1" x14ac:dyDescent="0.3">
      <c r="A814" s="15" t="str">
        <f t="shared" si="156"/>
        <v/>
      </c>
      <c r="B814" s="25"/>
      <c r="C814" s="26"/>
      <c r="D814" s="279"/>
      <c r="E814" s="27"/>
      <c r="F814" s="28"/>
      <c r="G814" s="27"/>
      <c r="H814" s="28"/>
      <c r="I814" s="28"/>
      <c r="J814" s="255" t="str">
        <f>IF(H814="","",(_xlfn.XLOOKUP(H814,Cadastros!$D$6:$D$90,Cadastros!$E$6:$E$90))*(1-_xlfn.XLOOKUP(_xlfn.XLOOKUP($F814,Clientes!$B$4:$B$39,Clientes!$C$4:$C$39),Cadastros!$L$6:$L$12,Cadastros!$N$6:$N$12)))</f>
        <v/>
      </c>
      <c r="K814" s="168" t="str">
        <f t="shared" si="157"/>
        <v/>
      </c>
      <c r="L814" s="168" t="str">
        <f>IFERROR(K814/_xlfn.XLOOKUP(_xlfn.XLOOKUP($F814,Clientes!$B$4:$B$39,Clientes!$C$4:$C$39),Cadastros!$L$6:$L$12,Cadastros!$M$6:$M$12)," ")</f>
        <v xml:space="preserve"> </v>
      </c>
      <c r="M814" s="28"/>
      <c r="N814" s="28"/>
      <c r="O814" s="255" t="str">
        <f>IF(M814="","",(_xlfn.XLOOKUP(M814,Cadastros!$D$6:$D$90,Cadastros!$E$6:$E$90))*(1-_xlfn.XLOOKUP(_xlfn.XLOOKUP($F814,Clientes!$B$4:$B$39,Clientes!$C$4:$C$39),Cadastros!$L$6:$L$12,Cadastros!$N$6:$N$12)))</f>
        <v/>
      </c>
      <c r="P814" s="168" t="str">
        <f t="shared" si="158"/>
        <v/>
      </c>
      <c r="Q814" s="168" t="str">
        <f>IFERROR(P814/_xlfn.XLOOKUP(_xlfn.XLOOKUP($F814,Clientes!$B$4:$B$39,Clientes!$C$4:$C$39),Cadastros!$L$6:$L$12,Cadastros!$M$6:$M$12)," ")</f>
        <v xml:space="preserve"> </v>
      </c>
      <c r="R814" s="28"/>
      <c r="S814" s="28"/>
      <c r="T814" s="255" t="str">
        <f>IF(R814="","",(_xlfn.XLOOKUP(R814,Cadastros!$D$6:$D$90,Cadastros!$E$6:$E$90))*(1-_xlfn.XLOOKUP(_xlfn.XLOOKUP($F814,Clientes!$B$4:$B$39,Clientes!$C$4:$C$39),Cadastros!$L$6:$L$12,Cadastros!$N$6:$N$12)))</f>
        <v/>
      </c>
      <c r="U814" s="168" t="str">
        <f t="shared" si="159"/>
        <v/>
      </c>
      <c r="V814" s="168" t="str">
        <f>IFERROR(U814/_xlfn.XLOOKUP(_xlfn.XLOOKUP($F814,Clientes!$B$4:$B$39,Clientes!$C$4:$C$39),Cadastros!$L$6:$L$12,Cadastros!$M$6:$M$12)," ")</f>
        <v xml:space="preserve"> </v>
      </c>
      <c r="W814" s="28"/>
      <c r="X814" s="28"/>
      <c r="Y814" s="255" t="str">
        <f>IF(W814="","",(_xlfn.XLOOKUP(W814,Cadastros!$D$6:$D$90,Cadastros!$E$6:$E$90))*(1-_xlfn.XLOOKUP(_xlfn.XLOOKUP($F814,Clientes!$B$4:$B$39,Clientes!$C$4:$C$39),Cadastros!$L$6:$L$12,Cadastros!$N$6:$N$12)))</f>
        <v/>
      </c>
      <c r="Z814" s="168" t="str">
        <f t="shared" si="160"/>
        <v/>
      </c>
      <c r="AA814" s="168" t="str">
        <f>IFERROR(Z814/_xlfn.XLOOKUP(_xlfn.XLOOKUP($F814,Clientes!$B$4:$B$39,Clientes!$C$4:$C$39),Cadastros!$L$6:$L$12,Cadastros!$M$6:$M$12)," ")</f>
        <v xml:space="preserve"> </v>
      </c>
      <c r="AB814" s="28"/>
      <c r="AC814" s="28"/>
      <c r="AD814" s="20" t="str">
        <f>IF(AB814="","",IF($F814="Bernardino Furlan",_xlfn.XLOOKUP(AB814,Cadastros!$G$6:$G$90,Cadastros!$H$6:$H$90)*(1-0.18),IF($F814="Mauro José Salanti",_xlfn.XLOOKUP(AB814,Cadastros!$G$6:$G$90,Cadastros!$H$6:$H$90)*(1-0.18),_xlfn.XLOOKUP(AB814,Cadastros!$G$6:$G$90,Cadastros!$H$6:$H$90))))</f>
        <v/>
      </c>
      <c r="AE814" s="168" t="str">
        <f t="shared" si="161"/>
        <v/>
      </c>
      <c r="AF814" s="168" t="str">
        <f t="shared" si="162"/>
        <v/>
      </c>
      <c r="AG814" s="28"/>
      <c r="AH814" s="28"/>
      <c r="AI814" s="20" t="str">
        <f>IF(AG814="","",IF($F814="Bernardino Furlan",_xlfn.XLOOKUP(AG814,Cadastros!$G$6:$G$90,Cadastros!$H$6:$H$90)*(1-0.18),IF($F814="Mauro José Salanti",_xlfn.XLOOKUP(AG814,Cadastros!$G$6:$G$90,Cadastros!$H$6:$H$90)*(1-0.18),_xlfn.XLOOKUP(AG814,Cadastros!$G$6:$G$90,Cadastros!$H$6:$H$90))))</f>
        <v/>
      </c>
      <c r="AJ814" s="168" t="str">
        <f t="shared" si="163"/>
        <v/>
      </c>
      <c r="AK814" s="168" t="str">
        <f t="shared" si="164"/>
        <v/>
      </c>
      <c r="AL814" s="28"/>
      <c r="AM814" s="28"/>
      <c r="AN814" s="20" t="str">
        <f>IF(AL814="","",IF($F814="Bernardino Furlan",_xlfn.XLOOKUP(AL814,Cadastros!$G$6:$G$90,Cadastros!$H$6:$H$90)*(1-0.18),IF($F814="Mauro José Salanti",_xlfn.XLOOKUP(AL814,Cadastros!$G$6:$G$90,Cadastros!$H$6:$H$90)*(1-0.18),_xlfn.XLOOKUP(AL814,Cadastros!$G$6:$G$90,Cadastros!$H$6:$H$90))))</f>
        <v/>
      </c>
      <c r="AO814" s="168" t="str">
        <f t="shared" si="165"/>
        <v/>
      </c>
      <c r="AP814" s="168" t="str">
        <f t="shared" si="166"/>
        <v/>
      </c>
      <c r="AQ814" s="28"/>
      <c r="AR814" s="28"/>
      <c r="AS814" s="20" t="str">
        <f>IF(AQ814="","",IF($F814="Bernardino Furlan",_xlfn.XLOOKUP(AQ814,Cadastros!$G$6:$G$90,Cadastros!$H$6:$H$90)*(1-0.18),IF($F814="Mauro José Salanti",_xlfn.XLOOKUP(AQ814,Cadastros!$G$6:$G$90,Cadastros!$H$6:$H$90)*(1-0.18),_xlfn.XLOOKUP(AQ814,Cadastros!$G$6:$G$90,Cadastros!$H$6:$H$90))))</f>
        <v/>
      </c>
      <c r="AT814" s="168" t="str">
        <f t="shared" si="167"/>
        <v/>
      </c>
      <c r="AU814" s="168" t="str">
        <f t="shared" si="168"/>
        <v/>
      </c>
      <c r="AV814" s="227"/>
      <c r="AW814" s="30"/>
      <c r="AX814" s="267"/>
      <c r="AY814" s="267"/>
      <c r="AZ814" s="29"/>
      <c r="BA814" s="30"/>
      <c r="BB814" s="23" t="str" cm="1">
        <f t="array" ref="BB814">_xlfn.IFS(AW814="SIM",SUM(K814,P814,U814,Z814,AE814,AJ814,AO814,AT814,AX814,AY814),F814&lt;&gt;"",SUM(K814,P814,U814,Z814,AE814,AJ814,,AO814,AT814),F814="","")</f>
        <v/>
      </c>
      <c r="BC814" s="211" t="str" cm="1">
        <f t="array" ref="BC814">_xlfn.IFS(E814="","",G814&lt;=E814,BB814*(1-0.03),G814&lt;(E814+8),BB814,AZ814="Boleto",BB814*(1+0.001)^DATEDIF(E814,G814,"D"),AZ814="Cheque",BB814,AZ814="Dinheiro","Alterar forma pgto")</f>
        <v/>
      </c>
      <c r="BD814" s="276" t="str" cm="1">
        <f t="array" ref="BD814">IF(F814=0," ",IF(BC814&lt;BB814,(_xlfn.IFS(AW814="SIM",SUM(L814,Q814,V814,AA814,AF814,AK814,AP814,AU814)+AX814/_xlfn.XLOOKUP(_xlfn.XLOOKUP($F814,Clientes!$B$4:$B$39,Clientes!$C$4:$C$39),Cadastros!$L$6:$L$12,Cadastros!$M$6:$M$12)+IF($F814="Bernardino Furlan",AY814/2751.92,IF($F814="Mauro José Salanti",AY814/2751.92,AY814/3356)),F814&lt;&gt;0,SUM(L814,Q814,V814,AA814,AF814,AK814,AP814,AU814)))*(1-0.03),_xlfn.IFS(AW814="SIM",SUM(L814,Q814,V814,AA814,AF814,AK814,AP814,AU814)+AX814/_xlfn.XLOOKUP(_xlfn.XLOOKUP($F814,Clientes!$B$4:$B$39,Clientes!$C$4:$C$39),Cadastros!$L$6:$L$12,Cadastros!$M$6:$M$12)+IF($F814="Bernardino Furlan",AY814/2751.92,IF($F814="Mauro José Salanti",AY814/2751.92,AY814/3356)),F814&lt;&gt;0,SUM(L814,Q814,V814,AA814,AF814,AK814,AP814,AU814))))</f>
        <v xml:space="preserve"> </v>
      </c>
      <c r="BE814" s="120"/>
      <c r="BF814" s="120"/>
      <c r="BG814" s="120"/>
    </row>
    <row r="815" spans="1:59" s="3" customFormat="1" x14ac:dyDescent="0.3">
      <c r="A815" s="15" t="str">
        <f t="shared" si="156"/>
        <v/>
      </c>
      <c r="B815" s="25"/>
      <c r="C815" s="26"/>
      <c r="D815" s="279"/>
      <c r="E815" s="27"/>
      <c r="F815" s="28"/>
      <c r="G815" s="27"/>
      <c r="H815" s="28"/>
      <c r="I815" s="28"/>
      <c r="J815" s="255" t="str">
        <f>IF(H815="","",(_xlfn.XLOOKUP(H815,Cadastros!$D$6:$D$90,Cadastros!$E$6:$E$90))*(1-_xlfn.XLOOKUP(_xlfn.XLOOKUP($F815,Clientes!$B$4:$B$39,Clientes!$C$4:$C$39),Cadastros!$L$6:$L$12,Cadastros!$N$6:$N$12)))</f>
        <v/>
      </c>
      <c r="K815" s="168" t="str">
        <f t="shared" si="157"/>
        <v/>
      </c>
      <c r="L815" s="168" t="str">
        <f>IFERROR(K815/_xlfn.XLOOKUP(_xlfn.XLOOKUP($F815,Clientes!$B$4:$B$39,Clientes!$C$4:$C$39),Cadastros!$L$6:$L$12,Cadastros!$M$6:$M$12)," ")</f>
        <v xml:space="preserve"> </v>
      </c>
      <c r="M815" s="28"/>
      <c r="N815" s="28"/>
      <c r="O815" s="255" t="str">
        <f>IF(M815="","",(_xlfn.XLOOKUP(M815,Cadastros!$D$6:$D$90,Cadastros!$E$6:$E$90))*(1-_xlfn.XLOOKUP(_xlfn.XLOOKUP($F815,Clientes!$B$4:$B$39,Clientes!$C$4:$C$39),Cadastros!$L$6:$L$12,Cadastros!$N$6:$N$12)))</f>
        <v/>
      </c>
      <c r="P815" s="168" t="str">
        <f t="shared" si="158"/>
        <v/>
      </c>
      <c r="Q815" s="168" t="str">
        <f>IFERROR(P815/_xlfn.XLOOKUP(_xlfn.XLOOKUP($F815,Clientes!$B$4:$B$39,Clientes!$C$4:$C$39),Cadastros!$L$6:$L$12,Cadastros!$M$6:$M$12)," ")</f>
        <v xml:space="preserve"> </v>
      </c>
      <c r="R815" s="28"/>
      <c r="S815" s="28"/>
      <c r="T815" s="255" t="str">
        <f>IF(R815="","",(_xlfn.XLOOKUP(R815,Cadastros!$D$6:$D$90,Cadastros!$E$6:$E$90))*(1-_xlfn.XLOOKUP(_xlfn.XLOOKUP($F815,Clientes!$B$4:$B$39,Clientes!$C$4:$C$39),Cadastros!$L$6:$L$12,Cadastros!$N$6:$N$12)))</f>
        <v/>
      </c>
      <c r="U815" s="168" t="str">
        <f t="shared" si="159"/>
        <v/>
      </c>
      <c r="V815" s="168" t="str">
        <f>IFERROR(U815/_xlfn.XLOOKUP(_xlfn.XLOOKUP($F815,Clientes!$B$4:$B$39,Clientes!$C$4:$C$39),Cadastros!$L$6:$L$12,Cadastros!$M$6:$M$12)," ")</f>
        <v xml:space="preserve"> </v>
      </c>
      <c r="W815" s="28"/>
      <c r="X815" s="28"/>
      <c r="Y815" s="255" t="str">
        <f>IF(W815="","",(_xlfn.XLOOKUP(W815,Cadastros!$D$6:$D$90,Cadastros!$E$6:$E$90))*(1-_xlfn.XLOOKUP(_xlfn.XLOOKUP($F815,Clientes!$B$4:$B$39,Clientes!$C$4:$C$39),Cadastros!$L$6:$L$12,Cadastros!$N$6:$N$12)))</f>
        <v/>
      </c>
      <c r="Z815" s="168" t="str">
        <f t="shared" si="160"/>
        <v/>
      </c>
      <c r="AA815" s="168" t="str">
        <f>IFERROR(Z815/_xlfn.XLOOKUP(_xlfn.XLOOKUP($F815,Clientes!$B$4:$B$39,Clientes!$C$4:$C$39),Cadastros!$L$6:$L$12,Cadastros!$M$6:$M$12)," ")</f>
        <v xml:space="preserve"> </v>
      </c>
      <c r="AB815" s="28"/>
      <c r="AC815" s="28"/>
      <c r="AD815" s="20" t="str">
        <f>IF(AB815="","",IF($F815="Bernardino Furlan",_xlfn.XLOOKUP(AB815,Cadastros!$G$6:$G$90,Cadastros!$H$6:$H$90)*(1-0.18),IF($F815="Mauro José Salanti",_xlfn.XLOOKUP(AB815,Cadastros!$G$6:$G$90,Cadastros!$H$6:$H$90)*(1-0.18),_xlfn.XLOOKUP(AB815,Cadastros!$G$6:$G$90,Cadastros!$H$6:$H$90))))</f>
        <v/>
      </c>
      <c r="AE815" s="168" t="str">
        <f t="shared" si="161"/>
        <v/>
      </c>
      <c r="AF815" s="168" t="str">
        <f t="shared" si="162"/>
        <v/>
      </c>
      <c r="AG815" s="28"/>
      <c r="AH815" s="28"/>
      <c r="AI815" s="20" t="str">
        <f>IF(AG815="","",IF($F815="Bernardino Furlan",_xlfn.XLOOKUP(AG815,Cadastros!$G$6:$G$90,Cadastros!$H$6:$H$90)*(1-0.18),IF($F815="Mauro José Salanti",_xlfn.XLOOKUP(AG815,Cadastros!$G$6:$G$90,Cadastros!$H$6:$H$90)*(1-0.18),_xlfn.XLOOKUP(AG815,Cadastros!$G$6:$G$90,Cadastros!$H$6:$H$90))))</f>
        <v/>
      </c>
      <c r="AJ815" s="168" t="str">
        <f t="shared" si="163"/>
        <v/>
      </c>
      <c r="AK815" s="168" t="str">
        <f t="shared" si="164"/>
        <v/>
      </c>
      <c r="AL815" s="28"/>
      <c r="AM815" s="28"/>
      <c r="AN815" s="20" t="str">
        <f>IF(AL815="","",IF($F815="Bernardino Furlan",_xlfn.XLOOKUP(AL815,Cadastros!$G$6:$G$90,Cadastros!$H$6:$H$90)*(1-0.18),IF($F815="Mauro José Salanti",_xlfn.XLOOKUP(AL815,Cadastros!$G$6:$G$90,Cadastros!$H$6:$H$90)*(1-0.18),_xlfn.XLOOKUP(AL815,Cadastros!$G$6:$G$90,Cadastros!$H$6:$H$90))))</f>
        <v/>
      </c>
      <c r="AO815" s="168" t="str">
        <f t="shared" si="165"/>
        <v/>
      </c>
      <c r="AP815" s="168" t="str">
        <f t="shared" si="166"/>
        <v/>
      </c>
      <c r="AQ815" s="28"/>
      <c r="AR815" s="28"/>
      <c r="AS815" s="20" t="str">
        <f>IF(AQ815="","",IF($F815="Bernardino Furlan",_xlfn.XLOOKUP(AQ815,Cadastros!$G$6:$G$90,Cadastros!$H$6:$H$90)*(1-0.18),IF($F815="Mauro José Salanti",_xlfn.XLOOKUP(AQ815,Cadastros!$G$6:$G$90,Cadastros!$H$6:$H$90)*(1-0.18),_xlfn.XLOOKUP(AQ815,Cadastros!$G$6:$G$90,Cadastros!$H$6:$H$90))))</f>
        <v/>
      </c>
      <c r="AT815" s="168" t="str">
        <f t="shared" si="167"/>
        <v/>
      </c>
      <c r="AU815" s="168" t="str">
        <f t="shared" si="168"/>
        <v/>
      </c>
      <c r="AV815" s="227"/>
      <c r="AW815" s="30"/>
      <c r="AX815" s="267"/>
      <c r="AY815" s="267"/>
      <c r="AZ815" s="29"/>
      <c r="BA815" s="30"/>
      <c r="BB815" s="23" t="str" cm="1">
        <f t="array" ref="BB815">_xlfn.IFS(AW815="SIM",SUM(K815,P815,U815,Z815,AE815,AJ815,AO815,AT815,AX815,AY815),F815&lt;&gt;"",SUM(K815,P815,U815,Z815,AE815,AJ815,,AO815,AT815),F815="","")</f>
        <v/>
      </c>
      <c r="BC815" s="211" t="str" cm="1">
        <f t="array" ref="BC815">_xlfn.IFS(E815="","",G815&lt;=E815,BB815*(1-0.03),G815&lt;(E815+8),BB815,AZ815="Boleto",BB815*(1+0.001)^DATEDIF(E815,G815,"D"),AZ815="Cheque",BB815,AZ815="Dinheiro","Alterar forma pgto")</f>
        <v/>
      </c>
      <c r="BD815" s="276" t="str" cm="1">
        <f t="array" ref="BD815">IF(F815=0," ",IF(BC815&lt;BB815,(_xlfn.IFS(AW815="SIM",SUM(L815,Q815,V815,AA815,AF815,AK815,AP815,AU815)+AX815/_xlfn.XLOOKUP(_xlfn.XLOOKUP($F815,Clientes!$B$4:$B$39,Clientes!$C$4:$C$39),Cadastros!$L$6:$L$12,Cadastros!$M$6:$M$12)+IF($F815="Bernardino Furlan",AY815/2751.92,IF($F815="Mauro José Salanti",AY815/2751.92,AY815/3356)),F815&lt;&gt;0,SUM(L815,Q815,V815,AA815,AF815,AK815,AP815,AU815)))*(1-0.03),_xlfn.IFS(AW815="SIM",SUM(L815,Q815,V815,AA815,AF815,AK815,AP815,AU815)+AX815/_xlfn.XLOOKUP(_xlfn.XLOOKUP($F815,Clientes!$B$4:$B$39,Clientes!$C$4:$C$39),Cadastros!$L$6:$L$12,Cadastros!$M$6:$M$12)+IF($F815="Bernardino Furlan",AY815/2751.92,IF($F815="Mauro José Salanti",AY815/2751.92,AY815/3356)),F815&lt;&gt;0,SUM(L815,Q815,V815,AA815,AF815,AK815,AP815,AU815))))</f>
        <v xml:space="preserve"> </v>
      </c>
      <c r="BE815" s="120"/>
      <c r="BF815" s="120"/>
      <c r="BG815" s="120"/>
    </row>
    <row r="816" spans="1:59" s="3" customFormat="1" x14ac:dyDescent="0.3">
      <c r="A816" s="15" t="str">
        <f t="shared" si="156"/>
        <v/>
      </c>
      <c r="B816" s="25"/>
      <c r="C816" s="26"/>
      <c r="D816" s="279"/>
      <c r="E816" s="27"/>
      <c r="F816" s="28"/>
      <c r="G816" s="27"/>
      <c r="H816" s="28"/>
      <c r="I816" s="28"/>
      <c r="J816" s="255" t="str">
        <f>IF(H816="","",(_xlfn.XLOOKUP(H816,Cadastros!$D$6:$D$90,Cadastros!$E$6:$E$90))*(1-_xlfn.XLOOKUP(_xlfn.XLOOKUP($F816,Clientes!$B$4:$B$39,Clientes!$C$4:$C$39),Cadastros!$L$6:$L$12,Cadastros!$N$6:$N$12)))</f>
        <v/>
      </c>
      <c r="K816" s="168" t="str">
        <f t="shared" si="157"/>
        <v/>
      </c>
      <c r="L816" s="168" t="str">
        <f>IFERROR(K816/_xlfn.XLOOKUP(_xlfn.XLOOKUP($F816,Clientes!$B$4:$B$39,Clientes!$C$4:$C$39),Cadastros!$L$6:$L$12,Cadastros!$M$6:$M$12)," ")</f>
        <v xml:space="preserve"> </v>
      </c>
      <c r="M816" s="28"/>
      <c r="N816" s="28"/>
      <c r="O816" s="255" t="str">
        <f>IF(M816="","",(_xlfn.XLOOKUP(M816,Cadastros!$D$6:$D$90,Cadastros!$E$6:$E$90))*(1-_xlfn.XLOOKUP(_xlfn.XLOOKUP($F816,Clientes!$B$4:$B$39,Clientes!$C$4:$C$39),Cadastros!$L$6:$L$12,Cadastros!$N$6:$N$12)))</f>
        <v/>
      </c>
      <c r="P816" s="168" t="str">
        <f t="shared" si="158"/>
        <v/>
      </c>
      <c r="Q816" s="168" t="str">
        <f>IFERROR(P816/_xlfn.XLOOKUP(_xlfn.XLOOKUP($F816,Clientes!$B$4:$B$39,Clientes!$C$4:$C$39),Cadastros!$L$6:$L$12,Cadastros!$M$6:$M$12)," ")</f>
        <v xml:space="preserve"> </v>
      </c>
      <c r="R816" s="28"/>
      <c r="S816" s="28"/>
      <c r="T816" s="255" t="str">
        <f>IF(R816="","",(_xlfn.XLOOKUP(R816,Cadastros!$D$6:$D$90,Cadastros!$E$6:$E$90))*(1-_xlfn.XLOOKUP(_xlfn.XLOOKUP($F816,Clientes!$B$4:$B$39,Clientes!$C$4:$C$39),Cadastros!$L$6:$L$12,Cadastros!$N$6:$N$12)))</f>
        <v/>
      </c>
      <c r="U816" s="168" t="str">
        <f t="shared" si="159"/>
        <v/>
      </c>
      <c r="V816" s="168" t="str">
        <f>IFERROR(U816/_xlfn.XLOOKUP(_xlfn.XLOOKUP($F816,Clientes!$B$4:$B$39,Clientes!$C$4:$C$39),Cadastros!$L$6:$L$12,Cadastros!$M$6:$M$12)," ")</f>
        <v xml:space="preserve"> </v>
      </c>
      <c r="W816" s="28"/>
      <c r="X816" s="28"/>
      <c r="Y816" s="255" t="str">
        <f>IF(W816="","",(_xlfn.XLOOKUP(W816,Cadastros!$D$6:$D$90,Cadastros!$E$6:$E$90))*(1-_xlfn.XLOOKUP(_xlfn.XLOOKUP($F816,Clientes!$B$4:$B$39,Clientes!$C$4:$C$39),Cadastros!$L$6:$L$12,Cadastros!$N$6:$N$12)))</f>
        <v/>
      </c>
      <c r="Z816" s="168" t="str">
        <f t="shared" si="160"/>
        <v/>
      </c>
      <c r="AA816" s="168" t="str">
        <f>IFERROR(Z816/_xlfn.XLOOKUP(_xlfn.XLOOKUP($F816,Clientes!$B$4:$B$39,Clientes!$C$4:$C$39),Cadastros!$L$6:$L$12,Cadastros!$M$6:$M$12)," ")</f>
        <v xml:space="preserve"> </v>
      </c>
      <c r="AB816" s="28"/>
      <c r="AC816" s="28"/>
      <c r="AD816" s="20" t="str">
        <f>IF(AB816="","",IF($F816="Bernardino Furlan",_xlfn.XLOOKUP(AB816,Cadastros!$G$6:$G$90,Cadastros!$H$6:$H$90)*(1-0.18),IF($F816="Mauro José Salanti",_xlfn.XLOOKUP(AB816,Cadastros!$G$6:$G$90,Cadastros!$H$6:$H$90)*(1-0.18),_xlfn.XLOOKUP(AB816,Cadastros!$G$6:$G$90,Cadastros!$H$6:$H$90))))</f>
        <v/>
      </c>
      <c r="AE816" s="168" t="str">
        <f t="shared" si="161"/>
        <v/>
      </c>
      <c r="AF816" s="168" t="str">
        <f t="shared" si="162"/>
        <v/>
      </c>
      <c r="AG816" s="28"/>
      <c r="AH816" s="28"/>
      <c r="AI816" s="20" t="str">
        <f>IF(AG816="","",IF($F816="Bernardino Furlan",_xlfn.XLOOKUP(AG816,Cadastros!$G$6:$G$90,Cadastros!$H$6:$H$90)*(1-0.18),IF($F816="Mauro José Salanti",_xlfn.XLOOKUP(AG816,Cadastros!$G$6:$G$90,Cadastros!$H$6:$H$90)*(1-0.18),_xlfn.XLOOKUP(AG816,Cadastros!$G$6:$G$90,Cadastros!$H$6:$H$90))))</f>
        <v/>
      </c>
      <c r="AJ816" s="168" t="str">
        <f t="shared" si="163"/>
        <v/>
      </c>
      <c r="AK816" s="168" t="str">
        <f t="shared" si="164"/>
        <v/>
      </c>
      <c r="AL816" s="28"/>
      <c r="AM816" s="28"/>
      <c r="AN816" s="20" t="str">
        <f>IF(AL816="","",IF($F816="Bernardino Furlan",_xlfn.XLOOKUP(AL816,Cadastros!$G$6:$G$90,Cadastros!$H$6:$H$90)*(1-0.18),IF($F816="Mauro José Salanti",_xlfn.XLOOKUP(AL816,Cadastros!$G$6:$G$90,Cadastros!$H$6:$H$90)*(1-0.18),_xlfn.XLOOKUP(AL816,Cadastros!$G$6:$G$90,Cadastros!$H$6:$H$90))))</f>
        <v/>
      </c>
      <c r="AO816" s="168" t="str">
        <f t="shared" si="165"/>
        <v/>
      </c>
      <c r="AP816" s="168" t="str">
        <f t="shared" si="166"/>
        <v/>
      </c>
      <c r="AQ816" s="28"/>
      <c r="AR816" s="28"/>
      <c r="AS816" s="20" t="str">
        <f>IF(AQ816="","",IF($F816="Bernardino Furlan",_xlfn.XLOOKUP(AQ816,Cadastros!$G$6:$G$90,Cadastros!$H$6:$H$90)*(1-0.18),IF($F816="Mauro José Salanti",_xlfn.XLOOKUP(AQ816,Cadastros!$G$6:$G$90,Cadastros!$H$6:$H$90)*(1-0.18),_xlfn.XLOOKUP(AQ816,Cadastros!$G$6:$G$90,Cadastros!$H$6:$H$90))))</f>
        <v/>
      </c>
      <c r="AT816" s="168" t="str">
        <f t="shared" si="167"/>
        <v/>
      </c>
      <c r="AU816" s="168" t="str">
        <f t="shared" si="168"/>
        <v/>
      </c>
      <c r="AV816" s="227"/>
      <c r="AW816" s="30"/>
      <c r="AX816" s="267"/>
      <c r="AY816" s="267"/>
      <c r="AZ816" s="29"/>
      <c r="BA816" s="30"/>
      <c r="BB816" s="23" t="str" cm="1">
        <f t="array" ref="BB816">_xlfn.IFS(AW816="SIM",SUM(K816,P816,U816,Z816,AE816,AJ816,AO816,AT816,AX816,AY816),F816&lt;&gt;"",SUM(K816,P816,U816,Z816,AE816,AJ816,,AO816,AT816),F816="","")</f>
        <v/>
      </c>
      <c r="BC816" s="211" t="str" cm="1">
        <f t="array" ref="BC816">_xlfn.IFS(E816="","",G816&lt;=E816,BB816*(1-0.03),G816&lt;(E816+8),BB816,AZ816="Boleto",BB816*(1+0.001)^DATEDIF(E816,G816,"D"),AZ816="Cheque",BB816,AZ816="Dinheiro","Alterar forma pgto")</f>
        <v/>
      </c>
      <c r="BD816" s="276" t="str" cm="1">
        <f t="array" ref="BD816">IF(F816=0," ",IF(BC816&lt;BB816,(_xlfn.IFS(AW816="SIM",SUM(L816,Q816,V816,AA816,AF816,AK816,AP816,AU816)+AX816/_xlfn.XLOOKUP(_xlfn.XLOOKUP($F816,Clientes!$B$4:$B$39,Clientes!$C$4:$C$39),Cadastros!$L$6:$L$12,Cadastros!$M$6:$M$12)+IF($F816="Bernardino Furlan",AY816/2751.92,IF($F816="Mauro José Salanti",AY816/2751.92,AY816/3356)),F816&lt;&gt;0,SUM(L816,Q816,V816,AA816,AF816,AK816,AP816,AU816)))*(1-0.03),_xlfn.IFS(AW816="SIM",SUM(L816,Q816,V816,AA816,AF816,AK816,AP816,AU816)+AX816/_xlfn.XLOOKUP(_xlfn.XLOOKUP($F816,Clientes!$B$4:$B$39,Clientes!$C$4:$C$39),Cadastros!$L$6:$L$12,Cadastros!$M$6:$M$12)+IF($F816="Bernardino Furlan",AY816/2751.92,IF($F816="Mauro José Salanti",AY816/2751.92,AY816/3356)),F816&lt;&gt;0,SUM(L816,Q816,V816,AA816,AF816,AK816,AP816,AU816))))</f>
        <v xml:space="preserve"> </v>
      </c>
      <c r="BE816" s="120"/>
      <c r="BF816" s="120"/>
      <c r="BG816" s="120"/>
    </row>
    <row r="817" spans="1:59" s="3" customFormat="1" x14ac:dyDescent="0.3">
      <c r="A817" s="15" t="str">
        <f t="shared" si="156"/>
        <v/>
      </c>
      <c r="B817" s="25"/>
      <c r="C817" s="26"/>
      <c r="D817" s="279"/>
      <c r="E817" s="27"/>
      <c r="F817" s="28"/>
      <c r="G817" s="27"/>
      <c r="H817" s="28"/>
      <c r="I817" s="28"/>
      <c r="J817" s="255" t="str">
        <f>IF(H817="","",(_xlfn.XLOOKUP(H817,Cadastros!$D$6:$D$90,Cadastros!$E$6:$E$90))*(1-_xlfn.XLOOKUP(_xlfn.XLOOKUP($F817,Clientes!$B$4:$B$39,Clientes!$C$4:$C$39),Cadastros!$L$6:$L$12,Cadastros!$N$6:$N$12)))</f>
        <v/>
      </c>
      <c r="K817" s="168" t="str">
        <f t="shared" si="157"/>
        <v/>
      </c>
      <c r="L817" s="168" t="str">
        <f>IFERROR(K817/_xlfn.XLOOKUP(_xlfn.XLOOKUP($F817,Clientes!$B$4:$B$39,Clientes!$C$4:$C$39),Cadastros!$L$6:$L$12,Cadastros!$M$6:$M$12)," ")</f>
        <v xml:space="preserve"> </v>
      </c>
      <c r="M817" s="28"/>
      <c r="N817" s="28"/>
      <c r="O817" s="255" t="str">
        <f>IF(M817="","",(_xlfn.XLOOKUP(M817,Cadastros!$D$6:$D$90,Cadastros!$E$6:$E$90))*(1-_xlfn.XLOOKUP(_xlfn.XLOOKUP($F817,Clientes!$B$4:$B$39,Clientes!$C$4:$C$39),Cadastros!$L$6:$L$12,Cadastros!$N$6:$N$12)))</f>
        <v/>
      </c>
      <c r="P817" s="168" t="str">
        <f t="shared" si="158"/>
        <v/>
      </c>
      <c r="Q817" s="168" t="str">
        <f>IFERROR(P817/_xlfn.XLOOKUP(_xlfn.XLOOKUP($F817,Clientes!$B$4:$B$39,Clientes!$C$4:$C$39),Cadastros!$L$6:$L$12,Cadastros!$M$6:$M$12)," ")</f>
        <v xml:space="preserve"> </v>
      </c>
      <c r="R817" s="28"/>
      <c r="S817" s="28"/>
      <c r="T817" s="255" t="str">
        <f>IF(R817="","",(_xlfn.XLOOKUP(R817,Cadastros!$D$6:$D$90,Cadastros!$E$6:$E$90))*(1-_xlfn.XLOOKUP(_xlfn.XLOOKUP($F817,Clientes!$B$4:$B$39,Clientes!$C$4:$C$39),Cadastros!$L$6:$L$12,Cadastros!$N$6:$N$12)))</f>
        <v/>
      </c>
      <c r="U817" s="168" t="str">
        <f t="shared" si="159"/>
        <v/>
      </c>
      <c r="V817" s="168" t="str">
        <f>IFERROR(U817/_xlfn.XLOOKUP(_xlfn.XLOOKUP($F817,Clientes!$B$4:$B$39,Clientes!$C$4:$C$39),Cadastros!$L$6:$L$12,Cadastros!$M$6:$M$12)," ")</f>
        <v xml:space="preserve"> </v>
      </c>
      <c r="W817" s="28"/>
      <c r="X817" s="28"/>
      <c r="Y817" s="255" t="str">
        <f>IF(W817="","",(_xlfn.XLOOKUP(W817,Cadastros!$D$6:$D$90,Cadastros!$E$6:$E$90))*(1-_xlfn.XLOOKUP(_xlfn.XLOOKUP($F817,Clientes!$B$4:$B$39,Clientes!$C$4:$C$39),Cadastros!$L$6:$L$12,Cadastros!$N$6:$N$12)))</f>
        <v/>
      </c>
      <c r="Z817" s="168" t="str">
        <f t="shared" si="160"/>
        <v/>
      </c>
      <c r="AA817" s="168" t="str">
        <f>IFERROR(Z817/_xlfn.XLOOKUP(_xlfn.XLOOKUP($F817,Clientes!$B$4:$B$39,Clientes!$C$4:$C$39),Cadastros!$L$6:$L$12,Cadastros!$M$6:$M$12)," ")</f>
        <v xml:space="preserve"> </v>
      </c>
      <c r="AB817" s="28"/>
      <c r="AC817" s="28"/>
      <c r="AD817" s="20" t="str">
        <f>IF(AB817="","",IF($F817="Bernardino Furlan",_xlfn.XLOOKUP(AB817,Cadastros!$G$6:$G$90,Cadastros!$H$6:$H$90)*(1-0.18),IF($F817="Mauro José Salanti",_xlfn.XLOOKUP(AB817,Cadastros!$G$6:$G$90,Cadastros!$H$6:$H$90)*(1-0.18),_xlfn.XLOOKUP(AB817,Cadastros!$G$6:$G$90,Cadastros!$H$6:$H$90))))</f>
        <v/>
      </c>
      <c r="AE817" s="168" t="str">
        <f t="shared" si="161"/>
        <v/>
      </c>
      <c r="AF817" s="168" t="str">
        <f t="shared" si="162"/>
        <v/>
      </c>
      <c r="AG817" s="28"/>
      <c r="AH817" s="28"/>
      <c r="AI817" s="20" t="str">
        <f>IF(AG817="","",IF($F817="Bernardino Furlan",_xlfn.XLOOKUP(AG817,Cadastros!$G$6:$G$90,Cadastros!$H$6:$H$90)*(1-0.18),IF($F817="Mauro José Salanti",_xlfn.XLOOKUP(AG817,Cadastros!$G$6:$G$90,Cadastros!$H$6:$H$90)*(1-0.18),_xlfn.XLOOKUP(AG817,Cadastros!$G$6:$G$90,Cadastros!$H$6:$H$90))))</f>
        <v/>
      </c>
      <c r="AJ817" s="168" t="str">
        <f t="shared" si="163"/>
        <v/>
      </c>
      <c r="AK817" s="168" t="str">
        <f t="shared" si="164"/>
        <v/>
      </c>
      <c r="AL817" s="28"/>
      <c r="AM817" s="28"/>
      <c r="AN817" s="20" t="str">
        <f>IF(AL817="","",IF($F817="Bernardino Furlan",_xlfn.XLOOKUP(AL817,Cadastros!$G$6:$G$90,Cadastros!$H$6:$H$90)*(1-0.18),IF($F817="Mauro José Salanti",_xlfn.XLOOKUP(AL817,Cadastros!$G$6:$G$90,Cadastros!$H$6:$H$90)*(1-0.18),_xlfn.XLOOKUP(AL817,Cadastros!$G$6:$G$90,Cadastros!$H$6:$H$90))))</f>
        <v/>
      </c>
      <c r="AO817" s="168" t="str">
        <f t="shared" si="165"/>
        <v/>
      </c>
      <c r="AP817" s="168" t="str">
        <f t="shared" si="166"/>
        <v/>
      </c>
      <c r="AQ817" s="28"/>
      <c r="AR817" s="28"/>
      <c r="AS817" s="20" t="str">
        <f>IF(AQ817="","",IF($F817="Bernardino Furlan",_xlfn.XLOOKUP(AQ817,Cadastros!$G$6:$G$90,Cadastros!$H$6:$H$90)*(1-0.18),IF($F817="Mauro José Salanti",_xlfn.XLOOKUP(AQ817,Cadastros!$G$6:$G$90,Cadastros!$H$6:$H$90)*(1-0.18),_xlfn.XLOOKUP(AQ817,Cadastros!$G$6:$G$90,Cadastros!$H$6:$H$90))))</f>
        <v/>
      </c>
      <c r="AT817" s="168" t="str">
        <f t="shared" si="167"/>
        <v/>
      </c>
      <c r="AU817" s="168" t="str">
        <f t="shared" si="168"/>
        <v/>
      </c>
      <c r="AV817" s="227"/>
      <c r="AW817" s="30"/>
      <c r="AX817" s="267"/>
      <c r="AY817" s="267"/>
      <c r="AZ817" s="29"/>
      <c r="BA817" s="30"/>
      <c r="BB817" s="23" t="str" cm="1">
        <f t="array" ref="BB817">_xlfn.IFS(AW817="SIM",SUM(K817,P817,U817,Z817,AE817,AJ817,AO817,AT817,AX817,AY817),F817&lt;&gt;"",SUM(K817,P817,U817,Z817,AE817,AJ817,,AO817,AT817),F817="","")</f>
        <v/>
      </c>
      <c r="BC817" s="211" t="str" cm="1">
        <f t="array" ref="BC817">_xlfn.IFS(E817="","",G817&lt;=E817,BB817*(1-0.03),G817&lt;(E817+8),BB817,AZ817="Boleto",BB817*(1+0.001)^DATEDIF(E817,G817,"D"),AZ817="Cheque",BB817,AZ817="Dinheiro","Alterar forma pgto")</f>
        <v/>
      </c>
      <c r="BD817" s="276" t="str" cm="1">
        <f t="array" ref="BD817">IF(F817=0," ",IF(BC817&lt;BB817,(_xlfn.IFS(AW817="SIM",SUM(L817,Q817,V817,AA817,AF817,AK817,AP817,AU817)+AX817/_xlfn.XLOOKUP(_xlfn.XLOOKUP($F817,Clientes!$B$4:$B$39,Clientes!$C$4:$C$39),Cadastros!$L$6:$L$12,Cadastros!$M$6:$M$12)+IF($F817="Bernardino Furlan",AY817/2751.92,IF($F817="Mauro José Salanti",AY817/2751.92,AY817/3356)),F817&lt;&gt;0,SUM(L817,Q817,V817,AA817,AF817,AK817,AP817,AU817)))*(1-0.03),_xlfn.IFS(AW817="SIM",SUM(L817,Q817,V817,AA817,AF817,AK817,AP817,AU817)+AX817/_xlfn.XLOOKUP(_xlfn.XLOOKUP($F817,Clientes!$B$4:$B$39,Clientes!$C$4:$C$39),Cadastros!$L$6:$L$12,Cadastros!$M$6:$M$12)+IF($F817="Bernardino Furlan",AY817/2751.92,IF($F817="Mauro José Salanti",AY817/2751.92,AY817/3356)),F817&lt;&gt;0,SUM(L817,Q817,V817,AA817,AF817,AK817,AP817,AU817))))</f>
        <v xml:space="preserve"> </v>
      </c>
      <c r="BE817" s="120"/>
      <c r="BF817" s="120"/>
      <c r="BG817" s="120"/>
    </row>
    <row r="818" spans="1:59" s="3" customFormat="1" x14ac:dyDescent="0.3">
      <c r="A818" s="15" t="str">
        <f t="shared" si="156"/>
        <v/>
      </c>
      <c r="B818" s="25"/>
      <c r="C818" s="26"/>
      <c r="D818" s="279"/>
      <c r="E818" s="27"/>
      <c r="F818" s="28"/>
      <c r="G818" s="27"/>
      <c r="H818" s="28"/>
      <c r="I818" s="28"/>
      <c r="J818" s="255" t="str">
        <f>IF(H818="","",(_xlfn.XLOOKUP(H818,Cadastros!$D$6:$D$90,Cadastros!$E$6:$E$90))*(1-_xlfn.XLOOKUP(_xlfn.XLOOKUP($F818,Clientes!$B$4:$B$39,Clientes!$C$4:$C$39),Cadastros!$L$6:$L$12,Cadastros!$N$6:$N$12)))</f>
        <v/>
      </c>
      <c r="K818" s="168" t="str">
        <f t="shared" si="157"/>
        <v/>
      </c>
      <c r="L818" s="168" t="str">
        <f>IFERROR(K818/_xlfn.XLOOKUP(_xlfn.XLOOKUP($F818,Clientes!$B$4:$B$39,Clientes!$C$4:$C$39),Cadastros!$L$6:$L$12,Cadastros!$M$6:$M$12)," ")</f>
        <v xml:space="preserve"> </v>
      </c>
      <c r="M818" s="28"/>
      <c r="N818" s="28"/>
      <c r="O818" s="255" t="str">
        <f>IF(M818="","",(_xlfn.XLOOKUP(M818,Cadastros!$D$6:$D$90,Cadastros!$E$6:$E$90))*(1-_xlfn.XLOOKUP(_xlfn.XLOOKUP($F818,Clientes!$B$4:$B$39,Clientes!$C$4:$C$39),Cadastros!$L$6:$L$12,Cadastros!$N$6:$N$12)))</f>
        <v/>
      </c>
      <c r="P818" s="168" t="str">
        <f t="shared" si="158"/>
        <v/>
      </c>
      <c r="Q818" s="168" t="str">
        <f>IFERROR(P818/_xlfn.XLOOKUP(_xlfn.XLOOKUP($F818,Clientes!$B$4:$B$39,Clientes!$C$4:$C$39),Cadastros!$L$6:$L$12,Cadastros!$M$6:$M$12)," ")</f>
        <v xml:space="preserve"> </v>
      </c>
      <c r="R818" s="28"/>
      <c r="S818" s="28"/>
      <c r="T818" s="255" t="str">
        <f>IF(R818="","",(_xlfn.XLOOKUP(R818,Cadastros!$D$6:$D$90,Cadastros!$E$6:$E$90))*(1-_xlfn.XLOOKUP(_xlfn.XLOOKUP($F818,Clientes!$B$4:$B$39,Clientes!$C$4:$C$39),Cadastros!$L$6:$L$12,Cadastros!$N$6:$N$12)))</f>
        <v/>
      </c>
      <c r="U818" s="168" t="str">
        <f t="shared" si="159"/>
        <v/>
      </c>
      <c r="V818" s="168" t="str">
        <f>IFERROR(U818/_xlfn.XLOOKUP(_xlfn.XLOOKUP($F818,Clientes!$B$4:$B$39,Clientes!$C$4:$C$39),Cadastros!$L$6:$L$12,Cadastros!$M$6:$M$12)," ")</f>
        <v xml:space="preserve"> </v>
      </c>
      <c r="W818" s="28"/>
      <c r="X818" s="28"/>
      <c r="Y818" s="255" t="str">
        <f>IF(W818="","",(_xlfn.XLOOKUP(W818,Cadastros!$D$6:$D$90,Cadastros!$E$6:$E$90))*(1-_xlfn.XLOOKUP(_xlfn.XLOOKUP($F818,Clientes!$B$4:$B$39,Clientes!$C$4:$C$39),Cadastros!$L$6:$L$12,Cadastros!$N$6:$N$12)))</f>
        <v/>
      </c>
      <c r="Z818" s="168" t="str">
        <f t="shared" si="160"/>
        <v/>
      </c>
      <c r="AA818" s="168" t="str">
        <f>IFERROR(Z818/_xlfn.XLOOKUP(_xlfn.XLOOKUP($F818,Clientes!$B$4:$B$39,Clientes!$C$4:$C$39),Cadastros!$L$6:$L$12,Cadastros!$M$6:$M$12)," ")</f>
        <v xml:space="preserve"> </v>
      </c>
      <c r="AB818" s="28"/>
      <c r="AC818" s="28"/>
      <c r="AD818" s="20" t="str">
        <f>IF(AB818="","",IF($F818="Bernardino Furlan",_xlfn.XLOOKUP(AB818,Cadastros!$G$6:$G$90,Cadastros!$H$6:$H$90)*(1-0.18),IF($F818="Mauro José Salanti",_xlfn.XLOOKUP(AB818,Cadastros!$G$6:$G$90,Cadastros!$H$6:$H$90)*(1-0.18),_xlfn.XLOOKUP(AB818,Cadastros!$G$6:$G$90,Cadastros!$H$6:$H$90))))</f>
        <v/>
      </c>
      <c r="AE818" s="168" t="str">
        <f t="shared" si="161"/>
        <v/>
      </c>
      <c r="AF818" s="168" t="str">
        <f t="shared" si="162"/>
        <v/>
      </c>
      <c r="AG818" s="28"/>
      <c r="AH818" s="28"/>
      <c r="AI818" s="20" t="str">
        <f>IF(AG818="","",IF($F818="Bernardino Furlan",_xlfn.XLOOKUP(AG818,Cadastros!$G$6:$G$90,Cadastros!$H$6:$H$90)*(1-0.18),IF($F818="Mauro José Salanti",_xlfn.XLOOKUP(AG818,Cadastros!$G$6:$G$90,Cadastros!$H$6:$H$90)*(1-0.18),_xlfn.XLOOKUP(AG818,Cadastros!$G$6:$G$90,Cadastros!$H$6:$H$90))))</f>
        <v/>
      </c>
      <c r="AJ818" s="168" t="str">
        <f t="shared" si="163"/>
        <v/>
      </c>
      <c r="AK818" s="168" t="str">
        <f t="shared" si="164"/>
        <v/>
      </c>
      <c r="AL818" s="28"/>
      <c r="AM818" s="28"/>
      <c r="AN818" s="20" t="str">
        <f>IF(AL818="","",IF($F818="Bernardino Furlan",_xlfn.XLOOKUP(AL818,Cadastros!$G$6:$G$90,Cadastros!$H$6:$H$90)*(1-0.18),IF($F818="Mauro José Salanti",_xlfn.XLOOKUP(AL818,Cadastros!$G$6:$G$90,Cadastros!$H$6:$H$90)*(1-0.18),_xlfn.XLOOKUP(AL818,Cadastros!$G$6:$G$90,Cadastros!$H$6:$H$90))))</f>
        <v/>
      </c>
      <c r="AO818" s="168" t="str">
        <f t="shared" si="165"/>
        <v/>
      </c>
      <c r="AP818" s="168" t="str">
        <f t="shared" si="166"/>
        <v/>
      </c>
      <c r="AQ818" s="28"/>
      <c r="AR818" s="28"/>
      <c r="AS818" s="20" t="str">
        <f>IF(AQ818="","",IF($F818="Bernardino Furlan",_xlfn.XLOOKUP(AQ818,Cadastros!$G$6:$G$90,Cadastros!$H$6:$H$90)*(1-0.18),IF($F818="Mauro José Salanti",_xlfn.XLOOKUP(AQ818,Cadastros!$G$6:$G$90,Cadastros!$H$6:$H$90)*(1-0.18),_xlfn.XLOOKUP(AQ818,Cadastros!$G$6:$G$90,Cadastros!$H$6:$H$90))))</f>
        <v/>
      </c>
      <c r="AT818" s="168" t="str">
        <f t="shared" si="167"/>
        <v/>
      </c>
      <c r="AU818" s="168" t="str">
        <f t="shared" si="168"/>
        <v/>
      </c>
      <c r="AV818" s="227"/>
      <c r="AW818" s="30"/>
      <c r="AX818" s="267"/>
      <c r="AY818" s="267"/>
      <c r="AZ818" s="29"/>
      <c r="BA818" s="30"/>
      <c r="BB818" s="23" t="str" cm="1">
        <f t="array" ref="BB818">_xlfn.IFS(AW818="SIM",SUM(K818,P818,U818,Z818,AE818,AJ818,AO818,AT818,AX818,AY818),F818&lt;&gt;"",SUM(K818,P818,U818,Z818,AE818,AJ818,,AO818,AT818),F818="","")</f>
        <v/>
      </c>
      <c r="BC818" s="211" t="str" cm="1">
        <f t="array" ref="BC818">_xlfn.IFS(E818="","",G818&lt;=E818,BB818*(1-0.03),G818&lt;(E818+8),BB818,AZ818="Boleto",BB818*(1+0.001)^DATEDIF(E818,G818,"D"),AZ818="Cheque",BB818,AZ818="Dinheiro","Alterar forma pgto")</f>
        <v/>
      </c>
      <c r="BD818" s="276" t="str" cm="1">
        <f t="array" ref="BD818">IF(F818=0," ",IF(BC818&lt;BB818,(_xlfn.IFS(AW818="SIM",SUM(L818,Q818,V818,AA818,AF818,AK818,AP818,AU818)+AX818/_xlfn.XLOOKUP(_xlfn.XLOOKUP($F818,Clientes!$B$4:$B$39,Clientes!$C$4:$C$39),Cadastros!$L$6:$L$12,Cadastros!$M$6:$M$12)+IF($F818="Bernardino Furlan",AY818/2751.92,IF($F818="Mauro José Salanti",AY818/2751.92,AY818/3356)),F818&lt;&gt;0,SUM(L818,Q818,V818,AA818,AF818,AK818,AP818,AU818)))*(1-0.03),_xlfn.IFS(AW818="SIM",SUM(L818,Q818,V818,AA818,AF818,AK818,AP818,AU818)+AX818/_xlfn.XLOOKUP(_xlfn.XLOOKUP($F818,Clientes!$B$4:$B$39,Clientes!$C$4:$C$39),Cadastros!$L$6:$L$12,Cadastros!$M$6:$M$12)+IF($F818="Bernardino Furlan",AY818/2751.92,IF($F818="Mauro José Salanti",AY818/2751.92,AY818/3356)),F818&lt;&gt;0,SUM(L818,Q818,V818,AA818,AF818,AK818,AP818,AU818))))</f>
        <v xml:space="preserve"> </v>
      </c>
      <c r="BE818" s="120"/>
      <c r="BF818" s="120"/>
      <c r="BG818" s="120"/>
    </row>
    <row r="819" spans="1:59" s="3" customFormat="1" x14ac:dyDescent="0.3">
      <c r="A819" s="15" t="str">
        <f t="shared" si="156"/>
        <v/>
      </c>
      <c r="B819" s="25"/>
      <c r="C819" s="26"/>
      <c r="D819" s="279"/>
      <c r="E819" s="27"/>
      <c r="F819" s="28"/>
      <c r="G819" s="27"/>
      <c r="H819" s="28"/>
      <c r="I819" s="28"/>
      <c r="J819" s="255" t="str">
        <f>IF(H819="","",(_xlfn.XLOOKUP(H819,Cadastros!$D$6:$D$90,Cadastros!$E$6:$E$90))*(1-_xlfn.XLOOKUP(_xlfn.XLOOKUP($F819,Clientes!$B$4:$B$39,Clientes!$C$4:$C$39),Cadastros!$L$6:$L$12,Cadastros!$N$6:$N$12)))</f>
        <v/>
      </c>
      <c r="K819" s="168" t="str">
        <f t="shared" si="157"/>
        <v/>
      </c>
      <c r="L819" s="168" t="str">
        <f>IFERROR(K819/_xlfn.XLOOKUP(_xlfn.XLOOKUP($F819,Clientes!$B$4:$B$39,Clientes!$C$4:$C$39),Cadastros!$L$6:$L$12,Cadastros!$M$6:$M$12)," ")</f>
        <v xml:space="preserve"> </v>
      </c>
      <c r="M819" s="28"/>
      <c r="N819" s="28"/>
      <c r="O819" s="255" t="str">
        <f>IF(M819="","",(_xlfn.XLOOKUP(M819,Cadastros!$D$6:$D$90,Cadastros!$E$6:$E$90))*(1-_xlfn.XLOOKUP(_xlfn.XLOOKUP($F819,Clientes!$B$4:$B$39,Clientes!$C$4:$C$39),Cadastros!$L$6:$L$12,Cadastros!$N$6:$N$12)))</f>
        <v/>
      </c>
      <c r="P819" s="168" t="str">
        <f t="shared" si="158"/>
        <v/>
      </c>
      <c r="Q819" s="168" t="str">
        <f>IFERROR(P819/_xlfn.XLOOKUP(_xlfn.XLOOKUP($F819,Clientes!$B$4:$B$39,Clientes!$C$4:$C$39),Cadastros!$L$6:$L$12,Cadastros!$M$6:$M$12)," ")</f>
        <v xml:space="preserve"> </v>
      </c>
      <c r="R819" s="28"/>
      <c r="S819" s="28"/>
      <c r="T819" s="255" t="str">
        <f>IF(R819="","",(_xlfn.XLOOKUP(R819,Cadastros!$D$6:$D$90,Cadastros!$E$6:$E$90))*(1-_xlfn.XLOOKUP(_xlfn.XLOOKUP($F819,Clientes!$B$4:$B$39,Clientes!$C$4:$C$39),Cadastros!$L$6:$L$12,Cadastros!$N$6:$N$12)))</f>
        <v/>
      </c>
      <c r="U819" s="168" t="str">
        <f t="shared" si="159"/>
        <v/>
      </c>
      <c r="V819" s="168" t="str">
        <f>IFERROR(U819/_xlfn.XLOOKUP(_xlfn.XLOOKUP($F819,Clientes!$B$4:$B$39,Clientes!$C$4:$C$39),Cadastros!$L$6:$L$12,Cadastros!$M$6:$M$12)," ")</f>
        <v xml:space="preserve"> </v>
      </c>
      <c r="W819" s="28"/>
      <c r="X819" s="28"/>
      <c r="Y819" s="255" t="str">
        <f>IF(W819="","",(_xlfn.XLOOKUP(W819,Cadastros!$D$6:$D$90,Cadastros!$E$6:$E$90))*(1-_xlfn.XLOOKUP(_xlfn.XLOOKUP($F819,Clientes!$B$4:$B$39,Clientes!$C$4:$C$39),Cadastros!$L$6:$L$12,Cadastros!$N$6:$N$12)))</f>
        <v/>
      </c>
      <c r="Z819" s="168" t="str">
        <f t="shared" si="160"/>
        <v/>
      </c>
      <c r="AA819" s="168" t="str">
        <f>IFERROR(Z819/_xlfn.XLOOKUP(_xlfn.XLOOKUP($F819,Clientes!$B$4:$B$39,Clientes!$C$4:$C$39),Cadastros!$L$6:$L$12,Cadastros!$M$6:$M$12)," ")</f>
        <v xml:space="preserve"> </v>
      </c>
      <c r="AB819" s="28"/>
      <c r="AC819" s="28"/>
      <c r="AD819" s="20" t="str">
        <f>IF(AB819="","",IF($F819="Bernardino Furlan",_xlfn.XLOOKUP(AB819,Cadastros!$G$6:$G$90,Cadastros!$H$6:$H$90)*(1-0.18),IF($F819="Mauro José Salanti",_xlfn.XLOOKUP(AB819,Cadastros!$G$6:$G$90,Cadastros!$H$6:$H$90)*(1-0.18),_xlfn.XLOOKUP(AB819,Cadastros!$G$6:$G$90,Cadastros!$H$6:$H$90))))</f>
        <v/>
      </c>
      <c r="AE819" s="168" t="str">
        <f t="shared" si="161"/>
        <v/>
      </c>
      <c r="AF819" s="168" t="str">
        <f t="shared" si="162"/>
        <v/>
      </c>
      <c r="AG819" s="28"/>
      <c r="AH819" s="28"/>
      <c r="AI819" s="20" t="str">
        <f>IF(AG819="","",IF($F819="Bernardino Furlan",_xlfn.XLOOKUP(AG819,Cadastros!$G$6:$G$90,Cadastros!$H$6:$H$90)*(1-0.18),IF($F819="Mauro José Salanti",_xlfn.XLOOKUP(AG819,Cadastros!$G$6:$G$90,Cadastros!$H$6:$H$90)*(1-0.18),_xlfn.XLOOKUP(AG819,Cadastros!$G$6:$G$90,Cadastros!$H$6:$H$90))))</f>
        <v/>
      </c>
      <c r="AJ819" s="168" t="str">
        <f t="shared" si="163"/>
        <v/>
      </c>
      <c r="AK819" s="168" t="str">
        <f t="shared" si="164"/>
        <v/>
      </c>
      <c r="AL819" s="28"/>
      <c r="AM819" s="28"/>
      <c r="AN819" s="20" t="str">
        <f>IF(AL819="","",IF($F819="Bernardino Furlan",_xlfn.XLOOKUP(AL819,Cadastros!$G$6:$G$90,Cadastros!$H$6:$H$90)*(1-0.18),IF($F819="Mauro José Salanti",_xlfn.XLOOKUP(AL819,Cadastros!$G$6:$G$90,Cadastros!$H$6:$H$90)*(1-0.18),_xlfn.XLOOKUP(AL819,Cadastros!$G$6:$G$90,Cadastros!$H$6:$H$90))))</f>
        <v/>
      </c>
      <c r="AO819" s="168" t="str">
        <f t="shared" si="165"/>
        <v/>
      </c>
      <c r="AP819" s="168" t="str">
        <f t="shared" si="166"/>
        <v/>
      </c>
      <c r="AQ819" s="28"/>
      <c r="AR819" s="28"/>
      <c r="AS819" s="20" t="str">
        <f>IF(AQ819="","",IF($F819="Bernardino Furlan",_xlfn.XLOOKUP(AQ819,Cadastros!$G$6:$G$90,Cadastros!$H$6:$H$90)*(1-0.18),IF($F819="Mauro José Salanti",_xlfn.XLOOKUP(AQ819,Cadastros!$G$6:$G$90,Cadastros!$H$6:$H$90)*(1-0.18),_xlfn.XLOOKUP(AQ819,Cadastros!$G$6:$G$90,Cadastros!$H$6:$H$90))))</f>
        <v/>
      </c>
      <c r="AT819" s="168" t="str">
        <f t="shared" si="167"/>
        <v/>
      </c>
      <c r="AU819" s="168" t="str">
        <f t="shared" si="168"/>
        <v/>
      </c>
      <c r="AV819" s="227"/>
      <c r="AW819" s="30"/>
      <c r="AX819" s="267"/>
      <c r="AY819" s="267"/>
      <c r="AZ819" s="29"/>
      <c r="BA819" s="30"/>
      <c r="BB819" s="23" t="str" cm="1">
        <f t="array" ref="BB819">_xlfn.IFS(AW819="SIM",SUM(K819,P819,U819,Z819,AE819,AJ819,AO819,AT819,AX819,AY819),F819&lt;&gt;"",SUM(K819,P819,U819,Z819,AE819,AJ819,,AO819,AT819),F819="","")</f>
        <v/>
      </c>
      <c r="BC819" s="211" t="str" cm="1">
        <f t="array" ref="BC819">_xlfn.IFS(E819="","",G819&lt;=E819,BB819*(1-0.03),G819&lt;(E819+8),BB819,AZ819="Boleto",BB819*(1+0.001)^DATEDIF(E819,G819,"D"),AZ819="Cheque",BB819,AZ819="Dinheiro","Alterar forma pgto")</f>
        <v/>
      </c>
      <c r="BD819" s="276" t="str" cm="1">
        <f t="array" ref="BD819">IF(F819=0," ",IF(BC819&lt;BB819,(_xlfn.IFS(AW819="SIM",SUM(L819,Q819,V819,AA819,AF819,AK819,AP819,AU819)+AX819/_xlfn.XLOOKUP(_xlfn.XLOOKUP($F819,Clientes!$B$4:$B$39,Clientes!$C$4:$C$39),Cadastros!$L$6:$L$12,Cadastros!$M$6:$M$12)+IF($F819="Bernardino Furlan",AY819/2751.92,IF($F819="Mauro José Salanti",AY819/2751.92,AY819/3356)),F819&lt;&gt;0,SUM(L819,Q819,V819,AA819,AF819,AK819,AP819,AU819)))*(1-0.03),_xlfn.IFS(AW819="SIM",SUM(L819,Q819,V819,AA819,AF819,AK819,AP819,AU819)+AX819/_xlfn.XLOOKUP(_xlfn.XLOOKUP($F819,Clientes!$B$4:$B$39,Clientes!$C$4:$C$39),Cadastros!$L$6:$L$12,Cadastros!$M$6:$M$12)+IF($F819="Bernardino Furlan",AY819/2751.92,IF($F819="Mauro José Salanti",AY819/2751.92,AY819/3356)),F819&lt;&gt;0,SUM(L819,Q819,V819,AA819,AF819,AK819,AP819,AU819))))</f>
        <v xml:space="preserve"> </v>
      </c>
      <c r="BE819" s="120"/>
      <c r="BF819" s="120"/>
      <c r="BG819" s="120"/>
    </row>
    <row r="820" spans="1:59" s="3" customFormat="1" x14ac:dyDescent="0.3">
      <c r="A820" s="15" t="str">
        <f t="shared" si="156"/>
        <v/>
      </c>
      <c r="B820" s="25"/>
      <c r="C820" s="26"/>
      <c r="D820" s="279"/>
      <c r="E820" s="27"/>
      <c r="F820" s="28"/>
      <c r="G820" s="27"/>
      <c r="H820" s="28"/>
      <c r="I820" s="28"/>
      <c r="J820" s="255" t="str">
        <f>IF(H820="","",(_xlfn.XLOOKUP(H820,Cadastros!$D$6:$D$90,Cadastros!$E$6:$E$90))*(1-_xlfn.XLOOKUP(_xlfn.XLOOKUP($F820,Clientes!$B$4:$B$39,Clientes!$C$4:$C$39),Cadastros!$L$6:$L$12,Cadastros!$N$6:$N$12)))</f>
        <v/>
      </c>
      <c r="K820" s="168" t="str">
        <f t="shared" si="157"/>
        <v/>
      </c>
      <c r="L820" s="168" t="str">
        <f>IFERROR(K820/_xlfn.XLOOKUP(_xlfn.XLOOKUP($F820,Clientes!$B$4:$B$39,Clientes!$C$4:$C$39),Cadastros!$L$6:$L$12,Cadastros!$M$6:$M$12)," ")</f>
        <v xml:space="preserve"> </v>
      </c>
      <c r="M820" s="28"/>
      <c r="N820" s="28"/>
      <c r="O820" s="255" t="str">
        <f>IF(M820="","",(_xlfn.XLOOKUP(M820,Cadastros!$D$6:$D$90,Cadastros!$E$6:$E$90))*(1-_xlfn.XLOOKUP(_xlfn.XLOOKUP($F820,Clientes!$B$4:$B$39,Clientes!$C$4:$C$39),Cadastros!$L$6:$L$12,Cadastros!$N$6:$N$12)))</f>
        <v/>
      </c>
      <c r="P820" s="168" t="str">
        <f t="shared" si="158"/>
        <v/>
      </c>
      <c r="Q820" s="168" t="str">
        <f>IFERROR(P820/_xlfn.XLOOKUP(_xlfn.XLOOKUP($F820,Clientes!$B$4:$B$39,Clientes!$C$4:$C$39),Cadastros!$L$6:$L$12,Cadastros!$M$6:$M$12)," ")</f>
        <v xml:space="preserve"> </v>
      </c>
      <c r="R820" s="28"/>
      <c r="S820" s="28"/>
      <c r="T820" s="255" t="str">
        <f>IF(R820="","",(_xlfn.XLOOKUP(R820,Cadastros!$D$6:$D$90,Cadastros!$E$6:$E$90))*(1-_xlfn.XLOOKUP(_xlfn.XLOOKUP($F820,Clientes!$B$4:$B$39,Clientes!$C$4:$C$39),Cadastros!$L$6:$L$12,Cadastros!$N$6:$N$12)))</f>
        <v/>
      </c>
      <c r="U820" s="168" t="str">
        <f t="shared" si="159"/>
        <v/>
      </c>
      <c r="V820" s="168" t="str">
        <f>IFERROR(U820/_xlfn.XLOOKUP(_xlfn.XLOOKUP($F820,Clientes!$B$4:$B$39,Clientes!$C$4:$C$39),Cadastros!$L$6:$L$12,Cadastros!$M$6:$M$12)," ")</f>
        <v xml:space="preserve"> </v>
      </c>
      <c r="W820" s="28"/>
      <c r="X820" s="28"/>
      <c r="Y820" s="255" t="str">
        <f>IF(W820="","",(_xlfn.XLOOKUP(W820,Cadastros!$D$6:$D$90,Cadastros!$E$6:$E$90))*(1-_xlfn.XLOOKUP(_xlfn.XLOOKUP($F820,Clientes!$B$4:$B$39,Clientes!$C$4:$C$39),Cadastros!$L$6:$L$12,Cadastros!$N$6:$N$12)))</f>
        <v/>
      </c>
      <c r="Z820" s="168" t="str">
        <f t="shared" si="160"/>
        <v/>
      </c>
      <c r="AA820" s="168" t="str">
        <f>IFERROR(Z820/_xlfn.XLOOKUP(_xlfn.XLOOKUP($F820,Clientes!$B$4:$B$39,Clientes!$C$4:$C$39),Cadastros!$L$6:$L$12,Cadastros!$M$6:$M$12)," ")</f>
        <v xml:space="preserve"> </v>
      </c>
      <c r="AB820" s="28"/>
      <c r="AC820" s="28"/>
      <c r="AD820" s="20" t="str">
        <f>IF(AB820="","",IF($F820="Bernardino Furlan",_xlfn.XLOOKUP(AB820,Cadastros!$G$6:$G$90,Cadastros!$H$6:$H$90)*(1-0.18),IF($F820="Mauro José Salanti",_xlfn.XLOOKUP(AB820,Cadastros!$G$6:$G$90,Cadastros!$H$6:$H$90)*(1-0.18),_xlfn.XLOOKUP(AB820,Cadastros!$G$6:$G$90,Cadastros!$H$6:$H$90))))</f>
        <v/>
      </c>
      <c r="AE820" s="168" t="str">
        <f t="shared" si="161"/>
        <v/>
      </c>
      <c r="AF820" s="168" t="str">
        <f t="shared" si="162"/>
        <v/>
      </c>
      <c r="AG820" s="28"/>
      <c r="AH820" s="28"/>
      <c r="AI820" s="20" t="str">
        <f>IF(AG820="","",IF($F820="Bernardino Furlan",_xlfn.XLOOKUP(AG820,Cadastros!$G$6:$G$90,Cadastros!$H$6:$H$90)*(1-0.18),IF($F820="Mauro José Salanti",_xlfn.XLOOKUP(AG820,Cadastros!$G$6:$G$90,Cadastros!$H$6:$H$90)*(1-0.18),_xlfn.XLOOKUP(AG820,Cadastros!$G$6:$G$90,Cadastros!$H$6:$H$90))))</f>
        <v/>
      </c>
      <c r="AJ820" s="168" t="str">
        <f t="shared" si="163"/>
        <v/>
      </c>
      <c r="AK820" s="168" t="str">
        <f t="shared" si="164"/>
        <v/>
      </c>
      <c r="AL820" s="28"/>
      <c r="AM820" s="28"/>
      <c r="AN820" s="20" t="str">
        <f>IF(AL820="","",IF($F820="Bernardino Furlan",_xlfn.XLOOKUP(AL820,Cadastros!$G$6:$G$90,Cadastros!$H$6:$H$90)*(1-0.18),IF($F820="Mauro José Salanti",_xlfn.XLOOKUP(AL820,Cadastros!$G$6:$G$90,Cadastros!$H$6:$H$90)*(1-0.18),_xlfn.XLOOKUP(AL820,Cadastros!$G$6:$G$90,Cadastros!$H$6:$H$90))))</f>
        <v/>
      </c>
      <c r="AO820" s="168" t="str">
        <f t="shared" si="165"/>
        <v/>
      </c>
      <c r="AP820" s="168" t="str">
        <f t="shared" si="166"/>
        <v/>
      </c>
      <c r="AQ820" s="28"/>
      <c r="AR820" s="28"/>
      <c r="AS820" s="20" t="str">
        <f>IF(AQ820="","",IF($F820="Bernardino Furlan",_xlfn.XLOOKUP(AQ820,Cadastros!$G$6:$G$90,Cadastros!$H$6:$H$90)*(1-0.18),IF($F820="Mauro José Salanti",_xlfn.XLOOKUP(AQ820,Cadastros!$G$6:$G$90,Cadastros!$H$6:$H$90)*(1-0.18),_xlfn.XLOOKUP(AQ820,Cadastros!$G$6:$G$90,Cadastros!$H$6:$H$90))))</f>
        <v/>
      </c>
      <c r="AT820" s="168" t="str">
        <f t="shared" si="167"/>
        <v/>
      </c>
      <c r="AU820" s="168" t="str">
        <f t="shared" si="168"/>
        <v/>
      </c>
      <c r="AV820" s="227"/>
      <c r="AW820" s="30"/>
      <c r="AX820" s="267"/>
      <c r="AY820" s="267"/>
      <c r="AZ820" s="29"/>
      <c r="BA820" s="30"/>
      <c r="BB820" s="23" t="str" cm="1">
        <f t="array" ref="BB820">_xlfn.IFS(AW820="SIM",SUM(K820,P820,U820,Z820,AE820,AJ820,AO820,AT820,AX820,AY820),F820&lt;&gt;"",SUM(K820,P820,U820,Z820,AE820,AJ820,,AO820,AT820),F820="","")</f>
        <v/>
      </c>
      <c r="BC820" s="211" t="str" cm="1">
        <f t="array" ref="BC820">_xlfn.IFS(E820="","",G820&lt;=E820,BB820*(1-0.03),G820&lt;(E820+8),BB820,AZ820="Boleto",BB820*(1+0.001)^DATEDIF(E820,G820,"D"),AZ820="Cheque",BB820,AZ820="Dinheiro","Alterar forma pgto")</f>
        <v/>
      </c>
      <c r="BD820" s="276" t="str" cm="1">
        <f t="array" ref="BD820">IF(F820=0," ",IF(BC820&lt;BB820,(_xlfn.IFS(AW820="SIM",SUM(L820,Q820,V820,AA820,AF820,AK820,AP820,AU820)+AX820/_xlfn.XLOOKUP(_xlfn.XLOOKUP($F820,Clientes!$B$4:$B$39,Clientes!$C$4:$C$39),Cadastros!$L$6:$L$12,Cadastros!$M$6:$M$12)+IF($F820="Bernardino Furlan",AY820/2751.92,IF($F820="Mauro José Salanti",AY820/2751.92,AY820/3356)),F820&lt;&gt;0,SUM(L820,Q820,V820,AA820,AF820,AK820,AP820,AU820)))*(1-0.03),_xlfn.IFS(AW820="SIM",SUM(L820,Q820,V820,AA820,AF820,AK820,AP820,AU820)+AX820/_xlfn.XLOOKUP(_xlfn.XLOOKUP($F820,Clientes!$B$4:$B$39,Clientes!$C$4:$C$39),Cadastros!$L$6:$L$12,Cadastros!$M$6:$M$12)+IF($F820="Bernardino Furlan",AY820/2751.92,IF($F820="Mauro José Salanti",AY820/2751.92,AY820/3356)),F820&lt;&gt;0,SUM(L820,Q820,V820,AA820,AF820,AK820,AP820,AU820))))</f>
        <v xml:space="preserve"> </v>
      </c>
      <c r="BE820" s="120"/>
      <c r="BF820" s="120"/>
      <c r="BG820" s="120"/>
    </row>
    <row r="821" spans="1:59" s="3" customFormat="1" x14ac:dyDescent="0.3">
      <c r="A821" s="15" t="str">
        <f t="shared" si="156"/>
        <v/>
      </c>
      <c r="B821" s="25"/>
      <c r="C821" s="26"/>
      <c r="D821" s="279"/>
      <c r="E821" s="27"/>
      <c r="F821" s="28"/>
      <c r="G821" s="27"/>
      <c r="H821" s="28"/>
      <c r="I821" s="28"/>
      <c r="J821" s="255" t="str">
        <f>IF(H821="","",(_xlfn.XLOOKUP(H821,Cadastros!$D$6:$D$90,Cadastros!$E$6:$E$90))*(1-_xlfn.XLOOKUP(_xlfn.XLOOKUP($F821,Clientes!$B$4:$B$39,Clientes!$C$4:$C$39),Cadastros!$L$6:$L$12,Cadastros!$N$6:$N$12)))</f>
        <v/>
      </c>
      <c r="K821" s="168" t="str">
        <f t="shared" si="157"/>
        <v/>
      </c>
      <c r="L821" s="168" t="str">
        <f>IFERROR(K821/_xlfn.XLOOKUP(_xlfn.XLOOKUP($F821,Clientes!$B$4:$B$39,Clientes!$C$4:$C$39),Cadastros!$L$6:$L$12,Cadastros!$M$6:$M$12)," ")</f>
        <v xml:space="preserve"> </v>
      </c>
      <c r="M821" s="28"/>
      <c r="N821" s="28"/>
      <c r="O821" s="255" t="str">
        <f>IF(M821="","",(_xlfn.XLOOKUP(M821,Cadastros!$D$6:$D$90,Cadastros!$E$6:$E$90))*(1-_xlfn.XLOOKUP(_xlfn.XLOOKUP($F821,Clientes!$B$4:$B$39,Clientes!$C$4:$C$39),Cadastros!$L$6:$L$12,Cadastros!$N$6:$N$12)))</f>
        <v/>
      </c>
      <c r="P821" s="168" t="str">
        <f t="shared" si="158"/>
        <v/>
      </c>
      <c r="Q821" s="168" t="str">
        <f>IFERROR(P821/_xlfn.XLOOKUP(_xlfn.XLOOKUP($F821,Clientes!$B$4:$B$39,Clientes!$C$4:$C$39),Cadastros!$L$6:$L$12,Cadastros!$M$6:$M$12)," ")</f>
        <v xml:space="preserve"> </v>
      </c>
      <c r="R821" s="28"/>
      <c r="S821" s="28"/>
      <c r="T821" s="255" t="str">
        <f>IF(R821="","",(_xlfn.XLOOKUP(R821,Cadastros!$D$6:$D$90,Cadastros!$E$6:$E$90))*(1-_xlfn.XLOOKUP(_xlfn.XLOOKUP($F821,Clientes!$B$4:$B$39,Clientes!$C$4:$C$39),Cadastros!$L$6:$L$12,Cadastros!$N$6:$N$12)))</f>
        <v/>
      </c>
      <c r="U821" s="168" t="str">
        <f t="shared" si="159"/>
        <v/>
      </c>
      <c r="V821" s="168" t="str">
        <f>IFERROR(U821/_xlfn.XLOOKUP(_xlfn.XLOOKUP($F821,Clientes!$B$4:$B$39,Clientes!$C$4:$C$39),Cadastros!$L$6:$L$12,Cadastros!$M$6:$M$12)," ")</f>
        <v xml:space="preserve"> </v>
      </c>
      <c r="W821" s="28"/>
      <c r="X821" s="28"/>
      <c r="Y821" s="255" t="str">
        <f>IF(W821="","",(_xlfn.XLOOKUP(W821,Cadastros!$D$6:$D$90,Cadastros!$E$6:$E$90))*(1-_xlfn.XLOOKUP(_xlfn.XLOOKUP($F821,Clientes!$B$4:$B$39,Clientes!$C$4:$C$39),Cadastros!$L$6:$L$12,Cadastros!$N$6:$N$12)))</f>
        <v/>
      </c>
      <c r="Z821" s="168" t="str">
        <f t="shared" si="160"/>
        <v/>
      </c>
      <c r="AA821" s="168" t="str">
        <f>IFERROR(Z821/_xlfn.XLOOKUP(_xlfn.XLOOKUP($F821,Clientes!$B$4:$B$39,Clientes!$C$4:$C$39),Cadastros!$L$6:$L$12,Cadastros!$M$6:$M$12)," ")</f>
        <v xml:space="preserve"> </v>
      </c>
      <c r="AB821" s="28"/>
      <c r="AC821" s="28"/>
      <c r="AD821" s="20" t="str">
        <f>IF(AB821="","",IF($F821="Bernardino Furlan",_xlfn.XLOOKUP(AB821,Cadastros!$G$6:$G$90,Cadastros!$H$6:$H$90)*(1-0.18),IF($F821="Mauro José Salanti",_xlfn.XLOOKUP(AB821,Cadastros!$G$6:$G$90,Cadastros!$H$6:$H$90)*(1-0.18),_xlfn.XLOOKUP(AB821,Cadastros!$G$6:$G$90,Cadastros!$H$6:$H$90))))</f>
        <v/>
      </c>
      <c r="AE821" s="168" t="str">
        <f t="shared" si="161"/>
        <v/>
      </c>
      <c r="AF821" s="168" t="str">
        <f t="shared" si="162"/>
        <v/>
      </c>
      <c r="AG821" s="28"/>
      <c r="AH821" s="28"/>
      <c r="AI821" s="20" t="str">
        <f>IF(AG821="","",IF($F821="Bernardino Furlan",_xlfn.XLOOKUP(AG821,Cadastros!$G$6:$G$90,Cadastros!$H$6:$H$90)*(1-0.18),IF($F821="Mauro José Salanti",_xlfn.XLOOKUP(AG821,Cadastros!$G$6:$G$90,Cadastros!$H$6:$H$90)*(1-0.18),_xlfn.XLOOKUP(AG821,Cadastros!$G$6:$G$90,Cadastros!$H$6:$H$90))))</f>
        <v/>
      </c>
      <c r="AJ821" s="168" t="str">
        <f t="shared" si="163"/>
        <v/>
      </c>
      <c r="AK821" s="168" t="str">
        <f t="shared" si="164"/>
        <v/>
      </c>
      <c r="AL821" s="28"/>
      <c r="AM821" s="28"/>
      <c r="AN821" s="20" t="str">
        <f>IF(AL821="","",IF($F821="Bernardino Furlan",_xlfn.XLOOKUP(AL821,Cadastros!$G$6:$G$90,Cadastros!$H$6:$H$90)*(1-0.18),IF($F821="Mauro José Salanti",_xlfn.XLOOKUP(AL821,Cadastros!$G$6:$G$90,Cadastros!$H$6:$H$90)*(1-0.18),_xlfn.XLOOKUP(AL821,Cadastros!$G$6:$G$90,Cadastros!$H$6:$H$90))))</f>
        <v/>
      </c>
      <c r="AO821" s="168" t="str">
        <f t="shared" si="165"/>
        <v/>
      </c>
      <c r="AP821" s="168" t="str">
        <f t="shared" si="166"/>
        <v/>
      </c>
      <c r="AQ821" s="28"/>
      <c r="AR821" s="28"/>
      <c r="AS821" s="20" t="str">
        <f>IF(AQ821="","",IF($F821="Bernardino Furlan",_xlfn.XLOOKUP(AQ821,Cadastros!$G$6:$G$90,Cadastros!$H$6:$H$90)*(1-0.18),IF($F821="Mauro José Salanti",_xlfn.XLOOKUP(AQ821,Cadastros!$G$6:$G$90,Cadastros!$H$6:$H$90)*(1-0.18),_xlfn.XLOOKUP(AQ821,Cadastros!$G$6:$G$90,Cadastros!$H$6:$H$90))))</f>
        <v/>
      </c>
      <c r="AT821" s="168" t="str">
        <f t="shared" si="167"/>
        <v/>
      </c>
      <c r="AU821" s="168" t="str">
        <f t="shared" si="168"/>
        <v/>
      </c>
      <c r="AV821" s="227"/>
      <c r="AW821" s="30"/>
      <c r="AX821" s="267"/>
      <c r="AY821" s="267"/>
      <c r="AZ821" s="29"/>
      <c r="BA821" s="30"/>
      <c r="BB821" s="23" t="str" cm="1">
        <f t="array" ref="BB821">_xlfn.IFS(AW821="SIM",SUM(K821,P821,U821,Z821,AE821,AJ821,AO821,AT821,AX821,AY821),F821&lt;&gt;"",SUM(K821,P821,U821,Z821,AE821,AJ821,,AO821,AT821),F821="","")</f>
        <v/>
      </c>
      <c r="BC821" s="211" t="str" cm="1">
        <f t="array" ref="BC821">_xlfn.IFS(E821="","",G821&lt;=E821,BB821*(1-0.03),G821&lt;(E821+8),BB821,AZ821="Boleto",BB821*(1+0.001)^DATEDIF(E821,G821,"D"),AZ821="Cheque",BB821,AZ821="Dinheiro","Alterar forma pgto")</f>
        <v/>
      </c>
      <c r="BD821" s="276" t="str" cm="1">
        <f t="array" ref="BD821">IF(F821=0," ",IF(BC821&lt;BB821,(_xlfn.IFS(AW821="SIM",SUM(L821,Q821,V821,AA821,AF821,AK821,AP821,AU821)+AX821/_xlfn.XLOOKUP(_xlfn.XLOOKUP($F821,Clientes!$B$4:$B$39,Clientes!$C$4:$C$39),Cadastros!$L$6:$L$12,Cadastros!$M$6:$M$12)+IF($F821="Bernardino Furlan",AY821/2751.92,IF($F821="Mauro José Salanti",AY821/2751.92,AY821/3356)),F821&lt;&gt;0,SUM(L821,Q821,V821,AA821,AF821,AK821,AP821,AU821)))*(1-0.03),_xlfn.IFS(AW821="SIM",SUM(L821,Q821,V821,AA821,AF821,AK821,AP821,AU821)+AX821/_xlfn.XLOOKUP(_xlfn.XLOOKUP($F821,Clientes!$B$4:$B$39,Clientes!$C$4:$C$39),Cadastros!$L$6:$L$12,Cadastros!$M$6:$M$12)+IF($F821="Bernardino Furlan",AY821/2751.92,IF($F821="Mauro José Salanti",AY821/2751.92,AY821/3356)),F821&lt;&gt;0,SUM(L821,Q821,V821,AA821,AF821,AK821,AP821,AU821))))</f>
        <v xml:space="preserve"> </v>
      </c>
      <c r="BE821" s="120"/>
      <c r="BF821" s="120"/>
      <c r="BG821" s="120"/>
    </row>
    <row r="822" spans="1:59" s="3" customFormat="1" x14ac:dyDescent="0.3">
      <c r="A822" s="15" t="str">
        <f t="shared" si="156"/>
        <v/>
      </c>
      <c r="B822" s="25"/>
      <c r="C822" s="26"/>
      <c r="D822" s="279"/>
      <c r="E822" s="27"/>
      <c r="F822" s="28"/>
      <c r="G822" s="27"/>
      <c r="H822" s="28"/>
      <c r="I822" s="28"/>
      <c r="J822" s="255" t="str">
        <f>IF(H822="","",(_xlfn.XLOOKUP(H822,Cadastros!$D$6:$D$90,Cadastros!$E$6:$E$90))*(1-_xlfn.XLOOKUP(_xlfn.XLOOKUP($F822,Clientes!$B$4:$B$39,Clientes!$C$4:$C$39),Cadastros!$L$6:$L$12,Cadastros!$N$6:$N$12)))</f>
        <v/>
      </c>
      <c r="K822" s="168" t="str">
        <f t="shared" si="157"/>
        <v/>
      </c>
      <c r="L822" s="168" t="str">
        <f>IFERROR(K822/_xlfn.XLOOKUP(_xlfn.XLOOKUP($F822,Clientes!$B$4:$B$39,Clientes!$C$4:$C$39),Cadastros!$L$6:$L$12,Cadastros!$M$6:$M$12)," ")</f>
        <v xml:space="preserve"> </v>
      </c>
      <c r="M822" s="28"/>
      <c r="N822" s="28"/>
      <c r="O822" s="255" t="str">
        <f>IF(M822="","",(_xlfn.XLOOKUP(M822,Cadastros!$D$6:$D$90,Cadastros!$E$6:$E$90))*(1-_xlfn.XLOOKUP(_xlfn.XLOOKUP($F822,Clientes!$B$4:$B$39,Clientes!$C$4:$C$39),Cadastros!$L$6:$L$12,Cadastros!$N$6:$N$12)))</f>
        <v/>
      </c>
      <c r="P822" s="168" t="str">
        <f t="shared" si="158"/>
        <v/>
      </c>
      <c r="Q822" s="168" t="str">
        <f>IFERROR(P822/_xlfn.XLOOKUP(_xlfn.XLOOKUP($F822,Clientes!$B$4:$B$39,Clientes!$C$4:$C$39),Cadastros!$L$6:$L$12,Cadastros!$M$6:$M$12)," ")</f>
        <v xml:space="preserve"> </v>
      </c>
      <c r="R822" s="28"/>
      <c r="S822" s="28"/>
      <c r="T822" s="255" t="str">
        <f>IF(R822="","",(_xlfn.XLOOKUP(R822,Cadastros!$D$6:$D$90,Cadastros!$E$6:$E$90))*(1-_xlfn.XLOOKUP(_xlfn.XLOOKUP($F822,Clientes!$B$4:$B$39,Clientes!$C$4:$C$39),Cadastros!$L$6:$L$12,Cadastros!$N$6:$N$12)))</f>
        <v/>
      </c>
      <c r="U822" s="168" t="str">
        <f t="shared" si="159"/>
        <v/>
      </c>
      <c r="V822" s="168" t="str">
        <f>IFERROR(U822/_xlfn.XLOOKUP(_xlfn.XLOOKUP($F822,Clientes!$B$4:$B$39,Clientes!$C$4:$C$39),Cadastros!$L$6:$L$12,Cadastros!$M$6:$M$12)," ")</f>
        <v xml:space="preserve"> </v>
      </c>
      <c r="W822" s="28"/>
      <c r="X822" s="28"/>
      <c r="Y822" s="255" t="str">
        <f>IF(W822="","",(_xlfn.XLOOKUP(W822,Cadastros!$D$6:$D$90,Cadastros!$E$6:$E$90))*(1-_xlfn.XLOOKUP(_xlfn.XLOOKUP($F822,Clientes!$B$4:$B$39,Clientes!$C$4:$C$39),Cadastros!$L$6:$L$12,Cadastros!$N$6:$N$12)))</f>
        <v/>
      </c>
      <c r="Z822" s="168" t="str">
        <f t="shared" si="160"/>
        <v/>
      </c>
      <c r="AA822" s="168" t="str">
        <f>IFERROR(Z822/_xlfn.XLOOKUP(_xlfn.XLOOKUP($F822,Clientes!$B$4:$B$39,Clientes!$C$4:$C$39),Cadastros!$L$6:$L$12,Cadastros!$M$6:$M$12)," ")</f>
        <v xml:space="preserve"> </v>
      </c>
      <c r="AB822" s="28"/>
      <c r="AC822" s="28"/>
      <c r="AD822" s="20" t="str">
        <f>IF(AB822="","",IF($F822="Bernardino Furlan",_xlfn.XLOOKUP(AB822,Cadastros!$G$6:$G$90,Cadastros!$H$6:$H$90)*(1-0.18),IF($F822="Mauro José Salanti",_xlfn.XLOOKUP(AB822,Cadastros!$G$6:$G$90,Cadastros!$H$6:$H$90)*(1-0.18),_xlfn.XLOOKUP(AB822,Cadastros!$G$6:$G$90,Cadastros!$H$6:$H$90))))</f>
        <v/>
      </c>
      <c r="AE822" s="168" t="str">
        <f t="shared" si="161"/>
        <v/>
      </c>
      <c r="AF822" s="168" t="str">
        <f t="shared" si="162"/>
        <v/>
      </c>
      <c r="AG822" s="28"/>
      <c r="AH822" s="28"/>
      <c r="AI822" s="20" t="str">
        <f>IF(AG822="","",IF($F822="Bernardino Furlan",_xlfn.XLOOKUP(AG822,Cadastros!$G$6:$G$90,Cadastros!$H$6:$H$90)*(1-0.18),IF($F822="Mauro José Salanti",_xlfn.XLOOKUP(AG822,Cadastros!$G$6:$G$90,Cadastros!$H$6:$H$90)*(1-0.18),_xlfn.XLOOKUP(AG822,Cadastros!$G$6:$G$90,Cadastros!$H$6:$H$90))))</f>
        <v/>
      </c>
      <c r="AJ822" s="168" t="str">
        <f t="shared" si="163"/>
        <v/>
      </c>
      <c r="AK822" s="168" t="str">
        <f t="shared" si="164"/>
        <v/>
      </c>
      <c r="AL822" s="28"/>
      <c r="AM822" s="28"/>
      <c r="AN822" s="20" t="str">
        <f>IF(AL822="","",IF($F822="Bernardino Furlan",_xlfn.XLOOKUP(AL822,Cadastros!$G$6:$G$90,Cadastros!$H$6:$H$90)*(1-0.18),IF($F822="Mauro José Salanti",_xlfn.XLOOKUP(AL822,Cadastros!$G$6:$G$90,Cadastros!$H$6:$H$90)*(1-0.18),_xlfn.XLOOKUP(AL822,Cadastros!$G$6:$G$90,Cadastros!$H$6:$H$90))))</f>
        <v/>
      </c>
      <c r="AO822" s="168" t="str">
        <f t="shared" si="165"/>
        <v/>
      </c>
      <c r="AP822" s="168" t="str">
        <f t="shared" si="166"/>
        <v/>
      </c>
      <c r="AQ822" s="28"/>
      <c r="AR822" s="28"/>
      <c r="AS822" s="20" t="str">
        <f>IF(AQ822="","",IF($F822="Bernardino Furlan",_xlfn.XLOOKUP(AQ822,Cadastros!$G$6:$G$90,Cadastros!$H$6:$H$90)*(1-0.18),IF($F822="Mauro José Salanti",_xlfn.XLOOKUP(AQ822,Cadastros!$G$6:$G$90,Cadastros!$H$6:$H$90)*(1-0.18),_xlfn.XLOOKUP(AQ822,Cadastros!$G$6:$G$90,Cadastros!$H$6:$H$90))))</f>
        <v/>
      </c>
      <c r="AT822" s="168" t="str">
        <f t="shared" si="167"/>
        <v/>
      </c>
      <c r="AU822" s="168" t="str">
        <f t="shared" si="168"/>
        <v/>
      </c>
      <c r="AV822" s="227"/>
      <c r="AW822" s="30"/>
      <c r="AX822" s="267"/>
      <c r="AY822" s="267"/>
      <c r="AZ822" s="29"/>
      <c r="BA822" s="30"/>
      <c r="BB822" s="23" t="str" cm="1">
        <f t="array" ref="BB822">_xlfn.IFS(AW822="SIM",SUM(K822,P822,U822,Z822,AE822,AJ822,AO822,AT822,AX822,AY822),F822&lt;&gt;"",SUM(K822,P822,U822,Z822,AE822,AJ822,,AO822,AT822),F822="","")</f>
        <v/>
      </c>
      <c r="BC822" s="211" t="str" cm="1">
        <f t="array" ref="BC822">_xlfn.IFS(E822="","",G822&lt;=E822,BB822*(1-0.03),G822&lt;(E822+8),BB822,AZ822="Boleto",BB822*(1+0.001)^DATEDIF(E822,G822,"D"),AZ822="Cheque",BB822,AZ822="Dinheiro","Alterar forma pgto")</f>
        <v/>
      </c>
      <c r="BD822" s="276" t="str" cm="1">
        <f t="array" ref="BD822">IF(F822=0," ",IF(BC822&lt;BB822,(_xlfn.IFS(AW822="SIM",SUM(L822,Q822,V822,AA822,AF822,AK822,AP822,AU822)+AX822/_xlfn.XLOOKUP(_xlfn.XLOOKUP($F822,Clientes!$B$4:$B$39,Clientes!$C$4:$C$39),Cadastros!$L$6:$L$12,Cadastros!$M$6:$M$12)+IF($F822="Bernardino Furlan",AY822/2751.92,IF($F822="Mauro José Salanti",AY822/2751.92,AY822/3356)),F822&lt;&gt;0,SUM(L822,Q822,V822,AA822,AF822,AK822,AP822,AU822)))*(1-0.03),_xlfn.IFS(AW822="SIM",SUM(L822,Q822,V822,AA822,AF822,AK822,AP822,AU822)+AX822/_xlfn.XLOOKUP(_xlfn.XLOOKUP($F822,Clientes!$B$4:$B$39,Clientes!$C$4:$C$39),Cadastros!$L$6:$L$12,Cadastros!$M$6:$M$12)+IF($F822="Bernardino Furlan",AY822/2751.92,IF($F822="Mauro José Salanti",AY822/2751.92,AY822/3356)),F822&lt;&gt;0,SUM(L822,Q822,V822,AA822,AF822,AK822,AP822,AU822))))</f>
        <v xml:space="preserve"> </v>
      </c>
      <c r="BE822" s="120"/>
      <c r="BF822" s="120"/>
      <c r="BG822" s="120"/>
    </row>
    <row r="823" spans="1:59" s="3" customFormat="1" x14ac:dyDescent="0.3">
      <c r="A823" s="15" t="str">
        <f t="shared" si="156"/>
        <v/>
      </c>
      <c r="B823" s="25"/>
      <c r="C823" s="26"/>
      <c r="D823" s="279"/>
      <c r="E823" s="27"/>
      <c r="F823" s="28"/>
      <c r="G823" s="27"/>
      <c r="H823" s="28"/>
      <c r="I823" s="28"/>
      <c r="J823" s="255" t="str">
        <f>IF(H823="","",(_xlfn.XLOOKUP(H823,Cadastros!$D$6:$D$90,Cadastros!$E$6:$E$90))*(1-_xlfn.XLOOKUP(_xlfn.XLOOKUP($F823,Clientes!$B$4:$B$39,Clientes!$C$4:$C$39),Cadastros!$L$6:$L$12,Cadastros!$N$6:$N$12)))</f>
        <v/>
      </c>
      <c r="K823" s="168" t="str">
        <f t="shared" si="157"/>
        <v/>
      </c>
      <c r="L823" s="168" t="str">
        <f>IFERROR(K823/_xlfn.XLOOKUP(_xlfn.XLOOKUP($F823,Clientes!$B$4:$B$39,Clientes!$C$4:$C$39),Cadastros!$L$6:$L$12,Cadastros!$M$6:$M$12)," ")</f>
        <v xml:space="preserve"> </v>
      </c>
      <c r="M823" s="28"/>
      <c r="N823" s="28"/>
      <c r="O823" s="255" t="str">
        <f>IF(M823="","",(_xlfn.XLOOKUP(M823,Cadastros!$D$6:$D$90,Cadastros!$E$6:$E$90))*(1-_xlfn.XLOOKUP(_xlfn.XLOOKUP($F823,Clientes!$B$4:$B$39,Clientes!$C$4:$C$39),Cadastros!$L$6:$L$12,Cadastros!$N$6:$N$12)))</f>
        <v/>
      </c>
      <c r="P823" s="168" t="str">
        <f t="shared" si="158"/>
        <v/>
      </c>
      <c r="Q823" s="168" t="str">
        <f>IFERROR(P823/_xlfn.XLOOKUP(_xlfn.XLOOKUP($F823,Clientes!$B$4:$B$39,Clientes!$C$4:$C$39),Cadastros!$L$6:$L$12,Cadastros!$M$6:$M$12)," ")</f>
        <v xml:space="preserve"> </v>
      </c>
      <c r="R823" s="28"/>
      <c r="S823" s="28"/>
      <c r="T823" s="255" t="str">
        <f>IF(R823="","",(_xlfn.XLOOKUP(R823,Cadastros!$D$6:$D$90,Cadastros!$E$6:$E$90))*(1-_xlfn.XLOOKUP(_xlfn.XLOOKUP($F823,Clientes!$B$4:$B$39,Clientes!$C$4:$C$39),Cadastros!$L$6:$L$12,Cadastros!$N$6:$N$12)))</f>
        <v/>
      </c>
      <c r="U823" s="168" t="str">
        <f t="shared" si="159"/>
        <v/>
      </c>
      <c r="V823" s="168" t="str">
        <f>IFERROR(U823/_xlfn.XLOOKUP(_xlfn.XLOOKUP($F823,Clientes!$B$4:$B$39,Clientes!$C$4:$C$39),Cadastros!$L$6:$L$12,Cadastros!$M$6:$M$12)," ")</f>
        <v xml:space="preserve"> </v>
      </c>
      <c r="W823" s="28"/>
      <c r="X823" s="28"/>
      <c r="Y823" s="255" t="str">
        <f>IF(W823="","",(_xlfn.XLOOKUP(W823,Cadastros!$D$6:$D$90,Cadastros!$E$6:$E$90))*(1-_xlfn.XLOOKUP(_xlfn.XLOOKUP($F823,Clientes!$B$4:$B$39,Clientes!$C$4:$C$39),Cadastros!$L$6:$L$12,Cadastros!$N$6:$N$12)))</f>
        <v/>
      </c>
      <c r="Z823" s="168" t="str">
        <f t="shared" si="160"/>
        <v/>
      </c>
      <c r="AA823" s="168" t="str">
        <f>IFERROR(Z823/_xlfn.XLOOKUP(_xlfn.XLOOKUP($F823,Clientes!$B$4:$B$39,Clientes!$C$4:$C$39),Cadastros!$L$6:$L$12,Cadastros!$M$6:$M$12)," ")</f>
        <v xml:space="preserve"> </v>
      </c>
      <c r="AB823" s="28"/>
      <c r="AC823" s="28"/>
      <c r="AD823" s="20" t="str">
        <f>IF(AB823="","",IF($F823="Bernardino Furlan",_xlfn.XLOOKUP(AB823,Cadastros!$G$6:$G$90,Cadastros!$H$6:$H$90)*(1-0.18),IF($F823="Mauro José Salanti",_xlfn.XLOOKUP(AB823,Cadastros!$G$6:$G$90,Cadastros!$H$6:$H$90)*(1-0.18),_xlfn.XLOOKUP(AB823,Cadastros!$G$6:$G$90,Cadastros!$H$6:$H$90))))</f>
        <v/>
      </c>
      <c r="AE823" s="168" t="str">
        <f t="shared" si="161"/>
        <v/>
      </c>
      <c r="AF823" s="168" t="str">
        <f t="shared" si="162"/>
        <v/>
      </c>
      <c r="AG823" s="28"/>
      <c r="AH823" s="28"/>
      <c r="AI823" s="20" t="str">
        <f>IF(AG823="","",IF($F823="Bernardino Furlan",_xlfn.XLOOKUP(AG823,Cadastros!$G$6:$G$90,Cadastros!$H$6:$H$90)*(1-0.18),IF($F823="Mauro José Salanti",_xlfn.XLOOKUP(AG823,Cadastros!$G$6:$G$90,Cadastros!$H$6:$H$90)*(1-0.18),_xlfn.XLOOKUP(AG823,Cadastros!$G$6:$G$90,Cadastros!$H$6:$H$90))))</f>
        <v/>
      </c>
      <c r="AJ823" s="168" t="str">
        <f t="shared" si="163"/>
        <v/>
      </c>
      <c r="AK823" s="168" t="str">
        <f t="shared" si="164"/>
        <v/>
      </c>
      <c r="AL823" s="28"/>
      <c r="AM823" s="28"/>
      <c r="AN823" s="20" t="str">
        <f>IF(AL823="","",IF($F823="Bernardino Furlan",_xlfn.XLOOKUP(AL823,Cadastros!$G$6:$G$90,Cadastros!$H$6:$H$90)*(1-0.18),IF($F823="Mauro José Salanti",_xlfn.XLOOKUP(AL823,Cadastros!$G$6:$G$90,Cadastros!$H$6:$H$90)*(1-0.18),_xlfn.XLOOKUP(AL823,Cadastros!$G$6:$G$90,Cadastros!$H$6:$H$90))))</f>
        <v/>
      </c>
      <c r="AO823" s="168" t="str">
        <f t="shared" si="165"/>
        <v/>
      </c>
      <c r="AP823" s="168" t="str">
        <f t="shared" si="166"/>
        <v/>
      </c>
      <c r="AQ823" s="28"/>
      <c r="AR823" s="28"/>
      <c r="AS823" s="20" t="str">
        <f>IF(AQ823="","",IF($F823="Bernardino Furlan",_xlfn.XLOOKUP(AQ823,Cadastros!$G$6:$G$90,Cadastros!$H$6:$H$90)*(1-0.18),IF($F823="Mauro José Salanti",_xlfn.XLOOKUP(AQ823,Cadastros!$G$6:$G$90,Cadastros!$H$6:$H$90)*(1-0.18),_xlfn.XLOOKUP(AQ823,Cadastros!$G$6:$G$90,Cadastros!$H$6:$H$90))))</f>
        <v/>
      </c>
      <c r="AT823" s="168" t="str">
        <f t="shared" si="167"/>
        <v/>
      </c>
      <c r="AU823" s="168" t="str">
        <f t="shared" si="168"/>
        <v/>
      </c>
      <c r="AV823" s="227"/>
      <c r="AW823" s="30"/>
      <c r="AX823" s="267"/>
      <c r="AY823" s="267"/>
      <c r="AZ823" s="29"/>
      <c r="BA823" s="30"/>
      <c r="BB823" s="23" t="str" cm="1">
        <f t="array" ref="BB823">_xlfn.IFS(AW823="SIM",SUM(K823,P823,U823,Z823,AE823,AJ823,AO823,AT823,AX823,AY823),F823&lt;&gt;"",SUM(K823,P823,U823,Z823,AE823,AJ823,,AO823,AT823),F823="","")</f>
        <v/>
      </c>
      <c r="BC823" s="211" t="str" cm="1">
        <f t="array" ref="BC823">_xlfn.IFS(E823="","",G823&lt;=E823,BB823*(1-0.03),G823&lt;(E823+8),BB823,AZ823="Boleto",BB823*(1+0.001)^DATEDIF(E823,G823,"D"),AZ823="Cheque",BB823,AZ823="Dinheiro","Alterar forma pgto")</f>
        <v/>
      </c>
      <c r="BD823" s="276" t="str" cm="1">
        <f t="array" ref="BD823">IF(F823=0," ",IF(BC823&lt;BB823,(_xlfn.IFS(AW823="SIM",SUM(L823,Q823,V823,AA823,AF823,AK823,AP823,AU823)+AX823/_xlfn.XLOOKUP(_xlfn.XLOOKUP($F823,Clientes!$B$4:$B$39,Clientes!$C$4:$C$39),Cadastros!$L$6:$L$12,Cadastros!$M$6:$M$12)+IF($F823="Bernardino Furlan",AY823/2751.92,IF($F823="Mauro José Salanti",AY823/2751.92,AY823/3356)),F823&lt;&gt;0,SUM(L823,Q823,V823,AA823,AF823,AK823,AP823,AU823)))*(1-0.03),_xlfn.IFS(AW823="SIM",SUM(L823,Q823,V823,AA823,AF823,AK823,AP823,AU823)+AX823/_xlfn.XLOOKUP(_xlfn.XLOOKUP($F823,Clientes!$B$4:$B$39,Clientes!$C$4:$C$39),Cadastros!$L$6:$L$12,Cadastros!$M$6:$M$12)+IF($F823="Bernardino Furlan",AY823/2751.92,IF($F823="Mauro José Salanti",AY823/2751.92,AY823/3356)),F823&lt;&gt;0,SUM(L823,Q823,V823,AA823,AF823,AK823,AP823,AU823))))</f>
        <v xml:space="preserve"> </v>
      </c>
      <c r="BE823" s="120"/>
      <c r="BF823" s="120"/>
      <c r="BG823" s="120"/>
    </row>
    <row r="824" spans="1:59" s="3" customFormat="1" x14ac:dyDescent="0.3">
      <c r="A824" s="15" t="str">
        <f t="shared" si="156"/>
        <v/>
      </c>
      <c r="B824" s="25"/>
      <c r="C824" s="26"/>
      <c r="D824" s="279"/>
      <c r="E824" s="27"/>
      <c r="F824" s="28"/>
      <c r="G824" s="27"/>
      <c r="H824" s="28"/>
      <c r="I824" s="28"/>
      <c r="J824" s="255" t="str">
        <f>IF(H824="","",(_xlfn.XLOOKUP(H824,Cadastros!$D$6:$D$90,Cadastros!$E$6:$E$90))*(1-_xlfn.XLOOKUP(_xlfn.XLOOKUP($F824,Clientes!$B$4:$B$39,Clientes!$C$4:$C$39),Cadastros!$L$6:$L$12,Cadastros!$N$6:$N$12)))</f>
        <v/>
      </c>
      <c r="K824" s="168" t="str">
        <f t="shared" si="157"/>
        <v/>
      </c>
      <c r="L824" s="168" t="str">
        <f>IFERROR(K824/_xlfn.XLOOKUP(_xlfn.XLOOKUP($F824,Clientes!$B$4:$B$39,Clientes!$C$4:$C$39),Cadastros!$L$6:$L$12,Cadastros!$M$6:$M$12)," ")</f>
        <v xml:space="preserve"> </v>
      </c>
      <c r="M824" s="28"/>
      <c r="N824" s="28"/>
      <c r="O824" s="255" t="str">
        <f>IF(M824="","",(_xlfn.XLOOKUP(M824,Cadastros!$D$6:$D$90,Cadastros!$E$6:$E$90))*(1-_xlfn.XLOOKUP(_xlfn.XLOOKUP($F824,Clientes!$B$4:$B$39,Clientes!$C$4:$C$39),Cadastros!$L$6:$L$12,Cadastros!$N$6:$N$12)))</f>
        <v/>
      </c>
      <c r="P824" s="168" t="str">
        <f t="shared" si="158"/>
        <v/>
      </c>
      <c r="Q824" s="168" t="str">
        <f>IFERROR(P824/_xlfn.XLOOKUP(_xlfn.XLOOKUP($F824,Clientes!$B$4:$B$39,Clientes!$C$4:$C$39),Cadastros!$L$6:$L$12,Cadastros!$M$6:$M$12)," ")</f>
        <v xml:space="preserve"> </v>
      </c>
      <c r="R824" s="28"/>
      <c r="S824" s="28"/>
      <c r="T824" s="255" t="str">
        <f>IF(R824="","",(_xlfn.XLOOKUP(R824,Cadastros!$D$6:$D$90,Cadastros!$E$6:$E$90))*(1-_xlfn.XLOOKUP(_xlfn.XLOOKUP($F824,Clientes!$B$4:$B$39,Clientes!$C$4:$C$39),Cadastros!$L$6:$L$12,Cadastros!$N$6:$N$12)))</f>
        <v/>
      </c>
      <c r="U824" s="168" t="str">
        <f t="shared" si="159"/>
        <v/>
      </c>
      <c r="V824" s="168" t="str">
        <f>IFERROR(U824/_xlfn.XLOOKUP(_xlfn.XLOOKUP($F824,Clientes!$B$4:$B$39,Clientes!$C$4:$C$39),Cadastros!$L$6:$L$12,Cadastros!$M$6:$M$12)," ")</f>
        <v xml:space="preserve"> </v>
      </c>
      <c r="W824" s="28"/>
      <c r="X824" s="28"/>
      <c r="Y824" s="255" t="str">
        <f>IF(W824="","",(_xlfn.XLOOKUP(W824,Cadastros!$D$6:$D$90,Cadastros!$E$6:$E$90))*(1-_xlfn.XLOOKUP(_xlfn.XLOOKUP($F824,Clientes!$B$4:$B$39,Clientes!$C$4:$C$39),Cadastros!$L$6:$L$12,Cadastros!$N$6:$N$12)))</f>
        <v/>
      </c>
      <c r="Z824" s="168" t="str">
        <f t="shared" si="160"/>
        <v/>
      </c>
      <c r="AA824" s="168" t="str">
        <f>IFERROR(Z824/_xlfn.XLOOKUP(_xlfn.XLOOKUP($F824,Clientes!$B$4:$B$39,Clientes!$C$4:$C$39),Cadastros!$L$6:$L$12,Cadastros!$M$6:$M$12)," ")</f>
        <v xml:space="preserve"> </v>
      </c>
      <c r="AB824" s="28"/>
      <c r="AC824" s="28"/>
      <c r="AD824" s="20" t="str">
        <f>IF(AB824="","",IF($F824="Bernardino Furlan",_xlfn.XLOOKUP(AB824,Cadastros!$G$6:$G$90,Cadastros!$H$6:$H$90)*(1-0.18),IF($F824="Mauro José Salanti",_xlfn.XLOOKUP(AB824,Cadastros!$G$6:$G$90,Cadastros!$H$6:$H$90)*(1-0.18),_xlfn.XLOOKUP(AB824,Cadastros!$G$6:$G$90,Cadastros!$H$6:$H$90))))</f>
        <v/>
      </c>
      <c r="AE824" s="168" t="str">
        <f t="shared" si="161"/>
        <v/>
      </c>
      <c r="AF824" s="168" t="str">
        <f t="shared" si="162"/>
        <v/>
      </c>
      <c r="AG824" s="28"/>
      <c r="AH824" s="28"/>
      <c r="AI824" s="20" t="str">
        <f>IF(AG824="","",IF($F824="Bernardino Furlan",_xlfn.XLOOKUP(AG824,Cadastros!$G$6:$G$90,Cadastros!$H$6:$H$90)*(1-0.18),IF($F824="Mauro José Salanti",_xlfn.XLOOKUP(AG824,Cadastros!$G$6:$G$90,Cadastros!$H$6:$H$90)*(1-0.18),_xlfn.XLOOKUP(AG824,Cadastros!$G$6:$G$90,Cadastros!$H$6:$H$90))))</f>
        <v/>
      </c>
      <c r="AJ824" s="168" t="str">
        <f t="shared" si="163"/>
        <v/>
      </c>
      <c r="AK824" s="168" t="str">
        <f t="shared" si="164"/>
        <v/>
      </c>
      <c r="AL824" s="28"/>
      <c r="AM824" s="28"/>
      <c r="AN824" s="20" t="str">
        <f>IF(AL824="","",IF($F824="Bernardino Furlan",_xlfn.XLOOKUP(AL824,Cadastros!$G$6:$G$90,Cadastros!$H$6:$H$90)*(1-0.18),IF($F824="Mauro José Salanti",_xlfn.XLOOKUP(AL824,Cadastros!$G$6:$G$90,Cadastros!$H$6:$H$90)*(1-0.18),_xlfn.XLOOKUP(AL824,Cadastros!$G$6:$G$90,Cadastros!$H$6:$H$90))))</f>
        <v/>
      </c>
      <c r="AO824" s="168" t="str">
        <f t="shared" si="165"/>
        <v/>
      </c>
      <c r="AP824" s="168" t="str">
        <f t="shared" si="166"/>
        <v/>
      </c>
      <c r="AQ824" s="28"/>
      <c r="AR824" s="28"/>
      <c r="AS824" s="20" t="str">
        <f>IF(AQ824="","",IF($F824="Bernardino Furlan",_xlfn.XLOOKUP(AQ824,Cadastros!$G$6:$G$90,Cadastros!$H$6:$H$90)*(1-0.18),IF($F824="Mauro José Salanti",_xlfn.XLOOKUP(AQ824,Cadastros!$G$6:$G$90,Cadastros!$H$6:$H$90)*(1-0.18),_xlfn.XLOOKUP(AQ824,Cadastros!$G$6:$G$90,Cadastros!$H$6:$H$90))))</f>
        <v/>
      </c>
      <c r="AT824" s="168" t="str">
        <f t="shared" si="167"/>
        <v/>
      </c>
      <c r="AU824" s="168" t="str">
        <f t="shared" si="168"/>
        <v/>
      </c>
      <c r="AV824" s="227"/>
      <c r="AW824" s="30"/>
      <c r="AX824" s="267"/>
      <c r="AY824" s="267"/>
      <c r="AZ824" s="29"/>
      <c r="BA824" s="30"/>
      <c r="BB824" s="23" t="str" cm="1">
        <f t="array" ref="BB824">_xlfn.IFS(AW824="SIM",SUM(K824,P824,U824,Z824,AE824,AJ824,AO824,AT824,AX824,AY824),F824&lt;&gt;"",SUM(K824,P824,U824,Z824,AE824,AJ824,,AO824,AT824),F824="","")</f>
        <v/>
      </c>
      <c r="BC824" s="211" t="str" cm="1">
        <f t="array" ref="BC824">_xlfn.IFS(E824="","",G824&lt;=E824,BB824*(1-0.03),G824&lt;(E824+8),BB824,AZ824="Boleto",BB824*(1+0.001)^DATEDIF(E824,G824,"D"),AZ824="Cheque",BB824,AZ824="Dinheiro","Alterar forma pgto")</f>
        <v/>
      </c>
      <c r="BD824" s="276" t="str" cm="1">
        <f t="array" ref="BD824">IF(F824=0," ",IF(BC824&lt;BB824,(_xlfn.IFS(AW824="SIM",SUM(L824,Q824,V824,AA824,AF824,AK824,AP824,AU824)+AX824/_xlfn.XLOOKUP(_xlfn.XLOOKUP($F824,Clientes!$B$4:$B$39,Clientes!$C$4:$C$39),Cadastros!$L$6:$L$12,Cadastros!$M$6:$M$12)+IF($F824="Bernardino Furlan",AY824/2751.92,IF($F824="Mauro José Salanti",AY824/2751.92,AY824/3356)),F824&lt;&gt;0,SUM(L824,Q824,V824,AA824,AF824,AK824,AP824,AU824)))*(1-0.03),_xlfn.IFS(AW824="SIM",SUM(L824,Q824,V824,AA824,AF824,AK824,AP824,AU824)+AX824/_xlfn.XLOOKUP(_xlfn.XLOOKUP($F824,Clientes!$B$4:$B$39,Clientes!$C$4:$C$39),Cadastros!$L$6:$L$12,Cadastros!$M$6:$M$12)+IF($F824="Bernardino Furlan",AY824/2751.92,IF($F824="Mauro José Salanti",AY824/2751.92,AY824/3356)),F824&lt;&gt;0,SUM(L824,Q824,V824,AA824,AF824,AK824,AP824,AU824))))</f>
        <v xml:space="preserve"> </v>
      </c>
      <c r="BE824" s="120"/>
      <c r="BF824" s="120"/>
      <c r="BG824" s="120"/>
    </row>
    <row r="825" spans="1:59" s="3" customFormat="1" x14ac:dyDescent="0.3">
      <c r="A825" s="15" t="str">
        <f t="shared" si="156"/>
        <v/>
      </c>
      <c r="B825" s="25"/>
      <c r="C825" s="26"/>
      <c r="D825" s="279"/>
      <c r="E825" s="27"/>
      <c r="F825" s="28"/>
      <c r="G825" s="27"/>
      <c r="H825" s="28"/>
      <c r="I825" s="28"/>
      <c r="J825" s="255" t="str">
        <f>IF(H825="","",(_xlfn.XLOOKUP(H825,Cadastros!$D$6:$D$90,Cadastros!$E$6:$E$90))*(1-_xlfn.XLOOKUP(_xlfn.XLOOKUP($F825,Clientes!$B$4:$B$39,Clientes!$C$4:$C$39),Cadastros!$L$6:$L$12,Cadastros!$N$6:$N$12)))</f>
        <v/>
      </c>
      <c r="K825" s="168" t="str">
        <f t="shared" si="157"/>
        <v/>
      </c>
      <c r="L825" s="168" t="str">
        <f>IFERROR(K825/_xlfn.XLOOKUP(_xlfn.XLOOKUP($F825,Clientes!$B$4:$B$39,Clientes!$C$4:$C$39),Cadastros!$L$6:$L$12,Cadastros!$M$6:$M$12)," ")</f>
        <v xml:space="preserve"> </v>
      </c>
      <c r="M825" s="28"/>
      <c r="N825" s="28"/>
      <c r="O825" s="255" t="str">
        <f>IF(M825="","",(_xlfn.XLOOKUP(M825,Cadastros!$D$6:$D$90,Cadastros!$E$6:$E$90))*(1-_xlfn.XLOOKUP(_xlfn.XLOOKUP($F825,Clientes!$B$4:$B$39,Clientes!$C$4:$C$39),Cadastros!$L$6:$L$12,Cadastros!$N$6:$N$12)))</f>
        <v/>
      </c>
      <c r="P825" s="168" t="str">
        <f t="shared" si="158"/>
        <v/>
      </c>
      <c r="Q825" s="168" t="str">
        <f>IFERROR(P825/_xlfn.XLOOKUP(_xlfn.XLOOKUP($F825,Clientes!$B$4:$B$39,Clientes!$C$4:$C$39),Cadastros!$L$6:$L$12,Cadastros!$M$6:$M$12)," ")</f>
        <v xml:space="preserve"> </v>
      </c>
      <c r="R825" s="28"/>
      <c r="S825" s="28"/>
      <c r="T825" s="255" t="str">
        <f>IF(R825="","",(_xlfn.XLOOKUP(R825,Cadastros!$D$6:$D$90,Cadastros!$E$6:$E$90))*(1-_xlfn.XLOOKUP(_xlfn.XLOOKUP($F825,Clientes!$B$4:$B$39,Clientes!$C$4:$C$39),Cadastros!$L$6:$L$12,Cadastros!$N$6:$N$12)))</f>
        <v/>
      </c>
      <c r="U825" s="168" t="str">
        <f t="shared" si="159"/>
        <v/>
      </c>
      <c r="V825" s="168" t="str">
        <f>IFERROR(U825/_xlfn.XLOOKUP(_xlfn.XLOOKUP($F825,Clientes!$B$4:$B$39,Clientes!$C$4:$C$39),Cadastros!$L$6:$L$12,Cadastros!$M$6:$M$12)," ")</f>
        <v xml:space="preserve"> </v>
      </c>
      <c r="W825" s="28"/>
      <c r="X825" s="28"/>
      <c r="Y825" s="255" t="str">
        <f>IF(W825="","",(_xlfn.XLOOKUP(W825,Cadastros!$D$6:$D$90,Cadastros!$E$6:$E$90))*(1-_xlfn.XLOOKUP(_xlfn.XLOOKUP($F825,Clientes!$B$4:$B$39,Clientes!$C$4:$C$39),Cadastros!$L$6:$L$12,Cadastros!$N$6:$N$12)))</f>
        <v/>
      </c>
      <c r="Z825" s="168" t="str">
        <f t="shared" si="160"/>
        <v/>
      </c>
      <c r="AA825" s="168" t="str">
        <f>IFERROR(Z825/_xlfn.XLOOKUP(_xlfn.XLOOKUP($F825,Clientes!$B$4:$B$39,Clientes!$C$4:$C$39),Cadastros!$L$6:$L$12,Cadastros!$M$6:$M$12)," ")</f>
        <v xml:space="preserve"> </v>
      </c>
      <c r="AB825" s="28"/>
      <c r="AC825" s="28"/>
      <c r="AD825" s="20" t="str">
        <f>IF(AB825="","",IF($F825="Bernardino Furlan",_xlfn.XLOOKUP(AB825,Cadastros!$G$6:$G$90,Cadastros!$H$6:$H$90)*(1-0.18),IF($F825="Mauro José Salanti",_xlfn.XLOOKUP(AB825,Cadastros!$G$6:$G$90,Cadastros!$H$6:$H$90)*(1-0.18),_xlfn.XLOOKUP(AB825,Cadastros!$G$6:$G$90,Cadastros!$H$6:$H$90))))</f>
        <v/>
      </c>
      <c r="AE825" s="168" t="str">
        <f t="shared" si="161"/>
        <v/>
      </c>
      <c r="AF825" s="168" t="str">
        <f t="shared" si="162"/>
        <v/>
      </c>
      <c r="AG825" s="28"/>
      <c r="AH825" s="28"/>
      <c r="AI825" s="20" t="str">
        <f>IF(AG825="","",IF($F825="Bernardino Furlan",_xlfn.XLOOKUP(AG825,Cadastros!$G$6:$G$90,Cadastros!$H$6:$H$90)*(1-0.18),IF($F825="Mauro José Salanti",_xlfn.XLOOKUP(AG825,Cadastros!$G$6:$G$90,Cadastros!$H$6:$H$90)*(1-0.18),_xlfn.XLOOKUP(AG825,Cadastros!$G$6:$G$90,Cadastros!$H$6:$H$90))))</f>
        <v/>
      </c>
      <c r="AJ825" s="168" t="str">
        <f t="shared" si="163"/>
        <v/>
      </c>
      <c r="AK825" s="168" t="str">
        <f t="shared" si="164"/>
        <v/>
      </c>
      <c r="AL825" s="28"/>
      <c r="AM825" s="28"/>
      <c r="AN825" s="20" t="str">
        <f>IF(AL825="","",IF($F825="Bernardino Furlan",_xlfn.XLOOKUP(AL825,Cadastros!$G$6:$G$90,Cadastros!$H$6:$H$90)*(1-0.18),IF($F825="Mauro José Salanti",_xlfn.XLOOKUP(AL825,Cadastros!$G$6:$G$90,Cadastros!$H$6:$H$90)*(1-0.18),_xlfn.XLOOKUP(AL825,Cadastros!$G$6:$G$90,Cadastros!$H$6:$H$90))))</f>
        <v/>
      </c>
      <c r="AO825" s="168" t="str">
        <f t="shared" si="165"/>
        <v/>
      </c>
      <c r="AP825" s="168" t="str">
        <f t="shared" si="166"/>
        <v/>
      </c>
      <c r="AQ825" s="28"/>
      <c r="AR825" s="28"/>
      <c r="AS825" s="20" t="str">
        <f>IF(AQ825="","",IF($F825="Bernardino Furlan",_xlfn.XLOOKUP(AQ825,Cadastros!$G$6:$G$90,Cadastros!$H$6:$H$90)*(1-0.18),IF($F825="Mauro José Salanti",_xlfn.XLOOKUP(AQ825,Cadastros!$G$6:$G$90,Cadastros!$H$6:$H$90)*(1-0.18),_xlfn.XLOOKUP(AQ825,Cadastros!$G$6:$G$90,Cadastros!$H$6:$H$90))))</f>
        <v/>
      </c>
      <c r="AT825" s="168" t="str">
        <f t="shared" si="167"/>
        <v/>
      </c>
      <c r="AU825" s="168" t="str">
        <f t="shared" si="168"/>
        <v/>
      </c>
      <c r="AV825" s="227"/>
      <c r="AW825" s="30"/>
      <c r="AX825" s="267"/>
      <c r="AY825" s="267"/>
      <c r="AZ825" s="29"/>
      <c r="BA825" s="30"/>
      <c r="BB825" s="23" t="str" cm="1">
        <f t="array" ref="BB825">_xlfn.IFS(AW825="SIM",SUM(K825,P825,U825,Z825,AE825,AJ825,AO825,AT825,AX825,AY825),F825&lt;&gt;"",SUM(K825,P825,U825,Z825,AE825,AJ825,,AO825,AT825),F825="","")</f>
        <v/>
      </c>
      <c r="BC825" s="211" t="str" cm="1">
        <f t="array" ref="BC825">_xlfn.IFS(E825="","",G825&lt;=E825,BB825*(1-0.03),G825&lt;(E825+8),BB825,AZ825="Boleto",BB825*(1+0.001)^DATEDIF(E825,G825,"D"),AZ825="Cheque",BB825,AZ825="Dinheiro","Alterar forma pgto")</f>
        <v/>
      </c>
      <c r="BD825" s="276" t="str" cm="1">
        <f t="array" ref="BD825">IF(F825=0," ",IF(BC825&lt;BB825,(_xlfn.IFS(AW825="SIM",SUM(L825,Q825,V825,AA825,AF825,AK825,AP825,AU825)+AX825/_xlfn.XLOOKUP(_xlfn.XLOOKUP($F825,Clientes!$B$4:$B$39,Clientes!$C$4:$C$39),Cadastros!$L$6:$L$12,Cadastros!$M$6:$M$12)+IF($F825="Bernardino Furlan",AY825/2751.92,IF($F825="Mauro José Salanti",AY825/2751.92,AY825/3356)),F825&lt;&gt;0,SUM(L825,Q825,V825,AA825,AF825,AK825,AP825,AU825)))*(1-0.03),_xlfn.IFS(AW825="SIM",SUM(L825,Q825,V825,AA825,AF825,AK825,AP825,AU825)+AX825/_xlfn.XLOOKUP(_xlfn.XLOOKUP($F825,Clientes!$B$4:$B$39,Clientes!$C$4:$C$39),Cadastros!$L$6:$L$12,Cadastros!$M$6:$M$12)+IF($F825="Bernardino Furlan",AY825/2751.92,IF($F825="Mauro José Salanti",AY825/2751.92,AY825/3356)),F825&lt;&gt;0,SUM(L825,Q825,V825,AA825,AF825,AK825,AP825,AU825))))</f>
        <v xml:space="preserve"> </v>
      </c>
      <c r="BE825" s="120"/>
      <c r="BF825" s="120"/>
      <c r="BG825" s="120"/>
    </row>
    <row r="826" spans="1:59" s="3" customFormat="1" x14ac:dyDescent="0.3">
      <c r="A826" s="15" t="str">
        <f t="shared" si="156"/>
        <v/>
      </c>
      <c r="B826" s="25"/>
      <c r="C826" s="26"/>
      <c r="D826" s="279"/>
      <c r="E826" s="27"/>
      <c r="F826" s="28"/>
      <c r="G826" s="27"/>
      <c r="H826" s="28"/>
      <c r="I826" s="28"/>
      <c r="J826" s="255" t="str">
        <f>IF(H826="","",(_xlfn.XLOOKUP(H826,Cadastros!$D$6:$D$90,Cadastros!$E$6:$E$90))*(1-_xlfn.XLOOKUP(_xlfn.XLOOKUP($F826,Clientes!$B$4:$B$39,Clientes!$C$4:$C$39),Cadastros!$L$6:$L$12,Cadastros!$N$6:$N$12)))</f>
        <v/>
      </c>
      <c r="K826" s="168" t="str">
        <f t="shared" si="157"/>
        <v/>
      </c>
      <c r="L826" s="168" t="str">
        <f>IFERROR(K826/_xlfn.XLOOKUP(_xlfn.XLOOKUP($F826,Clientes!$B$4:$B$39,Clientes!$C$4:$C$39),Cadastros!$L$6:$L$12,Cadastros!$M$6:$M$12)," ")</f>
        <v xml:space="preserve"> </v>
      </c>
      <c r="M826" s="28"/>
      <c r="N826" s="28"/>
      <c r="O826" s="255" t="str">
        <f>IF(M826="","",(_xlfn.XLOOKUP(M826,Cadastros!$D$6:$D$90,Cadastros!$E$6:$E$90))*(1-_xlfn.XLOOKUP(_xlfn.XLOOKUP($F826,Clientes!$B$4:$B$39,Clientes!$C$4:$C$39),Cadastros!$L$6:$L$12,Cadastros!$N$6:$N$12)))</f>
        <v/>
      </c>
      <c r="P826" s="168" t="str">
        <f t="shared" si="158"/>
        <v/>
      </c>
      <c r="Q826" s="168" t="str">
        <f>IFERROR(P826/_xlfn.XLOOKUP(_xlfn.XLOOKUP($F826,Clientes!$B$4:$B$39,Clientes!$C$4:$C$39),Cadastros!$L$6:$L$12,Cadastros!$M$6:$M$12)," ")</f>
        <v xml:space="preserve"> </v>
      </c>
      <c r="R826" s="28"/>
      <c r="S826" s="28"/>
      <c r="T826" s="255" t="str">
        <f>IF(R826="","",(_xlfn.XLOOKUP(R826,Cadastros!$D$6:$D$90,Cadastros!$E$6:$E$90))*(1-_xlfn.XLOOKUP(_xlfn.XLOOKUP($F826,Clientes!$B$4:$B$39,Clientes!$C$4:$C$39),Cadastros!$L$6:$L$12,Cadastros!$N$6:$N$12)))</f>
        <v/>
      </c>
      <c r="U826" s="168" t="str">
        <f t="shared" si="159"/>
        <v/>
      </c>
      <c r="V826" s="168" t="str">
        <f>IFERROR(U826/_xlfn.XLOOKUP(_xlfn.XLOOKUP($F826,Clientes!$B$4:$B$39,Clientes!$C$4:$C$39),Cadastros!$L$6:$L$12,Cadastros!$M$6:$M$12)," ")</f>
        <v xml:space="preserve"> </v>
      </c>
      <c r="W826" s="28"/>
      <c r="X826" s="28"/>
      <c r="Y826" s="255" t="str">
        <f>IF(W826="","",(_xlfn.XLOOKUP(W826,Cadastros!$D$6:$D$90,Cadastros!$E$6:$E$90))*(1-_xlfn.XLOOKUP(_xlfn.XLOOKUP($F826,Clientes!$B$4:$B$39,Clientes!$C$4:$C$39),Cadastros!$L$6:$L$12,Cadastros!$N$6:$N$12)))</f>
        <v/>
      </c>
      <c r="Z826" s="168" t="str">
        <f t="shared" si="160"/>
        <v/>
      </c>
      <c r="AA826" s="168" t="str">
        <f>IFERROR(Z826/_xlfn.XLOOKUP(_xlfn.XLOOKUP($F826,Clientes!$B$4:$B$39,Clientes!$C$4:$C$39),Cadastros!$L$6:$L$12,Cadastros!$M$6:$M$12)," ")</f>
        <v xml:space="preserve"> </v>
      </c>
      <c r="AB826" s="28"/>
      <c r="AC826" s="28"/>
      <c r="AD826" s="20" t="str">
        <f>IF(AB826="","",IF($F826="Bernardino Furlan",_xlfn.XLOOKUP(AB826,Cadastros!$G$6:$G$90,Cadastros!$H$6:$H$90)*(1-0.18),IF($F826="Mauro José Salanti",_xlfn.XLOOKUP(AB826,Cadastros!$G$6:$G$90,Cadastros!$H$6:$H$90)*(1-0.18),_xlfn.XLOOKUP(AB826,Cadastros!$G$6:$G$90,Cadastros!$H$6:$H$90))))</f>
        <v/>
      </c>
      <c r="AE826" s="168" t="str">
        <f t="shared" si="161"/>
        <v/>
      </c>
      <c r="AF826" s="168" t="str">
        <f t="shared" si="162"/>
        <v/>
      </c>
      <c r="AG826" s="28"/>
      <c r="AH826" s="28"/>
      <c r="AI826" s="20" t="str">
        <f>IF(AG826="","",IF($F826="Bernardino Furlan",_xlfn.XLOOKUP(AG826,Cadastros!$G$6:$G$90,Cadastros!$H$6:$H$90)*(1-0.18),IF($F826="Mauro José Salanti",_xlfn.XLOOKUP(AG826,Cadastros!$G$6:$G$90,Cadastros!$H$6:$H$90)*(1-0.18),_xlfn.XLOOKUP(AG826,Cadastros!$G$6:$G$90,Cadastros!$H$6:$H$90))))</f>
        <v/>
      </c>
      <c r="AJ826" s="168" t="str">
        <f t="shared" si="163"/>
        <v/>
      </c>
      <c r="AK826" s="168" t="str">
        <f t="shared" si="164"/>
        <v/>
      </c>
      <c r="AL826" s="28"/>
      <c r="AM826" s="28"/>
      <c r="AN826" s="20" t="str">
        <f>IF(AL826="","",IF($F826="Bernardino Furlan",_xlfn.XLOOKUP(AL826,Cadastros!$G$6:$G$90,Cadastros!$H$6:$H$90)*(1-0.18),IF($F826="Mauro José Salanti",_xlfn.XLOOKUP(AL826,Cadastros!$G$6:$G$90,Cadastros!$H$6:$H$90)*(1-0.18),_xlfn.XLOOKUP(AL826,Cadastros!$G$6:$G$90,Cadastros!$H$6:$H$90))))</f>
        <v/>
      </c>
      <c r="AO826" s="168" t="str">
        <f t="shared" si="165"/>
        <v/>
      </c>
      <c r="AP826" s="168" t="str">
        <f t="shared" si="166"/>
        <v/>
      </c>
      <c r="AQ826" s="28"/>
      <c r="AR826" s="28"/>
      <c r="AS826" s="20" t="str">
        <f>IF(AQ826="","",IF($F826="Bernardino Furlan",_xlfn.XLOOKUP(AQ826,Cadastros!$G$6:$G$90,Cadastros!$H$6:$H$90)*(1-0.18),IF($F826="Mauro José Salanti",_xlfn.XLOOKUP(AQ826,Cadastros!$G$6:$G$90,Cadastros!$H$6:$H$90)*(1-0.18),_xlfn.XLOOKUP(AQ826,Cadastros!$G$6:$G$90,Cadastros!$H$6:$H$90))))</f>
        <v/>
      </c>
      <c r="AT826" s="168" t="str">
        <f t="shared" si="167"/>
        <v/>
      </c>
      <c r="AU826" s="168" t="str">
        <f t="shared" si="168"/>
        <v/>
      </c>
      <c r="AV826" s="227"/>
      <c r="AW826" s="30"/>
      <c r="AX826" s="267"/>
      <c r="AY826" s="267"/>
      <c r="AZ826" s="29"/>
      <c r="BA826" s="30"/>
      <c r="BB826" s="23" t="str" cm="1">
        <f t="array" ref="BB826">_xlfn.IFS(AW826="SIM",SUM(K826,P826,U826,Z826,AE826,AJ826,AO826,AT826,AX826,AY826),F826&lt;&gt;"",SUM(K826,P826,U826,Z826,AE826,AJ826,,AO826,AT826),F826="","")</f>
        <v/>
      </c>
      <c r="BC826" s="211" t="str" cm="1">
        <f t="array" ref="BC826">_xlfn.IFS(E826="","",G826&lt;=E826,BB826*(1-0.03),G826&lt;(E826+8),BB826,AZ826="Boleto",BB826*(1+0.001)^DATEDIF(E826,G826,"D"),AZ826="Cheque",BB826,AZ826="Dinheiro","Alterar forma pgto")</f>
        <v/>
      </c>
      <c r="BD826" s="276" t="str" cm="1">
        <f t="array" ref="BD826">IF(F826=0," ",IF(BC826&lt;BB826,(_xlfn.IFS(AW826="SIM",SUM(L826,Q826,V826,AA826,AF826,AK826,AP826,AU826)+AX826/_xlfn.XLOOKUP(_xlfn.XLOOKUP($F826,Clientes!$B$4:$B$39,Clientes!$C$4:$C$39),Cadastros!$L$6:$L$12,Cadastros!$M$6:$M$12)+IF($F826="Bernardino Furlan",AY826/2751.92,IF($F826="Mauro José Salanti",AY826/2751.92,AY826/3356)),F826&lt;&gt;0,SUM(L826,Q826,V826,AA826,AF826,AK826,AP826,AU826)))*(1-0.03),_xlfn.IFS(AW826="SIM",SUM(L826,Q826,V826,AA826,AF826,AK826,AP826,AU826)+AX826/_xlfn.XLOOKUP(_xlfn.XLOOKUP($F826,Clientes!$B$4:$B$39,Clientes!$C$4:$C$39),Cadastros!$L$6:$L$12,Cadastros!$M$6:$M$12)+IF($F826="Bernardino Furlan",AY826/2751.92,IF($F826="Mauro José Salanti",AY826/2751.92,AY826/3356)),F826&lt;&gt;0,SUM(L826,Q826,V826,AA826,AF826,AK826,AP826,AU826))))</f>
        <v xml:space="preserve"> </v>
      </c>
      <c r="BE826" s="120"/>
      <c r="BF826" s="120"/>
      <c r="BG826" s="120"/>
    </row>
    <row r="827" spans="1:59" s="3" customFormat="1" x14ac:dyDescent="0.3">
      <c r="A827" s="15" t="str">
        <f t="shared" si="156"/>
        <v/>
      </c>
      <c r="B827" s="25"/>
      <c r="C827" s="26"/>
      <c r="D827" s="279"/>
      <c r="E827" s="27"/>
      <c r="F827" s="28"/>
      <c r="G827" s="27"/>
      <c r="H827" s="28"/>
      <c r="I827" s="28"/>
      <c r="J827" s="255" t="str">
        <f>IF(H827="","",(_xlfn.XLOOKUP(H827,Cadastros!$D$6:$D$90,Cadastros!$E$6:$E$90))*(1-_xlfn.XLOOKUP(_xlfn.XLOOKUP($F827,Clientes!$B$4:$B$39,Clientes!$C$4:$C$39),Cadastros!$L$6:$L$12,Cadastros!$N$6:$N$12)))</f>
        <v/>
      </c>
      <c r="K827" s="168" t="str">
        <f t="shared" si="157"/>
        <v/>
      </c>
      <c r="L827" s="168" t="str">
        <f>IFERROR(K827/_xlfn.XLOOKUP(_xlfn.XLOOKUP($F827,Clientes!$B$4:$B$39,Clientes!$C$4:$C$39),Cadastros!$L$6:$L$12,Cadastros!$M$6:$M$12)," ")</f>
        <v xml:space="preserve"> </v>
      </c>
      <c r="M827" s="28"/>
      <c r="N827" s="28"/>
      <c r="O827" s="255" t="str">
        <f>IF(M827="","",(_xlfn.XLOOKUP(M827,Cadastros!$D$6:$D$90,Cadastros!$E$6:$E$90))*(1-_xlfn.XLOOKUP(_xlfn.XLOOKUP($F827,Clientes!$B$4:$B$39,Clientes!$C$4:$C$39),Cadastros!$L$6:$L$12,Cadastros!$N$6:$N$12)))</f>
        <v/>
      </c>
      <c r="P827" s="168" t="str">
        <f t="shared" si="158"/>
        <v/>
      </c>
      <c r="Q827" s="168" t="str">
        <f>IFERROR(P827/_xlfn.XLOOKUP(_xlfn.XLOOKUP($F827,Clientes!$B$4:$B$39,Clientes!$C$4:$C$39),Cadastros!$L$6:$L$12,Cadastros!$M$6:$M$12)," ")</f>
        <v xml:space="preserve"> </v>
      </c>
      <c r="R827" s="28"/>
      <c r="S827" s="28"/>
      <c r="T827" s="255" t="str">
        <f>IF(R827="","",(_xlfn.XLOOKUP(R827,Cadastros!$D$6:$D$90,Cadastros!$E$6:$E$90))*(1-_xlfn.XLOOKUP(_xlfn.XLOOKUP($F827,Clientes!$B$4:$B$39,Clientes!$C$4:$C$39),Cadastros!$L$6:$L$12,Cadastros!$N$6:$N$12)))</f>
        <v/>
      </c>
      <c r="U827" s="168" t="str">
        <f t="shared" si="159"/>
        <v/>
      </c>
      <c r="V827" s="168" t="str">
        <f>IFERROR(U827/_xlfn.XLOOKUP(_xlfn.XLOOKUP($F827,Clientes!$B$4:$B$39,Clientes!$C$4:$C$39),Cadastros!$L$6:$L$12,Cadastros!$M$6:$M$12)," ")</f>
        <v xml:space="preserve"> </v>
      </c>
      <c r="W827" s="28"/>
      <c r="X827" s="28"/>
      <c r="Y827" s="255" t="str">
        <f>IF(W827="","",(_xlfn.XLOOKUP(W827,Cadastros!$D$6:$D$90,Cadastros!$E$6:$E$90))*(1-_xlfn.XLOOKUP(_xlfn.XLOOKUP($F827,Clientes!$B$4:$B$39,Clientes!$C$4:$C$39),Cadastros!$L$6:$L$12,Cadastros!$N$6:$N$12)))</f>
        <v/>
      </c>
      <c r="Z827" s="168" t="str">
        <f t="shared" si="160"/>
        <v/>
      </c>
      <c r="AA827" s="168" t="str">
        <f>IFERROR(Z827/_xlfn.XLOOKUP(_xlfn.XLOOKUP($F827,Clientes!$B$4:$B$39,Clientes!$C$4:$C$39),Cadastros!$L$6:$L$12,Cadastros!$M$6:$M$12)," ")</f>
        <v xml:space="preserve"> </v>
      </c>
      <c r="AB827" s="28"/>
      <c r="AC827" s="28"/>
      <c r="AD827" s="20" t="str">
        <f>IF(AB827="","",IF($F827="Bernardino Furlan",_xlfn.XLOOKUP(AB827,Cadastros!$G$6:$G$90,Cadastros!$H$6:$H$90)*(1-0.18),IF($F827="Mauro José Salanti",_xlfn.XLOOKUP(AB827,Cadastros!$G$6:$G$90,Cadastros!$H$6:$H$90)*(1-0.18),_xlfn.XLOOKUP(AB827,Cadastros!$G$6:$G$90,Cadastros!$H$6:$H$90))))</f>
        <v/>
      </c>
      <c r="AE827" s="168" t="str">
        <f t="shared" si="161"/>
        <v/>
      </c>
      <c r="AF827" s="168" t="str">
        <f t="shared" si="162"/>
        <v/>
      </c>
      <c r="AG827" s="28"/>
      <c r="AH827" s="28"/>
      <c r="AI827" s="20" t="str">
        <f>IF(AG827="","",IF($F827="Bernardino Furlan",_xlfn.XLOOKUP(AG827,Cadastros!$G$6:$G$90,Cadastros!$H$6:$H$90)*(1-0.18),IF($F827="Mauro José Salanti",_xlfn.XLOOKUP(AG827,Cadastros!$G$6:$G$90,Cadastros!$H$6:$H$90)*(1-0.18),_xlfn.XLOOKUP(AG827,Cadastros!$G$6:$G$90,Cadastros!$H$6:$H$90))))</f>
        <v/>
      </c>
      <c r="AJ827" s="168" t="str">
        <f t="shared" si="163"/>
        <v/>
      </c>
      <c r="AK827" s="168" t="str">
        <f t="shared" si="164"/>
        <v/>
      </c>
      <c r="AL827" s="28"/>
      <c r="AM827" s="28"/>
      <c r="AN827" s="20" t="str">
        <f>IF(AL827="","",IF($F827="Bernardino Furlan",_xlfn.XLOOKUP(AL827,Cadastros!$G$6:$G$90,Cadastros!$H$6:$H$90)*(1-0.18),IF($F827="Mauro José Salanti",_xlfn.XLOOKUP(AL827,Cadastros!$G$6:$G$90,Cadastros!$H$6:$H$90)*(1-0.18),_xlfn.XLOOKUP(AL827,Cadastros!$G$6:$G$90,Cadastros!$H$6:$H$90))))</f>
        <v/>
      </c>
      <c r="AO827" s="168" t="str">
        <f t="shared" si="165"/>
        <v/>
      </c>
      <c r="AP827" s="168" t="str">
        <f t="shared" si="166"/>
        <v/>
      </c>
      <c r="AQ827" s="28"/>
      <c r="AR827" s="28"/>
      <c r="AS827" s="20" t="str">
        <f>IF(AQ827="","",IF($F827="Bernardino Furlan",_xlfn.XLOOKUP(AQ827,Cadastros!$G$6:$G$90,Cadastros!$H$6:$H$90)*(1-0.18),IF($F827="Mauro José Salanti",_xlfn.XLOOKUP(AQ827,Cadastros!$G$6:$G$90,Cadastros!$H$6:$H$90)*(1-0.18),_xlfn.XLOOKUP(AQ827,Cadastros!$G$6:$G$90,Cadastros!$H$6:$H$90))))</f>
        <v/>
      </c>
      <c r="AT827" s="168" t="str">
        <f t="shared" si="167"/>
        <v/>
      </c>
      <c r="AU827" s="168" t="str">
        <f t="shared" si="168"/>
        <v/>
      </c>
      <c r="AV827" s="227"/>
      <c r="AW827" s="30"/>
      <c r="AX827" s="267"/>
      <c r="AY827" s="267"/>
      <c r="AZ827" s="29"/>
      <c r="BA827" s="30"/>
      <c r="BB827" s="23" t="str" cm="1">
        <f t="array" ref="BB827">_xlfn.IFS(AW827="SIM",SUM(K827,P827,U827,Z827,AE827,AJ827,AO827,AT827,AX827,AY827),F827&lt;&gt;"",SUM(K827,P827,U827,Z827,AE827,AJ827,,AO827,AT827),F827="","")</f>
        <v/>
      </c>
      <c r="BC827" s="211" t="str" cm="1">
        <f t="array" ref="BC827">_xlfn.IFS(E827="","",G827&lt;=E827,BB827*(1-0.03),G827&lt;(E827+8),BB827,AZ827="Boleto",BB827*(1+0.001)^DATEDIF(E827,G827,"D"),AZ827="Cheque",BB827,AZ827="Dinheiro","Alterar forma pgto")</f>
        <v/>
      </c>
      <c r="BD827" s="276" t="str" cm="1">
        <f t="array" ref="BD827">IF(F827=0," ",IF(BC827&lt;BB827,(_xlfn.IFS(AW827="SIM",SUM(L827,Q827,V827,AA827,AF827,AK827,AP827,AU827)+AX827/_xlfn.XLOOKUP(_xlfn.XLOOKUP($F827,Clientes!$B$4:$B$39,Clientes!$C$4:$C$39),Cadastros!$L$6:$L$12,Cadastros!$M$6:$M$12)+IF($F827="Bernardino Furlan",AY827/2751.92,IF($F827="Mauro José Salanti",AY827/2751.92,AY827/3356)),F827&lt;&gt;0,SUM(L827,Q827,V827,AA827,AF827,AK827,AP827,AU827)))*(1-0.03),_xlfn.IFS(AW827="SIM",SUM(L827,Q827,V827,AA827,AF827,AK827,AP827,AU827)+AX827/_xlfn.XLOOKUP(_xlfn.XLOOKUP($F827,Clientes!$B$4:$B$39,Clientes!$C$4:$C$39),Cadastros!$L$6:$L$12,Cadastros!$M$6:$M$12)+IF($F827="Bernardino Furlan",AY827/2751.92,IF($F827="Mauro José Salanti",AY827/2751.92,AY827/3356)),F827&lt;&gt;0,SUM(L827,Q827,V827,AA827,AF827,AK827,AP827,AU827))))</f>
        <v xml:space="preserve"> </v>
      </c>
      <c r="BE827" s="120"/>
      <c r="BF827" s="120"/>
      <c r="BG827" s="120"/>
    </row>
    <row r="828" spans="1:59" s="3" customFormat="1" x14ac:dyDescent="0.3">
      <c r="A828" s="15" t="str">
        <f t="shared" si="156"/>
        <v/>
      </c>
      <c r="B828" s="25"/>
      <c r="C828" s="26"/>
      <c r="D828" s="279"/>
      <c r="E828" s="27"/>
      <c r="F828" s="28"/>
      <c r="G828" s="27"/>
      <c r="H828" s="28"/>
      <c r="I828" s="28"/>
      <c r="J828" s="255" t="str">
        <f>IF(H828="","",(_xlfn.XLOOKUP(H828,Cadastros!$D$6:$D$90,Cadastros!$E$6:$E$90))*(1-_xlfn.XLOOKUP(_xlfn.XLOOKUP($F828,Clientes!$B$4:$B$39,Clientes!$C$4:$C$39),Cadastros!$L$6:$L$12,Cadastros!$N$6:$N$12)))</f>
        <v/>
      </c>
      <c r="K828" s="168" t="str">
        <f t="shared" si="157"/>
        <v/>
      </c>
      <c r="L828" s="168" t="str">
        <f>IFERROR(K828/_xlfn.XLOOKUP(_xlfn.XLOOKUP($F828,Clientes!$B$4:$B$39,Clientes!$C$4:$C$39),Cadastros!$L$6:$L$12,Cadastros!$M$6:$M$12)," ")</f>
        <v xml:space="preserve"> </v>
      </c>
      <c r="M828" s="28"/>
      <c r="N828" s="28"/>
      <c r="O828" s="255" t="str">
        <f>IF(M828="","",(_xlfn.XLOOKUP(M828,Cadastros!$D$6:$D$90,Cadastros!$E$6:$E$90))*(1-_xlfn.XLOOKUP(_xlfn.XLOOKUP($F828,Clientes!$B$4:$B$39,Clientes!$C$4:$C$39),Cadastros!$L$6:$L$12,Cadastros!$N$6:$N$12)))</f>
        <v/>
      </c>
      <c r="P828" s="168" t="str">
        <f t="shared" si="158"/>
        <v/>
      </c>
      <c r="Q828" s="168" t="str">
        <f>IFERROR(P828/_xlfn.XLOOKUP(_xlfn.XLOOKUP($F828,Clientes!$B$4:$B$39,Clientes!$C$4:$C$39),Cadastros!$L$6:$L$12,Cadastros!$M$6:$M$12)," ")</f>
        <v xml:space="preserve"> </v>
      </c>
      <c r="R828" s="28"/>
      <c r="S828" s="28"/>
      <c r="T828" s="255" t="str">
        <f>IF(R828="","",(_xlfn.XLOOKUP(R828,Cadastros!$D$6:$D$90,Cadastros!$E$6:$E$90))*(1-_xlfn.XLOOKUP(_xlfn.XLOOKUP($F828,Clientes!$B$4:$B$39,Clientes!$C$4:$C$39),Cadastros!$L$6:$L$12,Cadastros!$N$6:$N$12)))</f>
        <v/>
      </c>
      <c r="U828" s="168" t="str">
        <f t="shared" si="159"/>
        <v/>
      </c>
      <c r="V828" s="168" t="str">
        <f>IFERROR(U828/_xlfn.XLOOKUP(_xlfn.XLOOKUP($F828,Clientes!$B$4:$B$39,Clientes!$C$4:$C$39),Cadastros!$L$6:$L$12,Cadastros!$M$6:$M$12)," ")</f>
        <v xml:space="preserve"> </v>
      </c>
      <c r="W828" s="28"/>
      <c r="X828" s="28"/>
      <c r="Y828" s="255" t="str">
        <f>IF(W828="","",(_xlfn.XLOOKUP(W828,Cadastros!$D$6:$D$90,Cadastros!$E$6:$E$90))*(1-_xlfn.XLOOKUP(_xlfn.XLOOKUP($F828,Clientes!$B$4:$B$39,Clientes!$C$4:$C$39),Cadastros!$L$6:$L$12,Cadastros!$N$6:$N$12)))</f>
        <v/>
      </c>
      <c r="Z828" s="168" t="str">
        <f t="shared" si="160"/>
        <v/>
      </c>
      <c r="AA828" s="168" t="str">
        <f>IFERROR(Z828/_xlfn.XLOOKUP(_xlfn.XLOOKUP($F828,Clientes!$B$4:$B$39,Clientes!$C$4:$C$39),Cadastros!$L$6:$L$12,Cadastros!$M$6:$M$12)," ")</f>
        <v xml:space="preserve"> </v>
      </c>
      <c r="AB828" s="28"/>
      <c r="AC828" s="28"/>
      <c r="AD828" s="20" t="str">
        <f>IF(AB828="","",IF($F828="Bernardino Furlan",_xlfn.XLOOKUP(AB828,Cadastros!$G$6:$G$90,Cadastros!$H$6:$H$90)*(1-0.18),IF($F828="Mauro José Salanti",_xlfn.XLOOKUP(AB828,Cadastros!$G$6:$G$90,Cadastros!$H$6:$H$90)*(1-0.18),_xlfn.XLOOKUP(AB828,Cadastros!$G$6:$G$90,Cadastros!$H$6:$H$90))))</f>
        <v/>
      </c>
      <c r="AE828" s="168" t="str">
        <f t="shared" si="161"/>
        <v/>
      </c>
      <c r="AF828" s="168" t="str">
        <f t="shared" si="162"/>
        <v/>
      </c>
      <c r="AG828" s="28"/>
      <c r="AH828" s="28"/>
      <c r="AI828" s="20" t="str">
        <f>IF(AG828="","",IF($F828="Bernardino Furlan",_xlfn.XLOOKUP(AG828,Cadastros!$G$6:$G$90,Cadastros!$H$6:$H$90)*(1-0.18),IF($F828="Mauro José Salanti",_xlfn.XLOOKUP(AG828,Cadastros!$G$6:$G$90,Cadastros!$H$6:$H$90)*(1-0.18),_xlfn.XLOOKUP(AG828,Cadastros!$G$6:$G$90,Cadastros!$H$6:$H$90))))</f>
        <v/>
      </c>
      <c r="AJ828" s="168" t="str">
        <f t="shared" si="163"/>
        <v/>
      </c>
      <c r="AK828" s="168" t="str">
        <f t="shared" si="164"/>
        <v/>
      </c>
      <c r="AL828" s="28"/>
      <c r="AM828" s="28"/>
      <c r="AN828" s="20" t="str">
        <f>IF(AL828="","",IF($F828="Bernardino Furlan",_xlfn.XLOOKUP(AL828,Cadastros!$G$6:$G$90,Cadastros!$H$6:$H$90)*(1-0.18),IF($F828="Mauro José Salanti",_xlfn.XLOOKUP(AL828,Cadastros!$G$6:$G$90,Cadastros!$H$6:$H$90)*(1-0.18),_xlfn.XLOOKUP(AL828,Cadastros!$G$6:$G$90,Cadastros!$H$6:$H$90))))</f>
        <v/>
      </c>
      <c r="AO828" s="168" t="str">
        <f t="shared" si="165"/>
        <v/>
      </c>
      <c r="AP828" s="168" t="str">
        <f t="shared" si="166"/>
        <v/>
      </c>
      <c r="AQ828" s="28"/>
      <c r="AR828" s="28"/>
      <c r="AS828" s="20" t="str">
        <f>IF(AQ828="","",IF($F828="Bernardino Furlan",_xlfn.XLOOKUP(AQ828,Cadastros!$G$6:$G$90,Cadastros!$H$6:$H$90)*(1-0.18),IF($F828="Mauro José Salanti",_xlfn.XLOOKUP(AQ828,Cadastros!$G$6:$G$90,Cadastros!$H$6:$H$90)*(1-0.18),_xlfn.XLOOKUP(AQ828,Cadastros!$G$6:$G$90,Cadastros!$H$6:$H$90))))</f>
        <v/>
      </c>
      <c r="AT828" s="168" t="str">
        <f t="shared" si="167"/>
        <v/>
      </c>
      <c r="AU828" s="168" t="str">
        <f t="shared" si="168"/>
        <v/>
      </c>
      <c r="AV828" s="227"/>
      <c r="AW828" s="30"/>
      <c r="AX828" s="267"/>
      <c r="AY828" s="267"/>
      <c r="AZ828" s="29"/>
      <c r="BA828" s="30"/>
      <c r="BB828" s="23" t="str" cm="1">
        <f t="array" ref="BB828">_xlfn.IFS(AW828="SIM",SUM(K828,P828,U828,Z828,AE828,AJ828,AO828,AT828,AX828,AY828),F828&lt;&gt;"",SUM(K828,P828,U828,Z828,AE828,AJ828,,AO828,AT828),F828="","")</f>
        <v/>
      </c>
      <c r="BC828" s="211" t="str" cm="1">
        <f t="array" ref="BC828">_xlfn.IFS(E828="","",G828&lt;=E828,BB828*(1-0.03),G828&lt;(E828+8),BB828,AZ828="Boleto",BB828*(1+0.001)^DATEDIF(E828,G828,"D"),AZ828="Cheque",BB828,AZ828="Dinheiro","Alterar forma pgto")</f>
        <v/>
      </c>
      <c r="BD828" s="276" t="str" cm="1">
        <f t="array" ref="BD828">IF(F828=0," ",IF(BC828&lt;BB828,(_xlfn.IFS(AW828="SIM",SUM(L828,Q828,V828,AA828,AF828,AK828,AP828,AU828)+AX828/_xlfn.XLOOKUP(_xlfn.XLOOKUP($F828,Clientes!$B$4:$B$39,Clientes!$C$4:$C$39),Cadastros!$L$6:$L$12,Cadastros!$M$6:$M$12)+IF($F828="Bernardino Furlan",AY828/2751.92,IF($F828="Mauro José Salanti",AY828/2751.92,AY828/3356)),F828&lt;&gt;0,SUM(L828,Q828,V828,AA828,AF828,AK828,AP828,AU828)))*(1-0.03),_xlfn.IFS(AW828="SIM",SUM(L828,Q828,V828,AA828,AF828,AK828,AP828,AU828)+AX828/_xlfn.XLOOKUP(_xlfn.XLOOKUP($F828,Clientes!$B$4:$B$39,Clientes!$C$4:$C$39),Cadastros!$L$6:$L$12,Cadastros!$M$6:$M$12)+IF($F828="Bernardino Furlan",AY828/2751.92,IF($F828="Mauro José Salanti",AY828/2751.92,AY828/3356)),F828&lt;&gt;0,SUM(L828,Q828,V828,AA828,AF828,AK828,AP828,AU828))))</f>
        <v xml:space="preserve"> </v>
      </c>
      <c r="BE828" s="120"/>
      <c r="BF828" s="120"/>
      <c r="BG828" s="120"/>
    </row>
    <row r="829" spans="1:59" s="3" customFormat="1" x14ac:dyDescent="0.3">
      <c r="A829" s="15" t="str">
        <f t="shared" si="156"/>
        <v/>
      </c>
      <c r="B829" s="25"/>
      <c r="C829" s="26"/>
      <c r="D829" s="279"/>
      <c r="E829" s="27"/>
      <c r="F829" s="28"/>
      <c r="G829" s="27"/>
      <c r="H829" s="28"/>
      <c r="I829" s="28"/>
      <c r="J829" s="255" t="str">
        <f>IF(H829="","",(_xlfn.XLOOKUP(H829,Cadastros!$D$6:$D$90,Cadastros!$E$6:$E$90))*(1-_xlfn.XLOOKUP(_xlfn.XLOOKUP($F829,Clientes!$B$4:$B$39,Clientes!$C$4:$C$39),Cadastros!$L$6:$L$12,Cadastros!$N$6:$N$12)))</f>
        <v/>
      </c>
      <c r="K829" s="168" t="str">
        <f t="shared" si="157"/>
        <v/>
      </c>
      <c r="L829" s="168" t="str">
        <f>IFERROR(K829/_xlfn.XLOOKUP(_xlfn.XLOOKUP($F829,Clientes!$B$4:$B$39,Clientes!$C$4:$C$39),Cadastros!$L$6:$L$12,Cadastros!$M$6:$M$12)," ")</f>
        <v xml:space="preserve"> </v>
      </c>
      <c r="M829" s="28"/>
      <c r="N829" s="28"/>
      <c r="O829" s="255" t="str">
        <f>IF(M829="","",(_xlfn.XLOOKUP(M829,Cadastros!$D$6:$D$90,Cadastros!$E$6:$E$90))*(1-_xlfn.XLOOKUP(_xlfn.XLOOKUP($F829,Clientes!$B$4:$B$39,Clientes!$C$4:$C$39),Cadastros!$L$6:$L$12,Cadastros!$N$6:$N$12)))</f>
        <v/>
      </c>
      <c r="P829" s="168" t="str">
        <f t="shared" si="158"/>
        <v/>
      </c>
      <c r="Q829" s="168" t="str">
        <f>IFERROR(P829/_xlfn.XLOOKUP(_xlfn.XLOOKUP($F829,Clientes!$B$4:$B$39,Clientes!$C$4:$C$39),Cadastros!$L$6:$L$12,Cadastros!$M$6:$M$12)," ")</f>
        <v xml:space="preserve"> </v>
      </c>
      <c r="R829" s="28"/>
      <c r="S829" s="28"/>
      <c r="T829" s="255" t="str">
        <f>IF(R829="","",(_xlfn.XLOOKUP(R829,Cadastros!$D$6:$D$90,Cadastros!$E$6:$E$90))*(1-_xlfn.XLOOKUP(_xlfn.XLOOKUP($F829,Clientes!$B$4:$B$39,Clientes!$C$4:$C$39),Cadastros!$L$6:$L$12,Cadastros!$N$6:$N$12)))</f>
        <v/>
      </c>
      <c r="U829" s="168" t="str">
        <f t="shared" si="159"/>
        <v/>
      </c>
      <c r="V829" s="168" t="str">
        <f>IFERROR(U829/_xlfn.XLOOKUP(_xlfn.XLOOKUP($F829,Clientes!$B$4:$B$39,Clientes!$C$4:$C$39),Cadastros!$L$6:$L$12,Cadastros!$M$6:$M$12)," ")</f>
        <v xml:space="preserve"> </v>
      </c>
      <c r="W829" s="28"/>
      <c r="X829" s="28"/>
      <c r="Y829" s="255" t="str">
        <f>IF(W829="","",(_xlfn.XLOOKUP(W829,Cadastros!$D$6:$D$90,Cadastros!$E$6:$E$90))*(1-_xlfn.XLOOKUP(_xlfn.XLOOKUP($F829,Clientes!$B$4:$B$39,Clientes!$C$4:$C$39),Cadastros!$L$6:$L$12,Cadastros!$N$6:$N$12)))</f>
        <v/>
      </c>
      <c r="Z829" s="168" t="str">
        <f t="shared" si="160"/>
        <v/>
      </c>
      <c r="AA829" s="168" t="str">
        <f>IFERROR(Z829/_xlfn.XLOOKUP(_xlfn.XLOOKUP($F829,Clientes!$B$4:$B$39,Clientes!$C$4:$C$39),Cadastros!$L$6:$L$12,Cadastros!$M$6:$M$12)," ")</f>
        <v xml:space="preserve"> </v>
      </c>
      <c r="AB829" s="28"/>
      <c r="AC829" s="28"/>
      <c r="AD829" s="20" t="str">
        <f>IF(AB829="","",IF($F829="Bernardino Furlan",_xlfn.XLOOKUP(AB829,Cadastros!$G$6:$G$90,Cadastros!$H$6:$H$90)*(1-0.18),IF($F829="Mauro José Salanti",_xlfn.XLOOKUP(AB829,Cadastros!$G$6:$G$90,Cadastros!$H$6:$H$90)*(1-0.18),_xlfn.XLOOKUP(AB829,Cadastros!$G$6:$G$90,Cadastros!$H$6:$H$90))))</f>
        <v/>
      </c>
      <c r="AE829" s="168" t="str">
        <f t="shared" si="161"/>
        <v/>
      </c>
      <c r="AF829" s="168" t="str">
        <f t="shared" si="162"/>
        <v/>
      </c>
      <c r="AG829" s="28"/>
      <c r="AH829" s="28"/>
      <c r="AI829" s="20" t="str">
        <f>IF(AG829="","",IF($F829="Bernardino Furlan",_xlfn.XLOOKUP(AG829,Cadastros!$G$6:$G$90,Cadastros!$H$6:$H$90)*(1-0.18),IF($F829="Mauro José Salanti",_xlfn.XLOOKUP(AG829,Cadastros!$G$6:$G$90,Cadastros!$H$6:$H$90)*(1-0.18),_xlfn.XLOOKUP(AG829,Cadastros!$G$6:$G$90,Cadastros!$H$6:$H$90))))</f>
        <v/>
      </c>
      <c r="AJ829" s="168" t="str">
        <f t="shared" si="163"/>
        <v/>
      </c>
      <c r="AK829" s="168" t="str">
        <f t="shared" si="164"/>
        <v/>
      </c>
      <c r="AL829" s="28"/>
      <c r="AM829" s="28"/>
      <c r="AN829" s="20" t="str">
        <f>IF(AL829="","",IF($F829="Bernardino Furlan",_xlfn.XLOOKUP(AL829,Cadastros!$G$6:$G$90,Cadastros!$H$6:$H$90)*(1-0.18),IF($F829="Mauro José Salanti",_xlfn.XLOOKUP(AL829,Cadastros!$G$6:$G$90,Cadastros!$H$6:$H$90)*(1-0.18),_xlfn.XLOOKUP(AL829,Cadastros!$G$6:$G$90,Cadastros!$H$6:$H$90))))</f>
        <v/>
      </c>
      <c r="AO829" s="168" t="str">
        <f t="shared" si="165"/>
        <v/>
      </c>
      <c r="AP829" s="168" t="str">
        <f t="shared" si="166"/>
        <v/>
      </c>
      <c r="AQ829" s="28"/>
      <c r="AR829" s="28"/>
      <c r="AS829" s="20" t="str">
        <f>IF(AQ829="","",IF($F829="Bernardino Furlan",_xlfn.XLOOKUP(AQ829,Cadastros!$G$6:$G$90,Cadastros!$H$6:$H$90)*(1-0.18),IF($F829="Mauro José Salanti",_xlfn.XLOOKUP(AQ829,Cadastros!$G$6:$G$90,Cadastros!$H$6:$H$90)*(1-0.18),_xlfn.XLOOKUP(AQ829,Cadastros!$G$6:$G$90,Cadastros!$H$6:$H$90))))</f>
        <v/>
      </c>
      <c r="AT829" s="168" t="str">
        <f t="shared" si="167"/>
        <v/>
      </c>
      <c r="AU829" s="168" t="str">
        <f t="shared" si="168"/>
        <v/>
      </c>
      <c r="AV829" s="227"/>
      <c r="AW829" s="30"/>
      <c r="AX829" s="267"/>
      <c r="AY829" s="267"/>
      <c r="AZ829" s="29"/>
      <c r="BA829" s="30"/>
      <c r="BB829" s="23" t="str" cm="1">
        <f t="array" ref="BB829">_xlfn.IFS(AW829="SIM",SUM(K829,P829,U829,Z829,AE829,AJ829,AO829,AT829,AX829,AY829),F829&lt;&gt;"",SUM(K829,P829,U829,Z829,AE829,AJ829,,AO829,AT829),F829="","")</f>
        <v/>
      </c>
      <c r="BC829" s="211" t="str" cm="1">
        <f t="array" ref="BC829">_xlfn.IFS(E829="","",G829&lt;=E829,BB829*(1-0.03),G829&lt;(E829+8),BB829,AZ829="Boleto",BB829*(1+0.001)^DATEDIF(E829,G829,"D"),AZ829="Cheque",BB829,AZ829="Dinheiro","Alterar forma pgto")</f>
        <v/>
      </c>
      <c r="BD829" s="276" t="str" cm="1">
        <f t="array" ref="BD829">IF(F829=0," ",IF(BC829&lt;BB829,(_xlfn.IFS(AW829="SIM",SUM(L829,Q829,V829,AA829,AF829,AK829,AP829,AU829)+AX829/_xlfn.XLOOKUP(_xlfn.XLOOKUP($F829,Clientes!$B$4:$B$39,Clientes!$C$4:$C$39),Cadastros!$L$6:$L$12,Cadastros!$M$6:$M$12)+IF($F829="Bernardino Furlan",AY829/2751.92,IF($F829="Mauro José Salanti",AY829/2751.92,AY829/3356)),F829&lt;&gt;0,SUM(L829,Q829,V829,AA829,AF829,AK829,AP829,AU829)))*(1-0.03),_xlfn.IFS(AW829="SIM",SUM(L829,Q829,V829,AA829,AF829,AK829,AP829,AU829)+AX829/_xlfn.XLOOKUP(_xlfn.XLOOKUP($F829,Clientes!$B$4:$B$39,Clientes!$C$4:$C$39),Cadastros!$L$6:$L$12,Cadastros!$M$6:$M$12)+IF($F829="Bernardino Furlan",AY829/2751.92,IF($F829="Mauro José Salanti",AY829/2751.92,AY829/3356)),F829&lt;&gt;0,SUM(L829,Q829,V829,AA829,AF829,AK829,AP829,AU829))))</f>
        <v xml:space="preserve"> </v>
      </c>
      <c r="BE829" s="120"/>
      <c r="BF829" s="120"/>
      <c r="BG829" s="120"/>
    </row>
    <row r="830" spans="1:59" s="3" customFormat="1" x14ac:dyDescent="0.3">
      <c r="A830" s="15" t="str">
        <f t="shared" si="156"/>
        <v/>
      </c>
      <c r="B830" s="25"/>
      <c r="C830" s="26"/>
      <c r="D830" s="279"/>
      <c r="E830" s="27"/>
      <c r="F830" s="28"/>
      <c r="G830" s="27"/>
      <c r="H830" s="28"/>
      <c r="I830" s="28"/>
      <c r="J830" s="255" t="str">
        <f>IF(H830="","",(_xlfn.XLOOKUP(H830,Cadastros!$D$6:$D$90,Cadastros!$E$6:$E$90))*(1-_xlfn.XLOOKUP(_xlfn.XLOOKUP($F830,Clientes!$B$4:$B$39,Clientes!$C$4:$C$39),Cadastros!$L$6:$L$12,Cadastros!$N$6:$N$12)))</f>
        <v/>
      </c>
      <c r="K830" s="168" t="str">
        <f t="shared" si="157"/>
        <v/>
      </c>
      <c r="L830" s="168" t="str">
        <f>IFERROR(K830/_xlfn.XLOOKUP(_xlfn.XLOOKUP($F830,Clientes!$B$4:$B$39,Clientes!$C$4:$C$39),Cadastros!$L$6:$L$12,Cadastros!$M$6:$M$12)," ")</f>
        <v xml:space="preserve"> </v>
      </c>
      <c r="M830" s="28"/>
      <c r="N830" s="28"/>
      <c r="O830" s="255" t="str">
        <f>IF(M830="","",(_xlfn.XLOOKUP(M830,Cadastros!$D$6:$D$90,Cadastros!$E$6:$E$90))*(1-_xlfn.XLOOKUP(_xlfn.XLOOKUP($F830,Clientes!$B$4:$B$39,Clientes!$C$4:$C$39),Cadastros!$L$6:$L$12,Cadastros!$N$6:$N$12)))</f>
        <v/>
      </c>
      <c r="P830" s="168" t="str">
        <f t="shared" si="158"/>
        <v/>
      </c>
      <c r="Q830" s="168" t="str">
        <f>IFERROR(P830/_xlfn.XLOOKUP(_xlfn.XLOOKUP($F830,Clientes!$B$4:$B$39,Clientes!$C$4:$C$39),Cadastros!$L$6:$L$12,Cadastros!$M$6:$M$12)," ")</f>
        <v xml:space="preserve"> </v>
      </c>
      <c r="R830" s="28"/>
      <c r="S830" s="28"/>
      <c r="T830" s="255" t="str">
        <f>IF(R830="","",(_xlfn.XLOOKUP(R830,Cadastros!$D$6:$D$90,Cadastros!$E$6:$E$90))*(1-_xlfn.XLOOKUP(_xlfn.XLOOKUP($F830,Clientes!$B$4:$B$39,Clientes!$C$4:$C$39),Cadastros!$L$6:$L$12,Cadastros!$N$6:$N$12)))</f>
        <v/>
      </c>
      <c r="U830" s="168" t="str">
        <f t="shared" si="159"/>
        <v/>
      </c>
      <c r="V830" s="168" t="str">
        <f>IFERROR(U830/_xlfn.XLOOKUP(_xlfn.XLOOKUP($F830,Clientes!$B$4:$B$39,Clientes!$C$4:$C$39),Cadastros!$L$6:$L$12,Cadastros!$M$6:$M$12)," ")</f>
        <v xml:space="preserve"> </v>
      </c>
      <c r="W830" s="28"/>
      <c r="X830" s="28"/>
      <c r="Y830" s="255" t="str">
        <f>IF(W830="","",(_xlfn.XLOOKUP(W830,Cadastros!$D$6:$D$90,Cadastros!$E$6:$E$90))*(1-_xlfn.XLOOKUP(_xlfn.XLOOKUP($F830,Clientes!$B$4:$B$39,Clientes!$C$4:$C$39),Cadastros!$L$6:$L$12,Cadastros!$N$6:$N$12)))</f>
        <v/>
      </c>
      <c r="Z830" s="168" t="str">
        <f t="shared" si="160"/>
        <v/>
      </c>
      <c r="AA830" s="168" t="str">
        <f>IFERROR(Z830/_xlfn.XLOOKUP(_xlfn.XLOOKUP($F830,Clientes!$B$4:$B$39,Clientes!$C$4:$C$39),Cadastros!$L$6:$L$12,Cadastros!$M$6:$M$12)," ")</f>
        <v xml:space="preserve"> </v>
      </c>
      <c r="AB830" s="28"/>
      <c r="AC830" s="28"/>
      <c r="AD830" s="20" t="str">
        <f>IF(AB830="","",IF($F830="Bernardino Furlan",_xlfn.XLOOKUP(AB830,Cadastros!$G$6:$G$90,Cadastros!$H$6:$H$90)*(1-0.18),IF($F830="Mauro José Salanti",_xlfn.XLOOKUP(AB830,Cadastros!$G$6:$G$90,Cadastros!$H$6:$H$90)*(1-0.18),_xlfn.XLOOKUP(AB830,Cadastros!$G$6:$G$90,Cadastros!$H$6:$H$90))))</f>
        <v/>
      </c>
      <c r="AE830" s="168" t="str">
        <f t="shared" si="161"/>
        <v/>
      </c>
      <c r="AF830" s="168" t="str">
        <f t="shared" si="162"/>
        <v/>
      </c>
      <c r="AG830" s="28"/>
      <c r="AH830" s="28"/>
      <c r="AI830" s="20" t="str">
        <f>IF(AG830="","",IF($F830="Bernardino Furlan",_xlfn.XLOOKUP(AG830,Cadastros!$G$6:$G$90,Cadastros!$H$6:$H$90)*(1-0.18),IF($F830="Mauro José Salanti",_xlfn.XLOOKUP(AG830,Cadastros!$G$6:$G$90,Cadastros!$H$6:$H$90)*(1-0.18),_xlfn.XLOOKUP(AG830,Cadastros!$G$6:$G$90,Cadastros!$H$6:$H$90))))</f>
        <v/>
      </c>
      <c r="AJ830" s="168" t="str">
        <f t="shared" si="163"/>
        <v/>
      </c>
      <c r="AK830" s="168" t="str">
        <f t="shared" si="164"/>
        <v/>
      </c>
      <c r="AL830" s="28"/>
      <c r="AM830" s="28"/>
      <c r="AN830" s="20" t="str">
        <f>IF(AL830="","",IF($F830="Bernardino Furlan",_xlfn.XLOOKUP(AL830,Cadastros!$G$6:$G$90,Cadastros!$H$6:$H$90)*(1-0.18),IF($F830="Mauro José Salanti",_xlfn.XLOOKUP(AL830,Cadastros!$G$6:$G$90,Cadastros!$H$6:$H$90)*(1-0.18),_xlfn.XLOOKUP(AL830,Cadastros!$G$6:$G$90,Cadastros!$H$6:$H$90))))</f>
        <v/>
      </c>
      <c r="AO830" s="168" t="str">
        <f t="shared" si="165"/>
        <v/>
      </c>
      <c r="AP830" s="168" t="str">
        <f t="shared" si="166"/>
        <v/>
      </c>
      <c r="AQ830" s="28"/>
      <c r="AR830" s="28"/>
      <c r="AS830" s="20" t="str">
        <f>IF(AQ830="","",IF($F830="Bernardino Furlan",_xlfn.XLOOKUP(AQ830,Cadastros!$G$6:$G$90,Cadastros!$H$6:$H$90)*(1-0.18),IF($F830="Mauro José Salanti",_xlfn.XLOOKUP(AQ830,Cadastros!$G$6:$G$90,Cadastros!$H$6:$H$90)*(1-0.18),_xlfn.XLOOKUP(AQ830,Cadastros!$G$6:$G$90,Cadastros!$H$6:$H$90))))</f>
        <v/>
      </c>
      <c r="AT830" s="168" t="str">
        <f t="shared" si="167"/>
        <v/>
      </c>
      <c r="AU830" s="168" t="str">
        <f t="shared" si="168"/>
        <v/>
      </c>
      <c r="AV830" s="227"/>
      <c r="AW830" s="30"/>
      <c r="AX830" s="267"/>
      <c r="AY830" s="267"/>
      <c r="AZ830" s="29"/>
      <c r="BA830" s="30"/>
      <c r="BB830" s="23" t="str" cm="1">
        <f t="array" ref="BB830">_xlfn.IFS(AW830="SIM",SUM(K830,P830,U830,Z830,AE830,AJ830,AO830,AT830,AX830,AY830),F830&lt;&gt;"",SUM(K830,P830,U830,Z830,AE830,AJ830,,AO830,AT830),F830="","")</f>
        <v/>
      </c>
      <c r="BC830" s="211" t="str" cm="1">
        <f t="array" ref="BC830">_xlfn.IFS(E830="","",G830&lt;=E830,BB830*(1-0.03),G830&lt;(E830+8),BB830,AZ830="Boleto",BB830*(1+0.001)^DATEDIF(E830,G830,"D"),AZ830="Cheque",BB830,AZ830="Dinheiro","Alterar forma pgto")</f>
        <v/>
      </c>
      <c r="BD830" s="276" t="str" cm="1">
        <f t="array" ref="BD830">IF(F830=0," ",IF(BC830&lt;BB830,(_xlfn.IFS(AW830="SIM",SUM(L830,Q830,V830,AA830,AF830,AK830,AP830,AU830)+AX830/_xlfn.XLOOKUP(_xlfn.XLOOKUP($F830,Clientes!$B$4:$B$39,Clientes!$C$4:$C$39),Cadastros!$L$6:$L$12,Cadastros!$M$6:$M$12)+IF($F830="Bernardino Furlan",AY830/2751.92,IF($F830="Mauro José Salanti",AY830/2751.92,AY830/3356)),F830&lt;&gt;0,SUM(L830,Q830,V830,AA830,AF830,AK830,AP830,AU830)))*(1-0.03),_xlfn.IFS(AW830="SIM",SUM(L830,Q830,V830,AA830,AF830,AK830,AP830,AU830)+AX830/_xlfn.XLOOKUP(_xlfn.XLOOKUP($F830,Clientes!$B$4:$B$39,Clientes!$C$4:$C$39),Cadastros!$L$6:$L$12,Cadastros!$M$6:$M$12)+IF($F830="Bernardino Furlan",AY830/2751.92,IF($F830="Mauro José Salanti",AY830/2751.92,AY830/3356)),F830&lt;&gt;0,SUM(L830,Q830,V830,AA830,AF830,AK830,AP830,AU830))))</f>
        <v xml:space="preserve"> </v>
      </c>
      <c r="BE830" s="120"/>
      <c r="BF830" s="120"/>
      <c r="BG830" s="120"/>
    </row>
    <row r="831" spans="1:59" s="3" customFormat="1" x14ac:dyDescent="0.3">
      <c r="A831" s="15" t="str">
        <f t="shared" si="156"/>
        <v/>
      </c>
      <c r="B831" s="25"/>
      <c r="C831" s="26"/>
      <c r="D831" s="279"/>
      <c r="E831" s="27"/>
      <c r="F831" s="28"/>
      <c r="G831" s="27"/>
      <c r="H831" s="28"/>
      <c r="I831" s="28"/>
      <c r="J831" s="255" t="str">
        <f>IF(H831="","",(_xlfn.XLOOKUP(H831,Cadastros!$D$6:$D$90,Cadastros!$E$6:$E$90))*(1-_xlfn.XLOOKUP(_xlfn.XLOOKUP($F831,Clientes!$B$4:$B$39,Clientes!$C$4:$C$39),Cadastros!$L$6:$L$12,Cadastros!$N$6:$N$12)))</f>
        <v/>
      </c>
      <c r="K831" s="168" t="str">
        <f t="shared" si="157"/>
        <v/>
      </c>
      <c r="L831" s="168" t="str">
        <f>IFERROR(K831/_xlfn.XLOOKUP(_xlfn.XLOOKUP($F831,Clientes!$B$4:$B$39,Clientes!$C$4:$C$39),Cadastros!$L$6:$L$12,Cadastros!$M$6:$M$12)," ")</f>
        <v xml:space="preserve"> </v>
      </c>
      <c r="M831" s="28"/>
      <c r="N831" s="28"/>
      <c r="O831" s="255" t="str">
        <f>IF(M831="","",(_xlfn.XLOOKUP(M831,Cadastros!$D$6:$D$90,Cadastros!$E$6:$E$90))*(1-_xlfn.XLOOKUP(_xlfn.XLOOKUP($F831,Clientes!$B$4:$B$39,Clientes!$C$4:$C$39),Cadastros!$L$6:$L$12,Cadastros!$N$6:$N$12)))</f>
        <v/>
      </c>
      <c r="P831" s="168" t="str">
        <f t="shared" si="158"/>
        <v/>
      </c>
      <c r="Q831" s="168" t="str">
        <f>IFERROR(P831/_xlfn.XLOOKUP(_xlfn.XLOOKUP($F831,Clientes!$B$4:$B$39,Clientes!$C$4:$C$39),Cadastros!$L$6:$L$12,Cadastros!$M$6:$M$12)," ")</f>
        <v xml:space="preserve"> </v>
      </c>
      <c r="R831" s="28"/>
      <c r="S831" s="28"/>
      <c r="T831" s="255" t="str">
        <f>IF(R831="","",(_xlfn.XLOOKUP(R831,Cadastros!$D$6:$D$90,Cadastros!$E$6:$E$90))*(1-_xlfn.XLOOKUP(_xlfn.XLOOKUP($F831,Clientes!$B$4:$B$39,Clientes!$C$4:$C$39),Cadastros!$L$6:$L$12,Cadastros!$N$6:$N$12)))</f>
        <v/>
      </c>
      <c r="U831" s="168" t="str">
        <f t="shared" si="159"/>
        <v/>
      </c>
      <c r="V831" s="168" t="str">
        <f>IFERROR(U831/_xlfn.XLOOKUP(_xlfn.XLOOKUP($F831,Clientes!$B$4:$B$39,Clientes!$C$4:$C$39),Cadastros!$L$6:$L$12,Cadastros!$M$6:$M$12)," ")</f>
        <v xml:space="preserve"> </v>
      </c>
      <c r="W831" s="28"/>
      <c r="X831" s="28"/>
      <c r="Y831" s="255" t="str">
        <f>IF(W831="","",(_xlfn.XLOOKUP(W831,Cadastros!$D$6:$D$90,Cadastros!$E$6:$E$90))*(1-_xlfn.XLOOKUP(_xlfn.XLOOKUP($F831,Clientes!$B$4:$B$39,Clientes!$C$4:$C$39),Cadastros!$L$6:$L$12,Cadastros!$N$6:$N$12)))</f>
        <v/>
      </c>
      <c r="Z831" s="168" t="str">
        <f t="shared" si="160"/>
        <v/>
      </c>
      <c r="AA831" s="168" t="str">
        <f>IFERROR(Z831/_xlfn.XLOOKUP(_xlfn.XLOOKUP($F831,Clientes!$B$4:$B$39,Clientes!$C$4:$C$39),Cadastros!$L$6:$L$12,Cadastros!$M$6:$M$12)," ")</f>
        <v xml:space="preserve"> </v>
      </c>
      <c r="AB831" s="28"/>
      <c r="AC831" s="28"/>
      <c r="AD831" s="20" t="str">
        <f>IF(AB831="","",IF($F831="Bernardino Furlan",_xlfn.XLOOKUP(AB831,Cadastros!$G$6:$G$90,Cadastros!$H$6:$H$90)*(1-0.18),IF($F831="Mauro José Salanti",_xlfn.XLOOKUP(AB831,Cadastros!$G$6:$G$90,Cadastros!$H$6:$H$90)*(1-0.18),_xlfn.XLOOKUP(AB831,Cadastros!$G$6:$G$90,Cadastros!$H$6:$H$90))))</f>
        <v/>
      </c>
      <c r="AE831" s="168" t="str">
        <f t="shared" si="161"/>
        <v/>
      </c>
      <c r="AF831" s="168" t="str">
        <f t="shared" si="162"/>
        <v/>
      </c>
      <c r="AG831" s="28"/>
      <c r="AH831" s="28"/>
      <c r="AI831" s="20" t="str">
        <f>IF(AG831="","",IF($F831="Bernardino Furlan",_xlfn.XLOOKUP(AG831,Cadastros!$G$6:$G$90,Cadastros!$H$6:$H$90)*(1-0.18),IF($F831="Mauro José Salanti",_xlfn.XLOOKUP(AG831,Cadastros!$G$6:$G$90,Cadastros!$H$6:$H$90)*(1-0.18),_xlfn.XLOOKUP(AG831,Cadastros!$G$6:$G$90,Cadastros!$H$6:$H$90))))</f>
        <v/>
      </c>
      <c r="AJ831" s="168" t="str">
        <f t="shared" si="163"/>
        <v/>
      </c>
      <c r="AK831" s="168" t="str">
        <f t="shared" si="164"/>
        <v/>
      </c>
      <c r="AL831" s="28"/>
      <c r="AM831" s="28"/>
      <c r="AN831" s="20" t="str">
        <f>IF(AL831="","",IF($F831="Bernardino Furlan",_xlfn.XLOOKUP(AL831,Cadastros!$G$6:$G$90,Cadastros!$H$6:$H$90)*(1-0.18),IF($F831="Mauro José Salanti",_xlfn.XLOOKUP(AL831,Cadastros!$G$6:$G$90,Cadastros!$H$6:$H$90)*(1-0.18),_xlfn.XLOOKUP(AL831,Cadastros!$G$6:$G$90,Cadastros!$H$6:$H$90))))</f>
        <v/>
      </c>
      <c r="AO831" s="168" t="str">
        <f t="shared" si="165"/>
        <v/>
      </c>
      <c r="AP831" s="168" t="str">
        <f t="shared" si="166"/>
        <v/>
      </c>
      <c r="AQ831" s="28"/>
      <c r="AR831" s="28"/>
      <c r="AS831" s="20" t="str">
        <f>IF(AQ831="","",IF($F831="Bernardino Furlan",_xlfn.XLOOKUP(AQ831,Cadastros!$G$6:$G$90,Cadastros!$H$6:$H$90)*(1-0.18),IF($F831="Mauro José Salanti",_xlfn.XLOOKUP(AQ831,Cadastros!$G$6:$G$90,Cadastros!$H$6:$H$90)*(1-0.18),_xlfn.XLOOKUP(AQ831,Cadastros!$G$6:$G$90,Cadastros!$H$6:$H$90))))</f>
        <v/>
      </c>
      <c r="AT831" s="168" t="str">
        <f t="shared" si="167"/>
        <v/>
      </c>
      <c r="AU831" s="168" t="str">
        <f t="shared" si="168"/>
        <v/>
      </c>
      <c r="AV831" s="227"/>
      <c r="AW831" s="30"/>
      <c r="AX831" s="267"/>
      <c r="AY831" s="267"/>
      <c r="AZ831" s="29"/>
      <c r="BA831" s="30"/>
      <c r="BB831" s="23" t="str" cm="1">
        <f t="array" ref="BB831">_xlfn.IFS(AW831="SIM",SUM(K831,P831,U831,Z831,AE831,AJ831,AO831,AT831,AX831,AY831),F831&lt;&gt;"",SUM(K831,P831,U831,Z831,AE831,AJ831,,AO831,AT831),F831="","")</f>
        <v/>
      </c>
      <c r="BC831" s="211" t="str" cm="1">
        <f t="array" ref="BC831">_xlfn.IFS(E831="","",G831&lt;=E831,BB831*(1-0.03),G831&lt;(E831+8),BB831,AZ831="Boleto",BB831*(1+0.001)^DATEDIF(E831,G831,"D"),AZ831="Cheque",BB831,AZ831="Dinheiro","Alterar forma pgto")</f>
        <v/>
      </c>
      <c r="BD831" s="276" t="str" cm="1">
        <f t="array" ref="BD831">IF(F831=0," ",IF(BC831&lt;BB831,(_xlfn.IFS(AW831="SIM",SUM(L831,Q831,V831,AA831,AF831,AK831,AP831,AU831)+AX831/_xlfn.XLOOKUP(_xlfn.XLOOKUP($F831,Clientes!$B$4:$B$39,Clientes!$C$4:$C$39),Cadastros!$L$6:$L$12,Cadastros!$M$6:$M$12)+IF($F831="Bernardino Furlan",AY831/2751.92,IF($F831="Mauro José Salanti",AY831/2751.92,AY831/3356)),F831&lt;&gt;0,SUM(L831,Q831,V831,AA831,AF831,AK831,AP831,AU831)))*(1-0.03),_xlfn.IFS(AW831="SIM",SUM(L831,Q831,V831,AA831,AF831,AK831,AP831,AU831)+AX831/_xlfn.XLOOKUP(_xlfn.XLOOKUP($F831,Clientes!$B$4:$B$39,Clientes!$C$4:$C$39),Cadastros!$L$6:$L$12,Cadastros!$M$6:$M$12)+IF($F831="Bernardino Furlan",AY831/2751.92,IF($F831="Mauro José Salanti",AY831/2751.92,AY831/3356)),F831&lt;&gt;0,SUM(L831,Q831,V831,AA831,AF831,AK831,AP831,AU831))))</f>
        <v xml:space="preserve"> </v>
      </c>
      <c r="BE831" s="120"/>
      <c r="BF831" s="120"/>
      <c r="BG831" s="120"/>
    </row>
    <row r="832" spans="1:59" s="3" customFormat="1" x14ac:dyDescent="0.3">
      <c r="A832" s="15" t="str">
        <f t="shared" si="156"/>
        <v/>
      </c>
      <c r="B832" s="25"/>
      <c r="C832" s="26"/>
      <c r="D832" s="279"/>
      <c r="E832" s="27"/>
      <c r="F832" s="28"/>
      <c r="G832" s="27"/>
      <c r="H832" s="28"/>
      <c r="I832" s="28"/>
      <c r="J832" s="255" t="str">
        <f>IF(H832="","",(_xlfn.XLOOKUP(H832,Cadastros!$D$6:$D$90,Cadastros!$E$6:$E$90))*(1-_xlfn.XLOOKUP(_xlfn.XLOOKUP($F832,Clientes!$B$4:$B$39,Clientes!$C$4:$C$39),Cadastros!$L$6:$L$12,Cadastros!$N$6:$N$12)))</f>
        <v/>
      </c>
      <c r="K832" s="168" t="str">
        <f t="shared" si="157"/>
        <v/>
      </c>
      <c r="L832" s="168" t="str">
        <f>IFERROR(K832/_xlfn.XLOOKUP(_xlfn.XLOOKUP($F832,Clientes!$B$4:$B$39,Clientes!$C$4:$C$39),Cadastros!$L$6:$L$12,Cadastros!$M$6:$M$12)," ")</f>
        <v xml:space="preserve"> </v>
      </c>
      <c r="M832" s="28"/>
      <c r="N832" s="28"/>
      <c r="O832" s="255" t="str">
        <f>IF(M832="","",(_xlfn.XLOOKUP(M832,Cadastros!$D$6:$D$90,Cadastros!$E$6:$E$90))*(1-_xlfn.XLOOKUP(_xlfn.XLOOKUP($F832,Clientes!$B$4:$B$39,Clientes!$C$4:$C$39),Cadastros!$L$6:$L$12,Cadastros!$N$6:$N$12)))</f>
        <v/>
      </c>
      <c r="P832" s="168" t="str">
        <f t="shared" si="158"/>
        <v/>
      </c>
      <c r="Q832" s="168" t="str">
        <f>IFERROR(P832/_xlfn.XLOOKUP(_xlfn.XLOOKUP($F832,Clientes!$B$4:$B$39,Clientes!$C$4:$C$39),Cadastros!$L$6:$L$12,Cadastros!$M$6:$M$12)," ")</f>
        <v xml:space="preserve"> </v>
      </c>
      <c r="R832" s="28"/>
      <c r="S832" s="28"/>
      <c r="T832" s="255" t="str">
        <f>IF(R832="","",(_xlfn.XLOOKUP(R832,Cadastros!$D$6:$D$90,Cadastros!$E$6:$E$90))*(1-_xlfn.XLOOKUP(_xlfn.XLOOKUP($F832,Clientes!$B$4:$B$39,Clientes!$C$4:$C$39),Cadastros!$L$6:$L$12,Cadastros!$N$6:$N$12)))</f>
        <v/>
      </c>
      <c r="U832" s="168" t="str">
        <f t="shared" si="159"/>
        <v/>
      </c>
      <c r="V832" s="168" t="str">
        <f>IFERROR(U832/_xlfn.XLOOKUP(_xlfn.XLOOKUP($F832,Clientes!$B$4:$B$39,Clientes!$C$4:$C$39),Cadastros!$L$6:$L$12,Cadastros!$M$6:$M$12)," ")</f>
        <v xml:space="preserve"> </v>
      </c>
      <c r="W832" s="28"/>
      <c r="X832" s="28"/>
      <c r="Y832" s="255" t="str">
        <f>IF(W832="","",(_xlfn.XLOOKUP(W832,Cadastros!$D$6:$D$90,Cadastros!$E$6:$E$90))*(1-_xlfn.XLOOKUP(_xlfn.XLOOKUP($F832,Clientes!$B$4:$B$39,Clientes!$C$4:$C$39),Cadastros!$L$6:$L$12,Cadastros!$N$6:$N$12)))</f>
        <v/>
      </c>
      <c r="Z832" s="168" t="str">
        <f t="shared" si="160"/>
        <v/>
      </c>
      <c r="AA832" s="168" t="str">
        <f>IFERROR(Z832/_xlfn.XLOOKUP(_xlfn.XLOOKUP($F832,Clientes!$B$4:$B$39,Clientes!$C$4:$C$39),Cadastros!$L$6:$L$12,Cadastros!$M$6:$M$12)," ")</f>
        <v xml:space="preserve"> </v>
      </c>
      <c r="AB832" s="28"/>
      <c r="AC832" s="28"/>
      <c r="AD832" s="20" t="str">
        <f>IF(AB832="","",IF($F832="Bernardino Furlan",_xlfn.XLOOKUP(AB832,Cadastros!$G$6:$G$90,Cadastros!$H$6:$H$90)*(1-0.18),IF($F832="Mauro José Salanti",_xlfn.XLOOKUP(AB832,Cadastros!$G$6:$G$90,Cadastros!$H$6:$H$90)*(1-0.18),_xlfn.XLOOKUP(AB832,Cadastros!$G$6:$G$90,Cadastros!$H$6:$H$90))))</f>
        <v/>
      </c>
      <c r="AE832" s="168" t="str">
        <f t="shared" si="161"/>
        <v/>
      </c>
      <c r="AF832" s="168" t="str">
        <f t="shared" si="162"/>
        <v/>
      </c>
      <c r="AG832" s="28"/>
      <c r="AH832" s="28"/>
      <c r="AI832" s="20" t="str">
        <f>IF(AG832="","",IF($F832="Bernardino Furlan",_xlfn.XLOOKUP(AG832,Cadastros!$G$6:$G$90,Cadastros!$H$6:$H$90)*(1-0.18),IF($F832="Mauro José Salanti",_xlfn.XLOOKUP(AG832,Cadastros!$G$6:$G$90,Cadastros!$H$6:$H$90)*(1-0.18),_xlfn.XLOOKUP(AG832,Cadastros!$G$6:$G$90,Cadastros!$H$6:$H$90))))</f>
        <v/>
      </c>
      <c r="AJ832" s="168" t="str">
        <f t="shared" si="163"/>
        <v/>
      </c>
      <c r="AK832" s="168" t="str">
        <f t="shared" si="164"/>
        <v/>
      </c>
      <c r="AL832" s="28"/>
      <c r="AM832" s="28"/>
      <c r="AN832" s="20" t="str">
        <f>IF(AL832="","",IF($F832="Bernardino Furlan",_xlfn.XLOOKUP(AL832,Cadastros!$G$6:$G$90,Cadastros!$H$6:$H$90)*(1-0.18),IF($F832="Mauro José Salanti",_xlfn.XLOOKUP(AL832,Cadastros!$G$6:$G$90,Cadastros!$H$6:$H$90)*(1-0.18),_xlfn.XLOOKUP(AL832,Cadastros!$G$6:$G$90,Cadastros!$H$6:$H$90))))</f>
        <v/>
      </c>
      <c r="AO832" s="168" t="str">
        <f t="shared" si="165"/>
        <v/>
      </c>
      <c r="AP832" s="168" t="str">
        <f t="shared" si="166"/>
        <v/>
      </c>
      <c r="AQ832" s="28"/>
      <c r="AR832" s="28"/>
      <c r="AS832" s="20" t="str">
        <f>IF(AQ832="","",IF($F832="Bernardino Furlan",_xlfn.XLOOKUP(AQ832,Cadastros!$G$6:$G$90,Cadastros!$H$6:$H$90)*(1-0.18),IF($F832="Mauro José Salanti",_xlfn.XLOOKUP(AQ832,Cadastros!$G$6:$G$90,Cadastros!$H$6:$H$90)*(1-0.18),_xlfn.XLOOKUP(AQ832,Cadastros!$G$6:$G$90,Cadastros!$H$6:$H$90))))</f>
        <v/>
      </c>
      <c r="AT832" s="168" t="str">
        <f t="shared" si="167"/>
        <v/>
      </c>
      <c r="AU832" s="168" t="str">
        <f t="shared" si="168"/>
        <v/>
      </c>
      <c r="AV832" s="227"/>
      <c r="AW832" s="30"/>
      <c r="AX832" s="267"/>
      <c r="AY832" s="267"/>
      <c r="AZ832" s="29"/>
      <c r="BA832" s="30"/>
      <c r="BB832" s="23" t="str" cm="1">
        <f t="array" ref="BB832">_xlfn.IFS(AW832="SIM",SUM(K832,P832,U832,Z832,AE832,AJ832,AO832,AT832,AX832,AY832),F832&lt;&gt;"",SUM(K832,P832,U832,Z832,AE832,AJ832,,AO832,AT832),F832="","")</f>
        <v/>
      </c>
      <c r="BC832" s="211" t="str" cm="1">
        <f t="array" ref="BC832">_xlfn.IFS(E832="","",G832&lt;=E832,BB832*(1-0.03),G832&lt;(E832+8),BB832,AZ832="Boleto",BB832*(1+0.001)^DATEDIF(E832,G832,"D"),AZ832="Cheque",BB832,AZ832="Dinheiro","Alterar forma pgto")</f>
        <v/>
      </c>
      <c r="BD832" s="276" t="str" cm="1">
        <f t="array" ref="BD832">IF(F832=0," ",IF(BC832&lt;BB832,(_xlfn.IFS(AW832="SIM",SUM(L832,Q832,V832,AA832,AF832,AK832,AP832,AU832)+AX832/_xlfn.XLOOKUP(_xlfn.XLOOKUP($F832,Clientes!$B$4:$B$39,Clientes!$C$4:$C$39),Cadastros!$L$6:$L$12,Cadastros!$M$6:$M$12)+IF($F832="Bernardino Furlan",AY832/2751.92,IF($F832="Mauro José Salanti",AY832/2751.92,AY832/3356)),F832&lt;&gt;0,SUM(L832,Q832,V832,AA832,AF832,AK832,AP832,AU832)))*(1-0.03),_xlfn.IFS(AW832="SIM",SUM(L832,Q832,V832,AA832,AF832,AK832,AP832,AU832)+AX832/_xlfn.XLOOKUP(_xlfn.XLOOKUP($F832,Clientes!$B$4:$B$39,Clientes!$C$4:$C$39),Cadastros!$L$6:$L$12,Cadastros!$M$6:$M$12)+IF($F832="Bernardino Furlan",AY832/2751.92,IF($F832="Mauro José Salanti",AY832/2751.92,AY832/3356)),F832&lt;&gt;0,SUM(L832,Q832,V832,AA832,AF832,AK832,AP832,AU832))))</f>
        <v xml:space="preserve"> </v>
      </c>
      <c r="BE832" s="120"/>
      <c r="BF832" s="120"/>
      <c r="BG832" s="120"/>
    </row>
    <row r="833" spans="1:59" s="3" customFormat="1" x14ac:dyDescent="0.3">
      <c r="A833" s="15" t="str">
        <f t="shared" si="156"/>
        <v/>
      </c>
      <c r="B833" s="25"/>
      <c r="C833" s="26"/>
      <c r="D833" s="279"/>
      <c r="E833" s="27"/>
      <c r="F833" s="28"/>
      <c r="G833" s="27"/>
      <c r="H833" s="28"/>
      <c r="I833" s="28"/>
      <c r="J833" s="255" t="str">
        <f>IF(H833="","",(_xlfn.XLOOKUP(H833,Cadastros!$D$6:$D$90,Cadastros!$E$6:$E$90))*(1-_xlfn.XLOOKUP(_xlfn.XLOOKUP($F833,Clientes!$B$4:$B$39,Clientes!$C$4:$C$39),Cadastros!$L$6:$L$12,Cadastros!$N$6:$N$12)))</f>
        <v/>
      </c>
      <c r="K833" s="168" t="str">
        <f t="shared" si="157"/>
        <v/>
      </c>
      <c r="L833" s="168" t="str">
        <f>IFERROR(K833/_xlfn.XLOOKUP(_xlfn.XLOOKUP($F833,Clientes!$B$4:$B$39,Clientes!$C$4:$C$39),Cadastros!$L$6:$L$12,Cadastros!$M$6:$M$12)," ")</f>
        <v xml:space="preserve"> </v>
      </c>
      <c r="M833" s="28"/>
      <c r="N833" s="28"/>
      <c r="O833" s="255" t="str">
        <f>IF(M833="","",(_xlfn.XLOOKUP(M833,Cadastros!$D$6:$D$90,Cadastros!$E$6:$E$90))*(1-_xlfn.XLOOKUP(_xlfn.XLOOKUP($F833,Clientes!$B$4:$B$39,Clientes!$C$4:$C$39),Cadastros!$L$6:$L$12,Cadastros!$N$6:$N$12)))</f>
        <v/>
      </c>
      <c r="P833" s="168" t="str">
        <f t="shared" si="158"/>
        <v/>
      </c>
      <c r="Q833" s="168" t="str">
        <f>IFERROR(P833/_xlfn.XLOOKUP(_xlfn.XLOOKUP($F833,Clientes!$B$4:$B$39,Clientes!$C$4:$C$39),Cadastros!$L$6:$L$12,Cadastros!$M$6:$M$12)," ")</f>
        <v xml:space="preserve"> </v>
      </c>
      <c r="R833" s="28"/>
      <c r="S833" s="28"/>
      <c r="T833" s="255" t="str">
        <f>IF(R833="","",(_xlfn.XLOOKUP(R833,Cadastros!$D$6:$D$90,Cadastros!$E$6:$E$90))*(1-_xlfn.XLOOKUP(_xlfn.XLOOKUP($F833,Clientes!$B$4:$B$39,Clientes!$C$4:$C$39),Cadastros!$L$6:$L$12,Cadastros!$N$6:$N$12)))</f>
        <v/>
      </c>
      <c r="U833" s="168" t="str">
        <f t="shared" si="159"/>
        <v/>
      </c>
      <c r="V833" s="168" t="str">
        <f>IFERROR(U833/_xlfn.XLOOKUP(_xlfn.XLOOKUP($F833,Clientes!$B$4:$B$39,Clientes!$C$4:$C$39),Cadastros!$L$6:$L$12,Cadastros!$M$6:$M$12)," ")</f>
        <v xml:space="preserve"> </v>
      </c>
      <c r="W833" s="28"/>
      <c r="X833" s="28"/>
      <c r="Y833" s="255" t="str">
        <f>IF(W833="","",(_xlfn.XLOOKUP(W833,Cadastros!$D$6:$D$90,Cadastros!$E$6:$E$90))*(1-_xlfn.XLOOKUP(_xlfn.XLOOKUP($F833,Clientes!$B$4:$B$39,Clientes!$C$4:$C$39),Cadastros!$L$6:$L$12,Cadastros!$N$6:$N$12)))</f>
        <v/>
      </c>
      <c r="Z833" s="168" t="str">
        <f t="shared" si="160"/>
        <v/>
      </c>
      <c r="AA833" s="168" t="str">
        <f>IFERROR(Z833/_xlfn.XLOOKUP(_xlfn.XLOOKUP($F833,Clientes!$B$4:$B$39,Clientes!$C$4:$C$39),Cadastros!$L$6:$L$12,Cadastros!$M$6:$M$12)," ")</f>
        <v xml:space="preserve"> </v>
      </c>
      <c r="AB833" s="28"/>
      <c r="AC833" s="28"/>
      <c r="AD833" s="20" t="str">
        <f>IF(AB833="","",IF($F833="Bernardino Furlan",_xlfn.XLOOKUP(AB833,Cadastros!$G$6:$G$90,Cadastros!$H$6:$H$90)*(1-0.18),IF($F833="Mauro José Salanti",_xlfn.XLOOKUP(AB833,Cadastros!$G$6:$G$90,Cadastros!$H$6:$H$90)*(1-0.18),_xlfn.XLOOKUP(AB833,Cadastros!$G$6:$G$90,Cadastros!$H$6:$H$90))))</f>
        <v/>
      </c>
      <c r="AE833" s="168" t="str">
        <f t="shared" si="161"/>
        <v/>
      </c>
      <c r="AF833" s="168" t="str">
        <f t="shared" si="162"/>
        <v/>
      </c>
      <c r="AG833" s="28"/>
      <c r="AH833" s="28"/>
      <c r="AI833" s="20" t="str">
        <f>IF(AG833="","",IF($F833="Bernardino Furlan",_xlfn.XLOOKUP(AG833,Cadastros!$G$6:$G$90,Cadastros!$H$6:$H$90)*(1-0.18),IF($F833="Mauro José Salanti",_xlfn.XLOOKUP(AG833,Cadastros!$G$6:$G$90,Cadastros!$H$6:$H$90)*(1-0.18),_xlfn.XLOOKUP(AG833,Cadastros!$G$6:$G$90,Cadastros!$H$6:$H$90))))</f>
        <v/>
      </c>
      <c r="AJ833" s="168" t="str">
        <f t="shared" si="163"/>
        <v/>
      </c>
      <c r="AK833" s="168" t="str">
        <f t="shared" si="164"/>
        <v/>
      </c>
      <c r="AL833" s="28"/>
      <c r="AM833" s="28"/>
      <c r="AN833" s="20" t="str">
        <f>IF(AL833="","",IF($F833="Bernardino Furlan",_xlfn.XLOOKUP(AL833,Cadastros!$G$6:$G$90,Cadastros!$H$6:$H$90)*(1-0.18),IF($F833="Mauro José Salanti",_xlfn.XLOOKUP(AL833,Cadastros!$G$6:$G$90,Cadastros!$H$6:$H$90)*(1-0.18),_xlfn.XLOOKUP(AL833,Cadastros!$G$6:$G$90,Cadastros!$H$6:$H$90))))</f>
        <v/>
      </c>
      <c r="AO833" s="168" t="str">
        <f t="shared" si="165"/>
        <v/>
      </c>
      <c r="AP833" s="168" t="str">
        <f t="shared" si="166"/>
        <v/>
      </c>
      <c r="AQ833" s="28"/>
      <c r="AR833" s="28"/>
      <c r="AS833" s="20" t="str">
        <f>IF(AQ833="","",IF($F833="Bernardino Furlan",_xlfn.XLOOKUP(AQ833,Cadastros!$G$6:$G$90,Cadastros!$H$6:$H$90)*(1-0.18),IF($F833="Mauro José Salanti",_xlfn.XLOOKUP(AQ833,Cadastros!$G$6:$G$90,Cadastros!$H$6:$H$90)*(1-0.18),_xlfn.XLOOKUP(AQ833,Cadastros!$G$6:$G$90,Cadastros!$H$6:$H$90))))</f>
        <v/>
      </c>
      <c r="AT833" s="168" t="str">
        <f t="shared" si="167"/>
        <v/>
      </c>
      <c r="AU833" s="168" t="str">
        <f t="shared" si="168"/>
        <v/>
      </c>
      <c r="AV833" s="227"/>
      <c r="AW833" s="30"/>
      <c r="AX833" s="267"/>
      <c r="AY833" s="267"/>
      <c r="AZ833" s="29"/>
      <c r="BA833" s="30"/>
      <c r="BB833" s="23" t="str" cm="1">
        <f t="array" ref="BB833">_xlfn.IFS(AW833="SIM",SUM(K833,P833,U833,Z833,AE833,AJ833,AO833,AT833,AX833,AY833),F833&lt;&gt;"",SUM(K833,P833,U833,Z833,AE833,AJ833,,AO833,AT833),F833="","")</f>
        <v/>
      </c>
      <c r="BC833" s="211" t="str" cm="1">
        <f t="array" ref="BC833">_xlfn.IFS(E833="","",G833&lt;=E833,BB833*(1-0.03),G833&lt;(E833+8),BB833,AZ833="Boleto",BB833*(1+0.001)^DATEDIF(E833,G833,"D"),AZ833="Cheque",BB833,AZ833="Dinheiro","Alterar forma pgto")</f>
        <v/>
      </c>
      <c r="BD833" s="276" t="str" cm="1">
        <f t="array" ref="BD833">IF(F833=0," ",IF(BC833&lt;BB833,(_xlfn.IFS(AW833="SIM",SUM(L833,Q833,V833,AA833,AF833,AK833,AP833,AU833)+AX833/_xlfn.XLOOKUP(_xlfn.XLOOKUP($F833,Clientes!$B$4:$B$39,Clientes!$C$4:$C$39),Cadastros!$L$6:$L$12,Cadastros!$M$6:$M$12)+IF($F833="Bernardino Furlan",AY833/2751.92,IF($F833="Mauro José Salanti",AY833/2751.92,AY833/3356)),F833&lt;&gt;0,SUM(L833,Q833,V833,AA833,AF833,AK833,AP833,AU833)))*(1-0.03),_xlfn.IFS(AW833="SIM",SUM(L833,Q833,V833,AA833,AF833,AK833,AP833,AU833)+AX833/_xlfn.XLOOKUP(_xlfn.XLOOKUP($F833,Clientes!$B$4:$B$39,Clientes!$C$4:$C$39),Cadastros!$L$6:$L$12,Cadastros!$M$6:$M$12)+IF($F833="Bernardino Furlan",AY833/2751.92,IF($F833="Mauro José Salanti",AY833/2751.92,AY833/3356)),F833&lt;&gt;0,SUM(L833,Q833,V833,AA833,AF833,AK833,AP833,AU833))))</f>
        <v xml:space="preserve"> </v>
      </c>
      <c r="BE833" s="120"/>
      <c r="BF833" s="120"/>
      <c r="BG833" s="120"/>
    </row>
    <row r="834" spans="1:59" s="3" customFormat="1" x14ac:dyDescent="0.3">
      <c r="A834" s="15" t="str">
        <f t="shared" si="156"/>
        <v/>
      </c>
      <c r="B834" s="25"/>
      <c r="C834" s="26"/>
      <c r="D834" s="279"/>
      <c r="E834" s="27"/>
      <c r="F834" s="28"/>
      <c r="G834" s="27"/>
      <c r="H834" s="28"/>
      <c r="I834" s="28"/>
      <c r="J834" s="255" t="str">
        <f>IF(H834="","",(_xlfn.XLOOKUP(H834,Cadastros!$D$6:$D$90,Cadastros!$E$6:$E$90))*(1-_xlfn.XLOOKUP(_xlfn.XLOOKUP($F834,Clientes!$B$4:$B$39,Clientes!$C$4:$C$39),Cadastros!$L$6:$L$12,Cadastros!$N$6:$N$12)))</f>
        <v/>
      </c>
      <c r="K834" s="168" t="str">
        <f t="shared" si="157"/>
        <v/>
      </c>
      <c r="L834" s="168" t="str">
        <f>IFERROR(K834/_xlfn.XLOOKUP(_xlfn.XLOOKUP($F834,Clientes!$B$4:$B$39,Clientes!$C$4:$C$39),Cadastros!$L$6:$L$12,Cadastros!$M$6:$M$12)," ")</f>
        <v xml:space="preserve"> </v>
      </c>
      <c r="M834" s="28"/>
      <c r="N834" s="28"/>
      <c r="O834" s="255" t="str">
        <f>IF(M834="","",(_xlfn.XLOOKUP(M834,Cadastros!$D$6:$D$90,Cadastros!$E$6:$E$90))*(1-_xlfn.XLOOKUP(_xlfn.XLOOKUP($F834,Clientes!$B$4:$B$39,Clientes!$C$4:$C$39),Cadastros!$L$6:$L$12,Cadastros!$N$6:$N$12)))</f>
        <v/>
      </c>
      <c r="P834" s="168" t="str">
        <f t="shared" si="158"/>
        <v/>
      </c>
      <c r="Q834" s="168" t="str">
        <f>IFERROR(P834/_xlfn.XLOOKUP(_xlfn.XLOOKUP($F834,Clientes!$B$4:$B$39,Clientes!$C$4:$C$39),Cadastros!$L$6:$L$12,Cadastros!$M$6:$M$12)," ")</f>
        <v xml:space="preserve"> </v>
      </c>
      <c r="R834" s="28"/>
      <c r="S834" s="28"/>
      <c r="T834" s="255" t="str">
        <f>IF(R834="","",(_xlfn.XLOOKUP(R834,Cadastros!$D$6:$D$90,Cadastros!$E$6:$E$90))*(1-_xlfn.XLOOKUP(_xlfn.XLOOKUP($F834,Clientes!$B$4:$B$39,Clientes!$C$4:$C$39),Cadastros!$L$6:$L$12,Cadastros!$N$6:$N$12)))</f>
        <v/>
      </c>
      <c r="U834" s="168" t="str">
        <f t="shared" si="159"/>
        <v/>
      </c>
      <c r="V834" s="168" t="str">
        <f>IFERROR(U834/_xlfn.XLOOKUP(_xlfn.XLOOKUP($F834,Clientes!$B$4:$B$39,Clientes!$C$4:$C$39),Cadastros!$L$6:$L$12,Cadastros!$M$6:$M$12)," ")</f>
        <v xml:space="preserve"> </v>
      </c>
      <c r="W834" s="28"/>
      <c r="X834" s="28"/>
      <c r="Y834" s="255" t="str">
        <f>IF(W834="","",(_xlfn.XLOOKUP(W834,Cadastros!$D$6:$D$90,Cadastros!$E$6:$E$90))*(1-_xlfn.XLOOKUP(_xlfn.XLOOKUP($F834,Clientes!$B$4:$B$39,Clientes!$C$4:$C$39),Cadastros!$L$6:$L$12,Cadastros!$N$6:$N$12)))</f>
        <v/>
      </c>
      <c r="Z834" s="168" t="str">
        <f t="shared" si="160"/>
        <v/>
      </c>
      <c r="AA834" s="168" t="str">
        <f>IFERROR(Z834/_xlfn.XLOOKUP(_xlfn.XLOOKUP($F834,Clientes!$B$4:$B$39,Clientes!$C$4:$C$39),Cadastros!$L$6:$L$12,Cadastros!$M$6:$M$12)," ")</f>
        <v xml:space="preserve"> </v>
      </c>
      <c r="AB834" s="28"/>
      <c r="AC834" s="28"/>
      <c r="AD834" s="20" t="str">
        <f>IF(AB834="","",IF($F834="Bernardino Furlan",_xlfn.XLOOKUP(AB834,Cadastros!$G$6:$G$90,Cadastros!$H$6:$H$90)*(1-0.18),IF($F834="Mauro José Salanti",_xlfn.XLOOKUP(AB834,Cadastros!$G$6:$G$90,Cadastros!$H$6:$H$90)*(1-0.18),_xlfn.XLOOKUP(AB834,Cadastros!$G$6:$G$90,Cadastros!$H$6:$H$90))))</f>
        <v/>
      </c>
      <c r="AE834" s="168" t="str">
        <f t="shared" si="161"/>
        <v/>
      </c>
      <c r="AF834" s="168" t="str">
        <f t="shared" si="162"/>
        <v/>
      </c>
      <c r="AG834" s="28"/>
      <c r="AH834" s="28"/>
      <c r="AI834" s="20" t="str">
        <f>IF(AG834="","",IF($F834="Bernardino Furlan",_xlfn.XLOOKUP(AG834,Cadastros!$G$6:$G$90,Cadastros!$H$6:$H$90)*(1-0.18),IF($F834="Mauro José Salanti",_xlfn.XLOOKUP(AG834,Cadastros!$G$6:$G$90,Cadastros!$H$6:$H$90)*(1-0.18),_xlfn.XLOOKUP(AG834,Cadastros!$G$6:$G$90,Cadastros!$H$6:$H$90))))</f>
        <v/>
      </c>
      <c r="AJ834" s="168" t="str">
        <f t="shared" si="163"/>
        <v/>
      </c>
      <c r="AK834" s="168" t="str">
        <f t="shared" si="164"/>
        <v/>
      </c>
      <c r="AL834" s="28"/>
      <c r="AM834" s="28"/>
      <c r="AN834" s="20" t="str">
        <f>IF(AL834="","",IF($F834="Bernardino Furlan",_xlfn.XLOOKUP(AL834,Cadastros!$G$6:$G$90,Cadastros!$H$6:$H$90)*(1-0.18),IF($F834="Mauro José Salanti",_xlfn.XLOOKUP(AL834,Cadastros!$G$6:$G$90,Cadastros!$H$6:$H$90)*(1-0.18),_xlfn.XLOOKUP(AL834,Cadastros!$G$6:$G$90,Cadastros!$H$6:$H$90))))</f>
        <v/>
      </c>
      <c r="AO834" s="168" t="str">
        <f t="shared" si="165"/>
        <v/>
      </c>
      <c r="AP834" s="168" t="str">
        <f t="shared" si="166"/>
        <v/>
      </c>
      <c r="AQ834" s="28"/>
      <c r="AR834" s="28"/>
      <c r="AS834" s="20" t="str">
        <f>IF(AQ834="","",IF($F834="Bernardino Furlan",_xlfn.XLOOKUP(AQ834,Cadastros!$G$6:$G$90,Cadastros!$H$6:$H$90)*(1-0.18),IF($F834="Mauro José Salanti",_xlfn.XLOOKUP(AQ834,Cadastros!$G$6:$G$90,Cadastros!$H$6:$H$90)*(1-0.18),_xlfn.XLOOKUP(AQ834,Cadastros!$G$6:$G$90,Cadastros!$H$6:$H$90))))</f>
        <v/>
      </c>
      <c r="AT834" s="168" t="str">
        <f t="shared" si="167"/>
        <v/>
      </c>
      <c r="AU834" s="168" t="str">
        <f t="shared" si="168"/>
        <v/>
      </c>
      <c r="AV834" s="227"/>
      <c r="AW834" s="30"/>
      <c r="AX834" s="267"/>
      <c r="AY834" s="267"/>
      <c r="AZ834" s="29"/>
      <c r="BA834" s="30"/>
      <c r="BB834" s="23" t="str" cm="1">
        <f t="array" ref="BB834">_xlfn.IFS(AW834="SIM",SUM(K834,P834,U834,Z834,AE834,AJ834,AO834,AT834,AX834,AY834),F834&lt;&gt;"",SUM(K834,P834,U834,Z834,AE834,AJ834,,AO834,AT834),F834="","")</f>
        <v/>
      </c>
      <c r="BC834" s="211" t="str" cm="1">
        <f t="array" ref="BC834">_xlfn.IFS(E834="","",G834&lt;=E834,BB834*(1-0.03),G834&lt;(E834+8),BB834,AZ834="Boleto",BB834*(1+0.001)^DATEDIF(E834,G834,"D"),AZ834="Cheque",BB834,AZ834="Dinheiro","Alterar forma pgto")</f>
        <v/>
      </c>
      <c r="BD834" s="276" t="str" cm="1">
        <f t="array" ref="BD834">IF(F834=0," ",IF(BC834&lt;BB834,(_xlfn.IFS(AW834="SIM",SUM(L834,Q834,V834,AA834,AF834,AK834,AP834,AU834)+AX834/_xlfn.XLOOKUP(_xlfn.XLOOKUP($F834,Clientes!$B$4:$B$39,Clientes!$C$4:$C$39),Cadastros!$L$6:$L$12,Cadastros!$M$6:$M$12)+IF($F834="Bernardino Furlan",AY834/2751.92,IF($F834="Mauro José Salanti",AY834/2751.92,AY834/3356)),F834&lt;&gt;0,SUM(L834,Q834,V834,AA834,AF834,AK834,AP834,AU834)))*(1-0.03),_xlfn.IFS(AW834="SIM",SUM(L834,Q834,V834,AA834,AF834,AK834,AP834,AU834)+AX834/_xlfn.XLOOKUP(_xlfn.XLOOKUP($F834,Clientes!$B$4:$B$39,Clientes!$C$4:$C$39),Cadastros!$L$6:$L$12,Cadastros!$M$6:$M$12)+IF($F834="Bernardino Furlan",AY834/2751.92,IF($F834="Mauro José Salanti",AY834/2751.92,AY834/3356)),F834&lt;&gt;0,SUM(L834,Q834,V834,AA834,AF834,AK834,AP834,AU834))))</f>
        <v xml:space="preserve"> </v>
      </c>
      <c r="BE834" s="120"/>
      <c r="BF834" s="120"/>
      <c r="BG834" s="120"/>
    </row>
    <row r="835" spans="1:59" s="3" customFormat="1" x14ac:dyDescent="0.3">
      <c r="A835" s="15" t="str">
        <f t="shared" si="156"/>
        <v/>
      </c>
      <c r="B835" s="25"/>
      <c r="C835" s="26"/>
      <c r="D835" s="279"/>
      <c r="E835" s="27"/>
      <c r="F835" s="28"/>
      <c r="G835" s="27"/>
      <c r="H835" s="28"/>
      <c r="I835" s="28"/>
      <c r="J835" s="255" t="str">
        <f>IF(H835="","",(_xlfn.XLOOKUP(H835,Cadastros!$D$6:$D$90,Cadastros!$E$6:$E$90))*(1-_xlfn.XLOOKUP(_xlfn.XLOOKUP($F835,Clientes!$B$4:$B$39,Clientes!$C$4:$C$39),Cadastros!$L$6:$L$12,Cadastros!$N$6:$N$12)))</f>
        <v/>
      </c>
      <c r="K835" s="168" t="str">
        <f t="shared" si="157"/>
        <v/>
      </c>
      <c r="L835" s="168" t="str">
        <f>IFERROR(K835/_xlfn.XLOOKUP(_xlfn.XLOOKUP($F835,Clientes!$B$4:$B$39,Clientes!$C$4:$C$39),Cadastros!$L$6:$L$12,Cadastros!$M$6:$M$12)," ")</f>
        <v xml:space="preserve"> </v>
      </c>
      <c r="M835" s="28"/>
      <c r="N835" s="28"/>
      <c r="O835" s="255" t="str">
        <f>IF(M835="","",(_xlfn.XLOOKUP(M835,Cadastros!$D$6:$D$90,Cadastros!$E$6:$E$90))*(1-_xlfn.XLOOKUP(_xlfn.XLOOKUP($F835,Clientes!$B$4:$B$39,Clientes!$C$4:$C$39),Cadastros!$L$6:$L$12,Cadastros!$N$6:$N$12)))</f>
        <v/>
      </c>
      <c r="P835" s="168" t="str">
        <f t="shared" si="158"/>
        <v/>
      </c>
      <c r="Q835" s="168" t="str">
        <f>IFERROR(P835/_xlfn.XLOOKUP(_xlfn.XLOOKUP($F835,Clientes!$B$4:$B$39,Clientes!$C$4:$C$39),Cadastros!$L$6:$L$12,Cadastros!$M$6:$M$12)," ")</f>
        <v xml:space="preserve"> </v>
      </c>
      <c r="R835" s="28"/>
      <c r="S835" s="28"/>
      <c r="T835" s="255" t="str">
        <f>IF(R835="","",(_xlfn.XLOOKUP(R835,Cadastros!$D$6:$D$90,Cadastros!$E$6:$E$90))*(1-_xlfn.XLOOKUP(_xlfn.XLOOKUP($F835,Clientes!$B$4:$B$39,Clientes!$C$4:$C$39),Cadastros!$L$6:$L$12,Cadastros!$N$6:$N$12)))</f>
        <v/>
      </c>
      <c r="U835" s="168" t="str">
        <f t="shared" si="159"/>
        <v/>
      </c>
      <c r="V835" s="168" t="str">
        <f>IFERROR(U835/_xlfn.XLOOKUP(_xlfn.XLOOKUP($F835,Clientes!$B$4:$B$39,Clientes!$C$4:$C$39),Cadastros!$L$6:$L$12,Cadastros!$M$6:$M$12)," ")</f>
        <v xml:space="preserve"> </v>
      </c>
      <c r="W835" s="28"/>
      <c r="X835" s="28"/>
      <c r="Y835" s="255" t="str">
        <f>IF(W835="","",(_xlfn.XLOOKUP(W835,Cadastros!$D$6:$D$90,Cadastros!$E$6:$E$90))*(1-_xlfn.XLOOKUP(_xlfn.XLOOKUP($F835,Clientes!$B$4:$B$39,Clientes!$C$4:$C$39),Cadastros!$L$6:$L$12,Cadastros!$N$6:$N$12)))</f>
        <v/>
      </c>
      <c r="Z835" s="168" t="str">
        <f t="shared" si="160"/>
        <v/>
      </c>
      <c r="AA835" s="168" t="str">
        <f>IFERROR(Z835/_xlfn.XLOOKUP(_xlfn.XLOOKUP($F835,Clientes!$B$4:$B$39,Clientes!$C$4:$C$39),Cadastros!$L$6:$L$12,Cadastros!$M$6:$M$12)," ")</f>
        <v xml:space="preserve"> </v>
      </c>
      <c r="AB835" s="28"/>
      <c r="AC835" s="28"/>
      <c r="AD835" s="20" t="str">
        <f>IF(AB835="","",IF($F835="Bernardino Furlan",_xlfn.XLOOKUP(AB835,Cadastros!$G$6:$G$90,Cadastros!$H$6:$H$90)*(1-0.18),IF($F835="Mauro José Salanti",_xlfn.XLOOKUP(AB835,Cadastros!$G$6:$G$90,Cadastros!$H$6:$H$90)*(1-0.18),_xlfn.XLOOKUP(AB835,Cadastros!$G$6:$G$90,Cadastros!$H$6:$H$90))))</f>
        <v/>
      </c>
      <c r="AE835" s="168" t="str">
        <f t="shared" si="161"/>
        <v/>
      </c>
      <c r="AF835" s="168" t="str">
        <f t="shared" si="162"/>
        <v/>
      </c>
      <c r="AG835" s="28"/>
      <c r="AH835" s="28"/>
      <c r="AI835" s="20" t="str">
        <f>IF(AG835="","",IF($F835="Bernardino Furlan",_xlfn.XLOOKUP(AG835,Cadastros!$G$6:$G$90,Cadastros!$H$6:$H$90)*(1-0.18),IF($F835="Mauro José Salanti",_xlfn.XLOOKUP(AG835,Cadastros!$G$6:$G$90,Cadastros!$H$6:$H$90)*(1-0.18),_xlfn.XLOOKUP(AG835,Cadastros!$G$6:$G$90,Cadastros!$H$6:$H$90))))</f>
        <v/>
      </c>
      <c r="AJ835" s="168" t="str">
        <f t="shared" si="163"/>
        <v/>
      </c>
      <c r="AK835" s="168" t="str">
        <f t="shared" si="164"/>
        <v/>
      </c>
      <c r="AL835" s="28"/>
      <c r="AM835" s="28"/>
      <c r="AN835" s="20" t="str">
        <f>IF(AL835="","",IF($F835="Bernardino Furlan",_xlfn.XLOOKUP(AL835,Cadastros!$G$6:$G$90,Cadastros!$H$6:$H$90)*(1-0.18),IF($F835="Mauro José Salanti",_xlfn.XLOOKUP(AL835,Cadastros!$G$6:$G$90,Cadastros!$H$6:$H$90)*(1-0.18),_xlfn.XLOOKUP(AL835,Cadastros!$G$6:$G$90,Cadastros!$H$6:$H$90))))</f>
        <v/>
      </c>
      <c r="AO835" s="168" t="str">
        <f t="shared" si="165"/>
        <v/>
      </c>
      <c r="AP835" s="168" t="str">
        <f t="shared" si="166"/>
        <v/>
      </c>
      <c r="AQ835" s="28"/>
      <c r="AR835" s="28"/>
      <c r="AS835" s="20" t="str">
        <f>IF(AQ835="","",IF($F835="Bernardino Furlan",_xlfn.XLOOKUP(AQ835,Cadastros!$G$6:$G$90,Cadastros!$H$6:$H$90)*(1-0.18),IF($F835="Mauro José Salanti",_xlfn.XLOOKUP(AQ835,Cadastros!$G$6:$G$90,Cadastros!$H$6:$H$90)*(1-0.18),_xlfn.XLOOKUP(AQ835,Cadastros!$G$6:$G$90,Cadastros!$H$6:$H$90))))</f>
        <v/>
      </c>
      <c r="AT835" s="168" t="str">
        <f t="shared" si="167"/>
        <v/>
      </c>
      <c r="AU835" s="168" t="str">
        <f t="shared" si="168"/>
        <v/>
      </c>
      <c r="AV835" s="227"/>
      <c r="AW835" s="30"/>
      <c r="AX835" s="267"/>
      <c r="AY835" s="267"/>
      <c r="AZ835" s="29"/>
      <c r="BA835" s="30"/>
      <c r="BB835" s="23" t="str" cm="1">
        <f t="array" ref="BB835">_xlfn.IFS(AW835="SIM",SUM(K835,P835,U835,Z835,AE835,AJ835,AO835,AT835,AX835,AY835),F835&lt;&gt;"",SUM(K835,P835,U835,Z835,AE835,AJ835,,AO835,AT835),F835="","")</f>
        <v/>
      </c>
      <c r="BC835" s="211" t="str" cm="1">
        <f t="array" ref="BC835">_xlfn.IFS(E835="","",G835&lt;=E835,BB835*(1-0.03),G835&lt;(E835+8),BB835,AZ835="Boleto",BB835*(1+0.001)^DATEDIF(E835,G835,"D"),AZ835="Cheque",BB835,AZ835="Dinheiro","Alterar forma pgto")</f>
        <v/>
      </c>
      <c r="BD835" s="276" t="str" cm="1">
        <f t="array" ref="BD835">IF(F835=0," ",IF(BC835&lt;BB835,(_xlfn.IFS(AW835="SIM",SUM(L835,Q835,V835,AA835,AF835,AK835,AP835,AU835)+AX835/_xlfn.XLOOKUP(_xlfn.XLOOKUP($F835,Clientes!$B$4:$B$39,Clientes!$C$4:$C$39),Cadastros!$L$6:$L$12,Cadastros!$M$6:$M$12)+IF($F835="Bernardino Furlan",AY835/2751.92,IF($F835="Mauro José Salanti",AY835/2751.92,AY835/3356)),F835&lt;&gt;0,SUM(L835,Q835,V835,AA835,AF835,AK835,AP835,AU835)))*(1-0.03),_xlfn.IFS(AW835="SIM",SUM(L835,Q835,V835,AA835,AF835,AK835,AP835,AU835)+AX835/_xlfn.XLOOKUP(_xlfn.XLOOKUP($F835,Clientes!$B$4:$B$39,Clientes!$C$4:$C$39),Cadastros!$L$6:$L$12,Cadastros!$M$6:$M$12)+IF($F835="Bernardino Furlan",AY835/2751.92,IF($F835="Mauro José Salanti",AY835/2751.92,AY835/3356)),F835&lt;&gt;0,SUM(L835,Q835,V835,AA835,AF835,AK835,AP835,AU835))))</f>
        <v xml:space="preserve"> </v>
      </c>
      <c r="BE835" s="120"/>
      <c r="BF835" s="120"/>
      <c r="BG835" s="120"/>
    </row>
    <row r="836" spans="1:59" s="3" customFormat="1" x14ac:dyDescent="0.3">
      <c r="A836" s="15" t="str">
        <f t="shared" si="156"/>
        <v/>
      </c>
      <c r="B836" s="25"/>
      <c r="C836" s="26"/>
      <c r="D836" s="279"/>
      <c r="E836" s="27"/>
      <c r="F836" s="28"/>
      <c r="G836" s="27"/>
      <c r="H836" s="28"/>
      <c r="I836" s="28"/>
      <c r="J836" s="255" t="str">
        <f>IF(H836="","",(_xlfn.XLOOKUP(H836,Cadastros!$D$6:$D$90,Cadastros!$E$6:$E$90))*(1-_xlfn.XLOOKUP(_xlfn.XLOOKUP($F836,Clientes!$B$4:$B$39,Clientes!$C$4:$C$39),Cadastros!$L$6:$L$12,Cadastros!$N$6:$N$12)))</f>
        <v/>
      </c>
      <c r="K836" s="168" t="str">
        <f t="shared" si="157"/>
        <v/>
      </c>
      <c r="L836" s="168" t="str">
        <f>IFERROR(K836/_xlfn.XLOOKUP(_xlfn.XLOOKUP($F836,Clientes!$B$4:$B$39,Clientes!$C$4:$C$39),Cadastros!$L$6:$L$12,Cadastros!$M$6:$M$12)," ")</f>
        <v xml:space="preserve"> </v>
      </c>
      <c r="M836" s="28"/>
      <c r="N836" s="28"/>
      <c r="O836" s="255" t="str">
        <f>IF(M836="","",(_xlfn.XLOOKUP(M836,Cadastros!$D$6:$D$90,Cadastros!$E$6:$E$90))*(1-_xlfn.XLOOKUP(_xlfn.XLOOKUP($F836,Clientes!$B$4:$B$39,Clientes!$C$4:$C$39),Cadastros!$L$6:$L$12,Cadastros!$N$6:$N$12)))</f>
        <v/>
      </c>
      <c r="P836" s="168" t="str">
        <f t="shared" si="158"/>
        <v/>
      </c>
      <c r="Q836" s="168" t="str">
        <f>IFERROR(P836/_xlfn.XLOOKUP(_xlfn.XLOOKUP($F836,Clientes!$B$4:$B$39,Clientes!$C$4:$C$39),Cadastros!$L$6:$L$12,Cadastros!$M$6:$M$12)," ")</f>
        <v xml:space="preserve"> </v>
      </c>
      <c r="R836" s="28"/>
      <c r="S836" s="28"/>
      <c r="T836" s="255" t="str">
        <f>IF(R836="","",(_xlfn.XLOOKUP(R836,Cadastros!$D$6:$D$90,Cadastros!$E$6:$E$90))*(1-_xlfn.XLOOKUP(_xlfn.XLOOKUP($F836,Clientes!$B$4:$B$39,Clientes!$C$4:$C$39),Cadastros!$L$6:$L$12,Cadastros!$N$6:$N$12)))</f>
        <v/>
      </c>
      <c r="U836" s="168" t="str">
        <f t="shared" si="159"/>
        <v/>
      </c>
      <c r="V836" s="168" t="str">
        <f>IFERROR(U836/_xlfn.XLOOKUP(_xlfn.XLOOKUP($F836,Clientes!$B$4:$B$39,Clientes!$C$4:$C$39),Cadastros!$L$6:$L$12,Cadastros!$M$6:$M$12)," ")</f>
        <v xml:space="preserve"> </v>
      </c>
      <c r="W836" s="28"/>
      <c r="X836" s="28"/>
      <c r="Y836" s="255" t="str">
        <f>IF(W836="","",(_xlfn.XLOOKUP(W836,Cadastros!$D$6:$D$90,Cadastros!$E$6:$E$90))*(1-_xlfn.XLOOKUP(_xlfn.XLOOKUP($F836,Clientes!$B$4:$B$39,Clientes!$C$4:$C$39),Cadastros!$L$6:$L$12,Cadastros!$N$6:$N$12)))</f>
        <v/>
      </c>
      <c r="Z836" s="168" t="str">
        <f t="shared" si="160"/>
        <v/>
      </c>
      <c r="AA836" s="168" t="str">
        <f>IFERROR(Z836/_xlfn.XLOOKUP(_xlfn.XLOOKUP($F836,Clientes!$B$4:$B$39,Clientes!$C$4:$C$39),Cadastros!$L$6:$L$12,Cadastros!$M$6:$M$12)," ")</f>
        <v xml:space="preserve"> </v>
      </c>
      <c r="AB836" s="28"/>
      <c r="AC836" s="28"/>
      <c r="AD836" s="20" t="str">
        <f>IF(AB836="","",IF($F836="Bernardino Furlan",_xlfn.XLOOKUP(AB836,Cadastros!$G$6:$G$90,Cadastros!$H$6:$H$90)*(1-0.18),IF($F836="Mauro José Salanti",_xlfn.XLOOKUP(AB836,Cadastros!$G$6:$G$90,Cadastros!$H$6:$H$90)*(1-0.18),_xlfn.XLOOKUP(AB836,Cadastros!$G$6:$G$90,Cadastros!$H$6:$H$90))))</f>
        <v/>
      </c>
      <c r="AE836" s="168" t="str">
        <f t="shared" si="161"/>
        <v/>
      </c>
      <c r="AF836" s="168" t="str">
        <f t="shared" si="162"/>
        <v/>
      </c>
      <c r="AG836" s="28"/>
      <c r="AH836" s="28"/>
      <c r="AI836" s="20" t="str">
        <f>IF(AG836="","",IF($F836="Bernardino Furlan",_xlfn.XLOOKUP(AG836,Cadastros!$G$6:$G$90,Cadastros!$H$6:$H$90)*(1-0.18),IF($F836="Mauro José Salanti",_xlfn.XLOOKUP(AG836,Cadastros!$G$6:$G$90,Cadastros!$H$6:$H$90)*(1-0.18),_xlfn.XLOOKUP(AG836,Cadastros!$G$6:$G$90,Cadastros!$H$6:$H$90))))</f>
        <v/>
      </c>
      <c r="AJ836" s="168" t="str">
        <f t="shared" si="163"/>
        <v/>
      </c>
      <c r="AK836" s="168" t="str">
        <f t="shared" si="164"/>
        <v/>
      </c>
      <c r="AL836" s="28"/>
      <c r="AM836" s="28"/>
      <c r="AN836" s="20" t="str">
        <f>IF(AL836="","",IF($F836="Bernardino Furlan",_xlfn.XLOOKUP(AL836,Cadastros!$G$6:$G$90,Cadastros!$H$6:$H$90)*(1-0.18),IF($F836="Mauro José Salanti",_xlfn.XLOOKUP(AL836,Cadastros!$G$6:$G$90,Cadastros!$H$6:$H$90)*(1-0.18),_xlfn.XLOOKUP(AL836,Cadastros!$G$6:$G$90,Cadastros!$H$6:$H$90))))</f>
        <v/>
      </c>
      <c r="AO836" s="168" t="str">
        <f t="shared" si="165"/>
        <v/>
      </c>
      <c r="AP836" s="168" t="str">
        <f t="shared" si="166"/>
        <v/>
      </c>
      <c r="AQ836" s="28"/>
      <c r="AR836" s="28"/>
      <c r="AS836" s="20" t="str">
        <f>IF(AQ836="","",IF($F836="Bernardino Furlan",_xlfn.XLOOKUP(AQ836,Cadastros!$G$6:$G$90,Cadastros!$H$6:$H$90)*(1-0.18),IF($F836="Mauro José Salanti",_xlfn.XLOOKUP(AQ836,Cadastros!$G$6:$G$90,Cadastros!$H$6:$H$90)*(1-0.18),_xlfn.XLOOKUP(AQ836,Cadastros!$G$6:$G$90,Cadastros!$H$6:$H$90))))</f>
        <v/>
      </c>
      <c r="AT836" s="168" t="str">
        <f t="shared" si="167"/>
        <v/>
      </c>
      <c r="AU836" s="168" t="str">
        <f t="shared" si="168"/>
        <v/>
      </c>
      <c r="AV836" s="227"/>
      <c r="AW836" s="30"/>
      <c r="AX836" s="267"/>
      <c r="AY836" s="267"/>
      <c r="AZ836" s="29"/>
      <c r="BA836" s="30"/>
      <c r="BB836" s="23" t="str" cm="1">
        <f t="array" ref="BB836">_xlfn.IFS(AW836="SIM",SUM(K836,P836,U836,Z836,AE836,AJ836,AO836,AT836,AX836,AY836),F836&lt;&gt;"",SUM(K836,P836,U836,Z836,AE836,AJ836,,AO836,AT836),F836="","")</f>
        <v/>
      </c>
      <c r="BC836" s="211" t="str" cm="1">
        <f t="array" ref="BC836">_xlfn.IFS(E836="","",G836&lt;=E836,BB836*(1-0.03),G836&lt;(E836+8),BB836,AZ836="Boleto",BB836*(1+0.001)^DATEDIF(E836,G836,"D"),AZ836="Cheque",BB836,AZ836="Dinheiro","Alterar forma pgto")</f>
        <v/>
      </c>
      <c r="BD836" s="276" t="str" cm="1">
        <f t="array" ref="BD836">IF(F836=0," ",IF(BC836&lt;BB836,(_xlfn.IFS(AW836="SIM",SUM(L836,Q836,V836,AA836,AF836,AK836,AP836,AU836)+AX836/_xlfn.XLOOKUP(_xlfn.XLOOKUP($F836,Clientes!$B$4:$B$39,Clientes!$C$4:$C$39),Cadastros!$L$6:$L$12,Cadastros!$M$6:$M$12)+IF($F836="Bernardino Furlan",AY836/2751.92,IF($F836="Mauro José Salanti",AY836/2751.92,AY836/3356)),F836&lt;&gt;0,SUM(L836,Q836,V836,AA836,AF836,AK836,AP836,AU836)))*(1-0.03),_xlfn.IFS(AW836="SIM",SUM(L836,Q836,V836,AA836,AF836,AK836,AP836,AU836)+AX836/_xlfn.XLOOKUP(_xlfn.XLOOKUP($F836,Clientes!$B$4:$B$39,Clientes!$C$4:$C$39),Cadastros!$L$6:$L$12,Cadastros!$M$6:$M$12)+IF($F836="Bernardino Furlan",AY836/2751.92,IF($F836="Mauro José Salanti",AY836/2751.92,AY836/3356)),F836&lt;&gt;0,SUM(L836,Q836,V836,AA836,AF836,AK836,AP836,AU836))))</f>
        <v xml:space="preserve"> </v>
      </c>
      <c r="BE836" s="120"/>
      <c r="BF836" s="120"/>
      <c r="BG836" s="120"/>
    </row>
    <row r="837" spans="1:59" s="3" customFormat="1" x14ac:dyDescent="0.3">
      <c r="A837" s="15" t="str">
        <f t="shared" si="156"/>
        <v/>
      </c>
      <c r="B837" s="25"/>
      <c r="C837" s="26"/>
      <c r="D837" s="279"/>
      <c r="E837" s="27"/>
      <c r="F837" s="28"/>
      <c r="G837" s="27"/>
      <c r="H837" s="28"/>
      <c r="I837" s="28"/>
      <c r="J837" s="255" t="str">
        <f>IF(H837="","",(_xlfn.XLOOKUP(H837,Cadastros!$D$6:$D$90,Cadastros!$E$6:$E$90))*(1-_xlfn.XLOOKUP(_xlfn.XLOOKUP($F837,Clientes!$B$4:$B$39,Clientes!$C$4:$C$39),Cadastros!$L$6:$L$12,Cadastros!$N$6:$N$12)))</f>
        <v/>
      </c>
      <c r="K837" s="168" t="str">
        <f t="shared" si="157"/>
        <v/>
      </c>
      <c r="L837" s="168" t="str">
        <f>IFERROR(K837/_xlfn.XLOOKUP(_xlfn.XLOOKUP($F837,Clientes!$B$4:$B$39,Clientes!$C$4:$C$39),Cadastros!$L$6:$L$12,Cadastros!$M$6:$M$12)," ")</f>
        <v xml:space="preserve"> </v>
      </c>
      <c r="M837" s="28"/>
      <c r="N837" s="28"/>
      <c r="O837" s="255" t="str">
        <f>IF(M837="","",(_xlfn.XLOOKUP(M837,Cadastros!$D$6:$D$90,Cadastros!$E$6:$E$90))*(1-_xlfn.XLOOKUP(_xlfn.XLOOKUP($F837,Clientes!$B$4:$B$39,Clientes!$C$4:$C$39),Cadastros!$L$6:$L$12,Cadastros!$N$6:$N$12)))</f>
        <v/>
      </c>
      <c r="P837" s="168" t="str">
        <f t="shared" si="158"/>
        <v/>
      </c>
      <c r="Q837" s="168" t="str">
        <f>IFERROR(P837/_xlfn.XLOOKUP(_xlfn.XLOOKUP($F837,Clientes!$B$4:$B$39,Clientes!$C$4:$C$39),Cadastros!$L$6:$L$12,Cadastros!$M$6:$M$12)," ")</f>
        <v xml:space="preserve"> </v>
      </c>
      <c r="R837" s="28"/>
      <c r="S837" s="28"/>
      <c r="T837" s="255" t="str">
        <f>IF(R837="","",(_xlfn.XLOOKUP(R837,Cadastros!$D$6:$D$90,Cadastros!$E$6:$E$90))*(1-_xlfn.XLOOKUP(_xlfn.XLOOKUP($F837,Clientes!$B$4:$B$39,Clientes!$C$4:$C$39),Cadastros!$L$6:$L$12,Cadastros!$N$6:$N$12)))</f>
        <v/>
      </c>
      <c r="U837" s="168" t="str">
        <f t="shared" si="159"/>
        <v/>
      </c>
      <c r="V837" s="168" t="str">
        <f>IFERROR(U837/_xlfn.XLOOKUP(_xlfn.XLOOKUP($F837,Clientes!$B$4:$B$39,Clientes!$C$4:$C$39),Cadastros!$L$6:$L$12,Cadastros!$M$6:$M$12)," ")</f>
        <v xml:space="preserve"> </v>
      </c>
      <c r="W837" s="28"/>
      <c r="X837" s="28"/>
      <c r="Y837" s="255" t="str">
        <f>IF(W837="","",(_xlfn.XLOOKUP(W837,Cadastros!$D$6:$D$90,Cadastros!$E$6:$E$90))*(1-_xlfn.XLOOKUP(_xlfn.XLOOKUP($F837,Clientes!$B$4:$B$39,Clientes!$C$4:$C$39),Cadastros!$L$6:$L$12,Cadastros!$N$6:$N$12)))</f>
        <v/>
      </c>
      <c r="Z837" s="168" t="str">
        <f t="shared" si="160"/>
        <v/>
      </c>
      <c r="AA837" s="168" t="str">
        <f>IFERROR(Z837/_xlfn.XLOOKUP(_xlfn.XLOOKUP($F837,Clientes!$B$4:$B$39,Clientes!$C$4:$C$39),Cadastros!$L$6:$L$12,Cadastros!$M$6:$M$12)," ")</f>
        <v xml:space="preserve"> </v>
      </c>
      <c r="AB837" s="28"/>
      <c r="AC837" s="28"/>
      <c r="AD837" s="20" t="str">
        <f>IF(AB837="","",IF($F837="Bernardino Furlan",_xlfn.XLOOKUP(AB837,Cadastros!$G$6:$G$90,Cadastros!$H$6:$H$90)*(1-0.18),IF($F837="Mauro José Salanti",_xlfn.XLOOKUP(AB837,Cadastros!$G$6:$G$90,Cadastros!$H$6:$H$90)*(1-0.18),_xlfn.XLOOKUP(AB837,Cadastros!$G$6:$G$90,Cadastros!$H$6:$H$90))))</f>
        <v/>
      </c>
      <c r="AE837" s="168" t="str">
        <f t="shared" si="161"/>
        <v/>
      </c>
      <c r="AF837" s="168" t="str">
        <f t="shared" si="162"/>
        <v/>
      </c>
      <c r="AG837" s="28"/>
      <c r="AH837" s="28"/>
      <c r="AI837" s="20" t="str">
        <f>IF(AG837="","",IF($F837="Bernardino Furlan",_xlfn.XLOOKUP(AG837,Cadastros!$G$6:$G$90,Cadastros!$H$6:$H$90)*(1-0.18),IF($F837="Mauro José Salanti",_xlfn.XLOOKUP(AG837,Cadastros!$G$6:$G$90,Cadastros!$H$6:$H$90)*(1-0.18),_xlfn.XLOOKUP(AG837,Cadastros!$G$6:$G$90,Cadastros!$H$6:$H$90))))</f>
        <v/>
      </c>
      <c r="AJ837" s="168" t="str">
        <f t="shared" si="163"/>
        <v/>
      </c>
      <c r="AK837" s="168" t="str">
        <f t="shared" si="164"/>
        <v/>
      </c>
      <c r="AL837" s="28"/>
      <c r="AM837" s="28"/>
      <c r="AN837" s="20" t="str">
        <f>IF(AL837="","",IF($F837="Bernardino Furlan",_xlfn.XLOOKUP(AL837,Cadastros!$G$6:$G$90,Cadastros!$H$6:$H$90)*(1-0.18),IF($F837="Mauro José Salanti",_xlfn.XLOOKUP(AL837,Cadastros!$G$6:$G$90,Cadastros!$H$6:$H$90)*(1-0.18),_xlfn.XLOOKUP(AL837,Cadastros!$G$6:$G$90,Cadastros!$H$6:$H$90))))</f>
        <v/>
      </c>
      <c r="AO837" s="168" t="str">
        <f t="shared" si="165"/>
        <v/>
      </c>
      <c r="AP837" s="168" t="str">
        <f t="shared" si="166"/>
        <v/>
      </c>
      <c r="AQ837" s="28"/>
      <c r="AR837" s="28"/>
      <c r="AS837" s="20" t="str">
        <f>IF(AQ837="","",IF($F837="Bernardino Furlan",_xlfn.XLOOKUP(AQ837,Cadastros!$G$6:$G$90,Cadastros!$H$6:$H$90)*(1-0.18),IF($F837="Mauro José Salanti",_xlfn.XLOOKUP(AQ837,Cadastros!$G$6:$G$90,Cadastros!$H$6:$H$90)*(1-0.18),_xlfn.XLOOKUP(AQ837,Cadastros!$G$6:$G$90,Cadastros!$H$6:$H$90))))</f>
        <v/>
      </c>
      <c r="AT837" s="168" t="str">
        <f t="shared" si="167"/>
        <v/>
      </c>
      <c r="AU837" s="168" t="str">
        <f t="shared" si="168"/>
        <v/>
      </c>
      <c r="AV837" s="227"/>
      <c r="AW837" s="30"/>
      <c r="AX837" s="267"/>
      <c r="AY837" s="267"/>
      <c r="AZ837" s="29"/>
      <c r="BA837" s="30"/>
      <c r="BB837" s="23" t="str" cm="1">
        <f t="array" ref="BB837">_xlfn.IFS(AW837="SIM",SUM(K837,P837,U837,Z837,AE837,AJ837,AO837,AT837,AX837,AY837),F837&lt;&gt;"",SUM(K837,P837,U837,Z837,AE837,AJ837,,AO837,AT837),F837="","")</f>
        <v/>
      </c>
      <c r="BC837" s="211" t="str" cm="1">
        <f t="array" ref="BC837">_xlfn.IFS(E837="","",G837&lt;=E837,BB837*(1-0.03),G837&lt;(E837+8),BB837,AZ837="Boleto",BB837*(1+0.001)^DATEDIF(E837,G837,"D"),AZ837="Cheque",BB837,AZ837="Dinheiro","Alterar forma pgto")</f>
        <v/>
      </c>
      <c r="BD837" s="276" t="str" cm="1">
        <f t="array" ref="BD837">IF(F837=0," ",IF(BC837&lt;BB837,(_xlfn.IFS(AW837="SIM",SUM(L837,Q837,V837,AA837,AF837,AK837,AP837,AU837)+AX837/_xlfn.XLOOKUP(_xlfn.XLOOKUP($F837,Clientes!$B$4:$B$39,Clientes!$C$4:$C$39),Cadastros!$L$6:$L$12,Cadastros!$M$6:$M$12)+IF($F837="Bernardino Furlan",AY837/2751.92,IF($F837="Mauro José Salanti",AY837/2751.92,AY837/3356)),F837&lt;&gt;0,SUM(L837,Q837,V837,AA837,AF837,AK837,AP837,AU837)))*(1-0.03),_xlfn.IFS(AW837="SIM",SUM(L837,Q837,V837,AA837,AF837,AK837,AP837,AU837)+AX837/_xlfn.XLOOKUP(_xlfn.XLOOKUP($F837,Clientes!$B$4:$B$39,Clientes!$C$4:$C$39),Cadastros!$L$6:$L$12,Cadastros!$M$6:$M$12)+IF($F837="Bernardino Furlan",AY837/2751.92,IF($F837="Mauro José Salanti",AY837/2751.92,AY837/3356)),F837&lt;&gt;0,SUM(L837,Q837,V837,AA837,AF837,AK837,AP837,AU837))))</f>
        <v xml:space="preserve"> </v>
      </c>
      <c r="BE837" s="120"/>
      <c r="BF837" s="120"/>
      <c r="BG837" s="120"/>
    </row>
    <row r="838" spans="1:59" s="3" customFormat="1" x14ac:dyDescent="0.3">
      <c r="A838" s="15" t="str">
        <f t="shared" si="156"/>
        <v/>
      </c>
      <c r="B838" s="25"/>
      <c r="C838" s="26"/>
      <c r="D838" s="279"/>
      <c r="E838" s="27"/>
      <c r="F838" s="28"/>
      <c r="G838" s="27"/>
      <c r="H838" s="28"/>
      <c r="I838" s="28"/>
      <c r="J838" s="255" t="str">
        <f>IF(H838="","",(_xlfn.XLOOKUP(H838,Cadastros!$D$6:$D$90,Cadastros!$E$6:$E$90))*(1-_xlfn.XLOOKUP(_xlfn.XLOOKUP($F838,Clientes!$B$4:$B$39,Clientes!$C$4:$C$39),Cadastros!$L$6:$L$12,Cadastros!$N$6:$N$12)))</f>
        <v/>
      </c>
      <c r="K838" s="168" t="str">
        <f t="shared" si="157"/>
        <v/>
      </c>
      <c r="L838" s="168" t="str">
        <f>IFERROR(K838/_xlfn.XLOOKUP(_xlfn.XLOOKUP($F838,Clientes!$B$4:$B$39,Clientes!$C$4:$C$39),Cadastros!$L$6:$L$12,Cadastros!$M$6:$M$12)," ")</f>
        <v xml:space="preserve"> </v>
      </c>
      <c r="M838" s="28"/>
      <c r="N838" s="28"/>
      <c r="O838" s="255" t="str">
        <f>IF(M838="","",(_xlfn.XLOOKUP(M838,Cadastros!$D$6:$D$90,Cadastros!$E$6:$E$90))*(1-_xlfn.XLOOKUP(_xlfn.XLOOKUP($F838,Clientes!$B$4:$B$39,Clientes!$C$4:$C$39),Cadastros!$L$6:$L$12,Cadastros!$N$6:$N$12)))</f>
        <v/>
      </c>
      <c r="P838" s="168" t="str">
        <f t="shared" si="158"/>
        <v/>
      </c>
      <c r="Q838" s="168" t="str">
        <f>IFERROR(P838/_xlfn.XLOOKUP(_xlfn.XLOOKUP($F838,Clientes!$B$4:$B$39,Clientes!$C$4:$C$39),Cadastros!$L$6:$L$12,Cadastros!$M$6:$M$12)," ")</f>
        <v xml:space="preserve"> </v>
      </c>
      <c r="R838" s="28"/>
      <c r="S838" s="28"/>
      <c r="T838" s="255" t="str">
        <f>IF(R838="","",(_xlfn.XLOOKUP(R838,Cadastros!$D$6:$D$90,Cadastros!$E$6:$E$90))*(1-_xlfn.XLOOKUP(_xlfn.XLOOKUP($F838,Clientes!$B$4:$B$39,Clientes!$C$4:$C$39),Cadastros!$L$6:$L$12,Cadastros!$N$6:$N$12)))</f>
        <v/>
      </c>
      <c r="U838" s="168" t="str">
        <f t="shared" si="159"/>
        <v/>
      </c>
      <c r="V838" s="168" t="str">
        <f>IFERROR(U838/_xlfn.XLOOKUP(_xlfn.XLOOKUP($F838,Clientes!$B$4:$B$39,Clientes!$C$4:$C$39),Cadastros!$L$6:$L$12,Cadastros!$M$6:$M$12)," ")</f>
        <v xml:space="preserve"> </v>
      </c>
      <c r="W838" s="28"/>
      <c r="X838" s="28"/>
      <c r="Y838" s="255" t="str">
        <f>IF(W838="","",(_xlfn.XLOOKUP(W838,Cadastros!$D$6:$D$90,Cadastros!$E$6:$E$90))*(1-_xlfn.XLOOKUP(_xlfn.XLOOKUP($F838,Clientes!$B$4:$B$39,Clientes!$C$4:$C$39),Cadastros!$L$6:$L$12,Cadastros!$N$6:$N$12)))</f>
        <v/>
      </c>
      <c r="Z838" s="168" t="str">
        <f t="shared" si="160"/>
        <v/>
      </c>
      <c r="AA838" s="168" t="str">
        <f>IFERROR(Z838/_xlfn.XLOOKUP(_xlfn.XLOOKUP($F838,Clientes!$B$4:$B$39,Clientes!$C$4:$C$39),Cadastros!$L$6:$L$12,Cadastros!$M$6:$M$12)," ")</f>
        <v xml:space="preserve"> </v>
      </c>
      <c r="AB838" s="28"/>
      <c r="AC838" s="28"/>
      <c r="AD838" s="20" t="str">
        <f>IF(AB838="","",IF($F838="Bernardino Furlan",_xlfn.XLOOKUP(AB838,Cadastros!$G$6:$G$90,Cadastros!$H$6:$H$90)*(1-0.18),IF($F838="Mauro José Salanti",_xlfn.XLOOKUP(AB838,Cadastros!$G$6:$G$90,Cadastros!$H$6:$H$90)*(1-0.18),_xlfn.XLOOKUP(AB838,Cadastros!$G$6:$G$90,Cadastros!$H$6:$H$90))))</f>
        <v/>
      </c>
      <c r="AE838" s="168" t="str">
        <f t="shared" si="161"/>
        <v/>
      </c>
      <c r="AF838" s="168" t="str">
        <f t="shared" si="162"/>
        <v/>
      </c>
      <c r="AG838" s="28"/>
      <c r="AH838" s="28"/>
      <c r="AI838" s="20" t="str">
        <f>IF(AG838="","",IF($F838="Bernardino Furlan",_xlfn.XLOOKUP(AG838,Cadastros!$G$6:$G$90,Cadastros!$H$6:$H$90)*(1-0.18),IF($F838="Mauro José Salanti",_xlfn.XLOOKUP(AG838,Cadastros!$G$6:$G$90,Cadastros!$H$6:$H$90)*(1-0.18),_xlfn.XLOOKUP(AG838,Cadastros!$G$6:$G$90,Cadastros!$H$6:$H$90))))</f>
        <v/>
      </c>
      <c r="AJ838" s="168" t="str">
        <f t="shared" si="163"/>
        <v/>
      </c>
      <c r="AK838" s="168" t="str">
        <f t="shared" si="164"/>
        <v/>
      </c>
      <c r="AL838" s="28"/>
      <c r="AM838" s="28"/>
      <c r="AN838" s="20" t="str">
        <f>IF(AL838="","",IF($F838="Bernardino Furlan",_xlfn.XLOOKUP(AL838,Cadastros!$G$6:$G$90,Cadastros!$H$6:$H$90)*(1-0.18),IF($F838="Mauro José Salanti",_xlfn.XLOOKUP(AL838,Cadastros!$G$6:$G$90,Cadastros!$H$6:$H$90)*(1-0.18),_xlfn.XLOOKUP(AL838,Cadastros!$G$6:$G$90,Cadastros!$H$6:$H$90))))</f>
        <v/>
      </c>
      <c r="AO838" s="168" t="str">
        <f t="shared" si="165"/>
        <v/>
      </c>
      <c r="AP838" s="168" t="str">
        <f t="shared" si="166"/>
        <v/>
      </c>
      <c r="AQ838" s="28"/>
      <c r="AR838" s="28"/>
      <c r="AS838" s="20" t="str">
        <f>IF(AQ838="","",IF($F838="Bernardino Furlan",_xlfn.XLOOKUP(AQ838,Cadastros!$G$6:$G$90,Cadastros!$H$6:$H$90)*(1-0.18),IF($F838="Mauro José Salanti",_xlfn.XLOOKUP(AQ838,Cadastros!$G$6:$G$90,Cadastros!$H$6:$H$90)*(1-0.18),_xlfn.XLOOKUP(AQ838,Cadastros!$G$6:$G$90,Cadastros!$H$6:$H$90))))</f>
        <v/>
      </c>
      <c r="AT838" s="168" t="str">
        <f t="shared" si="167"/>
        <v/>
      </c>
      <c r="AU838" s="168" t="str">
        <f t="shared" si="168"/>
        <v/>
      </c>
      <c r="AV838" s="227"/>
      <c r="AW838" s="30"/>
      <c r="AX838" s="267"/>
      <c r="AY838" s="267"/>
      <c r="AZ838" s="29"/>
      <c r="BA838" s="30"/>
      <c r="BB838" s="23" t="str" cm="1">
        <f t="array" ref="BB838">_xlfn.IFS(AW838="SIM",SUM(K838,P838,U838,Z838,AE838,AJ838,AO838,AT838,AX838,AY838),F838&lt;&gt;"",SUM(K838,P838,U838,Z838,AE838,AJ838,,AO838,AT838),F838="","")</f>
        <v/>
      </c>
      <c r="BC838" s="211" t="str" cm="1">
        <f t="array" ref="BC838">_xlfn.IFS(E838="","",G838&lt;=E838,BB838*(1-0.03),G838&lt;(E838+8),BB838,AZ838="Boleto",BB838*(1+0.001)^DATEDIF(E838,G838,"D"),AZ838="Cheque",BB838,AZ838="Dinheiro","Alterar forma pgto")</f>
        <v/>
      </c>
      <c r="BD838" s="276" t="str" cm="1">
        <f t="array" ref="BD838">IF(F838=0," ",IF(BC838&lt;BB838,(_xlfn.IFS(AW838="SIM",SUM(L838,Q838,V838,AA838,AF838,AK838,AP838,AU838)+AX838/_xlfn.XLOOKUP(_xlfn.XLOOKUP($F838,Clientes!$B$4:$B$39,Clientes!$C$4:$C$39),Cadastros!$L$6:$L$12,Cadastros!$M$6:$M$12)+IF($F838="Bernardino Furlan",AY838/2751.92,IF($F838="Mauro José Salanti",AY838/2751.92,AY838/3356)),F838&lt;&gt;0,SUM(L838,Q838,V838,AA838,AF838,AK838,AP838,AU838)))*(1-0.03),_xlfn.IFS(AW838="SIM",SUM(L838,Q838,V838,AA838,AF838,AK838,AP838,AU838)+AX838/_xlfn.XLOOKUP(_xlfn.XLOOKUP($F838,Clientes!$B$4:$B$39,Clientes!$C$4:$C$39),Cadastros!$L$6:$L$12,Cadastros!$M$6:$M$12)+IF($F838="Bernardino Furlan",AY838/2751.92,IF($F838="Mauro José Salanti",AY838/2751.92,AY838/3356)),F838&lt;&gt;0,SUM(L838,Q838,V838,AA838,AF838,AK838,AP838,AU838))))</f>
        <v xml:space="preserve"> </v>
      </c>
      <c r="BE838" s="120"/>
      <c r="BF838" s="120"/>
      <c r="BG838" s="120"/>
    </row>
    <row r="839" spans="1:59" s="3" customFormat="1" x14ac:dyDescent="0.3">
      <c r="A839" s="15" t="str">
        <f t="shared" si="156"/>
        <v/>
      </c>
      <c r="B839" s="25"/>
      <c r="C839" s="26"/>
      <c r="D839" s="279"/>
      <c r="E839" s="27"/>
      <c r="F839" s="28"/>
      <c r="G839" s="27"/>
      <c r="H839" s="28"/>
      <c r="I839" s="28"/>
      <c r="J839" s="255" t="str">
        <f>IF(H839="","",(_xlfn.XLOOKUP(H839,Cadastros!$D$6:$D$90,Cadastros!$E$6:$E$90))*(1-_xlfn.XLOOKUP(_xlfn.XLOOKUP($F839,Clientes!$B$4:$B$39,Clientes!$C$4:$C$39),Cadastros!$L$6:$L$12,Cadastros!$N$6:$N$12)))</f>
        <v/>
      </c>
      <c r="K839" s="168" t="str">
        <f t="shared" si="157"/>
        <v/>
      </c>
      <c r="L839" s="168" t="str">
        <f>IFERROR(K839/_xlfn.XLOOKUP(_xlfn.XLOOKUP($F839,Clientes!$B$4:$B$39,Clientes!$C$4:$C$39),Cadastros!$L$6:$L$12,Cadastros!$M$6:$M$12)," ")</f>
        <v xml:space="preserve"> </v>
      </c>
      <c r="M839" s="28"/>
      <c r="N839" s="28"/>
      <c r="O839" s="255" t="str">
        <f>IF(M839="","",(_xlfn.XLOOKUP(M839,Cadastros!$D$6:$D$90,Cadastros!$E$6:$E$90))*(1-_xlfn.XLOOKUP(_xlfn.XLOOKUP($F839,Clientes!$B$4:$B$39,Clientes!$C$4:$C$39),Cadastros!$L$6:$L$12,Cadastros!$N$6:$N$12)))</f>
        <v/>
      </c>
      <c r="P839" s="168" t="str">
        <f t="shared" si="158"/>
        <v/>
      </c>
      <c r="Q839" s="168" t="str">
        <f>IFERROR(P839/_xlfn.XLOOKUP(_xlfn.XLOOKUP($F839,Clientes!$B$4:$B$39,Clientes!$C$4:$C$39),Cadastros!$L$6:$L$12,Cadastros!$M$6:$M$12)," ")</f>
        <v xml:space="preserve"> </v>
      </c>
      <c r="R839" s="28"/>
      <c r="S839" s="28"/>
      <c r="T839" s="255" t="str">
        <f>IF(R839="","",(_xlfn.XLOOKUP(R839,Cadastros!$D$6:$D$90,Cadastros!$E$6:$E$90))*(1-_xlfn.XLOOKUP(_xlfn.XLOOKUP($F839,Clientes!$B$4:$B$39,Clientes!$C$4:$C$39),Cadastros!$L$6:$L$12,Cadastros!$N$6:$N$12)))</f>
        <v/>
      </c>
      <c r="U839" s="168" t="str">
        <f t="shared" si="159"/>
        <v/>
      </c>
      <c r="V839" s="168" t="str">
        <f>IFERROR(U839/_xlfn.XLOOKUP(_xlfn.XLOOKUP($F839,Clientes!$B$4:$B$39,Clientes!$C$4:$C$39),Cadastros!$L$6:$L$12,Cadastros!$M$6:$M$12)," ")</f>
        <v xml:space="preserve"> </v>
      </c>
      <c r="W839" s="28"/>
      <c r="X839" s="28"/>
      <c r="Y839" s="255" t="str">
        <f>IF(W839="","",(_xlfn.XLOOKUP(W839,Cadastros!$D$6:$D$90,Cadastros!$E$6:$E$90))*(1-_xlfn.XLOOKUP(_xlfn.XLOOKUP($F839,Clientes!$B$4:$B$39,Clientes!$C$4:$C$39),Cadastros!$L$6:$L$12,Cadastros!$N$6:$N$12)))</f>
        <v/>
      </c>
      <c r="Z839" s="168" t="str">
        <f t="shared" si="160"/>
        <v/>
      </c>
      <c r="AA839" s="168" t="str">
        <f>IFERROR(Z839/_xlfn.XLOOKUP(_xlfn.XLOOKUP($F839,Clientes!$B$4:$B$39,Clientes!$C$4:$C$39),Cadastros!$L$6:$L$12,Cadastros!$M$6:$M$12)," ")</f>
        <v xml:space="preserve"> </v>
      </c>
      <c r="AB839" s="28"/>
      <c r="AC839" s="28"/>
      <c r="AD839" s="20" t="str">
        <f>IF(AB839="","",IF($F839="Bernardino Furlan",_xlfn.XLOOKUP(AB839,Cadastros!$G$6:$G$90,Cadastros!$H$6:$H$90)*(1-0.18),IF($F839="Mauro José Salanti",_xlfn.XLOOKUP(AB839,Cadastros!$G$6:$G$90,Cadastros!$H$6:$H$90)*(1-0.18),_xlfn.XLOOKUP(AB839,Cadastros!$G$6:$G$90,Cadastros!$H$6:$H$90))))</f>
        <v/>
      </c>
      <c r="AE839" s="168" t="str">
        <f t="shared" si="161"/>
        <v/>
      </c>
      <c r="AF839" s="168" t="str">
        <f t="shared" si="162"/>
        <v/>
      </c>
      <c r="AG839" s="28"/>
      <c r="AH839" s="28"/>
      <c r="AI839" s="20" t="str">
        <f>IF(AG839="","",IF($F839="Bernardino Furlan",_xlfn.XLOOKUP(AG839,Cadastros!$G$6:$G$90,Cadastros!$H$6:$H$90)*(1-0.18),IF($F839="Mauro José Salanti",_xlfn.XLOOKUP(AG839,Cadastros!$G$6:$G$90,Cadastros!$H$6:$H$90)*(1-0.18),_xlfn.XLOOKUP(AG839,Cadastros!$G$6:$G$90,Cadastros!$H$6:$H$90))))</f>
        <v/>
      </c>
      <c r="AJ839" s="168" t="str">
        <f t="shared" si="163"/>
        <v/>
      </c>
      <c r="AK839" s="168" t="str">
        <f t="shared" si="164"/>
        <v/>
      </c>
      <c r="AL839" s="28"/>
      <c r="AM839" s="28"/>
      <c r="AN839" s="20" t="str">
        <f>IF(AL839="","",IF($F839="Bernardino Furlan",_xlfn.XLOOKUP(AL839,Cadastros!$G$6:$G$90,Cadastros!$H$6:$H$90)*(1-0.18),IF($F839="Mauro José Salanti",_xlfn.XLOOKUP(AL839,Cadastros!$G$6:$G$90,Cadastros!$H$6:$H$90)*(1-0.18),_xlfn.XLOOKUP(AL839,Cadastros!$G$6:$G$90,Cadastros!$H$6:$H$90))))</f>
        <v/>
      </c>
      <c r="AO839" s="168" t="str">
        <f t="shared" si="165"/>
        <v/>
      </c>
      <c r="AP839" s="168" t="str">
        <f t="shared" si="166"/>
        <v/>
      </c>
      <c r="AQ839" s="28"/>
      <c r="AR839" s="28"/>
      <c r="AS839" s="20" t="str">
        <f>IF(AQ839="","",IF($F839="Bernardino Furlan",_xlfn.XLOOKUP(AQ839,Cadastros!$G$6:$G$90,Cadastros!$H$6:$H$90)*(1-0.18),IF($F839="Mauro José Salanti",_xlfn.XLOOKUP(AQ839,Cadastros!$G$6:$G$90,Cadastros!$H$6:$H$90)*(1-0.18),_xlfn.XLOOKUP(AQ839,Cadastros!$G$6:$G$90,Cadastros!$H$6:$H$90))))</f>
        <v/>
      </c>
      <c r="AT839" s="168" t="str">
        <f t="shared" si="167"/>
        <v/>
      </c>
      <c r="AU839" s="168" t="str">
        <f t="shared" si="168"/>
        <v/>
      </c>
      <c r="AV839" s="227"/>
      <c r="AW839" s="30"/>
      <c r="AX839" s="267"/>
      <c r="AY839" s="267"/>
      <c r="AZ839" s="29"/>
      <c r="BA839" s="30"/>
      <c r="BB839" s="23" t="str" cm="1">
        <f t="array" ref="BB839">_xlfn.IFS(AW839="SIM",SUM(K839,P839,U839,Z839,AE839,AJ839,AO839,AT839,AX839,AY839),F839&lt;&gt;"",SUM(K839,P839,U839,Z839,AE839,AJ839,,AO839,AT839),F839="","")</f>
        <v/>
      </c>
      <c r="BC839" s="211" t="str" cm="1">
        <f t="array" ref="BC839">_xlfn.IFS(E839="","",G839&lt;=E839,BB839*(1-0.03),G839&lt;(E839+8),BB839,AZ839="Boleto",BB839*(1+0.001)^DATEDIF(E839,G839,"D"),AZ839="Cheque",BB839,AZ839="Dinheiro","Alterar forma pgto")</f>
        <v/>
      </c>
      <c r="BD839" s="276" t="str" cm="1">
        <f t="array" ref="BD839">IF(F839=0," ",IF(BC839&lt;BB839,(_xlfn.IFS(AW839="SIM",SUM(L839,Q839,V839,AA839,AF839,AK839,AP839,AU839)+AX839/_xlfn.XLOOKUP(_xlfn.XLOOKUP($F839,Clientes!$B$4:$B$39,Clientes!$C$4:$C$39),Cadastros!$L$6:$L$12,Cadastros!$M$6:$M$12)+IF($F839="Bernardino Furlan",AY839/2751.92,IF($F839="Mauro José Salanti",AY839/2751.92,AY839/3356)),F839&lt;&gt;0,SUM(L839,Q839,V839,AA839,AF839,AK839,AP839,AU839)))*(1-0.03),_xlfn.IFS(AW839="SIM",SUM(L839,Q839,V839,AA839,AF839,AK839,AP839,AU839)+AX839/_xlfn.XLOOKUP(_xlfn.XLOOKUP($F839,Clientes!$B$4:$B$39,Clientes!$C$4:$C$39),Cadastros!$L$6:$L$12,Cadastros!$M$6:$M$12)+IF($F839="Bernardino Furlan",AY839/2751.92,IF($F839="Mauro José Salanti",AY839/2751.92,AY839/3356)),F839&lt;&gt;0,SUM(L839,Q839,V839,AA839,AF839,AK839,AP839,AU839))))</f>
        <v xml:space="preserve"> </v>
      </c>
      <c r="BE839" s="120"/>
      <c r="BF839" s="120"/>
      <c r="BG839" s="120"/>
    </row>
    <row r="840" spans="1:59" s="3" customFormat="1" x14ac:dyDescent="0.3">
      <c r="A840" s="15" t="str">
        <f t="shared" ref="A840:A903" si="169">IF(C840="orçamento",25%,IF(C840="aprovado",50%,IF(C840="entregue",100%,IF(C840="não aceito",0%,""))))</f>
        <v/>
      </c>
      <c r="B840" s="25"/>
      <c r="C840" s="26"/>
      <c r="D840" s="279"/>
      <c r="E840" s="27"/>
      <c r="F840" s="28"/>
      <c r="G840" s="27"/>
      <c r="H840" s="28"/>
      <c r="I840" s="28"/>
      <c r="J840" s="255" t="str">
        <f>IF(H840="","",(_xlfn.XLOOKUP(H840,Cadastros!$D$6:$D$90,Cadastros!$E$6:$E$90))*(1-_xlfn.XLOOKUP(_xlfn.XLOOKUP($F840,Clientes!$B$4:$B$39,Clientes!$C$4:$C$39),Cadastros!$L$6:$L$12,Cadastros!$N$6:$N$12)))</f>
        <v/>
      </c>
      <c r="K840" s="168" t="str">
        <f t="shared" ref="K840:K903" si="170">IF(J840="","",I840*J840)</f>
        <v/>
      </c>
      <c r="L840" s="168" t="str">
        <f>IFERROR(K840/_xlfn.XLOOKUP(_xlfn.XLOOKUP($F840,Clientes!$B$4:$B$39,Clientes!$C$4:$C$39),Cadastros!$L$6:$L$12,Cadastros!$M$6:$M$12)," ")</f>
        <v xml:space="preserve"> </v>
      </c>
      <c r="M840" s="28"/>
      <c r="N840" s="28"/>
      <c r="O840" s="255" t="str">
        <f>IF(M840="","",(_xlfn.XLOOKUP(M840,Cadastros!$D$6:$D$90,Cadastros!$E$6:$E$90))*(1-_xlfn.XLOOKUP(_xlfn.XLOOKUP($F840,Clientes!$B$4:$B$39,Clientes!$C$4:$C$39),Cadastros!$L$6:$L$12,Cadastros!$N$6:$N$12)))</f>
        <v/>
      </c>
      <c r="P840" s="168" t="str">
        <f t="shared" ref="P840:P903" si="171">IF(O840="","",N840*O840)</f>
        <v/>
      </c>
      <c r="Q840" s="168" t="str">
        <f>IFERROR(P840/_xlfn.XLOOKUP(_xlfn.XLOOKUP($F840,Clientes!$B$4:$B$39,Clientes!$C$4:$C$39),Cadastros!$L$6:$L$12,Cadastros!$M$6:$M$12)," ")</f>
        <v xml:space="preserve"> </v>
      </c>
      <c r="R840" s="28"/>
      <c r="S840" s="28"/>
      <c r="T840" s="255" t="str">
        <f>IF(R840="","",(_xlfn.XLOOKUP(R840,Cadastros!$D$6:$D$90,Cadastros!$E$6:$E$90))*(1-_xlfn.XLOOKUP(_xlfn.XLOOKUP($F840,Clientes!$B$4:$B$39,Clientes!$C$4:$C$39),Cadastros!$L$6:$L$12,Cadastros!$N$6:$N$12)))</f>
        <v/>
      </c>
      <c r="U840" s="168" t="str">
        <f t="shared" ref="U840:U903" si="172">IF(T840="","",S840*T840)</f>
        <v/>
      </c>
      <c r="V840" s="168" t="str">
        <f>IFERROR(U840/_xlfn.XLOOKUP(_xlfn.XLOOKUP($F840,Clientes!$B$4:$B$39,Clientes!$C$4:$C$39),Cadastros!$L$6:$L$12,Cadastros!$M$6:$M$12)," ")</f>
        <v xml:space="preserve"> </v>
      </c>
      <c r="W840" s="28"/>
      <c r="X840" s="28"/>
      <c r="Y840" s="255" t="str">
        <f>IF(W840="","",(_xlfn.XLOOKUP(W840,Cadastros!$D$6:$D$90,Cadastros!$E$6:$E$90))*(1-_xlfn.XLOOKUP(_xlfn.XLOOKUP($F840,Clientes!$B$4:$B$39,Clientes!$C$4:$C$39),Cadastros!$L$6:$L$12,Cadastros!$N$6:$N$12)))</f>
        <v/>
      </c>
      <c r="Z840" s="168" t="str">
        <f t="shared" ref="Z840:Z903" si="173">IF(Y840="","",X840*Y840)</f>
        <v/>
      </c>
      <c r="AA840" s="168" t="str">
        <f>IFERROR(Z840/_xlfn.XLOOKUP(_xlfn.XLOOKUP($F840,Clientes!$B$4:$B$39,Clientes!$C$4:$C$39),Cadastros!$L$6:$L$12,Cadastros!$M$6:$M$12)," ")</f>
        <v xml:space="preserve"> </v>
      </c>
      <c r="AB840" s="28"/>
      <c r="AC840" s="28"/>
      <c r="AD840" s="20" t="str">
        <f>IF(AB840="","",IF($F840="Bernardino Furlan",_xlfn.XLOOKUP(AB840,Cadastros!$G$6:$G$90,Cadastros!$H$6:$H$90)*(1-0.18),IF($F840="Mauro José Salanti",_xlfn.XLOOKUP(AB840,Cadastros!$G$6:$G$90,Cadastros!$H$6:$H$90)*(1-0.18),_xlfn.XLOOKUP(AB840,Cadastros!$G$6:$G$90,Cadastros!$H$6:$H$90))))</f>
        <v/>
      </c>
      <c r="AE840" s="168" t="str">
        <f t="shared" ref="AE840:AE903" si="174">IF(AD840="","",AC840*AD840)</f>
        <v/>
      </c>
      <c r="AF840" s="168" t="str">
        <f t="shared" ref="AF840:AF903" si="175">IFERROR(IF($F840="Bernardino Furlan",AE840/2751.92,IF($F840="Mauro José Salanti",AE840/2751.92,AE840/3356)),"")</f>
        <v/>
      </c>
      <c r="AG840" s="28"/>
      <c r="AH840" s="28"/>
      <c r="AI840" s="20" t="str">
        <f>IF(AG840="","",IF($F840="Bernardino Furlan",_xlfn.XLOOKUP(AG840,Cadastros!$G$6:$G$90,Cadastros!$H$6:$H$90)*(1-0.18),IF($F840="Mauro José Salanti",_xlfn.XLOOKUP(AG840,Cadastros!$G$6:$G$90,Cadastros!$H$6:$H$90)*(1-0.18),_xlfn.XLOOKUP(AG840,Cadastros!$G$6:$G$90,Cadastros!$H$6:$H$90))))</f>
        <v/>
      </c>
      <c r="AJ840" s="168" t="str">
        <f t="shared" ref="AJ840:AJ903" si="176">IF(AI840="","",AH840*AI840)</f>
        <v/>
      </c>
      <c r="AK840" s="168" t="str">
        <f t="shared" ref="AK840:AK903" si="177">IFERROR(IF($F840="Bernardino Furlan",AJ840/2751.92,IF($F840="Mauro José Salanti",AJ840/2751.92,AJ840/3356)),"")</f>
        <v/>
      </c>
      <c r="AL840" s="28"/>
      <c r="AM840" s="28"/>
      <c r="AN840" s="20" t="str">
        <f>IF(AL840="","",IF($F840="Bernardino Furlan",_xlfn.XLOOKUP(AL840,Cadastros!$G$6:$G$90,Cadastros!$H$6:$H$90)*(1-0.18),IF($F840="Mauro José Salanti",_xlfn.XLOOKUP(AL840,Cadastros!$G$6:$G$90,Cadastros!$H$6:$H$90)*(1-0.18),_xlfn.XLOOKUP(AL840,Cadastros!$G$6:$G$90,Cadastros!$H$6:$H$90))))</f>
        <v/>
      </c>
      <c r="AO840" s="168" t="str">
        <f t="shared" ref="AO840:AO903" si="178">IF(AN840="","",AM840*AN840)</f>
        <v/>
      </c>
      <c r="AP840" s="168" t="str">
        <f t="shared" ref="AP840:AP903" si="179">IFERROR(IF($F840="Bernardino Furlan",AO840/2751.92,IF($F840="Mauro José Salanti",AO840/2751.92,AO840/3356)),"")</f>
        <v/>
      </c>
      <c r="AQ840" s="28"/>
      <c r="AR840" s="28"/>
      <c r="AS840" s="20" t="str">
        <f>IF(AQ840="","",IF($F840="Bernardino Furlan",_xlfn.XLOOKUP(AQ840,Cadastros!$G$6:$G$90,Cadastros!$H$6:$H$90)*(1-0.18),IF($F840="Mauro José Salanti",_xlfn.XLOOKUP(AQ840,Cadastros!$G$6:$G$90,Cadastros!$H$6:$H$90)*(1-0.18),_xlfn.XLOOKUP(AQ840,Cadastros!$G$6:$G$90,Cadastros!$H$6:$H$90))))</f>
        <v/>
      </c>
      <c r="AT840" s="168" t="str">
        <f t="shared" ref="AT840:AT903" si="180">IF(AS840="","",AR840*AS840)</f>
        <v/>
      </c>
      <c r="AU840" s="168" t="str">
        <f t="shared" ref="AU840:AU903" si="181">IFERROR(IF($F840="Bernardino Furlan",AT840/2751.92,IF($F840="Mauro José Salanti",AT840/2751.92,AT840/3356)),"")</f>
        <v/>
      </c>
      <c r="AV840" s="227"/>
      <c r="AW840" s="30"/>
      <c r="AX840" s="267"/>
      <c r="AY840" s="267"/>
      <c r="AZ840" s="29"/>
      <c r="BA840" s="30"/>
      <c r="BB840" s="23" t="str" cm="1">
        <f t="array" ref="BB840">_xlfn.IFS(AW840="SIM",SUM(K840,P840,U840,Z840,AE840,AJ840,AO840,AT840,AX840,AY840),F840&lt;&gt;"",SUM(K840,P840,U840,Z840,AE840,AJ840,,AO840,AT840),F840="","")</f>
        <v/>
      </c>
      <c r="BC840" s="211" t="str" cm="1">
        <f t="array" ref="BC840">_xlfn.IFS(E840="","",G840&lt;=E840,BB840*(1-0.03),G840&lt;(E840+8),BB840,AZ840="Boleto",BB840*(1+0.001)^DATEDIF(E840,G840,"D"),AZ840="Cheque",BB840,AZ840="Dinheiro","Alterar forma pgto")</f>
        <v/>
      </c>
      <c r="BD840" s="276" t="str" cm="1">
        <f t="array" ref="BD840">IF(F840=0," ",IF(BC840&lt;BB840,(_xlfn.IFS(AW840="SIM",SUM(L840,Q840,V840,AA840,AF840,AK840,AP840,AU840)+AX840/_xlfn.XLOOKUP(_xlfn.XLOOKUP($F840,Clientes!$B$4:$B$39,Clientes!$C$4:$C$39),Cadastros!$L$6:$L$12,Cadastros!$M$6:$M$12)+IF($F840="Bernardino Furlan",AY840/2751.92,IF($F840="Mauro José Salanti",AY840/2751.92,AY840/3356)),F840&lt;&gt;0,SUM(L840,Q840,V840,AA840,AF840,AK840,AP840,AU840)))*(1-0.03),_xlfn.IFS(AW840="SIM",SUM(L840,Q840,V840,AA840,AF840,AK840,AP840,AU840)+AX840/_xlfn.XLOOKUP(_xlfn.XLOOKUP($F840,Clientes!$B$4:$B$39,Clientes!$C$4:$C$39),Cadastros!$L$6:$L$12,Cadastros!$M$6:$M$12)+IF($F840="Bernardino Furlan",AY840/2751.92,IF($F840="Mauro José Salanti",AY840/2751.92,AY840/3356)),F840&lt;&gt;0,SUM(L840,Q840,V840,AA840,AF840,AK840,AP840,AU840))))</f>
        <v xml:space="preserve"> </v>
      </c>
      <c r="BE840" s="120"/>
      <c r="BF840" s="120"/>
      <c r="BG840" s="120"/>
    </row>
    <row r="841" spans="1:59" s="3" customFormat="1" x14ac:dyDescent="0.3">
      <c r="A841" s="15" t="str">
        <f t="shared" si="169"/>
        <v/>
      </c>
      <c r="B841" s="25"/>
      <c r="C841" s="26"/>
      <c r="D841" s="279"/>
      <c r="E841" s="27"/>
      <c r="F841" s="28"/>
      <c r="G841" s="27"/>
      <c r="H841" s="28"/>
      <c r="I841" s="28"/>
      <c r="J841" s="255" t="str">
        <f>IF(H841="","",(_xlfn.XLOOKUP(H841,Cadastros!$D$6:$D$90,Cadastros!$E$6:$E$90))*(1-_xlfn.XLOOKUP(_xlfn.XLOOKUP($F841,Clientes!$B$4:$B$39,Clientes!$C$4:$C$39),Cadastros!$L$6:$L$12,Cadastros!$N$6:$N$12)))</f>
        <v/>
      </c>
      <c r="K841" s="168" t="str">
        <f t="shared" si="170"/>
        <v/>
      </c>
      <c r="L841" s="168" t="str">
        <f>IFERROR(K841/_xlfn.XLOOKUP(_xlfn.XLOOKUP($F841,Clientes!$B$4:$B$39,Clientes!$C$4:$C$39),Cadastros!$L$6:$L$12,Cadastros!$M$6:$M$12)," ")</f>
        <v xml:space="preserve"> </v>
      </c>
      <c r="M841" s="28"/>
      <c r="N841" s="28"/>
      <c r="O841" s="255" t="str">
        <f>IF(M841="","",(_xlfn.XLOOKUP(M841,Cadastros!$D$6:$D$90,Cadastros!$E$6:$E$90))*(1-_xlfn.XLOOKUP(_xlfn.XLOOKUP($F841,Clientes!$B$4:$B$39,Clientes!$C$4:$C$39),Cadastros!$L$6:$L$12,Cadastros!$N$6:$N$12)))</f>
        <v/>
      </c>
      <c r="P841" s="168" t="str">
        <f t="shared" si="171"/>
        <v/>
      </c>
      <c r="Q841" s="168" t="str">
        <f>IFERROR(P841/_xlfn.XLOOKUP(_xlfn.XLOOKUP($F841,Clientes!$B$4:$B$39,Clientes!$C$4:$C$39),Cadastros!$L$6:$L$12,Cadastros!$M$6:$M$12)," ")</f>
        <v xml:space="preserve"> </v>
      </c>
      <c r="R841" s="28"/>
      <c r="S841" s="28"/>
      <c r="T841" s="255" t="str">
        <f>IF(R841="","",(_xlfn.XLOOKUP(R841,Cadastros!$D$6:$D$90,Cadastros!$E$6:$E$90))*(1-_xlfn.XLOOKUP(_xlfn.XLOOKUP($F841,Clientes!$B$4:$B$39,Clientes!$C$4:$C$39),Cadastros!$L$6:$L$12,Cadastros!$N$6:$N$12)))</f>
        <v/>
      </c>
      <c r="U841" s="168" t="str">
        <f t="shared" si="172"/>
        <v/>
      </c>
      <c r="V841" s="168" t="str">
        <f>IFERROR(U841/_xlfn.XLOOKUP(_xlfn.XLOOKUP($F841,Clientes!$B$4:$B$39,Clientes!$C$4:$C$39),Cadastros!$L$6:$L$12,Cadastros!$M$6:$M$12)," ")</f>
        <v xml:space="preserve"> </v>
      </c>
      <c r="W841" s="28"/>
      <c r="X841" s="28"/>
      <c r="Y841" s="255" t="str">
        <f>IF(W841="","",(_xlfn.XLOOKUP(W841,Cadastros!$D$6:$D$90,Cadastros!$E$6:$E$90))*(1-_xlfn.XLOOKUP(_xlfn.XLOOKUP($F841,Clientes!$B$4:$B$39,Clientes!$C$4:$C$39),Cadastros!$L$6:$L$12,Cadastros!$N$6:$N$12)))</f>
        <v/>
      </c>
      <c r="Z841" s="168" t="str">
        <f t="shared" si="173"/>
        <v/>
      </c>
      <c r="AA841" s="168" t="str">
        <f>IFERROR(Z841/_xlfn.XLOOKUP(_xlfn.XLOOKUP($F841,Clientes!$B$4:$B$39,Clientes!$C$4:$C$39),Cadastros!$L$6:$L$12,Cadastros!$M$6:$M$12)," ")</f>
        <v xml:space="preserve"> </v>
      </c>
      <c r="AB841" s="28"/>
      <c r="AC841" s="28"/>
      <c r="AD841" s="20" t="str">
        <f>IF(AB841="","",IF($F841="Bernardino Furlan",_xlfn.XLOOKUP(AB841,Cadastros!$G$6:$G$90,Cadastros!$H$6:$H$90)*(1-0.18),IF($F841="Mauro José Salanti",_xlfn.XLOOKUP(AB841,Cadastros!$G$6:$G$90,Cadastros!$H$6:$H$90)*(1-0.18),_xlfn.XLOOKUP(AB841,Cadastros!$G$6:$G$90,Cadastros!$H$6:$H$90))))</f>
        <v/>
      </c>
      <c r="AE841" s="168" t="str">
        <f t="shared" si="174"/>
        <v/>
      </c>
      <c r="AF841" s="168" t="str">
        <f t="shared" si="175"/>
        <v/>
      </c>
      <c r="AG841" s="28"/>
      <c r="AH841" s="28"/>
      <c r="AI841" s="20" t="str">
        <f>IF(AG841="","",IF($F841="Bernardino Furlan",_xlfn.XLOOKUP(AG841,Cadastros!$G$6:$G$90,Cadastros!$H$6:$H$90)*(1-0.18),IF($F841="Mauro José Salanti",_xlfn.XLOOKUP(AG841,Cadastros!$G$6:$G$90,Cadastros!$H$6:$H$90)*(1-0.18),_xlfn.XLOOKUP(AG841,Cadastros!$G$6:$G$90,Cadastros!$H$6:$H$90))))</f>
        <v/>
      </c>
      <c r="AJ841" s="168" t="str">
        <f t="shared" si="176"/>
        <v/>
      </c>
      <c r="AK841" s="168" t="str">
        <f t="shared" si="177"/>
        <v/>
      </c>
      <c r="AL841" s="28"/>
      <c r="AM841" s="28"/>
      <c r="AN841" s="20" t="str">
        <f>IF(AL841="","",IF($F841="Bernardino Furlan",_xlfn.XLOOKUP(AL841,Cadastros!$G$6:$G$90,Cadastros!$H$6:$H$90)*(1-0.18),IF($F841="Mauro José Salanti",_xlfn.XLOOKUP(AL841,Cadastros!$G$6:$G$90,Cadastros!$H$6:$H$90)*(1-0.18),_xlfn.XLOOKUP(AL841,Cadastros!$G$6:$G$90,Cadastros!$H$6:$H$90))))</f>
        <v/>
      </c>
      <c r="AO841" s="168" t="str">
        <f t="shared" si="178"/>
        <v/>
      </c>
      <c r="AP841" s="168" t="str">
        <f t="shared" si="179"/>
        <v/>
      </c>
      <c r="AQ841" s="28"/>
      <c r="AR841" s="28"/>
      <c r="AS841" s="20" t="str">
        <f>IF(AQ841="","",IF($F841="Bernardino Furlan",_xlfn.XLOOKUP(AQ841,Cadastros!$G$6:$G$90,Cadastros!$H$6:$H$90)*(1-0.18),IF($F841="Mauro José Salanti",_xlfn.XLOOKUP(AQ841,Cadastros!$G$6:$G$90,Cadastros!$H$6:$H$90)*(1-0.18),_xlfn.XLOOKUP(AQ841,Cadastros!$G$6:$G$90,Cadastros!$H$6:$H$90))))</f>
        <v/>
      </c>
      <c r="AT841" s="168" t="str">
        <f t="shared" si="180"/>
        <v/>
      </c>
      <c r="AU841" s="168" t="str">
        <f t="shared" si="181"/>
        <v/>
      </c>
      <c r="AV841" s="227"/>
      <c r="AW841" s="30"/>
      <c r="AX841" s="267"/>
      <c r="AY841" s="267"/>
      <c r="AZ841" s="29"/>
      <c r="BA841" s="30"/>
      <c r="BB841" s="23" t="str" cm="1">
        <f t="array" ref="BB841">_xlfn.IFS(AW841="SIM",SUM(K841,P841,U841,Z841,AE841,AJ841,AO841,AT841,AX841,AY841),F841&lt;&gt;"",SUM(K841,P841,U841,Z841,AE841,AJ841,,AO841,AT841),F841="","")</f>
        <v/>
      </c>
      <c r="BC841" s="211" t="str" cm="1">
        <f t="array" ref="BC841">_xlfn.IFS(E841="","",G841&lt;=E841,BB841*(1-0.03),G841&lt;(E841+8),BB841,AZ841="Boleto",BB841*(1+0.001)^DATEDIF(E841,G841,"D"),AZ841="Cheque",BB841,AZ841="Dinheiro","Alterar forma pgto")</f>
        <v/>
      </c>
      <c r="BD841" s="276" t="str" cm="1">
        <f t="array" ref="BD841">IF(F841=0," ",IF(BC841&lt;BB841,(_xlfn.IFS(AW841="SIM",SUM(L841,Q841,V841,AA841,AF841,AK841,AP841,AU841)+AX841/_xlfn.XLOOKUP(_xlfn.XLOOKUP($F841,Clientes!$B$4:$B$39,Clientes!$C$4:$C$39),Cadastros!$L$6:$L$12,Cadastros!$M$6:$M$12)+IF($F841="Bernardino Furlan",AY841/2751.92,IF($F841="Mauro José Salanti",AY841/2751.92,AY841/3356)),F841&lt;&gt;0,SUM(L841,Q841,V841,AA841,AF841,AK841,AP841,AU841)))*(1-0.03),_xlfn.IFS(AW841="SIM",SUM(L841,Q841,V841,AA841,AF841,AK841,AP841,AU841)+AX841/_xlfn.XLOOKUP(_xlfn.XLOOKUP($F841,Clientes!$B$4:$B$39,Clientes!$C$4:$C$39),Cadastros!$L$6:$L$12,Cadastros!$M$6:$M$12)+IF($F841="Bernardino Furlan",AY841/2751.92,IF($F841="Mauro José Salanti",AY841/2751.92,AY841/3356)),F841&lt;&gt;0,SUM(L841,Q841,V841,AA841,AF841,AK841,AP841,AU841))))</f>
        <v xml:space="preserve"> </v>
      </c>
      <c r="BE841" s="120"/>
      <c r="BF841" s="120"/>
      <c r="BG841" s="120"/>
    </row>
    <row r="842" spans="1:59" s="3" customFormat="1" x14ac:dyDescent="0.3">
      <c r="A842" s="15" t="str">
        <f t="shared" si="169"/>
        <v/>
      </c>
      <c r="B842" s="25"/>
      <c r="C842" s="26"/>
      <c r="D842" s="279"/>
      <c r="E842" s="27"/>
      <c r="F842" s="28"/>
      <c r="G842" s="27"/>
      <c r="H842" s="28"/>
      <c r="I842" s="28"/>
      <c r="J842" s="255" t="str">
        <f>IF(H842="","",(_xlfn.XLOOKUP(H842,Cadastros!$D$6:$D$90,Cadastros!$E$6:$E$90))*(1-_xlfn.XLOOKUP(_xlfn.XLOOKUP($F842,Clientes!$B$4:$B$39,Clientes!$C$4:$C$39),Cadastros!$L$6:$L$12,Cadastros!$N$6:$N$12)))</f>
        <v/>
      </c>
      <c r="K842" s="168" t="str">
        <f t="shared" si="170"/>
        <v/>
      </c>
      <c r="L842" s="168" t="str">
        <f>IFERROR(K842/_xlfn.XLOOKUP(_xlfn.XLOOKUP($F842,Clientes!$B$4:$B$39,Clientes!$C$4:$C$39),Cadastros!$L$6:$L$12,Cadastros!$M$6:$M$12)," ")</f>
        <v xml:space="preserve"> </v>
      </c>
      <c r="M842" s="28"/>
      <c r="N842" s="28"/>
      <c r="O842" s="255" t="str">
        <f>IF(M842="","",(_xlfn.XLOOKUP(M842,Cadastros!$D$6:$D$90,Cadastros!$E$6:$E$90))*(1-_xlfn.XLOOKUP(_xlfn.XLOOKUP($F842,Clientes!$B$4:$B$39,Clientes!$C$4:$C$39),Cadastros!$L$6:$L$12,Cadastros!$N$6:$N$12)))</f>
        <v/>
      </c>
      <c r="P842" s="168" t="str">
        <f t="shared" si="171"/>
        <v/>
      </c>
      <c r="Q842" s="168" t="str">
        <f>IFERROR(P842/_xlfn.XLOOKUP(_xlfn.XLOOKUP($F842,Clientes!$B$4:$B$39,Clientes!$C$4:$C$39),Cadastros!$L$6:$L$12,Cadastros!$M$6:$M$12)," ")</f>
        <v xml:space="preserve"> </v>
      </c>
      <c r="R842" s="28"/>
      <c r="S842" s="28"/>
      <c r="T842" s="255" t="str">
        <f>IF(R842="","",(_xlfn.XLOOKUP(R842,Cadastros!$D$6:$D$90,Cadastros!$E$6:$E$90))*(1-_xlfn.XLOOKUP(_xlfn.XLOOKUP($F842,Clientes!$B$4:$B$39,Clientes!$C$4:$C$39),Cadastros!$L$6:$L$12,Cadastros!$N$6:$N$12)))</f>
        <v/>
      </c>
      <c r="U842" s="168" t="str">
        <f t="shared" si="172"/>
        <v/>
      </c>
      <c r="V842" s="168" t="str">
        <f>IFERROR(U842/_xlfn.XLOOKUP(_xlfn.XLOOKUP($F842,Clientes!$B$4:$B$39,Clientes!$C$4:$C$39),Cadastros!$L$6:$L$12,Cadastros!$M$6:$M$12)," ")</f>
        <v xml:space="preserve"> </v>
      </c>
      <c r="W842" s="28"/>
      <c r="X842" s="28"/>
      <c r="Y842" s="255" t="str">
        <f>IF(W842="","",(_xlfn.XLOOKUP(W842,Cadastros!$D$6:$D$90,Cadastros!$E$6:$E$90))*(1-_xlfn.XLOOKUP(_xlfn.XLOOKUP($F842,Clientes!$B$4:$B$39,Clientes!$C$4:$C$39),Cadastros!$L$6:$L$12,Cadastros!$N$6:$N$12)))</f>
        <v/>
      </c>
      <c r="Z842" s="168" t="str">
        <f t="shared" si="173"/>
        <v/>
      </c>
      <c r="AA842" s="168" t="str">
        <f>IFERROR(Z842/_xlfn.XLOOKUP(_xlfn.XLOOKUP($F842,Clientes!$B$4:$B$39,Clientes!$C$4:$C$39),Cadastros!$L$6:$L$12,Cadastros!$M$6:$M$12)," ")</f>
        <v xml:space="preserve"> </v>
      </c>
      <c r="AB842" s="28"/>
      <c r="AC842" s="28"/>
      <c r="AD842" s="20" t="str">
        <f>IF(AB842="","",IF($F842="Bernardino Furlan",_xlfn.XLOOKUP(AB842,Cadastros!$G$6:$G$90,Cadastros!$H$6:$H$90)*(1-0.18),IF($F842="Mauro José Salanti",_xlfn.XLOOKUP(AB842,Cadastros!$G$6:$G$90,Cadastros!$H$6:$H$90)*(1-0.18),_xlfn.XLOOKUP(AB842,Cadastros!$G$6:$G$90,Cadastros!$H$6:$H$90))))</f>
        <v/>
      </c>
      <c r="AE842" s="168" t="str">
        <f t="shared" si="174"/>
        <v/>
      </c>
      <c r="AF842" s="168" t="str">
        <f t="shared" si="175"/>
        <v/>
      </c>
      <c r="AG842" s="28"/>
      <c r="AH842" s="28"/>
      <c r="AI842" s="20" t="str">
        <f>IF(AG842="","",IF($F842="Bernardino Furlan",_xlfn.XLOOKUP(AG842,Cadastros!$G$6:$G$90,Cadastros!$H$6:$H$90)*(1-0.18),IF($F842="Mauro José Salanti",_xlfn.XLOOKUP(AG842,Cadastros!$G$6:$G$90,Cadastros!$H$6:$H$90)*(1-0.18),_xlfn.XLOOKUP(AG842,Cadastros!$G$6:$G$90,Cadastros!$H$6:$H$90))))</f>
        <v/>
      </c>
      <c r="AJ842" s="168" t="str">
        <f t="shared" si="176"/>
        <v/>
      </c>
      <c r="AK842" s="168" t="str">
        <f t="shared" si="177"/>
        <v/>
      </c>
      <c r="AL842" s="28"/>
      <c r="AM842" s="28"/>
      <c r="AN842" s="20" t="str">
        <f>IF(AL842="","",IF($F842="Bernardino Furlan",_xlfn.XLOOKUP(AL842,Cadastros!$G$6:$G$90,Cadastros!$H$6:$H$90)*(1-0.18),IF($F842="Mauro José Salanti",_xlfn.XLOOKUP(AL842,Cadastros!$G$6:$G$90,Cadastros!$H$6:$H$90)*(1-0.18),_xlfn.XLOOKUP(AL842,Cadastros!$G$6:$G$90,Cadastros!$H$6:$H$90))))</f>
        <v/>
      </c>
      <c r="AO842" s="168" t="str">
        <f t="shared" si="178"/>
        <v/>
      </c>
      <c r="AP842" s="168" t="str">
        <f t="shared" si="179"/>
        <v/>
      </c>
      <c r="AQ842" s="28"/>
      <c r="AR842" s="28"/>
      <c r="AS842" s="20" t="str">
        <f>IF(AQ842="","",IF($F842="Bernardino Furlan",_xlfn.XLOOKUP(AQ842,Cadastros!$G$6:$G$90,Cadastros!$H$6:$H$90)*(1-0.18),IF($F842="Mauro José Salanti",_xlfn.XLOOKUP(AQ842,Cadastros!$G$6:$G$90,Cadastros!$H$6:$H$90)*(1-0.18),_xlfn.XLOOKUP(AQ842,Cadastros!$G$6:$G$90,Cadastros!$H$6:$H$90))))</f>
        <v/>
      </c>
      <c r="AT842" s="168" t="str">
        <f t="shared" si="180"/>
        <v/>
      </c>
      <c r="AU842" s="168" t="str">
        <f t="shared" si="181"/>
        <v/>
      </c>
      <c r="AV842" s="227"/>
      <c r="AW842" s="30"/>
      <c r="AX842" s="267"/>
      <c r="AY842" s="267"/>
      <c r="AZ842" s="29"/>
      <c r="BA842" s="30"/>
      <c r="BB842" s="23" t="str" cm="1">
        <f t="array" ref="BB842">_xlfn.IFS(AW842="SIM",SUM(K842,P842,U842,Z842,AE842,AJ842,AO842,AT842,AX842,AY842),F842&lt;&gt;"",SUM(K842,P842,U842,Z842,AE842,AJ842,,AO842,AT842),F842="","")</f>
        <v/>
      </c>
      <c r="BC842" s="211" t="str" cm="1">
        <f t="array" ref="BC842">_xlfn.IFS(E842="","",G842&lt;=E842,BB842*(1-0.03),G842&lt;(E842+8),BB842,AZ842="Boleto",BB842*(1+0.001)^DATEDIF(E842,G842,"D"),AZ842="Cheque",BB842,AZ842="Dinheiro","Alterar forma pgto")</f>
        <v/>
      </c>
      <c r="BD842" s="276" t="str" cm="1">
        <f t="array" ref="BD842">IF(F842=0," ",IF(BC842&lt;BB842,(_xlfn.IFS(AW842="SIM",SUM(L842,Q842,V842,AA842,AF842,AK842,AP842,AU842)+AX842/_xlfn.XLOOKUP(_xlfn.XLOOKUP($F842,Clientes!$B$4:$B$39,Clientes!$C$4:$C$39),Cadastros!$L$6:$L$12,Cadastros!$M$6:$M$12)+IF($F842="Bernardino Furlan",AY842/2751.92,IF($F842="Mauro José Salanti",AY842/2751.92,AY842/3356)),F842&lt;&gt;0,SUM(L842,Q842,V842,AA842,AF842,AK842,AP842,AU842)))*(1-0.03),_xlfn.IFS(AW842="SIM",SUM(L842,Q842,V842,AA842,AF842,AK842,AP842,AU842)+AX842/_xlfn.XLOOKUP(_xlfn.XLOOKUP($F842,Clientes!$B$4:$B$39,Clientes!$C$4:$C$39),Cadastros!$L$6:$L$12,Cadastros!$M$6:$M$12)+IF($F842="Bernardino Furlan",AY842/2751.92,IF($F842="Mauro José Salanti",AY842/2751.92,AY842/3356)),F842&lt;&gt;0,SUM(L842,Q842,V842,AA842,AF842,AK842,AP842,AU842))))</f>
        <v xml:space="preserve"> </v>
      </c>
      <c r="BE842" s="120"/>
      <c r="BF842" s="120"/>
      <c r="BG842" s="120"/>
    </row>
    <row r="843" spans="1:59" s="3" customFormat="1" x14ac:dyDescent="0.3">
      <c r="A843" s="15" t="str">
        <f t="shared" si="169"/>
        <v/>
      </c>
      <c r="B843" s="25"/>
      <c r="C843" s="26"/>
      <c r="D843" s="279"/>
      <c r="E843" s="27"/>
      <c r="F843" s="28"/>
      <c r="G843" s="27"/>
      <c r="H843" s="28"/>
      <c r="I843" s="28"/>
      <c r="J843" s="255" t="str">
        <f>IF(H843="","",(_xlfn.XLOOKUP(H843,Cadastros!$D$6:$D$90,Cadastros!$E$6:$E$90))*(1-_xlfn.XLOOKUP(_xlfn.XLOOKUP($F843,Clientes!$B$4:$B$39,Clientes!$C$4:$C$39),Cadastros!$L$6:$L$12,Cadastros!$N$6:$N$12)))</f>
        <v/>
      </c>
      <c r="K843" s="168" t="str">
        <f t="shared" si="170"/>
        <v/>
      </c>
      <c r="L843" s="168" t="str">
        <f>IFERROR(K843/_xlfn.XLOOKUP(_xlfn.XLOOKUP($F843,Clientes!$B$4:$B$39,Clientes!$C$4:$C$39),Cadastros!$L$6:$L$12,Cadastros!$M$6:$M$12)," ")</f>
        <v xml:space="preserve"> </v>
      </c>
      <c r="M843" s="28"/>
      <c r="N843" s="28"/>
      <c r="O843" s="255" t="str">
        <f>IF(M843="","",(_xlfn.XLOOKUP(M843,Cadastros!$D$6:$D$90,Cadastros!$E$6:$E$90))*(1-_xlfn.XLOOKUP(_xlfn.XLOOKUP($F843,Clientes!$B$4:$B$39,Clientes!$C$4:$C$39),Cadastros!$L$6:$L$12,Cadastros!$N$6:$N$12)))</f>
        <v/>
      </c>
      <c r="P843" s="168" t="str">
        <f t="shared" si="171"/>
        <v/>
      </c>
      <c r="Q843" s="168" t="str">
        <f>IFERROR(P843/_xlfn.XLOOKUP(_xlfn.XLOOKUP($F843,Clientes!$B$4:$B$39,Clientes!$C$4:$C$39),Cadastros!$L$6:$L$12,Cadastros!$M$6:$M$12)," ")</f>
        <v xml:space="preserve"> </v>
      </c>
      <c r="R843" s="28"/>
      <c r="S843" s="28"/>
      <c r="T843" s="255" t="str">
        <f>IF(R843="","",(_xlfn.XLOOKUP(R843,Cadastros!$D$6:$D$90,Cadastros!$E$6:$E$90))*(1-_xlfn.XLOOKUP(_xlfn.XLOOKUP($F843,Clientes!$B$4:$B$39,Clientes!$C$4:$C$39),Cadastros!$L$6:$L$12,Cadastros!$N$6:$N$12)))</f>
        <v/>
      </c>
      <c r="U843" s="168" t="str">
        <f t="shared" si="172"/>
        <v/>
      </c>
      <c r="V843" s="168" t="str">
        <f>IFERROR(U843/_xlfn.XLOOKUP(_xlfn.XLOOKUP($F843,Clientes!$B$4:$B$39,Clientes!$C$4:$C$39),Cadastros!$L$6:$L$12,Cadastros!$M$6:$M$12)," ")</f>
        <v xml:space="preserve"> </v>
      </c>
      <c r="W843" s="28"/>
      <c r="X843" s="28"/>
      <c r="Y843" s="255" t="str">
        <f>IF(W843="","",(_xlfn.XLOOKUP(W843,Cadastros!$D$6:$D$90,Cadastros!$E$6:$E$90))*(1-_xlfn.XLOOKUP(_xlfn.XLOOKUP($F843,Clientes!$B$4:$B$39,Clientes!$C$4:$C$39),Cadastros!$L$6:$L$12,Cadastros!$N$6:$N$12)))</f>
        <v/>
      </c>
      <c r="Z843" s="168" t="str">
        <f t="shared" si="173"/>
        <v/>
      </c>
      <c r="AA843" s="168" t="str">
        <f>IFERROR(Z843/_xlfn.XLOOKUP(_xlfn.XLOOKUP($F843,Clientes!$B$4:$B$39,Clientes!$C$4:$C$39),Cadastros!$L$6:$L$12,Cadastros!$M$6:$M$12)," ")</f>
        <v xml:space="preserve"> </v>
      </c>
      <c r="AB843" s="28"/>
      <c r="AC843" s="28"/>
      <c r="AD843" s="20" t="str">
        <f>IF(AB843="","",IF($F843="Bernardino Furlan",_xlfn.XLOOKUP(AB843,Cadastros!$G$6:$G$90,Cadastros!$H$6:$H$90)*(1-0.18),IF($F843="Mauro José Salanti",_xlfn.XLOOKUP(AB843,Cadastros!$G$6:$G$90,Cadastros!$H$6:$H$90)*(1-0.18),_xlfn.XLOOKUP(AB843,Cadastros!$G$6:$G$90,Cadastros!$H$6:$H$90))))</f>
        <v/>
      </c>
      <c r="AE843" s="168" t="str">
        <f t="shared" si="174"/>
        <v/>
      </c>
      <c r="AF843" s="168" t="str">
        <f t="shared" si="175"/>
        <v/>
      </c>
      <c r="AG843" s="28"/>
      <c r="AH843" s="28"/>
      <c r="AI843" s="20" t="str">
        <f>IF(AG843="","",IF($F843="Bernardino Furlan",_xlfn.XLOOKUP(AG843,Cadastros!$G$6:$G$90,Cadastros!$H$6:$H$90)*(1-0.18),IF($F843="Mauro José Salanti",_xlfn.XLOOKUP(AG843,Cadastros!$G$6:$G$90,Cadastros!$H$6:$H$90)*(1-0.18),_xlfn.XLOOKUP(AG843,Cadastros!$G$6:$G$90,Cadastros!$H$6:$H$90))))</f>
        <v/>
      </c>
      <c r="AJ843" s="168" t="str">
        <f t="shared" si="176"/>
        <v/>
      </c>
      <c r="AK843" s="168" t="str">
        <f t="shared" si="177"/>
        <v/>
      </c>
      <c r="AL843" s="28"/>
      <c r="AM843" s="28"/>
      <c r="AN843" s="20" t="str">
        <f>IF(AL843="","",IF($F843="Bernardino Furlan",_xlfn.XLOOKUP(AL843,Cadastros!$G$6:$G$90,Cadastros!$H$6:$H$90)*(1-0.18),IF($F843="Mauro José Salanti",_xlfn.XLOOKUP(AL843,Cadastros!$G$6:$G$90,Cadastros!$H$6:$H$90)*(1-0.18),_xlfn.XLOOKUP(AL843,Cadastros!$G$6:$G$90,Cadastros!$H$6:$H$90))))</f>
        <v/>
      </c>
      <c r="AO843" s="168" t="str">
        <f t="shared" si="178"/>
        <v/>
      </c>
      <c r="AP843" s="168" t="str">
        <f t="shared" si="179"/>
        <v/>
      </c>
      <c r="AQ843" s="28"/>
      <c r="AR843" s="28"/>
      <c r="AS843" s="20" t="str">
        <f>IF(AQ843="","",IF($F843="Bernardino Furlan",_xlfn.XLOOKUP(AQ843,Cadastros!$G$6:$G$90,Cadastros!$H$6:$H$90)*(1-0.18),IF($F843="Mauro José Salanti",_xlfn.XLOOKUP(AQ843,Cadastros!$G$6:$G$90,Cadastros!$H$6:$H$90)*(1-0.18),_xlfn.XLOOKUP(AQ843,Cadastros!$G$6:$G$90,Cadastros!$H$6:$H$90))))</f>
        <v/>
      </c>
      <c r="AT843" s="168" t="str">
        <f t="shared" si="180"/>
        <v/>
      </c>
      <c r="AU843" s="168" t="str">
        <f t="shared" si="181"/>
        <v/>
      </c>
      <c r="AV843" s="227"/>
      <c r="AW843" s="30"/>
      <c r="AX843" s="267"/>
      <c r="AY843" s="267"/>
      <c r="AZ843" s="29"/>
      <c r="BA843" s="30"/>
      <c r="BB843" s="23" t="str" cm="1">
        <f t="array" ref="BB843">_xlfn.IFS(AW843="SIM",SUM(K843,P843,U843,Z843,AE843,AJ843,AO843,AT843,AX843,AY843),F843&lt;&gt;"",SUM(K843,P843,U843,Z843,AE843,AJ843,,AO843,AT843),F843="","")</f>
        <v/>
      </c>
      <c r="BC843" s="211" t="str" cm="1">
        <f t="array" ref="BC843">_xlfn.IFS(E843="","",G843&lt;=E843,BB843*(1-0.03),G843&lt;(E843+8),BB843,AZ843="Boleto",BB843*(1+0.001)^DATEDIF(E843,G843,"D"),AZ843="Cheque",BB843,AZ843="Dinheiro","Alterar forma pgto")</f>
        <v/>
      </c>
      <c r="BD843" s="276" t="str" cm="1">
        <f t="array" ref="BD843">IF(F843=0," ",IF(BC843&lt;BB843,(_xlfn.IFS(AW843="SIM",SUM(L843,Q843,V843,AA843,AF843,AK843,AP843,AU843)+AX843/_xlfn.XLOOKUP(_xlfn.XLOOKUP($F843,Clientes!$B$4:$B$39,Clientes!$C$4:$C$39),Cadastros!$L$6:$L$12,Cadastros!$M$6:$M$12)+IF($F843="Bernardino Furlan",AY843/2751.92,IF($F843="Mauro José Salanti",AY843/2751.92,AY843/3356)),F843&lt;&gt;0,SUM(L843,Q843,V843,AA843,AF843,AK843,AP843,AU843)))*(1-0.03),_xlfn.IFS(AW843="SIM",SUM(L843,Q843,V843,AA843,AF843,AK843,AP843,AU843)+AX843/_xlfn.XLOOKUP(_xlfn.XLOOKUP($F843,Clientes!$B$4:$B$39,Clientes!$C$4:$C$39),Cadastros!$L$6:$L$12,Cadastros!$M$6:$M$12)+IF($F843="Bernardino Furlan",AY843/2751.92,IF($F843="Mauro José Salanti",AY843/2751.92,AY843/3356)),F843&lt;&gt;0,SUM(L843,Q843,V843,AA843,AF843,AK843,AP843,AU843))))</f>
        <v xml:space="preserve"> </v>
      </c>
      <c r="BE843" s="120"/>
      <c r="BF843" s="120"/>
      <c r="BG843" s="120"/>
    </row>
    <row r="844" spans="1:59" s="3" customFormat="1" x14ac:dyDescent="0.3">
      <c r="A844" s="15" t="str">
        <f t="shared" si="169"/>
        <v/>
      </c>
      <c r="B844" s="25"/>
      <c r="C844" s="26"/>
      <c r="D844" s="279"/>
      <c r="E844" s="27"/>
      <c r="F844" s="28"/>
      <c r="G844" s="27"/>
      <c r="H844" s="28"/>
      <c r="I844" s="28"/>
      <c r="J844" s="255" t="str">
        <f>IF(H844="","",(_xlfn.XLOOKUP(H844,Cadastros!$D$6:$D$90,Cadastros!$E$6:$E$90))*(1-_xlfn.XLOOKUP(_xlfn.XLOOKUP($F844,Clientes!$B$4:$B$39,Clientes!$C$4:$C$39),Cadastros!$L$6:$L$12,Cadastros!$N$6:$N$12)))</f>
        <v/>
      </c>
      <c r="K844" s="168" t="str">
        <f t="shared" si="170"/>
        <v/>
      </c>
      <c r="L844" s="168" t="str">
        <f>IFERROR(K844/_xlfn.XLOOKUP(_xlfn.XLOOKUP($F844,Clientes!$B$4:$B$39,Clientes!$C$4:$C$39),Cadastros!$L$6:$L$12,Cadastros!$M$6:$M$12)," ")</f>
        <v xml:space="preserve"> </v>
      </c>
      <c r="M844" s="28"/>
      <c r="N844" s="28"/>
      <c r="O844" s="255" t="str">
        <f>IF(M844="","",(_xlfn.XLOOKUP(M844,Cadastros!$D$6:$D$90,Cadastros!$E$6:$E$90))*(1-_xlfn.XLOOKUP(_xlfn.XLOOKUP($F844,Clientes!$B$4:$B$39,Clientes!$C$4:$C$39),Cadastros!$L$6:$L$12,Cadastros!$N$6:$N$12)))</f>
        <v/>
      </c>
      <c r="P844" s="168" t="str">
        <f t="shared" si="171"/>
        <v/>
      </c>
      <c r="Q844" s="168" t="str">
        <f>IFERROR(P844/_xlfn.XLOOKUP(_xlfn.XLOOKUP($F844,Clientes!$B$4:$B$39,Clientes!$C$4:$C$39),Cadastros!$L$6:$L$12,Cadastros!$M$6:$M$12)," ")</f>
        <v xml:space="preserve"> </v>
      </c>
      <c r="R844" s="28"/>
      <c r="S844" s="28"/>
      <c r="T844" s="255" t="str">
        <f>IF(R844="","",(_xlfn.XLOOKUP(R844,Cadastros!$D$6:$D$90,Cadastros!$E$6:$E$90))*(1-_xlfn.XLOOKUP(_xlfn.XLOOKUP($F844,Clientes!$B$4:$B$39,Clientes!$C$4:$C$39),Cadastros!$L$6:$L$12,Cadastros!$N$6:$N$12)))</f>
        <v/>
      </c>
      <c r="U844" s="168" t="str">
        <f t="shared" si="172"/>
        <v/>
      </c>
      <c r="V844" s="168" t="str">
        <f>IFERROR(U844/_xlfn.XLOOKUP(_xlfn.XLOOKUP($F844,Clientes!$B$4:$B$39,Clientes!$C$4:$C$39),Cadastros!$L$6:$L$12,Cadastros!$M$6:$M$12)," ")</f>
        <v xml:space="preserve"> </v>
      </c>
      <c r="W844" s="28"/>
      <c r="X844" s="28"/>
      <c r="Y844" s="255" t="str">
        <f>IF(W844="","",(_xlfn.XLOOKUP(W844,Cadastros!$D$6:$D$90,Cadastros!$E$6:$E$90))*(1-_xlfn.XLOOKUP(_xlfn.XLOOKUP($F844,Clientes!$B$4:$B$39,Clientes!$C$4:$C$39),Cadastros!$L$6:$L$12,Cadastros!$N$6:$N$12)))</f>
        <v/>
      </c>
      <c r="Z844" s="168" t="str">
        <f t="shared" si="173"/>
        <v/>
      </c>
      <c r="AA844" s="168" t="str">
        <f>IFERROR(Z844/_xlfn.XLOOKUP(_xlfn.XLOOKUP($F844,Clientes!$B$4:$B$39,Clientes!$C$4:$C$39),Cadastros!$L$6:$L$12,Cadastros!$M$6:$M$12)," ")</f>
        <v xml:space="preserve"> </v>
      </c>
      <c r="AB844" s="28"/>
      <c r="AC844" s="28"/>
      <c r="AD844" s="20" t="str">
        <f>IF(AB844="","",IF($F844="Bernardino Furlan",_xlfn.XLOOKUP(AB844,Cadastros!$G$6:$G$90,Cadastros!$H$6:$H$90)*(1-0.18),IF($F844="Mauro José Salanti",_xlfn.XLOOKUP(AB844,Cadastros!$G$6:$G$90,Cadastros!$H$6:$H$90)*(1-0.18),_xlfn.XLOOKUP(AB844,Cadastros!$G$6:$G$90,Cadastros!$H$6:$H$90))))</f>
        <v/>
      </c>
      <c r="AE844" s="168" t="str">
        <f t="shared" si="174"/>
        <v/>
      </c>
      <c r="AF844" s="168" t="str">
        <f t="shared" si="175"/>
        <v/>
      </c>
      <c r="AG844" s="28"/>
      <c r="AH844" s="28"/>
      <c r="AI844" s="20" t="str">
        <f>IF(AG844="","",IF($F844="Bernardino Furlan",_xlfn.XLOOKUP(AG844,Cadastros!$G$6:$G$90,Cadastros!$H$6:$H$90)*(1-0.18),IF($F844="Mauro José Salanti",_xlfn.XLOOKUP(AG844,Cadastros!$G$6:$G$90,Cadastros!$H$6:$H$90)*(1-0.18),_xlfn.XLOOKUP(AG844,Cadastros!$G$6:$G$90,Cadastros!$H$6:$H$90))))</f>
        <v/>
      </c>
      <c r="AJ844" s="168" t="str">
        <f t="shared" si="176"/>
        <v/>
      </c>
      <c r="AK844" s="168" t="str">
        <f t="shared" si="177"/>
        <v/>
      </c>
      <c r="AL844" s="28"/>
      <c r="AM844" s="28"/>
      <c r="AN844" s="20" t="str">
        <f>IF(AL844="","",IF($F844="Bernardino Furlan",_xlfn.XLOOKUP(AL844,Cadastros!$G$6:$G$90,Cadastros!$H$6:$H$90)*(1-0.18),IF($F844="Mauro José Salanti",_xlfn.XLOOKUP(AL844,Cadastros!$G$6:$G$90,Cadastros!$H$6:$H$90)*(1-0.18),_xlfn.XLOOKUP(AL844,Cadastros!$G$6:$G$90,Cadastros!$H$6:$H$90))))</f>
        <v/>
      </c>
      <c r="AO844" s="168" t="str">
        <f t="shared" si="178"/>
        <v/>
      </c>
      <c r="AP844" s="168" t="str">
        <f t="shared" si="179"/>
        <v/>
      </c>
      <c r="AQ844" s="28"/>
      <c r="AR844" s="28"/>
      <c r="AS844" s="20" t="str">
        <f>IF(AQ844="","",IF($F844="Bernardino Furlan",_xlfn.XLOOKUP(AQ844,Cadastros!$G$6:$G$90,Cadastros!$H$6:$H$90)*(1-0.18),IF($F844="Mauro José Salanti",_xlfn.XLOOKUP(AQ844,Cadastros!$G$6:$G$90,Cadastros!$H$6:$H$90)*(1-0.18),_xlfn.XLOOKUP(AQ844,Cadastros!$G$6:$G$90,Cadastros!$H$6:$H$90))))</f>
        <v/>
      </c>
      <c r="AT844" s="168" t="str">
        <f t="shared" si="180"/>
        <v/>
      </c>
      <c r="AU844" s="168" t="str">
        <f t="shared" si="181"/>
        <v/>
      </c>
      <c r="AV844" s="227"/>
      <c r="AW844" s="30"/>
      <c r="AX844" s="267"/>
      <c r="AY844" s="267"/>
      <c r="AZ844" s="29"/>
      <c r="BA844" s="30"/>
      <c r="BB844" s="23" t="str" cm="1">
        <f t="array" ref="BB844">_xlfn.IFS(AW844="SIM",SUM(K844,P844,U844,Z844,AE844,AJ844,AO844,AT844,AX844,AY844),F844&lt;&gt;"",SUM(K844,P844,U844,Z844,AE844,AJ844,,AO844,AT844),F844="","")</f>
        <v/>
      </c>
      <c r="BC844" s="211" t="str" cm="1">
        <f t="array" ref="BC844">_xlfn.IFS(E844="","",G844&lt;=E844,BB844*(1-0.03),G844&lt;(E844+8),BB844,AZ844="Boleto",BB844*(1+0.001)^DATEDIF(E844,G844,"D"),AZ844="Cheque",BB844,AZ844="Dinheiro","Alterar forma pgto")</f>
        <v/>
      </c>
      <c r="BD844" s="276" t="str" cm="1">
        <f t="array" ref="BD844">IF(F844=0," ",IF(BC844&lt;BB844,(_xlfn.IFS(AW844="SIM",SUM(L844,Q844,V844,AA844,AF844,AK844,AP844,AU844)+AX844/_xlfn.XLOOKUP(_xlfn.XLOOKUP($F844,Clientes!$B$4:$B$39,Clientes!$C$4:$C$39),Cadastros!$L$6:$L$12,Cadastros!$M$6:$M$12)+IF($F844="Bernardino Furlan",AY844/2751.92,IF($F844="Mauro José Salanti",AY844/2751.92,AY844/3356)),F844&lt;&gt;0,SUM(L844,Q844,V844,AA844,AF844,AK844,AP844,AU844)))*(1-0.03),_xlfn.IFS(AW844="SIM",SUM(L844,Q844,V844,AA844,AF844,AK844,AP844,AU844)+AX844/_xlfn.XLOOKUP(_xlfn.XLOOKUP($F844,Clientes!$B$4:$B$39,Clientes!$C$4:$C$39),Cadastros!$L$6:$L$12,Cadastros!$M$6:$M$12)+IF($F844="Bernardino Furlan",AY844/2751.92,IF($F844="Mauro José Salanti",AY844/2751.92,AY844/3356)),F844&lt;&gt;0,SUM(L844,Q844,V844,AA844,AF844,AK844,AP844,AU844))))</f>
        <v xml:space="preserve"> </v>
      </c>
      <c r="BE844" s="120"/>
      <c r="BF844" s="120"/>
      <c r="BG844" s="120"/>
    </row>
    <row r="845" spans="1:59" s="3" customFormat="1" x14ac:dyDescent="0.3">
      <c r="A845" s="15" t="str">
        <f t="shared" si="169"/>
        <v/>
      </c>
      <c r="B845" s="25"/>
      <c r="C845" s="26"/>
      <c r="D845" s="279"/>
      <c r="E845" s="27"/>
      <c r="F845" s="28"/>
      <c r="G845" s="27"/>
      <c r="H845" s="28"/>
      <c r="I845" s="28"/>
      <c r="J845" s="255" t="str">
        <f>IF(H845="","",(_xlfn.XLOOKUP(H845,Cadastros!$D$6:$D$90,Cadastros!$E$6:$E$90))*(1-_xlfn.XLOOKUP(_xlfn.XLOOKUP($F845,Clientes!$B$4:$B$39,Clientes!$C$4:$C$39),Cadastros!$L$6:$L$12,Cadastros!$N$6:$N$12)))</f>
        <v/>
      </c>
      <c r="K845" s="168" t="str">
        <f t="shared" si="170"/>
        <v/>
      </c>
      <c r="L845" s="168" t="str">
        <f>IFERROR(K845/_xlfn.XLOOKUP(_xlfn.XLOOKUP($F845,Clientes!$B$4:$B$39,Clientes!$C$4:$C$39),Cadastros!$L$6:$L$12,Cadastros!$M$6:$M$12)," ")</f>
        <v xml:space="preserve"> </v>
      </c>
      <c r="M845" s="28"/>
      <c r="N845" s="28"/>
      <c r="O845" s="255" t="str">
        <f>IF(M845="","",(_xlfn.XLOOKUP(M845,Cadastros!$D$6:$D$90,Cadastros!$E$6:$E$90))*(1-_xlfn.XLOOKUP(_xlfn.XLOOKUP($F845,Clientes!$B$4:$B$39,Clientes!$C$4:$C$39),Cadastros!$L$6:$L$12,Cadastros!$N$6:$N$12)))</f>
        <v/>
      </c>
      <c r="P845" s="168" t="str">
        <f t="shared" si="171"/>
        <v/>
      </c>
      <c r="Q845" s="168" t="str">
        <f>IFERROR(P845/_xlfn.XLOOKUP(_xlfn.XLOOKUP($F845,Clientes!$B$4:$B$39,Clientes!$C$4:$C$39),Cadastros!$L$6:$L$12,Cadastros!$M$6:$M$12)," ")</f>
        <v xml:space="preserve"> </v>
      </c>
      <c r="R845" s="28"/>
      <c r="S845" s="28"/>
      <c r="T845" s="255" t="str">
        <f>IF(R845="","",(_xlfn.XLOOKUP(R845,Cadastros!$D$6:$D$90,Cadastros!$E$6:$E$90))*(1-_xlfn.XLOOKUP(_xlfn.XLOOKUP($F845,Clientes!$B$4:$B$39,Clientes!$C$4:$C$39),Cadastros!$L$6:$L$12,Cadastros!$N$6:$N$12)))</f>
        <v/>
      </c>
      <c r="U845" s="168" t="str">
        <f t="shared" si="172"/>
        <v/>
      </c>
      <c r="V845" s="168" t="str">
        <f>IFERROR(U845/_xlfn.XLOOKUP(_xlfn.XLOOKUP($F845,Clientes!$B$4:$B$39,Clientes!$C$4:$C$39),Cadastros!$L$6:$L$12,Cadastros!$M$6:$M$12)," ")</f>
        <v xml:space="preserve"> </v>
      </c>
      <c r="W845" s="28"/>
      <c r="X845" s="28"/>
      <c r="Y845" s="255" t="str">
        <f>IF(W845="","",(_xlfn.XLOOKUP(W845,Cadastros!$D$6:$D$90,Cadastros!$E$6:$E$90))*(1-_xlfn.XLOOKUP(_xlfn.XLOOKUP($F845,Clientes!$B$4:$B$39,Clientes!$C$4:$C$39),Cadastros!$L$6:$L$12,Cadastros!$N$6:$N$12)))</f>
        <v/>
      </c>
      <c r="Z845" s="168" t="str">
        <f t="shared" si="173"/>
        <v/>
      </c>
      <c r="AA845" s="168" t="str">
        <f>IFERROR(Z845/_xlfn.XLOOKUP(_xlfn.XLOOKUP($F845,Clientes!$B$4:$B$39,Clientes!$C$4:$C$39),Cadastros!$L$6:$L$12,Cadastros!$M$6:$M$12)," ")</f>
        <v xml:space="preserve"> </v>
      </c>
      <c r="AB845" s="28"/>
      <c r="AC845" s="28"/>
      <c r="AD845" s="20" t="str">
        <f>IF(AB845="","",IF($F845="Bernardino Furlan",_xlfn.XLOOKUP(AB845,Cadastros!$G$6:$G$90,Cadastros!$H$6:$H$90)*(1-0.18),IF($F845="Mauro José Salanti",_xlfn.XLOOKUP(AB845,Cadastros!$G$6:$G$90,Cadastros!$H$6:$H$90)*(1-0.18),_xlfn.XLOOKUP(AB845,Cadastros!$G$6:$G$90,Cadastros!$H$6:$H$90))))</f>
        <v/>
      </c>
      <c r="AE845" s="168" t="str">
        <f t="shared" si="174"/>
        <v/>
      </c>
      <c r="AF845" s="168" t="str">
        <f t="shared" si="175"/>
        <v/>
      </c>
      <c r="AG845" s="28"/>
      <c r="AH845" s="28"/>
      <c r="AI845" s="20" t="str">
        <f>IF(AG845="","",IF($F845="Bernardino Furlan",_xlfn.XLOOKUP(AG845,Cadastros!$G$6:$G$90,Cadastros!$H$6:$H$90)*(1-0.18),IF($F845="Mauro José Salanti",_xlfn.XLOOKUP(AG845,Cadastros!$G$6:$G$90,Cadastros!$H$6:$H$90)*(1-0.18),_xlfn.XLOOKUP(AG845,Cadastros!$G$6:$G$90,Cadastros!$H$6:$H$90))))</f>
        <v/>
      </c>
      <c r="AJ845" s="168" t="str">
        <f t="shared" si="176"/>
        <v/>
      </c>
      <c r="AK845" s="168" t="str">
        <f t="shared" si="177"/>
        <v/>
      </c>
      <c r="AL845" s="28"/>
      <c r="AM845" s="28"/>
      <c r="AN845" s="20" t="str">
        <f>IF(AL845="","",IF($F845="Bernardino Furlan",_xlfn.XLOOKUP(AL845,Cadastros!$G$6:$G$90,Cadastros!$H$6:$H$90)*(1-0.18),IF($F845="Mauro José Salanti",_xlfn.XLOOKUP(AL845,Cadastros!$G$6:$G$90,Cadastros!$H$6:$H$90)*(1-0.18),_xlfn.XLOOKUP(AL845,Cadastros!$G$6:$G$90,Cadastros!$H$6:$H$90))))</f>
        <v/>
      </c>
      <c r="AO845" s="168" t="str">
        <f t="shared" si="178"/>
        <v/>
      </c>
      <c r="AP845" s="168" t="str">
        <f t="shared" si="179"/>
        <v/>
      </c>
      <c r="AQ845" s="28"/>
      <c r="AR845" s="28"/>
      <c r="AS845" s="20" t="str">
        <f>IF(AQ845="","",IF($F845="Bernardino Furlan",_xlfn.XLOOKUP(AQ845,Cadastros!$G$6:$G$90,Cadastros!$H$6:$H$90)*(1-0.18),IF($F845="Mauro José Salanti",_xlfn.XLOOKUP(AQ845,Cadastros!$G$6:$G$90,Cadastros!$H$6:$H$90)*(1-0.18),_xlfn.XLOOKUP(AQ845,Cadastros!$G$6:$G$90,Cadastros!$H$6:$H$90))))</f>
        <v/>
      </c>
      <c r="AT845" s="168" t="str">
        <f t="shared" si="180"/>
        <v/>
      </c>
      <c r="AU845" s="168" t="str">
        <f t="shared" si="181"/>
        <v/>
      </c>
      <c r="AV845" s="227"/>
      <c r="AW845" s="30"/>
      <c r="AX845" s="267"/>
      <c r="AY845" s="267"/>
      <c r="AZ845" s="29"/>
      <c r="BA845" s="30"/>
      <c r="BB845" s="23" t="str" cm="1">
        <f t="array" ref="BB845">_xlfn.IFS(AW845="SIM",SUM(K845,P845,U845,Z845,AE845,AJ845,AO845,AT845,AX845,AY845),F845&lt;&gt;"",SUM(K845,P845,U845,Z845,AE845,AJ845,,AO845,AT845),F845="","")</f>
        <v/>
      </c>
      <c r="BC845" s="211" t="str" cm="1">
        <f t="array" ref="BC845">_xlfn.IFS(E845="","",G845&lt;=E845,BB845*(1-0.03),G845&lt;(E845+8),BB845,AZ845="Boleto",BB845*(1+0.001)^DATEDIF(E845,G845,"D"),AZ845="Cheque",BB845,AZ845="Dinheiro","Alterar forma pgto")</f>
        <v/>
      </c>
      <c r="BD845" s="276" t="str" cm="1">
        <f t="array" ref="BD845">IF(F845=0," ",IF(BC845&lt;BB845,(_xlfn.IFS(AW845="SIM",SUM(L845,Q845,V845,AA845,AF845,AK845,AP845,AU845)+AX845/_xlfn.XLOOKUP(_xlfn.XLOOKUP($F845,Clientes!$B$4:$B$39,Clientes!$C$4:$C$39),Cadastros!$L$6:$L$12,Cadastros!$M$6:$M$12)+IF($F845="Bernardino Furlan",AY845/2751.92,IF($F845="Mauro José Salanti",AY845/2751.92,AY845/3356)),F845&lt;&gt;0,SUM(L845,Q845,V845,AA845,AF845,AK845,AP845,AU845)))*(1-0.03),_xlfn.IFS(AW845="SIM",SUM(L845,Q845,V845,AA845,AF845,AK845,AP845,AU845)+AX845/_xlfn.XLOOKUP(_xlfn.XLOOKUP($F845,Clientes!$B$4:$B$39,Clientes!$C$4:$C$39),Cadastros!$L$6:$L$12,Cadastros!$M$6:$M$12)+IF($F845="Bernardino Furlan",AY845/2751.92,IF($F845="Mauro José Salanti",AY845/2751.92,AY845/3356)),F845&lt;&gt;0,SUM(L845,Q845,V845,AA845,AF845,AK845,AP845,AU845))))</f>
        <v xml:space="preserve"> </v>
      </c>
      <c r="BE845" s="120"/>
      <c r="BF845" s="120"/>
      <c r="BG845" s="120"/>
    </row>
    <row r="846" spans="1:59" s="3" customFormat="1" x14ac:dyDescent="0.3">
      <c r="A846" s="15" t="str">
        <f t="shared" si="169"/>
        <v/>
      </c>
      <c r="B846" s="25"/>
      <c r="C846" s="26"/>
      <c r="D846" s="279"/>
      <c r="E846" s="27"/>
      <c r="F846" s="28"/>
      <c r="G846" s="27"/>
      <c r="H846" s="28"/>
      <c r="I846" s="28"/>
      <c r="J846" s="255" t="str">
        <f>IF(H846="","",(_xlfn.XLOOKUP(H846,Cadastros!$D$6:$D$90,Cadastros!$E$6:$E$90))*(1-_xlfn.XLOOKUP(_xlfn.XLOOKUP($F846,Clientes!$B$4:$B$39,Clientes!$C$4:$C$39),Cadastros!$L$6:$L$12,Cadastros!$N$6:$N$12)))</f>
        <v/>
      </c>
      <c r="K846" s="168" t="str">
        <f t="shared" si="170"/>
        <v/>
      </c>
      <c r="L846" s="168" t="str">
        <f>IFERROR(K846/_xlfn.XLOOKUP(_xlfn.XLOOKUP($F846,Clientes!$B$4:$B$39,Clientes!$C$4:$C$39),Cadastros!$L$6:$L$12,Cadastros!$M$6:$M$12)," ")</f>
        <v xml:space="preserve"> </v>
      </c>
      <c r="M846" s="28"/>
      <c r="N846" s="28"/>
      <c r="O846" s="255" t="str">
        <f>IF(M846="","",(_xlfn.XLOOKUP(M846,Cadastros!$D$6:$D$90,Cadastros!$E$6:$E$90))*(1-_xlfn.XLOOKUP(_xlfn.XLOOKUP($F846,Clientes!$B$4:$B$39,Clientes!$C$4:$C$39),Cadastros!$L$6:$L$12,Cadastros!$N$6:$N$12)))</f>
        <v/>
      </c>
      <c r="P846" s="168" t="str">
        <f t="shared" si="171"/>
        <v/>
      </c>
      <c r="Q846" s="168" t="str">
        <f>IFERROR(P846/_xlfn.XLOOKUP(_xlfn.XLOOKUP($F846,Clientes!$B$4:$B$39,Clientes!$C$4:$C$39),Cadastros!$L$6:$L$12,Cadastros!$M$6:$M$12)," ")</f>
        <v xml:space="preserve"> </v>
      </c>
      <c r="R846" s="28"/>
      <c r="S846" s="28"/>
      <c r="T846" s="255" t="str">
        <f>IF(R846="","",(_xlfn.XLOOKUP(R846,Cadastros!$D$6:$D$90,Cadastros!$E$6:$E$90))*(1-_xlfn.XLOOKUP(_xlfn.XLOOKUP($F846,Clientes!$B$4:$B$39,Clientes!$C$4:$C$39),Cadastros!$L$6:$L$12,Cadastros!$N$6:$N$12)))</f>
        <v/>
      </c>
      <c r="U846" s="168" t="str">
        <f t="shared" si="172"/>
        <v/>
      </c>
      <c r="V846" s="168" t="str">
        <f>IFERROR(U846/_xlfn.XLOOKUP(_xlfn.XLOOKUP($F846,Clientes!$B$4:$B$39,Clientes!$C$4:$C$39),Cadastros!$L$6:$L$12,Cadastros!$M$6:$M$12)," ")</f>
        <v xml:space="preserve"> </v>
      </c>
      <c r="W846" s="28"/>
      <c r="X846" s="28"/>
      <c r="Y846" s="255" t="str">
        <f>IF(W846="","",(_xlfn.XLOOKUP(W846,Cadastros!$D$6:$D$90,Cadastros!$E$6:$E$90))*(1-_xlfn.XLOOKUP(_xlfn.XLOOKUP($F846,Clientes!$B$4:$B$39,Clientes!$C$4:$C$39),Cadastros!$L$6:$L$12,Cadastros!$N$6:$N$12)))</f>
        <v/>
      </c>
      <c r="Z846" s="168" t="str">
        <f t="shared" si="173"/>
        <v/>
      </c>
      <c r="AA846" s="168" t="str">
        <f>IFERROR(Z846/_xlfn.XLOOKUP(_xlfn.XLOOKUP($F846,Clientes!$B$4:$B$39,Clientes!$C$4:$C$39),Cadastros!$L$6:$L$12,Cadastros!$M$6:$M$12)," ")</f>
        <v xml:space="preserve"> </v>
      </c>
      <c r="AB846" s="28"/>
      <c r="AC846" s="28"/>
      <c r="AD846" s="20" t="str">
        <f>IF(AB846="","",IF($F846="Bernardino Furlan",_xlfn.XLOOKUP(AB846,Cadastros!$G$6:$G$90,Cadastros!$H$6:$H$90)*(1-0.18),IF($F846="Mauro José Salanti",_xlfn.XLOOKUP(AB846,Cadastros!$G$6:$G$90,Cadastros!$H$6:$H$90)*(1-0.18),_xlfn.XLOOKUP(AB846,Cadastros!$G$6:$G$90,Cadastros!$H$6:$H$90))))</f>
        <v/>
      </c>
      <c r="AE846" s="168" t="str">
        <f t="shared" si="174"/>
        <v/>
      </c>
      <c r="AF846" s="168" t="str">
        <f t="shared" si="175"/>
        <v/>
      </c>
      <c r="AG846" s="28"/>
      <c r="AH846" s="28"/>
      <c r="AI846" s="20" t="str">
        <f>IF(AG846="","",IF($F846="Bernardino Furlan",_xlfn.XLOOKUP(AG846,Cadastros!$G$6:$G$90,Cadastros!$H$6:$H$90)*(1-0.18),IF($F846="Mauro José Salanti",_xlfn.XLOOKUP(AG846,Cadastros!$G$6:$G$90,Cadastros!$H$6:$H$90)*(1-0.18),_xlfn.XLOOKUP(AG846,Cadastros!$G$6:$G$90,Cadastros!$H$6:$H$90))))</f>
        <v/>
      </c>
      <c r="AJ846" s="168" t="str">
        <f t="shared" si="176"/>
        <v/>
      </c>
      <c r="AK846" s="168" t="str">
        <f t="shared" si="177"/>
        <v/>
      </c>
      <c r="AL846" s="28"/>
      <c r="AM846" s="28"/>
      <c r="AN846" s="20" t="str">
        <f>IF(AL846="","",IF($F846="Bernardino Furlan",_xlfn.XLOOKUP(AL846,Cadastros!$G$6:$G$90,Cadastros!$H$6:$H$90)*(1-0.18),IF($F846="Mauro José Salanti",_xlfn.XLOOKUP(AL846,Cadastros!$G$6:$G$90,Cadastros!$H$6:$H$90)*(1-0.18),_xlfn.XLOOKUP(AL846,Cadastros!$G$6:$G$90,Cadastros!$H$6:$H$90))))</f>
        <v/>
      </c>
      <c r="AO846" s="168" t="str">
        <f t="shared" si="178"/>
        <v/>
      </c>
      <c r="AP846" s="168" t="str">
        <f t="shared" si="179"/>
        <v/>
      </c>
      <c r="AQ846" s="28"/>
      <c r="AR846" s="28"/>
      <c r="AS846" s="20" t="str">
        <f>IF(AQ846="","",IF($F846="Bernardino Furlan",_xlfn.XLOOKUP(AQ846,Cadastros!$G$6:$G$90,Cadastros!$H$6:$H$90)*(1-0.18),IF($F846="Mauro José Salanti",_xlfn.XLOOKUP(AQ846,Cadastros!$G$6:$G$90,Cadastros!$H$6:$H$90)*(1-0.18),_xlfn.XLOOKUP(AQ846,Cadastros!$G$6:$G$90,Cadastros!$H$6:$H$90))))</f>
        <v/>
      </c>
      <c r="AT846" s="168" t="str">
        <f t="shared" si="180"/>
        <v/>
      </c>
      <c r="AU846" s="168" t="str">
        <f t="shared" si="181"/>
        <v/>
      </c>
      <c r="AV846" s="227"/>
      <c r="AW846" s="30"/>
      <c r="AX846" s="267"/>
      <c r="AY846" s="267"/>
      <c r="AZ846" s="29"/>
      <c r="BA846" s="30"/>
      <c r="BB846" s="23" t="str" cm="1">
        <f t="array" ref="BB846">_xlfn.IFS(AW846="SIM",SUM(K846,P846,U846,Z846,AE846,AJ846,AO846,AT846,AX846,AY846),F846&lt;&gt;"",SUM(K846,P846,U846,Z846,AE846,AJ846,,AO846,AT846),F846="","")</f>
        <v/>
      </c>
      <c r="BC846" s="211" t="str" cm="1">
        <f t="array" ref="BC846">_xlfn.IFS(E846="","",G846&lt;=E846,BB846*(1-0.03),G846&lt;(E846+8),BB846,AZ846="Boleto",BB846*(1+0.001)^DATEDIF(E846,G846,"D"),AZ846="Cheque",BB846,AZ846="Dinheiro","Alterar forma pgto")</f>
        <v/>
      </c>
      <c r="BD846" s="276" t="str" cm="1">
        <f t="array" ref="BD846">IF(F846=0," ",IF(BC846&lt;BB846,(_xlfn.IFS(AW846="SIM",SUM(L846,Q846,V846,AA846,AF846,AK846,AP846,AU846)+AX846/_xlfn.XLOOKUP(_xlfn.XLOOKUP($F846,Clientes!$B$4:$B$39,Clientes!$C$4:$C$39),Cadastros!$L$6:$L$12,Cadastros!$M$6:$M$12)+IF($F846="Bernardino Furlan",AY846/2751.92,IF($F846="Mauro José Salanti",AY846/2751.92,AY846/3356)),F846&lt;&gt;0,SUM(L846,Q846,V846,AA846,AF846,AK846,AP846,AU846)))*(1-0.03),_xlfn.IFS(AW846="SIM",SUM(L846,Q846,V846,AA846,AF846,AK846,AP846,AU846)+AX846/_xlfn.XLOOKUP(_xlfn.XLOOKUP($F846,Clientes!$B$4:$B$39,Clientes!$C$4:$C$39),Cadastros!$L$6:$L$12,Cadastros!$M$6:$M$12)+IF($F846="Bernardino Furlan",AY846/2751.92,IF($F846="Mauro José Salanti",AY846/2751.92,AY846/3356)),F846&lt;&gt;0,SUM(L846,Q846,V846,AA846,AF846,AK846,AP846,AU846))))</f>
        <v xml:space="preserve"> </v>
      </c>
      <c r="BE846" s="120"/>
      <c r="BF846" s="120"/>
      <c r="BG846" s="120"/>
    </row>
    <row r="847" spans="1:59" s="3" customFormat="1" x14ac:dyDescent="0.3">
      <c r="A847" s="15" t="str">
        <f t="shared" si="169"/>
        <v/>
      </c>
      <c r="B847" s="25"/>
      <c r="C847" s="26"/>
      <c r="D847" s="279"/>
      <c r="E847" s="27"/>
      <c r="F847" s="28"/>
      <c r="G847" s="27"/>
      <c r="H847" s="28"/>
      <c r="I847" s="28"/>
      <c r="J847" s="255" t="str">
        <f>IF(H847="","",(_xlfn.XLOOKUP(H847,Cadastros!$D$6:$D$90,Cadastros!$E$6:$E$90))*(1-_xlfn.XLOOKUP(_xlfn.XLOOKUP($F847,Clientes!$B$4:$B$39,Clientes!$C$4:$C$39),Cadastros!$L$6:$L$12,Cadastros!$N$6:$N$12)))</f>
        <v/>
      </c>
      <c r="K847" s="168" t="str">
        <f t="shared" si="170"/>
        <v/>
      </c>
      <c r="L847" s="168" t="str">
        <f>IFERROR(K847/_xlfn.XLOOKUP(_xlfn.XLOOKUP($F847,Clientes!$B$4:$B$39,Clientes!$C$4:$C$39),Cadastros!$L$6:$L$12,Cadastros!$M$6:$M$12)," ")</f>
        <v xml:space="preserve"> </v>
      </c>
      <c r="M847" s="28"/>
      <c r="N847" s="28"/>
      <c r="O847" s="255" t="str">
        <f>IF(M847="","",(_xlfn.XLOOKUP(M847,Cadastros!$D$6:$D$90,Cadastros!$E$6:$E$90))*(1-_xlfn.XLOOKUP(_xlfn.XLOOKUP($F847,Clientes!$B$4:$B$39,Clientes!$C$4:$C$39),Cadastros!$L$6:$L$12,Cadastros!$N$6:$N$12)))</f>
        <v/>
      </c>
      <c r="P847" s="168" t="str">
        <f t="shared" si="171"/>
        <v/>
      </c>
      <c r="Q847" s="168" t="str">
        <f>IFERROR(P847/_xlfn.XLOOKUP(_xlfn.XLOOKUP($F847,Clientes!$B$4:$B$39,Clientes!$C$4:$C$39),Cadastros!$L$6:$L$12,Cadastros!$M$6:$M$12)," ")</f>
        <v xml:space="preserve"> </v>
      </c>
      <c r="R847" s="28"/>
      <c r="S847" s="28"/>
      <c r="T847" s="255" t="str">
        <f>IF(R847="","",(_xlfn.XLOOKUP(R847,Cadastros!$D$6:$D$90,Cadastros!$E$6:$E$90))*(1-_xlfn.XLOOKUP(_xlfn.XLOOKUP($F847,Clientes!$B$4:$B$39,Clientes!$C$4:$C$39),Cadastros!$L$6:$L$12,Cadastros!$N$6:$N$12)))</f>
        <v/>
      </c>
      <c r="U847" s="168" t="str">
        <f t="shared" si="172"/>
        <v/>
      </c>
      <c r="V847" s="168" t="str">
        <f>IFERROR(U847/_xlfn.XLOOKUP(_xlfn.XLOOKUP($F847,Clientes!$B$4:$B$39,Clientes!$C$4:$C$39),Cadastros!$L$6:$L$12,Cadastros!$M$6:$M$12)," ")</f>
        <v xml:space="preserve"> </v>
      </c>
      <c r="W847" s="28"/>
      <c r="X847" s="28"/>
      <c r="Y847" s="255" t="str">
        <f>IF(W847="","",(_xlfn.XLOOKUP(W847,Cadastros!$D$6:$D$90,Cadastros!$E$6:$E$90))*(1-_xlfn.XLOOKUP(_xlfn.XLOOKUP($F847,Clientes!$B$4:$B$39,Clientes!$C$4:$C$39),Cadastros!$L$6:$L$12,Cadastros!$N$6:$N$12)))</f>
        <v/>
      </c>
      <c r="Z847" s="168" t="str">
        <f t="shared" si="173"/>
        <v/>
      </c>
      <c r="AA847" s="168" t="str">
        <f>IFERROR(Z847/_xlfn.XLOOKUP(_xlfn.XLOOKUP($F847,Clientes!$B$4:$B$39,Clientes!$C$4:$C$39),Cadastros!$L$6:$L$12,Cadastros!$M$6:$M$12)," ")</f>
        <v xml:space="preserve"> </v>
      </c>
      <c r="AB847" s="28"/>
      <c r="AC847" s="28"/>
      <c r="AD847" s="20" t="str">
        <f>IF(AB847="","",IF($F847="Bernardino Furlan",_xlfn.XLOOKUP(AB847,Cadastros!$G$6:$G$90,Cadastros!$H$6:$H$90)*(1-0.18),IF($F847="Mauro José Salanti",_xlfn.XLOOKUP(AB847,Cadastros!$G$6:$G$90,Cadastros!$H$6:$H$90)*(1-0.18),_xlfn.XLOOKUP(AB847,Cadastros!$G$6:$G$90,Cadastros!$H$6:$H$90))))</f>
        <v/>
      </c>
      <c r="AE847" s="168" t="str">
        <f t="shared" si="174"/>
        <v/>
      </c>
      <c r="AF847" s="168" t="str">
        <f t="shared" si="175"/>
        <v/>
      </c>
      <c r="AG847" s="28"/>
      <c r="AH847" s="28"/>
      <c r="AI847" s="20" t="str">
        <f>IF(AG847="","",IF($F847="Bernardino Furlan",_xlfn.XLOOKUP(AG847,Cadastros!$G$6:$G$90,Cadastros!$H$6:$H$90)*(1-0.18),IF($F847="Mauro José Salanti",_xlfn.XLOOKUP(AG847,Cadastros!$G$6:$G$90,Cadastros!$H$6:$H$90)*(1-0.18),_xlfn.XLOOKUP(AG847,Cadastros!$G$6:$G$90,Cadastros!$H$6:$H$90))))</f>
        <v/>
      </c>
      <c r="AJ847" s="168" t="str">
        <f t="shared" si="176"/>
        <v/>
      </c>
      <c r="AK847" s="168" t="str">
        <f t="shared" si="177"/>
        <v/>
      </c>
      <c r="AL847" s="28"/>
      <c r="AM847" s="28"/>
      <c r="AN847" s="20" t="str">
        <f>IF(AL847="","",IF($F847="Bernardino Furlan",_xlfn.XLOOKUP(AL847,Cadastros!$G$6:$G$90,Cadastros!$H$6:$H$90)*(1-0.18),IF($F847="Mauro José Salanti",_xlfn.XLOOKUP(AL847,Cadastros!$G$6:$G$90,Cadastros!$H$6:$H$90)*(1-0.18),_xlfn.XLOOKUP(AL847,Cadastros!$G$6:$G$90,Cadastros!$H$6:$H$90))))</f>
        <v/>
      </c>
      <c r="AO847" s="168" t="str">
        <f t="shared" si="178"/>
        <v/>
      </c>
      <c r="AP847" s="168" t="str">
        <f t="shared" si="179"/>
        <v/>
      </c>
      <c r="AQ847" s="28"/>
      <c r="AR847" s="28"/>
      <c r="AS847" s="20" t="str">
        <f>IF(AQ847="","",IF($F847="Bernardino Furlan",_xlfn.XLOOKUP(AQ847,Cadastros!$G$6:$G$90,Cadastros!$H$6:$H$90)*(1-0.18),IF($F847="Mauro José Salanti",_xlfn.XLOOKUP(AQ847,Cadastros!$G$6:$G$90,Cadastros!$H$6:$H$90)*(1-0.18),_xlfn.XLOOKUP(AQ847,Cadastros!$G$6:$G$90,Cadastros!$H$6:$H$90))))</f>
        <v/>
      </c>
      <c r="AT847" s="168" t="str">
        <f t="shared" si="180"/>
        <v/>
      </c>
      <c r="AU847" s="168" t="str">
        <f t="shared" si="181"/>
        <v/>
      </c>
      <c r="AV847" s="227"/>
      <c r="AW847" s="30"/>
      <c r="AX847" s="267"/>
      <c r="AY847" s="267"/>
      <c r="AZ847" s="29"/>
      <c r="BA847" s="30"/>
      <c r="BB847" s="23" t="str" cm="1">
        <f t="array" ref="BB847">_xlfn.IFS(AW847="SIM",SUM(K847,P847,U847,Z847,AE847,AJ847,AO847,AT847,AX847,AY847),F847&lt;&gt;"",SUM(K847,P847,U847,Z847,AE847,AJ847,,AO847,AT847),F847="","")</f>
        <v/>
      </c>
      <c r="BC847" s="211" t="str" cm="1">
        <f t="array" ref="BC847">_xlfn.IFS(E847="","",G847&lt;=E847,BB847*(1-0.03),G847&lt;(E847+8),BB847,AZ847="Boleto",BB847*(1+0.001)^DATEDIF(E847,G847,"D"),AZ847="Cheque",BB847,AZ847="Dinheiro","Alterar forma pgto")</f>
        <v/>
      </c>
      <c r="BD847" s="276" t="str" cm="1">
        <f t="array" ref="BD847">IF(F847=0," ",IF(BC847&lt;BB847,(_xlfn.IFS(AW847="SIM",SUM(L847,Q847,V847,AA847,AF847,AK847,AP847,AU847)+AX847/_xlfn.XLOOKUP(_xlfn.XLOOKUP($F847,Clientes!$B$4:$B$39,Clientes!$C$4:$C$39),Cadastros!$L$6:$L$12,Cadastros!$M$6:$M$12)+IF($F847="Bernardino Furlan",AY847/2751.92,IF($F847="Mauro José Salanti",AY847/2751.92,AY847/3356)),F847&lt;&gt;0,SUM(L847,Q847,V847,AA847,AF847,AK847,AP847,AU847)))*(1-0.03),_xlfn.IFS(AW847="SIM",SUM(L847,Q847,V847,AA847,AF847,AK847,AP847,AU847)+AX847/_xlfn.XLOOKUP(_xlfn.XLOOKUP($F847,Clientes!$B$4:$B$39,Clientes!$C$4:$C$39),Cadastros!$L$6:$L$12,Cadastros!$M$6:$M$12)+IF($F847="Bernardino Furlan",AY847/2751.92,IF($F847="Mauro José Salanti",AY847/2751.92,AY847/3356)),F847&lt;&gt;0,SUM(L847,Q847,V847,AA847,AF847,AK847,AP847,AU847))))</f>
        <v xml:space="preserve"> </v>
      </c>
      <c r="BE847" s="120"/>
      <c r="BF847" s="120"/>
      <c r="BG847" s="120"/>
    </row>
    <row r="848" spans="1:59" s="3" customFormat="1" x14ac:dyDescent="0.3">
      <c r="A848" s="15" t="str">
        <f t="shared" si="169"/>
        <v/>
      </c>
      <c r="B848" s="25"/>
      <c r="C848" s="26"/>
      <c r="D848" s="279"/>
      <c r="E848" s="27"/>
      <c r="F848" s="28"/>
      <c r="G848" s="27"/>
      <c r="H848" s="28"/>
      <c r="I848" s="28"/>
      <c r="J848" s="255" t="str">
        <f>IF(H848="","",(_xlfn.XLOOKUP(H848,Cadastros!$D$6:$D$90,Cadastros!$E$6:$E$90))*(1-_xlfn.XLOOKUP(_xlfn.XLOOKUP($F848,Clientes!$B$4:$B$39,Clientes!$C$4:$C$39),Cadastros!$L$6:$L$12,Cadastros!$N$6:$N$12)))</f>
        <v/>
      </c>
      <c r="K848" s="168" t="str">
        <f t="shared" si="170"/>
        <v/>
      </c>
      <c r="L848" s="168" t="str">
        <f>IFERROR(K848/_xlfn.XLOOKUP(_xlfn.XLOOKUP($F848,Clientes!$B$4:$B$39,Clientes!$C$4:$C$39),Cadastros!$L$6:$L$12,Cadastros!$M$6:$M$12)," ")</f>
        <v xml:space="preserve"> </v>
      </c>
      <c r="M848" s="28"/>
      <c r="N848" s="28"/>
      <c r="O848" s="255" t="str">
        <f>IF(M848="","",(_xlfn.XLOOKUP(M848,Cadastros!$D$6:$D$90,Cadastros!$E$6:$E$90))*(1-_xlfn.XLOOKUP(_xlfn.XLOOKUP($F848,Clientes!$B$4:$B$39,Clientes!$C$4:$C$39),Cadastros!$L$6:$L$12,Cadastros!$N$6:$N$12)))</f>
        <v/>
      </c>
      <c r="P848" s="168" t="str">
        <f t="shared" si="171"/>
        <v/>
      </c>
      <c r="Q848" s="168" t="str">
        <f>IFERROR(P848/_xlfn.XLOOKUP(_xlfn.XLOOKUP($F848,Clientes!$B$4:$B$39,Clientes!$C$4:$C$39),Cadastros!$L$6:$L$12,Cadastros!$M$6:$M$12)," ")</f>
        <v xml:space="preserve"> </v>
      </c>
      <c r="R848" s="28"/>
      <c r="S848" s="28"/>
      <c r="T848" s="255" t="str">
        <f>IF(R848="","",(_xlfn.XLOOKUP(R848,Cadastros!$D$6:$D$90,Cadastros!$E$6:$E$90))*(1-_xlfn.XLOOKUP(_xlfn.XLOOKUP($F848,Clientes!$B$4:$B$39,Clientes!$C$4:$C$39),Cadastros!$L$6:$L$12,Cadastros!$N$6:$N$12)))</f>
        <v/>
      </c>
      <c r="U848" s="168" t="str">
        <f t="shared" si="172"/>
        <v/>
      </c>
      <c r="V848" s="168" t="str">
        <f>IFERROR(U848/_xlfn.XLOOKUP(_xlfn.XLOOKUP($F848,Clientes!$B$4:$B$39,Clientes!$C$4:$C$39),Cadastros!$L$6:$L$12,Cadastros!$M$6:$M$12)," ")</f>
        <v xml:space="preserve"> </v>
      </c>
      <c r="W848" s="28"/>
      <c r="X848" s="28"/>
      <c r="Y848" s="255" t="str">
        <f>IF(W848="","",(_xlfn.XLOOKUP(W848,Cadastros!$D$6:$D$90,Cadastros!$E$6:$E$90))*(1-_xlfn.XLOOKUP(_xlfn.XLOOKUP($F848,Clientes!$B$4:$B$39,Clientes!$C$4:$C$39),Cadastros!$L$6:$L$12,Cadastros!$N$6:$N$12)))</f>
        <v/>
      </c>
      <c r="Z848" s="168" t="str">
        <f t="shared" si="173"/>
        <v/>
      </c>
      <c r="AA848" s="168" t="str">
        <f>IFERROR(Z848/_xlfn.XLOOKUP(_xlfn.XLOOKUP($F848,Clientes!$B$4:$B$39,Clientes!$C$4:$C$39),Cadastros!$L$6:$L$12,Cadastros!$M$6:$M$12)," ")</f>
        <v xml:space="preserve"> </v>
      </c>
      <c r="AB848" s="28"/>
      <c r="AC848" s="28"/>
      <c r="AD848" s="20" t="str">
        <f>IF(AB848="","",IF($F848="Bernardino Furlan",_xlfn.XLOOKUP(AB848,Cadastros!$G$6:$G$90,Cadastros!$H$6:$H$90)*(1-0.18),IF($F848="Mauro José Salanti",_xlfn.XLOOKUP(AB848,Cadastros!$G$6:$G$90,Cadastros!$H$6:$H$90)*(1-0.18),_xlfn.XLOOKUP(AB848,Cadastros!$G$6:$G$90,Cadastros!$H$6:$H$90))))</f>
        <v/>
      </c>
      <c r="AE848" s="168" t="str">
        <f t="shared" si="174"/>
        <v/>
      </c>
      <c r="AF848" s="168" t="str">
        <f t="shared" si="175"/>
        <v/>
      </c>
      <c r="AG848" s="28"/>
      <c r="AH848" s="28"/>
      <c r="AI848" s="20" t="str">
        <f>IF(AG848="","",IF($F848="Bernardino Furlan",_xlfn.XLOOKUP(AG848,Cadastros!$G$6:$G$90,Cadastros!$H$6:$H$90)*(1-0.18),IF($F848="Mauro José Salanti",_xlfn.XLOOKUP(AG848,Cadastros!$G$6:$G$90,Cadastros!$H$6:$H$90)*(1-0.18),_xlfn.XLOOKUP(AG848,Cadastros!$G$6:$G$90,Cadastros!$H$6:$H$90))))</f>
        <v/>
      </c>
      <c r="AJ848" s="168" t="str">
        <f t="shared" si="176"/>
        <v/>
      </c>
      <c r="AK848" s="168" t="str">
        <f t="shared" si="177"/>
        <v/>
      </c>
      <c r="AL848" s="28"/>
      <c r="AM848" s="28"/>
      <c r="AN848" s="20" t="str">
        <f>IF(AL848="","",IF($F848="Bernardino Furlan",_xlfn.XLOOKUP(AL848,Cadastros!$G$6:$G$90,Cadastros!$H$6:$H$90)*(1-0.18),IF($F848="Mauro José Salanti",_xlfn.XLOOKUP(AL848,Cadastros!$G$6:$G$90,Cadastros!$H$6:$H$90)*(1-0.18),_xlfn.XLOOKUP(AL848,Cadastros!$G$6:$G$90,Cadastros!$H$6:$H$90))))</f>
        <v/>
      </c>
      <c r="AO848" s="168" t="str">
        <f t="shared" si="178"/>
        <v/>
      </c>
      <c r="AP848" s="168" t="str">
        <f t="shared" si="179"/>
        <v/>
      </c>
      <c r="AQ848" s="28"/>
      <c r="AR848" s="28"/>
      <c r="AS848" s="20" t="str">
        <f>IF(AQ848="","",IF($F848="Bernardino Furlan",_xlfn.XLOOKUP(AQ848,Cadastros!$G$6:$G$90,Cadastros!$H$6:$H$90)*(1-0.18),IF($F848="Mauro José Salanti",_xlfn.XLOOKUP(AQ848,Cadastros!$G$6:$G$90,Cadastros!$H$6:$H$90)*(1-0.18),_xlfn.XLOOKUP(AQ848,Cadastros!$G$6:$G$90,Cadastros!$H$6:$H$90))))</f>
        <v/>
      </c>
      <c r="AT848" s="168" t="str">
        <f t="shared" si="180"/>
        <v/>
      </c>
      <c r="AU848" s="168" t="str">
        <f t="shared" si="181"/>
        <v/>
      </c>
      <c r="AV848" s="227"/>
      <c r="AW848" s="30"/>
      <c r="AX848" s="267"/>
      <c r="AY848" s="267"/>
      <c r="AZ848" s="29"/>
      <c r="BA848" s="30"/>
      <c r="BB848" s="23" t="str" cm="1">
        <f t="array" ref="BB848">_xlfn.IFS(AW848="SIM",SUM(K848,P848,U848,Z848,AE848,AJ848,AO848,AT848,AX848,AY848),F848&lt;&gt;"",SUM(K848,P848,U848,Z848,AE848,AJ848,,AO848,AT848),F848="","")</f>
        <v/>
      </c>
      <c r="BC848" s="211" t="str" cm="1">
        <f t="array" ref="BC848">_xlfn.IFS(E848="","",G848&lt;=E848,BB848*(1-0.03),G848&lt;(E848+8),BB848,AZ848="Boleto",BB848*(1+0.001)^DATEDIF(E848,G848,"D"),AZ848="Cheque",BB848,AZ848="Dinheiro","Alterar forma pgto")</f>
        <v/>
      </c>
      <c r="BD848" s="276" t="str" cm="1">
        <f t="array" ref="BD848">IF(F848=0," ",IF(BC848&lt;BB848,(_xlfn.IFS(AW848="SIM",SUM(L848,Q848,V848,AA848,AF848,AK848,AP848,AU848)+AX848/_xlfn.XLOOKUP(_xlfn.XLOOKUP($F848,Clientes!$B$4:$B$39,Clientes!$C$4:$C$39),Cadastros!$L$6:$L$12,Cadastros!$M$6:$M$12)+IF($F848="Bernardino Furlan",AY848/2751.92,IF($F848="Mauro José Salanti",AY848/2751.92,AY848/3356)),F848&lt;&gt;0,SUM(L848,Q848,V848,AA848,AF848,AK848,AP848,AU848)))*(1-0.03),_xlfn.IFS(AW848="SIM",SUM(L848,Q848,V848,AA848,AF848,AK848,AP848,AU848)+AX848/_xlfn.XLOOKUP(_xlfn.XLOOKUP($F848,Clientes!$B$4:$B$39,Clientes!$C$4:$C$39),Cadastros!$L$6:$L$12,Cadastros!$M$6:$M$12)+IF($F848="Bernardino Furlan",AY848/2751.92,IF($F848="Mauro José Salanti",AY848/2751.92,AY848/3356)),F848&lt;&gt;0,SUM(L848,Q848,V848,AA848,AF848,AK848,AP848,AU848))))</f>
        <v xml:space="preserve"> </v>
      </c>
      <c r="BE848" s="120"/>
      <c r="BF848" s="120"/>
      <c r="BG848" s="120"/>
    </row>
    <row r="849" spans="1:59" s="3" customFormat="1" x14ac:dyDescent="0.3">
      <c r="A849" s="15" t="str">
        <f t="shared" si="169"/>
        <v/>
      </c>
      <c r="B849" s="25"/>
      <c r="C849" s="26"/>
      <c r="D849" s="279"/>
      <c r="E849" s="27"/>
      <c r="F849" s="28"/>
      <c r="G849" s="27"/>
      <c r="H849" s="28"/>
      <c r="I849" s="28"/>
      <c r="J849" s="255" t="str">
        <f>IF(H849="","",(_xlfn.XLOOKUP(H849,Cadastros!$D$6:$D$90,Cadastros!$E$6:$E$90))*(1-_xlfn.XLOOKUP(_xlfn.XLOOKUP($F849,Clientes!$B$4:$B$39,Clientes!$C$4:$C$39),Cadastros!$L$6:$L$12,Cadastros!$N$6:$N$12)))</f>
        <v/>
      </c>
      <c r="K849" s="168" t="str">
        <f t="shared" si="170"/>
        <v/>
      </c>
      <c r="L849" s="168" t="str">
        <f>IFERROR(K849/_xlfn.XLOOKUP(_xlfn.XLOOKUP($F849,Clientes!$B$4:$B$39,Clientes!$C$4:$C$39),Cadastros!$L$6:$L$12,Cadastros!$M$6:$M$12)," ")</f>
        <v xml:space="preserve"> </v>
      </c>
      <c r="M849" s="28"/>
      <c r="N849" s="28"/>
      <c r="O849" s="255" t="str">
        <f>IF(M849="","",(_xlfn.XLOOKUP(M849,Cadastros!$D$6:$D$90,Cadastros!$E$6:$E$90))*(1-_xlfn.XLOOKUP(_xlfn.XLOOKUP($F849,Clientes!$B$4:$B$39,Clientes!$C$4:$C$39),Cadastros!$L$6:$L$12,Cadastros!$N$6:$N$12)))</f>
        <v/>
      </c>
      <c r="P849" s="168" t="str">
        <f t="shared" si="171"/>
        <v/>
      </c>
      <c r="Q849" s="168" t="str">
        <f>IFERROR(P849/_xlfn.XLOOKUP(_xlfn.XLOOKUP($F849,Clientes!$B$4:$B$39,Clientes!$C$4:$C$39),Cadastros!$L$6:$L$12,Cadastros!$M$6:$M$12)," ")</f>
        <v xml:space="preserve"> </v>
      </c>
      <c r="R849" s="28"/>
      <c r="S849" s="28"/>
      <c r="T849" s="255" t="str">
        <f>IF(R849="","",(_xlfn.XLOOKUP(R849,Cadastros!$D$6:$D$90,Cadastros!$E$6:$E$90))*(1-_xlfn.XLOOKUP(_xlfn.XLOOKUP($F849,Clientes!$B$4:$B$39,Clientes!$C$4:$C$39),Cadastros!$L$6:$L$12,Cadastros!$N$6:$N$12)))</f>
        <v/>
      </c>
      <c r="U849" s="168" t="str">
        <f t="shared" si="172"/>
        <v/>
      </c>
      <c r="V849" s="168" t="str">
        <f>IFERROR(U849/_xlfn.XLOOKUP(_xlfn.XLOOKUP($F849,Clientes!$B$4:$B$39,Clientes!$C$4:$C$39),Cadastros!$L$6:$L$12,Cadastros!$M$6:$M$12)," ")</f>
        <v xml:space="preserve"> </v>
      </c>
      <c r="W849" s="28"/>
      <c r="X849" s="28"/>
      <c r="Y849" s="255" t="str">
        <f>IF(W849="","",(_xlfn.XLOOKUP(W849,Cadastros!$D$6:$D$90,Cadastros!$E$6:$E$90))*(1-_xlfn.XLOOKUP(_xlfn.XLOOKUP($F849,Clientes!$B$4:$B$39,Clientes!$C$4:$C$39),Cadastros!$L$6:$L$12,Cadastros!$N$6:$N$12)))</f>
        <v/>
      </c>
      <c r="Z849" s="168" t="str">
        <f t="shared" si="173"/>
        <v/>
      </c>
      <c r="AA849" s="168" t="str">
        <f>IFERROR(Z849/_xlfn.XLOOKUP(_xlfn.XLOOKUP($F849,Clientes!$B$4:$B$39,Clientes!$C$4:$C$39),Cadastros!$L$6:$L$12,Cadastros!$M$6:$M$12)," ")</f>
        <v xml:space="preserve"> </v>
      </c>
      <c r="AB849" s="28"/>
      <c r="AC849" s="28"/>
      <c r="AD849" s="20" t="str">
        <f>IF(AB849="","",IF($F849="Bernardino Furlan",_xlfn.XLOOKUP(AB849,Cadastros!$G$6:$G$90,Cadastros!$H$6:$H$90)*(1-0.18),IF($F849="Mauro José Salanti",_xlfn.XLOOKUP(AB849,Cadastros!$G$6:$G$90,Cadastros!$H$6:$H$90)*(1-0.18),_xlfn.XLOOKUP(AB849,Cadastros!$G$6:$G$90,Cadastros!$H$6:$H$90))))</f>
        <v/>
      </c>
      <c r="AE849" s="168" t="str">
        <f t="shared" si="174"/>
        <v/>
      </c>
      <c r="AF849" s="168" t="str">
        <f t="shared" si="175"/>
        <v/>
      </c>
      <c r="AG849" s="28"/>
      <c r="AH849" s="28"/>
      <c r="AI849" s="20" t="str">
        <f>IF(AG849="","",IF($F849="Bernardino Furlan",_xlfn.XLOOKUP(AG849,Cadastros!$G$6:$G$90,Cadastros!$H$6:$H$90)*(1-0.18),IF($F849="Mauro José Salanti",_xlfn.XLOOKUP(AG849,Cadastros!$G$6:$G$90,Cadastros!$H$6:$H$90)*(1-0.18),_xlfn.XLOOKUP(AG849,Cadastros!$G$6:$G$90,Cadastros!$H$6:$H$90))))</f>
        <v/>
      </c>
      <c r="AJ849" s="168" t="str">
        <f t="shared" si="176"/>
        <v/>
      </c>
      <c r="AK849" s="168" t="str">
        <f t="shared" si="177"/>
        <v/>
      </c>
      <c r="AL849" s="28"/>
      <c r="AM849" s="28"/>
      <c r="AN849" s="20" t="str">
        <f>IF(AL849="","",IF($F849="Bernardino Furlan",_xlfn.XLOOKUP(AL849,Cadastros!$G$6:$G$90,Cadastros!$H$6:$H$90)*(1-0.18),IF($F849="Mauro José Salanti",_xlfn.XLOOKUP(AL849,Cadastros!$G$6:$G$90,Cadastros!$H$6:$H$90)*(1-0.18),_xlfn.XLOOKUP(AL849,Cadastros!$G$6:$G$90,Cadastros!$H$6:$H$90))))</f>
        <v/>
      </c>
      <c r="AO849" s="168" t="str">
        <f t="shared" si="178"/>
        <v/>
      </c>
      <c r="AP849" s="168" t="str">
        <f t="shared" si="179"/>
        <v/>
      </c>
      <c r="AQ849" s="28"/>
      <c r="AR849" s="28"/>
      <c r="AS849" s="20" t="str">
        <f>IF(AQ849="","",IF($F849="Bernardino Furlan",_xlfn.XLOOKUP(AQ849,Cadastros!$G$6:$G$90,Cadastros!$H$6:$H$90)*(1-0.18),IF($F849="Mauro José Salanti",_xlfn.XLOOKUP(AQ849,Cadastros!$G$6:$G$90,Cadastros!$H$6:$H$90)*(1-0.18),_xlfn.XLOOKUP(AQ849,Cadastros!$G$6:$G$90,Cadastros!$H$6:$H$90))))</f>
        <v/>
      </c>
      <c r="AT849" s="168" t="str">
        <f t="shared" si="180"/>
        <v/>
      </c>
      <c r="AU849" s="168" t="str">
        <f t="shared" si="181"/>
        <v/>
      </c>
      <c r="AV849" s="227"/>
      <c r="AW849" s="30"/>
      <c r="AX849" s="267"/>
      <c r="AY849" s="267"/>
      <c r="AZ849" s="29"/>
      <c r="BA849" s="30"/>
      <c r="BB849" s="23" t="str" cm="1">
        <f t="array" ref="BB849">_xlfn.IFS(AW849="SIM",SUM(K849,P849,U849,Z849,AE849,AJ849,AO849,AT849,AX849,AY849),F849&lt;&gt;"",SUM(K849,P849,U849,Z849,AE849,AJ849,,AO849,AT849),F849="","")</f>
        <v/>
      </c>
      <c r="BC849" s="211" t="str" cm="1">
        <f t="array" ref="BC849">_xlfn.IFS(E849="","",G849&lt;=E849,BB849*(1-0.03),G849&lt;(E849+8),BB849,AZ849="Boleto",BB849*(1+0.001)^DATEDIF(E849,G849,"D"),AZ849="Cheque",BB849,AZ849="Dinheiro","Alterar forma pgto")</f>
        <v/>
      </c>
      <c r="BD849" s="276" t="str" cm="1">
        <f t="array" ref="BD849">IF(F849=0," ",IF(BC849&lt;BB849,(_xlfn.IFS(AW849="SIM",SUM(L849,Q849,V849,AA849,AF849,AK849,AP849,AU849)+AX849/_xlfn.XLOOKUP(_xlfn.XLOOKUP($F849,Clientes!$B$4:$B$39,Clientes!$C$4:$C$39),Cadastros!$L$6:$L$12,Cadastros!$M$6:$M$12)+IF($F849="Bernardino Furlan",AY849/2751.92,IF($F849="Mauro José Salanti",AY849/2751.92,AY849/3356)),F849&lt;&gt;0,SUM(L849,Q849,V849,AA849,AF849,AK849,AP849,AU849)))*(1-0.03),_xlfn.IFS(AW849="SIM",SUM(L849,Q849,V849,AA849,AF849,AK849,AP849,AU849)+AX849/_xlfn.XLOOKUP(_xlfn.XLOOKUP($F849,Clientes!$B$4:$B$39,Clientes!$C$4:$C$39),Cadastros!$L$6:$L$12,Cadastros!$M$6:$M$12)+IF($F849="Bernardino Furlan",AY849/2751.92,IF($F849="Mauro José Salanti",AY849/2751.92,AY849/3356)),F849&lt;&gt;0,SUM(L849,Q849,V849,AA849,AF849,AK849,AP849,AU849))))</f>
        <v xml:space="preserve"> </v>
      </c>
      <c r="BE849" s="120"/>
      <c r="BF849" s="120"/>
      <c r="BG849" s="120"/>
    </row>
    <row r="850" spans="1:59" s="3" customFormat="1" x14ac:dyDescent="0.3">
      <c r="A850" s="15" t="str">
        <f t="shared" si="169"/>
        <v/>
      </c>
      <c r="B850" s="25"/>
      <c r="C850" s="26"/>
      <c r="D850" s="279"/>
      <c r="E850" s="27"/>
      <c r="F850" s="28"/>
      <c r="G850" s="27"/>
      <c r="H850" s="28"/>
      <c r="I850" s="28"/>
      <c r="J850" s="255" t="str">
        <f>IF(H850="","",(_xlfn.XLOOKUP(H850,Cadastros!$D$6:$D$90,Cadastros!$E$6:$E$90))*(1-_xlfn.XLOOKUP(_xlfn.XLOOKUP($F850,Clientes!$B$4:$B$39,Clientes!$C$4:$C$39),Cadastros!$L$6:$L$12,Cadastros!$N$6:$N$12)))</f>
        <v/>
      </c>
      <c r="K850" s="168" t="str">
        <f t="shared" si="170"/>
        <v/>
      </c>
      <c r="L850" s="168" t="str">
        <f>IFERROR(K850/_xlfn.XLOOKUP(_xlfn.XLOOKUP($F850,Clientes!$B$4:$B$39,Clientes!$C$4:$C$39),Cadastros!$L$6:$L$12,Cadastros!$M$6:$M$12)," ")</f>
        <v xml:space="preserve"> </v>
      </c>
      <c r="M850" s="28"/>
      <c r="N850" s="28"/>
      <c r="O850" s="255" t="str">
        <f>IF(M850="","",(_xlfn.XLOOKUP(M850,Cadastros!$D$6:$D$90,Cadastros!$E$6:$E$90))*(1-_xlfn.XLOOKUP(_xlfn.XLOOKUP($F850,Clientes!$B$4:$B$39,Clientes!$C$4:$C$39),Cadastros!$L$6:$L$12,Cadastros!$N$6:$N$12)))</f>
        <v/>
      </c>
      <c r="P850" s="168" t="str">
        <f t="shared" si="171"/>
        <v/>
      </c>
      <c r="Q850" s="168" t="str">
        <f>IFERROR(P850/_xlfn.XLOOKUP(_xlfn.XLOOKUP($F850,Clientes!$B$4:$B$39,Clientes!$C$4:$C$39),Cadastros!$L$6:$L$12,Cadastros!$M$6:$M$12)," ")</f>
        <v xml:space="preserve"> </v>
      </c>
      <c r="R850" s="28"/>
      <c r="S850" s="28"/>
      <c r="T850" s="255" t="str">
        <f>IF(R850="","",(_xlfn.XLOOKUP(R850,Cadastros!$D$6:$D$90,Cadastros!$E$6:$E$90))*(1-_xlfn.XLOOKUP(_xlfn.XLOOKUP($F850,Clientes!$B$4:$B$39,Clientes!$C$4:$C$39),Cadastros!$L$6:$L$12,Cadastros!$N$6:$N$12)))</f>
        <v/>
      </c>
      <c r="U850" s="168" t="str">
        <f t="shared" si="172"/>
        <v/>
      </c>
      <c r="V850" s="168" t="str">
        <f>IFERROR(U850/_xlfn.XLOOKUP(_xlfn.XLOOKUP($F850,Clientes!$B$4:$B$39,Clientes!$C$4:$C$39),Cadastros!$L$6:$L$12,Cadastros!$M$6:$M$12)," ")</f>
        <v xml:space="preserve"> </v>
      </c>
      <c r="W850" s="28"/>
      <c r="X850" s="28"/>
      <c r="Y850" s="255" t="str">
        <f>IF(W850="","",(_xlfn.XLOOKUP(W850,Cadastros!$D$6:$D$90,Cadastros!$E$6:$E$90))*(1-_xlfn.XLOOKUP(_xlfn.XLOOKUP($F850,Clientes!$B$4:$B$39,Clientes!$C$4:$C$39),Cadastros!$L$6:$L$12,Cadastros!$N$6:$N$12)))</f>
        <v/>
      </c>
      <c r="Z850" s="168" t="str">
        <f t="shared" si="173"/>
        <v/>
      </c>
      <c r="AA850" s="168" t="str">
        <f>IFERROR(Z850/_xlfn.XLOOKUP(_xlfn.XLOOKUP($F850,Clientes!$B$4:$B$39,Clientes!$C$4:$C$39),Cadastros!$L$6:$L$12,Cadastros!$M$6:$M$12)," ")</f>
        <v xml:space="preserve"> </v>
      </c>
      <c r="AB850" s="28"/>
      <c r="AC850" s="28"/>
      <c r="AD850" s="20" t="str">
        <f>IF(AB850="","",IF($F850="Bernardino Furlan",_xlfn.XLOOKUP(AB850,Cadastros!$G$6:$G$90,Cadastros!$H$6:$H$90)*(1-0.18),IF($F850="Mauro José Salanti",_xlfn.XLOOKUP(AB850,Cadastros!$G$6:$G$90,Cadastros!$H$6:$H$90)*(1-0.18),_xlfn.XLOOKUP(AB850,Cadastros!$G$6:$G$90,Cadastros!$H$6:$H$90))))</f>
        <v/>
      </c>
      <c r="AE850" s="168" t="str">
        <f t="shared" si="174"/>
        <v/>
      </c>
      <c r="AF850" s="168" t="str">
        <f t="shared" si="175"/>
        <v/>
      </c>
      <c r="AG850" s="28"/>
      <c r="AH850" s="28"/>
      <c r="AI850" s="20" t="str">
        <f>IF(AG850="","",IF($F850="Bernardino Furlan",_xlfn.XLOOKUP(AG850,Cadastros!$G$6:$G$90,Cadastros!$H$6:$H$90)*(1-0.18),IF($F850="Mauro José Salanti",_xlfn.XLOOKUP(AG850,Cadastros!$G$6:$G$90,Cadastros!$H$6:$H$90)*(1-0.18),_xlfn.XLOOKUP(AG850,Cadastros!$G$6:$G$90,Cadastros!$H$6:$H$90))))</f>
        <v/>
      </c>
      <c r="AJ850" s="168" t="str">
        <f t="shared" si="176"/>
        <v/>
      </c>
      <c r="AK850" s="168" t="str">
        <f t="shared" si="177"/>
        <v/>
      </c>
      <c r="AL850" s="28"/>
      <c r="AM850" s="28"/>
      <c r="AN850" s="20" t="str">
        <f>IF(AL850="","",IF($F850="Bernardino Furlan",_xlfn.XLOOKUP(AL850,Cadastros!$G$6:$G$90,Cadastros!$H$6:$H$90)*(1-0.18),IF($F850="Mauro José Salanti",_xlfn.XLOOKUP(AL850,Cadastros!$G$6:$G$90,Cadastros!$H$6:$H$90)*(1-0.18),_xlfn.XLOOKUP(AL850,Cadastros!$G$6:$G$90,Cadastros!$H$6:$H$90))))</f>
        <v/>
      </c>
      <c r="AO850" s="168" t="str">
        <f t="shared" si="178"/>
        <v/>
      </c>
      <c r="AP850" s="168" t="str">
        <f t="shared" si="179"/>
        <v/>
      </c>
      <c r="AQ850" s="28"/>
      <c r="AR850" s="28"/>
      <c r="AS850" s="20" t="str">
        <f>IF(AQ850="","",IF($F850="Bernardino Furlan",_xlfn.XLOOKUP(AQ850,Cadastros!$G$6:$G$90,Cadastros!$H$6:$H$90)*(1-0.18),IF($F850="Mauro José Salanti",_xlfn.XLOOKUP(AQ850,Cadastros!$G$6:$G$90,Cadastros!$H$6:$H$90)*(1-0.18),_xlfn.XLOOKUP(AQ850,Cadastros!$G$6:$G$90,Cadastros!$H$6:$H$90))))</f>
        <v/>
      </c>
      <c r="AT850" s="168" t="str">
        <f t="shared" si="180"/>
        <v/>
      </c>
      <c r="AU850" s="168" t="str">
        <f t="shared" si="181"/>
        <v/>
      </c>
      <c r="AV850" s="227"/>
      <c r="AW850" s="30"/>
      <c r="AX850" s="267"/>
      <c r="AY850" s="267"/>
      <c r="AZ850" s="29"/>
      <c r="BA850" s="30"/>
      <c r="BB850" s="23" t="str" cm="1">
        <f t="array" ref="BB850">_xlfn.IFS(AW850="SIM",SUM(K850,P850,U850,Z850,AE850,AJ850,AO850,AT850,AX850,AY850),F850&lt;&gt;"",SUM(K850,P850,U850,Z850,AE850,AJ850,,AO850,AT850),F850="","")</f>
        <v/>
      </c>
      <c r="BC850" s="211" t="str" cm="1">
        <f t="array" ref="BC850">_xlfn.IFS(E850="","",G850&lt;=E850,BB850*(1-0.03),G850&lt;(E850+8),BB850,AZ850="Boleto",BB850*(1+0.001)^DATEDIF(E850,G850,"D"),AZ850="Cheque",BB850,AZ850="Dinheiro","Alterar forma pgto")</f>
        <v/>
      </c>
      <c r="BD850" s="276" t="str" cm="1">
        <f t="array" ref="BD850">IF(F850=0," ",IF(BC850&lt;BB850,(_xlfn.IFS(AW850="SIM",SUM(L850,Q850,V850,AA850,AF850,AK850,AP850,AU850)+AX850/_xlfn.XLOOKUP(_xlfn.XLOOKUP($F850,Clientes!$B$4:$B$39,Clientes!$C$4:$C$39),Cadastros!$L$6:$L$12,Cadastros!$M$6:$M$12)+IF($F850="Bernardino Furlan",AY850/2751.92,IF($F850="Mauro José Salanti",AY850/2751.92,AY850/3356)),F850&lt;&gt;0,SUM(L850,Q850,V850,AA850,AF850,AK850,AP850,AU850)))*(1-0.03),_xlfn.IFS(AW850="SIM",SUM(L850,Q850,V850,AA850,AF850,AK850,AP850,AU850)+AX850/_xlfn.XLOOKUP(_xlfn.XLOOKUP($F850,Clientes!$B$4:$B$39,Clientes!$C$4:$C$39),Cadastros!$L$6:$L$12,Cadastros!$M$6:$M$12)+IF($F850="Bernardino Furlan",AY850/2751.92,IF($F850="Mauro José Salanti",AY850/2751.92,AY850/3356)),F850&lt;&gt;0,SUM(L850,Q850,V850,AA850,AF850,AK850,AP850,AU850))))</f>
        <v xml:space="preserve"> </v>
      </c>
      <c r="BE850" s="120"/>
      <c r="BF850" s="120"/>
      <c r="BG850" s="120"/>
    </row>
    <row r="851" spans="1:59" s="3" customFormat="1" x14ac:dyDescent="0.3">
      <c r="A851" s="15" t="str">
        <f t="shared" si="169"/>
        <v/>
      </c>
      <c r="B851" s="25"/>
      <c r="C851" s="26"/>
      <c r="D851" s="279"/>
      <c r="E851" s="27"/>
      <c r="F851" s="28"/>
      <c r="G851" s="27"/>
      <c r="H851" s="28"/>
      <c r="I851" s="28"/>
      <c r="J851" s="255" t="str">
        <f>IF(H851="","",(_xlfn.XLOOKUP(H851,Cadastros!$D$6:$D$90,Cadastros!$E$6:$E$90))*(1-_xlfn.XLOOKUP(_xlfn.XLOOKUP($F851,Clientes!$B$4:$B$39,Clientes!$C$4:$C$39),Cadastros!$L$6:$L$12,Cadastros!$N$6:$N$12)))</f>
        <v/>
      </c>
      <c r="K851" s="168" t="str">
        <f t="shared" si="170"/>
        <v/>
      </c>
      <c r="L851" s="168" t="str">
        <f>IFERROR(K851/_xlfn.XLOOKUP(_xlfn.XLOOKUP($F851,Clientes!$B$4:$B$39,Clientes!$C$4:$C$39),Cadastros!$L$6:$L$12,Cadastros!$M$6:$M$12)," ")</f>
        <v xml:space="preserve"> </v>
      </c>
      <c r="M851" s="28"/>
      <c r="N851" s="28"/>
      <c r="O851" s="255" t="str">
        <f>IF(M851="","",(_xlfn.XLOOKUP(M851,Cadastros!$D$6:$D$90,Cadastros!$E$6:$E$90))*(1-_xlfn.XLOOKUP(_xlfn.XLOOKUP($F851,Clientes!$B$4:$B$39,Clientes!$C$4:$C$39),Cadastros!$L$6:$L$12,Cadastros!$N$6:$N$12)))</f>
        <v/>
      </c>
      <c r="P851" s="168" t="str">
        <f t="shared" si="171"/>
        <v/>
      </c>
      <c r="Q851" s="168" t="str">
        <f>IFERROR(P851/_xlfn.XLOOKUP(_xlfn.XLOOKUP($F851,Clientes!$B$4:$B$39,Clientes!$C$4:$C$39),Cadastros!$L$6:$L$12,Cadastros!$M$6:$M$12)," ")</f>
        <v xml:space="preserve"> </v>
      </c>
      <c r="R851" s="28"/>
      <c r="S851" s="28"/>
      <c r="T851" s="255" t="str">
        <f>IF(R851="","",(_xlfn.XLOOKUP(R851,Cadastros!$D$6:$D$90,Cadastros!$E$6:$E$90))*(1-_xlfn.XLOOKUP(_xlfn.XLOOKUP($F851,Clientes!$B$4:$B$39,Clientes!$C$4:$C$39),Cadastros!$L$6:$L$12,Cadastros!$N$6:$N$12)))</f>
        <v/>
      </c>
      <c r="U851" s="168" t="str">
        <f t="shared" si="172"/>
        <v/>
      </c>
      <c r="V851" s="168" t="str">
        <f>IFERROR(U851/_xlfn.XLOOKUP(_xlfn.XLOOKUP($F851,Clientes!$B$4:$B$39,Clientes!$C$4:$C$39),Cadastros!$L$6:$L$12,Cadastros!$M$6:$M$12)," ")</f>
        <v xml:space="preserve"> </v>
      </c>
      <c r="W851" s="28"/>
      <c r="X851" s="28"/>
      <c r="Y851" s="255" t="str">
        <f>IF(W851="","",(_xlfn.XLOOKUP(W851,Cadastros!$D$6:$D$90,Cadastros!$E$6:$E$90))*(1-_xlfn.XLOOKUP(_xlfn.XLOOKUP($F851,Clientes!$B$4:$B$39,Clientes!$C$4:$C$39),Cadastros!$L$6:$L$12,Cadastros!$N$6:$N$12)))</f>
        <v/>
      </c>
      <c r="Z851" s="168" t="str">
        <f t="shared" si="173"/>
        <v/>
      </c>
      <c r="AA851" s="168" t="str">
        <f>IFERROR(Z851/_xlfn.XLOOKUP(_xlfn.XLOOKUP($F851,Clientes!$B$4:$B$39,Clientes!$C$4:$C$39),Cadastros!$L$6:$L$12,Cadastros!$M$6:$M$12)," ")</f>
        <v xml:space="preserve"> </v>
      </c>
      <c r="AB851" s="28"/>
      <c r="AC851" s="28"/>
      <c r="AD851" s="20" t="str">
        <f>IF(AB851="","",IF($F851="Bernardino Furlan",_xlfn.XLOOKUP(AB851,Cadastros!$G$6:$G$90,Cadastros!$H$6:$H$90)*(1-0.18),IF($F851="Mauro José Salanti",_xlfn.XLOOKUP(AB851,Cadastros!$G$6:$G$90,Cadastros!$H$6:$H$90)*(1-0.18),_xlfn.XLOOKUP(AB851,Cadastros!$G$6:$G$90,Cadastros!$H$6:$H$90))))</f>
        <v/>
      </c>
      <c r="AE851" s="168" t="str">
        <f t="shared" si="174"/>
        <v/>
      </c>
      <c r="AF851" s="168" t="str">
        <f t="shared" si="175"/>
        <v/>
      </c>
      <c r="AG851" s="28"/>
      <c r="AH851" s="28"/>
      <c r="AI851" s="20" t="str">
        <f>IF(AG851="","",IF($F851="Bernardino Furlan",_xlfn.XLOOKUP(AG851,Cadastros!$G$6:$G$90,Cadastros!$H$6:$H$90)*(1-0.18),IF($F851="Mauro José Salanti",_xlfn.XLOOKUP(AG851,Cadastros!$G$6:$G$90,Cadastros!$H$6:$H$90)*(1-0.18),_xlfn.XLOOKUP(AG851,Cadastros!$G$6:$G$90,Cadastros!$H$6:$H$90))))</f>
        <v/>
      </c>
      <c r="AJ851" s="168" t="str">
        <f t="shared" si="176"/>
        <v/>
      </c>
      <c r="AK851" s="168" t="str">
        <f t="shared" si="177"/>
        <v/>
      </c>
      <c r="AL851" s="28"/>
      <c r="AM851" s="28"/>
      <c r="AN851" s="20" t="str">
        <f>IF(AL851="","",IF($F851="Bernardino Furlan",_xlfn.XLOOKUP(AL851,Cadastros!$G$6:$G$90,Cadastros!$H$6:$H$90)*(1-0.18),IF($F851="Mauro José Salanti",_xlfn.XLOOKUP(AL851,Cadastros!$G$6:$G$90,Cadastros!$H$6:$H$90)*(1-0.18),_xlfn.XLOOKUP(AL851,Cadastros!$G$6:$G$90,Cadastros!$H$6:$H$90))))</f>
        <v/>
      </c>
      <c r="AO851" s="168" t="str">
        <f t="shared" si="178"/>
        <v/>
      </c>
      <c r="AP851" s="168" t="str">
        <f t="shared" si="179"/>
        <v/>
      </c>
      <c r="AQ851" s="28"/>
      <c r="AR851" s="28"/>
      <c r="AS851" s="20" t="str">
        <f>IF(AQ851="","",IF($F851="Bernardino Furlan",_xlfn.XLOOKUP(AQ851,Cadastros!$G$6:$G$90,Cadastros!$H$6:$H$90)*(1-0.18),IF($F851="Mauro José Salanti",_xlfn.XLOOKUP(AQ851,Cadastros!$G$6:$G$90,Cadastros!$H$6:$H$90)*(1-0.18),_xlfn.XLOOKUP(AQ851,Cadastros!$G$6:$G$90,Cadastros!$H$6:$H$90))))</f>
        <v/>
      </c>
      <c r="AT851" s="168" t="str">
        <f t="shared" si="180"/>
        <v/>
      </c>
      <c r="AU851" s="168" t="str">
        <f t="shared" si="181"/>
        <v/>
      </c>
      <c r="AV851" s="227"/>
      <c r="AW851" s="30"/>
      <c r="AX851" s="267"/>
      <c r="AY851" s="267"/>
      <c r="AZ851" s="29"/>
      <c r="BA851" s="30"/>
      <c r="BB851" s="23" t="str" cm="1">
        <f t="array" ref="BB851">_xlfn.IFS(AW851="SIM",SUM(K851,P851,U851,Z851,AE851,AJ851,AO851,AT851,AX851,AY851),F851&lt;&gt;"",SUM(K851,P851,U851,Z851,AE851,AJ851,,AO851,AT851),F851="","")</f>
        <v/>
      </c>
      <c r="BC851" s="211" t="str" cm="1">
        <f t="array" ref="BC851">_xlfn.IFS(E851="","",G851&lt;=E851,BB851*(1-0.03),G851&lt;(E851+8),BB851,AZ851="Boleto",BB851*(1+0.001)^DATEDIF(E851,G851,"D"),AZ851="Cheque",BB851,AZ851="Dinheiro","Alterar forma pgto")</f>
        <v/>
      </c>
      <c r="BD851" s="276" t="str" cm="1">
        <f t="array" ref="BD851">IF(F851=0," ",IF(BC851&lt;BB851,(_xlfn.IFS(AW851="SIM",SUM(L851,Q851,V851,AA851,AF851,AK851,AP851,AU851)+AX851/_xlfn.XLOOKUP(_xlfn.XLOOKUP($F851,Clientes!$B$4:$B$39,Clientes!$C$4:$C$39),Cadastros!$L$6:$L$12,Cadastros!$M$6:$M$12)+IF($F851="Bernardino Furlan",AY851/2751.92,IF($F851="Mauro José Salanti",AY851/2751.92,AY851/3356)),F851&lt;&gt;0,SUM(L851,Q851,V851,AA851,AF851,AK851,AP851,AU851)))*(1-0.03),_xlfn.IFS(AW851="SIM",SUM(L851,Q851,V851,AA851,AF851,AK851,AP851,AU851)+AX851/_xlfn.XLOOKUP(_xlfn.XLOOKUP($F851,Clientes!$B$4:$B$39,Clientes!$C$4:$C$39),Cadastros!$L$6:$L$12,Cadastros!$M$6:$M$12)+IF($F851="Bernardino Furlan",AY851/2751.92,IF($F851="Mauro José Salanti",AY851/2751.92,AY851/3356)),F851&lt;&gt;0,SUM(L851,Q851,V851,AA851,AF851,AK851,AP851,AU851))))</f>
        <v xml:space="preserve"> </v>
      </c>
      <c r="BE851" s="120"/>
      <c r="BF851" s="120"/>
      <c r="BG851" s="120"/>
    </row>
    <row r="852" spans="1:59" s="3" customFormat="1" x14ac:dyDescent="0.3">
      <c r="A852" s="15" t="str">
        <f t="shared" si="169"/>
        <v/>
      </c>
      <c r="B852" s="25"/>
      <c r="C852" s="26"/>
      <c r="D852" s="279"/>
      <c r="E852" s="27"/>
      <c r="F852" s="28"/>
      <c r="G852" s="27"/>
      <c r="H852" s="28"/>
      <c r="I852" s="28"/>
      <c r="J852" s="255" t="str">
        <f>IF(H852="","",(_xlfn.XLOOKUP(H852,Cadastros!$D$6:$D$90,Cadastros!$E$6:$E$90))*(1-_xlfn.XLOOKUP(_xlfn.XLOOKUP($F852,Clientes!$B$4:$B$39,Clientes!$C$4:$C$39),Cadastros!$L$6:$L$12,Cadastros!$N$6:$N$12)))</f>
        <v/>
      </c>
      <c r="K852" s="168" t="str">
        <f t="shared" si="170"/>
        <v/>
      </c>
      <c r="L852" s="168" t="str">
        <f>IFERROR(K852/_xlfn.XLOOKUP(_xlfn.XLOOKUP($F852,Clientes!$B$4:$B$39,Clientes!$C$4:$C$39),Cadastros!$L$6:$L$12,Cadastros!$M$6:$M$12)," ")</f>
        <v xml:space="preserve"> </v>
      </c>
      <c r="M852" s="28"/>
      <c r="N852" s="28"/>
      <c r="O852" s="255" t="str">
        <f>IF(M852="","",(_xlfn.XLOOKUP(M852,Cadastros!$D$6:$D$90,Cadastros!$E$6:$E$90))*(1-_xlfn.XLOOKUP(_xlfn.XLOOKUP($F852,Clientes!$B$4:$B$39,Clientes!$C$4:$C$39),Cadastros!$L$6:$L$12,Cadastros!$N$6:$N$12)))</f>
        <v/>
      </c>
      <c r="P852" s="168" t="str">
        <f t="shared" si="171"/>
        <v/>
      </c>
      <c r="Q852" s="168" t="str">
        <f>IFERROR(P852/_xlfn.XLOOKUP(_xlfn.XLOOKUP($F852,Clientes!$B$4:$B$39,Clientes!$C$4:$C$39),Cadastros!$L$6:$L$12,Cadastros!$M$6:$M$12)," ")</f>
        <v xml:space="preserve"> </v>
      </c>
      <c r="R852" s="28"/>
      <c r="S852" s="28"/>
      <c r="T852" s="255" t="str">
        <f>IF(R852="","",(_xlfn.XLOOKUP(R852,Cadastros!$D$6:$D$90,Cadastros!$E$6:$E$90))*(1-_xlfn.XLOOKUP(_xlfn.XLOOKUP($F852,Clientes!$B$4:$B$39,Clientes!$C$4:$C$39),Cadastros!$L$6:$L$12,Cadastros!$N$6:$N$12)))</f>
        <v/>
      </c>
      <c r="U852" s="168" t="str">
        <f t="shared" si="172"/>
        <v/>
      </c>
      <c r="V852" s="168" t="str">
        <f>IFERROR(U852/_xlfn.XLOOKUP(_xlfn.XLOOKUP($F852,Clientes!$B$4:$B$39,Clientes!$C$4:$C$39),Cadastros!$L$6:$L$12,Cadastros!$M$6:$M$12)," ")</f>
        <v xml:space="preserve"> </v>
      </c>
      <c r="W852" s="28"/>
      <c r="X852" s="28"/>
      <c r="Y852" s="255" t="str">
        <f>IF(W852="","",(_xlfn.XLOOKUP(W852,Cadastros!$D$6:$D$90,Cadastros!$E$6:$E$90))*(1-_xlfn.XLOOKUP(_xlfn.XLOOKUP($F852,Clientes!$B$4:$B$39,Clientes!$C$4:$C$39),Cadastros!$L$6:$L$12,Cadastros!$N$6:$N$12)))</f>
        <v/>
      </c>
      <c r="Z852" s="168" t="str">
        <f t="shared" si="173"/>
        <v/>
      </c>
      <c r="AA852" s="168" t="str">
        <f>IFERROR(Z852/_xlfn.XLOOKUP(_xlfn.XLOOKUP($F852,Clientes!$B$4:$B$39,Clientes!$C$4:$C$39),Cadastros!$L$6:$L$12,Cadastros!$M$6:$M$12)," ")</f>
        <v xml:space="preserve"> </v>
      </c>
      <c r="AB852" s="28"/>
      <c r="AC852" s="28"/>
      <c r="AD852" s="20" t="str">
        <f>IF(AB852="","",IF($F852="Bernardino Furlan",_xlfn.XLOOKUP(AB852,Cadastros!$G$6:$G$90,Cadastros!$H$6:$H$90)*(1-0.18),IF($F852="Mauro José Salanti",_xlfn.XLOOKUP(AB852,Cadastros!$G$6:$G$90,Cadastros!$H$6:$H$90)*(1-0.18),_xlfn.XLOOKUP(AB852,Cadastros!$G$6:$G$90,Cadastros!$H$6:$H$90))))</f>
        <v/>
      </c>
      <c r="AE852" s="168" t="str">
        <f t="shared" si="174"/>
        <v/>
      </c>
      <c r="AF852" s="168" t="str">
        <f t="shared" si="175"/>
        <v/>
      </c>
      <c r="AG852" s="28"/>
      <c r="AH852" s="28"/>
      <c r="AI852" s="20" t="str">
        <f>IF(AG852="","",IF($F852="Bernardino Furlan",_xlfn.XLOOKUP(AG852,Cadastros!$G$6:$G$90,Cadastros!$H$6:$H$90)*(1-0.18),IF($F852="Mauro José Salanti",_xlfn.XLOOKUP(AG852,Cadastros!$G$6:$G$90,Cadastros!$H$6:$H$90)*(1-0.18),_xlfn.XLOOKUP(AG852,Cadastros!$G$6:$G$90,Cadastros!$H$6:$H$90))))</f>
        <v/>
      </c>
      <c r="AJ852" s="168" t="str">
        <f t="shared" si="176"/>
        <v/>
      </c>
      <c r="AK852" s="168" t="str">
        <f t="shared" si="177"/>
        <v/>
      </c>
      <c r="AL852" s="28"/>
      <c r="AM852" s="28"/>
      <c r="AN852" s="20" t="str">
        <f>IF(AL852="","",IF($F852="Bernardino Furlan",_xlfn.XLOOKUP(AL852,Cadastros!$G$6:$G$90,Cadastros!$H$6:$H$90)*(1-0.18),IF($F852="Mauro José Salanti",_xlfn.XLOOKUP(AL852,Cadastros!$G$6:$G$90,Cadastros!$H$6:$H$90)*(1-0.18),_xlfn.XLOOKUP(AL852,Cadastros!$G$6:$G$90,Cadastros!$H$6:$H$90))))</f>
        <v/>
      </c>
      <c r="AO852" s="168" t="str">
        <f t="shared" si="178"/>
        <v/>
      </c>
      <c r="AP852" s="168" t="str">
        <f t="shared" si="179"/>
        <v/>
      </c>
      <c r="AQ852" s="28"/>
      <c r="AR852" s="28"/>
      <c r="AS852" s="20" t="str">
        <f>IF(AQ852="","",IF($F852="Bernardino Furlan",_xlfn.XLOOKUP(AQ852,Cadastros!$G$6:$G$90,Cadastros!$H$6:$H$90)*(1-0.18),IF($F852="Mauro José Salanti",_xlfn.XLOOKUP(AQ852,Cadastros!$G$6:$G$90,Cadastros!$H$6:$H$90)*(1-0.18),_xlfn.XLOOKUP(AQ852,Cadastros!$G$6:$G$90,Cadastros!$H$6:$H$90))))</f>
        <v/>
      </c>
      <c r="AT852" s="168" t="str">
        <f t="shared" si="180"/>
        <v/>
      </c>
      <c r="AU852" s="168" t="str">
        <f t="shared" si="181"/>
        <v/>
      </c>
      <c r="AV852" s="227"/>
      <c r="AW852" s="30"/>
      <c r="AX852" s="267"/>
      <c r="AY852" s="267"/>
      <c r="AZ852" s="29"/>
      <c r="BA852" s="30"/>
      <c r="BB852" s="23" t="str" cm="1">
        <f t="array" ref="BB852">_xlfn.IFS(AW852="SIM",SUM(K852,P852,U852,Z852,AE852,AJ852,AO852,AT852,AX852,AY852),F852&lt;&gt;"",SUM(K852,P852,U852,Z852,AE852,AJ852,,AO852,AT852),F852="","")</f>
        <v/>
      </c>
      <c r="BC852" s="211" t="str" cm="1">
        <f t="array" ref="BC852">_xlfn.IFS(E852="","",G852&lt;=E852,BB852*(1-0.03),G852&lt;(E852+8),BB852,AZ852="Boleto",BB852*(1+0.001)^DATEDIF(E852,G852,"D"),AZ852="Cheque",BB852,AZ852="Dinheiro","Alterar forma pgto")</f>
        <v/>
      </c>
      <c r="BD852" s="276" t="str" cm="1">
        <f t="array" ref="BD852">IF(F852=0," ",IF(BC852&lt;BB852,(_xlfn.IFS(AW852="SIM",SUM(L852,Q852,V852,AA852,AF852,AK852,AP852,AU852)+AX852/_xlfn.XLOOKUP(_xlfn.XLOOKUP($F852,Clientes!$B$4:$B$39,Clientes!$C$4:$C$39),Cadastros!$L$6:$L$12,Cadastros!$M$6:$M$12)+IF($F852="Bernardino Furlan",AY852/2751.92,IF($F852="Mauro José Salanti",AY852/2751.92,AY852/3356)),F852&lt;&gt;0,SUM(L852,Q852,V852,AA852,AF852,AK852,AP852,AU852)))*(1-0.03),_xlfn.IFS(AW852="SIM",SUM(L852,Q852,V852,AA852,AF852,AK852,AP852,AU852)+AX852/_xlfn.XLOOKUP(_xlfn.XLOOKUP($F852,Clientes!$B$4:$B$39,Clientes!$C$4:$C$39),Cadastros!$L$6:$L$12,Cadastros!$M$6:$M$12)+IF($F852="Bernardino Furlan",AY852/2751.92,IF($F852="Mauro José Salanti",AY852/2751.92,AY852/3356)),F852&lt;&gt;0,SUM(L852,Q852,V852,AA852,AF852,AK852,AP852,AU852))))</f>
        <v xml:space="preserve"> </v>
      </c>
      <c r="BE852" s="120"/>
      <c r="BF852" s="120"/>
      <c r="BG852" s="120"/>
    </row>
    <row r="853" spans="1:59" s="3" customFormat="1" x14ac:dyDescent="0.3">
      <c r="A853" s="15" t="str">
        <f t="shared" si="169"/>
        <v/>
      </c>
      <c r="B853" s="25"/>
      <c r="C853" s="26"/>
      <c r="D853" s="279"/>
      <c r="E853" s="27"/>
      <c r="F853" s="28"/>
      <c r="G853" s="27"/>
      <c r="H853" s="28"/>
      <c r="I853" s="28"/>
      <c r="J853" s="255" t="str">
        <f>IF(H853="","",(_xlfn.XLOOKUP(H853,Cadastros!$D$6:$D$90,Cadastros!$E$6:$E$90))*(1-_xlfn.XLOOKUP(_xlfn.XLOOKUP($F853,Clientes!$B$4:$B$39,Clientes!$C$4:$C$39),Cadastros!$L$6:$L$12,Cadastros!$N$6:$N$12)))</f>
        <v/>
      </c>
      <c r="K853" s="168" t="str">
        <f t="shared" si="170"/>
        <v/>
      </c>
      <c r="L853" s="168" t="str">
        <f>IFERROR(K853/_xlfn.XLOOKUP(_xlfn.XLOOKUP($F853,Clientes!$B$4:$B$39,Clientes!$C$4:$C$39),Cadastros!$L$6:$L$12,Cadastros!$M$6:$M$12)," ")</f>
        <v xml:space="preserve"> </v>
      </c>
      <c r="M853" s="28"/>
      <c r="N853" s="28"/>
      <c r="O853" s="255" t="str">
        <f>IF(M853="","",(_xlfn.XLOOKUP(M853,Cadastros!$D$6:$D$90,Cadastros!$E$6:$E$90))*(1-_xlfn.XLOOKUP(_xlfn.XLOOKUP($F853,Clientes!$B$4:$B$39,Clientes!$C$4:$C$39),Cadastros!$L$6:$L$12,Cadastros!$N$6:$N$12)))</f>
        <v/>
      </c>
      <c r="P853" s="168" t="str">
        <f t="shared" si="171"/>
        <v/>
      </c>
      <c r="Q853" s="168" t="str">
        <f>IFERROR(P853/_xlfn.XLOOKUP(_xlfn.XLOOKUP($F853,Clientes!$B$4:$B$39,Clientes!$C$4:$C$39),Cadastros!$L$6:$L$12,Cadastros!$M$6:$M$12)," ")</f>
        <v xml:space="preserve"> </v>
      </c>
      <c r="R853" s="28"/>
      <c r="S853" s="28"/>
      <c r="T853" s="255" t="str">
        <f>IF(R853="","",(_xlfn.XLOOKUP(R853,Cadastros!$D$6:$D$90,Cadastros!$E$6:$E$90))*(1-_xlfn.XLOOKUP(_xlfn.XLOOKUP($F853,Clientes!$B$4:$B$39,Clientes!$C$4:$C$39),Cadastros!$L$6:$L$12,Cadastros!$N$6:$N$12)))</f>
        <v/>
      </c>
      <c r="U853" s="168" t="str">
        <f t="shared" si="172"/>
        <v/>
      </c>
      <c r="V853" s="168" t="str">
        <f>IFERROR(U853/_xlfn.XLOOKUP(_xlfn.XLOOKUP($F853,Clientes!$B$4:$B$39,Clientes!$C$4:$C$39),Cadastros!$L$6:$L$12,Cadastros!$M$6:$M$12)," ")</f>
        <v xml:space="preserve"> </v>
      </c>
      <c r="W853" s="28"/>
      <c r="X853" s="28"/>
      <c r="Y853" s="255" t="str">
        <f>IF(W853="","",(_xlfn.XLOOKUP(W853,Cadastros!$D$6:$D$90,Cadastros!$E$6:$E$90))*(1-_xlfn.XLOOKUP(_xlfn.XLOOKUP($F853,Clientes!$B$4:$B$39,Clientes!$C$4:$C$39),Cadastros!$L$6:$L$12,Cadastros!$N$6:$N$12)))</f>
        <v/>
      </c>
      <c r="Z853" s="168" t="str">
        <f t="shared" si="173"/>
        <v/>
      </c>
      <c r="AA853" s="168" t="str">
        <f>IFERROR(Z853/_xlfn.XLOOKUP(_xlfn.XLOOKUP($F853,Clientes!$B$4:$B$39,Clientes!$C$4:$C$39),Cadastros!$L$6:$L$12,Cadastros!$M$6:$M$12)," ")</f>
        <v xml:space="preserve"> </v>
      </c>
      <c r="AB853" s="28"/>
      <c r="AC853" s="28"/>
      <c r="AD853" s="20" t="str">
        <f>IF(AB853="","",IF($F853="Bernardino Furlan",_xlfn.XLOOKUP(AB853,Cadastros!$G$6:$G$90,Cadastros!$H$6:$H$90)*(1-0.18),IF($F853="Mauro José Salanti",_xlfn.XLOOKUP(AB853,Cadastros!$G$6:$G$90,Cadastros!$H$6:$H$90)*(1-0.18),_xlfn.XLOOKUP(AB853,Cadastros!$G$6:$G$90,Cadastros!$H$6:$H$90))))</f>
        <v/>
      </c>
      <c r="AE853" s="168" t="str">
        <f t="shared" si="174"/>
        <v/>
      </c>
      <c r="AF853" s="168" t="str">
        <f t="shared" si="175"/>
        <v/>
      </c>
      <c r="AG853" s="28"/>
      <c r="AH853" s="28"/>
      <c r="AI853" s="20" t="str">
        <f>IF(AG853="","",IF($F853="Bernardino Furlan",_xlfn.XLOOKUP(AG853,Cadastros!$G$6:$G$90,Cadastros!$H$6:$H$90)*(1-0.18),IF($F853="Mauro José Salanti",_xlfn.XLOOKUP(AG853,Cadastros!$G$6:$G$90,Cadastros!$H$6:$H$90)*(1-0.18),_xlfn.XLOOKUP(AG853,Cadastros!$G$6:$G$90,Cadastros!$H$6:$H$90))))</f>
        <v/>
      </c>
      <c r="AJ853" s="168" t="str">
        <f t="shared" si="176"/>
        <v/>
      </c>
      <c r="AK853" s="168" t="str">
        <f t="shared" si="177"/>
        <v/>
      </c>
      <c r="AL853" s="28"/>
      <c r="AM853" s="28"/>
      <c r="AN853" s="20" t="str">
        <f>IF(AL853="","",IF($F853="Bernardino Furlan",_xlfn.XLOOKUP(AL853,Cadastros!$G$6:$G$90,Cadastros!$H$6:$H$90)*(1-0.18),IF($F853="Mauro José Salanti",_xlfn.XLOOKUP(AL853,Cadastros!$G$6:$G$90,Cadastros!$H$6:$H$90)*(1-0.18),_xlfn.XLOOKUP(AL853,Cadastros!$G$6:$G$90,Cadastros!$H$6:$H$90))))</f>
        <v/>
      </c>
      <c r="AO853" s="168" t="str">
        <f t="shared" si="178"/>
        <v/>
      </c>
      <c r="AP853" s="168" t="str">
        <f t="shared" si="179"/>
        <v/>
      </c>
      <c r="AQ853" s="28"/>
      <c r="AR853" s="28"/>
      <c r="AS853" s="20" t="str">
        <f>IF(AQ853="","",IF($F853="Bernardino Furlan",_xlfn.XLOOKUP(AQ853,Cadastros!$G$6:$G$90,Cadastros!$H$6:$H$90)*(1-0.18),IF($F853="Mauro José Salanti",_xlfn.XLOOKUP(AQ853,Cadastros!$G$6:$G$90,Cadastros!$H$6:$H$90)*(1-0.18),_xlfn.XLOOKUP(AQ853,Cadastros!$G$6:$G$90,Cadastros!$H$6:$H$90))))</f>
        <v/>
      </c>
      <c r="AT853" s="168" t="str">
        <f t="shared" si="180"/>
        <v/>
      </c>
      <c r="AU853" s="168" t="str">
        <f t="shared" si="181"/>
        <v/>
      </c>
      <c r="AV853" s="227"/>
      <c r="AW853" s="30"/>
      <c r="AX853" s="267"/>
      <c r="AY853" s="267"/>
      <c r="AZ853" s="29"/>
      <c r="BA853" s="30"/>
      <c r="BB853" s="23" t="str" cm="1">
        <f t="array" ref="BB853">_xlfn.IFS(AW853="SIM",SUM(K853,P853,U853,Z853,AE853,AJ853,AO853,AT853,AX853,AY853),F853&lt;&gt;"",SUM(K853,P853,U853,Z853,AE853,AJ853,,AO853,AT853),F853="","")</f>
        <v/>
      </c>
      <c r="BC853" s="211" t="str" cm="1">
        <f t="array" ref="BC853">_xlfn.IFS(E853="","",G853&lt;=E853,BB853*(1-0.03),G853&lt;(E853+8),BB853,AZ853="Boleto",BB853*(1+0.001)^DATEDIF(E853,G853,"D"),AZ853="Cheque",BB853,AZ853="Dinheiro","Alterar forma pgto")</f>
        <v/>
      </c>
      <c r="BD853" s="276" t="str" cm="1">
        <f t="array" ref="BD853">IF(F853=0," ",IF(BC853&lt;BB853,(_xlfn.IFS(AW853="SIM",SUM(L853,Q853,V853,AA853,AF853,AK853,AP853,AU853)+AX853/_xlfn.XLOOKUP(_xlfn.XLOOKUP($F853,Clientes!$B$4:$B$39,Clientes!$C$4:$C$39),Cadastros!$L$6:$L$12,Cadastros!$M$6:$M$12)+IF($F853="Bernardino Furlan",AY853/2751.92,IF($F853="Mauro José Salanti",AY853/2751.92,AY853/3356)),F853&lt;&gt;0,SUM(L853,Q853,V853,AA853,AF853,AK853,AP853,AU853)))*(1-0.03),_xlfn.IFS(AW853="SIM",SUM(L853,Q853,V853,AA853,AF853,AK853,AP853,AU853)+AX853/_xlfn.XLOOKUP(_xlfn.XLOOKUP($F853,Clientes!$B$4:$B$39,Clientes!$C$4:$C$39),Cadastros!$L$6:$L$12,Cadastros!$M$6:$M$12)+IF($F853="Bernardino Furlan",AY853/2751.92,IF($F853="Mauro José Salanti",AY853/2751.92,AY853/3356)),F853&lt;&gt;0,SUM(L853,Q853,V853,AA853,AF853,AK853,AP853,AU853))))</f>
        <v xml:space="preserve"> </v>
      </c>
      <c r="BE853" s="120"/>
      <c r="BF853" s="120"/>
      <c r="BG853" s="120"/>
    </row>
    <row r="854" spans="1:59" s="3" customFormat="1" x14ac:dyDescent="0.3">
      <c r="A854" s="15" t="str">
        <f t="shared" si="169"/>
        <v/>
      </c>
      <c r="B854" s="25"/>
      <c r="C854" s="26"/>
      <c r="D854" s="279"/>
      <c r="E854" s="27"/>
      <c r="F854" s="28"/>
      <c r="G854" s="27"/>
      <c r="H854" s="28"/>
      <c r="I854" s="28"/>
      <c r="J854" s="255" t="str">
        <f>IF(H854="","",(_xlfn.XLOOKUP(H854,Cadastros!$D$6:$D$90,Cadastros!$E$6:$E$90))*(1-_xlfn.XLOOKUP(_xlfn.XLOOKUP($F854,Clientes!$B$4:$B$39,Clientes!$C$4:$C$39),Cadastros!$L$6:$L$12,Cadastros!$N$6:$N$12)))</f>
        <v/>
      </c>
      <c r="K854" s="168" t="str">
        <f t="shared" si="170"/>
        <v/>
      </c>
      <c r="L854" s="168" t="str">
        <f>IFERROR(K854/_xlfn.XLOOKUP(_xlfn.XLOOKUP($F854,Clientes!$B$4:$B$39,Clientes!$C$4:$C$39),Cadastros!$L$6:$L$12,Cadastros!$M$6:$M$12)," ")</f>
        <v xml:space="preserve"> </v>
      </c>
      <c r="M854" s="28"/>
      <c r="N854" s="28"/>
      <c r="O854" s="255" t="str">
        <f>IF(M854="","",(_xlfn.XLOOKUP(M854,Cadastros!$D$6:$D$90,Cadastros!$E$6:$E$90))*(1-_xlfn.XLOOKUP(_xlfn.XLOOKUP($F854,Clientes!$B$4:$B$39,Clientes!$C$4:$C$39),Cadastros!$L$6:$L$12,Cadastros!$N$6:$N$12)))</f>
        <v/>
      </c>
      <c r="P854" s="168" t="str">
        <f t="shared" si="171"/>
        <v/>
      </c>
      <c r="Q854" s="168" t="str">
        <f>IFERROR(P854/_xlfn.XLOOKUP(_xlfn.XLOOKUP($F854,Clientes!$B$4:$B$39,Clientes!$C$4:$C$39),Cadastros!$L$6:$L$12,Cadastros!$M$6:$M$12)," ")</f>
        <v xml:space="preserve"> </v>
      </c>
      <c r="R854" s="28"/>
      <c r="S854" s="28"/>
      <c r="T854" s="255" t="str">
        <f>IF(R854="","",(_xlfn.XLOOKUP(R854,Cadastros!$D$6:$D$90,Cadastros!$E$6:$E$90))*(1-_xlfn.XLOOKUP(_xlfn.XLOOKUP($F854,Clientes!$B$4:$B$39,Clientes!$C$4:$C$39),Cadastros!$L$6:$L$12,Cadastros!$N$6:$N$12)))</f>
        <v/>
      </c>
      <c r="U854" s="168" t="str">
        <f t="shared" si="172"/>
        <v/>
      </c>
      <c r="V854" s="168" t="str">
        <f>IFERROR(U854/_xlfn.XLOOKUP(_xlfn.XLOOKUP($F854,Clientes!$B$4:$B$39,Clientes!$C$4:$C$39),Cadastros!$L$6:$L$12,Cadastros!$M$6:$M$12)," ")</f>
        <v xml:space="preserve"> </v>
      </c>
      <c r="W854" s="28"/>
      <c r="X854" s="28"/>
      <c r="Y854" s="255" t="str">
        <f>IF(W854="","",(_xlfn.XLOOKUP(W854,Cadastros!$D$6:$D$90,Cadastros!$E$6:$E$90))*(1-_xlfn.XLOOKUP(_xlfn.XLOOKUP($F854,Clientes!$B$4:$B$39,Clientes!$C$4:$C$39),Cadastros!$L$6:$L$12,Cadastros!$N$6:$N$12)))</f>
        <v/>
      </c>
      <c r="Z854" s="168" t="str">
        <f t="shared" si="173"/>
        <v/>
      </c>
      <c r="AA854" s="168" t="str">
        <f>IFERROR(Z854/_xlfn.XLOOKUP(_xlfn.XLOOKUP($F854,Clientes!$B$4:$B$39,Clientes!$C$4:$C$39),Cadastros!$L$6:$L$12,Cadastros!$M$6:$M$12)," ")</f>
        <v xml:space="preserve"> </v>
      </c>
      <c r="AB854" s="28"/>
      <c r="AC854" s="28"/>
      <c r="AD854" s="20" t="str">
        <f>IF(AB854="","",IF($F854="Bernardino Furlan",_xlfn.XLOOKUP(AB854,Cadastros!$G$6:$G$90,Cadastros!$H$6:$H$90)*(1-0.18),IF($F854="Mauro José Salanti",_xlfn.XLOOKUP(AB854,Cadastros!$G$6:$G$90,Cadastros!$H$6:$H$90)*(1-0.18),_xlfn.XLOOKUP(AB854,Cadastros!$G$6:$G$90,Cadastros!$H$6:$H$90))))</f>
        <v/>
      </c>
      <c r="AE854" s="168" t="str">
        <f t="shared" si="174"/>
        <v/>
      </c>
      <c r="AF854" s="168" t="str">
        <f t="shared" si="175"/>
        <v/>
      </c>
      <c r="AG854" s="28"/>
      <c r="AH854" s="28"/>
      <c r="AI854" s="20" t="str">
        <f>IF(AG854="","",IF($F854="Bernardino Furlan",_xlfn.XLOOKUP(AG854,Cadastros!$G$6:$G$90,Cadastros!$H$6:$H$90)*(1-0.18),IF($F854="Mauro José Salanti",_xlfn.XLOOKUP(AG854,Cadastros!$G$6:$G$90,Cadastros!$H$6:$H$90)*(1-0.18),_xlfn.XLOOKUP(AG854,Cadastros!$G$6:$G$90,Cadastros!$H$6:$H$90))))</f>
        <v/>
      </c>
      <c r="AJ854" s="168" t="str">
        <f t="shared" si="176"/>
        <v/>
      </c>
      <c r="AK854" s="168" t="str">
        <f t="shared" si="177"/>
        <v/>
      </c>
      <c r="AL854" s="28"/>
      <c r="AM854" s="28"/>
      <c r="AN854" s="20" t="str">
        <f>IF(AL854="","",IF($F854="Bernardino Furlan",_xlfn.XLOOKUP(AL854,Cadastros!$G$6:$G$90,Cadastros!$H$6:$H$90)*(1-0.18),IF($F854="Mauro José Salanti",_xlfn.XLOOKUP(AL854,Cadastros!$G$6:$G$90,Cadastros!$H$6:$H$90)*(1-0.18),_xlfn.XLOOKUP(AL854,Cadastros!$G$6:$G$90,Cadastros!$H$6:$H$90))))</f>
        <v/>
      </c>
      <c r="AO854" s="168" t="str">
        <f t="shared" si="178"/>
        <v/>
      </c>
      <c r="AP854" s="168" t="str">
        <f t="shared" si="179"/>
        <v/>
      </c>
      <c r="AQ854" s="28"/>
      <c r="AR854" s="28"/>
      <c r="AS854" s="20" t="str">
        <f>IF(AQ854="","",IF($F854="Bernardino Furlan",_xlfn.XLOOKUP(AQ854,Cadastros!$G$6:$G$90,Cadastros!$H$6:$H$90)*(1-0.18),IF($F854="Mauro José Salanti",_xlfn.XLOOKUP(AQ854,Cadastros!$G$6:$G$90,Cadastros!$H$6:$H$90)*(1-0.18),_xlfn.XLOOKUP(AQ854,Cadastros!$G$6:$G$90,Cadastros!$H$6:$H$90))))</f>
        <v/>
      </c>
      <c r="AT854" s="168" t="str">
        <f t="shared" si="180"/>
        <v/>
      </c>
      <c r="AU854" s="168" t="str">
        <f t="shared" si="181"/>
        <v/>
      </c>
      <c r="AV854" s="227"/>
      <c r="AW854" s="30"/>
      <c r="AX854" s="267"/>
      <c r="AY854" s="267"/>
      <c r="AZ854" s="29"/>
      <c r="BA854" s="30"/>
      <c r="BB854" s="23" t="str" cm="1">
        <f t="array" ref="BB854">_xlfn.IFS(AW854="SIM",SUM(K854,P854,U854,Z854,AE854,AJ854,AO854,AT854,AX854,AY854),F854&lt;&gt;"",SUM(K854,P854,U854,Z854,AE854,AJ854,,AO854,AT854),F854="","")</f>
        <v/>
      </c>
      <c r="BC854" s="211" t="str" cm="1">
        <f t="array" ref="BC854">_xlfn.IFS(E854="","",G854&lt;=E854,BB854*(1-0.03),G854&lt;(E854+8),BB854,AZ854="Boleto",BB854*(1+0.001)^DATEDIF(E854,G854,"D"),AZ854="Cheque",BB854,AZ854="Dinheiro","Alterar forma pgto")</f>
        <v/>
      </c>
      <c r="BD854" s="276" t="str" cm="1">
        <f t="array" ref="BD854">IF(F854=0," ",IF(BC854&lt;BB854,(_xlfn.IFS(AW854="SIM",SUM(L854,Q854,V854,AA854,AF854,AK854,AP854,AU854)+AX854/_xlfn.XLOOKUP(_xlfn.XLOOKUP($F854,Clientes!$B$4:$B$39,Clientes!$C$4:$C$39),Cadastros!$L$6:$L$12,Cadastros!$M$6:$M$12)+IF($F854="Bernardino Furlan",AY854/2751.92,IF($F854="Mauro José Salanti",AY854/2751.92,AY854/3356)),F854&lt;&gt;0,SUM(L854,Q854,V854,AA854,AF854,AK854,AP854,AU854)))*(1-0.03),_xlfn.IFS(AW854="SIM",SUM(L854,Q854,V854,AA854,AF854,AK854,AP854,AU854)+AX854/_xlfn.XLOOKUP(_xlfn.XLOOKUP($F854,Clientes!$B$4:$B$39,Clientes!$C$4:$C$39),Cadastros!$L$6:$L$12,Cadastros!$M$6:$M$12)+IF($F854="Bernardino Furlan",AY854/2751.92,IF($F854="Mauro José Salanti",AY854/2751.92,AY854/3356)),F854&lt;&gt;0,SUM(L854,Q854,V854,AA854,AF854,AK854,AP854,AU854))))</f>
        <v xml:space="preserve"> </v>
      </c>
      <c r="BE854" s="120"/>
      <c r="BF854" s="120"/>
      <c r="BG854" s="120"/>
    </row>
    <row r="855" spans="1:59" s="3" customFormat="1" x14ac:dyDescent="0.3">
      <c r="A855" s="15" t="str">
        <f t="shared" si="169"/>
        <v/>
      </c>
      <c r="B855" s="25"/>
      <c r="C855" s="26"/>
      <c r="D855" s="279"/>
      <c r="E855" s="27"/>
      <c r="F855" s="28"/>
      <c r="G855" s="27"/>
      <c r="H855" s="28"/>
      <c r="I855" s="28"/>
      <c r="J855" s="255" t="str">
        <f>IF(H855="","",(_xlfn.XLOOKUP(H855,Cadastros!$D$6:$D$90,Cadastros!$E$6:$E$90))*(1-_xlfn.XLOOKUP(_xlfn.XLOOKUP($F855,Clientes!$B$4:$B$39,Clientes!$C$4:$C$39),Cadastros!$L$6:$L$12,Cadastros!$N$6:$N$12)))</f>
        <v/>
      </c>
      <c r="K855" s="168" t="str">
        <f t="shared" si="170"/>
        <v/>
      </c>
      <c r="L855" s="168" t="str">
        <f>IFERROR(K855/_xlfn.XLOOKUP(_xlfn.XLOOKUP($F855,Clientes!$B$4:$B$39,Clientes!$C$4:$C$39),Cadastros!$L$6:$L$12,Cadastros!$M$6:$M$12)," ")</f>
        <v xml:space="preserve"> </v>
      </c>
      <c r="M855" s="28"/>
      <c r="N855" s="28"/>
      <c r="O855" s="255" t="str">
        <f>IF(M855="","",(_xlfn.XLOOKUP(M855,Cadastros!$D$6:$D$90,Cadastros!$E$6:$E$90))*(1-_xlfn.XLOOKUP(_xlfn.XLOOKUP($F855,Clientes!$B$4:$B$39,Clientes!$C$4:$C$39),Cadastros!$L$6:$L$12,Cadastros!$N$6:$N$12)))</f>
        <v/>
      </c>
      <c r="P855" s="168" t="str">
        <f t="shared" si="171"/>
        <v/>
      </c>
      <c r="Q855" s="168" t="str">
        <f>IFERROR(P855/_xlfn.XLOOKUP(_xlfn.XLOOKUP($F855,Clientes!$B$4:$B$39,Clientes!$C$4:$C$39),Cadastros!$L$6:$L$12,Cadastros!$M$6:$M$12)," ")</f>
        <v xml:space="preserve"> </v>
      </c>
      <c r="R855" s="28"/>
      <c r="S855" s="28"/>
      <c r="T855" s="255" t="str">
        <f>IF(R855="","",(_xlfn.XLOOKUP(R855,Cadastros!$D$6:$D$90,Cadastros!$E$6:$E$90))*(1-_xlfn.XLOOKUP(_xlfn.XLOOKUP($F855,Clientes!$B$4:$B$39,Clientes!$C$4:$C$39),Cadastros!$L$6:$L$12,Cadastros!$N$6:$N$12)))</f>
        <v/>
      </c>
      <c r="U855" s="168" t="str">
        <f t="shared" si="172"/>
        <v/>
      </c>
      <c r="V855" s="168" t="str">
        <f>IFERROR(U855/_xlfn.XLOOKUP(_xlfn.XLOOKUP($F855,Clientes!$B$4:$B$39,Clientes!$C$4:$C$39),Cadastros!$L$6:$L$12,Cadastros!$M$6:$M$12)," ")</f>
        <v xml:space="preserve"> </v>
      </c>
      <c r="W855" s="28"/>
      <c r="X855" s="28"/>
      <c r="Y855" s="255" t="str">
        <f>IF(W855="","",(_xlfn.XLOOKUP(W855,Cadastros!$D$6:$D$90,Cadastros!$E$6:$E$90))*(1-_xlfn.XLOOKUP(_xlfn.XLOOKUP($F855,Clientes!$B$4:$B$39,Clientes!$C$4:$C$39),Cadastros!$L$6:$L$12,Cadastros!$N$6:$N$12)))</f>
        <v/>
      </c>
      <c r="Z855" s="168" t="str">
        <f t="shared" si="173"/>
        <v/>
      </c>
      <c r="AA855" s="168" t="str">
        <f>IFERROR(Z855/_xlfn.XLOOKUP(_xlfn.XLOOKUP($F855,Clientes!$B$4:$B$39,Clientes!$C$4:$C$39),Cadastros!$L$6:$L$12,Cadastros!$M$6:$M$12)," ")</f>
        <v xml:space="preserve"> </v>
      </c>
      <c r="AB855" s="28"/>
      <c r="AC855" s="28"/>
      <c r="AD855" s="20" t="str">
        <f>IF(AB855="","",IF($F855="Bernardino Furlan",_xlfn.XLOOKUP(AB855,Cadastros!$G$6:$G$90,Cadastros!$H$6:$H$90)*(1-0.18),IF($F855="Mauro José Salanti",_xlfn.XLOOKUP(AB855,Cadastros!$G$6:$G$90,Cadastros!$H$6:$H$90)*(1-0.18),_xlfn.XLOOKUP(AB855,Cadastros!$G$6:$G$90,Cadastros!$H$6:$H$90))))</f>
        <v/>
      </c>
      <c r="AE855" s="168" t="str">
        <f t="shared" si="174"/>
        <v/>
      </c>
      <c r="AF855" s="168" t="str">
        <f t="shared" si="175"/>
        <v/>
      </c>
      <c r="AG855" s="28"/>
      <c r="AH855" s="28"/>
      <c r="AI855" s="20" t="str">
        <f>IF(AG855="","",IF($F855="Bernardino Furlan",_xlfn.XLOOKUP(AG855,Cadastros!$G$6:$G$90,Cadastros!$H$6:$H$90)*(1-0.18),IF($F855="Mauro José Salanti",_xlfn.XLOOKUP(AG855,Cadastros!$G$6:$G$90,Cadastros!$H$6:$H$90)*(1-0.18),_xlfn.XLOOKUP(AG855,Cadastros!$G$6:$G$90,Cadastros!$H$6:$H$90))))</f>
        <v/>
      </c>
      <c r="AJ855" s="168" t="str">
        <f t="shared" si="176"/>
        <v/>
      </c>
      <c r="AK855" s="168" t="str">
        <f t="shared" si="177"/>
        <v/>
      </c>
      <c r="AL855" s="28"/>
      <c r="AM855" s="28"/>
      <c r="AN855" s="20" t="str">
        <f>IF(AL855="","",IF($F855="Bernardino Furlan",_xlfn.XLOOKUP(AL855,Cadastros!$G$6:$G$90,Cadastros!$H$6:$H$90)*(1-0.18),IF($F855="Mauro José Salanti",_xlfn.XLOOKUP(AL855,Cadastros!$G$6:$G$90,Cadastros!$H$6:$H$90)*(1-0.18),_xlfn.XLOOKUP(AL855,Cadastros!$G$6:$G$90,Cadastros!$H$6:$H$90))))</f>
        <v/>
      </c>
      <c r="AO855" s="168" t="str">
        <f t="shared" si="178"/>
        <v/>
      </c>
      <c r="AP855" s="168" t="str">
        <f t="shared" si="179"/>
        <v/>
      </c>
      <c r="AQ855" s="28"/>
      <c r="AR855" s="28"/>
      <c r="AS855" s="20" t="str">
        <f>IF(AQ855="","",IF($F855="Bernardino Furlan",_xlfn.XLOOKUP(AQ855,Cadastros!$G$6:$G$90,Cadastros!$H$6:$H$90)*(1-0.18),IF($F855="Mauro José Salanti",_xlfn.XLOOKUP(AQ855,Cadastros!$G$6:$G$90,Cadastros!$H$6:$H$90)*(1-0.18),_xlfn.XLOOKUP(AQ855,Cadastros!$G$6:$G$90,Cadastros!$H$6:$H$90))))</f>
        <v/>
      </c>
      <c r="AT855" s="168" t="str">
        <f t="shared" si="180"/>
        <v/>
      </c>
      <c r="AU855" s="168" t="str">
        <f t="shared" si="181"/>
        <v/>
      </c>
      <c r="AV855" s="227"/>
      <c r="AW855" s="30"/>
      <c r="AX855" s="267"/>
      <c r="AY855" s="267"/>
      <c r="AZ855" s="29"/>
      <c r="BA855" s="30"/>
      <c r="BB855" s="23" t="str" cm="1">
        <f t="array" ref="BB855">_xlfn.IFS(AW855="SIM",SUM(K855,P855,U855,Z855,AE855,AJ855,AO855,AT855,AX855,AY855),F855&lt;&gt;"",SUM(K855,P855,U855,Z855,AE855,AJ855,,AO855,AT855),F855="","")</f>
        <v/>
      </c>
      <c r="BC855" s="211" t="str" cm="1">
        <f t="array" ref="BC855">_xlfn.IFS(E855="","",G855&lt;=E855,BB855*(1-0.03),G855&lt;(E855+8),BB855,AZ855="Boleto",BB855*(1+0.001)^DATEDIF(E855,G855,"D"),AZ855="Cheque",BB855,AZ855="Dinheiro","Alterar forma pgto")</f>
        <v/>
      </c>
      <c r="BD855" s="276" t="str" cm="1">
        <f t="array" ref="BD855">IF(F855=0," ",IF(BC855&lt;BB855,(_xlfn.IFS(AW855="SIM",SUM(L855,Q855,V855,AA855,AF855,AK855,AP855,AU855)+AX855/_xlfn.XLOOKUP(_xlfn.XLOOKUP($F855,Clientes!$B$4:$B$39,Clientes!$C$4:$C$39),Cadastros!$L$6:$L$12,Cadastros!$M$6:$M$12)+IF($F855="Bernardino Furlan",AY855/2751.92,IF($F855="Mauro José Salanti",AY855/2751.92,AY855/3356)),F855&lt;&gt;0,SUM(L855,Q855,V855,AA855,AF855,AK855,AP855,AU855)))*(1-0.03),_xlfn.IFS(AW855="SIM",SUM(L855,Q855,V855,AA855,AF855,AK855,AP855,AU855)+AX855/_xlfn.XLOOKUP(_xlfn.XLOOKUP($F855,Clientes!$B$4:$B$39,Clientes!$C$4:$C$39),Cadastros!$L$6:$L$12,Cadastros!$M$6:$M$12)+IF($F855="Bernardino Furlan",AY855/2751.92,IF($F855="Mauro José Salanti",AY855/2751.92,AY855/3356)),F855&lt;&gt;0,SUM(L855,Q855,V855,AA855,AF855,AK855,AP855,AU855))))</f>
        <v xml:space="preserve"> </v>
      </c>
      <c r="BE855" s="120"/>
      <c r="BF855" s="120"/>
      <c r="BG855" s="120"/>
    </row>
    <row r="856" spans="1:59" s="3" customFormat="1" x14ac:dyDescent="0.3">
      <c r="A856" s="15" t="str">
        <f t="shared" si="169"/>
        <v/>
      </c>
      <c r="B856" s="25"/>
      <c r="C856" s="26"/>
      <c r="D856" s="279"/>
      <c r="E856" s="27"/>
      <c r="F856" s="28"/>
      <c r="G856" s="27"/>
      <c r="H856" s="28"/>
      <c r="I856" s="28"/>
      <c r="J856" s="255" t="str">
        <f>IF(H856="","",(_xlfn.XLOOKUP(H856,Cadastros!$D$6:$D$90,Cadastros!$E$6:$E$90))*(1-_xlfn.XLOOKUP(_xlfn.XLOOKUP($F856,Clientes!$B$4:$B$39,Clientes!$C$4:$C$39),Cadastros!$L$6:$L$12,Cadastros!$N$6:$N$12)))</f>
        <v/>
      </c>
      <c r="K856" s="168" t="str">
        <f t="shared" si="170"/>
        <v/>
      </c>
      <c r="L856" s="168" t="str">
        <f>IFERROR(K856/_xlfn.XLOOKUP(_xlfn.XLOOKUP($F856,Clientes!$B$4:$B$39,Clientes!$C$4:$C$39),Cadastros!$L$6:$L$12,Cadastros!$M$6:$M$12)," ")</f>
        <v xml:space="preserve"> </v>
      </c>
      <c r="M856" s="28"/>
      <c r="N856" s="28"/>
      <c r="O856" s="255" t="str">
        <f>IF(M856="","",(_xlfn.XLOOKUP(M856,Cadastros!$D$6:$D$90,Cadastros!$E$6:$E$90))*(1-_xlfn.XLOOKUP(_xlfn.XLOOKUP($F856,Clientes!$B$4:$B$39,Clientes!$C$4:$C$39),Cadastros!$L$6:$L$12,Cadastros!$N$6:$N$12)))</f>
        <v/>
      </c>
      <c r="P856" s="168" t="str">
        <f t="shared" si="171"/>
        <v/>
      </c>
      <c r="Q856" s="168" t="str">
        <f>IFERROR(P856/_xlfn.XLOOKUP(_xlfn.XLOOKUP($F856,Clientes!$B$4:$B$39,Clientes!$C$4:$C$39),Cadastros!$L$6:$L$12,Cadastros!$M$6:$M$12)," ")</f>
        <v xml:space="preserve"> </v>
      </c>
      <c r="R856" s="28"/>
      <c r="S856" s="28"/>
      <c r="T856" s="255" t="str">
        <f>IF(R856="","",(_xlfn.XLOOKUP(R856,Cadastros!$D$6:$D$90,Cadastros!$E$6:$E$90))*(1-_xlfn.XLOOKUP(_xlfn.XLOOKUP($F856,Clientes!$B$4:$B$39,Clientes!$C$4:$C$39),Cadastros!$L$6:$L$12,Cadastros!$N$6:$N$12)))</f>
        <v/>
      </c>
      <c r="U856" s="168" t="str">
        <f t="shared" si="172"/>
        <v/>
      </c>
      <c r="V856" s="168" t="str">
        <f>IFERROR(U856/_xlfn.XLOOKUP(_xlfn.XLOOKUP($F856,Clientes!$B$4:$B$39,Clientes!$C$4:$C$39),Cadastros!$L$6:$L$12,Cadastros!$M$6:$M$12)," ")</f>
        <v xml:space="preserve"> </v>
      </c>
      <c r="W856" s="28"/>
      <c r="X856" s="28"/>
      <c r="Y856" s="255" t="str">
        <f>IF(W856="","",(_xlfn.XLOOKUP(W856,Cadastros!$D$6:$D$90,Cadastros!$E$6:$E$90))*(1-_xlfn.XLOOKUP(_xlfn.XLOOKUP($F856,Clientes!$B$4:$B$39,Clientes!$C$4:$C$39),Cadastros!$L$6:$L$12,Cadastros!$N$6:$N$12)))</f>
        <v/>
      </c>
      <c r="Z856" s="168" t="str">
        <f t="shared" si="173"/>
        <v/>
      </c>
      <c r="AA856" s="168" t="str">
        <f>IFERROR(Z856/_xlfn.XLOOKUP(_xlfn.XLOOKUP($F856,Clientes!$B$4:$B$39,Clientes!$C$4:$C$39),Cadastros!$L$6:$L$12,Cadastros!$M$6:$M$12)," ")</f>
        <v xml:space="preserve"> </v>
      </c>
      <c r="AB856" s="28"/>
      <c r="AC856" s="28"/>
      <c r="AD856" s="20" t="str">
        <f>IF(AB856="","",IF($F856="Bernardino Furlan",_xlfn.XLOOKUP(AB856,Cadastros!$G$6:$G$90,Cadastros!$H$6:$H$90)*(1-0.18),IF($F856="Mauro José Salanti",_xlfn.XLOOKUP(AB856,Cadastros!$G$6:$G$90,Cadastros!$H$6:$H$90)*(1-0.18),_xlfn.XLOOKUP(AB856,Cadastros!$G$6:$G$90,Cadastros!$H$6:$H$90))))</f>
        <v/>
      </c>
      <c r="AE856" s="168" t="str">
        <f t="shared" si="174"/>
        <v/>
      </c>
      <c r="AF856" s="168" t="str">
        <f t="shared" si="175"/>
        <v/>
      </c>
      <c r="AG856" s="28"/>
      <c r="AH856" s="28"/>
      <c r="AI856" s="20" t="str">
        <f>IF(AG856="","",IF($F856="Bernardino Furlan",_xlfn.XLOOKUP(AG856,Cadastros!$G$6:$G$90,Cadastros!$H$6:$H$90)*(1-0.18),IF($F856="Mauro José Salanti",_xlfn.XLOOKUP(AG856,Cadastros!$G$6:$G$90,Cadastros!$H$6:$H$90)*(1-0.18),_xlfn.XLOOKUP(AG856,Cadastros!$G$6:$G$90,Cadastros!$H$6:$H$90))))</f>
        <v/>
      </c>
      <c r="AJ856" s="168" t="str">
        <f t="shared" si="176"/>
        <v/>
      </c>
      <c r="AK856" s="168" t="str">
        <f t="shared" si="177"/>
        <v/>
      </c>
      <c r="AL856" s="28"/>
      <c r="AM856" s="28"/>
      <c r="AN856" s="20" t="str">
        <f>IF(AL856="","",IF($F856="Bernardino Furlan",_xlfn.XLOOKUP(AL856,Cadastros!$G$6:$G$90,Cadastros!$H$6:$H$90)*(1-0.18),IF($F856="Mauro José Salanti",_xlfn.XLOOKUP(AL856,Cadastros!$G$6:$G$90,Cadastros!$H$6:$H$90)*(1-0.18),_xlfn.XLOOKUP(AL856,Cadastros!$G$6:$G$90,Cadastros!$H$6:$H$90))))</f>
        <v/>
      </c>
      <c r="AO856" s="168" t="str">
        <f t="shared" si="178"/>
        <v/>
      </c>
      <c r="AP856" s="168" t="str">
        <f t="shared" si="179"/>
        <v/>
      </c>
      <c r="AQ856" s="28"/>
      <c r="AR856" s="28"/>
      <c r="AS856" s="20" t="str">
        <f>IF(AQ856="","",IF($F856="Bernardino Furlan",_xlfn.XLOOKUP(AQ856,Cadastros!$G$6:$G$90,Cadastros!$H$6:$H$90)*(1-0.18),IF($F856="Mauro José Salanti",_xlfn.XLOOKUP(AQ856,Cadastros!$G$6:$G$90,Cadastros!$H$6:$H$90)*(1-0.18),_xlfn.XLOOKUP(AQ856,Cadastros!$G$6:$G$90,Cadastros!$H$6:$H$90))))</f>
        <v/>
      </c>
      <c r="AT856" s="168" t="str">
        <f t="shared" si="180"/>
        <v/>
      </c>
      <c r="AU856" s="168" t="str">
        <f t="shared" si="181"/>
        <v/>
      </c>
      <c r="AV856" s="227"/>
      <c r="AW856" s="30"/>
      <c r="AX856" s="267"/>
      <c r="AY856" s="267"/>
      <c r="AZ856" s="29"/>
      <c r="BA856" s="30"/>
      <c r="BB856" s="23" t="str" cm="1">
        <f t="array" ref="BB856">_xlfn.IFS(AW856="SIM",SUM(K856,P856,U856,Z856,AE856,AJ856,AO856,AT856,AX856,AY856),F856&lt;&gt;"",SUM(K856,P856,U856,Z856,AE856,AJ856,,AO856,AT856),F856="","")</f>
        <v/>
      </c>
      <c r="BC856" s="211" t="str" cm="1">
        <f t="array" ref="BC856">_xlfn.IFS(E856="","",G856&lt;=E856,BB856*(1-0.03),G856&lt;(E856+8),BB856,AZ856="Boleto",BB856*(1+0.001)^DATEDIF(E856,G856,"D"),AZ856="Cheque",BB856,AZ856="Dinheiro","Alterar forma pgto")</f>
        <v/>
      </c>
      <c r="BD856" s="276" t="str" cm="1">
        <f t="array" ref="BD856">IF(F856=0," ",IF(BC856&lt;BB856,(_xlfn.IFS(AW856="SIM",SUM(L856,Q856,V856,AA856,AF856,AK856,AP856,AU856)+AX856/_xlfn.XLOOKUP(_xlfn.XLOOKUP($F856,Clientes!$B$4:$B$39,Clientes!$C$4:$C$39),Cadastros!$L$6:$L$12,Cadastros!$M$6:$M$12)+IF($F856="Bernardino Furlan",AY856/2751.92,IF($F856="Mauro José Salanti",AY856/2751.92,AY856/3356)),F856&lt;&gt;0,SUM(L856,Q856,V856,AA856,AF856,AK856,AP856,AU856)))*(1-0.03),_xlfn.IFS(AW856="SIM",SUM(L856,Q856,V856,AA856,AF856,AK856,AP856,AU856)+AX856/_xlfn.XLOOKUP(_xlfn.XLOOKUP($F856,Clientes!$B$4:$B$39,Clientes!$C$4:$C$39),Cadastros!$L$6:$L$12,Cadastros!$M$6:$M$12)+IF($F856="Bernardino Furlan",AY856/2751.92,IF($F856="Mauro José Salanti",AY856/2751.92,AY856/3356)),F856&lt;&gt;0,SUM(L856,Q856,V856,AA856,AF856,AK856,AP856,AU856))))</f>
        <v xml:space="preserve"> </v>
      </c>
      <c r="BE856" s="120"/>
      <c r="BF856" s="120"/>
      <c r="BG856" s="120"/>
    </row>
    <row r="857" spans="1:59" s="3" customFormat="1" x14ac:dyDescent="0.3">
      <c r="A857" s="15" t="str">
        <f t="shared" si="169"/>
        <v/>
      </c>
      <c r="B857" s="25"/>
      <c r="C857" s="26"/>
      <c r="D857" s="279"/>
      <c r="E857" s="27"/>
      <c r="F857" s="28"/>
      <c r="G857" s="27"/>
      <c r="H857" s="28"/>
      <c r="I857" s="28"/>
      <c r="J857" s="255" t="str">
        <f>IF(H857="","",(_xlfn.XLOOKUP(H857,Cadastros!$D$6:$D$90,Cadastros!$E$6:$E$90))*(1-_xlfn.XLOOKUP(_xlfn.XLOOKUP($F857,Clientes!$B$4:$B$39,Clientes!$C$4:$C$39),Cadastros!$L$6:$L$12,Cadastros!$N$6:$N$12)))</f>
        <v/>
      </c>
      <c r="K857" s="168" t="str">
        <f t="shared" si="170"/>
        <v/>
      </c>
      <c r="L857" s="168" t="str">
        <f>IFERROR(K857/_xlfn.XLOOKUP(_xlfn.XLOOKUP($F857,Clientes!$B$4:$B$39,Clientes!$C$4:$C$39),Cadastros!$L$6:$L$12,Cadastros!$M$6:$M$12)," ")</f>
        <v xml:space="preserve"> </v>
      </c>
      <c r="M857" s="28"/>
      <c r="N857" s="28"/>
      <c r="O857" s="255" t="str">
        <f>IF(M857="","",(_xlfn.XLOOKUP(M857,Cadastros!$D$6:$D$90,Cadastros!$E$6:$E$90))*(1-_xlfn.XLOOKUP(_xlfn.XLOOKUP($F857,Clientes!$B$4:$B$39,Clientes!$C$4:$C$39),Cadastros!$L$6:$L$12,Cadastros!$N$6:$N$12)))</f>
        <v/>
      </c>
      <c r="P857" s="168" t="str">
        <f t="shared" si="171"/>
        <v/>
      </c>
      <c r="Q857" s="168" t="str">
        <f>IFERROR(P857/_xlfn.XLOOKUP(_xlfn.XLOOKUP($F857,Clientes!$B$4:$B$39,Clientes!$C$4:$C$39),Cadastros!$L$6:$L$12,Cadastros!$M$6:$M$12)," ")</f>
        <v xml:space="preserve"> </v>
      </c>
      <c r="R857" s="28"/>
      <c r="S857" s="28"/>
      <c r="T857" s="255" t="str">
        <f>IF(R857="","",(_xlfn.XLOOKUP(R857,Cadastros!$D$6:$D$90,Cadastros!$E$6:$E$90))*(1-_xlfn.XLOOKUP(_xlfn.XLOOKUP($F857,Clientes!$B$4:$B$39,Clientes!$C$4:$C$39),Cadastros!$L$6:$L$12,Cadastros!$N$6:$N$12)))</f>
        <v/>
      </c>
      <c r="U857" s="168" t="str">
        <f t="shared" si="172"/>
        <v/>
      </c>
      <c r="V857" s="168" t="str">
        <f>IFERROR(U857/_xlfn.XLOOKUP(_xlfn.XLOOKUP($F857,Clientes!$B$4:$B$39,Clientes!$C$4:$C$39),Cadastros!$L$6:$L$12,Cadastros!$M$6:$M$12)," ")</f>
        <v xml:space="preserve"> </v>
      </c>
      <c r="W857" s="28"/>
      <c r="X857" s="28"/>
      <c r="Y857" s="255" t="str">
        <f>IF(W857="","",(_xlfn.XLOOKUP(W857,Cadastros!$D$6:$D$90,Cadastros!$E$6:$E$90))*(1-_xlfn.XLOOKUP(_xlfn.XLOOKUP($F857,Clientes!$B$4:$B$39,Clientes!$C$4:$C$39),Cadastros!$L$6:$L$12,Cadastros!$N$6:$N$12)))</f>
        <v/>
      </c>
      <c r="Z857" s="168" t="str">
        <f t="shared" si="173"/>
        <v/>
      </c>
      <c r="AA857" s="168" t="str">
        <f>IFERROR(Z857/_xlfn.XLOOKUP(_xlfn.XLOOKUP($F857,Clientes!$B$4:$B$39,Clientes!$C$4:$C$39),Cadastros!$L$6:$L$12,Cadastros!$M$6:$M$12)," ")</f>
        <v xml:space="preserve"> </v>
      </c>
      <c r="AB857" s="28"/>
      <c r="AC857" s="28"/>
      <c r="AD857" s="20" t="str">
        <f>IF(AB857="","",IF($F857="Bernardino Furlan",_xlfn.XLOOKUP(AB857,Cadastros!$G$6:$G$90,Cadastros!$H$6:$H$90)*(1-0.18),IF($F857="Mauro José Salanti",_xlfn.XLOOKUP(AB857,Cadastros!$G$6:$G$90,Cadastros!$H$6:$H$90)*(1-0.18),_xlfn.XLOOKUP(AB857,Cadastros!$G$6:$G$90,Cadastros!$H$6:$H$90))))</f>
        <v/>
      </c>
      <c r="AE857" s="168" t="str">
        <f t="shared" si="174"/>
        <v/>
      </c>
      <c r="AF857" s="168" t="str">
        <f t="shared" si="175"/>
        <v/>
      </c>
      <c r="AG857" s="28"/>
      <c r="AH857" s="28"/>
      <c r="AI857" s="20" t="str">
        <f>IF(AG857="","",IF($F857="Bernardino Furlan",_xlfn.XLOOKUP(AG857,Cadastros!$G$6:$G$90,Cadastros!$H$6:$H$90)*(1-0.18),IF($F857="Mauro José Salanti",_xlfn.XLOOKUP(AG857,Cadastros!$G$6:$G$90,Cadastros!$H$6:$H$90)*(1-0.18),_xlfn.XLOOKUP(AG857,Cadastros!$G$6:$G$90,Cadastros!$H$6:$H$90))))</f>
        <v/>
      </c>
      <c r="AJ857" s="168" t="str">
        <f t="shared" si="176"/>
        <v/>
      </c>
      <c r="AK857" s="168" t="str">
        <f t="shared" si="177"/>
        <v/>
      </c>
      <c r="AL857" s="28"/>
      <c r="AM857" s="28"/>
      <c r="AN857" s="20" t="str">
        <f>IF(AL857="","",IF($F857="Bernardino Furlan",_xlfn.XLOOKUP(AL857,Cadastros!$G$6:$G$90,Cadastros!$H$6:$H$90)*(1-0.18),IF($F857="Mauro José Salanti",_xlfn.XLOOKUP(AL857,Cadastros!$G$6:$G$90,Cadastros!$H$6:$H$90)*(1-0.18),_xlfn.XLOOKUP(AL857,Cadastros!$G$6:$G$90,Cadastros!$H$6:$H$90))))</f>
        <v/>
      </c>
      <c r="AO857" s="168" t="str">
        <f t="shared" si="178"/>
        <v/>
      </c>
      <c r="AP857" s="168" t="str">
        <f t="shared" si="179"/>
        <v/>
      </c>
      <c r="AQ857" s="28"/>
      <c r="AR857" s="28"/>
      <c r="AS857" s="20" t="str">
        <f>IF(AQ857="","",IF($F857="Bernardino Furlan",_xlfn.XLOOKUP(AQ857,Cadastros!$G$6:$G$90,Cadastros!$H$6:$H$90)*(1-0.18),IF($F857="Mauro José Salanti",_xlfn.XLOOKUP(AQ857,Cadastros!$G$6:$G$90,Cadastros!$H$6:$H$90)*(1-0.18),_xlfn.XLOOKUP(AQ857,Cadastros!$G$6:$G$90,Cadastros!$H$6:$H$90))))</f>
        <v/>
      </c>
      <c r="AT857" s="168" t="str">
        <f t="shared" si="180"/>
        <v/>
      </c>
      <c r="AU857" s="168" t="str">
        <f t="shared" si="181"/>
        <v/>
      </c>
      <c r="AV857" s="227"/>
      <c r="AW857" s="30"/>
      <c r="AX857" s="267"/>
      <c r="AY857" s="267"/>
      <c r="AZ857" s="29"/>
      <c r="BA857" s="30"/>
      <c r="BB857" s="23" t="str" cm="1">
        <f t="array" ref="BB857">_xlfn.IFS(AW857="SIM",SUM(K857,P857,U857,Z857,AE857,AJ857,AO857,AT857,AX857,AY857),F857&lt;&gt;"",SUM(K857,P857,U857,Z857,AE857,AJ857,,AO857,AT857),F857="","")</f>
        <v/>
      </c>
      <c r="BC857" s="211" t="str" cm="1">
        <f t="array" ref="BC857">_xlfn.IFS(E857="","",G857&lt;=E857,BB857*(1-0.03),G857&lt;(E857+8),BB857,AZ857="Boleto",BB857*(1+0.001)^DATEDIF(E857,G857,"D"),AZ857="Cheque",BB857,AZ857="Dinheiro","Alterar forma pgto")</f>
        <v/>
      </c>
      <c r="BD857" s="276" t="str" cm="1">
        <f t="array" ref="BD857">IF(F857=0," ",IF(BC857&lt;BB857,(_xlfn.IFS(AW857="SIM",SUM(L857,Q857,V857,AA857,AF857,AK857,AP857,AU857)+AX857/_xlfn.XLOOKUP(_xlfn.XLOOKUP($F857,Clientes!$B$4:$B$39,Clientes!$C$4:$C$39),Cadastros!$L$6:$L$12,Cadastros!$M$6:$M$12)+IF($F857="Bernardino Furlan",AY857/2751.92,IF($F857="Mauro José Salanti",AY857/2751.92,AY857/3356)),F857&lt;&gt;0,SUM(L857,Q857,V857,AA857,AF857,AK857,AP857,AU857)))*(1-0.03),_xlfn.IFS(AW857="SIM",SUM(L857,Q857,V857,AA857,AF857,AK857,AP857,AU857)+AX857/_xlfn.XLOOKUP(_xlfn.XLOOKUP($F857,Clientes!$B$4:$B$39,Clientes!$C$4:$C$39),Cadastros!$L$6:$L$12,Cadastros!$M$6:$M$12)+IF($F857="Bernardino Furlan",AY857/2751.92,IF($F857="Mauro José Salanti",AY857/2751.92,AY857/3356)),F857&lt;&gt;0,SUM(L857,Q857,V857,AA857,AF857,AK857,AP857,AU857))))</f>
        <v xml:space="preserve"> </v>
      </c>
      <c r="BE857" s="120"/>
      <c r="BF857" s="120"/>
      <c r="BG857" s="120"/>
    </row>
    <row r="858" spans="1:59" s="3" customFormat="1" x14ac:dyDescent="0.3">
      <c r="A858" s="15" t="str">
        <f t="shared" si="169"/>
        <v/>
      </c>
      <c r="B858" s="25"/>
      <c r="C858" s="26"/>
      <c r="D858" s="279"/>
      <c r="E858" s="27"/>
      <c r="F858" s="28"/>
      <c r="G858" s="27"/>
      <c r="H858" s="28"/>
      <c r="I858" s="28"/>
      <c r="J858" s="255" t="str">
        <f>IF(H858="","",(_xlfn.XLOOKUP(H858,Cadastros!$D$6:$D$90,Cadastros!$E$6:$E$90))*(1-_xlfn.XLOOKUP(_xlfn.XLOOKUP($F858,Clientes!$B$4:$B$39,Clientes!$C$4:$C$39),Cadastros!$L$6:$L$12,Cadastros!$N$6:$N$12)))</f>
        <v/>
      </c>
      <c r="K858" s="168" t="str">
        <f t="shared" si="170"/>
        <v/>
      </c>
      <c r="L858" s="168" t="str">
        <f>IFERROR(K858/_xlfn.XLOOKUP(_xlfn.XLOOKUP($F858,Clientes!$B$4:$B$39,Clientes!$C$4:$C$39),Cadastros!$L$6:$L$12,Cadastros!$M$6:$M$12)," ")</f>
        <v xml:space="preserve"> </v>
      </c>
      <c r="M858" s="28"/>
      <c r="N858" s="28"/>
      <c r="O858" s="255" t="str">
        <f>IF(M858="","",(_xlfn.XLOOKUP(M858,Cadastros!$D$6:$D$90,Cadastros!$E$6:$E$90))*(1-_xlfn.XLOOKUP(_xlfn.XLOOKUP($F858,Clientes!$B$4:$B$39,Clientes!$C$4:$C$39),Cadastros!$L$6:$L$12,Cadastros!$N$6:$N$12)))</f>
        <v/>
      </c>
      <c r="P858" s="168" t="str">
        <f t="shared" si="171"/>
        <v/>
      </c>
      <c r="Q858" s="168" t="str">
        <f>IFERROR(P858/_xlfn.XLOOKUP(_xlfn.XLOOKUP($F858,Clientes!$B$4:$B$39,Clientes!$C$4:$C$39),Cadastros!$L$6:$L$12,Cadastros!$M$6:$M$12)," ")</f>
        <v xml:space="preserve"> </v>
      </c>
      <c r="R858" s="28"/>
      <c r="S858" s="28"/>
      <c r="T858" s="255" t="str">
        <f>IF(R858="","",(_xlfn.XLOOKUP(R858,Cadastros!$D$6:$D$90,Cadastros!$E$6:$E$90))*(1-_xlfn.XLOOKUP(_xlfn.XLOOKUP($F858,Clientes!$B$4:$B$39,Clientes!$C$4:$C$39),Cadastros!$L$6:$L$12,Cadastros!$N$6:$N$12)))</f>
        <v/>
      </c>
      <c r="U858" s="168" t="str">
        <f t="shared" si="172"/>
        <v/>
      </c>
      <c r="V858" s="168" t="str">
        <f>IFERROR(U858/_xlfn.XLOOKUP(_xlfn.XLOOKUP($F858,Clientes!$B$4:$B$39,Clientes!$C$4:$C$39),Cadastros!$L$6:$L$12,Cadastros!$M$6:$M$12)," ")</f>
        <v xml:space="preserve"> </v>
      </c>
      <c r="W858" s="28"/>
      <c r="X858" s="28"/>
      <c r="Y858" s="255" t="str">
        <f>IF(W858="","",(_xlfn.XLOOKUP(W858,Cadastros!$D$6:$D$90,Cadastros!$E$6:$E$90))*(1-_xlfn.XLOOKUP(_xlfn.XLOOKUP($F858,Clientes!$B$4:$B$39,Clientes!$C$4:$C$39),Cadastros!$L$6:$L$12,Cadastros!$N$6:$N$12)))</f>
        <v/>
      </c>
      <c r="Z858" s="168" t="str">
        <f t="shared" si="173"/>
        <v/>
      </c>
      <c r="AA858" s="168" t="str">
        <f>IFERROR(Z858/_xlfn.XLOOKUP(_xlfn.XLOOKUP($F858,Clientes!$B$4:$B$39,Clientes!$C$4:$C$39),Cadastros!$L$6:$L$12,Cadastros!$M$6:$M$12)," ")</f>
        <v xml:space="preserve"> </v>
      </c>
      <c r="AB858" s="28"/>
      <c r="AC858" s="28"/>
      <c r="AD858" s="20" t="str">
        <f>IF(AB858="","",IF($F858="Bernardino Furlan",_xlfn.XLOOKUP(AB858,Cadastros!$G$6:$G$90,Cadastros!$H$6:$H$90)*(1-0.18),IF($F858="Mauro José Salanti",_xlfn.XLOOKUP(AB858,Cadastros!$G$6:$G$90,Cadastros!$H$6:$H$90)*(1-0.18),_xlfn.XLOOKUP(AB858,Cadastros!$G$6:$G$90,Cadastros!$H$6:$H$90))))</f>
        <v/>
      </c>
      <c r="AE858" s="168" t="str">
        <f t="shared" si="174"/>
        <v/>
      </c>
      <c r="AF858" s="168" t="str">
        <f t="shared" si="175"/>
        <v/>
      </c>
      <c r="AG858" s="28"/>
      <c r="AH858" s="28"/>
      <c r="AI858" s="20" t="str">
        <f>IF(AG858="","",IF($F858="Bernardino Furlan",_xlfn.XLOOKUP(AG858,Cadastros!$G$6:$G$90,Cadastros!$H$6:$H$90)*(1-0.18),IF($F858="Mauro José Salanti",_xlfn.XLOOKUP(AG858,Cadastros!$G$6:$G$90,Cadastros!$H$6:$H$90)*(1-0.18),_xlfn.XLOOKUP(AG858,Cadastros!$G$6:$G$90,Cadastros!$H$6:$H$90))))</f>
        <v/>
      </c>
      <c r="AJ858" s="168" t="str">
        <f t="shared" si="176"/>
        <v/>
      </c>
      <c r="AK858" s="168" t="str">
        <f t="shared" si="177"/>
        <v/>
      </c>
      <c r="AL858" s="28"/>
      <c r="AM858" s="28"/>
      <c r="AN858" s="20" t="str">
        <f>IF(AL858="","",IF($F858="Bernardino Furlan",_xlfn.XLOOKUP(AL858,Cadastros!$G$6:$G$90,Cadastros!$H$6:$H$90)*(1-0.18),IF($F858="Mauro José Salanti",_xlfn.XLOOKUP(AL858,Cadastros!$G$6:$G$90,Cadastros!$H$6:$H$90)*(1-0.18),_xlfn.XLOOKUP(AL858,Cadastros!$G$6:$G$90,Cadastros!$H$6:$H$90))))</f>
        <v/>
      </c>
      <c r="AO858" s="168" t="str">
        <f t="shared" si="178"/>
        <v/>
      </c>
      <c r="AP858" s="168" t="str">
        <f t="shared" si="179"/>
        <v/>
      </c>
      <c r="AQ858" s="28"/>
      <c r="AR858" s="28"/>
      <c r="AS858" s="20" t="str">
        <f>IF(AQ858="","",IF($F858="Bernardino Furlan",_xlfn.XLOOKUP(AQ858,Cadastros!$G$6:$G$90,Cadastros!$H$6:$H$90)*(1-0.18),IF($F858="Mauro José Salanti",_xlfn.XLOOKUP(AQ858,Cadastros!$G$6:$G$90,Cadastros!$H$6:$H$90)*(1-0.18),_xlfn.XLOOKUP(AQ858,Cadastros!$G$6:$G$90,Cadastros!$H$6:$H$90))))</f>
        <v/>
      </c>
      <c r="AT858" s="168" t="str">
        <f t="shared" si="180"/>
        <v/>
      </c>
      <c r="AU858" s="168" t="str">
        <f t="shared" si="181"/>
        <v/>
      </c>
      <c r="AV858" s="227"/>
      <c r="AW858" s="30"/>
      <c r="AX858" s="267"/>
      <c r="AY858" s="267"/>
      <c r="AZ858" s="29"/>
      <c r="BA858" s="30"/>
      <c r="BB858" s="23" t="str" cm="1">
        <f t="array" ref="BB858">_xlfn.IFS(AW858="SIM",SUM(K858,P858,U858,Z858,AE858,AJ858,AO858,AT858,AX858,AY858),F858&lt;&gt;"",SUM(K858,P858,U858,Z858,AE858,AJ858,,AO858,AT858),F858="","")</f>
        <v/>
      </c>
      <c r="BC858" s="211" t="str" cm="1">
        <f t="array" ref="BC858">_xlfn.IFS(E858="","",G858&lt;=E858,BB858*(1-0.03),G858&lt;(E858+8),BB858,AZ858="Boleto",BB858*(1+0.001)^DATEDIF(E858,G858,"D"),AZ858="Cheque",BB858,AZ858="Dinheiro","Alterar forma pgto")</f>
        <v/>
      </c>
      <c r="BD858" s="276" t="str" cm="1">
        <f t="array" ref="BD858">IF(F858=0," ",IF(BC858&lt;BB858,(_xlfn.IFS(AW858="SIM",SUM(L858,Q858,V858,AA858,AF858,AK858,AP858,AU858)+AX858/_xlfn.XLOOKUP(_xlfn.XLOOKUP($F858,Clientes!$B$4:$B$39,Clientes!$C$4:$C$39),Cadastros!$L$6:$L$12,Cadastros!$M$6:$M$12)+IF($F858="Bernardino Furlan",AY858/2751.92,IF($F858="Mauro José Salanti",AY858/2751.92,AY858/3356)),F858&lt;&gt;0,SUM(L858,Q858,V858,AA858,AF858,AK858,AP858,AU858)))*(1-0.03),_xlfn.IFS(AW858="SIM",SUM(L858,Q858,V858,AA858,AF858,AK858,AP858,AU858)+AX858/_xlfn.XLOOKUP(_xlfn.XLOOKUP($F858,Clientes!$B$4:$B$39,Clientes!$C$4:$C$39),Cadastros!$L$6:$L$12,Cadastros!$M$6:$M$12)+IF($F858="Bernardino Furlan",AY858/2751.92,IF($F858="Mauro José Salanti",AY858/2751.92,AY858/3356)),F858&lt;&gt;0,SUM(L858,Q858,V858,AA858,AF858,AK858,AP858,AU858))))</f>
        <v xml:space="preserve"> </v>
      </c>
      <c r="BE858" s="120"/>
      <c r="BF858" s="120"/>
      <c r="BG858" s="120"/>
    </row>
    <row r="859" spans="1:59" s="3" customFormat="1" x14ac:dyDescent="0.3">
      <c r="A859" s="15" t="str">
        <f t="shared" si="169"/>
        <v/>
      </c>
      <c r="B859" s="25"/>
      <c r="C859" s="26"/>
      <c r="D859" s="279"/>
      <c r="E859" s="27"/>
      <c r="F859" s="28"/>
      <c r="G859" s="27"/>
      <c r="H859" s="28"/>
      <c r="I859" s="28"/>
      <c r="J859" s="255" t="str">
        <f>IF(H859="","",(_xlfn.XLOOKUP(H859,Cadastros!$D$6:$D$90,Cadastros!$E$6:$E$90))*(1-_xlfn.XLOOKUP(_xlfn.XLOOKUP($F859,Clientes!$B$4:$B$39,Clientes!$C$4:$C$39),Cadastros!$L$6:$L$12,Cadastros!$N$6:$N$12)))</f>
        <v/>
      </c>
      <c r="K859" s="168" t="str">
        <f t="shared" si="170"/>
        <v/>
      </c>
      <c r="L859" s="168" t="str">
        <f>IFERROR(K859/_xlfn.XLOOKUP(_xlfn.XLOOKUP($F859,Clientes!$B$4:$B$39,Clientes!$C$4:$C$39),Cadastros!$L$6:$L$12,Cadastros!$M$6:$M$12)," ")</f>
        <v xml:space="preserve"> </v>
      </c>
      <c r="M859" s="28"/>
      <c r="N859" s="28"/>
      <c r="O859" s="255" t="str">
        <f>IF(M859="","",(_xlfn.XLOOKUP(M859,Cadastros!$D$6:$D$90,Cadastros!$E$6:$E$90))*(1-_xlfn.XLOOKUP(_xlfn.XLOOKUP($F859,Clientes!$B$4:$B$39,Clientes!$C$4:$C$39),Cadastros!$L$6:$L$12,Cadastros!$N$6:$N$12)))</f>
        <v/>
      </c>
      <c r="P859" s="168" t="str">
        <f t="shared" si="171"/>
        <v/>
      </c>
      <c r="Q859" s="168" t="str">
        <f>IFERROR(P859/_xlfn.XLOOKUP(_xlfn.XLOOKUP($F859,Clientes!$B$4:$B$39,Clientes!$C$4:$C$39),Cadastros!$L$6:$L$12,Cadastros!$M$6:$M$12)," ")</f>
        <v xml:space="preserve"> </v>
      </c>
      <c r="R859" s="28"/>
      <c r="S859" s="28"/>
      <c r="T859" s="255" t="str">
        <f>IF(R859="","",(_xlfn.XLOOKUP(R859,Cadastros!$D$6:$D$90,Cadastros!$E$6:$E$90))*(1-_xlfn.XLOOKUP(_xlfn.XLOOKUP($F859,Clientes!$B$4:$B$39,Clientes!$C$4:$C$39),Cadastros!$L$6:$L$12,Cadastros!$N$6:$N$12)))</f>
        <v/>
      </c>
      <c r="U859" s="168" t="str">
        <f t="shared" si="172"/>
        <v/>
      </c>
      <c r="V859" s="168" t="str">
        <f>IFERROR(U859/_xlfn.XLOOKUP(_xlfn.XLOOKUP($F859,Clientes!$B$4:$B$39,Clientes!$C$4:$C$39),Cadastros!$L$6:$L$12,Cadastros!$M$6:$M$12)," ")</f>
        <v xml:space="preserve"> </v>
      </c>
      <c r="W859" s="28"/>
      <c r="X859" s="28"/>
      <c r="Y859" s="255" t="str">
        <f>IF(W859="","",(_xlfn.XLOOKUP(W859,Cadastros!$D$6:$D$90,Cadastros!$E$6:$E$90))*(1-_xlfn.XLOOKUP(_xlfn.XLOOKUP($F859,Clientes!$B$4:$B$39,Clientes!$C$4:$C$39),Cadastros!$L$6:$L$12,Cadastros!$N$6:$N$12)))</f>
        <v/>
      </c>
      <c r="Z859" s="168" t="str">
        <f t="shared" si="173"/>
        <v/>
      </c>
      <c r="AA859" s="168" t="str">
        <f>IFERROR(Z859/_xlfn.XLOOKUP(_xlfn.XLOOKUP($F859,Clientes!$B$4:$B$39,Clientes!$C$4:$C$39),Cadastros!$L$6:$L$12,Cadastros!$M$6:$M$12)," ")</f>
        <v xml:space="preserve"> </v>
      </c>
      <c r="AB859" s="28"/>
      <c r="AC859" s="28"/>
      <c r="AD859" s="20" t="str">
        <f>IF(AB859="","",IF($F859="Bernardino Furlan",_xlfn.XLOOKUP(AB859,Cadastros!$G$6:$G$90,Cadastros!$H$6:$H$90)*(1-0.18),IF($F859="Mauro José Salanti",_xlfn.XLOOKUP(AB859,Cadastros!$G$6:$G$90,Cadastros!$H$6:$H$90)*(1-0.18),_xlfn.XLOOKUP(AB859,Cadastros!$G$6:$G$90,Cadastros!$H$6:$H$90))))</f>
        <v/>
      </c>
      <c r="AE859" s="168" t="str">
        <f t="shared" si="174"/>
        <v/>
      </c>
      <c r="AF859" s="168" t="str">
        <f t="shared" si="175"/>
        <v/>
      </c>
      <c r="AG859" s="28"/>
      <c r="AH859" s="28"/>
      <c r="AI859" s="20" t="str">
        <f>IF(AG859="","",IF($F859="Bernardino Furlan",_xlfn.XLOOKUP(AG859,Cadastros!$G$6:$G$90,Cadastros!$H$6:$H$90)*(1-0.18),IF($F859="Mauro José Salanti",_xlfn.XLOOKUP(AG859,Cadastros!$G$6:$G$90,Cadastros!$H$6:$H$90)*(1-0.18),_xlfn.XLOOKUP(AG859,Cadastros!$G$6:$G$90,Cadastros!$H$6:$H$90))))</f>
        <v/>
      </c>
      <c r="AJ859" s="168" t="str">
        <f t="shared" si="176"/>
        <v/>
      </c>
      <c r="AK859" s="168" t="str">
        <f t="shared" si="177"/>
        <v/>
      </c>
      <c r="AL859" s="28"/>
      <c r="AM859" s="28"/>
      <c r="AN859" s="20" t="str">
        <f>IF(AL859="","",IF($F859="Bernardino Furlan",_xlfn.XLOOKUP(AL859,Cadastros!$G$6:$G$90,Cadastros!$H$6:$H$90)*(1-0.18),IF($F859="Mauro José Salanti",_xlfn.XLOOKUP(AL859,Cadastros!$G$6:$G$90,Cadastros!$H$6:$H$90)*(1-0.18),_xlfn.XLOOKUP(AL859,Cadastros!$G$6:$G$90,Cadastros!$H$6:$H$90))))</f>
        <v/>
      </c>
      <c r="AO859" s="168" t="str">
        <f t="shared" si="178"/>
        <v/>
      </c>
      <c r="AP859" s="168" t="str">
        <f t="shared" si="179"/>
        <v/>
      </c>
      <c r="AQ859" s="28"/>
      <c r="AR859" s="28"/>
      <c r="AS859" s="20" t="str">
        <f>IF(AQ859="","",IF($F859="Bernardino Furlan",_xlfn.XLOOKUP(AQ859,Cadastros!$G$6:$G$90,Cadastros!$H$6:$H$90)*(1-0.18),IF($F859="Mauro José Salanti",_xlfn.XLOOKUP(AQ859,Cadastros!$G$6:$G$90,Cadastros!$H$6:$H$90)*(1-0.18),_xlfn.XLOOKUP(AQ859,Cadastros!$G$6:$G$90,Cadastros!$H$6:$H$90))))</f>
        <v/>
      </c>
      <c r="AT859" s="168" t="str">
        <f t="shared" si="180"/>
        <v/>
      </c>
      <c r="AU859" s="168" t="str">
        <f t="shared" si="181"/>
        <v/>
      </c>
      <c r="AV859" s="227"/>
      <c r="AW859" s="30"/>
      <c r="AX859" s="267"/>
      <c r="AY859" s="267"/>
      <c r="AZ859" s="29"/>
      <c r="BA859" s="30"/>
      <c r="BB859" s="23" t="str" cm="1">
        <f t="array" ref="BB859">_xlfn.IFS(AW859="SIM",SUM(K859,P859,U859,Z859,AE859,AJ859,AO859,AT859,AX859,AY859),F859&lt;&gt;"",SUM(K859,P859,U859,Z859,AE859,AJ859,,AO859,AT859),F859="","")</f>
        <v/>
      </c>
      <c r="BC859" s="211" t="str" cm="1">
        <f t="array" ref="BC859">_xlfn.IFS(E859="","",G859&lt;=E859,BB859*(1-0.03),G859&lt;(E859+8),BB859,AZ859="Boleto",BB859*(1+0.001)^DATEDIF(E859,G859,"D"),AZ859="Cheque",BB859,AZ859="Dinheiro","Alterar forma pgto")</f>
        <v/>
      </c>
      <c r="BD859" s="276" t="str" cm="1">
        <f t="array" ref="BD859">IF(F859=0," ",IF(BC859&lt;BB859,(_xlfn.IFS(AW859="SIM",SUM(L859,Q859,V859,AA859,AF859,AK859,AP859,AU859)+AX859/_xlfn.XLOOKUP(_xlfn.XLOOKUP($F859,Clientes!$B$4:$B$39,Clientes!$C$4:$C$39),Cadastros!$L$6:$L$12,Cadastros!$M$6:$M$12)+IF($F859="Bernardino Furlan",AY859/2751.92,IF($F859="Mauro José Salanti",AY859/2751.92,AY859/3356)),F859&lt;&gt;0,SUM(L859,Q859,V859,AA859,AF859,AK859,AP859,AU859)))*(1-0.03),_xlfn.IFS(AW859="SIM",SUM(L859,Q859,V859,AA859,AF859,AK859,AP859,AU859)+AX859/_xlfn.XLOOKUP(_xlfn.XLOOKUP($F859,Clientes!$B$4:$B$39,Clientes!$C$4:$C$39),Cadastros!$L$6:$L$12,Cadastros!$M$6:$M$12)+IF($F859="Bernardino Furlan",AY859/2751.92,IF($F859="Mauro José Salanti",AY859/2751.92,AY859/3356)),F859&lt;&gt;0,SUM(L859,Q859,V859,AA859,AF859,AK859,AP859,AU859))))</f>
        <v xml:space="preserve"> </v>
      </c>
      <c r="BE859" s="120"/>
      <c r="BF859" s="120"/>
      <c r="BG859" s="120"/>
    </row>
    <row r="860" spans="1:59" s="3" customFormat="1" x14ac:dyDescent="0.3">
      <c r="A860" s="15" t="str">
        <f t="shared" si="169"/>
        <v/>
      </c>
      <c r="B860" s="25"/>
      <c r="C860" s="26"/>
      <c r="D860" s="279"/>
      <c r="E860" s="27"/>
      <c r="F860" s="28"/>
      <c r="G860" s="27"/>
      <c r="H860" s="28"/>
      <c r="I860" s="28"/>
      <c r="J860" s="255" t="str">
        <f>IF(H860="","",(_xlfn.XLOOKUP(H860,Cadastros!$D$6:$D$90,Cadastros!$E$6:$E$90))*(1-_xlfn.XLOOKUP(_xlfn.XLOOKUP($F860,Clientes!$B$4:$B$39,Clientes!$C$4:$C$39),Cadastros!$L$6:$L$12,Cadastros!$N$6:$N$12)))</f>
        <v/>
      </c>
      <c r="K860" s="168" t="str">
        <f t="shared" si="170"/>
        <v/>
      </c>
      <c r="L860" s="168" t="str">
        <f>IFERROR(K860/_xlfn.XLOOKUP(_xlfn.XLOOKUP($F860,Clientes!$B$4:$B$39,Clientes!$C$4:$C$39),Cadastros!$L$6:$L$12,Cadastros!$M$6:$M$12)," ")</f>
        <v xml:space="preserve"> </v>
      </c>
      <c r="M860" s="28"/>
      <c r="N860" s="28"/>
      <c r="O860" s="255" t="str">
        <f>IF(M860="","",(_xlfn.XLOOKUP(M860,Cadastros!$D$6:$D$90,Cadastros!$E$6:$E$90))*(1-_xlfn.XLOOKUP(_xlfn.XLOOKUP($F860,Clientes!$B$4:$B$39,Clientes!$C$4:$C$39),Cadastros!$L$6:$L$12,Cadastros!$N$6:$N$12)))</f>
        <v/>
      </c>
      <c r="P860" s="168" t="str">
        <f t="shared" si="171"/>
        <v/>
      </c>
      <c r="Q860" s="168" t="str">
        <f>IFERROR(P860/_xlfn.XLOOKUP(_xlfn.XLOOKUP($F860,Clientes!$B$4:$B$39,Clientes!$C$4:$C$39),Cadastros!$L$6:$L$12,Cadastros!$M$6:$M$12)," ")</f>
        <v xml:space="preserve"> </v>
      </c>
      <c r="R860" s="28"/>
      <c r="S860" s="28"/>
      <c r="T860" s="255" t="str">
        <f>IF(R860="","",(_xlfn.XLOOKUP(R860,Cadastros!$D$6:$D$90,Cadastros!$E$6:$E$90))*(1-_xlfn.XLOOKUP(_xlfn.XLOOKUP($F860,Clientes!$B$4:$B$39,Clientes!$C$4:$C$39),Cadastros!$L$6:$L$12,Cadastros!$N$6:$N$12)))</f>
        <v/>
      </c>
      <c r="U860" s="168" t="str">
        <f t="shared" si="172"/>
        <v/>
      </c>
      <c r="V860" s="168" t="str">
        <f>IFERROR(U860/_xlfn.XLOOKUP(_xlfn.XLOOKUP($F860,Clientes!$B$4:$B$39,Clientes!$C$4:$C$39),Cadastros!$L$6:$L$12,Cadastros!$M$6:$M$12)," ")</f>
        <v xml:space="preserve"> </v>
      </c>
      <c r="W860" s="28"/>
      <c r="X860" s="28"/>
      <c r="Y860" s="255" t="str">
        <f>IF(W860="","",(_xlfn.XLOOKUP(W860,Cadastros!$D$6:$D$90,Cadastros!$E$6:$E$90))*(1-_xlfn.XLOOKUP(_xlfn.XLOOKUP($F860,Clientes!$B$4:$B$39,Clientes!$C$4:$C$39),Cadastros!$L$6:$L$12,Cadastros!$N$6:$N$12)))</f>
        <v/>
      </c>
      <c r="Z860" s="168" t="str">
        <f t="shared" si="173"/>
        <v/>
      </c>
      <c r="AA860" s="168" t="str">
        <f>IFERROR(Z860/_xlfn.XLOOKUP(_xlfn.XLOOKUP($F860,Clientes!$B$4:$B$39,Clientes!$C$4:$C$39),Cadastros!$L$6:$L$12,Cadastros!$M$6:$M$12)," ")</f>
        <v xml:space="preserve"> </v>
      </c>
      <c r="AB860" s="28"/>
      <c r="AC860" s="28"/>
      <c r="AD860" s="20" t="str">
        <f>IF(AB860="","",IF($F860="Bernardino Furlan",_xlfn.XLOOKUP(AB860,Cadastros!$G$6:$G$90,Cadastros!$H$6:$H$90)*(1-0.18),IF($F860="Mauro José Salanti",_xlfn.XLOOKUP(AB860,Cadastros!$G$6:$G$90,Cadastros!$H$6:$H$90)*(1-0.18),_xlfn.XLOOKUP(AB860,Cadastros!$G$6:$G$90,Cadastros!$H$6:$H$90))))</f>
        <v/>
      </c>
      <c r="AE860" s="168" t="str">
        <f t="shared" si="174"/>
        <v/>
      </c>
      <c r="AF860" s="168" t="str">
        <f t="shared" si="175"/>
        <v/>
      </c>
      <c r="AG860" s="28"/>
      <c r="AH860" s="28"/>
      <c r="AI860" s="20" t="str">
        <f>IF(AG860="","",IF($F860="Bernardino Furlan",_xlfn.XLOOKUP(AG860,Cadastros!$G$6:$G$90,Cadastros!$H$6:$H$90)*(1-0.18),IF($F860="Mauro José Salanti",_xlfn.XLOOKUP(AG860,Cadastros!$G$6:$G$90,Cadastros!$H$6:$H$90)*(1-0.18),_xlfn.XLOOKUP(AG860,Cadastros!$G$6:$G$90,Cadastros!$H$6:$H$90))))</f>
        <v/>
      </c>
      <c r="AJ860" s="168" t="str">
        <f t="shared" si="176"/>
        <v/>
      </c>
      <c r="AK860" s="168" t="str">
        <f t="shared" si="177"/>
        <v/>
      </c>
      <c r="AL860" s="28"/>
      <c r="AM860" s="28"/>
      <c r="AN860" s="20" t="str">
        <f>IF(AL860="","",IF($F860="Bernardino Furlan",_xlfn.XLOOKUP(AL860,Cadastros!$G$6:$G$90,Cadastros!$H$6:$H$90)*(1-0.18),IF($F860="Mauro José Salanti",_xlfn.XLOOKUP(AL860,Cadastros!$G$6:$G$90,Cadastros!$H$6:$H$90)*(1-0.18),_xlfn.XLOOKUP(AL860,Cadastros!$G$6:$G$90,Cadastros!$H$6:$H$90))))</f>
        <v/>
      </c>
      <c r="AO860" s="168" t="str">
        <f t="shared" si="178"/>
        <v/>
      </c>
      <c r="AP860" s="168" t="str">
        <f t="shared" si="179"/>
        <v/>
      </c>
      <c r="AQ860" s="28"/>
      <c r="AR860" s="28"/>
      <c r="AS860" s="20" t="str">
        <f>IF(AQ860="","",IF($F860="Bernardino Furlan",_xlfn.XLOOKUP(AQ860,Cadastros!$G$6:$G$90,Cadastros!$H$6:$H$90)*(1-0.18),IF($F860="Mauro José Salanti",_xlfn.XLOOKUP(AQ860,Cadastros!$G$6:$G$90,Cadastros!$H$6:$H$90)*(1-0.18),_xlfn.XLOOKUP(AQ860,Cadastros!$G$6:$G$90,Cadastros!$H$6:$H$90))))</f>
        <v/>
      </c>
      <c r="AT860" s="168" t="str">
        <f t="shared" si="180"/>
        <v/>
      </c>
      <c r="AU860" s="168" t="str">
        <f t="shared" si="181"/>
        <v/>
      </c>
      <c r="AV860" s="227"/>
      <c r="AW860" s="30"/>
      <c r="AX860" s="267"/>
      <c r="AY860" s="267"/>
      <c r="AZ860" s="29"/>
      <c r="BA860" s="30"/>
      <c r="BB860" s="23" t="str" cm="1">
        <f t="array" ref="BB860">_xlfn.IFS(AW860="SIM",SUM(K860,P860,U860,Z860,AE860,AJ860,AO860,AT860,AX860,AY860),F860&lt;&gt;"",SUM(K860,P860,U860,Z860,AE860,AJ860,,AO860,AT860),F860="","")</f>
        <v/>
      </c>
      <c r="BC860" s="211" t="str" cm="1">
        <f t="array" ref="BC860">_xlfn.IFS(E860="","",G860&lt;=E860,BB860*(1-0.03),G860&lt;(E860+8),BB860,AZ860="Boleto",BB860*(1+0.001)^DATEDIF(E860,G860,"D"),AZ860="Cheque",BB860,AZ860="Dinheiro","Alterar forma pgto")</f>
        <v/>
      </c>
      <c r="BD860" s="276" t="str" cm="1">
        <f t="array" ref="BD860">IF(F860=0," ",IF(BC860&lt;BB860,(_xlfn.IFS(AW860="SIM",SUM(L860,Q860,V860,AA860,AF860,AK860,AP860,AU860)+AX860/_xlfn.XLOOKUP(_xlfn.XLOOKUP($F860,Clientes!$B$4:$B$39,Clientes!$C$4:$C$39),Cadastros!$L$6:$L$12,Cadastros!$M$6:$M$12)+IF($F860="Bernardino Furlan",AY860/2751.92,IF($F860="Mauro José Salanti",AY860/2751.92,AY860/3356)),F860&lt;&gt;0,SUM(L860,Q860,V860,AA860,AF860,AK860,AP860,AU860)))*(1-0.03),_xlfn.IFS(AW860="SIM",SUM(L860,Q860,V860,AA860,AF860,AK860,AP860,AU860)+AX860/_xlfn.XLOOKUP(_xlfn.XLOOKUP($F860,Clientes!$B$4:$B$39,Clientes!$C$4:$C$39),Cadastros!$L$6:$L$12,Cadastros!$M$6:$M$12)+IF($F860="Bernardino Furlan",AY860/2751.92,IF($F860="Mauro José Salanti",AY860/2751.92,AY860/3356)),F860&lt;&gt;0,SUM(L860,Q860,V860,AA860,AF860,AK860,AP860,AU860))))</f>
        <v xml:space="preserve"> </v>
      </c>
      <c r="BE860" s="120"/>
      <c r="BF860" s="120"/>
      <c r="BG860" s="120"/>
    </row>
    <row r="861" spans="1:59" s="3" customFormat="1" x14ac:dyDescent="0.3">
      <c r="A861" s="15" t="str">
        <f t="shared" si="169"/>
        <v/>
      </c>
      <c r="B861" s="25"/>
      <c r="C861" s="26"/>
      <c r="D861" s="279"/>
      <c r="E861" s="27"/>
      <c r="F861" s="28"/>
      <c r="G861" s="27"/>
      <c r="H861" s="28"/>
      <c r="I861" s="28"/>
      <c r="J861" s="255" t="str">
        <f>IF(H861="","",(_xlfn.XLOOKUP(H861,Cadastros!$D$6:$D$90,Cadastros!$E$6:$E$90))*(1-_xlfn.XLOOKUP(_xlfn.XLOOKUP($F861,Clientes!$B$4:$B$39,Clientes!$C$4:$C$39),Cadastros!$L$6:$L$12,Cadastros!$N$6:$N$12)))</f>
        <v/>
      </c>
      <c r="K861" s="168" t="str">
        <f t="shared" si="170"/>
        <v/>
      </c>
      <c r="L861" s="168" t="str">
        <f>IFERROR(K861/_xlfn.XLOOKUP(_xlfn.XLOOKUP($F861,Clientes!$B$4:$B$39,Clientes!$C$4:$C$39),Cadastros!$L$6:$L$12,Cadastros!$M$6:$M$12)," ")</f>
        <v xml:space="preserve"> </v>
      </c>
      <c r="M861" s="28"/>
      <c r="N861" s="28"/>
      <c r="O861" s="255" t="str">
        <f>IF(M861="","",(_xlfn.XLOOKUP(M861,Cadastros!$D$6:$D$90,Cadastros!$E$6:$E$90))*(1-_xlfn.XLOOKUP(_xlfn.XLOOKUP($F861,Clientes!$B$4:$B$39,Clientes!$C$4:$C$39),Cadastros!$L$6:$L$12,Cadastros!$N$6:$N$12)))</f>
        <v/>
      </c>
      <c r="P861" s="168" t="str">
        <f t="shared" si="171"/>
        <v/>
      </c>
      <c r="Q861" s="168" t="str">
        <f>IFERROR(P861/_xlfn.XLOOKUP(_xlfn.XLOOKUP($F861,Clientes!$B$4:$B$39,Clientes!$C$4:$C$39),Cadastros!$L$6:$L$12,Cadastros!$M$6:$M$12)," ")</f>
        <v xml:space="preserve"> </v>
      </c>
      <c r="R861" s="28"/>
      <c r="S861" s="28"/>
      <c r="T861" s="255" t="str">
        <f>IF(R861="","",(_xlfn.XLOOKUP(R861,Cadastros!$D$6:$D$90,Cadastros!$E$6:$E$90))*(1-_xlfn.XLOOKUP(_xlfn.XLOOKUP($F861,Clientes!$B$4:$B$39,Clientes!$C$4:$C$39),Cadastros!$L$6:$L$12,Cadastros!$N$6:$N$12)))</f>
        <v/>
      </c>
      <c r="U861" s="168" t="str">
        <f t="shared" si="172"/>
        <v/>
      </c>
      <c r="V861" s="168" t="str">
        <f>IFERROR(U861/_xlfn.XLOOKUP(_xlfn.XLOOKUP($F861,Clientes!$B$4:$B$39,Clientes!$C$4:$C$39),Cadastros!$L$6:$L$12,Cadastros!$M$6:$M$12)," ")</f>
        <v xml:space="preserve"> </v>
      </c>
      <c r="W861" s="28"/>
      <c r="X861" s="28"/>
      <c r="Y861" s="255" t="str">
        <f>IF(W861="","",(_xlfn.XLOOKUP(W861,Cadastros!$D$6:$D$90,Cadastros!$E$6:$E$90))*(1-_xlfn.XLOOKUP(_xlfn.XLOOKUP($F861,Clientes!$B$4:$B$39,Clientes!$C$4:$C$39),Cadastros!$L$6:$L$12,Cadastros!$N$6:$N$12)))</f>
        <v/>
      </c>
      <c r="Z861" s="168" t="str">
        <f t="shared" si="173"/>
        <v/>
      </c>
      <c r="AA861" s="168" t="str">
        <f>IFERROR(Z861/_xlfn.XLOOKUP(_xlfn.XLOOKUP($F861,Clientes!$B$4:$B$39,Clientes!$C$4:$C$39),Cadastros!$L$6:$L$12,Cadastros!$M$6:$M$12)," ")</f>
        <v xml:space="preserve"> </v>
      </c>
      <c r="AB861" s="28"/>
      <c r="AC861" s="28"/>
      <c r="AD861" s="20" t="str">
        <f>IF(AB861="","",IF($F861="Bernardino Furlan",_xlfn.XLOOKUP(AB861,Cadastros!$G$6:$G$90,Cadastros!$H$6:$H$90)*(1-0.18),IF($F861="Mauro José Salanti",_xlfn.XLOOKUP(AB861,Cadastros!$G$6:$G$90,Cadastros!$H$6:$H$90)*(1-0.18),_xlfn.XLOOKUP(AB861,Cadastros!$G$6:$G$90,Cadastros!$H$6:$H$90))))</f>
        <v/>
      </c>
      <c r="AE861" s="168" t="str">
        <f t="shared" si="174"/>
        <v/>
      </c>
      <c r="AF861" s="168" t="str">
        <f t="shared" si="175"/>
        <v/>
      </c>
      <c r="AG861" s="28"/>
      <c r="AH861" s="28"/>
      <c r="AI861" s="20" t="str">
        <f>IF(AG861="","",IF($F861="Bernardino Furlan",_xlfn.XLOOKUP(AG861,Cadastros!$G$6:$G$90,Cadastros!$H$6:$H$90)*(1-0.18),IF($F861="Mauro José Salanti",_xlfn.XLOOKUP(AG861,Cadastros!$G$6:$G$90,Cadastros!$H$6:$H$90)*(1-0.18),_xlfn.XLOOKUP(AG861,Cadastros!$G$6:$G$90,Cadastros!$H$6:$H$90))))</f>
        <v/>
      </c>
      <c r="AJ861" s="168" t="str">
        <f t="shared" si="176"/>
        <v/>
      </c>
      <c r="AK861" s="168" t="str">
        <f t="shared" si="177"/>
        <v/>
      </c>
      <c r="AL861" s="28"/>
      <c r="AM861" s="28"/>
      <c r="AN861" s="20" t="str">
        <f>IF(AL861="","",IF($F861="Bernardino Furlan",_xlfn.XLOOKUP(AL861,Cadastros!$G$6:$G$90,Cadastros!$H$6:$H$90)*(1-0.18),IF($F861="Mauro José Salanti",_xlfn.XLOOKUP(AL861,Cadastros!$G$6:$G$90,Cadastros!$H$6:$H$90)*(1-0.18),_xlfn.XLOOKUP(AL861,Cadastros!$G$6:$G$90,Cadastros!$H$6:$H$90))))</f>
        <v/>
      </c>
      <c r="AO861" s="168" t="str">
        <f t="shared" si="178"/>
        <v/>
      </c>
      <c r="AP861" s="168" t="str">
        <f t="shared" si="179"/>
        <v/>
      </c>
      <c r="AQ861" s="28"/>
      <c r="AR861" s="28"/>
      <c r="AS861" s="20" t="str">
        <f>IF(AQ861="","",IF($F861="Bernardino Furlan",_xlfn.XLOOKUP(AQ861,Cadastros!$G$6:$G$90,Cadastros!$H$6:$H$90)*(1-0.18),IF($F861="Mauro José Salanti",_xlfn.XLOOKUP(AQ861,Cadastros!$G$6:$G$90,Cadastros!$H$6:$H$90)*(1-0.18),_xlfn.XLOOKUP(AQ861,Cadastros!$G$6:$G$90,Cadastros!$H$6:$H$90))))</f>
        <v/>
      </c>
      <c r="AT861" s="168" t="str">
        <f t="shared" si="180"/>
        <v/>
      </c>
      <c r="AU861" s="168" t="str">
        <f t="shared" si="181"/>
        <v/>
      </c>
      <c r="AV861" s="227"/>
      <c r="AW861" s="30"/>
      <c r="AX861" s="267"/>
      <c r="AY861" s="267"/>
      <c r="AZ861" s="29"/>
      <c r="BA861" s="30"/>
      <c r="BB861" s="23" t="str" cm="1">
        <f t="array" ref="BB861">_xlfn.IFS(AW861="SIM",SUM(K861,P861,U861,Z861,AE861,AJ861,AO861,AT861,AX861,AY861),F861&lt;&gt;"",SUM(K861,P861,U861,Z861,AE861,AJ861,,AO861,AT861),F861="","")</f>
        <v/>
      </c>
      <c r="BC861" s="211" t="str" cm="1">
        <f t="array" ref="BC861">_xlfn.IFS(E861="","",G861&lt;=E861,BB861*(1-0.03),G861&lt;(E861+8),BB861,AZ861="Boleto",BB861*(1+0.001)^DATEDIF(E861,G861,"D"),AZ861="Cheque",BB861,AZ861="Dinheiro","Alterar forma pgto")</f>
        <v/>
      </c>
      <c r="BD861" s="276" t="str" cm="1">
        <f t="array" ref="BD861">IF(F861=0," ",IF(BC861&lt;BB861,(_xlfn.IFS(AW861="SIM",SUM(L861,Q861,V861,AA861,AF861,AK861,AP861,AU861)+AX861/_xlfn.XLOOKUP(_xlfn.XLOOKUP($F861,Clientes!$B$4:$B$39,Clientes!$C$4:$C$39),Cadastros!$L$6:$L$12,Cadastros!$M$6:$M$12)+IF($F861="Bernardino Furlan",AY861/2751.92,IF($F861="Mauro José Salanti",AY861/2751.92,AY861/3356)),F861&lt;&gt;0,SUM(L861,Q861,V861,AA861,AF861,AK861,AP861,AU861)))*(1-0.03),_xlfn.IFS(AW861="SIM",SUM(L861,Q861,V861,AA861,AF861,AK861,AP861,AU861)+AX861/_xlfn.XLOOKUP(_xlfn.XLOOKUP($F861,Clientes!$B$4:$B$39,Clientes!$C$4:$C$39),Cadastros!$L$6:$L$12,Cadastros!$M$6:$M$12)+IF($F861="Bernardino Furlan",AY861/2751.92,IF($F861="Mauro José Salanti",AY861/2751.92,AY861/3356)),F861&lt;&gt;0,SUM(L861,Q861,V861,AA861,AF861,AK861,AP861,AU861))))</f>
        <v xml:space="preserve"> </v>
      </c>
      <c r="BE861" s="120"/>
      <c r="BF861" s="120"/>
      <c r="BG861" s="120"/>
    </row>
    <row r="862" spans="1:59" s="3" customFormat="1" x14ac:dyDescent="0.3">
      <c r="A862" s="15" t="str">
        <f t="shared" si="169"/>
        <v/>
      </c>
      <c r="B862" s="25"/>
      <c r="C862" s="26"/>
      <c r="D862" s="279"/>
      <c r="E862" s="27"/>
      <c r="F862" s="28"/>
      <c r="G862" s="27"/>
      <c r="H862" s="28"/>
      <c r="I862" s="28"/>
      <c r="J862" s="255" t="str">
        <f>IF(H862="","",(_xlfn.XLOOKUP(H862,Cadastros!$D$6:$D$90,Cadastros!$E$6:$E$90))*(1-_xlfn.XLOOKUP(_xlfn.XLOOKUP($F862,Clientes!$B$4:$B$39,Clientes!$C$4:$C$39),Cadastros!$L$6:$L$12,Cadastros!$N$6:$N$12)))</f>
        <v/>
      </c>
      <c r="K862" s="168" t="str">
        <f t="shared" si="170"/>
        <v/>
      </c>
      <c r="L862" s="168" t="str">
        <f>IFERROR(K862/_xlfn.XLOOKUP(_xlfn.XLOOKUP($F862,Clientes!$B$4:$B$39,Clientes!$C$4:$C$39),Cadastros!$L$6:$L$12,Cadastros!$M$6:$M$12)," ")</f>
        <v xml:space="preserve"> </v>
      </c>
      <c r="M862" s="28"/>
      <c r="N862" s="28"/>
      <c r="O862" s="255" t="str">
        <f>IF(M862="","",(_xlfn.XLOOKUP(M862,Cadastros!$D$6:$D$90,Cadastros!$E$6:$E$90))*(1-_xlfn.XLOOKUP(_xlfn.XLOOKUP($F862,Clientes!$B$4:$B$39,Clientes!$C$4:$C$39),Cadastros!$L$6:$L$12,Cadastros!$N$6:$N$12)))</f>
        <v/>
      </c>
      <c r="P862" s="168" t="str">
        <f t="shared" si="171"/>
        <v/>
      </c>
      <c r="Q862" s="168" t="str">
        <f>IFERROR(P862/_xlfn.XLOOKUP(_xlfn.XLOOKUP($F862,Clientes!$B$4:$B$39,Clientes!$C$4:$C$39),Cadastros!$L$6:$L$12,Cadastros!$M$6:$M$12)," ")</f>
        <v xml:space="preserve"> </v>
      </c>
      <c r="R862" s="28"/>
      <c r="S862" s="28"/>
      <c r="T862" s="255" t="str">
        <f>IF(R862="","",(_xlfn.XLOOKUP(R862,Cadastros!$D$6:$D$90,Cadastros!$E$6:$E$90))*(1-_xlfn.XLOOKUP(_xlfn.XLOOKUP($F862,Clientes!$B$4:$B$39,Clientes!$C$4:$C$39),Cadastros!$L$6:$L$12,Cadastros!$N$6:$N$12)))</f>
        <v/>
      </c>
      <c r="U862" s="168" t="str">
        <f t="shared" si="172"/>
        <v/>
      </c>
      <c r="V862" s="168" t="str">
        <f>IFERROR(U862/_xlfn.XLOOKUP(_xlfn.XLOOKUP($F862,Clientes!$B$4:$B$39,Clientes!$C$4:$C$39),Cadastros!$L$6:$L$12,Cadastros!$M$6:$M$12)," ")</f>
        <v xml:space="preserve"> </v>
      </c>
      <c r="W862" s="28"/>
      <c r="X862" s="28"/>
      <c r="Y862" s="255" t="str">
        <f>IF(W862="","",(_xlfn.XLOOKUP(W862,Cadastros!$D$6:$D$90,Cadastros!$E$6:$E$90))*(1-_xlfn.XLOOKUP(_xlfn.XLOOKUP($F862,Clientes!$B$4:$B$39,Clientes!$C$4:$C$39),Cadastros!$L$6:$L$12,Cadastros!$N$6:$N$12)))</f>
        <v/>
      </c>
      <c r="Z862" s="168" t="str">
        <f t="shared" si="173"/>
        <v/>
      </c>
      <c r="AA862" s="168" t="str">
        <f>IFERROR(Z862/_xlfn.XLOOKUP(_xlfn.XLOOKUP($F862,Clientes!$B$4:$B$39,Clientes!$C$4:$C$39),Cadastros!$L$6:$L$12,Cadastros!$M$6:$M$12)," ")</f>
        <v xml:space="preserve"> </v>
      </c>
      <c r="AB862" s="28"/>
      <c r="AC862" s="28"/>
      <c r="AD862" s="20" t="str">
        <f>IF(AB862="","",IF($F862="Bernardino Furlan",_xlfn.XLOOKUP(AB862,Cadastros!$G$6:$G$90,Cadastros!$H$6:$H$90)*(1-0.18),IF($F862="Mauro José Salanti",_xlfn.XLOOKUP(AB862,Cadastros!$G$6:$G$90,Cadastros!$H$6:$H$90)*(1-0.18),_xlfn.XLOOKUP(AB862,Cadastros!$G$6:$G$90,Cadastros!$H$6:$H$90))))</f>
        <v/>
      </c>
      <c r="AE862" s="168" t="str">
        <f t="shared" si="174"/>
        <v/>
      </c>
      <c r="AF862" s="168" t="str">
        <f t="shared" si="175"/>
        <v/>
      </c>
      <c r="AG862" s="28"/>
      <c r="AH862" s="28"/>
      <c r="AI862" s="20" t="str">
        <f>IF(AG862="","",IF($F862="Bernardino Furlan",_xlfn.XLOOKUP(AG862,Cadastros!$G$6:$G$90,Cadastros!$H$6:$H$90)*(1-0.18),IF($F862="Mauro José Salanti",_xlfn.XLOOKUP(AG862,Cadastros!$G$6:$G$90,Cadastros!$H$6:$H$90)*(1-0.18),_xlfn.XLOOKUP(AG862,Cadastros!$G$6:$G$90,Cadastros!$H$6:$H$90))))</f>
        <v/>
      </c>
      <c r="AJ862" s="168" t="str">
        <f t="shared" si="176"/>
        <v/>
      </c>
      <c r="AK862" s="168" t="str">
        <f t="shared" si="177"/>
        <v/>
      </c>
      <c r="AL862" s="28"/>
      <c r="AM862" s="28"/>
      <c r="AN862" s="20" t="str">
        <f>IF(AL862="","",IF($F862="Bernardino Furlan",_xlfn.XLOOKUP(AL862,Cadastros!$G$6:$G$90,Cadastros!$H$6:$H$90)*(1-0.18),IF($F862="Mauro José Salanti",_xlfn.XLOOKUP(AL862,Cadastros!$G$6:$G$90,Cadastros!$H$6:$H$90)*(1-0.18),_xlfn.XLOOKUP(AL862,Cadastros!$G$6:$G$90,Cadastros!$H$6:$H$90))))</f>
        <v/>
      </c>
      <c r="AO862" s="168" t="str">
        <f t="shared" si="178"/>
        <v/>
      </c>
      <c r="AP862" s="168" t="str">
        <f t="shared" si="179"/>
        <v/>
      </c>
      <c r="AQ862" s="28"/>
      <c r="AR862" s="28"/>
      <c r="AS862" s="20" t="str">
        <f>IF(AQ862="","",IF($F862="Bernardino Furlan",_xlfn.XLOOKUP(AQ862,Cadastros!$G$6:$G$90,Cadastros!$H$6:$H$90)*(1-0.18),IF($F862="Mauro José Salanti",_xlfn.XLOOKUP(AQ862,Cadastros!$G$6:$G$90,Cadastros!$H$6:$H$90)*(1-0.18),_xlfn.XLOOKUP(AQ862,Cadastros!$G$6:$G$90,Cadastros!$H$6:$H$90))))</f>
        <v/>
      </c>
      <c r="AT862" s="168" t="str">
        <f t="shared" si="180"/>
        <v/>
      </c>
      <c r="AU862" s="168" t="str">
        <f t="shared" si="181"/>
        <v/>
      </c>
      <c r="AV862" s="227"/>
      <c r="AW862" s="30"/>
      <c r="AX862" s="267"/>
      <c r="AY862" s="267"/>
      <c r="AZ862" s="29"/>
      <c r="BA862" s="30"/>
      <c r="BB862" s="23" t="str" cm="1">
        <f t="array" ref="BB862">_xlfn.IFS(AW862="SIM",SUM(K862,P862,U862,Z862,AE862,AJ862,AO862,AT862,AX862,AY862),F862&lt;&gt;"",SUM(K862,P862,U862,Z862,AE862,AJ862,,AO862,AT862),F862="","")</f>
        <v/>
      </c>
      <c r="BC862" s="211" t="str" cm="1">
        <f t="array" ref="BC862">_xlfn.IFS(E862="","",G862&lt;=E862,BB862*(1-0.03),G862&lt;(E862+8),BB862,AZ862="Boleto",BB862*(1+0.001)^DATEDIF(E862,G862,"D"),AZ862="Cheque",BB862,AZ862="Dinheiro","Alterar forma pgto")</f>
        <v/>
      </c>
      <c r="BD862" s="276" t="str" cm="1">
        <f t="array" ref="BD862">IF(F862=0," ",IF(BC862&lt;BB862,(_xlfn.IFS(AW862="SIM",SUM(L862,Q862,V862,AA862,AF862,AK862,AP862,AU862)+AX862/_xlfn.XLOOKUP(_xlfn.XLOOKUP($F862,Clientes!$B$4:$B$39,Clientes!$C$4:$C$39),Cadastros!$L$6:$L$12,Cadastros!$M$6:$M$12)+IF($F862="Bernardino Furlan",AY862/2751.92,IF($F862="Mauro José Salanti",AY862/2751.92,AY862/3356)),F862&lt;&gt;0,SUM(L862,Q862,V862,AA862,AF862,AK862,AP862,AU862)))*(1-0.03),_xlfn.IFS(AW862="SIM",SUM(L862,Q862,V862,AA862,AF862,AK862,AP862,AU862)+AX862/_xlfn.XLOOKUP(_xlfn.XLOOKUP($F862,Clientes!$B$4:$B$39,Clientes!$C$4:$C$39),Cadastros!$L$6:$L$12,Cadastros!$M$6:$M$12)+IF($F862="Bernardino Furlan",AY862/2751.92,IF($F862="Mauro José Salanti",AY862/2751.92,AY862/3356)),F862&lt;&gt;0,SUM(L862,Q862,V862,AA862,AF862,AK862,AP862,AU862))))</f>
        <v xml:space="preserve"> </v>
      </c>
      <c r="BE862" s="120"/>
      <c r="BF862" s="120"/>
      <c r="BG862" s="120"/>
    </row>
    <row r="863" spans="1:59" s="3" customFormat="1" x14ac:dyDescent="0.3">
      <c r="A863" s="15" t="str">
        <f t="shared" si="169"/>
        <v/>
      </c>
      <c r="B863" s="25"/>
      <c r="C863" s="26"/>
      <c r="D863" s="279"/>
      <c r="E863" s="27"/>
      <c r="F863" s="28"/>
      <c r="G863" s="27"/>
      <c r="H863" s="28"/>
      <c r="I863" s="28"/>
      <c r="J863" s="255" t="str">
        <f>IF(H863="","",(_xlfn.XLOOKUP(H863,Cadastros!$D$6:$D$90,Cadastros!$E$6:$E$90))*(1-_xlfn.XLOOKUP(_xlfn.XLOOKUP($F863,Clientes!$B$4:$B$39,Clientes!$C$4:$C$39),Cadastros!$L$6:$L$12,Cadastros!$N$6:$N$12)))</f>
        <v/>
      </c>
      <c r="K863" s="168" t="str">
        <f t="shared" si="170"/>
        <v/>
      </c>
      <c r="L863" s="168" t="str">
        <f>IFERROR(K863/_xlfn.XLOOKUP(_xlfn.XLOOKUP($F863,Clientes!$B$4:$B$39,Clientes!$C$4:$C$39),Cadastros!$L$6:$L$12,Cadastros!$M$6:$M$12)," ")</f>
        <v xml:space="preserve"> </v>
      </c>
      <c r="M863" s="28"/>
      <c r="N863" s="28"/>
      <c r="O863" s="255" t="str">
        <f>IF(M863="","",(_xlfn.XLOOKUP(M863,Cadastros!$D$6:$D$90,Cadastros!$E$6:$E$90))*(1-_xlfn.XLOOKUP(_xlfn.XLOOKUP($F863,Clientes!$B$4:$B$39,Clientes!$C$4:$C$39),Cadastros!$L$6:$L$12,Cadastros!$N$6:$N$12)))</f>
        <v/>
      </c>
      <c r="P863" s="168" t="str">
        <f t="shared" si="171"/>
        <v/>
      </c>
      <c r="Q863" s="168" t="str">
        <f>IFERROR(P863/_xlfn.XLOOKUP(_xlfn.XLOOKUP($F863,Clientes!$B$4:$B$39,Clientes!$C$4:$C$39),Cadastros!$L$6:$L$12,Cadastros!$M$6:$M$12)," ")</f>
        <v xml:space="preserve"> </v>
      </c>
      <c r="R863" s="28"/>
      <c r="S863" s="28"/>
      <c r="T863" s="255" t="str">
        <f>IF(R863="","",(_xlfn.XLOOKUP(R863,Cadastros!$D$6:$D$90,Cadastros!$E$6:$E$90))*(1-_xlfn.XLOOKUP(_xlfn.XLOOKUP($F863,Clientes!$B$4:$B$39,Clientes!$C$4:$C$39),Cadastros!$L$6:$L$12,Cadastros!$N$6:$N$12)))</f>
        <v/>
      </c>
      <c r="U863" s="168" t="str">
        <f t="shared" si="172"/>
        <v/>
      </c>
      <c r="V863" s="168" t="str">
        <f>IFERROR(U863/_xlfn.XLOOKUP(_xlfn.XLOOKUP($F863,Clientes!$B$4:$B$39,Clientes!$C$4:$C$39),Cadastros!$L$6:$L$12,Cadastros!$M$6:$M$12)," ")</f>
        <v xml:space="preserve"> </v>
      </c>
      <c r="W863" s="28"/>
      <c r="X863" s="28"/>
      <c r="Y863" s="255" t="str">
        <f>IF(W863="","",(_xlfn.XLOOKUP(W863,Cadastros!$D$6:$D$90,Cadastros!$E$6:$E$90))*(1-_xlfn.XLOOKUP(_xlfn.XLOOKUP($F863,Clientes!$B$4:$B$39,Clientes!$C$4:$C$39),Cadastros!$L$6:$L$12,Cadastros!$N$6:$N$12)))</f>
        <v/>
      </c>
      <c r="Z863" s="168" t="str">
        <f t="shared" si="173"/>
        <v/>
      </c>
      <c r="AA863" s="168" t="str">
        <f>IFERROR(Z863/_xlfn.XLOOKUP(_xlfn.XLOOKUP($F863,Clientes!$B$4:$B$39,Clientes!$C$4:$C$39),Cadastros!$L$6:$L$12,Cadastros!$M$6:$M$12)," ")</f>
        <v xml:space="preserve"> </v>
      </c>
      <c r="AB863" s="28"/>
      <c r="AC863" s="28"/>
      <c r="AD863" s="20" t="str">
        <f>IF(AB863="","",IF($F863="Bernardino Furlan",_xlfn.XLOOKUP(AB863,Cadastros!$G$6:$G$90,Cadastros!$H$6:$H$90)*(1-0.18),IF($F863="Mauro José Salanti",_xlfn.XLOOKUP(AB863,Cadastros!$G$6:$G$90,Cadastros!$H$6:$H$90)*(1-0.18),_xlfn.XLOOKUP(AB863,Cadastros!$G$6:$G$90,Cadastros!$H$6:$H$90))))</f>
        <v/>
      </c>
      <c r="AE863" s="168" t="str">
        <f t="shared" si="174"/>
        <v/>
      </c>
      <c r="AF863" s="168" t="str">
        <f t="shared" si="175"/>
        <v/>
      </c>
      <c r="AG863" s="28"/>
      <c r="AH863" s="28"/>
      <c r="AI863" s="20" t="str">
        <f>IF(AG863="","",IF($F863="Bernardino Furlan",_xlfn.XLOOKUP(AG863,Cadastros!$G$6:$G$90,Cadastros!$H$6:$H$90)*(1-0.18),IF($F863="Mauro José Salanti",_xlfn.XLOOKUP(AG863,Cadastros!$G$6:$G$90,Cadastros!$H$6:$H$90)*(1-0.18),_xlfn.XLOOKUP(AG863,Cadastros!$G$6:$G$90,Cadastros!$H$6:$H$90))))</f>
        <v/>
      </c>
      <c r="AJ863" s="168" t="str">
        <f t="shared" si="176"/>
        <v/>
      </c>
      <c r="AK863" s="168" t="str">
        <f t="shared" si="177"/>
        <v/>
      </c>
      <c r="AL863" s="28"/>
      <c r="AM863" s="28"/>
      <c r="AN863" s="20" t="str">
        <f>IF(AL863="","",IF($F863="Bernardino Furlan",_xlfn.XLOOKUP(AL863,Cadastros!$G$6:$G$90,Cadastros!$H$6:$H$90)*(1-0.18),IF($F863="Mauro José Salanti",_xlfn.XLOOKUP(AL863,Cadastros!$G$6:$G$90,Cadastros!$H$6:$H$90)*(1-0.18),_xlfn.XLOOKUP(AL863,Cadastros!$G$6:$G$90,Cadastros!$H$6:$H$90))))</f>
        <v/>
      </c>
      <c r="AO863" s="168" t="str">
        <f t="shared" si="178"/>
        <v/>
      </c>
      <c r="AP863" s="168" t="str">
        <f t="shared" si="179"/>
        <v/>
      </c>
      <c r="AQ863" s="28"/>
      <c r="AR863" s="28"/>
      <c r="AS863" s="20" t="str">
        <f>IF(AQ863="","",IF($F863="Bernardino Furlan",_xlfn.XLOOKUP(AQ863,Cadastros!$G$6:$G$90,Cadastros!$H$6:$H$90)*(1-0.18),IF($F863="Mauro José Salanti",_xlfn.XLOOKUP(AQ863,Cadastros!$G$6:$G$90,Cadastros!$H$6:$H$90)*(1-0.18),_xlfn.XLOOKUP(AQ863,Cadastros!$G$6:$G$90,Cadastros!$H$6:$H$90))))</f>
        <v/>
      </c>
      <c r="AT863" s="168" t="str">
        <f t="shared" si="180"/>
        <v/>
      </c>
      <c r="AU863" s="168" t="str">
        <f t="shared" si="181"/>
        <v/>
      </c>
      <c r="AV863" s="227"/>
      <c r="AW863" s="30"/>
      <c r="AX863" s="267"/>
      <c r="AY863" s="267"/>
      <c r="AZ863" s="29"/>
      <c r="BA863" s="30"/>
      <c r="BB863" s="23" t="str" cm="1">
        <f t="array" ref="BB863">_xlfn.IFS(AW863="SIM",SUM(K863,P863,U863,Z863,AE863,AJ863,AO863,AT863,AX863,AY863),F863&lt;&gt;"",SUM(K863,P863,U863,Z863,AE863,AJ863,,AO863,AT863),F863="","")</f>
        <v/>
      </c>
      <c r="BC863" s="211" t="str" cm="1">
        <f t="array" ref="BC863">_xlfn.IFS(E863="","",G863&lt;=E863,BB863*(1-0.03),G863&lt;(E863+8),BB863,AZ863="Boleto",BB863*(1+0.001)^DATEDIF(E863,G863,"D"),AZ863="Cheque",BB863,AZ863="Dinheiro","Alterar forma pgto")</f>
        <v/>
      </c>
      <c r="BD863" s="276" t="str" cm="1">
        <f t="array" ref="BD863">IF(F863=0," ",IF(BC863&lt;BB863,(_xlfn.IFS(AW863="SIM",SUM(L863,Q863,V863,AA863,AF863,AK863,AP863,AU863)+AX863/_xlfn.XLOOKUP(_xlfn.XLOOKUP($F863,Clientes!$B$4:$B$39,Clientes!$C$4:$C$39),Cadastros!$L$6:$L$12,Cadastros!$M$6:$M$12)+IF($F863="Bernardino Furlan",AY863/2751.92,IF($F863="Mauro José Salanti",AY863/2751.92,AY863/3356)),F863&lt;&gt;0,SUM(L863,Q863,V863,AA863,AF863,AK863,AP863,AU863)))*(1-0.03),_xlfn.IFS(AW863="SIM",SUM(L863,Q863,V863,AA863,AF863,AK863,AP863,AU863)+AX863/_xlfn.XLOOKUP(_xlfn.XLOOKUP($F863,Clientes!$B$4:$B$39,Clientes!$C$4:$C$39),Cadastros!$L$6:$L$12,Cadastros!$M$6:$M$12)+IF($F863="Bernardino Furlan",AY863/2751.92,IF($F863="Mauro José Salanti",AY863/2751.92,AY863/3356)),F863&lt;&gt;0,SUM(L863,Q863,V863,AA863,AF863,AK863,AP863,AU863))))</f>
        <v xml:space="preserve"> </v>
      </c>
      <c r="BE863" s="120"/>
      <c r="BF863" s="120"/>
      <c r="BG863" s="120"/>
    </row>
    <row r="864" spans="1:59" s="3" customFormat="1" x14ac:dyDescent="0.3">
      <c r="A864" s="15" t="str">
        <f t="shared" si="169"/>
        <v/>
      </c>
      <c r="B864" s="25"/>
      <c r="C864" s="26"/>
      <c r="D864" s="279"/>
      <c r="E864" s="27"/>
      <c r="F864" s="28"/>
      <c r="G864" s="27"/>
      <c r="H864" s="28"/>
      <c r="I864" s="28"/>
      <c r="J864" s="255" t="str">
        <f>IF(H864="","",(_xlfn.XLOOKUP(H864,Cadastros!$D$6:$D$90,Cadastros!$E$6:$E$90))*(1-_xlfn.XLOOKUP(_xlfn.XLOOKUP($F864,Clientes!$B$4:$B$39,Clientes!$C$4:$C$39),Cadastros!$L$6:$L$12,Cadastros!$N$6:$N$12)))</f>
        <v/>
      </c>
      <c r="K864" s="168" t="str">
        <f t="shared" si="170"/>
        <v/>
      </c>
      <c r="L864" s="168" t="str">
        <f>IFERROR(K864/_xlfn.XLOOKUP(_xlfn.XLOOKUP($F864,Clientes!$B$4:$B$39,Clientes!$C$4:$C$39),Cadastros!$L$6:$L$12,Cadastros!$M$6:$M$12)," ")</f>
        <v xml:space="preserve"> </v>
      </c>
      <c r="M864" s="28"/>
      <c r="N864" s="28"/>
      <c r="O864" s="255" t="str">
        <f>IF(M864="","",(_xlfn.XLOOKUP(M864,Cadastros!$D$6:$D$90,Cadastros!$E$6:$E$90))*(1-_xlfn.XLOOKUP(_xlfn.XLOOKUP($F864,Clientes!$B$4:$B$39,Clientes!$C$4:$C$39),Cadastros!$L$6:$L$12,Cadastros!$N$6:$N$12)))</f>
        <v/>
      </c>
      <c r="P864" s="168" t="str">
        <f t="shared" si="171"/>
        <v/>
      </c>
      <c r="Q864" s="168" t="str">
        <f>IFERROR(P864/_xlfn.XLOOKUP(_xlfn.XLOOKUP($F864,Clientes!$B$4:$B$39,Clientes!$C$4:$C$39),Cadastros!$L$6:$L$12,Cadastros!$M$6:$M$12)," ")</f>
        <v xml:space="preserve"> </v>
      </c>
      <c r="R864" s="28"/>
      <c r="S864" s="28"/>
      <c r="T864" s="255" t="str">
        <f>IF(R864="","",(_xlfn.XLOOKUP(R864,Cadastros!$D$6:$D$90,Cadastros!$E$6:$E$90))*(1-_xlfn.XLOOKUP(_xlfn.XLOOKUP($F864,Clientes!$B$4:$B$39,Clientes!$C$4:$C$39),Cadastros!$L$6:$L$12,Cadastros!$N$6:$N$12)))</f>
        <v/>
      </c>
      <c r="U864" s="168" t="str">
        <f t="shared" si="172"/>
        <v/>
      </c>
      <c r="V864" s="168" t="str">
        <f>IFERROR(U864/_xlfn.XLOOKUP(_xlfn.XLOOKUP($F864,Clientes!$B$4:$B$39,Clientes!$C$4:$C$39),Cadastros!$L$6:$L$12,Cadastros!$M$6:$M$12)," ")</f>
        <v xml:space="preserve"> </v>
      </c>
      <c r="W864" s="28"/>
      <c r="X864" s="28"/>
      <c r="Y864" s="255" t="str">
        <f>IF(W864="","",(_xlfn.XLOOKUP(W864,Cadastros!$D$6:$D$90,Cadastros!$E$6:$E$90))*(1-_xlfn.XLOOKUP(_xlfn.XLOOKUP($F864,Clientes!$B$4:$B$39,Clientes!$C$4:$C$39),Cadastros!$L$6:$L$12,Cadastros!$N$6:$N$12)))</f>
        <v/>
      </c>
      <c r="Z864" s="168" t="str">
        <f t="shared" si="173"/>
        <v/>
      </c>
      <c r="AA864" s="168" t="str">
        <f>IFERROR(Z864/_xlfn.XLOOKUP(_xlfn.XLOOKUP($F864,Clientes!$B$4:$B$39,Clientes!$C$4:$C$39),Cadastros!$L$6:$L$12,Cadastros!$M$6:$M$12)," ")</f>
        <v xml:space="preserve"> </v>
      </c>
      <c r="AB864" s="28"/>
      <c r="AC864" s="28"/>
      <c r="AD864" s="20" t="str">
        <f>IF(AB864="","",IF($F864="Bernardino Furlan",_xlfn.XLOOKUP(AB864,Cadastros!$G$6:$G$90,Cadastros!$H$6:$H$90)*(1-0.18),IF($F864="Mauro José Salanti",_xlfn.XLOOKUP(AB864,Cadastros!$G$6:$G$90,Cadastros!$H$6:$H$90)*(1-0.18),_xlfn.XLOOKUP(AB864,Cadastros!$G$6:$G$90,Cadastros!$H$6:$H$90))))</f>
        <v/>
      </c>
      <c r="AE864" s="168" t="str">
        <f t="shared" si="174"/>
        <v/>
      </c>
      <c r="AF864" s="168" t="str">
        <f t="shared" si="175"/>
        <v/>
      </c>
      <c r="AG864" s="28"/>
      <c r="AH864" s="28"/>
      <c r="AI864" s="20" t="str">
        <f>IF(AG864="","",IF($F864="Bernardino Furlan",_xlfn.XLOOKUP(AG864,Cadastros!$G$6:$G$90,Cadastros!$H$6:$H$90)*(1-0.18),IF($F864="Mauro José Salanti",_xlfn.XLOOKUP(AG864,Cadastros!$G$6:$G$90,Cadastros!$H$6:$H$90)*(1-0.18),_xlfn.XLOOKUP(AG864,Cadastros!$G$6:$G$90,Cadastros!$H$6:$H$90))))</f>
        <v/>
      </c>
      <c r="AJ864" s="168" t="str">
        <f t="shared" si="176"/>
        <v/>
      </c>
      <c r="AK864" s="168" t="str">
        <f t="shared" si="177"/>
        <v/>
      </c>
      <c r="AL864" s="28"/>
      <c r="AM864" s="28"/>
      <c r="AN864" s="20" t="str">
        <f>IF(AL864="","",IF($F864="Bernardino Furlan",_xlfn.XLOOKUP(AL864,Cadastros!$G$6:$G$90,Cadastros!$H$6:$H$90)*(1-0.18),IF($F864="Mauro José Salanti",_xlfn.XLOOKUP(AL864,Cadastros!$G$6:$G$90,Cadastros!$H$6:$H$90)*(1-0.18),_xlfn.XLOOKUP(AL864,Cadastros!$G$6:$G$90,Cadastros!$H$6:$H$90))))</f>
        <v/>
      </c>
      <c r="AO864" s="168" t="str">
        <f t="shared" si="178"/>
        <v/>
      </c>
      <c r="AP864" s="168" t="str">
        <f t="shared" si="179"/>
        <v/>
      </c>
      <c r="AQ864" s="28"/>
      <c r="AR864" s="28"/>
      <c r="AS864" s="20" t="str">
        <f>IF(AQ864="","",IF($F864="Bernardino Furlan",_xlfn.XLOOKUP(AQ864,Cadastros!$G$6:$G$90,Cadastros!$H$6:$H$90)*(1-0.18),IF($F864="Mauro José Salanti",_xlfn.XLOOKUP(AQ864,Cadastros!$G$6:$G$90,Cadastros!$H$6:$H$90)*(1-0.18),_xlfn.XLOOKUP(AQ864,Cadastros!$G$6:$G$90,Cadastros!$H$6:$H$90))))</f>
        <v/>
      </c>
      <c r="AT864" s="168" t="str">
        <f t="shared" si="180"/>
        <v/>
      </c>
      <c r="AU864" s="168" t="str">
        <f t="shared" si="181"/>
        <v/>
      </c>
      <c r="AV864" s="227"/>
      <c r="AW864" s="30"/>
      <c r="AX864" s="267"/>
      <c r="AY864" s="267"/>
      <c r="AZ864" s="29"/>
      <c r="BA864" s="30"/>
      <c r="BB864" s="23" t="str" cm="1">
        <f t="array" ref="BB864">_xlfn.IFS(AW864="SIM",SUM(K864,P864,U864,Z864,AE864,AJ864,AO864,AT864,AX864,AY864),F864&lt;&gt;"",SUM(K864,P864,U864,Z864,AE864,AJ864,,AO864,AT864),F864="","")</f>
        <v/>
      </c>
      <c r="BC864" s="211" t="str" cm="1">
        <f t="array" ref="BC864">_xlfn.IFS(E864="","",G864&lt;=E864,BB864*(1-0.03),G864&lt;(E864+8),BB864,AZ864="Boleto",BB864*(1+0.001)^DATEDIF(E864,G864,"D"),AZ864="Cheque",BB864,AZ864="Dinheiro","Alterar forma pgto")</f>
        <v/>
      </c>
      <c r="BD864" s="276" t="str" cm="1">
        <f t="array" ref="BD864">IF(F864=0," ",IF(BC864&lt;BB864,(_xlfn.IFS(AW864="SIM",SUM(L864,Q864,V864,AA864,AF864,AK864,AP864,AU864)+AX864/_xlfn.XLOOKUP(_xlfn.XLOOKUP($F864,Clientes!$B$4:$B$39,Clientes!$C$4:$C$39),Cadastros!$L$6:$L$12,Cadastros!$M$6:$M$12)+IF($F864="Bernardino Furlan",AY864/2751.92,IF($F864="Mauro José Salanti",AY864/2751.92,AY864/3356)),F864&lt;&gt;0,SUM(L864,Q864,V864,AA864,AF864,AK864,AP864,AU864)))*(1-0.03),_xlfn.IFS(AW864="SIM",SUM(L864,Q864,V864,AA864,AF864,AK864,AP864,AU864)+AX864/_xlfn.XLOOKUP(_xlfn.XLOOKUP($F864,Clientes!$B$4:$B$39,Clientes!$C$4:$C$39),Cadastros!$L$6:$L$12,Cadastros!$M$6:$M$12)+IF($F864="Bernardino Furlan",AY864/2751.92,IF($F864="Mauro José Salanti",AY864/2751.92,AY864/3356)),F864&lt;&gt;0,SUM(L864,Q864,V864,AA864,AF864,AK864,AP864,AU864))))</f>
        <v xml:space="preserve"> </v>
      </c>
      <c r="BE864" s="120"/>
      <c r="BF864" s="120"/>
      <c r="BG864" s="120"/>
    </row>
    <row r="865" spans="1:59" s="3" customFormat="1" x14ac:dyDescent="0.3">
      <c r="A865" s="15" t="str">
        <f t="shared" si="169"/>
        <v/>
      </c>
      <c r="B865" s="25"/>
      <c r="C865" s="26"/>
      <c r="D865" s="279"/>
      <c r="E865" s="27"/>
      <c r="F865" s="28"/>
      <c r="G865" s="27"/>
      <c r="H865" s="28"/>
      <c r="I865" s="28"/>
      <c r="J865" s="255" t="str">
        <f>IF(H865="","",(_xlfn.XLOOKUP(H865,Cadastros!$D$6:$D$90,Cadastros!$E$6:$E$90))*(1-_xlfn.XLOOKUP(_xlfn.XLOOKUP($F865,Clientes!$B$4:$B$39,Clientes!$C$4:$C$39),Cadastros!$L$6:$L$12,Cadastros!$N$6:$N$12)))</f>
        <v/>
      </c>
      <c r="K865" s="168" t="str">
        <f t="shared" si="170"/>
        <v/>
      </c>
      <c r="L865" s="168" t="str">
        <f>IFERROR(K865/_xlfn.XLOOKUP(_xlfn.XLOOKUP($F865,Clientes!$B$4:$B$39,Clientes!$C$4:$C$39),Cadastros!$L$6:$L$12,Cadastros!$M$6:$M$12)," ")</f>
        <v xml:space="preserve"> </v>
      </c>
      <c r="M865" s="28"/>
      <c r="N865" s="28"/>
      <c r="O865" s="255" t="str">
        <f>IF(M865="","",(_xlfn.XLOOKUP(M865,Cadastros!$D$6:$D$90,Cadastros!$E$6:$E$90))*(1-_xlfn.XLOOKUP(_xlfn.XLOOKUP($F865,Clientes!$B$4:$B$39,Clientes!$C$4:$C$39),Cadastros!$L$6:$L$12,Cadastros!$N$6:$N$12)))</f>
        <v/>
      </c>
      <c r="P865" s="168" t="str">
        <f t="shared" si="171"/>
        <v/>
      </c>
      <c r="Q865" s="168" t="str">
        <f>IFERROR(P865/_xlfn.XLOOKUP(_xlfn.XLOOKUP($F865,Clientes!$B$4:$B$39,Clientes!$C$4:$C$39),Cadastros!$L$6:$L$12,Cadastros!$M$6:$M$12)," ")</f>
        <v xml:space="preserve"> </v>
      </c>
      <c r="R865" s="28"/>
      <c r="S865" s="28"/>
      <c r="T865" s="255" t="str">
        <f>IF(R865="","",(_xlfn.XLOOKUP(R865,Cadastros!$D$6:$D$90,Cadastros!$E$6:$E$90))*(1-_xlfn.XLOOKUP(_xlfn.XLOOKUP($F865,Clientes!$B$4:$B$39,Clientes!$C$4:$C$39),Cadastros!$L$6:$L$12,Cadastros!$N$6:$N$12)))</f>
        <v/>
      </c>
      <c r="U865" s="168" t="str">
        <f t="shared" si="172"/>
        <v/>
      </c>
      <c r="V865" s="168" t="str">
        <f>IFERROR(U865/_xlfn.XLOOKUP(_xlfn.XLOOKUP($F865,Clientes!$B$4:$B$39,Clientes!$C$4:$C$39),Cadastros!$L$6:$L$12,Cadastros!$M$6:$M$12)," ")</f>
        <v xml:space="preserve"> </v>
      </c>
      <c r="W865" s="28"/>
      <c r="X865" s="28"/>
      <c r="Y865" s="255" t="str">
        <f>IF(W865="","",(_xlfn.XLOOKUP(W865,Cadastros!$D$6:$D$90,Cadastros!$E$6:$E$90))*(1-_xlfn.XLOOKUP(_xlfn.XLOOKUP($F865,Clientes!$B$4:$B$39,Clientes!$C$4:$C$39),Cadastros!$L$6:$L$12,Cadastros!$N$6:$N$12)))</f>
        <v/>
      </c>
      <c r="Z865" s="168" t="str">
        <f t="shared" si="173"/>
        <v/>
      </c>
      <c r="AA865" s="168" t="str">
        <f>IFERROR(Z865/_xlfn.XLOOKUP(_xlfn.XLOOKUP($F865,Clientes!$B$4:$B$39,Clientes!$C$4:$C$39),Cadastros!$L$6:$L$12,Cadastros!$M$6:$M$12)," ")</f>
        <v xml:space="preserve"> </v>
      </c>
      <c r="AB865" s="28"/>
      <c r="AC865" s="28"/>
      <c r="AD865" s="20" t="str">
        <f>IF(AB865="","",IF($F865="Bernardino Furlan",_xlfn.XLOOKUP(AB865,Cadastros!$G$6:$G$90,Cadastros!$H$6:$H$90)*(1-0.18),IF($F865="Mauro José Salanti",_xlfn.XLOOKUP(AB865,Cadastros!$G$6:$G$90,Cadastros!$H$6:$H$90)*(1-0.18),_xlfn.XLOOKUP(AB865,Cadastros!$G$6:$G$90,Cadastros!$H$6:$H$90))))</f>
        <v/>
      </c>
      <c r="AE865" s="168" t="str">
        <f t="shared" si="174"/>
        <v/>
      </c>
      <c r="AF865" s="168" t="str">
        <f t="shared" si="175"/>
        <v/>
      </c>
      <c r="AG865" s="28"/>
      <c r="AH865" s="28"/>
      <c r="AI865" s="20" t="str">
        <f>IF(AG865="","",IF($F865="Bernardino Furlan",_xlfn.XLOOKUP(AG865,Cadastros!$G$6:$G$90,Cadastros!$H$6:$H$90)*(1-0.18),IF($F865="Mauro José Salanti",_xlfn.XLOOKUP(AG865,Cadastros!$G$6:$G$90,Cadastros!$H$6:$H$90)*(1-0.18),_xlfn.XLOOKUP(AG865,Cadastros!$G$6:$G$90,Cadastros!$H$6:$H$90))))</f>
        <v/>
      </c>
      <c r="AJ865" s="168" t="str">
        <f t="shared" si="176"/>
        <v/>
      </c>
      <c r="AK865" s="168" t="str">
        <f t="shared" si="177"/>
        <v/>
      </c>
      <c r="AL865" s="28"/>
      <c r="AM865" s="28"/>
      <c r="AN865" s="20" t="str">
        <f>IF(AL865="","",IF($F865="Bernardino Furlan",_xlfn.XLOOKUP(AL865,Cadastros!$G$6:$G$90,Cadastros!$H$6:$H$90)*(1-0.18),IF($F865="Mauro José Salanti",_xlfn.XLOOKUP(AL865,Cadastros!$G$6:$G$90,Cadastros!$H$6:$H$90)*(1-0.18),_xlfn.XLOOKUP(AL865,Cadastros!$G$6:$G$90,Cadastros!$H$6:$H$90))))</f>
        <v/>
      </c>
      <c r="AO865" s="168" t="str">
        <f t="shared" si="178"/>
        <v/>
      </c>
      <c r="AP865" s="168" t="str">
        <f t="shared" si="179"/>
        <v/>
      </c>
      <c r="AQ865" s="28"/>
      <c r="AR865" s="28"/>
      <c r="AS865" s="20" t="str">
        <f>IF(AQ865="","",IF($F865="Bernardino Furlan",_xlfn.XLOOKUP(AQ865,Cadastros!$G$6:$G$90,Cadastros!$H$6:$H$90)*(1-0.18),IF($F865="Mauro José Salanti",_xlfn.XLOOKUP(AQ865,Cadastros!$G$6:$G$90,Cadastros!$H$6:$H$90)*(1-0.18),_xlfn.XLOOKUP(AQ865,Cadastros!$G$6:$G$90,Cadastros!$H$6:$H$90))))</f>
        <v/>
      </c>
      <c r="AT865" s="168" t="str">
        <f t="shared" si="180"/>
        <v/>
      </c>
      <c r="AU865" s="168" t="str">
        <f t="shared" si="181"/>
        <v/>
      </c>
      <c r="AV865" s="227"/>
      <c r="AW865" s="30"/>
      <c r="AX865" s="267"/>
      <c r="AY865" s="267"/>
      <c r="AZ865" s="29"/>
      <c r="BA865" s="30"/>
      <c r="BB865" s="23" t="str" cm="1">
        <f t="array" ref="BB865">_xlfn.IFS(AW865="SIM",SUM(K865,P865,U865,Z865,AE865,AJ865,AO865,AT865,AX865,AY865),F865&lt;&gt;"",SUM(K865,P865,U865,Z865,AE865,AJ865,,AO865,AT865),F865="","")</f>
        <v/>
      </c>
      <c r="BC865" s="211" t="str" cm="1">
        <f t="array" ref="BC865">_xlfn.IFS(E865="","",G865&lt;=E865,BB865*(1-0.03),G865&lt;(E865+8),BB865,AZ865="Boleto",BB865*(1+0.001)^DATEDIF(E865,G865,"D"),AZ865="Cheque",BB865,AZ865="Dinheiro","Alterar forma pgto")</f>
        <v/>
      </c>
      <c r="BD865" s="276" t="str" cm="1">
        <f t="array" ref="BD865">IF(F865=0," ",IF(BC865&lt;BB865,(_xlfn.IFS(AW865="SIM",SUM(L865,Q865,V865,AA865,AF865,AK865,AP865,AU865)+AX865/_xlfn.XLOOKUP(_xlfn.XLOOKUP($F865,Clientes!$B$4:$B$39,Clientes!$C$4:$C$39),Cadastros!$L$6:$L$12,Cadastros!$M$6:$M$12)+IF($F865="Bernardino Furlan",AY865/2751.92,IF($F865="Mauro José Salanti",AY865/2751.92,AY865/3356)),F865&lt;&gt;0,SUM(L865,Q865,V865,AA865,AF865,AK865,AP865,AU865)))*(1-0.03),_xlfn.IFS(AW865="SIM",SUM(L865,Q865,V865,AA865,AF865,AK865,AP865,AU865)+AX865/_xlfn.XLOOKUP(_xlfn.XLOOKUP($F865,Clientes!$B$4:$B$39,Clientes!$C$4:$C$39),Cadastros!$L$6:$L$12,Cadastros!$M$6:$M$12)+IF($F865="Bernardino Furlan",AY865/2751.92,IF($F865="Mauro José Salanti",AY865/2751.92,AY865/3356)),F865&lt;&gt;0,SUM(L865,Q865,V865,AA865,AF865,AK865,AP865,AU865))))</f>
        <v xml:space="preserve"> </v>
      </c>
      <c r="BE865" s="120"/>
      <c r="BF865" s="120"/>
      <c r="BG865" s="120"/>
    </row>
    <row r="866" spans="1:59" s="3" customFormat="1" x14ac:dyDescent="0.3">
      <c r="A866" s="15" t="str">
        <f t="shared" si="169"/>
        <v/>
      </c>
      <c r="B866" s="25"/>
      <c r="C866" s="26"/>
      <c r="D866" s="279"/>
      <c r="E866" s="27"/>
      <c r="F866" s="28"/>
      <c r="G866" s="27"/>
      <c r="H866" s="28"/>
      <c r="I866" s="28"/>
      <c r="J866" s="255" t="str">
        <f>IF(H866="","",(_xlfn.XLOOKUP(H866,Cadastros!$D$6:$D$90,Cadastros!$E$6:$E$90))*(1-_xlfn.XLOOKUP(_xlfn.XLOOKUP($F866,Clientes!$B$4:$B$39,Clientes!$C$4:$C$39),Cadastros!$L$6:$L$12,Cadastros!$N$6:$N$12)))</f>
        <v/>
      </c>
      <c r="K866" s="168" t="str">
        <f t="shared" si="170"/>
        <v/>
      </c>
      <c r="L866" s="168" t="str">
        <f>IFERROR(K866/_xlfn.XLOOKUP(_xlfn.XLOOKUP($F866,Clientes!$B$4:$B$39,Clientes!$C$4:$C$39),Cadastros!$L$6:$L$12,Cadastros!$M$6:$M$12)," ")</f>
        <v xml:space="preserve"> </v>
      </c>
      <c r="M866" s="28"/>
      <c r="N866" s="28"/>
      <c r="O866" s="255" t="str">
        <f>IF(M866="","",(_xlfn.XLOOKUP(M866,Cadastros!$D$6:$D$90,Cadastros!$E$6:$E$90))*(1-_xlfn.XLOOKUP(_xlfn.XLOOKUP($F866,Clientes!$B$4:$B$39,Clientes!$C$4:$C$39),Cadastros!$L$6:$L$12,Cadastros!$N$6:$N$12)))</f>
        <v/>
      </c>
      <c r="P866" s="168" t="str">
        <f t="shared" si="171"/>
        <v/>
      </c>
      <c r="Q866" s="168" t="str">
        <f>IFERROR(P866/_xlfn.XLOOKUP(_xlfn.XLOOKUP($F866,Clientes!$B$4:$B$39,Clientes!$C$4:$C$39),Cadastros!$L$6:$L$12,Cadastros!$M$6:$M$12)," ")</f>
        <v xml:space="preserve"> </v>
      </c>
      <c r="R866" s="28"/>
      <c r="S866" s="28"/>
      <c r="T866" s="255" t="str">
        <f>IF(R866="","",(_xlfn.XLOOKUP(R866,Cadastros!$D$6:$D$90,Cadastros!$E$6:$E$90))*(1-_xlfn.XLOOKUP(_xlfn.XLOOKUP($F866,Clientes!$B$4:$B$39,Clientes!$C$4:$C$39),Cadastros!$L$6:$L$12,Cadastros!$N$6:$N$12)))</f>
        <v/>
      </c>
      <c r="U866" s="168" t="str">
        <f t="shared" si="172"/>
        <v/>
      </c>
      <c r="V866" s="168" t="str">
        <f>IFERROR(U866/_xlfn.XLOOKUP(_xlfn.XLOOKUP($F866,Clientes!$B$4:$B$39,Clientes!$C$4:$C$39),Cadastros!$L$6:$L$12,Cadastros!$M$6:$M$12)," ")</f>
        <v xml:space="preserve"> </v>
      </c>
      <c r="W866" s="28"/>
      <c r="X866" s="28"/>
      <c r="Y866" s="255" t="str">
        <f>IF(W866="","",(_xlfn.XLOOKUP(W866,Cadastros!$D$6:$D$90,Cadastros!$E$6:$E$90))*(1-_xlfn.XLOOKUP(_xlfn.XLOOKUP($F866,Clientes!$B$4:$B$39,Clientes!$C$4:$C$39),Cadastros!$L$6:$L$12,Cadastros!$N$6:$N$12)))</f>
        <v/>
      </c>
      <c r="Z866" s="168" t="str">
        <f t="shared" si="173"/>
        <v/>
      </c>
      <c r="AA866" s="168" t="str">
        <f>IFERROR(Z866/_xlfn.XLOOKUP(_xlfn.XLOOKUP($F866,Clientes!$B$4:$B$39,Clientes!$C$4:$C$39),Cadastros!$L$6:$L$12,Cadastros!$M$6:$M$12)," ")</f>
        <v xml:space="preserve"> </v>
      </c>
      <c r="AB866" s="28"/>
      <c r="AC866" s="28"/>
      <c r="AD866" s="20" t="str">
        <f>IF(AB866="","",IF($F866="Bernardino Furlan",_xlfn.XLOOKUP(AB866,Cadastros!$G$6:$G$90,Cadastros!$H$6:$H$90)*(1-0.18),IF($F866="Mauro José Salanti",_xlfn.XLOOKUP(AB866,Cadastros!$G$6:$G$90,Cadastros!$H$6:$H$90)*(1-0.18),_xlfn.XLOOKUP(AB866,Cadastros!$G$6:$G$90,Cadastros!$H$6:$H$90))))</f>
        <v/>
      </c>
      <c r="AE866" s="168" t="str">
        <f t="shared" si="174"/>
        <v/>
      </c>
      <c r="AF866" s="168" t="str">
        <f t="shared" si="175"/>
        <v/>
      </c>
      <c r="AG866" s="28"/>
      <c r="AH866" s="28"/>
      <c r="AI866" s="20" t="str">
        <f>IF(AG866="","",IF($F866="Bernardino Furlan",_xlfn.XLOOKUP(AG866,Cadastros!$G$6:$G$90,Cadastros!$H$6:$H$90)*(1-0.18),IF($F866="Mauro José Salanti",_xlfn.XLOOKUP(AG866,Cadastros!$G$6:$G$90,Cadastros!$H$6:$H$90)*(1-0.18),_xlfn.XLOOKUP(AG866,Cadastros!$G$6:$G$90,Cadastros!$H$6:$H$90))))</f>
        <v/>
      </c>
      <c r="AJ866" s="168" t="str">
        <f t="shared" si="176"/>
        <v/>
      </c>
      <c r="AK866" s="168" t="str">
        <f t="shared" si="177"/>
        <v/>
      </c>
      <c r="AL866" s="28"/>
      <c r="AM866" s="28"/>
      <c r="AN866" s="20" t="str">
        <f>IF(AL866="","",IF($F866="Bernardino Furlan",_xlfn.XLOOKUP(AL866,Cadastros!$G$6:$G$90,Cadastros!$H$6:$H$90)*(1-0.18),IF($F866="Mauro José Salanti",_xlfn.XLOOKUP(AL866,Cadastros!$G$6:$G$90,Cadastros!$H$6:$H$90)*(1-0.18),_xlfn.XLOOKUP(AL866,Cadastros!$G$6:$G$90,Cadastros!$H$6:$H$90))))</f>
        <v/>
      </c>
      <c r="AO866" s="168" t="str">
        <f t="shared" si="178"/>
        <v/>
      </c>
      <c r="AP866" s="168" t="str">
        <f t="shared" si="179"/>
        <v/>
      </c>
      <c r="AQ866" s="28"/>
      <c r="AR866" s="28"/>
      <c r="AS866" s="20" t="str">
        <f>IF(AQ866="","",IF($F866="Bernardino Furlan",_xlfn.XLOOKUP(AQ866,Cadastros!$G$6:$G$90,Cadastros!$H$6:$H$90)*(1-0.18),IF($F866="Mauro José Salanti",_xlfn.XLOOKUP(AQ866,Cadastros!$G$6:$G$90,Cadastros!$H$6:$H$90)*(1-0.18),_xlfn.XLOOKUP(AQ866,Cadastros!$G$6:$G$90,Cadastros!$H$6:$H$90))))</f>
        <v/>
      </c>
      <c r="AT866" s="168" t="str">
        <f t="shared" si="180"/>
        <v/>
      </c>
      <c r="AU866" s="168" t="str">
        <f t="shared" si="181"/>
        <v/>
      </c>
      <c r="AV866" s="227"/>
      <c r="AW866" s="30"/>
      <c r="AX866" s="267"/>
      <c r="AY866" s="267"/>
      <c r="AZ866" s="29"/>
      <c r="BA866" s="30"/>
      <c r="BB866" s="23" t="str" cm="1">
        <f t="array" ref="BB866">_xlfn.IFS(AW866="SIM",SUM(K866,P866,U866,Z866,AE866,AJ866,AO866,AT866,AX866,AY866),F866&lt;&gt;"",SUM(K866,P866,U866,Z866,AE866,AJ866,,AO866,AT866),F866="","")</f>
        <v/>
      </c>
      <c r="BC866" s="211" t="str" cm="1">
        <f t="array" ref="BC866">_xlfn.IFS(E866="","",G866&lt;=E866,BB866*(1-0.03),G866&lt;(E866+8),BB866,AZ866="Boleto",BB866*(1+0.001)^DATEDIF(E866,G866,"D"),AZ866="Cheque",BB866,AZ866="Dinheiro","Alterar forma pgto")</f>
        <v/>
      </c>
      <c r="BD866" s="276" t="str" cm="1">
        <f t="array" ref="BD866">IF(F866=0," ",IF(BC866&lt;BB866,(_xlfn.IFS(AW866="SIM",SUM(L866,Q866,V866,AA866,AF866,AK866,AP866,AU866)+AX866/_xlfn.XLOOKUP(_xlfn.XLOOKUP($F866,Clientes!$B$4:$B$39,Clientes!$C$4:$C$39),Cadastros!$L$6:$L$12,Cadastros!$M$6:$M$12)+IF($F866="Bernardino Furlan",AY866/2751.92,IF($F866="Mauro José Salanti",AY866/2751.92,AY866/3356)),F866&lt;&gt;0,SUM(L866,Q866,V866,AA866,AF866,AK866,AP866,AU866)))*(1-0.03),_xlfn.IFS(AW866="SIM",SUM(L866,Q866,V866,AA866,AF866,AK866,AP866,AU866)+AX866/_xlfn.XLOOKUP(_xlfn.XLOOKUP($F866,Clientes!$B$4:$B$39,Clientes!$C$4:$C$39),Cadastros!$L$6:$L$12,Cadastros!$M$6:$M$12)+IF($F866="Bernardino Furlan",AY866/2751.92,IF($F866="Mauro José Salanti",AY866/2751.92,AY866/3356)),F866&lt;&gt;0,SUM(L866,Q866,V866,AA866,AF866,AK866,AP866,AU866))))</f>
        <v xml:space="preserve"> </v>
      </c>
      <c r="BE866" s="120"/>
      <c r="BF866" s="120"/>
      <c r="BG866" s="120"/>
    </row>
    <row r="867" spans="1:59" s="3" customFormat="1" x14ac:dyDescent="0.3">
      <c r="A867" s="15" t="str">
        <f t="shared" si="169"/>
        <v/>
      </c>
      <c r="B867" s="25"/>
      <c r="C867" s="26"/>
      <c r="D867" s="279"/>
      <c r="E867" s="27"/>
      <c r="F867" s="28"/>
      <c r="G867" s="27"/>
      <c r="H867" s="28"/>
      <c r="I867" s="28"/>
      <c r="J867" s="255" t="str">
        <f>IF(H867="","",(_xlfn.XLOOKUP(H867,Cadastros!$D$6:$D$90,Cadastros!$E$6:$E$90))*(1-_xlfn.XLOOKUP(_xlfn.XLOOKUP($F867,Clientes!$B$4:$B$39,Clientes!$C$4:$C$39),Cadastros!$L$6:$L$12,Cadastros!$N$6:$N$12)))</f>
        <v/>
      </c>
      <c r="K867" s="168" t="str">
        <f t="shared" si="170"/>
        <v/>
      </c>
      <c r="L867" s="168" t="str">
        <f>IFERROR(K867/_xlfn.XLOOKUP(_xlfn.XLOOKUP($F867,Clientes!$B$4:$B$39,Clientes!$C$4:$C$39),Cadastros!$L$6:$L$12,Cadastros!$M$6:$M$12)," ")</f>
        <v xml:space="preserve"> </v>
      </c>
      <c r="M867" s="28"/>
      <c r="N867" s="28"/>
      <c r="O867" s="255" t="str">
        <f>IF(M867="","",(_xlfn.XLOOKUP(M867,Cadastros!$D$6:$D$90,Cadastros!$E$6:$E$90))*(1-_xlfn.XLOOKUP(_xlfn.XLOOKUP($F867,Clientes!$B$4:$B$39,Clientes!$C$4:$C$39),Cadastros!$L$6:$L$12,Cadastros!$N$6:$N$12)))</f>
        <v/>
      </c>
      <c r="P867" s="168" t="str">
        <f t="shared" si="171"/>
        <v/>
      </c>
      <c r="Q867" s="168" t="str">
        <f>IFERROR(P867/_xlfn.XLOOKUP(_xlfn.XLOOKUP($F867,Clientes!$B$4:$B$39,Clientes!$C$4:$C$39),Cadastros!$L$6:$L$12,Cadastros!$M$6:$M$12)," ")</f>
        <v xml:space="preserve"> </v>
      </c>
      <c r="R867" s="28"/>
      <c r="S867" s="28"/>
      <c r="T867" s="255" t="str">
        <f>IF(R867="","",(_xlfn.XLOOKUP(R867,Cadastros!$D$6:$D$90,Cadastros!$E$6:$E$90))*(1-_xlfn.XLOOKUP(_xlfn.XLOOKUP($F867,Clientes!$B$4:$B$39,Clientes!$C$4:$C$39),Cadastros!$L$6:$L$12,Cadastros!$N$6:$N$12)))</f>
        <v/>
      </c>
      <c r="U867" s="168" t="str">
        <f t="shared" si="172"/>
        <v/>
      </c>
      <c r="V867" s="168" t="str">
        <f>IFERROR(U867/_xlfn.XLOOKUP(_xlfn.XLOOKUP($F867,Clientes!$B$4:$B$39,Clientes!$C$4:$C$39),Cadastros!$L$6:$L$12,Cadastros!$M$6:$M$12)," ")</f>
        <v xml:space="preserve"> </v>
      </c>
      <c r="W867" s="28"/>
      <c r="X867" s="28"/>
      <c r="Y867" s="255" t="str">
        <f>IF(W867="","",(_xlfn.XLOOKUP(W867,Cadastros!$D$6:$D$90,Cadastros!$E$6:$E$90))*(1-_xlfn.XLOOKUP(_xlfn.XLOOKUP($F867,Clientes!$B$4:$B$39,Clientes!$C$4:$C$39),Cadastros!$L$6:$L$12,Cadastros!$N$6:$N$12)))</f>
        <v/>
      </c>
      <c r="Z867" s="168" t="str">
        <f t="shared" si="173"/>
        <v/>
      </c>
      <c r="AA867" s="168" t="str">
        <f>IFERROR(Z867/_xlfn.XLOOKUP(_xlfn.XLOOKUP($F867,Clientes!$B$4:$B$39,Clientes!$C$4:$C$39),Cadastros!$L$6:$L$12,Cadastros!$M$6:$M$12)," ")</f>
        <v xml:space="preserve"> </v>
      </c>
      <c r="AB867" s="28"/>
      <c r="AC867" s="28"/>
      <c r="AD867" s="20" t="str">
        <f>IF(AB867="","",IF($F867="Bernardino Furlan",_xlfn.XLOOKUP(AB867,Cadastros!$G$6:$G$90,Cadastros!$H$6:$H$90)*(1-0.18),IF($F867="Mauro José Salanti",_xlfn.XLOOKUP(AB867,Cadastros!$G$6:$G$90,Cadastros!$H$6:$H$90)*(1-0.18),_xlfn.XLOOKUP(AB867,Cadastros!$G$6:$G$90,Cadastros!$H$6:$H$90))))</f>
        <v/>
      </c>
      <c r="AE867" s="168" t="str">
        <f t="shared" si="174"/>
        <v/>
      </c>
      <c r="AF867" s="168" t="str">
        <f t="shared" si="175"/>
        <v/>
      </c>
      <c r="AG867" s="28"/>
      <c r="AH867" s="28"/>
      <c r="AI867" s="20" t="str">
        <f>IF(AG867="","",IF($F867="Bernardino Furlan",_xlfn.XLOOKUP(AG867,Cadastros!$G$6:$G$90,Cadastros!$H$6:$H$90)*(1-0.18),IF($F867="Mauro José Salanti",_xlfn.XLOOKUP(AG867,Cadastros!$G$6:$G$90,Cadastros!$H$6:$H$90)*(1-0.18),_xlfn.XLOOKUP(AG867,Cadastros!$G$6:$G$90,Cadastros!$H$6:$H$90))))</f>
        <v/>
      </c>
      <c r="AJ867" s="168" t="str">
        <f t="shared" si="176"/>
        <v/>
      </c>
      <c r="AK867" s="168" t="str">
        <f t="shared" si="177"/>
        <v/>
      </c>
      <c r="AL867" s="28"/>
      <c r="AM867" s="28"/>
      <c r="AN867" s="20" t="str">
        <f>IF(AL867="","",IF($F867="Bernardino Furlan",_xlfn.XLOOKUP(AL867,Cadastros!$G$6:$G$90,Cadastros!$H$6:$H$90)*(1-0.18),IF($F867="Mauro José Salanti",_xlfn.XLOOKUP(AL867,Cadastros!$G$6:$G$90,Cadastros!$H$6:$H$90)*(1-0.18),_xlfn.XLOOKUP(AL867,Cadastros!$G$6:$G$90,Cadastros!$H$6:$H$90))))</f>
        <v/>
      </c>
      <c r="AO867" s="168" t="str">
        <f t="shared" si="178"/>
        <v/>
      </c>
      <c r="AP867" s="168" t="str">
        <f t="shared" si="179"/>
        <v/>
      </c>
      <c r="AQ867" s="28"/>
      <c r="AR867" s="28"/>
      <c r="AS867" s="20" t="str">
        <f>IF(AQ867="","",IF($F867="Bernardino Furlan",_xlfn.XLOOKUP(AQ867,Cadastros!$G$6:$G$90,Cadastros!$H$6:$H$90)*(1-0.18),IF($F867="Mauro José Salanti",_xlfn.XLOOKUP(AQ867,Cadastros!$G$6:$G$90,Cadastros!$H$6:$H$90)*(1-0.18),_xlfn.XLOOKUP(AQ867,Cadastros!$G$6:$G$90,Cadastros!$H$6:$H$90))))</f>
        <v/>
      </c>
      <c r="AT867" s="168" t="str">
        <f t="shared" si="180"/>
        <v/>
      </c>
      <c r="AU867" s="168" t="str">
        <f t="shared" si="181"/>
        <v/>
      </c>
      <c r="AV867" s="227"/>
      <c r="AW867" s="30"/>
      <c r="AX867" s="267"/>
      <c r="AY867" s="267"/>
      <c r="AZ867" s="29"/>
      <c r="BA867" s="30"/>
      <c r="BB867" s="23" t="str" cm="1">
        <f t="array" ref="BB867">_xlfn.IFS(AW867="SIM",SUM(K867,P867,U867,Z867,AE867,AJ867,AO867,AT867,AX867,AY867),F867&lt;&gt;"",SUM(K867,P867,U867,Z867,AE867,AJ867,,AO867,AT867),F867="","")</f>
        <v/>
      </c>
      <c r="BC867" s="211" t="str" cm="1">
        <f t="array" ref="BC867">_xlfn.IFS(E867="","",G867&lt;=E867,BB867*(1-0.03),G867&lt;(E867+8),BB867,AZ867="Boleto",BB867*(1+0.001)^DATEDIF(E867,G867,"D"),AZ867="Cheque",BB867,AZ867="Dinheiro","Alterar forma pgto")</f>
        <v/>
      </c>
      <c r="BD867" s="276" t="str" cm="1">
        <f t="array" ref="BD867">IF(F867=0," ",IF(BC867&lt;BB867,(_xlfn.IFS(AW867="SIM",SUM(L867,Q867,V867,AA867,AF867,AK867,AP867,AU867)+AX867/_xlfn.XLOOKUP(_xlfn.XLOOKUP($F867,Clientes!$B$4:$B$39,Clientes!$C$4:$C$39),Cadastros!$L$6:$L$12,Cadastros!$M$6:$M$12)+IF($F867="Bernardino Furlan",AY867/2751.92,IF($F867="Mauro José Salanti",AY867/2751.92,AY867/3356)),F867&lt;&gt;0,SUM(L867,Q867,V867,AA867,AF867,AK867,AP867,AU867)))*(1-0.03),_xlfn.IFS(AW867="SIM",SUM(L867,Q867,V867,AA867,AF867,AK867,AP867,AU867)+AX867/_xlfn.XLOOKUP(_xlfn.XLOOKUP($F867,Clientes!$B$4:$B$39,Clientes!$C$4:$C$39),Cadastros!$L$6:$L$12,Cadastros!$M$6:$M$12)+IF($F867="Bernardino Furlan",AY867/2751.92,IF($F867="Mauro José Salanti",AY867/2751.92,AY867/3356)),F867&lt;&gt;0,SUM(L867,Q867,V867,AA867,AF867,AK867,AP867,AU867))))</f>
        <v xml:space="preserve"> </v>
      </c>
      <c r="BE867" s="120"/>
      <c r="BF867" s="120"/>
      <c r="BG867" s="120"/>
    </row>
    <row r="868" spans="1:59" s="3" customFormat="1" x14ac:dyDescent="0.3">
      <c r="A868" s="15" t="str">
        <f t="shared" si="169"/>
        <v/>
      </c>
      <c r="B868" s="25"/>
      <c r="C868" s="26"/>
      <c r="D868" s="279"/>
      <c r="E868" s="27"/>
      <c r="F868" s="28"/>
      <c r="G868" s="27"/>
      <c r="H868" s="28"/>
      <c r="I868" s="28"/>
      <c r="J868" s="255" t="str">
        <f>IF(H868="","",(_xlfn.XLOOKUP(H868,Cadastros!$D$6:$D$90,Cadastros!$E$6:$E$90))*(1-_xlfn.XLOOKUP(_xlfn.XLOOKUP($F868,Clientes!$B$4:$B$39,Clientes!$C$4:$C$39),Cadastros!$L$6:$L$12,Cadastros!$N$6:$N$12)))</f>
        <v/>
      </c>
      <c r="K868" s="168" t="str">
        <f t="shared" si="170"/>
        <v/>
      </c>
      <c r="L868" s="168" t="str">
        <f>IFERROR(K868/_xlfn.XLOOKUP(_xlfn.XLOOKUP($F868,Clientes!$B$4:$B$39,Clientes!$C$4:$C$39),Cadastros!$L$6:$L$12,Cadastros!$M$6:$M$12)," ")</f>
        <v xml:space="preserve"> </v>
      </c>
      <c r="M868" s="28"/>
      <c r="N868" s="28"/>
      <c r="O868" s="255" t="str">
        <f>IF(M868="","",(_xlfn.XLOOKUP(M868,Cadastros!$D$6:$D$90,Cadastros!$E$6:$E$90))*(1-_xlfn.XLOOKUP(_xlfn.XLOOKUP($F868,Clientes!$B$4:$B$39,Clientes!$C$4:$C$39),Cadastros!$L$6:$L$12,Cadastros!$N$6:$N$12)))</f>
        <v/>
      </c>
      <c r="P868" s="168" t="str">
        <f t="shared" si="171"/>
        <v/>
      </c>
      <c r="Q868" s="168" t="str">
        <f>IFERROR(P868/_xlfn.XLOOKUP(_xlfn.XLOOKUP($F868,Clientes!$B$4:$B$39,Clientes!$C$4:$C$39),Cadastros!$L$6:$L$12,Cadastros!$M$6:$M$12)," ")</f>
        <v xml:space="preserve"> </v>
      </c>
      <c r="R868" s="28"/>
      <c r="S868" s="28"/>
      <c r="T868" s="255" t="str">
        <f>IF(R868="","",(_xlfn.XLOOKUP(R868,Cadastros!$D$6:$D$90,Cadastros!$E$6:$E$90))*(1-_xlfn.XLOOKUP(_xlfn.XLOOKUP($F868,Clientes!$B$4:$B$39,Clientes!$C$4:$C$39),Cadastros!$L$6:$L$12,Cadastros!$N$6:$N$12)))</f>
        <v/>
      </c>
      <c r="U868" s="168" t="str">
        <f t="shared" si="172"/>
        <v/>
      </c>
      <c r="V868" s="168" t="str">
        <f>IFERROR(U868/_xlfn.XLOOKUP(_xlfn.XLOOKUP($F868,Clientes!$B$4:$B$39,Clientes!$C$4:$C$39),Cadastros!$L$6:$L$12,Cadastros!$M$6:$M$12)," ")</f>
        <v xml:space="preserve"> </v>
      </c>
      <c r="W868" s="28"/>
      <c r="X868" s="28"/>
      <c r="Y868" s="255" t="str">
        <f>IF(W868="","",(_xlfn.XLOOKUP(W868,Cadastros!$D$6:$D$90,Cadastros!$E$6:$E$90))*(1-_xlfn.XLOOKUP(_xlfn.XLOOKUP($F868,Clientes!$B$4:$B$39,Clientes!$C$4:$C$39),Cadastros!$L$6:$L$12,Cadastros!$N$6:$N$12)))</f>
        <v/>
      </c>
      <c r="Z868" s="168" t="str">
        <f t="shared" si="173"/>
        <v/>
      </c>
      <c r="AA868" s="168" t="str">
        <f>IFERROR(Z868/_xlfn.XLOOKUP(_xlfn.XLOOKUP($F868,Clientes!$B$4:$B$39,Clientes!$C$4:$C$39),Cadastros!$L$6:$L$12,Cadastros!$M$6:$M$12)," ")</f>
        <v xml:space="preserve"> </v>
      </c>
      <c r="AB868" s="28"/>
      <c r="AC868" s="28"/>
      <c r="AD868" s="20" t="str">
        <f>IF(AB868="","",IF($F868="Bernardino Furlan",_xlfn.XLOOKUP(AB868,Cadastros!$G$6:$G$90,Cadastros!$H$6:$H$90)*(1-0.18),IF($F868="Mauro José Salanti",_xlfn.XLOOKUP(AB868,Cadastros!$G$6:$G$90,Cadastros!$H$6:$H$90)*(1-0.18),_xlfn.XLOOKUP(AB868,Cadastros!$G$6:$G$90,Cadastros!$H$6:$H$90))))</f>
        <v/>
      </c>
      <c r="AE868" s="168" t="str">
        <f t="shared" si="174"/>
        <v/>
      </c>
      <c r="AF868" s="168" t="str">
        <f t="shared" si="175"/>
        <v/>
      </c>
      <c r="AG868" s="28"/>
      <c r="AH868" s="28"/>
      <c r="AI868" s="20" t="str">
        <f>IF(AG868="","",IF($F868="Bernardino Furlan",_xlfn.XLOOKUP(AG868,Cadastros!$G$6:$G$90,Cadastros!$H$6:$H$90)*(1-0.18),IF($F868="Mauro José Salanti",_xlfn.XLOOKUP(AG868,Cadastros!$G$6:$G$90,Cadastros!$H$6:$H$90)*(1-0.18),_xlfn.XLOOKUP(AG868,Cadastros!$G$6:$G$90,Cadastros!$H$6:$H$90))))</f>
        <v/>
      </c>
      <c r="AJ868" s="168" t="str">
        <f t="shared" si="176"/>
        <v/>
      </c>
      <c r="AK868" s="168" t="str">
        <f t="shared" si="177"/>
        <v/>
      </c>
      <c r="AL868" s="28"/>
      <c r="AM868" s="28"/>
      <c r="AN868" s="20" t="str">
        <f>IF(AL868="","",IF($F868="Bernardino Furlan",_xlfn.XLOOKUP(AL868,Cadastros!$G$6:$G$90,Cadastros!$H$6:$H$90)*(1-0.18),IF($F868="Mauro José Salanti",_xlfn.XLOOKUP(AL868,Cadastros!$G$6:$G$90,Cadastros!$H$6:$H$90)*(1-0.18),_xlfn.XLOOKUP(AL868,Cadastros!$G$6:$G$90,Cadastros!$H$6:$H$90))))</f>
        <v/>
      </c>
      <c r="AO868" s="168" t="str">
        <f t="shared" si="178"/>
        <v/>
      </c>
      <c r="AP868" s="168" t="str">
        <f t="shared" si="179"/>
        <v/>
      </c>
      <c r="AQ868" s="28"/>
      <c r="AR868" s="28"/>
      <c r="AS868" s="20" t="str">
        <f>IF(AQ868="","",IF($F868="Bernardino Furlan",_xlfn.XLOOKUP(AQ868,Cadastros!$G$6:$G$90,Cadastros!$H$6:$H$90)*(1-0.18),IF($F868="Mauro José Salanti",_xlfn.XLOOKUP(AQ868,Cadastros!$G$6:$G$90,Cadastros!$H$6:$H$90)*(1-0.18),_xlfn.XLOOKUP(AQ868,Cadastros!$G$6:$G$90,Cadastros!$H$6:$H$90))))</f>
        <v/>
      </c>
      <c r="AT868" s="168" t="str">
        <f t="shared" si="180"/>
        <v/>
      </c>
      <c r="AU868" s="168" t="str">
        <f t="shared" si="181"/>
        <v/>
      </c>
      <c r="AV868" s="227"/>
      <c r="AW868" s="30"/>
      <c r="AX868" s="267"/>
      <c r="AY868" s="267"/>
      <c r="AZ868" s="29"/>
      <c r="BA868" s="30"/>
      <c r="BB868" s="23" t="str" cm="1">
        <f t="array" ref="BB868">_xlfn.IFS(AW868="SIM",SUM(K868,P868,U868,Z868,AE868,AJ868,AO868,AT868,AX868,AY868),F868&lt;&gt;"",SUM(K868,P868,U868,Z868,AE868,AJ868,,AO868,AT868),F868="","")</f>
        <v/>
      </c>
      <c r="BC868" s="211" t="str" cm="1">
        <f t="array" ref="BC868">_xlfn.IFS(E868="","",G868&lt;=E868,BB868*(1-0.03),G868&lt;(E868+8),BB868,AZ868="Boleto",BB868*(1+0.001)^DATEDIF(E868,G868,"D"),AZ868="Cheque",BB868,AZ868="Dinheiro","Alterar forma pgto")</f>
        <v/>
      </c>
      <c r="BD868" s="276" t="str" cm="1">
        <f t="array" ref="BD868">IF(F868=0," ",IF(BC868&lt;BB868,(_xlfn.IFS(AW868="SIM",SUM(L868,Q868,V868,AA868,AF868,AK868,AP868,AU868)+AX868/_xlfn.XLOOKUP(_xlfn.XLOOKUP($F868,Clientes!$B$4:$B$39,Clientes!$C$4:$C$39),Cadastros!$L$6:$L$12,Cadastros!$M$6:$M$12)+IF($F868="Bernardino Furlan",AY868/2751.92,IF($F868="Mauro José Salanti",AY868/2751.92,AY868/3356)),F868&lt;&gt;0,SUM(L868,Q868,V868,AA868,AF868,AK868,AP868,AU868)))*(1-0.03),_xlfn.IFS(AW868="SIM",SUM(L868,Q868,V868,AA868,AF868,AK868,AP868,AU868)+AX868/_xlfn.XLOOKUP(_xlfn.XLOOKUP($F868,Clientes!$B$4:$B$39,Clientes!$C$4:$C$39),Cadastros!$L$6:$L$12,Cadastros!$M$6:$M$12)+IF($F868="Bernardino Furlan",AY868/2751.92,IF($F868="Mauro José Salanti",AY868/2751.92,AY868/3356)),F868&lt;&gt;0,SUM(L868,Q868,V868,AA868,AF868,AK868,AP868,AU868))))</f>
        <v xml:space="preserve"> </v>
      </c>
      <c r="BE868" s="120"/>
      <c r="BF868" s="120"/>
      <c r="BG868" s="120"/>
    </row>
    <row r="869" spans="1:59" s="3" customFormat="1" x14ac:dyDescent="0.3">
      <c r="A869" s="15" t="str">
        <f t="shared" si="169"/>
        <v/>
      </c>
      <c r="B869" s="25"/>
      <c r="C869" s="26"/>
      <c r="D869" s="279"/>
      <c r="E869" s="27"/>
      <c r="F869" s="28"/>
      <c r="G869" s="27"/>
      <c r="H869" s="28"/>
      <c r="I869" s="28"/>
      <c r="J869" s="255" t="str">
        <f>IF(H869="","",(_xlfn.XLOOKUP(H869,Cadastros!$D$6:$D$90,Cadastros!$E$6:$E$90))*(1-_xlfn.XLOOKUP(_xlfn.XLOOKUP($F869,Clientes!$B$4:$B$39,Clientes!$C$4:$C$39),Cadastros!$L$6:$L$12,Cadastros!$N$6:$N$12)))</f>
        <v/>
      </c>
      <c r="K869" s="168" t="str">
        <f t="shared" si="170"/>
        <v/>
      </c>
      <c r="L869" s="168" t="str">
        <f>IFERROR(K869/_xlfn.XLOOKUP(_xlfn.XLOOKUP($F869,Clientes!$B$4:$B$39,Clientes!$C$4:$C$39),Cadastros!$L$6:$L$12,Cadastros!$M$6:$M$12)," ")</f>
        <v xml:space="preserve"> </v>
      </c>
      <c r="M869" s="28"/>
      <c r="N869" s="28"/>
      <c r="O869" s="255" t="str">
        <f>IF(M869="","",(_xlfn.XLOOKUP(M869,Cadastros!$D$6:$D$90,Cadastros!$E$6:$E$90))*(1-_xlfn.XLOOKUP(_xlfn.XLOOKUP($F869,Clientes!$B$4:$B$39,Clientes!$C$4:$C$39),Cadastros!$L$6:$L$12,Cadastros!$N$6:$N$12)))</f>
        <v/>
      </c>
      <c r="P869" s="168" t="str">
        <f t="shared" si="171"/>
        <v/>
      </c>
      <c r="Q869" s="168" t="str">
        <f>IFERROR(P869/_xlfn.XLOOKUP(_xlfn.XLOOKUP($F869,Clientes!$B$4:$B$39,Clientes!$C$4:$C$39),Cadastros!$L$6:$L$12,Cadastros!$M$6:$M$12)," ")</f>
        <v xml:space="preserve"> </v>
      </c>
      <c r="R869" s="28"/>
      <c r="S869" s="28"/>
      <c r="T869" s="255" t="str">
        <f>IF(R869="","",(_xlfn.XLOOKUP(R869,Cadastros!$D$6:$D$90,Cadastros!$E$6:$E$90))*(1-_xlfn.XLOOKUP(_xlfn.XLOOKUP($F869,Clientes!$B$4:$B$39,Clientes!$C$4:$C$39),Cadastros!$L$6:$L$12,Cadastros!$N$6:$N$12)))</f>
        <v/>
      </c>
      <c r="U869" s="168" t="str">
        <f t="shared" si="172"/>
        <v/>
      </c>
      <c r="V869" s="168" t="str">
        <f>IFERROR(U869/_xlfn.XLOOKUP(_xlfn.XLOOKUP($F869,Clientes!$B$4:$B$39,Clientes!$C$4:$C$39),Cadastros!$L$6:$L$12,Cadastros!$M$6:$M$12)," ")</f>
        <v xml:space="preserve"> </v>
      </c>
      <c r="W869" s="28"/>
      <c r="X869" s="28"/>
      <c r="Y869" s="255" t="str">
        <f>IF(W869="","",(_xlfn.XLOOKUP(W869,Cadastros!$D$6:$D$90,Cadastros!$E$6:$E$90))*(1-_xlfn.XLOOKUP(_xlfn.XLOOKUP($F869,Clientes!$B$4:$B$39,Clientes!$C$4:$C$39),Cadastros!$L$6:$L$12,Cadastros!$N$6:$N$12)))</f>
        <v/>
      </c>
      <c r="Z869" s="168" t="str">
        <f t="shared" si="173"/>
        <v/>
      </c>
      <c r="AA869" s="168" t="str">
        <f>IFERROR(Z869/_xlfn.XLOOKUP(_xlfn.XLOOKUP($F869,Clientes!$B$4:$B$39,Clientes!$C$4:$C$39),Cadastros!$L$6:$L$12,Cadastros!$M$6:$M$12)," ")</f>
        <v xml:space="preserve"> </v>
      </c>
      <c r="AB869" s="28"/>
      <c r="AC869" s="28"/>
      <c r="AD869" s="20" t="str">
        <f>IF(AB869="","",IF($F869="Bernardino Furlan",_xlfn.XLOOKUP(AB869,Cadastros!$G$6:$G$90,Cadastros!$H$6:$H$90)*(1-0.18),IF($F869="Mauro José Salanti",_xlfn.XLOOKUP(AB869,Cadastros!$G$6:$G$90,Cadastros!$H$6:$H$90)*(1-0.18),_xlfn.XLOOKUP(AB869,Cadastros!$G$6:$G$90,Cadastros!$H$6:$H$90))))</f>
        <v/>
      </c>
      <c r="AE869" s="168" t="str">
        <f t="shared" si="174"/>
        <v/>
      </c>
      <c r="AF869" s="168" t="str">
        <f t="shared" si="175"/>
        <v/>
      </c>
      <c r="AG869" s="28"/>
      <c r="AH869" s="28"/>
      <c r="AI869" s="20" t="str">
        <f>IF(AG869="","",IF($F869="Bernardino Furlan",_xlfn.XLOOKUP(AG869,Cadastros!$G$6:$G$90,Cadastros!$H$6:$H$90)*(1-0.18),IF($F869="Mauro José Salanti",_xlfn.XLOOKUP(AG869,Cadastros!$G$6:$G$90,Cadastros!$H$6:$H$90)*(1-0.18),_xlfn.XLOOKUP(AG869,Cadastros!$G$6:$G$90,Cadastros!$H$6:$H$90))))</f>
        <v/>
      </c>
      <c r="AJ869" s="168" t="str">
        <f t="shared" si="176"/>
        <v/>
      </c>
      <c r="AK869" s="168" t="str">
        <f t="shared" si="177"/>
        <v/>
      </c>
      <c r="AL869" s="28"/>
      <c r="AM869" s="28"/>
      <c r="AN869" s="20" t="str">
        <f>IF(AL869="","",IF($F869="Bernardino Furlan",_xlfn.XLOOKUP(AL869,Cadastros!$G$6:$G$90,Cadastros!$H$6:$H$90)*(1-0.18),IF($F869="Mauro José Salanti",_xlfn.XLOOKUP(AL869,Cadastros!$G$6:$G$90,Cadastros!$H$6:$H$90)*(1-0.18),_xlfn.XLOOKUP(AL869,Cadastros!$G$6:$G$90,Cadastros!$H$6:$H$90))))</f>
        <v/>
      </c>
      <c r="AO869" s="168" t="str">
        <f t="shared" si="178"/>
        <v/>
      </c>
      <c r="AP869" s="168" t="str">
        <f t="shared" si="179"/>
        <v/>
      </c>
      <c r="AQ869" s="28"/>
      <c r="AR869" s="28"/>
      <c r="AS869" s="20" t="str">
        <f>IF(AQ869="","",IF($F869="Bernardino Furlan",_xlfn.XLOOKUP(AQ869,Cadastros!$G$6:$G$90,Cadastros!$H$6:$H$90)*(1-0.18),IF($F869="Mauro José Salanti",_xlfn.XLOOKUP(AQ869,Cadastros!$G$6:$G$90,Cadastros!$H$6:$H$90)*(1-0.18),_xlfn.XLOOKUP(AQ869,Cadastros!$G$6:$G$90,Cadastros!$H$6:$H$90))))</f>
        <v/>
      </c>
      <c r="AT869" s="168" t="str">
        <f t="shared" si="180"/>
        <v/>
      </c>
      <c r="AU869" s="168" t="str">
        <f t="shared" si="181"/>
        <v/>
      </c>
      <c r="AV869" s="227"/>
      <c r="AW869" s="30"/>
      <c r="AX869" s="267"/>
      <c r="AY869" s="267"/>
      <c r="AZ869" s="29"/>
      <c r="BA869" s="30"/>
      <c r="BB869" s="23" t="str" cm="1">
        <f t="array" ref="BB869">_xlfn.IFS(AW869="SIM",SUM(K869,P869,U869,Z869,AE869,AJ869,AO869,AT869,AX869,AY869),F869&lt;&gt;"",SUM(K869,P869,U869,Z869,AE869,AJ869,,AO869,AT869),F869="","")</f>
        <v/>
      </c>
      <c r="BC869" s="211" t="str" cm="1">
        <f t="array" ref="BC869">_xlfn.IFS(E869="","",G869&lt;=E869,BB869*(1-0.03),G869&lt;(E869+8),BB869,AZ869="Boleto",BB869*(1+0.001)^DATEDIF(E869,G869,"D"),AZ869="Cheque",BB869,AZ869="Dinheiro","Alterar forma pgto")</f>
        <v/>
      </c>
      <c r="BD869" s="276" t="str" cm="1">
        <f t="array" ref="BD869">IF(F869=0," ",IF(BC869&lt;BB869,(_xlfn.IFS(AW869="SIM",SUM(L869,Q869,V869,AA869,AF869,AK869,AP869,AU869)+AX869/_xlfn.XLOOKUP(_xlfn.XLOOKUP($F869,Clientes!$B$4:$B$39,Clientes!$C$4:$C$39),Cadastros!$L$6:$L$12,Cadastros!$M$6:$M$12)+IF($F869="Bernardino Furlan",AY869/2751.92,IF($F869="Mauro José Salanti",AY869/2751.92,AY869/3356)),F869&lt;&gt;0,SUM(L869,Q869,V869,AA869,AF869,AK869,AP869,AU869)))*(1-0.03),_xlfn.IFS(AW869="SIM",SUM(L869,Q869,V869,AA869,AF869,AK869,AP869,AU869)+AX869/_xlfn.XLOOKUP(_xlfn.XLOOKUP($F869,Clientes!$B$4:$B$39,Clientes!$C$4:$C$39),Cadastros!$L$6:$L$12,Cadastros!$M$6:$M$12)+IF($F869="Bernardino Furlan",AY869/2751.92,IF($F869="Mauro José Salanti",AY869/2751.92,AY869/3356)),F869&lt;&gt;0,SUM(L869,Q869,V869,AA869,AF869,AK869,AP869,AU869))))</f>
        <v xml:space="preserve"> </v>
      </c>
      <c r="BE869" s="120"/>
      <c r="BF869" s="120"/>
      <c r="BG869" s="120"/>
    </row>
    <row r="870" spans="1:59" s="3" customFormat="1" x14ac:dyDescent="0.3">
      <c r="A870" s="15" t="str">
        <f t="shared" si="169"/>
        <v/>
      </c>
      <c r="B870" s="25"/>
      <c r="C870" s="26"/>
      <c r="D870" s="279"/>
      <c r="E870" s="27"/>
      <c r="F870" s="28"/>
      <c r="G870" s="27"/>
      <c r="H870" s="28"/>
      <c r="I870" s="28"/>
      <c r="J870" s="255" t="str">
        <f>IF(H870="","",(_xlfn.XLOOKUP(H870,Cadastros!$D$6:$D$90,Cadastros!$E$6:$E$90))*(1-_xlfn.XLOOKUP(_xlfn.XLOOKUP($F870,Clientes!$B$4:$B$39,Clientes!$C$4:$C$39),Cadastros!$L$6:$L$12,Cadastros!$N$6:$N$12)))</f>
        <v/>
      </c>
      <c r="K870" s="168" t="str">
        <f t="shared" si="170"/>
        <v/>
      </c>
      <c r="L870" s="168" t="str">
        <f>IFERROR(K870/_xlfn.XLOOKUP(_xlfn.XLOOKUP($F870,Clientes!$B$4:$B$39,Clientes!$C$4:$C$39),Cadastros!$L$6:$L$12,Cadastros!$M$6:$M$12)," ")</f>
        <v xml:space="preserve"> </v>
      </c>
      <c r="M870" s="28"/>
      <c r="N870" s="28"/>
      <c r="O870" s="255" t="str">
        <f>IF(M870="","",(_xlfn.XLOOKUP(M870,Cadastros!$D$6:$D$90,Cadastros!$E$6:$E$90))*(1-_xlfn.XLOOKUP(_xlfn.XLOOKUP($F870,Clientes!$B$4:$B$39,Clientes!$C$4:$C$39),Cadastros!$L$6:$L$12,Cadastros!$N$6:$N$12)))</f>
        <v/>
      </c>
      <c r="P870" s="168" t="str">
        <f t="shared" si="171"/>
        <v/>
      </c>
      <c r="Q870" s="168" t="str">
        <f>IFERROR(P870/_xlfn.XLOOKUP(_xlfn.XLOOKUP($F870,Clientes!$B$4:$B$39,Clientes!$C$4:$C$39),Cadastros!$L$6:$L$12,Cadastros!$M$6:$M$12)," ")</f>
        <v xml:space="preserve"> </v>
      </c>
      <c r="R870" s="28"/>
      <c r="S870" s="28"/>
      <c r="T870" s="255" t="str">
        <f>IF(R870="","",(_xlfn.XLOOKUP(R870,Cadastros!$D$6:$D$90,Cadastros!$E$6:$E$90))*(1-_xlfn.XLOOKUP(_xlfn.XLOOKUP($F870,Clientes!$B$4:$B$39,Clientes!$C$4:$C$39),Cadastros!$L$6:$L$12,Cadastros!$N$6:$N$12)))</f>
        <v/>
      </c>
      <c r="U870" s="168" t="str">
        <f t="shared" si="172"/>
        <v/>
      </c>
      <c r="V870" s="168" t="str">
        <f>IFERROR(U870/_xlfn.XLOOKUP(_xlfn.XLOOKUP($F870,Clientes!$B$4:$B$39,Clientes!$C$4:$C$39),Cadastros!$L$6:$L$12,Cadastros!$M$6:$M$12)," ")</f>
        <v xml:space="preserve"> </v>
      </c>
      <c r="W870" s="28"/>
      <c r="X870" s="28"/>
      <c r="Y870" s="255" t="str">
        <f>IF(W870="","",(_xlfn.XLOOKUP(W870,Cadastros!$D$6:$D$90,Cadastros!$E$6:$E$90))*(1-_xlfn.XLOOKUP(_xlfn.XLOOKUP($F870,Clientes!$B$4:$B$39,Clientes!$C$4:$C$39),Cadastros!$L$6:$L$12,Cadastros!$N$6:$N$12)))</f>
        <v/>
      </c>
      <c r="Z870" s="168" t="str">
        <f t="shared" si="173"/>
        <v/>
      </c>
      <c r="AA870" s="168" t="str">
        <f>IFERROR(Z870/_xlfn.XLOOKUP(_xlfn.XLOOKUP($F870,Clientes!$B$4:$B$39,Clientes!$C$4:$C$39),Cadastros!$L$6:$L$12,Cadastros!$M$6:$M$12)," ")</f>
        <v xml:space="preserve"> </v>
      </c>
      <c r="AB870" s="28"/>
      <c r="AC870" s="28"/>
      <c r="AD870" s="20" t="str">
        <f>IF(AB870="","",IF($F870="Bernardino Furlan",_xlfn.XLOOKUP(AB870,Cadastros!$G$6:$G$90,Cadastros!$H$6:$H$90)*(1-0.18),IF($F870="Mauro José Salanti",_xlfn.XLOOKUP(AB870,Cadastros!$G$6:$G$90,Cadastros!$H$6:$H$90)*(1-0.18),_xlfn.XLOOKUP(AB870,Cadastros!$G$6:$G$90,Cadastros!$H$6:$H$90))))</f>
        <v/>
      </c>
      <c r="AE870" s="168" t="str">
        <f t="shared" si="174"/>
        <v/>
      </c>
      <c r="AF870" s="168" t="str">
        <f t="shared" si="175"/>
        <v/>
      </c>
      <c r="AG870" s="28"/>
      <c r="AH870" s="28"/>
      <c r="AI870" s="20" t="str">
        <f>IF(AG870="","",IF($F870="Bernardino Furlan",_xlfn.XLOOKUP(AG870,Cadastros!$G$6:$G$90,Cadastros!$H$6:$H$90)*(1-0.18),IF($F870="Mauro José Salanti",_xlfn.XLOOKUP(AG870,Cadastros!$G$6:$G$90,Cadastros!$H$6:$H$90)*(1-0.18),_xlfn.XLOOKUP(AG870,Cadastros!$G$6:$G$90,Cadastros!$H$6:$H$90))))</f>
        <v/>
      </c>
      <c r="AJ870" s="168" t="str">
        <f t="shared" si="176"/>
        <v/>
      </c>
      <c r="AK870" s="168" t="str">
        <f t="shared" si="177"/>
        <v/>
      </c>
      <c r="AL870" s="28"/>
      <c r="AM870" s="28"/>
      <c r="AN870" s="20" t="str">
        <f>IF(AL870="","",IF($F870="Bernardino Furlan",_xlfn.XLOOKUP(AL870,Cadastros!$G$6:$G$90,Cadastros!$H$6:$H$90)*(1-0.18),IF($F870="Mauro José Salanti",_xlfn.XLOOKUP(AL870,Cadastros!$G$6:$G$90,Cadastros!$H$6:$H$90)*(1-0.18),_xlfn.XLOOKUP(AL870,Cadastros!$G$6:$G$90,Cadastros!$H$6:$H$90))))</f>
        <v/>
      </c>
      <c r="AO870" s="168" t="str">
        <f t="shared" si="178"/>
        <v/>
      </c>
      <c r="AP870" s="168" t="str">
        <f t="shared" si="179"/>
        <v/>
      </c>
      <c r="AQ870" s="28"/>
      <c r="AR870" s="28"/>
      <c r="AS870" s="20" t="str">
        <f>IF(AQ870="","",IF($F870="Bernardino Furlan",_xlfn.XLOOKUP(AQ870,Cadastros!$G$6:$G$90,Cadastros!$H$6:$H$90)*(1-0.18),IF($F870="Mauro José Salanti",_xlfn.XLOOKUP(AQ870,Cadastros!$G$6:$G$90,Cadastros!$H$6:$H$90)*(1-0.18),_xlfn.XLOOKUP(AQ870,Cadastros!$G$6:$G$90,Cadastros!$H$6:$H$90))))</f>
        <v/>
      </c>
      <c r="AT870" s="168" t="str">
        <f t="shared" si="180"/>
        <v/>
      </c>
      <c r="AU870" s="168" t="str">
        <f t="shared" si="181"/>
        <v/>
      </c>
      <c r="AV870" s="227"/>
      <c r="AW870" s="30"/>
      <c r="AX870" s="267"/>
      <c r="AY870" s="267"/>
      <c r="AZ870" s="29"/>
      <c r="BA870" s="30"/>
      <c r="BB870" s="23" t="str" cm="1">
        <f t="array" ref="BB870">_xlfn.IFS(AW870="SIM",SUM(K870,P870,U870,Z870,AE870,AJ870,AO870,AT870,AX870,AY870),F870&lt;&gt;"",SUM(K870,P870,U870,Z870,AE870,AJ870,,AO870,AT870),F870="","")</f>
        <v/>
      </c>
      <c r="BC870" s="211" t="str" cm="1">
        <f t="array" ref="BC870">_xlfn.IFS(E870="","",G870&lt;=E870,BB870*(1-0.03),G870&lt;(E870+8),BB870,AZ870="Boleto",BB870*(1+0.001)^DATEDIF(E870,G870,"D"),AZ870="Cheque",BB870,AZ870="Dinheiro","Alterar forma pgto")</f>
        <v/>
      </c>
      <c r="BD870" s="276" t="str" cm="1">
        <f t="array" ref="BD870">IF(F870=0," ",IF(BC870&lt;BB870,(_xlfn.IFS(AW870="SIM",SUM(L870,Q870,V870,AA870,AF870,AK870,AP870,AU870)+AX870/_xlfn.XLOOKUP(_xlfn.XLOOKUP($F870,Clientes!$B$4:$B$39,Clientes!$C$4:$C$39),Cadastros!$L$6:$L$12,Cadastros!$M$6:$M$12)+IF($F870="Bernardino Furlan",AY870/2751.92,IF($F870="Mauro José Salanti",AY870/2751.92,AY870/3356)),F870&lt;&gt;0,SUM(L870,Q870,V870,AA870,AF870,AK870,AP870,AU870)))*(1-0.03),_xlfn.IFS(AW870="SIM",SUM(L870,Q870,V870,AA870,AF870,AK870,AP870,AU870)+AX870/_xlfn.XLOOKUP(_xlfn.XLOOKUP($F870,Clientes!$B$4:$B$39,Clientes!$C$4:$C$39),Cadastros!$L$6:$L$12,Cadastros!$M$6:$M$12)+IF($F870="Bernardino Furlan",AY870/2751.92,IF($F870="Mauro José Salanti",AY870/2751.92,AY870/3356)),F870&lt;&gt;0,SUM(L870,Q870,V870,AA870,AF870,AK870,AP870,AU870))))</f>
        <v xml:space="preserve"> </v>
      </c>
      <c r="BE870" s="120"/>
      <c r="BF870" s="120"/>
      <c r="BG870" s="120"/>
    </row>
    <row r="871" spans="1:59" s="3" customFormat="1" x14ac:dyDescent="0.3">
      <c r="A871" s="15" t="str">
        <f t="shared" si="169"/>
        <v/>
      </c>
      <c r="B871" s="25"/>
      <c r="C871" s="26"/>
      <c r="D871" s="279"/>
      <c r="E871" s="27"/>
      <c r="F871" s="28"/>
      <c r="G871" s="27"/>
      <c r="H871" s="28"/>
      <c r="I871" s="28"/>
      <c r="J871" s="255" t="str">
        <f>IF(H871="","",(_xlfn.XLOOKUP(H871,Cadastros!$D$6:$D$90,Cadastros!$E$6:$E$90))*(1-_xlfn.XLOOKUP(_xlfn.XLOOKUP($F871,Clientes!$B$4:$B$39,Clientes!$C$4:$C$39),Cadastros!$L$6:$L$12,Cadastros!$N$6:$N$12)))</f>
        <v/>
      </c>
      <c r="K871" s="168" t="str">
        <f t="shared" si="170"/>
        <v/>
      </c>
      <c r="L871" s="168" t="str">
        <f>IFERROR(K871/_xlfn.XLOOKUP(_xlfn.XLOOKUP($F871,Clientes!$B$4:$B$39,Clientes!$C$4:$C$39),Cadastros!$L$6:$L$12,Cadastros!$M$6:$M$12)," ")</f>
        <v xml:space="preserve"> </v>
      </c>
      <c r="M871" s="28"/>
      <c r="N871" s="28"/>
      <c r="O871" s="255" t="str">
        <f>IF(M871="","",(_xlfn.XLOOKUP(M871,Cadastros!$D$6:$D$90,Cadastros!$E$6:$E$90))*(1-_xlfn.XLOOKUP(_xlfn.XLOOKUP($F871,Clientes!$B$4:$B$39,Clientes!$C$4:$C$39),Cadastros!$L$6:$L$12,Cadastros!$N$6:$N$12)))</f>
        <v/>
      </c>
      <c r="P871" s="168" t="str">
        <f t="shared" si="171"/>
        <v/>
      </c>
      <c r="Q871" s="168" t="str">
        <f>IFERROR(P871/_xlfn.XLOOKUP(_xlfn.XLOOKUP($F871,Clientes!$B$4:$B$39,Clientes!$C$4:$C$39),Cadastros!$L$6:$L$12,Cadastros!$M$6:$M$12)," ")</f>
        <v xml:space="preserve"> </v>
      </c>
      <c r="R871" s="28"/>
      <c r="S871" s="28"/>
      <c r="T871" s="255" t="str">
        <f>IF(R871="","",(_xlfn.XLOOKUP(R871,Cadastros!$D$6:$D$90,Cadastros!$E$6:$E$90))*(1-_xlfn.XLOOKUP(_xlfn.XLOOKUP($F871,Clientes!$B$4:$B$39,Clientes!$C$4:$C$39),Cadastros!$L$6:$L$12,Cadastros!$N$6:$N$12)))</f>
        <v/>
      </c>
      <c r="U871" s="168" t="str">
        <f t="shared" si="172"/>
        <v/>
      </c>
      <c r="V871" s="168" t="str">
        <f>IFERROR(U871/_xlfn.XLOOKUP(_xlfn.XLOOKUP($F871,Clientes!$B$4:$B$39,Clientes!$C$4:$C$39),Cadastros!$L$6:$L$12,Cadastros!$M$6:$M$12)," ")</f>
        <v xml:space="preserve"> </v>
      </c>
      <c r="W871" s="28"/>
      <c r="X871" s="28"/>
      <c r="Y871" s="255" t="str">
        <f>IF(W871="","",(_xlfn.XLOOKUP(W871,Cadastros!$D$6:$D$90,Cadastros!$E$6:$E$90))*(1-_xlfn.XLOOKUP(_xlfn.XLOOKUP($F871,Clientes!$B$4:$B$39,Clientes!$C$4:$C$39),Cadastros!$L$6:$L$12,Cadastros!$N$6:$N$12)))</f>
        <v/>
      </c>
      <c r="Z871" s="168" t="str">
        <f t="shared" si="173"/>
        <v/>
      </c>
      <c r="AA871" s="168" t="str">
        <f>IFERROR(Z871/_xlfn.XLOOKUP(_xlfn.XLOOKUP($F871,Clientes!$B$4:$B$39,Clientes!$C$4:$C$39),Cadastros!$L$6:$L$12,Cadastros!$M$6:$M$12)," ")</f>
        <v xml:space="preserve"> </v>
      </c>
      <c r="AB871" s="28"/>
      <c r="AC871" s="28"/>
      <c r="AD871" s="20" t="str">
        <f>IF(AB871="","",IF($F871="Bernardino Furlan",_xlfn.XLOOKUP(AB871,Cadastros!$G$6:$G$90,Cadastros!$H$6:$H$90)*(1-0.18),IF($F871="Mauro José Salanti",_xlfn.XLOOKUP(AB871,Cadastros!$G$6:$G$90,Cadastros!$H$6:$H$90)*(1-0.18),_xlfn.XLOOKUP(AB871,Cadastros!$G$6:$G$90,Cadastros!$H$6:$H$90))))</f>
        <v/>
      </c>
      <c r="AE871" s="168" t="str">
        <f t="shared" si="174"/>
        <v/>
      </c>
      <c r="AF871" s="168" t="str">
        <f t="shared" si="175"/>
        <v/>
      </c>
      <c r="AG871" s="28"/>
      <c r="AH871" s="28"/>
      <c r="AI871" s="20" t="str">
        <f>IF(AG871="","",IF($F871="Bernardino Furlan",_xlfn.XLOOKUP(AG871,Cadastros!$G$6:$G$90,Cadastros!$H$6:$H$90)*(1-0.18),IF($F871="Mauro José Salanti",_xlfn.XLOOKUP(AG871,Cadastros!$G$6:$G$90,Cadastros!$H$6:$H$90)*(1-0.18),_xlfn.XLOOKUP(AG871,Cadastros!$G$6:$G$90,Cadastros!$H$6:$H$90))))</f>
        <v/>
      </c>
      <c r="AJ871" s="168" t="str">
        <f t="shared" si="176"/>
        <v/>
      </c>
      <c r="AK871" s="168" t="str">
        <f t="shared" si="177"/>
        <v/>
      </c>
      <c r="AL871" s="28"/>
      <c r="AM871" s="28"/>
      <c r="AN871" s="20" t="str">
        <f>IF(AL871="","",IF($F871="Bernardino Furlan",_xlfn.XLOOKUP(AL871,Cadastros!$G$6:$G$90,Cadastros!$H$6:$H$90)*(1-0.18),IF($F871="Mauro José Salanti",_xlfn.XLOOKUP(AL871,Cadastros!$G$6:$G$90,Cadastros!$H$6:$H$90)*(1-0.18),_xlfn.XLOOKUP(AL871,Cadastros!$G$6:$G$90,Cadastros!$H$6:$H$90))))</f>
        <v/>
      </c>
      <c r="AO871" s="168" t="str">
        <f t="shared" si="178"/>
        <v/>
      </c>
      <c r="AP871" s="168" t="str">
        <f t="shared" si="179"/>
        <v/>
      </c>
      <c r="AQ871" s="28"/>
      <c r="AR871" s="28"/>
      <c r="AS871" s="20" t="str">
        <f>IF(AQ871="","",IF($F871="Bernardino Furlan",_xlfn.XLOOKUP(AQ871,Cadastros!$G$6:$G$90,Cadastros!$H$6:$H$90)*(1-0.18),IF($F871="Mauro José Salanti",_xlfn.XLOOKUP(AQ871,Cadastros!$G$6:$G$90,Cadastros!$H$6:$H$90)*(1-0.18),_xlfn.XLOOKUP(AQ871,Cadastros!$G$6:$G$90,Cadastros!$H$6:$H$90))))</f>
        <v/>
      </c>
      <c r="AT871" s="168" t="str">
        <f t="shared" si="180"/>
        <v/>
      </c>
      <c r="AU871" s="168" t="str">
        <f t="shared" si="181"/>
        <v/>
      </c>
      <c r="AV871" s="227"/>
      <c r="AW871" s="30"/>
      <c r="AX871" s="267"/>
      <c r="AY871" s="267"/>
      <c r="AZ871" s="29"/>
      <c r="BA871" s="30"/>
      <c r="BB871" s="23" t="str" cm="1">
        <f t="array" ref="BB871">_xlfn.IFS(AW871="SIM",SUM(K871,P871,U871,Z871,AE871,AJ871,AO871,AT871,AX871,AY871),F871&lt;&gt;"",SUM(K871,P871,U871,Z871,AE871,AJ871,,AO871,AT871),F871="","")</f>
        <v/>
      </c>
      <c r="BC871" s="211" t="str" cm="1">
        <f t="array" ref="BC871">_xlfn.IFS(E871="","",G871&lt;=E871,BB871*(1-0.03),G871&lt;(E871+8),BB871,AZ871="Boleto",BB871*(1+0.001)^DATEDIF(E871,G871,"D"),AZ871="Cheque",BB871,AZ871="Dinheiro","Alterar forma pgto")</f>
        <v/>
      </c>
      <c r="BD871" s="276" t="str" cm="1">
        <f t="array" ref="BD871">IF(F871=0," ",IF(BC871&lt;BB871,(_xlfn.IFS(AW871="SIM",SUM(L871,Q871,V871,AA871,AF871,AK871,AP871,AU871)+AX871/_xlfn.XLOOKUP(_xlfn.XLOOKUP($F871,Clientes!$B$4:$B$39,Clientes!$C$4:$C$39),Cadastros!$L$6:$L$12,Cadastros!$M$6:$M$12)+IF($F871="Bernardino Furlan",AY871/2751.92,IF($F871="Mauro José Salanti",AY871/2751.92,AY871/3356)),F871&lt;&gt;0,SUM(L871,Q871,V871,AA871,AF871,AK871,AP871,AU871)))*(1-0.03),_xlfn.IFS(AW871="SIM",SUM(L871,Q871,V871,AA871,AF871,AK871,AP871,AU871)+AX871/_xlfn.XLOOKUP(_xlfn.XLOOKUP($F871,Clientes!$B$4:$B$39,Clientes!$C$4:$C$39),Cadastros!$L$6:$L$12,Cadastros!$M$6:$M$12)+IF($F871="Bernardino Furlan",AY871/2751.92,IF($F871="Mauro José Salanti",AY871/2751.92,AY871/3356)),F871&lt;&gt;0,SUM(L871,Q871,V871,AA871,AF871,AK871,AP871,AU871))))</f>
        <v xml:space="preserve"> </v>
      </c>
      <c r="BE871" s="120"/>
      <c r="BF871" s="120"/>
      <c r="BG871" s="120"/>
    </row>
    <row r="872" spans="1:59" s="3" customFormat="1" x14ac:dyDescent="0.3">
      <c r="A872" s="15" t="str">
        <f t="shared" si="169"/>
        <v/>
      </c>
      <c r="B872" s="25"/>
      <c r="C872" s="26"/>
      <c r="D872" s="279"/>
      <c r="E872" s="27"/>
      <c r="F872" s="28"/>
      <c r="G872" s="27"/>
      <c r="H872" s="28"/>
      <c r="I872" s="28"/>
      <c r="J872" s="255" t="str">
        <f>IF(H872="","",(_xlfn.XLOOKUP(H872,Cadastros!$D$6:$D$90,Cadastros!$E$6:$E$90))*(1-_xlfn.XLOOKUP(_xlfn.XLOOKUP($F872,Clientes!$B$4:$B$39,Clientes!$C$4:$C$39),Cadastros!$L$6:$L$12,Cadastros!$N$6:$N$12)))</f>
        <v/>
      </c>
      <c r="K872" s="168" t="str">
        <f t="shared" si="170"/>
        <v/>
      </c>
      <c r="L872" s="168" t="str">
        <f>IFERROR(K872/_xlfn.XLOOKUP(_xlfn.XLOOKUP($F872,Clientes!$B$4:$B$39,Clientes!$C$4:$C$39),Cadastros!$L$6:$L$12,Cadastros!$M$6:$M$12)," ")</f>
        <v xml:space="preserve"> </v>
      </c>
      <c r="M872" s="28"/>
      <c r="N872" s="28"/>
      <c r="O872" s="255" t="str">
        <f>IF(M872="","",(_xlfn.XLOOKUP(M872,Cadastros!$D$6:$D$90,Cadastros!$E$6:$E$90))*(1-_xlfn.XLOOKUP(_xlfn.XLOOKUP($F872,Clientes!$B$4:$B$39,Clientes!$C$4:$C$39),Cadastros!$L$6:$L$12,Cadastros!$N$6:$N$12)))</f>
        <v/>
      </c>
      <c r="P872" s="168" t="str">
        <f t="shared" si="171"/>
        <v/>
      </c>
      <c r="Q872" s="168" t="str">
        <f>IFERROR(P872/_xlfn.XLOOKUP(_xlfn.XLOOKUP($F872,Clientes!$B$4:$B$39,Clientes!$C$4:$C$39),Cadastros!$L$6:$L$12,Cadastros!$M$6:$M$12)," ")</f>
        <v xml:space="preserve"> </v>
      </c>
      <c r="R872" s="28"/>
      <c r="S872" s="28"/>
      <c r="T872" s="255" t="str">
        <f>IF(R872="","",(_xlfn.XLOOKUP(R872,Cadastros!$D$6:$D$90,Cadastros!$E$6:$E$90))*(1-_xlfn.XLOOKUP(_xlfn.XLOOKUP($F872,Clientes!$B$4:$B$39,Clientes!$C$4:$C$39),Cadastros!$L$6:$L$12,Cadastros!$N$6:$N$12)))</f>
        <v/>
      </c>
      <c r="U872" s="168" t="str">
        <f t="shared" si="172"/>
        <v/>
      </c>
      <c r="V872" s="168" t="str">
        <f>IFERROR(U872/_xlfn.XLOOKUP(_xlfn.XLOOKUP($F872,Clientes!$B$4:$B$39,Clientes!$C$4:$C$39),Cadastros!$L$6:$L$12,Cadastros!$M$6:$M$12)," ")</f>
        <v xml:space="preserve"> </v>
      </c>
      <c r="W872" s="28"/>
      <c r="X872" s="28"/>
      <c r="Y872" s="255" t="str">
        <f>IF(W872="","",(_xlfn.XLOOKUP(W872,Cadastros!$D$6:$D$90,Cadastros!$E$6:$E$90))*(1-_xlfn.XLOOKUP(_xlfn.XLOOKUP($F872,Clientes!$B$4:$B$39,Clientes!$C$4:$C$39),Cadastros!$L$6:$L$12,Cadastros!$N$6:$N$12)))</f>
        <v/>
      </c>
      <c r="Z872" s="168" t="str">
        <f t="shared" si="173"/>
        <v/>
      </c>
      <c r="AA872" s="168" t="str">
        <f>IFERROR(Z872/_xlfn.XLOOKUP(_xlfn.XLOOKUP($F872,Clientes!$B$4:$B$39,Clientes!$C$4:$C$39),Cadastros!$L$6:$L$12,Cadastros!$M$6:$M$12)," ")</f>
        <v xml:space="preserve"> </v>
      </c>
      <c r="AB872" s="28"/>
      <c r="AC872" s="28"/>
      <c r="AD872" s="20" t="str">
        <f>IF(AB872="","",IF($F872="Bernardino Furlan",_xlfn.XLOOKUP(AB872,Cadastros!$G$6:$G$90,Cadastros!$H$6:$H$90)*(1-0.18),IF($F872="Mauro José Salanti",_xlfn.XLOOKUP(AB872,Cadastros!$G$6:$G$90,Cadastros!$H$6:$H$90)*(1-0.18),_xlfn.XLOOKUP(AB872,Cadastros!$G$6:$G$90,Cadastros!$H$6:$H$90))))</f>
        <v/>
      </c>
      <c r="AE872" s="168" t="str">
        <f t="shared" si="174"/>
        <v/>
      </c>
      <c r="AF872" s="168" t="str">
        <f t="shared" si="175"/>
        <v/>
      </c>
      <c r="AG872" s="28"/>
      <c r="AH872" s="28"/>
      <c r="AI872" s="20" t="str">
        <f>IF(AG872="","",IF($F872="Bernardino Furlan",_xlfn.XLOOKUP(AG872,Cadastros!$G$6:$G$90,Cadastros!$H$6:$H$90)*(1-0.18),IF($F872="Mauro José Salanti",_xlfn.XLOOKUP(AG872,Cadastros!$G$6:$G$90,Cadastros!$H$6:$H$90)*(1-0.18),_xlfn.XLOOKUP(AG872,Cadastros!$G$6:$G$90,Cadastros!$H$6:$H$90))))</f>
        <v/>
      </c>
      <c r="AJ872" s="168" t="str">
        <f t="shared" si="176"/>
        <v/>
      </c>
      <c r="AK872" s="168" t="str">
        <f t="shared" si="177"/>
        <v/>
      </c>
      <c r="AL872" s="28"/>
      <c r="AM872" s="28"/>
      <c r="AN872" s="20" t="str">
        <f>IF(AL872="","",IF($F872="Bernardino Furlan",_xlfn.XLOOKUP(AL872,Cadastros!$G$6:$G$90,Cadastros!$H$6:$H$90)*(1-0.18),IF($F872="Mauro José Salanti",_xlfn.XLOOKUP(AL872,Cadastros!$G$6:$G$90,Cadastros!$H$6:$H$90)*(1-0.18),_xlfn.XLOOKUP(AL872,Cadastros!$G$6:$G$90,Cadastros!$H$6:$H$90))))</f>
        <v/>
      </c>
      <c r="AO872" s="168" t="str">
        <f t="shared" si="178"/>
        <v/>
      </c>
      <c r="AP872" s="168" t="str">
        <f t="shared" si="179"/>
        <v/>
      </c>
      <c r="AQ872" s="28"/>
      <c r="AR872" s="28"/>
      <c r="AS872" s="20" t="str">
        <f>IF(AQ872="","",IF($F872="Bernardino Furlan",_xlfn.XLOOKUP(AQ872,Cadastros!$G$6:$G$90,Cadastros!$H$6:$H$90)*(1-0.18),IF($F872="Mauro José Salanti",_xlfn.XLOOKUP(AQ872,Cadastros!$G$6:$G$90,Cadastros!$H$6:$H$90)*(1-0.18),_xlfn.XLOOKUP(AQ872,Cadastros!$G$6:$G$90,Cadastros!$H$6:$H$90))))</f>
        <v/>
      </c>
      <c r="AT872" s="168" t="str">
        <f t="shared" si="180"/>
        <v/>
      </c>
      <c r="AU872" s="168" t="str">
        <f t="shared" si="181"/>
        <v/>
      </c>
      <c r="AV872" s="227"/>
      <c r="AW872" s="30"/>
      <c r="AX872" s="267"/>
      <c r="AY872" s="267"/>
      <c r="AZ872" s="29"/>
      <c r="BA872" s="30"/>
      <c r="BB872" s="23" t="str" cm="1">
        <f t="array" ref="BB872">_xlfn.IFS(AW872="SIM",SUM(K872,P872,U872,Z872,AE872,AJ872,AO872,AT872,AX872,AY872),F872&lt;&gt;"",SUM(K872,P872,U872,Z872,AE872,AJ872,,AO872,AT872),F872="","")</f>
        <v/>
      </c>
      <c r="BC872" s="211" t="str" cm="1">
        <f t="array" ref="BC872">_xlfn.IFS(E872="","",G872&lt;=E872,BB872*(1-0.03),G872&lt;(E872+8),BB872,AZ872="Boleto",BB872*(1+0.001)^DATEDIF(E872,G872,"D"),AZ872="Cheque",BB872,AZ872="Dinheiro","Alterar forma pgto")</f>
        <v/>
      </c>
      <c r="BD872" s="276" t="str" cm="1">
        <f t="array" ref="BD872">IF(F872=0," ",IF(BC872&lt;BB872,(_xlfn.IFS(AW872="SIM",SUM(L872,Q872,V872,AA872,AF872,AK872,AP872,AU872)+AX872/_xlfn.XLOOKUP(_xlfn.XLOOKUP($F872,Clientes!$B$4:$B$39,Clientes!$C$4:$C$39),Cadastros!$L$6:$L$12,Cadastros!$M$6:$M$12)+IF($F872="Bernardino Furlan",AY872/2751.92,IF($F872="Mauro José Salanti",AY872/2751.92,AY872/3356)),F872&lt;&gt;0,SUM(L872,Q872,V872,AA872,AF872,AK872,AP872,AU872)))*(1-0.03),_xlfn.IFS(AW872="SIM",SUM(L872,Q872,V872,AA872,AF872,AK872,AP872,AU872)+AX872/_xlfn.XLOOKUP(_xlfn.XLOOKUP($F872,Clientes!$B$4:$B$39,Clientes!$C$4:$C$39),Cadastros!$L$6:$L$12,Cadastros!$M$6:$M$12)+IF($F872="Bernardino Furlan",AY872/2751.92,IF($F872="Mauro José Salanti",AY872/2751.92,AY872/3356)),F872&lt;&gt;0,SUM(L872,Q872,V872,AA872,AF872,AK872,AP872,AU872))))</f>
        <v xml:space="preserve"> </v>
      </c>
      <c r="BE872" s="120"/>
      <c r="BF872" s="120"/>
      <c r="BG872" s="120"/>
    </row>
    <row r="873" spans="1:59" s="3" customFormat="1" x14ac:dyDescent="0.3">
      <c r="A873" s="15" t="str">
        <f t="shared" si="169"/>
        <v/>
      </c>
      <c r="B873" s="25"/>
      <c r="C873" s="26"/>
      <c r="D873" s="279"/>
      <c r="E873" s="27"/>
      <c r="F873" s="28"/>
      <c r="G873" s="27"/>
      <c r="H873" s="28"/>
      <c r="I873" s="28"/>
      <c r="J873" s="255" t="str">
        <f>IF(H873="","",(_xlfn.XLOOKUP(H873,Cadastros!$D$6:$D$90,Cadastros!$E$6:$E$90))*(1-_xlfn.XLOOKUP(_xlfn.XLOOKUP($F873,Clientes!$B$4:$B$39,Clientes!$C$4:$C$39),Cadastros!$L$6:$L$12,Cadastros!$N$6:$N$12)))</f>
        <v/>
      </c>
      <c r="K873" s="168" t="str">
        <f t="shared" si="170"/>
        <v/>
      </c>
      <c r="L873" s="168" t="str">
        <f>IFERROR(K873/_xlfn.XLOOKUP(_xlfn.XLOOKUP($F873,Clientes!$B$4:$B$39,Clientes!$C$4:$C$39),Cadastros!$L$6:$L$12,Cadastros!$M$6:$M$12)," ")</f>
        <v xml:space="preserve"> </v>
      </c>
      <c r="M873" s="28"/>
      <c r="N873" s="28"/>
      <c r="O873" s="255" t="str">
        <f>IF(M873="","",(_xlfn.XLOOKUP(M873,Cadastros!$D$6:$D$90,Cadastros!$E$6:$E$90))*(1-_xlfn.XLOOKUP(_xlfn.XLOOKUP($F873,Clientes!$B$4:$B$39,Clientes!$C$4:$C$39),Cadastros!$L$6:$L$12,Cadastros!$N$6:$N$12)))</f>
        <v/>
      </c>
      <c r="P873" s="168" t="str">
        <f t="shared" si="171"/>
        <v/>
      </c>
      <c r="Q873" s="168" t="str">
        <f>IFERROR(P873/_xlfn.XLOOKUP(_xlfn.XLOOKUP($F873,Clientes!$B$4:$B$39,Clientes!$C$4:$C$39),Cadastros!$L$6:$L$12,Cadastros!$M$6:$M$12)," ")</f>
        <v xml:space="preserve"> </v>
      </c>
      <c r="R873" s="28"/>
      <c r="S873" s="28"/>
      <c r="T873" s="255" t="str">
        <f>IF(R873="","",(_xlfn.XLOOKUP(R873,Cadastros!$D$6:$D$90,Cadastros!$E$6:$E$90))*(1-_xlfn.XLOOKUP(_xlfn.XLOOKUP($F873,Clientes!$B$4:$B$39,Clientes!$C$4:$C$39),Cadastros!$L$6:$L$12,Cadastros!$N$6:$N$12)))</f>
        <v/>
      </c>
      <c r="U873" s="168" t="str">
        <f t="shared" si="172"/>
        <v/>
      </c>
      <c r="V873" s="168" t="str">
        <f>IFERROR(U873/_xlfn.XLOOKUP(_xlfn.XLOOKUP($F873,Clientes!$B$4:$B$39,Clientes!$C$4:$C$39),Cadastros!$L$6:$L$12,Cadastros!$M$6:$M$12)," ")</f>
        <v xml:space="preserve"> </v>
      </c>
      <c r="W873" s="28"/>
      <c r="X873" s="28"/>
      <c r="Y873" s="255" t="str">
        <f>IF(W873="","",(_xlfn.XLOOKUP(W873,Cadastros!$D$6:$D$90,Cadastros!$E$6:$E$90))*(1-_xlfn.XLOOKUP(_xlfn.XLOOKUP($F873,Clientes!$B$4:$B$39,Clientes!$C$4:$C$39),Cadastros!$L$6:$L$12,Cadastros!$N$6:$N$12)))</f>
        <v/>
      </c>
      <c r="Z873" s="168" t="str">
        <f t="shared" si="173"/>
        <v/>
      </c>
      <c r="AA873" s="168" t="str">
        <f>IFERROR(Z873/_xlfn.XLOOKUP(_xlfn.XLOOKUP($F873,Clientes!$B$4:$B$39,Clientes!$C$4:$C$39),Cadastros!$L$6:$L$12,Cadastros!$M$6:$M$12)," ")</f>
        <v xml:space="preserve"> </v>
      </c>
      <c r="AB873" s="28"/>
      <c r="AC873" s="28"/>
      <c r="AD873" s="20" t="str">
        <f>IF(AB873="","",IF($F873="Bernardino Furlan",_xlfn.XLOOKUP(AB873,Cadastros!$G$6:$G$90,Cadastros!$H$6:$H$90)*(1-0.18),IF($F873="Mauro José Salanti",_xlfn.XLOOKUP(AB873,Cadastros!$G$6:$G$90,Cadastros!$H$6:$H$90)*(1-0.18),_xlfn.XLOOKUP(AB873,Cadastros!$G$6:$G$90,Cadastros!$H$6:$H$90))))</f>
        <v/>
      </c>
      <c r="AE873" s="168" t="str">
        <f t="shared" si="174"/>
        <v/>
      </c>
      <c r="AF873" s="168" t="str">
        <f t="shared" si="175"/>
        <v/>
      </c>
      <c r="AG873" s="28"/>
      <c r="AH873" s="28"/>
      <c r="AI873" s="20" t="str">
        <f>IF(AG873="","",IF($F873="Bernardino Furlan",_xlfn.XLOOKUP(AG873,Cadastros!$G$6:$G$90,Cadastros!$H$6:$H$90)*(1-0.18),IF($F873="Mauro José Salanti",_xlfn.XLOOKUP(AG873,Cadastros!$G$6:$G$90,Cadastros!$H$6:$H$90)*(1-0.18),_xlfn.XLOOKUP(AG873,Cadastros!$G$6:$G$90,Cadastros!$H$6:$H$90))))</f>
        <v/>
      </c>
      <c r="AJ873" s="168" t="str">
        <f t="shared" si="176"/>
        <v/>
      </c>
      <c r="AK873" s="168" t="str">
        <f t="shared" si="177"/>
        <v/>
      </c>
      <c r="AL873" s="28"/>
      <c r="AM873" s="28"/>
      <c r="AN873" s="20" t="str">
        <f>IF(AL873="","",IF($F873="Bernardino Furlan",_xlfn.XLOOKUP(AL873,Cadastros!$G$6:$G$90,Cadastros!$H$6:$H$90)*(1-0.18),IF($F873="Mauro José Salanti",_xlfn.XLOOKUP(AL873,Cadastros!$G$6:$G$90,Cadastros!$H$6:$H$90)*(1-0.18),_xlfn.XLOOKUP(AL873,Cadastros!$G$6:$G$90,Cadastros!$H$6:$H$90))))</f>
        <v/>
      </c>
      <c r="AO873" s="168" t="str">
        <f t="shared" si="178"/>
        <v/>
      </c>
      <c r="AP873" s="168" t="str">
        <f t="shared" si="179"/>
        <v/>
      </c>
      <c r="AQ873" s="28"/>
      <c r="AR873" s="28"/>
      <c r="AS873" s="20" t="str">
        <f>IF(AQ873="","",IF($F873="Bernardino Furlan",_xlfn.XLOOKUP(AQ873,Cadastros!$G$6:$G$90,Cadastros!$H$6:$H$90)*(1-0.18),IF($F873="Mauro José Salanti",_xlfn.XLOOKUP(AQ873,Cadastros!$G$6:$G$90,Cadastros!$H$6:$H$90)*(1-0.18),_xlfn.XLOOKUP(AQ873,Cadastros!$G$6:$G$90,Cadastros!$H$6:$H$90))))</f>
        <v/>
      </c>
      <c r="AT873" s="168" t="str">
        <f t="shared" si="180"/>
        <v/>
      </c>
      <c r="AU873" s="168" t="str">
        <f t="shared" si="181"/>
        <v/>
      </c>
      <c r="AV873" s="227"/>
      <c r="AW873" s="30"/>
      <c r="AX873" s="267"/>
      <c r="AY873" s="267"/>
      <c r="AZ873" s="29"/>
      <c r="BA873" s="30"/>
      <c r="BB873" s="23" t="str" cm="1">
        <f t="array" ref="BB873">_xlfn.IFS(AW873="SIM",SUM(K873,P873,U873,Z873,AE873,AJ873,AO873,AT873,AX873,AY873),F873&lt;&gt;"",SUM(K873,P873,U873,Z873,AE873,AJ873,,AO873,AT873),F873="","")</f>
        <v/>
      </c>
      <c r="BC873" s="211" t="str" cm="1">
        <f t="array" ref="BC873">_xlfn.IFS(E873="","",G873&lt;=E873,BB873*(1-0.03),G873&lt;(E873+8),BB873,AZ873="Boleto",BB873*(1+0.001)^DATEDIF(E873,G873,"D"),AZ873="Cheque",BB873,AZ873="Dinheiro","Alterar forma pgto")</f>
        <v/>
      </c>
      <c r="BD873" s="276" t="str" cm="1">
        <f t="array" ref="BD873">IF(F873=0," ",IF(BC873&lt;BB873,(_xlfn.IFS(AW873="SIM",SUM(L873,Q873,V873,AA873,AF873,AK873,AP873,AU873)+AX873/_xlfn.XLOOKUP(_xlfn.XLOOKUP($F873,Clientes!$B$4:$B$39,Clientes!$C$4:$C$39),Cadastros!$L$6:$L$12,Cadastros!$M$6:$M$12)+IF($F873="Bernardino Furlan",AY873/2751.92,IF($F873="Mauro José Salanti",AY873/2751.92,AY873/3356)),F873&lt;&gt;0,SUM(L873,Q873,V873,AA873,AF873,AK873,AP873,AU873)))*(1-0.03),_xlfn.IFS(AW873="SIM",SUM(L873,Q873,V873,AA873,AF873,AK873,AP873,AU873)+AX873/_xlfn.XLOOKUP(_xlfn.XLOOKUP($F873,Clientes!$B$4:$B$39,Clientes!$C$4:$C$39),Cadastros!$L$6:$L$12,Cadastros!$M$6:$M$12)+IF($F873="Bernardino Furlan",AY873/2751.92,IF($F873="Mauro José Salanti",AY873/2751.92,AY873/3356)),F873&lt;&gt;0,SUM(L873,Q873,V873,AA873,AF873,AK873,AP873,AU873))))</f>
        <v xml:space="preserve"> </v>
      </c>
      <c r="BE873" s="120"/>
      <c r="BF873" s="120"/>
      <c r="BG873" s="120"/>
    </row>
    <row r="874" spans="1:59" s="3" customFormat="1" x14ac:dyDescent="0.3">
      <c r="A874" s="15" t="str">
        <f t="shared" si="169"/>
        <v/>
      </c>
      <c r="B874" s="25"/>
      <c r="C874" s="26"/>
      <c r="D874" s="279"/>
      <c r="E874" s="27"/>
      <c r="F874" s="28"/>
      <c r="G874" s="27"/>
      <c r="H874" s="28"/>
      <c r="I874" s="28"/>
      <c r="J874" s="255" t="str">
        <f>IF(H874="","",(_xlfn.XLOOKUP(H874,Cadastros!$D$6:$D$90,Cadastros!$E$6:$E$90))*(1-_xlfn.XLOOKUP(_xlfn.XLOOKUP($F874,Clientes!$B$4:$B$39,Clientes!$C$4:$C$39),Cadastros!$L$6:$L$12,Cadastros!$N$6:$N$12)))</f>
        <v/>
      </c>
      <c r="K874" s="168" t="str">
        <f t="shared" si="170"/>
        <v/>
      </c>
      <c r="L874" s="168" t="str">
        <f>IFERROR(K874/_xlfn.XLOOKUP(_xlfn.XLOOKUP($F874,Clientes!$B$4:$B$39,Clientes!$C$4:$C$39),Cadastros!$L$6:$L$12,Cadastros!$M$6:$M$12)," ")</f>
        <v xml:space="preserve"> </v>
      </c>
      <c r="M874" s="28"/>
      <c r="N874" s="28"/>
      <c r="O874" s="255" t="str">
        <f>IF(M874="","",(_xlfn.XLOOKUP(M874,Cadastros!$D$6:$D$90,Cadastros!$E$6:$E$90))*(1-_xlfn.XLOOKUP(_xlfn.XLOOKUP($F874,Clientes!$B$4:$B$39,Clientes!$C$4:$C$39),Cadastros!$L$6:$L$12,Cadastros!$N$6:$N$12)))</f>
        <v/>
      </c>
      <c r="P874" s="168" t="str">
        <f t="shared" si="171"/>
        <v/>
      </c>
      <c r="Q874" s="168" t="str">
        <f>IFERROR(P874/_xlfn.XLOOKUP(_xlfn.XLOOKUP($F874,Clientes!$B$4:$B$39,Clientes!$C$4:$C$39),Cadastros!$L$6:$L$12,Cadastros!$M$6:$M$12)," ")</f>
        <v xml:space="preserve"> </v>
      </c>
      <c r="R874" s="28"/>
      <c r="S874" s="28"/>
      <c r="T874" s="255" t="str">
        <f>IF(R874="","",(_xlfn.XLOOKUP(R874,Cadastros!$D$6:$D$90,Cadastros!$E$6:$E$90))*(1-_xlfn.XLOOKUP(_xlfn.XLOOKUP($F874,Clientes!$B$4:$B$39,Clientes!$C$4:$C$39),Cadastros!$L$6:$L$12,Cadastros!$N$6:$N$12)))</f>
        <v/>
      </c>
      <c r="U874" s="168" t="str">
        <f t="shared" si="172"/>
        <v/>
      </c>
      <c r="V874" s="168" t="str">
        <f>IFERROR(U874/_xlfn.XLOOKUP(_xlfn.XLOOKUP($F874,Clientes!$B$4:$B$39,Clientes!$C$4:$C$39),Cadastros!$L$6:$L$12,Cadastros!$M$6:$M$12)," ")</f>
        <v xml:space="preserve"> </v>
      </c>
      <c r="W874" s="28"/>
      <c r="X874" s="28"/>
      <c r="Y874" s="255" t="str">
        <f>IF(W874="","",(_xlfn.XLOOKUP(W874,Cadastros!$D$6:$D$90,Cadastros!$E$6:$E$90))*(1-_xlfn.XLOOKUP(_xlfn.XLOOKUP($F874,Clientes!$B$4:$B$39,Clientes!$C$4:$C$39),Cadastros!$L$6:$L$12,Cadastros!$N$6:$N$12)))</f>
        <v/>
      </c>
      <c r="Z874" s="168" t="str">
        <f t="shared" si="173"/>
        <v/>
      </c>
      <c r="AA874" s="168" t="str">
        <f>IFERROR(Z874/_xlfn.XLOOKUP(_xlfn.XLOOKUP($F874,Clientes!$B$4:$B$39,Clientes!$C$4:$C$39),Cadastros!$L$6:$L$12,Cadastros!$M$6:$M$12)," ")</f>
        <v xml:space="preserve"> </v>
      </c>
      <c r="AB874" s="28"/>
      <c r="AC874" s="28"/>
      <c r="AD874" s="20" t="str">
        <f>IF(AB874="","",IF($F874="Bernardino Furlan",_xlfn.XLOOKUP(AB874,Cadastros!$G$6:$G$90,Cadastros!$H$6:$H$90)*(1-0.18),IF($F874="Mauro José Salanti",_xlfn.XLOOKUP(AB874,Cadastros!$G$6:$G$90,Cadastros!$H$6:$H$90)*(1-0.18),_xlfn.XLOOKUP(AB874,Cadastros!$G$6:$G$90,Cadastros!$H$6:$H$90))))</f>
        <v/>
      </c>
      <c r="AE874" s="168" t="str">
        <f t="shared" si="174"/>
        <v/>
      </c>
      <c r="AF874" s="168" t="str">
        <f t="shared" si="175"/>
        <v/>
      </c>
      <c r="AG874" s="28"/>
      <c r="AH874" s="28"/>
      <c r="AI874" s="20" t="str">
        <f>IF(AG874="","",IF($F874="Bernardino Furlan",_xlfn.XLOOKUP(AG874,Cadastros!$G$6:$G$90,Cadastros!$H$6:$H$90)*(1-0.18),IF($F874="Mauro José Salanti",_xlfn.XLOOKUP(AG874,Cadastros!$G$6:$G$90,Cadastros!$H$6:$H$90)*(1-0.18),_xlfn.XLOOKUP(AG874,Cadastros!$G$6:$G$90,Cadastros!$H$6:$H$90))))</f>
        <v/>
      </c>
      <c r="AJ874" s="168" t="str">
        <f t="shared" si="176"/>
        <v/>
      </c>
      <c r="AK874" s="168" t="str">
        <f t="shared" si="177"/>
        <v/>
      </c>
      <c r="AL874" s="28"/>
      <c r="AM874" s="28"/>
      <c r="AN874" s="20" t="str">
        <f>IF(AL874="","",IF($F874="Bernardino Furlan",_xlfn.XLOOKUP(AL874,Cadastros!$G$6:$G$90,Cadastros!$H$6:$H$90)*(1-0.18),IF($F874="Mauro José Salanti",_xlfn.XLOOKUP(AL874,Cadastros!$G$6:$G$90,Cadastros!$H$6:$H$90)*(1-0.18),_xlfn.XLOOKUP(AL874,Cadastros!$G$6:$G$90,Cadastros!$H$6:$H$90))))</f>
        <v/>
      </c>
      <c r="AO874" s="168" t="str">
        <f t="shared" si="178"/>
        <v/>
      </c>
      <c r="AP874" s="168" t="str">
        <f t="shared" si="179"/>
        <v/>
      </c>
      <c r="AQ874" s="28"/>
      <c r="AR874" s="28"/>
      <c r="AS874" s="20" t="str">
        <f>IF(AQ874="","",IF($F874="Bernardino Furlan",_xlfn.XLOOKUP(AQ874,Cadastros!$G$6:$G$90,Cadastros!$H$6:$H$90)*(1-0.18),IF($F874="Mauro José Salanti",_xlfn.XLOOKUP(AQ874,Cadastros!$G$6:$G$90,Cadastros!$H$6:$H$90)*(1-0.18),_xlfn.XLOOKUP(AQ874,Cadastros!$G$6:$G$90,Cadastros!$H$6:$H$90))))</f>
        <v/>
      </c>
      <c r="AT874" s="168" t="str">
        <f t="shared" si="180"/>
        <v/>
      </c>
      <c r="AU874" s="168" t="str">
        <f t="shared" si="181"/>
        <v/>
      </c>
      <c r="AV874" s="227"/>
      <c r="AW874" s="30"/>
      <c r="AX874" s="267"/>
      <c r="AY874" s="267"/>
      <c r="AZ874" s="29"/>
      <c r="BA874" s="30"/>
      <c r="BB874" s="23" t="str" cm="1">
        <f t="array" ref="BB874">_xlfn.IFS(AW874="SIM",SUM(K874,P874,U874,Z874,AE874,AJ874,AO874,AT874,AX874,AY874),F874&lt;&gt;"",SUM(K874,P874,U874,Z874,AE874,AJ874,,AO874,AT874),F874="","")</f>
        <v/>
      </c>
      <c r="BC874" s="211" t="str" cm="1">
        <f t="array" ref="BC874">_xlfn.IFS(E874="","",G874&lt;=E874,BB874*(1-0.03),G874&lt;(E874+8),BB874,AZ874="Boleto",BB874*(1+0.001)^DATEDIF(E874,G874,"D"),AZ874="Cheque",BB874,AZ874="Dinheiro","Alterar forma pgto")</f>
        <v/>
      </c>
      <c r="BD874" s="276" t="str" cm="1">
        <f t="array" ref="BD874">IF(F874=0," ",IF(BC874&lt;BB874,(_xlfn.IFS(AW874="SIM",SUM(L874,Q874,V874,AA874,AF874,AK874,AP874,AU874)+AX874/_xlfn.XLOOKUP(_xlfn.XLOOKUP($F874,Clientes!$B$4:$B$39,Clientes!$C$4:$C$39),Cadastros!$L$6:$L$12,Cadastros!$M$6:$M$12)+IF($F874="Bernardino Furlan",AY874/2751.92,IF($F874="Mauro José Salanti",AY874/2751.92,AY874/3356)),F874&lt;&gt;0,SUM(L874,Q874,V874,AA874,AF874,AK874,AP874,AU874)))*(1-0.03),_xlfn.IFS(AW874="SIM",SUM(L874,Q874,V874,AA874,AF874,AK874,AP874,AU874)+AX874/_xlfn.XLOOKUP(_xlfn.XLOOKUP($F874,Clientes!$B$4:$B$39,Clientes!$C$4:$C$39),Cadastros!$L$6:$L$12,Cadastros!$M$6:$M$12)+IF($F874="Bernardino Furlan",AY874/2751.92,IF($F874="Mauro José Salanti",AY874/2751.92,AY874/3356)),F874&lt;&gt;0,SUM(L874,Q874,V874,AA874,AF874,AK874,AP874,AU874))))</f>
        <v xml:space="preserve"> </v>
      </c>
      <c r="BE874" s="120"/>
      <c r="BF874" s="120"/>
      <c r="BG874" s="120"/>
    </row>
    <row r="875" spans="1:59" s="3" customFormat="1" x14ac:dyDescent="0.3">
      <c r="A875" s="15" t="str">
        <f t="shared" si="169"/>
        <v/>
      </c>
      <c r="B875" s="25"/>
      <c r="C875" s="26"/>
      <c r="D875" s="279"/>
      <c r="E875" s="27"/>
      <c r="F875" s="28"/>
      <c r="G875" s="27"/>
      <c r="H875" s="28"/>
      <c r="I875" s="28"/>
      <c r="J875" s="255" t="str">
        <f>IF(H875="","",(_xlfn.XLOOKUP(H875,Cadastros!$D$6:$D$90,Cadastros!$E$6:$E$90))*(1-_xlfn.XLOOKUP(_xlfn.XLOOKUP($F875,Clientes!$B$4:$B$39,Clientes!$C$4:$C$39),Cadastros!$L$6:$L$12,Cadastros!$N$6:$N$12)))</f>
        <v/>
      </c>
      <c r="K875" s="168" t="str">
        <f t="shared" si="170"/>
        <v/>
      </c>
      <c r="L875" s="168" t="str">
        <f>IFERROR(K875/_xlfn.XLOOKUP(_xlfn.XLOOKUP($F875,Clientes!$B$4:$B$39,Clientes!$C$4:$C$39),Cadastros!$L$6:$L$12,Cadastros!$M$6:$M$12)," ")</f>
        <v xml:space="preserve"> </v>
      </c>
      <c r="M875" s="28"/>
      <c r="N875" s="28"/>
      <c r="O875" s="255" t="str">
        <f>IF(M875="","",(_xlfn.XLOOKUP(M875,Cadastros!$D$6:$D$90,Cadastros!$E$6:$E$90))*(1-_xlfn.XLOOKUP(_xlfn.XLOOKUP($F875,Clientes!$B$4:$B$39,Clientes!$C$4:$C$39),Cadastros!$L$6:$L$12,Cadastros!$N$6:$N$12)))</f>
        <v/>
      </c>
      <c r="P875" s="168" t="str">
        <f t="shared" si="171"/>
        <v/>
      </c>
      <c r="Q875" s="168" t="str">
        <f>IFERROR(P875/_xlfn.XLOOKUP(_xlfn.XLOOKUP($F875,Clientes!$B$4:$B$39,Clientes!$C$4:$C$39),Cadastros!$L$6:$L$12,Cadastros!$M$6:$M$12)," ")</f>
        <v xml:space="preserve"> </v>
      </c>
      <c r="R875" s="28"/>
      <c r="S875" s="28"/>
      <c r="T875" s="255" t="str">
        <f>IF(R875="","",(_xlfn.XLOOKUP(R875,Cadastros!$D$6:$D$90,Cadastros!$E$6:$E$90))*(1-_xlfn.XLOOKUP(_xlfn.XLOOKUP($F875,Clientes!$B$4:$B$39,Clientes!$C$4:$C$39),Cadastros!$L$6:$L$12,Cadastros!$N$6:$N$12)))</f>
        <v/>
      </c>
      <c r="U875" s="168" t="str">
        <f t="shared" si="172"/>
        <v/>
      </c>
      <c r="V875" s="168" t="str">
        <f>IFERROR(U875/_xlfn.XLOOKUP(_xlfn.XLOOKUP($F875,Clientes!$B$4:$B$39,Clientes!$C$4:$C$39),Cadastros!$L$6:$L$12,Cadastros!$M$6:$M$12)," ")</f>
        <v xml:space="preserve"> </v>
      </c>
      <c r="W875" s="28"/>
      <c r="X875" s="28"/>
      <c r="Y875" s="255" t="str">
        <f>IF(W875="","",(_xlfn.XLOOKUP(W875,Cadastros!$D$6:$D$90,Cadastros!$E$6:$E$90))*(1-_xlfn.XLOOKUP(_xlfn.XLOOKUP($F875,Clientes!$B$4:$B$39,Clientes!$C$4:$C$39),Cadastros!$L$6:$L$12,Cadastros!$N$6:$N$12)))</f>
        <v/>
      </c>
      <c r="Z875" s="168" t="str">
        <f t="shared" si="173"/>
        <v/>
      </c>
      <c r="AA875" s="168" t="str">
        <f>IFERROR(Z875/_xlfn.XLOOKUP(_xlfn.XLOOKUP($F875,Clientes!$B$4:$B$39,Clientes!$C$4:$C$39),Cadastros!$L$6:$L$12,Cadastros!$M$6:$M$12)," ")</f>
        <v xml:space="preserve"> </v>
      </c>
      <c r="AB875" s="28"/>
      <c r="AC875" s="28"/>
      <c r="AD875" s="20" t="str">
        <f>IF(AB875="","",IF($F875="Bernardino Furlan",_xlfn.XLOOKUP(AB875,Cadastros!$G$6:$G$90,Cadastros!$H$6:$H$90)*(1-0.18),IF($F875="Mauro José Salanti",_xlfn.XLOOKUP(AB875,Cadastros!$G$6:$G$90,Cadastros!$H$6:$H$90)*(1-0.18),_xlfn.XLOOKUP(AB875,Cadastros!$G$6:$G$90,Cadastros!$H$6:$H$90))))</f>
        <v/>
      </c>
      <c r="AE875" s="168" t="str">
        <f t="shared" si="174"/>
        <v/>
      </c>
      <c r="AF875" s="168" t="str">
        <f t="shared" si="175"/>
        <v/>
      </c>
      <c r="AG875" s="28"/>
      <c r="AH875" s="28"/>
      <c r="AI875" s="20" t="str">
        <f>IF(AG875="","",IF($F875="Bernardino Furlan",_xlfn.XLOOKUP(AG875,Cadastros!$G$6:$G$90,Cadastros!$H$6:$H$90)*(1-0.18),IF($F875="Mauro José Salanti",_xlfn.XLOOKUP(AG875,Cadastros!$G$6:$G$90,Cadastros!$H$6:$H$90)*(1-0.18),_xlfn.XLOOKUP(AG875,Cadastros!$G$6:$G$90,Cadastros!$H$6:$H$90))))</f>
        <v/>
      </c>
      <c r="AJ875" s="168" t="str">
        <f t="shared" si="176"/>
        <v/>
      </c>
      <c r="AK875" s="168" t="str">
        <f t="shared" si="177"/>
        <v/>
      </c>
      <c r="AL875" s="28"/>
      <c r="AM875" s="28"/>
      <c r="AN875" s="20" t="str">
        <f>IF(AL875="","",IF($F875="Bernardino Furlan",_xlfn.XLOOKUP(AL875,Cadastros!$G$6:$G$90,Cadastros!$H$6:$H$90)*(1-0.18),IF($F875="Mauro José Salanti",_xlfn.XLOOKUP(AL875,Cadastros!$G$6:$G$90,Cadastros!$H$6:$H$90)*(1-0.18),_xlfn.XLOOKUP(AL875,Cadastros!$G$6:$G$90,Cadastros!$H$6:$H$90))))</f>
        <v/>
      </c>
      <c r="AO875" s="168" t="str">
        <f t="shared" si="178"/>
        <v/>
      </c>
      <c r="AP875" s="168" t="str">
        <f t="shared" si="179"/>
        <v/>
      </c>
      <c r="AQ875" s="28"/>
      <c r="AR875" s="28"/>
      <c r="AS875" s="20" t="str">
        <f>IF(AQ875="","",IF($F875="Bernardino Furlan",_xlfn.XLOOKUP(AQ875,Cadastros!$G$6:$G$90,Cadastros!$H$6:$H$90)*(1-0.18),IF($F875="Mauro José Salanti",_xlfn.XLOOKUP(AQ875,Cadastros!$G$6:$G$90,Cadastros!$H$6:$H$90)*(1-0.18),_xlfn.XLOOKUP(AQ875,Cadastros!$G$6:$G$90,Cadastros!$H$6:$H$90))))</f>
        <v/>
      </c>
      <c r="AT875" s="168" t="str">
        <f t="shared" si="180"/>
        <v/>
      </c>
      <c r="AU875" s="168" t="str">
        <f t="shared" si="181"/>
        <v/>
      </c>
      <c r="AV875" s="227"/>
      <c r="AW875" s="30"/>
      <c r="AX875" s="267"/>
      <c r="AY875" s="267"/>
      <c r="AZ875" s="29"/>
      <c r="BA875" s="30"/>
      <c r="BB875" s="23" t="str" cm="1">
        <f t="array" ref="BB875">_xlfn.IFS(AW875="SIM",SUM(K875,P875,U875,Z875,AE875,AJ875,AO875,AT875,AX875,AY875),F875&lt;&gt;"",SUM(K875,P875,U875,Z875,AE875,AJ875,,AO875,AT875),F875="","")</f>
        <v/>
      </c>
      <c r="BC875" s="211" t="str" cm="1">
        <f t="array" ref="BC875">_xlfn.IFS(E875="","",G875&lt;=E875,BB875*(1-0.03),G875&lt;(E875+8),BB875,AZ875="Boleto",BB875*(1+0.001)^DATEDIF(E875,G875,"D"),AZ875="Cheque",BB875,AZ875="Dinheiro","Alterar forma pgto")</f>
        <v/>
      </c>
      <c r="BD875" s="276" t="str" cm="1">
        <f t="array" ref="BD875">IF(F875=0," ",IF(BC875&lt;BB875,(_xlfn.IFS(AW875="SIM",SUM(L875,Q875,V875,AA875,AF875,AK875,AP875,AU875)+AX875/_xlfn.XLOOKUP(_xlfn.XLOOKUP($F875,Clientes!$B$4:$B$39,Clientes!$C$4:$C$39),Cadastros!$L$6:$L$12,Cadastros!$M$6:$M$12)+IF($F875="Bernardino Furlan",AY875/2751.92,IF($F875="Mauro José Salanti",AY875/2751.92,AY875/3356)),F875&lt;&gt;0,SUM(L875,Q875,V875,AA875,AF875,AK875,AP875,AU875)))*(1-0.03),_xlfn.IFS(AW875="SIM",SUM(L875,Q875,V875,AA875,AF875,AK875,AP875,AU875)+AX875/_xlfn.XLOOKUP(_xlfn.XLOOKUP($F875,Clientes!$B$4:$B$39,Clientes!$C$4:$C$39),Cadastros!$L$6:$L$12,Cadastros!$M$6:$M$12)+IF($F875="Bernardino Furlan",AY875/2751.92,IF($F875="Mauro José Salanti",AY875/2751.92,AY875/3356)),F875&lt;&gt;0,SUM(L875,Q875,V875,AA875,AF875,AK875,AP875,AU875))))</f>
        <v xml:space="preserve"> </v>
      </c>
      <c r="BE875" s="120"/>
      <c r="BF875" s="120"/>
      <c r="BG875" s="120"/>
    </row>
    <row r="876" spans="1:59" s="3" customFormat="1" x14ac:dyDescent="0.3">
      <c r="A876" s="15" t="str">
        <f t="shared" si="169"/>
        <v/>
      </c>
      <c r="B876" s="25"/>
      <c r="C876" s="26"/>
      <c r="D876" s="279"/>
      <c r="E876" s="27"/>
      <c r="F876" s="28"/>
      <c r="G876" s="27"/>
      <c r="H876" s="28"/>
      <c r="I876" s="28"/>
      <c r="J876" s="255" t="str">
        <f>IF(H876="","",(_xlfn.XLOOKUP(H876,Cadastros!$D$6:$D$90,Cadastros!$E$6:$E$90))*(1-_xlfn.XLOOKUP(_xlfn.XLOOKUP($F876,Clientes!$B$4:$B$39,Clientes!$C$4:$C$39),Cadastros!$L$6:$L$12,Cadastros!$N$6:$N$12)))</f>
        <v/>
      </c>
      <c r="K876" s="168" t="str">
        <f t="shared" si="170"/>
        <v/>
      </c>
      <c r="L876" s="168" t="str">
        <f>IFERROR(K876/_xlfn.XLOOKUP(_xlfn.XLOOKUP($F876,Clientes!$B$4:$B$39,Clientes!$C$4:$C$39),Cadastros!$L$6:$L$12,Cadastros!$M$6:$M$12)," ")</f>
        <v xml:space="preserve"> </v>
      </c>
      <c r="M876" s="28"/>
      <c r="N876" s="28"/>
      <c r="O876" s="255" t="str">
        <f>IF(M876="","",(_xlfn.XLOOKUP(M876,Cadastros!$D$6:$D$90,Cadastros!$E$6:$E$90))*(1-_xlfn.XLOOKUP(_xlfn.XLOOKUP($F876,Clientes!$B$4:$B$39,Clientes!$C$4:$C$39),Cadastros!$L$6:$L$12,Cadastros!$N$6:$N$12)))</f>
        <v/>
      </c>
      <c r="P876" s="168" t="str">
        <f t="shared" si="171"/>
        <v/>
      </c>
      <c r="Q876" s="168" t="str">
        <f>IFERROR(P876/_xlfn.XLOOKUP(_xlfn.XLOOKUP($F876,Clientes!$B$4:$B$39,Clientes!$C$4:$C$39),Cadastros!$L$6:$L$12,Cadastros!$M$6:$M$12)," ")</f>
        <v xml:space="preserve"> </v>
      </c>
      <c r="R876" s="28"/>
      <c r="S876" s="28"/>
      <c r="T876" s="255" t="str">
        <f>IF(R876="","",(_xlfn.XLOOKUP(R876,Cadastros!$D$6:$D$90,Cadastros!$E$6:$E$90))*(1-_xlfn.XLOOKUP(_xlfn.XLOOKUP($F876,Clientes!$B$4:$B$39,Clientes!$C$4:$C$39),Cadastros!$L$6:$L$12,Cadastros!$N$6:$N$12)))</f>
        <v/>
      </c>
      <c r="U876" s="168" t="str">
        <f t="shared" si="172"/>
        <v/>
      </c>
      <c r="V876" s="168" t="str">
        <f>IFERROR(U876/_xlfn.XLOOKUP(_xlfn.XLOOKUP($F876,Clientes!$B$4:$B$39,Clientes!$C$4:$C$39),Cadastros!$L$6:$L$12,Cadastros!$M$6:$M$12)," ")</f>
        <v xml:space="preserve"> </v>
      </c>
      <c r="W876" s="28"/>
      <c r="X876" s="28"/>
      <c r="Y876" s="255" t="str">
        <f>IF(W876="","",(_xlfn.XLOOKUP(W876,Cadastros!$D$6:$D$90,Cadastros!$E$6:$E$90))*(1-_xlfn.XLOOKUP(_xlfn.XLOOKUP($F876,Clientes!$B$4:$B$39,Clientes!$C$4:$C$39),Cadastros!$L$6:$L$12,Cadastros!$N$6:$N$12)))</f>
        <v/>
      </c>
      <c r="Z876" s="168" t="str">
        <f t="shared" si="173"/>
        <v/>
      </c>
      <c r="AA876" s="168" t="str">
        <f>IFERROR(Z876/_xlfn.XLOOKUP(_xlfn.XLOOKUP($F876,Clientes!$B$4:$B$39,Clientes!$C$4:$C$39),Cadastros!$L$6:$L$12,Cadastros!$M$6:$M$12)," ")</f>
        <v xml:space="preserve"> </v>
      </c>
      <c r="AB876" s="28"/>
      <c r="AC876" s="28"/>
      <c r="AD876" s="20" t="str">
        <f>IF(AB876="","",IF($F876="Bernardino Furlan",_xlfn.XLOOKUP(AB876,Cadastros!$G$6:$G$90,Cadastros!$H$6:$H$90)*(1-0.18),IF($F876="Mauro José Salanti",_xlfn.XLOOKUP(AB876,Cadastros!$G$6:$G$90,Cadastros!$H$6:$H$90)*(1-0.18),_xlfn.XLOOKUP(AB876,Cadastros!$G$6:$G$90,Cadastros!$H$6:$H$90))))</f>
        <v/>
      </c>
      <c r="AE876" s="168" t="str">
        <f t="shared" si="174"/>
        <v/>
      </c>
      <c r="AF876" s="168" t="str">
        <f t="shared" si="175"/>
        <v/>
      </c>
      <c r="AG876" s="28"/>
      <c r="AH876" s="28"/>
      <c r="AI876" s="20" t="str">
        <f>IF(AG876="","",IF($F876="Bernardino Furlan",_xlfn.XLOOKUP(AG876,Cadastros!$G$6:$G$90,Cadastros!$H$6:$H$90)*(1-0.18),IF($F876="Mauro José Salanti",_xlfn.XLOOKUP(AG876,Cadastros!$G$6:$G$90,Cadastros!$H$6:$H$90)*(1-0.18),_xlfn.XLOOKUP(AG876,Cadastros!$G$6:$G$90,Cadastros!$H$6:$H$90))))</f>
        <v/>
      </c>
      <c r="AJ876" s="168" t="str">
        <f t="shared" si="176"/>
        <v/>
      </c>
      <c r="AK876" s="168" t="str">
        <f t="shared" si="177"/>
        <v/>
      </c>
      <c r="AL876" s="28"/>
      <c r="AM876" s="28"/>
      <c r="AN876" s="20" t="str">
        <f>IF(AL876="","",IF($F876="Bernardino Furlan",_xlfn.XLOOKUP(AL876,Cadastros!$G$6:$G$90,Cadastros!$H$6:$H$90)*(1-0.18),IF($F876="Mauro José Salanti",_xlfn.XLOOKUP(AL876,Cadastros!$G$6:$G$90,Cadastros!$H$6:$H$90)*(1-0.18),_xlfn.XLOOKUP(AL876,Cadastros!$G$6:$G$90,Cadastros!$H$6:$H$90))))</f>
        <v/>
      </c>
      <c r="AO876" s="168" t="str">
        <f t="shared" si="178"/>
        <v/>
      </c>
      <c r="AP876" s="168" t="str">
        <f t="shared" si="179"/>
        <v/>
      </c>
      <c r="AQ876" s="28"/>
      <c r="AR876" s="28"/>
      <c r="AS876" s="20" t="str">
        <f>IF(AQ876="","",IF($F876="Bernardino Furlan",_xlfn.XLOOKUP(AQ876,Cadastros!$G$6:$G$90,Cadastros!$H$6:$H$90)*(1-0.18),IF($F876="Mauro José Salanti",_xlfn.XLOOKUP(AQ876,Cadastros!$G$6:$G$90,Cadastros!$H$6:$H$90)*(1-0.18),_xlfn.XLOOKUP(AQ876,Cadastros!$G$6:$G$90,Cadastros!$H$6:$H$90))))</f>
        <v/>
      </c>
      <c r="AT876" s="168" t="str">
        <f t="shared" si="180"/>
        <v/>
      </c>
      <c r="AU876" s="168" t="str">
        <f t="shared" si="181"/>
        <v/>
      </c>
      <c r="AV876" s="227"/>
      <c r="AW876" s="30"/>
      <c r="AX876" s="267"/>
      <c r="AY876" s="267"/>
      <c r="AZ876" s="29"/>
      <c r="BA876" s="30"/>
      <c r="BB876" s="23" t="str" cm="1">
        <f t="array" ref="BB876">_xlfn.IFS(AW876="SIM",SUM(K876,P876,U876,Z876,AE876,AJ876,AO876,AT876,AX876,AY876),F876&lt;&gt;"",SUM(K876,P876,U876,Z876,AE876,AJ876,,AO876,AT876),F876="","")</f>
        <v/>
      </c>
      <c r="BC876" s="211" t="str" cm="1">
        <f t="array" ref="BC876">_xlfn.IFS(E876="","",G876&lt;=E876,BB876*(1-0.03),G876&lt;(E876+8),BB876,AZ876="Boleto",BB876*(1+0.001)^DATEDIF(E876,G876,"D"),AZ876="Cheque",BB876,AZ876="Dinheiro","Alterar forma pgto")</f>
        <v/>
      </c>
      <c r="BD876" s="276" t="str" cm="1">
        <f t="array" ref="BD876">IF(F876=0," ",IF(BC876&lt;BB876,(_xlfn.IFS(AW876="SIM",SUM(L876,Q876,V876,AA876,AF876,AK876,AP876,AU876)+AX876/_xlfn.XLOOKUP(_xlfn.XLOOKUP($F876,Clientes!$B$4:$B$39,Clientes!$C$4:$C$39),Cadastros!$L$6:$L$12,Cadastros!$M$6:$M$12)+IF($F876="Bernardino Furlan",AY876/2751.92,IF($F876="Mauro José Salanti",AY876/2751.92,AY876/3356)),F876&lt;&gt;0,SUM(L876,Q876,V876,AA876,AF876,AK876,AP876,AU876)))*(1-0.03),_xlfn.IFS(AW876="SIM",SUM(L876,Q876,V876,AA876,AF876,AK876,AP876,AU876)+AX876/_xlfn.XLOOKUP(_xlfn.XLOOKUP($F876,Clientes!$B$4:$B$39,Clientes!$C$4:$C$39),Cadastros!$L$6:$L$12,Cadastros!$M$6:$M$12)+IF($F876="Bernardino Furlan",AY876/2751.92,IF($F876="Mauro José Salanti",AY876/2751.92,AY876/3356)),F876&lt;&gt;0,SUM(L876,Q876,V876,AA876,AF876,AK876,AP876,AU876))))</f>
        <v xml:space="preserve"> </v>
      </c>
      <c r="BE876" s="120"/>
      <c r="BF876" s="120"/>
      <c r="BG876" s="120"/>
    </row>
    <row r="877" spans="1:59" s="3" customFormat="1" x14ac:dyDescent="0.3">
      <c r="A877" s="15" t="str">
        <f t="shared" si="169"/>
        <v/>
      </c>
      <c r="B877" s="25"/>
      <c r="C877" s="26"/>
      <c r="D877" s="279"/>
      <c r="E877" s="27"/>
      <c r="F877" s="28"/>
      <c r="G877" s="27"/>
      <c r="H877" s="28"/>
      <c r="I877" s="28"/>
      <c r="J877" s="255" t="str">
        <f>IF(H877="","",(_xlfn.XLOOKUP(H877,Cadastros!$D$6:$D$90,Cadastros!$E$6:$E$90))*(1-_xlfn.XLOOKUP(_xlfn.XLOOKUP($F877,Clientes!$B$4:$B$39,Clientes!$C$4:$C$39),Cadastros!$L$6:$L$12,Cadastros!$N$6:$N$12)))</f>
        <v/>
      </c>
      <c r="K877" s="168" t="str">
        <f t="shared" si="170"/>
        <v/>
      </c>
      <c r="L877" s="168" t="str">
        <f>IFERROR(K877/_xlfn.XLOOKUP(_xlfn.XLOOKUP($F877,Clientes!$B$4:$B$39,Clientes!$C$4:$C$39),Cadastros!$L$6:$L$12,Cadastros!$M$6:$M$12)," ")</f>
        <v xml:space="preserve"> </v>
      </c>
      <c r="M877" s="28"/>
      <c r="N877" s="28"/>
      <c r="O877" s="255" t="str">
        <f>IF(M877="","",(_xlfn.XLOOKUP(M877,Cadastros!$D$6:$D$90,Cadastros!$E$6:$E$90))*(1-_xlfn.XLOOKUP(_xlfn.XLOOKUP($F877,Clientes!$B$4:$B$39,Clientes!$C$4:$C$39),Cadastros!$L$6:$L$12,Cadastros!$N$6:$N$12)))</f>
        <v/>
      </c>
      <c r="P877" s="168" t="str">
        <f t="shared" si="171"/>
        <v/>
      </c>
      <c r="Q877" s="168" t="str">
        <f>IFERROR(P877/_xlfn.XLOOKUP(_xlfn.XLOOKUP($F877,Clientes!$B$4:$B$39,Clientes!$C$4:$C$39),Cadastros!$L$6:$L$12,Cadastros!$M$6:$M$12)," ")</f>
        <v xml:space="preserve"> </v>
      </c>
      <c r="R877" s="28"/>
      <c r="S877" s="28"/>
      <c r="T877" s="255" t="str">
        <f>IF(R877="","",(_xlfn.XLOOKUP(R877,Cadastros!$D$6:$D$90,Cadastros!$E$6:$E$90))*(1-_xlfn.XLOOKUP(_xlfn.XLOOKUP($F877,Clientes!$B$4:$B$39,Clientes!$C$4:$C$39),Cadastros!$L$6:$L$12,Cadastros!$N$6:$N$12)))</f>
        <v/>
      </c>
      <c r="U877" s="168" t="str">
        <f t="shared" si="172"/>
        <v/>
      </c>
      <c r="V877" s="168" t="str">
        <f>IFERROR(U877/_xlfn.XLOOKUP(_xlfn.XLOOKUP($F877,Clientes!$B$4:$B$39,Clientes!$C$4:$C$39),Cadastros!$L$6:$L$12,Cadastros!$M$6:$M$12)," ")</f>
        <v xml:space="preserve"> </v>
      </c>
      <c r="W877" s="28"/>
      <c r="X877" s="28"/>
      <c r="Y877" s="255" t="str">
        <f>IF(W877="","",(_xlfn.XLOOKUP(W877,Cadastros!$D$6:$D$90,Cadastros!$E$6:$E$90))*(1-_xlfn.XLOOKUP(_xlfn.XLOOKUP($F877,Clientes!$B$4:$B$39,Clientes!$C$4:$C$39),Cadastros!$L$6:$L$12,Cadastros!$N$6:$N$12)))</f>
        <v/>
      </c>
      <c r="Z877" s="168" t="str">
        <f t="shared" si="173"/>
        <v/>
      </c>
      <c r="AA877" s="168" t="str">
        <f>IFERROR(Z877/_xlfn.XLOOKUP(_xlfn.XLOOKUP($F877,Clientes!$B$4:$B$39,Clientes!$C$4:$C$39),Cadastros!$L$6:$L$12,Cadastros!$M$6:$M$12)," ")</f>
        <v xml:space="preserve"> </v>
      </c>
      <c r="AB877" s="28"/>
      <c r="AC877" s="28"/>
      <c r="AD877" s="20" t="str">
        <f>IF(AB877="","",IF($F877="Bernardino Furlan",_xlfn.XLOOKUP(AB877,Cadastros!$G$6:$G$90,Cadastros!$H$6:$H$90)*(1-0.18),IF($F877="Mauro José Salanti",_xlfn.XLOOKUP(AB877,Cadastros!$G$6:$G$90,Cadastros!$H$6:$H$90)*(1-0.18),_xlfn.XLOOKUP(AB877,Cadastros!$G$6:$G$90,Cadastros!$H$6:$H$90))))</f>
        <v/>
      </c>
      <c r="AE877" s="168" t="str">
        <f t="shared" si="174"/>
        <v/>
      </c>
      <c r="AF877" s="168" t="str">
        <f t="shared" si="175"/>
        <v/>
      </c>
      <c r="AG877" s="28"/>
      <c r="AH877" s="28"/>
      <c r="AI877" s="20" t="str">
        <f>IF(AG877="","",IF($F877="Bernardino Furlan",_xlfn.XLOOKUP(AG877,Cadastros!$G$6:$G$90,Cadastros!$H$6:$H$90)*(1-0.18),IF($F877="Mauro José Salanti",_xlfn.XLOOKUP(AG877,Cadastros!$G$6:$G$90,Cadastros!$H$6:$H$90)*(1-0.18),_xlfn.XLOOKUP(AG877,Cadastros!$G$6:$G$90,Cadastros!$H$6:$H$90))))</f>
        <v/>
      </c>
      <c r="AJ877" s="168" t="str">
        <f t="shared" si="176"/>
        <v/>
      </c>
      <c r="AK877" s="168" t="str">
        <f t="shared" si="177"/>
        <v/>
      </c>
      <c r="AL877" s="28"/>
      <c r="AM877" s="28"/>
      <c r="AN877" s="20" t="str">
        <f>IF(AL877="","",IF($F877="Bernardino Furlan",_xlfn.XLOOKUP(AL877,Cadastros!$G$6:$G$90,Cadastros!$H$6:$H$90)*(1-0.18),IF($F877="Mauro José Salanti",_xlfn.XLOOKUP(AL877,Cadastros!$G$6:$G$90,Cadastros!$H$6:$H$90)*(1-0.18),_xlfn.XLOOKUP(AL877,Cadastros!$G$6:$G$90,Cadastros!$H$6:$H$90))))</f>
        <v/>
      </c>
      <c r="AO877" s="168" t="str">
        <f t="shared" si="178"/>
        <v/>
      </c>
      <c r="AP877" s="168" t="str">
        <f t="shared" si="179"/>
        <v/>
      </c>
      <c r="AQ877" s="28"/>
      <c r="AR877" s="28"/>
      <c r="AS877" s="20" t="str">
        <f>IF(AQ877="","",IF($F877="Bernardino Furlan",_xlfn.XLOOKUP(AQ877,Cadastros!$G$6:$G$90,Cadastros!$H$6:$H$90)*(1-0.18),IF($F877="Mauro José Salanti",_xlfn.XLOOKUP(AQ877,Cadastros!$G$6:$G$90,Cadastros!$H$6:$H$90)*(1-0.18),_xlfn.XLOOKUP(AQ877,Cadastros!$G$6:$G$90,Cadastros!$H$6:$H$90))))</f>
        <v/>
      </c>
      <c r="AT877" s="168" t="str">
        <f t="shared" si="180"/>
        <v/>
      </c>
      <c r="AU877" s="168" t="str">
        <f t="shared" si="181"/>
        <v/>
      </c>
      <c r="AV877" s="227"/>
      <c r="AW877" s="30"/>
      <c r="AX877" s="267"/>
      <c r="AY877" s="267"/>
      <c r="AZ877" s="29"/>
      <c r="BA877" s="30"/>
      <c r="BB877" s="23" t="str" cm="1">
        <f t="array" ref="BB877">_xlfn.IFS(AW877="SIM",SUM(K877,P877,U877,Z877,AE877,AJ877,AO877,AT877,AX877,AY877),F877&lt;&gt;"",SUM(K877,P877,U877,Z877,AE877,AJ877,,AO877,AT877),F877="","")</f>
        <v/>
      </c>
      <c r="BC877" s="211" t="str" cm="1">
        <f t="array" ref="BC877">_xlfn.IFS(E877="","",G877&lt;=E877,BB877*(1-0.03),G877&lt;(E877+8),BB877,AZ877="Boleto",BB877*(1+0.001)^DATEDIF(E877,G877,"D"),AZ877="Cheque",BB877,AZ877="Dinheiro","Alterar forma pgto")</f>
        <v/>
      </c>
      <c r="BD877" s="276" t="str" cm="1">
        <f t="array" ref="BD877">IF(F877=0," ",IF(BC877&lt;BB877,(_xlfn.IFS(AW877="SIM",SUM(L877,Q877,V877,AA877,AF877,AK877,AP877,AU877)+AX877/_xlfn.XLOOKUP(_xlfn.XLOOKUP($F877,Clientes!$B$4:$B$39,Clientes!$C$4:$C$39),Cadastros!$L$6:$L$12,Cadastros!$M$6:$M$12)+IF($F877="Bernardino Furlan",AY877/2751.92,IF($F877="Mauro José Salanti",AY877/2751.92,AY877/3356)),F877&lt;&gt;0,SUM(L877,Q877,V877,AA877,AF877,AK877,AP877,AU877)))*(1-0.03),_xlfn.IFS(AW877="SIM",SUM(L877,Q877,V877,AA877,AF877,AK877,AP877,AU877)+AX877/_xlfn.XLOOKUP(_xlfn.XLOOKUP($F877,Clientes!$B$4:$B$39,Clientes!$C$4:$C$39),Cadastros!$L$6:$L$12,Cadastros!$M$6:$M$12)+IF($F877="Bernardino Furlan",AY877/2751.92,IF($F877="Mauro José Salanti",AY877/2751.92,AY877/3356)),F877&lt;&gt;0,SUM(L877,Q877,V877,AA877,AF877,AK877,AP877,AU877))))</f>
        <v xml:space="preserve"> </v>
      </c>
      <c r="BE877" s="120"/>
      <c r="BF877" s="120"/>
      <c r="BG877" s="120"/>
    </row>
    <row r="878" spans="1:59" s="3" customFormat="1" x14ac:dyDescent="0.3">
      <c r="A878" s="15" t="str">
        <f t="shared" si="169"/>
        <v/>
      </c>
      <c r="B878" s="25"/>
      <c r="C878" s="26"/>
      <c r="D878" s="279"/>
      <c r="E878" s="27"/>
      <c r="F878" s="28"/>
      <c r="G878" s="27"/>
      <c r="H878" s="28"/>
      <c r="I878" s="28"/>
      <c r="J878" s="255" t="str">
        <f>IF(H878="","",(_xlfn.XLOOKUP(H878,Cadastros!$D$6:$D$90,Cadastros!$E$6:$E$90))*(1-_xlfn.XLOOKUP(_xlfn.XLOOKUP($F878,Clientes!$B$4:$B$39,Clientes!$C$4:$C$39),Cadastros!$L$6:$L$12,Cadastros!$N$6:$N$12)))</f>
        <v/>
      </c>
      <c r="K878" s="168" t="str">
        <f t="shared" si="170"/>
        <v/>
      </c>
      <c r="L878" s="168" t="str">
        <f>IFERROR(K878/_xlfn.XLOOKUP(_xlfn.XLOOKUP($F878,Clientes!$B$4:$B$39,Clientes!$C$4:$C$39),Cadastros!$L$6:$L$12,Cadastros!$M$6:$M$12)," ")</f>
        <v xml:space="preserve"> </v>
      </c>
      <c r="M878" s="28"/>
      <c r="N878" s="28"/>
      <c r="O878" s="255" t="str">
        <f>IF(M878="","",(_xlfn.XLOOKUP(M878,Cadastros!$D$6:$D$90,Cadastros!$E$6:$E$90))*(1-_xlfn.XLOOKUP(_xlfn.XLOOKUP($F878,Clientes!$B$4:$B$39,Clientes!$C$4:$C$39),Cadastros!$L$6:$L$12,Cadastros!$N$6:$N$12)))</f>
        <v/>
      </c>
      <c r="P878" s="168" t="str">
        <f t="shared" si="171"/>
        <v/>
      </c>
      <c r="Q878" s="168" t="str">
        <f>IFERROR(P878/_xlfn.XLOOKUP(_xlfn.XLOOKUP($F878,Clientes!$B$4:$B$39,Clientes!$C$4:$C$39),Cadastros!$L$6:$L$12,Cadastros!$M$6:$M$12)," ")</f>
        <v xml:space="preserve"> </v>
      </c>
      <c r="R878" s="28"/>
      <c r="S878" s="28"/>
      <c r="T878" s="255" t="str">
        <f>IF(R878="","",(_xlfn.XLOOKUP(R878,Cadastros!$D$6:$D$90,Cadastros!$E$6:$E$90))*(1-_xlfn.XLOOKUP(_xlfn.XLOOKUP($F878,Clientes!$B$4:$B$39,Clientes!$C$4:$C$39),Cadastros!$L$6:$L$12,Cadastros!$N$6:$N$12)))</f>
        <v/>
      </c>
      <c r="U878" s="168" t="str">
        <f t="shared" si="172"/>
        <v/>
      </c>
      <c r="V878" s="168" t="str">
        <f>IFERROR(U878/_xlfn.XLOOKUP(_xlfn.XLOOKUP($F878,Clientes!$B$4:$B$39,Clientes!$C$4:$C$39),Cadastros!$L$6:$L$12,Cadastros!$M$6:$M$12)," ")</f>
        <v xml:space="preserve"> </v>
      </c>
      <c r="W878" s="28"/>
      <c r="X878" s="28"/>
      <c r="Y878" s="255" t="str">
        <f>IF(W878="","",(_xlfn.XLOOKUP(W878,Cadastros!$D$6:$D$90,Cadastros!$E$6:$E$90))*(1-_xlfn.XLOOKUP(_xlfn.XLOOKUP($F878,Clientes!$B$4:$B$39,Clientes!$C$4:$C$39),Cadastros!$L$6:$L$12,Cadastros!$N$6:$N$12)))</f>
        <v/>
      </c>
      <c r="Z878" s="168" t="str">
        <f t="shared" si="173"/>
        <v/>
      </c>
      <c r="AA878" s="168" t="str">
        <f>IFERROR(Z878/_xlfn.XLOOKUP(_xlfn.XLOOKUP($F878,Clientes!$B$4:$B$39,Clientes!$C$4:$C$39),Cadastros!$L$6:$L$12,Cadastros!$M$6:$M$12)," ")</f>
        <v xml:space="preserve"> </v>
      </c>
      <c r="AB878" s="28"/>
      <c r="AC878" s="28"/>
      <c r="AD878" s="20" t="str">
        <f>IF(AB878="","",IF($F878="Bernardino Furlan",_xlfn.XLOOKUP(AB878,Cadastros!$G$6:$G$90,Cadastros!$H$6:$H$90)*(1-0.18),IF($F878="Mauro José Salanti",_xlfn.XLOOKUP(AB878,Cadastros!$G$6:$G$90,Cadastros!$H$6:$H$90)*(1-0.18),_xlfn.XLOOKUP(AB878,Cadastros!$G$6:$G$90,Cadastros!$H$6:$H$90))))</f>
        <v/>
      </c>
      <c r="AE878" s="168" t="str">
        <f t="shared" si="174"/>
        <v/>
      </c>
      <c r="AF878" s="168" t="str">
        <f t="shared" si="175"/>
        <v/>
      </c>
      <c r="AG878" s="28"/>
      <c r="AH878" s="28"/>
      <c r="AI878" s="20" t="str">
        <f>IF(AG878="","",IF($F878="Bernardino Furlan",_xlfn.XLOOKUP(AG878,Cadastros!$G$6:$G$90,Cadastros!$H$6:$H$90)*(1-0.18),IF($F878="Mauro José Salanti",_xlfn.XLOOKUP(AG878,Cadastros!$G$6:$G$90,Cadastros!$H$6:$H$90)*(1-0.18),_xlfn.XLOOKUP(AG878,Cadastros!$G$6:$G$90,Cadastros!$H$6:$H$90))))</f>
        <v/>
      </c>
      <c r="AJ878" s="168" t="str">
        <f t="shared" si="176"/>
        <v/>
      </c>
      <c r="AK878" s="168" t="str">
        <f t="shared" si="177"/>
        <v/>
      </c>
      <c r="AL878" s="28"/>
      <c r="AM878" s="28"/>
      <c r="AN878" s="20" t="str">
        <f>IF(AL878="","",IF($F878="Bernardino Furlan",_xlfn.XLOOKUP(AL878,Cadastros!$G$6:$G$90,Cadastros!$H$6:$H$90)*(1-0.18),IF($F878="Mauro José Salanti",_xlfn.XLOOKUP(AL878,Cadastros!$G$6:$G$90,Cadastros!$H$6:$H$90)*(1-0.18),_xlfn.XLOOKUP(AL878,Cadastros!$G$6:$G$90,Cadastros!$H$6:$H$90))))</f>
        <v/>
      </c>
      <c r="AO878" s="168" t="str">
        <f t="shared" si="178"/>
        <v/>
      </c>
      <c r="AP878" s="168" t="str">
        <f t="shared" si="179"/>
        <v/>
      </c>
      <c r="AQ878" s="28"/>
      <c r="AR878" s="28"/>
      <c r="AS878" s="20" t="str">
        <f>IF(AQ878="","",IF($F878="Bernardino Furlan",_xlfn.XLOOKUP(AQ878,Cadastros!$G$6:$G$90,Cadastros!$H$6:$H$90)*(1-0.18),IF($F878="Mauro José Salanti",_xlfn.XLOOKUP(AQ878,Cadastros!$G$6:$G$90,Cadastros!$H$6:$H$90)*(1-0.18),_xlfn.XLOOKUP(AQ878,Cadastros!$G$6:$G$90,Cadastros!$H$6:$H$90))))</f>
        <v/>
      </c>
      <c r="AT878" s="168" t="str">
        <f t="shared" si="180"/>
        <v/>
      </c>
      <c r="AU878" s="168" t="str">
        <f t="shared" si="181"/>
        <v/>
      </c>
      <c r="AV878" s="227"/>
      <c r="AW878" s="30"/>
      <c r="AX878" s="267"/>
      <c r="AY878" s="267"/>
      <c r="AZ878" s="29"/>
      <c r="BA878" s="30"/>
      <c r="BB878" s="23" t="str" cm="1">
        <f t="array" ref="BB878">_xlfn.IFS(AW878="SIM",SUM(K878,P878,U878,Z878,AE878,AJ878,AO878,AT878,AX878,AY878),F878&lt;&gt;"",SUM(K878,P878,U878,Z878,AE878,AJ878,,AO878,AT878),F878="","")</f>
        <v/>
      </c>
      <c r="BC878" s="211" t="str" cm="1">
        <f t="array" ref="BC878">_xlfn.IFS(E878="","",G878&lt;=E878,BB878*(1-0.03),G878&lt;(E878+8),BB878,AZ878="Boleto",BB878*(1+0.001)^DATEDIF(E878,G878,"D"),AZ878="Cheque",BB878,AZ878="Dinheiro","Alterar forma pgto")</f>
        <v/>
      </c>
      <c r="BD878" s="276" t="str" cm="1">
        <f t="array" ref="BD878">IF(F878=0," ",IF(BC878&lt;BB878,(_xlfn.IFS(AW878="SIM",SUM(L878,Q878,V878,AA878,AF878,AK878,AP878,AU878)+AX878/_xlfn.XLOOKUP(_xlfn.XLOOKUP($F878,Clientes!$B$4:$B$39,Clientes!$C$4:$C$39),Cadastros!$L$6:$L$12,Cadastros!$M$6:$M$12)+IF($F878="Bernardino Furlan",AY878/2751.92,IF($F878="Mauro José Salanti",AY878/2751.92,AY878/3356)),F878&lt;&gt;0,SUM(L878,Q878,V878,AA878,AF878,AK878,AP878,AU878)))*(1-0.03),_xlfn.IFS(AW878="SIM",SUM(L878,Q878,V878,AA878,AF878,AK878,AP878,AU878)+AX878/_xlfn.XLOOKUP(_xlfn.XLOOKUP($F878,Clientes!$B$4:$B$39,Clientes!$C$4:$C$39),Cadastros!$L$6:$L$12,Cadastros!$M$6:$M$12)+IF($F878="Bernardino Furlan",AY878/2751.92,IF($F878="Mauro José Salanti",AY878/2751.92,AY878/3356)),F878&lt;&gt;0,SUM(L878,Q878,V878,AA878,AF878,AK878,AP878,AU878))))</f>
        <v xml:space="preserve"> </v>
      </c>
      <c r="BE878" s="120"/>
      <c r="BF878" s="120"/>
      <c r="BG878" s="120"/>
    </row>
    <row r="879" spans="1:59" s="3" customFormat="1" x14ac:dyDescent="0.3">
      <c r="A879" s="15" t="str">
        <f t="shared" si="169"/>
        <v/>
      </c>
      <c r="B879" s="25"/>
      <c r="C879" s="26"/>
      <c r="D879" s="279"/>
      <c r="E879" s="27"/>
      <c r="F879" s="28"/>
      <c r="G879" s="27"/>
      <c r="H879" s="28"/>
      <c r="I879" s="28"/>
      <c r="J879" s="255" t="str">
        <f>IF(H879="","",(_xlfn.XLOOKUP(H879,Cadastros!$D$6:$D$90,Cadastros!$E$6:$E$90))*(1-_xlfn.XLOOKUP(_xlfn.XLOOKUP($F879,Clientes!$B$4:$B$39,Clientes!$C$4:$C$39),Cadastros!$L$6:$L$12,Cadastros!$N$6:$N$12)))</f>
        <v/>
      </c>
      <c r="K879" s="168" t="str">
        <f t="shared" si="170"/>
        <v/>
      </c>
      <c r="L879" s="168" t="str">
        <f>IFERROR(K879/_xlfn.XLOOKUP(_xlfn.XLOOKUP($F879,Clientes!$B$4:$B$39,Clientes!$C$4:$C$39),Cadastros!$L$6:$L$12,Cadastros!$M$6:$M$12)," ")</f>
        <v xml:space="preserve"> </v>
      </c>
      <c r="M879" s="28"/>
      <c r="N879" s="28"/>
      <c r="O879" s="255" t="str">
        <f>IF(M879="","",(_xlfn.XLOOKUP(M879,Cadastros!$D$6:$D$90,Cadastros!$E$6:$E$90))*(1-_xlfn.XLOOKUP(_xlfn.XLOOKUP($F879,Clientes!$B$4:$B$39,Clientes!$C$4:$C$39),Cadastros!$L$6:$L$12,Cadastros!$N$6:$N$12)))</f>
        <v/>
      </c>
      <c r="P879" s="168" t="str">
        <f t="shared" si="171"/>
        <v/>
      </c>
      <c r="Q879" s="168" t="str">
        <f>IFERROR(P879/_xlfn.XLOOKUP(_xlfn.XLOOKUP($F879,Clientes!$B$4:$B$39,Clientes!$C$4:$C$39),Cadastros!$L$6:$L$12,Cadastros!$M$6:$M$12)," ")</f>
        <v xml:space="preserve"> </v>
      </c>
      <c r="R879" s="28"/>
      <c r="S879" s="28"/>
      <c r="T879" s="255" t="str">
        <f>IF(R879="","",(_xlfn.XLOOKUP(R879,Cadastros!$D$6:$D$90,Cadastros!$E$6:$E$90))*(1-_xlfn.XLOOKUP(_xlfn.XLOOKUP($F879,Clientes!$B$4:$B$39,Clientes!$C$4:$C$39),Cadastros!$L$6:$L$12,Cadastros!$N$6:$N$12)))</f>
        <v/>
      </c>
      <c r="U879" s="168" t="str">
        <f t="shared" si="172"/>
        <v/>
      </c>
      <c r="V879" s="168" t="str">
        <f>IFERROR(U879/_xlfn.XLOOKUP(_xlfn.XLOOKUP($F879,Clientes!$B$4:$B$39,Clientes!$C$4:$C$39),Cadastros!$L$6:$L$12,Cadastros!$M$6:$M$12)," ")</f>
        <v xml:space="preserve"> </v>
      </c>
      <c r="W879" s="28"/>
      <c r="X879" s="28"/>
      <c r="Y879" s="255" t="str">
        <f>IF(W879="","",(_xlfn.XLOOKUP(W879,Cadastros!$D$6:$D$90,Cadastros!$E$6:$E$90))*(1-_xlfn.XLOOKUP(_xlfn.XLOOKUP($F879,Clientes!$B$4:$B$39,Clientes!$C$4:$C$39),Cadastros!$L$6:$L$12,Cadastros!$N$6:$N$12)))</f>
        <v/>
      </c>
      <c r="Z879" s="168" t="str">
        <f t="shared" si="173"/>
        <v/>
      </c>
      <c r="AA879" s="168" t="str">
        <f>IFERROR(Z879/_xlfn.XLOOKUP(_xlfn.XLOOKUP($F879,Clientes!$B$4:$B$39,Clientes!$C$4:$C$39),Cadastros!$L$6:$L$12,Cadastros!$M$6:$M$12)," ")</f>
        <v xml:space="preserve"> </v>
      </c>
      <c r="AB879" s="28"/>
      <c r="AC879" s="28"/>
      <c r="AD879" s="20" t="str">
        <f>IF(AB879="","",IF($F879="Bernardino Furlan",_xlfn.XLOOKUP(AB879,Cadastros!$G$6:$G$90,Cadastros!$H$6:$H$90)*(1-0.18),IF($F879="Mauro José Salanti",_xlfn.XLOOKUP(AB879,Cadastros!$G$6:$G$90,Cadastros!$H$6:$H$90)*(1-0.18),_xlfn.XLOOKUP(AB879,Cadastros!$G$6:$G$90,Cadastros!$H$6:$H$90))))</f>
        <v/>
      </c>
      <c r="AE879" s="168" t="str">
        <f t="shared" si="174"/>
        <v/>
      </c>
      <c r="AF879" s="168" t="str">
        <f t="shared" si="175"/>
        <v/>
      </c>
      <c r="AG879" s="28"/>
      <c r="AH879" s="28"/>
      <c r="AI879" s="20" t="str">
        <f>IF(AG879="","",IF($F879="Bernardino Furlan",_xlfn.XLOOKUP(AG879,Cadastros!$G$6:$G$90,Cadastros!$H$6:$H$90)*(1-0.18),IF($F879="Mauro José Salanti",_xlfn.XLOOKUP(AG879,Cadastros!$G$6:$G$90,Cadastros!$H$6:$H$90)*(1-0.18),_xlfn.XLOOKUP(AG879,Cadastros!$G$6:$G$90,Cadastros!$H$6:$H$90))))</f>
        <v/>
      </c>
      <c r="AJ879" s="168" t="str">
        <f t="shared" si="176"/>
        <v/>
      </c>
      <c r="AK879" s="168" t="str">
        <f t="shared" si="177"/>
        <v/>
      </c>
      <c r="AL879" s="28"/>
      <c r="AM879" s="28"/>
      <c r="AN879" s="20" t="str">
        <f>IF(AL879="","",IF($F879="Bernardino Furlan",_xlfn.XLOOKUP(AL879,Cadastros!$G$6:$G$90,Cadastros!$H$6:$H$90)*(1-0.18),IF($F879="Mauro José Salanti",_xlfn.XLOOKUP(AL879,Cadastros!$G$6:$G$90,Cadastros!$H$6:$H$90)*(1-0.18),_xlfn.XLOOKUP(AL879,Cadastros!$G$6:$G$90,Cadastros!$H$6:$H$90))))</f>
        <v/>
      </c>
      <c r="AO879" s="168" t="str">
        <f t="shared" si="178"/>
        <v/>
      </c>
      <c r="AP879" s="168" t="str">
        <f t="shared" si="179"/>
        <v/>
      </c>
      <c r="AQ879" s="28"/>
      <c r="AR879" s="28"/>
      <c r="AS879" s="20" t="str">
        <f>IF(AQ879="","",IF($F879="Bernardino Furlan",_xlfn.XLOOKUP(AQ879,Cadastros!$G$6:$G$90,Cadastros!$H$6:$H$90)*(1-0.18),IF($F879="Mauro José Salanti",_xlfn.XLOOKUP(AQ879,Cadastros!$G$6:$G$90,Cadastros!$H$6:$H$90)*(1-0.18),_xlfn.XLOOKUP(AQ879,Cadastros!$G$6:$G$90,Cadastros!$H$6:$H$90))))</f>
        <v/>
      </c>
      <c r="AT879" s="168" t="str">
        <f t="shared" si="180"/>
        <v/>
      </c>
      <c r="AU879" s="168" t="str">
        <f t="shared" si="181"/>
        <v/>
      </c>
      <c r="AV879" s="227"/>
      <c r="AW879" s="30"/>
      <c r="AX879" s="267"/>
      <c r="AY879" s="267"/>
      <c r="AZ879" s="29"/>
      <c r="BA879" s="30"/>
      <c r="BB879" s="23" t="str" cm="1">
        <f t="array" ref="BB879">_xlfn.IFS(AW879="SIM",SUM(K879,P879,U879,Z879,AE879,AJ879,AO879,AT879,AX879,AY879),F879&lt;&gt;"",SUM(K879,P879,U879,Z879,AE879,AJ879,,AO879,AT879),F879="","")</f>
        <v/>
      </c>
      <c r="BC879" s="211" t="str" cm="1">
        <f t="array" ref="BC879">_xlfn.IFS(E879="","",G879&lt;=E879,BB879*(1-0.03),G879&lt;(E879+8),BB879,AZ879="Boleto",BB879*(1+0.001)^DATEDIF(E879,G879,"D"),AZ879="Cheque",BB879,AZ879="Dinheiro","Alterar forma pgto")</f>
        <v/>
      </c>
      <c r="BD879" s="276" t="str" cm="1">
        <f t="array" ref="BD879">IF(F879=0," ",IF(BC879&lt;BB879,(_xlfn.IFS(AW879="SIM",SUM(L879,Q879,V879,AA879,AF879,AK879,AP879,AU879)+AX879/_xlfn.XLOOKUP(_xlfn.XLOOKUP($F879,Clientes!$B$4:$B$39,Clientes!$C$4:$C$39),Cadastros!$L$6:$L$12,Cadastros!$M$6:$M$12)+IF($F879="Bernardino Furlan",AY879/2751.92,IF($F879="Mauro José Salanti",AY879/2751.92,AY879/3356)),F879&lt;&gt;0,SUM(L879,Q879,V879,AA879,AF879,AK879,AP879,AU879)))*(1-0.03),_xlfn.IFS(AW879="SIM",SUM(L879,Q879,V879,AA879,AF879,AK879,AP879,AU879)+AX879/_xlfn.XLOOKUP(_xlfn.XLOOKUP($F879,Clientes!$B$4:$B$39,Clientes!$C$4:$C$39),Cadastros!$L$6:$L$12,Cadastros!$M$6:$M$12)+IF($F879="Bernardino Furlan",AY879/2751.92,IF($F879="Mauro José Salanti",AY879/2751.92,AY879/3356)),F879&lt;&gt;0,SUM(L879,Q879,V879,AA879,AF879,AK879,AP879,AU879))))</f>
        <v xml:space="preserve"> </v>
      </c>
      <c r="BE879" s="120"/>
      <c r="BF879" s="120"/>
      <c r="BG879" s="120"/>
    </row>
    <row r="880" spans="1:59" s="3" customFormat="1" x14ac:dyDescent="0.3">
      <c r="A880" s="15" t="str">
        <f t="shared" si="169"/>
        <v/>
      </c>
      <c r="B880" s="25"/>
      <c r="C880" s="26"/>
      <c r="D880" s="279"/>
      <c r="E880" s="27"/>
      <c r="F880" s="28"/>
      <c r="G880" s="27"/>
      <c r="H880" s="28"/>
      <c r="I880" s="28"/>
      <c r="J880" s="255" t="str">
        <f>IF(H880="","",(_xlfn.XLOOKUP(H880,Cadastros!$D$6:$D$90,Cadastros!$E$6:$E$90))*(1-_xlfn.XLOOKUP(_xlfn.XLOOKUP($F880,Clientes!$B$4:$B$39,Clientes!$C$4:$C$39),Cadastros!$L$6:$L$12,Cadastros!$N$6:$N$12)))</f>
        <v/>
      </c>
      <c r="K880" s="168" t="str">
        <f t="shared" si="170"/>
        <v/>
      </c>
      <c r="L880" s="168" t="str">
        <f>IFERROR(K880/_xlfn.XLOOKUP(_xlfn.XLOOKUP($F880,Clientes!$B$4:$B$39,Clientes!$C$4:$C$39),Cadastros!$L$6:$L$12,Cadastros!$M$6:$M$12)," ")</f>
        <v xml:space="preserve"> </v>
      </c>
      <c r="M880" s="28"/>
      <c r="N880" s="28"/>
      <c r="O880" s="255" t="str">
        <f>IF(M880="","",(_xlfn.XLOOKUP(M880,Cadastros!$D$6:$D$90,Cadastros!$E$6:$E$90))*(1-_xlfn.XLOOKUP(_xlfn.XLOOKUP($F880,Clientes!$B$4:$B$39,Clientes!$C$4:$C$39),Cadastros!$L$6:$L$12,Cadastros!$N$6:$N$12)))</f>
        <v/>
      </c>
      <c r="P880" s="168" t="str">
        <f t="shared" si="171"/>
        <v/>
      </c>
      <c r="Q880" s="168" t="str">
        <f>IFERROR(P880/_xlfn.XLOOKUP(_xlfn.XLOOKUP($F880,Clientes!$B$4:$B$39,Clientes!$C$4:$C$39),Cadastros!$L$6:$L$12,Cadastros!$M$6:$M$12)," ")</f>
        <v xml:space="preserve"> </v>
      </c>
      <c r="R880" s="28"/>
      <c r="S880" s="28"/>
      <c r="T880" s="255" t="str">
        <f>IF(R880="","",(_xlfn.XLOOKUP(R880,Cadastros!$D$6:$D$90,Cadastros!$E$6:$E$90))*(1-_xlfn.XLOOKUP(_xlfn.XLOOKUP($F880,Clientes!$B$4:$B$39,Clientes!$C$4:$C$39),Cadastros!$L$6:$L$12,Cadastros!$N$6:$N$12)))</f>
        <v/>
      </c>
      <c r="U880" s="168" t="str">
        <f t="shared" si="172"/>
        <v/>
      </c>
      <c r="V880" s="168" t="str">
        <f>IFERROR(U880/_xlfn.XLOOKUP(_xlfn.XLOOKUP($F880,Clientes!$B$4:$B$39,Clientes!$C$4:$C$39),Cadastros!$L$6:$L$12,Cadastros!$M$6:$M$12)," ")</f>
        <v xml:space="preserve"> </v>
      </c>
      <c r="W880" s="28"/>
      <c r="X880" s="28"/>
      <c r="Y880" s="255" t="str">
        <f>IF(W880="","",(_xlfn.XLOOKUP(W880,Cadastros!$D$6:$D$90,Cadastros!$E$6:$E$90))*(1-_xlfn.XLOOKUP(_xlfn.XLOOKUP($F880,Clientes!$B$4:$B$39,Clientes!$C$4:$C$39),Cadastros!$L$6:$L$12,Cadastros!$N$6:$N$12)))</f>
        <v/>
      </c>
      <c r="Z880" s="168" t="str">
        <f t="shared" si="173"/>
        <v/>
      </c>
      <c r="AA880" s="168" t="str">
        <f>IFERROR(Z880/_xlfn.XLOOKUP(_xlfn.XLOOKUP($F880,Clientes!$B$4:$B$39,Clientes!$C$4:$C$39),Cadastros!$L$6:$L$12,Cadastros!$M$6:$M$12)," ")</f>
        <v xml:space="preserve"> </v>
      </c>
      <c r="AB880" s="28"/>
      <c r="AC880" s="28"/>
      <c r="AD880" s="20" t="str">
        <f>IF(AB880="","",IF($F880="Bernardino Furlan",_xlfn.XLOOKUP(AB880,Cadastros!$G$6:$G$90,Cadastros!$H$6:$H$90)*(1-0.18),IF($F880="Mauro José Salanti",_xlfn.XLOOKUP(AB880,Cadastros!$G$6:$G$90,Cadastros!$H$6:$H$90)*(1-0.18),_xlfn.XLOOKUP(AB880,Cadastros!$G$6:$G$90,Cadastros!$H$6:$H$90))))</f>
        <v/>
      </c>
      <c r="AE880" s="168" t="str">
        <f t="shared" si="174"/>
        <v/>
      </c>
      <c r="AF880" s="168" t="str">
        <f t="shared" si="175"/>
        <v/>
      </c>
      <c r="AG880" s="28"/>
      <c r="AH880" s="28"/>
      <c r="AI880" s="20" t="str">
        <f>IF(AG880="","",IF($F880="Bernardino Furlan",_xlfn.XLOOKUP(AG880,Cadastros!$G$6:$G$90,Cadastros!$H$6:$H$90)*(1-0.18),IF($F880="Mauro José Salanti",_xlfn.XLOOKUP(AG880,Cadastros!$G$6:$G$90,Cadastros!$H$6:$H$90)*(1-0.18),_xlfn.XLOOKUP(AG880,Cadastros!$G$6:$G$90,Cadastros!$H$6:$H$90))))</f>
        <v/>
      </c>
      <c r="AJ880" s="168" t="str">
        <f t="shared" si="176"/>
        <v/>
      </c>
      <c r="AK880" s="168" t="str">
        <f t="shared" si="177"/>
        <v/>
      </c>
      <c r="AL880" s="28"/>
      <c r="AM880" s="28"/>
      <c r="AN880" s="20" t="str">
        <f>IF(AL880="","",IF($F880="Bernardino Furlan",_xlfn.XLOOKUP(AL880,Cadastros!$G$6:$G$90,Cadastros!$H$6:$H$90)*(1-0.18),IF($F880="Mauro José Salanti",_xlfn.XLOOKUP(AL880,Cadastros!$G$6:$G$90,Cadastros!$H$6:$H$90)*(1-0.18),_xlfn.XLOOKUP(AL880,Cadastros!$G$6:$G$90,Cadastros!$H$6:$H$90))))</f>
        <v/>
      </c>
      <c r="AO880" s="168" t="str">
        <f t="shared" si="178"/>
        <v/>
      </c>
      <c r="AP880" s="168" t="str">
        <f t="shared" si="179"/>
        <v/>
      </c>
      <c r="AQ880" s="28"/>
      <c r="AR880" s="28"/>
      <c r="AS880" s="20" t="str">
        <f>IF(AQ880="","",IF($F880="Bernardino Furlan",_xlfn.XLOOKUP(AQ880,Cadastros!$G$6:$G$90,Cadastros!$H$6:$H$90)*(1-0.18),IF($F880="Mauro José Salanti",_xlfn.XLOOKUP(AQ880,Cadastros!$G$6:$G$90,Cadastros!$H$6:$H$90)*(1-0.18),_xlfn.XLOOKUP(AQ880,Cadastros!$G$6:$G$90,Cadastros!$H$6:$H$90))))</f>
        <v/>
      </c>
      <c r="AT880" s="168" t="str">
        <f t="shared" si="180"/>
        <v/>
      </c>
      <c r="AU880" s="168" t="str">
        <f t="shared" si="181"/>
        <v/>
      </c>
      <c r="AV880" s="227"/>
      <c r="AW880" s="30"/>
      <c r="AX880" s="267"/>
      <c r="AY880" s="267"/>
      <c r="AZ880" s="29"/>
      <c r="BA880" s="30"/>
      <c r="BB880" s="23" t="str" cm="1">
        <f t="array" ref="BB880">_xlfn.IFS(AW880="SIM",SUM(K880,P880,U880,Z880,AE880,AJ880,AO880,AT880,AX880,AY880),F880&lt;&gt;"",SUM(K880,P880,U880,Z880,AE880,AJ880,,AO880,AT880),F880="","")</f>
        <v/>
      </c>
      <c r="BC880" s="211" t="str" cm="1">
        <f t="array" ref="BC880">_xlfn.IFS(E880="","",G880&lt;=E880,BB880*(1-0.03),G880&lt;(E880+8),BB880,AZ880="Boleto",BB880*(1+0.001)^DATEDIF(E880,G880,"D"),AZ880="Cheque",BB880,AZ880="Dinheiro","Alterar forma pgto")</f>
        <v/>
      </c>
      <c r="BD880" s="276" t="str" cm="1">
        <f t="array" ref="BD880">IF(F880=0," ",IF(BC880&lt;BB880,(_xlfn.IFS(AW880="SIM",SUM(L880,Q880,V880,AA880,AF880,AK880,AP880,AU880)+AX880/_xlfn.XLOOKUP(_xlfn.XLOOKUP($F880,Clientes!$B$4:$B$39,Clientes!$C$4:$C$39),Cadastros!$L$6:$L$12,Cadastros!$M$6:$M$12)+IF($F880="Bernardino Furlan",AY880/2751.92,IF($F880="Mauro José Salanti",AY880/2751.92,AY880/3356)),F880&lt;&gt;0,SUM(L880,Q880,V880,AA880,AF880,AK880,AP880,AU880)))*(1-0.03),_xlfn.IFS(AW880="SIM",SUM(L880,Q880,V880,AA880,AF880,AK880,AP880,AU880)+AX880/_xlfn.XLOOKUP(_xlfn.XLOOKUP($F880,Clientes!$B$4:$B$39,Clientes!$C$4:$C$39),Cadastros!$L$6:$L$12,Cadastros!$M$6:$M$12)+IF($F880="Bernardino Furlan",AY880/2751.92,IF($F880="Mauro José Salanti",AY880/2751.92,AY880/3356)),F880&lt;&gt;0,SUM(L880,Q880,V880,AA880,AF880,AK880,AP880,AU880))))</f>
        <v xml:space="preserve"> </v>
      </c>
      <c r="BE880" s="120"/>
      <c r="BF880" s="120"/>
      <c r="BG880" s="120"/>
    </row>
    <row r="881" spans="1:59" s="3" customFormat="1" x14ac:dyDescent="0.3">
      <c r="A881" s="15" t="str">
        <f t="shared" si="169"/>
        <v/>
      </c>
      <c r="B881" s="25"/>
      <c r="C881" s="26"/>
      <c r="D881" s="279"/>
      <c r="E881" s="27"/>
      <c r="F881" s="28"/>
      <c r="G881" s="27"/>
      <c r="H881" s="28"/>
      <c r="I881" s="28"/>
      <c r="J881" s="255" t="str">
        <f>IF(H881="","",(_xlfn.XLOOKUP(H881,Cadastros!$D$6:$D$90,Cadastros!$E$6:$E$90))*(1-_xlfn.XLOOKUP(_xlfn.XLOOKUP($F881,Clientes!$B$4:$B$39,Clientes!$C$4:$C$39),Cadastros!$L$6:$L$12,Cadastros!$N$6:$N$12)))</f>
        <v/>
      </c>
      <c r="K881" s="168" t="str">
        <f t="shared" si="170"/>
        <v/>
      </c>
      <c r="L881" s="168" t="str">
        <f>IFERROR(K881/_xlfn.XLOOKUP(_xlfn.XLOOKUP($F881,Clientes!$B$4:$B$39,Clientes!$C$4:$C$39),Cadastros!$L$6:$L$12,Cadastros!$M$6:$M$12)," ")</f>
        <v xml:space="preserve"> </v>
      </c>
      <c r="M881" s="28"/>
      <c r="N881" s="28"/>
      <c r="O881" s="255" t="str">
        <f>IF(M881="","",(_xlfn.XLOOKUP(M881,Cadastros!$D$6:$D$90,Cadastros!$E$6:$E$90))*(1-_xlfn.XLOOKUP(_xlfn.XLOOKUP($F881,Clientes!$B$4:$B$39,Clientes!$C$4:$C$39),Cadastros!$L$6:$L$12,Cadastros!$N$6:$N$12)))</f>
        <v/>
      </c>
      <c r="P881" s="168" t="str">
        <f t="shared" si="171"/>
        <v/>
      </c>
      <c r="Q881" s="168" t="str">
        <f>IFERROR(P881/_xlfn.XLOOKUP(_xlfn.XLOOKUP($F881,Clientes!$B$4:$B$39,Clientes!$C$4:$C$39),Cadastros!$L$6:$L$12,Cadastros!$M$6:$M$12)," ")</f>
        <v xml:space="preserve"> </v>
      </c>
      <c r="R881" s="28"/>
      <c r="S881" s="28"/>
      <c r="T881" s="255" t="str">
        <f>IF(R881="","",(_xlfn.XLOOKUP(R881,Cadastros!$D$6:$D$90,Cadastros!$E$6:$E$90))*(1-_xlfn.XLOOKUP(_xlfn.XLOOKUP($F881,Clientes!$B$4:$B$39,Clientes!$C$4:$C$39),Cadastros!$L$6:$L$12,Cadastros!$N$6:$N$12)))</f>
        <v/>
      </c>
      <c r="U881" s="168" t="str">
        <f t="shared" si="172"/>
        <v/>
      </c>
      <c r="V881" s="168" t="str">
        <f>IFERROR(U881/_xlfn.XLOOKUP(_xlfn.XLOOKUP($F881,Clientes!$B$4:$B$39,Clientes!$C$4:$C$39),Cadastros!$L$6:$L$12,Cadastros!$M$6:$M$12)," ")</f>
        <v xml:space="preserve"> </v>
      </c>
      <c r="W881" s="28"/>
      <c r="X881" s="28"/>
      <c r="Y881" s="255" t="str">
        <f>IF(W881="","",(_xlfn.XLOOKUP(W881,Cadastros!$D$6:$D$90,Cadastros!$E$6:$E$90))*(1-_xlfn.XLOOKUP(_xlfn.XLOOKUP($F881,Clientes!$B$4:$B$39,Clientes!$C$4:$C$39),Cadastros!$L$6:$L$12,Cadastros!$N$6:$N$12)))</f>
        <v/>
      </c>
      <c r="Z881" s="168" t="str">
        <f t="shared" si="173"/>
        <v/>
      </c>
      <c r="AA881" s="168" t="str">
        <f>IFERROR(Z881/_xlfn.XLOOKUP(_xlfn.XLOOKUP($F881,Clientes!$B$4:$B$39,Clientes!$C$4:$C$39),Cadastros!$L$6:$L$12,Cadastros!$M$6:$M$12)," ")</f>
        <v xml:space="preserve"> </v>
      </c>
      <c r="AB881" s="28"/>
      <c r="AC881" s="28"/>
      <c r="AD881" s="20" t="str">
        <f>IF(AB881="","",IF($F881="Bernardino Furlan",_xlfn.XLOOKUP(AB881,Cadastros!$G$6:$G$90,Cadastros!$H$6:$H$90)*(1-0.18),IF($F881="Mauro José Salanti",_xlfn.XLOOKUP(AB881,Cadastros!$G$6:$G$90,Cadastros!$H$6:$H$90)*(1-0.18),_xlfn.XLOOKUP(AB881,Cadastros!$G$6:$G$90,Cadastros!$H$6:$H$90))))</f>
        <v/>
      </c>
      <c r="AE881" s="168" t="str">
        <f t="shared" si="174"/>
        <v/>
      </c>
      <c r="AF881" s="168" t="str">
        <f t="shared" si="175"/>
        <v/>
      </c>
      <c r="AG881" s="28"/>
      <c r="AH881" s="28"/>
      <c r="AI881" s="20" t="str">
        <f>IF(AG881="","",IF($F881="Bernardino Furlan",_xlfn.XLOOKUP(AG881,Cadastros!$G$6:$G$90,Cadastros!$H$6:$H$90)*(1-0.18),IF($F881="Mauro José Salanti",_xlfn.XLOOKUP(AG881,Cadastros!$G$6:$G$90,Cadastros!$H$6:$H$90)*(1-0.18),_xlfn.XLOOKUP(AG881,Cadastros!$G$6:$G$90,Cadastros!$H$6:$H$90))))</f>
        <v/>
      </c>
      <c r="AJ881" s="168" t="str">
        <f t="shared" si="176"/>
        <v/>
      </c>
      <c r="AK881" s="168" t="str">
        <f t="shared" si="177"/>
        <v/>
      </c>
      <c r="AL881" s="28"/>
      <c r="AM881" s="28"/>
      <c r="AN881" s="20" t="str">
        <f>IF(AL881="","",IF($F881="Bernardino Furlan",_xlfn.XLOOKUP(AL881,Cadastros!$G$6:$G$90,Cadastros!$H$6:$H$90)*(1-0.18),IF($F881="Mauro José Salanti",_xlfn.XLOOKUP(AL881,Cadastros!$G$6:$G$90,Cadastros!$H$6:$H$90)*(1-0.18),_xlfn.XLOOKUP(AL881,Cadastros!$G$6:$G$90,Cadastros!$H$6:$H$90))))</f>
        <v/>
      </c>
      <c r="AO881" s="168" t="str">
        <f t="shared" si="178"/>
        <v/>
      </c>
      <c r="AP881" s="168" t="str">
        <f t="shared" si="179"/>
        <v/>
      </c>
      <c r="AQ881" s="28"/>
      <c r="AR881" s="28"/>
      <c r="AS881" s="20" t="str">
        <f>IF(AQ881="","",IF($F881="Bernardino Furlan",_xlfn.XLOOKUP(AQ881,Cadastros!$G$6:$G$90,Cadastros!$H$6:$H$90)*(1-0.18),IF($F881="Mauro José Salanti",_xlfn.XLOOKUP(AQ881,Cadastros!$G$6:$G$90,Cadastros!$H$6:$H$90)*(1-0.18),_xlfn.XLOOKUP(AQ881,Cadastros!$G$6:$G$90,Cadastros!$H$6:$H$90))))</f>
        <v/>
      </c>
      <c r="AT881" s="168" t="str">
        <f t="shared" si="180"/>
        <v/>
      </c>
      <c r="AU881" s="168" t="str">
        <f t="shared" si="181"/>
        <v/>
      </c>
      <c r="AV881" s="227"/>
      <c r="AW881" s="30"/>
      <c r="AX881" s="267"/>
      <c r="AY881" s="267"/>
      <c r="AZ881" s="29"/>
      <c r="BA881" s="30"/>
      <c r="BB881" s="23" t="str" cm="1">
        <f t="array" ref="BB881">_xlfn.IFS(AW881="SIM",SUM(K881,P881,U881,Z881,AE881,AJ881,AO881,AT881,AX881,AY881),F881&lt;&gt;"",SUM(K881,P881,U881,Z881,AE881,AJ881,,AO881,AT881),F881="","")</f>
        <v/>
      </c>
      <c r="BC881" s="211" t="str" cm="1">
        <f t="array" ref="BC881">_xlfn.IFS(E881="","",G881&lt;=E881,BB881*(1-0.03),G881&lt;(E881+8),BB881,AZ881="Boleto",BB881*(1+0.001)^DATEDIF(E881,G881,"D"),AZ881="Cheque",BB881,AZ881="Dinheiro","Alterar forma pgto")</f>
        <v/>
      </c>
      <c r="BD881" s="276" t="str" cm="1">
        <f t="array" ref="BD881">IF(F881=0," ",IF(BC881&lt;BB881,(_xlfn.IFS(AW881="SIM",SUM(L881,Q881,V881,AA881,AF881,AK881,AP881,AU881)+AX881/_xlfn.XLOOKUP(_xlfn.XLOOKUP($F881,Clientes!$B$4:$B$39,Clientes!$C$4:$C$39),Cadastros!$L$6:$L$12,Cadastros!$M$6:$M$12)+IF($F881="Bernardino Furlan",AY881/2751.92,IF($F881="Mauro José Salanti",AY881/2751.92,AY881/3356)),F881&lt;&gt;0,SUM(L881,Q881,V881,AA881,AF881,AK881,AP881,AU881)))*(1-0.03),_xlfn.IFS(AW881="SIM",SUM(L881,Q881,V881,AA881,AF881,AK881,AP881,AU881)+AX881/_xlfn.XLOOKUP(_xlfn.XLOOKUP($F881,Clientes!$B$4:$B$39,Clientes!$C$4:$C$39),Cadastros!$L$6:$L$12,Cadastros!$M$6:$M$12)+IF($F881="Bernardino Furlan",AY881/2751.92,IF($F881="Mauro José Salanti",AY881/2751.92,AY881/3356)),F881&lt;&gt;0,SUM(L881,Q881,V881,AA881,AF881,AK881,AP881,AU881))))</f>
        <v xml:space="preserve"> </v>
      </c>
      <c r="BE881" s="120"/>
      <c r="BF881" s="120"/>
      <c r="BG881" s="120"/>
    </row>
    <row r="882" spans="1:59" s="3" customFormat="1" x14ac:dyDescent="0.3">
      <c r="A882" s="15" t="str">
        <f t="shared" si="169"/>
        <v/>
      </c>
      <c r="B882" s="25"/>
      <c r="C882" s="26"/>
      <c r="D882" s="279"/>
      <c r="E882" s="27"/>
      <c r="F882" s="28"/>
      <c r="G882" s="27"/>
      <c r="H882" s="28"/>
      <c r="I882" s="28"/>
      <c r="J882" s="255" t="str">
        <f>IF(H882="","",(_xlfn.XLOOKUP(H882,Cadastros!$D$6:$D$90,Cadastros!$E$6:$E$90))*(1-_xlfn.XLOOKUP(_xlfn.XLOOKUP($F882,Clientes!$B$4:$B$39,Clientes!$C$4:$C$39),Cadastros!$L$6:$L$12,Cadastros!$N$6:$N$12)))</f>
        <v/>
      </c>
      <c r="K882" s="168" t="str">
        <f t="shared" si="170"/>
        <v/>
      </c>
      <c r="L882" s="168" t="str">
        <f>IFERROR(K882/_xlfn.XLOOKUP(_xlfn.XLOOKUP($F882,Clientes!$B$4:$B$39,Clientes!$C$4:$C$39),Cadastros!$L$6:$L$12,Cadastros!$M$6:$M$12)," ")</f>
        <v xml:space="preserve"> </v>
      </c>
      <c r="M882" s="28"/>
      <c r="N882" s="28"/>
      <c r="O882" s="255" t="str">
        <f>IF(M882="","",(_xlfn.XLOOKUP(M882,Cadastros!$D$6:$D$90,Cadastros!$E$6:$E$90))*(1-_xlfn.XLOOKUP(_xlfn.XLOOKUP($F882,Clientes!$B$4:$B$39,Clientes!$C$4:$C$39),Cadastros!$L$6:$L$12,Cadastros!$N$6:$N$12)))</f>
        <v/>
      </c>
      <c r="P882" s="168" t="str">
        <f t="shared" si="171"/>
        <v/>
      </c>
      <c r="Q882" s="168" t="str">
        <f>IFERROR(P882/_xlfn.XLOOKUP(_xlfn.XLOOKUP($F882,Clientes!$B$4:$B$39,Clientes!$C$4:$C$39),Cadastros!$L$6:$L$12,Cadastros!$M$6:$M$12)," ")</f>
        <v xml:space="preserve"> </v>
      </c>
      <c r="R882" s="28"/>
      <c r="S882" s="28"/>
      <c r="T882" s="255" t="str">
        <f>IF(R882="","",(_xlfn.XLOOKUP(R882,Cadastros!$D$6:$D$90,Cadastros!$E$6:$E$90))*(1-_xlfn.XLOOKUP(_xlfn.XLOOKUP($F882,Clientes!$B$4:$B$39,Clientes!$C$4:$C$39),Cadastros!$L$6:$L$12,Cadastros!$N$6:$N$12)))</f>
        <v/>
      </c>
      <c r="U882" s="168" t="str">
        <f t="shared" si="172"/>
        <v/>
      </c>
      <c r="V882" s="168" t="str">
        <f>IFERROR(U882/_xlfn.XLOOKUP(_xlfn.XLOOKUP($F882,Clientes!$B$4:$B$39,Clientes!$C$4:$C$39),Cadastros!$L$6:$L$12,Cadastros!$M$6:$M$12)," ")</f>
        <v xml:space="preserve"> </v>
      </c>
      <c r="W882" s="28"/>
      <c r="X882" s="28"/>
      <c r="Y882" s="255" t="str">
        <f>IF(W882="","",(_xlfn.XLOOKUP(W882,Cadastros!$D$6:$D$90,Cadastros!$E$6:$E$90))*(1-_xlfn.XLOOKUP(_xlfn.XLOOKUP($F882,Clientes!$B$4:$B$39,Clientes!$C$4:$C$39),Cadastros!$L$6:$L$12,Cadastros!$N$6:$N$12)))</f>
        <v/>
      </c>
      <c r="Z882" s="168" t="str">
        <f t="shared" si="173"/>
        <v/>
      </c>
      <c r="AA882" s="168" t="str">
        <f>IFERROR(Z882/_xlfn.XLOOKUP(_xlfn.XLOOKUP($F882,Clientes!$B$4:$B$39,Clientes!$C$4:$C$39),Cadastros!$L$6:$L$12,Cadastros!$M$6:$M$12)," ")</f>
        <v xml:space="preserve"> </v>
      </c>
      <c r="AB882" s="28"/>
      <c r="AC882" s="28"/>
      <c r="AD882" s="20" t="str">
        <f>IF(AB882="","",IF($F882="Bernardino Furlan",_xlfn.XLOOKUP(AB882,Cadastros!$G$6:$G$90,Cadastros!$H$6:$H$90)*(1-0.18),IF($F882="Mauro José Salanti",_xlfn.XLOOKUP(AB882,Cadastros!$G$6:$G$90,Cadastros!$H$6:$H$90)*(1-0.18),_xlfn.XLOOKUP(AB882,Cadastros!$G$6:$G$90,Cadastros!$H$6:$H$90))))</f>
        <v/>
      </c>
      <c r="AE882" s="168" t="str">
        <f t="shared" si="174"/>
        <v/>
      </c>
      <c r="AF882" s="168" t="str">
        <f t="shared" si="175"/>
        <v/>
      </c>
      <c r="AG882" s="28"/>
      <c r="AH882" s="28"/>
      <c r="AI882" s="20" t="str">
        <f>IF(AG882="","",IF($F882="Bernardino Furlan",_xlfn.XLOOKUP(AG882,Cadastros!$G$6:$G$90,Cadastros!$H$6:$H$90)*(1-0.18),IF($F882="Mauro José Salanti",_xlfn.XLOOKUP(AG882,Cadastros!$G$6:$G$90,Cadastros!$H$6:$H$90)*(1-0.18),_xlfn.XLOOKUP(AG882,Cadastros!$G$6:$G$90,Cadastros!$H$6:$H$90))))</f>
        <v/>
      </c>
      <c r="AJ882" s="168" t="str">
        <f t="shared" si="176"/>
        <v/>
      </c>
      <c r="AK882" s="168" t="str">
        <f t="shared" si="177"/>
        <v/>
      </c>
      <c r="AL882" s="28"/>
      <c r="AM882" s="28"/>
      <c r="AN882" s="20" t="str">
        <f>IF(AL882="","",IF($F882="Bernardino Furlan",_xlfn.XLOOKUP(AL882,Cadastros!$G$6:$G$90,Cadastros!$H$6:$H$90)*(1-0.18),IF($F882="Mauro José Salanti",_xlfn.XLOOKUP(AL882,Cadastros!$G$6:$G$90,Cadastros!$H$6:$H$90)*(1-0.18),_xlfn.XLOOKUP(AL882,Cadastros!$G$6:$G$90,Cadastros!$H$6:$H$90))))</f>
        <v/>
      </c>
      <c r="AO882" s="168" t="str">
        <f t="shared" si="178"/>
        <v/>
      </c>
      <c r="AP882" s="168" t="str">
        <f t="shared" si="179"/>
        <v/>
      </c>
      <c r="AQ882" s="28"/>
      <c r="AR882" s="28"/>
      <c r="AS882" s="20" t="str">
        <f>IF(AQ882="","",IF($F882="Bernardino Furlan",_xlfn.XLOOKUP(AQ882,Cadastros!$G$6:$G$90,Cadastros!$H$6:$H$90)*(1-0.18),IF($F882="Mauro José Salanti",_xlfn.XLOOKUP(AQ882,Cadastros!$G$6:$G$90,Cadastros!$H$6:$H$90)*(1-0.18),_xlfn.XLOOKUP(AQ882,Cadastros!$G$6:$G$90,Cadastros!$H$6:$H$90))))</f>
        <v/>
      </c>
      <c r="AT882" s="168" t="str">
        <f t="shared" si="180"/>
        <v/>
      </c>
      <c r="AU882" s="168" t="str">
        <f t="shared" si="181"/>
        <v/>
      </c>
      <c r="AV882" s="227"/>
      <c r="AW882" s="30"/>
      <c r="AX882" s="267"/>
      <c r="AY882" s="267"/>
      <c r="AZ882" s="29"/>
      <c r="BA882" s="30"/>
      <c r="BB882" s="23" t="str" cm="1">
        <f t="array" ref="BB882">_xlfn.IFS(AW882="SIM",SUM(K882,P882,U882,Z882,AE882,AJ882,AO882,AT882,AX882,AY882),F882&lt;&gt;"",SUM(K882,P882,U882,Z882,AE882,AJ882,,AO882,AT882),F882="","")</f>
        <v/>
      </c>
      <c r="BC882" s="211" t="str" cm="1">
        <f t="array" ref="BC882">_xlfn.IFS(E882="","",G882&lt;=E882,BB882*(1-0.03),G882&lt;(E882+8),BB882,AZ882="Boleto",BB882*(1+0.001)^DATEDIF(E882,G882,"D"),AZ882="Cheque",BB882,AZ882="Dinheiro","Alterar forma pgto")</f>
        <v/>
      </c>
      <c r="BD882" s="276" t="str" cm="1">
        <f t="array" ref="BD882">IF(F882=0," ",IF(BC882&lt;BB882,(_xlfn.IFS(AW882="SIM",SUM(L882,Q882,V882,AA882,AF882,AK882,AP882,AU882)+AX882/_xlfn.XLOOKUP(_xlfn.XLOOKUP($F882,Clientes!$B$4:$B$39,Clientes!$C$4:$C$39),Cadastros!$L$6:$L$12,Cadastros!$M$6:$M$12)+IF($F882="Bernardino Furlan",AY882/2751.92,IF($F882="Mauro José Salanti",AY882/2751.92,AY882/3356)),F882&lt;&gt;0,SUM(L882,Q882,V882,AA882,AF882,AK882,AP882,AU882)))*(1-0.03),_xlfn.IFS(AW882="SIM",SUM(L882,Q882,V882,AA882,AF882,AK882,AP882,AU882)+AX882/_xlfn.XLOOKUP(_xlfn.XLOOKUP($F882,Clientes!$B$4:$B$39,Clientes!$C$4:$C$39),Cadastros!$L$6:$L$12,Cadastros!$M$6:$M$12)+IF($F882="Bernardino Furlan",AY882/2751.92,IF($F882="Mauro José Salanti",AY882/2751.92,AY882/3356)),F882&lt;&gt;0,SUM(L882,Q882,V882,AA882,AF882,AK882,AP882,AU882))))</f>
        <v xml:space="preserve"> </v>
      </c>
      <c r="BE882" s="120"/>
      <c r="BF882" s="120"/>
      <c r="BG882" s="120"/>
    </row>
    <row r="883" spans="1:59" s="3" customFormat="1" x14ac:dyDescent="0.3">
      <c r="A883" s="15" t="str">
        <f t="shared" si="169"/>
        <v/>
      </c>
      <c r="B883" s="25"/>
      <c r="C883" s="26"/>
      <c r="D883" s="279"/>
      <c r="E883" s="27"/>
      <c r="F883" s="28"/>
      <c r="G883" s="27"/>
      <c r="H883" s="28"/>
      <c r="I883" s="28"/>
      <c r="J883" s="255" t="str">
        <f>IF(H883="","",(_xlfn.XLOOKUP(H883,Cadastros!$D$6:$D$90,Cadastros!$E$6:$E$90))*(1-_xlfn.XLOOKUP(_xlfn.XLOOKUP($F883,Clientes!$B$4:$B$39,Clientes!$C$4:$C$39),Cadastros!$L$6:$L$12,Cadastros!$N$6:$N$12)))</f>
        <v/>
      </c>
      <c r="K883" s="168" t="str">
        <f t="shared" si="170"/>
        <v/>
      </c>
      <c r="L883" s="168" t="str">
        <f>IFERROR(K883/_xlfn.XLOOKUP(_xlfn.XLOOKUP($F883,Clientes!$B$4:$B$39,Clientes!$C$4:$C$39),Cadastros!$L$6:$L$12,Cadastros!$M$6:$M$12)," ")</f>
        <v xml:space="preserve"> </v>
      </c>
      <c r="M883" s="28"/>
      <c r="N883" s="28"/>
      <c r="O883" s="255" t="str">
        <f>IF(M883="","",(_xlfn.XLOOKUP(M883,Cadastros!$D$6:$D$90,Cadastros!$E$6:$E$90))*(1-_xlfn.XLOOKUP(_xlfn.XLOOKUP($F883,Clientes!$B$4:$B$39,Clientes!$C$4:$C$39),Cadastros!$L$6:$L$12,Cadastros!$N$6:$N$12)))</f>
        <v/>
      </c>
      <c r="P883" s="168" t="str">
        <f t="shared" si="171"/>
        <v/>
      </c>
      <c r="Q883" s="168" t="str">
        <f>IFERROR(P883/_xlfn.XLOOKUP(_xlfn.XLOOKUP($F883,Clientes!$B$4:$B$39,Clientes!$C$4:$C$39),Cadastros!$L$6:$L$12,Cadastros!$M$6:$M$12)," ")</f>
        <v xml:space="preserve"> </v>
      </c>
      <c r="R883" s="28"/>
      <c r="S883" s="28"/>
      <c r="T883" s="255" t="str">
        <f>IF(R883="","",(_xlfn.XLOOKUP(R883,Cadastros!$D$6:$D$90,Cadastros!$E$6:$E$90))*(1-_xlfn.XLOOKUP(_xlfn.XLOOKUP($F883,Clientes!$B$4:$B$39,Clientes!$C$4:$C$39),Cadastros!$L$6:$L$12,Cadastros!$N$6:$N$12)))</f>
        <v/>
      </c>
      <c r="U883" s="168" t="str">
        <f t="shared" si="172"/>
        <v/>
      </c>
      <c r="V883" s="168" t="str">
        <f>IFERROR(U883/_xlfn.XLOOKUP(_xlfn.XLOOKUP($F883,Clientes!$B$4:$B$39,Clientes!$C$4:$C$39),Cadastros!$L$6:$L$12,Cadastros!$M$6:$M$12)," ")</f>
        <v xml:space="preserve"> </v>
      </c>
      <c r="W883" s="28"/>
      <c r="X883" s="28"/>
      <c r="Y883" s="255" t="str">
        <f>IF(W883="","",(_xlfn.XLOOKUP(W883,Cadastros!$D$6:$D$90,Cadastros!$E$6:$E$90))*(1-_xlfn.XLOOKUP(_xlfn.XLOOKUP($F883,Clientes!$B$4:$B$39,Clientes!$C$4:$C$39),Cadastros!$L$6:$L$12,Cadastros!$N$6:$N$12)))</f>
        <v/>
      </c>
      <c r="Z883" s="168" t="str">
        <f t="shared" si="173"/>
        <v/>
      </c>
      <c r="AA883" s="168" t="str">
        <f>IFERROR(Z883/_xlfn.XLOOKUP(_xlfn.XLOOKUP($F883,Clientes!$B$4:$B$39,Clientes!$C$4:$C$39),Cadastros!$L$6:$L$12,Cadastros!$M$6:$M$12)," ")</f>
        <v xml:space="preserve"> </v>
      </c>
      <c r="AB883" s="28"/>
      <c r="AC883" s="28"/>
      <c r="AD883" s="20" t="str">
        <f>IF(AB883="","",IF($F883="Bernardino Furlan",_xlfn.XLOOKUP(AB883,Cadastros!$G$6:$G$90,Cadastros!$H$6:$H$90)*(1-0.18),IF($F883="Mauro José Salanti",_xlfn.XLOOKUP(AB883,Cadastros!$G$6:$G$90,Cadastros!$H$6:$H$90)*(1-0.18),_xlfn.XLOOKUP(AB883,Cadastros!$G$6:$G$90,Cadastros!$H$6:$H$90))))</f>
        <v/>
      </c>
      <c r="AE883" s="168" t="str">
        <f t="shared" si="174"/>
        <v/>
      </c>
      <c r="AF883" s="168" t="str">
        <f t="shared" si="175"/>
        <v/>
      </c>
      <c r="AG883" s="28"/>
      <c r="AH883" s="28"/>
      <c r="AI883" s="20" t="str">
        <f>IF(AG883="","",IF($F883="Bernardino Furlan",_xlfn.XLOOKUP(AG883,Cadastros!$G$6:$G$90,Cadastros!$H$6:$H$90)*(1-0.18),IF($F883="Mauro José Salanti",_xlfn.XLOOKUP(AG883,Cadastros!$G$6:$G$90,Cadastros!$H$6:$H$90)*(1-0.18),_xlfn.XLOOKUP(AG883,Cadastros!$G$6:$G$90,Cadastros!$H$6:$H$90))))</f>
        <v/>
      </c>
      <c r="AJ883" s="168" t="str">
        <f t="shared" si="176"/>
        <v/>
      </c>
      <c r="AK883" s="168" t="str">
        <f t="shared" si="177"/>
        <v/>
      </c>
      <c r="AL883" s="28"/>
      <c r="AM883" s="28"/>
      <c r="AN883" s="20" t="str">
        <f>IF(AL883="","",IF($F883="Bernardino Furlan",_xlfn.XLOOKUP(AL883,Cadastros!$G$6:$G$90,Cadastros!$H$6:$H$90)*(1-0.18),IF($F883="Mauro José Salanti",_xlfn.XLOOKUP(AL883,Cadastros!$G$6:$G$90,Cadastros!$H$6:$H$90)*(1-0.18),_xlfn.XLOOKUP(AL883,Cadastros!$G$6:$G$90,Cadastros!$H$6:$H$90))))</f>
        <v/>
      </c>
      <c r="AO883" s="168" t="str">
        <f t="shared" si="178"/>
        <v/>
      </c>
      <c r="AP883" s="168" t="str">
        <f t="shared" si="179"/>
        <v/>
      </c>
      <c r="AQ883" s="28"/>
      <c r="AR883" s="28"/>
      <c r="AS883" s="20" t="str">
        <f>IF(AQ883="","",IF($F883="Bernardino Furlan",_xlfn.XLOOKUP(AQ883,Cadastros!$G$6:$G$90,Cadastros!$H$6:$H$90)*(1-0.18),IF($F883="Mauro José Salanti",_xlfn.XLOOKUP(AQ883,Cadastros!$G$6:$G$90,Cadastros!$H$6:$H$90)*(1-0.18),_xlfn.XLOOKUP(AQ883,Cadastros!$G$6:$G$90,Cadastros!$H$6:$H$90))))</f>
        <v/>
      </c>
      <c r="AT883" s="168" t="str">
        <f t="shared" si="180"/>
        <v/>
      </c>
      <c r="AU883" s="168" t="str">
        <f t="shared" si="181"/>
        <v/>
      </c>
      <c r="AV883" s="227"/>
      <c r="AW883" s="30"/>
      <c r="AX883" s="267"/>
      <c r="AY883" s="267"/>
      <c r="AZ883" s="29"/>
      <c r="BA883" s="30"/>
      <c r="BB883" s="23" t="str" cm="1">
        <f t="array" ref="BB883">_xlfn.IFS(AW883="SIM",SUM(K883,P883,U883,Z883,AE883,AJ883,AO883,AT883,AX883,AY883),F883&lt;&gt;"",SUM(K883,P883,U883,Z883,AE883,AJ883,,AO883,AT883),F883="","")</f>
        <v/>
      </c>
      <c r="BC883" s="211" t="str" cm="1">
        <f t="array" ref="BC883">_xlfn.IFS(E883="","",G883&lt;=E883,BB883*(1-0.03),G883&lt;(E883+8),BB883,AZ883="Boleto",BB883*(1+0.001)^DATEDIF(E883,G883,"D"),AZ883="Cheque",BB883,AZ883="Dinheiro","Alterar forma pgto")</f>
        <v/>
      </c>
      <c r="BD883" s="276" t="str" cm="1">
        <f t="array" ref="BD883">IF(F883=0," ",IF(BC883&lt;BB883,(_xlfn.IFS(AW883="SIM",SUM(L883,Q883,V883,AA883,AF883,AK883,AP883,AU883)+AX883/_xlfn.XLOOKUP(_xlfn.XLOOKUP($F883,Clientes!$B$4:$B$39,Clientes!$C$4:$C$39),Cadastros!$L$6:$L$12,Cadastros!$M$6:$M$12)+IF($F883="Bernardino Furlan",AY883/2751.92,IF($F883="Mauro José Salanti",AY883/2751.92,AY883/3356)),F883&lt;&gt;0,SUM(L883,Q883,V883,AA883,AF883,AK883,AP883,AU883)))*(1-0.03),_xlfn.IFS(AW883="SIM",SUM(L883,Q883,V883,AA883,AF883,AK883,AP883,AU883)+AX883/_xlfn.XLOOKUP(_xlfn.XLOOKUP($F883,Clientes!$B$4:$B$39,Clientes!$C$4:$C$39),Cadastros!$L$6:$L$12,Cadastros!$M$6:$M$12)+IF($F883="Bernardino Furlan",AY883/2751.92,IF($F883="Mauro José Salanti",AY883/2751.92,AY883/3356)),F883&lt;&gt;0,SUM(L883,Q883,V883,AA883,AF883,AK883,AP883,AU883))))</f>
        <v xml:space="preserve"> </v>
      </c>
      <c r="BE883" s="120"/>
      <c r="BF883" s="120"/>
      <c r="BG883" s="120"/>
    </row>
    <row r="884" spans="1:59" s="3" customFormat="1" x14ac:dyDescent="0.3">
      <c r="A884" s="15" t="str">
        <f t="shared" si="169"/>
        <v/>
      </c>
      <c r="B884" s="25"/>
      <c r="C884" s="26"/>
      <c r="D884" s="279"/>
      <c r="E884" s="27"/>
      <c r="F884" s="28"/>
      <c r="G884" s="27"/>
      <c r="H884" s="28"/>
      <c r="I884" s="28"/>
      <c r="J884" s="255" t="str">
        <f>IF(H884="","",(_xlfn.XLOOKUP(H884,Cadastros!$D$6:$D$90,Cadastros!$E$6:$E$90))*(1-_xlfn.XLOOKUP(_xlfn.XLOOKUP($F884,Clientes!$B$4:$B$39,Clientes!$C$4:$C$39),Cadastros!$L$6:$L$12,Cadastros!$N$6:$N$12)))</f>
        <v/>
      </c>
      <c r="K884" s="168" t="str">
        <f t="shared" si="170"/>
        <v/>
      </c>
      <c r="L884" s="168" t="str">
        <f>IFERROR(K884/_xlfn.XLOOKUP(_xlfn.XLOOKUP($F884,Clientes!$B$4:$B$39,Clientes!$C$4:$C$39),Cadastros!$L$6:$L$12,Cadastros!$M$6:$M$12)," ")</f>
        <v xml:space="preserve"> </v>
      </c>
      <c r="M884" s="28"/>
      <c r="N884" s="28"/>
      <c r="O884" s="255" t="str">
        <f>IF(M884="","",(_xlfn.XLOOKUP(M884,Cadastros!$D$6:$D$90,Cadastros!$E$6:$E$90))*(1-_xlfn.XLOOKUP(_xlfn.XLOOKUP($F884,Clientes!$B$4:$B$39,Clientes!$C$4:$C$39),Cadastros!$L$6:$L$12,Cadastros!$N$6:$N$12)))</f>
        <v/>
      </c>
      <c r="P884" s="168" t="str">
        <f t="shared" si="171"/>
        <v/>
      </c>
      <c r="Q884" s="168" t="str">
        <f>IFERROR(P884/_xlfn.XLOOKUP(_xlfn.XLOOKUP($F884,Clientes!$B$4:$B$39,Clientes!$C$4:$C$39),Cadastros!$L$6:$L$12,Cadastros!$M$6:$M$12)," ")</f>
        <v xml:space="preserve"> </v>
      </c>
      <c r="R884" s="28"/>
      <c r="S884" s="28"/>
      <c r="T884" s="255" t="str">
        <f>IF(R884="","",(_xlfn.XLOOKUP(R884,Cadastros!$D$6:$D$90,Cadastros!$E$6:$E$90))*(1-_xlfn.XLOOKUP(_xlfn.XLOOKUP($F884,Clientes!$B$4:$B$39,Clientes!$C$4:$C$39),Cadastros!$L$6:$L$12,Cadastros!$N$6:$N$12)))</f>
        <v/>
      </c>
      <c r="U884" s="168" t="str">
        <f t="shared" si="172"/>
        <v/>
      </c>
      <c r="V884" s="168" t="str">
        <f>IFERROR(U884/_xlfn.XLOOKUP(_xlfn.XLOOKUP($F884,Clientes!$B$4:$B$39,Clientes!$C$4:$C$39),Cadastros!$L$6:$L$12,Cadastros!$M$6:$M$12)," ")</f>
        <v xml:space="preserve"> </v>
      </c>
      <c r="W884" s="28"/>
      <c r="X884" s="28"/>
      <c r="Y884" s="255" t="str">
        <f>IF(W884="","",(_xlfn.XLOOKUP(W884,Cadastros!$D$6:$D$90,Cadastros!$E$6:$E$90))*(1-_xlfn.XLOOKUP(_xlfn.XLOOKUP($F884,Clientes!$B$4:$B$39,Clientes!$C$4:$C$39),Cadastros!$L$6:$L$12,Cadastros!$N$6:$N$12)))</f>
        <v/>
      </c>
      <c r="Z884" s="168" t="str">
        <f t="shared" si="173"/>
        <v/>
      </c>
      <c r="AA884" s="168" t="str">
        <f>IFERROR(Z884/_xlfn.XLOOKUP(_xlfn.XLOOKUP($F884,Clientes!$B$4:$B$39,Clientes!$C$4:$C$39),Cadastros!$L$6:$L$12,Cadastros!$M$6:$M$12)," ")</f>
        <v xml:space="preserve"> </v>
      </c>
      <c r="AB884" s="28"/>
      <c r="AC884" s="28"/>
      <c r="AD884" s="20" t="str">
        <f>IF(AB884="","",IF($F884="Bernardino Furlan",_xlfn.XLOOKUP(AB884,Cadastros!$G$6:$G$90,Cadastros!$H$6:$H$90)*(1-0.18),IF($F884="Mauro José Salanti",_xlfn.XLOOKUP(AB884,Cadastros!$G$6:$G$90,Cadastros!$H$6:$H$90)*(1-0.18),_xlfn.XLOOKUP(AB884,Cadastros!$G$6:$G$90,Cadastros!$H$6:$H$90))))</f>
        <v/>
      </c>
      <c r="AE884" s="168" t="str">
        <f t="shared" si="174"/>
        <v/>
      </c>
      <c r="AF884" s="168" t="str">
        <f t="shared" si="175"/>
        <v/>
      </c>
      <c r="AG884" s="28"/>
      <c r="AH884" s="28"/>
      <c r="AI884" s="20" t="str">
        <f>IF(AG884="","",IF($F884="Bernardino Furlan",_xlfn.XLOOKUP(AG884,Cadastros!$G$6:$G$90,Cadastros!$H$6:$H$90)*(1-0.18),IF($F884="Mauro José Salanti",_xlfn.XLOOKUP(AG884,Cadastros!$G$6:$G$90,Cadastros!$H$6:$H$90)*(1-0.18),_xlfn.XLOOKUP(AG884,Cadastros!$G$6:$G$90,Cadastros!$H$6:$H$90))))</f>
        <v/>
      </c>
      <c r="AJ884" s="168" t="str">
        <f t="shared" si="176"/>
        <v/>
      </c>
      <c r="AK884" s="168" t="str">
        <f t="shared" si="177"/>
        <v/>
      </c>
      <c r="AL884" s="28"/>
      <c r="AM884" s="28"/>
      <c r="AN884" s="20" t="str">
        <f>IF(AL884="","",IF($F884="Bernardino Furlan",_xlfn.XLOOKUP(AL884,Cadastros!$G$6:$G$90,Cadastros!$H$6:$H$90)*(1-0.18),IF($F884="Mauro José Salanti",_xlfn.XLOOKUP(AL884,Cadastros!$G$6:$G$90,Cadastros!$H$6:$H$90)*(1-0.18),_xlfn.XLOOKUP(AL884,Cadastros!$G$6:$G$90,Cadastros!$H$6:$H$90))))</f>
        <v/>
      </c>
      <c r="AO884" s="168" t="str">
        <f t="shared" si="178"/>
        <v/>
      </c>
      <c r="AP884" s="168" t="str">
        <f t="shared" si="179"/>
        <v/>
      </c>
      <c r="AQ884" s="28"/>
      <c r="AR884" s="28"/>
      <c r="AS884" s="20" t="str">
        <f>IF(AQ884="","",IF($F884="Bernardino Furlan",_xlfn.XLOOKUP(AQ884,Cadastros!$G$6:$G$90,Cadastros!$H$6:$H$90)*(1-0.18),IF($F884="Mauro José Salanti",_xlfn.XLOOKUP(AQ884,Cadastros!$G$6:$G$90,Cadastros!$H$6:$H$90)*(1-0.18),_xlfn.XLOOKUP(AQ884,Cadastros!$G$6:$G$90,Cadastros!$H$6:$H$90))))</f>
        <v/>
      </c>
      <c r="AT884" s="168" t="str">
        <f t="shared" si="180"/>
        <v/>
      </c>
      <c r="AU884" s="168" t="str">
        <f t="shared" si="181"/>
        <v/>
      </c>
      <c r="AV884" s="227"/>
      <c r="AW884" s="30"/>
      <c r="AX884" s="267"/>
      <c r="AY884" s="267"/>
      <c r="AZ884" s="29"/>
      <c r="BA884" s="30"/>
      <c r="BB884" s="23" t="str" cm="1">
        <f t="array" ref="BB884">_xlfn.IFS(AW884="SIM",SUM(K884,P884,U884,Z884,AE884,AJ884,AO884,AT884,AX884,AY884),F884&lt;&gt;"",SUM(K884,P884,U884,Z884,AE884,AJ884,,AO884,AT884),F884="","")</f>
        <v/>
      </c>
      <c r="BC884" s="211" t="str" cm="1">
        <f t="array" ref="BC884">_xlfn.IFS(E884="","",G884&lt;=E884,BB884*(1-0.03),G884&lt;(E884+8),BB884,AZ884="Boleto",BB884*(1+0.001)^DATEDIF(E884,G884,"D"),AZ884="Cheque",BB884,AZ884="Dinheiro","Alterar forma pgto")</f>
        <v/>
      </c>
      <c r="BD884" s="276" t="str" cm="1">
        <f t="array" ref="BD884">IF(F884=0," ",IF(BC884&lt;BB884,(_xlfn.IFS(AW884="SIM",SUM(L884,Q884,V884,AA884,AF884,AK884,AP884,AU884)+AX884/_xlfn.XLOOKUP(_xlfn.XLOOKUP($F884,Clientes!$B$4:$B$39,Clientes!$C$4:$C$39),Cadastros!$L$6:$L$12,Cadastros!$M$6:$M$12)+IF($F884="Bernardino Furlan",AY884/2751.92,IF($F884="Mauro José Salanti",AY884/2751.92,AY884/3356)),F884&lt;&gt;0,SUM(L884,Q884,V884,AA884,AF884,AK884,AP884,AU884)))*(1-0.03),_xlfn.IFS(AW884="SIM",SUM(L884,Q884,V884,AA884,AF884,AK884,AP884,AU884)+AX884/_xlfn.XLOOKUP(_xlfn.XLOOKUP($F884,Clientes!$B$4:$B$39,Clientes!$C$4:$C$39),Cadastros!$L$6:$L$12,Cadastros!$M$6:$M$12)+IF($F884="Bernardino Furlan",AY884/2751.92,IF($F884="Mauro José Salanti",AY884/2751.92,AY884/3356)),F884&lt;&gt;0,SUM(L884,Q884,V884,AA884,AF884,AK884,AP884,AU884))))</f>
        <v xml:space="preserve"> </v>
      </c>
      <c r="BE884" s="120"/>
      <c r="BF884" s="120"/>
      <c r="BG884" s="120"/>
    </row>
    <row r="885" spans="1:59" s="3" customFormat="1" x14ac:dyDescent="0.3">
      <c r="A885" s="15" t="str">
        <f t="shared" si="169"/>
        <v/>
      </c>
      <c r="B885" s="25"/>
      <c r="C885" s="26"/>
      <c r="D885" s="279"/>
      <c r="E885" s="27"/>
      <c r="F885" s="28"/>
      <c r="G885" s="27"/>
      <c r="H885" s="28"/>
      <c r="I885" s="28"/>
      <c r="J885" s="255" t="str">
        <f>IF(H885="","",(_xlfn.XLOOKUP(H885,Cadastros!$D$6:$D$90,Cadastros!$E$6:$E$90))*(1-_xlfn.XLOOKUP(_xlfn.XLOOKUP($F885,Clientes!$B$4:$B$39,Clientes!$C$4:$C$39),Cadastros!$L$6:$L$12,Cadastros!$N$6:$N$12)))</f>
        <v/>
      </c>
      <c r="K885" s="168" t="str">
        <f t="shared" si="170"/>
        <v/>
      </c>
      <c r="L885" s="168" t="str">
        <f>IFERROR(K885/_xlfn.XLOOKUP(_xlfn.XLOOKUP($F885,Clientes!$B$4:$B$39,Clientes!$C$4:$C$39),Cadastros!$L$6:$L$12,Cadastros!$M$6:$M$12)," ")</f>
        <v xml:space="preserve"> </v>
      </c>
      <c r="M885" s="28"/>
      <c r="N885" s="28"/>
      <c r="O885" s="255" t="str">
        <f>IF(M885="","",(_xlfn.XLOOKUP(M885,Cadastros!$D$6:$D$90,Cadastros!$E$6:$E$90))*(1-_xlfn.XLOOKUP(_xlfn.XLOOKUP($F885,Clientes!$B$4:$B$39,Clientes!$C$4:$C$39),Cadastros!$L$6:$L$12,Cadastros!$N$6:$N$12)))</f>
        <v/>
      </c>
      <c r="P885" s="168" t="str">
        <f t="shared" si="171"/>
        <v/>
      </c>
      <c r="Q885" s="168" t="str">
        <f>IFERROR(P885/_xlfn.XLOOKUP(_xlfn.XLOOKUP($F885,Clientes!$B$4:$B$39,Clientes!$C$4:$C$39),Cadastros!$L$6:$L$12,Cadastros!$M$6:$M$12)," ")</f>
        <v xml:space="preserve"> </v>
      </c>
      <c r="R885" s="28"/>
      <c r="S885" s="28"/>
      <c r="T885" s="255" t="str">
        <f>IF(R885="","",(_xlfn.XLOOKUP(R885,Cadastros!$D$6:$D$90,Cadastros!$E$6:$E$90))*(1-_xlfn.XLOOKUP(_xlfn.XLOOKUP($F885,Clientes!$B$4:$B$39,Clientes!$C$4:$C$39),Cadastros!$L$6:$L$12,Cadastros!$N$6:$N$12)))</f>
        <v/>
      </c>
      <c r="U885" s="168" t="str">
        <f t="shared" si="172"/>
        <v/>
      </c>
      <c r="V885" s="168" t="str">
        <f>IFERROR(U885/_xlfn.XLOOKUP(_xlfn.XLOOKUP($F885,Clientes!$B$4:$B$39,Clientes!$C$4:$C$39),Cadastros!$L$6:$L$12,Cadastros!$M$6:$M$12)," ")</f>
        <v xml:space="preserve"> </v>
      </c>
      <c r="W885" s="28"/>
      <c r="X885" s="28"/>
      <c r="Y885" s="255" t="str">
        <f>IF(W885="","",(_xlfn.XLOOKUP(W885,Cadastros!$D$6:$D$90,Cadastros!$E$6:$E$90))*(1-_xlfn.XLOOKUP(_xlfn.XLOOKUP($F885,Clientes!$B$4:$B$39,Clientes!$C$4:$C$39),Cadastros!$L$6:$L$12,Cadastros!$N$6:$N$12)))</f>
        <v/>
      </c>
      <c r="Z885" s="168" t="str">
        <f t="shared" si="173"/>
        <v/>
      </c>
      <c r="AA885" s="168" t="str">
        <f>IFERROR(Z885/_xlfn.XLOOKUP(_xlfn.XLOOKUP($F885,Clientes!$B$4:$B$39,Clientes!$C$4:$C$39),Cadastros!$L$6:$L$12,Cadastros!$M$6:$M$12)," ")</f>
        <v xml:space="preserve"> </v>
      </c>
      <c r="AB885" s="28"/>
      <c r="AC885" s="28"/>
      <c r="AD885" s="20" t="str">
        <f>IF(AB885="","",IF($F885="Bernardino Furlan",_xlfn.XLOOKUP(AB885,Cadastros!$G$6:$G$90,Cadastros!$H$6:$H$90)*(1-0.18),IF($F885="Mauro José Salanti",_xlfn.XLOOKUP(AB885,Cadastros!$G$6:$G$90,Cadastros!$H$6:$H$90)*(1-0.18),_xlfn.XLOOKUP(AB885,Cadastros!$G$6:$G$90,Cadastros!$H$6:$H$90))))</f>
        <v/>
      </c>
      <c r="AE885" s="168" t="str">
        <f t="shared" si="174"/>
        <v/>
      </c>
      <c r="AF885" s="168" t="str">
        <f t="shared" si="175"/>
        <v/>
      </c>
      <c r="AG885" s="28"/>
      <c r="AH885" s="28"/>
      <c r="AI885" s="20" t="str">
        <f>IF(AG885="","",IF($F885="Bernardino Furlan",_xlfn.XLOOKUP(AG885,Cadastros!$G$6:$G$90,Cadastros!$H$6:$H$90)*(1-0.18),IF($F885="Mauro José Salanti",_xlfn.XLOOKUP(AG885,Cadastros!$G$6:$G$90,Cadastros!$H$6:$H$90)*(1-0.18),_xlfn.XLOOKUP(AG885,Cadastros!$G$6:$G$90,Cadastros!$H$6:$H$90))))</f>
        <v/>
      </c>
      <c r="AJ885" s="168" t="str">
        <f t="shared" si="176"/>
        <v/>
      </c>
      <c r="AK885" s="168" t="str">
        <f t="shared" si="177"/>
        <v/>
      </c>
      <c r="AL885" s="28"/>
      <c r="AM885" s="28"/>
      <c r="AN885" s="20" t="str">
        <f>IF(AL885="","",IF($F885="Bernardino Furlan",_xlfn.XLOOKUP(AL885,Cadastros!$G$6:$G$90,Cadastros!$H$6:$H$90)*(1-0.18),IF($F885="Mauro José Salanti",_xlfn.XLOOKUP(AL885,Cadastros!$G$6:$G$90,Cadastros!$H$6:$H$90)*(1-0.18),_xlfn.XLOOKUP(AL885,Cadastros!$G$6:$G$90,Cadastros!$H$6:$H$90))))</f>
        <v/>
      </c>
      <c r="AO885" s="168" t="str">
        <f t="shared" si="178"/>
        <v/>
      </c>
      <c r="AP885" s="168" t="str">
        <f t="shared" si="179"/>
        <v/>
      </c>
      <c r="AQ885" s="28"/>
      <c r="AR885" s="28"/>
      <c r="AS885" s="20" t="str">
        <f>IF(AQ885="","",IF($F885="Bernardino Furlan",_xlfn.XLOOKUP(AQ885,Cadastros!$G$6:$G$90,Cadastros!$H$6:$H$90)*(1-0.18),IF($F885="Mauro José Salanti",_xlfn.XLOOKUP(AQ885,Cadastros!$G$6:$G$90,Cadastros!$H$6:$H$90)*(1-0.18),_xlfn.XLOOKUP(AQ885,Cadastros!$G$6:$G$90,Cadastros!$H$6:$H$90))))</f>
        <v/>
      </c>
      <c r="AT885" s="168" t="str">
        <f t="shared" si="180"/>
        <v/>
      </c>
      <c r="AU885" s="168" t="str">
        <f t="shared" si="181"/>
        <v/>
      </c>
      <c r="AV885" s="227"/>
      <c r="AW885" s="30"/>
      <c r="AX885" s="267"/>
      <c r="AY885" s="267"/>
      <c r="AZ885" s="29"/>
      <c r="BA885" s="30"/>
      <c r="BB885" s="23" t="str" cm="1">
        <f t="array" ref="BB885">_xlfn.IFS(AW885="SIM",SUM(K885,P885,U885,Z885,AE885,AJ885,AO885,AT885,AX885,AY885),F885&lt;&gt;"",SUM(K885,P885,U885,Z885,AE885,AJ885,,AO885,AT885),F885="","")</f>
        <v/>
      </c>
      <c r="BC885" s="211" t="str" cm="1">
        <f t="array" ref="BC885">_xlfn.IFS(E885="","",G885&lt;=E885,BB885*(1-0.03),G885&lt;(E885+8),BB885,AZ885="Boleto",BB885*(1+0.001)^DATEDIF(E885,G885,"D"),AZ885="Cheque",BB885,AZ885="Dinheiro","Alterar forma pgto")</f>
        <v/>
      </c>
      <c r="BD885" s="276" t="str" cm="1">
        <f t="array" ref="BD885">IF(F885=0," ",IF(BC885&lt;BB885,(_xlfn.IFS(AW885="SIM",SUM(L885,Q885,V885,AA885,AF885,AK885,AP885,AU885)+AX885/_xlfn.XLOOKUP(_xlfn.XLOOKUP($F885,Clientes!$B$4:$B$39,Clientes!$C$4:$C$39),Cadastros!$L$6:$L$12,Cadastros!$M$6:$M$12)+IF($F885="Bernardino Furlan",AY885/2751.92,IF($F885="Mauro José Salanti",AY885/2751.92,AY885/3356)),F885&lt;&gt;0,SUM(L885,Q885,V885,AA885,AF885,AK885,AP885,AU885)))*(1-0.03),_xlfn.IFS(AW885="SIM",SUM(L885,Q885,V885,AA885,AF885,AK885,AP885,AU885)+AX885/_xlfn.XLOOKUP(_xlfn.XLOOKUP($F885,Clientes!$B$4:$B$39,Clientes!$C$4:$C$39),Cadastros!$L$6:$L$12,Cadastros!$M$6:$M$12)+IF($F885="Bernardino Furlan",AY885/2751.92,IF($F885="Mauro José Salanti",AY885/2751.92,AY885/3356)),F885&lt;&gt;0,SUM(L885,Q885,V885,AA885,AF885,AK885,AP885,AU885))))</f>
        <v xml:space="preserve"> </v>
      </c>
      <c r="BE885" s="120"/>
      <c r="BF885" s="120"/>
      <c r="BG885" s="120"/>
    </row>
    <row r="886" spans="1:59" s="3" customFormat="1" x14ac:dyDescent="0.3">
      <c r="A886" s="15" t="str">
        <f t="shared" si="169"/>
        <v/>
      </c>
      <c r="B886" s="25"/>
      <c r="C886" s="26"/>
      <c r="D886" s="279"/>
      <c r="E886" s="27"/>
      <c r="F886" s="28"/>
      <c r="G886" s="27"/>
      <c r="H886" s="28"/>
      <c r="I886" s="28"/>
      <c r="J886" s="255" t="str">
        <f>IF(H886="","",(_xlfn.XLOOKUP(H886,Cadastros!$D$6:$D$90,Cadastros!$E$6:$E$90))*(1-_xlfn.XLOOKUP(_xlfn.XLOOKUP($F886,Clientes!$B$4:$B$39,Clientes!$C$4:$C$39),Cadastros!$L$6:$L$12,Cadastros!$N$6:$N$12)))</f>
        <v/>
      </c>
      <c r="K886" s="168" t="str">
        <f t="shared" si="170"/>
        <v/>
      </c>
      <c r="L886" s="168" t="str">
        <f>IFERROR(K886/_xlfn.XLOOKUP(_xlfn.XLOOKUP($F886,Clientes!$B$4:$B$39,Clientes!$C$4:$C$39),Cadastros!$L$6:$L$12,Cadastros!$M$6:$M$12)," ")</f>
        <v xml:space="preserve"> </v>
      </c>
      <c r="M886" s="28"/>
      <c r="N886" s="28"/>
      <c r="O886" s="255" t="str">
        <f>IF(M886="","",(_xlfn.XLOOKUP(M886,Cadastros!$D$6:$D$90,Cadastros!$E$6:$E$90))*(1-_xlfn.XLOOKUP(_xlfn.XLOOKUP($F886,Clientes!$B$4:$B$39,Clientes!$C$4:$C$39),Cadastros!$L$6:$L$12,Cadastros!$N$6:$N$12)))</f>
        <v/>
      </c>
      <c r="P886" s="168" t="str">
        <f t="shared" si="171"/>
        <v/>
      </c>
      <c r="Q886" s="168" t="str">
        <f>IFERROR(P886/_xlfn.XLOOKUP(_xlfn.XLOOKUP($F886,Clientes!$B$4:$B$39,Clientes!$C$4:$C$39),Cadastros!$L$6:$L$12,Cadastros!$M$6:$M$12)," ")</f>
        <v xml:space="preserve"> </v>
      </c>
      <c r="R886" s="28"/>
      <c r="S886" s="28"/>
      <c r="T886" s="255" t="str">
        <f>IF(R886="","",(_xlfn.XLOOKUP(R886,Cadastros!$D$6:$D$90,Cadastros!$E$6:$E$90))*(1-_xlfn.XLOOKUP(_xlfn.XLOOKUP($F886,Clientes!$B$4:$B$39,Clientes!$C$4:$C$39),Cadastros!$L$6:$L$12,Cadastros!$N$6:$N$12)))</f>
        <v/>
      </c>
      <c r="U886" s="168" t="str">
        <f t="shared" si="172"/>
        <v/>
      </c>
      <c r="V886" s="168" t="str">
        <f>IFERROR(U886/_xlfn.XLOOKUP(_xlfn.XLOOKUP($F886,Clientes!$B$4:$B$39,Clientes!$C$4:$C$39),Cadastros!$L$6:$L$12,Cadastros!$M$6:$M$12)," ")</f>
        <v xml:space="preserve"> </v>
      </c>
      <c r="W886" s="28"/>
      <c r="X886" s="28"/>
      <c r="Y886" s="255" t="str">
        <f>IF(W886="","",(_xlfn.XLOOKUP(W886,Cadastros!$D$6:$D$90,Cadastros!$E$6:$E$90))*(1-_xlfn.XLOOKUP(_xlfn.XLOOKUP($F886,Clientes!$B$4:$B$39,Clientes!$C$4:$C$39),Cadastros!$L$6:$L$12,Cadastros!$N$6:$N$12)))</f>
        <v/>
      </c>
      <c r="Z886" s="168" t="str">
        <f t="shared" si="173"/>
        <v/>
      </c>
      <c r="AA886" s="168" t="str">
        <f>IFERROR(Z886/_xlfn.XLOOKUP(_xlfn.XLOOKUP($F886,Clientes!$B$4:$B$39,Clientes!$C$4:$C$39),Cadastros!$L$6:$L$12,Cadastros!$M$6:$M$12)," ")</f>
        <v xml:space="preserve"> </v>
      </c>
      <c r="AB886" s="28"/>
      <c r="AC886" s="28"/>
      <c r="AD886" s="20" t="str">
        <f>IF(AB886="","",IF($F886="Bernardino Furlan",_xlfn.XLOOKUP(AB886,Cadastros!$G$6:$G$90,Cadastros!$H$6:$H$90)*(1-0.18),IF($F886="Mauro José Salanti",_xlfn.XLOOKUP(AB886,Cadastros!$G$6:$G$90,Cadastros!$H$6:$H$90)*(1-0.18),_xlfn.XLOOKUP(AB886,Cadastros!$G$6:$G$90,Cadastros!$H$6:$H$90))))</f>
        <v/>
      </c>
      <c r="AE886" s="168" t="str">
        <f t="shared" si="174"/>
        <v/>
      </c>
      <c r="AF886" s="168" t="str">
        <f t="shared" si="175"/>
        <v/>
      </c>
      <c r="AG886" s="28"/>
      <c r="AH886" s="28"/>
      <c r="AI886" s="20" t="str">
        <f>IF(AG886="","",IF($F886="Bernardino Furlan",_xlfn.XLOOKUP(AG886,Cadastros!$G$6:$G$90,Cadastros!$H$6:$H$90)*(1-0.18),IF($F886="Mauro José Salanti",_xlfn.XLOOKUP(AG886,Cadastros!$G$6:$G$90,Cadastros!$H$6:$H$90)*(1-0.18),_xlfn.XLOOKUP(AG886,Cadastros!$G$6:$G$90,Cadastros!$H$6:$H$90))))</f>
        <v/>
      </c>
      <c r="AJ886" s="168" t="str">
        <f t="shared" si="176"/>
        <v/>
      </c>
      <c r="AK886" s="168" t="str">
        <f t="shared" si="177"/>
        <v/>
      </c>
      <c r="AL886" s="28"/>
      <c r="AM886" s="28"/>
      <c r="AN886" s="20" t="str">
        <f>IF(AL886="","",IF($F886="Bernardino Furlan",_xlfn.XLOOKUP(AL886,Cadastros!$G$6:$G$90,Cadastros!$H$6:$H$90)*(1-0.18),IF($F886="Mauro José Salanti",_xlfn.XLOOKUP(AL886,Cadastros!$G$6:$G$90,Cadastros!$H$6:$H$90)*(1-0.18),_xlfn.XLOOKUP(AL886,Cadastros!$G$6:$G$90,Cadastros!$H$6:$H$90))))</f>
        <v/>
      </c>
      <c r="AO886" s="168" t="str">
        <f t="shared" si="178"/>
        <v/>
      </c>
      <c r="AP886" s="168" t="str">
        <f t="shared" si="179"/>
        <v/>
      </c>
      <c r="AQ886" s="28"/>
      <c r="AR886" s="28"/>
      <c r="AS886" s="20" t="str">
        <f>IF(AQ886="","",IF($F886="Bernardino Furlan",_xlfn.XLOOKUP(AQ886,Cadastros!$G$6:$G$90,Cadastros!$H$6:$H$90)*(1-0.18),IF($F886="Mauro José Salanti",_xlfn.XLOOKUP(AQ886,Cadastros!$G$6:$G$90,Cadastros!$H$6:$H$90)*(1-0.18),_xlfn.XLOOKUP(AQ886,Cadastros!$G$6:$G$90,Cadastros!$H$6:$H$90))))</f>
        <v/>
      </c>
      <c r="AT886" s="168" t="str">
        <f t="shared" si="180"/>
        <v/>
      </c>
      <c r="AU886" s="168" t="str">
        <f t="shared" si="181"/>
        <v/>
      </c>
      <c r="AV886" s="227"/>
      <c r="AW886" s="30"/>
      <c r="AX886" s="267"/>
      <c r="AY886" s="267"/>
      <c r="AZ886" s="29"/>
      <c r="BA886" s="30"/>
      <c r="BB886" s="23" t="str" cm="1">
        <f t="array" ref="BB886">_xlfn.IFS(AW886="SIM",SUM(K886,P886,U886,Z886,AE886,AJ886,AO886,AT886,AX886,AY886),F886&lt;&gt;"",SUM(K886,P886,U886,Z886,AE886,AJ886,,AO886,AT886),F886="","")</f>
        <v/>
      </c>
      <c r="BC886" s="211" t="str" cm="1">
        <f t="array" ref="BC886">_xlfn.IFS(E886="","",G886&lt;=E886,BB886*(1-0.03),G886&lt;(E886+8),BB886,AZ886="Boleto",BB886*(1+0.001)^DATEDIF(E886,G886,"D"),AZ886="Cheque",BB886,AZ886="Dinheiro","Alterar forma pgto")</f>
        <v/>
      </c>
      <c r="BD886" s="276" t="str" cm="1">
        <f t="array" ref="BD886">IF(F886=0," ",IF(BC886&lt;BB886,(_xlfn.IFS(AW886="SIM",SUM(L886,Q886,V886,AA886,AF886,AK886,AP886,AU886)+AX886/_xlfn.XLOOKUP(_xlfn.XLOOKUP($F886,Clientes!$B$4:$B$39,Clientes!$C$4:$C$39),Cadastros!$L$6:$L$12,Cadastros!$M$6:$M$12)+IF($F886="Bernardino Furlan",AY886/2751.92,IF($F886="Mauro José Salanti",AY886/2751.92,AY886/3356)),F886&lt;&gt;0,SUM(L886,Q886,V886,AA886,AF886,AK886,AP886,AU886)))*(1-0.03),_xlfn.IFS(AW886="SIM",SUM(L886,Q886,V886,AA886,AF886,AK886,AP886,AU886)+AX886/_xlfn.XLOOKUP(_xlfn.XLOOKUP($F886,Clientes!$B$4:$B$39,Clientes!$C$4:$C$39),Cadastros!$L$6:$L$12,Cadastros!$M$6:$M$12)+IF($F886="Bernardino Furlan",AY886/2751.92,IF($F886="Mauro José Salanti",AY886/2751.92,AY886/3356)),F886&lt;&gt;0,SUM(L886,Q886,V886,AA886,AF886,AK886,AP886,AU886))))</f>
        <v xml:space="preserve"> </v>
      </c>
      <c r="BE886" s="120"/>
      <c r="BF886" s="120"/>
      <c r="BG886" s="120"/>
    </row>
    <row r="887" spans="1:59" s="3" customFormat="1" x14ac:dyDescent="0.3">
      <c r="A887" s="15" t="str">
        <f t="shared" si="169"/>
        <v/>
      </c>
      <c r="B887" s="25"/>
      <c r="C887" s="26"/>
      <c r="D887" s="279"/>
      <c r="E887" s="27"/>
      <c r="F887" s="28"/>
      <c r="G887" s="27"/>
      <c r="H887" s="28"/>
      <c r="I887" s="28"/>
      <c r="J887" s="255" t="str">
        <f>IF(H887="","",(_xlfn.XLOOKUP(H887,Cadastros!$D$6:$D$90,Cadastros!$E$6:$E$90))*(1-_xlfn.XLOOKUP(_xlfn.XLOOKUP($F887,Clientes!$B$4:$B$39,Clientes!$C$4:$C$39),Cadastros!$L$6:$L$12,Cadastros!$N$6:$N$12)))</f>
        <v/>
      </c>
      <c r="K887" s="168" t="str">
        <f t="shared" si="170"/>
        <v/>
      </c>
      <c r="L887" s="168" t="str">
        <f>IFERROR(K887/_xlfn.XLOOKUP(_xlfn.XLOOKUP($F887,Clientes!$B$4:$B$39,Clientes!$C$4:$C$39),Cadastros!$L$6:$L$12,Cadastros!$M$6:$M$12)," ")</f>
        <v xml:space="preserve"> </v>
      </c>
      <c r="M887" s="28"/>
      <c r="N887" s="28"/>
      <c r="O887" s="255" t="str">
        <f>IF(M887="","",(_xlfn.XLOOKUP(M887,Cadastros!$D$6:$D$90,Cadastros!$E$6:$E$90))*(1-_xlfn.XLOOKUP(_xlfn.XLOOKUP($F887,Clientes!$B$4:$B$39,Clientes!$C$4:$C$39),Cadastros!$L$6:$L$12,Cadastros!$N$6:$N$12)))</f>
        <v/>
      </c>
      <c r="P887" s="168" t="str">
        <f t="shared" si="171"/>
        <v/>
      </c>
      <c r="Q887" s="168" t="str">
        <f>IFERROR(P887/_xlfn.XLOOKUP(_xlfn.XLOOKUP($F887,Clientes!$B$4:$B$39,Clientes!$C$4:$C$39),Cadastros!$L$6:$L$12,Cadastros!$M$6:$M$12)," ")</f>
        <v xml:space="preserve"> </v>
      </c>
      <c r="R887" s="28"/>
      <c r="S887" s="28"/>
      <c r="T887" s="255" t="str">
        <f>IF(R887="","",(_xlfn.XLOOKUP(R887,Cadastros!$D$6:$D$90,Cadastros!$E$6:$E$90))*(1-_xlfn.XLOOKUP(_xlfn.XLOOKUP($F887,Clientes!$B$4:$B$39,Clientes!$C$4:$C$39),Cadastros!$L$6:$L$12,Cadastros!$N$6:$N$12)))</f>
        <v/>
      </c>
      <c r="U887" s="168" t="str">
        <f t="shared" si="172"/>
        <v/>
      </c>
      <c r="V887" s="168" t="str">
        <f>IFERROR(U887/_xlfn.XLOOKUP(_xlfn.XLOOKUP($F887,Clientes!$B$4:$B$39,Clientes!$C$4:$C$39),Cadastros!$L$6:$L$12,Cadastros!$M$6:$M$12)," ")</f>
        <v xml:space="preserve"> </v>
      </c>
      <c r="W887" s="28"/>
      <c r="X887" s="28"/>
      <c r="Y887" s="255" t="str">
        <f>IF(W887="","",(_xlfn.XLOOKUP(W887,Cadastros!$D$6:$D$90,Cadastros!$E$6:$E$90))*(1-_xlfn.XLOOKUP(_xlfn.XLOOKUP($F887,Clientes!$B$4:$B$39,Clientes!$C$4:$C$39),Cadastros!$L$6:$L$12,Cadastros!$N$6:$N$12)))</f>
        <v/>
      </c>
      <c r="Z887" s="168" t="str">
        <f t="shared" si="173"/>
        <v/>
      </c>
      <c r="AA887" s="168" t="str">
        <f>IFERROR(Z887/_xlfn.XLOOKUP(_xlfn.XLOOKUP($F887,Clientes!$B$4:$B$39,Clientes!$C$4:$C$39),Cadastros!$L$6:$L$12,Cadastros!$M$6:$M$12)," ")</f>
        <v xml:space="preserve"> </v>
      </c>
      <c r="AB887" s="28"/>
      <c r="AC887" s="28"/>
      <c r="AD887" s="20" t="str">
        <f>IF(AB887="","",IF($F887="Bernardino Furlan",_xlfn.XLOOKUP(AB887,Cadastros!$G$6:$G$90,Cadastros!$H$6:$H$90)*(1-0.18),IF($F887="Mauro José Salanti",_xlfn.XLOOKUP(AB887,Cadastros!$G$6:$G$90,Cadastros!$H$6:$H$90)*(1-0.18),_xlfn.XLOOKUP(AB887,Cadastros!$G$6:$G$90,Cadastros!$H$6:$H$90))))</f>
        <v/>
      </c>
      <c r="AE887" s="168" t="str">
        <f t="shared" si="174"/>
        <v/>
      </c>
      <c r="AF887" s="168" t="str">
        <f t="shared" si="175"/>
        <v/>
      </c>
      <c r="AG887" s="28"/>
      <c r="AH887" s="28"/>
      <c r="AI887" s="20" t="str">
        <f>IF(AG887="","",IF($F887="Bernardino Furlan",_xlfn.XLOOKUP(AG887,Cadastros!$G$6:$G$90,Cadastros!$H$6:$H$90)*(1-0.18),IF($F887="Mauro José Salanti",_xlfn.XLOOKUP(AG887,Cadastros!$G$6:$G$90,Cadastros!$H$6:$H$90)*(1-0.18),_xlfn.XLOOKUP(AG887,Cadastros!$G$6:$G$90,Cadastros!$H$6:$H$90))))</f>
        <v/>
      </c>
      <c r="AJ887" s="168" t="str">
        <f t="shared" si="176"/>
        <v/>
      </c>
      <c r="AK887" s="168" t="str">
        <f t="shared" si="177"/>
        <v/>
      </c>
      <c r="AL887" s="28"/>
      <c r="AM887" s="28"/>
      <c r="AN887" s="20" t="str">
        <f>IF(AL887="","",IF($F887="Bernardino Furlan",_xlfn.XLOOKUP(AL887,Cadastros!$G$6:$G$90,Cadastros!$H$6:$H$90)*(1-0.18),IF($F887="Mauro José Salanti",_xlfn.XLOOKUP(AL887,Cadastros!$G$6:$G$90,Cadastros!$H$6:$H$90)*(1-0.18),_xlfn.XLOOKUP(AL887,Cadastros!$G$6:$G$90,Cadastros!$H$6:$H$90))))</f>
        <v/>
      </c>
      <c r="AO887" s="168" t="str">
        <f t="shared" si="178"/>
        <v/>
      </c>
      <c r="AP887" s="168" t="str">
        <f t="shared" si="179"/>
        <v/>
      </c>
      <c r="AQ887" s="28"/>
      <c r="AR887" s="28"/>
      <c r="AS887" s="20" t="str">
        <f>IF(AQ887="","",IF($F887="Bernardino Furlan",_xlfn.XLOOKUP(AQ887,Cadastros!$G$6:$G$90,Cadastros!$H$6:$H$90)*(1-0.18),IF($F887="Mauro José Salanti",_xlfn.XLOOKUP(AQ887,Cadastros!$G$6:$G$90,Cadastros!$H$6:$H$90)*(1-0.18),_xlfn.XLOOKUP(AQ887,Cadastros!$G$6:$G$90,Cadastros!$H$6:$H$90))))</f>
        <v/>
      </c>
      <c r="AT887" s="168" t="str">
        <f t="shared" si="180"/>
        <v/>
      </c>
      <c r="AU887" s="168" t="str">
        <f t="shared" si="181"/>
        <v/>
      </c>
      <c r="AV887" s="227"/>
      <c r="AW887" s="30"/>
      <c r="AX887" s="267"/>
      <c r="AY887" s="267"/>
      <c r="AZ887" s="29"/>
      <c r="BA887" s="30"/>
      <c r="BB887" s="23" t="str" cm="1">
        <f t="array" ref="BB887">_xlfn.IFS(AW887="SIM",SUM(K887,P887,U887,Z887,AE887,AJ887,AO887,AT887,AX887,AY887),F887&lt;&gt;"",SUM(K887,P887,U887,Z887,AE887,AJ887,,AO887,AT887),F887="","")</f>
        <v/>
      </c>
      <c r="BC887" s="211" t="str" cm="1">
        <f t="array" ref="BC887">_xlfn.IFS(E887="","",G887&lt;=E887,BB887*(1-0.03),G887&lt;(E887+8),BB887,AZ887="Boleto",BB887*(1+0.001)^DATEDIF(E887,G887,"D"),AZ887="Cheque",BB887,AZ887="Dinheiro","Alterar forma pgto")</f>
        <v/>
      </c>
      <c r="BD887" s="276" t="str" cm="1">
        <f t="array" ref="BD887">IF(F887=0," ",IF(BC887&lt;BB887,(_xlfn.IFS(AW887="SIM",SUM(L887,Q887,V887,AA887,AF887,AK887,AP887,AU887)+AX887/_xlfn.XLOOKUP(_xlfn.XLOOKUP($F887,Clientes!$B$4:$B$39,Clientes!$C$4:$C$39),Cadastros!$L$6:$L$12,Cadastros!$M$6:$M$12)+IF($F887="Bernardino Furlan",AY887/2751.92,IF($F887="Mauro José Salanti",AY887/2751.92,AY887/3356)),F887&lt;&gt;0,SUM(L887,Q887,V887,AA887,AF887,AK887,AP887,AU887)))*(1-0.03),_xlfn.IFS(AW887="SIM",SUM(L887,Q887,V887,AA887,AF887,AK887,AP887,AU887)+AX887/_xlfn.XLOOKUP(_xlfn.XLOOKUP($F887,Clientes!$B$4:$B$39,Clientes!$C$4:$C$39),Cadastros!$L$6:$L$12,Cadastros!$M$6:$M$12)+IF($F887="Bernardino Furlan",AY887/2751.92,IF($F887="Mauro José Salanti",AY887/2751.92,AY887/3356)),F887&lt;&gt;0,SUM(L887,Q887,V887,AA887,AF887,AK887,AP887,AU887))))</f>
        <v xml:space="preserve"> </v>
      </c>
      <c r="BE887" s="120"/>
      <c r="BF887" s="120"/>
      <c r="BG887" s="120"/>
    </row>
    <row r="888" spans="1:59" s="3" customFormat="1" x14ac:dyDescent="0.3">
      <c r="A888" s="15" t="str">
        <f t="shared" si="169"/>
        <v/>
      </c>
      <c r="B888" s="25"/>
      <c r="C888" s="26"/>
      <c r="D888" s="279"/>
      <c r="E888" s="27"/>
      <c r="F888" s="28"/>
      <c r="G888" s="27"/>
      <c r="H888" s="28"/>
      <c r="I888" s="28"/>
      <c r="J888" s="255" t="str">
        <f>IF(H888="","",(_xlfn.XLOOKUP(H888,Cadastros!$D$6:$D$90,Cadastros!$E$6:$E$90))*(1-_xlfn.XLOOKUP(_xlfn.XLOOKUP($F888,Clientes!$B$4:$B$39,Clientes!$C$4:$C$39),Cadastros!$L$6:$L$12,Cadastros!$N$6:$N$12)))</f>
        <v/>
      </c>
      <c r="K888" s="168" t="str">
        <f t="shared" si="170"/>
        <v/>
      </c>
      <c r="L888" s="168" t="str">
        <f>IFERROR(K888/_xlfn.XLOOKUP(_xlfn.XLOOKUP($F888,Clientes!$B$4:$B$39,Clientes!$C$4:$C$39),Cadastros!$L$6:$L$12,Cadastros!$M$6:$M$12)," ")</f>
        <v xml:space="preserve"> </v>
      </c>
      <c r="M888" s="28"/>
      <c r="N888" s="28"/>
      <c r="O888" s="255" t="str">
        <f>IF(M888="","",(_xlfn.XLOOKUP(M888,Cadastros!$D$6:$D$90,Cadastros!$E$6:$E$90))*(1-_xlfn.XLOOKUP(_xlfn.XLOOKUP($F888,Clientes!$B$4:$B$39,Clientes!$C$4:$C$39),Cadastros!$L$6:$L$12,Cadastros!$N$6:$N$12)))</f>
        <v/>
      </c>
      <c r="P888" s="168" t="str">
        <f t="shared" si="171"/>
        <v/>
      </c>
      <c r="Q888" s="168" t="str">
        <f>IFERROR(P888/_xlfn.XLOOKUP(_xlfn.XLOOKUP($F888,Clientes!$B$4:$B$39,Clientes!$C$4:$C$39),Cadastros!$L$6:$L$12,Cadastros!$M$6:$M$12)," ")</f>
        <v xml:space="preserve"> </v>
      </c>
      <c r="R888" s="28"/>
      <c r="S888" s="28"/>
      <c r="T888" s="255" t="str">
        <f>IF(R888="","",(_xlfn.XLOOKUP(R888,Cadastros!$D$6:$D$90,Cadastros!$E$6:$E$90))*(1-_xlfn.XLOOKUP(_xlfn.XLOOKUP($F888,Clientes!$B$4:$B$39,Clientes!$C$4:$C$39),Cadastros!$L$6:$L$12,Cadastros!$N$6:$N$12)))</f>
        <v/>
      </c>
      <c r="U888" s="168" t="str">
        <f t="shared" si="172"/>
        <v/>
      </c>
      <c r="V888" s="168" t="str">
        <f>IFERROR(U888/_xlfn.XLOOKUP(_xlfn.XLOOKUP($F888,Clientes!$B$4:$B$39,Clientes!$C$4:$C$39),Cadastros!$L$6:$L$12,Cadastros!$M$6:$M$12)," ")</f>
        <v xml:space="preserve"> </v>
      </c>
      <c r="W888" s="28"/>
      <c r="X888" s="28"/>
      <c r="Y888" s="255" t="str">
        <f>IF(W888="","",(_xlfn.XLOOKUP(W888,Cadastros!$D$6:$D$90,Cadastros!$E$6:$E$90))*(1-_xlfn.XLOOKUP(_xlfn.XLOOKUP($F888,Clientes!$B$4:$B$39,Clientes!$C$4:$C$39),Cadastros!$L$6:$L$12,Cadastros!$N$6:$N$12)))</f>
        <v/>
      </c>
      <c r="Z888" s="168" t="str">
        <f t="shared" si="173"/>
        <v/>
      </c>
      <c r="AA888" s="168" t="str">
        <f>IFERROR(Z888/_xlfn.XLOOKUP(_xlfn.XLOOKUP($F888,Clientes!$B$4:$B$39,Clientes!$C$4:$C$39),Cadastros!$L$6:$L$12,Cadastros!$M$6:$M$12)," ")</f>
        <v xml:space="preserve"> </v>
      </c>
      <c r="AB888" s="28"/>
      <c r="AC888" s="28"/>
      <c r="AD888" s="20" t="str">
        <f>IF(AB888="","",IF($F888="Bernardino Furlan",_xlfn.XLOOKUP(AB888,Cadastros!$G$6:$G$90,Cadastros!$H$6:$H$90)*(1-0.18),IF($F888="Mauro José Salanti",_xlfn.XLOOKUP(AB888,Cadastros!$G$6:$G$90,Cadastros!$H$6:$H$90)*(1-0.18),_xlfn.XLOOKUP(AB888,Cadastros!$G$6:$G$90,Cadastros!$H$6:$H$90))))</f>
        <v/>
      </c>
      <c r="AE888" s="168" t="str">
        <f t="shared" si="174"/>
        <v/>
      </c>
      <c r="AF888" s="168" t="str">
        <f t="shared" si="175"/>
        <v/>
      </c>
      <c r="AG888" s="28"/>
      <c r="AH888" s="28"/>
      <c r="AI888" s="20" t="str">
        <f>IF(AG888="","",IF($F888="Bernardino Furlan",_xlfn.XLOOKUP(AG888,Cadastros!$G$6:$G$90,Cadastros!$H$6:$H$90)*(1-0.18),IF($F888="Mauro José Salanti",_xlfn.XLOOKUP(AG888,Cadastros!$G$6:$G$90,Cadastros!$H$6:$H$90)*(1-0.18),_xlfn.XLOOKUP(AG888,Cadastros!$G$6:$G$90,Cadastros!$H$6:$H$90))))</f>
        <v/>
      </c>
      <c r="AJ888" s="168" t="str">
        <f t="shared" si="176"/>
        <v/>
      </c>
      <c r="AK888" s="168" t="str">
        <f t="shared" si="177"/>
        <v/>
      </c>
      <c r="AL888" s="28"/>
      <c r="AM888" s="28"/>
      <c r="AN888" s="20" t="str">
        <f>IF(AL888="","",IF($F888="Bernardino Furlan",_xlfn.XLOOKUP(AL888,Cadastros!$G$6:$G$90,Cadastros!$H$6:$H$90)*(1-0.18),IF($F888="Mauro José Salanti",_xlfn.XLOOKUP(AL888,Cadastros!$G$6:$G$90,Cadastros!$H$6:$H$90)*(1-0.18),_xlfn.XLOOKUP(AL888,Cadastros!$G$6:$G$90,Cadastros!$H$6:$H$90))))</f>
        <v/>
      </c>
      <c r="AO888" s="168" t="str">
        <f t="shared" si="178"/>
        <v/>
      </c>
      <c r="AP888" s="168" t="str">
        <f t="shared" si="179"/>
        <v/>
      </c>
      <c r="AQ888" s="28"/>
      <c r="AR888" s="28"/>
      <c r="AS888" s="20" t="str">
        <f>IF(AQ888="","",IF($F888="Bernardino Furlan",_xlfn.XLOOKUP(AQ888,Cadastros!$G$6:$G$90,Cadastros!$H$6:$H$90)*(1-0.18),IF($F888="Mauro José Salanti",_xlfn.XLOOKUP(AQ888,Cadastros!$G$6:$G$90,Cadastros!$H$6:$H$90)*(1-0.18),_xlfn.XLOOKUP(AQ888,Cadastros!$G$6:$G$90,Cadastros!$H$6:$H$90))))</f>
        <v/>
      </c>
      <c r="AT888" s="168" t="str">
        <f t="shared" si="180"/>
        <v/>
      </c>
      <c r="AU888" s="168" t="str">
        <f t="shared" si="181"/>
        <v/>
      </c>
      <c r="AV888" s="227"/>
      <c r="AW888" s="30"/>
      <c r="AX888" s="267"/>
      <c r="AY888" s="267"/>
      <c r="AZ888" s="29"/>
      <c r="BA888" s="30"/>
      <c r="BB888" s="23" t="str" cm="1">
        <f t="array" ref="BB888">_xlfn.IFS(AW888="SIM",SUM(K888,P888,U888,Z888,AE888,AJ888,AO888,AT888,AX888,AY888),F888&lt;&gt;"",SUM(K888,P888,U888,Z888,AE888,AJ888,,AO888,AT888),F888="","")</f>
        <v/>
      </c>
      <c r="BC888" s="211" t="str" cm="1">
        <f t="array" ref="BC888">_xlfn.IFS(E888="","",G888&lt;=E888,BB888*(1-0.03),G888&lt;(E888+8),BB888,AZ888="Boleto",BB888*(1+0.001)^DATEDIF(E888,G888,"D"),AZ888="Cheque",BB888,AZ888="Dinheiro","Alterar forma pgto")</f>
        <v/>
      </c>
      <c r="BD888" s="276" t="str" cm="1">
        <f t="array" ref="BD888">IF(F888=0," ",IF(BC888&lt;BB888,(_xlfn.IFS(AW888="SIM",SUM(L888,Q888,V888,AA888,AF888,AK888,AP888,AU888)+AX888/_xlfn.XLOOKUP(_xlfn.XLOOKUP($F888,Clientes!$B$4:$B$39,Clientes!$C$4:$C$39),Cadastros!$L$6:$L$12,Cadastros!$M$6:$M$12)+IF($F888="Bernardino Furlan",AY888/2751.92,IF($F888="Mauro José Salanti",AY888/2751.92,AY888/3356)),F888&lt;&gt;0,SUM(L888,Q888,V888,AA888,AF888,AK888,AP888,AU888)))*(1-0.03),_xlfn.IFS(AW888="SIM",SUM(L888,Q888,V888,AA888,AF888,AK888,AP888,AU888)+AX888/_xlfn.XLOOKUP(_xlfn.XLOOKUP($F888,Clientes!$B$4:$B$39,Clientes!$C$4:$C$39),Cadastros!$L$6:$L$12,Cadastros!$M$6:$M$12)+IF($F888="Bernardino Furlan",AY888/2751.92,IF($F888="Mauro José Salanti",AY888/2751.92,AY888/3356)),F888&lt;&gt;0,SUM(L888,Q888,V888,AA888,AF888,AK888,AP888,AU888))))</f>
        <v xml:space="preserve"> </v>
      </c>
      <c r="BE888" s="120"/>
      <c r="BF888" s="120"/>
      <c r="BG888" s="120"/>
    </row>
    <row r="889" spans="1:59" s="3" customFormat="1" x14ac:dyDescent="0.3">
      <c r="A889" s="15" t="str">
        <f t="shared" si="169"/>
        <v/>
      </c>
      <c r="B889" s="25"/>
      <c r="C889" s="26"/>
      <c r="D889" s="279"/>
      <c r="E889" s="27"/>
      <c r="F889" s="28"/>
      <c r="G889" s="27"/>
      <c r="H889" s="28"/>
      <c r="I889" s="28"/>
      <c r="J889" s="255" t="str">
        <f>IF(H889="","",(_xlfn.XLOOKUP(H889,Cadastros!$D$6:$D$90,Cadastros!$E$6:$E$90))*(1-_xlfn.XLOOKUP(_xlfn.XLOOKUP($F889,Clientes!$B$4:$B$39,Clientes!$C$4:$C$39),Cadastros!$L$6:$L$12,Cadastros!$N$6:$N$12)))</f>
        <v/>
      </c>
      <c r="K889" s="168" t="str">
        <f t="shared" si="170"/>
        <v/>
      </c>
      <c r="L889" s="168" t="str">
        <f>IFERROR(K889/_xlfn.XLOOKUP(_xlfn.XLOOKUP($F889,Clientes!$B$4:$B$39,Clientes!$C$4:$C$39),Cadastros!$L$6:$L$12,Cadastros!$M$6:$M$12)," ")</f>
        <v xml:space="preserve"> </v>
      </c>
      <c r="M889" s="28"/>
      <c r="N889" s="28"/>
      <c r="O889" s="255" t="str">
        <f>IF(M889="","",(_xlfn.XLOOKUP(M889,Cadastros!$D$6:$D$90,Cadastros!$E$6:$E$90))*(1-_xlfn.XLOOKUP(_xlfn.XLOOKUP($F889,Clientes!$B$4:$B$39,Clientes!$C$4:$C$39),Cadastros!$L$6:$L$12,Cadastros!$N$6:$N$12)))</f>
        <v/>
      </c>
      <c r="P889" s="168" t="str">
        <f t="shared" si="171"/>
        <v/>
      </c>
      <c r="Q889" s="168" t="str">
        <f>IFERROR(P889/_xlfn.XLOOKUP(_xlfn.XLOOKUP($F889,Clientes!$B$4:$B$39,Clientes!$C$4:$C$39),Cadastros!$L$6:$L$12,Cadastros!$M$6:$M$12)," ")</f>
        <v xml:space="preserve"> </v>
      </c>
      <c r="R889" s="28"/>
      <c r="S889" s="28"/>
      <c r="T889" s="255" t="str">
        <f>IF(R889="","",(_xlfn.XLOOKUP(R889,Cadastros!$D$6:$D$90,Cadastros!$E$6:$E$90))*(1-_xlfn.XLOOKUP(_xlfn.XLOOKUP($F889,Clientes!$B$4:$B$39,Clientes!$C$4:$C$39),Cadastros!$L$6:$L$12,Cadastros!$N$6:$N$12)))</f>
        <v/>
      </c>
      <c r="U889" s="168" t="str">
        <f t="shared" si="172"/>
        <v/>
      </c>
      <c r="V889" s="168" t="str">
        <f>IFERROR(U889/_xlfn.XLOOKUP(_xlfn.XLOOKUP($F889,Clientes!$B$4:$B$39,Clientes!$C$4:$C$39),Cadastros!$L$6:$L$12,Cadastros!$M$6:$M$12)," ")</f>
        <v xml:space="preserve"> </v>
      </c>
      <c r="W889" s="28"/>
      <c r="X889" s="28"/>
      <c r="Y889" s="255" t="str">
        <f>IF(W889="","",(_xlfn.XLOOKUP(W889,Cadastros!$D$6:$D$90,Cadastros!$E$6:$E$90))*(1-_xlfn.XLOOKUP(_xlfn.XLOOKUP($F889,Clientes!$B$4:$B$39,Clientes!$C$4:$C$39),Cadastros!$L$6:$L$12,Cadastros!$N$6:$N$12)))</f>
        <v/>
      </c>
      <c r="Z889" s="168" t="str">
        <f t="shared" si="173"/>
        <v/>
      </c>
      <c r="AA889" s="168" t="str">
        <f>IFERROR(Z889/_xlfn.XLOOKUP(_xlfn.XLOOKUP($F889,Clientes!$B$4:$B$39,Clientes!$C$4:$C$39),Cadastros!$L$6:$L$12,Cadastros!$M$6:$M$12)," ")</f>
        <v xml:space="preserve"> </v>
      </c>
      <c r="AB889" s="28"/>
      <c r="AC889" s="28"/>
      <c r="AD889" s="20" t="str">
        <f>IF(AB889="","",IF($F889="Bernardino Furlan",_xlfn.XLOOKUP(AB889,Cadastros!$G$6:$G$90,Cadastros!$H$6:$H$90)*(1-0.18),IF($F889="Mauro José Salanti",_xlfn.XLOOKUP(AB889,Cadastros!$G$6:$G$90,Cadastros!$H$6:$H$90)*(1-0.18),_xlfn.XLOOKUP(AB889,Cadastros!$G$6:$G$90,Cadastros!$H$6:$H$90))))</f>
        <v/>
      </c>
      <c r="AE889" s="168" t="str">
        <f t="shared" si="174"/>
        <v/>
      </c>
      <c r="AF889" s="168" t="str">
        <f t="shared" si="175"/>
        <v/>
      </c>
      <c r="AG889" s="28"/>
      <c r="AH889" s="28"/>
      <c r="AI889" s="20" t="str">
        <f>IF(AG889="","",IF($F889="Bernardino Furlan",_xlfn.XLOOKUP(AG889,Cadastros!$G$6:$G$90,Cadastros!$H$6:$H$90)*(1-0.18),IF($F889="Mauro José Salanti",_xlfn.XLOOKUP(AG889,Cadastros!$G$6:$G$90,Cadastros!$H$6:$H$90)*(1-0.18),_xlfn.XLOOKUP(AG889,Cadastros!$G$6:$G$90,Cadastros!$H$6:$H$90))))</f>
        <v/>
      </c>
      <c r="AJ889" s="168" t="str">
        <f t="shared" si="176"/>
        <v/>
      </c>
      <c r="AK889" s="168" t="str">
        <f t="shared" si="177"/>
        <v/>
      </c>
      <c r="AL889" s="28"/>
      <c r="AM889" s="28"/>
      <c r="AN889" s="20" t="str">
        <f>IF(AL889="","",IF($F889="Bernardino Furlan",_xlfn.XLOOKUP(AL889,Cadastros!$G$6:$G$90,Cadastros!$H$6:$H$90)*(1-0.18),IF($F889="Mauro José Salanti",_xlfn.XLOOKUP(AL889,Cadastros!$G$6:$G$90,Cadastros!$H$6:$H$90)*(1-0.18),_xlfn.XLOOKUP(AL889,Cadastros!$G$6:$G$90,Cadastros!$H$6:$H$90))))</f>
        <v/>
      </c>
      <c r="AO889" s="168" t="str">
        <f t="shared" si="178"/>
        <v/>
      </c>
      <c r="AP889" s="168" t="str">
        <f t="shared" si="179"/>
        <v/>
      </c>
      <c r="AQ889" s="28"/>
      <c r="AR889" s="28"/>
      <c r="AS889" s="20" t="str">
        <f>IF(AQ889="","",IF($F889="Bernardino Furlan",_xlfn.XLOOKUP(AQ889,Cadastros!$G$6:$G$90,Cadastros!$H$6:$H$90)*(1-0.18),IF($F889="Mauro José Salanti",_xlfn.XLOOKUP(AQ889,Cadastros!$G$6:$G$90,Cadastros!$H$6:$H$90)*(1-0.18),_xlfn.XLOOKUP(AQ889,Cadastros!$G$6:$G$90,Cadastros!$H$6:$H$90))))</f>
        <v/>
      </c>
      <c r="AT889" s="168" t="str">
        <f t="shared" si="180"/>
        <v/>
      </c>
      <c r="AU889" s="168" t="str">
        <f t="shared" si="181"/>
        <v/>
      </c>
      <c r="AV889" s="227"/>
      <c r="AW889" s="30"/>
      <c r="AX889" s="267"/>
      <c r="AY889" s="267"/>
      <c r="AZ889" s="29"/>
      <c r="BA889" s="30"/>
      <c r="BB889" s="23" t="str" cm="1">
        <f t="array" ref="BB889">_xlfn.IFS(AW889="SIM",SUM(K889,P889,U889,Z889,AE889,AJ889,AO889,AT889,AX889,AY889),F889&lt;&gt;"",SUM(K889,P889,U889,Z889,AE889,AJ889,,AO889,AT889),F889="","")</f>
        <v/>
      </c>
      <c r="BC889" s="211" t="str" cm="1">
        <f t="array" ref="BC889">_xlfn.IFS(E889="","",G889&lt;=E889,BB889*(1-0.03),G889&lt;(E889+8),BB889,AZ889="Boleto",BB889*(1+0.001)^DATEDIF(E889,G889,"D"),AZ889="Cheque",BB889,AZ889="Dinheiro","Alterar forma pgto")</f>
        <v/>
      </c>
      <c r="BD889" s="276" t="str" cm="1">
        <f t="array" ref="BD889">IF(F889=0," ",IF(BC889&lt;BB889,(_xlfn.IFS(AW889="SIM",SUM(L889,Q889,V889,AA889,AF889,AK889,AP889,AU889)+AX889/_xlfn.XLOOKUP(_xlfn.XLOOKUP($F889,Clientes!$B$4:$B$39,Clientes!$C$4:$C$39),Cadastros!$L$6:$L$12,Cadastros!$M$6:$M$12)+IF($F889="Bernardino Furlan",AY889/2751.92,IF($F889="Mauro José Salanti",AY889/2751.92,AY889/3356)),F889&lt;&gt;0,SUM(L889,Q889,V889,AA889,AF889,AK889,AP889,AU889)))*(1-0.03),_xlfn.IFS(AW889="SIM",SUM(L889,Q889,V889,AA889,AF889,AK889,AP889,AU889)+AX889/_xlfn.XLOOKUP(_xlfn.XLOOKUP($F889,Clientes!$B$4:$B$39,Clientes!$C$4:$C$39),Cadastros!$L$6:$L$12,Cadastros!$M$6:$M$12)+IF($F889="Bernardino Furlan",AY889/2751.92,IF($F889="Mauro José Salanti",AY889/2751.92,AY889/3356)),F889&lt;&gt;0,SUM(L889,Q889,V889,AA889,AF889,AK889,AP889,AU889))))</f>
        <v xml:space="preserve"> </v>
      </c>
      <c r="BE889" s="120"/>
      <c r="BF889" s="120"/>
      <c r="BG889" s="120"/>
    </row>
    <row r="890" spans="1:59" s="3" customFormat="1" x14ac:dyDescent="0.3">
      <c r="A890" s="15" t="str">
        <f t="shared" si="169"/>
        <v/>
      </c>
      <c r="B890" s="25"/>
      <c r="C890" s="26"/>
      <c r="D890" s="279"/>
      <c r="E890" s="27"/>
      <c r="F890" s="28"/>
      <c r="G890" s="27"/>
      <c r="H890" s="28"/>
      <c r="I890" s="28"/>
      <c r="J890" s="255" t="str">
        <f>IF(H890="","",(_xlfn.XLOOKUP(H890,Cadastros!$D$6:$D$90,Cadastros!$E$6:$E$90))*(1-_xlfn.XLOOKUP(_xlfn.XLOOKUP($F890,Clientes!$B$4:$B$39,Clientes!$C$4:$C$39),Cadastros!$L$6:$L$12,Cadastros!$N$6:$N$12)))</f>
        <v/>
      </c>
      <c r="K890" s="168" t="str">
        <f t="shared" si="170"/>
        <v/>
      </c>
      <c r="L890" s="168" t="str">
        <f>IFERROR(K890/_xlfn.XLOOKUP(_xlfn.XLOOKUP($F890,Clientes!$B$4:$B$39,Clientes!$C$4:$C$39),Cadastros!$L$6:$L$12,Cadastros!$M$6:$M$12)," ")</f>
        <v xml:space="preserve"> </v>
      </c>
      <c r="M890" s="28"/>
      <c r="N890" s="28"/>
      <c r="O890" s="255" t="str">
        <f>IF(M890="","",(_xlfn.XLOOKUP(M890,Cadastros!$D$6:$D$90,Cadastros!$E$6:$E$90))*(1-_xlfn.XLOOKUP(_xlfn.XLOOKUP($F890,Clientes!$B$4:$B$39,Clientes!$C$4:$C$39),Cadastros!$L$6:$L$12,Cadastros!$N$6:$N$12)))</f>
        <v/>
      </c>
      <c r="P890" s="168" t="str">
        <f t="shared" si="171"/>
        <v/>
      </c>
      <c r="Q890" s="168" t="str">
        <f>IFERROR(P890/_xlfn.XLOOKUP(_xlfn.XLOOKUP($F890,Clientes!$B$4:$B$39,Clientes!$C$4:$C$39),Cadastros!$L$6:$L$12,Cadastros!$M$6:$M$12)," ")</f>
        <v xml:space="preserve"> </v>
      </c>
      <c r="R890" s="28"/>
      <c r="S890" s="28"/>
      <c r="T890" s="255" t="str">
        <f>IF(R890="","",(_xlfn.XLOOKUP(R890,Cadastros!$D$6:$D$90,Cadastros!$E$6:$E$90))*(1-_xlfn.XLOOKUP(_xlfn.XLOOKUP($F890,Clientes!$B$4:$B$39,Clientes!$C$4:$C$39),Cadastros!$L$6:$L$12,Cadastros!$N$6:$N$12)))</f>
        <v/>
      </c>
      <c r="U890" s="168" t="str">
        <f t="shared" si="172"/>
        <v/>
      </c>
      <c r="V890" s="168" t="str">
        <f>IFERROR(U890/_xlfn.XLOOKUP(_xlfn.XLOOKUP($F890,Clientes!$B$4:$B$39,Clientes!$C$4:$C$39),Cadastros!$L$6:$L$12,Cadastros!$M$6:$M$12)," ")</f>
        <v xml:space="preserve"> </v>
      </c>
      <c r="W890" s="28"/>
      <c r="X890" s="28"/>
      <c r="Y890" s="255" t="str">
        <f>IF(W890="","",(_xlfn.XLOOKUP(W890,Cadastros!$D$6:$D$90,Cadastros!$E$6:$E$90))*(1-_xlfn.XLOOKUP(_xlfn.XLOOKUP($F890,Clientes!$B$4:$B$39,Clientes!$C$4:$C$39),Cadastros!$L$6:$L$12,Cadastros!$N$6:$N$12)))</f>
        <v/>
      </c>
      <c r="Z890" s="168" t="str">
        <f t="shared" si="173"/>
        <v/>
      </c>
      <c r="AA890" s="168" t="str">
        <f>IFERROR(Z890/_xlfn.XLOOKUP(_xlfn.XLOOKUP($F890,Clientes!$B$4:$B$39,Clientes!$C$4:$C$39),Cadastros!$L$6:$L$12,Cadastros!$M$6:$M$12)," ")</f>
        <v xml:space="preserve"> </v>
      </c>
      <c r="AB890" s="28"/>
      <c r="AC890" s="28"/>
      <c r="AD890" s="20" t="str">
        <f>IF(AB890="","",IF($F890="Bernardino Furlan",_xlfn.XLOOKUP(AB890,Cadastros!$G$6:$G$90,Cadastros!$H$6:$H$90)*(1-0.18),IF($F890="Mauro José Salanti",_xlfn.XLOOKUP(AB890,Cadastros!$G$6:$G$90,Cadastros!$H$6:$H$90)*(1-0.18),_xlfn.XLOOKUP(AB890,Cadastros!$G$6:$G$90,Cadastros!$H$6:$H$90))))</f>
        <v/>
      </c>
      <c r="AE890" s="168" t="str">
        <f t="shared" si="174"/>
        <v/>
      </c>
      <c r="AF890" s="168" t="str">
        <f t="shared" si="175"/>
        <v/>
      </c>
      <c r="AG890" s="28"/>
      <c r="AH890" s="28"/>
      <c r="AI890" s="20" t="str">
        <f>IF(AG890="","",IF($F890="Bernardino Furlan",_xlfn.XLOOKUP(AG890,Cadastros!$G$6:$G$90,Cadastros!$H$6:$H$90)*(1-0.18),IF($F890="Mauro José Salanti",_xlfn.XLOOKUP(AG890,Cadastros!$G$6:$G$90,Cadastros!$H$6:$H$90)*(1-0.18),_xlfn.XLOOKUP(AG890,Cadastros!$G$6:$G$90,Cadastros!$H$6:$H$90))))</f>
        <v/>
      </c>
      <c r="AJ890" s="168" t="str">
        <f t="shared" si="176"/>
        <v/>
      </c>
      <c r="AK890" s="168" t="str">
        <f t="shared" si="177"/>
        <v/>
      </c>
      <c r="AL890" s="28"/>
      <c r="AM890" s="28"/>
      <c r="AN890" s="20" t="str">
        <f>IF(AL890="","",IF($F890="Bernardino Furlan",_xlfn.XLOOKUP(AL890,Cadastros!$G$6:$G$90,Cadastros!$H$6:$H$90)*(1-0.18),IF($F890="Mauro José Salanti",_xlfn.XLOOKUP(AL890,Cadastros!$G$6:$G$90,Cadastros!$H$6:$H$90)*(1-0.18),_xlfn.XLOOKUP(AL890,Cadastros!$G$6:$G$90,Cadastros!$H$6:$H$90))))</f>
        <v/>
      </c>
      <c r="AO890" s="168" t="str">
        <f t="shared" si="178"/>
        <v/>
      </c>
      <c r="AP890" s="168" t="str">
        <f t="shared" si="179"/>
        <v/>
      </c>
      <c r="AQ890" s="28"/>
      <c r="AR890" s="28"/>
      <c r="AS890" s="20" t="str">
        <f>IF(AQ890="","",IF($F890="Bernardino Furlan",_xlfn.XLOOKUP(AQ890,Cadastros!$G$6:$G$90,Cadastros!$H$6:$H$90)*(1-0.18),IF($F890="Mauro José Salanti",_xlfn.XLOOKUP(AQ890,Cadastros!$G$6:$G$90,Cadastros!$H$6:$H$90)*(1-0.18),_xlfn.XLOOKUP(AQ890,Cadastros!$G$6:$G$90,Cadastros!$H$6:$H$90))))</f>
        <v/>
      </c>
      <c r="AT890" s="168" t="str">
        <f t="shared" si="180"/>
        <v/>
      </c>
      <c r="AU890" s="168" t="str">
        <f t="shared" si="181"/>
        <v/>
      </c>
      <c r="AV890" s="227"/>
      <c r="AW890" s="30"/>
      <c r="AX890" s="267"/>
      <c r="AY890" s="267"/>
      <c r="AZ890" s="29"/>
      <c r="BA890" s="30"/>
      <c r="BB890" s="23" t="str" cm="1">
        <f t="array" ref="BB890">_xlfn.IFS(AW890="SIM",SUM(K890,P890,U890,Z890,AE890,AJ890,AO890,AT890,AX890,AY890),F890&lt;&gt;"",SUM(K890,P890,U890,Z890,AE890,AJ890,,AO890,AT890),F890="","")</f>
        <v/>
      </c>
      <c r="BC890" s="211" t="str" cm="1">
        <f t="array" ref="BC890">_xlfn.IFS(E890="","",G890&lt;=E890,BB890*(1-0.03),G890&lt;(E890+8),BB890,AZ890="Boleto",BB890*(1+0.001)^DATEDIF(E890,G890,"D"),AZ890="Cheque",BB890,AZ890="Dinheiro","Alterar forma pgto")</f>
        <v/>
      </c>
      <c r="BD890" s="276" t="str" cm="1">
        <f t="array" ref="BD890">IF(F890=0," ",IF(BC890&lt;BB890,(_xlfn.IFS(AW890="SIM",SUM(L890,Q890,V890,AA890,AF890,AK890,AP890,AU890)+AX890/_xlfn.XLOOKUP(_xlfn.XLOOKUP($F890,Clientes!$B$4:$B$39,Clientes!$C$4:$C$39),Cadastros!$L$6:$L$12,Cadastros!$M$6:$M$12)+IF($F890="Bernardino Furlan",AY890/2751.92,IF($F890="Mauro José Salanti",AY890/2751.92,AY890/3356)),F890&lt;&gt;0,SUM(L890,Q890,V890,AA890,AF890,AK890,AP890,AU890)))*(1-0.03),_xlfn.IFS(AW890="SIM",SUM(L890,Q890,V890,AA890,AF890,AK890,AP890,AU890)+AX890/_xlfn.XLOOKUP(_xlfn.XLOOKUP($F890,Clientes!$B$4:$B$39,Clientes!$C$4:$C$39),Cadastros!$L$6:$L$12,Cadastros!$M$6:$M$12)+IF($F890="Bernardino Furlan",AY890/2751.92,IF($F890="Mauro José Salanti",AY890/2751.92,AY890/3356)),F890&lt;&gt;0,SUM(L890,Q890,V890,AA890,AF890,AK890,AP890,AU890))))</f>
        <v xml:space="preserve"> </v>
      </c>
      <c r="BE890" s="120"/>
      <c r="BF890" s="120"/>
      <c r="BG890" s="120"/>
    </row>
    <row r="891" spans="1:59" s="3" customFormat="1" x14ac:dyDescent="0.3">
      <c r="A891" s="15" t="str">
        <f t="shared" si="169"/>
        <v/>
      </c>
      <c r="B891" s="25"/>
      <c r="C891" s="26"/>
      <c r="D891" s="279"/>
      <c r="E891" s="27"/>
      <c r="F891" s="28"/>
      <c r="G891" s="27"/>
      <c r="H891" s="28"/>
      <c r="I891" s="28"/>
      <c r="J891" s="255" t="str">
        <f>IF(H891="","",(_xlfn.XLOOKUP(H891,Cadastros!$D$6:$D$90,Cadastros!$E$6:$E$90))*(1-_xlfn.XLOOKUP(_xlfn.XLOOKUP($F891,Clientes!$B$4:$B$39,Clientes!$C$4:$C$39),Cadastros!$L$6:$L$12,Cadastros!$N$6:$N$12)))</f>
        <v/>
      </c>
      <c r="K891" s="168" t="str">
        <f t="shared" si="170"/>
        <v/>
      </c>
      <c r="L891" s="168" t="str">
        <f>IFERROR(K891/_xlfn.XLOOKUP(_xlfn.XLOOKUP($F891,Clientes!$B$4:$B$39,Clientes!$C$4:$C$39),Cadastros!$L$6:$L$12,Cadastros!$M$6:$M$12)," ")</f>
        <v xml:space="preserve"> </v>
      </c>
      <c r="M891" s="28"/>
      <c r="N891" s="28"/>
      <c r="O891" s="255" t="str">
        <f>IF(M891="","",(_xlfn.XLOOKUP(M891,Cadastros!$D$6:$D$90,Cadastros!$E$6:$E$90))*(1-_xlfn.XLOOKUP(_xlfn.XLOOKUP($F891,Clientes!$B$4:$B$39,Clientes!$C$4:$C$39),Cadastros!$L$6:$L$12,Cadastros!$N$6:$N$12)))</f>
        <v/>
      </c>
      <c r="P891" s="168" t="str">
        <f t="shared" si="171"/>
        <v/>
      </c>
      <c r="Q891" s="168" t="str">
        <f>IFERROR(P891/_xlfn.XLOOKUP(_xlfn.XLOOKUP($F891,Clientes!$B$4:$B$39,Clientes!$C$4:$C$39),Cadastros!$L$6:$L$12,Cadastros!$M$6:$M$12)," ")</f>
        <v xml:space="preserve"> </v>
      </c>
      <c r="R891" s="28"/>
      <c r="S891" s="28"/>
      <c r="T891" s="255" t="str">
        <f>IF(R891="","",(_xlfn.XLOOKUP(R891,Cadastros!$D$6:$D$90,Cadastros!$E$6:$E$90))*(1-_xlfn.XLOOKUP(_xlfn.XLOOKUP($F891,Clientes!$B$4:$B$39,Clientes!$C$4:$C$39),Cadastros!$L$6:$L$12,Cadastros!$N$6:$N$12)))</f>
        <v/>
      </c>
      <c r="U891" s="168" t="str">
        <f t="shared" si="172"/>
        <v/>
      </c>
      <c r="V891" s="168" t="str">
        <f>IFERROR(U891/_xlfn.XLOOKUP(_xlfn.XLOOKUP($F891,Clientes!$B$4:$B$39,Clientes!$C$4:$C$39),Cadastros!$L$6:$L$12,Cadastros!$M$6:$M$12)," ")</f>
        <v xml:space="preserve"> </v>
      </c>
      <c r="W891" s="28"/>
      <c r="X891" s="28"/>
      <c r="Y891" s="255" t="str">
        <f>IF(W891="","",(_xlfn.XLOOKUP(W891,Cadastros!$D$6:$D$90,Cadastros!$E$6:$E$90))*(1-_xlfn.XLOOKUP(_xlfn.XLOOKUP($F891,Clientes!$B$4:$B$39,Clientes!$C$4:$C$39),Cadastros!$L$6:$L$12,Cadastros!$N$6:$N$12)))</f>
        <v/>
      </c>
      <c r="Z891" s="168" t="str">
        <f t="shared" si="173"/>
        <v/>
      </c>
      <c r="AA891" s="168" t="str">
        <f>IFERROR(Z891/_xlfn.XLOOKUP(_xlfn.XLOOKUP($F891,Clientes!$B$4:$B$39,Clientes!$C$4:$C$39),Cadastros!$L$6:$L$12,Cadastros!$M$6:$M$12)," ")</f>
        <v xml:space="preserve"> </v>
      </c>
      <c r="AB891" s="28"/>
      <c r="AC891" s="28"/>
      <c r="AD891" s="20" t="str">
        <f>IF(AB891="","",IF($F891="Bernardino Furlan",_xlfn.XLOOKUP(AB891,Cadastros!$G$6:$G$90,Cadastros!$H$6:$H$90)*(1-0.18),IF($F891="Mauro José Salanti",_xlfn.XLOOKUP(AB891,Cadastros!$G$6:$G$90,Cadastros!$H$6:$H$90)*(1-0.18),_xlfn.XLOOKUP(AB891,Cadastros!$G$6:$G$90,Cadastros!$H$6:$H$90))))</f>
        <v/>
      </c>
      <c r="AE891" s="168" t="str">
        <f t="shared" si="174"/>
        <v/>
      </c>
      <c r="AF891" s="168" t="str">
        <f t="shared" si="175"/>
        <v/>
      </c>
      <c r="AG891" s="28"/>
      <c r="AH891" s="28"/>
      <c r="AI891" s="20" t="str">
        <f>IF(AG891="","",IF($F891="Bernardino Furlan",_xlfn.XLOOKUP(AG891,Cadastros!$G$6:$G$90,Cadastros!$H$6:$H$90)*(1-0.18),IF($F891="Mauro José Salanti",_xlfn.XLOOKUP(AG891,Cadastros!$G$6:$G$90,Cadastros!$H$6:$H$90)*(1-0.18),_xlfn.XLOOKUP(AG891,Cadastros!$G$6:$G$90,Cadastros!$H$6:$H$90))))</f>
        <v/>
      </c>
      <c r="AJ891" s="168" t="str">
        <f t="shared" si="176"/>
        <v/>
      </c>
      <c r="AK891" s="168" t="str">
        <f t="shared" si="177"/>
        <v/>
      </c>
      <c r="AL891" s="28"/>
      <c r="AM891" s="28"/>
      <c r="AN891" s="20" t="str">
        <f>IF(AL891="","",IF($F891="Bernardino Furlan",_xlfn.XLOOKUP(AL891,Cadastros!$G$6:$G$90,Cadastros!$H$6:$H$90)*(1-0.18),IF($F891="Mauro José Salanti",_xlfn.XLOOKUP(AL891,Cadastros!$G$6:$G$90,Cadastros!$H$6:$H$90)*(1-0.18),_xlfn.XLOOKUP(AL891,Cadastros!$G$6:$G$90,Cadastros!$H$6:$H$90))))</f>
        <v/>
      </c>
      <c r="AO891" s="168" t="str">
        <f t="shared" si="178"/>
        <v/>
      </c>
      <c r="AP891" s="168" t="str">
        <f t="shared" si="179"/>
        <v/>
      </c>
      <c r="AQ891" s="28"/>
      <c r="AR891" s="28"/>
      <c r="AS891" s="20" t="str">
        <f>IF(AQ891="","",IF($F891="Bernardino Furlan",_xlfn.XLOOKUP(AQ891,Cadastros!$G$6:$G$90,Cadastros!$H$6:$H$90)*(1-0.18),IF($F891="Mauro José Salanti",_xlfn.XLOOKUP(AQ891,Cadastros!$G$6:$G$90,Cadastros!$H$6:$H$90)*(1-0.18),_xlfn.XLOOKUP(AQ891,Cadastros!$G$6:$G$90,Cadastros!$H$6:$H$90))))</f>
        <v/>
      </c>
      <c r="AT891" s="168" t="str">
        <f t="shared" si="180"/>
        <v/>
      </c>
      <c r="AU891" s="168" t="str">
        <f t="shared" si="181"/>
        <v/>
      </c>
      <c r="AV891" s="227"/>
      <c r="AW891" s="30"/>
      <c r="AX891" s="267"/>
      <c r="AY891" s="267"/>
      <c r="AZ891" s="29"/>
      <c r="BA891" s="30"/>
      <c r="BB891" s="23" t="str" cm="1">
        <f t="array" ref="BB891">_xlfn.IFS(AW891="SIM",SUM(K891,P891,U891,Z891,AE891,AJ891,AO891,AT891,AX891,AY891),F891&lt;&gt;"",SUM(K891,P891,U891,Z891,AE891,AJ891,,AO891,AT891),F891="","")</f>
        <v/>
      </c>
      <c r="BC891" s="211" t="str" cm="1">
        <f t="array" ref="BC891">_xlfn.IFS(E891="","",G891&lt;=E891,BB891*(1-0.03),G891&lt;(E891+8),BB891,AZ891="Boleto",BB891*(1+0.001)^DATEDIF(E891,G891,"D"),AZ891="Cheque",BB891,AZ891="Dinheiro","Alterar forma pgto")</f>
        <v/>
      </c>
      <c r="BD891" s="276" t="str" cm="1">
        <f t="array" ref="BD891">IF(F891=0," ",IF(BC891&lt;BB891,(_xlfn.IFS(AW891="SIM",SUM(L891,Q891,V891,AA891,AF891,AK891,AP891,AU891)+AX891/_xlfn.XLOOKUP(_xlfn.XLOOKUP($F891,Clientes!$B$4:$B$39,Clientes!$C$4:$C$39),Cadastros!$L$6:$L$12,Cadastros!$M$6:$M$12)+IF($F891="Bernardino Furlan",AY891/2751.92,IF($F891="Mauro José Salanti",AY891/2751.92,AY891/3356)),F891&lt;&gt;0,SUM(L891,Q891,V891,AA891,AF891,AK891,AP891,AU891)))*(1-0.03),_xlfn.IFS(AW891="SIM",SUM(L891,Q891,V891,AA891,AF891,AK891,AP891,AU891)+AX891/_xlfn.XLOOKUP(_xlfn.XLOOKUP($F891,Clientes!$B$4:$B$39,Clientes!$C$4:$C$39),Cadastros!$L$6:$L$12,Cadastros!$M$6:$M$12)+IF($F891="Bernardino Furlan",AY891/2751.92,IF($F891="Mauro José Salanti",AY891/2751.92,AY891/3356)),F891&lt;&gt;0,SUM(L891,Q891,V891,AA891,AF891,AK891,AP891,AU891))))</f>
        <v xml:space="preserve"> </v>
      </c>
      <c r="BE891" s="120"/>
      <c r="BF891" s="120"/>
      <c r="BG891" s="120"/>
    </row>
    <row r="892" spans="1:59" s="3" customFormat="1" x14ac:dyDescent="0.3">
      <c r="A892" s="15" t="str">
        <f t="shared" si="169"/>
        <v/>
      </c>
      <c r="B892" s="25"/>
      <c r="C892" s="26"/>
      <c r="D892" s="279"/>
      <c r="E892" s="27"/>
      <c r="F892" s="28"/>
      <c r="G892" s="27"/>
      <c r="H892" s="28"/>
      <c r="I892" s="28"/>
      <c r="J892" s="255" t="str">
        <f>IF(H892="","",(_xlfn.XLOOKUP(H892,Cadastros!$D$6:$D$90,Cadastros!$E$6:$E$90))*(1-_xlfn.XLOOKUP(_xlfn.XLOOKUP($F892,Clientes!$B$4:$B$39,Clientes!$C$4:$C$39),Cadastros!$L$6:$L$12,Cadastros!$N$6:$N$12)))</f>
        <v/>
      </c>
      <c r="K892" s="168" t="str">
        <f t="shared" si="170"/>
        <v/>
      </c>
      <c r="L892" s="168" t="str">
        <f>IFERROR(K892/_xlfn.XLOOKUP(_xlfn.XLOOKUP($F892,Clientes!$B$4:$B$39,Clientes!$C$4:$C$39),Cadastros!$L$6:$L$12,Cadastros!$M$6:$M$12)," ")</f>
        <v xml:space="preserve"> </v>
      </c>
      <c r="M892" s="28"/>
      <c r="N892" s="28"/>
      <c r="O892" s="255" t="str">
        <f>IF(M892="","",(_xlfn.XLOOKUP(M892,Cadastros!$D$6:$D$90,Cadastros!$E$6:$E$90))*(1-_xlfn.XLOOKUP(_xlfn.XLOOKUP($F892,Clientes!$B$4:$B$39,Clientes!$C$4:$C$39),Cadastros!$L$6:$L$12,Cadastros!$N$6:$N$12)))</f>
        <v/>
      </c>
      <c r="P892" s="168" t="str">
        <f t="shared" si="171"/>
        <v/>
      </c>
      <c r="Q892" s="168" t="str">
        <f>IFERROR(P892/_xlfn.XLOOKUP(_xlfn.XLOOKUP($F892,Clientes!$B$4:$B$39,Clientes!$C$4:$C$39),Cadastros!$L$6:$L$12,Cadastros!$M$6:$M$12)," ")</f>
        <v xml:space="preserve"> </v>
      </c>
      <c r="R892" s="28"/>
      <c r="S892" s="28"/>
      <c r="T892" s="255" t="str">
        <f>IF(R892="","",(_xlfn.XLOOKUP(R892,Cadastros!$D$6:$D$90,Cadastros!$E$6:$E$90))*(1-_xlfn.XLOOKUP(_xlfn.XLOOKUP($F892,Clientes!$B$4:$B$39,Clientes!$C$4:$C$39),Cadastros!$L$6:$L$12,Cadastros!$N$6:$N$12)))</f>
        <v/>
      </c>
      <c r="U892" s="168" t="str">
        <f t="shared" si="172"/>
        <v/>
      </c>
      <c r="V892" s="168" t="str">
        <f>IFERROR(U892/_xlfn.XLOOKUP(_xlfn.XLOOKUP($F892,Clientes!$B$4:$B$39,Clientes!$C$4:$C$39),Cadastros!$L$6:$L$12,Cadastros!$M$6:$M$12)," ")</f>
        <v xml:space="preserve"> </v>
      </c>
      <c r="W892" s="28"/>
      <c r="X892" s="28"/>
      <c r="Y892" s="255" t="str">
        <f>IF(W892="","",(_xlfn.XLOOKUP(W892,Cadastros!$D$6:$D$90,Cadastros!$E$6:$E$90))*(1-_xlfn.XLOOKUP(_xlfn.XLOOKUP($F892,Clientes!$B$4:$B$39,Clientes!$C$4:$C$39),Cadastros!$L$6:$L$12,Cadastros!$N$6:$N$12)))</f>
        <v/>
      </c>
      <c r="Z892" s="168" t="str">
        <f t="shared" si="173"/>
        <v/>
      </c>
      <c r="AA892" s="168" t="str">
        <f>IFERROR(Z892/_xlfn.XLOOKUP(_xlfn.XLOOKUP($F892,Clientes!$B$4:$B$39,Clientes!$C$4:$C$39),Cadastros!$L$6:$L$12,Cadastros!$M$6:$M$12)," ")</f>
        <v xml:space="preserve"> </v>
      </c>
      <c r="AB892" s="28"/>
      <c r="AC892" s="28"/>
      <c r="AD892" s="20" t="str">
        <f>IF(AB892="","",IF($F892="Bernardino Furlan",_xlfn.XLOOKUP(AB892,Cadastros!$G$6:$G$90,Cadastros!$H$6:$H$90)*(1-0.18),IF($F892="Mauro José Salanti",_xlfn.XLOOKUP(AB892,Cadastros!$G$6:$G$90,Cadastros!$H$6:$H$90)*(1-0.18),_xlfn.XLOOKUP(AB892,Cadastros!$G$6:$G$90,Cadastros!$H$6:$H$90))))</f>
        <v/>
      </c>
      <c r="AE892" s="168" t="str">
        <f t="shared" si="174"/>
        <v/>
      </c>
      <c r="AF892" s="168" t="str">
        <f t="shared" si="175"/>
        <v/>
      </c>
      <c r="AG892" s="28"/>
      <c r="AH892" s="28"/>
      <c r="AI892" s="20" t="str">
        <f>IF(AG892="","",IF($F892="Bernardino Furlan",_xlfn.XLOOKUP(AG892,Cadastros!$G$6:$G$90,Cadastros!$H$6:$H$90)*(1-0.18),IF($F892="Mauro José Salanti",_xlfn.XLOOKUP(AG892,Cadastros!$G$6:$G$90,Cadastros!$H$6:$H$90)*(1-0.18),_xlfn.XLOOKUP(AG892,Cadastros!$G$6:$G$90,Cadastros!$H$6:$H$90))))</f>
        <v/>
      </c>
      <c r="AJ892" s="168" t="str">
        <f t="shared" si="176"/>
        <v/>
      </c>
      <c r="AK892" s="168" t="str">
        <f t="shared" si="177"/>
        <v/>
      </c>
      <c r="AL892" s="28"/>
      <c r="AM892" s="28"/>
      <c r="AN892" s="20" t="str">
        <f>IF(AL892="","",IF($F892="Bernardino Furlan",_xlfn.XLOOKUP(AL892,Cadastros!$G$6:$G$90,Cadastros!$H$6:$H$90)*(1-0.18),IF($F892="Mauro José Salanti",_xlfn.XLOOKUP(AL892,Cadastros!$G$6:$G$90,Cadastros!$H$6:$H$90)*(1-0.18),_xlfn.XLOOKUP(AL892,Cadastros!$G$6:$G$90,Cadastros!$H$6:$H$90))))</f>
        <v/>
      </c>
      <c r="AO892" s="168" t="str">
        <f t="shared" si="178"/>
        <v/>
      </c>
      <c r="AP892" s="168" t="str">
        <f t="shared" si="179"/>
        <v/>
      </c>
      <c r="AQ892" s="28"/>
      <c r="AR892" s="28"/>
      <c r="AS892" s="20" t="str">
        <f>IF(AQ892="","",IF($F892="Bernardino Furlan",_xlfn.XLOOKUP(AQ892,Cadastros!$G$6:$G$90,Cadastros!$H$6:$H$90)*(1-0.18),IF($F892="Mauro José Salanti",_xlfn.XLOOKUP(AQ892,Cadastros!$G$6:$G$90,Cadastros!$H$6:$H$90)*(1-0.18),_xlfn.XLOOKUP(AQ892,Cadastros!$G$6:$G$90,Cadastros!$H$6:$H$90))))</f>
        <v/>
      </c>
      <c r="AT892" s="168" t="str">
        <f t="shared" si="180"/>
        <v/>
      </c>
      <c r="AU892" s="168" t="str">
        <f t="shared" si="181"/>
        <v/>
      </c>
      <c r="AV892" s="227"/>
      <c r="AW892" s="30"/>
      <c r="AX892" s="267"/>
      <c r="AY892" s="267"/>
      <c r="AZ892" s="29"/>
      <c r="BA892" s="30"/>
      <c r="BB892" s="23" t="str" cm="1">
        <f t="array" ref="BB892">_xlfn.IFS(AW892="SIM",SUM(K892,P892,U892,Z892,AE892,AJ892,AO892,AT892,AX892,AY892),F892&lt;&gt;"",SUM(K892,P892,U892,Z892,AE892,AJ892,,AO892,AT892),F892="","")</f>
        <v/>
      </c>
      <c r="BC892" s="211" t="str" cm="1">
        <f t="array" ref="BC892">_xlfn.IFS(E892="","",G892&lt;=E892,BB892*(1-0.03),G892&lt;(E892+8),BB892,AZ892="Boleto",BB892*(1+0.001)^DATEDIF(E892,G892,"D"),AZ892="Cheque",BB892,AZ892="Dinheiro","Alterar forma pgto")</f>
        <v/>
      </c>
      <c r="BD892" s="276" t="str" cm="1">
        <f t="array" ref="BD892">IF(F892=0," ",IF(BC892&lt;BB892,(_xlfn.IFS(AW892="SIM",SUM(L892,Q892,V892,AA892,AF892,AK892,AP892,AU892)+AX892/_xlfn.XLOOKUP(_xlfn.XLOOKUP($F892,Clientes!$B$4:$B$39,Clientes!$C$4:$C$39),Cadastros!$L$6:$L$12,Cadastros!$M$6:$M$12)+IF($F892="Bernardino Furlan",AY892/2751.92,IF($F892="Mauro José Salanti",AY892/2751.92,AY892/3356)),F892&lt;&gt;0,SUM(L892,Q892,V892,AA892,AF892,AK892,AP892,AU892)))*(1-0.03),_xlfn.IFS(AW892="SIM",SUM(L892,Q892,V892,AA892,AF892,AK892,AP892,AU892)+AX892/_xlfn.XLOOKUP(_xlfn.XLOOKUP($F892,Clientes!$B$4:$B$39,Clientes!$C$4:$C$39),Cadastros!$L$6:$L$12,Cadastros!$M$6:$M$12)+IF($F892="Bernardino Furlan",AY892/2751.92,IF($F892="Mauro José Salanti",AY892/2751.92,AY892/3356)),F892&lt;&gt;0,SUM(L892,Q892,V892,AA892,AF892,AK892,AP892,AU892))))</f>
        <v xml:space="preserve"> </v>
      </c>
      <c r="BE892" s="120"/>
      <c r="BF892" s="120"/>
      <c r="BG892" s="120"/>
    </row>
    <row r="893" spans="1:59" s="3" customFormat="1" x14ac:dyDescent="0.3">
      <c r="A893" s="15" t="str">
        <f t="shared" si="169"/>
        <v/>
      </c>
      <c r="B893" s="25"/>
      <c r="C893" s="26"/>
      <c r="D893" s="279"/>
      <c r="E893" s="27"/>
      <c r="F893" s="28"/>
      <c r="G893" s="27"/>
      <c r="H893" s="28"/>
      <c r="I893" s="28"/>
      <c r="J893" s="255" t="str">
        <f>IF(H893="","",(_xlfn.XLOOKUP(H893,Cadastros!$D$6:$D$90,Cadastros!$E$6:$E$90))*(1-_xlfn.XLOOKUP(_xlfn.XLOOKUP($F893,Clientes!$B$4:$B$39,Clientes!$C$4:$C$39),Cadastros!$L$6:$L$12,Cadastros!$N$6:$N$12)))</f>
        <v/>
      </c>
      <c r="K893" s="168" t="str">
        <f t="shared" si="170"/>
        <v/>
      </c>
      <c r="L893" s="168" t="str">
        <f>IFERROR(K893/_xlfn.XLOOKUP(_xlfn.XLOOKUP($F893,Clientes!$B$4:$B$39,Clientes!$C$4:$C$39),Cadastros!$L$6:$L$12,Cadastros!$M$6:$M$12)," ")</f>
        <v xml:space="preserve"> </v>
      </c>
      <c r="M893" s="28"/>
      <c r="N893" s="28"/>
      <c r="O893" s="255" t="str">
        <f>IF(M893="","",(_xlfn.XLOOKUP(M893,Cadastros!$D$6:$D$90,Cadastros!$E$6:$E$90))*(1-_xlfn.XLOOKUP(_xlfn.XLOOKUP($F893,Clientes!$B$4:$B$39,Clientes!$C$4:$C$39),Cadastros!$L$6:$L$12,Cadastros!$N$6:$N$12)))</f>
        <v/>
      </c>
      <c r="P893" s="168" t="str">
        <f t="shared" si="171"/>
        <v/>
      </c>
      <c r="Q893" s="168" t="str">
        <f>IFERROR(P893/_xlfn.XLOOKUP(_xlfn.XLOOKUP($F893,Clientes!$B$4:$B$39,Clientes!$C$4:$C$39),Cadastros!$L$6:$L$12,Cadastros!$M$6:$M$12)," ")</f>
        <v xml:space="preserve"> </v>
      </c>
      <c r="R893" s="28"/>
      <c r="S893" s="28"/>
      <c r="T893" s="255" t="str">
        <f>IF(R893="","",(_xlfn.XLOOKUP(R893,Cadastros!$D$6:$D$90,Cadastros!$E$6:$E$90))*(1-_xlfn.XLOOKUP(_xlfn.XLOOKUP($F893,Clientes!$B$4:$B$39,Clientes!$C$4:$C$39),Cadastros!$L$6:$L$12,Cadastros!$N$6:$N$12)))</f>
        <v/>
      </c>
      <c r="U893" s="168" t="str">
        <f t="shared" si="172"/>
        <v/>
      </c>
      <c r="V893" s="168" t="str">
        <f>IFERROR(U893/_xlfn.XLOOKUP(_xlfn.XLOOKUP($F893,Clientes!$B$4:$B$39,Clientes!$C$4:$C$39),Cadastros!$L$6:$L$12,Cadastros!$M$6:$M$12)," ")</f>
        <v xml:space="preserve"> </v>
      </c>
      <c r="W893" s="28"/>
      <c r="X893" s="28"/>
      <c r="Y893" s="255" t="str">
        <f>IF(W893="","",(_xlfn.XLOOKUP(W893,Cadastros!$D$6:$D$90,Cadastros!$E$6:$E$90))*(1-_xlfn.XLOOKUP(_xlfn.XLOOKUP($F893,Clientes!$B$4:$B$39,Clientes!$C$4:$C$39),Cadastros!$L$6:$L$12,Cadastros!$N$6:$N$12)))</f>
        <v/>
      </c>
      <c r="Z893" s="168" t="str">
        <f t="shared" si="173"/>
        <v/>
      </c>
      <c r="AA893" s="168" t="str">
        <f>IFERROR(Z893/_xlfn.XLOOKUP(_xlfn.XLOOKUP($F893,Clientes!$B$4:$B$39,Clientes!$C$4:$C$39),Cadastros!$L$6:$L$12,Cadastros!$M$6:$M$12)," ")</f>
        <v xml:space="preserve"> </v>
      </c>
      <c r="AB893" s="28"/>
      <c r="AC893" s="28"/>
      <c r="AD893" s="20" t="str">
        <f>IF(AB893="","",IF($F893="Bernardino Furlan",_xlfn.XLOOKUP(AB893,Cadastros!$G$6:$G$90,Cadastros!$H$6:$H$90)*(1-0.18),IF($F893="Mauro José Salanti",_xlfn.XLOOKUP(AB893,Cadastros!$G$6:$G$90,Cadastros!$H$6:$H$90)*(1-0.18),_xlfn.XLOOKUP(AB893,Cadastros!$G$6:$G$90,Cadastros!$H$6:$H$90))))</f>
        <v/>
      </c>
      <c r="AE893" s="168" t="str">
        <f t="shared" si="174"/>
        <v/>
      </c>
      <c r="AF893" s="168" t="str">
        <f t="shared" si="175"/>
        <v/>
      </c>
      <c r="AG893" s="28"/>
      <c r="AH893" s="28"/>
      <c r="AI893" s="20" t="str">
        <f>IF(AG893="","",IF($F893="Bernardino Furlan",_xlfn.XLOOKUP(AG893,Cadastros!$G$6:$G$90,Cadastros!$H$6:$H$90)*(1-0.18),IF($F893="Mauro José Salanti",_xlfn.XLOOKUP(AG893,Cadastros!$G$6:$G$90,Cadastros!$H$6:$H$90)*(1-0.18),_xlfn.XLOOKUP(AG893,Cadastros!$G$6:$G$90,Cadastros!$H$6:$H$90))))</f>
        <v/>
      </c>
      <c r="AJ893" s="168" t="str">
        <f t="shared" si="176"/>
        <v/>
      </c>
      <c r="AK893" s="168" t="str">
        <f t="shared" si="177"/>
        <v/>
      </c>
      <c r="AL893" s="28"/>
      <c r="AM893" s="28"/>
      <c r="AN893" s="20" t="str">
        <f>IF(AL893="","",IF($F893="Bernardino Furlan",_xlfn.XLOOKUP(AL893,Cadastros!$G$6:$G$90,Cadastros!$H$6:$H$90)*(1-0.18),IF($F893="Mauro José Salanti",_xlfn.XLOOKUP(AL893,Cadastros!$G$6:$G$90,Cadastros!$H$6:$H$90)*(1-0.18),_xlfn.XLOOKUP(AL893,Cadastros!$G$6:$G$90,Cadastros!$H$6:$H$90))))</f>
        <v/>
      </c>
      <c r="AO893" s="168" t="str">
        <f t="shared" si="178"/>
        <v/>
      </c>
      <c r="AP893" s="168" t="str">
        <f t="shared" si="179"/>
        <v/>
      </c>
      <c r="AQ893" s="28"/>
      <c r="AR893" s="28"/>
      <c r="AS893" s="20" t="str">
        <f>IF(AQ893="","",IF($F893="Bernardino Furlan",_xlfn.XLOOKUP(AQ893,Cadastros!$G$6:$G$90,Cadastros!$H$6:$H$90)*(1-0.18),IF($F893="Mauro José Salanti",_xlfn.XLOOKUP(AQ893,Cadastros!$G$6:$G$90,Cadastros!$H$6:$H$90)*(1-0.18),_xlfn.XLOOKUP(AQ893,Cadastros!$G$6:$G$90,Cadastros!$H$6:$H$90))))</f>
        <v/>
      </c>
      <c r="AT893" s="168" t="str">
        <f t="shared" si="180"/>
        <v/>
      </c>
      <c r="AU893" s="168" t="str">
        <f t="shared" si="181"/>
        <v/>
      </c>
      <c r="AV893" s="227"/>
      <c r="AW893" s="30"/>
      <c r="AX893" s="267"/>
      <c r="AY893" s="267"/>
      <c r="AZ893" s="29"/>
      <c r="BA893" s="30"/>
      <c r="BB893" s="23" t="str" cm="1">
        <f t="array" ref="BB893">_xlfn.IFS(AW893="SIM",SUM(K893,P893,U893,Z893,AE893,AJ893,AO893,AT893,AX893,AY893),F893&lt;&gt;"",SUM(K893,P893,U893,Z893,AE893,AJ893,,AO893,AT893),F893="","")</f>
        <v/>
      </c>
      <c r="BC893" s="211" t="str" cm="1">
        <f t="array" ref="BC893">_xlfn.IFS(E893="","",G893&lt;=E893,BB893*(1-0.03),G893&lt;(E893+8),BB893,AZ893="Boleto",BB893*(1+0.001)^DATEDIF(E893,G893,"D"),AZ893="Cheque",BB893,AZ893="Dinheiro","Alterar forma pgto")</f>
        <v/>
      </c>
      <c r="BD893" s="276" t="str" cm="1">
        <f t="array" ref="BD893">IF(F893=0," ",IF(BC893&lt;BB893,(_xlfn.IFS(AW893="SIM",SUM(L893,Q893,V893,AA893,AF893,AK893,AP893,AU893)+AX893/_xlfn.XLOOKUP(_xlfn.XLOOKUP($F893,Clientes!$B$4:$B$39,Clientes!$C$4:$C$39),Cadastros!$L$6:$L$12,Cadastros!$M$6:$M$12)+IF($F893="Bernardino Furlan",AY893/2751.92,IF($F893="Mauro José Salanti",AY893/2751.92,AY893/3356)),F893&lt;&gt;0,SUM(L893,Q893,V893,AA893,AF893,AK893,AP893,AU893)))*(1-0.03),_xlfn.IFS(AW893="SIM",SUM(L893,Q893,V893,AA893,AF893,AK893,AP893,AU893)+AX893/_xlfn.XLOOKUP(_xlfn.XLOOKUP($F893,Clientes!$B$4:$B$39,Clientes!$C$4:$C$39),Cadastros!$L$6:$L$12,Cadastros!$M$6:$M$12)+IF($F893="Bernardino Furlan",AY893/2751.92,IF($F893="Mauro José Salanti",AY893/2751.92,AY893/3356)),F893&lt;&gt;0,SUM(L893,Q893,V893,AA893,AF893,AK893,AP893,AU893))))</f>
        <v xml:space="preserve"> </v>
      </c>
      <c r="BE893" s="120"/>
      <c r="BF893" s="120"/>
      <c r="BG893" s="120"/>
    </row>
    <row r="894" spans="1:59" s="3" customFormat="1" x14ac:dyDescent="0.3">
      <c r="A894" s="15" t="str">
        <f t="shared" si="169"/>
        <v/>
      </c>
      <c r="B894" s="25"/>
      <c r="C894" s="26"/>
      <c r="D894" s="279"/>
      <c r="E894" s="27"/>
      <c r="F894" s="28"/>
      <c r="G894" s="27"/>
      <c r="H894" s="28"/>
      <c r="I894" s="28"/>
      <c r="J894" s="255" t="str">
        <f>IF(H894="","",(_xlfn.XLOOKUP(H894,Cadastros!$D$6:$D$90,Cadastros!$E$6:$E$90))*(1-_xlfn.XLOOKUP(_xlfn.XLOOKUP($F894,Clientes!$B$4:$B$39,Clientes!$C$4:$C$39),Cadastros!$L$6:$L$12,Cadastros!$N$6:$N$12)))</f>
        <v/>
      </c>
      <c r="K894" s="168" t="str">
        <f t="shared" si="170"/>
        <v/>
      </c>
      <c r="L894" s="168" t="str">
        <f>IFERROR(K894/_xlfn.XLOOKUP(_xlfn.XLOOKUP($F894,Clientes!$B$4:$B$39,Clientes!$C$4:$C$39),Cadastros!$L$6:$L$12,Cadastros!$M$6:$M$12)," ")</f>
        <v xml:space="preserve"> </v>
      </c>
      <c r="M894" s="28"/>
      <c r="N894" s="28"/>
      <c r="O894" s="255" t="str">
        <f>IF(M894="","",(_xlfn.XLOOKUP(M894,Cadastros!$D$6:$D$90,Cadastros!$E$6:$E$90))*(1-_xlfn.XLOOKUP(_xlfn.XLOOKUP($F894,Clientes!$B$4:$B$39,Clientes!$C$4:$C$39),Cadastros!$L$6:$L$12,Cadastros!$N$6:$N$12)))</f>
        <v/>
      </c>
      <c r="P894" s="168" t="str">
        <f t="shared" si="171"/>
        <v/>
      </c>
      <c r="Q894" s="168" t="str">
        <f>IFERROR(P894/_xlfn.XLOOKUP(_xlfn.XLOOKUP($F894,Clientes!$B$4:$B$39,Clientes!$C$4:$C$39),Cadastros!$L$6:$L$12,Cadastros!$M$6:$M$12)," ")</f>
        <v xml:space="preserve"> </v>
      </c>
      <c r="R894" s="28"/>
      <c r="S894" s="28"/>
      <c r="T894" s="255" t="str">
        <f>IF(R894="","",(_xlfn.XLOOKUP(R894,Cadastros!$D$6:$D$90,Cadastros!$E$6:$E$90))*(1-_xlfn.XLOOKUP(_xlfn.XLOOKUP($F894,Clientes!$B$4:$B$39,Clientes!$C$4:$C$39),Cadastros!$L$6:$L$12,Cadastros!$N$6:$N$12)))</f>
        <v/>
      </c>
      <c r="U894" s="168" t="str">
        <f t="shared" si="172"/>
        <v/>
      </c>
      <c r="V894" s="168" t="str">
        <f>IFERROR(U894/_xlfn.XLOOKUP(_xlfn.XLOOKUP($F894,Clientes!$B$4:$B$39,Clientes!$C$4:$C$39),Cadastros!$L$6:$L$12,Cadastros!$M$6:$M$12)," ")</f>
        <v xml:space="preserve"> </v>
      </c>
      <c r="W894" s="28"/>
      <c r="X894" s="28"/>
      <c r="Y894" s="255" t="str">
        <f>IF(W894="","",(_xlfn.XLOOKUP(W894,Cadastros!$D$6:$D$90,Cadastros!$E$6:$E$90))*(1-_xlfn.XLOOKUP(_xlfn.XLOOKUP($F894,Clientes!$B$4:$B$39,Clientes!$C$4:$C$39),Cadastros!$L$6:$L$12,Cadastros!$N$6:$N$12)))</f>
        <v/>
      </c>
      <c r="Z894" s="168" t="str">
        <f t="shared" si="173"/>
        <v/>
      </c>
      <c r="AA894" s="168" t="str">
        <f>IFERROR(Z894/_xlfn.XLOOKUP(_xlfn.XLOOKUP($F894,Clientes!$B$4:$B$39,Clientes!$C$4:$C$39),Cadastros!$L$6:$L$12,Cadastros!$M$6:$M$12)," ")</f>
        <v xml:space="preserve"> </v>
      </c>
      <c r="AB894" s="28"/>
      <c r="AC894" s="28"/>
      <c r="AD894" s="20" t="str">
        <f>IF(AB894="","",IF($F894="Bernardino Furlan",_xlfn.XLOOKUP(AB894,Cadastros!$G$6:$G$90,Cadastros!$H$6:$H$90)*(1-0.18),IF($F894="Mauro José Salanti",_xlfn.XLOOKUP(AB894,Cadastros!$G$6:$G$90,Cadastros!$H$6:$H$90)*(1-0.18),_xlfn.XLOOKUP(AB894,Cadastros!$G$6:$G$90,Cadastros!$H$6:$H$90))))</f>
        <v/>
      </c>
      <c r="AE894" s="168" t="str">
        <f t="shared" si="174"/>
        <v/>
      </c>
      <c r="AF894" s="168" t="str">
        <f t="shared" si="175"/>
        <v/>
      </c>
      <c r="AG894" s="28"/>
      <c r="AH894" s="28"/>
      <c r="AI894" s="20" t="str">
        <f>IF(AG894="","",IF($F894="Bernardino Furlan",_xlfn.XLOOKUP(AG894,Cadastros!$G$6:$G$90,Cadastros!$H$6:$H$90)*(1-0.18),IF($F894="Mauro José Salanti",_xlfn.XLOOKUP(AG894,Cadastros!$G$6:$G$90,Cadastros!$H$6:$H$90)*(1-0.18),_xlfn.XLOOKUP(AG894,Cadastros!$G$6:$G$90,Cadastros!$H$6:$H$90))))</f>
        <v/>
      </c>
      <c r="AJ894" s="168" t="str">
        <f t="shared" si="176"/>
        <v/>
      </c>
      <c r="AK894" s="168" t="str">
        <f t="shared" si="177"/>
        <v/>
      </c>
      <c r="AL894" s="28"/>
      <c r="AM894" s="28"/>
      <c r="AN894" s="20" t="str">
        <f>IF(AL894="","",IF($F894="Bernardino Furlan",_xlfn.XLOOKUP(AL894,Cadastros!$G$6:$G$90,Cadastros!$H$6:$H$90)*(1-0.18),IF($F894="Mauro José Salanti",_xlfn.XLOOKUP(AL894,Cadastros!$G$6:$G$90,Cadastros!$H$6:$H$90)*(1-0.18),_xlfn.XLOOKUP(AL894,Cadastros!$G$6:$G$90,Cadastros!$H$6:$H$90))))</f>
        <v/>
      </c>
      <c r="AO894" s="168" t="str">
        <f t="shared" si="178"/>
        <v/>
      </c>
      <c r="AP894" s="168" t="str">
        <f t="shared" si="179"/>
        <v/>
      </c>
      <c r="AQ894" s="28"/>
      <c r="AR894" s="28"/>
      <c r="AS894" s="20" t="str">
        <f>IF(AQ894="","",IF($F894="Bernardino Furlan",_xlfn.XLOOKUP(AQ894,Cadastros!$G$6:$G$90,Cadastros!$H$6:$H$90)*(1-0.18),IF($F894="Mauro José Salanti",_xlfn.XLOOKUP(AQ894,Cadastros!$G$6:$G$90,Cadastros!$H$6:$H$90)*(1-0.18),_xlfn.XLOOKUP(AQ894,Cadastros!$G$6:$G$90,Cadastros!$H$6:$H$90))))</f>
        <v/>
      </c>
      <c r="AT894" s="168" t="str">
        <f t="shared" si="180"/>
        <v/>
      </c>
      <c r="AU894" s="168" t="str">
        <f t="shared" si="181"/>
        <v/>
      </c>
      <c r="AV894" s="227"/>
      <c r="AW894" s="30"/>
      <c r="AX894" s="267"/>
      <c r="AY894" s="267"/>
      <c r="AZ894" s="29"/>
      <c r="BA894" s="30"/>
      <c r="BB894" s="23" t="str" cm="1">
        <f t="array" ref="BB894">_xlfn.IFS(AW894="SIM",SUM(K894,P894,U894,Z894,AE894,AJ894,AO894,AT894,AX894,AY894),F894&lt;&gt;"",SUM(K894,P894,U894,Z894,AE894,AJ894,,AO894,AT894),F894="","")</f>
        <v/>
      </c>
      <c r="BC894" s="211" t="str" cm="1">
        <f t="array" ref="BC894">_xlfn.IFS(E894="","",G894&lt;=E894,BB894*(1-0.03),G894&lt;(E894+8),BB894,AZ894="Boleto",BB894*(1+0.001)^DATEDIF(E894,G894,"D"),AZ894="Cheque",BB894,AZ894="Dinheiro","Alterar forma pgto")</f>
        <v/>
      </c>
      <c r="BD894" s="276" t="str" cm="1">
        <f t="array" ref="BD894">IF(F894=0," ",IF(BC894&lt;BB894,(_xlfn.IFS(AW894="SIM",SUM(L894,Q894,V894,AA894,AF894,AK894,AP894,AU894)+AX894/_xlfn.XLOOKUP(_xlfn.XLOOKUP($F894,Clientes!$B$4:$B$39,Clientes!$C$4:$C$39),Cadastros!$L$6:$L$12,Cadastros!$M$6:$M$12)+IF($F894="Bernardino Furlan",AY894/2751.92,IF($F894="Mauro José Salanti",AY894/2751.92,AY894/3356)),F894&lt;&gt;0,SUM(L894,Q894,V894,AA894,AF894,AK894,AP894,AU894)))*(1-0.03),_xlfn.IFS(AW894="SIM",SUM(L894,Q894,V894,AA894,AF894,AK894,AP894,AU894)+AX894/_xlfn.XLOOKUP(_xlfn.XLOOKUP($F894,Clientes!$B$4:$B$39,Clientes!$C$4:$C$39),Cadastros!$L$6:$L$12,Cadastros!$M$6:$M$12)+IF($F894="Bernardino Furlan",AY894/2751.92,IF($F894="Mauro José Salanti",AY894/2751.92,AY894/3356)),F894&lt;&gt;0,SUM(L894,Q894,V894,AA894,AF894,AK894,AP894,AU894))))</f>
        <v xml:space="preserve"> </v>
      </c>
      <c r="BE894" s="120"/>
      <c r="BF894" s="120"/>
      <c r="BG894" s="120"/>
    </row>
    <row r="895" spans="1:59" s="3" customFormat="1" x14ac:dyDescent="0.3">
      <c r="A895" s="15" t="str">
        <f t="shared" si="169"/>
        <v/>
      </c>
      <c r="B895" s="25"/>
      <c r="C895" s="26"/>
      <c r="D895" s="279"/>
      <c r="E895" s="27"/>
      <c r="F895" s="28"/>
      <c r="G895" s="27"/>
      <c r="H895" s="28"/>
      <c r="I895" s="28"/>
      <c r="J895" s="255" t="str">
        <f>IF(H895="","",(_xlfn.XLOOKUP(H895,Cadastros!$D$6:$D$90,Cadastros!$E$6:$E$90))*(1-_xlfn.XLOOKUP(_xlfn.XLOOKUP($F895,Clientes!$B$4:$B$39,Clientes!$C$4:$C$39),Cadastros!$L$6:$L$12,Cadastros!$N$6:$N$12)))</f>
        <v/>
      </c>
      <c r="K895" s="168" t="str">
        <f t="shared" si="170"/>
        <v/>
      </c>
      <c r="L895" s="168" t="str">
        <f>IFERROR(K895/_xlfn.XLOOKUP(_xlfn.XLOOKUP($F895,Clientes!$B$4:$B$39,Clientes!$C$4:$C$39),Cadastros!$L$6:$L$12,Cadastros!$M$6:$M$12)," ")</f>
        <v xml:space="preserve"> </v>
      </c>
      <c r="M895" s="28"/>
      <c r="N895" s="28"/>
      <c r="O895" s="255" t="str">
        <f>IF(M895="","",(_xlfn.XLOOKUP(M895,Cadastros!$D$6:$D$90,Cadastros!$E$6:$E$90))*(1-_xlfn.XLOOKUP(_xlfn.XLOOKUP($F895,Clientes!$B$4:$B$39,Clientes!$C$4:$C$39),Cadastros!$L$6:$L$12,Cadastros!$N$6:$N$12)))</f>
        <v/>
      </c>
      <c r="P895" s="168" t="str">
        <f t="shared" si="171"/>
        <v/>
      </c>
      <c r="Q895" s="168" t="str">
        <f>IFERROR(P895/_xlfn.XLOOKUP(_xlfn.XLOOKUP($F895,Clientes!$B$4:$B$39,Clientes!$C$4:$C$39),Cadastros!$L$6:$L$12,Cadastros!$M$6:$M$12)," ")</f>
        <v xml:space="preserve"> </v>
      </c>
      <c r="R895" s="28"/>
      <c r="S895" s="28"/>
      <c r="T895" s="255" t="str">
        <f>IF(R895="","",(_xlfn.XLOOKUP(R895,Cadastros!$D$6:$D$90,Cadastros!$E$6:$E$90))*(1-_xlfn.XLOOKUP(_xlfn.XLOOKUP($F895,Clientes!$B$4:$B$39,Clientes!$C$4:$C$39),Cadastros!$L$6:$L$12,Cadastros!$N$6:$N$12)))</f>
        <v/>
      </c>
      <c r="U895" s="168" t="str">
        <f t="shared" si="172"/>
        <v/>
      </c>
      <c r="V895" s="168" t="str">
        <f>IFERROR(U895/_xlfn.XLOOKUP(_xlfn.XLOOKUP($F895,Clientes!$B$4:$B$39,Clientes!$C$4:$C$39),Cadastros!$L$6:$L$12,Cadastros!$M$6:$M$12)," ")</f>
        <v xml:space="preserve"> </v>
      </c>
      <c r="W895" s="28"/>
      <c r="X895" s="28"/>
      <c r="Y895" s="255" t="str">
        <f>IF(W895="","",(_xlfn.XLOOKUP(W895,Cadastros!$D$6:$D$90,Cadastros!$E$6:$E$90))*(1-_xlfn.XLOOKUP(_xlfn.XLOOKUP($F895,Clientes!$B$4:$B$39,Clientes!$C$4:$C$39),Cadastros!$L$6:$L$12,Cadastros!$N$6:$N$12)))</f>
        <v/>
      </c>
      <c r="Z895" s="168" t="str">
        <f t="shared" si="173"/>
        <v/>
      </c>
      <c r="AA895" s="168" t="str">
        <f>IFERROR(Z895/_xlfn.XLOOKUP(_xlfn.XLOOKUP($F895,Clientes!$B$4:$B$39,Clientes!$C$4:$C$39),Cadastros!$L$6:$L$12,Cadastros!$M$6:$M$12)," ")</f>
        <v xml:space="preserve"> </v>
      </c>
      <c r="AB895" s="28"/>
      <c r="AC895" s="28"/>
      <c r="AD895" s="20" t="str">
        <f>IF(AB895="","",IF($F895="Bernardino Furlan",_xlfn.XLOOKUP(AB895,Cadastros!$G$6:$G$90,Cadastros!$H$6:$H$90)*(1-0.18),IF($F895="Mauro José Salanti",_xlfn.XLOOKUP(AB895,Cadastros!$G$6:$G$90,Cadastros!$H$6:$H$90)*(1-0.18),_xlfn.XLOOKUP(AB895,Cadastros!$G$6:$G$90,Cadastros!$H$6:$H$90))))</f>
        <v/>
      </c>
      <c r="AE895" s="168" t="str">
        <f t="shared" si="174"/>
        <v/>
      </c>
      <c r="AF895" s="168" t="str">
        <f t="shared" si="175"/>
        <v/>
      </c>
      <c r="AG895" s="28"/>
      <c r="AH895" s="28"/>
      <c r="AI895" s="20" t="str">
        <f>IF(AG895="","",IF($F895="Bernardino Furlan",_xlfn.XLOOKUP(AG895,Cadastros!$G$6:$G$90,Cadastros!$H$6:$H$90)*(1-0.18),IF($F895="Mauro José Salanti",_xlfn.XLOOKUP(AG895,Cadastros!$G$6:$G$90,Cadastros!$H$6:$H$90)*(1-0.18),_xlfn.XLOOKUP(AG895,Cadastros!$G$6:$G$90,Cadastros!$H$6:$H$90))))</f>
        <v/>
      </c>
      <c r="AJ895" s="168" t="str">
        <f t="shared" si="176"/>
        <v/>
      </c>
      <c r="AK895" s="168" t="str">
        <f t="shared" si="177"/>
        <v/>
      </c>
      <c r="AL895" s="28"/>
      <c r="AM895" s="28"/>
      <c r="AN895" s="20" t="str">
        <f>IF(AL895="","",IF($F895="Bernardino Furlan",_xlfn.XLOOKUP(AL895,Cadastros!$G$6:$G$90,Cadastros!$H$6:$H$90)*(1-0.18),IF($F895="Mauro José Salanti",_xlfn.XLOOKUP(AL895,Cadastros!$G$6:$G$90,Cadastros!$H$6:$H$90)*(1-0.18),_xlfn.XLOOKUP(AL895,Cadastros!$G$6:$G$90,Cadastros!$H$6:$H$90))))</f>
        <v/>
      </c>
      <c r="AO895" s="168" t="str">
        <f t="shared" si="178"/>
        <v/>
      </c>
      <c r="AP895" s="168" t="str">
        <f t="shared" si="179"/>
        <v/>
      </c>
      <c r="AQ895" s="28"/>
      <c r="AR895" s="28"/>
      <c r="AS895" s="20" t="str">
        <f>IF(AQ895="","",IF($F895="Bernardino Furlan",_xlfn.XLOOKUP(AQ895,Cadastros!$G$6:$G$90,Cadastros!$H$6:$H$90)*(1-0.18),IF($F895="Mauro José Salanti",_xlfn.XLOOKUP(AQ895,Cadastros!$G$6:$G$90,Cadastros!$H$6:$H$90)*(1-0.18),_xlfn.XLOOKUP(AQ895,Cadastros!$G$6:$G$90,Cadastros!$H$6:$H$90))))</f>
        <v/>
      </c>
      <c r="AT895" s="168" t="str">
        <f t="shared" si="180"/>
        <v/>
      </c>
      <c r="AU895" s="168" t="str">
        <f t="shared" si="181"/>
        <v/>
      </c>
      <c r="AV895" s="227"/>
      <c r="AW895" s="30"/>
      <c r="AX895" s="267"/>
      <c r="AY895" s="267"/>
      <c r="AZ895" s="29"/>
      <c r="BA895" s="30"/>
      <c r="BB895" s="23" t="str" cm="1">
        <f t="array" ref="BB895">_xlfn.IFS(AW895="SIM",SUM(K895,P895,U895,Z895,AE895,AJ895,AO895,AT895,AX895,AY895),F895&lt;&gt;"",SUM(K895,P895,U895,Z895,AE895,AJ895,,AO895,AT895),F895="","")</f>
        <v/>
      </c>
      <c r="BC895" s="211" t="str" cm="1">
        <f t="array" ref="BC895">_xlfn.IFS(E895="","",G895&lt;=E895,BB895*(1-0.03),G895&lt;(E895+8),BB895,AZ895="Boleto",BB895*(1+0.001)^DATEDIF(E895,G895,"D"),AZ895="Cheque",BB895,AZ895="Dinheiro","Alterar forma pgto")</f>
        <v/>
      </c>
      <c r="BD895" s="276" t="str" cm="1">
        <f t="array" ref="BD895">IF(F895=0," ",IF(BC895&lt;BB895,(_xlfn.IFS(AW895="SIM",SUM(L895,Q895,V895,AA895,AF895,AK895,AP895,AU895)+AX895/_xlfn.XLOOKUP(_xlfn.XLOOKUP($F895,Clientes!$B$4:$B$39,Clientes!$C$4:$C$39),Cadastros!$L$6:$L$12,Cadastros!$M$6:$M$12)+IF($F895="Bernardino Furlan",AY895/2751.92,IF($F895="Mauro José Salanti",AY895/2751.92,AY895/3356)),F895&lt;&gt;0,SUM(L895,Q895,V895,AA895,AF895,AK895,AP895,AU895)))*(1-0.03),_xlfn.IFS(AW895="SIM",SUM(L895,Q895,V895,AA895,AF895,AK895,AP895,AU895)+AX895/_xlfn.XLOOKUP(_xlfn.XLOOKUP($F895,Clientes!$B$4:$B$39,Clientes!$C$4:$C$39),Cadastros!$L$6:$L$12,Cadastros!$M$6:$M$12)+IF($F895="Bernardino Furlan",AY895/2751.92,IF($F895="Mauro José Salanti",AY895/2751.92,AY895/3356)),F895&lt;&gt;0,SUM(L895,Q895,V895,AA895,AF895,AK895,AP895,AU895))))</f>
        <v xml:space="preserve"> </v>
      </c>
      <c r="BE895" s="120"/>
      <c r="BF895" s="120"/>
      <c r="BG895" s="120"/>
    </row>
    <row r="896" spans="1:59" s="3" customFormat="1" x14ac:dyDescent="0.3">
      <c r="A896" s="15" t="str">
        <f t="shared" si="169"/>
        <v/>
      </c>
      <c r="B896" s="25"/>
      <c r="C896" s="26"/>
      <c r="D896" s="279"/>
      <c r="E896" s="27"/>
      <c r="F896" s="28"/>
      <c r="G896" s="27"/>
      <c r="H896" s="28"/>
      <c r="I896" s="28"/>
      <c r="J896" s="255" t="str">
        <f>IF(H896="","",(_xlfn.XLOOKUP(H896,Cadastros!$D$6:$D$90,Cadastros!$E$6:$E$90))*(1-_xlfn.XLOOKUP(_xlfn.XLOOKUP($F896,Clientes!$B$4:$B$39,Clientes!$C$4:$C$39),Cadastros!$L$6:$L$12,Cadastros!$N$6:$N$12)))</f>
        <v/>
      </c>
      <c r="K896" s="168" t="str">
        <f t="shared" si="170"/>
        <v/>
      </c>
      <c r="L896" s="168" t="str">
        <f>IFERROR(K896/_xlfn.XLOOKUP(_xlfn.XLOOKUP($F896,Clientes!$B$4:$B$39,Clientes!$C$4:$C$39),Cadastros!$L$6:$L$12,Cadastros!$M$6:$M$12)," ")</f>
        <v xml:space="preserve"> </v>
      </c>
      <c r="M896" s="28"/>
      <c r="N896" s="28"/>
      <c r="O896" s="255" t="str">
        <f>IF(M896="","",(_xlfn.XLOOKUP(M896,Cadastros!$D$6:$D$90,Cadastros!$E$6:$E$90))*(1-_xlfn.XLOOKUP(_xlfn.XLOOKUP($F896,Clientes!$B$4:$B$39,Clientes!$C$4:$C$39),Cadastros!$L$6:$L$12,Cadastros!$N$6:$N$12)))</f>
        <v/>
      </c>
      <c r="P896" s="168" t="str">
        <f t="shared" si="171"/>
        <v/>
      </c>
      <c r="Q896" s="168" t="str">
        <f>IFERROR(P896/_xlfn.XLOOKUP(_xlfn.XLOOKUP($F896,Clientes!$B$4:$B$39,Clientes!$C$4:$C$39),Cadastros!$L$6:$L$12,Cadastros!$M$6:$M$12)," ")</f>
        <v xml:space="preserve"> </v>
      </c>
      <c r="R896" s="28"/>
      <c r="S896" s="28"/>
      <c r="T896" s="255" t="str">
        <f>IF(R896="","",(_xlfn.XLOOKUP(R896,Cadastros!$D$6:$D$90,Cadastros!$E$6:$E$90))*(1-_xlfn.XLOOKUP(_xlfn.XLOOKUP($F896,Clientes!$B$4:$B$39,Clientes!$C$4:$C$39),Cadastros!$L$6:$L$12,Cadastros!$N$6:$N$12)))</f>
        <v/>
      </c>
      <c r="U896" s="168" t="str">
        <f t="shared" si="172"/>
        <v/>
      </c>
      <c r="V896" s="168" t="str">
        <f>IFERROR(U896/_xlfn.XLOOKUP(_xlfn.XLOOKUP($F896,Clientes!$B$4:$B$39,Clientes!$C$4:$C$39),Cadastros!$L$6:$L$12,Cadastros!$M$6:$M$12)," ")</f>
        <v xml:space="preserve"> </v>
      </c>
      <c r="W896" s="28"/>
      <c r="X896" s="28"/>
      <c r="Y896" s="255" t="str">
        <f>IF(W896="","",(_xlfn.XLOOKUP(W896,Cadastros!$D$6:$D$90,Cadastros!$E$6:$E$90))*(1-_xlfn.XLOOKUP(_xlfn.XLOOKUP($F896,Clientes!$B$4:$B$39,Clientes!$C$4:$C$39),Cadastros!$L$6:$L$12,Cadastros!$N$6:$N$12)))</f>
        <v/>
      </c>
      <c r="Z896" s="168" t="str">
        <f t="shared" si="173"/>
        <v/>
      </c>
      <c r="AA896" s="168" t="str">
        <f>IFERROR(Z896/_xlfn.XLOOKUP(_xlfn.XLOOKUP($F896,Clientes!$B$4:$B$39,Clientes!$C$4:$C$39),Cadastros!$L$6:$L$12,Cadastros!$M$6:$M$12)," ")</f>
        <v xml:space="preserve"> </v>
      </c>
      <c r="AB896" s="28"/>
      <c r="AC896" s="28"/>
      <c r="AD896" s="20" t="str">
        <f>IF(AB896="","",IF($F896="Bernardino Furlan",_xlfn.XLOOKUP(AB896,Cadastros!$G$6:$G$90,Cadastros!$H$6:$H$90)*(1-0.18),IF($F896="Mauro José Salanti",_xlfn.XLOOKUP(AB896,Cadastros!$G$6:$G$90,Cadastros!$H$6:$H$90)*(1-0.18),_xlfn.XLOOKUP(AB896,Cadastros!$G$6:$G$90,Cadastros!$H$6:$H$90))))</f>
        <v/>
      </c>
      <c r="AE896" s="168" t="str">
        <f t="shared" si="174"/>
        <v/>
      </c>
      <c r="AF896" s="168" t="str">
        <f t="shared" si="175"/>
        <v/>
      </c>
      <c r="AG896" s="28"/>
      <c r="AH896" s="28"/>
      <c r="AI896" s="20" t="str">
        <f>IF(AG896="","",IF($F896="Bernardino Furlan",_xlfn.XLOOKUP(AG896,Cadastros!$G$6:$G$90,Cadastros!$H$6:$H$90)*(1-0.18),IF($F896="Mauro José Salanti",_xlfn.XLOOKUP(AG896,Cadastros!$G$6:$G$90,Cadastros!$H$6:$H$90)*(1-0.18),_xlfn.XLOOKUP(AG896,Cadastros!$G$6:$G$90,Cadastros!$H$6:$H$90))))</f>
        <v/>
      </c>
      <c r="AJ896" s="168" t="str">
        <f t="shared" si="176"/>
        <v/>
      </c>
      <c r="AK896" s="168" t="str">
        <f t="shared" si="177"/>
        <v/>
      </c>
      <c r="AL896" s="28"/>
      <c r="AM896" s="28"/>
      <c r="AN896" s="20" t="str">
        <f>IF(AL896="","",IF($F896="Bernardino Furlan",_xlfn.XLOOKUP(AL896,Cadastros!$G$6:$G$90,Cadastros!$H$6:$H$90)*(1-0.18),IF($F896="Mauro José Salanti",_xlfn.XLOOKUP(AL896,Cadastros!$G$6:$G$90,Cadastros!$H$6:$H$90)*(1-0.18),_xlfn.XLOOKUP(AL896,Cadastros!$G$6:$G$90,Cadastros!$H$6:$H$90))))</f>
        <v/>
      </c>
      <c r="AO896" s="168" t="str">
        <f t="shared" si="178"/>
        <v/>
      </c>
      <c r="AP896" s="168" t="str">
        <f t="shared" si="179"/>
        <v/>
      </c>
      <c r="AQ896" s="28"/>
      <c r="AR896" s="28"/>
      <c r="AS896" s="20" t="str">
        <f>IF(AQ896="","",IF($F896="Bernardino Furlan",_xlfn.XLOOKUP(AQ896,Cadastros!$G$6:$G$90,Cadastros!$H$6:$H$90)*(1-0.18),IF($F896="Mauro José Salanti",_xlfn.XLOOKUP(AQ896,Cadastros!$G$6:$G$90,Cadastros!$H$6:$H$90)*(1-0.18),_xlfn.XLOOKUP(AQ896,Cadastros!$G$6:$G$90,Cadastros!$H$6:$H$90))))</f>
        <v/>
      </c>
      <c r="AT896" s="168" t="str">
        <f t="shared" si="180"/>
        <v/>
      </c>
      <c r="AU896" s="168" t="str">
        <f t="shared" si="181"/>
        <v/>
      </c>
      <c r="AV896" s="227"/>
      <c r="AW896" s="30"/>
      <c r="AX896" s="267"/>
      <c r="AY896" s="267"/>
      <c r="AZ896" s="29"/>
      <c r="BA896" s="30"/>
      <c r="BB896" s="23" t="str" cm="1">
        <f t="array" ref="BB896">_xlfn.IFS(AW896="SIM",SUM(K896,P896,U896,Z896,AE896,AJ896,AO896,AT896,AX896,AY896),F896&lt;&gt;"",SUM(K896,P896,U896,Z896,AE896,AJ896,,AO896,AT896),F896="","")</f>
        <v/>
      </c>
      <c r="BC896" s="211" t="str" cm="1">
        <f t="array" ref="BC896">_xlfn.IFS(E896="","",G896&lt;=E896,BB896*(1-0.03),G896&lt;(E896+8),BB896,AZ896="Boleto",BB896*(1+0.001)^DATEDIF(E896,G896,"D"),AZ896="Cheque",BB896,AZ896="Dinheiro","Alterar forma pgto")</f>
        <v/>
      </c>
      <c r="BD896" s="276" t="str" cm="1">
        <f t="array" ref="BD896">IF(F896=0," ",IF(BC896&lt;BB896,(_xlfn.IFS(AW896="SIM",SUM(L896,Q896,V896,AA896,AF896,AK896,AP896,AU896)+AX896/_xlfn.XLOOKUP(_xlfn.XLOOKUP($F896,Clientes!$B$4:$B$39,Clientes!$C$4:$C$39),Cadastros!$L$6:$L$12,Cadastros!$M$6:$M$12)+IF($F896="Bernardino Furlan",AY896/2751.92,IF($F896="Mauro José Salanti",AY896/2751.92,AY896/3356)),F896&lt;&gt;0,SUM(L896,Q896,V896,AA896,AF896,AK896,AP896,AU896)))*(1-0.03),_xlfn.IFS(AW896="SIM",SUM(L896,Q896,V896,AA896,AF896,AK896,AP896,AU896)+AX896/_xlfn.XLOOKUP(_xlfn.XLOOKUP($F896,Clientes!$B$4:$B$39,Clientes!$C$4:$C$39),Cadastros!$L$6:$L$12,Cadastros!$M$6:$M$12)+IF($F896="Bernardino Furlan",AY896/2751.92,IF($F896="Mauro José Salanti",AY896/2751.92,AY896/3356)),F896&lt;&gt;0,SUM(L896,Q896,V896,AA896,AF896,AK896,AP896,AU896))))</f>
        <v xml:space="preserve"> </v>
      </c>
      <c r="BE896" s="120"/>
      <c r="BF896" s="120"/>
      <c r="BG896" s="120"/>
    </row>
    <row r="897" spans="1:59" s="3" customFormat="1" x14ac:dyDescent="0.3">
      <c r="A897" s="15" t="str">
        <f t="shared" si="169"/>
        <v/>
      </c>
      <c r="B897" s="25"/>
      <c r="C897" s="26"/>
      <c r="D897" s="279"/>
      <c r="E897" s="27"/>
      <c r="F897" s="28"/>
      <c r="G897" s="27"/>
      <c r="H897" s="28"/>
      <c r="I897" s="28"/>
      <c r="J897" s="255" t="str">
        <f>IF(H897="","",(_xlfn.XLOOKUP(H897,Cadastros!$D$6:$D$90,Cadastros!$E$6:$E$90))*(1-_xlfn.XLOOKUP(_xlfn.XLOOKUP($F897,Clientes!$B$4:$B$39,Clientes!$C$4:$C$39),Cadastros!$L$6:$L$12,Cadastros!$N$6:$N$12)))</f>
        <v/>
      </c>
      <c r="K897" s="168" t="str">
        <f t="shared" si="170"/>
        <v/>
      </c>
      <c r="L897" s="168" t="str">
        <f>IFERROR(K897/_xlfn.XLOOKUP(_xlfn.XLOOKUP($F897,Clientes!$B$4:$B$39,Clientes!$C$4:$C$39),Cadastros!$L$6:$L$12,Cadastros!$M$6:$M$12)," ")</f>
        <v xml:space="preserve"> </v>
      </c>
      <c r="M897" s="28"/>
      <c r="N897" s="28"/>
      <c r="O897" s="255" t="str">
        <f>IF(M897="","",(_xlfn.XLOOKUP(M897,Cadastros!$D$6:$D$90,Cadastros!$E$6:$E$90))*(1-_xlfn.XLOOKUP(_xlfn.XLOOKUP($F897,Clientes!$B$4:$B$39,Clientes!$C$4:$C$39),Cadastros!$L$6:$L$12,Cadastros!$N$6:$N$12)))</f>
        <v/>
      </c>
      <c r="P897" s="168" t="str">
        <f t="shared" si="171"/>
        <v/>
      </c>
      <c r="Q897" s="168" t="str">
        <f>IFERROR(P897/_xlfn.XLOOKUP(_xlfn.XLOOKUP($F897,Clientes!$B$4:$B$39,Clientes!$C$4:$C$39),Cadastros!$L$6:$L$12,Cadastros!$M$6:$M$12)," ")</f>
        <v xml:space="preserve"> </v>
      </c>
      <c r="R897" s="28"/>
      <c r="S897" s="28"/>
      <c r="T897" s="255" t="str">
        <f>IF(R897="","",(_xlfn.XLOOKUP(R897,Cadastros!$D$6:$D$90,Cadastros!$E$6:$E$90))*(1-_xlfn.XLOOKUP(_xlfn.XLOOKUP($F897,Clientes!$B$4:$B$39,Clientes!$C$4:$C$39),Cadastros!$L$6:$L$12,Cadastros!$N$6:$N$12)))</f>
        <v/>
      </c>
      <c r="U897" s="168" t="str">
        <f t="shared" si="172"/>
        <v/>
      </c>
      <c r="V897" s="168" t="str">
        <f>IFERROR(U897/_xlfn.XLOOKUP(_xlfn.XLOOKUP($F897,Clientes!$B$4:$B$39,Clientes!$C$4:$C$39),Cadastros!$L$6:$L$12,Cadastros!$M$6:$M$12)," ")</f>
        <v xml:space="preserve"> </v>
      </c>
      <c r="W897" s="28"/>
      <c r="X897" s="28"/>
      <c r="Y897" s="255" t="str">
        <f>IF(W897="","",(_xlfn.XLOOKUP(W897,Cadastros!$D$6:$D$90,Cadastros!$E$6:$E$90))*(1-_xlfn.XLOOKUP(_xlfn.XLOOKUP($F897,Clientes!$B$4:$B$39,Clientes!$C$4:$C$39),Cadastros!$L$6:$L$12,Cadastros!$N$6:$N$12)))</f>
        <v/>
      </c>
      <c r="Z897" s="168" t="str">
        <f t="shared" si="173"/>
        <v/>
      </c>
      <c r="AA897" s="168" t="str">
        <f>IFERROR(Z897/_xlfn.XLOOKUP(_xlfn.XLOOKUP($F897,Clientes!$B$4:$B$39,Clientes!$C$4:$C$39),Cadastros!$L$6:$L$12,Cadastros!$M$6:$M$12)," ")</f>
        <v xml:space="preserve"> </v>
      </c>
      <c r="AB897" s="28"/>
      <c r="AC897" s="28"/>
      <c r="AD897" s="20" t="str">
        <f>IF(AB897="","",IF($F897="Bernardino Furlan",_xlfn.XLOOKUP(AB897,Cadastros!$G$6:$G$90,Cadastros!$H$6:$H$90)*(1-0.18),IF($F897="Mauro José Salanti",_xlfn.XLOOKUP(AB897,Cadastros!$G$6:$G$90,Cadastros!$H$6:$H$90)*(1-0.18),_xlfn.XLOOKUP(AB897,Cadastros!$G$6:$G$90,Cadastros!$H$6:$H$90))))</f>
        <v/>
      </c>
      <c r="AE897" s="168" t="str">
        <f t="shared" si="174"/>
        <v/>
      </c>
      <c r="AF897" s="168" t="str">
        <f t="shared" si="175"/>
        <v/>
      </c>
      <c r="AG897" s="28"/>
      <c r="AH897" s="28"/>
      <c r="AI897" s="20" t="str">
        <f>IF(AG897="","",IF($F897="Bernardino Furlan",_xlfn.XLOOKUP(AG897,Cadastros!$G$6:$G$90,Cadastros!$H$6:$H$90)*(1-0.18),IF($F897="Mauro José Salanti",_xlfn.XLOOKUP(AG897,Cadastros!$G$6:$G$90,Cadastros!$H$6:$H$90)*(1-0.18),_xlfn.XLOOKUP(AG897,Cadastros!$G$6:$G$90,Cadastros!$H$6:$H$90))))</f>
        <v/>
      </c>
      <c r="AJ897" s="168" t="str">
        <f t="shared" si="176"/>
        <v/>
      </c>
      <c r="AK897" s="168" t="str">
        <f t="shared" si="177"/>
        <v/>
      </c>
      <c r="AL897" s="28"/>
      <c r="AM897" s="28"/>
      <c r="AN897" s="20" t="str">
        <f>IF(AL897="","",IF($F897="Bernardino Furlan",_xlfn.XLOOKUP(AL897,Cadastros!$G$6:$G$90,Cadastros!$H$6:$H$90)*(1-0.18),IF($F897="Mauro José Salanti",_xlfn.XLOOKUP(AL897,Cadastros!$G$6:$G$90,Cadastros!$H$6:$H$90)*(1-0.18),_xlfn.XLOOKUP(AL897,Cadastros!$G$6:$G$90,Cadastros!$H$6:$H$90))))</f>
        <v/>
      </c>
      <c r="AO897" s="168" t="str">
        <f t="shared" si="178"/>
        <v/>
      </c>
      <c r="AP897" s="168" t="str">
        <f t="shared" si="179"/>
        <v/>
      </c>
      <c r="AQ897" s="28"/>
      <c r="AR897" s="28"/>
      <c r="AS897" s="20" t="str">
        <f>IF(AQ897="","",IF($F897="Bernardino Furlan",_xlfn.XLOOKUP(AQ897,Cadastros!$G$6:$G$90,Cadastros!$H$6:$H$90)*(1-0.18),IF($F897="Mauro José Salanti",_xlfn.XLOOKUP(AQ897,Cadastros!$G$6:$G$90,Cadastros!$H$6:$H$90)*(1-0.18),_xlfn.XLOOKUP(AQ897,Cadastros!$G$6:$G$90,Cadastros!$H$6:$H$90))))</f>
        <v/>
      </c>
      <c r="AT897" s="168" t="str">
        <f t="shared" si="180"/>
        <v/>
      </c>
      <c r="AU897" s="168" t="str">
        <f t="shared" si="181"/>
        <v/>
      </c>
      <c r="AV897" s="227"/>
      <c r="AW897" s="30"/>
      <c r="AX897" s="267"/>
      <c r="AY897" s="267"/>
      <c r="AZ897" s="29"/>
      <c r="BA897" s="30"/>
      <c r="BB897" s="23" t="str" cm="1">
        <f t="array" ref="BB897">_xlfn.IFS(AW897="SIM",SUM(K897,P897,U897,Z897,AE897,AJ897,AO897,AT897,AX897,AY897),F897&lt;&gt;"",SUM(K897,P897,U897,Z897,AE897,AJ897,,AO897,AT897),F897="","")</f>
        <v/>
      </c>
      <c r="BC897" s="211" t="str" cm="1">
        <f t="array" ref="BC897">_xlfn.IFS(E897="","",G897&lt;=E897,BB897*(1-0.03),G897&lt;(E897+8),BB897,AZ897="Boleto",BB897*(1+0.001)^DATEDIF(E897,G897,"D"),AZ897="Cheque",BB897,AZ897="Dinheiro","Alterar forma pgto")</f>
        <v/>
      </c>
      <c r="BD897" s="276" t="str" cm="1">
        <f t="array" ref="BD897">IF(F897=0," ",IF(BC897&lt;BB897,(_xlfn.IFS(AW897="SIM",SUM(L897,Q897,V897,AA897,AF897,AK897,AP897,AU897)+AX897/_xlfn.XLOOKUP(_xlfn.XLOOKUP($F897,Clientes!$B$4:$B$39,Clientes!$C$4:$C$39),Cadastros!$L$6:$L$12,Cadastros!$M$6:$M$12)+IF($F897="Bernardino Furlan",AY897/2751.92,IF($F897="Mauro José Salanti",AY897/2751.92,AY897/3356)),F897&lt;&gt;0,SUM(L897,Q897,V897,AA897,AF897,AK897,AP897,AU897)))*(1-0.03),_xlfn.IFS(AW897="SIM",SUM(L897,Q897,V897,AA897,AF897,AK897,AP897,AU897)+AX897/_xlfn.XLOOKUP(_xlfn.XLOOKUP($F897,Clientes!$B$4:$B$39,Clientes!$C$4:$C$39),Cadastros!$L$6:$L$12,Cadastros!$M$6:$M$12)+IF($F897="Bernardino Furlan",AY897/2751.92,IF($F897="Mauro José Salanti",AY897/2751.92,AY897/3356)),F897&lt;&gt;0,SUM(L897,Q897,V897,AA897,AF897,AK897,AP897,AU897))))</f>
        <v xml:space="preserve"> </v>
      </c>
      <c r="BE897" s="120"/>
      <c r="BF897" s="120"/>
      <c r="BG897" s="120"/>
    </row>
    <row r="898" spans="1:59" s="3" customFormat="1" x14ac:dyDescent="0.3">
      <c r="A898" s="15" t="str">
        <f t="shared" si="169"/>
        <v/>
      </c>
      <c r="B898" s="25"/>
      <c r="C898" s="26"/>
      <c r="D898" s="279"/>
      <c r="E898" s="27"/>
      <c r="F898" s="28"/>
      <c r="G898" s="27"/>
      <c r="H898" s="28"/>
      <c r="I898" s="28"/>
      <c r="J898" s="255" t="str">
        <f>IF(H898="","",(_xlfn.XLOOKUP(H898,Cadastros!$D$6:$D$90,Cadastros!$E$6:$E$90))*(1-_xlfn.XLOOKUP(_xlfn.XLOOKUP($F898,Clientes!$B$4:$B$39,Clientes!$C$4:$C$39),Cadastros!$L$6:$L$12,Cadastros!$N$6:$N$12)))</f>
        <v/>
      </c>
      <c r="K898" s="168" t="str">
        <f t="shared" si="170"/>
        <v/>
      </c>
      <c r="L898" s="168" t="str">
        <f>IFERROR(K898/_xlfn.XLOOKUP(_xlfn.XLOOKUP($F898,Clientes!$B$4:$B$39,Clientes!$C$4:$C$39),Cadastros!$L$6:$L$12,Cadastros!$M$6:$M$12)," ")</f>
        <v xml:space="preserve"> </v>
      </c>
      <c r="M898" s="28"/>
      <c r="N898" s="28"/>
      <c r="O898" s="255" t="str">
        <f>IF(M898="","",(_xlfn.XLOOKUP(M898,Cadastros!$D$6:$D$90,Cadastros!$E$6:$E$90))*(1-_xlfn.XLOOKUP(_xlfn.XLOOKUP($F898,Clientes!$B$4:$B$39,Clientes!$C$4:$C$39),Cadastros!$L$6:$L$12,Cadastros!$N$6:$N$12)))</f>
        <v/>
      </c>
      <c r="P898" s="168" t="str">
        <f t="shared" si="171"/>
        <v/>
      </c>
      <c r="Q898" s="168" t="str">
        <f>IFERROR(P898/_xlfn.XLOOKUP(_xlfn.XLOOKUP($F898,Clientes!$B$4:$B$39,Clientes!$C$4:$C$39),Cadastros!$L$6:$L$12,Cadastros!$M$6:$M$12)," ")</f>
        <v xml:space="preserve"> </v>
      </c>
      <c r="R898" s="28"/>
      <c r="S898" s="28"/>
      <c r="T898" s="255" t="str">
        <f>IF(R898="","",(_xlfn.XLOOKUP(R898,Cadastros!$D$6:$D$90,Cadastros!$E$6:$E$90))*(1-_xlfn.XLOOKUP(_xlfn.XLOOKUP($F898,Clientes!$B$4:$B$39,Clientes!$C$4:$C$39),Cadastros!$L$6:$L$12,Cadastros!$N$6:$N$12)))</f>
        <v/>
      </c>
      <c r="U898" s="168" t="str">
        <f t="shared" si="172"/>
        <v/>
      </c>
      <c r="V898" s="168" t="str">
        <f>IFERROR(U898/_xlfn.XLOOKUP(_xlfn.XLOOKUP($F898,Clientes!$B$4:$B$39,Clientes!$C$4:$C$39),Cadastros!$L$6:$L$12,Cadastros!$M$6:$M$12)," ")</f>
        <v xml:space="preserve"> </v>
      </c>
      <c r="W898" s="28"/>
      <c r="X898" s="28"/>
      <c r="Y898" s="255" t="str">
        <f>IF(W898="","",(_xlfn.XLOOKUP(W898,Cadastros!$D$6:$D$90,Cadastros!$E$6:$E$90))*(1-_xlfn.XLOOKUP(_xlfn.XLOOKUP($F898,Clientes!$B$4:$B$39,Clientes!$C$4:$C$39),Cadastros!$L$6:$L$12,Cadastros!$N$6:$N$12)))</f>
        <v/>
      </c>
      <c r="Z898" s="168" t="str">
        <f t="shared" si="173"/>
        <v/>
      </c>
      <c r="AA898" s="168" t="str">
        <f>IFERROR(Z898/_xlfn.XLOOKUP(_xlfn.XLOOKUP($F898,Clientes!$B$4:$B$39,Clientes!$C$4:$C$39),Cadastros!$L$6:$L$12,Cadastros!$M$6:$M$12)," ")</f>
        <v xml:space="preserve"> </v>
      </c>
      <c r="AB898" s="28"/>
      <c r="AC898" s="28"/>
      <c r="AD898" s="20" t="str">
        <f>IF(AB898="","",IF($F898="Bernardino Furlan",_xlfn.XLOOKUP(AB898,Cadastros!$G$6:$G$90,Cadastros!$H$6:$H$90)*(1-0.18),IF($F898="Mauro José Salanti",_xlfn.XLOOKUP(AB898,Cadastros!$G$6:$G$90,Cadastros!$H$6:$H$90)*(1-0.18),_xlfn.XLOOKUP(AB898,Cadastros!$G$6:$G$90,Cadastros!$H$6:$H$90))))</f>
        <v/>
      </c>
      <c r="AE898" s="168" t="str">
        <f t="shared" si="174"/>
        <v/>
      </c>
      <c r="AF898" s="168" t="str">
        <f t="shared" si="175"/>
        <v/>
      </c>
      <c r="AG898" s="28"/>
      <c r="AH898" s="28"/>
      <c r="AI898" s="20" t="str">
        <f>IF(AG898="","",IF($F898="Bernardino Furlan",_xlfn.XLOOKUP(AG898,Cadastros!$G$6:$G$90,Cadastros!$H$6:$H$90)*(1-0.18),IF($F898="Mauro José Salanti",_xlfn.XLOOKUP(AG898,Cadastros!$G$6:$G$90,Cadastros!$H$6:$H$90)*(1-0.18),_xlfn.XLOOKUP(AG898,Cadastros!$G$6:$G$90,Cadastros!$H$6:$H$90))))</f>
        <v/>
      </c>
      <c r="AJ898" s="168" t="str">
        <f t="shared" si="176"/>
        <v/>
      </c>
      <c r="AK898" s="168" t="str">
        <f t="shared" si="177"/>
        <v/>
      </c>
      <c r="AL898" s="28"/>
      <c r="AM898" s="28"/>
      <c r="AN898" s="20" t="str">
        <f>IF(AL898="","",IF($F898="Bernardino Furlan",_xlfn.XLOOKUP(AL898,Cadastros!$G$6:$G$90,Cadastros!$H$6:$H$90)*(1-0.18),IF($F898="Mauro José Salanti",_xlfn.XLOOKUP(AL898,Cadastros!$G$6:$G$90,Cadastros!$H$6:$H$90)*(1-0.18),_xlfn.XLOOKUP(AL898,Cadastros!$G$6:$G$90,Cadastros!$H$6:$H$90))))</f>
        <v/>
      </c>
      <c r="AO898" s="168" t="str">
        <f t="shared" si="178"/>
        <v/>
      </c>
      <c r="AP898" s="168" t="str">
        <f t="shared" si="179"/>
        <v/>
      </c>
      <c r="AQ898" s="28"/>
      <c r="AR898" s="28"/>
      <c r="AS898" s="20" t="str">
        <f>IF(AQ898="","",IF($F898="Bernardino Furlan",_xlfn.XLOOKUP(AQ898,Cadastros!$G$6:$G$90,Cadastros!$H$6:$H$90)*(1-0.18),IF($F898="Mauro José Salanti",_xlfn.XLOOKUP(AQ898,Cadastros!$G$6:$G$90,Cadastros!$H$6:$H$90)*(1-0.18),_xlfn.XLOOKUP(AQ898,Cadastros!$G$6:$G$90,Cadastros!$H$6:$H$90))))</f>
        <v/>
      </c>
      <c r="AT898" s="168" t="str">
        <f t="shared" si="180"/>
        <v/>
      </c>
      <c r="AU898" s="168" t="str">
        <f t="shared" si="181"/>
        <v/>
      </c>
      <c r="AV898" s="227"/>
      <c r="AW898" s="30"/>
      <c r="AX898" s="267"/>
      <c r="AY898" s="267"/>
      <c r="AZ898" s="29"/>
      <c r="BA898" s="30"/>
      <c r="BB898" s="23" t="str" cm="1">
        <f t="array" ref="BB898">_xlfn.IFS(AW898="SIM",SUM(K898,P898,U898,Z898,AE898,AJ898,AO898,AT898,AX898,AY898),F898&lt;&gt;"",SUM(K898,P898,U898,Z898,AE898,AJ898,,AO898,AT898),F898="","")</f>
        <v/>
      </c>
      <c r="BC898" s="211" t="str" cm="1">
        <f t="array" ref="BC898">_xlfn.IFS(E898="","",G898&lt;=E898,BB898*(1-0.03),G898&lt;(E898+8),BB898,AZ898="Boleto",BB898*(1+0.001)^DATEDIF(E898,G898,"D"),AZ898="Cheque",BB898,AZ898="Dinheiro","Alterar forma pgto")</f>
        <v/>
      </c>
      <c r="BD898" s="276" t="str" cm="1">
        <f t="array" ref="BD898">IF(F898=0," ",IF(BC898&lt;BB898,(_xlfn.IFS(AW898="SIM",SUM(L898,Q898,V898,AA898,AF898,AK898,AP898,AU898)+AX898/_xlfn.XLOOKUP(_xlfn.XLOOKUP($F898,Clientes!$B$4:$B$39,Clientes!$C$4:$C$39),Cadastros!$L$6:$L$12,Cadastros!$M$6:$M$12)+IF($F898="Bernardino Furlan",AY898/2751.92,IF($F898="Mauro José Salanti",AY898/2751.92,AY898/3356)),F898&lt;&gt;0,SUM(L898,Q898,V898,AA898,AF898,AK898,AP898,AU898)))*(1-0.03),_xlfn.IFS(AW898="SIM",SUM(L898,Q898,V898,AA898,AF898,AK898,AP898,AU898)+AX898/_xlfn.XLOOKUP(_xlfn.XLOOKUP($F898,Clientes!$B$4:$B$39,Clientes!$C$4:$C$39),Cadastros!$L$6:$L$12,Cadastros!$M$6:$M$12)+IF($F898="Bernardino Furlan",AY898/2751.92,IF($F898="Mauro José Salanti",AY898/2751.92,AY898/3356)),F898&lt;&gt;0,SUM(L898,Q898,V898,AA898,AF898,AK898,AP898,AU898))))</f>
        <v xml:space="preserve"> </v>
      </c>
      <c r="BE898" s="120"/>
      <c r="BF898" s="120"/>
      <c r="BG898" s="120"/>
    </row>
    <row r="899" spans="1:59" s="3" customFormat="1" x14ac:dyDescent="0.3">
      <c r="A899" s="15" t="str">
        <f t="shared" si="169"/>
        <v/>
      </c>
      <c r="B899" s="25"/>
      <c r="C899" s="26"/>
      <c r="D899" s="279"/>
      <c r="E899" s="27"/>
      <c r="F899" s="28"/>
      <c r="G899" s="27"/>
      <c r="H899" s="28"/>
      <c r="I899" s="28"/>
      <c r="J899" s="255" t="str">
        <f>IF(H899="","",(_xlfn.XLOOKUP(H899,Cadastros!$D$6:$D$90,Cadastros!$E$6:$E$90))*(1-_xlfn.XLOOKUP(_xlfn.XLOOKUP($F899,Clientes!$B$4:$B$39,Clientes!$C$4:$C$39),Cadastros!$L$6:$L$12,Cadastros!$N$6:$N$12)))</f>
        <v/>
      </c>
      <c r="K899" s="168" t="str">
        <f t="shared" si="170"/>
        <v/>
      </c>
      <c r="L899" s="168" t="str">
        <f>IFERROR(K899/_xlfn.XLOOKUP(_xlfn.XLOOKUP($F899,Clientes!$B$4:$B$39,Clientes!$C$4:$C$39),Cadastros!$L$6:$L$12,Cadastros!$M$6:$M$12)," ")</f>
        <v xml:space="preserve"> </v>
      </c>
      <c r="M899" s="28"/>
      <c r="N899" s="28"/>
      <c r="O899" s="255" t="str">
        <f>IF(M899="","",(_xlfn.XLOOKUP(M899,Cadastros!$D$6:$D$90,Cadastros!$E$6:$E$90))*(1-_xlfn.XLOOKUP(_xlfn.XLOOKUP($F899,Clientes!$B$4:$B$39,Clientes!$C$4:$C$39),Cadastros!$L$6:$L$12,Cadastros!$N$6:$N$12)))</f>
        <v/>
      </c>
      <c r="P899" s="168" t="str">
        <f t="shared" si="171"/>
        <v/>
      </c>
      <c r="Q899" s="168" t="str">
        <f>IFERROR(P899/_xlfn.XLOOKUP(_xlfn.XLOOKUP($F899,Clientes!$B$4:$B$39,Clientes!$C$4:$C$39),Cadastros!$L$6:$L$12,Cadastros!$M$6:$M$12)," ")</f>
        <v xml:space="preserve"> </v>
      </c>
      <c r="R899" s="28"/>
      <c r="S899" s="28"/>
      <c r="T899" s="255" t="str">
        <f>IF(R899="","",(_xlfn.XLOOKUP(R899,Cadastros!$D$6:$D$90,Cadastros!$E$6:$E$90))*(1-_xlfn.XLOOKUP(_xlfn.XLOOKUP($F899,Clientes!$B$4:$B$39,Clientes!$C$4:$C$39),Cadastros!$L$6:$L$12,Cadastros!$N$6:$N$12)))</f>
        <v/>
      </c>
      <c r="U899" s="168" t="str">
        <f t="shared" si="172"/>
        <v/>
      </c>
      <c r="V899" s="168" t="str">
        <f>IFERROR(U899/_xlfn.XLOOKUP(_xlfn.XLOOKUP($F899,Clientes!$B$4:$B$39,Clientes!$C$4:$C$39),Cadastros!$L$6:$L$12,Cadastros!$M$6:$M$12)," ")</f>
        <v xml:space="preserve"> </v>
      </c>
      <c r="W899" s="28"/>
      <c r="X899" s="28"/>
      <c r="Y899" s="255" t="str">
        <f>IF(W899="","",(_xlfn.XLOOKUP(W899,Cadastros!$D$6:$D$90,Cadastros!$E$6:$E$90))*(1-_xlfn.XLOOKUP(_xlfn.XLOOKUP($F899,Clientes!$B$4:$B$39,Clientes!$C$4:$C$39),Cadastros!$L$6:$L$12,Cadastros!$N$6:$N$12)))</f>
        <v/>
      </c>
      <c r="Z899" s="168" t="str">
        <f t="shared" si="173"/>
        <v/>
      </c>
      <c r="AA899" s="168" t="str">
        <f>IFERROR(Z899/_xlfn.XLOOKUP(_xlfn.XLOOKUP($F899,Clientes!$B$4:$B$39,Clientes!$C$4:$C$39),Cadastros!$L$6:$L$12,Cadastros!$M$6:$M$12)," ")</f>
        <v xml:space="preserve"> </v>
      </c>
      <c r="AB899" s="28"/>
      <c r="AC899" s="28"/>
      <c r="AD899" s="20" t="str">
        <f>IF(AB899="","",IF($F899="Bernardino Furlan",_xlfn.XLOOKUP(AB899,Cadastros!$G$6:$G$90,Cadastros!$H$6:$H$90)*(1-0.18),IF($F899="Mauro José Salanti",_xlfn.XLOOKUP(AB899,Cadastros!$G$6:$G$90,Cadastros!$H$6:$H$90)*(1-0.18),_xlfn.XLOOKUP(AB899,Cadastros!$G$6:$G$90,Cadastros!$H$6:$H$90))))</f>
        <v/>
      </c>
      <c r="AE899" s="168" t="str">
        <f t="shared" si="174"/>
        <v/>
      </c>
      <c r="AF899" s="168" t="str">
        <f t="shared" si="175"/>
        <v/>
      </c>
      <c r="AG899" s="28"/>
      <c r="AH899" s="28"/>
      <c r="AI899" s="20" t="str">
        <f>IF(AG899="","",IF($F899="Bernardino Furlan",_xlfn.XLOOKUP(AG899,Cadastros!$G$6:$G$90,Cadastros!$H$6:$H$90)*(1-0.18),IF($F899="Mauro José Salanti",_xlfn.XLOOKUP(AG899,Cadastros!$G$6:$G$90,Cadastros!$H$6:$H$90)*(1-0.18),_xlfn.XLOOKUP(AG899,Cadastros!$G$6:$G$90,Cadastros!$H$6:$H$90))))</f>
        <v/>
      </c>
      <c r="AJ899" s="168" t="str">
        <f t="shared" si="176"/>
        <v/>
      </c>
      <c r="AK899" s="168" t="str">
        <f t="shared" si="177"/>
        <v/>
      </c>
      <c r="AL899" s="28"/>
      <c r="AM899" s="28"/>
      <c r="AN899" s="20" t="str">
        <f>IF(AL899="","",IF($F899="Bernardino Furlan",_xlfn.XLOOKUP(AL899,Cadastros!$G$6:$G$90,Cadastros!$H$6:$H$90)*(1-0.18),IF($F899="Mauro José Salanti",_xlfn.XLOOKUP(AL899,Cadastros!$G$6:$G$90,Cadastros!$H$6:$H$90)*(1-0.18),_xlfn.XLOOKUP(AL899,Cadastros!$G$6:$G$90,Cadastros!$H$6:$H$90))))</f>
        <v/>
      </c>
      <c r="AO899" s="168" t="str">
        <f t="shared" si="178"/>
        <v/>
      </c>
      <c r="AP899" s="168" t="str">
        <f t="shared" si="179"/>
        <v/>
      </c>
      <c r="AQ899" s="28"/>
      <c r="AR899" s="28"/>
      <c r="AS899" s="20" t="str">
        <f>IF(AQ899="","",IF($F899="Bernardino Furlan",_xlfn.XLOOKUP(AQ899,Cadastros!$G$6:$G$90,Cadastros!$H$6:$H$90)*(1-0.18),IF($F899="Mauro José Salanti",_xlfn.XLOOKUP(AQ899,Cadastros!$G$6:$G$90,Cadastros!$H$6:$H$90)*(1-0.18),_xlfn.XLOOKUP(AQ899,Cadastros!$G$6:$G$90,Cadastros!$H$6:$H$90))))</f>
        <v/>
      </c>
      <c r="AT899" s="168" t="str">
        <f t="shared" si="180"/>
        <v/>
      </c>
      <c r="AU899" s="168" t="str">
        <f t="shared" si="181"/>
        <v/>
      </c>
      <c r="AV899" s="227"/>
      <c r="AW899" s="30"/>
      <c r="AX899" s="267"/>
      <c r="AY899" s="267"/>
      <c r="AZ899" s="29"/>
      <c r="BA899" s="30"/>
      <c r="BB899" s="23" t="str" cm="1">
        <f t="array" ref="BB899">_xlfn.IFS(AW899="SIM",SUM(K899,P899,U899,Z899,AE899,AJ899,AO899,AT899,AX899,AY899),F899&lt;&gt;"",SUM(K899,P899,U899,Z899,AE899,AJ899,,AO899,AT899),F899="","")</f>
        <v/>
      </c>
      <c r="BC899" s="211" t="str" cm="1">
        <f t="array" ref="BC899">_xlfn.IFS(E899="","",G899&lt;=E899,BB899*(1-0.03),G899&lt;(E899+8),BB899,AZ899="Boleto",BB899*(1+0.001)^DATEDIF(E899,G899,"D"),AZ899="Cheque",BB899,AZ899="Dinheiro","Alterar forma pgto")</f>
        <v/>
      </c>
      <c r="BD899" s="276" t="str" cm="1">
        <f t="array" ref="BD899">IF(F899=0," ",IF(BC899&lt;BB899,(_xlfn.IFS(AW899="SIM",SUM(L899,Q899,V899,AA899,AF899,AK899,AP899,AU899)+AX899/_xlfn.XLOOKUP(_xlfn.XLOOKUP($F899,Clientes!$B$4:$B$39,Clientes!$C$4:$C$39),Cadastros!$L$6:$L$12,Cadastros!$M$6:$M$12)+IF($F899="Bernardino Furlan",AY899/2751.92,IF($F899="Mauro José Salanti",AY899/2751.92,AY899/3356)),F899&lt;&gt;0,SUM(L899,Q899,V899,AA899,AF899,AK899,AP899,AU899)))*(1-0.03),_xlfn.IFS(AW899="SIM",SUM(L899,Q899,V899,AA899,AF899,AK899,AP899,AU899)+AX899/_xlfn.XLOOKUP(_xlfn.XLOOKUP($F899,Clientes!$B$4:$B$39,Clientes!$C$4:$C$39),Cadastros!$L$6:$L$12,Cadastros!$M$6:$M$12)+IF($F899="Bernardino Furlan",AY899/2751.92,IF($F899="Mauro José Salanti",AY899/2751.92,AY899/3356)),F899&lt;&gt;0,SUM(L899,Q899,V899,AA899,AF899,AK899,AP899,AU899))))</f>
        <v xml:space="preserve"> </v>
      </c>
      <c r="BE899" s="120"/>
      <c r="BF899" s="120"/>
      <c r="BG899" s="120"/>
    </row>
    <row r="900" spans="1:59" s="3" customFormat="1" x14ac:dyDescent="0.3">
      <c r="A900" s="15" t="str">
        <f t="shared" si="169"/>
        <v/>
      </c>
      <c r="B900" s="25"/>
      <c r="C900" s="26"/>
      <c r="D900" s="279"/>
      <c r="E900" s="27"/>
      <c r="F900" s="28"/>
      <c r="G900" s="27"/>
      <c r="H900" s="28"/>
      <c r="I900" s="28"/>
      <c r="J900" s="255" t="str">
        <f>IF(H900="","",(_xlfn.XLOOKUP(H900,Cadastros!$D$6:$D$90,Cadastros!$E$6:$E$90))*(1-_xlfn.XLOOKUP(_xlfn.XLOOKUP($F900,Clientes!$B$4:$B$39,Clientes!$C$4:$C$39),Cadastros!$L$6:$L$12,Cadastros!$N$6:$N$12)))</f>
        <v/>
      </c>
      <c r="K900" s="168" t="str">
        <f t="shared" si="170"/>
        <v/>
      </c>
      <c r="L900" s="168" t="str">
        <f>IFERROR(K900/_xlfn.XLOOKUP(_xlfn.XLOOKUP($F900,Clientes!$B$4:$B$39,Clientes!$C$4:$C$39),Cadastros!$L$6:$L$12,Cadastros!$M$6:$M$12)," ")</f>
        <v xml:space="preserve"> </v>
      </c>
      <c r="M900" s="28"/>
      <c r="N900" s="28"/>
      <c r="O900" s="255" t="str">
        <f>IF(M900="","",(_xlfn.XLOOKUP(M900,Cadastros!$D$6:$D$90,Cadastros!$E$6:$E$90))*(1-_xlfn.XLOOKUP(_xlfn.XLOOKUP($F900,Clientes!$B$4:$B$39,Clientes!$C$4:$C$39),Cadastros!$L$6:$L$12,Cadastros!$N$6:$N$12)))</f>
        <v/>
      </c>
      <c r="P900" s="168" t="str">
        <f t="shared" si="171"/>
        <v/>
      </c>
      <c r="Q900" s="168" t="str">
        <f>IFERROR(P900/_xlfn.XLOOKUP(_xlfn.XLOOKUP($F900,Clientes!$B$4:$B$39,Clientes!$C$4:$C$39),Cadastros!$L$6:$L$12,Cadastros!$M$6:$M$12)," ")</f>
        <v xml:space="preserve"> </v>
      </c>
      <c r="R900" s="28"/>
      <c r="S900" s="28"/>
      <c r="T900" s="255" t="str">
        <f>IF(R900="","",(_xlfn.XLOOKUP(R900,Cadastros!$D$6:$D$90,Cadastros!$E$6:$E$90))*(1-_xlfn.XLOOKUP(_xlfn.XLOOKUP($F900,Clientes!$B$4:$B$39,Clientes!$C$4:$C$39),Cadastros!$L$6:$L$12,Cadastros!$N$6:$N$12)))</f>
        <v/>
      </c>
      <c r="U900" s="168" t="str">
        <f t="shared" si="172"/>
        <v/>
      </c>
      <c r="V900" s="168" t="str">
        <f>IFERROR(U900/_xlfn.XLOOKUP(_xlfn.XLOOKUP($F900,Clientes!$B$4:$B$39,Clientes!$C$4:$C$39),Cadastros!$L$6:$L$12,Cadastros!$M$6:$M$12)," ")</f>
        <v xml:space="preserve"> </v>
      </c>
      <c r="W900" s="28"/>
      <c r="X900" s="28"/>
      <c r="Y900" s="255" t="str">
        <f>IF(W900="","",(_xlfn.XLOOKUP(W900,Cadastros!$D$6:$D$90,Cadastros!$E$6:$E$90))*(1-_xlfn.XLOOKUP(_xlfn.XLOOKUP($F900,Clientes!$B$4:$B$39,Clientes!$C$4:$C$39),Cadastros!$L$6:$L$12,Cadastros!$N$6:$N$12)))</f>
        <v/>
      </c>
      <c r="Z900" s="168" t="str">
        <f t="shared" si="173"/>
        <v/>
      </c>
      <c r="AA900" s="168" t="str">
        <f>IFERROR(Z900/_xlfn.XLOOKUP(_xlfn.XLOOKUP($F900,Clientes!$B$4:$B$39,Clientes!$C$4:$C$39),Cadastros!$L$6:$L$12,Cadastros!$M$6:$M$12)," ")</f>
        <v xml:space="preserve"> </v>
      </c>
      <c r="AB900" s="28"/>
      <c r="AC900" s="28"/>
      <c r="AD900" s="20" t="str">
        <f>IF(AB900="","",IF($F900="Bernardino Furlan",_xlfn.XLOOKUP(AB900,Cadastros!$G$6:$G$90,Cadastros!$H$6:$H$90)*(1-0.18),IF($F900="Mauro José Salanti",_xlfn.XLOOKUP(AB900,Cadastros!$G$6:$G$90,Cadastros!$H$6:$H$90)*(1-0.18),_xlfn.XLOOKUP(AB900,Cadastros!$G$6:$G$90,Cadastros!$H$6:$H$90))))</f>
        <v/>
      </c>
      <c r="AE900" s="168" t="str">
        <f t="shared" si="174"/>
        <v/>
      </c>
      <c r="AF900" s="168" t="str">
        <f t="shared" si="175"/>
        <v/>
      </c>
      <c r="AG900" s="28"/>
      <c r="AH900" s="28"/>
      <c r="AI900" s="20" t="str">
        <f>IF(AG900="","",IF($F900="Bernardino Furlan",_xlfn.XLOOKUP(AG900,Cadastros!$G$6:$G$90,Cadastros!$H$6:$H$90)*(1-0.18),IF($F900="Mauro José Salanti",_xlfn.XLOOKUP(AG900,Cadastros!$G$6:$G$90,Cadastros!$H$6:$H$90)*(1-0.18),_xlfn.XLOOKUP(AG900,Cadastros!$G$6:$G$90,Cadastros!$H$6:$H$90))))</f>
        <v/>
      </c>
      <c r="AJ900" s="168" t="str">
        <f t="shared" si="176"/>
        <v/>
      </c>
      <c r="AK900" s="168" t="str">
        <f t="shared" si="177"/>
        <v/>
      </c>
      <c r="AL900" s="28"/>
      <c r="AM900" s="28"/>
      <c r="AN900" s="20" t="str">
        <f>IF(AL900="","",IF($F900="Bernardino Furlan",_xlfn.XLOOKUP(AL900,Cadastros!$G$6:$G$90,Cadastros!$H$6:$H$90)*(1-0.18),IF($F900="Mauro José Salanti",_xlfn.XLOOKUP(AL900,Cadastros!$G$6:$G$90,Cadastros!$H$6:$H$90)*(1-0.18),_xlfn.XLOOKUP(AL900,Cadastros!$G$6:$G$90,Cadastros!$H$6:$H$90))))</f>
        <v/>
      </c>
      <c r="AO900" s="168" t="str">
        <f t="shared" si="178"/>
        <v/>
      </c>
      <c r="AP900" s="168" t="str">
        <f t="shared" si="179"/>
        <v/>
      </c>
      <c r="AQ900" s="28"/>
      <c r="AR900" s="28"/>
      <c r="AS900" s="20" t="str">
        <f>IF(AQ900="","",IF($F900="Bernardino Furlan",_xlfn.XLOOKUP(AQ900,Cadastros!$G$6:$G$90,Cadastros!$H$6:$H$90)*(1-0.18),IF($F900="Mauro José Salanti",_xlfn.XLOOKUP(AQ900,Cadastros!$G$6:$G$90,Cadastros!$H$6:$H$90)*(1-0.18),_xlfn.XLOOKUP(AQ900,Cadastros!$G$6:$G$90,Cadastros!$H$6:$H$90))))</f>
        <v/>
      </c>
      <c r="AT900" s="168" t="str">
        <f t="shared" si="180"/>
        <v/>
      </c>
      <c r="AU900" s="168" t="str">
        <f t="shared" si="181"/>
        <v/>
      </c>
      <c r="AV900" s="227"/>
      <c r="AW900" s="30"/>
      <c r="AX900" s="267"/>
      <c r="AY900" s="267"/>
      <c r="AZ900" s="29"/>
      <c r="BA900" s="30"/>
      <c r="BB900" s="23" t="str" cm="1">
        <f t="array" ref="BB900">_xlfn.IFS(AW900="SIM",SUM(K900,P900,U900,Z900,AE900,AJ900,AO900,AT900,AX900,AY900),F900&lt;&gt;"",SUM(K900,P900,U900,Z900,AE900,AJ900,,AO900,AT900),F900="","")</f>
        <v/>
      </c>
      <c r="BC900" s="211" t="str" cm="1">
        <f t="array" ref="BC900">_xlfn.IFS(E900="","",G900&lt;=E900,BB900*(1-0.03),G900&lt;(E900+8),BB900,AZ900="Boleto",BB900*(1+0.001)^DATEDIF(E900,G900,"D"),AZ900="Cheque",BB900,AZ900="Dinheiro","Alterar forma pgto")</f>
        <v/>
      </c>
      <c r="BD900" s="276" t="str" cm="1">
        <f t="array" ref="BD900">IF(F900=0," ",IF(BC900&lt;BB900,(_xlfn.IFS(AW900="SIM",SUM(L900,Q900,V900,AA900,AF900,AK900,AP900,AU900)+AX900/_xlfn.XLOOKUP(_xlfn.XLOOKUP($F900,Clientes!$B$4:$B$39,Clientes!$C$4:$C$39),Cadastros!$L$6:$L$12,Cadastros!$M$6:$M$12)+IF($F900="Bernardino Furlan",AY900/2751.92,IF($F900="Mauro José Salanti",AY900/2751.92,AY900/3356)),F900&lt;&gt;0,SUM(L900,Q900,V900,AA900,AF900,AK900,AP900,AU900)))*(1-0.03),_xlfn.IFS(AW900="SIM",SUM(L900,Q900,V900,AA900,AF900,AK900,AP900,AU900)+AX900/_xlfn.XLOOKUP(_xlfn.XLOOKUP($F900,Clientes!$B$4:$B$39,Clientes!$C$4:$C$39),Cadastros!$L$6:$L$12,Cadastros!$M$6:$M$12)+IF($F900="Bernardino Furlan",AY900/2751.92,IF($F900="Mauro José Salanti",AY900/2751.92,AY900/3356)),F900&lt;&gt;0,SUM(L900,Q900,V900,AA900,AF900,AK900,AP900,AU900))))</f>
        <v xml:space="preserve"> </v>
      </c>
      <c r="BE900" s="120"/>
      <c r="BF900" s="120"/>
      <c r="BG900" s="120"/>
    </row>
    <row r="901" spans="1:59" s="3" customFormat="1" x14ac:dyDescent="0.3">
      <c r="A901" s="15" t="str">
        <f t="shared" si="169"/>
        <v/>
      </c>
      <c r="B901" s="25"/>
      <c r="C901" s="26"/>
      <c r="D901" s="279"/>
      <c r="E901" s="27"/>
      <c r="F901" s="28"/>
      <c r="G901" s="27"/>
      <c r="H901" s="28"/>
      <c r="I901" s="28"/>
      <c r="J901" s="255" t="str">
        <f>IF(H901="","",(_xlfn.XLOOKUP(H901,Cadastros!$D$6:$D$90,Cadastros!$E$6:$E$90))*(1-_xlfn.XLOOKUP(_xlfn.XLOOKUP($F901,Clientes!$B$4:$B$39,Clientes!$C$4:$C$39),Cadastros!$L$6:$L$12,Cadastros!$N$6:$N$12)))</f>
        <v/>
      </c>
      <c r="K901" s="168" t="str">
        <f t="shared" si="170"/>
        <v/>
      </c>
      <c r="L901" s="168" t="str">
        <f>IFERROR(K901/_xlfn.XLOOKUP(_xlfn.XLOOKUP($F901,Clientes!$B$4:$B$39,Clientes!$C$4:$C$39),Cadastros!$L$6:$L$12,Cadastros!$M$6:$M$12)," ")</f>
        <v xml:space="preserve"> </v>
      </c>
      <c r="M901" s="28"/>
      <c r="N901" s="28"/>
      <c r="O901" s="255" t="str">
        <f>IF(M901="","",(_xlfn.XLOOKUP(M901,Cadastros!$D$6:$D$90,Cadastros!$E$6:$E$90))*(1-_xlfn.XLOOKUP(_xlfn.XLOOKUP($F901,Clientes!$B$4:$B$39,Clientes!$C$4:$C$39),Cadastros!$L$6:$L$12,Cadastros!$N$6:$N$12)))</f>
        <v/>
      </c>
      <c r="P901" s="168" t="str">
        <f t="shared" si="171"/>
        <v/>
      </c>
      <c r="Q901" s="168" t="str">
        <f>IFERROR(P901/_xlfn.XLOOKUP(_xlfn.XLOOKUP($F901,Clientes!$B$4:$B$39,Clientes!$C$4:$C$39),Cadastros!$L$6:$L$12,Cadastros!$M$6:$M$12)," ")</f>
        <v xml:space="preserve"> </v>
      </c>
      <c r="R901" s="28"/>
      <c r="S901" s="28"/>
      <c r="T901" s="255" t="str">
        <f>IF(R901="","",(_xlfn.XLOOKUP(R901,Cadastros!$D$6:$D$90,Cadastros!$E$6:$E$90))*(1-_xlfn.XLOOKUP(_xlfn.XLOOKUP($F901,Clientes!$B$4:$B$39,Clientes!$C$4:$C$39),Cadastros!$L$6:$L$12,Cadastros!$N$6:$N$12)))</f>
        <v/>
      </c>
      <c r="U901" s="168" t="str">
        <f t="shared" si="172"/>
        <v/>
      </c>
      <c r="V901" s="168" t="str">
        <f>IFERROR(U901/_xlfn.XLOOKUP(_xlfn.XLOOKUP($F901,Clientes!$B$4:$B$39,Clientes!$C$4:$C$39),Cadastros!$L$6:$L$12,Cadastros!$M$6:$M$12)," ")</f>
        <v xml:space="preserve"> </v>
      </c>
      <c r="W901" s="28"/>
      <c r="X901" s="28"/>
      <c r="Y901" s="255" t="str">
        <f>IF(W901="","",(_xlfn.XLOOKUP(W901,Cadastros!$D$6:$D$90,Cadastros!$E$6:$E$90))*(1-_xlfn.XLOOKUP(_xlfn.XLOOKUP($F901,Clientes!$B$4:$B$39,Clientes!$C$4:$C$39),Cadastros!$L$6:$L$12,Cadastros!$N$6:$N$12)))</f>
        <v/>
      </c>
      <c r="Z901" s="168" t="str">
        <f t="shared" si="173"/>
        <v/>
      </c>
      <c r="AA901" s="168" t="str">
        <f>IFERROR(Z901/_xlfn.XLOOKUP(_xlfn.XLOOKUP($F901,Clientes!$B$4:$B$39,Clientes!$C$4:$C$39),Cadastros!$L$6:$L$12,Cadastros!$M$6:$M$12)," ")</f>
        <v xml:space="preserve"> </v>
      </c>
      <c r="AB901" s="28"/>
      <c r="AC901" s="28"/>
      <c r="AD901" s="20" t="str">
        <f>IF(AB901="","",IF($F901="Bernardino Furlan",_xlfn.XLOOKUP(AB901,Cadastros!$G$6:$G$90,Cadastros!$H$6:$H$90)*(1-0.18),IF($F901="Mauro José Salanti",_xlfn.XLOOKUP(AB901,Cadastros!$G$6:$G$90,Cadastros!$H$6:$H$90)*(1-0.18),_xlfn.XLOOKUP(AB901,Cadastros!$G$6:$G$90,Cadastros!$H$6:$H$90))))</f>
        <v/>
      </c>
      <c r="AE901" s="168" t="str">
        <f t="shared" si="174"/>
        <v/>
      </c>
      <c r="AF901" s="168" t="str">
        <f t="shared" si="175"/>
        <v/>
      </c>
      <c r="AG901" s="28"/>
      <c r="AH901" s="28"/>
      <c r="AI901" s="20" t="str">
        <f>IF(AG901="","",IF($F901="Bernardino Furlan",_xlfn.XLOOKUP(AG901,Cadastros!$G$6:$G$90,Cadastros!$H$6:$H$90)*(1-0.18),IF($F901="Mauro José Salanti",_xlfn.XLOOKUP(AG901,Cadastros!$G$6:$G$90,Cadastros!$H$6:$H$90)*(1-0.18),_xlfn.XLOOKUP(AG901,Cadastros!$G$6:$G$90,Cadastros!$H$6:$H$90))))</f>
        <v/>
      </c>
      <c r="AJ901" s="168" t="str">
        <f t="shared" si="176"/>
        <v/>
      </c>
      <c r="AK901" s="168" t="str">
        <f t="shared" si="177"/>
        <v/>
      </c>
      <c r="AL901" s="28"/>
      <c r="AM901" s="28"/>
      <c r="AN901" s="20" t="str">
        <f>IF(AL901="","",IF($F901="Bernardino Furlan",_xlfn.XLOOKUP(AL901,Cadastros!$G$6:$G$90,Cadastros!$H$6:$H$90)*(1-0.18),IF($F901="Mauro José Salanti",_xlfn.XLOOKUP(AL901,Cadastros!$G$6:$G$90,Cadastros!$H$6:$H$90)*(1-0.18),_xlfn.XLOOKUP(AL901,Cadastros!$G$6:$G$90,Cadastros!$H$6:$H$90))))</f>
        <v/>
      </c>
      <c r="AO901" s="168" t="str">
        <f t="shared" si="178"/>
        <v/>
      </c>
      <c r="AP901" s="168" t="str">
        <f t="shared" si="179"/>
        <v/>
      </c>
      <c r="AQ901" s="28"/>
      <c r="AR901" s="28"/>
      <c r="AS901" s="20" t="str">
        <f>IF(AQ901="","",IF($F901="Bernardino Furlan",_xlfn.XLOOKUP(AQ901,Cadastros!$G$6:$G$90,Cadastros!$H$6:$H$90)*(1-0.18),IF($F901="Mauro José Salanti",_xlfn.XLOOKUP(AQ901,Cadastros!$G$6:$G$90,Cadastros!$H$6:$H$90)*(1-0.18),_xlfn.XLOOKUP(AQ901,Cadastros!$G$6:$G$90,Cadastros!$H$6:$H$90))))</f>
        <v/>
      </c>
      <c r="AT901" s="168" t="str">
        <f t="shared" si="180"/>
        <v/>
      </c>
      <c r="AU901" s="168" t="str">
        <f t="shared" si="181"/>
        <v/>
      </c>
      <c r="AV901" s="227"/>
      <c r="AW901" s="30"/>
      <c r="AX901" s="267"/>
      <c r="AY901" s="267"/>
      <c r="AZ901" s="29"/>
      <c r="BA901" s="30"/>
      <c r="BB901" s="23" t="str" cm="1">
        <f t="array" ref="BB901">_xlfn.IFS(AW901="SIM",SUM(K901,P901,U901,Z901,AE901,AJ901,AO901,AT901,AX901,AY901),F901&lt;&gt;"",SUM(K901,P901,U901,Z901,AE901,AJ901,,AO901,AT901),F901="","")</f>
        <v/>
      </c>
      <c r="BC901" s="211" t="str" cm="1">
        <f t="array" ref="BC901">_xlfn.IFS(E901="","",G901&lt;=E901,BB901*(1-0.03),G901&lt;(E901+8),BB901,AZ901="Boleto",BB901*(1+0.001)^DATEDIF(E901,G901,"D"),AZ901="Cheque",BB901,AZ901="Dinheiro","Alterar forma pgto")</f>
        <v/>
      </c>
      <c r="BD901" s="276" t="str" cm="1">
        <f t="array" ref="BD901">IF(F901=0," ",IF(BC901&lt;BB901,(_xlfn.IFS(AW901="SIM",SUM(L901,Q901,V901,AA901,AF901,AK901,AP901,AU901)+AX901/_xlfn.XLOOKUP(_xlfn.XLOOKUP($F901,Clientes!$B$4:$B$39,Clientes!$C$4:$C$39),Cadastros!$L$6:$L$12,Cadastros!$M$6:$M$12)+IF($F901="Bernardino Furlan",AY901/2751.92,IF($F901="Mauro José Salanti",AY901/2751.92,AY901/3356)),F901&lt;&gt;0,SUM(L901,Q901,V901,AA901,AF901,AK901,AP901,AU901)))*(1-0.03),_xlfn.IFS(AW901="SIM",SUM(L901,Q901,V901,AA901,AF901,AK901,AP901,AU901)+AX901/_xlfn.XLOOKUP(_xlfn.XLOOKUP($F901,Clientes!$B$4:$B$39,Clientes!$C$4:$C$39),Cadastros!$L$6:$L$12,Cadastros!$M$6:$M$12)+IF($F901="Bernardino Furlan",AY901/2751.92,IF($F901="Mauro José Salanti",AY901/2751.92,AY901/3356)),F901&lt;&gt;0,SUM(L901,Q901,V901,AA901,AF901,AK901,AP901,AU901))))</f>
        <v xml:space="preserve"> </v>
      </c>
      <c r="BE901" s="120"/>
      <c r="BF901" s="120"/>
      <c r="BG901" s="120"/>
    </row>
    <row r="902" spans="1:59" s="3" customFormat="1" x14ac:dyDescent="0.3">
      <c r="A902" s="15" t="str">
        <f t="shared" si="169"/>
        <v/>
      </c>
      <c r="B902" s="25"/>
      <c r="C902" s="26"/>
      <c r="D902" s="279"/>
      <c r="E902" s="27"/>
      <c r="F902" s="28"/>
      <c r="G902" s="27"/>
      <c r="H902" s="28"/>
      <c r="I902" s="28"/>
      <c r="J902" s="255" t="str">
        <f>IF(H902="","",(_xlfn.XLOOKUP(H902,Cadastros!$D$6:$D$90,Cadastros!$E$6:$E$90))*(1-_xlfn.XLOOKUP(_xlfn.XLOOKUP($F902,Clientes!$B$4:$B$39,Clientes!$C$4:$C$39),Cadastros!$L$6:$L$12,Cadastros!$N$6:$N$12)))</f>
        <v/>
      </c>
      <c r="K902" s="168" t="str">
        <f t="shared" si="170"/>
        <v/>
      </c>
      <c r="L902" s="168" t="str">
        <f>IFERROR(K902/_xlfn.XLOOKUP(_xlfn.XLOOKUP($F902,Clientes!$B$4:$B$39,Clientes!$C$4:$C$39),Cadastros!$L$6:$L$12,Cadastros!$M$6:$M$12)," ")</f>
        <v xml:space="preserve"> </v>
      </c>
      <c r="M902" s="28"/>
      <c r="N902" s="28"/>
      <c r="O902" s="255" t="str">
        <f>IF(M902="","",(_xlfn.XLOOKUP(M902,Cadastros!$D$6:$D$90,Cadastros!$E$6:$E$90))*(1-_xlfn.XLOOKUP(_xlfn.XLOOKUP($F902,Clientes!$B$4:$B$39,Clientes!$C$4:$C$39),Cadastros!$L$6:$L$12,Cadastros!$N$6:$N$12)))</f>
        <v/>
      </c>
      <c r="P902" s="168" t="str">
        <f t="shared" si="171"/>
        <v/>
      </c>
      <c r="Q902" s="168" t="str">
        <f>IFERROR(P902/_xlfn.XLOOKUP(_xlfn.XLOOKUP($F902,Clientes!$B$4:$B$39,Clientes!$C$4:$C$39),Cadastros!$L$6:$L$12,Cadastros!$M$6:$M$12)," ")</f>
        <v xml:space="preserve"> </v>
      </c>
      <c r="R902" s="28"/>
      <c r="S902" s="28"/>
      <c r="T902" s="255" t="str">
        <f>IF(R902="","",(_xlfn.XLOOKUP(R902,Cadastros!$D$6:$D$90,Cadastros!$E$6:$E$90))*(1-_xlfn.XLOOKUP(_xlfn.XLOOKUP($F902,Clientes!$B$4:$B$39,Clientes!$C$4:$C$39),Cadastros!$L$6:$L$12,Cadastros!$N$6:$N$12)))</f>
        <v/>
      </c>
      <c r="U902" s="168" t="str">
        <f t="shared" si="172"/>
        <v/>
      </c>
      <c r="V902" s="168" t="str">
        <f>IFERROR(U902/_xlfn.XLOOKUP(_xlfn.XLOOKUP($F902,Clientes!$B$4:$B$39,Clientes!$C$4:$C$39),Cadastros!$L$6:$L$12,Cadastros!$M$6:$M$12)," ")</f>
        <v xml:space="preserve"> </v>
      </c>
      <c r="W902" s="28"/>
      <c r="X902" s="28"/>
      <c r="Y902" s="255" t="str">
        <f>IF(W902="","",(_xlfn.XLOOKUP(W902,Cadastros!$D$6:$D$90,Cadastros!$E$6:$E$90))*(1-_xlfn.XLOOKUP(_xlfn.XLOOKUP($F902,Clientes!$B$4:$B$39,Clientes!$C$4:$C$39),Cadastros!$L$6:$L$12,Cadastros!$N$6:$N$12)))</f>
        <v/>
      </c>
      <c r="Z902" s="168" t="str">
        <f t="shared" si="173"/>
        <v/>
      </c>
      <c r="AA902" s="168" t="str">
        <f>IFERROR(Z902/_xlfn.XLOOKUP(_xlfn.XLOOKUP($F902,Clientes!$B$4:$B$39,Clientes!$C$4:$C$39),Cadastros!$L$6:$L$12,Cadastros!$M$6:$M$12)," ")</f>
        <v xml:space="preserve"> </v>
      </c>
      <c r="AB902" s="28"/>
      <c r="AC902" s="28"/>
      <c r="AD902" s="20" t="str">
        <f>IF(AB902="","",IF($F902="Bernardino Furlan",_xlfn.XLOOKUP(AB902,Cadastros!$G$6:$G$90,Cadastros!$H$6:$H$90)*(1-0.18),IF($F902="Mauro José Salanti",_xlfn.XLOOKUP(AB902,Cadastros!$G$6:$G$90,Cadastros!$H$6:$H$90)*(1-0.18),_xlfn.XLOOKUP(AB902,Cadastros!$G$6:$G$90,Cadastros!$H$6:$H$90))))</f>
        <v/>
      </c>
      <c r="AE902" s="168" t="str">
        <f t="shared" si="174"/>
        <v/>
      </c>
      <c r="AF902" s="168" t="str">
        <f t="shared" si="175"/>
        <v/>
      </c>
      <c r="AG902" s="28"/>
      <c r="AH902" s="28"/>
      <c r="AI902" s="20" t="str">
        <f>IF(AG902="","",IF($F902="Bernardino Furlan",_xlfn.XLOOKUP(AG902,Cadastros!$G$6:$G$90,Cadastros!$H$6:$H$90)*(1-0.18),IF($F902="Mauro José Salanti",_xlfn.XLOOKUP(AG902,Cadastros!$G$6:$G$90,Cadastros!$H$6:$H$90)*(1-0.18),_xlfn.XLOOKUP(AG902,Cadastros!$G$6:$G$90,Cadastros!$H$6:$H$90))))</f>
        <v/>
      </c>
      <c r="AJ902" s="168" t="str">
        <f t="shared" si="176"/>
        <v/>
      </c>
      <c r="AK902" s="168" t="str">
        <f t="shared" si="177"/>
        <v/>
      </c>
      <c r="AL902" s="28"/>
      <c r="AM902" s="28"/>
      <c r="AN902" s="20" t="str">
        <f>IF(AL902="","",IF($F902="Bernardino Furlan",_xlfn.XLOOKUP(AL902,Cadastros!$G$6:$G$90,Cadastros!$H$6:$H$90)*(1-0.18),IF($F902="Mauro José Salanti",_xlfn.XLOOKUP(AL902,Cadastros!$G$6:$G$90,Cadastros!$H$6:$H$90)*(1-0.18),_xlfn.XLOOKUP(AL902,Cadastros!$G$6:$G$90,Cadastros!$H$6:$H$90))))</f>
        <v/>
      </c>
      <c r="AO902" s="168" t="str">
        <f t="shared" si="178"/>
        <v/>
      </c>
      <c r="AP902" s="168" t="str">
        <f t="shared" si="179"/>
        <v/>
      </c>
      <c r="AQ902" s="28"/>
      <c r="AR902" s="28"/>
      <c r="AS902" s="20" t="str">
        <f>IF(AQ902="","",IF($F902="Bernardino Furlan",_xlfn.XLOOKUP(AQ902,Cadastros!$G$6:$G$90,Cadastros!$H$6:$H$90)*(1-0.18),IF($F902="Mauro José Salanti",_xlfn.XLOOKUP(AQ902,Cadastros!$G$6:$G$90,Cadastros!$H$6:$H$90)*(1-0.18),_xlfn.XLOOKUP(AQ902,Cadastros!$G$6:$G$90,Cadastros!$H$6:$H$90))))</f>
        <v/>
      </c>
      <c r="AT902" s="168" t="str">
        <f t="shared" si="180"/>
        <v/>
      </c>
      <c r="AU902" s="168" t="str">
        <f t="shared" si="181"/>
        <v/>
      </c>
      <c r="AV902" s="227"/>
      <c r="AW902" s="30"/>
      <c r="AX902" s="267"/>
      <c r="AY902" s="267"/>
      <c r="AZ902" s="29"/>
      <c r="BA902" s="30"/>
      <c r="BB902" s="23" t="str" cm="1">
        <f t="array" ref="BB902">_xlfn.IFS(AW902="SIM",SUM(K902,P902,U902,Z902,AE902,AJ902,AO902,AT902,AX902,AY902),F902&lt;&gt;"",SUM(K902,P902,U902,Z902,AE902,AJ902,,AO902,AT902),F902="","")</f>
        <v/>
      </c>
      <c r="BC902" s="211" t="str" cm="1">
        <f t="array" ref="BC902">_xlfn.IFS(E902="","",G902&lt;=E902,BB902*(1-0.03),G902&lt;(E902+8),BB902,AZ902="Boleto",BB902*(1+0.001)^DATEDIF(E902,G902,"D"),AZ902="Cheque",BB902,AZ902="Dinheiro","Alterar forma pgto")</f>
        <v/>
      </c>
      <c r="BD902" s="276" t="str" cm="1">
        <f t="array" ref="BD902">IF(F902=0," ",IF(BC902&lt;BB902,(_xlfn.IFS(AW902="SIM",SUM(L902,Q902,V902,AA902,AF902,AK902,AP902,AU902)+AX902/_xlfn.XLOOKUP(_xlfn.XLOOKUP($F902,Clientes!$B$4:$B$39,Clientes!$C$4:$C$39),Cadastros!$L$6:$L$12,Cadastros!$M$6:$M$12)+IF($F902="Bernardino Furlan",AY902/2751.92,IF($F902="Mauro José Salanti",AY902/2751.92,AY902/3356)),F902&lt;&gt;0,SUM(L902,Q902,V902,AA902,AF902,AK902,AP902,AU902)))*(1-0.03),_xlfn.IFS(AW902="SIM",SUM(L902,Q902,V902,AA902,AF902,AK902,AP902,AU902)+AX902/_xlfn.XLOOKUP(_xlfn.XLOOKUP($F902,Clientes!$B$4:$B$39,Clientes!$C$4:$C$39),Cadastros!$L$6:$L$12,Cadastros!$M$6:$M$12)+IF($F902="Bernardino Furlan",AY902/2751.92,IF($F902="Mauro José Salanti",AY902/2751.92,AY902/3356)),F902&lt;&gt;0,SUM(L902,Q902,V902,AA902,AF902,AK902,AP902,AU902))))</f>
        <v xml:space="preserve"> </v>
      </c>
      <c r="BE902" s="120"/>
      <c r="BF902" s="120"/>
      <c r="BG902" s="120"/>
    </row>
    <row r="903" spans="1:59" s="3" customFormat="1" x14ac:dyDescent="0.3">
      <c r="A903" s="15" t="str">
        <f t="shared" si="169"/>
        <v/>
      </c>
      <c r="B903" s="25"/>
      <c r="C903" s="26"/>
      <c r="D903" s="279"/>
      <c r="E903" s="27"/>
      <c r="F903" s="28"/>
      <c r="G903" s="27"/>
      <c r="H903" s="28"/>
      <c r="I903" s="28"/>
      <c r="J903" s="255" t="str">
        <f>IF(H903="","",(_xlfn.XLOOKUP(H903,Cadastros!$D$6:$D$90,Cadastros!$E$6:$E$90))*(1-_xlfn.XLOOKUP(_xlfn.XLOOKUP($F903,Clientes!$B$4:$B$39,Clientes!$C$4:$C$39),Cadastros!$L$6:$L$12,Cadastros!$N$6:$N$12)))</f>
        <v/>
      </c>
      <c r="K903" s="168" t="str">
        <f t="shared" si="170"/>
        <v/>
      </c>
      <c r="L903" s="168" t="str">
        <f>IFERROR(K903/_xlfn.XLOOKUP(_xlfn.XLOOKUP($F903,Clientes!$B$4:$B$39,Clientes!$C$4:$C$39),Cadastros!$L$6:$L$12,Cadastros!$M$6:$M$12)," ")</f>
        <v xml:space="preserve"> </v>
      </c>
      <c r="M903" s="28"/>
      <c r="N903" s="28"/>
      <c r="O903" s="255" t="str">
        <f>IF(M903="","",(_xlfn.XLOOKUP(M903,Cadastros!$D$6:$D$90,Cadastros!$E$6:$E$90))*(1-_xlfn.XLOOKUP(_xlfn.XLOOKUP($F903,Clientes!$B$4:$B$39,Clientes!$C$4:$C$39),Cadastros!$L$6:$L$12,Cadastros!$N$6:$N$12)))</f>
        <v/>
      </c>
      <c r="P903" s="168" t="str">
        <f t="shared" si="171"/>
        <v/>
      </c>
      <c r="Q903" s="168" t="str">
        <f>IFERROR(P903/_xlfn.XLOOKUP(_xlfn.XLOOKUP($F903,Clientes!$B$4:$B$39,Clientes!$C$4:$C$39),Cadastros!$L$6:$L$12,Cadastros!$M$6:$M$12)," ")</f>
        <v xml:space="preserve"> </v>
      </c>
      <c r="R903" s="28"/>
      <c r="S903" s="28"/>
      <c r="T903" s="255" t="str">
        <f>IF(R903="","",(_xlfn.XLOOKUP(R903,Cadastros!$D$6:$D$90,Cadastros!$E$6:$E$90))*(1-_xlfn.XLOOKUP(_xlfn.XLOOKUP($F903,Clientes!$B$4:$B$39,Clientes!$C$4:$C$39),Cadastros!$L$6:$L$12,Cadastros!$N$6:$N$12)))</f>
        <v/>
      </c>
      <c r="U903" s="168" t="str">
        <f t="shared" si="172"/>
        <v/>
      </c>
      <c r="V903" s="168" t="str">
        <f>IFERROR(U903/_xlfn.XLOOKUP(_xlfn.XLOOKUP($F903,Clientes!$B$4:$B$39,Clientes!$C$4:$C$39),Cadastros!$L$6:$L$12,Cadastros!$M$6:$M$12)," ")</f>
        <v xml:space="preserve"> </v>
      </c>
      <c r="W903" s="28"/>
      <c r="X903" s="28"/>
      <c r="Y903" s="255" t="str">
        <f>IF(W903="","",(_xlfn.XLOOKUP(W903,Cadastros!$D$6:$D$90,Cadastros!$E$6:$E$90))*(1-_xlfn.XLOOKUP(_xlfn.XLOOKUP($F903,Clientes!$B$4:$B$39,Clientes!$C$4:$C$39),Cadastros!$L$6:$L$12,Cadastros!$N$6:$N$12)))</f>
        <v/>
      </c>
      <c r="Z903" s="168" t="str">
        <f t="shared" si="173"/>
        <v/>
      </c>
      <c r="AA903" s="168" t="str">
        <f>IFERROR(Z903/_xlfn.XLOOKUP(_xlfn.XLOOKUP($F903,Clientes!$B$4:$B$39,Clientes!$C$4:$C$39),Cadastros!$L$6:$L$12,Cadastros!$M$6:$M$12)," ")</f>
        <v xml:space="preserve"> </v>
      </c>
      <c r="AB903" s="28"/>
      <c r="AC903" s="28"/>
      <c r="AD903" s="20" t="str">
        <f>IF(AB903="","",IF($F903="Bernardino Furlan",_xlfn.XLOOKUP(AB903,Cadastros!$G$6:$G$90,Cadastros!$H$6:$H$90)*(1-0.18),IF($F903="Mauro José Salanti",_xlfn.XLOOKUP(AB903,Cadastros!$G$6:$G$90,Cadastros!$H$6:$H$90)*(1-0.18),_xlfn.XLOOKUP(AB903,Cadastros!$G$6:$G$90,Cadastros!$H$6:$H$90))))</f>
        <v/>
      </c>
      <c r="AE903" s="168" t="str">
        <f t="shared" si="174"/>
        <v/>
      </c>
      <c r="AF903" s="168" t="str">
        <f t="shared" si="175"/>
        <v/>
      </c>
      <c r="AG903" s="28"/>
      <c r="AH903" s="28"/>
      <c r="AI903" s="20" t="str">
        <f>IF(AG903="","",IF($F903="Bernardino Furlan",_xlfn.XLOOKUP(AG903,Cadastros!$G$6:$G$90,Cadastros!$H$6:$H$90)*(1-0.18),IF($F903="Mauro José Salanti",_xlfn.XLOOKUP(AG903,Cadastros!$G$6:$G$90,Cadastros!$H$6:$H$90)*(1-0.18),_xlfn.XLOOKUP(AG903,Cadastros!$G$6:$G$90,Cadastros!$H$6:$H$90))))</f>
        <v/>
      </c>
      <c r="AJ903" s="168" t="str">
        <f t="shared" si="176"/>
        <v/>
      </c>
      <c r="AK903" s="168" t="str">
        <f t="shared" si="177"/>
        <v/>
      </c>
      <c r="AL903" s="28"/>
      <c r="AM903" s="28"/>
      <c r="AN903" s="20" t="str">
        <f>IF(AL903="","",IF($F903="Bernardino Furlan",_xlfn.XLOOKUP(AL903,Cadastros!$G$6:$G$90,Cadastros!$H$6:$H$90)*(1-0.18),IF($F903="Mauro José Salanti",_xlfn.XLOOKUP(AL903,Cadastros!$G$6:$G$90,Cadastros!$H$6:$H$90)*(1-0.18),_xlfn.XLOOKUP(AL903,Cadastros!$G$6:$G$90,Cadastros!$H$6:$H$90))))</f>
        <v/>
      </c>
      <c r="AO903" s="168" t="str">
        <f t="shared" si="178"/>
        <v/>
      </c>
      <c r="AP903" s="168" t="str">
        <f t="shared" si="179"/>
        <v/>
      </c>
      <c r="AQ903" s="28"/>
      <c r="AR903" s="28"/>
      <c r="AS903" s="20" t="str">
        <f>IF(AQ903="","",IF($F903="Bernardino Furlan",_xlfn.XLOOKUP(AQ903,Cadastros!$G$6:$G$90,Cadastros!$H$6:$H$90)*(1-0.18),IF($F903="Mauro José Salanti",_xlfn.XLOOKUP(AQ903,Cadastros!$G$6:$G$90,Cadastros!$H$6:$H$90)*(1-0.18),_xlfn.XLOOKUP(AQ903,Cadastros!$G$6:$G$90,Cadastros!$H$6:$H$90))))</f>
        <v/>
      </c>
      <c r="AT903" s="168" t="str">
        <f t="shared" si="180"/>
        <v/>
      </c>
      <c r="AU903" s="168" t="str">
        <f t="shared" si="181"/>
        <v/>
      </c>
      <c r="AV903" s="227"/>
      <c r="AW903" s="30"/>
      <c r="AX903" s="267"/>
      <c r="AY903" s="267"/>
      <c r="AZ903" s="29"/>
      <c r="BA903" s="30"/>
      <c r="BB903" s="23" t="str" cm="1">
        <f t="array" ref="BB903">_xlfn.IFS(AW903="SIM",SUM(K903,P903,U903,Z903,AE903,AJ903,AO903,AT903,AX903,AY903),F903&lt;&gt;"",SUM(K903,P903,U903,Z903,AE903,AJ903,,AO903,AT903),F903="","")</f>
        <v/>
      </c>
      <c r="BC903" s="211" t="str" cm="1">
        <f t="array" ref="BC903">_xlfn.IFS(E903="","",G903&lt;=E903,BB903*(1-0.03),G903&lt;(E903+8),BB903,AZ903="Boleto",BB903*(1+0.001)^DATEDIF(E903,G903,"D"),AZ903="Cheque",BB903,AZ903="Dinheiro","Alterar forma pgto")</f>
        <v/>
      </c>
      <c r="BD903" s="276" t="str" cm="1">
        <f t="array" ref="BD903">IF(F903=0," ",IF(BC903&lt;BB903,(_xlfn.IFS(AW903="SIM",SUM(L903,Q903,V903,AA903,AF903,AK903,AP903,AU903)+AX903/_xlfn.XLOOKUP(_xlfn.XLOOKUP($F903,Clientes!$B$4:$B$39,Clientes!$C$4:$C$39),Cadastros!$L$6:$L$12,Cadastros!$M$6:$M$12)+IF($F903="Bernardino Furlan",AY903/2751.92,IF($F903="Mauro José Salanti",AY903/2751.92,AY903/3356)),F903&lt;&gt;0,SUM(L903,Q903,V903,AA903,AF903,AK903,AP903,AU903)))*(1-0.03),_xlfn.IFS(AW903="SIM",SUM(L903,Q903,V903,AA903,AF903,AK903,AP903,AU903)+AX903/_xlfn.XLOOKUP(_xlfn.XLOOKUP($F903,Clientes!$B$4:$B$39,Clientes!$C$4:$C$39),Cadastros!$L$6:$L$12,Cadastros!$M$6:$M$12)+IF($F903="Bernardino Furlan",AY903/2751.92,IF($F903="Mauro José Salanti",AY903/2751.92,AY903/3356)),F903&lt;&gt;0,SUM(L903,Q903,V903,AA903,AF903,AK903,AP903,AU903))))</f>
        <v xml:space="preserve"> </v>
      </c>
      <c r="BE903" s="120"/>
      <c r="BF903" s="120"/>
      <c r="BG903" s="120"/>
    </row>
    <row r="904" spans="1:59" s="3" customFormat="1" x14ac:dyDescent="0.3">
      <c r="A904" s="15" t="str">
        <f t="shared" ref="A904:A967" si="182">IF(C904="orçamento",25%,IF(C904="aprovado",50%,IF(C904="entregue",100%,IF(C904="não aceito",0%,""))))</f>
        <v/>
      </c>
      <c r="B904" s="25"/>
      <c r="C904" s="26"/>
      <c r="D904" s="279"/>
      <c r="E904" s="27"/>
      <c r="F904" s="28"/>
      <c r="G904" s="27"/>
      <c r="H904" s="28"/>
      <c r="I904" s="28"/>
      <c r="J904" s="255" t="str">
        <f>IF(H904="","",(_xlfn.XLOOKUP(H904,Cadastros!$D$6:$D$90,Cadastros!$E$6:$E$90))*(1-_xlfn.XLOOKUP(_xlfn.XLOOKUP($F904,Clientes!$B$4:$B$39,Clientes!$C$4:$C$39),Cadastros!$L$6:$L$12,Cadastros!$N$6:$N$12)))</f>
        <v/>
      </c>
      <c r="K904" s="168" t="str">
        <f t="shared" ref="K904:K967" si="183">IF(J904="","",I904*J904)</f>
        <v/>
      </c>
      <c r="L904" s="168" t="str">
        <f>IFERROR(K904/_xlfn.XLOOKUP(_xlfn.XLOOKUP($F904,Clientes!$B$4:$B$39,Clientes!$C$4:$C$39),Cadastros!$L$6:$L$12,Cadastros!$M$6:$M$12)," ")</f>
        <v xml:space="preserve"> </v>
      </c>
      <c r="M904" s="28"/>
      <c r="N904" s="28"/>
      <c r="O904" s="255" t="str">
        <f>IF(M904="","",(_xlfn.XLOOKUP(M904,Cadastros!$D$6:$D$90,Cadastros!$E$6:$E$90))*(1-_xlfn.XLOOKUP(_xlfn.XLOOKUP($F904,Clientes!$B$4:$B$39,Clientes!$C$4:$C$39),Cadastros!$L$6:$L$12,Cadastros!$N$6:$N$12)))</f>
        <v/>
      </c>
      <c r="P904" s="168" t="str">
        <f t="shared" ref="P904:P967" si="184">IF(O904="","",N904*O904)</f>
        <v/>
      </c>
      <c r="Q904" s="168" t="str">
        <f>IFERROR(P904/_xlfn.XLOOKUP(_xlfn.XLOOKUP($F904,Clientes!$B$4:$B$39,Clientes!$C$4:$C$39),Cadastros!$L$6:$L$12,Cadastros!$M$6:$M$12)," ")</f>
        <v xml:space="preserve"> </v>
      </c>
      <c r="R904" s="28"/>
      <c r="S904" s="28"/>
      <c r="T904" s="255" t="str">
        <f>IF(R904="","",(_xlfn.XLOOKUP(R904,Cadastros!$D$6:$D$90,Cadastros!$E$6:$E$90))*(1-_xlfn.XLOOKUP(_xlfn.XLOOKUP($F904,Clientes!$B$4:$B$39,Clientes!$C$4:$C$39),Cadastros!$L$6:$L$12,Cadastros!$N$6:$N$12)))</f>
        <v/>
      </c>
      <c r="U904" s="168" t="str">
        <f t="shared" ref="U904:U967" si="185">IF(T904="","",S904*T904)</f>
        <v/>
      </c>
      <c r="V904" s="168" t="str">
        <f>IFERROR(U904/_xlfn.XLOOKUP(_xlfn.XLOOKUP($F904,Clientes!$B$4:$B$39,Clientes!$C$4:$C$39),Cadastros!$L$6:$L$12,Cadastros!$M$6:$M$12)," ")</f>
        <v xml:space="preserve"> </v>
      </c>
      <c r="W904" s="28"/>
      <c r="X904" s="28"/>
      <c r="Y904" s="255" t="str">
        <f>IF(W904="","",(_xlfn.XLOOKUP(W904,Cadastros!$D$6:$D$90,Cadastros!$E$6:$E$90))*(1-_xlfn.XLOOKUP(_xlfn.XLOOKUP($F904,Clientes!$B$4:$B$39,Clientes!$C$4:$C$39),Cadastros!$L$6:$L$12,Cadastros!$N$6:$N$12)))</f>
        <v/>
      </c>
      <c r="Z904" s="168" t="str">
        <f t="shared" ref="Z904:Z967" si="186">IF(Y904="","",X904*Y904)</f>
        <v/>
      </c>
      <c r="AA904" s="168" t="str">
        <f>IFERROR(Z904/_xlfn.XLOOKUP(_xlfn.XLOOKUP($F904,Clientes!$B$4:$B$39,Clientes!$C$4:$C$39),Cadastros!$L$6:$L$12,Cadastros!$M$6:$M$12)," ")</f>
        <v xml:space="preserve"> </v>
      </c>
      <c r="AB904" s="28"/>
      <c r="AC904" s="28"/>
      <c r="AD904" s="20" t="str">
        <f>IF(AB904="","",IF($F904="Bernardino Furlan",_xlfn.XLOOKUP(AB904,Cadastros!$G$6:$G$90,Cadastros!$H$6:$H$90)*(1-0.18),IF($F904="Mauro José Salanti",_xlfn.XLOOKUP(AB904,Cadastros!$G$6:$G$90,Cadastros!$H$6:$H$90)*(1-0.18),_xlfn.XLOOKUP(AB904,Cadastros!$G$6:$G$90,Cadastros!$H$6:$H$90))))</f>
        <v/>
      </c>
      <c r="AE904" s="168" t="str">
        <f t="shared" ref="AE904:AE967" si="187">IF(AD904="","",AC904*AD904)</f>
        <v/>
      </c>
      <c r="AF904" s="168" t="str">
        <f t="shared" ref="AF904:AF967" si="188">IFERROR(IF($F904="Bernardino Furlan",AE904/2751.92,IF($F904="Mauro José Salanti",AE904/2751.92,AE904/3356)),"")</f>
        <v/>
      </c>
      <c r="AG904" s="28"/>
      <c r="AH904" s="28"/>
      <c r="AI904" s="20" t="str">
        <f>IF(AG904="","",IF($F904="Bernardino Furlan",_xlfn.XLOOKUP(AG904,Cadastros!$G$6:$G$90,Cadastros!$H$6:$H$90)*(1-0.18),IF($F904="Mauro José Salanti",_xlfn.XLOOKUP(AG904,Cadastros!$G$6:$G$90,Cadastros!$H$6:$H$90)*(1-0.18),_xlfn.XLOOKUP(AG904,Cadastros!$G$6:$G$90,Cadastros!$H$6:$H$90))))</f>
        <v/>
      </c>
      <c r="AJ904" s="168" t="str">
        <f t="shared" ref="AJ904:AJ967" si="189">IF(AI904="","",AH904*AI904)</f>
        <v/>
      </c>
      <c r="AK904" s="168" t="str">
        <f t="shared" ref="AK904:AK967" si="190">IFERROR(IF($F904="Bernardino Furlan",AJ904/2751.92,IF($F904="Mauro José Salanti",AJ904/2751.92,AJ904/3356)),"")</f>
        <v/>
      </c>
      <c r="AL904" s="28"/>
      <c r="AM904" s="28"/>
      <c r="AN904" s="20" t="str">
        <f>IF(AL904="","",IF($F904="Bernardino Furlan",_xlfn.XLOOKUP(AL904,Cadastros!$G$6:$G$90,Cadastros!$H$6:$H$90)*(1-0.18),IF($F904="Mauro José Salanti",_xlfn.XLOOKUP(AL904,Cadastros!$G$6:$G$90,Cadastros!$H$6:$H$90)*(1-0.18),_xlfn.XLOOKUP(AL904,Cadastros!$G$6:$G$90,Cadastros!$H$6:$H$90))))</f>
        <v/>
      </c>
      <c r="AO904" s="168" t="str">
        <f t="shared" ref="AO904:AO967" si="191">IF(AN904="","",AM904*AN904)</f>
        <v/>
      </c>
      <c r="AP904" s="168" t="str">
        <f t="shared" ref="AP904:AP967" si="192">IFERROR(IF($F904="Bernardino Furlan",AO904/2751.92,IF($F904="Mauro José Salanti",AO904/2751.92,AO904/3356)),"")</f>
        <v/>
      </c>
      <c r="AQ904" s="28"/>
      <c r="AR904" s="28"/>
      <c r="AS904" s="20" t="str">
        <f>IF(AQ904="","",IF($F904="Bernardino Furlan",_xlfn.XLOOKUP(AQ904,Cadastros!$G$6:$G$90,Cadastros!$H$6:$H$90)*(1-0.18),IF($F904="Mauro José Salanti",_xlfn.XLOOKUP(AQ904,Cadastros!$G$6:$G$90,Cadastros!$H$6:$H$90)*(1-0.18),_xlfn.XLOOKUP(AQ904,Cadastros!$G$6:$G$90,Cadastros!$H$6:$H$90))))</f>
        <v/>
      </c>
      <c r="AT904" s="168" t="str">
        <f t="shared" ref="AT904:AT967" si="193">IF(AS904="","",AR904*AS904)</f>
        <v/>
      </c>
      <c r="AU904" s="168" t="str">
        <f t="shared" ref="AU904:AU967" si="194">IFERROR(IF($F904="Bernardino Furlan",AT904/2751.92,IF($F904="Mauro José Salanti",AT904/2751.92,AT904/3356)),"")</f>
        <v/>
      </c>
      <c r="AV904" s="227"/>
      <c r="AW904" s="30"/>
      <c r="AX904" s="267"/>
      <c r="AY904" s="267"/>
      <c r="AZ904" s="29"/>
      <c r="BA904" s="30"/>
      <c r="BB904" s="23" t="str" cm="1">
        <f t="array" ref="BB904">_xlfn.IFS(AW904="SIM",SUM(K904,P904,U904,Z904,AE904,AJ904,AO904,AT904,AX904,AY904),F904&lt;&gt;"",SUM(K904,P904,U904,Z904,AE904,AJ904,,AO904,AT904),F904="","")</f>
        <v/>
      </c>
      <c r="BC904" s="211" t="str" cm="1">
        <f t="array" ref="BC904">_xlfn.IFS(E904="","",G904&lt;=E904,BB904*(1-0.03),G904&lt;(E904+8),BB904,AZ904="Boleto",BB904*(1+0.001)^DATEDIF(E904,G904,"D"),AZ904="Cheque",BB904,AZ904="Dinheiro","Alterar forma pgto")</f>
        <v/>
      </c>
      <c r="BD904" s="276" t="str" cm="1">
        <f t="array" ref="BD904">IF(F904=0," ",IF(BC904&lt;BB904,(_xlfn.IFS(AW904="SIM",SUM(L904,Q904,V904,AA904,AF904,AK904,AP904,AU904)+AX904/_xlfn.XLOOKUP(_xlfn.XLOOKUP($F904,Clientes!$B$4:$B$39,Clientes!$C$4:$C$39),Cadastros!$L$6:$L$12,Cadastros!$M$6:$M$12)+IF($F904="Bernardino Furlan",AY904/2751.92,IF($F904="Mauro José Salanti",AY904/2751.92,AY904/3356)),F904&lt;&gt;0,SUM(L904,Q904,V904,AA904,AF904,AK904,AP904,AU904)))*(1-0.03),_xlfn.IFS(AW904="SIM",SUM(L904,Q904,V904,AA904,AF904,AK904,AP904,AU904)+AX904/_xlfn.XLOOKUP(_xlfn.XLOOKUP($F904,Clientes!$B$4:$B$39,Clientes!$C$4:$C$39),Cadastros!$L$6:$L$12,Cadastros!$M$6:$M$12)+IF($F904="Bernardino Furlan",AY904/2751.92,IF($F904="Mauro José Salanti",AY904/2751.92,AY904/3356)),F904&lt;&gt;0,SUM(L904,Q904,V904,AA904,AF904,AK904,AP904,AU904))))</f>
        <v xml:space="preserve"> </v>
      </c>
      <c r="BE904" s="120"/>
      <c r="BF904" s="120"/>
      <c r="BG904" s="120"/>
    </row>
    <row r="905" spans="1:59" s="3" customFormat="1" x14ac:dyDescent="0.3">
      <c r="A905" s="15" t="str">
        <f t="shared" si="182"/>
        <v/>
      </c>
      <c r="B905" s="25"/>
      <c r="C905" s="26"/>
      <c r="D905" s="279"/>
      <c r="E905" s="27"/>
      <c r="F905" s="28"/>
      <c r="G905" s="27"/>
      <c r="H905" s="28"/>
      <c r="I905" s="28"/>
      <c r="J905" s="255" t="str">
        <f>IF(H905="","",(_xlfn.XLOOKUP(H905,Cadastros!$D$6:$D$90,Cadastros!$E$6:$E$90))*(1-_xlfn.XLOOKUP(_xlfn.XLOOKUP($F905,Clientes!$B$4:$B$39,Clientes!$C$4:$C$39),Cadastros!$L$6:$L$12,Cadastros!$N$6:$N$12)))</f>
        <v/>
      </c>
      <c r="K905" s="168" t="str">
        <f t="shared" si="183"/>
        <v/>
      </c>
      <c r="L905" s="168" t="str">
        <f>IFERROR(K905/_xlfn.XLOOKUP(_xlfn.XLOOKUP($F905,Clientes!$B$4:$B$39,Clientes!$C$4:$C$39),Cadastros!$L$6:$L$12,Cadastros!$M$6:$M$12)," ")</f>
        <v xml:space="preserve"> </v>
      </c>
      <c r="M905" s="28"/>
      <c r="N905" s="28"/>
      <c r="O905" s="255" t="str">
        <f>IF(M905="","",(_xlfn.XLOOKUP(M905,Cadastros!$D$6:$D$90,Cadastros!$E$6:$E$90))*(1-_xlfn.XLOOKUP(_xlfn.XLOOKUP($F905,Clientes!$B$4:$B$39,Clientes!$C$4:$C$39),Cadastros!$L$6:$L$12,Cadastros!$N$6:$N$12)))</f>
        <v/>
      </c>
      <c r="P905" s="168" t="str">
        <f t="shared" si="184"/>
        <v/>
      </c>
      <c r="Q905" s="168" t="str">
        <f>IFERROR(P905/_xlfn.XLOOKUP(_xlfn.XLOOKUP($F905,Clientes!$B$4:$B$39,Clientes!$C$4:$C$39),Cadastros!$L$6:$L$12,Cadastros!$M$6:$M$12)," ")</f>
        <v xml:space="preserve"> </v>
      </c>
      <c r="R905" s="28"/>
      <c r="S905" s="28"/>
      <c r="T905" s="255" t="str">
        <f>IF(R905="","",(_xlfn.XLOOKUP(R905,Cadastros!$D$6:$D$90,Cadastros!$E$6:$E$90))*(1-_xlfn.XLOOKUP(_xlfn.XLOOKUP($F905,Clientes!$B$4:$B$39,Clientes!$C$4:$C$39),Cadastros!$L$6:$L$12,Cadastros!$N$6:$N$12)))</f>
        <v/>
      </c>
      <c r="U905" s="168" t="str">
        <f t="shared" si="185"/>
        <v/>
      </c>
      <c r="V905" s="168" t="str">
        <f>IFERROR(U905/_xlfn.XLOOKUP(_xlfn.XLOOKUP($F905,Clientes!$B$4:$B$39,Clientes!$C$4:$C$39),Cadastros!$L$6:$L$12,Cadastros!$M$6:$M$12)," ")</f>
        <v xml:space="preserve"> </v>
      </c>
      <c r="W905" s="28"/>
      <c r="X905" s="28"/>
      <c r="Y905" s="255" t="str">
        <f>IF(W905="","",(_xlfn.XLOOKUP(W905,Cadastros!$D$6:$D$90,Cadastros!$E$6:$E$90))*(1-_xlfn.XLOOKUP(_xlfn.XLOOKUP($F905,Clientes!$B$4:$B$39,Clientes!$C$4:$C$39),Cadastros!$L$6:$L$12,Cadastros!$N$6:$N$12)))</f>
        <v/>
      </c>
      <c r="Z905" s="168" t="str">
        <f t="shared" si="186"/>
        <v/>
      </c>
      <c r="AA905" s="168" t="str">
        <f>IFERROR(Z905/_xlfn.XLOOKUP(_xlfn.XLOOKUP($F905,Clientes!$B$4:$B$39,Clientes!$C$4:$C$39),Cadastros!$L$6:$L$12,Cadastros!$M$6:$M$12)," ")</f>
        <v xml:space="preserve"> </v>
      </c>
      <c r="AB905" s="28"/>
      <c r="AC905" s="28"/>
      <c r="AD905" s="20" t="str">
        <f>IF(AB905="","",IF($F905="Bernardino Furlan",_xlfn.XLOOKUP(AB905,Cadastros!$G$6:$G$90,Cadastros!$H$6:$H$90)*(1-0.18),IF($F905="Mauro José Salanti",_xlfn.XLOOKUP(AB905,Cadastros!$G$6:$G$90,Cadastros!$H$6:$H$90)*(1-0.18),_xlfn.XLOOKUP(AB905,Cadastros!$G$6:$G$90,Cadastros!$H$6:$H$90))))</f>
        <v/>
      </c>
      <c r="AE905" s="168" t="str">
        <f t="shared" si="187"/>
        <v/>
      </c>
      <c r="AF905" s="168" t="str">
        <f t="shared" si="188"/>
        <v/>
      </c>
      <c r="AG905" s="28"/>
      <c r="AH905" s="28"/>
      <c r="AI905" s="20" t="str">
        <f>IF(AG905="","",IF($F905="Bernardino Furlan",_xlfn.XLOOKUP(AG905,Cadastros!$G$6:$G$90,Cadastros!$H$6:$H$90)*(1-0.18),IF($F905="Mauro José Salanti",_xlfn.XLOOKUP(AG905,Cadastros!$G$6:$G$90,Cadastros!$H$6:$H$90)*(1-0.18),_xlfn.XLOOKUP(AG905,Cadastros!$G$6:$G$90,Cadastros!$H$6:$H$90))))</f>
        <v/>
      </c>
      <c r="AJ905" s="168" t="str">
        <f t="shared" si="189"/>
        <v/>
      </c>
      <c r="AK905" s="168" t="str">
        <f t="shared" si="190"/>
        <v/>
      </c>
      <c r="AL905" s="28"/>
      <c r="AM905" s="28"/>
      <c r="AN905" s="20" t="str">
        <f>IF(AL905="","",IF($F905="Bernardino Furlan",_xlfn.XLOOKUP(AL905,Cadastros!$G$6:$G$90,Cadastros!$H$6:$H$90)*(1-0.18),IF($F905="Mauro José Salanti",_xlfn.XLOOKUP(AL905,Cadastros!$G$6:$G$90,Cadastros!$H$6:$H$90)*(1-0.18),_xlfn.XLOOKUP(AL905,Cadastros!$G$6:$G$90,Cadastros!$H$6:$H$90))))</f>
        <v/>
      </c>
      <c r="AO905" s="168" t="str">
        <f t="shared" si="191"/>
        <v/>
      </c>
      <c r="AP905" s="168" t="str">
        <f t="shared" si="192"/>
        <v/>
      </c>
      <c r="AQ905" s="28"/>
      <c r="AR905" s="28"/>
      <c r="AS905" s="20" t="str">
        <f>IF(AQ905="","",IF($F905="Bernardino Furlan",_xlfn.XLOOKUP(AQ905,Cadastros!$G$6:$G$90,Cadastros!$H$6:$H$90)*(1-0.18),IF($F905="Mauro José Salanti",_xlfn.XLOOKUP(AQ905,Cadastros!$G$6:$G$90,Cadastros!$H$6:$H$90)*(1-0.18),_xlfn.XLOOKUP(AQ905,Cadastros!$G$6:$G$90,Cadastros!$H$6:$H$90))))</f>
        <v/>
      </c>
      <c r="AT905" s="168" t="str">
        <f t="shared" si="193"/>
        <v/>
      </c>
      <c r="AU905" s="168" t="str">
        <f t="shared" si="194"/>
        <v/>
      </c>
      <c r="AV905" s="227"/>
      <c r="AW905" s="30"/>
      <c r="AX905" s="267"/>
      <c r="AY905" s="267"/>
      <c r="AZ905" s="29"/>
      <c r="BA905" s="30"/>
      <c r="BB905" s="23" t="str" cm="1">
        <f t="array" ref="BB905">_xlfn.IFS(AW905="SIM",SUM(K905,P905,U905,Z905,AE905,AJ905,AO905,AT905,AX905,AY905),F905&lt;&gt;"",SUM(K905,P905,U905,Z905,AE905,AJ905,,AO905,AT905),F905="","")</f>
        <v/>
      </c>
      <c r="BC905" s="211" t="str" cm="1">
        <f t="array" ref="BC905">_xlfn.IFS(E905="","",G905&lt;=E905,BB905*(1-0.03),G905&lt;(E905+8),BB905,AZ905="Boleto",BB905*(1+0.001)^DATEDIF(E905,G905,"D"),AZ905="Cheque",BB905,AZ905="Dinheiro","Alterar forma pgto")</f>
        <v/>
      </c>
      <c r="BD905" s="276" t="str" cm="1">
        <f t="array" ref="BD905">IF(F905=0," ",IF(BC905&lt;BB905,(_xlfn.IFS(AW905="SIM",SUM(L905,Q905,V905,AA905,AF905,AK905,AP905,AU905)+AX905/_xlfn.XLOOKUP(_xlfn.XLOOKUP($F905,Clientes!$B$4:$B$39,Clientes!$C$4:$C$39),Cadastros!$L$6:$L$12,Cadastros!$M$6:$M$12)+IF($F905="Bernardino Furlan",AY905/2751.92,IF($F905="Mauro José Salanti",AY905/2751.92,AY905/3356)),F905&lt;&gt;0,SUM(L905,Q905,V905,AA905,AF905,AK905,AP905,AU905)))*(1-0.03),_xlfn.IFS(AW905="SIM",SUM(L905,Q905,V905,AA905,AF905,AK905,AP905,AU905)+AX905/_xlfn.XLOOKUP(_xlfn.XLOOKUP($F905,Clientes!$B$4:$B$39,Clientes!$C$4:$C$39),Cadastros!$L$6:$L$12,Cadastros!$M$6:$M$12)+IF($F905="Bernardino Furlan",AY905/2751.92,IF($F905="Mauro José Salanti",AY905/2751.92,AY905/3356)),F905&lt;&gt;0,SUM(L905,Q905,V905,AA905,AF905,AK905,AP905,AU905))))</f>
        <v xml:space="preserve"> </v>
      </c>
      <c r="BE905" s="120"/>
      <c r="BF905" s="120"/>
      <c r="BG905" s="120"/>
    </row>
    <row r="906" spans="1:59" s="3" customFormat="1" x14ac:dyDescent="0.3">
      <c r="A906" s="15" t="str">
        <f t="shared" si="182"/>
        <v/>
      </c>
      <c r="B906" s="25"/>
      <c r="C906" s="26"/>
      <c r="D906" s="279"/>
      <c r="E906" s="27"/>
      <c r="F906" s="28"/>
      <c r="G906" s="27"/>
      <c r="H906" s="28"/>
      <c r="I906" s="28"/>
      <c r="J906" s="255" t="str">
        <f>IF(H906="","",(_xlfn.XLOOKUP(H906,Cadastros!$D$6:$D$90,Cadastros!$E$6:$E$90))*(1-_xlfn.XLOOKUP(_xlfn.XLOOKUP($F906,Clientes!$B$4:$B$39,Clientes!$C$4:$C$39),Cadastros!$L$6:$L$12,Cadastros!$N$6:$N$12)))</f>
        <v/>
      </c>
      <c r="K906" s="168" t="str">
        <f t="shared" si="183"/>
        <v/>
      </c>
      <c r="L906" s="168" t="str">
        <f>IFERROR(K906/_xlfn.XLOOKUP(_xlfn.XLOOKUP($F906,Clientes!$B$4:$B$39,Clientes!$C$4:$C$39),Cadastros!$L$6:$L$12,Cadastros!$M$6:$M$12)," ")</f>
        <v xml:space="preserve"> </v>
      </c>
      <c r="M906" s="28"/>
      <c r="N906" s="28"/>
      <c r="O906" s="255" t="str">
        <f>IF(M906="","",(_xlfn.XLOOKUP(M906,Cadastros!$D$6:$D$90,Cadastros!$E$6:$E$90))*(1-_xlfn.XLOOKUP(_xlfn.XLOOKUP($F906,Clientes!$B$4:$B$39,Clientes!$C$4:$C$39),Cadastros!$L$6:$L$12,Cadastros!$N$6:$N$12)))</f>
        <v/>
      </c>
      <c r="P906" s="168" t="str">
        <f t="shared" si="184"/>
        <v/>
      </c>
      <c r="Q906" s="168" t="str">
        <f>IFERROR(P906/_xlfn.XLOOKUP(_xlfn.XLOOKUP($F906,Clientes!$B$4:$B$39,Clientes!$C$4:$C$39),Cadastros!$L$6:$L$12,Cadastros!$M$6:$M$12)," ")</f>
        <v xml:space="preserve"> </v>
      </c>
      <c r="R906" s="28"/>
      <c r="S906" s="28"/>
      <c r="T906" s="255" t="str">
        <f>IF(R906="","",(_xlfn.XLOOKUP(R906,Cadastros!$D$6:$D$90,Cadastros!$E$6:$E$90))*(1-_xlfn.XLOOKUP(_xlfn.XLOOKUP($F906,Clientes!$B$4:$B$39,Clientes!$C$4:$C$39),Cadastros!$L$6:$L$12,Cadastros!$N$6:$N$12)))</f>
        <v/>
      </c>
      <c r="U906" s="168" t="str">
        <f t="shared" si="185"/>
        <v/>
      </c>
      <c r="V906" s="168" t="str">
        <f>IFERROR(U906/_xlfn.XLOOKUP(_xlfn.XLOOKUP($F906,Clientes!$B$4:$B$39,Clientes!$C$4:$C$39),Cadastros!$L$6:$L$12,Cadastros!$M$6:$M$12)," ")</f>
        <v xml:space="preserve"> </v>
      </c>
      <c r="W906" s="28"/>
      <c r="X906" s="28"/>
      <c r="Y906" s="255" t="str">
        <f>IF(W906="","",(_xlfn.XLOOKUP(W906,Cadastros!$D$6:$D$90,Cadastros!$E$6:$E$90))*(1-_xlfn.XLOOKUP(_xlfn.XLOOKUP($F906,Clientes!$B$4:$B$39,Clientes!$C$4:$C$39),Cadastros!$L$6:$L$12,Cadastros!$N$6:$N$12)))</f>
        <v/>
      </c>
      <c r="Z906" s="168" t="str">
        <f t="shared" si="186"/>
        <v/>
      </c>
      <c r="AA906" s="168" t="str">
        <f>IFERROR(Z906/_xlfn.XLOOKUP(_xlfn.XLOOKUP($F906,Clientes!$B$4:$B$39,Clientes!$C$4:$C$39),Cadastros!$L$6:$L$12,Cadastros!$M$6:$M$12)," ")</f>
        <v xml:space="preserve"> </v>
      </c>
      <c r="AB906" s="28"/>
      <c r="AC906" s="28"/>
      <c r="AD906" s="20" t="str">
        <f>IF(AB906="","",IF($F906="Bernardino Furlan",_xlfn.XLOOKUP(AB906,Cadastros!$G$6:$G$90,Cadastros!$H$6:$H$90)*(1-0.18),IF($F906="Mauro José Salanti",_xlfn.XLOOKUP(AB906,Cadastros!$G$6:$G$90,Cadastros!$H$6:$H$90)*(1-0.18),_xlfn.XLOOKUP(AB906,Cadastros!$G$6:$G$90,Cadastros!$H$6:$H$90))))</f>
        <v/>
      </c>
      <c r="AE906" s="168" t="str">
        <f t="shared" si="187"/>
        <v/>
      </c>
      <c r="AF906" s="168" t="str">
        <f t="shared" si="188"/>
        <v/>
      </c>
      <c r="AG906" s="28"/>
      <c r="AH906" s="28"/>
      <c r="AI906" s="20" t="str">
        <f>IF(AG906="","",IF($F906="Bernardino Furlan",_xlfn.XLOOKUP(AG906,Cadastros!$G$6:$G$90,Cadastros!$H$6:$H$90)*(1-0.18),IF($F906="Mauro José Salanti",_xlfn.XLOOKUP(AG906,Cadastros!$G$6:$G$90,Cadastros!$H$6:$H$90)*(1-0.18),_xlfn.XLOOKUP(AG906,Cadastros!$G$6:$G$90,Cadastros!$H$6:$H$90))))</f>
        <v/>
      </c>
      <c r="AJ906" s="168" t="str">
        <f t="shared" si="189"/>
        <v/>
      </c>
      <c r="AK906" s="168" t="str">
        <f t="shared" si="190"/>
        <v/>
      </c>
      <c r="AL906" s="28"/>
      <c r="AM906" s="28"/>
      <c r="AN906" s="20" t="str">
        <f>IF(AL906="","",IF($F906="Bernardino Furlan",_xlfn.XLOOKUP(AL906,Cadastros!$G$6:$G$90,Cadastros!$H$6:$H$90)*(1-0.18),IF($F906="Mauro José Salanti",_xlfn.XLOOKUP(AL906,Cadastros!$G$6:$G$90,Cadastros!$H$6:$H$90)*(1-0.18),_xlfn.XLOOKUP(AL906,Cadastros!$G$6:$G$90,Cadastros!$H$6:$H$90))))</f>
        <v/>
      </c>
      <c r="AO906" s="168" t="str">
        <f t="shared" si="191"/>
        <v/>
      </c>
      <c r="AP906" s="168" t="str">
        <f t="shared" si="192"/>
        <v/>
      </c>
      <c r="AQ906" s="28"/>
      <c r="AR906" s="28"/>
      <c r="AS906" s="20" t="str">
        <f>IF(AQ906="","",IF($F906="Bernardino Furlan",_xlfn.XLOOKUP(AQ906,Cadastros!$G$6:$G$90,Cadastros!$H$6:$H$90)*(1-0.18),IF($F906="Mauro José Salanti",_xlfn.XLOOKUP(AQ906,Cadastros!$G$6:$G$90,Cadastros!$H$6:$H$90)*(1-0.18),_xlfn.XLOOKUP(AQ906,Cadastros!$G$6:$G$90,Cadastros!$H$6:$H$90))))</f>
        <v/>
      </c>
      <c r="AT906" s="168" t="str">
        <f t="shared" si="193"/>
        <v/>
      </c>
      <c r="AU906" s="168" t="str">
        <f t="shared" si="194"/>
        <v/>
      </c>
      <c r="AV906" s="227"/>
      <c r="AW906" s="30"/>
      <c r="AX906" s="267"/>
      <c r="AY906" s="267"/>
      <c r="AZ906" s="29"/>
      <c r="BA906" s="30"/>
      <c r="BB906" s="23" t="str" cm="1">
        <f t="array" ref="BB906">_xlfn.IFS(AW906="SIM",SUM(K906,P906,U906,Z906,AE906,AJ906,AO906,AT906,AX906,AY906),F906&lt;&gt;"",SUM(K906,P906,U906,Z906,AE906,AJ906,,AO906,AT906),F906="","")</f>
        <v/>
      </c>
      <c r="BC906" s="211" t="str" cm="1">
        <f t="array" ref="BC906">_xlfn.IFS(E906="","",G906&lt;=E906,BB906*(1-0.03),G906&lt;(E906+8),BB906,AZ906="Boleto",BB906*(1+0.001)^DATEDIF(E906,G906,"D"),AZ906="Cheque",BB906,AZ906="Dinheiro","Alterar forma pgto")</f>
        <v/>
      </c>
      <c r="BD906" s="276" t="str" cm="1">
        <f t="array" ref="BD906">IF(F906=0," ",IF(BC906&lt;BB906,(_xlfn.IFS(AW906="SIM",SUM(L906,Q906,V906,AA906,AF906,AK906,AP906,AU906)+AX906/_xlfn.XLOOKUP(_xlfn.XLOOKUP($F906,Clientes!$B$4:$B$39,Clientes!$C$4:$C$39),Cadastros!$L$6:$L$12,Cadastros!$M$6:$M$12)+IF($F906="Bernardino Furlan",AY906/2751.92,IF($F906="Mauro José Salanti",AY906/2751.92,AY906/3356)),F906&lt;&gt;0,SUM(L906,Q906,V906,AA906,AF906,AK906,AP906,AU906)))*(1-0.03),_xlfn.IFS(AW906="SIM",SUM(L906,Q906,V906,AA906,AF906,AK906,AP906,AU906)+AX906/_xlfn.XLOOKUP(_xlfn.XLOOKUP($F906,Clientes!$B$4:$B$39,Clientes!$C$4:$C$39),Cadastros!$L$6:$L$12,Cadastros!$M$6:$M$12)+IF($F906="Bernardino Furlan",AY906/2751.92,IF($F906="Mauro José Salanti",AY906/2751.92,AY906/3356)),F906&lt;&gt;0,SUM(L906,Q906,V906,AA906,AF906,AK906,AP906,AU906))))</f>
        <v xml:space="preserve"> </v>
      </c>
      <c r="BE906" s="120"/>
      <c r="BF906" s="120"/>
      <c r="BG906" s="120"/>
    </row>
    <row r="907" spans="1:59" s="3" customFormat="1" x14ac:dyDescent="0.3">
      <c r="A907" s="15" t="str">
        <f t="shared" si="182"/>
        <v/>
      </c>
      <c r="B907" s="25"/>
      <c r="C907" s="26"/>
      <c r="D907" s="279"/>
      <c r="E907" s="27"/>
      <c r="F907" s="28"/>
      <c r="G907" s="27"/>
      <c r="H907" s="28"/>
      <c r="I907" s="28"/>
      <c r="J907" s="255" t="str">
        <f>IF(H907="","",(_xlfn.XLOOKUP(H907,Cadastros!$D$6:$D$90,Cadastros!$E$6:$E$90))*(1-_xlfn.XLOOKUP(_xlfn.XLOOKUP($F907,Clientes!$B$4:$B$39,Clientes!$C$4:$C$39),Cadastros!$L$6:$L$12,Cadastros!$N$6:$N$12)))</f>
        <v/>
      </c>
      <c r="K907" s="168" t="str">
        <f t="shared" si="183"/>
        <v/>
      </c>
      <c r="L907" s="168" t="str">
        <f>IFERROR(K907/_xlfn.XLOOKUP(_xlfn.XLOOKUP($F907,Clientes!$B$4:$B$39,Clientes!$C$4:$C$39),Cadastros!$L$6:$L$12,Cadastros!$M$6:$M$12)," ")</f>
        <v xml:space="preserve"> </v>
      </c>
      <c r="M907" s="28"/>
      <c r="N907" s="28"/>
      <c r="O907" s="255" t="str">
        <f>IF(M907="","",(_xlfn.XLOOKUP(M907,Cadastros!$D$6:$D$90,Cadastros!$E$6:$E$90))*(1-_xlfn.XLOOKUP(_xlfn.XLOOKUP($F907,Clientes!$B$4:$B$39,Clientes!$C$4:$C$39),Cadastros!$L$6:$L$12,Cadastros!$N$6:$N$12)))</f>
        <v/>
      </c>
      <c r="P907" s="168" t="str">
        <f t="shared" si="184"/>
        <v/>
      </c>
      <c r="Q907" s="168" t="str">
        <f>IFERROR(P907/_xlfn.XLOOKUP(_xlfn.XLOOKUP($F907,Clientes!$B$4:$B$39,Clientes!$C$4:$C$39),Cadastros!$L$6:$L$12,Cadastros!$M$6:$M$12)," ")</f>
        <v xml:space="preserve"> </v>
      </c>
      <c r="R907" s="28"/>
      <c r="S907" s="28"/>
      <c r="T907" s="255" t="str">
        <f>IF(R907="","",(_xlfn.XLOOKUP(R907,Cadastros!$D$6:$D$90,Cadastros!$E$6:$E$90))*(1-_xlfn.XLOOKUP(_xlfn.XLOOKUP($F907,Clientes!$B$4:$B$39,Clientes!$C$4:$C$39),Cadastros!$L$6:$L$12,Cadastros!$N$6:$N$12)))</f>
        <v/>
      </c>
      <c r="U907" s="168" t="str">
        <f t="shared" si="185"/>
        <v/>
      </c>
      <c r="V907" s="168" t="str">
        <f>IFERROR(U907/_xlfn.XLOOKUP(_xlfn.XLOOKUP($F907,Clientes!$B$4:$B$39,Clientes!$C$4:$C$39),Cadastros!$L$6:$L$12,Cadastros!$M$6:$M$12)," ")</f>
        <v xml:space="preserve"> </v>
      </c>
      <c r="W907" s="28"/>
      <c r="X907" s="28"/>
      <c r="Y907" s="255" t="str">
        <f>IF(W907="","",(_xlfn.XLOOKUP(W907,Cadastros!$D$6:$D$90,Cadastros!$E$6:$E$90))*(1-_xlfn.XLOOKUP(_xlfn.XLOOKUP($F907,Clientes!$B$4:$B$39,Clientes!$C$4:$C$39),Cadastros!$L$6:$L$12,Cadastros!$N$6:$N$12)))</f>
        <v/>
      </c>
      <c r="Z907" s="168" t="str">
        <f t="shared" si="186"/>
        <v/>
      </c>
      <c r="AA907" s="168" t="str">
        <f>IFERROR(Z907/_xlfn.XLOOKUP(_xlfn.XLOOKUP($F907,Clientes!$B$4:$B$39,Clientes!$C$4:$C$39),Cadastros!$L$6:$L$12,Cadastros!$M$6:$M$12)," ")</f>
        <v xml:space="preserve"> </v>
      </c>
      <c r="AB907" s="28"/>
      <c r="AC907" s="28"/>
      <c r="AD907" s="20" t="str">
        <f>IF(AB907="","",IF($F907="Bernardino Furlan",_xlfn.XLOOKUP(AB907,Cadastros!$G$6:$G$90,Cadastros!$H$6:$H$90)*(1-0.18),IF($F907="Mauro José Salanti",_xlfn.XLOOKUP(AB907,Cadastros!$G$6:$G$90,Cadastros!$H$6:$H$90)*(1-0.18),_xlfn.XLOOKUP(AB907,Cadastros!$G$6:$G$90,Cadastros!$H$6:$H$90))))</f>
        <v/>
      </c>
      <c r="AE907" s="168" t="str">
        <f t="shared" si="187"/>
        <v/>
      </c>
      <c r="AF907" s="168" t="str">
        <f t="shared" si="188"/>
        <v/>
      </c>
      <c r="AG907" s="28"/>
      <c r="AH907" s="28"/>
      <c r="AI907" s="20" t="str">
        <f>IF(AG907="","",IF($F907="Bernardino Furlan",_xlfn.XLOOKUP(AG907,Cadastros!$G$6:$G$90,Cadastros!$H$6:$H$90)*(1-0.18),IF($F907="Mauro José Salanti",_xlfn.XLOOKUP(AG907,Cadastros!$G$6:$G$90,Cadastros!$H$6:$H$90)*(1-0.18),_xlfn.XLOOKUP(AG907,Cadastros!$G$6:$G$90,Cadastros!$H$6:$H$90))))</f>
        <v/>
      </c>
      <c r="AJ907" s="168" t="str">
        <f t="shared" si="189"/>
        <v/>
      </c>
      <c r="AK907" s="168" t="str">
        <f t="shared" si="190"/>
        <v/>
      </c>
      <c r="AL907" s="28"/>
      <c r="AM907" s="28"/>
      <c r="AN907" s="20" t="str">
        <f>IF(AL907="","",IF($F907="Bernardino Furlan",_xlfn.XLOOKUP(AL907,Cadastros!$G$6:$G$90,Cadastros!$H$6:$H$90)*(1-0.18),IF($F907="Mauro José Salanti",_xlfn.XLOOKUP(AL907,Cadastros!$G$6:$G$90,Cadastros!$H$6:$H$90)*(1-0.18),_xlfn.XLOOKUP(AL907,Cadastros!$G$6:$G$90,Cadastros!$H$6:$H$90))))</f>
        <v/>
      </c>
      <c r="AO907" s="168" t="str">
        <f t="shared" si="191"/>
        <v/>
      </c>
      <c r="AP907" s="168" t="str">
        <f t="shared" si="192"/>
        <v/>
      </c>
      <c r="AQ907" s="28"/>
      <c r="AR907" s="28"/>
      <c r="AS907" s="20" t="str">
        <f>IF(AQ907="","",IF($F907="Bernardino Furlan",_xlfn.XLOOKUP(AQ907,Cadastros!$G$6:$G$90,Cadastros!$H$6:$H$90)*(1-0.18),IF($F907="Mauro José Salanti",_xlfn.XLOOKUP(AQ907,Cadastros!$G$6:$G$90,Cadastros!$H$6:$H$90)*(1-0.18),_xlfn.XLOOKUP(AQ907,Cadastros!$G$6:$G$90,Cadastros!$H$6:$H$90))))</f>
        <v/>
      </c>
      <c r="AT907" s="168" t="str">
        <f t="shared" si="193"/>
        <v/>
      </c>
      <c r="AU907" s="168" t="str">
        <f t="shared" si="194"/>
        <v/>
      </c>
      <c r="AV907" s="227"/>
      <c r="AW907" s="30"/>
      <c r="AX907" s="267"/>
      <c r="AY907" s="267"/>
      <c r="AZ907" s="29"/>
      <c r="BA907" s="30"/>
      <c r="BB907" s="23" t="str" cm="1">
        <f t="array" ref="BB907">_xlfn.IFS(AW907="SIM",SUM(K907,P907,U907,Z907,AE907,AJ907,AO907,AT907,AX907,AY907),F907&lt;&gt;"",SUM(K907,P907,U907,Z907,AE907,AJ907,,AO907,AT907),F907="","")</f>
        <v/>
      </c>
      <c r="BC907" s="211" t="str" cm="1">
        <f t="array" ref="BC907">_xlfn.IFS(E907="","",G907&lt;=E907,BB907*(1-0.03),G907&lt;(E907+8),BB907,AZ907="Boleto",BB907*(1+0.001)^DATEDIF(E907,G907,"D"),AZ907="Cheque",BB907,AZ907="Dinheiro","Alterar forma pgto")</f>
        <v/>
      </c>
      <c r="BD907" s="276" t="str" cm="1">
        <f t="array" ref="BD907">IF(F907=0," ",IF(BC907&lt;BB907,(_xlfn.IFS(AW907="SIM",SUM(L907,Q907,V907,AA907,AF907,AK907,AP907,AU907)+AX907/_xlfn.XLOOKUP(_xlfn.XLOOKUP($F907,Clientes!$B$4:$B$39,Clientes!$C$4:$C$39),Cadastros!$L$6:$L$12,Cadastros!$M$6:$M$12)+IF($F907="Bernardino Furlan",AY907/2751.92,IF($F907="Mauro José Salanti",AY907/2751.92,AY907/3356)),F907&lt;&gt;0,SUM(L907,Q907,V907,AA907,AF907,AK907,AP907,AU907)))*(1-0.03),_xlfn.IFS(AW907="SIM",SUM(L907,Q907,V907,AA907,AF907,AK907,AP907,AU907)+AX907/_xlfn.XLOOKUP(_xlfn.XLOOKUP($F907,Clientes!$B$4:$B$39,Clientes!$C$4:$C$39),Cadastros!$L$6:$L$12,Cadastros!$M$6:$M$12)+IF($F907="Bernardino Furlan",AY907/2751.92,IF($F907="Mauro José Salanti",AY907/2751.92,AY907/3356)),F907&lt;&gt;0,SUM(L907,Q907,V907,AA907,AF907,AK907,AP907,AU907))))</f>
        <v xml:space="preserve"> </v>
      </c>
      <c r="BE907" s="120"/>
      <c r="BF907" s="120"/>
      <c r="BG907" s="120"/>
    </row>
    <row r="908" spans="1:59" s="3" customFormat="1" x14ac:dyDescent="0.3">
      <c r="A908" s="15" t="str">
        <f t="shared" si="182"/>
        <v/>
      </c>
      <c r="B908" s="25"/>
      <c r="C908" s="26"/>
      <c r="D908" s="279"/>
      <c r="E908" s="27"/>
      <c r="F908" s="28"/>
      <c r="G908" s="27"/>
      <c r="H908" s="28"/>
      <c r="I908" s="28"/>
      <c r="J908" s="255" t="str">
        <f>IF(H908="","",(_xlfn.XLOOKUP(H908,Cadastros!$D$6:$D$90,Cadastros!$E$6:$E$90))*(1-_xlfn.XLOOKUP(_xlfn.XLOOKUP($F908,Clientes!$B$4:$B$39,Clientes!$C$4:$C$39),Cadastros!$L$6:$L$12,Cadastros!$N$6:$N$12)))</f>
        <v/>
      </c>
      <c r="K908" s="168" t="str">
        <f t="shared" si="183"/>
        <v/>
      </c>
      <c r="L908" s="168" t="str">
        <f>IFERROR(K908/_xlfn.XLOOKUP(_xlfn.XLOOKUP($F908,Clientes!$B$4:$B$39,Clientes!$C$4:$C$39),Cadastros!$L$6:$L$12,Cadastros!$M$6:$M$12)," ")</f>
        <v xml:space="preserve"> </v>
      </c>
      <c r="M908" s="28"/>
      <c r="N908" s="28"/>
      <c r="O908" s="255" t="str">
        <f>IF(M908="","",(_xlfn.XLOOKUP(M908,Cadastros!$D$6:$D$90,Cadastros!$E$6:$E$90))*(1-_xlfn.XLOOKUP(_xlfn.XLOOKUP($F908,Clientes!$B$4:$B$39,Clientes!$C$4:$C$39),Cadastros!$L$6:$L$12,Cadastros!$N$6:$N$12)))</f>
        <v/>
      </c>
      <c r="P908" s="168" t="str">
        <f t="shared" si="184"/>
        <v/>
      </c>
      <c r="Q908" s="168" t="str">
        <f>IFERROR(P908/_xlfn.XLOOKUP(_xlfn.XLOOKUP($F908,Clientes!$B$4:$B$39,Clientes!$C$4:$C$39),Cadastros!$L$6:$L$12,Cadastros!$M$6:$M$12)," ")</f>
        <v xml:space="preserve"> </v>
      </c>
      <c r="R908" s="28"/>
      <c r="S908" s="28"/>
      <c r="T908" s="255" t="str">
        <f>IF(R908="","",(_xlfn.XLOOKUP(R908,Cadastros!$D$6:$D$90,Cadastros!$E$6:$E$90))*(1-_xlfn.XLOOKUP(_xlfn.XLOOKUP($F908,Clientes!$B$4:$B$39,Clientes!$C$4:$C$39),Cadastros!$L$6:$L$12,Cadastros!$N$6:$N$12)))</f>
        <v/>
      </c>
      <c r="U908" s="168" t="str">
        <f t="shared" si="185"/>
        <v/>
      </c>
      <c r="V908" s="168" t="str">
        <f>IFERROR(U908/_xlfn.XLOOKUP(_xlfn.XLOOKUP($F908,Clientes!$B$4:$B$39,Clientes!$C$4:$C$39),Cadastros!$L$6:$L$12,Cadastros!$M$6:$M$12)," ")</f>
        <v xml:space="preserve"> </v>
      </c>
      <c r="W908" s="28"/>
      <c r="X908" s="28"/>
      <c r="Y908" s="255" t="str">
        <f>IF(W908="","",(_xlfn.XLOOKUP(W908,Cadastros!$D$6:$D$90,Cadastros!$E$6:$E$90))*(1-_xlfn.XLOOKUP(_xlfn.XLOOKUP($F908,Clientes!$B$4:$B$39,Clientes!$C$4:$C$39),Cadastros!$L$6:$L$12,Cadastros!$N$6:$N$12)))</f>
        <v/>
      </c>
      <c r="Z908" s="168" t="str">
        <f t="shared" si="186"/>
        <v/>
      </c>
      <c r="AA908" s="168" t="str">
        <f>IFERROR(Z908/_xlfn.XLOOKUP(_xlfn.XLOOKUP($F908,Clientes!$B$4:$B$39,Clientes!$C$4:$C$39),Cadastros!$L$6:$L$12,Cadastros!$M$6:$M$12)," ")</f>
        <v xml:space="preserve"> </v>
      </c>
      <c r="AB908" s="28"/>
      <c r="AC908" s="28"/>
      <c r="AD908" s="20" t="str">
        <f>IF(AB908="","",IF($F908="Bernardino Furlan",_xlfn.XLOOKUP(AB908,Cadastros!$G$6:$G$90,Cadastros!$H$6:$H$90)*(1-0.18),IF($F908="Mauro José Salanti",_xlfn.XLOOKUP(AB908,Cadastros!$G$6:$G$90,Cadastros!$H$6:$H$90)*(1-0.18),_xlfn.XLOOKUP(AB908,Cadastros!$G$6:$G$90,Cadastros!$H$6:$H$90))))</f>
        <v/>
      </c>
      <c r="AE908" s="168" t="str">
        <f t="shared" si="187"/>
        <v/>
      </c>
      <c r="AF908" s="168" t="str">
        <f t="shared" si="188"/>
        <v/>
      </c>
      <c r="AG908" s="28"/>
      <c r="AH908" s="28"/>
      <c r="AI908" s="20" t="str">
        <f>IF(AG908="","",IF($F908="Bernardino Furlan",_xlfn.XLOOKUP(AG908,Cadastros!$G$6:$G$90,Cadastros!$H$6:$H$90)*(1-0.18),IF($F908="Mauro José Salanti",_xlfn.XLOOKUP(AG908,Cadastros!$G$6:$G$90,Cadastros!$H$6:$H$90)*(1-0.18),_xlfn.XLOOKUP(AG908,Cadastros!$G$6:$G$90,Cadastros!$H$6:$H$90))))</f>
        <v/>
      </c>
      <c r="AJ908" s="168" t="str">
        <f t="shared" si="189"/>
        <v/>
      </c>
      <c r="AK908" s="168" t="str">
        <f t="shared" si="190"/>
        <v/>
      </c>
      <c r="AL908" s="28"/>
      <c r="AM908" s="28"/>
      <c r="AN908" s="20" t="str">
        <f>IF(AL908="","",IF($F908="Bernardino Furlan",_xlfn.XLOOKUP(AL908,Cadastros!$G$6:$G$90,Cadastros!$H$6:$H$90)*(1-0.18),IF($F908="Mauro José Salanti",_xlfn.XLOOKUP(AL908,Cadastros!$G$6:$G$90,Cadastros!$H$6:$H$90)*(1-0.18),_xlfn.XLOOKUP(AL908,Cadastros!$G$6:$G$90,Cadastros!$H$6:$H$90))))</f>
        <v/>
      </c>
      <c r="AO908" s="168" t="str">
        <f t="shared" si="191"/>
        <v/>
      </c>
      <c r="AP908" s="168" t="str">
        <f t="shared" si="192"/>
        <v/>
      </c>
      <c r="AQ908" s="28"/>
      <c r="AR908" s="28"/>
      <c r="AS908" s="20" t="str">
        <f>IF(AQ908="","",IF($F908="Bernardino Furlan",_xlfn.XLOOKUP(AQ908,Cadastros!$G$6:$G$90,Cadastros!$H$6:$H$90)*(1-0.18),IF($F908="Mauro José Salanti",_xlfn.XLOOKUP(AQ908,Cadastros!$G$6:$G$90,Cadastros!$H$6:$H$90)*(1-0.18),_xlfn.XLOOKUP(AQ908,Cadastros!$G$6:$G$90,Cadastros!$H$6:$H$90))))</f>
        <v/>
      </c>
      <c r="AT908" s="168" t="str">
        <f t="shared" si="193"/>
        <v/>
      </c>
      <c r="AU908" s="168" t="str">
        <f t="shared" si="194"/>
        <v/>
      </c>
      <c r="AV908" s="227"/>
      <c r="AW908" s="30"/>
      <c r="AX908" s="267"/>
      <c r="AY908" s="267"/>
      <c r="AZ908" s="29"/>
      <c r="BA908" s="30"/>
      <c r="BB908" s="23" t="str" cm="1">
        <f t="array" ref="BB908">_xlfn.IFS(AW908="SIM",SUM(K908,P908,U908,Z908,AE908,AJ908,AO908,AT908,AX908,AY908),F908&lt;&gt;"",SUM(K908,P908,U908,Z908,AE908,AJ908,,AO908,AT908),F908="","")</f>
        <v/>
      </c>
      <c r="BC908" s="211" t="str" cm="1">
        <f t="array" ref="BC908">_xlfn.IFS(E908="","",G908&lt;=E908,BB908*(1-0.03),G908&lt;(E908+8),BB908,AZ908="Boleto",BB908*(1+0.001)^DATEDIF(E908,G908,"D"),AZ908="Cheque",BB908,AZ908="Dinheiro","Alterar forma pgto")</f>
        <v/>
      </c>
      <c r="BD908" s="276" t="str" cm="1">
        <f t="array" ref="BD908">IF(F908=0," ",IF(BC908&lt;BB908,(_xlfn.IFS(AW908="SIM",SUM(L908,Q908,V908,AA908,AF908,AK908,AP908,AU908)+AX908/_xlfn.XLOOKUP(_xlfn.XLOOKUP($F908,Clientes!$B$4:$B$39,Clientes!$C$4:$C$39),Cadastros!$L$6:$L$12,Cadastros!$M$6:$M$12)+IF($F908="Bernardino Furlan",AY908/2751.92,IF($F908="Mauro José Salanti",AY908/2751.92,AY908/3356)),F908&lt;&gt;0,SUM(L908,Q908,V908,AA908,AF908,AK908,AP908,AU908)))*(1-0.03),_xlfn.IFS(AW908="SIM",SUM(L908,Q908,V908,AA908,AF908,AK908,AP908,AU908)+AX908/_xlfn.XLOOKUP(_xlfn.XLOOKUP($F908,Clientes!$B$4:$B$39,Clientes!$C$4:$C$39),Cadastros!$L$6:$L$12,Cadastros!$M$6:$M$12)+IF($F908="Bernardino Furlan",AY908/2751.92,IF($F908="Mauro José Salanti",AY908/2751.92,AY908/3356)),F908&lt;&gt;0,SUM(L908,Q908,V908,AA908,AF908,AK908,AP908,AU908))))</f>
        <v xml:space="preserve"> </v>
      </c>
      <c r="BE908" s="120"/>
      <c r="BF908" s="120"/>
      <c r="BG908" s="120"/>
    </row>
    <row r="909" spans="1:59" s="3" customFormat="1" x14ac:dyDescent="0.3">
      <c r="A909" s="15" t="str">
        <f t="shared" si="182"/>
        <v/>
      </c>
      <c r="B909" s="25"/>
      <c r="C909" s="26"/>
      <c r="D909" s="279"/>
      <c r="E909" s="27"/>
      <c r="F909" s="28"/>
      <c r="G909" s="27"/>
      <c r="H909" s="28"/>
      <c r="I909" s="28"/>
      <c r="J909" s="255" t="str">
        <f>IF(H909="","",(_xlfn.XLOOKUP(H909,Cadastros!$D$6:$D$90,Cadastros!$E$6:$E$90))*(1-_xlfn.XLOOKUP(_xlfn.XLOOKUP($F909,Clientes!$B$4:$B$39,Clientes!$C$4:$C$39),Cadastros!$L$6:$L$12,Cadastros!$N$6:$N$12)))</f>
        <v/>
      </c>
      <c r="K909" s="168" t="str">
        <f t="shared" si="183"/>
        <v/>
      </c>
      <c r="L909" s="168" t="str">
        <f>IFERROR(K909/_xlfn.XLOOKUP(_xlfn.XLOOKUP($F909,Clientes!$B$4:$B$39,Clientes!$C$4:$C$39),Cadastros!$L$6:$L$12,Cadastros!$M$6:$M$12)," ")</f>
        <v xml:space="preserve"> </v>
      </c>
      <c r="M909" s="28"/>
      <c r="N909" s="28"/>
      <c r="O909" s="255" t="str">
        <f>IF(M909="","",(_xlfn.XLOOKUP(M909,Cadastros!$D$6:$D$90,Cadastros!$E$6:$E$90))*(1-_xlfn.XLOOKUP(_xlfn.XLOOKUP($F909,Clientes!$B$4:$B$39,Clientes!$C$4:$C$39),Cadastros!$L$6:$L$12,Cadastros!$N$6:$N$12)))</f>
        <v/>
      </c>
      <c r="P909" s="168" t="str">
        <f t="shared" si="184"/>
        <v/>
      </c>
      <c r="Q909" s="168" t="str">
        <f>IFERROR(P909/_xlfn.XLOOKUP(_xlfn.XLOOKUP($F909,Clientes!$B$4:$B$39,Clientes!$C$4:$C$39),Cadastros!$L$6:$L$12,Cadastros!$M$6:$M$12)," ")</f>
        <v xml:space="preserve"> </v>
      </c>
      <c r="R909" s="28"/>
      <c r="S909" s="28"/>
      <c r="T909" s="255" t="str">
        <f>IF(R909="","",(_xlfn.XLOOKUP(R909,Cadastros!$D$6:$D$90,Cadastros!$E$6:$E$90))*(1-_xlfn.XLOOKUP(_xlfn.XLOOKUP($F909,Clientes!$B$4:$B$39,Clientes!$C$4:$C$39),Cadastros!$L$6:$L$12,Cadastros!$N$6:$N$12)))</f>
        <v/>
      </c>
      <c r="U909" s="168" t="str">
        <f t="shared" si="185"/>
        <v/>
      </c>
      <c r="V909" s="168" t="str">
        <f>IFERROR(U909/_xlfn.XLOOKUP(_xlfn.XLOOKUP($F909,Clientes!$B$4:$B$39,Clientes!$C$4:$C$39),Cadastros!$L$6:$L$12,Cadastros!$M$6:$M$12)," ")</f>
        <v xml:space="preserve"> </v>
      </c>
      <c r="W909" s="28"/>
      <c r="X909" s="28"/>
      <c r="Y909" s="255" t="str">
        <f>IF(W909="","",(_xlfn.XLOOKUP(W909,Cadastros!$D$6:$D$90,Cadastros!$E$6:$E$90))*(1-_xlfn.XLOOKUP(_xlfn.XLOOKUP($F909,Clientes!$B$4:$B$39,Clientes!$C$4:$C$39),Cadastros!$L$6:$L$12,Cadastros!$N$6:$N$12)))</f>
        <v/>
      </c>
      <c r="Z909" s="168" t="str">
        <f t="shared" si="186"/>
        <v/>
      </c>
      <c r="AA909" s="168" t="str">
        <f>IFERROR(Z909/_xlfn.XLOOKUP(_xlfn.XLOOKUP($F909,Clientes!$B$4:$B$39,Clientes!$C$4:$C$39),Cadastros!$L$6:$L$12,Cadastros!$M$6:$M$12)," ")</f>
        <v xml:space="preserve"> </v>
      </c>
      <c r="AB909" s="28"/>
      <c r="AC909" s="28"/>
      <c r="AD909" s="20" t="str">
        <f>IF(AB909="","",IF($F909="Bernardino Furlan",_xlfn.XLOOKUP(AB909,Cadastros!$G$6:$G$90,Cadastros!$H$6:$H$90)*(1-0.18),IF($F909="Mauro José Salanti",_xlfn.XLOOKUP(AB909,Cadastros!$G$6:$G$90,Cadastros!$H$6:$H$90)*(1-0.18),_xlfn.XLOOKUP(AB909,Cadastros!$G$6:$G$90,Cadastros!$H$6:$H$90))))</f>
        <v/>
      </c>
      <c r="AE909" s="168" t="str">
        <f t="shared" si="187"/>
        <v/>
      </c>
      <c r="AF909" s="168" t="str">
        <f t="shared" si="188"/>
        <v/>
      </c>
      <c r="AG909" s="28"/>
      <c r="AH909" s="28"/>
      <c r="AI909" s="20" t="str">
        <f>IF(AG909="","",IF($F909="Bernardino Furlan",_xlfn.XLOOKUP(AG909,Cadastros!$G$6:$G$90,Cadastros!$H$6:$H$90)*(1-0.18),IF($F909="Mauro José Salanti",_xlfn.XLOOKUP(AG909,Cadastros!$G$6:$G$90,Cadastros!$H$6:$H$90)*(1-0.18),_xlfn.XLOOKUP(AG909,Cadastros!$G$6:$G$90,Cadastros!$H$6:$H$90))))</f>
        <v/>
      </c>
      <c r="AJ909" s="168" t="str">
        <f t="shared" si="189"/>
        <v/>
      </c>
      <c r="AK909" s="168" t="str">
        <f t="shared" si="190"/>
        <v/>
      </c>
      <c r="AL909" s="28"/>
      <c r="AM909" s="28"/>
      <c r="AN909" s="20" t="str">
        <f>IF(AL909="","",IF($F909="Bernardino Furlan",_xlfn.XLOOKUP(AL909,Cadastros!$G$6:$G$90,Cadastros!$H$6:$H$90)*(1-0.18),IF($F909="Mauro José Salanti",_xlfn.XLOOKUP(AL909,Cadastros!$G$6:$G$90,Cadastros!$H$6:$H$90)*(1-0.18),_xlfn.XLOOKUP(AL909,Cadastros!$G$6:$G$90,Cadastros!$H$6:$H$90))))</f>
        <v/>
      </c>
      <c r="AO909" s="168" t="str">
        <f t="shared" si="191"/>
        <v/>
      </c>
      <c r="AP909" s="168" t="str">
        <f t="shared" si="192"/>
        <v/>
      </c>
      <c r="AQ909" s="28"/>
      <c r="AR909" s="28"/>
      <c r="AS909" s="20" t="str">
        <f>IF(AQ909="","",IF($F909="Bernardino Furlan",_xlfn.XLOOKUP(AQ909,Cadastros!$G$6:$G$90,Cadastros!$H$6:$H$90)*(1-0.18),IF($F909="Mauro José Salanti",_xlfn.XLOOKUP(AQ909,Cadastros!$G$6:$G$90,Cadastros!$H$6:$H$90)*(1-0.18),_xlfn.XLOOKUP(AQ909,Cadastros!$G$6:$G$90,Cadastros!$H$6:$H$90))))</f>
        <v/>
      </c>
      <c r="AT909" s="168" t="str">
        <f t="shared" si="193"/>
        <v/>
      </c>
      <c r="AU909" s="168" t="str">
        <f t="shared" si="194"/>
        <v/>
      </c>
      <c r="AV909" s="227"/>
      <c r="AW909" s="30"/>
      <c r="AX909" s="267"/>
      <c r="AY909" s="267"/>
      <c r="AZ909" s="29"/>
      <c r="BA909" s="30"/>
      <c r="BB909" s="23" t="str" cm="1">
        <f t="array" ref="BB909">_xlfn.IFS(AW909="SIM",SUM(K909,P909,U909,Z909,AE909,AJ909,AO909,AT909,AX909,AY909),F909&lt;&gt;"",SUM(K909,P909,U909,Z909,AE909,AJ909,,AO909,AT909),F909="","")</f>
        <v/>
      </c>
      <c r="BC909" s="211" t="str" cm="1">
        <f t="array" ref="BC909">_xlfn.IFS(E909="","",G909&lt;=E909,BB909*(1-0.03),G909&lt;(E909+8),BB909,AZ909="Boleto",BB909*(1+0.001)^DATEDIF(E909,G909,"D"),AZ909="Cheque",BB909,AZ909="Dinheiro","Alterar forma pgto")</f>
        <v/>
      </c>
      <c r="BD909" s="276" t="str" cm="1">
        <f t="array" ref="BD909">IF(F909=0," ",IF(BC909&lt;BB909,(_xlfn.IFS(AW909="SIM",SUM(L909,Q909,V909,AA909,AF909,AK909,AP909,AU909)+AX909/_xlfn.XLOOKUP(_xlfn.XLOOKUP($F909,Clientes!$B$4:$B$39,Clientes!$C$4:$C$39),Cadastros!$L$6:$L$12,Cadastros!$M$6:$M$12)+IF($F909="Bernardino Furlan",AY909/2751.92,IF($F909="Mauro José Salanti",AY909/2751.92,AY909/3356)),F909&lt;&gt;0,SUM(L909,Q909,V909,AA909,AF909,AK909,AP909,AU909)))*(1-0.03),_xlfn.IFS(AW909="SIM",SUM(L909,Q909,V909,AA909,AF909,AK909,AP909,AU909)+AX909/_xlfn.XLOOKUP(_xlfn.XLOOKUP($F909,Clientes!$B$4:$B$39,Clientes!$C$4:$C$39),Cadastros!$L$6:$L$12,Cadastros!$M$6:$M$12)+IF($F909="Bernardino Furlan",AY909/2751.92,IF($F909="Mauro José Salanti",AY909/2751.92,AY909/3356)),F909&lt;&gt;0,SUM(L909,Q909,V909,AA909,AF909,AK909,AP909,AU909))))</f>
        <v xml:space="preserve"> </v>
      </c>
      <c r="BE909" s="120"/>
      <c r="BF909" s="120"/>
      <c r="BG909" s="120"/>
    </row>
    <row r="910" spans="1:59" s="3" customFormat="1" x14ac:dyDescent="0.3">
      <c r="A910" s="15" t="str">
        <f t="shared" si="182"/>
        <v/>
      </c>
      <c r="B910" s="25"/>
      <c r="C910" s="26"/>
      <c r="D910" s="279"/>
      <c r="E910" s="27"/>
      <c r="F910" s="28"/>
      <c r="G910" s="27"/>
      <c r="H910" s="28"/>
      <c r="I910" s="28"/>
      <c r="J910" s="255" t="str">
        <f>IF(H910="","",(_xlfn.XLOOKUP(H910,Cadastros!$D$6:$D$90,Cadastros!$E$6:$E$90))*(1-_xlfn.XLOOKUP(_xlfn.XLOOKUP($F910,Clientes!$B$4:$B$39,Clientes!$C$4:$C$39),Cadastros!$L$6:$L$12,Cadastros!$N$6:$N$12)))</f>
        <v/>
      </c>
      <c r="K910" s="168" t="str">
        <f t="shared" si="183"/>
        <v/>
      </c>
      <c r="L910" s="168" t="str">
        <f>IFERROR(K910/_xlfn.XLOOKUP(_xlfn.XLOOKUP($F910,Clientes!$B$4:$B$39,Clientes!$C$4:$C$39),Cadastros!$L$6:$L$12,Cadastros!$M$6:$M$12)," ")</f>
        <v xml:space="preserve"> </v>
      </c>
      <c r="M910" s="28"/>
      <c r="N910" s="28"/>
      <c r="O910" s="255" t="str">
        <f>IF(M910="","",(_xlfn.XLOOKUP(M910,Cadastros!$D$6:$D$90,Cadastros!$E$6:$E$90))*(1-_xlfn.XLOOKUP(_xlfn.XLOOKUP($F910,Clientes!$B$4:$B$39,Clientes!$C$4:$C$39),Cadastros!$L$6:$L$12,Cadastros!$N$6:$N$12)))</f>
        <v/>
      </c>
      <c r="P910" s="168" t="str">
        <f t="shared" si="184"/>
        <v/>
      </c>
      <c r="Q910" s="168" t="str">
        <f>IFERROR(P910/_xlfn.XLOOKUP(_xlfn.XLOOKUP($F910,Clientes!$B$4:$B$39,Clientes!$C$4:$C$39),Cadastros!$L$6:$L$12,Cadastros!$M$6:$M$12)," ")</f>
        <v xml:space="preserve"> </v>
      </c>
      <c r="R910" s="28"/>
      <c r="S910" s="28"/>
      <c r="T910" s="255" t="str">
        <f>IF(R910="","",(_xlfn.XLOOKUP(R910,Cadastros!$D$6:$D$90,Cadastros!$E$6:$E$90))*(1-_xlfn.XLOOKUP(_xlfn.XLOOKUP($F910,Clientes!$B$4:$B$39,Clientes!$C$4:$C$39),Cadastros!$L$6:$L$12,Cadastros!$N$6:$N$12)))</f>
        <v/>
      </c>
      <c r="U910" s="168" t="str">
        <f t="shared" si="185"/>
        <v/>
      </c>
      <c r="V910" s="168" t="str">
        <f>IFERROR(U910/_xlfn.XLOOKUP(_xlfn.XLOOKUP($F910,Clientes!$B$4:$B$39,Clientes!$C$4:$C$39),Cadastros!$L$6:$L$12,Cadastros!$M$6:$M$12)," ")</f>
        <v xml:space="preserve"> </v>
      </c>
      <c r="W910" s="28"/>
      <c r="X910" s="28"/>
      <c r="Y910" s="255" t="str">
        <f>IF(W910="","",(_xlfn.XLOOKUP(W910,Cadastros!$D$6:$D$90,Cadastros!$E$6:$E$90))*(1-_xlfn.XLOOKUP(_xlfn.XLOOKUP($F910,Clientes!$B$4:$B$39,Clientes!$C$4:$C$39),Cadastros!$L$6:$L$12,Cadastros!$N$6:$N$12)))</f>
        <v/>
      </c>
      <c r="Z910" s="168" t="str">
        <f t="shared" si="186"/>
        <v/>
      </c>
      <c r="AA910" s="168" t="str">
        <f>IFERROR(Z910/_xlfn.XLOOKUP(_xlfn.XLOOKUP($F910,Clientes!$B$4:$B$39,Clientes!$C$4:$C$39),Cadastros!$L$6:$L$12,Cadastros!$M$6:$M$12)," ")</f>
        <v xml:space="preserve"> </v>
      </c>
      <c r="AB910" s="28"/>
      <c r="AC910" s="28"/>
      <c r="AD910" s="20" t="str">
        <f>IF(AB910="","",IF($F910="Bernardino Furlan",_xlfn.XLOOKUP(AB910,Cadastros!$G$6:$G$90,Cadastros!$H$6:$H$90)*(1-0.18),IF($F910="Mauro José Salanti",_xlfn.XLOOKUP(AB910,Cadastros!$G$6:$G$90,Cadastros!$H$6:$H$90)*(1-0.18),_xlfn.XLOOKUP(AB910,Cadastros!$G$6:$G$90,Cadastros!$H$6:$H$90))))</f>
        <v/>
      </c>
      <c r="AE910" s="168" t="str">
        <f t="shared" si="187"/>
        <v/>
      </c>
      <c r="AF910" s="168" t="str">
        <f t="shared" si="188"/>
        <v/>
      </c>
      <c r="AG910" s="28"/>
      <c r="AH910" s="28"/>
      <c r="AI910" s="20" t="str">
        <f>IF(AG910="","",IF($F910="Bernardino Furlan",_xlfn.XLOOKUP(AG910,Cadastros!$G$6:$G$90,Cadastros!$H$6:$H$90)*(1-0.18),IF($F910="Mauro José Salanti",_xlfn.XLOOKUP(AG910,Cadastros!$G$6:$G$90,Cadastros!$H$6:$H$90)*(1-0.18),_xlfn.XLOOKUP(AG910,Cadastros!$G$6:$G$90,Cadastros!$H$6:$H$90))))</f>
        <v/>
      </c>
      <c r="AJ910" s="168" t="str">
        <f t="shared" si="189"/>
        <v/>
      </c>
      <c r="AK910" s="168" t="str">
        <f t="shared" si="190"/>
        <v/>
      </c>
      <c r="AL910" s="28"/>
      <c r="AM910" s="28"/>
      <c r="AN910" s="20" t="str">
        <f>IF(AL910="","",IF($F910="Bernardino Furlan",_xlfn.XLOOKUP(AL910,Cadastros!$G$6:$G$90,Cadastros!$H$6:$H$90)*(1-0.18),IF($F910="Mauro José Salanti",_xlfn.XLOOKUP(AL910,Cadastros!$G$6:$G$90,Cadastros!$H$6:$H$90)*(1-0.18),_xlfn.XLOOKUP(AL910,Cadastros!$G$6:$G$90,Cadastros!$H$6:$H$90))))</f>
        <v/>
      </c>
      <c r="AO910" s="168" t="str">
        <f t="shared" si="191"/>
        <v/>
      </c>
      <c r="AP910" s="168" t="str">
        <f t="shared" si="192"/>
        <v/>
      </c>
      <c r="AQ910" s="28"/>
      <c r="AR910" s="28"/>
      <c r="AS910" s="20" t="str">
        <f>IF(AQ910="","",IF($F910="Bernardino Furlan",_xlfn.XLOOKUP(AQ910,Cadastros!$G$6:$G$90,Cadastros!$H$6:$H$90)*(1-0.18),IF($F910="Mauro José Salanti",_xlfn.XLOOKUP(AQ910,Cadastros!$G$6:$G$90,Cadastros!$H$6:$H$90)*(1-0.18),_xlfn.XLOOKUP(AQ910,Cadastros!$G$6:$G$90,Cadastros!$H$6:$H$90))))</f>
        <v/>
      </c>
      <c r="AT910" s="168" t="str">
        <f t="shared" si="193"/>
        <v/>
      </c>
      <c r="AU910" s="168" t="str">
        <f t="shared" si="194"/>
        <v/>
      </c>
      <c r="AV910" s="227"/>
      <c r="AW910" s="30"/>
      <c r="AX910" s="267"/>
      <c r="AY910" s="267"/>
      <c r="AZ910" s="29"/>
      <c r="BA910" s="30"/>
      <c r="BB910" s="23" t="str" cm="1">
        <f t="array" ref="BB910">_xlfn.IFS(AW910="SIM",SUM(K910,P910,U910,Z910,AE910,AJ910,AO910,AT910,AX910,AY910),F910&lt;&gt;"",SUM(K910,P910,U910,Z910,AE910,AJ910,,AO910,AT910),F910="","")</f>
        <v/>
      </c>
      <c r="BC910" s="211" t="str" cm="1">
        <f t="array" ref="BC910">_xlfn.IFS(E910="","",G910&lt;=E910,BB910*(1-0.03),G910&lt;(E910+8),BB910,AZ910="Boleto",BB910*(1+0.001)^DATEDIF(E910,G910,"D"),AZ910="Cheque",BB910,AZ910="Dinheiro","Alterar forma pgto")</f>
        <v/>
      </c>
      <c r="BD910" s="276" t="str" cm="1">
        <f t="array" ref="BD910">IF(F910=0," ",IF(BC910&lt;BB910,(_xlfn.IFS(AW910="SIM",SUM(L910,Q910,V910,AA910,AF910,AK910,AP910,AU910)+AX910/_xlfn.XLOOKUP(_xlfn.XLOOKUP($F910,Clientes!$B$4:$B$39,Clientes!$C$4:$C$39),Cadastros!$L$6:$L$12,Cadastros!$M$6:$M$12)+IF($F910="Bernardino Furlan",AY910/2751.92,IF($F910="Mauro José Salanti",AY910/2751.92,AY910/3356)),F910&lt;&gt;0,SUM(L910,Q910,V910,AA910,AF910,AK910,AP910,AU910)))*(1-0.03),_xlfn.IFS(AW910="SIM",SUM(L910,Q910,V910,AA910,AF910,AK910,AP910,AU910)+AX910/_xlfn.XLOOKUP(_xlfn.XLOOKUP($F910,Clientes!$B$4:$B$39,Clientes!$C$4:$C$39),Cadastros!$L$6:$L$12,Cadastros!$M$6:$M$12)+IF($F910="Bernardino Furlan",AY910/2751.92,IF($F910="Mauro José Salanti",AY910/2751.92,AY910/3356)),F910&lt;&gt;0,SUM(L910,Q910,V910,AA910,AF910,AK910,AP910,AU910))))</f>
        <v xml:space="preserve"> </v>
      </c>
      <c r="BE910" s="120"/>
      <c r="BF910" s="120"/>
      <c r="BG910" s="120"/>
    </row>
    <row r="911" spans="1:59" s="3" customFormat="1" x14ac:dyDescent="0.3">
      <c r="A911" s="15" t="str">
        <f t="shared" si="182"/>
        <v/>
      </c>
      <c r="B911" s="25"/>
      <c r="C911" s="26"/>
      <c r="D911" s="279"/>
      <c r="E911" s="27"/>
      <c r="F911" s="28"/>
      <c r="G911" s="27"/>
      <c r="H911" s="28"/>
      <c r="I911" s="28"/>
      <c r="J911" s="255" t="str">
        <f>IF(H911="","",(_xlfn.XLOOKUP(H911,Cadastros!$D$6:$D$90,Cadastros!$E$6:$E$90))*(1-_xlfn.XLOOKUP(_xlfn.XLOOKUP($F911,Clientes!$B$4:$B$39,Clientes!$C$4:$C$39),Cadastros!$L$6:$L$12,Cadastros!$N$6:$N$12)))</f>
        <v/>
      </c>
      <c r="K911" s="168" t="str">
        <f t="shared" si="183"/>
        <v/>
      </c>
      <c r="L911" s="168" t="str">
        <f>IFERROR(K911/_xlfn.XLOOKUP(_xlfn.XLOOKUP($F911,Clientes!$B$4:$B$39,Clientes!$C$4:$C$39),Cadastros!$L$6:$L$12,Cadastros!$M$6:$M$12)," ")</f>
        <v xml:space="preserve"> </v>
      </c>
      <c r="M911" s="28"/>
      <c r="N911" s="28"/>
      <c r="O911" s="255" t="str">
        <f>IF(M911="","",(_xlfn.XLOOKUP(M911,Cadastros!$D$6:$D$90,Cadastros!$E$6:$E$90))*(1-_xlfn.XLOOKUP(_xlfn.XLOOKUP($F911,Clientes!$B$4:$B$39,Clientes!$C$4:$C$39),Cadastros!$L$6:$L$12,Cadastros!$N$6:$N$12)))</f>
        <v/>
      </c>
      <c r="P911" s="168" t="str">
        <f t="shared" si="184"/>
        <v/>
      </c>
      <c r="Q911" s="168" t="str">
        <f>IFERROR(P911/_xlfn.XLOOKUP(_xlfn.XLOOKUP($F911,Clientes!$B$4:$B$39,Clientes!$C$4:$C$39),Cadastros!$L$6:$L$12,Cadastros!$M$6:$M$12)," ")</f>
        <v xml:space="preserve"> </v>
      </c>
      <c r="R911" s="28"/>
      <c r="S911" s="28"/>
      <c r="T911" s="255" t="str">
        <f>IF(R911="","",(_xlfn.XLOOKUP(R911,Cadastros!$D$6:$D$90,Cadastros!$E$6:$E$90))*(1-_xlfn.XLOOKUP(_xlfn.XLOOKUP($F911,Clientes!$B$4:$B$39,Clientes!$C$4:$C$39),Cadastros!$L$6:$L$12,Cadastros!$N$6:$N$12)))</f>
        <v/>
      </c>
      <c r="U911" s="168" t="str">
        <f t="shared" si="185"/>
        <v/>
      </c>
      <c r="V911" s="168" t="str">
        <f>IFERROR(U911/_xlfn.XLOOKUP(_xlfn.XLOOKUP($F911,Clientes!$B$4:$B$39,Clientes!$C$4:$C$39),Cadastros!$L$6:$L$12,Cadastros!$M$6:$M$12)," ")</f>
        <v xml:space="preserve"> </v>
      </c>
      <c r="W911" s="28"/>
      <c r="X911" s="28"/>
      <c r="Y911" s="255" t="str">
        <f>IF(W911="","",(_xlfn.XLOOKUP(W911,Cadastros!$D$6:$D$90,Cadastros!$E$6:$E$90))*(1-_xlfn.XLOOKUP(_xlfn.XLOOKUP($F911,Clientes!$B$4:$B$39,Clientes!$C$4:$C$39),Cadastros!$L$6:$L$12,Cadastros!$N$6:$N$12)))</f>
        <v/>
      </c>
      <c r="Z911" s="168" t="str">
        <f t="shared" si="186"/>
        <v/>
      </c>
      <c r="AA911" s="168" t="str">
        <f>IFERROR(Z911/_xlfn.XLOOKUP(_xlfn.XLOOKUP($F911,Clientes!$B$4:$B$39,Clientes!$C$4:$C$39),Cadastros!$L$6:$L$12,Cadastros!$M$6:$M$12)," ")</f>
        <v xml:space="preserve"> </v>
      </c>
      <c r="AB911" s="28"/>
      <c r="AC911" s="28"/>
      <c r="AD911" s="20" t="str">
        <f>IF(AB911="","",IF($F911="Bernardino Furlan",_xlfn.XLOOKUP(AB911,Cadastros!$G$6:$G$90,Cadastros!$H$6:$H$90)*(1-0.18),IF($F911="Mauro José Salanti",_xlfn.XLOOKUP(AB911,Cadastros!$G$6:$G$90,Cadastros!$H$6:$H$90)*(1-0.18),_xlfn.XLOOKUP(AB911,Cadastros!$G$6:$G$90,Cadastros!$H$6:$H$90))))</f>
        <v/>
      </c>
      <c r="AE911" s="168" t="str">
        <f t="shared" si="187"/>
        <v/>
      </c>
      <c r="AF911" s="168" t="str">
        <f t="shared" si="188"/>
        <v/>
      </c>
      <c r="AG911" s="28"/>
      <c r="AH911" s="28"/>
      <c r="AI911" s="20" t="str">
        <f>IF(AG911="","",IF($F911="Bernardino Furlan",_xlfn.XLOOKUP(AG911,Cadastros!$G$6:$G$90,Cadastros!$H$6:$H$90)*(1-0.18),IF($F911="Mauro José Salanti",_xlfn.XLOOKUP(AG911,Cadastros!$G$6:$G$90,Cadastros!$H$6:$H$90)*(1-0.18),_xlfn.XLOOKUP(AG911,Cadastros!$G$6:$G$90,Cadastros!$H$6:$H$90))))</f>
        <v/>
      </c>
      <c r="AJ911" s="168" t="str">
        <f t="shared" si="189"/>
        <v/>
      </c>
      <c r="AK911" s="168" t="str">
        <f t="shared" si="190"/>
        <v/>
      </c>
      <c r="AL911" s="28"/>
      <c r="AM911" s="28"/>
      <c r="AN911" s="20" t="str">
        <f>IF(AL911="","",IF($F911="Bernardino Furlan",_xlfn.XLOOKUP(AL911,Cadastros!$G$6:$G$90,Cadastros!$H$6:$H$90)*(1-0.18),IF($F911="Mauro José Salanti",_xlfn.XLOOKUP(AL911,Cadastros!$G$6:$G$90,Cadastros!$H$6:$H$90)*(1-0.18),_xlfn.XLOOKUP(AL911,Cadastros!$G$6:$G$90,Cadastros!$H$6:$H$90))))</f>
        <v/>
      </c>
      <c r="AO911" s="168" t="str">
        <f t="shared" si="191"/>
        <v/>
      </c>
      <c r="AP911" s="168" t="str">
        <f t="shared" si="192"/>
        <v/>
      </c>
      <c r="AQ911" s="28"/>
      <c r="AR911" s="28"/>
      <c r="AS911" s="20" t="str">
        <f>IF(AQ911="","",IF($F911="Bernardino Furlan",_xlfn.XLOOKUP(AQ911,Cadastros!$G$6:$G$90,Cadastros!$H$6:$H$90)*(1-0.18),IF($F911="Mauro José Salanti",_xlfn.XLOOKUP(AQ911,Cadastros!$G$6:$G$90,Cadastros!$H$6:$H$90)*(1-0.18),_xlfn.XLOOKUP(AQ911,Cadastros!$G$6:$G$90,Cadastros!$H$6:$H$90))))</f>
        <v/>
      </c>
      <c r="AT911" s="168" t="str">
        <f t="shared" si="193"/>
        <v/>
      </c>
      <c r="AU911" s="168" t="str">
        <f t="shared" si="194"/>
        <v/>
      </c>
      <c r="AV911" s="227"/>
      <c r="AW911" s="30"/>
      <c r="AX911" s="267"/>
      <c r="AY911" s="267"/>
      <c r="AZ911" s="29"/>
      <c r="BA911" s="30"/>
      <c r="BB911" s="23" t="str" cm="1">
        <f t="array" ref="BB911">_xlfn.IFS(AW911="SIM",SUM(K911,P911,U911,Z911,AE911,AJ911,AO911,AT911,AX911,AY911),F911&lt;&gt;"",SUM(K911,P911,U911,Z911,AE911,AJ911,,AO911,AT911),F911="","")</f>
        <v/>
      </c>
      <c r="BC911" s="211" t="str" cm="1">
        <f t="array" ref="BC911">_xlfn.IFS(E911="","",G911&lt;=E911,BB911*(1-0.03),G911&lt;(E911+8),BB911,AZ911="Boleto",BB911*(1+0.001)^DATEDIF(E911,G911,"D"),AZ911="Cheque",BB911,AZ911="Dinheiro","Alterar forma pgto")</f>
        <v/>
      </c>
      <c r="BD911" s="276" t="str" cm="1">
        <f t="array" ref="BD911">IF(F911=0," ",IF(BC911&lt;BB911,(_xlfn.IFS(AW911="SIM",SUM(L911,Q911,V911,AA911,AF911,AK911,AP911,AU911)+AX911/_xlfn.XLOOKUP(_xlfn.XLOOKUP($F911,Clientes!$B$4:$B$39,Clientes!$C$4:$C$39),Cadastros!$L$6:$L$12,Cadastros!$M$6:$M$12)+IF($F911="Bernardino Furlan",AY911/2751.92,IF($F911="Mauro José Salanti",AY911/2751.92,AY911/3356)),F911&lt;&gt;0,SUM(L911,Q911,V911,AA911,AF911,AK911,AP911,AU911)))*(1-0.03),_xlfn.IFS(AW911="SIM",SUM(L911,Q911,V911,AA911,AF911,AK911,AP911,AU911)+AX911/_xlfn.XLOOKUP(_xlfn.XLOOKUP($F911,Clientes!$B$4:$B$39,Clientes!$C$4:$C$39),Cadastros!$L$6:$L$12,Cadastros!$M$6:$M$12)+IF($F911="Bernardino Furlan",AY911/2751.92,IF($F911="Mauro José Salanti",AY911/2751.92,AY911/3356)),F911&lt;&gt;0,SUM(L911,Q911,V911,AA911,AF911,AK911,AP911,AU911))))</f>
        <v xml:space="preserve"> </v>
      </c>
      <c r="BE911" s="120"/>
      <c r="BF911" s="120"/>
      <c r="BG911" s="120"/>
    </row>
    <row r="912" spans="1:59" s="3" customFormat="1" x14ac:dyDescent="0.3">
      <c r="A912" s="15" t="str">
        <f t="shared" si="182"/>
        <v/>
      </c>
      <c r="B912" s="25"/>
      <c r="C912" s="26"/>
      <c r="D912" s="279"/>
      <c r="E912" s="27"/>
      <c r="F912" s="28"/>
      <c r="G912" s="27"/>
      <c r="H912" s="28"/>
      <c r="I912" s="28"/>
      <c r="J912" s="255" t="str">
        <f>IF(H912="","",(_xlfn.XLOOKUP(H912,Cadastros!$D$6:$D$90,Cadastros!$E$6:$E$90))*(1-_xlfn.XLOOKUP(_xlfn.XLOOKUP($F912,Clientes!$B$4:$B$39,Clientes!$C$4:$C$39),Cadastros!$L$6:$L$12,Cadastros!$N$6:$N$12)))</f>
        <v/>
      </c>
      <c r="K912" s="168" t="str">
        <f t="shared" si="183"/>
        <v/>
      </c>
      <c r="L912" s="168" t="str">
        <f>IFERROR(K912/_xlfn.XLOOKUP(_xlfn.XLOOKUP($F912,Clientes!$B$4:$B$39,Clientes!$C$4:$C$39),Cadastros!$L$6:$L$12,Cadastros!$M$6:$M$12)," ")</f>
        <v xml:space="preserve"> </v>
      </c>
      <c r="M912" s="28"/>
      <c r="N912" s="28"/>
      <c r="O912" s="255" t="str">
        <f>IF(M912="","",(_xlfn.XLOOKUP(M912,Cadastros!$D$6:$D$90,Cadastros!$E$6:$E$90))*(1-_xlfn.XLOOKUP(_xlfn.XLOOKUP($F912,Clientes!$B$4:$B$39,Clientes!$C$4:$C$39),Cadastros!$L$6:$L$12,Cadastros!$N$6:$N$12)))</f>
        <v/>
      </c>
      <c r="P912" s="168" t="str">
        <f t="shared" si="184"/>
        <v/>
      </c>
      <c r="Q912" s="168" t="str">
        <f>IFERROR(P912/_xlfn.XLOOKUP(_xlfn.XLOOKUP($F912,Clientes!$B$4:$B$39,Clientes!$C$4:$C$39),Cadastros!$L$6:$L$12,Cadastros!$M$6:$M$12)," ")</f>
        <v xml:space="preserve"> </v>
      </c>
      <c r="R912" s="28"/>
      <c r="S912" s="28"/>
      <c r="T912" s="255" t="str">
        <f>IF(R912="","",(_xlfn.XLOOKUP(R912,Cadastros!$D$6:$D$90,Cadastros!$E$6:$E$90))*(1-_xlfn.XLOOKUP(_xlfn.XLOOKUP($F912,Clientes!$B$4:$B$39,Clientes!$C$4:$C$39),Cadastros!$L$6:$L$12,Cadastros!$N$6:$N$12)))</f>
        <v/>
      </c>
      <c r="U912" s="168" t="str">
        <f t="shared" si="185"/>
        <v/>
      </c>
      <c r="V912" s="168" t="str">
        <f>IFERROR(U912/_xlfn.XLOOKUP(_xlfn.XLOOKUP($F912,Clientes!$B$4:$B$39,Clientes!$C$4:$C$39),Cadastros!$L$6:$L$12,Cadastros!$M$6:$M$12)," ")</f>
        <v xml:space="preserve"> </v>
      </c>
      <c r="W912" s="28"/>
      <c r="X912" s="28"/>
      <c r="Y912" s="255" t="str">
        <f>IF(W912="","",(_xlfn.XLOOKUP(W912,Cadastros!$D$6:$D$90,Cadastros!$E$6:$E$90))*(1-_xlfn.XLOOKUP(_xlfn.XLOOKUP($F912,Clientes!$B$4:$B$39,Clientes!$C$4:$C$39),Cadastros!$L$6:$L$12,Cadastros!$N$6:$N$12)))</f>
        <v/>
      </c>
      <c r="Z912" s="168" t="str">
        <f t="shared" si="186"/>
        <v/>
      </c>
      <c r="AA912" s="168" t="str">
        <f>IFERROR(Z912/_xlfn.XLOOKUP(_xlfn.XLOOKUP($F912,Clientes!$B$4:$B$39,Clientes!$C$4:$C$39),Cadastros!$L$6:$L$12,Cadastros!$M$6:$M$12)," ")</f>
        <v xml:space="preserve"> </v>
      </c>
      <c r="AB912" s="28"/>
      <c r="AC912" s="28"/>
      <c r="AD912" s="20" t="str">
        <f>IF(AB912="","",IF($F912="Bernardino Furlan",_xlfn.XLOOKUP(AB912,Cadastros!$G$6:$G$90,Cadastros!$H$6:$H$90)*(1-0.18),IF($F912="Mauro José Salanti",_xlfn.XLOOKUP(AB912,Cadastros!$G$6:$G$90,Cadastros!$H$6:$H$90)*(1-0.18),_xlfn.XLOOKUP(AB912,Cadastros!$G$6:$G$90,Cadastros!$H$6:$H$90))))</f>
        <v/>
      </c>
      <c r="AE912" s="168" t="str">
        <f t="shared" si="187"/>
        <v/>
      </c>
      <c r="AF912" s="168" t="str">
        <f t="shared" si="188"/>
        <v/>
      </c>
      <c r="AG912" s="28"/>
      <c r="AH912" s="28"/>
      <c r="AI912" s="20" t="str">
        <f>IF(AG912="","",IF($F912="Bernardino Furlan",_xlfn.XLOOKUP(AG912,Cadastros!$G$6:$G$90,Cadastros!$H$6:$H$90)*(1-0.18),IF($F912="Mauro José Salanti",_xlfn.XLOOKUP(AG912,Cadastros!$G$6:$G$90,Cadastros!$H$6:$H$90)*(1-0.18),_xlfn.XLOOKUP(AG912,Cadastros!$G$6:$G$90,Cadastros!$H$6:$H$90))))</f>
        <v/>
      </c>
      <c r="AJ912" s="168" t="str">
        <f t="shared" si="189"/>
        <v/>
      </c>
      <c r="AK912" s="168" t="str">
        <f t="shared" si="190"/>
        <v/>
      </c>
      <c r="AL912" s="28"/>
      <c r="AM912" s="28"/>
      <c r="AN912" s="20" t="str">
        <f>IF(AL912="","",IF($F912="Bernardino Furlan",_xlfn.XLOOKUP(AL912,Cadastros!$G$6:$G$90,Cadastros!$H$6:$H$90)*(1-0.18),IF($F912="Mauro José Salanti",_xlfn.XLOOKUP(AL912,Cadastros!$G$6:$G$90,Cadastros!$H$6:$H$90)*(1-0.18),_xlfn.XLOOKUP(AL912,Cadastros!$G$6:$G$90,Cadastros!$H$6:$H$90))))</f>
        <v/>
      </c>
      <c r="AO912" s="168" t="str">
        <f t="shared" si="191"/>
        <v/>
      </c>
      <c r="AP912" s="168" t="str">
        <f t="shared" si="192"/>
        <v/>
      </c>
      <c r="AQ912" s="28"/>
      <c r="AR912" s="28"/>
      <c r="AS912" s="20" t="str">
        <f>IF(AQ912="","",IF($F912="Bernardino Furlan",_xlfn.XLOOKUP(AQ912,Cadastros!$G$6:$G$90,Cadastros!$H$6:$H$90)*(1-0.18),IF($F912="Mauro José Salanti",_xlfn.XLOOKUP(AQ912,Cadastros!$G$6:$G$90,Cadastros!$H$6:$H$90)*(1-0.18),_xlfn.XLOOKUP(AQ912,Cadastros!$G$6:$G$90,Cadastros!$H$6:$H$90))))</f>
        <v/>
      </c>
      <c r="AT912" s="168" t="str">
        <f t="shared" si="193"/>
        <v/>
      </c>
      <c r="AU912" s="168" t="str">
        <f t="shared" si="194"/>
        <v/>
      </c>
      <c r="AV912" s="227"/>
      <c r="AW912" s="30"/>
      <c r="AX912" s="267"/>
      <c r="AY912" s="267"/>
      <c r="AZ912" s="29"/>
      <c r="BA912" s="30"/>
      <c r="BB912" s="23" t="str" cm="1">
        <f t="array" ref="BB912">_xlfn.IFS(AW912="SIM",SUM(K912,P912,U912,Z912,AE912,AJ912,AO912,AT912,AX912,AY912),F912&lt;&gt;"",SUM(K912,P912,U912,Z912,AE912,AJ912,,AO912,AT912),F912="","")</f>
        <v/>
      </c>
      <c r="BC912" s="211" t="str" cm="1">
        <f t="array" ref="BC912">_xlfn.IFS(E912="","",G912&lt;=E912,BB912*(1-0.03),G912&lt;(E912+8),BB912,AZ912="Boleto",BB912*(1+0.001)^DATEDIF(E912,G912,"D"),AZ912="Cheque",BB912,AZ912="Dinheiro","Alterar forma pgto")</f>
        <v/>
      </c>
      <c r="BD912" s="276" t="str" cm="1">
        <f t="array" ref="BD912">IF(F912=0," ",IF(BC912&lt;BB912,(_xlfn.IFS(AW912="SIM",SUM(L912,Q912,V912,AA912,AF912,AK912,AP912,AU912)+AX912/_xlfn.XLOOKUP(_xlfn.XLOOKUP($F912,Clientes!$B$4:$B$39,Clientes!$C$4:$C$39),Cadastros!$L$6:$L$12,Cadastros!$M$6:$M$12)+IF($F912="Bernardino Furlan",AY912/2751.92,IF($F912="Mauro José Salanti",AY912/2751.92,AY912/3356)),F912&lt;&gt;0,SUM(L912,Q912,V912,AA912,AF912,AK912,AP912,AU912)))*(1-0.03),_xlfn.IFS(AW912="SIM",SUM(L912,Q912,V912,AA912,AF912,AK912,AP912,AU912)+AX912/_xlfn.XLOOKUP(_xlfn.XLOOKUP($F912,Clientes!$B$4:$B$39,Clientes!$C$4:$C$39),Cadastros!$L$6:$L$12,Cadastros!$M$6:$M$12)+IF($F912="Bernardino Furlan",AY912/2751.92,IF($F912="Mauro José Salanti",AY912/2751.92,AY912/3356)),F912&lt;&gt;0,SUM(L912,Q912,V912,AA912,AF912,AK912,AP912,AU912))))</f>
        <v xml:space="preserve"> </v>
      </c>
      <c r="BE912" s="120"/>
      <c r="BF912" s="120"/>
      <c r="BG912" s="120"/>
    </row>
    <row r="913" spans="1:59" s="3" customFormat="1" x14ac:dyDescent="0.3">
      <c r="A913" s="15" t="str">
        <f t="shared" si="182"/>
        <v/>
      </c>
      <c r="B913" s="25"/>
      <c r="C913" s="26"/>
      <c r="D913" s="279"/>
      <c r="E913" s="27"/>
      <c r="F913" s="28"/>
      <c r="G913" s="27"/>
      <c r="H913" s="28"/>
      <c r="I913" s="28"/>
      <c r="J913" s="255" t="str">
        <f>IF(H913="","",(_xlfn.XLOOKUP(H913,Cadastros!$D$6:$D$90,Cadastros!$E$6:$E$90))*(1-_xlfn.XLOOKUP(_xlfn.XLOOKUP($F913,Clientes!$B$4:$B$39,Clientes!$C$4:$C$39),Cadastros!$L$6:$L$12,Cadastros!$N$6:$N$12)))</f>
        <v/>
      </c>
      <c r="K913" s="168" t="str">
        <f t="shared" si="183"/>
        <v/>
      </c>
      <c r="L913" s="168" t="str">
        <f>IFERROR(K913/_xlfn.XLOOKUP(_xlfn.XLOOKUP($F913,Clientes!$B$4:$B$39,Clientes!$C$4:$C$39),Cadastros!$L$6:$L$12,Cadastros!$M$6:$M$12)," ")</f>
        <v xml:space="preserve"> </v>
      </c>
      <c r="M913" s="28"/>
      <c r="N913" s="28"/>
      <c r="O913" s="255" t="str">
        <f>IF(M913="","",(_xlfn.XLOOKUP(M913,Cadastros!$D$6:$D$90,Cadastros!$E$6:$E$90))*(1-_xlfn.XLOOKUP(_xlfn.XLOOKUP($F913,Clientes!$B$4:$B$39,Clientes!$C$4:$C$39),Cadastros!$L$6:$L$12,Cadastros!$N$6:$N$12)))</f>
        <v/>
      </c>
      <c r="P913" s="168" t="str">
        <f t="shared" si="184"/>
        <v/>
      </c>
      <c r="Q913" s="168" t="str">
        <f>IFERROR(P913/_xlfn.XLOOKUP(_xlfn.XLOOKUP($F913,Clientes!$B$4:$B$39,Clientes!$C$4:$C$39),Cadastros!$L$6:$L$12,Cadastros!$M$6:$M$12)," ")</f>
        <v xml:space="preserve"> </v>
      </c>
      <c r="R913" s="28"/>
      <c r="S913" s="28"/>
      <c r="T913" s="255" t="str">
        <f>IF(R913="","",(_xlfn.XLOOKUP(R913,Cadastros!$D$6:$D$90,Cadastros!$E$6:$E$90))*(1-_xlfn.XLOOKUP(_xlfn.XLOOKUP($F913,Clientes!$B$4:$B$39,Clientes!$C$4:$C$39),Cadastros!$L$6:$L$12,Cadastros!$N$6:$N$12)))</f>
        <v/>
      </c>
      <c r="U913" s="168" t="str">
        <f t="shared" si="185"/>
        <v/>
      </c>
      <c r="V913" s="168" t="str">
        <f>IFERROR(U913/_xlfn.XLOOKUP(_xlfn.XLOOKUP($F913,Clientes!$B$4:$B$39,Clientes!$C$4:$C$39),Cadastros!$L$6:$L$12,Cadastros!$M$6:$M$12)," ")</f>
        <v xml:space="preserve"> </v>
      </c>
      <c r="W913" s="28"/>
      <c r="X913" s="28"/>
      <c r="Y913" s="255" t="str">
        <f>IF(W913="","",(_xlfn.XLOOKUP(W913,Cadastros!$D$6:$D$90,Cadastros!$E$6:$E$90))*(1-_xlfn.XLOOKUP(_xlfn.XLOOKUP($F913,Clientes!$B$4:$B$39,Clientes!$C$4:$C$39),Cadastros!$L$6:$L$12,Cadastros!$N$6:$N$12)))</f>
        <v/>
      </c>
      <c r="Z913" s="168" t="str">
        <f t="shared" si="186"/>
        <v/>
      </c>
      <c r="AA913" s="168" t="str">
        <f>IFERROR(Z913/_xlfn.XLOOKUP(_xlfn.XLOOKUP($F913,Clientes!$B$4:$B$39,Clientes!$C$4:$C$39),Cadastros!$L$6:$L$12,Cadastros!$M$6:$M$12)," ")</f>
        <v xml:space="preserve"> </v>
      </c>
      <c r="AB913" s="28"/>
      <c r="AC913" s="28"/>
      <c r="AD913" s="20" t="str">
        <f>IF(AB913="","",IF($F913="Bernardino Furlan",_xlfn.XLOOKUP(AB913,Cadastros!$G$6:$G$90,Cadastros!$H$6:$H$90)*(1-0.18),IF($F913="Mauro José Salanti",_xlfn.XLOOKUP(AB913,Cadastros!$G$6:$G$90,Cadastros!$H$6:$H$90)*(1-0.18),_xlfn.XLOOKUP(AB913,Cadastros!$G$6:$G$90,Cadastros!$H$6:$H$90))))</f>
        <v/>
      </c>
      <c r="AE913" s="168" t="str">
        <f t="shared" si="187"/>
        <v/>
      </c>
      <c r="AF913" s="168" t="str">
        <f t="shared" si="188"/>
        <v/>
      </c>
      <c r="AG913" s="28"/>
      <c r="AH913" s="28"/>
      <c r="AI913" s="20" t="str">
        <f>IF(AG913="","",IF($F913="Bernardino Furlan",_xlfn.XLOOKUP(AG913,Cadastros!$G$6:$G$90,Cadastros!$H$6:$H$90)*(1-0.18),IF($F913="Mauro José Salanti",_xlfn.XLOOKUP(AG913,Cadastros!$G$6:$G$90,Cadastros!$H$6:$H$90)*(1-0.18),_xlfn.XLOOKUP(AG913,Cadastros!$G$6:$G$90,Cadastros!$H$6:$H$90))))</f>
        <v/>
      </c>
      <c r="AJ913" s="168" t="str">
        <f t="shared" si="189"/>
        <v/>
      </c>
      <c r="AK913" s="168" t="str">
        <f t="shared" si="190"/>
        <v/>
      </c>
      <c r="AL913" s="28"/>
      <c r="AM913" s="28"/>
      <c r="AN913" s="20" t="str">
        <f>IF(AL913="","",IF($F913="Bernardino Furlan",_xlfn.XLOOKUP(AL913,Cadastros!$G$6:$G$90,Cadastros!$H$6:$H$90)*(1-0.18),IF($F913="Mauro José Salanti",_xlfn.XLOOKUP(AL913,Cadastros!$G$6:$G$90,Cadastros!$H$6:$H$90)*(1-0.18),_xlfn.XLOOKUP(AL913,Cadastros!$G$6:$G$90,Cadastros!$H$6:$H$90))))</f>
        <v/>
      </c>
      <c r="AO913" s="168" t="str">
        <f t="shared" si="191"/>
        <v/>
      </c>
      <c r="AP913" s="168" t="str">
        <f t="shared" si="192"/>
        <v/>
      </c>
      <c r="AQ913" s="28"/>
      <c r="AR913" s="28"/>
      <c r="AS913" s="20" t="str">
        <f>IF(AQ913="","",IF($F913="Bernardino Furlan",_xlfn.XLOOKUP(AQ913,Cadastros!$G$6:$G$90,Cadastros!$H$6:$H$90)*(1-0.18),IF($F913="Mauro José Salanti",_xlfn.XLOOKUP(AQ913,Cadastros!$G$6:$G$90,Cadastros!$H$6:$H$90)*(1-0.18),_xlfn.XLOOKUP(AQ913,Cadastros!$G$6:$G$90,Cadastros!$H$6:$H$90))))</f>
        <v/>
      </c>
      <c r="AT913" s="168" t="str">
        <f t="shared" si="193"/>
        <v/>
      </c>
      <c r="AU913" s="168" t="str">
        <f t="shared" si="194"/>
        <v/>
      </c>
      <c r="AV913" s="227"/>
      <c r="AW913" s="30"/>
      <c r="AX913" s="267"/>
      <c r="AY913" s="267"/>
      <c r="AZ913" s="29"/>
      <c r="BA913" s="30"/>
      <c r="BB913" s="23" t="str" cm="1">
        <f t="array" ref="BB913">_xlfn.IFS(AW913="SIM",SUM(K913,P913,U913,Z913,AE913,AJ913,AO913,AT913,AX913,AY913),F913&lt;&gt;"",SUM(K913,P913,U913,Z913,AE913,AJ913,,AO913,AT913),F913="","")</f>
        <v/>
      </c>
      <c r="BC913" s="211" t="str" cm="1">
        <f t="array" ref="BC913">_xlfn.IFS(E913="","",G913&lt;=E913,BB913*(1-0.03),G913&lt;(E913+8),BB913,AZ913="Boleto",BB913*(1+0.001)^DATEDIF(E913,G913,"D"),AZ913="Cheque",BB913,AZ913="Dinheiro","Alterar forma pgto")</f>
        <v/>
      </c>
      <c r="BD913" s="276" t="str" cm="1">
        <f t="array" ref="BD913">IF(F913=0," ",IF(BC913&lt;BB913,(_xlfn.IFS(AW913="SIM",SUM(L913,Q913,V913,AA913,AF913,AK913,AP913,AU913)+AX913/_xlfn.XLOOKUP(_xlfn.XLOOKUP($F913,Clientes!$B$4:$B$39,Clientes!$C$4:$C$39),Cadastros!$L$6:$L$12,Cadastros!$M$6:$M$12)+IF($F913="Bernardino Furlan",AY913/2751.92,IF($F913="Mauro José Salanti",AY913/2751.92,AY913/3356)),F913&lt;&gt;0,SUM(L913,Q913,V913,AA913,AF913,AK913,AP913,AU913)))*(1-0.03),_xlfn.IFS(AW913="SIM",SUM(L913,Q913,V913,AA913,AF913,AK913,AP913,AU913)+AX913/_xlfn.XLOOKUP(_xlfn.XLOOKUP($F913,Clientes!$B$4:$B$39,Clientes!$C$4:$C$39),Cadastros!$L$6:$L$12,Cadastros!$M$6:$M$12)+IF($F913="Bernardino Furlan",AY913/2751.92,IF($F913="Mauro José Salanti",AY913/2751.92,AY913/3356)),F913&lt;&gt;0,SUM(L913,Q913,V913,AA913,AF913,AK913,AP913,AU913))))</f>
        <v xml:space="preserve"> </v>
      </c>
      <c r="BE913" s="120"/>
      <c r="BF913" s="120"/>
      <c r="BG913" s="120"/>
    </row>
    <row r="914" spans="1:59" s="3" customFormat="1" x14ac:dyDescent="0.3">
      <c r="A914" s="15" t="str">
        <f t="shared" si="182"/>
        <v/>
      </c>
      <c r="B914" s="25"/>
      <c r="C914" s="26"/>
      <c r="D914" s="279"/>
      <c r="E914" s="27"/>
      <c r="F914" s="28"/>
      <c r="G914" s="27"/>
      <c r="H914" s="28"/>
      <c r="I914" s="28"/>
      <c r="J914" s="255" t="str">
        <f>IF(H914="","",(_xlfn.XLOOKUP(H914,Cadastros!$D$6:$D$90,Cadastros!$E$6:$E$90))*(1-_xlfn.XLOOKUP(_xlfn.XLOOKUP($F914,Clientes!$B$4:$B$39,Clientes!$C$4:$C$39),Cadastros!$L$6:$L$12,Cadastros!$N$6:$N$12)))</f>
        <v/>
      </c>
      <c r="K914" s="168" t="str">
        <f t="shared" si="183"/>
        <v/>
      </c>
      <c r="L914" s="168" t="str">
        <f>IFERROR(K914/_xlfn.XLOOKUP(_xlfn.XLOOKUP($F914,Clientes!$B$4:$B$39,Clientes!$C$4:$C$39),Cadastros!$L$6:$L$12,Cadastros!$M$6:$M$12)," ")</f>
        <v xml:space="preserve"> </v>
      </c>
      <c r="M914" s="28"/>
      <c r="N914" s="28"/>
      <c r="O914" s="255" t="str">
        <f>IF(M914="","",(_xlfn.XLOOKUP(M914,Cadastros!$D$6:$D$90,Cadastros!$E$6:$E$90))*(1-_xlfn.XLOOKUP(_xlfn.XLOOKUP($F914,Clientes!$B$4:$B$39,Clientes!$C$4:$C$39),Cadastros!$L$6:$L$12,Cadastros!$N$6:$N$12)))</f>
        <v/>
      </c>
      <c r="P914" s="168" t="str">
        <f t="shared" si="184"/>
        <v/>
      </c>
      <c r="Q914" s="168" t="str">
        <f>IFERROR(P914/_xlfn.XLOOKUP(_xlfn.XLOOKUP($F914,Clientes!$B$4:$B$39,Clientes!$C$4:$C$39),Cadastros!$L$6:$L$12,Cadastros!$M$6:$M$12)," ")</f>
        <v xml:space="preserve"> </v>
      </c>
      <c r="R914" s="28"/>
      <c r="S914" s="28"/>
      <c r="T914" s="255" t="str">
        <f>IF(R914="","",(_xlfn.XLOOKUP(R914,Cadastros!$D$6:$D$90,Cadastros!$E$6:$E$90))*(1-_xlfn.XLOOKUP(_xlfn.XLOOKUP($F914,Clientes!$B$4:$B$39,Clientes!$C$4:$C$39),Cadastros!$L$6:$L$12,Cadastros!$N$6:$N$12)))</f>
        <v/>
      </c>
      <c r="U914" s="168" t="str">
        <f t="shared" si="185"/>
        <v/>
      </c>
      <c r="V914" s="168" t="str">
        <f>IFERROR(U914/_xlfn.XLOOKUP(_xlfn.XLOOKUP($F914,Clientes!$B$4:$B$39,Clientes!$C$4:$C$39),Cadastros!$L$6:$L$12,Cadastros!$M$6:$M$12)," ")</f>
        <v xml:space="preserve"> </v>
      </c>
      <c r="W914" s="28"/>
      <c r="X914" s="28"/>
      <c r="Y914" s="255" t="str">
        <f>IF(W914="","",(_xlfn.XLOOKUP(W914,Cadastros!$D$6:$D$90,Cadastros!$E$6:$E$90))*(1-_xlfn.XLOOKUP(_xlfn.XLOOKUP($F914,Clientes!$B$4:$B$39,Clientes!$C$4:$C$39),Cadastros!$L$6:$L$12,Cadastros!$N$6:$N$12)))</f>
        <v/>
      </c>
      <c r="Z914" s="168" t="str">
        <f t="shared" si="186"/>
        <v/>
      </c>
      <c r="AA914" s="168" t="str">
        <f>IFERROR(Z914/_xlfn.XLOOKUP(_xlfn.XLOOKUP($F914,Clientes!$B$4:$B$39,Clientes!$C$4:$C$39),Cadastros!$L$6:$L$12,Cadastros!$M$6:$M$12)," ")</f>
        <v xml:space="preserve"> </v>
      </c>
      <c r="AB914" s="28"/>
      <c r="AC914" s="28"/>
      <c r="AD914" s="20" t="str">
        <f>IF(AB914="","",IF($F914="Bernardino Furlan",_xlfn.XLOOKUP(AB914,Cadastros!$G$6:$G$90,Cadastros!$H$6:$H$90)*(1-0.18),IF($F914="Mauro José Salanti",_xlfn.XLOOKUP(AB914,Cadastros!$G$6:$G$90,Cadastros!$H$6:$H$90)*(1-0.18),_xlfn.XLOOKUP(AB914,Cadastros!$G$6:$G$90,Cadastros!$H$6:$H$90))))</f>
        <v/>
      </c>
      <c r="AE914" s="168" t="str">
        <f t="shared" si="187"/>
        <v/>
      </c>
      <c r="AF914" s="168" t="str">
        <f t="shared" si="188"/>
        <v/>
      </c>
      <c r="AG914" s="28"/>
      <c r="AH914" s="28"/>
      <c r="AI914" s="20" t="str">
        <f>IF(AG914="","",IF($F914="Bernardino Furlan",_xlfn.XLOOKUP(AG914,Cadastros!$G$6:$G$90,Cadastros!$H$6:$H$90)*(1-0.18),IF($F914="Mauro José Salanti",_xlfn.XLOOKUP(AG914,Cadastros!$G$6:$G$90,Cadastros!$H$6:$H$90)*(1-0.18),_xlfn.XLOOKUP(AG914,Cadastros!$G$6:$G$90,Cadastros!$H$6:$H$90))))</f>
        <v/>
      </c>
      <c r="AJ914" s="168" t="str">
        <f t="shared" si="189"/>
        <v/>
      </c>
      <c r="AK914" s="168" t="str">
        <f t="shared" si="190"/>
        <v/>
      </c>
      <c r="AL914" s="28"/>
      <c r="AM914" s="28"/>
      <c r="AN914" s="20" t="str">
        <f>IF(AL914="","",IF($F914="Bernardino Furlan",_xlfn.XLOOKUP(AL914,Cadastros!$G$6:$G$90,Cadastros!$H$6:$H$90)*(1-0.18),IF($F914="Mauro José Salanti",_xlfn.XLOOKUP(AL914,Cadastros!$G$6:$G$90,Cadastros!$H$6:$H$90)*(1-0.18),_xlfn.XLOOKUP(AL914,Cadastros!$G$6:$G$90,Cadastros!$H$6:$H$90))))</f>
        <v/>
      </c>
      <c r="AO914" s="168" t="str">
        <f t="shared" si="191"/>
        <v/>
      </c>
      <c r="AP914" s="168" t="str">
        <f t="shared" si="192"/>
        <v/>
      </c>
      <c r="AQ914" s="28"/>
      <c r="AR914" s="28"/>
      <c r="AS914" s="20" t="str">
        <f>IF(AQ914="","",IF($F914="Bernardino Furlan",_xlfn.XLOOKUP(AQ914,Cadastros!$G$6:$G$90,Cadastros!$H$6:$H$90)*(1-0.18),IF($F914="Mauro José Salanti",_xlfn.XLOOKUP(AQ914,Cadastros!$G$6:$G$90,Cadastros!$H$6:$H$90)*(1-0.18),_xlfn.XLOOKUP(AQ914,Cadastros!$G$6:$G$90,Cadastros!$H$6:$H$90))))</f>
        <v/>
      </c>
      <c r="AT914" s="168" t="str">
        <f t="shared" si="193"/>
        <v/>
      </c>
      <c r="AU914" s="168" t="str">
        <f t="shared" si="194"/>
        <v/>
      </c>
      <c r="AV914" s="227"/>
      <c r="AW914" s="30"/>
      <c r="AX914" s="267"/>
      <c r="AY914" s="267"/>
      <c r="AZ914" s="29"/>
      <c r="BA914" s="30"/>
      <c r="BB914" s="23" t="str" cm="1">
        <f t="array" ref="BB914">_xlfn.IFS(AW914="SIM",SUM(K914,P914,U914,Z914,AE914,AJ914,AO914,AT914,AX914,AY914),F914&lt;&gt;"",SUM(K914,P914,U914,Z914,AE914,AJ914,,AO914,AT914),F914="","")</f>
        <v/>
      </c>
      <c r="BC914" s="211" t="str" cm="1">
        <f t="array" ref="BC914">_xlfn.IFS(E914="","",G914&lt;=E914,BB914*(1-0.03),G914&lt;(E914+8),BB914,AZ914="Boleto",BB914*(1+0.001)^DATEDIF(E914,G914,"D"),AZ914="Cheque",BB914,AZ914="Dinheiro","Alterar forma pgto")</f>
        <v/>
      </c>
      <c r="BD914" s="276" t="str" cm="1">
        <f t="array" ref="BD914">IF(F914=0," ",IF(BC914&lt;BB914,(_xlfn.IFS(AW914="SIM",SUM(L914,Q914,V914,AA914,AF914,AK914,AP914,AU914)+AX914/_xlfn.XLOOKUP(_xlfn.XLOOKUP($F914,Clientes!$B$4:$B$39,Clientes!$C$4:$C$39),Cadastros!$L$6:$L$12,Cadastros!$M$6:$M$12)+IF($F914="Bernardino Furlan",AY914/2751.92,IF($F914="Mauro José Salanti",AY914/2751.92,AY914/3356)),F914&lt;&gt;0,SUM(L914,Q914,V914,AA914,AF914,AK914,AP914,AU914)))*(1-0.03),_xlfn.IFS(AW914="SIM",SUM(L914,Q914,V914,AA914,AF914,AK914,AP914,AU914)+AX914/_xlfn.XLOOKUP(_xlfn.XLOOKUP($F914,Clientes!$B$4:$B$39,Clientes!$C$4:$C$39),Cadastros!$L$6:$L$12,Cadastros!$M$6:$M$12)+IF($F914="Bernardino Furlan",AY914/2751.92,IF($F914="Mauro José Salanti",AY914/2751.92,AY914/3356)),F914&lt;&gt;0,SUM(L914,Q914,V914,AA914,AF914,AK914,AP914,AU914))))</f>
        <v xml:space="preserve"> </v>
      </c>
      <c r="BE914" s="120"/>
      <c r="BF914" s="120"/>
      <c r="BG914" s="120"/>
    </row>
    <row r="915" spans="1:59" s="3" customFormat="1" x14ac:dyDescent="0.3">
      <c r="A915" s="15" t="str">
        <f t="shared" si="182"/>
        <v/>
      </c>
      <c r="B915" s="25"/>
      <c r="C915" s="26"/>
      <c r="D915" s="279"/>
      <c r="E915" s="27"/>
      <c r="F915" s="28"/>
      <c r="G915" s="27"/>
      <c r="H915" s="28"/>
      <c r="I915" s="28"/>
      <c r="J915" s="255" t="str">
        <f>IF(H915="","",(_xlfn.XLOOKUP(H915,Cadastros!$D$6:$D$90,Cadastros!$E$6:$E$90))*(1-_xlfn.XLOOKUP(_xlfn.XLOOKUP($F915,Clientes!$B$4:$B$39,Clientes!$C$4:$C$39),Cadastros!$L$6:$L$12,Cadastros!$N$6:$N$12)))</f>
        <v/>
      </c>
      <c r="K915" s="168" t="str">
        <f t="shared" si="183"/>
        <v/>
      </c>
      <c r="L915" s="168" t="str">
        <f>IFERROR(K915/_xlfn.XLOOKUP(_xlfn.XLOOKUP($F915,Clientes!$B$4:$B$39,Clientes!$C$4:$C$39),Cadastros!$L$6:$L$12,Cadastros!$M$6:$M$12)," ")</f>
        <v xml:space="preserve"> </v>
      </c>
      <c r="M915" s="28"/>
      <c r="N915" s="28"/>
      <c r="O915" s="255" t="str">
        <f>IF(M915="","",(_xlfn.XLOOKUP(M915,Cadastros!$D$6:$D$90,Cadastros!$E$6:$E$90))*(1-_xlfn.XLOOKUP(_xlfn.XLOOKUP($F915,Clientes!$B$4:$B$39,Clientes!$C$4:$C$39),Cadastros!$L$6:$L$12,Cadastros!$N$6:$N$12)))</f>
        <v/>
      </c>
      <c r="P915" s="168" t="str">
        <f t="shared" si="184"/>
        <v/>
      </c>
      <c r="Q915" s="168" t="str">
        <f>IFERROR(P915/_xlfn.XLOOKUP(_xlfn.XLOOKUP($F915,Clientes!$B$4:$B$39,Clientes!$C$4:$C$39),Cadastros!$L$6:$L$12,Cadastros!$M$6:$M$12)," ")</f>
        <v xml:space="preserve"> </v>
      </c>
      <c r="R915" s="28"/>
      <c r="S915" s="28"/>
      <c r="T915" s="255" t="str">
        <f>IF(R915="","",(_xlfn.XLOOKUP(R915,Cadastros!$D$6:$D$90,Cadastros!$E$6:$E$90))*(1-_xlfn.XLOOKUP(_xlfn.XLOOKUP($F915,Clientes!$B$4:$B$39,Clientes!$C$4:$C$39),Cadastros!$L$6:$L$12,Cadastros!$N$6:$N$12)))</f>
        <v/>
      </c>
      <c r="U915" s="168" t="str">
        <f t="shared" si="185"/>
        <v/>
      </c>
      <c r="V915" s="168" t="str">
        <f>IFERROR(U915/_xlfn.XLOOKUP(_xlfn.XLOOKUP($F915,Clientes!$B$4:$B$39,Clientes!$C$4:$C$39),Cadastros!$L$6:$L$12,Cadastros!$M$6:$M$12)," ")</f>
        <v xml:space="preserve"> </v>
      </c>
      <c r="W915" s="28"/>
      <c r="X915" s="28"/>
      <c r="Y915" s="255" t="str">
        <f>IF(W915="","",(_xlfn.XLOOKUP(W915,Cadastros!$D$6:$D$90,Cadastros!$E$6:$E$90))*(1-_xlfn.XLOOKUP(_xlfn.XLOOKUP($F915,Clientes!$B$4:$B$39,Clientes!$C$4:$C$39),Cadastros!$L$6:$L$12,Cadastros!$N$6:$N$12)))</f>
        <v/>
      </c>
      <c r="Z915" s="168" t="str">
        <f t="shared" si="186"/>
        <v/>
      </c>
      <c r="AA915" s="168" t="str">
        <f>IFERROR(Z915/_xlfn.XLOOKUP(_xlfn.XLOOKUP($F915,Clientes!$B$4:$B$39,Clientes!$C$4:$C$39),Cadastros!$L$6:$L$12,Cadastros!$M$6:$M$12)," ")</f>
        <v xml:space="preserve"> </v>
      </c>
      <c r="AB915" s="28"/>
      <c r="AC915" s="28"/>
      <c r="AD915" s="20" t="str">
        <f>IF(AB915="","",IF($F915="Bernardino Furlan",_xlfn.XLOOKUP(AB915,Cadastros!$G$6:$G$90,Cadastros!$H$6:$H$90)*(1-0.18),IF($F915="Mauro José Salanti",_xlfn.XLOOKUP(AB915,Cadastros!$G$6:$G$90,Cadastros!$H$6:$H$90)*(1-0.18),_xlfn.XLOOKUP(AB915,Cadastros!$G$6:$G$90,Cadastros!$H$6:$H$90))))</f>
        <v/>
      </c>
      <c r="AE915" s="168" t="str">
        <f t="shared" si="187"/>
        <v/>
      </c>
      <c r="AF915" s="168" t="str">
        <f t="shared" si="188"/>
        <v/>
      </c>
      <c r="AG915" s="28"/>
      <c r="AH915" s="28"/>
      <c r="AI915" s="20" t="str">
        <f>IF(AG915="","",IF($F915="Bernardino Furlan",_xlfn.XLOOKUP(AG915,Cadastros!$G$6:$G$90,Cadastros!$H$6:$H$90)*(1-0.18),IF($F915="Mauro José Salanti",_xlfn.XLOOKUP(AG915,Cadastros!$G$6:$G$90,Cadastros!$H$6:$H$90)*(1-0.18),_xlfn.XLOOKUP(AG915,Cadastros!$G$6:$G$90,Cadastros!$H$6:$H$90))))</f>
        <v/>
      </c>
      <c r="AJ915" s="168" t="str">
        <f t="shared" si="189"/>
        <v/>
      </c>
      <c r="AK915" s="168" t="str">
        <f t="shared" si="190"/>
        <v/>
      </c>
      <c r="AL915" s="28"/>
      <c r="AM915" s="28"/>
      <c r="AN915" s="20" t="str">
        <f>IF(AL915="","",IF($F915="Bernardino Furlan",_xlfn.XLOOKUP(AL915,Cadastros!$G$6:$G$90,Cadastros!$H$6:$H$90)*(1-0.18),IF($F915="Mauro José Salanti",_xlfn.XLOOKUP(AL915,Cadastros!$G$6:$G$90,Cadastros!$H$6:$H$90)*(1-0.18),_xlfn.XLOOKUP(AL915,Cadastros!$G$6:$G$90,Cadastros!$H$6:$H$90))))</f>
        <v/>
      </c>
      <c r="AO915" s="168" t="str">
        <f t="shared" si="191"/>
        <v/>
      </c>
      <c r="AP915" s="168" t="str">
        <f t="shared" si="192"/>
        <v/>
      </c>
      <c r="AQ915" s="28"/>
      <c r="AR915" s="28"/>
      <c r="AS915" s="20" t="str">
        <f>IF(AQ915="","",IF($F915="Bernardino Furlan",_xlfn.XLOOKUP(AQ915,Cadastros!$G$6:$G$90,Cadastros!$H$6:$H$90)*(1-0.18),IF($F915="Mauro José Salanti",_xlfn.XLOOKUP(AQ915,Cadastros!$G$6:$G$90,Cadastros!$H$6:$H$90)*(1-0.18),_xlfn.XLOOKUP(AQ915,Cadastros!$G$6:$G$90,Cadastros!$H$6:$H$90))))</f>
        <v/>
      </c>
      <c r="AT915" s="168" t="str">
        <f t="shared" si="193"/>
        <v/>
      </c>
      <c r="AU915" s="168" t="str">
        <f t="shared" si="194"/>
        <v/>
      </c>
      <c r="AV915" s="227"/>
      <c r="AW915" s="30"/>
      <c r="AX915" s="267"/>
      <c r="AY915" s="267"/>
      <c r="AZ915" s="29"/>
      <c r="BA915" s="30"/>
      <c r="BB915" s="23" t="str" cm="1">
        <f t="array" ref="BB915">_xlfn.IFS(AW915="SIM",SUM(K915,P915,U915,Z915,AE915,AJ915,AO915,AT915,AX915,AY915),F915&lt;&gt;"",SUM(K915,P915,U915,Z915,AE915,AJ915,,AO915,AT915),F915="","")</f>
        <v/>
      </c>
      <c r="BC915" s="211" t="str" cm="1">
        <f t="array" ref="BC915">_xlfn.IFS(E915="","",G915&lt;=E915,BB915*(1-0.03),G915&lt;(E915+8),BB915,AZ915="Boleto",BB915*(1+0.001)^DATEDIF(E915,G915,"D"),AZ915="Cheque",BB915,AZ915="Dinheiro","Alterar forma pgto")</f>
        <v/>
      </c>
      <c r="BD915" s="276" t="str" cm="1">
        <f t="array" ref="BD915">IF(F915=0," ",IF(BC915&lt;BB915,(_xlfn.IFS(AW915="SIM",SUM(L915,Q915,V915,AA915,AF915,AK915,AP915,AU915)+AX915/_xlfn.XLOOKUP(_xlfn.XLOOKUP($F915,Clientes!$B$4:$B$39,Clientes!$C$4:$C$39),Cadastros!$L$6:$L$12,Cadastros!$M$6:$M$12)+IF($F915="Bernardino Furlan",AY915/2751.92,IF($F915="Mauro José Salanti",AY915/2751.92,AY915/3356)),F915&lt;&gt;0,SUM(L915,Q915,V915,AA915,AF915,AK915,AP915,AU915)))*(1-0.03),_xlfn.IFS(AW915="SIM",SUM(L915,Q915,V915,AA915,AF915,AK915,AP915,AU915)+AX915/_xlfn.XLOOKUP(_xlfn.XLOOKUP($F915,Clientes!$B$4:$B$39,Clientes!$C$4:$C$39),Cadastros!$L$6:$L$12,Cadastros!$M$6:$M$12)+IF($F915="Bernardino Furlan",AY915/2751.92,IF($F915="Mauro José Salanti",AY915/2751.92,AY915/3356)),F915&lt;&gt;0,SUM(L915,Q915,V915,AA915,AF915,AK915,AP915,AU915))))</f>
        <v xml:space="preserve"> </v>
      </c>
      <c r="BE915" s="120"/>
      <c r="BF915" s="120"/>
      <c r="BG915" s="120"/>
    </row>
    <row r="916" spans="1:59" s="3" customFormat="1" x14ac:dyDescent="0.3">
      <c r="A916" s="15" t="str">
        <f t="shared" si="182"/>
        <v/>
      </c>
      <c r="B916" s="25"/>
      <c r="C916" s="26"/>
      <c r="D916" s="279"/>
      <c r="E916" s="27"/>
      <c r="F916" s="28"/>
      <c r="G916" s="27"/>
      <c r="H916" s="28"/>
      <c r="I916" s="28"/>
      <c r="J916" s="255" t="str">
        <f>IF(H916="","",(_xlfn.XLOOKUP(H916,Cadastros!$D$6:$D$90,Cadastros!$E$6:$E$90))*(1-_xlfn.XLOOKUP(_xlfn.XLOOKUP($F916,Clientes!$B$4:$B$39,Clientes!$C$4:$C$39),Cadastros!$L$6:$L$12,Cadastros!$N$6:$N$12)))</f>
        <v/>
      </c>
      <c r="K916" s="168" t="str">
        <f t="shared" si="183"/>
        <v/>
      </c>
      <c r="L916" s="168" t="str">
        <f>IFERROR(K916/_xlfn.XLOOKUP(_xlfn.XLOOKUP($F916,Clientes!$B$4:$B$39,Clientes!$C$4:$C$39),Cadastros!$L$6:$L$12,Cadastros!$M$6:$M$12)," ")</f>
        <v xml:space="preserve"> </v>
      </c>
      <c r="M916" s="28"/>
      <c r="N916" s="28"/>
      <c r="O916" s="255" t="str">
        <f>IF(M916="","",(_xlfn.XLOOKUP(M916,Cadastros!$D$6:$D$90,Cadastros!$E$6:$E$90))*(1-_xlfn.XLOOKUP(_xlfn.XLOOKUP($F916,Clientes!$B$4:$B$39,Clientes!$C$4:$C$39),Cadastros!$L$6:$L$12,Cadastros!$N$6:$N$12)))</f>
        <v/>
      </c>
      <c r="P916" s="168" t="str">
        <f t="shared" si="184"/>
        <v/>
      </c>
      <c r="Q916" s="168" t="str">
        <f>IFERROR(P916/_xlfn.XLOOKUP(_xlfn.XLOOKUP($F916,Clientes!$B$4:$B$39,Clientes!$C$4:$C$39),Cadastros!$L$6:$L$12,Cadastros!$M$6:$M$12)," ")</f>
        <v xml:space="preserve"> </v>
      </c>
      <c r="R916" s="28"/>
      <c r="S916" s="28"/>
      <c r="T916" s="255" t="str">
        <f>IF(R916="","",(_xlfn.XLOOKUP(R916,Cadastros!$D$6:$D$90,Cadastros!$E$6:$E$90))*(1-_xlfn.XLOOKUP(_xlfn.XLOOKUP($F916,Clientes!$B$4:$B$39,Clientes!$C$4:$C$39),Cadastros!$L$6:$L$12,Cadastros!$N$6:$N$12)))</f>
        <v/>
      </c>
      <c r="U916" s="168" t="str">
        <f t="shared" si="185"/>
        <v/>
      </c>
      <c r="V916" s="168" t="str">
        <f>IFERROR(U916/_xlfn.XLOOKUP(_xlfn.XLOOKUP($F916,Clientes!$B$4:$B$39,Clientes!$C$4:$C$39),Cadastros!$L$6:$L$12,Cadastros!$M$6:$M$12)," ")</f>
        <v xml:space="preserve"> </v>
      </c>
      <c r="W916" s="28"/>
      <c r="X916" s="28"/>
      <c r="Y916" s="255" t="str">
        <f>IF(W916="","",(_xlfn.XLOOKUP(W916,Cadastros!$D$6:$D$90,Cadastros!$E$6:$E$90))*(1-_xlfn.XLOOKUP(_xlfn.XLOOKUP($F916,Clientes!$B$4:$B$39,Clientes!$C$4:$C$39),Cadastros!$L$6:$L$12,Cadastros!$N$6:$N$12)))</f>
        <v/>
      </c>
      <c r="Z916" s="168" t="str">
        <f t="shared" si="186"/>
        <v/>
      </c>
      <c r="AA916" s="168" t="str">
        <f>IFERROR(Z916/_xlfn.XLOOKUP(_xlfn.XLOOKUP($F916,Clientes!$B$4:$B$39,Clientes!$C$4:$C$39),Cadastros!$L$6:$L$12,Cadastros!$M$6:$M$12)," ")</f>
        <v xml:space="preserve"> </v>
      </c>
      <c r="AB916" s="28"/>
      <c r="AC916" s="28"/>
      <c r="AD916" s="20" t="str">
        <f>IF(AB916="","",IF($F916="Bernardino Furlan",_xlfn.XLOOKUP(AB916,Cadastros!$G$6:$G$90,Cadastros!$H$6:$H$90)*(1-0.18),IF($F916="Mauro José Salanti",_xlfn.XLOOKUP(AB916,Cadastros!$G$6:$G$90,Cadastros!$H$6:$H$90)*(1-0.18),_xlfn.XLOOKUP(AB916,Cadastros!$G$6:$G$90,Cadastros!$H$6:$H$90))))</f>
        <v/>
      </c>
      <c r="AE916" s="168" t="str">
        <f t="shared" si="187"/>
        <v/>
      </c>
      <c r="AF916" s="168" t="str">
        <f t="shared" si="188"/>
        <v/>
      </c>
      <c r="AG916" s="28"/>
      <c r="AH916" s="28"/>
      <c r="AI916" s="20" t="str">
        <f>IF(AG916="","",IF($F916="Bernardino Furlan",_xlfn.XLOOKUP(AG916,Cadastros!$G$6:$G$90,Cadastros!$H$6:$H$90)*(1-0.18),IF($F916="Mauro José Salanti",_xlfn.XLOOKUP(AG916,Cadastros!$G$6:$G$90,Cadastros!$H$6:$H$90)*(1-0.18),_xlfn.XLOOKUP(AG916,Cadastros!$G$6:$G$90,Cadastros!$H$6:$H$90))))</f>
        <v/>
      </c>
      <c r="AJ916" s="168" t="str">
        <f t="shared" si="189"/>
        <v/>
      </c>
      <c r="AK916" s="168" t="str">
        <f t="shared" si="190"/>
        <v/>
      </c>
      <c r="AL916" s="28"/>
      <c r="AM916" s="28"/>
      <c r="AN916" s="20" t="str">
        <f>IF(AL916="","",IF($F916="Bernardino Furlan",_xlfn.XLOOKUP(AL916,Cadastros!$G$6:$G$90,Cadastros!$H$6:$H$90)*(1-0.18),IF($F916="Mauro José Salanti",_xlfn.XLOOKUP(AL916,Cadastros!$G$6:$G$90,Cadastros!$H$6:$H$90)*(1-0.18),_xlfn.XLOOKUP(AL916,Cadastros!$G$6:$G$90,Cadastros!$H$6:$H$90))))</f>
        <v/>
      </c>
      <c r="AO916" s="168" t="str">
        <f t="shared" si="191"/>
        <v/>
      </c>
      <c r="AP916" s="168" t="str">
        <f t="shared" si="192"/>
        <v/>
      </c>
      <c r="AQ916" s="28"/>
      <c r="AR916" s="28"/>
      <c r="AS916" s="20" t="str">
        <f>IF(AQ916="","",IF($F916="Bernardino Furlan",_xlfn.XLOOKUP(AQ916,Cadastros!$G$6:$G$90,Cadastros!$H$6:$H$90)*(1-0.18),IF($F916="Mauro José Salanti",_xlfn.XLOOKUP(AQ916,Cadastros!$G$6:$G$90,Cadastros!$H$6:$H$90)*(1-0.18),_xlfn.XLOOKUP(AQ916,Cadastros!$G$6:$G$90,Cadastros!$H$6:$H$90))))</f>
        <v/>
      </c>
      <c r="AT916" s="168" t="str">
        <f t="shared" si="193"/>
        <v/>
      </c>
      <c r="AU916" s="168" t="str">
        <f t="shared" si="194"/>
        <v/>
      </c>
      <c r="AV916" s="227"/>
      <c r="AW916" s="30"/>
      <c r="AX916" s="267"/>
      <c r="AY916" s="267"/>
      <c r="AZ916" s="29"/>
      <c r="BA916" s="30"/>
      <c r="BB916" s="23" t="str" cm="1">
        <f t="array" ref="BB916">_xlfn.IFS(AW916="SIM",SUM(K916,P916,U916,Z916,AE916,AJ916,AO916,AT916,AX916,AY916),F916&lt;&gt;"",SUM(K916,P916,U916,Z916,AE916,AJ916,,AO916,AT916),F916="","")</f>
        <v/>
      </c>
      <c r="BC916" s="211" t="str" cm="1">
        <f t="array" ref="BC916">_xlfn.IFS(E916="","",G916&lt;=E916,BB916*(1-0.03),G916&lt;(E916+8),BB916,AZ916="Boleto",BB916*(1+0.001)^DATEDIF(E916,G916,"D"),AZ916="Cheque",BB916,AZ916="Dinheiro","Alterar forma pgto")</f>
        <v/>
      </c>
      <c r="BD916" s="276" t="str" cm="1">
        <f t="array" ref="BD916">IF(F916=0," ",IF(BC916&lt;BB916,(_xlfn.IFS(AW916="SIM",SUM(L916,Q916,V916,AA916,AF916,AK916,AP916,AU916)+AX916/_xlfn.XLOOKUP(_xlfn.XLOOKUP($F916,Clientes!$B$4:$B$39,Clientes!$C$4:$C$39),Cadastros!$L$6:$L$12,Cadastros!$M$6:$M$12)+IF($F916="Bernardino Furlan",AY916/2751.92,IF($F916="Mauro José Salanti",AY916/2751.92,AY916/3356)),F916&lt;&gt;0,SUM(L916,Q916,V916,AA916,AF916,AK916,AP916,AU916)))*(1-0.03),_xlfn.IFS(AW916="SIM",SUM(L916,Q916,V916,AA916,AF916,AK916,AP916,AU916)+AX916/_xlfn.XLOOKUP(_xlfn.XLOOKUP($F916,Clientes!$B$4:$B$39,Clientes!$C$4:$C$39),Cadastros!$L$6:$L$12,Cadastros!$M$6:$M$12)+IF($F916="Bernardino Furlan",AY916/2751.92,IF($F916="Mauro José Salanti",AY916/2751.92,AY916/3356)),F916&lt;&gt;0,SUM(L916,Q916,V916,AA916,AF916,AK916,AP916,AU916))))</f>
        <v xml:space="preserve"> </v>
      </c>
      <c r="BE916" s="120"/>
      <c r="BF916" s="120"/>
      <c r="BG916" s="120"/>
    </row>
    <row r="917" spans="1:59" s="3" customFormat="1" x14ac:dyDescent="0.3">
      <c r="A917" s="15" t="str">
        <f t="shared" si="182"/>
        <v/>
      </c>
      <c r="B917" s="25"/>
      <c r="C917" s="26"/>
      <c r="D917" s="279"/>
      <c r="E917" s="27"/>
      <c r="F917" s="28"/>
      <c r="G917" s="27"/>
      <c r="H917" s="28"/>
      <c r="I917" s="28"/>
      <c r="J917" s="255" t="str">
        <f>IF(H917="","",(_xlfn.XLOOKUP(H917,Cadastros!$D$6:$D$90,Cadastros!$E$6:$E$90))*(1-_xlfn.XLOOKUP(_xlfn.XLOOKUP($F917,Clientes!$B$4:$B$39,Clientes!$C$4:$C$39),Cadastros!$L$6:$L$12,Cadastros!$N$6:$N$12)))</f>
        <v/>
      </c>
      <c r="K917" s="168" t="str">
        <f t="shared" si="183"/>
        <v/>
      </c>
      <c r="L917" s="168" t="str">
        <f>IFERROR(K917/_xlfn.XLOOKUP(_xlfn.XLOOKUP($F917,Clientes!$B$4:$B$39,Clientes!$C$4:$C$39),Cadastros!$L$6:$L$12,Cadastros!$M$6:$M$12)," ")</f>
        <v xml:space="preserve"> </v>
      </c>
      <c r="M917" s="28"/>
      <c r="N917" s="28"/>
      <c r="O917" s="255" t="str">
        <f>IF(M917="","",(_xlfn.XLOOKUP(M917,Cadastros!$D$6:$D$90,Cadastros!$E$6:$E$90))*(1-_xlfn.XLOOKUP(_xlfn.XLOOKUP($F917,Clientes!$B$4:$B$39,Clientes!$C$4:$C$39),Cadastros!$L$6:$L$12,Cadastros!$N$6:$N$12)))</f>
        <v/>
      </c>
      <c r="P917" s="168" t="str">
        <f t="shared" si="184"/>
        <v/>
      </c>
      <c r="Q917" s="168" t="str">
        <f>IFERROR(P917/_xlfn.XLOOKUP(_xlfn.XLOOKUP($F917,Clientes!$B$4:$B$39,Clientes!$C$4:$C$39),Cadastros!$L$6:$L$12,Cadastros!$M$6:$M$12)," ")</f>
        <v xml:space="preserve"> </v>
      </c>
      <c r="R917" s="28"/>
      <c r="S917" s="28"/>
      <c r="T917" s="255" t="str">
        <f>IF(R917="","",(_xlfn.XLOOKUP(R917,Cadastros!$D$6:$D$90,Cadastros!$E$6:$E$90))*(1-_xlfn.XLOOKUP(_xlfn.XLOOKUP($F917,Clientes!$B$4:$B$39,Clientes!$C$4:$C$39),Cadastros!$L$6:$L$12,Cadastros!$N$6:$N$12)))</f>
        <v/>
      </c>
      <c r="U917" s="168" t="str">
        <f t="shared" si="185"/>
        <v/>
      </c>
      <c r="V917" s="168" t="str">
        <f>IFERROR(U917/_xlfn.XLOOKUP(_xlfn.XLOOKUP($F917,Clientes!$B$4:$B$39,Clientes!$C$4:$C$39),Cadastros!$L$6:$L$12,Cadastros!$M$6:$M$12)," ")</f>
        <v xml:space="preserve"> </v>
      </c>
      <c r="W917" s="28"/>
      <c r="X917" s="28"/>
      <c r="Y917" s="255" t="str">
        <f>IF(W917="","",(_xlfn.XLOOKUP(W917,Cadastros!$D$6:$D$90,Cadastros!$E$6:$E$90))*(1-_xlfn.XLOOKUP(_xlfn.XLOOKUP($F917,Clientes!$B$4:$B$39,Clientes!$C$4:$C$39),Cadastros!$L$6:$L$12,Cadastros!$N$6:$N$12)))</f>
        <v/>
      </c>
      <c r="Z917" s="168" t="str">
        <f t="shared" si="186"/>
        <v/>
      </c>
      <c r="AA917" s="168" t="str">
        <f>IFERROR(Z917/_xlfn.XLOOKUP(_xlfn.XLOOKUP($F917,Clientes!$B$4:$B$39,Clientes!$C$4:$C$39),Cadastros!$L$6:$L$12,Cadastros!$M$6:$M$12)," ")</f>
        <v xml:space="preserve"> </v>
      </c>
      <c r="AB917" s="28"/>
      <c r="AC917" s="28"/>
      <c r="AD917" s="20" t="str">
        <f>IF(AB917="","",IF($F917="Bernardino Furlan",_xlfn.XLOOKUP(AB917,Cadastros!$G$6:$G$90,Cadastros!$H$6:$H$90)*(1-0.18),IF($F917="Mauro José Salanti",_xlfn.XLOOKUP(AB917,Cadastros!$G$6:$G$90,Cadastros!$H$6:$H$90)*(1-0.18),_xlfn.XLOOKUP(AB917,Cadastros!$G$6:$G$90,Cadastros!$H$6:$H$90))))</f>
        <v/>
      </c>
      <c r="AE917" s="168" t="str">
        <f t="shared" si="187"/>
        <v/>
      </c>
      <c r="AF917" s="168" t="str">
        <f t="shared" si="188"/>
        <v/>
      </c>
      <c r="AG917" s="28"/>
      <c r="AH917" s="28"/>
      <c r="AI917" s="20" t="str">
        <f>IF(AG917="","",IF($F917="Bernardino Furlan",_xlfn.XLOOKUP(AG917,Cadastros!$G$6:$G$90,Cadastros!$H$6:$H$90)*(1-0.18),IF($F917="Mauro José Salanti",_xlfn.XLOOKUP(AG917,Cadastros!$G$6:$G$90,Cadastros!$H$6:$H$90)*(1-0.18),_xlfn.XLOOKUP(AG917,Cadastros!$G$6:$G$90,Cadastros!$H$6:$H$90))))</f>
        <v/>
      </c>
      <c r="AJ917" s="168" t="str">
        <f t="shared" si="189"/>
        <v/>
      </c>
      <c r="AK917" s="168" t="str">
        <f t="shared" si="190"/>
        <v/>
      </c>
      <c r="AL917" s="28"/>
      <c r="AM917" s="28"/>
      <c r="AN917" s="20" t="str">
        <f>IF(AL917="","",IF($F917="Bernardino Furlan",_xlfn.XLOOKUP(AL917,Cadastros!$G$6:$G$90,Cadastros!$H$6:$H$90)*(1-0.18),IF($F917="Mauro José Salanti",_xlfn.XLOOKUP(AL917,Cadastros!$G$6:$G$90,Cadastros!$H$6:$H$90)*(1-0.18),_xlfn.XLOOKUP(AL917,Cadastros!$G$6:$G$90,Cadastros!$H$6:$H$90))))</f>
        <v/>
      </c>
      <c r="AO917" s="168" t="str">
        <f t="shared" si="191"/>
        <v/>
      </c>
      <c r="AP917" s="168" t="str">
        <f t="shared" si="192"/>
        <v/>
      </c>
      <c r="AQ917" s="28"/>
      <c r="AR917" s="28"/>
      <c r="AS917" s="20" t="str">
        <f>IF(AQ917="","",IF($F917="Bernardino Furlan",_xlfn.XLOOKUP(AQ917,Cadastros!$G$6:$G$90,Cadastros!$H$6:$H$90)*(1-0.18),IF($F917="Mauro José Salanti",_xlfn.XLOOKUP(AQ917,Cadastros!$G$6:$G$90,Cadastros!$H$6:$H$90)*(1-0.18),_xlfn.XLOOKUP(AQ917,Cadastros!$G$6:$G$90,Cadastros!$H$6:$H$90))))</f>
        <v/>
      </c>
      <c r="AT917" s="168" t="str">
        <f t="shared" si="193"/>
        <v/>
      </c>
      <c r="AU917" s="168" t="str">
        <f t="shared" si="194"/>
        <v/>
      </c>
      <c r="AV917" s="227"/>
      <c r="AW917" s="30"/>
      <c r="AX917" s="267"/>
      <c r="AY917" s="267"/>
      <c r="AZ917" s="29"/>
      <c r="BA917" s="30"/>
      <c r="BB917" s="23" t="str" cm="1">
        <f t="array" ref="BB917">_xlfn.IFS(AW917="SIM",SUM(K917,P917,U917,Z917,AE917,AJ917,AO917,AT917,AX917,AY917),F917&lt;&gt;"",SUM(K917,P917,U917,Z917,AE917,AJ917,,AO917,AT917),F917="","")</f>
        <v/>
      </c>
      <c r="BC917" s="211" t="str" cm="1">
        <f t="array" ref="BC917">_xlfn.IFS(E917="","",G917&lt;=E917,BB917*(1-0.03),G917&lt;(E917+8),BB917,AZ917="Boleto",BB917*(1+0.001)^DATEDIF(E917,G917,"D"),AZ917="Cheque",BB917,AZ917="Dinheiro","Alterar forma pgto")</f>
        <v/>
      </c>
      <c r="BD917" s="276" t="str" cm="1">
        <f t="array" ref="BD917">IF(F917=0," ",IF(BC917&lt;BB917,(_xlfn.IFS(AW917="SIM",SUM(L917,Q917,V917,AA917,AF917,AK917,AP917,AU917)+AX917/_xlfn.XLOOKUP(_xlfn.XLOOKUP($F917,Clientes!$B$4:$B$39,Clientes!$C$4:$C$39),Cadastros!$L$6:$L$12,Cadastros!$M$6:$M$12)+IF($F917="Bernardino Furlan",AY917/2751.92,IF($F917="Mauro José Salanti",AY917/2751.92,AY917/3356)),F917&lt;&gt;0,SUM(L917,Q917,V917,AA917,AF917,AK917,AP917,AU917)))*(1-0.03),_xlfn.IFS(AW917="SIM",SUM(L917,Q917,V917,AA917,AF917,AK917,AP917,AU917)+AX917/_xlfn.XLOOKUP(_xlfn.XLOOKUP($F917,Clientes!$B$4:$B$39,Clientes!$C$4:$C$39),Cadastros!$L$6:$L$12,Cadastros!$M$6:$M$12)+IF($F917="Bernardino Furlan",AY917/2751.92,IF($F917="Mauro José Salanti",AY917/2751.92,AY917/3356)),F917&lt;&gt;0,SUM(L917,Q917,V917,AA917,AF917,AK917,AP917,AU917))))</f>
        <v xml:space="preserve"> </v>
      </c>
      <c r="BE917" s="120"/>
      <c r="BF917" s="120"/>
      <c r="BG917" s="120"/>
    </row>
    <row r="918" spans="1:59" s="3" customFormat="1" x14ac:dyDescent="0.3">
      <c r="A918" s="15" t="str">
        <f t="shared" si="182"/>
        <v/>
      </c>
      <c r="B918" s="25"/>
      <c r="C918" s="26"/>
      <c r="D918" s="279"/>
      <c r="E918" s="27"/>
      <c r="F918" s="28"/>
      <c r="G918" s="27"/>
      <c r="H918" s="28"/>
      <c r="I918" s="28"/>
      <c r="J918" s="255" t="str">
        <f>IF(H918="","",(_xlfn.XLOOKUP(H918,Cadastros!$D$6:$D$90,Cadastros!$E$6:$E$90))*(1-_xlfn.XLOOKUP(_xlfn.XLOOKUP($F918,Clientes!$B$4:$B$39,Clientes!$C$4:$C$39),Cadastros!$L$6:$L$12,Cadastros!$N$6:$N$12)))</f>
        <v/>
      </c>
      <c r="K918" s="168" t="str">
        <f t="shared" si="183"/>
        <v/>
      </c>
      <c r="L918" s="168" t="str">
        <f>IFERROR(K918/_xlfn.XLOOKUP(_xlfn.XLOOKUP($F918,Clientes!$B$4:$B$39,Clientes!$C$4:$C$39),Cadastros!$L$6:$L$12,Cadastros!$M$6:$M$12)," ")</f>
        <v xml:space="preserve"> </v>
      </c>
      <c r="M918" s="28"/>
      <c r="N918" s="28"/>
      <c r="O918" s="255" t="str">
        <f>IF(M918="","",(_xlfn.XLOOKUP(M918,Cadastros!$D$6:$D$90,Cadastros!$E$6:$E$90))*(1-_xlfn.XLOOKUP(_xlfn.XLOOKUP($F918,Clientes!$B$4:$B$39,Clientes!$C$4:$C$39),Cadastros!$L$6:$L$12,Cadastros!$N$6:$N$12)))</f>
        <v/>
      </c>
      <c r="P918" s="168" t="str">
        <f t="shared" si="184"/>
        <v/>
      </c>
      <c r="Q918" s="168" t="str">
        <f>IFERROR(P918/_xlfn.XLOOKUP(_xlfn.XLOOKUP($F918,Clientes!$B$4:$B$39,Clientes!$C$4:$C$39),Cadastros!$L$6:$L$12,Cadastros!$M$6:$M$12)," ")</f>
        <v xml:space="preserve"> </v>
      </c>
      <c r="R918" s="28"/>
      <c r="S918" s="28"/>
      <c r="T918" s="255" t="str">
        <f>IF(R918="","",(_xlfn.XLOOKUP(R918,Cadastros!$D$6:$D$90,Cadastros!$E$6:$E$90))*(1-_xlfn.XLOOKUP(_xlfn.XLOOKUP($F918,Clientes!$B$4:$B$39,Clientes!$C$4:$C$39),Cadastros!$L$6:$L$12,Cadastros!$N$6:$N$12)))</f>
        <v/>
      </c>
      <c r="U918" s="168" t="str">
        <f t="shared" si="185"/>
        <v/>
      </c>
      <c r="V918" s="168" t="str">
        <f>IFERROR(U918/_xlfn.XLOOKUP(_xlfn.XLOOKUP($F918,Clientes!$B$4:$B$39,Clientes!$C$4:$C$39),Cadastros!$L$6:$L$12,Cadastros!$M$6:$M$12)," ")</f>
        <v xml:space="preserve"> </v>
      </c>
      <c r="W918" s="28"/>
      <c r="X918" s="28"/>
      <c r="Y918" s="255" t="str">
        <f>IF(W918="","",(_xlfn.XLOOKUP(W918,Cadastros!$D$6:$D$90,Cadastros!$E$6:$E$90))*(1-_xlfn.XLOOKUP(_xlfn.XLOOKUP($F918,Clientes!$B$4:$B$39,Clientes!$C$4:$C$39),Cadastros!$L$6:$L$12,Cadastros!$N$6:$N$12)))</f>
        <v/>
      </c>
      <c r="Z918" s="168" t="str">
        <f t="shared" si="186"/>
        <v/>
      </c>
      <c r="AA918" s="168" t="str">
        <f>IFERROR(Z918/_xlfn.XLOOKUP(_xlfn.XLOOKUP($F918,Clientes!$B$4:$B$39,Clientes!$C$4:$C$39),Cadastros!$L$6:$L$12,Cadastros!$M$6:$M$12)," ")</f>
        <v xml:space="preserve"> </v>
      </c>
      <c r="AB918" s="28"/>
      <c r="AC918" s="28"/>
      <c r="AD918" s="20" t="str">
        <f>IF(AB918="","",IF($F918="Bernardino Furlan",_xlfn.XLOOKUP(AB918,Cadastros!$G$6:$G$90,Cadastros!$H$6:$H$90)*(1-0.18),IF($F918="Mauro José Salanti",_xlfn.XLOOKUP(AB918,Cadastros!$G$6:$G$90,Cadastros!$H$6:$H$90)*(1-0.18),_xlfn.XLOOKUP(AB918,Cadastros!$G$6:$G$90,Cadastros!$H$6:$H$90))))</f>
        <v/>
      </c>
      <c r="AE918" s="168" t="str">
        <f t="shared" si="187"/>
        <v/>
      </c>
      <c r="AF918" s="168" t="str">
        <f t="shared" si="188"/>
        <v/>
      </c>
      <c r="AG918" s="28"/>
      <c r="AH918" s="28"/>
      <c r="AI918" s="20" t="str">
        <f>IF(AG918="","",IF($F918="Bernardino Furlan",_xlfn.XLOOKUP(AG918,Cadastros!$G$6:$G$90,Cadastros!$H$6:$H$90)*(1-0.18),IF($F918="Mauro José Salanti",_xlfn.XLOOKUP(AG918,Cadastros!$G$6:$G$90,Cadastros!$H$6:$H$90)*(1-0.18),_xlfn.XLOOKUP(AG918,Cadastros!$G$6:$G$90,Cadastros!$H$6:$H$90))))</f>
        <v/>
      </c>
      <c r="AJ918" s="168" t="str">
        <f t="shared" si="189"/>
        <v/>
      </c>
      <c r="AK918" s="168" t="str">
        <f t="shared" si="190"/>
        <v/>
      </c>
      <c r="AL918" s="28"/>
      <c r="AM918" s="28"/>
      <c r="AN918" s="20" t="str">
        <f>IF(AL918="","",IF($F918="Bernardino Furlan",_xlfn.XLOOKUP(AL918,Cadastros!$G$6:$G$90,Cadastros!$H$6:$H$90)*(1-0.18),IF($F918="Mauro José Salanti",_xlfn.XLOOKUP(AL918,Cadastros!$G$6:$G$90,Cadastros!$H$6:$H$90)*(1-0.18),_xlfn.XLOOKUP(AL918,Cadastros!$G$6:$G$90,Cadastros!$H$6:$H$90))))</f>
        <v/>
      </c>
      <c r="AO918" s="168" t="str">
        <f t="shared" si="191"/>
        <v/>
      </c>
      <c r="AP918" s="168" t="str">
        <f t="shared" si="192"/>
        <v/>
      </c>
      <c r="AQ918" s="28"/>
      <c r="AR918" s="28"/>
      <c r="AS918" s="20" t="str">
        <f>IF(AQ918="","",IF($F918="Bernardino Furlan",_xlfn.XLOOKUP(AQ918,Cadastros!$G$6:$G$90,Cadastros!$H$6:$H$90)*(1-0.18),IF($F918="Mauro José Salanti",_xlfn.XLOOKUP(AQ918,Cadastros!$G$6:$G$90,Cadastros!$H$6:$H$90)*(1-0.18),_xlfn.XLOOKUP(AQ918,Cadastros!$G$6:$G$90,Cadastros!$H$6:$H$90))))</f>
        <v/>
      </c>
      <c r="AT918" s="168" t="str">
        <f t="shared" si="193"/>
        <v/>
      </c>
      <c r="AU918" s="168" t="str">
        <f t="shared" si="194"/>
        <v/>
      </c>
      <c r="AV918" s="227"/>
      <c r="AW918" s="30"/>
      <c r="AX918" s="267"/>
      <c r="AY918" s="267"/>
      <c r="AZ918" s="29"/>
      <c r="BA918" s="30"/>
      <c r="BB918" s="23" t="str" cm="1">
        <f t="array" ref="BB918">_xlfn.IFS(AW918="SIM",SUM(K918,P918,U918,Z918,AE918,AJ918,AO918,AT918,AX918,AY918),F918&lt;&gt;"",SUM(K918,P918,U918,Z918,AE918,AJ918,,AO918,AT918),F918="","")</f>
        <v/>
      </c>
      <c r="BC918" s="211" t="str" cm="1">
        <f t="array" ref="BC918">_xlfn.IFS(E918="","",G918&lt;=E918,BB918*(1-0.03),G918&lt;(E918+8),BB918,AZ918="Boleto",BB918*(1+0.001)^DATEDIF(E918,G918,"D"),AZ918="Cheque",BB918,AZ918="Dinheiro","Alterar forma pgto")</f>
        <v/>
      </c>
      <c r="BD918" s="276" t="str" cm="1">
        <f t="array" ref="BD918">IF(F918=0," ",IF(BC918&lt;BB918,(_xlfn.IFS(AW918="SIM",SUM(L918,Q918,V918,AA918,AF918,AK918,AP918,AU918)+AX918/_xlfn.XLOOKUP(_xlfn.XLOOKUP($F918,Clientes!$B$4:$B$39,Clientes!$C$4:$C$39),Cadastros!$L$6:$L$12,Cadastros!$M$6:$M$12)+IF($F918="Bernardino Furlan",AY918/2751.92,IF($F918="Mauro José Salanti",AY918/2751.92,AY918/3356)),F918&lt;&gt;0,SUM(L918,Q918,V918,AA918,AF918,AK918,AP918,AU918)))*(1-0.03),_xlfn.IFS(AW918="SIM",SUM(L918,Q918,V918,AA918,AF918,AK918,AP918,AU918)+AX918/_xlfn.XLOOKUP(_xlfn.XLOOKUP($F918,Clientes!$B$4:$B$39,Clientes!$C$4:$C$39),Cadastros!$L$6:$L$12,Cadastros!$M$6:$M$12)+IF($F918="Bernardino Furlan",AY918/2751.92,IF($F918="Mauro José Salanti",AY918/2751.92,AY918/3356)),F918&lt;&gt;0,SUM(L918,Q918,V918,AA918,AF918,AK918,AP918,AU918))))</f>
        <v xml:space="preserve"> </v>
      </c>
      <c r="BE918" s="120"/>
      <c r="BF918" s="120"/>
      <c r="BG918" s="120"/>
    </row>
    <row r="919" spans="1:59" s="3" customFormat="1" x14ac:dyDescent="0.3">
      <c r="A919" s="15" t="str">
        <f t="shared" si="182"/>
        <v/>
      </c>
      <c r="B919" s="25"/>
      <c r="C919" s="26"/>
      <c r="D919" s="279"/>
      <c r="E919" s="27"/>
      <c r="F919" s="28"/>
      <c r="G919" s="27"/>
      <c r="H919" s="28"/>
      <c r="I919" s="28"/>
      <c r="J919" s="255" t="str">
        <f>IF(H919="","",(_xlfn.XLOOKUP(H919,Cadastros!$D$6:$D$90,Cadastros!$E$6:$E$90))*(1-_xlfn.XLOOKUP(_xlfn.XLOOKUP($F919,Clientes!$B$4:$B$39,Clientes!$C$4:$C$39),Cadastros!$L$6:$L$12,Cadastros!$N$6:$N$12)))</f>
        <v/>
      </c>
      <c r="K919" s="168" t="str">
        <f t="shared" si="183"/>
        <v/>
      </c>
      <c r="L919" s="168" t="str">
        <f>IFERROR(K919/_xlfn.XLOOKUP(_xlfn.XLOOKUP($F919,Clientes!$B$4:$B$39,Clientes!$C$4:$C$39),Cadastros!$L$6:$L$12,Cadastros!$M$6:$M$12)," ")</f>
        <v xml:space="preserve"> </v>
      </c>
      <c r="M919" s="28"/>
      <c r="N919" s="28"/>
      <c r="O919" s="255" t="str">
        <f>IF(M919="","",(_xlfn.XLOOKUP(M919,Cadastros!$D$6:$D$90,Cadastros!$E$6:$E$90))*(1-_xlfn.XLOOKUP(_xlfn.XLOOKUP($F919,Clientes!$B$4:$B$39,Clientes!$C$4:$C$39),Cadastros!$L$6:$L$12,Cadastros!$N$6:$N$12)))</f>
        <v/>
      </c>
      <c r="P919" s="168" t="str">
        <f t="shared" si="184"/>
        <v/>
      </c>
      <c r="Q919" s="168" t="str">
        <f>IFERROR(P919/_xlfn.XLOOKUP(_xlfn.XLOOKUP($F919,Clientes!$B$4:$B$39,Clientes!$C$4:$C$39),Cadastros!$L$6:$L$12,Cadastros!$M$6:$M$12)," ")</f>
        <v xml:space="preserve"> </v>
      </c>
      <c r="R919" s="28"/>
      <c r="S919" s="28"/>
      <c r="T919" s="255" t="str">
        <f>IF(R919="","",(_xlfn.XLOOKUP(R919,Cadastros!$D$6:$D$90,Cadastros!$E$6:$E$90))*(1-_xlfn.XLOOKUP(_xlfn.XLOOKUP($F919,Clientes!$B$4:$B$39,Clientes!$C$4:$C$39),Cadastros!$L$6:$L$12,Cadastros!$N$6:$N$12)))</f>
        <v/>
      </c>
      <c r="U919" s="168" t="str">
        <f t="shared" si="185"/>
        <v/>
      </c>
      <c r="V919" s="168" t="str">
        <f>IFERROR(U919/_xlfn.XLOOKUP(_xlfn.XLOOKUP($F919,Clientes!$B$4:$B$39,Clientes!$C$4:$C$39),Cadastros!$L$6:$L$12,Cadastros!$M$6:$M$12)," ")</f>
        <v xml:space="preserve"> </v>
      </c>
      <c r="W919" s="28"/>
      <c r="X919" s="28"/>
      <c r="Y919" s="255" t="str">
        <f>IF(W919="","",(_xlfn.XLOOKUP(W919,Cadastros!$D$6:$D$90,Cadastros!$E$6:$E$90))*(1-_xlfn.XLOOKUP(_xlfn.XLOOKUP($F919,Clientes!$B$4:$B$39,Clientes!$C$4:$C$39),Cadastros!$L$6:$L$12,Cadastros!$N$6:$N$12)))</f>
        <v/>
      </c>
      <c r="Z919" s="168" t="str">
        <f t="shared" si="186"/>
        <v/>
      </c>
      <c r="AA919" s="168" t="str">
        <f>IFERROR(Z919/_xlfn.XLOOKUP(_xlfn.XLOOKUP($F919,Clientes!$B$4:$B$39,Clientes!$C$4:$C$39),Cadastros!$L$6:$L$12,Cadastros!$M$6:$M$12)," ")</f>
        <v xml:space="preserve"> </v>
      </c>
      <c r="AB919" s="28"/>
      <c r="AC919" s="28"/>
      <c r="AD919" s="20" t="str">
        <f>IF(AB919="","",IF($F919="Bernardino Furlan",_xlfn.XLOOKUP(AB919,Cadastros!$G$6:$G$90,Cadastros!$H$6:$H$90)*(1-0.18),IF($F919="Mauro José Salanti",_xlfn.XLOOKUP(AB919,Cadastros!$G$6:$G$90,Cadastros!$H$6:$H$90)*(1-0.18),_xlfn.XLOOKUP(AB919,Cadastros!$G$6:$G$90,Cadastros!$H$6:$H$90))))</f>
        <v/>
      </c>
      <c r="AE919" s="168" t="str">
        <f t="shared" si="187"/>
        <v/>
      </c>
      <c r="AF919" s="168" t="str">
        <f t="shared" si="188"/>
        <v/>
      </c>
      <c r="AG919" s="28"/>
      <c r="AH919" s="28"/>
      <c r="AI919" s="20" t="str">
        <f>IF(AG919="","",IF($F919="Bernardino Furlan",_xlfn.XLOOKUP(AG919,Cadastros!$G$6:$G$90,Cadastros!$H$6:$H$90)*(1-0.18),IF($F919="Mauro José Salanti",_xlfn.XLOOKUP(AG919,Cadastros!$G$6:$G$90,Cadastros!$H$6:$H$90)*(1-0.18),_xlfn.XLOOKUP(AG919,Cadastros!$G$6:$G$90,Cadastros!$H$6:$H$90))))</f>
        <v/>
      </c>
      <c r="AJ919" s="168" t="str">
        <f t="shared" si="189"/>
        <v/>
      </c>
      <c r="AK919" s="168" t="str">
        <f t="shared" si="190"/>
        <v/>
      </c>
      <c r="AL919" s="28"/>
      <c r="AM919" s="28"/>
      <c r="AN919" s="20" t="str">
        <f>IF(AL919="","",IF($F919="Bernardino Furlan",_xlfn.XLOOKUP(AL919,Cadastros!$G$6:$G$90,Cadastros!$H$6:$H$90)*(1-0.18),IF($F919="Mauro José Salanti",_xlfn.XLOOKUP(AL919,Cadastros!$G$6:$G$90,Cadastros!$H$6:$H$90)*(1-0.18),_xlfn.XLOOKUP(AL919,Cadastros!$G$6:$G$90,Cadastros!$H$6:$H$90))))</f>
        <v/>
      </c>
      <c r="AO919" s="168" t="str">
        <f t="shared" si="191"/>
        <v/>
      </c>
      <c r="AP919" s="168" t="str">
        <f t="shared" si="192"/>
        <v/>
      </c>
      <c r="AQ919" s="28"/>
      <c r="AR919" s="28"/>
      <c r="AS919" s="20" t="str">
        <f>IF(AQ919="","",IF($F919="Bernardino Furlan",_xlfn.XLOOKUP(AQ919,Cadastros!$G$6:$G$90,Cadastros!$H$6:$H$90)*(1-0.18),IF($F919="Mauro José Salanti",_xlfn.XLOOKUP(AQ919,Cadastros!$G$6:$G$90,Cadastros!$H$6:$H$90)*(1-0.18),_xlfn.XLOOKUP(AQ919,Cadastros!$G$6:$G$90,Cadastros!$H$6:$H$90))))</f>
        <v/>
      </c>
      <c r="AT919" s="168" t="str">
        <f t="shared" si="193"/>
        <v/>
      </c>
      <c r="AU919" s="168" t="str">
        <f t="shared" si="194"/>
        <v/>
      </c>
      <c r="AV919" s="227"/>
      <c r="AW919" s="30"/>
      <c r="AX919" s="267"/>
      <c r="AY919" s="267"/>
      <c r="AZ919" s="29"/>
      <c r="BA919" s="30"/>
      <c r="BB919" s="23" t="str" cm="1">
        <f t="array" ref="BB919">_xlfn.IFS(AW919="SIM",SUM(K919,P919,U919,Z919,AE919,AJ919,AO919,AT919,AX919,AY919),F919&lt;&gt;"",SUM(K919,P919,U919,Z919,AE919,AJ919,,AO919,AT919),F919="","")</f>
        <v/>
      </c>
      <c r="BC919" s="211" t="str" cm="1">
        <f t="array" ref="BC919">_xlfn.IFS(E919="","",G919&lt;=E919,BB919*(1-0.03),G919&lt;(E919+8),BB919,AZ919="Boleto",BB919*(1+0.001)^DATEDIF(E919,G919,"D"),AZ919="Cheque",BB919,AZ919="Dinheiro","Alterar forma pgto")</f>
        <v/>
      </c>
      <c r="BD919" s="276" t="str" cm="1">
        <f t="array" ref="BD919">IF(F919=0," ",IF(BC919&lt;BB919,(_xlfn.IFS(AW919="SIM",SUM(L919,Q919,V919,AA919,AF919,AK919,AP919,AU919)+AX919/_xlfn.XLOOKUP(_xlfn.XLOOKUP($F919,Clientes!$B$4:$B$39,Clientes!$C$4:$C$39),Cadastros!$L$6:$L$12,Cadastros!$M$6:$M$12)+IF($F919="Bernardino Furlan",AY919/2751.92,IF($F919="Mauro José Salanti",AY919/2751.92,AY919/3356)),F919&lt;&gt;0,SUM(L919,Q919,V919,AA919,AF919,AK919,AP919,AU919)))*(1-0.03),_xlfn.IFS(AW919="SIM",SUM(L919,Q919,V919,AA919,AF919,AK919,AP919,AU919)+AX919/_xlfn.XLOOKUP(_xlfn.XLOOKUP($F919,Clientes!$B$4:$B$39,Clientes!$C$4:$C$39),Cadastros!$L$6:$L$12,Cadastros!$M$6:$M$12)+IF($F919="Bernardino Furlan",AY919/2751.92,IF($F919="Mauro José Salanti",AY919/2751.92,AY919/3356)),F919&lt;&gt;0,SUM(L919,Q919,V919,AA919,AF919,AK919,AP919,AU919))))</f>
        <v xml:space="preserve"> </v>
      </c>
      <c r="BE919" s="120"/>
      <c r="BF919" s="120"/>
      <c r="BG919" s="120"/>
    </row>
    <row r="920" spans="1:59" s="3" customFormat="1" x14ac:dyDescent="0.3">
      <c r="A920" s="15" t="str">
        <f t="shared" si="182"/>
        <v/>
      </c>
      <c r="B920" s="25"/>
      <c r="C920" s="26"/>
      <c r="D920" s="279"/>
      <c r="E920" s="27"/>
      <c r="F920" s="28"/>
      <c r="G920" s="27"/>
      <c r="H920" s="28"/>
      <c r="I920" s="28"/>
      <c r="J920" s="255" t="str">
        <f>IF(H920="","",(_xlfn.XLOOKUP(H920,Cadastros!$D$6:$D$90,Cadastros!$E$6:$E$90))*(1-_xlfn.XLOOKUP(_xlfn.XLOOKUP($F920,Clientes!$B$4:$B$39,Clientes!$C$4:$C$39),Cadastros!$L$6:$L$12,Cadastros!$N$6:$N$12)))</f>
        <v/>
      </c>
      <c r="K920" s="168" t="str">
        <f t="shared" si="183"/>
        <v/>
      </c>
      <c r="L920" s="168" t="str">
        <f>IFERROR(K920/_xlfn.XLOOKUP(_xlfn.XLOOKUP($F920,Clientes!$B$4:$B$39,Clientes!$C$4:$C$39),Cadastros!$L$6:$L$12,Cadastros!$M$6:$M$12)," ")</f>
        <v xml:space="preserve"> </v>
      </c>
      <c r="M920" s="28"/>
      <c r="N920" s="28"/>
      <c r="O920" s="255" t="str">
        <f>IF(M920="","",(_xlfn.XLOOKUP(M920,Cadastros!$D$6:$D$90,Cadastros!$E$6:$E$90))*(1-_xlfn.XLOOKUP(_xlfn.XLOOKUP($F920,Clientes!$B$4:$B$39,Clientes!$C$4:$C$39),Cadastros!$L$6:$L$12,Cadastros!$N$6:$N$12)))</f>
        <v/>
      </c>
      <c r="P920" s="168" t="str">
        <f t="shared" si="184"/>
        <v/>
      </c>
      <c r="Q920" s="168" t="str">
        <f>IFERROR(P920/_xlfn.XLOOKUP(_xlfn.XLOOKUP($F920,Clientes!$B$4:$B$39,Clientes!$C$4:$C$39),Cadastros!$L$6:$L$12,Cadastros!$M$6:$M$12)," ")</f>
        <v xml:space="preserve"> </v>
      </c>
      <c r="R920" s="28"/>
      <c r="S920" s="28"/>
      <c r="T920" s="255" t="str">
        <f>IF(R920="","",(_xlfn.XLOOKUP(R920,Cadastros!$D$6:$D$90,Cadastros!$E$6:$E$90))*(1-_xlfn.XLOOKUP(_xlfn.XLOOKUP($F920,Clientes!$B$4:$B$39,Clientes!$C$4:$C$39),Cadastros!$L$6:$L$12,Cadastros!$N$6:$N$12)))</f>
        <v/>
      </c>
      <c r="U920" s="168" t="str">
        <f t="shared" si="185"/>
        <v/>
      </c>
      <c r="V920" s="168" t="str">
        <f>IFERROR(U920/_xlfn.XLOOKUP(_xlfn.XLOOKUP($F920,Clientes!$B$4:$B$39,Clientes!$C$4:$C$39),Cadastros!$L$6:$L$12,Cadastros!$M$6:$M$12)," ")</f>
        <v xml:space="preserve"> </v>
      </c>
      <c r="W920" s="28"/>
      <c r="X920" s="28"/>
      <c r="Y920" s="255" t="str">
        <f>IF(W920="","",(_xlfn.XLOOKUP(W920,Cadastros!$D$6:$D$90,Cadastros!$E$6:$E$90))*(1-_xlfn.XLOOKUP(_xlfn.XLOOKUP($F920,Clientes!$B$4:$B$39,Clientes!$C$4:$C$39),Cadastros!$L$6:$L$12,Cadastros!$N$6:$N$12)))</f>
        <v/>
      </c>
      <c r="Z920" s="168" t="str">
        <f t="shared" si="186"/>
        <v/>
      </c>
      <c r="AA920" s="168" t="str">
        <f>IFERROR(Z920/_xlfn.XLOOKUP(_xlfn.XLOOKUP($F920,Clientes!$B$4:$B$39,Clientes!$C$4:$C$39),Cadastros!$L$6:$L$12,Cadastros!$M$6:$M$12)," ")</f>
        <v xml:space="preserve"> </v>
      </c>
      <c r="AB920" s="28"/>
      <c r="AC920" s="28"/>
      <c r="AD920" s="20" t="str">
        <f>IF(AB920="","",IF($F920="Bernardino Furlan",_xlfn.XLOOKUP(AB920,Cadastros!$G$6:$G$90,Cadastros!$H$6:$H$90)*(1-0.18),IF($F920="Mauro José Salanti",_xlfn.XLOOKUP(AB920,Cadastros!$G$6:$G$90,Cadastros!$H$6:$H$90)*(1-0.18),_xlfn.XLOOKUP(AB920,Cadastros!$G$6:$G$90,Cadastros!$H$6:$H$90))))</f>
        <v/>
      </c>
      <c r="AE920" s="168" t="str">
        <f t="shared" si="187"/>
        <v/>
      </c>
      <c r="AF920" s="168" t="str">
        <f t="shared" si="188"/>
        <v/>
      </c>
      <c r="AG920" s="28"/>
      <c r="AH920" s="28"/>
      <c r="AI920" s="20" t="str">
        <f>IF(AG920="","",IF($F920="Bernardino Furlan",_xlfn.XLOOKUP(AG920,Cadastros!$G$6:$G$90,Cadastros!$H$6:$H$90)*(1-0.18),IF($F920="Mauro José Salanti",_xlfn.XLOOKUP(AG920,Cadastros!$G$6:$G$90,Cadastros!$H$6:$H$90)*(1-0.18),_xlfn.XLOOKUP(AG920,Cadastros!$G$6:$G$90,Cadastros!$H$6:$H$90))))</f>
        <v/>
      </c>
      <c r="AJ920" s="168" t="str">
        <f t="shared" si="189"/>
        <v/>
      </c>
      <c r="AK920" s="168" t="str">
        <f t="shared" si="190"/>
        <v/>
      </c>
      <c r="AL920" s="28"/>
      <c r="AM920" s="28"/>
      <c r="AN920" s="20" t="str">
        <f>IF(AL920="","",IF($F920="Bernardino Furlan",_xlfn.XLOOKUP(AL920,Cadastros!$G$6:$G$90,Cadastros!$H$6:$H$90)*(1-0.18),IF($F920="Mauro José Salanti",_xlfn.XLOOKUP(AL920,Cadastros!$G$6:$G$90,Cadastros!$H$6:$H$90)*(1-0.18),_xlfn.XLOOKUP(AL920,Cadastros!$G$6:$G$90,Cadastros!$H$6:$H$90))))</f>
        <v/>
      </c>
      <c r="AO920" s="168" t="str">
        <f t="shared" si="191"/>
        <v/>
      </c>
      <c r="AP920" s="168" t="str">
        <f t="shared" si="192"/>
        <v/>
      </c>
      <c r="AQ920" s="28"/>
      <c r="AR920" s="28"/>
      <c r="AS920" s="20" t="str">
        <f>IF(AQ920="","",IF($F920="Bernardino Furlan",_xlfn.XLOOKUP(AQ920,Cadastros!$G$6:$G$90,Cadastros!$H$6:$H$90)*(1-0.18),IF($F920="Mauro José Salanti",_xlfn.XLOOKUP(AQ920,Cadastros!$G$6:$G$90,Cadastros!$H$6:$H$90)*(1-0.18),_xlfn.XLOOKUP(AQ920,Cadastros!$G$6:$G$90,Cadastros!$H$6:$H$90))))</f>
        <v/>
      </c>
      <c r="AT920" s="168" t="str">
        <f t="shared" si="193"/>
        <v/>
      </c>
      <c r="AU920" s="168" t="str">
        <f t="shared" si="194"/>
        <v/>
      </c>
      <c r="AV920" s="227"/>
      <c r="AW920" s="30"/>
      <c r="AX920" s="267"/>
      <c r="AY920" s="267"/>
      <c r="AZ920" s="29"/>
      <c r="BA920" s="30"/>
      <c r="BB920" s="23" t="str" cm="1">
        <f t="array" ref="BB920">_xlfn.IFS(AW920="SIM",SUM(K920,P920,U920,Z920,AE920,AJ920,AO920,AT920,AX920,AY920),F920&lt;&gt;"",SUM(K920,P920,U920,Z920,AE920,AJ920,,AO920,AT920),F920="","")</f>
        <v/>
      </c>
      <c r="BC920" s="211" t="str" cm="1">
        <f t="array" ref="BC920">_xlfn.IFS(E920="","",G920&lt;=E920,BB920*(1-0.03),G920&lt;(E920+8),BB920,AZ920="Boleto",BB920*(1+0.001)^DATEDIF(E920,G920,"D"),AZ920="Cheque",BB920,AZ920="Dinheiro","Alterar forma pgto")</f>
        <v/>
      </c>
      <c r="BD920" s="276" t="str" cm="1">
        <f t="array" ref="BD920">IF(F920=0," ",IF(BC920&lt;BB920,(_xlfn.IFS(AW920="SIM",SUM(L920,Q920,V920,AA920,AF920,AK920,AP920,AU920)+AX920/_xlfn.XLOOKUP(_xlfn.XLOOKUP($F920,Clientes!$B$4:$B$39,Clientes!$C$4:$C$39),Cadastros!$L$6:$L$12,Cadastros!$M$6:$M$12)+IF($F920="Bernardino Furlan",AY920/2751.92,IF($F920="Mauro José Salanti",AY920/2751.92,AY920/3356)),F920&lt;&gt;0,SUM(L920,Q920,V920,AA920,AF920,AK920,AP920,AU920)))*(1-0.03),_xlfn.IFS(AW920="SIM",SUM(L920,Q920,V920,AA920,AF920,AK920,AP920,AU920)+AX920/_xlfn.XLOOKUP(_xlfn.XLOOKUP($F920,Clientes!$B$4:$B$39,Clientes!$C$4:$C$39),Cadastros!$L$6:$L$12,Cadastros!$M$6:$M$12)+IF($F920="Bernardino Furlan",AY920/2751.92,IF($F920="Mauro José Salanti",AY920/2751.92,AY920/3356)),F920&lt;&gt;0,SUM(L920,Q920,V920,AA920,AF920,AK920,AP920,AU920))))</f>
        <v xml:space="preserve"> </v>
      </c>
      <c r="BE920" s="120"/>
      <c r="BF920" s="120"/>
      <c r="BG920" s="120"/>
    </row>
    <row r="921" spans="1:59" s="3" customFormat="1" x14ac:dyDescent="0.3">
      <c r="A921" s="15" t="str">
        <f t="shared" si="182"/>
        <v/>
      </c>
      <c r="B921" s="25"/>
      <c r="C921" s="26"/>
      <c r="D921" s="279"/>
      <c r="E921" s="27"/>
      <c r="F921" s="28"/>
      <c r="G921" s="27"/>
      <c r="H921" s="28"/>
      <c r="I921" s="28"/>
      <c r="J921" s="255" t="str">
        <f>IF(H921="","",(_xlfn.XLOOKUP(H921,Cadastros!$D$6:$D$90,Cadastros!$E$6:$E$90))*(1-_xlfn.XLOOKUP(_xlfn.XLOOKUP($F921,Clientes!$B$4:$B$39,Clientes!$C$4:$C$39),Cadastros!$L$6:$L$12,Cadastros!$N$6:$N$12)))</f>
        <v/>
      </c>
      <c r="K921" s="168" t="str">
        <f t="shared" si="183"/>
        <v/>
      </c>
      <c r="L921" s="168" t="str">
        <f>IFERROR(K921/_xlfn.XLOOKUP(_xlfn.XLOOKUP($F921,Clientes!$B$4:$B$39,Clientes!$C$4:$C$39),Cadastros!$L$6:$L$12,Cadastros!$M$6:$M$12)," ")</f>
        <v xml:space="preserve"> </v>
      </c>
      <c r="M921" s="28"/>
      <c r="N921" s="28"/>
      <c r="O921" s="255" t="str">
        <f>IF(M921="","",(_xlfn.XLOOKUP(M921,Cadastros!$D$6:$D$90,Cadastros!$E$6:$E$90))*(1-_xlfn.XLOOKUP(_xlfn.XLOOKUP($F921,Clientes!$B$4:$B$39,Clientes!$C$4:$C$39),Cadastros!$L$6:$L$12,Cadastros!$N$6:$N$12)))</f>
        <v/>
      </c>
      <c r="P921" s="168" t="str">
        <f t="shared" si="184"/>
        <v/>
      </c>
      <c r="Q921" s="168" t="str">
        <f>IFERROR(P921/_xlfn.XLOOKUP(_xlfn.XLOOKUP($F921,Clientes!$B$4:$B$39,Clientes!$C$4:$C$39),Cadastros!$L$6:$L$12,Cadastros!$M$6:$M$12)," ")</f>
        <v xml:space="preserve"> </v>
      </c>
      <c r="R921" s="28"/>
      <c r="S921" s="28"/>
      <c r="T921" s="255" t="str">
        <f>IF(R921="","",(_xlfn.XLOOKUP(R921,Cadastros!$D$6:$D$90,Cadastros!$E$6:$E$90))*(1-_xlfn.XLOOKUP(_xlfn.XLOOKUP($F921,Clientes!$B$4:$B$39,Clientes!$C$4:$C$39),Cadastros!$L$6:$L$12,Cadastros!$N$6:$N$12)))</f>
        <v/>
      </c>
      <c r="U921" s="168" t="str">
        <f t="shared" si="185"/>
        <v/>
      </c>
      <c r="V921" s="168" t="str">
        <f>IFERROR(U921/_xlfn.XLOOKUP(_xlfn.XLOOKUP($F921,Clientes!$B$4:$B$39,Clientes!$C$4:$C$39),Cadastros!$L$6:$L$12,Cadastros!$M$6:$M$12)," ")</f>
        <v xml:space="preserve"> </v>
      </c>
      <c r="W921" s="28"/>
      <c r="X921" s="28"/>
      <c r="Y921" s="255" t="str">
        <f>IF(W921="","",(_xlfn.XLOOKUP(W921,Cadastros!$D$6:$D$90,Cadastros!$E$6:$E$90))*(1-_xlfn.XLOOKUP(_xlfn.XLOOKUP($F921,Clientes!$B$4:$B$39,Clientes!$C$4:$C$39),Cadastros!$L$6:$L$12,Cadastros!$N$6:$N$12)))</f>
        <v/>
      </c>
      <c r="Z921" s="168" t="str">
        <f t="shared" si="186"/>
        <v/>
      </c>
      <c r="AA921" s="168" t="str">
        <f>IFERROR(Z921/_xlfn.XLOOKUP(_xlfn.XLOOKUP($F921,Clientes!$B$4:$B$39,Clientes!$C$4:$C$39),Cadastros!$L$6:$L$12,Cadastros!$M$6:$M$12)," ")</f>
        <v xml:space="preserve"> </v>
      </c>
      <c r="AB921" s="28"/>
      <c r="AC921" s="28"/>
      <c r="AD921" s="20" t="str">
        <f>IF(AB921="","",IF($F921="Bernardino Furlan",_xlfn.XLOOKUP(AB921,Cadastros!$G$6:$G$90,Cadastros!$H$6:$H$90)*(1-0.18),IF($F921="Mauro José Salanti",_xlfn.XLOOKUP(AB921,Cadastros!$G$6:$G$90,Cadastros!$H$6:$H$90)*(1-0.18),_xlfn.XLOOKUP(AB921,Cadastros!$G$6:$G$90,Cadastros!$H$6:$H$90))))</f>
        <v/>
      </c>
      <c r="AE921" s="168" t="str">
        <f t="shared" si="187"/>
        <v/>
      </c>
      <c r="AF921" s="168" t="str">
        <f t="shared" si="188"/>
        <v/>
      </c>
      <c r="AG921" s="28"/>
      <c r="AH921" s="28"/>
      <c r="AI921" s="20" t="str">
        <f>IF(AG921="","",IF($F921="Bernardino Furlan",_xlfn.XLOOKUP(AG921,Cadastros!$G$6:$G$90,Cadastros!$H$6:$H$90)*(1-0.18),IF($F921="Mauro José Salanti",_xlfn.XLOOKUP(AG921,Cadastros!$G$6:$G$90,Cadastros!$H$6:$H$90)*(1-0.18),_xlfn.XLOOKUP(AG921,Cadastros!$G$6:$G$90,Cadastros!$H$6:$H$90))))</f>
        <v/>
      </c>
      <c r="AJ921" s="168" t="str">
        <f t="shared" si="189"/>
        <v/>
      </c>
      <c r="AK921" s="168" t="str">
        <f t="shared" si="190"/>
        <v/>
      </c>
      <c r="AL921" s="28"/>
      <c r="AM921" s="28"/>
      <c r="AN921" s="20" t="str">
        <f>IF(AL921="","",IF($F921="Bernardino Furlan",_xlfn.XLOOKUP(AL921,Cadastros!$G$6:$G$90,Cadastros!$H$6:$H$90)*(1-0.18),IF($F921="Mauro José Salanti",_xlfn.XLOOKUP(AL921,Cadastros!$G$6:$G$90,Cadastros!$H$6:$H$90)*(1-0.18),_xlfn.XLOOKUP(AL921,Cadastros!$G$6:$G$90,Cadastros!$H$6:$H$90))))</f>
        <v/>
      </c>
      <c r="AO921" s="168" t="str">
        <f t="shared" si="191"/>
        <v/>
      </c>
      <c r="AP921" s="168" t="str">
        <f t="shared" si="192"/>
        <v/>
      </c>
      <c r="AQ921" s="28"/>
      <c r="AR921" s="28"/>
      <c r="AS921" s="20" t="str">
        <f>IF(AQ921="","",IF($F921="Bernardino Furlan",_xlfn.XLOOKUP(AQ921,Cadastros!$G$6:$G$90,Cadastros!$H$6:$H$90)*(1-0.18),IF($F921="Mauro José Salanti",_xlfn.XLOOKUP(AQ921,Cadastros!$G$6:$G$90,Cadastros!$H$6:$H$90)*(1-0.18),_xlfn.XLOOKUP(AQ921,Cadastros!$G$6:$G$90,Cadastros!$H$6:$H$90))))</f>
        <v/>
      </c>
      <c r="AT921" s="168" t="str">
        <f t="shared" si="193"/>
        <v/>
      </c>
      <c r="AU921" s="168" t="str">
        <f t="shared" si="194"/>
        <v/>
      </c>
      <c r="AV921" s="227"/>
      <c r="AW921" s="30"/>
      <c r="AX921" s="267"/>
      <c r="AY921" s="267"/>
      <c r="AZ921" s="29"/>
      <c r="BA921" s="30"/>
      <c r="BB921" s="23" t="str" cm="1">
        <f t="array" ref="BB921">_xlfn.IFS(AW921="SIM",SUM(K921,P921,U921,Z921,AE921,AJ921,AO921,AT921,AX921,AY921),F921&lt;&gt;"",SUM(K921,P921,U921,Z921,AE921,AJ921,,AO921,AT921),F921="","")</f>
        <v/>
      </c>
      <c r="BC921" s="211" t="str" cm="1">
        <f t="array" ref="BC921">_xlfn.IFS(E921="","",G921&lt;=E921,BB921*(1-0.03),G921&lt;(E921+8),BB921,AZ921="Boleto",BB921*(1+0.001)^DATEDIF(E921,G921,"D"),AZ921="Cheque",BB921,AZ921="Dinheiro","Alterar forma pgto")</f>
        <v/>
      </c>
      <c r="BD921" s="276" t="str" cm="1">
        <f t="array" ref="BD921">IF(F921=0," ",IF(BC921&lt;BB921,(_xlfn.IFS(AW921="SIM",SUM(L921,Q921,V921,AA921,AF921,AK921,AP921,AU921)+AX921/_xlfn.XLOOKUP(_xlfn.XLOOKUP($F921,Clientes!$B$4:$B$39,Clientes!$C$4:$C$39),Cadastros!$L$6:$L$12,Cadastros!$M$6:$M$12)+IF($F921="Bernardino Furlan",AY921/2751.92,IF($F921="Mauro José Salanti",AY921/2751.92,AY921/3356)),F921&lt;&gt;0,SUM(L921,Q921,V921,AA921,AF921,AK921,AP921,AU921)))*(1-0.03),_xlfn.IFS(AW921="SIM",SUM(L921,Q921,V921,AA921,AF921,AK921,AP921,AU921)+AX921/_xlfn.XLOOKUP(_xlfn.XLOOKUP($F921,Clientes!$B$4:$B$39,Clientes!$C$4:$C$39),Cadastros!$L$6:$L$12,Cadastros!$M$6:$M$12)+IF($F921="Bernardino Furlan",AY921/2751.92,IF($F921="Mauro José Salanti",AY921/2751.92,AY921/3356)),F921&lt;&gt;0,SUM(L921,Q921,V921,AA921,AF921,AK921,AP921,AU921))))</f>
        <v xml:space="preserve"> </v>
      </c>
      <c r="BE921" s="120"/>
      <c r="BF921" s="120"/>
      <c r="BG921" s="120"/>
    </row>
    <row r="922" spans="1:59" s="3" customFormat="1" x14ac:dyDescent="0.3">
      <c r="A922" s="15" t="str">
        <f t="shared" si="182"/>
        <v/>
      </c>
      <c r="B922" s="25"/>
      <c r="C922" s="26"/>
      <c r="D922" s="279"/>
      <c r="E922" s="27"/>
      <c r="F922" s="28"/>
      <c r="G922" s="27"/>
      <c r="H922" s="28"/>
      <c r="I922" s="28"/>
      <c r="J922" s="255" t="str">
        <f>IF(H922="","",(_xlfn.XLOOKUP(H922,Cadastros!$D$6:$D$90,Cadastros!$E$6:$E$90))*(1-_xlfn.XLOOKUP(_xlfn.XLOOKUP($F922,Clientes!$B$4:$B$39,Clientes!$C$4:$C$39),Cadastros!$L$6:$L$12,Cadastros!$N$6:$N$12)))</f>
        <v/>
      </c>
      <c r="K922" s="168" t="str">
        <f t="shared" si="183"/>
        <v/>
      </c>
      <c r="L922" s="168" t="str">
        <f>IFERROR(K922/_xlfn.XLOOKUP(_xlfn.XLOOKUP($F922,Clientes!$B$4:$B$39,Clientes!$C$4:$C$39),Cadastros!$L$6:$L$12,Cadastros!$M$6:$M$12)," ")</f>
        <v xml:space="preserve"> </v>
      </c>
      <c r="M922" s="28"/>
      <c r="N922" s="28"/>
      <c r="O922" s="255" t="str">
        <f>IF(M922="","",(_xlfn.XLOOKUP(M922,Cadastros!$D$6:$D$90,Cadastros!$E$6:$E$90))*(1-_xlfn.XLOOKUP(_xlfn.XLOOKUP($F922,Clientes!$B$4:$B$39,Clientes!$C$4:$C$39),Cadastros!$L$6:$L$12,Cadastros!$N$6:$N$12)))</f>
        <v/>
      </c>
      <c r="P922" s="168" t="str">
        <f t="shared" si="184"/>
        <v/>
      </c>
      <c r="Q922" s="168" t="str">
        <f>IFERROR(P922/_xlfn.XLOOKUP(_xlfn.XLOOKUP($F922,Clientes!$B$4:$B$39,Clientes!$C$4:$C$39),Cadastros!$L$6:$L$12,Cadastros!$M$6:$M$12)," ")</f>
        <v xml:space="preserve"> </v>
      </c>
      <c r="R922" s="28"/>
      <c r="S922" s="28"/>
      <c r="T922" s="255" t="str">
        <f>IF(R922="","",(_xlfn.XLOOKUP(R922,Cadastros!$D$6:$D$90,Cadastros!$E$6:$E$90))*(1-_xlfn.XLOOKUP(_xlfn.XLOOKUP($F922,Clientes!$B$4:$B$39,Clientes!$C$4:$C$39),Cadastros!$L$6:$L$12,Cadastros!$N$6:$N$12)))</f>
        <v/>
      </c>
      <c r="U922" s="168" t="str">
        <f t="shared" si="185"/>
        <v/>
      </c>
      <c r="V922" s="168" t="str">
        <f>IFERROR(U922/_xlfn.XLOOKUP(_xlfn.XLOOKUP($F922,Clientes!$B$4:$B$39,Clientes!$C$4:$C$39),Cadastros!$L$6:$L$12,Cadastros!$M$6:$M$12)," ")</f>
        <v xml:space="preserve"> </v>
      </c>
      <c r="W922" s="28"/>
      <c r="X922" s="28"/>
      <c r="Y922" s="255" t="str">
        <f>IF(W922="","",(_xlfn.XLOOKUP(W922,Cadastros!$D$6:$D$90,Cadastros!$E$6:$E$90))*(1-_xlfn.XLOOKUP(_xlfn.XLOOKUP($F922,Clientes!$B$4:$B$39,Clientes!$C$4:$C$39),Cadastros!$L$6:$L$12,Cadastros!$N$6:$N$12)))</f>
        <v/>
      </c>
      <c r="Z922" s="168" t="str">
        <f t="shared" si="186"/>
        <v/>
      </c>
      <c r="AA922" s="168" t="str">
        <f>IFERROR(Z922/_xlfn.XLOOKUP(_xlfn.XLOOKUP($F922,Clientes!$B$4:$B$39,Clientes!$C$4:$C$39),Cadastros!$L$6:$L$12,Cadastros!$M$6:$M$12)," ")</f>
        <v xml:space="preserve"> </v>
      </c>
      <c r="AB922" s="28"/>
      <c r="AC922" s="28"/>
      <c r="AD922" s="20" t="str">
        <f>IF(AB922="","",IF($F922="Bernardino Furlan",_xlfn.XLOOKUP(AB922,Cadastros!$G$6:$G$90,Cadastros!$H$6:$H$90)*(1-0.18),IF($F922="Mauro José Salanti",_xlfn.XLOOKUP(AB922,Cadastros!$G$6:$G$90,Cadastros!$H$6:$H$90)*(1-0.18),_xlfn.XLOOKUP(AB922,Cadastros!$G$6:$G$90,Cadastros!$H$6:$H$90))))</f>
        <v/>
      </c>
      <c r="AE922" s="168" t="str">
        <f t="shared" si="187"/>
        <v/>
      </c>
      <c r="AF922" s="168" t="str">
        <f t="shared" si="188"/>
        <v/>
      </c>
      <c r="AG922" s="28"/>
      <c r="AH922" s="28"/>
      <c r="AI922" s="20" t="str">
        <f>IF(AG922="","",IF($F922="Bernardino Furlan",_xlfn.XLOOKUP(AG922,Cadastros!$G$6:$G$90,Cadastros!$H$6:$H$90)*(1-0.18),IF($F922="Mauro José Salanti",_xlfn.XLOOKUP(AG922,Cadastros!$G$6:$G$90,Cadastros!$H$6:$H$90)*(1-0.18),_xlfn.XLOOKUP(AG922,Cadastros!$G$6:$G$90,Cadastros!$H$6:$H$90))))</f>
        <v/>
      </c>
      <c r="AJ922" s="168" t="str">
        <f t="shared" si="189"/>
        <v/>
      </c>
      <c r="AK922" s="168" t="str">
        <f t="shared" si="190"/>
        <v/>
      </c>
      <c r="AL922" s="28"/>
      <c r="AM922" s="28"/>
      <c r="AN922" s="20" t="str">
        <f>IF(AL922="","",IF($F922="Bernardino Furlan",_xlfn.XLOOKUP(AL922,Cadastros!$G$6:$G$90,Cadastros!$H$6:$H$90)*(1-0.18),IF($F922="Mauro José Salanti",_xlfn.XLOOKUP(AL922,Cadastros!$G$6:$G$90,Cadastros!$H$6:$H$90)*(1-0.18),_xlfn.XLOOKUP(AL922,Cadastros!$G$6:$G$90,Cadastros!$H$6:$H$90))))</f>
        <v/>
      </c>
      <c r="AO922" s="168" t="str">
        <f t="shared" si="191"/>
        <v/>
      </c>
      <c r="AP922" s="168" t="str">
        <f t="shared" si="192"/>
        <v/>
      </c>
      <c r="AQ922" s="28"/>
      <c r="AR922" s="28"/>
      <c r="AS922" s="20" t="str">
        <f>IF(AQ922="","",IF($F922="Bernardino Furlan",_xlfn.XLOOKUP(AQ922,Cadastros!$G$6:$G$90,Cadastros!$H$6:$H$90)*(1-0.18),IF($F922="Mauro José Salanti",_xlfn.XLOOKUP(AQ922,Cadastros!$G$6:$G$90,Cadastros!$H$6:$H$90)*(1-0.18),_xlfn.XLOOKUP(AQ922,Cadastros!$G$6:$G$90,Cadastros!$H$6:$H$90))))</f>
        <v/>
      </c>
      <c r="AT922" s="168" t="str">
        <f t="shared" si="193"/>
        <v/>
      </c>
      <c r="AU922" s="168" t="str">
        <f t="shared" si="194"/>
        <v/>
      </c>
      <c r="AV922" s="227"/>
      <c r="AW922" s="30"/>
      <c r="AX922" s="267"/>
      <c r="AY922" s="267"/>
      <c r="AZ922" s="29"/>
      <c r="BA922" s="30"/>
      <c r="BB922" s="23" t="str" cm="1">
        <f t="array" ref="BB922">_xlfn.IFS(AW922="SIM",SUM(K922,P922,U922,Z922,AE922,AJ922,AO922,AT922,AX922,AY922),F922&lt;&gt;"",SUM(K922,P922,U922,Z922,AE922,AJ922,,AO922,AT922),F922="","")</f>
        <v/>
      </c>
      <c r="BC922" s="211" t="str" cm="1">
        <f t="array" ref="BC922">_xlfn.IFS(E922="","",G922&lt;=E922,BB922*(1-0.03),G922&lt;(E922+8),BB922,AZ922="Boleto",BB922*(1+0.001)^DATEDIF(E922,G922,"D"),AZ922="Cheque",BB922,AZ922="Dinheiro","Alterar forma pgto")</f>
        <v/>
      </c>
      <c r="BD922" s="276" t="str" cm="1">
        <f t="array" ref="BD922">IF(F922=0," ",IF(BC922&lt;BB922,(_xlfn.IFS(AW922="SIM",SUM(L922,Q922,V922,AA922,AF922,AK922,AP922,AU922)+AX922/_xlfn.XLOOKUP(_xlfn.XLOOKUP($F922,Clientes!$B$4:$B$39,Clientes!$C$4:$C$39),Cadastros!$L$6:$L$12,Cadastros!$M$6:$M$12)+IF($F922="Bernardino Furlan",AY922/2751.92,IF($F922="Mauro José Salanti",AY922/2751.92,AY922/3356)),F922&lt;&gt;0,SUM(L922,Q922,V922,AA922,AF922,AK922,AP922,AU922)))*(1-0.03),_xlfn.IFS(AW922="SIM",SUM(L922,Q922,V922,AA922,AF922,AK922,AP922,AU922)+AX922/_xlfn.XLOOKUP(_xlfn.XLOOKUP($F922,Clientes!$B$4:$B$39,Clientes!$C$4:$C$39),Cadastros!$L$6:$L$12,Cadastros!$M$6:$M$12)+IF($F922="Bernardino Furlan",AY922/2751.92,IF($F922="Mauro José Salanti",AY922/2751.92,AY922/3356)),F922&lt;&gt;0,SUM(L922,Q922,V922,AA922,AF922,AK922,AP922,AU922))))</f>
        <v xml:space="preserve"> </v>
      </c>
      <c r="BE922" s="120"/>
      <c r="BF922" s="120"/>
      <c r="BG922" s="120"/>
    </row>
    <row r="923" spans="1:59" s="3" customFormat="1" x14ac:dyDescent="0.3">
      <c r="A923" s="15" t="str">
        <f t="shared" si="182"/>
        <v/>
      </c>
      <c r="B923" s="25"/>
      <c r="C923" s="26"/>
      <c r="D923" s="279"/>
      <c r="E923" s="27"/>
      <c r="F923" s="28"/>
      <c r="G923" s="27"/>
      <c r="H923" s="28"/>
      <c r="I923" s="28"/>
      <c r="J923" s="255" t="str">
        <f>IF(H923="","",(_xlfn.XLOOKUP(H923,Cadastros!$D$6:$D$90,Cadastros!$E$6:$E$90))*(1-_xlfn.XLOOKUP(_xlfn.XLOOKUP($F923,Clientes!$B$4:$B$39,Clientes!$C$4:$C$39),Cadastros!$L$6:$L$12,Cadastros!$N$6:$N$12)))</f>
        <v/>
      </c>
      <c r="K923" s="168" t="str">
        <f t="shared" si="183"/>
        <v/>
      </c>
      <c r="L923" s="168" t="str">
        <f>IFERROR(K923/_xlfn.XLOOKUP(_xlfn.XLOOKUP($F923,Clientes!$B$4:$B$39,Clientes!$C$4:$C$39),Cadastros!$L$6:$L$12,Cadastros!$M$6:$M$12)," ")</f>
        <v xml:space="preserve"> </v>
      </c>
      <c r="M923" s="28"/>
      <c r="N923" s="28"/>
      <c r="O923" s="255" t="str">
        <f>IF(M923="","",(_xlfn.XLOOKUP(M923,Cadastros!$D$6:$D$90,Cadastros!$E$6:$E$90))*(1-_xlfn.XLOOKUP(_xlfn.XLOOKUP($F923,Clientes!$B$4:$B$39,Clientes!$C$4:$C$39),Cadastros!$L$6:$L$12,Cadastros!$N$6:$N$12)))</f>
        <v/>
      </c>
      <c r="P923" s="168" t="str">
        <f t="shared" si="184"/>
        <v/>
      </c>
      <c r="Q923" s="168" t="str">
        <f>IFERROR(P923/_xlfn.XLOOKUP(_xlfn.XLOOKUP($F923,Clientes!$B$4:$B$39,Clientes!$C$4:$C$39),Cadastros!$L$6:$L$12,Cadastros!$M$6:$M$12)," ")</f>
        <v xml:space="preserve"> </v>
      </c>
      <c r="R923" s="28"/>
      <c r="S923" s="28"/>
      <c r="T923" s="255" t="str">
        <f>IF(R923="","",(_xlfn.XLOOKUP(R923,Cadastros!$D$6:$D$90,Cadastros!$E$6:$E$90))*(1-_xlfn.XLOOKUP(_xlfn.XLOOKUP($F923,Clientes!$B$4:$B$39,Clientes!$C$4:$C$39),Cadastros!$L$6:$L$12,Cadastros!$N$6:$N$12)))</f>
        <v/>
      </c>
      <c r="U923" s="168" t="str">
        <f t="shared" si="185"/>
        <v/>
      </c>
      <c r="V923" s="168" t="str">
        <f>IFERROR(U923/_xlfn.XLOOKUP(_xlfn.XLOOKUP($F923,Clientes!$B$4:$B$39,Clientes!$C$4:$C$39),Cadastros!$L$6:$L$12,Cadastros!$M$6:$M$12)," ")</f>
        <v xml:space="preserve"> </v>
      </c>
      <c r="W923" s="28"/>
      <c r="X923" s="28"/>
      <c r="Y923" s="255" t="str">
        <f>IF(W923="","",(_xlfn.XLOOKUP(W923,Cadastros!$D$6:$D$90,Cadastros!$E$6:$E$90))*(1-_xlfn.XLOOKUP(_xlfn.XLOOKUP($F923,Clientes!$B$4:$B$39,Clientes!$C$4:$C$39),Cadastros!$L$6:$L$12,Cadastros!$N$6:$N$12)))</f>
        <v/>
      </c>
      <c r="Z923" s="168" t="str">
        <f t="shared" si="186"/>
        <v/>
      </c>
      <c r="AA923" s="168" t="str">
        <f>IFERROR(Z923/_xlfn.XLOOKUP(_xlfn.XLOOKUP($F923,Clientes!$B$4:$B$39,Clientes!$C$4:$C$39),Cadastros!$L$6:$L$12,Cadastros!$M$6:$M$12)," ")</f>
        <v xml:space="preserve"> </v>
      </c>
      <c r="AB923" s="28"/>
      <c r="AC923" s="28"/>
      <c r="AD923" s="20" t="str">
        <f>IF(AB923="","",IF($F923="Bernardino Furlan",_xlfn.XLOOKUP(AB923,Cadastros!$G$6:$G$90,Cadastros!$H$6:$H$90)*(1-0.18),IF($F923="Mauro José Salanti",_xlfn.XLOOKUP(AB923,Cadastros!$G$6:$G$90,Cadastros!$H$6:$H$90)*(1-0.18),_xlfn.XLOOKUP(AB923,Cadastros!$G$6:$G$90,Cadastros!$H$6:$H$90))))</f>
        <v/>
      </c>
      <c r="AE923" s="168" t="str">
        <f t="shared" si="187"/>
        <v/>
      </c>
      <c r="AF923" s="168" t="str">
        <f t="shared" si="188"/>
        <v/>
      </c>
      <c r="AG923" s="28"/>
      <c r="AH923" s="28"/>
      <c r="AI923" s="20" t="str">
        <f>IF(AG923="","",IF($F923="Bernardino Furlan",_xlfn.XLOOKUP(AG923,Cadastros!$G$6:$G$90,Cadastros!$H$6:$H$90)*(1-0.18),IF($F923="Mauro José Salanti",_xlfn.XLOOKUP(AG923,Cadastros!$G$6:$G$90,Cadastros!$H$6:$H$90)*(1-0.18),_xlfn.XLOOKUP(AG923,Cadastros!$G$6:$G$90,Cadastros!$H$6:$H$90))))</f>
        <v/>
      </c>
      <c r="AJ923" s="168" t="str">
        <f t="shared" si="189"/>
        <v/>
      </c>
      <c r="AK923" s="168" t="str">
        <f t="shared" si="190"/>
        <v/>
      </c>
      <c r="AL923" s="28"/>
      <c r="AM923" s="28"/>
      <c r="AN923" s="20" t="str">
        <f>IF(AL923="","",IF($F923="Bernardino Furlan",_xlfn.XLOOKUP(AL923,Cadastros!$G$6:$G$90,Cadastros!$H$6:$H$90)*(1-0.18),IF($F923="Mauro José Salanti",_xlfn.XLOOKUP(AL923,Cadastros!$G$6:$G$90,Cadastros!$H$6:$H$90)*(1-0.18),_xlfn.XLOOKUP(AL923,Cadastros!$G$6:$G$90,Cadastros!$H$6:$H$90))))</f>
        <v/>
      </c>
      <c r="AO923" s="168" t="str">
        <f t="shared" si="191"/>
        <v/>
      </c>
      <c r="AP923" s="168" t="str">
        <f t="shared" si="192"/>
        <v/>
      </c>
      <c r="AQ923" s="28"/>
      <c r="AR923" s="28"/>
      <c r="AS923" s="20" t="str">
        <f>IF(AQ923="","",IF($F923="Bernardino Furlan",_xlfn.XLOOKUP(AQ923,Cadastros!$G$6:$G$90,Cadastros!$H$6:$H$90)*(1-0.18),IF($F923="Mauro José Salanti",_xlfn.XLOOKUP(AQ923,Cadastros!$G$6:$G$90,Cadastros!$H$6:$H$90)*(1-0.18),_xlfn.XLOOKUP(AQ923,Cadastros!$G$6:$G$90,Cadastros!$H$6:$H$90))))</f>
        <v/>
      </c>
      <c r="AT923" s="168" t="str">
        <f t="shared" si="193"/>
        <v/>
      </c>
      <c r="AU923" s="168" t="str">
        <f t="shared" si="194"/>
        <v/>
      </c>
      <c r="AV923" s="227"/>
      <c r="AW923" s="30"/>
      <c r="AX923" s="267"/>
      <c r="AY923" s="267"/>
      <c r="AZ923" s="29"/>
      <c r="BA923" s="30"/>
      <c r="BB923" s="23" t="str" cm="1">
        <f t="array" ref="BB923">_xlfn.IFS(AW923="SIM",SUM(K923,P923,U923,Z923,AE923,AJ923,AO923,AT923,AX923,AY923),F923&lt;&gt;"",SUM(K923,P923,U923,Z923,AE923,AJ923,,AO923,AT923),F923="","")</f>
        <v/>
      </c>
      <c r="BC923" s="211" t="str" cm="1">
        <f t="array" ref="BC923">_xlfn.IFS(E923="","",G923&lt;=E923,BB923*(1-0.03),G923&lt;(E923+8),BB923,AZ923="Boleto",BB923*(1+0.001)^DATEDIF(E923,G923,"D"),AZ923="Cheque",BB923,AZ923="Dinheiro","Alterar forma pgto")</f>
        <v/>
      </c>
      <c r="BD923" s="276" t="str" cm="1">
        <f t="array" ref="BD923">IF(F923=0," ",IF(BC923&lt;BB923,(_xlfn.IFS(AW923="SIM",SUM(L923,Q923,V923,AA923,AF923,AK923,AP923,AU923)+AX923/_xlfn.XLOOKUP(_xlfn.XLOOKUP($F923,Clientes!$B$4:$B$39,Clientes!$C$4:$C$39),Cadastros!$L$6:$L$12,Cadastros!$M$6:$M$12)+IF($F923="Bernardino Furlan",AY923/2751.92,IF($F923="Mauro José Salanti",AY923/2751.92,AY923/3356)),F923&lt;&gt;0,SUM(L923,Q923,V923,AA923,AF923,AK923,AP923,AU923)))*(1-0.03),_xlfn.IFS(AW923="SIM",SUM(L923,Q923,V923,AA923,AF923,AK923,AP923,AU923)+AX923/_xlfn.XLOOKUP(_xlfn.XLOOKUP($F923,Clientes!$B$4:$B$39,Clientes!$C$4:$C$39),Cadastros!$L$6:$L$12,Cadastros!$M$6:$M$12)+IF($F923="Bernardino Furlan",AY923/2751.92,IF($F923="Mauro José Salanti",AY923/2751.92,AY923/3356)),F923&lt;&gt;0,SUM(L923,Q923,V923,AA923,AF923,AK923,AP923,AU923))))</f>
        <v xml:space="preserve"> </v>
      </c>
      <c r="BE923" s="120"/>
      <c r="BF923" s="120"/>
      <c r="BG923" s="120"/>
    </row>
    <row r="924" spans="1:59" s="3" customFormat="1" x14ac:dyDescent="0.3">
      <c r="A924" s="15" t="str">
        <f t="shared" si="182"/>
        <v/>
      </c>
      <c r="B924" s="25"/>
      <c r="C924" s="26"/>
      <c r="D924" s="279"/>
      <c r="E924" s="27"/>
      <c r="F924" s="28"/>
      <c r="G924" s="27"/>
      <c r="H924" s="28"/>
      <c r="I924" s="28"/>
      <c r="J924" s="255" t="str">
        <f>IF(H924="","",(_xlfn.XLOOKUP(H924,Cadastros!$D$6:$D$90,Cadastros!$E$6:$E$90))*(1-_xlfn.XLOOKUP(_xlfn.XLOOKUP($F924,Clientes!$B$4:$B$39,Clientes!$C$4:$C$39),Cadastros!$L$6:$L$12,Cadastros!$N$6:$N$12)))</f>
        <v/>
      </c>
      <c r="K924" s="168" t="str">
        <f t="shared" si="183"/>
        <v/>
      </c>
      <c r="L924" s="168" t="str">
        <f>IFERROR(K924/_xlfn.XLOOKUP(_xlfn.XLOOKUP($F924,Clientes!$B$4:$B$39,Clientes!$C$4:$C$39),Cadastros!$L$6:$L$12,Cadastros!$M$6:$M$12)," ")</f>
        <v xml:space="preserve"> </v>
      </c>
      <c r="M924" s="28"/>
      <c r="N924" s="28"/>
      <c r="O924" s="255" t="str">
        <f>IF(M924="","",(_xlfn.XLOOKUP(M924,Cadastros!$D$6:$D$90,Cadastros!$E$6:$E$90))*(1-_xlfn.XLOOKUP(_xlfn.XLOOKUP($F924,Clientes!$B$4:$B$39,Clientes!$C$4:$C$39),Cadastros!$L$6:$L$12,Cadastros!$N$6:$N$12)))</f>
        <v/>
      </c>
      <c r="P924" s="168" t="str">
        <f t="shared" si="184"/>
        <v/>
      </c>
      <c r="Q924" s="168" t="str">
        <f>IFERROR(P924/_xlfn.XLOOKUP(_xlfn.XLOOKUP($F924,Clientes!$B$4:$B$39,Clientes!$C$4:$C$39),Cadastros!$L$6:$L$12,Cadastros!$M$6:$M$12)," ")</f>
        <v xml:space="preserve"> </v>
      </c>
      <c r="R924" s="28"/>
      <c r="S924" s="28"/>
      <c r="T924" s="255" t="str">
        <f>IF(R924="","",(_xlfn.XLOOKUP(R924,Cadastros!$D$6:$D$90,Cadastros!$E$6:$E$90))*(1-_xlfn.XLOOKUP(_xlfn.XLOOKUP($F924,Clientes!$B$4:$B$39,Clientes!$C$4:$C$39),Cadastros!$L$6:$L$12,Cadastros!$N$6:$N$12)))</f>
        <v/>
      </c>
      <c r="U924" s="168" t="str">
        <f t="shared" si="185"/>
        <v/>
      </c>
      <c r="V924" s="168" t="str">
        <f>IFERROR(U924/_xlfn.XLOOKUP(_xlfn.XLOOKUP($F924,Clientes!$B$4:$B$39,Clientes!$C$4:$C$39),Cadastros!$L$6:$L$12,Cadastros!$M$6:$M$12)," ")</f>
        <v xml:space="preserve"> </v>
      </c>
      <c r="W924" s="28"/>
      <c r="X924" s="28"/>
      <c r="Y924" s="255" t="str">
        <f>IF(W924="","",(_xlfn.XLOOKUP(W924,Cadastros!$D$6:$D$90,Cadastros!$E$6:$E$90))*(1-_xlfn.XLOOKUP(_xlfn.XLOOKUP($F924,Clientes!$B$4:$B$39,Clientes!$C$4:$C$39),Cadastros!$L$6:$L$12,Cadastros!$N$6:$N$12)))</f>
        <v/>
      </c>
      <c r="Z924" s="168" t="str">
        <f t="shared" si="186"/>
        <v/>
      </c>
      <c r="AA924" s="168" t="str">
        <f>IFERROR(Z924/_xlfn.XLOOKUP(_xlfn.XLOOKUP($F924,Clientes!$B$4:$B$39,Clientes!$C$4:$C$39),Cadastros!$L$6:$L$12,Cadastros!$M$6:$M$12)," ")</f>
        <v xml:space="preserve"> </v>
      </c>
      <c r="AB924" s="28"/>
      <c r="AC924" s="28"/>
      <c r="AD924" s="20" t="str">
        <f>IF(AB924="","",IF($F924="Bernardino Furlan",_xlfn.XLOOKUP(AB924,Cadastros!$G$6:$G$90,Cadastros!$H$6:$H$90)*(1-0.18),IF($F924="Mauro José Salanti",_xlfn.XLOOKUP(AB924,Cadastros!$G$6:$G$90,Cadastros!$H$6:$H$90)*(1-0.18),_xlfn.XLOOKUP(AB924,Cadastros!$G$6:$G$90,Cadastros!$H$6:$H$90))))</f>
        <v/>
      </c>
      <c r="AE924" s="168" t="str">
        <f t="shared" si="187"/>
        <v/>
      </c>
      <c r="AF924" s="168" t="str">
        <f t="shared" si="188"/>
        <v/>
      </c>
      <c r="AG924" s="28"/>
      <c r="AH924" s="28"/>
      <c r="AI924" s="20" t="str">
        <f>IF(AG924="","",IF($F924="Bernardino Furlan",_xlfn.XLOOKUP(AG924,Cadastros!$G$6:$G$90,Cadastros!$H$6:$H$90)*(1-0.18),IF($F924="Mauro José Salanti",_xlfn.XLOOKUP(AG924,Cadastros!$G$6:$G$90,Cadastros!$H$6:$H$90)*(1-0.18),_xlfn.XLOOKUP(AG924,Cadastros!$G$6:$G$90,Cadastros!$H$6:$H$90))))</f>
        <v/>
      </c>
      <c r="AJ924" s="168" t="str">
        <f t="shared" si="189"/>
        <v/>
      </c>
      <c r="AK924" s="168" t="str">
        <f t="shared" si="190"/>
        <v/>
      </c>
      <c r="AL924" s="28"/>
      <c r="AM924" s="28"/>
      <c r="AN924" s="20" t="str">
        <f>IF(AL924="","",IF($F924="Bernardino Furlan",_xlfn.XLOOKUP(AL924,Cadastros!$G$6:$G$90,Cadastros!$H$6:$H$90)*(1-0.18),IF($F924="Mauro José Salanti",_xlfn.XLOOKUP(AL924,Cadastros!$G$6:$G$90,Cadastros!$H$6:$H$90)*(1-0.18),_xlfn.XLOOKUP(AL924,Cadastros!$G$6:$G$90,Cadastros!$H$6:$H$90))))</f>
        <v/>
      </c>
      <c r="AO924" s="168" t="str">
        <f t="shared" si="191"/>
        <v/>
      </c>
      <c r="AP924" s="168" t="str">
        <f t="shared" si="192"/>
        <v/>
      </c>
      <c r="AQ924" s="28"/>
      <c r="AR924" s="28"/>
      <c r="AS924" s="20" t="str">
        <f>IF(AQ924="","",IF($F924="Bernardino Furlan",_xlfn.XLOOKUP(AQ924,Cadastros!$G$6:$G$90,Cadastros!$H$6:$H$90)*(1-0.18),IF($F924="Mauro José Salanti",_xlfn.XLOOKUP(AQ924,Cadastros!$G$6:$G$90,Cadastros!$H$6:$H$90)*(1-0.18),_xlfn.XLOOKUP(AQ924,Cadastros!$G$6:$G$90,Cadastros!$H$6:$H$90))))</f>
        <v/>
      </c>
      <c r="AT924" s="168" t="str">
        <f t="shared" si="193"/>
        <v/>
      </c>
      <c r="AU924" s="168" t="str">
        <f t="shared" si="194"/>
        <v/>
      </c>
      <c r="AV924" s="227"/>
      <c r="AW924" s="30"/>
      <c r="AX924" s="267"/>
      <c r="AY924" s="267"/>
      <c r="AZ924" s="29"/>
      <c r="BA924" s="30"/>
      <c r="BB924" s="23" t="str" cm="1">
        <f t="array" ref="BB924">_xlfn.IFS(AW924="SIM",SUM(K924,P924,U924,Z924,AE924,AJ924,AO924,AT924,AX924,AY924),F924&lt;&gt;"",SUM(K924,P924,U924,Z924,AE924,AJ924,,AO924,AT924),F924="","")</f>
        <v/>
      </c>
      <c r="BC924" s="211" t="str" cm="1">
        <f t="array" ref="BC924">_xlfn.IFS(E924="","",G924&lt;=E924,BB924*(1-0.03),G924&lt;(E924+8),BB924,AZ924="Boleto",BB924*(1+0.001)^DATEDIF(E924,G924,"D"),AZ924="Cheque",BB924,AZ924="Dinheiro","Alterar forma pgto")</f>
        <v/>
      </c>
      <c r="BD924" s="276" t="str" cm="1">
        <f t="array" ref="BD924">IF(F924=0," ",IF(BC924&lt;BB924,(_xlfn.IFS(AW924="SIM",SUM(L924,Q924,V924,AA924,AF924,AK924,AP924,AU924)+AX924/_xlfn.XLOOKUP(_xlfn.XLOOKUP($F924,Clientes!$B$4:$B$39,Clientes!$C$4:$C$39),Cadastros!$L$6:$L$12,Cadastros!$M$6:$M$12)+IF($F924="Bernardino Furlan",AY924/2751.92,IF($F924="Mauro José Salanti",AY924/2751.92,AY924/3356)),F924&lt;&gt;0,SUM(L924,Q924,V924,AA924,AF924,AK924,AP924,AU924)))*(1-0.03),_xlfn.IFS(AW924="SIM",SUM(L924,Q924,V924,AA924,AF924,AK924,AP924,AU924)+AX924/_xlfn.XLOOKUP(_xlfn.XLOOKUP($F924,Clientes!$B$4:$B$39,Clientes!$C$4:$C$39),Cadastros!$L$6:$L$12,Cadastros!$M$6:$M$12)+IF($F924="Bernardino Furlan",AY924/2751.92,IF($F924="Mauro José Salanti",AY924/2751.92,AY924/3356)),F924&lt;&gt;0,SUM(L924,Q924,V924,AA924,AF924,AK924,AP924,AU924))))</f>
        <v xml:space="preserve"> </v>
      </c>
      <c r="BE924" s="120"/>
      <c r="BF924" s="120"/>
      <c r="BG924" s="120"/>
    </row>
    <row r="925" spans="1:59" s="3" customFormat="1" x14ac:dyDescent="0.3">
      <c r="A925" s="15" t="str">
        <f t="shared" si="182"/>
        <v/>
      </c>
      <c r="B925" s="25"/>
      <c r="C925" s="26"/>
      <c r="D925" s="279"/>
      <c r="E925" s="27"/>
      <c r="F925" s="28"/>
      <c r="G925" s="27"/>
      <c r="H925" s="28"/>
      <c r="I925" s="28"/>
      <c r="J925" s="255" t="str">
        <f>IF(H925="","",(_xlfn.XLOOKUP(H925,Cadastros!$D$6:$D$90,Cadastros!$E$6:$E$90))*(1-_xlfn.XLOOKUP(_xlfn.XLOOKUP($F925,Clientes!$B$4:$B$39,Clientes!$C$4:$C$39),Cadastros!$L$6:$L$12,Cadastros!$N$6:$N$12)))</f>
        <v/>
      </c>
      <c r="K925" s="168" t="str">
        <f t="shared" si="183"/>
        <v/>
      </c>
      <c r="L925" s="168" t="str">
        <f>IFERROR(K925/_xlfn.XLOOKUP(_xlfn.XLOOKUP($F925,Clientes!$B$4:$B$39,Clientes!$C$4:$C$39),Cadastros!$L$6:$L$12,Cadastros!$M$6:$M$12)," ")</f>
        <v xml:space="preserve"> </v>
      </c>
      <c r="M925" s="28"/>
      <c r="N925" s="28"/>
      <c r="O925" s="255" t="str">
        <f>IF(M925="","",(_xlfn.XLOOKUP(M925,Cadastros!$D$6:$D$90,Cadastros!$E$6:$E$90))*(1-_xlfn.XLOOKUP(_xlfn.XLOOKUP($F925,Clientes!$B$4:$B$39,Clientes!$C$4:$C$39),Cadastros!$L$6:$L$12,Cadastros!$N$6:$N$12)))</f>
        <v/>
      </c>
      <c r="P925" s="168" t="str">
        <f t="shared" si="184"/>
        <v/>
      </c>
      <c r="Q925" s="168" t="str">
        <f>IFERROR(P925/_xlfn.XLOOKUP(_xlfn.XLOOKUP($F925,Clientes!$B$4:$B$39,Clientes!$C$4:$C$39),Cadastros!$L$6:$L$12,Cadastros!$M$6:$M$12)," ")</f>
        <v xml:space="preserve"> </v>
      </c>
      <c r="R925" s="28"/>
      <c r="S925" s="28"/>
      <c r="T925" s="255" t="str">
        <f>IF(R925="","",(_xlfn.XLOOKUP(R925,Cadastros!$D$6:$D$90,Cadastros!$E$6:$E$90))*(1-_xlfn.XLOOKUP(_xlfn.XLOOKUP($F925,Clientes!$B$4:$B$39,Clientes!$C$4:$C$39),Cadastros!$L$6:$L$12,Cadastros!$N$6:$N$12)))</f>
        <v/>
      </c>
      <c r="U925" s="168" t="str">
        <f t="shared" si="185"/>
        <v/>
      </c>
      <c r="V925" s="168" t="str">
        <f>IFERROR(U925/_xlfn.XLOOKUP(_xlfn.XLOOKUP($F925,Clientes!$B$4:$B$39,Clientes!$C$4:$C$39),Cadastros!$L$6:$L$12,Cadastros!$M$6:$M$12)," ")</f>
        <v xml:space="preserve"> </v>
      </c>
      <c r="W925" s="28"/>
      <c r="X925" s="28"/>
      <c r="Y925" s="255" t="str">
        <f>IF(W925="","",(_xlfn.XLOOKUP(W925,Cadastros!$D$6:$D$90,Cadastros!$E$6:$E$90))*(1-_xlfn.XLOOKUP(_xlfn.XLOOKUP($F925,Clientes!$B$4:$B$39,Clientes!$C$4:$C$39),Cadastros!$L$6:$L$12,Cadastros!$N$6:$N$12)))</f>
        <v/>
      </c>
      <c r="Z925" s="168" t="str">
        <f t="shared" si="186"/>
        <v/>
      </c>
      <c r="AA925" s="168" t="str">
        <f>IFERROR(Z925/_xlfn.XLOOKUP(_xlfn.XLOOKUP($F925,Clientes!$B$4:$B$39,Clientes!$C$4:$C$39),Cadastros!$L$6:$L$12,Cadastros!$M$6:$M$12)," ")</f>
        <v xml:space="preserve"> </v>
      </c>
      <c r="AB925" s="28"/>
      <c r="AC925" s="28"/>
      <c r="AD925" s="20" t="str">
        <f>IF(AB925="","",IF($F925="Bernardino Furlan",_xlfn.XLOOKUP(AB925,Cadastros!$G$6:$G$90,Cadastros!$H$6:$H$90)*(1-0.18),IF($F925="Mauro José Salanti",_xlfn.XLOOKUP(AB925,Cadastros!$G$6:$G$90,Cadastros!$H$6:$H$90)*(1-0.18),_xlfn.XLOOKUP(AB925,Cadastros!$G$6:$G$90,Cadastros!$H$6:$H$90))))</f>
        <v/>
      </c>
      <c r="AE925" s="168" t="str">
        <f t="shared" si="187"/>
        <v/>
      </c>
      <c r="AF925" s="168" t="str">
        <f t="shared" si="188"/>
        <v/>
      </c>
      <c r="AG925" s="28"/>
      <c r="AH925" s="28"/>
      <c r="AI925" s="20" t="str">
        <f>IF(AG925="","",IF($F925="Bernardino Furlan",_xlfn.XLOOKUP(AG925,Cadastros!$G$6:$G$90,Cadastros!$H$6:$H$90)*(1-0.18),IF($F925="Mauro José Salanti",_xlfn.XLOOKUP(AG925,Cadastros!$G$6:$G$90,Cadastros!$H$6:$H$90)*(1-0.18),_xlfn.XLOOKUP(AG925,Cadastros!$G$6:$G$90,Cadastros!$H$6:$H$90))))</f>
        <v/>
      </c>
      <c r="AJ925" s="168" t="str">
        <f t="shared" si="189"/>
        <v/>
      </c>
      <c r="AK925" s="168" t="str">
        <f t="shared" si="190"/>
        <v/>
      </c>
      <c r="AL925" s="28"/>
      <c r="AM925" s="28"/>
      <c r="AN925" s="20" t="str">
        <f>IF(AL925="","",IF($F925="Bernardino Furlan",_xlfn.XLOOKUP(AL925,Cadastros!$G$6:$G$90,Cadastros!$H$6:$H$90)*(1-0.18),IF($F925="Mauro José Salanti",_xlfn.XLOOKUP(AL925,Cadastros!$G$6:$G$90,Cadastros!$H$6:$H$90)*(1-0.18),_xlfn.XLOOKUP(AL925,Cadastros!$G$6:$G$90,Cadastros!$H$6:$H$90))))</f>
        <v/>
      </c>
      <c r="AO925" s="168" t="str">
        <f t="shared" si="191"/>
        <v/>
      </c>
      <c r="AP925" s="168" t="str">
        <f t="shared" si="192"/>
        <v/>
      </c>
      <c r="AQ925" s="28"/>
      <c r="AR925" s="28"/>
      <c r="AS925" s="20" t="str">
        <f>IF(AQ925="","",IF($F925="Bernardino Furlan",_xlfn.XLOOKUP(AQ925,Cadastros!$G$6:$G$90,Cadastros!$H$6:$H$90)*(1-0.18),IF($F925="Mauro José Salanti",_xlfn.XLOOKUP(AQ925,Cadastros!$G$6:$G$90,Cadastros!$H$6:$H$90)*(1-0.18),_xlfn.XLOOKUP(AQ925,Cadastros!$G$6:$G$90,Cadastros!$H$6:$H$90))))</f>
        <v/>
      </c>
      <c r="AT925" s="168" t="str">
        <f t="shared" si="193"/>
        <v/>
      </c>
      <c r="AU925" s="168" t="str">
        <f t="shared" si="194"/>
        <v/>
      </c>
      <c r="AV925" s="227"/>
      <c r="AW925" s="30"/>
      <c r="AX925" s="267"/>
      <c r="AY925" s="267"/>
      <c r="AZ925" s="29"/>
      <c r="BA925" s="30"/>
      <c r="BB925" s="23" t="str" cm="1">
        <f t="array" ref="BB925">_xlfn.IFS(AW925="SIM",SUM(K925,P925,U925,Z925,AE925,AJ925,AO925,AT925,AX925,AY925),F925&lt;&gt;"",SUM(K925,P925,U925,Z925,AE925,AJ925,,AO925,AT925),F925="","")</f>
        <v/>
      </c>
      <c r="BC925" s="211" t="str" cm="1">
        <f t="array" ref="BC925">_xlfn.IFS(E925="","",G925&lt;=E925,BB925*(1-0.03),G925&lt;(E925+8),BB925,AZ925="Boleto",BB925*(1+0.001)^DATEDIF(E925,G925,"D"),AZ925="Cheque",BB925,AZ925="Dinheiro","Alterar forma pgto")</f>
        <v/>
      </c>
      <c r="BD925" s="276" t="str" cm="1">
        <f t="array" ref="BD925">IF(F925=0," ",IF(BC925&lt;BB925,(_xlfn.IFS(AW925="SIM",SUM(L925,Q925,V925,AA925,AF925,AK925,AP925,AU925)+AX925/_xlfn.XLOOKUP(_xlfn.XLOOKUP($F925,Clientes!$B$4:$B$39,Clientes!$C$4:$C$39),Cadastros!$L$6:$L$12,Cadastros!$M$6:$M$12)+IF($F925="Bernardino Furlan",AY925/2751.92,IF($F925="Mauro José Salanti",AY925/2751.92,AY925/3356)),F925&lt;&gt;0,SUM(L925,Q925,V925,AA925,AF925,AK925,AP925,AU925)))*(1-0.03),_xlfn.IFS(AW925="SIM",SUM(L925,Q925,V925,AA925,AF925,AK925,AP925,AU925)+AX925/_xlfn.XLOOKUP(_xlfn.XLOOKUP($F925,Clientes!$B$4:$B$39,Clientes!$C$4:$C$39),Cadastros!$L$6:$L$12,Cadastros!$M$6:$M$12)+IF($F925="Bernardino Furlan",AY925/2751.92,IF($F925="Mauro José Salanti",AY925/2751.92,AY925/3356)),F925&lt;&gt;0,SUM(L925,Q925,V925,AA925,AF925,AK925,AP925,AU925))))</f>
        <v xml:space="preserve"> </v>
      </c>
      <c r="BE925" s="120"/>
      <c r="BF925" s="120"/>
      <c r="BG925" s="120"/>
    </row>
    <row r="926" spans="1:59" s="3" customFormat="1" x14ac:dyDescent="0.3">
      <c r="A926" s="15" t="str">
        <f t="shared" si="182"/>
        <v/>
      </c>
      <c r="B926" s="25"/>
      <c r="C926" s="26"/>
      <c r="D926" s="279"/>
      <c r="E926" s="27"/>
      <c r="F926" s="28"/>
      <c r="G926" s="27"/>
      <c r="H926" s="28"/>
      <c r="I926" s="28"/>
      <c r="J926" s="255" t="str">
        <f>IF(H926="","",(_xlfn.XLOOKUP(H926,Cadastros!$D$6:$D$90,Cadastros!$E$6:$E$90))*(1-_xlfn.XLOOKUP(_xlfn.XLOOKUP($F926,Clientes!$B$4:$B$39,Clientes!$C$4:$C$39),Cadastros!$L$6:$L$12,Cadastros!$N$6:$N$12)))</f>
        <v/>
      </c>
      <c r="K926" s="168" t="str">
        <f t="shared" si="183"/>
        <v/>
      </c>
      <c r="L926" s="168" t="str">
        <f>IFERROR(K926/_xlfn.XLOOKUP(_xlfn.XLOOKUP($F926,Clientes!$B$4:$B$39,Clientes!$C$4:$C$39),Cadastros!$L$6:$L$12,Cadastros!$M$6:$M$12)," ")</f>
        <v xml:space="preserve"> </v>
      </c>
      <c r="M926" s="28"/>
      <c r="N926" s="28"/>
      <c r="O926" s="255" t="str">
        <f>IF(M926="","",(_xlfn.XLOOKUP(M926,Cadastros!$D$6:$D$90,Cadastros!$E$6:$E$90))*(1-_xlfn.XLOOKUP(_xlfn.XLOOKUP($F926,Clientes!$B$4:$B$39,Clientes!$C$4:$C$39),Cadastros!$L$6:$L$12,Cadastros!$N$6:$N$12)))</f>
        <v/>
      </c>
      <c r="P926" s="168" t="str">
        <f t="shared" si="184"/>
        <v/>
      </c>
      <c r="Q926" s="168" t="str">
        <f>IFERROR(P926/_xlfn.XLOOKUP(_xlfn.XLOOKUP($F926,Clientes!$B$4:$B$39,Clientes!$C$4:$C$39),Cadastros!$L$6:$L$12,Cadastros!$M$6:$M$12)," ")</f>
        <v xml:space="preserve"> </v>
      </c>
      <c r="R926" s="28"/>
      <c r="S926" s="28"/>
      <c r="T926" s="255" t="str">
        <f>IF(R926="","",(_xlfn.XLOOKUP(R926,Cadastros!$D$6:$D$90,Cadastros!$E$6:$E$90))*(1-_xlfn.XLOOKUP(_xlfn.XLOOKUP($F926,Clientes!$B$4:$B$39,Clientes!$C$4:$C$39),Cadastros!$L$6:$L$12,Cadastros!$N$6:$N$12)))</f>
        <v/>
      </c>
      <c r="U926" s="168" t="str">
        <f t="shared" si="185"/>
        <v/>
      </c>
      <c r="V926" s="168" t="str">
        <f>IFERROR(U926/_xlfn.XLOOKUP(_xlfn.XLOOKUP($F926,Clientes!$B$4:$B$39,Clientes!$C$4:$C$39),Cadastros!$L$6:$L$12,Cadastros!$M$6:$M$12)," ")</f>
        <v xml:space="preserve"> </v>
      </c>
      <c r="W926" s="28"/>
      <c r="X926" s="28"/>
      <c r="Y926" s="255" t="str">
        <f>IF(W926="","",(_xlfn.XLOOKUP(W926,Cadastros!$D$6:$D$90,Cadastros!$E$6:$E$90))*(1-_xlfn.XLOOKUP(_xlfn.XLOOKUP($F926,Clientes!$B$4:$B$39,Clientes!$C$4:$C$39),Cadastros!$L$6:$L$12,Cadastros!$N$6:$N$12)))</f>
        <v/>
      </c>
      <c r="Z926" s="168" t="str">
        <f t="shared" si="186"/>
        <v/>
      </c>
      <c r="AA926" s="168" t="str">
        <f>IFERROR(Z926/_xlfn.XLOOKUP(_xlfn.XLOOKUP($F926,Clientes!$B$4:$B$39,Clientes!$C$4:$C$39),Cadastros!$L$6:$L$12,Cadastros!$M$6:$M$12)," ")</f>
        <v xml:space="preserve"> </v>
      </c>
      <c r="AB926" s="28"/>
      <c r="AC926" s="28"/>
      <c r="AD926" s="20" t="str">
        <f>IF(AB926="","",IF($F926="Bernardino Furlan",_xlfn.XLOOKUP(AB926,Cadastros!$G$6:$G$90,Cadastros!$H$6:$H$90)*(1-0.18),IF($F926="Mauro José Salanti",_xlfn.XLOOKUP(AB926,Cadastros!$G$6:$G$90,Cadastros!$H$6:$H$90)*(1-0.18),_xlfn.XLOOKUP(AB926,Cadastros!$G$6:$G$90,Cadastros!$H$6:$H$90))))</f>
        <v/>
      </c>
      <c r="AE926" s="168" t="str">
        <f t="shared" si="187"/>
        <v/>
      </c>
      <c r="AF926" s="168" t="str">
        <f t="shared" si="188"/>
        <v/>
      </c>
      <c r="AG926" s="28"/>
      <c r="AH926" s="28"/>
      <c r="AI926" s="20" t="str">
        <f>IF(AG926="","",IF($F926="Bernardino Furlan",_xlfn.XLOOKUP(AG926,Cadastros!$G$6:$G$90,Cadastros!$H$6:$H$90)*(1-0.18),IF($F926="Mauro José Salanti",_xlfn.XLOOKUP(AG926,Cadastros!$G$6:$G$90,Cadastros!$H$6:$H$90)*(1-0.18),_xlfn.XLOOKUP(AG926,Cadastros!$G$6:$G$90,Cadastros!$H$6:$H$90))))</f>
        <v/>
      </c>
      <c r="AJ926" s="168" t="str">
        <f t="shared" si="189"/>
        <v/>
      </c>
      <c r="AK926" s="168" t="str">
        <f t="shared" si="190"/>
        <v/>
      </c>
      <c r="AL926" s="28"/>
      <c r="AM926" s="28"/>
      <c r="AN926" s="20" t="str">
        <f>IF(AL926="","",IF($F926="Bernardino Furlan",_xlfn.XLOOKUP(AL926,Cadastros!$G$6:$G$90,Cadastros!$H$6:$H$90)*(1-0.18),IF($F926="Mauro José Salanti",_xlfn.XLOOKUP(AL926,Cadastros!$G$6:$G$90,Cadastros!$H$6:$H$90)*(1-0.18),_xlfn.XLOOKUP(AL926,Cadastros!$G$6:$G$90,Cadastros!$H$6:$H$90))))</f>
        <v/>
      </c>
      <c r="AO926" s="168" t="str">
        <f t="shared" si="191"/>
        <v/>
      </c>
      <c r="AP926" s="168" t="str">
        <f t="shared" si="192"/>
        <v/>
      </c>
      <c r="AQ926" s="28"/>
      <c r="AR926" s="28"/>
      <c r="AS926" s="20" t="str">
        <f>IF(AQ926="","",IF($F926="Bernardino Furlan",_xlfn.XLOOKUP(AQ926,Cadastros!$G$6:$G$90,Cadastros!$H$6:$H$90)*(1-0.18),IF($F926="Mauro José Salanti",_xlfn.XLOOKUP(AQ926,Cadastros!$G$6:$G$90,Cadastros!$H$6:$H$90)*(1-0.18),_xlfn.XLOOKUP(AQ926,Cadastros!$G$6:$G$90,Cadastros!$H$6:$H$90))))</f>
        <v/>
      </c>
      <c r="AT926" s="168" t="str">
        <f t="shared" si="193"/>
        <v/>
      </c>
      <c r="AU926" s="168" t="str">
        <f t="shared" si="194"/>
        <v/>
      </c>
      <c r="AV926" s="227"/>
      <c r="AW926" s="30"/>
      <c r="AX926" s="267"/>
      <c r="AY926" s="267"/>
      <c r="AZ926" s="29"/>
      <c r="BA926" s="30"/>
      <c r="BB926" s="23" t="str" cm="1">
        <f t="array" ref="BB926">_xlfn.IFS(AW926="SIM",SUM(K926,P926,U926,Z926,AE926,AJ926,AO926,AT926,AX926,AY926),F926&lt;&gt;"",SUM(K926,P926,U926,Z926,AE926,AJ926,,AO926,AT926),F926="","")</f>
        <v/>
      </c>
      <c r="BC926" s="211" t="str" cm="1">
        <f t="array" ref="BC926">_xlfn.IFS(E926="","",G926&lt;=E926,BB926*(1-0.03),G926&lt;(E926+8),BB926,AZ926="Boleto",BB926*(1+0.001)^DATEDIF(E926,G926,"D"),AZ926="Cheque",BB926,AZ926="Dinheiro","Alterar forma pgto")</f>
        <v/>
      </c>
      <c r="BD926" s="276" t="str" cm="1">
        <f t="array" ref="BD926">IF(F926=0," ",IF(BC926&lt;BB926,(_xlfn.IFS(AW926="SIM",SUM(L926,Q926,V926,AA926,AF926,AK926,AP926,AU926)+AX926/_xlfn.XLOOKUP(_xlfn.XLOOKUP($F926,Clientes!$B$4:$B$39,Clientes!$C$4:$C$39),Cadastros!$L$6:$L$12,Cadastros!$M$6:$M$12)+IF($F926="Bernardino Furlan",AY926/2751.92,IF($F926="Mauro José Salanti",AY926/2751.92,AY926/3356)),F926&lt;&gt;0,SUM(L926,Q926,V926,AA926,AF926,AK926,AP926,AU926)))*(1-0.03),_xlfn.IFS(AW926="SIM",SUM(L926,Q926,V926,AA926,AF926,AK926,AP926,AU926)+AX926/_xlfn.XLOOKUP(_xlfn.XLOOKUP($F926,Clientes!$B$4:$B$39,Clientes!$C$4:$C$39),Cadastros!$L$6:$L$12,Cadastros!$M$6:$M$12)+IF($F926="Bernardino Furlan",AY926/2751.92,IF($F926="Mauro José Salanti",AY926/2751.92,AY926/3356)),F926&lt;&gt;0,SUM(L926,Q926,V926,AA926,AF926,AK926,AP926,AU926))))</f>
        <v xml:space="preserve"> </v>
      </c>
      <c r="BE926" s="120"/>
      <c r="BF926" s="120"/>
      <c r="BG926" s="120"/>
    </row>
    <row r="927" spans="1:59" s="3" customFormat="1" x14ac:dyDescent="0.3">
      <c r="A927" s="15" t="str">
        <f t="shared" si="182"/>
        <v/>
      </c>
      <c r="B927" s="25"/>
      <c r="C927" s="26"/>
      <c r="D927" s="279"/>
      <c r="E927" s="27"/>
      <c r="F927" s="28"/>
      <c r="G927" s="27"/>
      <c r="H927" s="28"/>
      <c r="I927" s="28"/>
      <c r="J927" s="255" t="str">
        <f>IF(H927="","",(_xlfn.XLOOKUP(H927,Cadastros!$D$6:$D$90,Cadastros!$E$6:$E$90))*(1-_xlfn.XLOOKUP(_xlfn.XLOOKUP($F927,Clientes!$B$4:$B$39,Clientes!$C$4:$C$39),Cadastros!$L$6:$L$12,Cadastros!$N$6:$N$12)))</f>
        <v/>
      </c>
      <c r="K927" s="168" t="str">
        <f t="shared" si="183"/>
        <v/>
      </c>
      <c r="L927" s="168" t="str">
        <f>IFERROR(K927/_xlfn.XLOOKUP(_xlfn.XLOOKUP($F927,Clientes!$B$4:$B$39,Clientes!$C$4:$C$39),Cadastros!$L$6:$L$12,Cadastros!$M$6:$M$12)," ")</f>
        <v xml:space="preserve"> </v>
      </c>
      <c r="M927" s="28"/>
      <c r="N927" s="28"/>
      <c r="O927" s="255" t="str">
        <f>IF(M927="","",(_xlfn.XLOOKUP(M927,Cadastros!$D$6:$D$90,Cadastros!$E$6:$E$90))*(1-_xlfn.XLOOKUP(_xlfn.XLOOKUP($F927,Clientes!$B$4:$B$39,Clientes!$C$4:$C$39),Cadastros!$L$6:$L$12,Cadastros!$N$6:$N$12)))</f>
        <v/>
      </c>
      <c r="P927" s="168" t="str">
        <f t="shared" si="184"/>
        <v/>
      </c>
      <c r="Q927" s="168" t="str">
        <f>IFERROR(P927/_xlfn.XLOOKUP(_xlfn.XLOOKUP($F927,Clientes!$B$4:$B$39,Clientes!$C$4:$C$39),Cadastros!$L$6:$L$12,Cadastros!$M$6:$M$12)," ")</f>
        <v xml:space="preserve"> </v>
      </c>
      <c r="R927" s="28"/>
      <c r="S927" s="28"/>
      <c r="T927" s="255" t="str">
        <f>IF(R927="","",(_xlfn.XLOOKUP(R927,Cadastros!$D$6:$D$90,Cadastros!$E$6:$E$90))*(1-_xlfn.XLOOKUP(_xlfn.XLOOKUP($F927,Clientes!$B$4:$B$39,Clientes!$C$4:$C$39),Cadastros!$L$6:$L$12,Cadastros!$N$6:$N$12)))</f>
        <v/>
      </c>
      <c r="U927" s="168" t="str">
        <f t="shared" si="185"/>
        <v/>
      </c>
      <c r="V927" s="168" t="str">
        <f>IFERROR(U927/_xlfn.XLOOKUP(_xlfn.XLOOKUP($F927,Clientes!$B$4:$B$39,Clientes!$C$4:$C$39),Cadastros!$L$6:$L$12,Cadastros!$M$6:$M$12)," ")</f>
        <v xml:space="preserve"> </v>
      </c>
      <c r="W927" s="28"/>
      <c r="X927" s="28"/>
      <c r="Y927" s="255" t="str">
        <f>IF(W927="","",(_xlfn.XLOOKUP(W927,Cadastros!$D$6:$D$90,Cadastros!$E$6:$E$90))*(1-_xlfn.XLOOKUP(_xlfn.XLOOKUP($F927,Clientes!$B$4:$B$39,Clientes!$C$4:$C$39),Cadastros!$L$6:$L$12,Cadastros!$N$6:$N$12)))</f>
        <v/>
      </c>
      <c r="Z927" s="168" t="str">
        <f t="shared" si="186"/>
        <v/>
      </c>
      <c r="AA927" s="168" t="str">
        <f>IFERROR(Z927/_xlfn.XLOOKUP(_xlfn.XLOOKUP($F927,Clientes!$B$4:$B$39,Clientes!$C$4:$C$39),Cadastros!$L$6:$L$12,Cadastros!$M$6:$M$12)," ")</f>
        <v xml:space="preserve"> </v>
      </c>
      <c r="AB927" s="28"/>
      <c r="AC927" s="28"/>
      <c r="AD927" s="20" t="str">
        <f>IF(AB927="","",IF($F927="Bernardino Furlan",_xlfn.XLOOKUP(AB927,Cadastros!$G$6:$G$90,Cadastros!$H$6:$H$90)*(1-0.18),IF($F927="Mauro José Salanti",_xlfn.XLOOKUP(AB927,Cadastros!$G$6:$G$90,Cadastros!$H$6:$H$90)*(1-0.18),_xlfn.XLOOKUP(AB927,Cadastros!$G$6:$G$90,Cadastros!$H$6:$H$90))))</f>
        <v/>
      </c>
      <c r="AE927" s="168" t="str">
        <f t="shared" si="187"/>
        <v/>
      </c>
      <c r="AF927" s="168" t="str">
        <f t="shared" si="188"/>
        <v/>
      </c>
      <c r="AG927" s="28"/>
      <c r="AH927" s="28"/>
      <c r="AI927" s="20" t="str">
        <f>IF(AG927="","",IF($F927="Bernardino Furlan",_xlfn.XLOOKUP(AG927,Cadastros!$G$6:$G$90,Cadastros!$H$6:$H$90)*(1-0.18),IF($F927="Mauro José Salanti",_xlfn.XLOOKUP(AG927,Cadastros!$G$6:$G$90,Cadastros!$H$6:$H$90)*(1-0.18),_xlfn.XLOOKUP(AG927,Cadastros!$G$6:$G$90,Cadastros!$H$6:$H$90))))</f>
        <v/>
      </c>
      <c r="AJ927" s="168" t="str">
        <f t="shared" si="189"/>
        <v/>
      </c>
      <c r="AK927" s="168" t="str">
        <f t="shared" si="190"/>
        <v/>
      </c>
      <c r="AL927" s="28"/>
      <c r="AM927" s="28"/>
      <c r="AN927" s="20" t="str">
        <f>IF(AL927="","",IF($F927="Bernardino Furlan",_xlfn.XLOOKUP(AL927,Cadastros!$G$6:$G$90,Cadastros!$H$6:$H$90)*(1-0.18),IF($F927="Mauro José Salanti",_xlfn.XLOOKUP(AL927,Cadastros!$G$6:$G$90,Cadastros!$H$6:$H$90)*(1-0.18),_xlfn.XLOOKUP(AL927,Cadastros!$G$6:$G$90,Cadastros!$H$6:$H$90))))</f>
        <v/>
      </c>
      <c r="AO927" s="168" t="str">
        <f t="shared" si="191"/>
        <v/>
      </c>
      <c r="AP927" s="168" t="str">
        <f t="shared" si="192"/>
        <v/>
      </c>
      <c r="AQ927" s="28"/>
      <c r="AR927" s="28"/>
      <c r="AS927" s="20" t="str">
        <f>IF(AQ927="","",IF($F927="Bernardino Furlan",_xlfn.XLOOKUP(AQ927,Cadastros!$G$6:$G$90,Cadastros!$H$6:$H$90)*(1-0.18),IF($F927="Mauro José Salanti",_xlfn.XLOOKUP(AQ927,Cadastros!$G$6:$G$90,Cadastros!$H$6:$H$90)*(1-0.18),_xlfn.XLOOKUP(AQ927,Cadastros!$G$6:$G$90,Cadastros!$H$6:$H$90))))</f>
        <v/>
      </c>
      <c r="AT927" s="168" t="str">
        <f t="shared" si="193"/>
        <v/>
      </c>
      <c r="AU927" s="168" t="str">
        <f t="shared" si="194"/>
        <v/>
      </c>
      <c r="AV927" s="227"/>
      <c r="AW927" s="30"/>
      <c r="AX927" s="267"/>
      <c r="AY927" s="267"/>
      <c r="AZ927" s="29"/>
      <c r="BA927" s="30"/>
      <c r="BB927" s="23" t="str" cm="1">
        <f t="array" ref="BB927">_xlfn.IFS(AW927="SIM",SUM(K927,P927,U927,Z927,AE927,AJ927,AO927,AT927,AX927,AY927),F927&lt;&gt;"",SUM(K927,P927,U927,Z927,AE927,AJ927,,AO927,AT927),F927="","")</f>
        <v/>
      </c>
      <c r="BC927" s="211" t="str" cm="1">
        <f t="array" ref="BC927">_xlfn.IFS(E927="","",G927&lt;=E927,BB927*(1-0.03),G927&lt;(E927+8),BB927,AZ927="Boleto",BB927*(1+0.001)^DATEDIF(E927,G927,"D"),AZ927="Cheque",BB927,AZ927="Dinheiro","Alterar forma pgto")</f>
        <v/>
      </c>
      <c r="BD927" s="276" t="str" cm="1">
        <f t="array" ref="BD927">IF(F927=0," ",IF(BC927&lt;BB927,(_xlfn.IFS(AW927="SIM",SUM(L927,Q927,V927,AA927,AF927,AK927,AP927,AU927)+AX927/_xlfn.XLOOKUP(_xlfn.XLOOKUP($F927,Clientes!$B$4:$B$39,Clientes!$C$4:$C$39),Cadastros!$L$6:$L$12,Cadastros!$M$6:$M$12)+IF($F927="Bernardino Furlan",AY927/2751.92,IF($F927="Mauro José Salanti",AY927/2751.92,AY927/3356)),F927&lt;&gt;0,SUM(L927,Q927,V927,AA927,AF927,AK927,AP927,AU927)))*(1-0.03),_xlfn.IFS(AW927="SIM",SUM(L927,Q927,V927,AA927,AF927,AK927,AP927,AU927)+AX927/_xlfn.XLOOKUP(_xlfn.XLOOKUP($F927,Clientes!$B$4:$B$39,Clientes!$C$4:$C$39),Cadastros!$L$6:$L$12,Cadastros!$M$6:$M$12)+IF($F927="Bernardino Furlan",AY927/2751.92,IF($F927="Mauro José Salanti",AY927/2751.92,AY927/3356)),F927&lt;&gt;0,SUM(L927,Q927,V927,AA927,AF927,AK927,AP927,AU927))))</f>
        <v xml:space="preserve"> </v>
      </c>
      <c r="BE927" s="120"/>
      <c r="BF927" s="120"/>
      <c r="BG927" s="120"/>
    </row>
    <row r="928" spans="1:59" s="3" customFormat="1" x14ac:dyDescent="0.3">
      <c r="A928" s="15" t="str">
        <f t="shared" si="182"/>
        <v/>
      </c>
      <c r="B928" s="25"/>
      <c r="C928" s="26"/>
      <c r="D928" s="279"/>
      <c r="E928" s="27"/>
      <c r="F928" s="28"/>
      <c r="G928" s="27"/>
      <c r="H928" s="28"/>
      <c r="I928" s="28"/>
      <c r="J928" s="255" t="str">
        <f>IF(H928="","",(_xlfn.XLOOKUP(H928,Cadastros!$D$6:$D$90,Cadastros!$E$6:$E$90))*(1-_xlfn.XLOOKUP(_xlfn.XLOOKUP($F928,Clientes!$B$4:$B$39,Clientes!$C$4:$C$39),Cadastros!$L$6:$L$12,Cadastros!$N$6:$N$12)))</f>
        <v/>
      </c>
      <c r="K928" s="168" t="str">
        <f t="shared" si="183"/>
        <v/>
      </c>
      <c r="L928" s="168" t="str">
        <f>IFERROR(K928/_xlfn.XLOOKUP(_xlfn.XLOOKUP($F928,Clientes!$B$4:$B$39,Clientes!$C$4:$C$39),Cadastros!$L$6:$L$12,Cadastros!$M$6:$M$12)," ")</f>
        <v xml:space="preserve"> </v>
      </c>
      <c r="M928" s="28"/>
      <c r="N928" s="28"/>
      <c r="O928" s="255" t="str">
        <f>IF(M928="","",(_xlfn.XLOOKUP(M928,Cadastros!$D$6:$D$90,Cadastros!$E$6:$E$90))*(1-_xlfn.XLOOKUP(_xlfn.XLOOKUP($F928,Clientes!$B$4:$B$39,Clientes!$C$4:$C$39),Cadastros!$L$6:$L$12,Cadastros!$N$6:$N$12)))</f>
        <v/>
      </c>
      <c r="P928" s="168" t="str">
        <f t="shared" si="184"/>
        <v/>
      </c>
      <c r="Q928" s="168" t="str">
        <f>IFERROR(P928/_xlfn.XLOOKUP(_xlfn.XLOOKUP($F928,Clientes!$B$4:$B$39,Clientes!$C$4:$C$39),Cadastros!$L$6:$L$12,Cadastros!$M$6:$M$12)," ")</f>
        <v xml:space="preserve"> </v>
      </c>
      <c r="R928" s="28"/>
      <c r="S928" s="28"/>
      <c r="T928" s="255" t="str">
        <f>IF(R928="","",(_xlfn.XLOOKUP(R928,Cadastros!$D$6:$D$90,Cadastros!$E$6:$E$90))*(1-_xlfn.XLOOKUP(_xlfn.XLOOKUP($F928,Clientes!$B$4:$B$39,Clientes!$C$4:$C$39),Cadastros!$L$6:$L$12,Cadastros!$N$6:$N$12)))</f>
        <v/>
      </c>
      <c r="U928" s="168" t="str">
        <f t="shared" si="185"/>
        <v/>
      </c>
      <c r="V928" s="168" t="str">
        <f>IFERROR(U928/_xlfn.XLOOKUP(_xlfn.XLOOKUP($F928,Clientes!$B$4:$B$39,Clientes!$C$4:$C$39),Cadastros!$L$6:$L$12,Cadastros!$M$6:$M$12)," ")</f>
        <v xml:space="preserve"> </v>
      </c>
      <c r="W928" s="28"/>
      <c r="X928" s="28"/>
      <c r="Y928" s="255" t="str">
        <f>IF(W928="","",(_xlfn.XLOOKUP(W928,Cadastros!$D$6:$D$90,Cadastros!$E$6:$E$90))*(1-_xlfn.XLOOKUP(_xlfn.XLOOKUP($F928,Clientes!$B$4:$B$39,Clientes!$C$4:$C$39),Cadastros!$L$6:$L$12,Cadastros!$N$6:$N$12)))</f>
        <v/>
      </c>
      <c r="Z928" s="168" t="str">
        <f t="shared" si="186"/>
        <v/>
      </c>
      <c r="AA928" s="168" t="str">
        <f>IFERROR(Z928/_xlfn.XLOOKUP(_xlfn.XLOOKUP($F928,Clientes!$B$4:$B$39,Clientes!$C$4:$C$39),Cadastros!$L$6:$L$12,Cadastros!$M$6:$M$12)," ")</f>
        <v xml:space="preserve"> </v>
      </c>
      <c r="AB928" s="28"/>
      <c r="AC928" s="28"/>
      <c r="AD928" s="20" t="str">
        <f>IF(AB928="","",IF($F928="Bernardino Furlan",_xlfn.XLOOKUP(AB928,Cadastros!$G$6:$G$90,Cadastros!$H$6:$H$90)*(1-0.18),IF($F928="Mauro José Salanti",_xlfn.XLOOKUP(AB928,Cadastros!$G$6:$G$90,Cadastros!$H$6:$H$90)*(1-0.18),_xlfn.XLOOKUP(AB928,Cadastros!$G$6:$G$90,Cadastros!$H$6:$H$90))))</f>
        <v/>
      </c>
      <c r="AE928" s="168" t="str">
        <f t="shared" si="187"/>
        <v/>
      </c>
      <c r="AF928" s="168" t="str">
        <f t="shared" si="188"/>
        <v/>
      </c>
      <c r="AG928" s="28"/>
      <c r="AH928" s="28"/>
      <c r="AI928" s="20" t="str">
        <f>IF(AG928="","",IF($F928="Bernardino Furlan",_xlfn.XLOOKUP(AG928,Cadastros!$G$6:$G$90,Cadastros!$H$6:$H$90)*(1-0.18),IF($F928="Mauro José Salanti",_xlfn.XLOOKUP(AG928,Cadastros!$G$6:$G$90,Cadastros!$H$6:$H$90)*(1-0.18),_xlfn.XLOOKUP(AG928,Cadastros!$G$6:$G$90,Cadastros!$H$6:$H$90))))</f>
        <v/>
      </c>
      <c r="AJ928" s="168" t="str">
        <f t="shared" si="189"/>
        <v/>
      </c>
      <c r="AK928" s="168" t="str">
        <f t="shared" si="190"/>
        <v/>
      </c>
      <c r="AL928" s="28"/>
      <c r="AM928" s="28"/>
      <c r="AN928" s="20" t="str">
        <f>IF(AL928="","",IF($F928="Bernardino Furlan",_xlfn.XLOOKUP(AL928,Cadastros!$G$6:$G$90,Cadastros!$H$6:$H$90)*(1-0.18),IF($F928="Mauro José Salanti",_xlfn.XLOOKUP(AL928,Cadastros!$G$6:$G$90,Cadastros!$H$6:$H$90)*(1-0.18),_xlfn.XLOOKUP(AL928,Cadastros!$G$6:$G$90,Cadastros!$H$6:$H$90))))</f>
        <v/>
      </c>
      <c r="AO928" s="168" t="str">
        <f t="shared" si="191"/>
        <v/>
      </c>
      <c r="AP928" s="168" t="str">
        <f t="shared" si="192"/>
        <v/>
      </c>
      <c r="AQ928" s="28"/>
      <c r="AR928" s="28"/>
      <c r="AS928" s="20" t="str">
        <f>IF(AQ928="","",IF($F928="Bernardino Furlan",_xlfn.XLOOKUP(AQ928,Cadastros!$G$6:$G$90,Cadastros!$H$6:$H$90)*(1-0.18),IF($F928="Mauro José Salanti",_xlfn.XLOOKUP(AQ928,Cadastros!$G$6:$G$90,Cadastros!$H$6:$H$90)*(1-0.18),_xlfn.XLOOKUP(AQ928,Cadastros!$G$6:$G$90,Cadastros!$H$6:$H$90))))</f>
        <v/>
      </c>
      <c r="AT928" s="168" t="str">
        <f t="shared" si="193"/>
        <v/>
      </c>
      <c r="AU928" s="168" t="str">
        <f t="shared" si="194"/>
        <v/>
      </c>
      <c r="AV928" s="227"/>
      <c r="AW928" s="30"/>
      <c r="AX928" s="267"/>
      <c r="AY928" s="267"/>
      <c r="AZ928" s="29"/>
      <c r="BA928" s="30"/>
      <c r="BB928" s="23" t="str" cm="1">
        <f t="array" ref="BB928">_xlfn.IFS(AW928="SIM",SUM(K928,P928,U928,Z928,AE928,AJ928,AO928,AT928,AX928,AY928),F928&lt;&gt;"",SUM(K928,P928,U928,Z928,AE928,AJ928,,AO928,AT928),F928="","")</f>
        <v/>
      </c>
      <c r="BC928" s="211" t="str" cm="1">
        <f t="array" ref="BC928">_xlfn.IFS(E928="","",G928&lt;=E928,BB928*(1-0.03),G928&lt;(E928+8),BB928,AZ928="Boleto",BB928*(1+0.001)^DATEDIF(E928,G928,"D"),AZ928="Cheque",BB928,AZ928="Dinheiro","Alterar forma pgto")</f>
        <v/>
      </c>
      <c r="BD928" s="276" t="str" cm="1">
        <f t="array" ref="BD928">IF(F928=0," ",IF(BC928&lt;BB928,(_xlfn.IFS(AW928="SIM",SUM(L928,Q928,V928,AA928,AF928,AK928,AP928,AU928)+AX928/_xlfn.XLOOKUP(_xlfn.XLOOKUP($F928,Clientes!$B$4:$B$39,Clientes!$C$4:$C$39),Cadastros!$L$6:$L$12,Cadastros!$M$6:$M$12)+IF($F928="Bernardino Furlan",AY928/2751.92,IF($F928="Mauro José Salanti",AY928/2751.92,AY928/3356)),F928&lt;&gt;0,SUM(L928,Q928,V928,AA928,AF928,AK928,AP928,AU928)))*(1-0.03),_xlfn.IFS(AW928="SIM",SUM(L928,Q928,V928,AA928,AF928,AK928,AP928,AU928)+AX928/_xlfn.XLOOKUP(_xlfn.XLOOKUP($F928,Clientes!$B$4:$B$39,Clientes!$C$4:$C$39),Cadastros!$L$6:$L$12,Cadastros!$M$6:$M$12)+IF($F928="Bernardino Furlan",AY928/2751.92,IF($F928="Mauro José Salanti",AY928/2751.92,AY928/3356)),F928&lt;&gt;0,SUM(L928,Q928,V928,AA928,AF928,AK928,AP928,AU928))))</f>
        <v xml:space="preserve"> </v>
      </c>
      <c r="BE928" s="120"/>
      <c r="BF928" s="120"/>
      <c r="BG928" s="120"/>
    </row>
    <row r="929" spans="1:59" s="3" customFormat="1" x14ac:dyDescent="0.3">
      <c r="A929" s="15" t="str">
        <f t="shared" si="182"/>
        <v/>
      </c>
      <c r="B929" s="25"/>
      <c r="C929" s="26"/>
      <c r="D929" s="279"/>
      <c r="E929" s="27"/>
      <c r="F929" s="28"/>
      <c r="G929" s="27"/>
      <c r="H929" s="28"/>
      <c r="I929" s="28"/>
      <c r="J929" s="255" t="str">
        <f>IF(H929="","",(_xlfn.XLOOKUP(H929,Cadastros!$D$6:$D$90,Cadastros!$E$6:$E$90))*(1-_xlfn.XLOOKUP(_xlfn.XLOOKUP($F929,Clientes!$B$4:$B$39,Clientes!$C$4:$C$39),Cadastros!$L$6:$L$12,Cadastros!$N$6:$N$12)))</f>
        <v/>
      </c>
      <c r="K929" s="168" t="str">
        <f t="shared" si="183"/>
        <v/>
      </c>
      <c r="L929" s="168" t="str">
        <f>IFERROR(K929/_xlfn.XLOOKUP(_xlfn.XLOOKUP($F929,Clientes!$B$4:$B$39,Clientes!$C$4:$C$39),Cadastros!$L$6:$L$12,Cadastros!$M$6:$M$12)," ")</f>
        <v xml:space="preserve"> </v>
      </c>
      <c r="M929" s="28"/>
      <c r="N929" s="28"/>
      <c r="O929" s="255" t="str">
        <f>IF(M929="","",(_xlfn.XLOOKUP(M929,Cadastros!$D$6:$D$90,Cadastros!$E$6:$E$90))*(1-_xlfn.XLOOKUP(_xlfn.XLOOKUP($F929,Clientes!$B$4:$B$39,Clientes!$C$4:$C$39),Cadastros!$L$6:$L$12,Cadastros!$N$6:$N$12)))</f>
        <v/>
      </c>
      <c r="P929" s="168" t="str">
        <f t="shared" si="184"/>
        <v/>
      </c>
      <c r="Q929" s="168" t="str">
        <f>IFERROR(P929/_xlfn.XLOOKUP(_xlfn.XLOOKUP($F929,Clientes!$B$4:$B$39,Clientes!$C$4:$C$39),Cadastros!$L$6:$L$12,Cadastros!$M$6:$M$12)," ")</f>
        <v xml:space="preserve"> </v>
      </c>
      <c r="R929" s="28"/>
      <c r="S929" s="28"/>
      <c r="T929" s="255" t="str">
        <f>IF(R929="","",(_xlfn.XLOOKUP(R929,Cadastros!$D$6:$D$90,Cadastros!$E$6:$E$90))*(1-_xlfn.XLOOKUP(_xlfn.XLOOKUP($F929,Clientes!$B$4:$B$39,Clientes!$C$4:$C$39),Cadastros!$L$6:$L$12,Cadastros!$N$6:$N$12)))</f>
        <v/>
      </c>
      <c r="U929" s="168" t="str">
        <f t="shared" si="185"/>
        <v/>
      </c>
      <c r="V929" s="168" t="str">
        <f>IFERROR(U929/_xlfn.XLOOKUP(_xlfn.XLOOKUP($F929,Clientes!$B$4:$B$39,Clientes!$C$4:$C$39),Cadastros!$L$6:$L$12,Cadastros!$M$6:$M$12)," ")</f>
        <v xml:space="preserve"> </v>
      </c>
      <c r="W929" s="28"/>
      <c r="X929" s="28"/>
      <c r="Y929" s="255" t="str">
        <f>IF(W929="","",(_xlfn.XLOOKUP(W929,Cadastros!$D$6:$D$90,Cadastros!$E$6:$E$90))*(1-_xlfn.XLOOKUP(_xlfn.XLOOKUP($F929,Clientes!$B$4:$B$39,Clientes!$C$4:$C$39),Cadastros!$L$6:$L$12,Cadastros!$N$6:$N$12)))</f>
        <v/>
      </c>
      <c r="Z929" s="168" t="str">
        <f t="shared" si="186"/>
        <v/>
      </c>
      <c r="AA929" s="168" t="str">
        <f>IFERROR(Z929/_xlfn.XLOOKUP(_xlfn.XLOOKUP($F929,Clientes!$B$4:$B$39,Clientes!$C$4:$C$39),Cadastros!$L$6:$L$12,Cadastros!$M$6:$M$12)," ")</f>
        <v xml:space="preserve"> </v>
      </c>
      <c r="AB929" s="28"/>
      <c r="AC929" s="28"/>
      <c r="AD929" s="20" t="str">
        <f>IF(AB929="","",IF($F929="Bernardino Furlan",_xlfn.XLOOKUP(AB929,Cadastros!$G$6:$G$90,Cadastros!$H$6:$H$90)*(1-0.18),IF($F929="Mauro José Salanti",_xlfn.XLOOKUP(AB929,Cadastros!$G$6:$G$90,Cadastros!$H$6:$H$90)*(1-0.18),_xlfn.XLOOKUP(AB929,Cadastros!$G$6:$G$90,Cadastros!$H$6:$H$90))))</f>
        <v/>
      </c>
      <c r="AE929" s="168" t="str">
        <f t="shared" si="187"/>
        <v/>
      </c>
      <c r="AF929" s="168" t="str">
        <f t="shared" si="188"/>
        <v/>
      </c>
      <c r="AG929" s="28"/>
      <c r="AH929" s="28"/>
      <c r="AI929" s="20" t="str">
        <f>IF(AG929="","",IF($F929="Bernardino Furlan",_xlfn.XLOOKUP(AG929,Cadastros!$G$6:$G$90,Cadastros!$H$6:$H$90)*(1-0.18),IF($F929="Mauro José Salanti",_xlfn.XLOOKUP(AG929,Cadastros!$G$6:$G$90,Cadastros!$H$6:$H$90)*(1-0.18),_xlfn.XLOOKUP(AG929,Cadastros!$G$6:$G$90,Cadastros!$H$6:$H$90))))</f>
        <v/>
      </c>
      <c r="AJ929" s="168" t="str">
        <f t="shared" si="189"/>
        <v/>
      </c>
      <c r="AK929" s="168" t="str">
        <f t="shared" si="190"/>
        <v/>
      </c>
      <c r="AL929" s="28"/>
      <c r="AM929" s="28"/>
      <c r="AN929" s="20" t="str">
        <f>IF(AL929="","",IF($F929="Bernardino Furlan",_xlfn.XLOOKUP(AL929,Cadastros!$G$6:$G$90,Cadastros!$H$6:$H$90)*(1-0.18),IF($F929="Mauro José Salanti",_xlfn.XLOOKUP(AL929,Cadastros!$G$6:$G$90,Cadastros!$H$6:$H$90)*(1-0.18),_xlfn.XLOOKUP(AL929,Cadastros!$G$6:$G$90,Cadastros!$H$6:$H$90))))</f>
        <v/>
      </c>
      <c r="AO929" s="168" t="str">
        <f t="shared" si="191"/>
        <v/>
      </c>
      <c r="AP929" s="168" t="str">
        <f t="shared" si="192"/>
        <v/>
      </c>
      <c r="AQ929" s="28"/>
      <c r="AR929" s="28"/>
      <c r="AS929" s="20" t="str">
        <f>IF(AQ929="","",IF($F929="Bernardino Furlan",_xlfn.XLOOKUP(AQ929,Cadastros!$G$6:$G$90,Cadastros!$H$6:$H$90)*(1-0.18),IF($F929="Mauro José Salanti",_xlfn.XLOOKUP(AQ929,Cadastros!$G$6:$G$90,Cadastros!$H$6:$H$90)*(1-0.18),_xlfn.XLOOKUP(AQ929,Cadastros!$G$6:$G$90,Cadastros!$H$6:$H$90))))</f>
        <v/>
      </c>
      <c r="AT929" s="168" t="str">
        <f t="shared" si="193"/>
        <v/>
      </c>
      <c r="AU929" s="168" t="str">
        <f t="shared" si="194"/>
        <v/>
      </c>
      <c r="AV929" s="227"/>
      <c r="AW929" s="30"/>
      <c r="AX929" s="267"/>
      <c r="AY929" s="267"/>
      <c r="AZ929" s="29"/>
      <c r="BA929" s="30"/>
      <c r="BB929" s="23" t="str" cm="1">
        <f t="array" ref="BB929">_xlfn.IFS(AW929="SIM",SUM(K929,P929,U929,Z929,AE929,AJ929,AO929,AT929,AX929,AY929),F929&lt;&gt;"",SUM(K929,P929,U929,Z929,AE929,AJ929,,AO929,AT929),F929="","")</f>
        <v/>
      </c>
      <c r="BC929" s="211" t="str" cm="1">
        <f t="array" ref="BC929">_xlfn.IFS(E929="","",G929&lt;=E929,BB929*(1-0.03),G929&lt;(E929+8),BB929,AZ929="Boleto",BB929*(1+0.001)^DATEDIF(E929,G929,"D"),AZ929="Cheque",BB929,AZ929="Dinheiro","Alterar forma pgto")</f>
        <v/>
      </c>
      <c r="BD929" s="276" t="str" cm="1">
        <f t="array" ref="BD929">IF(F929=0," ",IF(BC929&lt;BB929,(_xlfn.IFS(AW929="SIM",SUM(L929,Q929,V929,AA929,AF929,AK929,AP929,AU929)+AX929/_xlfn.XLOOKUP(_xlfn.XLOOKUP($F929,Clientes!$B$4:$B$39,Clientes!$C$4:$C$39),Cadastros!$L$6:$L$12,Cadastros!$M$6:$M$12)+IF($F929="Bernardino Furlan",AY929/2751.92,IF($F929="Mauro José Salanti",AY929/2751.92,AY929/3356)),F929&lt;&gt;0,SUM(L929,Q929,V929,AA929,AF929,AK929,AP929,AU929)))*(1-0.03),_xlfn.IFS(AW929="SIM",SUM(L929,Q929,V929,AA929,AF929,AK929,AP929,AU929)+AX929/_xlfn.XLOOKUP(_xlfn.XLOOKUP($F929,Clientes!$B$4:$B$39,Clientes!$C$4:$C$39),Cadastros!$L$6:$L$12,Cadastros!$M$6:$M$12)+IF($F929="Bernardino Furlan",AY929/2751.92,IF($F929="Mauro José Salanti",AY929/2751.92,AY929/3356)),F929&lt;&gt;0,SUM(L929,Q929,V929,AA929,AF929,AK929,AP929,AU929))))</f>
        <v xml:space="preserve"> </v>
      </c>
      <c r="BE929" s="120"/>
      <c r="BF929" s="120"/>
      <c r="BG929" s="120"/>
    </row>
    <row r="930" spans="1:59" s="3" customFormat="1" x14ac:dyDescent="0.3">
      <c r="A930" s="15" t="str">
        <f t="shared" si="182"/>
        <v/>
      </c>
      <c r="B930" s="25"/>
      <c r="C930" s="26"/>
      <c r="D930" s="279"/>
      <c r="E930" s="27"/>
      <c r="F930" s="28"/>
      <c r="G930" s="27"/>
      <c r="H930" s="28"/>
      <c r="I930" s="28"/>
      <c r="J930" s="255" t="str">
        <f>IF(H930="","",(_xlfn.XLOOKUP(H930,Cadastros!$D$6:$D$90,Cadastros!$E$6:$E$90))*(1-_xlfn.XLOOKUP(_xlfn.XLOOKUP($F930,Clientes!$B$4:$B$39,Clientes!$C$4:$C$39),Cadastros!$L$6:$L$12,Cadastros!$N$6:$N$12)))</f>
        <v/>
      </c>
      <c r="K930" s="168" t="str">
        <f t="shared" si="183"/>
        <v/>
      </c>
      <c r="L930" s="168" t="str">
        <f>IFERROR(K930/_xlfn.XLOOKUP(_xlfn.XLOOKUP($F930,Clientes!$B$4:$B$39,Clientes!$C$4:$C$39),Cadastros!$L$6:$L$12,Cadastros!$M$6:$M$12)," ")</f>
        <v xml:space="preserve"> </v>
      </c>
      <c r="M930" s="28"/>
      <c r="N930" s="28"/>
      <c r="O930" s="255" t="str">
        <f>IF(M930="","",(_xlfn.XLOOKUP(M930,Cadastros!$D$6:$D$90,Cadastros!$E$6:$E$90))*(1-_xlfn.XLOOKUP(_xlfn.XLOOKUP($F930,Clientes!$B$4:$B$39,Clientes!$C$4:$C$39),Cadastros!$L$6:$L$12,Cadastros!$N$6:$N$12)))</f>
        <v/>
      </c>
      <c r="P930" s="168" t="str">
        <f t="shared" si="184"/>
        <v/>
      </c>
      <c r="Q930" s="168" t="str">
        <f>IFERROR(P930/_xlfn.XLOOKUP(_xlfn.XLOOKUP($F930,Clientes!$B$4:$B$39,Clientes!$C$4:$C$39),Cadastros!$L$6:$L$12,Cadastros!$M$6:$M$12)," ")</f>
        <v xml:space="preserve"> </v>
      </c>
      <c r="R930" s="28"/>
      <c r="S930" s="28"/>
      <c r="T930" s="255" t="str">
        <f>IF(R930="","",(_xlfn.XLOOKUP(R930,Cadastros!$D$6:$D$90,Cadastros!$E$6:$E$90))*(1-_xlfn.XLOOKUP(_xlfn.XLOOKUP($F930,Clientes!$B$4:$B$39,Clientes!$C$4:$C$39),Cadastros!$L$6:$L$12,Cadastros!$N$6:$N$12)))</f>
        <v/>
      </c>
      <c r="U930" s="168" t="str">
        <f t="shared" si="185"/>
        <v/>
      </c>
      <c r="V930" s="168" t="str">
        <f>IFERROR(U930/_xlfn.XLOOKUP(_xlfn.XLOOKUP($F930,Clientes!$B$4:$B$39,Clientes!$C$4:$C$39),Cadastros!$L$6:$L$12,Cadastros!$M$6:$M$12)," ")</f>
        <v xml:space="preserve"> </v>
      </c>
      <c r="W930" s="28"/>
      <c r="X930" s="28"/>
      <c r="Y930" s="255" t="str">
        <f>IF(W930="","",(_xlfn.XLOOKUP(W930,Cadastros!$D$6:$D$90,Cadastros!$E$6:$E$90))*(1-_xlfn.XLOOKUP(_xlfn.XLOOKUP($F930,Clientes!$B$4:$B$39,Clientes!$C$4:$C$39),Cadastros!$L$6:$L$12,Cadastros!$N$6:$N$12)))</f>
        <v/>
      </c>
      <c r="Z930" s="168" t="str">
        <f t="shared" si="186"/>
        <v/>
      </c>
      <c r="AA930" s="168" t="str">
        <f>IFERROR(Z930/_xlfn.XLOOKUP(_xlfn.XLOOKUP($F930,Clientes!$B$4:$B$39,Clientes!$C$4:$C$39),Cadastros!$L$6:$L$12,Cadastros!$M$6:$M$12)," ")</f>
        <v xml:space="preserve"> </v>
      </c>
      <c r="AB930" s="28"/>
      <c r="AC930" s="28"/>
      <c r="AD930" s="20" t="str">
        <f>IF(AB930="","",IF($F930="Bernardino Furlan",_xlfn.XLOOKUP(AB930,Cadastros!$G$6:$G$90,Cadastros!$H$6:$H$90)*(1-0.18),IF($F930="Mauro José Salanti",_xlfn.XLOOKUP(AB930,Cadastros!$G$6:$G$90,Cadastros!$H$6:$H$90)*(1-0.18),_xlfn.XLOOKUP(AB930,Cadastros!$G$6:$G$90,Cadastros!$H$6:$H$90))))</f>
        <v/>
      </c>
      <c r="AE930" s="168" t="str">
        <f t="shared" si="187"/>
        <v/>
      </c>
      <c r="AF930" s="168" t="str">
        <f t="shared" si="188"/>
        <v/>
      </c>
      <c r="AG930" s="28"/>
      <c r="AH930" s="28"/>
      <c r="AI930" s="20" t="str">
        <f>IF(AG930="","",IF($F930="Bernardino Furlan",_xlfn.XLOOKUP(AG930,Cadastros!$G$6:$G$90,Cadastros!$H$6:$H$90)*(1-0.18),IF($F930="Mauro José Salanti",_xlfn.XLOOKUP(AG930,Cadastros!$G$6:$G$90,Cadastros!$H$6:$H$90)*(1-0.18),_xlfn.XLOOKUP(AG930,Cadastros!$G$6:$G$90,Cadastros!$H$6:$H$90))))</f>
        <v/>
      </c>
      <c r="AJ930" s="168" t="str">
        <f t="shared" si="189"/>
        <v/>
      </c>
      <c r="AK930" s="168" t="str">
        <f t="shared" si="190"/>
        <v/>
      </c>
      <c r="AL930" s="28"/>
      <c r="AM930" s="28"/>
      <c r="AN930" s="20" t="str">
        <f>IF(AL930="","",IF($F930="Bernardino Furlan",_xlfn.XLOOKUP(AL930,Cadastros!$G$6:$G$90,Cadastros!$H$6:$H$90)*(1-0.18),IF($F930="Mauro José Salanti",_xlfn.XLOOKUP(AL930,Cadastros!$G$6:$G$90,Cadastros!$H$6:$H$90)*(1-0.18),_xlfn.XLOOKUP(AL930,Cadastros!$G$6:$G$90,Cadastros!$H$6:$H$90))))</f>
        <v/>
      </c>
      <c r="AO930" s="168" t="str">
        <f t="shared" si="191"/>
        <v/>
      </c>
      <c r="AP930" s="168" t="str">
        <f t="shared" si="192"/>
        <v/>
      </c>
      <c r="AQ930" s="28"/>
      <c r="AR930" s="28"/>
      <c r="AS930" s="20" t="str">
        <f>IF(AQ930="","",IF($F930="Bernardino Furlan",_xlfn.XLOOKUP(AQ930,Cadastros!$G$6:$G$90,Cadastros!$H$6:$H$90)*(1-0.18),IF($F930="Mauro José Salanti",_xlfn.XLOOKUP(AQ930,Cadastros!$G$6:$G$90,Cadastros!$H$6:$H$90)*(1-0.18),_xlfn.XLOOKUP(AQ930,Cadastros!$G$6:$G$90,Cadastros!$H$6:$H$90))))</f>
        <v/>
      </c>
      <c r="AT930" s="168" t="str">
        <f t="shared" si="193"/>
        <v/>
      </c>
      <c r="AU930" s="168" t="str">
        <f t="shared" si="194"/>
        <v/>
      </c>
      <c r="AV930" s="227"/>
      <c r="AW930" s="30"/>
      <c r="AX930" s="267"/>
      <c r="AY930" s="267"/>
      <c r="AZ930" s="29"/>
      <c r="BA930" s="30"/>
      <c r="BB930" s="23" t="str" cm="1">
        <f t="array" ref="BB930">_xlfn.IFS(AW930="SIM",SUM(K930,P930,U930,Z930,AE930,AJ930,AO930,AT930,AX930,AY930),F930&lt;&gt;"",SUM(K930,P930,U930,Z930,AE930,AJ930,,AO930,AT930),F930="","")</f>
        <v/>
      </c>
      <c r="BC930" s="211" t="str" cm="1">
        <f t="array" ref="BC930">_xlfn.IFS(E930="","",G930&lt;=E930,BB930*(1-0.03),G930&lt;(E930+8),BB930,AZ930="Boleto",BB930*(1+0.001)^DATEDIF(E930,G930,"D"),AZ930="Cheque",BB930,AZ930="Dinheiro","Alterar forma pgto")</f>
        <v/>
      </c>
      <c r="BD930" s="276" t="str" cm="1">
        <f t="array" ref="BD930">IF(F930=0," ",IF(BC930&lt;BB930,(_xlfn.IFS(AW930="SIM",SUM(L930,Q930,V930,AA930,AF930,AK930,AP930,AU930)+AX930/_xlfn.XLOOKUP(_xlfn.XLOOKUP($F930,Clientes!$B$4:$B$39,Clientes!$C$4:$C$39),Cadastros!$L$6:$L$12,Cadastros!$M$6:$M$12)+IF($F930="Bernardino Furlan",AY930/2751.92,IF($F930="Mauro José Salanti",AY930/2751.92,AY930/3356)),F930&lt;&gt;0,SUM(L930,Q930,V930,AA930,AF930,AK930,AP930,AU930)))*(1-0.03),_xlfn.IFS(AW930="SIM",SUM(L930,Q930,V930,AA930,AF930,AK930,AP930,AU930)+AX930/_xlfn.XLOOKUP(_xlfn.XLOOKUP($F930,Clientes!$B$4:$B$39,Clientes!$C$4:$C$39),Cadastros!$L$6:$L$12,Cadastros!$M$6:$M$12)+IF($F930="Bernardino Furlan",AY930/2751.92,IF($F930="Mauro José Salanti",AY930/2751.92,AY930/3356)),F930&lt;&gt;0,SUM(L930,Q930,V930,AA930,AF930,AK930,AP930,AU930))))</f>
        <v xml:space="preserve"> </v>
      </c>
      <c r="BE930" s="120"/>
      <c r="BF930" s="120"/>
      <c r="BG930" s="120"/>
    </row>
    <row r="931" spans="1:59" s="3" customFormat="1" x14ac:dyDescent="0.3">
      <c r="A931" s="15" t="str">
        <f t="shared" si="182"/>
        <v/>
      </c>
      <c r="B931" s="25"/>
      <c r="C931" s="26"/>
      <c r="D931" s="279"/>
      <c r="E931" s="27"/>
      <c r="F931" s="28"/>
      <c r="G931" s="27"/>
      <c r="H931" s="28"/>
      <c r="I931" s="28"/>
      <c r="J931" s="255" t="str">
        <f>IF(H931="","",(_xlfn.XLOOKUP(H931,Cadastros!$D$6:$D$90,Cadastros!$E$6:$E$90))*(1-_xlfn.XLOOKUP(_xlfn.XLOOKUP($F931,Clientes!$B$4:$B$39,Clientes!$C$4:$C$39),Cadastros!$L$6:$L$12,Cadastros!$N$6:$N$12)))</f>
        <v/>
      </c>
      <c r="K931" s="168" t="str">
        <f t="shared" si="183"/>
        <v/>
      </c>
      <c r="L931" s="168" t="str">
        <f>IFERROR(K931/_xlfn.XLOOKUP(_xlfn.XLOOKUP($F931,Clientes!$B$4:$B$39,Clientes!$C$4:$C$39),Cadastros!$L$6:$L$12,Cadastros!$M$6:$M$12)," ")</f>
        <v xml:space="preserve"> </v>
      </c>
      <c r="M931" s="28"/>
      <c r="N931" s="28"/>
      <c r="O931" s="255" t="str">
        <f>IF(M931="","",(_xlfn.XLOOKUP(M931,Cadastros!$D$6:$D$90,Cadastros!$E$6:$E$90))*(1-_xlfn.XLOOKUP(_xlfn.XLOOKUP($F931,Clientes!$B$4:$B$39,Clientes!$C$4:$C$39),Cadastros!$L$6:$L$12,Cadastros!$N$6:$N$12)))</f>
        <v/>
      </c>
      <c r="P931" s="168" t="str">
        <f t="shared" si="184"/>
        <v/>
      </c>
      <c r="Q931" s="168" t="str">
        <f>IFERROR(P931/_xlfn.XLOOKUP(_xlfn.XLOOKUP($F931,Clientes!$B$4:$B$39,Clientes!$C$4:$C$39),Cadastros!$L$6:$L$12,Cadastros!$M$6:$M$12)," ")</f>
        <v xml:space="preserve"> </v>
      </c>
      <c r="R931" s="28"/>
      <c r="S931" s="28"/>
      <c r="T931" s="255" t="str">
        <f>IF(R931="","",(_xlfn.XLOOKUP(R931,Cadastros!$D$6:$D$90,Cadastros!$E$6:$E$90))*(1-_xlfn.XLOOKUP(_xlfn.XLOOKUP($F931,Clientes!$B$4:$B$39,Clientes!$C$4:$C$39),Cadastros!$L$6:$L$12,Cadastros!$N$6:$N$12)))</f>
        <v/>
      </c>
      <c r="U931" s="168" t="str">
        <f t="shared" si="185"/>
        <v/>
      </c>
      <c r="V931" s="168" t="str">
        <f>IFERROR(U931/_xlfn.XLOOKUP(_xlfn.XLOOKUP($F931,Clientes!$B$4:$B$39,Clientes!$C$4:$C$39),Cadastros!$L$6:$L$12,Cadastros!$M$6:$M$12)," ")</f>
        <v xml:space="preserve"> </v>
      </c>
      <c r="W931" s="28"/>
      <c r="X931" s="28"/>
      <c r="Y931" s="255" t="str">
        <f>IF(W931="","",(_xlfn.XLOOKUP(W931,Cadastros!$D$6:$D$90,Cadastros!$E$6:$E$90))*(1-_xlfn.XLOOKUP(_xlfn.XLOOKUP($F931,Clientes!$B$4:$B$39,Clientes!$C$4:$C$39),Cadastros!$L$6:$L$12,Cadastros!$N$6:$N$12)))</f>
        <v/>
      </c>
      <c r="Z931" s="168" t="str">
        <f t="shared" si="186"/>
        <v/>
      </c>
      <c r="AA931" s="168" t="str">
        <f>IFERROR(Z931/_xlfn.XLOOKUP(_xlfn.XLOOKUP($F931,Clientes!$B$4:$B$39,Clientes!$C$4:$C$39),Cadastros!$L$6:$L$12,Cadastros!$M$6:$M$12)," ")</f>
        <v xml:space="preserve"> </v>
      </c>
      <c r="AB931" s="28"/>
      <c r="AC931" s="28"/>
      <c r="AD931" s="20" t="str">
        <f>IF(AB931="","",IF($F931="Bernardino Furlan",_xlfn.XLOOKUP(AB931,Cadastros!$G$6:$G$90,Cadastros!$H$6:$H$90)*(1-0.18),IF($F931="Mauro José Salanti",_xlfn.XLOOKUP(AB931,Cadastros!$G$6:$G$90,Cadastros!$H$6:$H$90)*(1-0.18),_xlfn.XLOOKUP(AB931,Cadastros!$G$6:$G$90,Cadastros!$H$6:$H$90))))</f>
        <v/>
      </c>
      <c r="AE931" s="168" t="str">
        <f t="shared" si="187"/>
        <v/>
      </c>
      <c r="AF931" s="168" t="str">
        <f t="shared" si="188"/>
        <v/>
      </c>
      <c r="AG931" s="28"/>
      <c r="AH931" s="28"/>
      <c r="AI931" s="20" t="str">
        <f>IF(AG931="","",IF($F931="Bernardino Furlan",_xlfn.XLOOKUP(AG931,Cadastros!$G$6:$G$90,Cadastros!$H$6:$H$90)*(1-0.18),IF($F931="Mauro José Salanti",_xlfn.XLOOKUP(AG931,Cadastros!$G$6:$G$90,Cadastros!$H$6:$H$90)*(1-0.18),_xlfn.XLOOKUP(AG931,Cadastros!$G$6:$G$90,Cadastros!$H$6:$H$90))))</f>
        <v/>
      </c>
      <c r="AJ931" s="168" t="str">
        <f t="shared" si="189"/>
        <v/>
      </c>
      <c r="AK931" s="168" t="str">
        <f t="shared" si="190"/>
        <v/>
      </c>
      <c r="AL931" s="28"/>
      <c r="AM931" s="28"/>
      <c r="AN931" s="20" t="str">
        <f>IF(AL931="","",IF($F931="Bernardino Furlan",_xlfn.XLOOKUP(AL931,Cadastros!$G$6:$G$90,Cadastros!$H$6:$H$90)*(1-0.18),IF($F931="Mauro José Salanti",_xlfn.XLOOKUP(AL931,Cadastros!$G$6:$G$90,Cadastros!$H$6:$H$90)*(1-0.18),_xlfn.XLOOKUP(AL931,Cadastros!$G$6:$G$90,Cadastros!$H$6:$H$90))))</f>
        <v/>
      </c>
      <c r="AO931" s="168" t="str">
        <f t="shared" si="191"/>
        <v/>
      </c>
      <c r="AP931" s="168" t="str">
        <f t="shared" si="192"/>
        <v/>
      </c>
      <c r="AQ931" s="28"/>
      <c r="AR931" s="28"/>
      <c r="AS931" s="20" t="str">
        <f>IF(AQ931="","",IF($F931="Bernardino Furlan",_xlfn.XLOOKUP(AQ931,Cadastros!$G$6:$G$90,Cadastros!$H$6:$H$90)*(1-0.18),IF($F931="Mauro José Salanti",_xlfn.XLOOKUP(AQ931,Cadastros!$G$6:$G$90,Cadastros!$H$6:$H$90)*(1-0.18),_xlfn.XLOOKUP(AQ931,Cadastros!$G$6:$G$90,Cadastros!$H$6:$H$90))))</f>
        <v/>
      </c>
      <c r="AT931" s="168" t="str">
        <f t="shared" si="193"/>
        <v/>
      </c>
      <c r="AU931" s="168" t="str">
        <f t="shared" si="194"/>
        <v/>
      </c>
      <c r="AV931" s="227"/>
      <c r="AW931" s="30"/>
      <c r="AX931" s="267"/>
      <c r="AY931" s="267"/>
      <c r="AZ931" s="29"/>
      <c r="BA931" s="30"/>
      <c r="BB931" s="23" t="str" cm="1">
        <f t="array" ref="BB931">_xlfn.IFS(AW931="SIM",SUM(K931,P931,U931,Z931,AE931,AJ931,AO931,AT931,AX931,AY931),F931&lt;&gt;"",SUM(K931,P931,U931,Z931,AE931,AJ931,,AO931,AT931),F931="","")</f>
        <v/>
      </c>
      <c r="BC931" s="211" t="str" cm="1">
        <f t="array" ref="BC931">_xlfn.IFS(E931="","",G931&lt;=E931,BB931*(1-0.03),G931&lt;(E931+8),BB931,AZ931="Boleto",BB931*(1+0.001)^DATEDIF(E931,G931,"D"),AZ931="Cheque",BB931,AZ931="Dinheiro","Alterar forma pgto")</f>
        <v/>
      </c>
      <c r="BD931" s="276" t="str" cm="1">
        <f t="array" ref="BD931">IF(F931=0," ",IF(BC931&lt;BB931,(_xlfn.IFS(AW931="SIM",SUM(L931,Q931,V931,AA931,AF931,AK931,AP931,AU931)+AX931/_xlfn.XLOOKUP(_xlfn.XLOOKUP($F931,Clientes!$B$4:$B$39,Clientes!$C$4:$C$39),Cadastros!$L$6:$L$12,Cadastros!$M$6:$M$12)+IF($F931="Bernardino Furlan",AY931/2751.92,IF($F931="Mauro José Salanti",AY931/2751.92,AY931/3356)),F931&lt;&gt;0,SUM(L931,Q931,V931,AA931,AF931,AK931,AP931,AU931)))*(1-0.03),_xlfn.IFS(AW931="SIM",SUM(L931,Q931,V931,AA931,AF931,AK931,AP931,AU931)+AX931/_xlfn.XLOOKUP(_xlfn.XLOOKUP($F931,Clientes!$B$4:$B$39,Clientes!$C$4:$C$39),Cadastros!$L$6:$L$12,Cadastros!$M$6:$M$12)+IF($F931="Bernardino Furlan",AY931/2751.92,IF($F931="Mauro José Salanti",AY931/2751.92,AY931/3356)),F931&lt;&gt;0,SUM(L931,Q931,V931,AA931,AF931,AK931,AP931,AU931))))</f>
        <v xml:space="preserve"> </v>
      </c>
      <c r="BE931" s="120"/>
      <c r="BF931" s="120"/>
      <c r="BG931" s="120"/>
    </row>
    <row r="932" spans="1:59" s="3" customFormat="1" x14ac:dyDescent="0.3">
      <c r="A932" s="15" t="str">
        <f t="shared" si="182"/>
        <v/>
      </c>
      <c r="B932" s="25"/>
      <c r="C932" s="26"/>
      <c r="D932" s="279"/>
      <c r="E932" s="27"/>
      <c r="F932" s="28"/>
      <c r="G932" s="27"/>
      <c r="H932" s="28"/>
      <c r="I932" s="28"/>
      <c r="J932" s="255" t="str">
        <f>IF(H932="","",(_xlfn.XLOOKUP(H932,Cadastros!$D$6:$D$90,Cadastros!$E$6:$E$90))*(1-_xlfn.XLOOKUP(_xlfn.XLOOKUP($F932,Clientes!$B$4:$B$39,Clientes!$C$4:$C$39),Cadastros!$L$6:$L$12,Cadastros!$N$6:$N$12)))</f>
        <v/>
      </c>
      <c r="K932" s="168" t="str">
        <f t="shared" si="183"/>
        <v/>
      </c>
      <c r="L932" s="168" t="str">
        <f>IFERROR(K932/_xlfn.XLOOKUP(_xlfn.XLOOKUP($F932,Clientes!$B$4:$B$39,Clientes!$C$4:$C$39),Cadastros!$L$6:$L$12,Cadastros!$M$6:$M$12)," ")</f>
        <v xml:space="preserve"> </v>
      </c>
      <c r="M932" s="28"/>
      <c r="N932" s="28"/>
      <c r="O932" s="255" t="str">
        <f>IF(M932="","",(_xlfn.XLOOKUP(M932,Cadastros!$D$6:$D$90,Cadastros!$E$6:$E$90))*(1-_xlfn.XLOOKUP(_xlfn.XLOOKUP($F932,Clientes!$B$4:$B$39,Clientes!$C$4:$C$39),Cadastros!$L$6:$L$12,Cadastros!$N$6:$N$12)))</f>
        <v/>
      </c>
      <c r="P932" s="168" t="str">
        <f t="shared" si="184"/>
        <v/>
      </c>
      <c r="Q932" s="168" t="str">
        <f>IFERROR(P932/_xlfn.XLOOKUP(_xlfn.XLOOKUP($F932,Clientes!$B$4:$B$39,Clientes!$C$4:$C$39),Cadastros!$L$6:$L$12,Cadastros!$M$6:$M$12)," ")</f>
        <v xml:space="preserve"> </v>
      </c>
      <c r="R932" s="28"/>
      <c r="S932" s="28"/>
      <c r="T932" s="255" t="str">
        <f>IF(R932="","",(_xlfn.XLOOKUP(R932,Cadastros!$D$6:$D$90,Cadastros!$E$6:$E$90))*(1-_xlfn.XLOOKUP(_xlfn.XLOOKUP($F932,Clientes!$B$4:$B$39,Clientes!$C$4:$C$39),Cadastros!$L$6:$L$12,Cadastros!$N$6:$N$12)))</f>
        <v/>
      </c>
      <c r="U932" s="168" t="str">
        <f t="shared" si="185"/>
        <v/>
      </c>
      <c r="V932" s="168" t="str">
        <f>IFERROR(U932/_xlfn.XLOOKUP(_xlfn.XLOOKUP($F932,Clientes!$B$4:$B$39,Clientes!$C$4:$C$39),Cadastros!$L$6:$L$12,Cadastros!$M$6:$M$12)," ")</f>
        <v xml:space="preserve"> </v>
      </c>
      <c r="W932" s="28"/>
      <c r="X932" s="28"/>
      <c r="Y932" s="255" t="str">
        <f>IF(W932="","",(_xlfn.XLOOKUP(W932,Cadastros!$D$6:$D$90,Cadastros!$E$6:$E$90))*(1-_xlfn.XLOOKUP(_xlfn.XLOOKUP($F932,Clientes!$B$4:$B$39,Clientes!$C$4:$C$39),Cadastros!$L$6:$L$12,Cadastros!$N$6:$N$12)))</f>
        <v/>
      </c>
      <c r="Z932" s="168" t="str">
        <f t="shared" si="186"/>
        <v/>
      </c>
      <c r="AA932" s="168" t="str">
        <f>IFERROR(Z932/_xlfn.XLOOKUP(_xlfn.XLOOKUP($F932,Clientes!$B$4:$B$39,Clientes!$C$4:$C$39),Cadastros!$L$6:$L$12,Cadastros!$M$6:$M$12)," ")</f>
        <v xml:space="preserve"> </v>
      </c>
      <c r="AB932" s="28"/>
      <c r="AC932" s="28"/>
      <c r="AD932" s="20" t="str">
        <f>IF(AB932="","",IF($F932="Bernardino Furlan",_xlfn.XLOOKUP(AB932,Cadastros!$G$6:$G$90,Cadastros!$H$6:$H$90)*(1-0.18),IF($F932="Mauro José Salanti",_xlfn.XLOOKUP(AB932,Cadastros!$G$6:$G$90,Cadastros!$H$6:$H$90)*(1-0.18),_xlfn.XLOOKUP(AB932,Cadastros!$G$6:$G$90,Cadastros!$H$6:$H$90))))</f>
        <v/>
      </c>
      <c r="AE932" s="168" t="str">
        <f t="shared" si="187"/>
        <v/>
      </c>
      <c r="AF932" s="168" t="str">
        <f t="shared" si="188"/>
        <v/>
      </c>
      <c r="AG932" s="28"/>
      <c r="AH932" s="28"/>
      <c r="AI932" s="20" t="str">
        <f>IF(AG932="","",IF($F932="Bernardino Furlan",_xlfn.XLOOKUP(AG932,Cadastros!$G$6:$G$90,Cadastros!$H$6:$H$90)*(1-0.18),IF($F932="Mauro José Salanti",_xlfn.XLOOKUP(AG932,Cadastros!$G$6:$G$90,Cadastros!$H$6:$H$90)*(1-0.18),_xlfn.XLOOKUP(AG932,Cadastros!$G$6:$G$90,Cadastros!$H$6:$H$90))))</f>
        <v/>
      </c>
      <c r="AJ932" s="168" t="str">
        <f t="shared" si="189"/>
        <v/>
      </c>
      <c r="AK932" s="168" t="str">
        <f t="shared" si="190"/>
        <v/>
      </c>
      <c r="AL932" s="28"/>
      <c r="AM932" s="28"/>
      <c r="AN932" s="20" t="str">
        <f>IF(AL932="","",IF($F932="Bernardino Furlan",_xlfn.XLOOKUP(AL932,Cadastros!$G$6:$G$90,Cadastros!$H$6:$H$90)*(1-0.18),IF($F932="Mauro José Salanti",_xlfn.XLOOKUP(AL932,Cadastros!$G$6:$G$90,Cadastros!$H$6:$H$90)*(1-0.18),_xlfn.XLOOKUP(AL932,Cadastros!$G$6:$G$90,Cadastros!$H$6:$H$90))))</f>
        <v/>
      </c>
      <c r="AO932" s="168" t="str">
        <f t="shared" si="191"/>
        <v/>
      </c>
      <c r="AP932" s="168" t="str">
        <f t="shared" si="192"/>
        <v/>
      </c>
      <c r="AQ932" s="28"/>
      <c r="AR932" s="28"/>
      <c r="AS932" s="20" t="str">
        <f>IF(AQ932="","",IF($F932="Bernardino Furlan",_xlfn.XLOOKUP(AQ932,Cadastros!$G$6:$G$90,Cadastros!$H$6:$H$90)*(1-0.18),IF($F932="Mauro José Salanti",_xlfn.XLOOKUP(AQ932,Cadastros!$G$6:$G$90,Cadastros!$H$6:$H$90)*(1-0.18),_xlfn.XLOOKUP(AQ932,Cadastros!$G$6:$G$90,Cadastros!$H$6:$H$90))))</f>
        <v/>
      </c>
      <c r="AT932" s="168" t="str">
        <f t="shared" si="193"/>
        <v/>
      </c>
      <c r="AU932" s="168" t="str">
        <f t="shared" si="194"/>
        <v/>
      </c>
      <c r="AV932" s="227"/>
      <c r="AW932" s="30"/>
      <c r="AX932" s="267"/>
      <c r="AY932" s="267"/>
      <c r="AZ932" s="29"/>
      <c r="BA932" s="30"/>
      <c r="BB932" s="23" t="str" cm="1">
        <f t="array" ref="BB932">_xlfn.IFS(AW932="SIM",SUM(K932,P932,U932,Z932,AE932,AJ932,AO932,AT932,AX932,AY932),F932&lt;&gt;"",SUM(K932,P932,U932,Z932,AE932,AJ932,,AO932,AT932),F932="","")</f>
        <v/>
      </c>
      <c r="BC932" s="211" t="str" cm="1">
        <f t="array" ref="BC932">_xlfn.IFS(E932="","",G932&lt;=E932,BB932*(1-0.03),G932&lt;(E932+8),BB932,AZ932="Boleto",BB932*(1+0.001)^DATEDIF(E932,G932,"D"),AZ932="Cheque",BB932,AZ932="Dinheiro","Alterar forma pgto")</f>
        <v/>
      </c>
      <c r="BD932" s="276" t="str" cm="1">
        <f t="array" ref="BD932">IF(F932=0," ",IF(BC932&lt;BB932,(_xlfn.IFS(AW932="SIM",SUM(L932,Q932,V932,AA932,AF932,AK932,AP932,AU932)+AX932/_xlfn.XLOOKUP(_xlfn.XLOOKUP($F932,Clientes!$B$4:$B$39,Clientes!$C$4:$C$39),Cadastros!$L$6:$L$12,Cadastros!$M$6:$M$12)+IF($F932="Bernardino Furlan",AY932/2751.92,IF($F932="Mauro José Salanti",AY932/2751.92,AY932/3356)),F932&lt;&gt;0,SUM(L932,Q932,V932,AA932,AF932,AK932,AP932,AU932)))*(1-0.03),_xlfn.IFS(AW932="SIM",SUM(L932,Q932,V932,AA932,AF932,AK932,AP932,AU932)+AX932/_xlfn.XLOOKUP(_xlfn.XLOOKUP($F932,Clientes!$B$4:$B$39,Clientes!$C$4:$C$39),Cadastros!$L$6:$L$12,Cadastros!$M$6:$M$12)+IF($F932="Bernardino Furlan",AY932/2751.92,IF($F932="Mauro José Salanti",AY932/2751.92,AY932/3356)),F932&lt;&gt;0,SUM(L932,Q932,V932,AA932,AF932,AK932,AP932,AU932))))</f>
        <v xml:space="preserve"> </v>
      </c>
      <c r="BE932" s="120"/>
      <c r="BF932" s="120"/>
      <c r="BG932" s="120"/>
    </row>
    <row r="933" spans="1:59" s="3" customFormat="1" x14ac:dyDescent="0.3">
      <c r="A933" s="15" t="str">
        <f t="shared" si="182"/>
        <v/>
      </c>
      <c r="B933" s="25"/>
      <c r="C933" s="26"/>
      <c r="D933" s="279"/>
      <c r="E933" s="27"/>
      <c r="F933" s="28"/>
      <c r="G933" s="27"/>
      <c r="H933" s="28"/>
      <c r="I933" s="28"/>
      <c r="J933" s="255" t="str">
        <f>IF(H933="","",(_xlfn.XLOOKUP(H933,Cadastros!$D$6:$D$90,Cadastros!$E$6:$E$90))*(1-_xlfn.XLOOKUP(_xlfn.XLOOKUP($F933,Clientes!$B$4:$B$39,Clientes!$C$4:$C$39),Cadastros!$L$6:$L$12,Cadastros!$N$6:$N$12)))</f>
        <v/>
      </c>
      <c r="K933" s="168" t="str">
        <f t="shared" si="183"/>
        <v/>
      </c>
      <c r="L933" s="168" t="str">
        <f>IFERROR(K933/_xlfn.XLOOKUP(_xlfn.XLOOKUP($F933,Clientes!$B$4:$B$39,Clientes!$C$4:$C$39),Cadastros!$L$6:$L$12,Cadastros!$M$6:$M$12)," ")</f>
        <v xml:space="preserve"> </v>
      </c>
      <c r="M933" s="28"/>
      <c r="N933" s="28"/>
      <c r="O933" s="255" t="str">
        <f>IF(M933="","",(_xlfn.XLOOKUP(M933,Cadastros!$D$6:$D$90,Cadastros!$E$6:$E$90))*(1-_xlfn.XLOOKUP(_xlfn.XLOOKUP($F933,Clientes!$B$4:$B$39,Clientes!$C$4:$C$39),Cadastros!$L$6:$L$12,Cadastros!$N$6:$N$12)))</f>
        <v/>
      </c>
      <c r="P933" s="168" t="str">
        <f t="shared" si="184"/>
        <v/>
      </c>
      <c r="Q933" s="168" t="str">
        <f>IFERROR(P933/_xlfn.XLOOKUP(_xlfn.XLOOKUP($F933,Clientes!$B$4:$B$39,Clientes!$C$4:$C$39),Cadastros!$L$6:$L$12,Cadastros!$M$6:$M$12)," ")</f>
        <v xml:space="preserve"> </v>
      </c>
      <c r="R933" s="28"/>
      <c r="S933" s="28"/>
      <c r="T933" s="255" t="str">
        <f>IF(R933="","",(_xlfn.XLOOKUP(R933,Cadastros!$D$6:$D$90,Cadastros!$E$6:$E$90))*(1-_xlfn.XLOOKUP(_xlfn.XLOOKUP($F933,Clientes!$B$4:$B$39,Clientes!$C$4:$C$39),Cadastros!$L$6:$L$12,Cadastros!$N$6:$N$12)))</f>
        <v/>
      </c>
      <c r="U933" s="168" t="str">
        <f t="shared" si="185"/>
        <v/>
      </c>
      <c r="V933" s="168" t="str">
        <f>IFERROR(U933/_xlfn.XLOOKUP(_xlfn.XLOOKUP($F933,Clientes!$B$4:$B$39,Clientes!$C$4:$C$39),Cadastros!$L$6:$L$12,Cadastros!$M$6:$M$12)," ")</f>
        <v xml:space="preserve"> </v>
      </c>
      <c r="W933" s="28"/>
      <c r="X933" s="28"/>
      <c r="Y933" s="255" t="str">
        <f>IF(W933="","",(_xlfn.XLOOKUP(W933,Cadastros!$D$6:$D$90,Cadastros!$E$6:$E$90))*(1-_xlfn.XLOOKUP(_xlfn.XLOOKUP($F933,Clientes!$B$4:$B$39,Clientes!$C$4:$C$39),Cadastros!$L$6:$L$12,Cadastros!$N$6:$N$12)))</f>
        <v/>
      </c>
      <c r="Z933" s="168" t="str">
        <f t="shared" si="186"/>
        <v/>
      </c>
      <c r="AA933" s="168" t="str">
        <f>IFERROR(Z933/_xlfn.XLOOKUP(_xlfn.XLOOKUP($F933,Clientes!$B$4:$B$39,Clientes!$C$4:$C$39),Cadastros!$L$6:$L$12,Cadastros!$M$6:$M$12)," ")</f>
        <v xml:space="preserve"> </v>
      </c>
      <c r="AB933" s="28"/>
      <c r="AC933" s="28"/>
      <c r="AD933" s="20" t="str">
        <f>IF(AB933="","",IF($F933="Bernardino Furlan",_xlfn.XLOOKUP(AB933,Cadastros!$G$6:$G$90,Cadastros!$H$6:$H$90)*(1-0.18),IF($F933="Mauro José Salanti",_xlfn.XLOOKUP(AB933,Cadastros!$G$6:$G$90,Cadastros!$H$6:$H$90)*(1-0.18),_xlfn.XLOOKUP(AB933,Cadastros!$G$6:$G$90,Cadastros!$H$6:$H$90))))</f>
        <v/>
      </c>
      <c r="AE933" s="168" t="str">
        <f t="shared" si="187"/>
        <v/>
      </c>
      <c r="AF933" s="168" t="str">
        <f t="shared" si="188"/>
        <v/>
      </c>
      <c r="AG933" s="28"/>
      <c r="AH933" s="28"/>
      <c r="AI933" s="20" t="str">
        <f>IF(AG933="","",IF($F933="Bernardino Furlan",_xlfn.XLOOKUP(AG933,Cadastros!$G$6:$G$90,Cadastros!$H$6:$H$90)*(1-0.18),IF($F933="Mauro José Salanti",_xlfn.XLOOKUP(AG933,Cadastros!$G$6:$G$90,Cadastros!$H$6:$H$90)*(1-0.18),_xlfn.XLOOKUP(AG933,Cadastros!$G$6:$G$90,Cadastros!$H$6:$H$90))))</f>
        <v/>
      </c>
      <c r="AJ933" s="168" t="str">
        <f t="shared" si="189"/>
        <v/>
      </c>
      <c r="AK933" s="168" t="str">
        <f t="shared" si="190"/>
        <v/>
      </c>
      <c r="AL933" s="28"/>
      <c r="AM933" s="28"/>
      <c r="AN933" s="20" t="str">
        <f>IF(AL933="","",IF($F933="Bernardino Furlan",_xlfn.XLOOKUP(AL933,Cadastros!$G$6:$G$90,Cadastros!$H$6:$H$90)*(1-0.18),IF($F933="Mauro José Salanti",_xlfn.XLOOKUP(AL933,Cadastros!$G$6:$G$90,Cadastros!$H$6:$H$90)*(1-0.18),_xlfn.XLOOKUP(AL933,Cadastros!$G$6:$G$90,Cadastros!$H$6:$H$90))))</f>
        <v/>
      </c>
      <c r="AO933" s="168" t="str">
        <f t="shared" si="191"/>
        <v/>
      </c>
      <c r="AP933" s="168" t="str">
        <f t="shared" si="192"/>
        <v/>
      </c>
      <c r="AQ933" s="28"/>
      <c r="AR933" s="28"/>
      <c r="AS933" s="20" t="str">
        <f>IF(AQ933="","",IF($F933="Bernardino Furlan",_xlfn.XLOOKUP(AQ933,Cadastros!$G$6:$G$90,Cadastros!$H$6:$H$90)*(1-0.18),IF($F933="Mauro José Salanti",_xlfn.XLOOKUP(AQ933,Cadastros!$G$6:$G$90,Cadastros!$H$6:$H$90)*(1-0.18),_xlfn.XLOOKUP(AQ933,Cadastros!$G$6:$G$90,Cadastros!$H$6:$H$90))))</f>
        <v/>
      </c>
      <c r="AT933" s="168" t="str">
        <f t="shared" si="193"/>
        <v/>
      </c>
      <c r="AU933" s="168" t="str">
        <f t="shared" si="194"/>
        <v/>
      </c>
      <c r="AV933" s="227"/>
      <c r="AW933" s="30"/>
      <c r="AX933" s="267"/>
      <c r="AY933" s="267"/>
      <c r="AZ933" s="29"/>
      <c r="BA933" s="30"/>
      <c r="BB933" s="23" t="str" cm="1">
        <f t="array" ref="BB933">_xlfn.IFS(AW933="SIM",SUM(K933,P933,U933,Z933,AE933,AJ933,AO933,AT933,AX933,AY933),F933&lt;&gt;"",SUM(K933,P933,U933,Z933,AE933,AJ933,,AO933,AT933),F933="","")</f>
        <v/>
      </c>
      <c r="BC933" s="211" t="str" cm="1">
        <f t="array" ref="BC933">_xlfn.IFS(E933="","",G933&lt;=E933,BB933*(1-0.03),G933&lt;(E933+8),BB933,AZ933="Boleto",BB933*(1+0.001)^DATEDIF(E933,G933,"D"),AZ933="Cheque",BB933,AZ933="Dinheiro","Alterar forma pgto")</f>
        <v/>
      </c>
      <c r="BD933" s="276" t="str" cm="1">
        <f t="array" ref="BD933">IF(F933=0," ",IF(BC933&lt;BB933,(_xlfn.IFS(AW933="SIM",SUM(L933,Q933,V933,AA933,AF933,AK933,AP933,AU933)+AX933/_xlfn.XLOOKUP(_xlfn.XLOOKUP($F933,Clientes!$B$4:$B$39,Clientes!$C$4:$C$39),Cadastros!$L$6:$L$12,Cadastros!$M$6:$M$12)+IF($F933="Bernardino Furlan",AY933/2751.92,IF($F933="Mauro José Salanti",AY933/2751.92,AY933/3356)),F933&lt;&gt;0,SUM(L933,Q933,V933,AA933,AF933,AK933,AP933,AU933)))*(1-0.03),_xlfn.IFS(AW933="SIM",SUM(L933,Q933,V933,AA933,AF933,AK933,AP933,AU933)+AX933/_xlfn.XLOOKUP(_xlfn.XLOOKUP($F933,Clientes!$B$4:$B$39,Clientes!$C$4:$C$39),Cadastros!$L$6:$L$12,Cadastros!$M$6:$M$12)+IF($F933="Bernardino Furlan",AY933/2751.92,IF($F933="Mauro José Salanti",AY933/2751.92,AY933/3356)),F933&lt;&gt;0,SUM(L933,Q933,V933,AA933,AF933,AK933,AP933,AU933))))</f>
        <v xml:space="preserve"> </v>
      </c>
      <c r="BE933" s="120"/>
      <c r="BF933" s="120"/>
      <c r="BG933" s="120"/>
    </row>
    <row r="934" spans="1:59" s="3" customFormat="1" x14ac:dyDescent="0.3">
      <c r="A934" s="15" t="str">
        <f t="shared" si="182"/>
        <v/>
      </c>
      <c r="B934" s="25"/>
      <c r="C934" s="26"/>
      <c r="D934" s="279"/>
      <c r="E934" s="27"/>
      <c r="F934" s="28"/>
      <c r="G934" s="27"/>
      <c r="H934" s="28"/>
      <c r="I934" s="28"/>
      <c r="J934" s="255" t="str">
        <f>IF(H934="","",(_xlfn.XLOOKUP(H934,Cadastros!$D$6:$D$90,Cadastros!$E$6:$E$90))*(1-_xlfn.XLOOKUP(_xlfn.XLOOKUP($F934,Clientes!$B$4:$B$39,Clientes!$C$4:$C$39),Cadastros!$L$6:$L$12,Cadastros!$N$6:$N$12)))</f>
        <v/>
      </c>
      <c r="K934" s="168" t="str">
        <f t="shared" si="183"/>
        <v/>
      </c>
      <c r="L934" s="168" t="str">
        <f>IFERROR(K934/_xlfn.XLOOKUP(_xlfn.XLOOKUP($F934,Clientes!$B$4:$B$39,Clientes!$C$4:$C$39),Cadastros!$L$6:$L$12,Cadastros!$M$6:$M$12)," ")</f>
        <v xml:space="preserve"> </v>
      </c>
      <c r="M934" s="28"/>
      <c r="N934" s="28"/>
      <c r="O934" s="255" t="str">
        <f>IF(M934="","",(_xlfn.XLOOKUP(M934,Cadastros!$D$6:$D$90,Cadastros!$E$6:$E$90))*(1-_xlfn.XLOOKUP(_xlfn.XLOOKUP($F934,Clientes!$B$4:$B$39,Clientes!$C$4:$C$39),Cadastros!$L$6:$L$12,Cadastros!$N$6:$N$12)))</f>
        <v/>
      </c>
      <c r="P934" s="168" t="str">
        <f t="shared" si="184"/>
        <v/>
      </c>
      <c r="Q934" s="168" t="str">
        <f>IFERROR(P934/_xlfn.XLOOKUP(_xlfn.XLOOKUP($F934,Clientes!$B$4:$B$39,Clientes!$C$4:$C$39),Cadastros!$L$6:$L$12,Cadastros!$M$6:$M$12)," ")</f>
        <v xml:space="preserve"> </v>
      </c>
      <c r="R934" s="28"/>
      <c r="S934" s="28"/>
      <c r="T934" s="255" t="str">
        <f>IF(R934="","",(_xlfn.XLOOKUP(R934,Cadastros!$D$6:$D$90,Cadastros!$E$6:$E$90))*(1-_xlfn.XLOOKUP(_xlfn.XLOOKUP($F934,Clientes!$B$4:$B$39,Clientes!$C$4:$C$39),Cadastros!$L$6:$L$12,Cadastros!$N$6:$N$12)))</f>
        <v/>
      </c>
      <c r="U934" s="168" t="str">
        <f t="shared" si="185"/>
        <v/>
      </c>
      <c r="V934" s="168" t="str">
        <f>IFERROR(U934/_xlfn.XLOOKUP(_xlfn.XLOOKUP($F934,Clientes!$B$4:$B$39,Clientes!$C$4:$C$39),Cadastros!$L$6:$L$12,Cadastros!$M$6:$M$12)," ")</f>
        <v xml:space="preserve"> </v>
      </c>
      <c r="W934" s="28"/>
      <c r="X934" s="28"/>
      <c r="Y934" s="255" t="str">
        <f>IF(W934="","",(_xlfn.XLOOKUP(W934,Cadastros!$D$6:$D$90,Cadastros!$E$6:$E$90))*(1-_xlfn.XLOOKUP(_xlfn.XLOOKUP($F934,Clientes!$B$4:$B$39,Clientes!$C$4:$C$39),Cadastros!$L$6:$L$12,Cadastros!$N$6:$N$12)))</f>
        <v/>
      </c>
      <c r="Z934" s="168" t="str">
        <f t="shared" si="186"/>
        <v/>
      </c>
      <c r="AA934" s="168" t="str">
        <f>IFERROR(Z934/_xlfn.XLOOKUP(_xlfn.XLOOKUP($F934,Clientes!$B$4:$B$39,Clientes!$C$4:$C$39),Cadastros!$L$6:$L$12,Cadastros!$M$6:$M$12)," ")</f>
        <v xml:space="preserve"> </v>
      </c>
      <c r="AB934" s="28"/>
      <c r="AC934" s="28"/>
      <c r="AD934" s="20" t="str">
        <f>IF(AB934="","",IF($F934="Bernardino Furlan",_xlfn.XLOOKUP(AB934,Cadastros!$G$6:$G$90,Cadastros!$H$6:$H$90)*(1-0.18),IF($F934="Mauro José Salanti",_xlfn.XLOOKUP(AB934,Cadastros!$G$6:$G$90,Cadastros!$H$6:$H$90)*(1-0.18),_xlfn.XLOOKUP(AB934,Cadastros!$G$6:$G$90,Cadastros!$H$6:$H$90))))</f>
        <v/>
      </c>
      <c r="AE934" s="168" t="str">
        <f t="shared" si="187"/>
        <v/>
      </c>
      <c r="AF934" s="168" t="str">
        <f t="shared" si="188"/>
        <v/>
      </c>
      <c r="AG934" s="28"/>
      <c r="AH934" s="28"/>
      <c r="AI934" s="20" t="str">
        <f>IF(AG934="","",IF($F934="Bernardino Furlan",_xlfn.XLOOKUP(AG934,Cadastros!$G$6:$G$90,Cadastros!$H$6:$H$90)*(1-0.18),IF($F934="Mauro José Salanti",_xlfn.XLOOKUP(AG934,Cadastros!$G$6:$G$90,Cadastros!$H$6:$H$90)*(1-0.18),_xlfn.XLOOKUP(AG934,Cadastros!$G$6:$G$90,Cadastros!$H$6:$H$90))))</f>
        <v/>
      </c>
      <c r="AJ934" s="168" t="str">
        <f t="shared" si="189"/>
        <v/>
      </c>
      <c r="AK934" s="168" t="str">
        <f t="shared" si="190"/>
        <v/>
      </c>
      <c r="AL934" s="28"/>
      <c r="AM934" s="28"/>
      <c r="AN934" s="20" t="str">
        <f>IF(AL934="","",IF($F934="Bernardino Furlan",_xlfn.XLOOKUP(AL934,Cadastros!$G$6:$G$90,Cadastros!$H$6:$H$90)*(1-0.18),IF($F934="Mauro José Salanti",_xlfn.XLOOKUP(AL934,Cadastros!$G$6:$G$90,Cadastros!$H$6:$H$90)*(1-0.18),_xlfn.XLOOKUP(AL934,Cadastros!$G$6:$G$90,Cadastros!$H$6:$H$90))))</f>
        <v/>
      </c>
      <c r="AO934" s="168" t="str">
        <f t="shared" si="191"/>
        <v/>
      </c>
      <c r="AP934" s="168" t="str">
        <f t="shared" si="192"/>
        <v/>
      </c>
      <c r="AQ934" s="28"/>
      <c r="AR934" s="28"/>
      <c r="AS934" s="20" t="str">
        <f>IF(AQ934="","",IF($F934="Bernardino Furlan",_xlfn.XLOOKUP(AQ934,Cadastros!$G$6:$G$90,Cadastros!$H$6:$H$90)*(1-0.18),IF($F934="Mauro José Salanti",_xlfn.XLOOKUP(AQ934,Cadastros!$G$6:$G$90,Cadastros!$H$6:$H$90)*(1-0.18),_xlfn.XLOOKUP(AQ934,Cadastros!$G$6:$G$90,Cadastros!$H$6:$H$90))))</f>
        <v/>
      </c>
      <c r="AT934" s="168" t="str">
        <f t="shared" si="193"/>
        <v/>
      </c>
      <c r="AU934" s="168" t="str">
        <f t="shared" si="194"/>
        <v/>
      </c>
      <c r="AV934" s="227"/>
      <c r="AW934" s="30"/>
      <c r="AX934" s="267"/>
      <c r="AY934" s="267"/>
      <c r="AZ934" s="29"/>
      <c r="BA934" s="30"/>
      <c r="BB934" s="23" t="str" cm="1">
        <f t="array" ref="BB934">_xlfn.IFS(AW934="SIM",SUM(K934,P934,U934,Z934,AE934,AJ934,AO934,AT934,AX934,AY934),F934&lt;&gt;"",SUM(K934,P934,U934,Z934,AE934,AJ934,,AO934,AT934),F934="","")</f>
        <v/>
      </c>
      <c r="BC934" s="211" t="str" cm="1">
        <f t="array" ref="BC934">_xlfn.IFS(E934="","",G934&lt;=E934,BB934*(1-0.03),G934&lt;(E934+8),BB934,AZ934="Boleto",BB934*(1+0.001)^DATEDIF(E934,G934,"D"),AZ934="Cheque",BB934,AZ934="Dinheiro","Alterar forma pgto")</f>
        <v/>
      </c>
      <c r="BD934" s="276" t="str" cm="1">
        <f t="array" ref="BD934">IF(F934=0," ",IF(BC934&lt;BB934,(_xlfn.IFS(AW934="SIM",SUM(L934,Q934,V934,AA934,AF934,AK934,AP934,AU934)+AX934/_xlfn.XLOOKUP(_xlfn.XLOOKUP($F934,Clientes!$B$4:$B$39,Clientes!$C$4:$C$39),Cadastros!$L$6:$L$12,Cadastros!$M$6:$M$12)+IF($F934="Bernardino Furlan",AY934/2751.92,IF($F934="Mauro José Salanti",AY934/2751.92,AY934/3356)),F934&lt;&gt;0,SUM(L934,Q934,V934,AA934,AF934,AK934,AP934,AU934)))*(1-0.03),_xlfn.IFS(AW934="SIM",SUM(L934,Q934,V934,AA934,AF934,AK934,AP934,AU934)+AX934/_xlfn.XLOOKUP(_xlfn.XLOOKUP($F934,Clientes!$B$4:$B$39,Clientes!$C$4:$C$39),Cadastros!$L$6:$L$12,Cadastros!$M$6:$M$12)+IF($F934="Bernardino Furlan",AY934/2751.92,IF($F934="Mauro José Salanti",AY934/2751.92,AY934/3356)),F934&lt;&gt;0,SUM(L934,Q934,V934,AA934,AF934,AK934,AP934,AU934))))</f>
        <v xml:space="preserve"> </v>
      </c>
      <c r="BE934" s="120"/>
      <c r="BF934" s="120"/>
      <c r="BG934" s="120"/>
    </row>
    <row r="935" spans="1:59" s="3" customFormat="1" x14ac:dyDescent="0.3">
      <c r="A935" s="15" t="str">
        <f t="shared" si="182"/>
        <v/>
      </c>
      <c r="B935" s="25"/>
      <c r="C935" s="26"/>
      <c r="D935" s="279"/>
      <c r="E935" s="27"/>
      <c r="F935" s="28"/>
      <c r="G935" s="27"/>
      <c r="H935" s="28"/>
      <c r="I935" s="28"/>
      <c r="J935" s="255" t="str">
        <f>IF(H935="","",(_xlfn.XLOOKUP(H935,Cadastros!$D$6:$D$90,Cadastros!$E$6:$E$90))*(1-_xlfn.XLOOKUP(_xlfn.XLOOKUP($F935,Clientes!$B$4:$B$39,Clientes!$C$4:$C$39),Cadastros!$L$6:$L$12,Cadastros!$N$6:$N$12)))</f>
        <v/>
      </c>
      <c r="K935" s="168" t="str">
        <f t="shared" si="183"/>
        <v/>
      </c>
      <c r="L935" s="168" t="str">
        <f>IFERROR(K935/_xlfn.XLOOKUP(_xlfn.XLOOKUP($F935,Clientes!$B$4:$B$39,Clientes!$C$4:$C$39),Cadastros!$L$6:$L$12,Cadastros!$M$6:$M$12)," ")</f>
        <v xml:space="preserve"> </v>
      </c>
      <c r="M935" s="28"/>
      <c r="N935" s="28"/>
      <c r="O935" s="255" t="str">
        <f>IF(M935="","",(_xlfn.XLOOKUP(M935,Cadastros!$D$6:$D$90,Cadastros!$E$6:$E$90))*(1-_xlfn.XLOOKUP(_xlfn.XLOOKUP($F935,Clientes!$B$4:$B$39,Clientes!$C$4:$C$39),Cadastros!$L$6:$L$12,Cadastros!$N$6:$N$12)))</f>
        <v/>
      </c>
      <c r="P935" s="168" t="str">
        <f t="shared" si="184"/>
        <v/>
      </c>
      <c r="Q935" s="168" t="str">
        <f>IFERROR(P935/_xlfn.XLOOKUP(_xlfn.XLOOKUP($F935,Clientes!$B$4:$B$39,Clientes!$C$4:$C$39),Cadastros!$L$6:$L$12,Cadastros!$M$6:$M$12)," ")</f>
        <v xml:space="preserve"> </v>
      </c>
      <c r="R935" s="28"/>
      <c r="S935" s="28"/>
      <c r="T935" s="255" t="str">
        <f>IF(R935="","",(_xlfn.XLOOKUP(R935,Cadastros!$D$6:$D$90,Cadastros!$E$6:$E$90))*(1-_xlfn.XLOOKUP(_xlfn.XLOOKUP($F935,Clientes!$B$4:$B$39,Clientes!$C$4:$C$39),Cadastros!$L$6:$L$12,Cadastros!$N$6:$N$12)))</f>
        <v/>
      </c>
      <c r="U935" s="168" t="str">
        <f t="shared" si="185"/>
        <v/>
      </c>
      <c r="V935" s="168" t="str">
        <f>IFERROR(U935/_xlfn.XLOOKUP(_xlfn.XLOOKUP($F935,Clientes!$B$4:$B$39,Clientes!$C$4:$C$39),Cadastros!$L$6:$L$12,Cadastros!$M$6:$M$12)," ")</f>
        <v xml:space="preserve"> </v>
      </c>
      <c r="W935" s="28"/>
      <c r="X935" s="28"/>
      <c r="Y935" s="255" t="str">
        <f>IF(W935="","",(_xlfn.XLOOKUP(W935,Cadastros!$D$6:$D$90,Cadastros!$E$6:$E$90))*(1-_xlfn.XLOOKUP(_xlfn.XLOOKUP($F935,Clientes!$B$4:$B$39,Clientes!$C$4:$C$39),Cadastros!$L$6:$L$12,Cadastros!$N$6:$N$12)))</f>
        <v/>
      </c>
      <c r="Z935" s="168" t="str">
        <f t="shared" si="186"/>
        <v/>
      </c>
      <c r="AA935" s="168" t="str">
        <f>IFERROR(Z935/_xlfn.XLOOKUP(_xlfn.XLOOKUP($F935,Clientes!$B$4:$B$39,Clientes!$C$4:$C$39),Cadastros!$L$6:$L$12,Cadastros!$M$6:$M$12)," ")</f>
        <v xml:space="preserve"> </v>
      </c>
      <c r="AB935" s="28"/>
      <c r="AC935" s="28"/>
      <c r="AD935" s="20" t="str">
        <f>IF(AB935="","",IF($F935="Bernardino Furlan",_xlfn.XLOOKUP(AB935,Cadastros!$G$6:$G$90,Cadastros!$H$6:$H$90)*(1-0.18),IF($F935="Mauro José Salanti",_xlfn.XLOOKUP(AB935,Cadastros!$G$6:$G$90,Cadastros!$H$6:$H$90)*(1-0.18),_xlfn.XLOOKUP(AB935,Cadastros!$G$6:$G$90,Cadastros!$H$6:$H$90))))</f>
        <v/>
      </c>
      <c r="AE935" s="168" t="str">
        <f t="shared" si="187"/>
        <v/>
      </c>
      <c r="AF935" s="168" t="str">
        <f t="shared" si="188"/>
        <v/>
      </c>
      <c r="AG935" s="28"/>
      <c r="AH935" s="28"/>
      <c r="AI935" s="20" t="str">
        <f>IF(AG935="","",IF($F935="Bernardino Furlan",_xlfn.XLOOKUP(AG935,Cadastros!$G$6:$G$90,Cadastros!$H$6:$H$90)*(1-0.18),IF($F935="Mauro José Salanti",_xlfn.XLOOKUP(AG935,Cadastros!$G$6:$G$90,Cadastros!$H$6:$H$90)*(1-0.18),_xlfn.XLOOKUP(AG935,Cadastros!$G$6:$G$90,Cadastros!$H$6:$H$90))))</f>
        <v/>
      </c>
      <c r="AJ935" s="168" t="str">
        <f t="shared" si="189"/>
        <v/>
      </c>
      <c r="AK935" s="168" t="str">
        <f t="shared" si="190"/>
        <v/>
      </c>
      <c r="AL935" s="28"/>
      <c r="AM935" s="28"/>
      <c r="AN935" s="20" t="str">
        <f>IF(AL935="","",IF($F935="Bernardino Furlan",_xlfn.XLOOKUP(AL935,Cadastros!$G$6:$G$90,Cadastros!$H$6:$H$90)*(1-0.18),IF($F935="Mauro José Salanti",_xlfn.XLOOKUP(AL935,Cadastros!$G$6:$G$90,Cadastros!$H$6:$H$90)*(1-0.18),_xlfn.XLOOKUP(AL935,Cadastros!$G$6:$G$90,Cadastros!$H$6:$H$90))))</f>
        <v/>
      </c>
      <c r="AO935" s="168" t="str">
        <f t="shared" si="191"/>
        <v/>
      </c>
      <c r="AP935" s="168" t="str">
        <f t="shared" si="192"/>
        <v/>
      </c>
      <c r="AQ935" s="28"/>
      <c r="AR935" s="28"/>
      <c r="AS935" s="20" t="str">
        <f>IF(AQ935="","",IF($F935="Bernardino Furlan",_xlfn.XLOOKUP(AQ935,Cadastros!$G$6:$G$90,Cadastros!$H$6:$H$90)*(1-0.18),IF($F935="Mauro José Salanti",_xlfn.XLOOKUP(AQ935,Cadastros!$G$6:$G$90,Cadastros!$H$6:$H$90)*(1-0.18),_xlfn.XLOOKUP(AQ935,Cadastros!$G$6:$G$90,Cadastros!$H$6:$H$90))))</f>
        <v/>
      </c>
      <c r="AT935" s="168" t="str">
        <f t="shared" si="193"/>
        <v/>
      </c>
      <c r="AU935" s="168" t="str">
        <f t="shared" si="194"/>
        <v/>
      </c>
      <c r="AV935" s="227"/>
      <c r="AW935" s="30"/>
      <c r="AX935" s="267"/>
      <c r="AY935" s="267"/>
      <c r="AZ935" s="29"/>
      <c r="BA935" s="30"/>
      <c r="BB935" s="23" t="str" cm="1">
        <f t="array" ref="BB935">_xlfn.IFS(AW935="SIM",SUM(K935,P935,U935,Z935,AE935,AJ935,AO935,AT935,AX935,AY935),F935&lt;&gt;"",SUM(K935,P935,U935,Z935,AE935,AJ935,,AO935,AT935),F935="","")</f>
        <v/>
      </c>
      <c r="BC935" s="211" t="str" cm="1">
        <f t="array" ref="BC935">_xlfn.IFS(E935="","",G935&lt;=E935,BB935*(1-0.03),G935&lt;(E935+8),BB935,AZ935="Boleto",BB935*(1+0.001)^DATEDIF(E935,G935,"D"),AZ935="Cheque",BB935,AZ935="Dinheiro","Alterar forma pgto")</f>
        <v/>
      </c>
      <c r="BD935" s="276" t="str" cm="1">
        <f t="array" ref="BD935">IF(F935=0," ",IF(BC935&lt;BB935,(_xlfn.IFS(AW935="SIM",SUM(L935,Q935,V935,AA935,AF935,AK935,AP935,AU935)+AX935/_xlfn.XLOOKUP(_xlfn.XLOOKUP($F935,Clientes!$B$4:$B$39,Clientes!$C$4:$C$39),Cadastros!$L$6:$L$12,Cadastros!$M$6:$M$12)+IF($F935="Bernardino Furlan",AY935/2751.92,IF($F935="Mauro José Salanti",AY935/2751.92,AY935/3356)),F935&lt;&gt;0,SUM(L935,Q935,V935,AA935,AF935,AK935,AP935,AU935)))*(1-0.03),_xlfn.IFS(AW935="SIM",SUM(L935,Q935,V935,AA935,AF935,AK935,AP935,AU935)+AX935/_xlfn.XLOOKUP(_xlfn.XLOOKUP($F935,Clientes!$B$4:$B$39,Clientes!$C$4:$C$39),Cadastros!$L$6:$L$12,Cadastros!$M$6:$M$12)+IF($F935="Bernardino Furlan",AY935/2751.92,IF($F935="Mauro José Salanti",AY935/2751.92,AY935/3356)),F935&lt;&gt;0,SUM(L935,Q935,V935,AA935,AF935,AK935,AP935,AU935))))</f>
        <v xml:space="preserve"> </v>
      </c>
      <c r="BE935" s="120"/>
      <c r="BF935" s="120"/>
      <c r="BG935" s="120"/>
    </row>
    <row r="936" spans="1:59" s="3" customFormat="1" x14ac:dyDescent="0.3">
      <c r="A936" s="15" t="str">
        <f t="shared" si="182"/>
        <v/>
      </c>
      <c r="B936" s="25"/>
      <c r="C936" s="26"/>
      <c r="D936" s="279"/>
      <c r="E936" s="27"/>
      <c r="F936" s="28"/>
      <c r="G936" s="27"/>
      <c r="H936" s="28"/>
      <c r="I936" s="28"/>
      <c r="J936" s="255" t="str">
        <f>IF(H936="","",(_xlfn.XLOOKUP(H936,Cadastros!$D$6:$D$90,Cadastros!$E$6:$E$90))*(1-_xlfn.XLOOKUP(_xlfn.XLOOKUP($F936,Clientes!$B$4:$B$39,Clientes!$C$4:$C$39),Cadastros!$L$6:$L$12,Cadastros!$N$6:$N$12)))</f>
        <v/>
      </c>
      <c r="K936" s="168" t="str">
        <f t="shared" si="183"/>
        <v/>
      </c>
      <c r="L936" s="168" t="str">
        <f>IFERROR(K936/_xlfn.XLOOKUP(_xlfn.XLOOKUP($F936,Clientes!$B$4:$B$39,Clientes!$C$4:$C$39),Cadastros!$L$6:$L$12,Cadastros!$M$6:$M$12)," ")</f>
        <v xml:space="preserve"> </v>
      </c>
      <c r="M936" s="28"/>
      <c r="N936" s="28"/>
      <c r="O936" s="255" t="str">
        <f>IF(M936="","",(_xlfn.XLOOKUP(M936,Cadastros!$D$6:$D$90,Cadastros!$E$6:$E$90))*(1-_xlfn.XLOOKUP(_xlfn.XLOOKUP($F936,Clientes!$B$4:$B$39,Clientes!$C$4:$C$39),Cadastros!$L$6:$L$12,Cadastros!$N$6:$N$12)))</f>
        <v/>
      </c>
      <c r="P936" s="168" t="str">
        <f t="shared" si="184"/>
        <v/>
      </c>
      <c r="Q936" s="168" t="str">
        <f>IFERROR(P936/_xlfn.XLOOKUP(_xlfn.XLOOKUP($F936,Clientes!$B$4:$B$39,Clientes!$C$4:$C$39),Cadastros!$L$6:$L$12,Cadastros!$M$6:$M$12)," ")</f>
        <v xml:space="preserve"> </v>
      </c>
      <c r="R936" s="28"/>
      <c r="S936" s="28"/>
      <c r="T936" s="255" t="str">
        <f>IF(R936="","",(_xlfn.XLOOKUP(R936,Cadastros!$D$6:$D$90,Cadastros!$E$6:$E$90))*(1-_xlfn.XLOOKUP(_xlfn.XLOOKUP($F936,Clientes!$B$4:$B$39,Clientes!$C$4:$C$39),Cadastros!$L$6:$L$12,Cadastros!$N$6:$N$12)))</f>
        <v/>
      </c>
      <c r="U936" s="168" t="str">
        <f t="shared" si="185"/>
        <v/>
      </c>
      <c r="V936" s="168" t="str">
        <f>IFERROR(U936/_xlfn.XLOOKUP(_xlfn.XLOOKUP($F936,Clientes!$B$4:$B$39,Clientes!$C$4:$C$39),Cadastros!$L$6:$L$12,Cadastros!$M$6:$M$12)," ")</f>
        <v xml:space="preserve"> </v>
      </c>
      <c r="W936" s="28"/>
      <c r="X936" s="28"/>
      <c r="Y936" s="255" t="str">
        <f>IF(W936="","",(_xlfn.XLOOKUP(W936,Cadastros!$D$6:$D$90,Cadastros!$E$6:$E$90))*(1-_xlfn.XLOOKUP(_xlfn.XLOOKUP($F936,Clientes!$B$4:$B$39,Clientes!$C$4:$C$39),Cadastros!$L$6:$L$12,Cadastros!$N$6:$N$12)))</f>
        <v/>
      </c>
      <c r="Z936" s="168" t="str">
        <f t="shared" si="186"/>
        <v/>
      </c>
      <c r="AA936" s="168" t="str">
        <f>IFERROR(Z936/_xlfn.XLOOKUP(_xlfn.XLOOKUP($F936,Clientes!$B$4:$B$39,Clientes!$C$4:$C$39),Cadastros!$L$6:$L$12,Cadastros!$M$6:$M$12)," ")</f>
        <v xml:space="preserve"> </v>
      </c>
      <c r="AB936" s="28"/>
      <c r="AC936" s="28"/>
      <c r="AD936" s="20" t="str">
        <f>IF(AB936="","",IF($F936="Bernardino Furlan",_xlfn.XLOOKUP(AB936,Cadastros!$G$6:$G$90,Cadastros!$H$6:$H$90)*(1-0.18),IF($F936="Mauro José Salanti",_xlfn.XLOOKUP(AB936,Cadastros!$G$6:$G$90,Cadastros!$H$6:$H$90)*(1-0.18),_xlfn.XLOOKUP(AB936,Cadastros!$G$6:$G$90,Cadastros!$H$6:$H$90))))</f>
        <v/>
      </c>
      <c r="AE936" s="168" t="str">
        <f t="shared" si="187"/>
        <v/>
      </c>
      <c r="AF936" s="168" t="str">
        <f t="shared" si="188"/>
        <v/>
      </c>
      <c r="AG936" s="28"/>
      <c r="AH936" s="28"/>
      <c r="AI936" s="20" t="str">
        <f>IF(AG936="","",IF($F936="Bernardino Furlan",_xlfn.XLOOKUP(AG936,Cadastros!$G$6:$G$90,Cadastros!$H$6:$H$90)*(1-0.18),IF($F936="Mauro José Salanti",_xlfn.XLOOKUP(AG936,Cadastros!$G$6:$G$90,Cadastros!$H$6:$H$90)*(1-0.18),_xlfn.XLOOKUP(AG936,Cadastros!$G$6:$G$90,Cadastros!$H$6:$H$90))))</f>
        <v/>
      </c>
      <c r="AJ936" s="168" t="str">
        <f t="shared" si="189"/>
        <v/>
      </c>
      <c r="AK936" s="168" t="str">
        <f t="shared" si="190"/>
        <v/>
      </c>
      <c r="AL936" s="28"/>
      <c r="AM936" s="28"/>
      <c r="AN936" s="20" t="str">
        <f>IF(AL936="","",IF($F936="Bernardino Furlan",_xlfn.XLOOKUP(AL936,Cadastros!$G$6:$G$90,Cadastros!$H$6:$H$90)*(1-0.18),IF($F936="Mauro José Salanti",_xlfn.XLOOKUP(AL936,Cadastros!$G$6:$G$90,Cadastros!$H$6:$H$90)*(1-0.18),_xlfn.XLOOKUP(AL936,Cadastros!$G$6:$G$90,Cadastros!$H$6:$H$90))))</f>
        <v/>
      </c>
      <c r="AO936" s="168" t="str">
        <f t="shared" si="191"/>
        <v/>
      </c>
      <c r="AP936" s="168" t="str">
        <f t="shared" si="192"/>
        <v/>
      </c>
      <c r="AQ936" s="28"/>
      <c r="AR936" s="28"/>
      <c r="AS936" s="20" t="str">
        <f>IF(AQ936="","",IF($F936="Bernardino Furlan",_xlfn.XLOOKUP(AQ936,Cadastros!$G$6:$G$90,Cadastros!$H$6:$H$90)*(1-0.18),IF($F936="Mauro José Salanti",_xlfn.XLOOKUP(AQ936,Cadastros!$G$6:$G$90,Cadastros!$H$6:$H$90)*(1-0.18),_xlfn.XLOOKUP(AQ936,Cadastros!$G$6:$G$90,Cadastros!$H$6:$H$90))))</f>
        <v/>
      </c>
      <c r="AT936" s="168" t="str">
        <f t="shared" si="193"/>
        <v/>
      </c>
      <c r="AU936" s="168" t="str">
        <f t="shared" si="194"/>
        <v/>
      </c>
      <c r="AV936" s="227"/>
      <c r="AW936" s="30"/>
      <c r="AX936" s="267"/>
      <c r="AY936" s="267"/>
      <c r="AZ936" s="29"/>
      <c r="BA936" s="30"/>
      <c r="BB936" s="23" t="str" cm="1">
        <f t="array" ref="BB936">_xlfn.IFS(AW936="SIM",SUM(K936,P936,U936,Z936,AE936,AJ936,AO936,AT936,AX936,AY936),F936&lt;&gt;"",SUM(K936,P936,U936,Z936,AE936,AJ936,,AO936,AT936),F936="","")</f>
        <v/>
      </c>
      <c r="BC936" s="211" t="str" cm="1">
        <f t="array" ref="BC936">_xlfn.IFS(E936="","",G936&lt;=E936,BB936*(1-0.03),G936&lt;(E936+8),BB936,AZ936="Boleto",BB936*(1+0.001)^DATEDIF(E936,G936,"D"),AZ936="Cheque",BB936,AZ936="Dinheiro","Alterar forma pgto")</f>
        <v/>
      </c>
      <c r="BD936" s="276" t="str" cm="1">
        <f t="array" ref="BD936">IF(F936=0," ",IF(BC936&lt;BB936,(_xlfn.IFS(AW936="SIM",SUM(L936,Q936,V936,AA936,AF936,AK936,AP936,AU936)+AX936/_xlfn.XLOOKUP(_xlfn.XLOOKUP($F936,Clientes!$B$4:$B$39,Clientes!$C$4:$C$39),Cadastros!$L$6:$L$12,Cadastros!$M$6:$M$12)+IF($F936="Bernardino Furlan",AY936/2751.92,IF($F936="Mauro José Salanti",AY936/2751.92,AY936/3356)),F936&lt;&gt;0,SUM(L936,Q936,V936,AA936,AF936,AK936,AP936,AU936)))*(1-0.03),_xlfn.IFS(AW936="SIM",SUM(L936,Q936,V936,AA936,AF936,AK936,AP936,AU936)+AX936/_xlfn.XLOOKUP(_xlfn.XLOOKUP($F936,Clientes!$B$4:$B$39,Clientes!$C$4:$C$39),Cadastros!$L$6:$L$12,Cadastros!$M$6:$M$12)+IF($F936="Bernardino Furlan",AY936/2751.92,IF($F936="Mauro José Salanti",AY936/2751.92,AY936/3356)),F936&lt;&gt;0,SUM(L936,Q936,V936,AA936,AF936,AK936,AP936,AU936))))</f>
        <v xml:space="preserve"> </v>
      </c>
      <c r="BE936" s="120"/>
      <c r="BF936" s="120"/>
      <c r="BG936" s="120"/>
    </row>
    <row r="937" spans="1:59" s="3" customFormat="1" x14ac:dyDescent="0.3">
      <c r="A937" s="15" t="str">
        <f t="shared" si="182"/>
        <v/>
      </c>
      <c r="B937" s="25"/>
      <c r="C937" s="26"/>
      <c r="D937" s="279"/>
      <c r="E937" s="27"/>
      <c r="F937" s="28"/>
      <c r="G937" s="27"/>
      <c r="H937" s="28"/>
      <c r="I937" s="28"/>
      <c r="J937" s="255" t="str">
        <f>IF(H937="","",(_xlfn.XLOOKUP(H937,Cadastros!$D$6:$D$90,Cadastros!$E$6:$E$90))*(1-_xlfn.XLOOKUP(_xlfn.XLOOKUP($F937,Clientes!$B$4:$B$39,Clientes!$C$4:$C$39),Cadastros!$L$6:$L$12,Cadastros!$N$6:$N$12)))</f>
        <v/>
      </c>
      <c r="K937" s="168" t="str">
        <f t="shared" si="183"/>
        <v/>
      </c>
      <c r="L937" s="168" t="str">
        <f>IFERROR(K937/_xlfn.XLOOKUP(_xlfn.XLOOKUP($F937,Clientes!$B$4:$B$39,Clientes!$C$4:$C$39),Cadastros!$L$6:$L$12,Cadastros!$M$6:$M$12)," ")</f>
        <v xml:space="preserve"> </v>
      </c>
      <c r="M937" s="28"/>
      <c r="N937" s="28"/>
      <c r="O937" s="255" t="str">
        <f>IF(M937="","",(_xlfn.XLOOKUP(M937,Cadastros!$D$6:$D$90,Cadastros!$E$6:$E$90))*(1-_xlfn.XLOOKUP(_xlfn.XLOOKUP($F937,Clientes!$B$4:$B$39,Clientes!$C$4:$C$39),Cadastros!$L$6:$L$12,Cadastros!$N$6:$N$12)))</f>
        <v/>
      </c>
      <c r="P937" s="168" t="str">
        <f t="shared" si="184"/>
        <v/>
      </c>
      <c r="Q937" s="168" t="str">
        <f>IFERROR(P937/_xlfn.XLOOKUP(_xlfn.XLOOKUP($F937,Clientes!$B$4:$B$39,Clientes!$C$4:$C$39),Cadastros!$L$6:$L$12,Cadastros!$M$6:$M$12)," ")</f>
        <v xml:space="preserve"> </v>
      </c>
      <c r="R937" s="28"/>
      <c r="S937" s="28"/>
      <c r="T937" s="255" t="str">
        <f>IF(R937="","",(_xlfn.XLOOKUP(R937,Cadastros!$D$6:$D$90,Cadastros!$E$6:$E$90))*(1-_xlfn.XLOOKUP(_xlfn.XLOOKUP($F937,Clientes!$B$4:$B$39,Clientes!$C$4:$C$39),Cadastros!$L$6:$L$12,Cadastros!$N$6:$N$12)))</f>
        <v/>
      </c>
      <c r="U937" s="168" t="str">
        <f t="shared" si="185"/>
        <v/>
      </c>
      <c r="V937" s="168" t="str">
        <f>IFERROR(U937/_xlfn.XLOOKUP(_xlfn.XLOOKUP($F937,Clientes!$B$4:$B$39,Clientes!$C$4:$C$39),Cadastros!$L$6:$L$12,Cadastros!$M$6:$M$12)," ")</f>
        <v xml:space="preserve"> </v>
      </c>
      <c r="W937" s="28"/>
      <c r="X937" s="28"/>
      <c r="Y937" s="255" t="str">
        <f>IF(W937="","",(_xlfn.XLOOKUP(W937,Cadastros!$D$6:$D$90,Cadastros!$E$6:$E$90))*(1-_xlfn.XLOOKUP(_xlfn.XLOOKUP($F937,Clientes!$B$4:$B$39,Clientes!$C$4:$C$39),Cadastros!$L$6:$L$12,Cadastros!$N$6:$N$12)))</f>
        <v/>
      </c>
      <c r="Z937" s="168" t="str">
        <f t="shared" si="186"/>
        <v/>
      </c>
      <c r="AA937" s="168" t="str">
        <f>IFERROR(Z937/_xlfn.XLOOKUP(_xlfn.XLOOKUP($F937,Clientes!$B$4:$B$39,Clientes!$C$4:$C$39),Cadastros!$L$6:$L$12,Cadastros!$M$6:$M$12)," ")</f>
        <v xml:space="preserve"> </v>
      </c>
      <c r="AB937" s="28"/>
      <c r="AC937" s="28"/>
      <c r="AD937" s="20" t="str">
        <f>IF(AB937="","",IF($F937="Bernardino Furlan",_xlfn.XLOOKUP(AB937,Cadastros!$G$6:$G$90,Cadastros!$H$6:$H$90)*(1-0.18),IF($F937="Mauro José Salanti",_xlfn.XLOOKUP(AB937,Cadastros!$G$6:$G$90,Cadastros!$H$6:$H$90)*(1-0.18),_xlfn.XLOOKUP(AB937,Cadastros!$G$6:$G$90,Cadastros!$H$6:$H$90))))</f>
        <v/>
      </c>
      <c r="AE937" s="168" t="str">
        <f t="shared" si="187"/>
        <v/>
      </c>
      <c r="AF937" s="168" t="str">
        <f t="shared" si="188"/>
        <v/>
      </c>
      <c r="AG937" s="28"/>
      <c r="AH937" s="28"/>
      <c r="AI937" s="20" t="str">
        <f>IF(AG937="","",IF($F937="Bernardino Furlan",_xlfn.XLOOKUP(AG937,Cadastros!$G$6:$G$90,Cadastros!$H$6:$H$90)*(1-0.18),IF($F937="Mauro José Salanti",_xlfn.XLOOKUP(AG937,Cadastros!$G$6:$G$90,Cadastros!$H$6:$H$90)*(1-0.18),_xlfn.XLOOKUP(AG937,Cadastros!$G$6:$G$90,Cadastros!$H$6:$H$90))))</f>
        <v/>
      </c>
      <c r="AJ937" s="168" t="str">
        <f t="shared" si="189"/>
        <v/>
      </c>
      <c r="AK937" s="168" t="str">
        <f t="shared" si="190"/>
        <v/>
      </c>
      <c r="AL937" s="28"/>
      <c r="AM937" s="28"/>
      <c r="AN937" s="20" t="str">
        <f>IF(AL937="","",IF($F937="Bernardino Furlan",_xlfn.XLOOKUP(AL937,Cadastros!$G$6:$G$90,Cadastros!$H$6:$H$90)*(1-0.18),IF($F937="Mauro José Salanti",_xlfn.XLOOKUP(AL937,Cadastros!$G$6:$G$90,Cadastros!$H$6:$H$90)*(1-0.18),_xlfn.XLOOKUP(AL937,Cadastros!$G$6:$G$90,Cadastros!$H$6:$H$90))))</f>
        <v/>
      </c>
      <c r="AO937" s="168" t="str">
        <f t="shared" si="191"/>
        <v/>
      </c>
      <c r="AP937" s="168" t="str">
        <f t="shared" si="192"/>
        <v/>
      </c>
      <c r="AQ937" s="28"/>
      <c r="AR937" s="28"/>
      <c r="AS937" s="20" t="str">
        <f>IF(AQ937="","",IF($F937="Bernardino Furlan",_xlfn.XLOOKUP(AQ937,Cadastros!$G$6:$G$90,Cadastros!$H$6:$H$90)*(1-0.18),IF($F937="Mauro José Salanti",_xlfn.XLOOKUP(AQ937,Cadastros!$G$6:$G$90,Cadastros!$H$6:$H$90)*(1-0.18),_xlfn.XLOOKUP(AQ937,Cadastros!$G$6:$G$90,Cadastros!$H$6:$H$90))))</f>
        <v/>
      </c>
      <c r="AT937" s="168" t="str">
        <f t="shared" si="193"/>
        <v/>
      </c>
      <c r="AU937" s="168" t="str">
        <f t="shared" si="194"/>
        <v/>
      </c>
      <c r="AV937" s="227"/>
      <c r="AW937" s="30"/>
      <c r="AX937" s="267"/>
      <c r="AY937" s="267"/>
      <c r="AZ937" s="29"/>
      <c r="BA937" s="30"/>
      <c r="BB937" s="23" t="str" cm="1">
        <f t="array" ref="BB937">_xlfn.IFS(AW937="SIM",SUM(K937,P937,U937,Z937,AE937,AJ937,AO937,AT937,AX937,AY937),F937&lt;&gt;"",SUM(K937,P937,U937,Z937,AE937,AJ937,,AO937,AT937),F937="","")</f>
        <v/>
      </c>
      <c r="BC937" s="211" t="str" cm="1">
        <f t="array" ref="BC937">_xlfn.IFS(E937="","",G937&lt;=E937,BB937*(1-0.03),G937&lt;(E937+8),BB937,AZ937="Boleto",BB937*(1+0.001)^DATEDIF(E937,G937,"D"),AZ937="Cheque",BB937,AZ937="Dinheiro","Alterar forma pgto")</f>
        <v/>
      </c>
      <c r="BD937" s="276" t="str" cm="1">
        <f t="array" ref="BD937">IF(F937=0," ",IF(BC937&lt;BB937,(_xlfn.IFS(AW937="SIM",SUM(L937,Q937,V937,AA937,AF937,AK937,AP937,AU937)+AX937/_xlfn.XLOOKUP(_xlfn.XLOOKUP($F937,Clientes!$B$4:$B$39,Clientes!$C$4:$C$39),Cadastros!$L$6:$L$12,Cadastros!$M$6:$M$12)+IF($F937="Bernardino Furlan",AY937/2751.92,IF($F937="Mauro José Salanti",AY937/2751.92,AY937/3356)),F937&lt;&gt;0,SUM(L937,Q937,V937,AA937,AF937,AK937,AP937,AU937)))*(1-0.03),_xlfn.IFS(AW937="SIM",SUM(L937,Q937,V937,AA937,AF937,AK937,AP937,AU937)+AX937/_xlfn.XLOOKUP(_xlfn.XLOOKUP($F937,Clientes!$B$4:$B$39,Clientes!$C$4:$C$39),Cadastros!$L$6:$L$12,Cadastros!$M$6:$M$12)+IF($F937="Bernardino Furlan",AY937/2751.92,IF($F937="Mauro José Salanti",AY937/2751.92,AY937/3356)),F937&lt;&gt;0,SUM(L937,Q937,V937,AA937,AF937,AK937,AP937,AU937))))</f>
        <v xml:space="preserve"> </v>
      </c>
      <c r="BE937" s="120"/>
      <c r="BF937" s="120"/>
      <c r="BG937" s="120"/>
    </row>
    <row r="938" spans="1:59" s="3" customFormat="1" x14ac:dyDescent="0.3">
      <c r="A938" s="15" t="str">
        <f t="shared" si="182"/>
        <v/>
      </c>
      <c r="B938" s="25"/>
      <c r="C938" s="26"/>
      <c r="D938" s="279"/>
      <c r="E938" s="27"/>
      <c r="F938" s="28"/>
      <c r="G938" s="27"/>
      <c r="H938" s="28"/>
      <c r="I938" s="28"/>
      <c r="J938" s="255" t="str">
        <f>IF(H938="","",(_xlfn.XLOOKUP(H938,Cadastros!$D$6:$D$90,Cadastros!$E$6:$E$90))*(1-_xlfn.XLOOKUP(_xlfn.XLOOKUP($F938,Clientes!$B$4:$B$39,Clientes!$C$4:$C$39),Cadastros!$L$6:$L$12,Cadastros!$N$6:$N$12)))</f>
        <v/>
      </c>
      <c r="K938" s="168" t="str">
        <f t="shared" si="183"/>
        <v/>
      </c>
      <c r="L938" s="168" t="str">
        <f>IFERROR(K938/_xlfn.XLOOKUP(_xlfn.XLOOKUP($F938,Clientes!$B$4:$B$39,Clientes!$C$4:$C$39),Cadastros!$L$6:$L$12,Cadastros!$M$6:$M$12)," ")</f>
        <v xml:space="preserve"> </v>
      </c>
      <c r="M938" s="28"/>
      <c r="N938" s="28"/>
      <c r="O938" s="255" t="str">
        <f>IF(M938="","",(_xlfn.XLOOKUP(M938,Cadastros!$D$6:$D$90,Cadastros!$E$6:$E$90))*(1-_xlfn.XLOOKUP(_xlfn.XLOOKUP($F938,Clientes!$B$4:$B$39,Clientes!$C$4:$C$39),Cadastros!$L$6:$L$12,Cadastros!$N$6:$N$12)))</f>
        <v/>
      </c>
      <c r="P938" s="168" t="str">
        <f t="shared" si="184"/>
        <v/>
      </c>
      <c r="Q938" s="168" t="str">
        <f>IFERROR(P938/_xlfn.XLOOKUP(_xlfn.XLOOKUP($F938,Clientes!$B$4:$B$39,Clientes!$C$4:$C$39),Cadastros!$L$6:$L$12,Cadastros!$M$6:$M$12)," ")</f>
        <v xml:space="preserve"> </v>
      </c>
      <c r="R938" s="28"/>
      <c r="S938" s="28"/>
      <c r="T938" s="255" t="str">
        <f>IF(R938="","",(_xlfn.XLOOKUP(R938,Cadastros!$D$6:$D$90,Cadastros!$E$6:$E$90))*(1-_xlfn.XLOOKUP(_xlfn.XLOOKUP($F938,Clientes!$B$4:$B$39,Clientes!$C$4:$C$39),Cadastros!$L$6:$L$12,Cadastros!$N$6:$N$12)))</f>
        <v/>
      </c>
      <c r="U938" s="168" t="str">
        <f t="shared" si="185"/>
        <v/>
      </c>
      <c r="V938" s="168" t="str">
        <f>IFERROR(U938/_xlfn.XLOOKUP(_xlfn.XLOOKUP($F938,Clientes!$B$4:$B$39,Clientes!$C$4:$C$39),Cadastros!$L$6:$L$12,Cadastros!$M$6:$M$12)," ")</f>
        <v xml:space="preserve"> </v>
      </c>
      <c r="W938" s="28"/>
      <c r="X938" s="28"/>
      <c r="Y938" s="255" t="str">
        <f>IF(W938="","",(_xlfn.XLOOKUP(W938,Cadastros!$D$6:$D$90,Cadastros!$E$6:$E$90))*(1-_xlfn.XLOOKUP(_xlfn.XLOOKUP($F938,Clientes!$B$4:$B$39,Clientes!$C$4:$C$39),Cadastros!$L$6:$L$12,Cadastros!$N$6:$N$12)))</f>
        <v/>
      </c>
      <c r="Z938" s="168" t="str">
        <f t="shared" si="186"/>
        <v/>
      </c>
      <c r="AA938" s="168" t="str">
        <f>IFERROR(Z938/_xlfn.XLOOKUP(_xlfn.XLOOKUP($F938,Clientes!$B$4:$B$39,Clientes!$C$4:$C$39),Cadastros!$L$6:$L$12,Cadastros!$M$6:$M$12)," ")</f>
        <v xml:space="preserve"> </v>
      </c>
      <c r="AB938" s="28"/>
      <c r="AC938" s="28"/>
      <c r="AD938" s="20" t="str">
        <f>IF(AB938="","",IF($F938="Bernardino Furlan",_xlfn.XLOOKUP(AB938,Cadastros!$G$6:$G$90,Cadastros!$H$6:$H$90)*(1-0.18),IF($F938="Mauro José Salanti",_xlfn.XLOOKUP(AB938,Cadastros!$G$6:$G$90,Cadastros!$H$6:$H$90)*(1-0.18),_xlfn.XLOOKUP(AB938,Cadastros!$G$6:$G$90,Cadastros!$H$6:$H$90))))</f>
        <v/>
      </c>
      <c r="AE938" s="168" t="str">
        <f t="shared" si="187"/>
        <v/>
      </c>
      <c r="AF938" s="168" t="str">
        <f t="shared" si="188"/>
        <v/>
      </c>
      <c r="AG938" s="28"/>
      <c r="AH938" s="28"/>
      <c r="AI938" s="20" t="str">
        <f>IF(AG938="","",IF($F938="Bernardino Furlan",_xlfn.XLOOKUP(AG938,Cadastros!$G$6:$G$90,Cadastros!$H$6:$H$90)*(1-0.18),IF($F938="Mauro José Salanti",_xlfn.XLOOKUP(AG938,Cadastros!$G$6:$G$90,Cadastros!$H$6:$H$90)*(1-0.18),_xlfn.XLOOKUP(AG938,Cadastros!$G$6:$G$90,Cadastros!$H$6:$H$90))))</f>
        <v/>
      </c>
      <c r="AJ938" s="168" t="str">
        <f t="shared" si="189"/>
        <v/>
      </c>
      <c r="AK938" s="168" t="str">
        <f t="shared" si="190"/>
        <v/>
      </c>
      <c r="AL938" s="28"/>
      <c r="AM938" s="28"/>
      <c r="AN938" s="20" t="str">
        <f>IF(AL938="","",IF($F938="Bernardino Furlan",_xlfn.XLOOKUP(AL938,Cadastros!$G$6:$G$90,Cadastros!$H$6:$H$90)*(1-0.18),IF($F938="Mauro José Salanti",_xlfn.XLOOKUP(AL938,Cadastros!$G$6:$G$90,Cadastros!$H$6:$H$90)*(1-0.18),_xlfn.XLOOKUP(AL938,Cadastros!$G$6:$G$90,Cadastros!$H$6:$H$90))))</f>
        <v/>
      </c>
      <c r="AO938" s="168" t="str">
        <f t="shared" si="191"/>
        <v/>
      </c>
      <c r="AP938" s="168" t="str">
        <f t="shared" si="192"/>
        <v/>
      </c>
      <c r="AQ938" s="28"/>
      <c r="AR938" s="28"/>
      <c r="AS938" s="20" t="str">
        <f>IF(AQ938="","",IF($F938="Bernardino Furlan",_xlfn.XLOOKUP(AQ938,Cadastros!$G$6:$G$90,Cadastros!$H$6:$H$90)*(1-0.18),IF($F938="Mauro José Salanti",_xlfn.XLOOKUP(AQ938,Cadastros!$G$6:$G$90,Cadastros!$H$6:$H$90)*(1-0.18),_xlfn.XLOOKUP(AQ938,Cadastros!$G$6:$G$90,Cadastros!$H$6:$H$90))))</f>
        <v/>
      </c>
      <c r="AT938" s="168" t="str">
        <f t="shared" si="193"/>
        <v/>
      </c>
      <c r="AU938" s="168" t="str">
        <f t="shared" si="194"/>
        <v/>
      </c>
      <c r="AV938" s="227"/>
      <c r="AW938" s="30"/>
      <c r="AX938" s="267"/>
      <c r="AY938" s="267"/>
      <c r="AZ938" s="29"/>
      <c r="BA938" s="30"/>
      <c r="BB938" s="23" t="str" cm="1">
        <f t="array" ref="BB938">_xlfn.IFS(AW938="SIM",SUM(K938,P938,U938,Z938,AE938,AJ938,AO938,AT938,AX938,AY938),F938&lt;&gt;"",SUM(K938,P938,U938,Z938,AE938,AJ938,,AO938,AT938),F938="","")</f>
        <v/>
      </c>
      <c r="BC938" s="211" t="str" cm="1">
        <f t="array" ref="BC938">_xlfn.IFS(E938="","",G938&lt;=E938,BB938*(1-0.03),G938&lt;(E938+8),BB938,AZ938="Boleto",BB938*(1+0.001)^DATEDIF(E938,G938,"D"),AZ938="Cheque",BB938,AZ938="Dinheiro","Alterar forma pgto")</f>
        <v/>
      </c>
      <c r="BD938" s="276" t="str" cm="1">
        <f t="array" ref="BD938">IF(F938=0," ",IF(BC938&lt;BB938,(_xlfn.IFS(AW938="SIM",SUM(L938,Q938,V938,AA938,AF938,AK938,AP938,AU938)+AX938/_xlfn.XLOOKUP(_xlfn.XLOOKUP($F938,Clientes!$B$4:$B$39,Clientes!$C$4:$C$39),Cadastros!$L$6:$L$12,Cadastros!$M$6:$M$12)+IF($F938="Bernardino Furlan",AY938/2751.92,IF($F938="Mauro José Salanti",AY938/2751.92,AY938/3356)),F938&lt;&gt;0,SUM(L938,Q938,V938,AA938,AF938,AK938,AP938,AU938)))*(1-0.03),_xlfn.IFS(AW938="SIM",SUM(L938,Q938,V938,AA938,AF938,AK938,AP938,AU938)+AX938/_xlfn.XLOOKUP(_xlfn.XLOOKUP($F938,Clientes!$B$4:$B$39,Clientes!$C$4:$C$39),Cadastros!$L$6:$L$12,Cadastros!$M$6:$M$12)+IF($F938="Bernardino Furlan",AY938/2751.92,IF($F938="Mauro José Salanti",AY938/2751.92,AY938/3356)),F938&lt;&gt;0,SUM(L938,Q938,V938,AA938,AF938,AK938,AP938,AU938))))</f>
        <v xml:space="preserve"> </v>
      </c>
      <c r="BE938" s="120"/>
      <c r="BF938" s="120"/>
      <c r="BG938" s="120"/>
    </row>
    <row r="939" spans="1:59" s="3" customFormat="1" x14ac:dyDescent="0.3">
      <c r="A939" s="15" t="str">
        <f t="shared" si="182"/>
        <v/>
      </c>
      <c r="B939" s="25"/>
      <c r="C939" s="26"/>
      <c r="D939" s="279"/>
      <c r="E939" s="27"/>
      <c r="F939" s="28"/>
      <c r="G939" s="27"/>
      <c r="H939" s="28"/>
      <c r="I939" s="28"/>
      <c r="J939" s="255" t="str">
        <f>IF(H939="","",(_xlfn.XLOOKUP(H939,Cadastros!$D$6:$D$90,Cadastros!$E$6:$E$90))*(1-_xlfn.XLOOKUP(_xlfn.XLOOKUP($F939,Clientes!$B$4:$B$39,Clientes!$C$4:$C$39),Cadastros!$L$6:$L$12,Cadastros!$N$6:$N$12)))</f>
        <v/>
      </c>
      <c r="K939" s="168" t="str">
        <f t="shared" si="183"/>
        <v/>
      </c>
      <c r="L939" s="168" t="str">
        <f>IFERROR(K939/_xlfn.XLOOKUP(_xlfn.XLOOKUP($F939,Clientes!$B$4:$B$39,Clientes!$C$4:$C$39),Cadastros!$L$6:$L$12,Cadastros!$M$6:$M$12)," ")</f>
        <v xml:space="preserve"> </v>
      </c>
      <c r="M939" s="28"/>
      <c r="N939" s="28"/>
      <c r="O939" s="255" t="str">
        <f>IF(M939="","",(_xlfn.XLOOKUP(M939,Cadastros!$D$6:$D$90,Cadastros!$E$6:$E$90))*(1-_xlfn.XLOOKUP(_xlfn.XLOOKUP($F939,Clientes!$B$4:$B$39,Clientes!$C$4:$C$39),Cadastros!$L$6:$L$12,Cadastros!$N$6:$N$12)))</f>
        <v/>
      </c>
      <c r="P939" s="168" t="str">
        <f t="shared" si="184"/>
        <v/>
      </c>
      <c r="Q939" s="168" t="str">
        <f>IFERROR(P939/_xlfn.XLOOKUP(_xlfn.XLOOKUP($F939,Clientes!$B$4:$B$39,Clientes!$C$4:$C$39),Cadastros!$L$6:$L$12,Cadastros!$M$6:$M$12)," ")</f>
        <v xml:space="preserve"> </v>
      </c>
      <c r="R939" s="28"/>
      <c r="S939" s="28"/>
      <c r="T939" s="255" t="str">
        <f>IF(R939="","",(_xlfn.XLOOKUP(R939,Cadastros!$D$6:$D$90,Cadastros!$E$6:$E$90))*(1-_xlfn.XLOOKUP(_xlfn.XLOOKUP($F939,Clientes!$B$4:$B$39,Clientes!$C$4:$C$39),Cadastros!$L$6:$L$12,Cadastros!$N$6:$N$12)))</f>
        <v/>
      </c>
      <c r="U939" s="168" t="str">
        <f t="shared" si="185"/>
        <v/>
      </c>
      <c r="V939" s="168" t="str">
        <f>IFERROR(U939/_xlfn.XLOOKUP(_xlfn.XLOOKUP($F939,Clientes!$B$4:$B$39,Clientes!$C$4:$C$39),Cadastros!$L$6:$L$12,Cadastros!$M$6:$M$12)," ")</f>
        <v xml:space="preserve"> </v>
      </c>
      <c r="W939" s="28"/>
      <c r="X939" s="28"/>
      <c r="Y939" s="255" t="str">
        <f>IF(W939="","",(_xlfn.XLOOKUP(W939,Cadastros!$D$6:$D$90,Cadastros!$E$6:$E$90))*(1-_xlfn.XLOOKUP(_xlfn.XLOOKUP($F939,Clientes!$B$4:$B$39,Clientes!$C$4:$C$39),Cadastros!$L$6:$L$12,Cadastros!$N$6:$N$12)))</f>
        <v/>
      </c>
      <c r="Z939" s="168" t="str">
        <f t="shared" si="186"/>
        <v/>
      </c>
      <c r="AA939" s="168" t="str">
        <f>IFERROR(Z939/_xlfn.XLOOKUP(_xlfn.XLOOKUP($F939,Clientes!$B$4:$B$39,Clientes!$C$4:$C$39),Cadastros!$L$6:$L$12,Cadastros!$M$6:$M$12)," ")</f>
        <v xml:space="preserve"> </v>
      </c>
      <c r="AB939" s="28"/>
      <c r="AC939" s="28"/>
      <c r="AD939" s="20" t="str">
        <f>IF(AB939="","",IF($F939="Bernardino Furlan",_xlfn.XLOOKUP(AB939,Cadastros!$G$6:$G$90,Cadastros!$H$6:$H$90)*(1-0.18),IF($F939="Mauro José Salanti",_xlfn.XLOOKUP(AB939,Cadastros!$G$6:$G$90,Cadastros!$H$6:$H$90)*(1-0.18),_xlfn.XLOOKUP(AB939,Cadastros!$G$6:$G$90,Cadastros!$H$6:$H$90))))</f>
        <v/>
      </c>
      <c r="AE939" s="168" t="str">
        <f t="shared" si="187"/>
        <v/>
      </c>
      <c r="AF939" s="168" t="str">
        <f t="shared" si="188"/>
        <v/>
      </c>
      <c r="AG939" s="28"/>
      <c r="AH939" s="28"/>
      <c r="AI939" s="20" t="str">
        <f>IF(AG939="","",IF($F939="Bernardino Furlan",_xlfn.XLOOKUP(AG939,Cadastros!$G$6:$G$90,Cadastros!$H$6:$H$90)*(1-0.18),IF($F939="Mauro José Salanti",_xlfn.XLOOKUP(AG939,Cadastros!$G$6:$G$90,Cadastros!$H$6:$H$90)*(1-0.18),_xlfn.XLOOKUP(AG939,Cadastros!$G$6:$G$90,Cadastros!$H$6:$H$90))))</f>
        <v/>
      </c>
      <c r="AJ939" s="168" t="str">
        <f t="shared" si="189"/>
        <v/>
      </c>
      <c r="AK939" s="168" t="str">
        <f t="shared" si="190"/>
        <v/>
      </c>
      <c r="AL939" s="28"/>
      <c r="AM939" s="28"/>
      <c r="AN939" s="20" t="str">
        <f>IF(AL939="","",IF($F939="Bernardino Furlan",_xlfn.XLOOKUP(AL939,Cadastros!$G$6:$G$90,Cadastros!$H$6:$H$90)*(1-0.18),IF($F939="Mauro José Salanti",_xlfn.XLOOKUP(AL939,Cadastros!$G$6:$G$90,Cadastros!$H$6:$H$90)*(1-0.18),_xlfn.XLOOKUP(AL939,Cadastros!$G$6:$G$90,Cadastros!$H$6:$H$90))))</f>
        <v/>
      </c>
      <c r="AO939" s="168" t="str">
        <f t="shared" si="191"/>
        <v/>
      </c>
      <c r="AP939" s="168" t="str">
        <f t="shared" si="192"/>
        <v/>
      </c>
      <c r="AQ939" s="28"/>
      <c r="AR939" s="28"/>
      <c r="AS939" s="20" t="str">
        <f>IF(AQ939="","",IF($F939="Bernardino Furlan",_xlfn.XLOOKUP(AQ939,Cadastros!$G$6:$G$90,Cadastros!$H$6:$H$90)*(1-0.18),IF($F939="Mauro José Salanti",_xlfn.XLOOKUP(AQ939,Cadastros!$G$6:$G$90,Cadastros!$H$6:$H$90)*(1-0.18),_xlfn.XLOOKUP(AQ939,Cadastros!$G$6:$G$90,Cadastros!$H$6:$H$90))))</f>
        <v/>
      </c>
      <c r="AT939" s="168" t="str">
        <f t="shared" si="193"/>
        <v/>
      </c>
      <c r="AU939" s="168" t="str">
        <f t="shared" si="194"/>
        <v/>
      </c>
      <c r="AV939" s="227"/>
      <c r="AW939" s="30"/>
      <c r="AX939" s="267"/>
      <c r="AY939" s="267"/>
      <c r="AZ939" s="29"/>
      <c r="BA939" s="30"/>
      <c r="BB939" s="23" t="str" cm="1">
        <f t="array" ref="BB939">_xlfn.IFS(AW939="SIM",SUM(K939,P939,U939,Z939,AE939,AJ939,AO939,AT939,AX939,AY939),F939&lt;&gt;"",SUM(K939,P939,U939,Z939,AE939,AJ939,,AO939,AT939),F939="","")</f>
        <v/>
      </c>
      <c r="BC939" s="211" t="str" cm="1">
        <f t="array" ref="BC939">_xlfn.IFS(E939="","",G939&lt;=E939,BB939*(1-0.03),G939&lt;(E939+8),BB939,AZ939="Boleto",BB939*(1+0.001)^DATEDIF(E939,G939,"D"),AZ939="Cheque",BB939,AZ939="Dinheiro","Alterar forma pgto")</f>
        <v/>
      </c>
      <c r="BD939" s="276" t="str" cm="1">
        <f t="array" ref="BD939">IF(F939=0," ",IF(BC939&lt;BB939,(_xlfn.IFS(AW939="SIM",SUM(L939,Q939,V939,AA939,AF939,AK939,AP939,AU939)+AX939/_xlfn.XLOOKUP(_xlfn.XLOOKUP($F939,Clientes!$B$4:$B$39,Clientes!$C$4:$C$39),Cadastros!$L$6:$L$12,Cadastros!$M$6:$M$12)+IF($F939="Bernardino Furlan",AY939/2751.92,IF($F939="Mauro José Salanti",AY939/2751.92,AY939/3356)),F939&lt;&gt;0,SUM(L939,Q939,V939,AA939,AF939,AK939,AP939,AU939)))*(1-0.03),_xlfn.IFS(AW939="SIM",SUM(L939,Q939,V939,AA939,AF939,AK939,AP939,AU939)+AX939/_xlfn.XLOOKUP(_xlfn.XLOOKUP($F939,Clientes!$B$4:$B$39,Clientes!$C$4:$C$39),Cadastros!$L$6:$L$12,Cadastros!$M$6:$M$12)+IF($F939="Bernardino Furlan",AY939/2751.92,IF($F939="Mauro José Salanti",AY939/2751.92,AY939/3356)),F939&lt;&gt;0,SUM(L939,Q939,V939,AA939,AF939,AK939,AP939,AU939))))</f>
        <v xml:space="preserve"> </v>
      </c>
      <c r="BE939" s="120"/>
      <c r="BF939" s="120"/>
      <c r="BG939" s="120"/>
    </row>
    <row r="940" spans="1:59" s="3" customFormat="1" x14ac:dyDescent="0.3">
      <c r="A940" s="15" t="str">
        <f t="shared" si="182"/>
        <v/>
      </c>
      <c r="B940" s="25"/>
      <c r="C940" s="26"/>
      <c r="D940" s="279"/>
      <c r="E940" s="27"/>
      <c r="F940" s="28"/>
      <c r="G940" s="27"/>
      <c r="H940" s="28"/>
      <c r="I940" s="28"/>
      <c r="J940" s="255" t="str">
        <f>IF(H940="","",(_xlfn.XLOOKUP(H940,Cadastros!$D$6:$D$90,Cadastros!$E$6:$E$90))*(1-_xlfn.XLOOKUP(_xlfn.XLOOKUP($F940,Clientes!$B$4:$B$39,Clientes!$C$4:$C$39),Cadastros!$L$6:$L$12,Cadastros!$N$6:$N$12)))</f>
        <v/>
      </c>
      <c r="K940" s="168" t="str">
        <f t="shared" si="183"/>
        <v/>
      </c>
      <c r="L940" s="168" t="str">
        <f>IFERROR(K940/_xlfn.XLOOKUP(_xlfn.XLOOKUP($F940,Clientes!$B$4:$B$39,Clientes!$C$4:$C$39),Cadastros!$L$6:$L$12,Cadastros!$M$6:$M$12)," ")</f>
        <v xml:space="preserve"> </v>
      </c>
      <c r="M940" s="28"/>
      <c r="N940" s="28"/>
      <c r="O940" s="255" t="str">
        <f>IF(M940="","",(_xlfn.XLOOKUP(M940,Cadastros!$D$6:$D$90,Cadastros!$E$6:$E$90))*(1-_xlfn.XLOOKUP(_xlfn.XLOOKUP($F940,Clientes!$B$4:$B$39,Clientes!$C$4:$C$39),Cadastros!$L$6:$L$12,Cadastros!$N$6:$N$12)))</f>
        <v/>
      </c>
      <c r="P940" s="168" t="str">
        <f t="shared" si="184"/>
        <v/>
      </c>
      <c r="Q940" s="168" t="str">
        <f>IFERROR(P940/_xlfn.XLOOKUP(_xlfn.XLOOKUP($F940,Clientes!$B$4:$B$39,Clientes!$C$4:$C$39),Cadastros!$L$6:$L$12,Cadastros!$M$6:$M$12)," ")</f>
        <v xml:space="preserve"> </v>
      </c>
      <c r="R940" s="28"/>
      <c r="S940" s="28"/>
      <c r="T940" s="255" t="str">
        <f>IF(R940="","",(_xlfn.XLOOKUP(R940,Cadastros!$D$6:$D$90,Cadastros!$E$6:$E$90))*(1-_xlfn.XLOOKUP(_xlfn.XLOOKUP($F940,Clientes!$B$4:$B$39,Clientes!$C$4:$C$39),Cadastros!$L$6:$L$12,Cadastros!$N$6:$N$12)))</f>
        <v/>
      </c>
      <c r="U940" s="168" t="str">
        <f t="shared" si="185"/>
        <v/>
      </c>
      <c r="V940" s="168" t="str">
        <f>IFERROR(U940/_xlfn.XLOOKUP(_xlfn.XLOOKUP($F940,Clientes!$B$4:$B$39,Clientes!$C$4:$C$39),Cadastros!$L$6:$L$12,Cadastros!$M$6:$M$12)," ")</f>
        <v xml:space="preserve"> </v>
      </c>
      <c r="W940" s="28"/>
      <c r="X940" s="28"/>
      <c r="Y940" s="255" t="str">
        <f>IF(W940="","",(_xlfn.XLOOKUP(W940,Cadastros!$D$6:$D$90,Cadastros!$E$6:$E$90))*(1-_xlfn.XLOOKUP(_xlfn.XLOOKUP($F940,Clientes!$B$4:$B$39,Clientes!$C$4:$C$39),Cadastros!$L$6:$L$12,Cadastros!$N$6:$N$12)))</f>
        <v/>
      </c>
      <c r="Z940" s="168" t="str">
        <f t="shared" si="186"/>
        <v/>
      </c>
      <c r="AA940" s="168" t="str">
        <f>IFERROR(Z940/_xlfn.XLOOKUP(_xlfn.XLOOKUP($F940,Clientes!$B$4:$B$39,Clientes!$C$4:$C$39),Cadastros!$L$6:$L$12,Cadastros!$M$6:$M$12)," ")</f>
        <v xml:space="preserve"> </v>
      </c>
      <c r="AB940" s="28"/>
      <c r="AC940" s="28"/>
      <c r="AD940" s="20" t="str">
        <f>IF(AB940="","",IF($F940="Bernardino Furlan",_xlfn.XLOOKUP(AB940,Cadastros!$G$6:$G$90,Cadastros!$H$6:$H$90)*(1-0.18),IF($F940="Mauro José Salanti",_xlfn.XLOOKUP(AB940,Cadastros!$G$6:$G$90,Cadastros!$H$6:$H$90)*(1-0.18),_xlfn.XLOOKUP(AB940,Cadastros!$G$6:$G$90,Cadastros!$H$6:$H$90))))</f>
        <v/>
      </c>
      <c r="AE940" s="168" t="str">
        <f t="shared" si="187"/>
        <v/>
      </c>
      <c r="AF940" s="168" t="str">
        <f t="shared" si="188"/>
        <v/>
      </c>
      <c r="AG940" s="28"/>
      <c r="AH940" s="28"/>
      <c r="AI940" s="20" t="str">
        <f>IF(AG940="","",IF($F940="Bernardino Furlan",_xlfn.XLOOKUP(AG940,Cadastros!$G$6:$G$90,Cadastros!$H$6:$H$90)*(1-0.18),IF($F940="Mauro José Salanti",_xlfn.XLOOKUP(AG940,Cadastros!$G$6:$G$90,Cadastros!$H$6:$H$90)*(1-0.18),_xlfn.XLOOKUP(AG940,Cadastros!$G$6:$G$90,Cadastros!$H$6:$H$90))))</f>
        <v/>
      </c>
      <c r="AJ940" s="168" t="str">
        <f t="shared" si="189"/>
        <v/>
      </c>
      <c r="AK940" s="168" t="str">
        <f t="shared" si="190"/>
        <v/>
      </c>
      <c r="AL940" s="28"/>
      <c r="AM940" s="28"/>
      <c r="AN940" s="20" t="str">
        <f>IF(AL940="","",IF($F940="Bernardino Furlan",_xlfn.XLOOKUP(AL940,Cadastros!$G$6:$G$90,Cadastros!$H$6:$H$90)*(1-0.18),IF($F940="Mauro José Salanti",_xlfn.XLOOKUP(AL940,Cadastros!$G$6:$G$90,Cadastros!$H$6:$H$90)*(1-0.18),_xlfn.XLOOKUP(AL940,Cadastros!$G$6:$G$90,Cadastros!$H$6:$H$90))))</f>
        <v/>
      </c>
      <c r="AO940" s="168" t="str">
        <f t="shared" si="191"/>
        <v/>
      </c>
      <c r="AP940" s="168" t="str">
        <f t="shared" si="192"/>
        <v/>
      </c>
      <c r="AQ940" s="28"/>
      <c r="AR940" s="28"/>
      <c r="AS940" s="20" t="str">
        <f>IF(AQ940="","",IF($F940="Bernardino Furlan",_xlfn.XLOOKUP(AQ940,Cadastros!$G$6:$G$90,Cadastros!$H$6:$H$90)*(1-0.18),IF($F940="Mauro José Salanti",_xlfn.XLOOKUP(AQ940,Cadastros!$G$6:$G$90,Cadastros!$H$6:$H$90)*(1-0.18),_xlfn.XLOOKUP(AQ940,Cadastros!$G$6:$G$90,Cadastros!$H$6:$H$90))))</f>
        <v/>
      </c>
      <c r="AT940" s="168" t="str">
        <f t="shared" si="193"/>
        <v/>
      </c>
      <c r="AU940" s="168" t="str">
        <f t="shared" si="194"/>
        <v/>
      </c>
      <c r="AV940" s="227"/>
      <c r="AW940" s="30"/>
      <c r="AX940" s="267"/>
      <c r="AY940" s="267"/>
      <c r="AZ940" s="29"/>
      <c r="BA940" s="30"/>
      <c r="BB940" s="23" t="str" cm="1">
        <f t="array" ref="BB940">_xlfn.IFS(AW940="SIM",SUM(K940,P940,U940,Z940,AE940,AJ940,AO940,AT940,AX940,AY940),F940&lt;&gt;"",SUM(K940,P940,U940,Z940,AE940,AJ940,,AO940,AT940),F940="","")</f>
        <v/>
      </c>
      <c r="BC940" s="211" t="str" cm="1">
        <f t="array" ref="BC940">_xlfn.IFS(E940="","",G940&lt;=E940,BB940*(1-0.03),G940&lt;(E940+8),BB940,AZ940="Boleto",BB940*(1+0.001)^DATEDIF(E940,G940,"D"),AZ940="Cheque",BB940,AZ940="Dinheiro","Alterar forma pgto")</f>
        <v/>
      </c>
      <c r="BD940" s="276" t="str" cm="1">
        <f t="array" ref="BD940">IF(F940=0," ",IF(BC940&lt;BB940,(_xlfn.IFS(AW940="SIM",SUM(L940,Q940,V940,AA940,AF940,AK940,AP940,AU940)+AX940/_xlfn.XLOOKUP(_xlfn.XLOOKUP($F940,Clientes!$B$4:$B$39,Clientes!$C$4:$C$39),Cadastros!$L$6:$L$12,Cadastros!$M$6:$M$12)+IF($F940="Bernardino Furlan",AY940/2751.92,IF($F940="Mauro José Salanti",AY940/2751.92,AY940/3356)),F940&lt;&gt;0,SUM(L940,Q940,V940,AA940,AF940,AK940,AP940,AU940)))*(1-0.03),_xlfn.IFS(AW940="SIM",SUM(L940,Q940,V940,AA940,AF940,AK940,AP940,AU940)+AX940/_xlfn.XLOOKUP(_xlfn.XLOOKUP($F940,Clientes!$B$4:$B$39,Clientes!$C$4:$C$39),Cadastros!$L$6:$L$12,Cadastros!$M$6:$M$12)+IF($F940="Bernardino Furlan",AY940/2751.92,IF($F940="Mauro José Salanti",AY940/2751.92,AY940/3356)),F940&lt;&gt;0,SUM(L940,Q940,V940,AA940,AF940,AK940,AP940,AU940))))</f>
        <v xml:space="preserve"> </v>
      </c>
      <c r="BE940" s="120"/>
      <c r="BF940" s="120"/>
      <c r="BG940" s="120"/>
    </row>
    <row r="941" spans="1:59" s="3" customFormat="1" x14ac:dyDescent="0.3">
      <c r="A941" s="15" t="str">
        <f t="shared" si="182"/>
        <v/>
      </c>
      <c r="B941" s="25"/>
      <c r="C941" s="26"/>
      <c r="D941" s="279"/>
      <c r="E941" s="27"/>
      <c r="F941" s="28"/>
      <c r="G941" s="27"/>
      <c r="H941" s="28"/>
      <c r="I941" s="28"/>
      <c r="J941" s="255" t="str">
        <f>IF(H941="","",(_xlfn.XLOOKUP(H941,Cadastros!$D$6:$D$90,Cadastros!$E$6:$E$90))*(1-_xlfn.XLOOKUP(_xlfn.XLOOKUP($F941,Clientes!$B$4:$B$39,Clientes!$C$4:$C$39),Cadastros!$L$6:$L$12,Cadastros!$N$6:$N$12)))</f>
        <v/>
      </c>
      <c r="K941" s="168" t="str">
        <f t="shared" si="183"/>
        <v/>
      </c>
      <c r="L941" s="168" t="str">
        <f>IFERROR(K941/_xlfn.XLOOKUP(_xlfn.XLOOKUP($F941,Clientes!$B$4:$B$39,Clientes!$C$4:$C$39),Cadastros!$L$6:$L$12,Cadastros!$M$6:$M$12)," ")</f>
        <v xml:space="preserve"> </v>
      </c>
      <c r="M941" s="28"/>
      <c r="N941" s="28"/>
      <c r="O941" s="255" t="str">
        <f>IF(M941="","",(_xlfn.XLOOKUP(M941,Cadastros!$D$6:$D$90,Cadastros!$E$6:$E$90))*(1-_xlfn.XLOOKUP(_xlfn.XLOOKUP($F941,Clientes!$B$4:$B$39,Clientes!$C$4:$C$39),Cadastros!$L$6:$L$12,Cadastros!$N$6:$N$12)))</f>
        <v/>
      </c>
      <c r="P941" s="168" t="str">
        <f t="shared" si="184"/>
        <v/>
      </c>
      <c r="Q941" s="168" t="str">
        <f>IFERROR(P941/_xlfn.XLOOKUP(_xlfn.XLOOKUP($F941,Clientes!$B$4:$B$39,Clientes!$C$4:$C$39),Cadastros!$L$6:$L$12,Cadastros!$M$6:$M$12)," ")</f>
        <v xml:space="preserve"> </v>
      </c>
      <c r="R941" s="28"/>
      <c r="S941" s="28"/>
      <c r="T941" s="255" t="str">
        <f>IF(R941="","",(_xlfn.XLOOKUP(R941,Cadastros!$D$6:$D$90,Cadastros!$E$6:$E$90))*(1-_xlfn.XLOOKUP(_xlfn.XLOOKUP($F941,Clientes!$B$4:$B$39,Clientes!$C$4:$C$39),Cadastros!$L$6:$L$12,Cadastros!$N$6:$N$12)))</f>
        <v/>
      </c>
      <c r="U941" s="168" t="str">
        <f t="shared" si="185"/>
        <v/>
      </c>
      <c r="V941" s="168" t="str">
        <f>IFERROR(U941/_xlfn.XLOOKUP(_xlfn.XLOOKUP($F941,Clientes!$B$4:$B$39,Clientes!$C$4:$C$39),Cadastros!$L$6:$L$12,Cadastros!$M$6:$M$12)," ")</f>
        <v xml:space="preserve"> </v>
      </c>
      <c r="W941" s="28"/>
      <c r="X941" s="28"/>
      <c r="Y941" s="255" t="str">
        <f>IF(W941="","",(_xlfn.XLOOKUP(W941,Cadastros!$D$6:$D$90,Cadastros!$E$6:$E$90))*(1-_xlfn.XLOOKUP(_xlfn.XLOOKUP($F941,Clientes!$B$4:$B$39,Clientes!$C$4:$C$39),Cadastros!$L$6:$L$12,Cadastros!$N$6:$N$12)))</f>
        <v/>
      </c>
      <c r="Z941" s="168" t="str">
        <f t="shared" si="186"/>
        <v/>
      </c>
      <c r="AA941" s="168" t="str">
        <f>IFERROR(Z941/_xlfn.XLOOKUP(_xlfn.XLOOKUP($F941,Clientes!$B$4:$B$39,Clientes!$C$4:$C$39),Cadastros!$L$6:$L$12,Cadastros!$M$6:$M$12)," ")</f>
        <v xml:space="preserve"> </v>
      </c>
      <c r="AB941" s="28"/>
      <c r="AC941" s="28"/>
      <c r="AD941" s="20" t="str">
        <f>IF(AB941="","",IF($F941="Bernardino Furlan",_xlfn.XLOOKUP(AB941,Cadastros!$G$6:$G$90,Cadastros!$H$6:$H$90)*(1-0.18),IF($F941="Mauro José Salanti",_xlfn.XLOOKUP(AB941,Cadastros!$G$6:$G$90,Cadastros!$H$6:$H$90)*(1-0.18),_xlfn.XLOOKUP(AB941,Cadastros!$G$6:$G$90,Cadastros!$H$6:$H$90))))</f>
        <v/>
      </c>
      <c r="AE941" s="168" t="str">
        <f t="shared" si="187"/>
        <v/>
      </c>
      <c r="AF941" s="168" t="str">
        <f t="shared" si="188"/>
        <v/>
      </c>
      <c r="AG941" s="28"/>
      <c r="AH941" s="28"/>
      <c r="AI941" s="20" t="str">
        <f>IF(AG941="","",IF($F941="Bernardino Furlan",_xlfn.XLOOKUP(AG941,Cadastros!$G$6:$G$90,Cadastros!$H$6:$H$90)*(1-0.18),IF($F941="Mauro José Salanti",_xlfn.XLOOKUP(AG941,Cadastros!$G$6:$G$90,Cadastros!$H$6:$H$90)*(1-0.18),_xlfn.XLOOKUP(AG941,Cadastros!$G$6:$G$90,Cadastros!$H$6:$H$90))))</f>
        <v/>
      </c>
      <c r="AJ941" s="168" t="str">
        <f t="shared" si="189"/>
        <v/>
      </c>
      <c r="AK941" s="168" t="str">
        <f t="shared" si="190"/>
        <v/>
      </c>
      <c r="AL941" s="28"/>
      <c r="AM941" s="28"/>
      <c r="AN941" s="20" t="str">
        <f>IF(AL941="","",IF($F941="Bernardino Furlan",_xlfn.XLOOKUP(AL941,Cadastros!$G$6:$G$90,Cadastros!$H$6:$H$90)*(1-0.18),IF($F941="Mauro José Salanti",_xlfn.XLOOKUP(AL941,Cadastros!$G$6:$G$90,Cadastros!$H$6:$H$90)*(1-0.18),_xlfn.XLOOKUP(AL941,Cadastros!$G$6:$G$90,Cadastros!$H$6:$H$90))))</f>
        <v/>
      </c>
      <c r="AO941" s="168" t="str">
        <f t="shared" si="191"/>
        <v/>
      </c>
      <c r="AP941" s="168" t="str">
        <f t="shared" si="192"/>
        <v/>
      </c>
      <c r="AQ941" s="28"/>
      <c r="AR941" s="28"/>
      <c r="AS941" s="20" t="str">
        <f>IF(AQ941="","",IF($F941="Bernardino Furlan",_xlfn.XLOOKUP(AQ941,Cadastros!$G$6:$G$90,Cadastros!$H$6:$H$90)*(1-0.18),IF($F941="Mauro José Salanti",_xlfn.XLOOKUP(AQ941,Cadastros!$G$6:$G$90,Cadastros!$H$6:$H$90)*(1-0.18),_xlfn.XLOOKUP(AQ941,Cadastros!$G$6:$G$90,Cadastros!$H$6:$H$90))))</f>
        <v/>
      </c>
      <c r="AT941" s="168" t="str">
        <f t="shared" si="193"/>
        <v/>
      </c>
      <c r="AU941" s="168" t="str">
        <f t="shared" si="194"/>
        <v/>
      </c>
      <c r="AV941" s="227"/>
      <c r="AW941" s="30"/>
      <c r="AX941" s="267"/>
      <c r="AY941" s="267"/>
      <c r="AZ941" s="29"/>
      <c r="BA941" s="30"/>
      <c r="BB941" s="23" t="str" cm="1">
        <f t="array" ref="BB941">_xlfn.IFS(AW941="SIM",SUM(K941,P941,U941,Z941,AE941,AJ941,AO941,AT941,AX941,AY941),F941&lt;&gt;"",SUM(K941,P941,U941,Z941,AE941,AJ941,,AO941,AT941),F941="","")</f>
        <v/>
      </c>
      <c r="BC941" s="211" t="str" cm="1">
        <f t="array" ref="BC941">_xlfn.IFS(E941="","",G941&lt;=E941,BB941*(1-0.03),G941&lt;(E941+8),BB941,AZ941="Boleto",BB941*(1+0.001)^DATEDIF(E941,G941,"D"),AZ941="Cheque",BB941,AZ941="Dinheiro","Alterar forma pgto")</f>
        <v/>
      </c>
      <c r="BD941" s="276" t="str" cm="1">
        <f t="array" ref="BD941">IF(F941=0," ",IF(BC941&lt;BB941,(_xlfn.IFS(AW941="SIM",SUM(L941,Q941,V941,AA941,AF941,AK941,AP941,AU941)+AX941/_xlfn.XLOOKUP(_xlfn.XLOOKUP($F941,Clientes!$B$4:$B$39,Clientes!$C$4:$C$39),Cadastros!$L$6:$L$12,Cadastros!$M$6:$M$12)+IF($F941="Bernardino Furlan",AY941/2751.92,IF($F941="Mauro José Salanti",AY941/2751.92,AY941/3356)),F941&lt;&gt;0,SUM(L941,Q941,V941,AA941,AF941,AK941,AP941,AU941)))*(1-0.03),_xlfn.IFS(AW941="SIM",SUM(L941,Q941,V941,AA941,AF941,AK941,AP941,AU941)+AX941/_xlfn.XLOOKUP(_xlfn.XLOOKUP($F941,Clientes!$B$4:$B$39,Clientes!$C$4:$C$39),Cadastros!$L$6:$L$12,Cadastros!$M$6:$M$12)+IF($F941="Bernardino Furlan",AY941/2751.92,IF($F941="Mauro José Salanti",AY941/2751.92,AY941/3356)),F941&lt;&gt;0,SUM(L941,Q941,V941,AA941,AF941,AK941,AP941,AU941))))</f>
        <v xml:space="preserve"> </v>
      </c>
      <c r="BE941" s="120"/>
      <c r="BF941" s="120"/>
      <c r="BG941" s="120"/>
    </row>
    <row r="942" spans="1:59" s="3" customFormat="1" x14ac:dyDescent="0.3">
      <c r="A942" s="15" t="str">
        <f t="shared" si="182"/>
        <v/>
      </c>
      <c r="B942" s="25"/>
      <c r="C942" s="26"/>
      <c r="D942" s="279"/>
      <c r="E942" s="27"/>
      <c r="F942" s="28"/>
      <c r="G942" s="27"/>
      <c r="H942" s="28"/>
      <c r="I942" s="28"/>
      <c r="J942" s="255" t="str">
        <f>IF(H942="","",(_xlfn.XLOOKUP(H942,Cadastros!$D$6:$D$90,Cadastros!$E$6:$E$90))*(1-_xlfn.XLOOKUP(_xlfn.XLOOKUP($F942,Clientes!$B$4:$B$39,Clientes!$C$4:$C$39),Cadastros!$L$6:$L$12,Cadastros!$N$6:$N$12)))</f>
        <v/>
      </c>
      <c r="K942" s="168" t="str">
        <f t="shared" si="183"/>
        <v/>
      </c>
      <c r="L942" s="168" t="str">
        <f>IFERROR(K942/_xlfn.XLOOKUP(_xlfn.XLOOKUP($F942,Clientes!$B$4:$B$39,Clientes!$C$4:$C$39),Cadastros!$L$6:$L$12,Cadastros!$M$6:$M$12)," ")</f>
        <v xml:space="preserve"> </v>
      </c>
      <c r="M942" s="28"/>
      <c r="N942" s="28"/>
      <c r="O942" s="255" t="str">
        <f>IF(M942="","",(_xlfn.XLOOKUP(M942,Cadastros!$D$6:$D$90,Cadastros!$E$6:$E$90))*(1-_xlfn.XLOOKUP(_xlfn.XLOOKUP($F942,Clientes!$B$4:$B$39,Clientes!$C$4:$C$39),Cadastros!$L$6:$L$12,Cadastros!$N$6:$N$12)))</f>
        <v/>
      </c>
      <c r="P942" s="168" t="str">
        <f t="shared" si="184"/>
        <v/>
      </c>
      <c r="Q942" s="168" t="str">
        <f>IFERROR(P942/_xlfn.XLOOKUP(_xlfn.XLOOKUP($F942,Clientes!$B$4:$B$39,Clientes!$C$4:$C$39),Cadastros!$L$6:$L$12,Cadastros!$M$6:$M$12)," ")</f>
        <v xml:space="preserve"> </v>
      </c>
      <c r="R942" s="28"/>
      <c r="S942" s="28"/>
      <c r="T942" s="255" t="str">
        <f>IF(R942="","",(_xlfn.XLOOKUP(R942,Cadastros!$D$6:$D$90,Cadastros!$E$6:$E$90))*(1-_xlfn.XLOOKUP(_xlfn.XLOOKUP($F942,Clientes!$B$4:$B$39,Clientes!$C$4:$C$39),Cadastros!$L$6:$L$12,Cadastros!$N$6:$N$12)))</f>
        <v/>
      </c>
      <c r="U942" s="168" t="str">
        <f t="shared" si="185"/>
        <v/>
      </c>
      <c r="V942" s="168" t="str">
        <f>IFERROR(U942/_xlfn.XLOOKUP(_xlfn.XLOOKUP($F942,Clientes!$B$4:$B$39,Clientes!$C$4:$C$39),Cadastros!$L$6:$L$12,Cadastros!$M$6:$M$12)," ")</f>
        <v xml:space="preserve"> </v>
      </c>
      <c r="W942" s="28"/>
      <c r="X942" s="28"/>
      <c r="Y942" s="255" t="str">
        <f>IF(W942="","",(_xlfn.XLOOKUP(W942,Cadastros!$D$6:$D$90,Cadastros!$E$6:$E$90))*(1-_xlfn.XLOOKUP(_xlfn.XLOOKUP($F942,Clientes!$B$4:$B$39,Clientes!$C$4:$C$39),Cadastros!$L$6:$L$12,Cadastros!$N$6:$N$12)))</f>
        <v/>
      </c>
      <c r="Z942" s="168" t="str">
        <f t="shared" si="186"/>
        <v/>
      </c>
      <c r="AA942" s="168" t="str">
        <f>IFERROR(Z942/_xlfn.XLOOKUP(_xlfn.XLOOKUP($F942,Clientes!$B$4:$B$39,Clientes!$C$4:$C$39),Cadastros!$L$6:$L$12,Cadastros!$M$6:$M$12)," ")</f>
        <v xml:space="preserve"> </v>
      </c>
      <c r="AB942" s="28"/>
      <c r="AC942" s="28"/>
      <c r="AD942" s="20" t="str">
        <f>IF(AB942="","",IF($F942="Bernardino Furlan",_xlfn.XLOOKUP(AB942,Cadastros!$G$6:$G$90,Cadastros!$H$6:$H$90)*(1-0.18),IF($F942="Mauro José Salanti",_xlfn.XLOOKUP(AB942,Cadastros!$G$6:$G$90,Cadastros!$H$6:$H$90)*(1-0.18),_xlfn.XLOOKUP(AB942,Cadastros!$G$6:$G$90,Cadastros!$H$6:$H$90))))</f>
        <v/>
      </c>
      <c r="AE942" s="168" t="str">
        <f t="shared" si="187"/>
        <v/>
      </c>
      <c r="AF942" s="168" t="str">
        <f t="shared" si="188"/>
        <v/>
      </c>
      <c r="AG942" s="28"/>
      <c r="AH942" s="28"/>
      <c r="AI942" s="20" t="str">
        <f>IF(AG942="","",IF($F942="Bernardino Furlan",_xlfn.XLOOKUP(AG942,Cadastros!$G$6:$G$90,Cadastros!$H$6:$H$90)*(1-0.18),IF($F942="Mauro José Salanti",_xlfn.XLOOKUP(AG942,Cadastros!$G$6:$G$90,Cadastros!$H$6:$H$90)*(1-0.18),_xlfn.XLOOKUP(AG942,Cadastros!$G$6:$G$90,Cadastros!$H$6:$H$90))))</f>
        <v/>
      </c>
      <c r="AJ942" s="168" t="str">
        <f t="shared" si="189"/>
        <v/>
      </c>
      <c r="AK942" s="168" t="str">
        <f t="shared" si="190"/>
        <v/>
      </c>
      <c r="AL942" s="28"/>
      <c r="AM942" s="28"/>
      <c r="AN942" s="20" t="str">
        <f>IF(AL942="","",IF($F942="Bernardino Furlan",_xlfn.XLOOKUP(AL942,Cadastros!$G$6:$G$90,Cadastros!$H$6:$H$90)*(1-0.18),IF($F942="Mauro José Salanti",_xlfn.XLOOKUP(AL942,Cadastros!$G$6:$G$90,Cadastros!$H$6:$H$90)*(1-0.18),_xlfn.XLOOKUP(AL942,Cadastros!$G$6:$G$90,Cadastros!$H$6:$H$90))))</f>
        <v/>
      </c>
      <c r="AO942" s="168" t="str">
        <f t="shared" si="191"/>
        <v/>
      </c>
      <c r="AP942" s="168" t="str">
        <f t="shared" si="192"/>
        <v/>
      </c>
      <c r="AQ942" s="28"/>
      <c r="AR942" s="28"/>
      <c r="AS942" s="20" t="str">
        <f>IF(AQ942="","",IF($F942="Bernardino Furlan",_xlfn.XLOOKUP(AQ942,Cadastros!$G$6:$G$90,Cadastros!$H$6:$H$90)*(1-0.18),IF($F942="Mauro José Salanti",_xlfn.XLOOKUP(AQ942,Cadastros!$G$6:$G$90,Cadastros!$H$6:$H$90)*(1-0.18),_xlfn.XLOOKUP(AQ942,Cadastros!$G$6:$G$90,Cadastros!$H$6:$H$90))))</f>
        <v/>
      </c>
      <c r="AT942" s="168" t="str">
        <f t="shared" si="193"/>
        <v/>
      </c>
      <c r="AU942" s="168" t="str">
        <f t="shared" si="194"/>
        <v/>
      </c>
      <c r="AV942" s="227"/>
      <c r="AW942" s="30"/>
      <c r="AX942" s="267"/>
      <c r="AY942" s="267"/>
      <c r="AZ942" s="29"/>
      <c r="BA942" s="30"/>
      <c r="BB942" s="23" t="str" cm="1">
        <f t="array" ref="BB942">_xlfn.IFS(AW942="SIM",SUM(K942,P942,U942,Z942,AE942,AJ942,AO942,AT942,AX942,AY942),F942&lt;&gt;"",SUM(K942,P942,U942,Z942,AE942,AJ942,,AO942,AT942),F942="","")</f>
        <v/>
      </c>
      <c r="BC942" s="211" t="str" cm="1">
        <f t="array" ref="BC942">_xlfn.IFS(E942="","",G942&lt;=E942,BB942*(1-0.03),G942&lt;(E942+8),BB942,AZ942="Boleto",BB942*(1+0.001)^DATEDIF(E942,G942,"D"),AZ942="Cheque",BB942,AZ942="Dinheiro","Alterar forma pgto")</f>
        <v/>
      </c>
      <c r="BD942" s="276" t="str" cm="1">
        <f t="array" ref="BD942">IF(F942=0," ",IF(BC942&lt;BB942,(_xlfn.IFS(AW942="SIM",SUM(L942,Q942,V942,AA942,AF942,AK942,AP942,AU942)+AX942/_xlfn.XLOOKUP(_xlfn.XLOOKUP($F942,Clientes!$B$4:$B$39,Clientes!$C$4:$C$39),Cadastros!$L$6:$L$12,Cadastros!$M$6:$M$12)+IF($F942="Bernardino Furlan",AY942/2751.92,IF($F942="Mauro José Salanti",AY942/2751.92,AY942/3356)),F942&lt;&gt;0,SUM(L942,Q942,V942,AA942,AF942,AK942,AP942,AU942)))*(1-0.03),_xlfn.IFS(AW942="SIM",SUM(L942,Q942,V942,AA942,AF942,AK942,AP942,AU942)+AX942/_xlfn.XLOOKUP(_xlfn.XLOOKUP($F942,Clientes!$B$4:$B$39,Clientes!$C$4:$C$39),Cadastros!$L$6:$L$12,Cadastros!$M$6:$M$12)+IF($F942="Bernardino Furlan",AY942/2751.92,IF($F942="Mauro José Salanti",AY942/2751.92,AY942/3356)),F942&lt;&gt;0,SUM(L942,Q942,V942,AA942,AF942,AK942,AP942,AU942))))</f>
        <v xml:space="preserve"> </v>
      </c>
      <c r="BE942" s="120"/>
      <c r="BF942" s="120"/>
      <c r="BG942" s="120"/>
    </row>
    <row r="943" spans="1:59" s="3" customFormat="1" x14ac:dyDescent="0.3">
      <c r="A943" s="15" t="str">
        <f t="shared" si="182"/>
        <v/>
      </c>
      <c r="B943" s="25"/>
      <c r="C943" s="26"/>
      <c r="D943" s="279"/>
      <c r="E943" s="27"/>
      <c r="F943" s="28"/>
      <c r="G943" s="27"/>
      <c r="H943" s="28"/>
      <c r="I943" s="28"/>
      <c r="J943" s="255" t="str">
        <f>IF(H943="","",(_xlfn.XLOOKUP(H943,Cadastros!$D$6:$D$90,Cadastros!$E$6:$E$90))*(1-_xlfn.XLOOKUP(_xlfn.XLOOKUP($F943,Clientes!$B$4:$B$39,Clientes!$C$4:$C$39),Cadastros!$L$6:$L$12,Cadastros!$N$6:$N$12)))</f>
        <v/>
      </c>
      <c r="K943" s="168" t="str">
        <f t="shared" si="183"/>
        <v/>
      </c>
      <c r="L943" s="168" t="str">
        <f>IFERROR(K943/_xlfn.XLOOKUP(_xlfn.XLOOKUP($F943,Clientes!$B$4:$B$39,Clientes!$C$4:$C$39),Cadastros!$L$6:$L$12,Cadastros!$M$6:$M$12)," ")</f>
        <v xml:space="preserve"> </v>
      </c>
      <c r="M943" s="28"/>
      <c r="N943" s="28"/>
      <c r="O943" s="255" t="str">
        <f>IF(M943="","",(_xlfn.XLOOKUP(M943,Cadastros!$D$6:$D$90,Cadastros!$E$6:$E$90))*(1-_xlfn.XLOOKUP(_xlfn.XLOOKUP($F943,Clientes!$B$4:$B$39,Clientes!$C$4:$C$39),Cadastros!$L$6:$L$12,Cadastros!$N$6:$N$12)))</f>
        <v/>
      </c>
      <c r="P943" s="168" t="str">
        <f t="shared" si="184"/>
        <v/>
      </c>
      <c r="Q943" s="168" t="str">
        <f>IFERROR(P943/_xlfn.XLOOKUP(_xlfn.XLOOKUP($F943,Clientes!$B$4:$B$39,Clientes!$C$4:$C$39),Cadastros!$L$6:$L$12,Cadastros!$M$6:$M$12)," ")</f>
        <v xml:space="preserve"> </v>
      </c>
      <c r="R943" s="28"/>
      <c r="S943" s="28"/>
      <c r="T943" s="255" t="str">
        <f>IF(R943="","",(_xlfn.XLOOKUP(R943,Cadastros!$D$6:$D$90,Cadastros!$E$6:$E$90))*(1-_xlfn.XLOOKUP(_xlfn.XLOOKUP($F943,Clientes!$B$4:$B$39,Clientes!$C$4:$C$39),Cadastros!$L$6:$L$12,Cadastros!$N$6:$N$12)))</f>
        <v/>
      </c>
      <c r="U943" s="168" t="str">
        <f t="shared" si="185"/>
        <v/>
      </c>
      <c r="V943" s="168" t="str">
        <f>IFERROR(U943/_xlfn.XLOOKUP(_xlfn.XLOOKUP($F943,Clientes!$B$4:$B$39,Clientes!$C$4:$C$39),Cadastros!$L$6:$L$12,Cadastros!$M$6:$M$12)," ")</f>
        <v xml:space="preserve"> </v>
      </c>
      <c r="W943" s="28"/>
      <c r="X943" s="28"/>
      <c r="Y943" s="255" t="str">
        <f>IF(W943="","",(_xlfn.XLOOKUP(W943,Cadastros!$D$6:$D$90,Cadastros!$E$6:$E$90))*(1-_xlfn.XLOOKUP(_xlfn.XLOOKUP($F943,Clientes!$B$4:$B$39,Clientes!$C$4:$C$39),Cadastros!$L$6:$L$12,Cadastros!$N$6:$N$12)))</f>
        <v/>
      </c>
      <c r="Z943" s="168" t="str">
        <f t="shared" si="186"/>
        <v/>
      </c>
      <c r="AA943" s="168" t="str">
        <f>IFERROR(Z943/_xlfn.XLOOKUP(_xlfn.XLOOKUP($F943,Clientes!$B$4:$B$39,Clientes!$C$4:$C$39),Cadastros!$L$6:$L$12,Cadastros!$M$6:$M$12)," ")</f>
        <v xml:space="preserve"> </v>
      </c>
      <c r="AB943" s="28"/>
      <c r="AC943" s="28"/>
      <c r="AD943" s="20" t="str">
        <f>IF(AB943="","",IF($F943="Bernardino Furlan",_xlfn.XLOOKUP(AB943,Cadastros!$G$6:$G$90,Cadastros!$H$6:$H$90)*(1-0.18),IF($F943="Mauro José Salanti",_xlfn.XLOOKUP(AB943,Cadastros!$G$6:$G$90,Cadastros!$H$6:$H$90)*(1-0.18),_xlfn.XLOOKUP(AB943,Cadastros!$G$6:$G$90,Cadastros!$H$6:$H$90))))</f>
        <v/>
      </c>
      <c r="AE943" s="168" t="str">
        <f t="shared" si="187"/>
        <v/>
      </c>
      <c r="AF943" s="168" t="str">
        <f t="shared" si="188"/>
        <v/>
      </c>
      <c r="AG943" s="28"/>
      <c r="AH943" s="28"/>
      <c r="AI943" s="20" t="str">
        <f>IF(AG943="","",IF($F943="Bernardino Furlan",_xlfn.XLOOKUP(AG943,Cadastros!$G$6:$G$90,Cadastros!$H$6:$H$90)*(1-0.18),IF($F943="Mauro José Salanti",_xlfn.XLOOKUP(AG943,Cadastros!$G$6:$G$90,Cadastros!$H$6:$H$90)*(1-0.18),_xlfn.XLOOKUP(AG943,Cadastros!$G$6:$G$90,Cadastros!$H$6:$H$90))))</f>
        <v/>
      </c>
      <c r="AJ943" s="168" t="str">
        <f t="shared" si="189"/>
        <v/>
      </c>
      <c r="AK943" s="168" t="str">
        <f t="shared" si="190"/>
        <v/>
      </c>
      <c r="AL943" s="28"/>
      <c r="AM943" s="28"/>
      <c r="AN943" s="20" t="str">
        <f>IF(AL943="","",IF($F943="Bernardino Furlan",_xlfn.XLOOKUP(AL943,Cadastros!$G$6:$G$90,Cadastros!$H$6:$H$90)*(1-0.18),IF($F943="Mauro José Salanti",_xlfn.XLOOKUP(AL943,Cadastros!$G$6:$G$90,Cadastros!$H$6:$H$90)*(1-0.18),_xlfn.XLOOKUP(AL943,Cadastros!$G$6:$G$90,Cadastros!$H$6:$H$90))))</f>
        <v/>
      </c>
      <c r="AO943" s="168" t="str">
        <f t="shared" si="191"/>
        <v/>
      </c>
      <c r="AP943" s="168" t="str">
        <f t="shared" si="192"/>
        <v/>
      </c>
      <c r="AQ943" s="28"/>
      <c r="AR943" s="28"/>
      <c r="AS943" s="20" t="str">
        <f>IF(AQ943="","",IF($F943="Bernardino Furlan",_xlfn.XLOOKUP(AQ943,Cadastros!$G$6:$G$90,Cadastros!$H$6:$H$90)*(1-0.18),IF($F943="Mauro José Salanti",_xlfn.XLOOKUP(AQ943,Cadastros!$G$6:$G$90,Cadastros!$H$6:$H$90)*(1-0.18),_xlfn.XLOOKUP(AQ943,Cadastros!$G$6:$G$90,Cadastros!$H$6:$H$90))))</f>
        <v/>
      </c>
      <c r="AT943" s="168" t="str">
        <f t="shared" si="193"/>
        <v/>
      </c>
      <c r="AU943" s="168" t="str">
        <f t="shared" si="194"/>
        <v/>
      </c>
      <c r="AV943" s="227"/>
      <c r="AW943" s="30"/>
      <c r="AX943" s="267"/>
      <c r="AY943" s="267"/>
      <c r="AZ943" s="29"/>
      <c r="BA943" s="30"/>
      <c r="BB943" s="23" t="str" cm="1">
        <f t="array" ref="BB943">_xlfn.IFS(AW943="SIM",SUM(K943,P943,U943,Z943,AE943,AJ943,AO943,AT943,AX943,AY943),F943&lt;&gt;"",SUM(K943,P943,U943,Z943,AE943,AJ943,,AO943,AT943),F943="","")</f>
        <v/>
      </c>
      <c r="BC943" s="211" t="str" cm="1">
        <f t="array" ref="BC943">_xlfn.IFS(E943="","",G943&lt;=E943,BB943*(1-0.03),G943&lt;(E943+8),BB943,AZ943="Boleto",BB943*(1+0.001)^DATEDIF(E943,G943,"D"),AZ943="Cheque",BB943,AZ943="Dinheiro","Alterar forma pgto")</f>
        <v/>
      </c>
      <c r="BD943" s="276" t="str" cm="1">
        <f t="array" ref="BD943">IF(F943=0," ",IF(BC943&lt;BB943,(_xlfn.IFS(AW943="SIM",SUM(L943,Q943,V943,AA943,AF943,AK943,AP943,AU943)+AX943/_xlfn.XLOOKUP(_xlfn.XLOOKUP($F943,Clientes!$B$4:$B$39,Clientes!$C$4:$C$39),Cadastros!$L$6:$L$12,Cadastros!$M$6:$M$12)+IF($F943="Bernardino Furlan",AY943/2751.92,IF($F943="Mauro José Salanti",AY943/2751.92,AY943/3356)),F943&lt;&gt;0,SUM(L943,Q943,V943,AA943,AF943,AK943,AP943,AU943)))*(1-0.03),_xlfn.IFS(AW943="SIM",SUM(L943,Q943,V943,AA943,AF943,AK943,AP943,AU943)+AX943/_xlfn.XLOOKUP(_xlfn.XLOOKUP($F943,Clientes!$B$4:$B$39,Clientes!$C$4:$C$39),Cadastros!$L$6:$L$12,Cadastros!$M$6:$M$12)+IF($F943="Bernardino Furlan",AY943/2751.92,IF($F943="Mauro José Salanti",AY943/2751.92,AY943/3356)),F943&lt;&gt;0,SUM(L943,Q943,V943,AA943,AF943,AK943,AP943,AU943))))</f>
        <v xml:space="preserve"> </v>
      </c>
      <c r="BE943" s="120"/>
      <c r="BF943" s="120"/>
      <c r="BG943" s="120"/>
    </row>
    <row r="944" spans="1:59" s="3" customFormat="1" x14ac:dyDescent="0.3">
      <c r="A944" s="15" t="str">
        <f t="shared" si="182"/>
        <v/>
      </c>
      <c r="B944" s="25"/>
      <c r="C944" s="26"/>
      <c r="D944" s="279"/>
      <c r="E944" s="27"/>
      <c r="F944" s="28"/>
      <c r="G944" s="27"/>
      <c r="H944" s="28"/>
      <c r="I944" s="28"/>
      <c r="J944" s="255" t="str">
        <f>IF(H944="","",(_xlfn.XLOOKUP(H944,Cadastros!$D$6:$D$90,Cadastros!$E$6:$E$90))*(1-_xlfn.XLOOKUP(_xlfn.XLOOKUP($F944,Clientes!$B$4:$B$39,Clientes!$C$4:$C$39),Cadastros!$L$6:$L$12,Cadastros!$N$6:$N$12)))</f>
        <v/>
      </c>
      <c r="K944" s="168" t="str">
        <f t="shared" si="183"/>
        <v/>
      </c>
      <c r="L944" s="168" t="str">
        <f>IFERROR(K944/_xlfn.XLOOKUP(_xlfn.XLOOKUP($F944,Clientes!$B$4:$B$39,Clientes!$C$4:$C$39),Cadastros!$L$6:$L$12,Cadastros!$M$6:$M$12)," ")</f>
        <v xml:space="preserve"> </v>
      </c>
      <c r="M944" s="28"/>
      <c r="N944" s="28"/>
      <c r="O944" s="255" t="str">
        <f>IF(M944="","",(_xlfn.XLOOKUP(M944,Cadastros!$D$6:$D$90,Cadastros!$E$6:$E$90))*(1-_xlfn.XLOOKUP(_xlfn.XLOOKUP($F944,Clientes!$B$4:$B$39,Clientes!$C$4:$C$39),Cadastros!$L$6:$L$12,Cadastros!$N$6:$N$12)))</f>
        <v/>
      </c>
      <c r="P944" s="168" t="str">
        <f t="shared" si="184"/>
        <v/>
      </c>
      <c r="Q944" s="168" t="str">
        <f>IFERROR(P944/_xlfn.XLOOKUP(_xlfn.XLOOKUP($F944,Clientes!$B$4:$B$39,Clientes!$C$4:$C$39),Cadastros!$L$6:$L$12,Cadastros!$M$6:$M$12)," ")</f>
        <v xml:space="preserve"> </v>
      </c>
      <c r="R944" s="28"/>
      <c r="S944" s="28"/>
      <c r="T944" s="255" t="str">
        <f>IF(R944="","",(_xlfn.XLOOKUP(R944,Cadastros!$D$6:$D$90,Cadastros!$E$6:$E$90))*(1-_xlfn.XLOOKUP(_xlfn.XLOOKUP($F944,Clientes!$B$4:$B$39,Clientes!$C$4:$C$39),Cadastros!$L$6:$L$12,Cadastros!$N$6:$N$12)))</f>
        <v/>
      </c>
      <c r="U944" s="168" t="str">
        <f t="shared" si="185"/>
        <v/>
      </c>
      <c r="V944" s="168" t="str">
        <f>IFERROR(U944/_xlfn.XLOOKUP(_xlfn.XLOOKUP($F944,Clientes!$B$4:$B$39,Clientes!$C$4:$C$39),Cadastros!$L$6:$L$12,Cadastros!$M$6:$M$12)," ")</f>
        <v xml:space="preserve"> </v>
      </c>
      <c r="W944" s="28"/>
      <c r="X944" s="28"/>
      <c r="Y944" s="255" t="str">
        <f>IF(W944="","",(_xlfn.XLOOKUP(W944,Cadastros!$D$6:$D$90,Cadastros!$E$6:$E$90))*(1-_xlfn.XLOOKUP(_xlfn.XLOOKUP($F944,Clientes!$B$4:$B$39,Clientes!$C$4:$C$39),Cadastros!$L$6:$L$12,Cadastros!$N$6:$N$12)))</f>
        <v/>
      </c>
      <c r="Z944" s="168" t="str">
        <f t="shared" si="186"/>
        <v/>
      </c>
      <c r="AA944" s="168" t="str">
        <f>IFERROR(Z944/_xlfn.XLOOKUP(_xlfn.XLOOKUP($F944,Clientes!$B$4:$B$39,Clientes!$C$4:$C$39),Cadastros!$L$6:$L$12,Cadastros!$M$6:$M$12)," ")</f>
        <v xml:space="preserve"> </v>
      </c>
      <c r="AB944" s="28"/>
      <c r="AC944" s="28"/>
      <c r="AD944" s="20" t="str">
        <f>IF(AB944="","",IF($F944="Bernardino Furlan",_xlfn.XLOOKUP(AB944,Cadastros!$G$6:$G$90,Cadastros!$H$6:$H$90)*(1-0.18),IF($F944="Mauro José Salanti",_xlfn.XLOOKUP(AB944,Cadastros!$G$6:$G$90,Cadastros!$H$6:$H$90)*(1-0.18),_xlfn.XLOOKUP(AB944,Cadastros!$G$6:$G$90,Cadastros!$H$6:$H$90))))</f>
        <v/>
      </c>
      <c r="AE944" s="168" t="str">
        <f t="shared" si="187"/>
        <v/>
      </c>
      <c r="AF944" s="168" t="str">
        <f t="shared" si="188"/>
        <v/>
      </c>
      <c r="AG944" s="28"/>
      <c r="AH944" s="28"/>
      <c r="AI944" s="20" t="str">
        <f>IF(AG944="","",IF($F944="Bernardino Furlan",_xlfn.XLOOKUP(AG944,Cadastros!$G$6:$G$90,Cadastros!$H$6:$H$90)*(1-0.18),IF($F944="Mauro José Salanti",_xlfn.XLOOKUP(AG944,Cadastros!$G$6:$G$90,Cadastros!$H$6:$H$90)*(1-0.18),_xlfn.XLOOKUP(AG944,Cadastros!$G$6:$G$90,Cadastros!$H$6:$H$90))))</f>
        <v/>
      </c>
      <c r="AJ944" s="168" t="str">
        <f t="shared" si="189"/>
        <v/>
      </c>
      <c r="AK944" s="168" t="str">
        <f t="shared" si="190"/>
        <v/>
      </c>
      <c r="AL944" s="28"/>
      <c r="AM944" s="28"/>
      <c r="AN944" s="20" t="str">
        <f>IF(AL944="","",IF($F944="Bernardino Furlan",_xlfn.XLOOKUP(AL944,Cadastros!$G$6:$G$90,Cadastros!$H$6:$H$90)*(1-0.18),IF($F944="Mauro José Salanti",_xlfn.XLOOKUP(AL944,Cadastros!$G$6:$G$90,Cadastros!$H$6:$H$90)*(1-0.18),_xlfn.XLOOKUP(AL944,Cadastros!$G$6:$G$90,Cadastros!$H$6:$H$90))))</f>
        <v/>
      </c>
      <c r="AO944" s="168" t="str">
        <f t="shared" si="191"/>
        <v/>
      </c>
      <c r="AP944" s="168" t="str">
        <f t="shared" si="192"/>
        <v/>
      </c>
      <c r="AQ944" s="28"/>
      <c r="AR944" s="28"/>
      <c r="AS944" s="20" t="str">
        <f>IF(AQ944="","",IF($F944="Bernardino Furlan",_xlfn.XLOOKUP(AQ944,Cadastros!$G$6:$G$90,Cadastros!$H$6:$H$90)*(1-0.18),IF($F944="Mauro José Salanti",_xlfn.XLOOKUP(AQ944,Cadastros!$G$6:$G$90,Cadastros!$H$6:$H$90)*(1-0.18),_xlfn.XLOOKUP(AQ944,Cadastros!$G$6:$G$90,Cadastros!$H$6:$H$90))))</f>
        <v/>
      </c>
      <c r="AT944" s="168" t="str">
        <f t="shared" si="193"/>
        <v/>
      </c>
      <c r="AU944" s="168" t="str">
        <f t="shared" si="194"/>
        <v/>
      </c>
      <c r="AV944" s="227"/>
      <c r="AW944" s="30"/>
      <c r="AX944" s="267"/>
      <c r="AY944" s="267"/>
      <c r="AZ944" s="29"/>
      <c r="BA944" s="30"/>
      <c r="BB944" s="23" t="str" cm="1">
        <f t="array" ref="BB944">_xlfn.IFS(AW944="SIM",SUM(K944,P944,U944,Z944,AE944,AJ944,AO944,AT944,AX944,AY944),F944&lt;&gt;"",SUM(K944,P944,U944,Z944,AE944,AJ944,,AO944,AT944),F944="","")</f>
        <v/>
      </c>
      <c r="BC944" s="211" t="str" cm="1">
        <f t="array" ref="BC944">_xlfn.IFS(E944="","",G944&lt;=E944,BB944*(1-0.03),G944&lt;(E944+8),BB944,AZ944="Boleto",BB944*(1+0.001)^DATEDIF(E944,G944,"D"),AZ944="Cheque",BB944,AZ944="Dinheiro","Alterar forma pgto")</f>
        <v/>
      </c>
      <c r="BD944" s="276" t="str" cm="1">
        <f t="array" ref="BD944">IF(F944=0," ",IF(BC944&lt;BB944,(_xlfn.IFS(AW944="SIM",SUM(L944,Q944,V944,AA944,AF944,AK944,AP944,AU944)+AX944/_xlfn.XLOOKUP(_xlfn.XLOOKUP($F944,Clientes!$B$4:$B$39,Clientes!$C$4:$C$39),Cadastros!$L$6:$L$12,Cadastros!$M$6:$M$12)+IF($F944="Bernardino Furlan",AY944/2751.92,IF($F944="Mauro José Salanti",AY944/2751.92,AY944/3356)),F944&lt;&gt;0,SUM(L944,Q944,V944,AA944,AF944,AK944,AP944,AU944)))*(1-0.03),_xlfn.IFS(AW944="SIM",SUM(L944,Q944,V944,AA944,AF944,AK944,AP944,AU944)+AX944/_xlfn.XLOOKUP(_xlfn.XLOOKUP($F944,Clientes!$B$4:$B$39,Clientes!$C$4:$C$39),Cadastros!$L$6:$L$12,Cadastros!$M$6:$M$12)+IF($F944="Bernardino Furlan",AY944/2751.92,IF($F944="Mauro José Salanti",AY944/2751.92,AY944/3356)),F944&lt;&gt;0,SUM(L944,Q944,V944,AA944,AF944,AK944,AP944,AU944))))</f>
        <v xml:space="preserve"> </v>
      </c>
      <c r="BE944" s="120"/>
      <c r="BF944" s="120"/>
      <c r="BG944" s="120"/>
    </row>
    <row r="945" spans="1:59" s="3" customFormat="1" x14ac:dyDescent="0.3">
      <c r="A945" s="15" t="str">
        <f t="shared" si="182"/>
        <v/>
      </c>
      <c r="B945" s="25"/>
      <c r="C945" s="26"/>
      <c r="D945" s="279"/>
      <c r="E945" s="27"/>
      <c r="F945" s="28"/>
      <c r="G945" s="27"/>
      <c r="H945" s="28"/>
      <c r="I945" s="28"/>
      <c r="J945" s="255" t="str">
        <f>IF(H945="","",(_xlfn.XLOOKUP(H945,Cadastros!$D$6:$D$90,Cadastros!$E$6:$E$90))*(1-_xlfn.XLOOKUP(_xlfn.XLOOKUP($F945,Clientes!$B$4:$B$39,Clientes!$C$4:$C$39),Cadastros!$L$6:$L$12,Cadastros!$N$6:$N$12)))</f>
        <v/>
      </c>
      <c r="K945" s="168" t="str">
        <f t="shared" si="183"/>
        <v/>
      </c>
      <c r="L945" s="168" t="str">
        <f>IFERROR(K945/_xlfn.XLOOKUP(_xlfn.XLOOKUP($F945,Clientes!$B$4:$B$39,Clientes!$C$4:$C$39),Cadastros!$L$6:$L$12,Cadastros!$M$6:$M$12)," ")</f>
        <v xml:space="preserve"> </v>
      </c>
      <c r="M945" s="28"/>
      <c r="N945" s="28"/>
      <c r="O945" s="255" t="str">
        <f>IF(M945="","",(_xlfn.XLOOKUP(M945,Cadastros!$D$6:$D$90,Cadastros!$E$6:$E$90))*(1-_xlfn.XLOOKUP(_xlfn.XLOOKUP($F945,Clientes!$B$4:$B$39,Clientes!$C$4:$C$39),Cadastros!$L$6:$L$12,Cadastros!$N$6:$N$12)))</f>
        <v/>
      </c>
      <c r="P945" s="168" t="str">
        <f t="shared" si="184"/>
        <v/>
      </c>
      <c r="Q945" s="168" t="str">
        <f>IFERROR(P945/_xlfn.XLOOKUP(_xlfn.XLOOKUP($F945,Clientes!$B$4:$B$39,Clientes!$C$4:$C$39),Cadastros!$L$6:$L$12,Cadastros!$M$6:$M$12)," ")</f>
        <v xml:space="preserve"> </v>
      </c>
      <c r="R945" s="28"/>
      <c r="S945" s="28"/>
      <c r="T945" s="255" t="str">
        <f>IF(R945="","",(_xlfn.XLOOKUP(R945,Cadastros!$D$6:$D$90,Cadastros!$E$6:$E$90))*(1-_xlfn.XLOOKUP(_xlfn.XLOOKUP($F945,Clientes!$B$4:$B$39,Clientes!$C$4:$C$39),Cadastros!$L$6:$L$12,Cadastros!$N$6:$N$12)))</f>
        <v/>
      </c>
      <c r="U945" s="168" t="str">
        <f t="shared" si="185"/>
        <v/>
      </c>
      <c r="V945" s="168" t="str">
        <f>IFERROR(U945/_xlfn.XLOOKUP(_xlfn.XLOOKUP($F945,Clientes!$B$4:$B$39,Clientes!$C$4:$C$39),Cadastros!$L$6:$L$12,Cadastros!$M$6:$M$12)," ")</f>
        <v xml:space="preserve"> </v>
      </c>
      <c r="W945" s="28"/>
      <c r="X945" s="28"/>
      <c r="Y945" s="255" t="str">
        <f>IF(W945="","",(_xlfn.XLOOKUP(W945,Cadastros!$D$6:$D$90,Cadastros!$E$6:$E$90))*(1-_xlfn.XLOOKUP(_xlfn.XLOOKUP($F945,Clientes!$B$4:$B$39,Clientes!$C$4:$C$39),Cadastros!$L$6:$L$12,Cadastros!$N$6:$N$12)))</f>
        <v/>
      </c>
      <c r="Z945" s="168" t="str">
        <f t="shared" si="186"/>
        <v/>
      </c>
      <c r="AA945" s="168" t="str">
        <f>IFERROR(Z945/_xlfn.XLOOKUP(_xlfn.XLOOKUP($F945,Clientes!$B$4:$B$39,Clientes!$C$4:$C$39),Cadastros!$L$6:$L$12,Cadastros!$M$6:$M$12)," ")</f>
        <v xml:space="preserve"> </v>
      </c>
      <c r="AB945" s="28"/>
      <c r="AC945" s="28"/>
      <c r="AD945" s="20" t="str">
        <f>IF(AB945="","",IF($F945="Bernardino Furlan",_xlfn.XLOOKUP(AB945,Cadastros!$G$6:$G$90,Cadastros!$H$6:$H$90)*(1-0.18),IF($F945="Mauro José Salanti",_xlfn.XLOOKUP(AB945,Cadastros!$G$6:$G$90,Cadastros!$H$6:$H$90)*(1-0.18),_xlfn.XLOOKUP(AB945,Cadastros!$G$6:$G$90,Cadastros!$H$6:$H$90))))</f>
        <v/>
      </c>
      <c r="AE945" s="168" t="str">
        <f t="shared" si="187"/>
        <v/>
      </c>
      <c r="AF945" s="168" t="str">
        <f t="shared" si="188"/>
        <v/>
      </c>
      <c r="AG945" s="28"/>
      <c r="AH945" s="28"/>
      <c r="AI945" s="20" t="str">
        <f>IF(AG945="","",IF($F945="Bernardino Furlan",_xlfn.XLOOKUP(AG945,Cadastros!$G$6:$G$90,Cadastros!$H$6:$H$90)*(1-0.18),IF($F945="Mauro José Salanti",_xlfn.XLOOKUP(AG945,Cadastros!$G$6:$G$90,Cadastros!$H$6:$H$90)*(1-0.18),_xlfn.XLOOKUP(AG945,Cadastros!$G$6:$G$90,Cadastros!$H$6:$H$90))))</f>
        <v/>
      </c>
      <c r="AJ945" s="168" t="str">
        <f t="shared" si="189"/>
        <v/>
      </c>
      <c r="AK945" s="168" t="str">
        <f t="shared" si="190"/>
        <v/>
      </c>
      <c r="AL945" s="28"/>
      <c r="AM945" s="28"/>
      <c r="AN945" s="20" t="str">
        <f>IF(AL945="","",IF($F945="Bernardino Furlan",_xlfn.XLOOKUP(AL945,Cadastros!$G$6:$G$90,Cadastros!$H$6:$H$90)*(1-0.18),IF($F945="Mauro José Salanti",_xlfn.XLOOKUP(AL945,Cadastros!$G$6:$G$90,Cadastros!$H$6:$H$90)*(1-0.18),_xlfn.XLOOKUP(AL945,Cadastros!$G$6:$G$90,Cadastros!$H$6:$H$90))))</f>
        <v/>
      </c>
      <c r="AO945" s="168" t="str">
        <f t="shared" si="191"/>
        <v/>
      </c>
      <c r="AP945" s="168" t="str">
        <f t="shared" si="192"/>
        <v/>
      </c>
      <c r="AQ945" s="28"/>
      <c r="AR945" s="28"/>
      <c r="AS945" s="20" t="str">
        <f>IF(AQ945="","",IF($F945="Bernardino Furlan",_xlfn.XLOOKUP(AQ945,Cadastros!$G$6:$G$90,Cadastros!$H$6:$H$90)*(1-0.18),IF($F945="Mauro José Salanti",_xlfn.XLOOKUP(AQ945,Cadastros!$G$6:$G$90,Cadastros!$H$6:$H$90)*(1-0.18),_xlfn.XLOOKUP(AQ945,Cadastros!$G$6:$G$90,Cadastros!$H$6:$H$90))))</f>
        <v/>
      </c>
      <c r="AT945" s="168" t="str">
        <f t="shared" si="193"/>
        <v/>
      </c>
      <c r="AU945" s="168" t="str">
        <f t="shared" si="194"/>
        <v/>
      </c>
      <c r="AV945" s="227"/>
      <c r="AW945" s="30"/>
      <c r="AX945" s="267"/>
      <c r="AY945" s="267"/>
      <c r="AZ945" s="29"/>
      <c r="BA945" s="30"/>
      <c r="BB945" s="23" t="str" cm="1">
        <f t="array" ref="BB945">_xlfn.IFS(AW945="SIM",SUM(K945,P945,U945,Z945,AE945,AJ945,AO945,AT945,AX945,AY945),F945&lt;&gt;"",SUM(K945,P945,U945,Z945,AE945,AJ945,,AO945,AT945),F945="","")</f>
        <v/>
      </c>
      <c r="BC945" s="211" t="str" cm="1">
        <f t="array" ref="BC945">_xlfn.IFS(E945="","",G945&lt;=E945,BB945*(1-0.03),G945&lt;(E945+8),BB945,AZ945="Boleto",BB945*(1+0.001)^DATEDIF(E945,G945,"D"),AZ945="Cheque",BB945,AZ945="Dinheiro","Alterar forma pgto")</f>
        <v/>
      </c>
      <c r="BD945" s="276" t="str" cm="1">
        <f t="array" ref="BD945">IF(F945=0," ",IF(BC945&lt;BB945,(_xlfn.IFS(AW945="SIM",SUM(L945,Q945,V945,AA945,AF945,AK945,AP945,AU945)+AX945/_xlfn.XLOOKUP(_xlfn.XLOOKUP($F945,Clientes!$B$4:$B$39,Clientes!$C$4:$C$39),Cadastros!$L$6:$L$12,Cadastros!$M$6:$M$12)+IF($F945="Bernardino Furlan",AY945/2751.92,IF($F945="Mauro José Salanti",AY945/2751.92,AY945/3356)),F945&lt;&gt;0,SUM(L945,Q945,V945,AA945,AF945,AK945,AP945,AU945)))*(1-0.03),_xlfn.IFS(AW945="SIM",SUM(L945,Q945,V945,AA945,AF945,AK945,AP945,AU945)+AX945/_xlfn.XLOOKUP(_xlfn.XLOOKUP($F945,Clientes!$B$4:$B$39,Clientes!$C$4:$C$39),Cadastros!$L$6:$L$12,Cadastros!$M$6:$M$12)+IF($F945="Bernardino Furlan",AY945/2751.92,IF($F945="Mauro José Salanti",AY945/2751.92,AY945/3356)),F945&lt;&gt;0,SUM(L945,Q945,V945,AA945,AF945,AK945,AP945,AU945))))</f>
        <v xml:space="preserve"> </v>
      </c>
      <c r="BE945" s="120"/>
      <c r="BF945" s="120"/>
      <c r="BG945" s="120"/>
    </row>
    <row r="946" spans="1:59" s="3" customFormat="1" x14ac:dyDescent="0.3">
      <c r="A946" s="15" t="str">
        <f t="shared" si="182"/>
        <v/>
      </c>
      <c r="B946" s="25"/>
      <c r="C946" s="26"/>
      <c r="D946" s="279"/>
      <c r="E946" s="27"/>
      <c r="F946" s="28"/>
      <c r="G946" s="27"/>
      <c r="H946" s="28"/>
      <c r="I946" s="28"/>
      <c r="J946" s="255" t="str">
        <f>IF(H946="","",(_xlfn.XLOOKUP(H946,Cadastros!$D$6:$D$90,Cadastros!$E$6:$E$90))*(1-_xlfn.XLOOKUP(_xlfn.XLOOKUP($F946,Clientes!$B$4:$B$39,Clientes!$C$4:$C$39),Cadastros!$L$6:$L$12,Cadastros!$N$6:$N$12)))</f>
        <v/>
      </c>
      <c r="K946" s="168" t="str">
        <f t="shared" si="183"/>
        <v/>
      </c>
      <c r="L946" s="168" t="str">
        <f>IFERROR(K946/_xlfn.XLOOKUP(_xlfn.XLOOKUP($F946,Clientes!$B$4:$B$39,Clientes!$C$4:$C$39),Cadastros!$L$6:$L$12,Cadastros!$M$6:$M$12)," ")</f>
        <v xml:space="preserve"> </v>
      </c>
      <c r="M946" s="28"/>
      <c r="N946" s="28"/>
      <c r="O946" s="255" t="str">
        <f>IF(M946="","",(_xlfn.XLOOKUP(M946,Cadastros!$D$6:$D$90,Cadastros!$E$6:$E$90))*(1-_xlfn.XLOOKUP(_xlfn.XLOOKUP($F946,Clientes!$B$4:$B$39,Clientes!$C$4:$C$39),Cadastros!$L$6:$L$12,Cadastros!$N$6:$N$12)))</f>
        <v/>
      </c>
      <c r="P946" s="168" t="str">
        <f t="shared" si="184"/>
        <v/>
      </c>
      <c r="Q946" s="168" t="str">
        <f>IFERROR(P946/_xlfn.XLOOKUP(_xlfn.XLOOKUP($F946,Clientes!$B$4:$B$39,Clientes!$C$4:$C$39),Cadastros!$L$6:$L$12,Cadastros!$M$6:$M$12)," ")</f>
        <v xml:space="preserve"> </v>
      </c>
      <c r="R946" s="28"/>
      <c r="S946" s="28"/>
      <c r="T946" s="255" t="str">
        <f>IF(R946="","",(_xlfn.XLOOKUP(R946,Cadastros!$D$6:$D$90,Cadastros!$E$6:$E$90))*(1-_xlfn.XLOOKUP(_xlfn.XLOOKUP($F946,Clientes!$B$4:$B$39,Clientes!$C$4:$C$39),Cadastros!$L$6:$L$12,Cadastros!$N$6:$N$12)))</f>
        <v/>
      </c>
      <c r="U946" s="168" t="str">
        <f t="shared" si="185"/>
        <v/>
      </c>
      <c r="V946" s="168" t="str">
        <f>IFERROR(U946/_xlfn.XLOOKUP(_xlfn.XLOOKUP($F946,Clientes!$B$4:$B$39,Clientes!$C$4:$C$39),Cadastros!$L$6:$L$12,Cadastros!$M$6:$M$12)," ")</f>
        <v xml:space="preserve"> </v>
      </c>
      <c r="W946" s="28"/>
      <c r="X946" s="28"/>
      <c r="Y946" s="255" t="str">
        <f>IF(W946="","",(_xlfn.XLOOKUP(W946,Cadastros!$D$6:$D$90,Cadastros!$E$6:$E$90))*(1-_xlfn.XLOOKUP(_xlfn.XLOOKUP($F946,Clientes!$B$4:$B$39,Clientes!$C$4:$C$39),Cadastros!$L$6:$L$12,Cadastros!$N$6:$N$12)))</f>
        <v/>
      </c>
      <c r="Z946" s="168" t="str">
        <f t="shared" si="186"/>
        <v/>
      </c>
      <c r="AA946" s="168" t="str">
        <f>IFERROR(Z946/_xlfn.XLOOKUP(_xlfn.XLOOKUP($F946,Clientes!$B$4:$B$39,Clientes!$C$4:$C$39),Cadastros!$L$6:$L$12,Cadastros!$M$6:$M$12)," ")</f>
        <v xml:space="preserve"> </v>
      </c>
      <c r="AB946" s="28"/>
      <c r="AC946" s="28"/>
      <c r="AD946" s="20" t="str">
        <f>IF(AB946="","",IF($F946="Bernardino Furlan",_xlfn.XLOOKUP(AB946,Cadastros!$G$6:$G$90,Cadastros!$H$6:$H$90)*(1-0.18),IF($F946="Mauro José Salanti",_xlfn.XLOOKUP(AB946,Cadastros!$G$6:$G$90,Cadastros!$H$6:$H$90)*(1-0.18),_xlfn.XLOOKUP(AB946,Cadastros!$G$6:$G$90,Cadastros!$H$6:$H$90))))</f>
        <v/>
      </c>
      <c r="AE946" s="168" t="str">
        <f t="shared" si="187"/>
        <v/>
      </c>
      <c r="AF946" s="168" t="str">
        <f t="shared" si="188"/>
        <v/>
      </c>
      <c r="AG946" s="28"/>
      <c r="AH946" s="28"/>
      <c r="AI946" s="20" t="str">
        <f>IF(AG946="","",IF($F946="Bernardino Furlan",_xlfn.XLOOKUP(AG946,Cadastros!$G$6:$G$90,Cadastros!$H$6:$H$90)*(1-0.18),IF($F946="Mauro José Salanti",_xlfn.XLOOKUP(AG946,Cadastros!$G$6:$G$90,Cadastros!$H$6:$H$90)*(1-0.18),_xlfn.XLOOKUP(AG946,Cadastros!$G$6:$G$90,Cadastros!$H$6:$H$90))))</f>
        <v/>
      </c>
      <c r="AJ946" s="168" t="str">
        <f t="shared" si="189"/>
        <v/>
      </c>
      <c r="AK946" s="168" t="str">
        <f t="shared" si="190"/>
        <v/>
      </c>
      <c r="AL946" s="28"/>
      <c r="AM946" s="28"/>
      <c r="AN946" s="20" t="str">
        <f>IF(AL946="","",IF($F946="Bernardino Furlan",_xlfn.XLOOKUP(AL946,Cadastros!$G$6:$G$90,Cadastros!$H$6:$H$90)*(1-0.18),IF($F946="Mauro José Salanti",_xlfn.XLOOKUP(AL946,Cadastros!$G$6:$G$90,Cadastros!$H$6:$H$90)*(1-0.18),_xlfn.XLOOKUP(AL946,Cadastros!$G$6:$G$90,Cadastros!$H$6:$H$90))))</f>
        <v/>
      </c>
      <c r="AO946" s="168" t="str">
        <f t="shared" si="191"/>
        <v/>
      </c>
      <c r="AP946" s="168" t="str">
        <f t="shared" si="192"/>
        <v/>
      </c>
      <c r="AQ946" s="28"/>
      <c r="AR946" s="28"/>
      <c r="AS946" s="20" t="str">
        <f>IF(AQ946="","",IF($F946="Bernardino Furlan",_xlfn.XLOOKUP(AQ946,Cadastros!$G$6:$G$90,Cadastros!$H$6:$H$90)*(1-0.18),IF($F946="Mauro José Salanti",_xlfn.XLOOKUP(AQ946,Cadastros!$G$6:$G$90,Cadastros!$H$6:$H$90)*(1-0.18),_xlfn.XLOOKUP(AQ946,Cadastros!$G$6:$G$90,Cadastros!$H$6:$H$90))))</f>
        <v/>
      </c>
      <c r="AT946" s="168" t="str">
        <f t="shared" si="193"/>
        <v/>
      </c>
      <c r="AU946" s="168" t="str">
        <f t="shared" si="194"/>
        <v/>
      </c>
      <c r="AV946" s="227"/>
      <c r="AW946" s="30"/>
      <c r="AX946" s="267"/>
      <c r="AY946" s="267"/>
      <c r="AZ946" s="29"/>
      <c r="BA946" s="30"/>
      <c r="BB946" s="23" t="str" cm="1">
        <f t="array" ref="BB946">_xlfn.IFS(AW946="SIM",SUM(K946,P946,U946,Z946,AE946,AJ946,AO946,AT946,AX946,AY946),F946&lt;&gt;"",SUM(K946,P946,U946,Z946,AE946,AJ946,,AO946,AT946),F946="","")</f>
        <v/>
      </c>
      <c r="BC946" s="211" t="str" cm="1">
        <f t="array" ref="BC946">_xlfn.IFS(E946="","",G946&lt;=E946,BB946*(1-0.03),G946&lt;(E946+8),BB946,AZ946="Boleto",BB946*(1+0.001)^DATEDIF(E946,G946,"D"),AZ946="Cheque",BB946,AZ946="Dinheiro","Alterar forma pgto")</f>
        <v/>
      </c>
      <c r="BD946" s="276" t="str" cm="1">
        <f t="array" ref="BD946">IF(F946=0," ",IF(BC946&lt;BB946,(_xlfn.IFS(AW946="SIM",SUM(L946,Q946,V946,AA946,AF946,AK946,AP946,AU946)+AX946/_xlfn.XLOOKUP(_xlfn.XLOOKUP($F946,Clientes!$B$4:$B$39,Clientes!$C$4:$C$39),Cadastros!$L$6:$L$12,Cadastros!$M$6:$M$12)+IF($F946="Bernardino Furlan",AY946/2751.92,IF($F946="Mauro José Salanti",AY946/2751.92,AY946/3356)),F946&lt;&gt;0,SUM(L946,Q946,V946,AA946,AF946,AK946,AP946,AU946)))*(1-0.03),_xlfn.IFS(AW946="SIM",SUM(L946,Q946,V946,AA946,AF946,AK946,AP946,AU946)+AX946/_xlfn.XLOOKUP(_xlfn.XLOOKUP($F946,Clientes!$B$4:$B$39,Clientes!$C$4:$C$39),Cadastros!$L$6:$L$12,Cadastros!$M$6:$M$12)+IF($F946="Bernardino Furlan",AY946/2751.92,IF($F946="Mauro José Salanti",AY946/2751.92,AY946/3356)),F946&lt;&gt;0,SUM(L946,Q946,V946,AA946,AF946,AK946,AP946,AU946))))</f>
        <v xml:space="preserve"> </v>
      </c>
      <c r="BE946" s="120"/>
      <c r="BF946" s="120"/>
      <c r="BG946" s="120"/>
    </row>
    <row r="947" spans="1:59" s="3" customFormat="1" x14ac:dyDescent="0.3">
      <c r="A947" s="15" t="str">
        <f t="shared" si="182"/>
        <v/>
      </c>
      <c r="B947" s="25"/>
      <c r="C947" s="26"/>
      <c r="D947" s="279"/>
      <c r="E947" s="27"/>
      <c r="F947" s="28"/>
      <c r="G947" s="27"/>
      <c r="H947" s="28"/>
      <c r="I947" s="28"/>
      <c r="J947" s="255" t="str">
        <f>IF(H947="","",(_xlfn.XLOOKUP(H947,Cadastros!$D$6:$D$90,Cadastros!$E$6:$E$90))*(1-_xlfn.XLOOKUP(_xlfn.XLOOKUP($F947,Clientes!$B$4:$B$39,Clientes!$C$4:$C$39),Cadastros!$L$6:$L$12,Cadastros!$N$6:$N$12)))</f>
        <v/>
      </c>
      <c r="K947" s="168" t="str">
        <f t="shared" si="183"/>
        <v/>
      </c>
      <c r="L947" s="168" t="str">
        <f>IFERROR(K947/_xlfn.XLOOKUP(_xlfn.XLOOKUP($F947,Clientes!$B$4:$B$39,Clientes!$C$4:$C$39),Cadastros!$L$6:$L$12,Cadastros!$M$6:$M$12)," ")</f>
        <v xml:space="preserve"> </v>
      </c>
      <c r="M947" s="28"/>
      <c r="N947" s="28"/>
      <c r="O947" s="255" t="str">
        <f>IF(M947="","",(_xlfn.XLOOKUP(M947,Cadastros!$D$6:$D$90,Cadastros!$E$6:$E$90))*(1-_xlfn.XLOOKUP(_xlfn.XLOOKUP($F947,Clientes!$B$4:$B$39,Clientes!$C$4:$C$39),Cadastros!$L$6:$L$12,Cadastros!$N$6:$N$12)))</f>
        <v/>
      </c>
      <c r="P947" s="168" t="str">
        <f t="shared" si="184"/>
        <v/>
      </c>
      <c r="Q947" s="168" t="str">
        <f>IFERROR(P947/_xlfn.XLOOKUP(_xlfn.XLOOKUP($F947,Clientes!$B$4:$B$39,Clientes!$C$4:$C$39),Cadastros!$L$6:$L$12,Cadastros!$M$6:$M$12)," ")</f>
        <v xml:space="preserve"> </v>
      </c>
      <c r="R947" s="28"/>
      <c r="S947" s="28"/>
      <c r="T947" s="255" t="str">
        <f>IF(R947="","",(_xlfn.XLOOKUP(R947,Cadastros!$D$6:$D$90,Cadastros!$E$6:$E$90))*(1-_xlfn.XLOOKUP(_xlfn.XLOOKUP($F947,Clientes!$B$4:$B$39,Clientes!$C$4:$C$39),Cadastros!$L$6:$L$12,Cadastros!$N$6:$N$12)))</f>
        <v/>
      </c>
      <c r="U947" s="168" t="str">
        <f t="shared" si="185"/>
        <v/>
      </c>
      <c r="V947" s="168" t="str">
        <f>IFERROR(U947/_xlfn.XLOOKUP(_xlfn.XLOOKUP($F947,Clientes!$B$4:$B$39,Clientes!$C$4:$C$39),Cadastros!$L$6:$L$12,Cadastros!$M$6:$M$12)," ")</f>
        <v xml:space="preserve"> </v>
      </c>
      <c r="W947" s="28"/>
      <c r="X947" s="28"/>
      <c r="Y947" s="255" t="str">
        <f>IF(W947="","",(_xlfn.XLOOKUP(W947,Cadastros!$D$6:$D$90,Cadastros!$E$6:$E$90))*(1-_xlfn.XLOOKUP(_xlfn.XLOOKUP($F947,Clientes!$B$4:$B$39,Clientes!$C$4:$C$39),Cadastros!$L$6:$L$12,Cadastros!$N$6:$N$12)))</f>
        <v/>
      </c>
      <c r="Z947" s="168" t="str">
        <f t="shared" si="186"/>
        <v/>
      </c>
      <c r="AA947" s="168" t="str">
        <f>IFERROR(Z947/_xlfn.XLOOKUP(_xlfn.XLOOKUP($F947,Clientes!$B$4:$B$39,Clientes!$C$4:$C$39),Cadastros!$L$6:$L$12,Cadastros!$M$6:$M$12)," ")</f>
        <v xml:space="preserve"> </v>
      </c>
      <c r="AB947" s="28"/>
      <c r="AC947" s="28"/>
      <c r="AD947" s="20" t="str">
        <f>IF(AB947="","",IF($F947="Bernardino Furlan",_xlfn.XLOOKUP(AB947,Cadastros!$G$6:$G$90,Cadastros!$H$6:$H$90)*(1-0.18),IF($F947="Mauro José Salanti",_xlfn.XLOOKUP(AB947,Cadastros!$G$6:$G$90,Cadastros!$H$6:$H$90)*(1-0.18),_xlfn.XLOOKUP(AB947,Cadastros!$G$6:$G$90,Cadastros!$H$6:$H$90))))</f>
        <v/>
      </c>
      <c r="AE947" s="168" t="str">
        <f t="shared" si="187"/>
        <v/>
      </c>
      <c r="AF947" s="168" t="str">
        <f t="shared" si="188"/>
        <v/>
      </c>
      <c r="AG947" s="28"/>
      <c r="AH947" s="28"/>
      <c r="AI947" s="20" t="str">
        <f>IF(AG947="","",IF($F947="Bernardino Furlan",_xlfn.XLOOKUP(AG947,Cadastros!$G$6:$G$90,Cadastros!$H$6:$H$90)*(1-0.18),IF($F947="Mauro José Salanti",_xlfn.XLOOKUP(AG947,Cadastros!$G$6:$G$90,Cadastros!$H$6:$H$90)*(1-0.18),_xlfn.XLOOKUP(AG947,Cadastros!$G$6:$G$90,Cadastros!$H$6:$H$90))))</f>
        <v/>
      </c>
      <c r="AJ947" s="168" t="str">
        <f t="shared" si="189"/>
        <v/>
      </c>
      <c r="AK947" s="168" t="str">
        <f t="shared" si="190"/>
        <v/>
      </c>
      <c r="AL947" s="28"/>
      <c r="AM947" s="28"/>
      <c r="AN947" s="20" t="str">
        <f>IF(AL947="","",IF($F947="Bernardino Furlan",_xlfn.XLOOKUP(AL947,Cadastros!$G$6:$G$90,Cadastros!$H$6:$H$90)*(1-0.18),IF($F947="Mauro José Salanti",_xlfn.XLOOKUP(AL947,Cadastros!$G$6:$G$90,Cadastros!$H$6:$H$90)*(1-0.18),_xlfn.XLOOKUP(AL947,Cadastros!$G$6:$G$90,Cadastros!$H$6:$H$90))))</f>
        <v/>
      </c>
      <c r="AO947" s="168" t="str">
        <f t="shared" si="191"/>
        <v/>
      </c>
      <c r="AP947" s="168" t="str">
        <f t="shared" si="192"/>
        <v/>
      </c>
      <c r="AQ947" s="28"/>
      <c r="AR947" s="28"/>
      <c r="AS947" s="20" t="str">
        <f>IF(AQ947="","",IF($F947="Bernardino Furlan",_xlfn.XLOOKUP(AQ947,Cadastros!$G$6:$G$90,Cadastros!$H$6:$H$90)*(1-0.18),IF($F947="Mauro José Salanti",_xlfn.XLOOKUP(AQ947,Cadastros!$G$6:$G$90,Cadastros!$H$6:$H$90)*(1-0.18),_xlfn.XLOOKUP(AQ947,Cadastros!$G$6:$G$90,Cadastros!$H$6:$H$90))))</f>
        <v/>
      </c>
      <c r="AT947" s="168" t="str">
        <f t="shared" si="193"/>
        <v/>
      </c>
      <c r="AU947" s="168" t="str">
        <f t="shared" si="194"/>
        <v/>
      </c>
      <c r="AV947" s="227"/>
      <c r="AW947" s="30"/>
      <c r="AX947" s="267"/>
      <c r="AY947" s="267"/>
      <c r="AZ947" s="29"/>
      <c r="BA947" s="30"/>
      <c r="BB947" s="23" t="str" cm="1">
        <f t="array" ref="BB947">_xlfn.IFS(AW947="SIM",SUM(K947,P947,U947,Z947,AE947,AJ947,AO947,AT947,AX947,AY947),F947&lt;&gt;"",SUM(K947,P947,U947,Z947,AE947,AJ947,,AO947,AT947),F947="","")</f>
        <v/>
      </c>
      <c r="BC947" s="211" t="str" cm="1">
        <f t="array" ref="BC947">_xlfn.IFS(E947="","",G947&lt;=E947,BB947*(1-0.03),G947&lt;(E947+8),BB947,AZ947="Boleto",BB947*(1+0.001)^DATEDIF(E947,G947,"D"),AZ947="Cheque",BB947,AZ947="Dinheiro","Alterar forma pgto")</f>
        <v/>
      </c>
      <c r="BD947" s="276" t="str" cm="1">
        <f t="array" ref="BD947">IF(F947=0," ",IF(BC947&lt;BB947,(_xlfn.IFS(AW947="SIM",SUM(L947,Q947,V947,AA947,AF947,AK947,AP947,AU947)+AX947/_xlfn.XLOOKUP(_xlfn.XLOOKUP($F947,Clientes!$B$4:$B$39,Clientes!$C$4:$C$39),Cadastros!$L$6:$L$12,Cadastros!$M$6:$M$12)+IF($F947="Bernardino Furlan",AY947/2751.92,IF($F947="Mauro José Salanti",AY947/2751.92,AY947/3356)),F947&lt;&gt;0,SUM(L947,Q947,V947,AA947,AF947,AK947,AP947,AU947)))*(1-0.03),_xlfn.IFS(AW947="SIM",SUM(L947,Q947,V947,AA947,AF947,AK947,AP947,AU947)+AX947/_xlfn.XLOOKUP(_xlfn.XLOOKUP($F947,Clientes!$B$4:$B$39,Clientes!$C$4:$C$39),Cadastros!$L$6:$L$12,Cadastros!$M$6:$M$12)+IF($F947="Bernardino Furlan",AY947/2751.92,IF($F947="Mauro José Salanti",AY947/2751.92,AY947/3356)),F947&lt;&gt;0,SUM(L947,Q947,V947,AA947,AF947,AK947,AP947,AU947))))</f>
        <v xml:space="preserve"> </v>
      </c>
      <c r="BE947" s="120"/>
      <c r="BF947" s="120"/>
      <c r="BG947" s="120"/>
    </row>
    <row r="948" spans="1:59" s="3" customFormat="1" x14ac:dyDescent="0.3">
      <c r="A948" s="15" t="str">
        <f t="shared" si="182"/>
        <v/>
      </c>
      <c r="B948" s="25"/>
      <c r="C948" s="26"/>
      <c r="D948" s="279"/>
      <c r="E948" s="27"/>
      <c r="F948" s="28"/>
      <c r="G948" s="27"/>
      <c r="H948" s="28"/>
      <c r="I948" s="28"/>
      <c r="J948" s="255" t="str">
        <f>IF(H948="","",(_xlfn.XLOOKUP(H948,Cadastros!$D$6:$D$90,Cadastros!$E$6:$E$90))*(1-_xlfn.XLOOKUP(_xlfn.XLOOKUP($F948,Clientes!$B$4:$B$39,Clientes!$C$4:$C$39),Cadastros!$L$6:$L$12,Cadastros!$N$6:$N$12)))</f>
        <v/>
      </c>
      <c r="K948" s="168" t="str">
        <f t="shared" si="183"/>
        <v/>
      </c>
      <c r="L948" s="168" t="str">
        <f>IFERROR(K948/_xlfn.XLOOKUP(_xlfn.XLOOKUP($F948,Clientes!$B$4:$B$39,Clientes!$C$4:$C$39),Cadastros!$L$6:$L$12,Cadastros!$M$6:$M$12)," ")</f>
        <v xml:space="preserve"> </v>
      </c>
      <c r="M948" s="28"/>
      <c r="N948" s="28"/>
      <c r="O948" s="255" t="str">
        <f>IF(M948="","",(_xlfn.XLOOKUP(M948,Cadastros!$D$6:$D$90,Cadastros!$E$6:$E$90))*(1-_xlfn.XLOOKUP(_xlfn.XLOOKUP($F948,Clientes!$B$4:$B$39,Clientes!$C$4:$C$39),Cadastros!$L$6:$L$12,Cadastros!$N$6:$N$12)))</f>
        <v/>
      </c>
      <c r="P948" s="168" t="str">
        <f t="shared" si="184"/>
        <v/>
      </c>
      <c r="Q948" s="168" t="str">
        <f>IFERROR(P948/_xlfn.XLOOKUP(_xlfn.XLOOKUP($F948,Clientes!$B$4:$B$39,Clientes!$C$4:$C$39),Cadastros!$L$6:$L$12,Cadastros!$M$6:$M$12)," ")</f>
        <v xml:space="preserve"> </v>
      </c>
      <c r="R948" s="28"/>
      <c r="S948" s="28"/>
      <c r="T948" s="255" t="str">
        <f>IF(R948="","",(_xlfn.XLOOKUP(R948,Cadastros!$D$6:$D$90,Cadastros!$E$6:$E$90))*(1-_xlfn.XLOOKUP(_xlfn.XLOOKUP($F948,Clientes!$B$4:$B$39,Clientes!$C$4:$C$39),Cadastros!$L$6:$L$12,Cadastros!$N$6:$N$12)))</f>
        <v/>
      </c>
      <c r="U948" s="168" t="str">
        <f t="shared" si="185"/>
        <v/>
      </c>
      <c r="V948" s="168" t="str">
        <f>IFERROR(U948/_xlfn.XLOOKUP(_xlfn.XLOOKUP($F948,Clientes!$B$4:$B$39,Clientes!$C$4:$C$39),Cadastros!$L$6:$L$12,Cadastros!$M$6:$M$12)," ")</f>
        <v xml:space="preserve"> </v>
      </c>
      <c r="W948" s="28"/>
      <c r="X948" s="28"/>
      <c r="Y948" s="255" t="str">
        <f>IF(W948="","",(_xlfn.XLOOKUP(W948,Cadastros!$D$6:$D$90,Cadastros!$E$6:$E$90))*(1-_xlfn.XLOOKUP(_xlfn.XLOOKUP($F948,Clientes!$B$4:$B$39,Clientes!$C$4:$C$39),Cadastros!$L$6:$L$12,Cadastros!$N$6:$N$12)))</f>
        <v/>
      </c>
      <c r="Z948" s="168" t="str">
        <f t="shared" si="186"/>
        <v/>
      </c>
      <c r="AA948" s="168" t="str">
        <f>IFERROR(Z948/_xlfn.XLOOKUP(_xlfn.XLOOKUP($F948,Clientes!$B$4:$B$39,Clientes!$C$4:$C$39),Cadastros!$L$6:$L$12,Cadastros!$M$6:$M$12)," ")</f>
        <v xml:space="preserve"> </v>
      </c>
      <c r="AB948" s="28"/>
      <c r="AC948" s="28"/>
      <c r="AD948" s="20" t="str">
        <f>IF(AB948="","",IF($F948="Bernardino Furlan",_xlfn.XLOOKUP(AB948,Cadastros!$G$6:$G$90,Cadastros!$H$6:$H$90)*(1-0.18),IF($F948="Mauro José Salanti",_xlfn.XLOOKUP(AB948,Cadastros!$G$6:$G$90,Cadastros!$H$6:$H$90)*(1-0.18),_xlfn.XLOOKUP(AB948,Cadastros!$G$6:$G$90,Cadastros!$H$6:$H$90))))</f>
        <v/>
      </c>
      <c r="AE948" s="168" t="str">
        <f t="shared" si="187"/>
        <v/>
      </c>
      <c r="AF948" s="168" t="str">
        <f t="shared" si="188"/>
        <v/>
      </c>
      <c r="AG948" s="28"/>
      <c r="AH948" s="28"/>
      <c r="AI948" s="20" t="str">
        <f>IF(AG948="","",IF($F948="Bernardino Furlan",_xlfn.XLOOKUP(AG948,Cadastros!$G$6:$G$90,Cadastros!$H$6:$H$90)*(1-0.18),IF($F948="Mauro José Salanti",_xlfn.XLOOKUP(AG948,Cadastros!$G$6:$G$90,Cadastros!$H$6:$H$90)*(1-0.18),_xlfn.XLOOKUP(AG948,Cadastros!$G$6:$G$90,Cadastros!$H$6:$H$90))))</f>
        <v/>
      </c>
      <c r="AJ948" s="168" t="str">
        <f t="shared" si="189"/>
        <v/>
      </c>
      <c r="AK948" s="168" t="str">
        <f t="shared" si="190"/>
        <v/>
      </c>
      <c r="AL948" s="28"/>
      <c r="AM948" s="28"/>
      <c r="AN948" s="20" t="str">
        <f>IF(AL948="","",IF($F948="Bernardino Furlan",_xlfn.XLOOKUP(AL948,Cadastros!$G$6:$G$90,Cadastros!$H$6:$H$90)*(1-0.18),IF($F948="Mauro José Salanti",_xlfn.XLOOKUP(AL948,Cadastros!$G$6:$G$90,Cadastros!$H$6:$H$90)*(1-0.18),_xlfn.XLOOKUP(AL948,Cadastros!$G$6:$G$90,Cadastros!$H$6:$H$90))))</f>
        <v/>
      </c>
      <c r="AO948" s="168" t="str">
        <f t="shared" si="191"/>
        <v/>
      </c>
      <c r="AP948" s="168" t="str">
        <f t="shared" si="192"/>
        <v/>
      </c>
      <c r="AQ948" s="28"/>
      <c r="AR948" s="28"/>
      <c r="AS948" s="20" t="str">
        <f>IF(AQ948="","",IF($F948="Bernardino Furlan",_xlfn.XLOOKUP(AQ948,Cadastros!$G$6:$G$90,Cadastros!$H$6:$H$90)*(1-0.18),IF($F948="Mauro José Salanti",_xlfn.XLOOKUP(AQ948,Cadastros!$G$6:$G$90,Cadastros!$H$6:$H$90)*(1-0.18),_xlfn.XLOOKUP(AQ948,Cadastros!$G$6:$G$90,Cadastros!$H$6:$H$90))))</f>
        <v/>
      </c>
      <c r="AT948" s="168" t="str">
        <f t="shared" si="193"/>
        <v/>
      </c>
      <c r="AU948" s="168" t="str">
        <f t="shared" si="194"/>
        <v/>
      </c>
      <c r="AV948" s="227"/>
      <c r="AW948" s="30"/>
      <c r="AX948" s="267"/>
      <c r="AY948" s="267"/>
      <c r="AZ948" s="29"/>
      <c r="BA948" s="30"/>
      <c r="BB948" s="23" t="str" cm="1">
        <f t="array" ref="BB948">_xlfn.IFS(AW948="SIM",SUM(K948,P948,U948,Z948,AE948,AJ948,AO948,AT948,AX948,AY948),F948&lt;&gt;"",SUM(K948,P948,U948,Z948,AE948,AJ948,,AO948,AT948),F948="","")</f>
        <v/>
      </c>
      <c r="BC948" s="211" t="str" cm="1">
        <f t="array" ref="BC948">_xlfn.IFS(E948="","",G948&lt;=E948,BB948*(1-0.03),G948&lt;(E948+8),BB948,AZ948="Boleto",BB948*(1+0.001)^DATEDIF(E948,G948,"D"),AZ948="Cheque",BB948,AZ948="Dinheiro","Alterar forma pgto")</f>
        <v/>
      </c>
      <c r="BD948" s="276" t="str" cm="1">
        <f t="array" ref="BD948">IF(F948=0," ",IF(BC948&lt;BB948,(_xlfn.IFS(AW948="SIM",SUM(L948,Q948,V948,AA948,AF948,AK948,AP948,AU948)+AX948/_xlfn.XLOOKUP(_xlfn.XLOOKUP($F948,Clientes!$B$4:$B$39,Clientes!$C$4:$C$39),Cadastros!$L$6:$L$12,Cadastros!$M$6:$M$12)+IF($F948="Bernardino Furlan",AY948/2751.92,IF($F948="Mauro José Salanti",AY948/2751.92,AY948/3356)),F948&lt;&gt;0,SUM(L948,Q948,V948,AA948,AF948,AK948,AP948,AU948)))*(1-0.03),_xlfn.IFS(AW948="SIM",SUM(L948,Q948,V948,AA948,AF948,AK948,AP948,AU948)+AX948/_xlfn.XLOOKUP(_xlfn.XLOOKUP($F948,Clientes!$B$4:$B$39,Clientes!$C$4:$C$39),Cadastros!$L$6:$L$12,Cadastros!$M$6:$M$12)+IF($F948="Bernardino Furlan",AY948/2751.92,IF($F948="Mauro José Salanti",AY948/2751.92,AY948/3356)),F948&lt;&gt;0,SUM(L948,Q948,V948,AA948,AF948,AK948,AP948,AU948))))</f>
        <v xml:space="preserve"> </v>
      </c>
      <c r="BE948" s="120"/>
      <c r="BF948" s="120"/>
      <c r="BG948" s="120"/>
    </row>
    <row r="949" spans="1:59" s="3" customFormat="1" x14ac:dyDescent="0.3">
      <c r="A949" s="15" t="str">
        <f t="shared" si="182"/>
        <v/>
      </c>
      <c r="B949" s="25"/>
      <c r="C949" s="26"/>
      <c r="D949" s="279"/>
      <c r="E949" s="27"/>
      <c r="F949" s="28"/>
      <c r="G949" s="27"/>
      <c r="H949" s="28"/>
      <c r="I949" s="28"/>
      <c r="J949" s="255" t="str">
        <f>IF(H949="","",(_xlfn.XLOOKUP(H949,Cadastros!$D$6:$D$90,Cadastros!$E$6:$E$90))*(1-_xlfn.XLOOKUP(_xlfn.XLOOKUP($F949,Clientes!$B$4:$B$39,Clientes!$C$4:$C$39),Cadastros!$L$6:$L$12,Cadastros!$N$6:$N$12)))</f>
        <v/>
      </c>
      <c r="K949" s="168" t="str">
        <f t="shared" si="183"/>
        <v/>
      </c>
      <c r="L949" s="168" t="str">
        <f>IFERROR(K949/_xlfn.XLOOKUP(_xlfn.XLOOKUP($F949,Clientes!$B$4:$B$39,Clientes!$C$4:$C$39),Cadastros!$L$6:$L$12,Cadastros!$M$6:$M$12)," ")</f>
        <v xml:space="preserve"> </v>
      </c>
      <c r="M949" s="28"/>
      <c r="N949" s="28"/>
      <c r="O949" s="255" t="str">
        <f>IF(M949="","",(_xlfn.XLOOKUP(M949,Cadastros!$D$6:$D$90,Cadastros!$E$6:$E$90))*(1-_xlfn.XLOOKUP(_xlfn.XLOOKUP($F949,Clientes!$B$4:$B$39,Clientes!$C$4:$C$39),Cadastros!$L$6:$L$12,Cadastros!$N$6:$N$12)))</f>
        <v/>
      </c>
      <c r="P949" s="168" t="str">
        <f t="shared" si="184"/>
        <v/>
      </c>
      <c r="Q949" s="168" t="str">
        <f>IFERROR(P949/_xlfn.XLOOKUP(_xlfn.XLOOKUP($F949,Clientes!$B$4:$B$39,Clientes!$C$4:$C$39),Cadastros!$L$6:$L$12,Cadastros!$M$6:$M$12)," ")</f>
        <v xml:space="preserve"> </v>
      </c>
      <c r="R949" s="28"/>
      <c r="S949" s="28"/>
      <c r="T949" s="255" t="str">
        <f>IF(R949="","",(_xlfn.XLOOKUP(R949,Cadastros!$D$6:$D$90,Cadastros!$E$6:$E$90))*(1-_xlfn.XLOOKUP(_xlfn.XLOOKUP($F949,Clientes!$B$4:$B$39,Clientes!$C$4:$C$39),Cadastros!$L$6:$L$12,Cadastros!$N$6:$N$12)))</f>
        <v/>
      </c>
      <c r="U949" s="168" t="str">
        <f t="shared" si="185"/>
        <v/>
      </c>
      <c r="V949" s="168" t="str">
        <f>IFERROR(U949/_xlfn.XLOOKUP(_xlfn.XLOOKUP($F949,Clientes!$B$4:$B$39,Clientes!$C$4:$C$39),Cadastros!$L$6:$L$12,Cadastros!$M$6:$M$12)," ")</f>
        <v xml:space="preserve"> </v>
      </c>
      <c r="W949" s="28"/>
      <c r="X949" s="28"/>
      <c r="Y949" s="255" t="str">
        <f>IF(W949="","",(_xlfn.XLOOKUP(W949,Cadastros!$D$6:$D$90,Cadastros!$E$6:$E$90))*(1-_xlfn.XLOOKUP(_xlfn.XLOOKUP($F949,Clientes!$B$4:$B$39,Clientes!$C$4:$C$39),Cadastros!$L$6:$L$12,Cadastros!$N$6:$N$12)))</f>
        <v/>
      </c>
      <c r="Z949" s="168" t="str">
        <f t="shared" si="186"/>
        <v/>
      </c>
      <c r="AA949" s="168" t="str">
        <f>IFERROR(Z949/_xlfn.XLOOKUP(_xlfn.XLOOKUP($F949,Clientes!$B$4:$B$39,Clientes!$C$4:$C$39),Cadastros!$L$6:$L$12,Cadastros!$M$6:$M$12)," ")</f>
        <v xml:space="preserve"> </v>
      </c>
      <c r="AB949" s="28"/>
      <c r="AC949" s="28"/>
      <c r="AD949" s="20" t="str">
        <f>IF(AB949="","",IF($F949="Bernardino Furlan",_xlfn.XLOOKUP(AB949,Cadastros!$G$6:$G$90,Cadastros!$H$6:$H$90)*(1-0.18),IF($F949="Mauro José Salanti",_xlfn.XLOOKUP(AB949,Cadastros!$G$6:$G$90,Cadastros!$H$6:$H$90)*(1-0.18),_xlfn.XLOOKUP(AB949,Cadastros!$G$6:$G$90,Cadastros!$H$6:$H$90))))</f>
        <v/>
      </c>
      <c r="AE949" s="168" t="str">
        <f t="shared" si="187"/>
        <v/>
      </c>
      <c r="AF949" s="168" t="str">
        <f t="shared" si="188"/>
        <v/>
      </c>
      <c r="AG949" s="28"/>
      <c r="AH949" s="28"/>
      <c r="AI949" s="20" t="str">
        <f>IF(AG949="","",IF($F949="Bernardino Furlan",_xlfn.XLOOKUP(AG949,Cadastros!$G$6:$G$90,Cadastros!$H$6:$H$90)*(1-0.18),IF($F949="Mauro José Salanti",_xlfn.XLOOKUP(AG949,Cadastros!$G$6:$G$90,Cadastros!$H$6:$H$90)*(1-0.18),_xlfn.XLOOKUP(AG949,Cadastros!$G$6:$G$90,Cadastros!$H$6:$H$90))))</f>
        <v/>
      </c>
      <c r="AJ949" s="168" t="str">
        <f t="shared" si="189"/>
        <v/>
      </c>
      <c r="AK949" s="168" t="str">
        <f t="shared" si="190"/>
        <v/>
      </c>
      <c r="AL949" s="28"/>
      <c r="AM949" s="28"/>
      <c r="AN949" s="20" t="str">
        <f>IF(AL949="","",IF($F949="Bernardino Furlan",_xlfn.XLOOKUP(AL949,Cadastros!$G$6:$G$90,Cadastros!$H$6:$H$90)*(1-0.18),IF($F949="Mauro José Salanti",_xlfn.XLOOKUP(AL949,Cadastros!$G$6:$G$90,Cadastros!$H$6:$H$90)*(1-0.18),_xlfn.XLOOKUP(AL949,Cadastros!$G$6:$G$90,Cadastros!$H$6:$H$90))))</f>
        <v/>
      </c>
      <c r="AO949" s="168" t="str">
        <f t="shared" si="191"/>
        <v/>
      </c>
      <c r="AP949" s="168" t="str">
        <f t="shared" si="192"/>
        <v/>
      </c>
      <c r="AQ949" s="28"/>
      <c r="AR949" s="28"/>
      <c r="AS949" s="20" t="str">
        <f>IF(AQ949="","",IF($F949="Bernardino Furlan",_xlfn.XLOOKUP(AQ949,Cadastros!$G$6:$G$90,Cadastros!$H$6:$H$90)*(1-0.18),IF($F949="Mauro José Salanti",_xlfn.XLOOKUP(AQ949,Cadastros!$G$6:$G$90,Cadastros!$H$6:$H$90)*(1-0.18),_xlfn.XLOOKUP(AQ949,Cadastros!$G$6:$G$90,Cadastros!$H$6:$H$90))))</f>
        <v/>
      </c>
      <c r="AT949" s="168" t="str">
        <f t="shared" si="193"/>
        <v/>
      </c>
      <c r="AU949" s="168" t="str">
        <f t="shared" si="194"/>
        <v/>
      </c>
      <c r="AV949" s="227"/>
      <c r="AW949" s="30"/>
      <c r="AX949" s="267"/>
      <c r="AY949" s="267"/>
      <c r="AZ949" s="29"/>
      <c r="BA949" s="30"/>
      <c r="BB949" s="23" t="str" cm="1">
        <f t="array" ref="BB949">_xlfn.IFS(AW949="SIM",SUM(K949,P949,U949,Z949,AE949,AJ949,AO949,AT949,AX949,AY949),F949&lt;&gt;"",SUM(K949,P949,U949,Z949,AE949,AJ949,,AO949,AT949),F949="","")</f>
        <v/>
      </c>
      <c r="BC949" s="211" t="str" cm="1">
        <f t="array" ref="BC949">_xlfn.IFS(E949="","",G949&lt;=E949,BB949*(1-0.03),G949&lt;(E949+8),BB949,AZ949="Boleto",BB949*(1+0.001)^DATEDIF(E949,G949,"D"),AZ949="Cheque",BB949,AZ949="Dinheiro","Alterar forma pgto")</f>
        <v/>
      </c>
      <c r="BD949" s="276" t="str" cm="1">
        <f t="array" ref="BD949">IF(F949=0," ",IF(BC949&lt;BB949,(_xlfn.IFS(AW949="SIM",SUM(L949,Q949,V949,AA949,AF949,AK949,AP949,AU949)+AX949/_xlfn.XLOOKUP(_xlfn.XLOOKUP($F949,Clientes!$B$4:$B$39,Clientes!$C$4:$C$39),Cadastros!$L$6:$L$12,Cadastros!$M$6:$M$12)+IF($F949="Bernardino Furlan",AY949/2751.92,IF($F949="Mauro José Salanti",AY949/2751.92,AY949/3356)),F949&lt;&gt;0,SUM(L949,Q949,V949,AA949,AF949,AK949,AP949,AU949)))*(1-0.03),_xlfn.IFS(AW949="SIM",SUM(L949,Q949,V949,AA949,AF949,AK949,AP949,AU949)+AX949/_xlfn.XLOOKUP(_xlfn.XLOOKUP($F949,Clientes!$B$4:$B$39,Clientes!$C$4:$C$39),Cadastros!$L$6:$L$12,Cadastros!$M$6:$M$12)+IF($F949="Bernardino Furlan",AY949/2751.92,IF($F949="Mauro José Salanti",AY949/2751.92,AY949/3356)),F949&lt;&gt;0,SUM(L949,Q949,V949,AA949,AF949,AK949,AP949,AU949))))</f>
        <v xml:space="preserve"> </v>
      </c>
      <c r="BE949" s="120"/>
      <c r="BF949" s="120"/>
      <c r="BG949" s="120"/>
    </row>
    <row r="950" spans="1:59" s="3" customFormat="1" x14ac:dyDescent="0.3">
      <c r="A950" s="15" t="str">
        <f t="shared" si="182"/>
        <v/>
      </c>
      <c r="B950" s="25"/>
      <c r="C950" s="26"/>
      <c r="D950" s="279"/>
      <c r="E950" s="27"/>
      <c r="F950" s="28"/>
      <c r="G950" s="27"/>
      <c r="H950" s="28"/>
      <c r="I950" s="28"/>
      <c r="J950" s="255" t="str">
        <f>IF(H950="","",(_xlfn.XLOOKUP(H950,Cadastros!$D$6:$D$90,Cadastros!$E$6:$E$90))*(1-_xlfn.XLOOKUP(_xlfn.XLOOKUP($F950,Clientes!$B$4:$B$39,Clientes!$C$4:$C$39),Cadastros!$L$6:$L$12,Cadastros!$N$6:$N$12)))</f>
        <v/>
      </c>
      <c r="K950" s="168" t="str">
        <f t="shared" si="183"/>
        <v/>
      </c>
      <c r="L950" s="168" t="str">
        <f>IFERROR(K950/_xlfn.XLOOKUP(_xlfn.XLOOKUP($F950,Clientes!$B$4:$B$39,Clientes!$C$4:$C$39),Cadastros!$L$6:$L$12,Cadastros!$M$6:$M$12)," ")</f>
        <v xml:space="preserve"> </v>
      </c>
      <c r="M950" s="28"/>
      <c r="N950" s="28"/>
      <c r="O950" s="255" t="str">
        <f>IF(M950="","",(_xlfn.XLOOKUP(M950,Cadastros!$D$6:$D$90,Cadastros!$E$6:$E$90))*(1-_xlfn.XLOOKUP(_xlfn.XLOOKUP($F950,Clientes!$B$4:$B$39,Clientes!$C$4:$C$39),Cadastros!$L$6:$L$12,Cadastros!$N$6:$N$12)))</f>
        <v/>
      </c>
      <c r="P950" s="168" t="str">
        <f t="shared" si="184"/>
        <v/>
      </c>
      <c r="Q950" s="168" t="str">
        <f>IFERROR(P950/_xlfn.XLOOKUP(_xlfn.XLOOKUP($F950,Clientes!$B$4:$B$39,Clientes!$C$4:$C$39),Cadastros!$L$6:$L$12,Cadastros!$M$6:$M$12)," ")</f>
        <v xml:space="preserve"> </v>
      </c>
      <c r="R950" s="28"/>
      <c r="S950" s="28"/>
      <c r="T950" s="255" t="str">
        <f>IF(R950="","",(_xlfn.XLOOKUP(R950,Cadastros!$D$6:$D$90,Cadastros!$E$6:$E$90))*(1-_xlfn.XLOOKUP(_xlfn.XLOOKUP($F950,Clientes!$B$4:$B$39,Clientes!$C$4:$C$39),Cadastros!$L$6:$L$12,Cadastros!$N$6:$N$12)))</f>
        <v/>
      </c>
      <c r="U950" s="168" t="str">
        <f t="shared" si="185"/>
        <v/>
      </c>
      <c r="V950" s="168" t="str">
        <f>IFERROR(U950/_xlfn.XLOOKUP(_xlfn.XLOOKUP($F950,Clientes!$B$4:$B$39,Clientes!$C$4:$C$39),Cadastros!$L$6:$L$12,Cadastros!$M$6:$M$12)," ")</f>
        <v xml:space="preserve"> </v>
      </c>
      <c r="W950" s="28"/>
      <c r="X950" s="28"/>
      <c r="Y950" s="255" t="str">
        <f>IF(W950="","",(_xlfn.XLOOKUP(W950,Cadastros!$D$6:$D$90,Cadastros!$E$6:$E$90))*(1-_xlfn.XLOOKUP(_xlfn.XLOOKUP($F950,Clientes!$B$4:$B$39,Clientes!$C$4:$C$39),Cadastros!$L$6:$L$12,Cadastros!$N$6:$N$12)))</f>
        <v/>
      </c>
      <c r="Z950" s="168" t="str">
        <f t="shared" si="186"/>
        <v/>
      </c>
      <c r="AA950" s="168" t="str">
        <f>IFERROR(Z950/_xlfn.XLOOKUP(_xlfn.XLOOKUP($F950,Clientes!$B$4:$B$39,Clientes!$C$4:$C$39),Cadastros!$L$6:$L$12,Cadastros!$M$6:$M$12)," ")</f>
        <v xml:space="preserve"> </v>
      </c>
      <c r="AB950" s="28"/>
      <c r="AC950" s="28"/>
      <c r="AD950" s="20" t="str">
        <f>IF(AB950="","",IF($F950="Bernardino Furlan",_xlfn.XLOOKUP(AB950,Cadastros!$G$6:$G$90,Cadastros!$H$6:$H$90)*(1-0.18),IF($F950="Mauro José Salanti",_xlfn.XLOOKUP(AB950,Cadastros!$G$6:$G$90,Cadastros!$H$6:$H$90)*(1-0.18),_xlfn.XLOOKUP(AB950,Cadastros!$G$6:$G$90,Cadastros!$H$6:$H$90))))</f>
        <v/>
      </c>
      <c r="AE950" s="168" t="str">
        <f t="shared" si="187"/>
        <v/>
      </c>
      <c r="AF950" s="168" t="str">
        <f t="shared" si="188"/>
        <v/>
      </c>
      <c r="AG950" s="28"/>
      <c r="AH950" s="28"/>
      <c r="AI950" s="20" t="str">
        <f>IF(AG950="","",IF($F950="Bernardino Furlan",_xlfn.XLOOKUP(AG950,Cadastros!$G$6:$G$90,Cadastros!$H$6:$H$90)*(1-0.18),IF($F950="Mauro José Salanti",_xlfn.XLOOKUP(AG950,Cadastros!$G$6:$G$90,Cadastros!$H$6:$H$90)*(1-0.18),_xlfn.XLOOKUP(AG950,Cadastros!$G$6:$G$90,Cadastros!$H$6:$H$90))))</f>
        <v/>
      </c>
      <c r="AJ950" s="168" t="str">
        <f t="shared" si="189"/>
        <v/>
      </c>
      <c r="AK950" s="168" t="str">
        <f t="shared" si="190"/>
        <v/>
      </c>
      <c r="AL950" s="28"/>
      <c r="AM950" s="28"/>
      <c r="AN950" s="20" t="str">
        <f>IF(AL950="","",IF($F950="Bernardino Furlan",_xlfn.XLOOKUP(AL950,Cadastros!$G$6:$G$90,Cadastros!$H$6:$H$90)*(1-0.18),IF($F950="Mauro José Salanti",_xlfn.XLOOKUP(AL950,Cadastros!$G$6:$G$90,Cadastros!$H$6:$H$90)*(1-0.18),_xlfn.XLOOKUP(AL950,Cadastros!$G$6:$G$90,Cadastros!$H$6:$H$90))))</f>
        <v/>
      </c>
      <c r="AO950" s="168" t="str">
        <f t="shared" si="191"/>
        <v/>
      </c>
      <c r="AP950" s="168" t="str">
        <f t="shared" si="192"/>
        <v/>
      </c>
      <c r="AQ950" s="28"/>
      <c r="AR950" s="28"/>
      <c r="AS950" s="20" t="str">
        <f>IF(AQ950="","",IF($F950="Bernardino Furlan",_xlfn.XLOOKUP(AQ950,Cadastros!$G$6:$G$90,Cadastros!$H$6:$H$90)*(1-0.18),IF($F950="Mauro José Salanti",_xlfn.XLOOKUP(AQ950,Cadastros!$G$6:$G$90,Cadastros!$H$6:$H$90)*(1-0.18),_xlfn.XLOOKUP(AQ950,Cadastros!$G$6:$G$90,Cadastros!$H$6:$H$90))))</f>
        <v/>
      </c>
      <c r="AT950" s="168" t="str">
        <f t="shared" si="193"/>
        <v/>
      </c>
      <c r="AU950" s="168" t="str">
        <f t="shared" si="194"/>
        <v/>
      </c>
      <c r="AV950" s="227"/>
      <c r="AW950" s="30"/>
      <c r="AX950" s="267"/>
      <c r="AY950" s="267"/>
      <c r="AZ950" s="29"/>
      <c r="BA950" s="30"/>
      <c r="BB950" s="23" t="str" cm="1">
        <f t="array" ref="BB950">_xlfn.IFS(AW950="SIM",SUM(K950,P950,U950,Z950,AE950,AJ950,AO950,AT950,AX950,AY950),F950&lt;&gt;"",SUM(K950,P950,U950,Z950,AE950,AJ950,,AO950,AT950),F950="","")</f>
        <v/>
      </c>
      <c r="BC950" s="211" t="str" cm="1">
        <f t="array" ref="BC950">_xlfn.IFS(E950="","",G950&lt;=E950,BB950*(1-0.03),G950&lt;(E950+8),BB950,AZ950="Boleto",BB950*(1+0.001)^DATEDIF(E950,G950,"D"),AZ950="Cheque",BB950,AZ950="Dinheiro","Alterar forma pgto")</f>
        <v/>
      </c>
      <c r="BD950" s="276" t="str" cm="1">
        <f t="array" ref="BD950">IF(F950=0," ",IF(BC950&lt;BB950,(_xlfn.IFS(AW950="SIM",SUM(L950,Q950,V950,AA950,AF950,AK950,AP950,AU950)+AX950/_xlfn.XLOOKUP(_xlfn.XLOOKUP($F950,Clientes!$B$4:$B$39,Clientes!$C$4:$C$39),Cadastros!$L$6:$L$12,Cadastros!$M$6:$M$12)+IF($F950="Bernardino Furlan",AY950/2751.92,IF($F950="Mauro José Salanti",AY950/2751.92,AY950/3356)),F950&lt;&gt;0,SUM(L950,Q950,V950,AA950,AF950,AK950,AP950,AU950)))*(1-0.03),_xlfn.IFS(AW950="SIM",SUM(L950,Q950,V950,AA950,AF950,AK950,AP950,AU950)+AX950/_xlfn.XLOOKUP(_xlfn.XLOOKUP($F950,Clientes!$B$4:$B$39,Clientes!$C$4:$C$39),Cadastros!$L$6:$L$12,Cadastros!$M$6:$M$12)+IF($F950="Bernardino Furlan",AY950/2751.92,IF($F950="Mauro José Salanti",AY950/2751.92,AY950/3356)),F950&lt;&gt;0,SUM(L950,Q950,V950,AA950,AF950,AK950,AP950,AU950))))</f>
        <v xml:space="preserve"> </v>
      </c>
      <c r="BE950" s="120"/>
      <c r="BF950" s="120"/>
      <c r="BG950" s="120"/>
    </row>
    <row r="951" spans="1:59" s="3" customFormat="1" x14ac:dyDescent="0.3">
      <c r="A951" s="15" t="str">
        <f t="shared" si="182"/>
        <v/>
      </c>
      <c r="B951" s="25"/>
      <c r="C951" s="26"/>
      <c r="D951" s="279"/>
      <c r="E951" s="27"/>
      <c r="F951" s="28"/>
      <c r="G951" s="27"/>
      <c r="H951" s="28"/>
      <c r="I951" s="28"/>
      <c r="J951" s="255" t="str">
        <f>IF(H951="","",(_xlfn.XLOOKUP(H951,Cadastros!$D$6:$D$90,Cadastros!$E$6:$E$90))*(1-_xlfn.XLOOKUP(_xlfn.XLOOKUP($F951,Clientes!$B$4:$B$39,Clientes!$C$4:$C$39),Cadastros!$L$6:$L$12,Cadastros!$N$6:$N$12)))</f>
        <v/>
      </c>
      <c r="K951" s="168" t="str">
        <f t="shared" si="183"/>
        <v/>
      </c>
      <c r="L951" s="168" t="str">
        <f>IFERROR(K951/_xlfn.XLOOKUP(_xlfn.XLOOKUP($F951,Clientes!$B$4:$B$39,Clientes!$C$4:$C$39),Cadastros!$L$6:$L$12,Cadastros!$M$6:$M$12)," ")</f>
        <v xml:space="preserve"> </v>
      </c>
      <c r="M951" s="28"/>
      <c r="N951" s="28"/>
      <c r="O951" s="255" t="str">
        <f>IF(M951="","",(_xlfn.XLOOKUP(M951,Cadastros!$D$6:$D$90,Cadastros!$E$6:$E$90))*(1-_xlfn.XLOOKUP(_xlfn.XLOOKUP($F951,Clientes!$B$4:$B$39,Clientes!$C$4:$C$39),Cadastros!$L$6:$L$12,Cadastros!$N$6:$N$12)))</f>
        <v/>
      </c>
      <c r="P951" s="168" t="str">
        <f t="shared" si="184"/>
        <v/>
      </c>
      <c r="Q951" s="168" t="str">
        <f>IFERROR(P951/_xlfn.XLOOKUP(_xlfn.XLOOKUP($F951,Clientes!$B$4:$B$39,Clientes!$C$4:$C$39),Cadastros!$L$6:$L$12,Cadastros!$M$6:$M$12)," ")</f>
        <v xml:space="preserve"> </v>
      </c>
      <c r="R951" s="28"/>
      <c r="S951" s="28"/>
      <c r="T951" s="255" t="str">
        <f>IF(R951="","",(_xlfn.XLOOKUP(R951,Cadastros!$D$6:$D$90,Cadastros!$E$6:$E$90))*(1-_xlfn.XLOOKUP(_xlfn.XLOOKUP($F951,Clientes!$B$4:$B$39,Clientes!$C$4:$C$39),Cadastros!$L$6:$L$12,Cadastros!$N$6:$N$12)))</f>
        <v/>
      </c>
      <c r="U951" s="168" t="str">
        <f t="shared" si="185"/>
        <v/>
      </c>
      <c r="V951" s="168" t="str">
        <f>IFERROR(U951/_xlfn.XLOOKUP(_xlfn.XLOOKUP($F951,Clientes!$B$4:$B$39,Clientes!$C$4:$C$39),Cadastros!$L$6:$L$12,Cadastros!$M$6:$M$12)," ")</f>
        <v xml:space="preserve"> </v>
      </c>
      <c r="W951" s="28"/>
      <c r="X951" s="28"/>
      <c r="Y951" s="255" t="str">
        <f>IF(W951="","",(_xlfn.XLOOKUP(W951,Cadastros!$D$6:$D$90,Cadastros!$E$6:$E$90))*(1-_xlfn.XLOOKUP(_xlfn.XLOOKUP($F951,Clientes!$B$4:$B$39,Clientes!$C$4:$C$39),Cadastros!$L$6:$L$12,Cadastros!$N$6:$N$12)))</f>
        <v/>
      </c>
      <c r="Z951" s="168" t="str">
        <f t="shared" si="186"/>
        <v/>
      </c>
      <c r="AA951" s="168" t="str">
        <f>IFERROR(Z951/_xlfn.XLOOKUP(_xlfn.XLOOKUP($F951,Clientes!$B$4:$B$39,Clientes!$C$4:$C$39),Cadastros!$L$6:$L$12,Cadastros!$M$6:$M$12)," ")</f>
        <v xml:space="preserve"> </v>
      </c>
      <c r="AB951" s="28"/>
      <c r="AC951" s="28"/>
      <c r="AD951" s="20" t="str">
        <f>IF(AB951="","",IF($F951="Bernardino Furlan",_xlfn.XLOOKUP(AB951,Cadastros!$G$6:$G$90,Cadastros!$H$6:$H$90)*(1-0.18),IF($F951="Mauro José Salanti",_xlfn.XLOOKUP(AB951,Cadastros!$G$6:$G$90,Cadastros!$H$6:$H$90)*(1-0.18),_xlfn.XLOOKUP(AB951,Cadastros!$G$6:$G$90,Cadastros!$H$6:$H$90))))</f>
        <v/>
      </c>
      <c r="AE951" s="168" t="str">
        <f t="shared" si="187"/>
        <v/>
      </c>
      <c r="AF951" s="168" t="str">
        <f t="shared" si="188"/>
        <v/>
      </c>
      <c r="AG951" s="28"/>
      <c r="AH951" s="28"/>
      <c r="AI951" s="20" t="str">
        <f>IF(AG951="","",IF($F951="Bernardino Furlan",_xlfn.XLOOKUP(AG951,Cadastros!$G$6:$G$90,Cadastros!$H$6:$H$90)*(1-0.18),IF($F951="Mauro José Salanti",_xlfn.XLOOKUP(AG951,Cadastros!$G$6:$G$90,Cadastros!$H$6:$H$90)*(1-0.18),_xlfn.XLOOKUP(AG951,Cadastros!$G$6:$G$90,Cadastros!$H$6:$H$90))))</f>
        <v/>
      </c>
      <c r="AJ951" s="168" t="str">
        <f t="shared" si="189"/>
        <v/>
      </c>
      <c r="AK951" s="168" t="str">
        <f t="shared" si="190"/>
        <v/>
      </c>
      <c r="AL951" s="28"/>
      <c r="AM951" s="28"/>
      <c r="AN951" s="20" t="str">
        <f>IF(AL951="","",IF($F951="Bernardino Furlan",_xlfn.XLOOKUP(AL951,Cadastros!$G$6:$G$90,Cadastros!$H$6:$H$90)*(1-0.18),IF($F951="Mauro José Salanti",_xlfn.XLOOKUP(AL951,Cadastros!$G$6:$G$90,Cadastros!$H$6:$H$90)*(1-0.18),_xlfn.XLOOKUP(AL951,Cadastros!$G$6:$G$90,Cadastros!$H$6:$H$90))))</f>
        <v/>
      </c>
      <c r="AO951" s="168" t="str">
        <f t="shared" si="191"/>
        <v/>
      </c>
      <c r="AP951" s="168" t="str">
        <f t="shared" si="192"/>
        <v/>
      </c>
      <c r="AQ951" s="28"/>
      <c r="AR951" s="28"/>
      <c r="AS951" s="20" t="str">
        <f>IF(AQ951="","",IF($F951="Bernardino Furlan",_xlfn.XLOOKUP(AQ951,Cadastros!$G$6:$G$90,Cadastros!$H$6:$H$90)*(1-0.18),IF($F951="Mauro José Salanti",_xlfn.XLOOKUP(AQ951,Cadastros!$G$6:$G$90,Cadastros!$H$6:$H$90)*(1-0.18),_xlfn.XLOOKUP(AQ951,Cadastros!$G$6:$G$90,Cadastros!$H$6:$H$90))))</f>
        <v/>
      </c>
      <c r="AT951" s="168" t="str">
        <f t="shared" si="193"/>
        <v/>
      </c>
      <c r="AU951" s="168" t="str">
        <f t="shared" si="194"/>
        <v/>
      </c>
      <c r="AV951" s="227"/>
      <c r="AW951" s="30"/>
      <c r="AX951" s="267"/>
      <c r="AY951" s="267"/>
      <c r="AZ951" s="29"/>
      <c r="BA951" s="30"/>
      <c r="BB951" s="23" t="str" cm="1">
        <f t="array" ref="BB951">_xlfn.IFS(AW951="SIM",SUM(K951,P951,U951,Z951,AE951,AJ951,AO951,AT951,AX951,AY951),F951&lt;&gt;"",SUM(K951,P951,U951,Z951,AE951,AJ951,,AO951,AT951),F951="","")</f>
        <v/>
      </c>
      <c r="BC951" s="211" t="str" cm="1">
        <f t="array" ref="BC951">_xlfn.IFS(E951="","",G951&lt;=E951,BB951*(1-0.03),G951&lt;(E951+8),BB951,AZ951="Boleto",BB951*(1+0.001)^DATEDIF(E951,G951,"D"),AZ951="Cheque",BB951,AZ951="Dinheiro","Alterar forma pgto")</f>
        <v/>
      </c>
      <c r="BD951" s="276" t="str" cm="1">
        <f t="array" ref="BD951">IF(F951=0," ",IF(BC951&lt;BB951,(_xlfn.IFS(AW951="SIM",SUM(L951,Q951,V951,AA951,AF951,AK951,AP951,AU951)+AX951/_xlfn.XLOOKUP(_xlfn.XLOOKUP($F951,Clientes!$B$4:$B$39,Clientes!$C$4:$C$39),Cadastros!$L$6:$L$12,Cadastros!$M$6:$M$12)+IF($F951="Bernardino Furlan",AY951/2751.92,IF($F951="Mauro José Salanti",AY951/2751.92,AY951/3356)),F951&lt;&gt;0,SUM(L951,Q951,V951,AA951,AF951,AK951,AP951,AU951)))*(1-0.03),_xlfn.IFS(AW951="SIM",SUM(L951,Q951,V951,AA951,AF951,AK951,AP951,AU951)+AX951/_xlfn.XLOOKUP(_xlfn.XLOOKUP($F951,Clientes!$B$4:$B$39,Clientes!$C$4:$C$39),Cadastros!$L$6:$L$12,Cadastros!$M$6:$M$12)+IF($F951="Bernardino Furlan",AY951/2751.92,IF($F951="Mauro José Salanti",AY951/2751.92,AY951/3356)),F951&lt;&gt;0,SUM(L951,Q951,V951,AA951,AF951,AK951,AP951,AU951))))</f>
        <v xml:space="preserve"> </v>
      </c>
      <c r="BE951" s="120"/>
      <c r="BF951" s="120"/>
      <c r="BG951" s="120"/>
    </row>
    <row r="952" spans="1:59" s="3" customFormat="1" x14ac:dyDescent="0.3">
      <c r="A952" s="15" t="str">
        <f t="shared" si="182"/>
        <v/>
      </c>
      <c r="B952" s="25"/>
      <c r="C952" s="26"/>
      <c r="D952" s="279"/>
      <c r="E952" s="27"/>
      <c r="F952" s="28"/>
      <c r="G952" s="27"/>
      <c r="H952" s="28"/>
      <c r="I952" s="28"/>
      <c r="J952" s="255" t="str">
        <f>IF(H952="","",(_xlfn.XLOOKUP(H952,Cadastros!$D$6:$D$90,Cadastros!$E$6:$E$90))*(1-_xlfn.XLOOKUP(_xlfn.XLOOKUP($F952,Clientes!$B$4:$B$39,Clientes!$C$4:$C$39),Cadastros!$L$6:$L$12,Cadastros!$N$6:$N$12)))</f>
        <v/>
      </c>
      <c r="K952" s="168" t="str">
        <f t="shared" si="183"/>
        <v/>
      </c>
      <c r="L952" s="168" t="str">
        <f>IFERROR(K952/_xlfn.XLOOKUP(_xlfn.XLOOKUP($F952,Clientes!$B$4:$B$39,Clientes!$C$4:$C$39),Cadastros!$L$6:$L$12,Cadastros!$M$6:$M$12)," ")</f>
        <v xml:space="preserve"> </v>
      </c>
      <c r="M952" s="28"/>
      <c r="N952" s="28"/>
      <c r="O952" s="255" t="str">
        <f>IF(M952="","",(_xlfn.XLOOKUP(M952,Cadastros!$D$6:$D$90,Cadastros!$E$6:$E$90))*(1-_xlfn.XLOOKUP(_xlfn.XLOOKUP($F952,Clientes!$B$4:$B$39,Clientes!$C$4:$C$39),Cadastros!$L$6:$L$12,Cadastros!$N$6:$N$12)))</f>
        <v/>
      </c>
      <c r="P952" s="168" t="str">
        <f t="shared" si="184"/>
        <v/>
      </c>
      <c r="Q952" s="168" t="str">
        <f>IFERROR(P952/_xlfn.XLOOKUP(_xlfn.XLOOKUP($F952,Clientes!$B$4:$B$39,Clientes!$C$4:$C$39),Cadastros!$L$6:$L$12,Cadastros!$M$6:$M$12)," ")</f>
        <v xml:space="preserve"> </v>
      </c>
      <c r="R952" s="28"/>
      <c r="S952" s="28"/>
      <c r="T952" s="255" t="str">
        <f>IF(R952="","",(_xlfn.XLOOKUP(R952,Cadastros!$D$6:$D$90,Cadastros!$E$6:$E$90))*(1-_xlfn.XLOOKUP(_xlfn.XLOOKUP($F952,Clientes!$B$4:$B$39,Clientes!$C$4:$C$39),Cadastros!$L$6:$L$12,Cadastros!$N$6:$N$12)))</f>
        <v/>
      </c>
      <c r="U952" s="168" t="str">
        <f t="shared" si="185"/>
        <v/>
      </c>
      <c r="V952" s="168" t="str">
        <f>IFERROR(U952/_xlfn.XLOOKUP(_xlfn.XLOOKUP($F952,Clientes!$B$4:$B$39,Clientes!$C$4:$C$39),Cadastros!$L$6:$L$12,Cadastros!$M$6:$M$12)," ")</f>
        <v xml:space="preserve"> </v>
      </c>
      <c r="W952" s="28"/>
      <c r="X952" s="28"/>
      <c r="Y952" s="255" t="str">
        <f>IF(W952="","",(_xlfn.XLOOKUP(W952,Cadastros!$D$6:$D$90,Cadastros!$E$6:$E$90))*(1-_xlfn.XLOOKUP(_xlfn.XLOOKUP($F952,Clientes!$B$4:$B$39,Clientes!$C$4:$C$39),Cadastros!$L$6:$L$12,Cadastros!$N$6:$N$12)))</f>
        <v/>
      </c>
      <c r="Z952" s="168" t="str">
        <f t="shared" si="186"/>
        <v/>
      </c>
      <c r="AA952" s="168" t="str">
        <f>IFERROR(Z952/_xlfn.XLOOKUP(_xlfn.XLOOKUP($F952,Clientes!$B$4:$B$39,Clientes!$C$4:$C$39),Cadastros!$L$6:$L$12,Cadastros!$M$6:$M$12)," ")</f>
        <v xml:space="preserve"> </v>
      </c>
      <c r="AB952" s="28"/>
      <c r="AC952" s="28"/>
      <c r="AD952" s="20" t="str">
        <f>IF(AB952="","",IF($F952="Bernardino Furlan",_xlfn.XLOOKUP(AB952,Cadastros!$G$6:$G$90,Cadastros!$H$6:$H$90)*(1-0.18),IF($F952="Mauro José Salanti",_xlfn.XLOOKUP(AB952,Cadastros!$G$6:$G$90,Cadastros!$H$6:$H$90)*(1-0.18),_xlfn.XLOOKUP(AB952,Cadastros!$G$6:$G$90,Cadastros!$H$6:$H$90))))</f>
        <v/>
      </c>
      <c r="AE952" s="168" t="str">
        <f t="shared" si="187"/>
        <v/>
      </c>
      <c r="AF952" s="168" t="str">
        <f t="shared" si="188"/>
        <v/>
      </c>
      <c r="AG952" s="28"/>
      <c r="AH952" s="28"/>
      <c r="AI952" s="20" t="str">
        <f>IF(AG952="","",IF($F952="Bernardino Furlan",_xlfn.XLOOKUP(AG952,Cadastros!$G$6:$G$90,Cadastros!$H$6:$H$90)*(1-0.18),IF($F952="Mauro José Salanti",_xlfn.XLOOKUP(AG952,Cadastros!$G$6:$G$90,Cadastros!$H$6:$H$90)*(1-0.18),_xlfn.XLOOKUP(AG952,Cadastros!$G$6:$G$90,Cadastros!$H$6:$H$90))))</f>
        <v/>
      </c>
      <c r="AJ952" s="168" t="str">
        <f t="shared" si="189"/>
        <v/>
      </c>
      <c r="AK952" s="168" t="str">
        <f t="shared" si="190"/>
        <v/>
      </c>
      <c r="AL952" s="28"/>
      <c r="AM952" s="28"/>
      <c r="AN952" s="20" t="str">
        <f>IF(AL952="","",IF($F952="Bernardino Furlan",_xlfn.XLOOKUP(AL952,Cadastros!$G$6:$G$90,Cadastros!$H$6:$H$90)*(1-0.18),IF($F952="Mauro José Salanti",_xlfn.XLOOKUP(AL952,Cadastros!$G$6:$G$90,Cadastros!$H$6:$H$90)*(1-0.18),_xlfn.XLOOKUP(AL952,Cadastros!$G$6:$G$90,Cadastros!$H$6:$H$90))))</f>
        <v/>
      </c>
      <c r="AO952" s="168" t="str">
        <f t="shared" si="191"/>
        <v/>
      </c>
      <c r="AP952" s="168" t="str">
        <f t="shared" si="192"/>
        <v/>
      </c>
      <c r="AQ952" s="28"/>
      <c r="AR952" s="28"/>
      <c r="AS952" s="20" t="str">
        <f>IF(AQ952="","",IF($F952="Bernardino Furlan",_xlfn.XLOOKUP(AQ952,Cadastros!$G$6:$G$90,Cadastros!$H$6:$H$90)*(1-0.18),IF($F952="Mauro José Salanti",_xlfn.XLOOKUP(AQ952,Cadastros!$G$6:$G$90,Cadastros!$H$6:$H$90)*(1-0.18),_xlfn.XLOOKUP(AQ952,Cadastros!$G$6:$G$90,Cadastros!$H$6:$H$90))))</f>
        <v/>
      </c>
      <c r="AT952" s="168" t="str">
        <f t="shared" si="193"/>
        <v/>
      </c>
      <c r="AU952" s="168" t="str">
        <f t="shared" si="194"/>
        <v/>
      </c>
      <c r="AV952" s="227"/>
      <c r="AW952" s="30"/>
      <c r="AX952" s="267"/>
      <c r="AY952" s="267"/>
      <c r="AZ952" s="29"/>
      <c r="BA952" s="30"/>
      <c r="BB952" s="23" t="str" cm="1">
        <f t="array" ref="BB952">_xlfn.IFS(AW952="SIM",SUM(K952,P952,U952,Z952,AE952,AJ952,AO952,AT952,AX952,AY952),F952&lt;&gt;"",SUM(K952,P952,U952,Z952,AE952,AJ952,,AO952,AT952),F952="","")</f>
        <v/>
      </c>
      <c r="BC952" s="211" t="str" cm="1">
        <f t="array" ref="BC952">_xlfn.IFS(E952="","",G952&lt;=E952,BB952*(1-0.03),G952&lt;(E952+8),BB952,AZ952="Boleto",BB952*(1+0.001)^DATEDIF(E952,G952,"D"),AZ952="Cheque",BB952,AZ952="Dinheiro","Alterar forma pgto")</f>
        <v/>
      </c>
      <c r="BD952" s="276" t="str" cm="1">
        <f t="array" ref="BD952">IF(F952=0," ",IF(BC952&lt;BB952,(_xlfn.IFS(AW952="SIM",SUM(L952,Q952,V952,AA952,AF952,AK952,AP952,AU952)+AX952/_xlfn.XLOOKUP(_xlfn.XLOOKUP($F952,Clientes!$B$4:$B$39,Clientes!$C$4:$C$39),Cadastros!$L$6:$L$12,Cadastros!$M$6:$M$12)+IF($F952="Bernardino Furlan",AY952/2751.92,IF($F952="Mauro José Salanti",AY952/2751.92,AY952/3356)),F952&lt;&gt;0,SUM(L952,Q952,V952,AA952,AF952,AK952,AP952,AU952)))*(1-0.03),_xlfn.IFS(AW952="SIM",SUM(L952,Q952,V952,AA952,AF952,AK952,AP952,AU952)+AX952/_xlfn.XLOOKUP(_xlfn.XLOOKUP($F952,Clientes!$B$4:$B$39,Clientes!$C$4:$C$39),Cadastros!$L$6:$L$12,Cadastros!$M$6:$M$12)+IF($F952="Bernardino Furlan",AY952/2751.92,IF($F952="Mauro José Salanti",AY952/2751.92,AY952/3356)),F952&lt;&gt;0,SUM(L952,Q952,V952,AA952,AF952,AK952,AP952,AU952))))</f>
        <v xml:space="preserve"> </v>
      </c>
      <c r="BE952" s="120"/>
      <c r="BF952" s="120"/>
      <c r="BG952" s="120"/>
    </row>
    <row r="953" spans="1:59" s="3" customFormat="1" x14ac:dyDescent="0.3">
      <c r="A953" s="15" t="str">
        <f t="shared" si="182"/>
        <v/>
      </c>
      <c r="B953" s="25"/>
      <c r="C953" s="26"/>
      <c r="D953" s="279"/>
      <c r="E953" s="27"/>
      <c r="F953" s="28"/>
      <c r="G953" s="27"/>
      <c r="H953" s="28"/>
      <c r="I953" s="28"/>
      <c r="J953" s="255" t="str">
        <f>IF(H953="","",(_xlfn.XLOOKUP(H953,Cadastros!$D$6:$D$90,Cadastros!$E$6:$E$90))*(1-_xlfn.XLOOKUP(_xlfn.XLOOKUP($F953,Clientes!$B$4:$B$39,Clientes!$C$4:$C$39),Cadastros!$L$6:$L$12,Cadastros!$N$6:$N$12)))</f>
        <v/>
      </c>
      <c r="K953" s="168" t="str">
        <f t="shared" si="183"/>
        <v/>
      </c>
      <c r="L953" s="168" t="str">
        <f>IFERROR(K953/_xlfn.XLOOKUP(_xlfn.XLOOKUP($F953,Clientes!$B$4:$B$39,Clientes!$C$4:$C$39),Cadastros!$L$6:$L$12,Cadastros!$M$6:$M$12)," ")</f>
        <v xml:space="preserve"> </v>
      </c>
      <c r="M953" s="28"/>
      <c r="N953" s="28"/>
      <c r="O953" s="255" t="str">
        <f>IF(M953="","",(_xlfn.XLOOKUP(M953,Cadastros!$D$6:$D$90,Cadastros!$E$6:$E$90))*(1-_xlfn.XLOOKUP(_xlfn.XLOOKUP($F953,Clientes!$B$4:$B$39,Clientes!$C$4:$C$39),Cadastros!$L$6:$L$12,Cadastros!$N$6:$N$12)))</f>
        <v/>
      </c>
      <c r="P953" s="168" t="str">
        <f t="shared" si="184"/>
        <v/>
      </c>
      <c r="Q953" s="168" t="str">
        <f>IFERROR(P953/_xlfn.XLOOKUP(_xlfn.XLOOKUP($F953,Clientes!$B$4:$B$39,Clientes!$C$4:$C$39),Cadastros!$L$6:$L$12,Cadastros!$M$6:$M$12)," ")</f>
        <v xml:space="preserve"> </v>
      </c>
      <c r="R953" s="28"/>
      <c r="S953" s="28"/>
      <c r="T953" s="255" t="str">
        <f>IF(R953="","",(_xlfn.XLOOKUP(R953,Cadastros!$D$6:$D$90,Cadastros!$E$6:$E$90))*(1-_xlfn.XLOOKUP(_xlfn.XLOOKUP($F953,Clientes!$B$4:$B$39,Clientes!$C$4:$C$39),Cadastros!$L$6:$L$12,Cadastros!$N$6:$N$12)))</f>
        <v/>
      </c>
      <c r="U953" s="168" t="str">
        <f t="shared" si="185"/>
        <v/>
      </c>
      <c r="V953" s="168" t="str">
        <f>IFERROR(U953/_xlfn.XLOOKUP(_xlfn.XLOOKUP($F953,Clientes!$B$4:$B$39,Clientes!$C$4:$C$39),Cadastros!$L$6:$L$12,Cadastros!$M$6:$M$12)," ")</f>
        <v xml:space="preserve"> </v>
      </c>
      <c r="W953" s="28"/>
      <c r="X953" s="28"/>
      <c r="Y953" s="255" t="str">
        <f>IF(W953="","",(_xlfn.XLOOKUP(W953,Cadastros!$D$6:$D$90,Cadastros!$E$6:$E$90))*(1-_xlfn.XLOOKUP(_xlfn.XLOOKUP($F953,Clientes!$B$4:$B$39,Clientes!$C$4:$C$39),Cadastros!$L$6:$L$12,Cadastros!$N$6:$N$12)))</f>
        <v/>
      </c>
      <c r="Z953" s="168" t="str">
        <f t="shared" si="186"/>
        <v/>
      </c>
      <c r="AA953" s="168" t="str">
        <f>IFERROR(Z953/_xlfn.XLOOKUP(_xlfn.XLOOKUP($F953,Clientes!$B$4:$B$39,Clientes!$C$4:$C$39),Cadastros!$L$6:$L$12,Cadastros!$M$6:$M$12)," ")</f>
        <v xml:space="preserve"> </v>
      </c>
      <c r="AB953" s="28"/>
      <c r="AC953" s="28"/>
      <c r="AD953" s="20" t="str">
        <f>IF(AB953="","",IF($F953="Bernardino Furlan",_xlfn.XLOOKUP(AB953,Cadastros!$G$6:$G$90,Cadastros!$H$6:$H$90)*(1-0.18),IF($F953="Mauro José Salanti",_xlfn.XLOOKUP(AB953,Cadastros!$G$6:$G$90,Cadastros!$H$6:$H$90)*(1-0.18),_xlfn.XLOOKUP(AB953,Cadastros!$G$6:$G$90,Cadastros!$H$6:$H$90))))</f>
        <v/>
      </c>
      <c r="AE953" s="168" t="str">
        <f t="shared" si="187"/>
        <v/>
      </c>
      <c r="AF953" s="168" t="str">
        <f t="shared" si="188"/>
        <v/>
      </c>
      <c r="AG953" s="28"/>
      <c r="AH953" s="28"/>
      <c r="AI953" s="20" t="str">
        <f>IF(AG953="","",IF($F953="Bernardino Furlan",_xlfn.XLOOKUP(AG953,Cadastros!$G$6:$G$90,Cadastros!$H$6:$H$90)*(1-0.18),IF($F953="Mauro José Salanti",_xlfn.XLOOKUP(AG953,Cadastros!$G$6:$G$90,Cadastros!$H$6:$H$90)*(1-0.18),_xlfn.XLOOKUP(AG953,Cadastros!$G$6:$G$90,Cadastros!$H$6:$H$90))))</f>
        <v/>
      </c>
      <c r="AJ953" s="168" t="str">
        <f t="shared" si="189"/>
        <v/>
      </c>
      <c r="AK953" s="168" t="str">
        <f t="shared" si="190"/>
        <v/>
      </c>
      <c r="AL953" s="28"/>
      <c r="AM953" s="28"/>
      <c r="AN953" s="20" t="str">
        <f>IF(AL953="","",IF($F953="Bernardino Furlan",_xlfn.XLOOKUP(AL953,Cadastros!$G$6:$G$90,Cadastros!$H$6:$H$90)*(1-0.18),IF($F953="Mauro José Salanti",_xlfn.XLOOKUP(AL953,Cadastros!$G$6:$G$90,Cadastros!$H$6:$H$90)*(1-0.18),_xlfn.XLOOKUP(AL953,Cadastros!$G$6:$G$90,Cadastros!$H$6:$H$90))))</f>
        <v/>
      </c>
      <c r="AO953" s="168" t="str">
        <f t="shared" si="191"/>
        <v/>
      </c>
      <c r="AP953" s="168" t="str">
        <f t="shared" si="192"/>
        <v/>
      </c>
      <c r="AQ953" s="28"/>
      <c r="AR953" s="28"/>
      <c r="AS953" s="20" t="str">
        <f>IF(AQ953="","",IF($F953="Bernardino Furlan",_xlfn.XLOOKUP(AQ953,Cadastros!$G$6:$G$90,Cadastros!$H$6:$H$90)*(1-0.18),IF($F953="Mauro José Salanti",_xlfn.XLOOKUP(AQ953,Cadastros!$G$6:$G$90,Cadastros!$H$6:$H$90)*(1-0.18),_xlfn.XLOOKUP(AQ953,Cadastros!$G$6:$G$90,Cadastros!$H$6:$H$90))))</f>
        <v/>
      </c>
      <c r="AT953" s="168" t="str">
        <f t="shared" si="193"/>
        <v/>
      </c>
      <c r="AU953" s="168" t="str">
        <f t="shared" si="194"/>
        <v/>
      </c>
      <c r="AV953" s="227"/>
      <c r="AW953" s="30"/>
      <c r="AX953" s="267"/>
      <c r="AY953" s="267"/>
      <c r="AZ953" s="29"/>
      <c r="BA953" s="30"/>
      <c r="BB953" s="23" t="str" cm="1">
        <f t="array" ref="BB953">_xlfn.IFS(AW953="SIM",SUM(K953,P953,U953,Z953,AE953,AJ953,AO953,AT953,AX953,AY953),F953&lt;&gt;"",SUM(K953,P953,U953,Z953,AE953,AJ953,,AO953,AT953),F953="","")</f>
        <v/>
      </c>
      <c r="BC953" s="211" t="str" cm="1">
        <f t="array" ref="BC953">_xlfn.IFS(E953="","",G953&lt;=E953,BB953*(1-0.03),G953&lt;(E953+8),BB953,AZ953="Boleto",BB953*(1+0.001)^DATEDIF(E953,G953,"D"),AZ953="Cheque",BB953,AZ953="Dinheiro","Alterar forma pgto")</f>
        <v/>
      </c>
      <c r="BD953" s="276" t="str" cm="1">
        <f t="array" ref="BD953">IF(F953=0," ",IF(BC953&lt;BB953,(_xlfn.IFS(AW953="SIM",SUM(L953,Q953,V953,AA953,AF953,AK953,AP953,AU953)+AX953/_xlfn.XLOOKUP(_xlfn.XLOOKUP($F953,Clientes!$B$4:$B$39,Clientes!$C$4:$C$39),Cadastros!$L$6:$L$12,Cadastros!$M$6:$M$12)+IF($F953="Bernardino Furlan",AY953/2751.92,IF($F953="Mauro José Salanti",AY953/2751.92,AY953/3356)),F953&lt;&gt;0,SUM(L953,Q953,V953,AA953,AF953,AK953,AP953,AU953)))*(1-0.03),_xlfn.IFS(AW953="SIM",SUM(L953,Q953,V953,AA953,AF953,AK953,AP953,AU953)+AX953/_xlfn.XLOOKUP(_xlfn.XLOOKUP($F953,Clientes!$B$4:$B$39,Clientes!$C$4:$C$39),Cadastros!$L$6:$L$12,Cadastros!$M$6:$M$12)+IF($F953="Bernardino Furlan",AY953/2751.92,IF($F953="Mauro José Salanti",AY953/2751.92,AY953/3356)),F953&lt;&gt;0,SUM(L953,Q953,V953,AA953,AF953,AK953,AP953,AU953))))</f>
        <v xml:space="preserve"> </v>
      </c>
      <c r="BE953" s="120"/>
      <c r="BF953" s="120"/>
      <c r="BG953" s="120"/>
    </row>
    <row r="954" spans="1:59" s="3" customFormat="1" x14ac:dyDescent="0.3">
      <c r="A954" s="15" t="str">
        <f t="shared" si="182"/>
        <v/>
      </c>
      <c r="B954" s="25"/>
      <c r="C954" s="26"/>
      <c r="D954" s="279"/>
      <c r="E954" s="27"/>
      <c r="F954" s="28"/>
      <c r="G954" s="27"/>
      <c r="H954" s="28"/>
      <c r="I954" s="28"/>
      <c r="J954" s="255" t="str">
        <f>IF(H954="","",(_xlfn.XLOOKUP(H954,Cadastros!$D$6:$D$90,Cadastros!$E$6:$E$90))*(1-_xlfn.XLOOKUP(_xlfn.XLOOKUP($F954,Clientes!$B$4:$B$39,Clientes!$C$4:$C$39),Cadastros!$L$6:$L$12,Cadastros!$N$6:$N$12)))</f>
        <v/>
      </c>
      <c r="K954" s="168" t="str">
        <f t="shared" si="183"/>
        <v/>
      </c>
      <c r="L954" s="168" t="str">
        <f>IFERROR(K954/_xlfn.XLOOKUP(_xlfn.XLOOKUP($F954,Clientes!$B$4:$B$39,Clientes!$C$4:$C$39),Cadastros!$L$6:$L$12,Cadastros!$M$6:$M$12)," ")</f>
        <v xml:space="preserve"> </v>
      </c>
      <c r="M954" s="28"/>
      <c r="N954" s="28"/>
      <c r="O954" s="255" t="str">
        <f>IF(M954="","",(_xlfn.XLOOKUP(M954,Cadastros!$D$6:$D$90,Cadastros!$E$6:$E$90))*(1-_xlfn.XLOOKUP(_xlfn.XLOOKUP($F954,Clientes!$B$4:$B$39,Clientes!$C$4:$C$39),Cadastros!$L$6:$L$12,Cadastros!$N$6:$N$12)))</f>
        <v/>
      </c>
      <c r="P954" s="168" t="str">
        <f t="shared" si="184"/>
        <v/>
      </c>
      <c r="Q954" s="168" t="str">
        <f>IFERROR(P954/_xlfn.XLOOKUP(_xlfn.XLOOKUP($F954,Clientes!$B$4:$B$39,Clientes!$C$4:$C$39),Cadastros!$L$6:$L$12,Cadastros!$M$6:$M$12)," ")</f>
        <v xml:space="preserve"> </v>
      </c>
      <c r="R954" s="28"/>
      <c r="S954" s="28"/>
      <c r="T954" s="255" t="str">
        <f>IF(R954="","",(_xlfn.XLOOKUP(R954,Cadastros!$D$6:$D$90,Cadastros!$E$6:$E$90))*(1-_xlfn.XLOOKUP(_xlfn.XLOOKUP($F954,Clientes!$B$4:$B$39,Clientes!$C$4:$C$39),Cadastros!$L$6:$L$12,Cadastros!$N$6:$N$12)))</f>
        <v/>
      </c>
      <c r="U954" s="168" t="str">
        <f t="shared" si="185"/>
        <v/>
      </c>
      <c r="V954" s="168" t="str">
        <f>IFERROR(U954/_xlfn.XLOOKUP(_xlfn.XLOOKUP($F954,Clientes!$B$4:$B$39,Clientes!$C$4:$C$39),Cadastros!$L$6:$L$12,Cadastros!$M$6:$M$12)," ")</f>
        <v xml:space="preserve"> </v>
      </c>
      <c r="W954" s="28"/>
      <c r="X954" s="28"/>
      <c r="Y954" s="255" t="str">
        <f>IF(W954="","",(_xlfn.XLOOKUP(W954,Cadastros!$D$6:$D$90,Cadastros!$E$6:$E$90))*(1-_xlfn.XLOOKUP(_xlfn.XLOOKUP($F954,Clientes!$B$4:$B$39,Clientes!$C$4:$C$39),Cadastros!$L$6:$L$12,Cadastros!$N$6:$N$12)))</f>
        <v/>
      </c>
      <c r="Z954" s="168" t="str">
        <f t="shared" si="186"/>
        <v/>
      </c>
      <c r="AA954" s="168" t="str">
        <f>IFERROR(Z954/_xlfn.XLOOKUP(_xlfn.XLOOKUP($F954,Clientes!$B$4:$B$39,Clientes!$C$4:$C$39),Cadastros!$L$6:$L$12,Cadastros!$M$6:$M$12)," ")</f>
        <v xml:space="preserve"> </v>
      </c>
      <c r="AB954" s="28"/>
      <c r="AC954" s="28"/>
      <c r="AD954" s="20" t="str">
        <f>IF(AB954="","",IF($F954="Bernardino Furlan",_xlfn.XLOOKUP(AB954,Cadastros!$G$6:$G$90,Cadastros!$H$6:$H$90)*(1-0.18),IF($F954="Mauro José Salanti",_xlfn.XLOOKUP(AB954,Cadastros!$G$6:$G$90,Cadastros!$H$6:$H$90)*(1-0.18),_xlfn.XLOOKUP(AB954,Cadastros!$G$6:$G$90,Cadastros!$H$6:$H$90))))</f>
        <v/>
      </c>
      <c r="AE954" s="168" t="str">
        <f t="shared" si="187"/>
        <v/>
      </c>
      <c r="AF954" s="168" t="str">
        <f t="shared" si="188"/>
        <v/>
      </c>
      <c r="AG954" s="28"/>
      <c r="AH954" s="28"/>
      <c r="AI954" s="20" t="str">
        <f>IF(AG954="","",IF($F954="Bernardino Furlan",_xlfn.XLOOKUP(AG954,Cadastros!$G$6:$G$90,Cadastros!$H$6:$H$90)*(1-0.18),IF($F954="Mauro José Salanti",_xlfn.XLOOKUP(AG954,Cadastros!$G$6:$G$90,Cadastros!$H$6:$H$90)*(1-0.18),_xlfn.XLOOKUP(AG954,Cadastros!$G$6:$G$90,Cadastros!$H$6:$H$90))))</f>
        <v/>
      </c>
      <c r="AJ954" s="168" t="str">
        <f t="shared" si="189"/>
        <v/>
      </c>
      <c r="AK954" s="168" t="str">
        <f t="shared" si="190"/>
        <v/>
      </c>
      <c r="AL954" s="28"/>
      <c r="AM954" s="28"/>
      <c r="AN954" s="20" t="str">
        <f>IF(AL954="","",IF($F954="Bernardino Furlan",_xlfn.XLOOKUP(AL954,Cadastros!$G$6:$G$90,Cadastros!$H$6:$H$90)*(1-0.18),IF($F954="Mauro José Salanti",_xlfn.XLOOKUP(AL954,Cadastros!$G$6:$G$90,Cadastros!$H$6:$H$90)*(1-0.18),_xlfn.XLOOKUP(AL954,Cadastros!$G$6:$G$90,Cadastros!$H$6:$H$90))))</f>
        <v/>
      </c>
      <c r="AO954" s="168" t="str">
        <f t="shared" si="191"/>
        <v/>
      </c>
      <c r="AP954" s="168" t="str">
        <f t="shared" si="192"/>
        <v/>
      </c>
      <c r="AQ954" s="28"/>
      <c r="AR954" s="28"/>
      <c r="AS954" s="20" t="str">
        <f>IF(AQ954="","",IF($F954="Bernardino Furlan",_xlfn.XLOOKUP(AQ954,Cadastros!$G$6:$G$90,Cadastros!$H$6:$H$90)*(1-0.18),IF($F954="Mauro José Salanti",_xlfn.XLOOKUP(AQ954,Cadastros!$G$6:$G$90,Cadastros!$H$6:$H$90)*(1-0.18),_xlfn.XLOOKUP(AQ954,Cadastros!$G$6:$G$90,Cadastros!$H$6:$H$90))))</f>
        <v/>
      </c>
      <c r="AT954" s="168" t="str">
        <f t="shared" si="193"/>
        <v/>
      </c>
      <c r="AU954" s="168" t="str">
        <f t="shared" si="194"/>
        <v/>
      </c>
      <c r="AV954" s="227"/>
      <c r="AW954" s="30"/>
      <c r="AX954" s="267"/>
      <c r="AY954" s="267"/>
      <c r="AZ954" s="29"/>
      <c r="BA954" s="30"/>
      <c r="BB954" s="23" t="str" cm="1">
        <f t="array" ref="BB954">_xlfn.IFS(AW954="SIM",SUM(K954,P954,U954,Z954,AE954,AJ954,AO954,AT954,AX954,AY954),F954&lt;&gt;"",SUM(K954,P954,U954,Z954,AE954,AJ954,,AO954,AT954),F954="","")</f>
        <v/>
      </c>
      <c r="BC954" s="211" t="str" cm="1">
        <f t="array" ref="BC954">_xlfn.IFS(E954="","",G954&lt;=E954,BB954*(1-0.03),G954&lt;(E954+8),BB954,AZ954="Boleto",BB954*(1+0.001)^DATEDIF(E954,G954,"D"),AZ954="Cheque",BB954,AZ954="Dinheiro","Alterar forma pgto")</f>
        <v/>
      </c>
      <c r="BD954" s="276" t="str" cm="1">
        <f t="array" ref="BD954">IF(F954=0," ",IF(BC954&lt;BB954,(_xlfn.IFS(AW954="SIM",SUM(L954,Q954,V954,AA954,AF954,AK954,AP954,AU954)+AX954/_xlfn.XLOOKUP(_xlfn.XLOOKUP($F954,Clientes!$B$4:$B$39,Clientes!$C$4:$C$39),Cadastros!$L$6:$L$12,Cadastros!$M$6:$M$12)+IF($F954="Bernardino Furlan",AY954/2751.92,IF($F954="Mauro José Salanti",AY954/2751.92,AY954/3356)),F954&lt;&gt;0,SUM(L954,Q954,V954,AA954,AF954,AK954,AP954,AU954)))*(1-0.03),_xlfn.IFS(AW954="SIM",SUM(L954,Q954,V954,AA954,AF954,AK954,AP954,AU954)+AX954/_xlfn.XLOOKUP(_xlfn.XLOOKUP($F954,Clientes!$B$4:$B$39,Clientes!$C$4:$C$39),Cadastros!$L$6:$L$12,Cadastros!$M$6:$M$12)+IF($F954="Bernardino Furlan",AY954/2751.92,IF($F954="Mauro José Salanti",AY954/2751.92,AY954/3356)),F954&lt;&gt;0,SUM(L954,Q954,V954,AA954,AF954,AK954,AP954,AU954))))</f>
        <v xml:space="preserve"> </v>
      </c>
      <c r="BE954" s="120"/>
      <c r="BF954" s="120"/>
      <c r="BG954" s="120"/>
    </row>
    <row r="955" spans="1:59" s="3" customFormat="1" x14ac:dyDescent="0.3">
      <c r="A955" s="15" t="str">
        <f t="shared" si="182"/>
        <v/>
      </c>
      <c r="B955" s="25"/>
      <c r="C955" s="26"/>
      <c r="D955" s="279"/>
      <c r="E955" s="27"/>
      <c r="F955" s="28"/>
      <c r="G955" s="27"/>
      <c r="H955" s="28"/>
      <c r="I955" s="28"/>
      <c r="J955" s="255" t="str">
        <f>IF(H955="","",(_xlfn.XLOOKUP(H955,Cadastros!$D$6:$D$90,Cadastros!$E$6:$E$90))*(1-_xlfn.XLOOKUP(_xlfn.XLOOKUP($F955,Clientes!$B$4:$B$39,Clientes!$C$4:$C$39),Cadastros!$L$6:$L$12,Cadastros!$N$6:$N$12)))</f>
        <v/>
      </c>
      <c r="K955" s="168" t="str">
        <f t="shared" si="183"/>
        <v/>
      </c>
      <c r="L955" s="168" t="str">
        <f>IFERROR(K955/_xlfn.XLOOKUP(_xlfn.XLOOKUP($F955,Clientes!$B$4:$B$39,Clientes!$C$4:$C$39),Cadastros!$L$6:$L$12,Cadastros!$M$6:$M$12)," ")</f>
        <v xml:space="preserve"> </v>
      </c>
      <c r="M955" s="28"/>
      <c r="N955" s="28"/>
      <c r="O955" s="255" t="str">
        <f>IF(M955="","",(_xlfn.XLOOKUP(M955,Cadastros!$D$6:$D$90,Cadastros!$E$6:$E$90))*(1-_xlfn.XLOOKUP(_xlfn.XLOOKUP($F955,Clientes!$B$4:$B$39,Clientes!$C$4:$C$39),Cadastros!$L$6:$L$12,Cadastros!$N$6:$N$12)))</f>
        <v/>
      </c>
      <c r="P955" s="168" t="str">
        <f t="shared" si="184"/>
        <v/>
      </c>
      <c r="Q955" s="168" t="str">
        <f>IFERROR(P955/_xlfn.XLOOKUP(_xlfn.XLOOKUP($F955,Clientes!$B$4:$B$39,Clientes!$C$4:$C$39),Cadastros!$L$6:$L$12,Cadastros!$M$6:$M$12)," ")</f>
        <v xml:space="preserve"> </v>
      </c>
      <c r="R955" s="28"/>
      <c r="S955" s="28"/>
      <c r="T955" s="255" t="str">
        <f>IF(R955="","",(_xlfn.XLOOKUP(R955,Cadastros!$D$6:$D$90,Cadastros!$E$6:$E$90))*(1-_xlfn.XLOOKUP(_xlfn.XLOOKUP($F955,Clientes!$B$4:$B$39,Clientes!$C$4:$C$39),Cadastros!$L$6:$L$12,Cadastros!$N$6:$N$12)))</f>
        <v/>
      </c>
      <c r="U955" s="168" t="str">
        <f t="shared" si="185"/>
        <v/>
      </c>
      <c r="V955" s="168" t="str">
        <f>IFERROR(U955/_xlfn.XLOOKUP(_xlfn.XLOOKUP($F955,Clientes!$B$4:$B$39,Clientes!$C$4:$C$39),Cadastros!$L$6:$L$12,Cadastros!$M$6:$M$12)," ")</f>
        <v xml:space="preserve"> </v>
      </c>
      <c r="W955" s="28"/>
      <c r="X955" s="28"/>
      <c r="Y955" s="255" t="str">
        <f>IF(W955="","",(_xlfn.XLOOKUP(W955,Cadastros!$D$6:$D$90,Cadastros!$E$6:$E$90))*(1-_xlfn.XLOOKUP(_xlfn.XLOOKUP($F955,Clientes!$B$4:$B$39,Clientes!$C$4:$C$39),Cadastros!$L$6:$L$12,Cadastros!$N$6:$N$12)))</f>
        <v/>
      </c>
      <c r="Z955" s="168" t="str">
        <f t="shared" si="186"/>
        <v/>
      </c>
      <c r="AA955" s="168" t="str">
        <f>IFERROR(Z955/_xlfn.XLOOKUP(_xlfn.XLOOKUP($F955,Clientes!$B$4:$B$39,Clientes!$C$4:$C$39),Cadastros!$L$6:$L$12,Cadastros!$M$6:$M$12)," ")</f>
        <v xml:space="preserve"> </v>
      </c>
      <c r="AB955" s="28"/>
      <c r="AC955" s="28"/>
      <c r="AD955" s="20" t="str">
        <f>IF(AB955="","",IF($F955="Bernardino Furlan",_xlfn.XLOOKUP(AB955,Cadastros!$G$6:$G$90,Cadastros!$H$6:$H$90)*(1-0.18),IF($F955="Mauro José Salanti",_xlfn.XLOOKUP(AB955,Cadastros!$G$6:$G$90,Cadastros!$H$6:$H$90)*(1-0.18),_xlfn.XLOOKUP(AB955,Cadastros!$G$6:$G$90,Cadastros!$H$6:$H$90))))</f>
        <v/>
      </c>
      <c r="AE955" s="168" t="str">
        <f t="shared" si="187"/>
        <v/>
      </c>
      <c r="AF955" s="168" t="str">
        <f t="shared" si="188"/>
        <v/>
      </c>
      <c r="AG955" s="28"/>
      <c r="AH955" s="28"/>
      <c r="AI955" s="20" t="str">
        <f>IF(AG955="","",IF($F955="Bernardino Furlan",_xlfn.XLOOKUP(AG955,Cadastros!$G$6:$G$90,Cadastros!$H$6:$H$90)*(1-0.18),IF($F955="Mauro José Salanti",_xlfn.XLOOKUP(AG955,Cadastros!$G$6:$G$90,Cadastros!$H$6:$H$90)*(1-0.18),_xlfn.XLOOKUP(AG955,Cadastros!$G$6:$G$90,Cadastros!$H$6:$H$90))))</f>
        <v/>
      </c>
      <c r="AJ955" s="168" t="str">
        <f t="shared" si="189"/>
        <v/>
      </c>
      <c r="AK955" s="168" t="str">
        <f t="shared" si="190"/>
        <v/>
      </c>
      <c r="AL955" s="28"/>
      <c r="AM955" s="28"/>
      <c r="AN955" s="20" t="str">
        <f>IF(AL955="","",IF($F955="Bernardino Furlan",_xlfn.XLOOKUP(AL955,Cadastros!$G$6:$G$90,Cadastros!$H$6:$H$90)*(1-0.18),IF($F955="Mauro José Salanti",_xlfn.XLOOKUP(AL955,Cadastros!$G$6:$G$90,Cadastros!$H$6:$H$90)*(1-0.18),_xlfn.XLOOKUP(AL955,Cadastros!$G$6:$G$90,Cadastros!$H$6:$H$90))))</f>
        <v/>
      </c>
      <c r="AO955" s="168" t="str">
        <f t="shared" si="191"/>
        <v/>
      </c>
      <c r="AP955" s="168" t="str">
        <f t="shared" si="192"/>
        <v/>
      </c>
      <c r="AQ955" s="28"/>
      <c r="AR955" s="28"/>
      <c r="AS955" s="20" t="str">
        <f>IF(AQ955="","",IF($F955="Bernardino Furlan",_xlfn.XLOOKUP(AQ955,Cadastros!$G$6:$G$90,Cadastros!$H$6:$H$90)*(1-0.18),IF($F955="Mauro José Salanti",_xlfn.XLOOKUP(AQ955,Cadastros!$G$6:$G$90,Cadastros!$H$6:$H$90)*(1-0.18),_xlfn.XLOOKUP(AQ955,Cadastros!$G$6:$G$90,Cadastros!$H$6:$H$90))))</f>
        <v/>
      </c>
      <c r="AT955" s="168" t="str">
        <f t="shared" si="193"/>
        <v/>
      </c>
      <c r="AU955" s="168" t="str">
        <f t="shared" si="194"/>
        <v/>
      </c>
      <c r="AV955" s="227"/>
      <c r="AW955" s="30"/>
      <c r="AX955" s="267"/>
      <c r="AY955" s="267"/>
      <c r="AZ955" s="29"/>
      <c r="BA955" s="30"/>
      <c r="BB955" s="23" t="str" cm="1">
        <f t="array" ref="BB955">_xlfn.IFS(AW955="SIM",SUM(K955,P955,U955,Z955,AE955,AJ955,AO955,AT955,AX955,AY955),F955&lt;&gt;"",SUM(K955,P955,U955,Z955,AE955,AJ955,,AO955,AT955),F955="","")</f>
        <v/>
      </c>
      <c r="BC955" s="211" t="str" cm="1">
        <f t="array" ref="BC955">_xlfn.IFS(E955="","",G955&lt;=E955,BB955*(1-0.03),G955&lt;(E955+8),BB955,AZ955="Boleto",BB955*(1+0.001)^DATEDIF(E955,G955,"D"),AZ955="Cheque",BB955,AZ955="Dinheiro","Alterar forma pgto")</f>
        <v/>
      </c>
      <c r="BD955" s="276" t="str" cm="1">
        <f t="array" ref="BD955">IF(F955=0," ",IF(BC955&lt;BB955,(_xlfn.IFS(AW955="SIM",SUM(L955,Q955,V955,AA955,AF955,AK955,AP955,AU955)+AX955/_xlfn.XLOOKUP(_xlfn.XLOOKUP($F955,Clientes!$B$4:$B$39,Clientes!$C$4:$C$39),Cadastros!$L$6:$L$12,Cadastros!$M$6:$M$12)+IF($F955="Bernardino Furlan",AY955/2751.92,IF($F955="Mauro José Salanti",AY955/2751.92,AY955/3356)),F955&lt;&gt;0,SUM(L955,Q955,V955,AA955,AF955,AK955,AP955,AU955)))*(1-0.03),_xlfn.IFS(AW955="SIM",SUM(L955,Q955,V955,AA955,AF955,AK955,AP955,AU955)+AX955/_xlfn.XLOOKUP(_xlfn.XLOOKUP($F955,Clientes!$B$4:$B$39,Clientes!$C$4:$C$39),Cadastros!$L$6:$L$12,Cadastros!$M$6:$M$12)+IF($F955="Bernardino Furlan",AY955/2751.92,IF($F955="Mauro José Salanti",AY955/2751.92,AY955/3356)),F955&lt;&gt;0,SUM(L955,Q955,V955,AA955,AF955,AK955,AP955,AU955))))</f>
        <v xml:space="preserve"> </v>
      </c>
      <c r="BE955" s="120"/>
      <c r="BF955" s="120"/>
      <c r="BG955" s="120"/>
    </row>
    <row r="956" spans="1:59" s="3" customFormat="1" x14ac:dyDescent="0.3">
      <c r="A956" s="15" t="str">
        <f t="shared" si="182"/>
        <v/>
      </c>
      <c r="B956" s="25"/>
      <c r="C956" s="26"/>
      <c r="D956" s="279"/>
      <c r="E956" s="27"/>
      <c r="F956" s="28"/>
      <c r="G956" s="27"/>
      <c r="H956" s="28"/>
      <c r="I956" s="28"/>
      <c r="J956" s="255" t="str">
        <f>IF(H956="","",(_xlfn.XLOOKUP(H956,Cadastros!$D$6:$D$90,Cadastros!$E$6:$E$90))*(1-_xlfn.XLOOKUP(_xlfn.XLOOKUP($F956,Clientes!$B$4:$B$39,Clientes!$C$4:$C$39),Cadastros!$L$6:$L$12,Cadastros!$N$6:$N$12)))</f>
        <v/>
      </c>
      <c r="K956" s="168" t="str">
        <f t="shared" si="183"/>
        <v/>
      </c>
      <c r="L956" s="168" t="str">
        <f>IFERROR(K956/_xlfn.XLOOKUP(_xlfn.XLOOKUP($F956,Clientes!$B$4:$B$39,Clientes!$C$4:$C$39),Cadastros!$L$6:$L$12,Cadastros!$M$6:$M$12)," ")</f>
        <v xml:space="preserve"> </v>
      </c>
      <c r="M956" s="28"/>
      <c r="N956" s="28"/>
      <c r="O956" s="255" t="str">
        <f>IF(M956="","",(_xlfn.XLOOKUP(M956,Cadastros!$D$6:$D$90,Cadastros!$E$6:$E$90))*(1-_xlfn.XLOOKUP(_xlfn.XLOOKUP($F956,Clientes!$B$4:$B$39,Clientes!$C$4:$C$39),Cadastros!$L$6:$L$12,Cadastros!$N$6:$N$12)))</f>
        <v/>
      </c>
      <c r="P956" s="168" t="str">
        <f t="shared" si="184"/>
        <v/>
      </c>
      <c r="Q956" s="168" t="str">
        <f>IFERROR(P956/_xlfn.XLOOKUP(_xlfn.XLOOKUP($F956,Clientes!$B$4:$B$39,Clientes!$C$4:$C$39),Cadastros!$L$6:$L$12,Cadastros!$M$6:$M$12)," ")</f>
        <v xml:space="preserve"> </v>
      </c>
      <c r="R956" s="28"/>
      <c r="S956" s="28"/>
      <c r="T956" s="255" t="str">
        <f>IF(R956="","",(_xlfn.XLOOKUP(R956,Cadastros!$D$6:$D$90,Cadastros!$E$6:$E$90))*(1-_xlfn.XLOOKUP(_xlfn.XLOOKUP($F956,Clientes!$B$4:$B$39,Clientes!$C$4:$C$39),Cadastros!$L$6:$L$12,Cadastros!$N$6:$N$12)))</f>
        <v/>
      </c>
      <c r="U956" s="168" t="str">
        <f t="shared" si="185"/>
        <v/>
      </c>
      <c r="V956" s="168" t="str">
        <f>IFERROR(U956/_xlfn.XLOOKUP(_xlfn.XLOOKUP($F956,Clientes!$B$4:$B$39,Clientes!$C$4:$C$39),Cadastros!$L$6:$L$12,Cadastros!$M$6:$M$12)," ")</f>
        <v xml:space="preserve"> </v>
      </c>
      <c r="W956" s="28"/>
      <c r="X956" s="28"/>
      <c r="Y956" s="255" t="str">
        <f>IF(W956="","",(_xlfn.XLOOKUP(W956,Cadastros!$D$6:$D$90,Cadastros!$E$6:$E$90))*(1-_xlfn.XLOOKUP(_xlfn.XLOOKUP($F956,Clientes!$B$4:$B$39,Clientes!$C$4:$C$39),Cadastros!$L$6:$L$12,Cadastros!$N$6:$N$12)))</f>
        <v/>
      </c>
      <c r="Z956" s="168" t="str">
        <f t="shared" si="186"/>
        <v/>
      </c>
      <c r="AA956" s="168" t="str">
        <f>IFERROR(Z956/_xlfn.XLOOKUP(_xlfn.XLOOKUP($F956,Clientes!$B$4:$B$39,Clientes!$C$4:$C$39),Cadastros!$L$6:$L$12,Cadastros!$M$6:$M$12)," ")</f>
        <v xml:space="preserve"> </v>
      </c>
      <c r="AB956" s="28"/>
      <c r="AC956" s="28"/>
      <c r="AD956" s="20" t="str">
        <f>IF(AB956="","",IF($F956="Bernardino Furlan",_xlfn.XLOOKUP(AB956,Cadastros!$G$6:$G$90,Cadastros!$H$6:$H$90)*(1-0.18),IF($F956="Mauro José Salanti",_xlfn.XLOOKUP(AB956,Cadastros!$G$6:$G$90,Cadastros!$H$6:$H$90)*(1-0.18),_xlfn.XLOOKUP(AB956,Cadastros!$G$6:$G$90,Cadastros!$H$6:$H$90))))</f>
        <v/>
      </c>
      <c r="AE956" s="168" t="str">
        <f t="shared" si="187"/>
        <v/>
      </c>
      <c r="AF956" s="168" t="str">
        <f t="shared" si="188"/>
        <v/>
      </c>
      <c r="AG956" s="28"/>
      <c r="AH956" s="28"/>
      <c r="AI956" s="20" t="str">
        <f>IF(AG956="","",IF($F956="Bernardino Furlan",_xlfn.XLOOKUP(AG956,Cadastros!$G$6:$G$90,Cadastros!$H$6:$H$90)*(1-0.18),IF($F956="Mauro José Salanti",_xlfn.XLOOKUP(AG956,Cadastros!$G$6:$G$90,Cadastros!$H$6:$H$90)*(1-0.18),_xlfn.XLOOKUP(AG956,Cadastros!$G$6:$G$90,Cadastros!$H$6:$H$90))))</f>
        <v/>
      </c>
      <c r="AJ956" s="168" t="str">
        <f t="shared" si="189"/>
        <v/>
      </c>
      <c r="AK956" s="168" t="str">
        <f t="shared" si="190"/>
        <v/>
      </c>
      <c r="AL956" s="28"/>
      <c r="AM956" s="28"/>
      <c r="AN956" s="20" t="str">
        <f>IF(AL956="","",IF($F956="Bernardino Furlan",_xlfn.XLOOKUP(AL956,Cadastros!$G$6:$G$90,Cadastros!$H$6:$H$90)*(1-0.18),IF($F956="Mauro José Salanti",_xlfn.XLOOKUP(AL956,Cadastros!$G$6:$G$90,Cadastros!$H$6:$H$90)*(1-0.18),_xlfn.XLOOKUP(AL956,Cadastros!$G$6:$G$90,Cadastros!$H$6:$H$90))))</f>
        <v/>
      </c>
      <c r="AO956" s="168" t="str">
        <f t="shared" si="191"/>
        <v/>
      </c>
      <c r="AP956" s="168" t="str">
        <f t="shared" si="192"/>
        <v/>
      </c>
      <c r="AQ956" s="28"/>
      <c r="AR956" s="28"/>
      <c r="AS956" s="20" t="str">
        <f>IF(AQ956="","",IF($F956="Bernardino Furlan",_xlfn.XLOOKUP(AQ956,Cadastros!$G$6:$G$90,Cadastros!$H$6:$H$90)*(1-0.18),IF($F956="Mauro José Salanti",_xlfn.XLOOKUP(AQ956,Cadastros!$G$6:$G$90,Cadastros!$H$6:$H$90)*(1-0.18),_xlfn.XLOOKUP(AQ956,Cadastros!$G$6:$G$90,Cadastros!$H$6:$H$90))))</f>
        <v/>
      </c>
      <c r="AT956" s="168" t="str">
        <f t="shared" si="193"/>
        <v/>
      </c>
      <c r="AU956" s="168" t="str">
        <f t="shared" si="194"/>
        <v/>
      </c>
      <c r="AV956" s="227"/>
      <c r="AW956" s="30"/>
      <c r="AX956" s="267"/>
      <c r="AY956" s="267"/>
      <c r="AZ956" s="29"/>
      <c r="BA956" s="30"/>
      <c r="BB956" s="23" t="str" cm="1">
        <f t="array" ref="BB956">_xlfn.IFS(AW956="SIM",SUM(K956,P956,U956,Z956,AE956,AJ956,AO956,AT956,AX956,AY956),F956&lt;&gt;"",SUM(K956,P956,U956,Z956,AE956,AJ956,,AO956,AT956),F956="","")</f>
        <v/>
      </c>
      <c r="BC956" s="211" t="str" cm="1">
        <f t="array" ref="BC956">_xlfn.IFS(E956="","",G956&lt;=E956,BB956*(1-0.03),G956&lt;(E956+8),BB956,AZ956="Boleto",BB956*(1+0.001)^DATEDIF(E956,G956,"D"),AZ956="Cheque",BB956,AZ956="Dinheiro","Alterar forma pgto")</f>
        <v/>
      </c>
      <c r="BD956" s="276" t="str" cm="1">
        <f t="array" ref="BD956">IF(F956=0," ",IF(BC956&lt;BB956,(_xlfn.IFS(AW956="SIM",SUM(L956,Q956,V956,AA956,AF956,AK956,AP956,AU956)+AX956/_xlfn.XLOOKUP(_xlfn.XLOOKUP($F956,Clientes!$B$4:$B$39,Clientes!$C$4:$C$39),Cadastros!$L$6:$L$12,Cadastros!$M$6:$M$12)+IF($F956="Bernardino Furlan",AY956/2751.92,IF($F956="Mauro José Salanti",AY956/2751.92,AY956/3356)),F956&lt;&gt;0,SUM(L956,Q956,V956,AA956,AF956,AK956,AP956,AU956)))*(1-0.03),_xlfn.IFS(AW956="SIM",SUM(L956,Q956,V956,AA956,AF956,AK956,AP956,AU956)+AX956/_xlfn.XLOOKUP(_xlfn.XLOOKUP($F956,Clientes!$B$4:$B$39,Clientes!$C$4:$C$39),Cadastros!$L$6:$L$12,Cadastros!$M$6:$M$12)+IF($F956="Bernardino Furlan",AY956/2751.92,IF($F956="Mauro José Salanti",AY956/2751.92,AY956/3356)),F956&lt;&gt;0,SUM(L956,Q956,V956,AA956,AF956,AK956,AP956,AU956))))</f>
        <v xml:space="preserve"> </v>
      </c>
      <c r="BE956" s="120"/>
      <c r="BF956" s="120"/>
      <c r="BG956" s="120"/>
    </row>
    <row r="957" spans="1:59" s="3" customFormat="1" x14ac:dyDescent="0.3">
      <c r="A957" s="15" t="str">
        <f t="shared" si="182"/>
        <v/>
      </c>
      <c r="B957" s="25"/>
      <c r="C957" s="26"/>
      <c r="D957" s="279"/>
      <c r="E957" s="27"/>
      <c r="F957" s="28"/>
      <c r="G957" s="27"/>
      <c r="H957" s="28"/>
      <c r="I957" s="28"/>
      <c r="J957" s="255" t="str">
        <f>IF(H957="","",(_xlfn.XLOOKUP(H957,Cadastros!$D$6:$D$90,Cadastros!$E$6:$E$90))*(1-_xlfn.XLOOKUP(_xlfn.XLOOKUP($F957,Clientes!$B$4:$B$39,Clientes!$C$4:$C$39),Cadastros!$L$6:$L$12,Cadastros!$N$6:$N$12)))</f>
        <v/>
      </c>
      <c r="K957" s="168" t="str">
        <f t="shared" si="183"/>
        <v/>
      </c>
      <c r="L957" s="168" t="str">
        <f>IFERROR(K957/_xlfn.XLOOKUP(_xlfn.XLOOKUP($F957,Clientes!$B$4:$B$39,Clientes!$C$4:$C$39),Cadastros!$L$6:$L$12,Cadastros!$M$6:$M$12)," ")</f>
        <v xml:space="preserve"> </v>
      </c>
      <c r="M957" s="28"/>
      <c r="N957" s="28"/>
      <c r="O957" s="255" t="str">
        <f>IF(M957="","",(_xlfn.XLOOKUP(M957,Cadastros!$D$6:$D$90,Cadastros!$E$6:$E$90))*(1-_xlfn.XLOOKUP(_xlfn.XLOOKUP($F957,Clientes!$B$4:$B$39,Clientes!$C$4:$C$39),Cadastros!$L$6:$L$12,Cadastros!$N$6:$N$12)))</f>
        <v/>
      </c>
      <c r="P957" s="168" t="str">
        <f t="shared" si="184"/>
        <v/>
      </c>
      <c r="Q957" s="168" t="str">
        <f>IFERROR(P957/_xlfn.XLOOKUP(_xlfn.XLOOKUP($F957,Clientes!$B$4:$B$39,Clientes!$C$4:$C$39),Cadastros!$L$6:$L$12,Cadastros!$M$6:$M$12)," ")</f>
        <v xml:space="preserve"> </v>
      </c>
      <c r="R957" s="28"/>
      <c r="S957" s="28"/>
      <c r="T957" s="255" t="str">
        <f>IF(R957="","",(_xlfn.XLOOKUP(R957,Cadastros!$D$6:$D$90,Cadastros!$E$6:$E$90))*(1-_xlfn.XLOOKUP(_xlfn.XLOOKUP($F957,Clientes!$B$4:$B$39,Clientes!$C$4:$C$39),Cadastros!$L$6:$L$12,Cadastros!$N$6:$N$12)))</f>
        <v/>
      </c>
      <c r="U957" s="168" t="str">
        <f t="shared" si="185"/>
        <v/>
      </c>
      <c r="V957" s="168" t="str">
        <f>IFERROR(U957/_xlfn.XLOOKUP(_xlfn.XLOOKUP($F957,Clientes!$B$4:$B$39,Clientes!$C$4:$C$39),Cadastros!$L$6:$L$12,Cadastros!$M$6:$M$12)," ")</f>
        <v xml:space="preserve"> </v>
      </c>
      <c r="W957" s="28"/>
      <c r="X957" s="28"/>
      <c r="Y957" s="255" t="str">
        <f>IF(W957="","",(_xlfn.XLOOKUP(W957,Cadastros!$D$6:$D$90,Cadastros!$E$6:$E$90))*(1-_xlfn.XLOOKUP(_xlfn.XLOOKUP($F957,Clientes!$B$4:$B$39,Clientes!$C$4:$C$39),Cadastros!$L$6:$L$12,Cadastros!$N$6:$N$12)))</f>
        <v/>
      </c>
      <c r="Z957" s="168" t="str">
        <f t="shared" si="186"/>
        <v/>
      </c>
      <c r="AA957" s="168" t="str">
        <f>IFERROR(Z957/_xlfn.XLOOKUP(_xlfn.XLOOKUP($F957,Clientes!$B$4:$B$39,Clientes!$C$4:$C$39),Cadastros!$L$6:$L$12,Cadastros!$M$6:$M$12)," ")</f>
        <v xml:space="preserve"> </v>
      </c>
      <c r="AB957" s="28"/>
      <c r="AC957" s="28"/>
      <c r="AD957" s="20" t="str">
        <f>IF(AB957="","",IF($F957="Bernardino Furlan",_xlfn.XLOOKUP(AB957,Cadastros!$G$6:$G$90,Cadastros!$H$6:$H$90)*(1-0.18),IF($F957="Mauro José Salanti",_xlfn.XLOOKUP(AB957,Cadastros!$G$6:$G$90,Cadastros!$H$6:$H$90)*(1-0.18),_xlfn.XLOOKUP(AB957,Cadastros!$G$6:$G$90,Cadastros!$H$6:$H$90))))</f>
        <v/>
      </c>
      <c r="AE957" s="168" t="str">
        <f t="shared" si="187"/>
        <v/>
      </c>
      <c r="AF957" s="168" t="str">
        <f t="shared" si="188"/>
        <v/>
      </c>
      <c r="AG957" s="28"/>
      <c r="AH957" s="28"/>
      <c r="AI957" s="20" t="str">
        <f>IF(AG957="","",IF($F957="Bernardino Furlan",_xlfn.XLOOKUP(AG957,Cadastros!$G$6:$G$90,Cadastros!$H$6:$H$90)*(1-0.18),IF($F957="Mauro José Salanti",_xlfn.XLOOKUP(AG957,Cadastros!$G$6:$G$90,Cadastros!$H$6:$H$90)*(1-0.18),_xlfn.XLOOKUP(AG957,Cadastros!$G$6:$G$90,Cadastros!$H$6:$H$90))))</f>
        <v/>
      </c>
      <c r="AJ957" s="168" t="str">
        <f t="shared" si="189"/>
        <v/>
      </c>
      <c r="AK957" s="168" t="str">
        <f t="shared" si="190"/>
        <v/>
      </c>
      <c r="AL957" s="28"/>
      <c r="AM957" s="28"/>
      <c r="AN957" s="20" t="str">
        <f>IF(AL957="","",IF($F957="Bernardino Furlan",_xlfn.XLOOKUP(AL957,Cadastros!$G$6:$G$90,Cadastros!$H$6:$H$90)*(1-0.18),IF($F957="Mauro José Salanti",_xlfn.XLOOKUP(AL957,Cadastros!$G$6:$G$90,Cadastros!$H$6:$H$90)*(1-0.18),_xlfn.XLOOKUP(AL957,Cadastros!$G$6:$G$90,Cadastros!$H$6:$H$90))))</f>
        <v/>
      </c>
      <c r="AO957" s="168" t="str">
        <f t="shared" si="191"/>
        <v/>
      </c>
      <c r="AP957" s="168" t="str">
        <f t="shared" si="192"/>
        <v/>
      </c>
      <c r="AQ957" s="28"/>
      <c r="AR957" s="28"/>
      <c r="AS957" s="20" t="str">
        <f>IF(AQ957="","",IF($F957="Bernardino Furlan",_xlfn.XLOOKUP(AQ957,Cadastros!$G$6:$G$90,Cadastros!$H$6:$H$90)*(1-0.18),IF($F957="Mauro José Salanti",_xlfn.XLOOKUP(AQ957,Cadastros!$G$6:$G$90,Cadastros!$H$6:$H$90)*(1-0.18),_xlfn.XLOOKUP(AQ957,Cadastros!$G$6:$G$90,Cadastros!$H$6:$H$90))))</f>
        <v/>
      </c>
      <c r="AT957" s="168" t="str">
        <f t="shared" si="193"/>
        <v/>
      </c>
      <c r="AU957" s="168" t="str">
        <f t="shared" si="194"/>
        <v/>
      </c>
      <c r="AV957" s="227"/>
      <c r="AW957" s="30"/>
      <c r="AX957" s="267"/>
      <c r="AY957" s="267"/>
      <c r="AZ957" s="29"/>
      <c r="BA957" s="30"/>
      <c r="BB957" s="23" t="str" cm="1">
        <f t="array" ref="BB957">_xlfn.IFS(AW957="SIM",SUM(K957,P957,U957,Z957,AE957,AJ957,AO957,AT957,AX957,AY957),F957&lt;&gt;"",SUM(K957,P957,U957,Z957,AE957,AJ957,,AO957,AT957),F957="","")</f>
        <v/>
      </c>
      <c r="BC957" s="211" t="str" cm="1">
        <f t="array" ref="BC957">_xlfn.IFS(E957="","",G957&lt;=E957,BB957*(1-0.03),G957&lt;(E957+8),BB957,AZ957="Boleto",BB957*(1+0.001)^DATEDIF(E957,G957,"D"),AZ957="Cheque",BB957,AZ957="Dinheiro","Alterar forma pgto")</f>
        <v/>
      </c>
      <c r="BD957" s="276" t="str" cm="1">
        <f t="array" ref="BD957">IF(F957=0," ",IF(BC957&lt;BB957,(_xlfn.IFS(AW957="SIM",SUM(L957,Q957,V957,AA957,AF957,AK957,AP957,AU957)+AX957/_xlfn.XLOOKUP(_xlfn.XLOOKUP($F957,Clientes!$B$4:$B$39,Clientes!$C$4:$C$39),Cadastros!$L$6:$L$12,Cadastros!$M$6:$M$12)+IF($F957="Bernardino Furlan",AY957/2751.92,IF($F957="Mauro José Salanti",AY957/2751.92,AY957/3356)),F957&lt;&gt;0,SUM(L957,Q957,V957,AA957,AF957,AK957,AP957,AU957)))*(1-0.03),_xlfn.IFS(AW957="SIM",SUM(L957,Q957,V957,AA957,AF957,AK957,AP957,AU957)+AX957/_xlfn.XLOOKUP(_xlfn.XLOOKUP($F957,Clientes!$B$4:$B$39,Clientes!$C$4:$C$39),Cadastros!$L$6:$L$12,Cadastros!$M$6:$M$12)+IF($F957="Bernardino Furlan",AY957/2751.92,IF($F957="Mauro José Salanti",AY957/2751.92,AY957/3356)),F957&lt;&gt;0,SUM(L957,Q957,V957,AA957,AF957,AK957,AP957,AU957))))</f>
        <v xml:space="preserve"> </v>
      </c>
      <c r="BE957" s="120"/>
      <c r="BF957" s="120"/>
      <c r="BG957" s="120"/>
    </row>
    <row r="958" spans="1:59" s="3" customFormat="1" x14ac:dyDescent="0.3">
      <c r="A958" s="15" t="str">
        <f t="shared" si="182"/>
        <v/>
      </c>
      <c r="B958" s="25"/>
      <c r="C958" s="26"/>
      <c r="D958" s="279"/>
      <c r="E958" s="27"/>
      <c r="F958" s="28"/>
      <c r="G958" s="27"/>
      <c r="H958" s="28"/>
      <c r="I958" s="28"/>
      <c r="J958" s="255" t="str">
        <f>IF(H958="","",(_xlfn.XLOOKUP(H958,Cadastros!$D$6:$D$90,Cadastros!$E$6:$E$90))*(1-_xlfn.XLOOKUP(_xlfn.XLOOKUP($F958,Clientes!$B$4:$B$39,Clientes!$C$4:$C$39),Cadastros!$L$6:$L$12,Cadastros!$N$6:$N$12)))</f>
        <v/>
      </c>
      <c r="K958" s="168" t="str">
        <f t="shared" si="183"/>
        <v/>
      </c>
      <c r="L958" s="168" t="str">
        <f>IFERROR(K958/_xlfn.XLOOKUP(_xlfn.XLOOKUP($F958,Clientes!$B$4:$B$39,Clientes!$C$4:$C$39),Cadastros!$L$6:$L$12,Cadastros!$M$6:$M$12)," ")</f>
        <v xml:space="preserve"> </v>
      </c>
      <c r="M958" s="28"/>
      <c r="N958" s="28"/>
      <c r="O958" s="255" t="str">
        <f>IF(M958="","",(_xlfn.XLOOKUP(M958,Cadastros!$D$6:$D$90,Cadastros!$E$6:$E$90))*(1-_xlfn.XLOOKUP(_xlfn.XLOOKUP($F958,Clientes!$B$4:$B$39,Clientes!$C$4:$C$39),Cadastros!$L$6:$L$12,Cadastros!$N$6:$N$12)))</f>
        <v/>
      </c>
      <c r="P958" s="168" t="str">
        <f t="shared" si="184"/>
        <v/>
      </c>
      <c r="Q958" s="168" t="str">
        <f>IFERROR(P958/_xlfn.XLOOKUP(_xlfn.XLOOKUP($F958,Clientes!$B$4:$B$39,Clientes!$C$4:$C$39),Cadastros!$L$6:$L$12,Cadastros!$M$6:$M$12)," ")</f>
        <v xml:space="preserve"> </v>
      </c>
      <c r="R958" s="28"/>
      <c r="S958" s="28"/>
      <c r="T958" s="255" t="str">
        <f>IF(R958="","",(_xlfn.XLOOKUP(R958,Cadastros!$D$6:$D$90,Cadastros!$E$6:$E$90))*(1-_xlfn.XLOOKUP(_xlfn.XLOOKUP($F958,Clientes!$B$4:$B$39,Clientes!$C$4:$C$39),Cadastros!$L$6:$L$12,Cadastros!$N$6:$N$12)))</f>
        <v/>
      </c>
      <c r="U958" s="168" t="str">
        <f t="shared" si="185"/>
        <v/>
      </c>
      <c r="V958" s="168" t="str">
        <f>IFERROR(U958/_xlfn.XLOOKUP(_xlfn.XLOOKUP($F958,Clientes!$B$4:$B$39,Clientes!$C$4:$C$39),Cadastros!$L$6:$L$12,Cadastros!$M$6:$M$12)," ")</f>
        <v xml:space="preserve"> </v>
      </c>
      <c r="W958" s="28"/>
      <c r="X958" s="28"/>
      <c r="Y958" s="255" t="str">
        <f>IF(W958="","",(_xlfn.XLOOKUP(W958,Cadastros!$D$6:$D$90,Cadastros!$E$6:$E$90))*(1-_xlfn.XLOOKUP(_xlfn.XLOOKUP($F958,Clientes!$B$4:$B$39,Clientes!$C$4:$C$39),Cadastros!$L$6:$L$12,Cadastros!$N$6:$N$12)))</f>
        <v/>
      </c>
      <c r="Z958" s="168" t="str">
        <f t="shared" si="186"/>
        <v/>
      </c>
      <c r="AA958" s="168" t="str">
        <f>IFERROR(Z958/_xlfn.XLOOKUP(_xlfn.XLOOKUP($F958,Clientes!$B$4:$B$39,Clientes!$C$4:$C$39),Cadastros!$L$6:$L$12,Cadastros!$M$6:$M$12)," ")</f>
        <v xml:space="preserve"> </v>
      </c>
      <c r="AB958" s="28"/>
      <c r="AC958" s="28"/>
      <c r="AD958" s="20" t="str">
        <f>IF(AB958="","",IF($F958="Bernardino Furlan",_xlfn.XLOOKUP(AB958,Cadastros!$G$6:$G$90,Cadastros!$H$6:$H$90)*(1-0.18),IF($F958="Mauro José Salanti",_xlfn.XLOOKUP(AB958,Cadastros!$G$6:$G$90,Cadastros!$H$6:$H$90)*(1-0.18),_xlfn.XLOOKUP(AB958,Cadastros!$G$6:$G$90,Cadastros!$H$6:$H$90))))</f>
        <v/>
      </c>
      <c r="AE958" s="168" t="str">
        <f t="shared" si="187"/>
        <v/>
      </c>
      <c r="AF958" s="168" t="str">
        <f t="shared" si="188"/>
        <v/>
      </c>
      <c r="AG958" s="28"/>
      <c r="AH958" s="28"/>
      <c r="AI958" s="20" t="str">
        <f>IF(AG958="","",IF($F958="Bernardino Furlan",_xlfn.XLOOKUP(AG958,Cadastros!$G$6:$G$90,Cadastros!$H$6:$H$90)*(1-0.18),IF($F958="Mauro José Salanti",_xlfn.XLOOKUP(AG958,Cadastros!$G$6:$G$90,Cadastros!$H$6:$H$90)*(1-0.18),_xlfn.XLOOKUP(AG958,Cadastros!$G$6:$G$90,Cadastros!$H$6:$H$90))))</f>
        <v/>
      </c>
      <c r="AJ958" s="168" t="str">
        <f t="shared" si="189"/>
        <v/>
      </c>
      <c r="AK958" s="168" t="str">
        <f t="shared" si="190"/>
        <v/>
      </c>
      <c r="AL958" s="28"/>
      <c r="AM958" s="28"/>
      <c r="AN958" s="20" t="str">
        <f>IF(AL958="","",IF($F958="Bernardino Furlan",_xlfn.XLOOKUP(AL958,Cadastros!$G$6:$G$90,Cadastros!$H$6:$H$90)*(1-0.18),IF($F958="Mauro José Salanti",_xlfn.XLOOKUP(AL958,Cadastros!$G$6:$G$90,Cadastros!$H$6:$H$90)*(1-0.18),_xlfn.XLOOKUP(AL958,Cadastros!$G$6:$G$90,Cadastros!$H$6:$H$90))))</f>
        <v/>
      </c>
      <c r="AO958" s="168" t="str">
        <f t="shared" si="191"/>
        <v/>
      </c>
      <c r="AP958" s="168" t="str">
        <f t="shared" si="192"/>
        <v/>
      </c>
      <c r="AQ958" s="28"/>
      <c r="AR958" s="28"/>
      <c r="AS958" s="20" t="str">
        <f>IF(AQ958="","",IF($F958="Bernardino Furlan",_xlfn.XLOOKUP(AQ958,Cadastros!$G$6:$G$90,Cadastros!$H$6:$H$90)*(1-0.18),IF($F958="Mauro José Salanti",_xlfn.XLOOKUP(AQ958,Cadastros!$G$6:$G$90,Cadastros!$H$6:$H$90)*(1-0.18),_xlfn.XLOOKUP(AQ958,Cadastros!$G$6:$G$90,Cadastros!$H$6:$H$90))))</f>
        <v/>
      </c>
      <c r="AT958" s="168" t="str">
        <f t="shared" si="193"/>
        <v/>
      </c>
      <c r="AU958" s="168" t="str">
        <f t="shared" si="194"/>
        <v/>
      </c>
      <c r="AV958" s="227"/>
      <c r="AW958" s="30"/>
      <c r="AX958" s="267"/>
      <c r="AY958" s="267"/>
      <c r="AZ958" s="29"/>
      <c r="BA958" s="30"/>
      <c r="BB958" s="23" t="str" cm="1">
        <f t="array" ref="BB958">_xlfn.IFS(AW958="SIM",SUM(K958,P958,U958,Z958,AE958,AJ958,AO958,AT958,AX958,AY958),F958&lt;&gt;"",SUM(K958,P958,U958,Z958,AE958,AJ958,,AO958,AT958),F958="","")</f>
        <v/>
      </c>
      <c r="BC958" s="211" t="str" cm="1">
        <f t="array" ref="BC958">_xlfn.IFS(E958="","",G958&lt;=E958,BB958*(1-0.03),G958&lt;(E958+8),BB958,AZ958="Boleto",BB958*(1+0.001)^DATEDIF(E958,G958,"D"),AZ958="Cheque",BB958,AZ958="Dinheiro","Alterar forma pgto")</f>
        <v/>
      </c>
      <c r="BD958" s="276" t="str" cm="1">
        <f t="array" ref="BD958">IF(F958=0," ",IF(BC958&lt;BB958,(_xlfn.IFS(AW958="SIM",SUM(L958,Q958,V958,AA958,AF958,AK958,AP958,AU958)+AX958/_xlfn.XLOOKUP(_xlfn.XLOOKUP($F958,Clientes!$B$4:$B$39,Clientes!$C$4:$C$39),Cadastros!$L$6:$L$12,Cadastros!$M$6:$M$12)+IF($F958="Bernardino Furlan",AY958/2751.92,IF($F958="Mauro José Salanti",AY958/2751.92,AY958/3356)),F958&lt;&gt;0,SUM(L958,Q958,V958,AA958,AF958,AK958,AP958,AU958)))*(1-0.03),_xlfn.IFS(AW958="SIM",SUM(L958,Q958,V958,AA958,AF958,AK958,AP958,AU958)+AX958/_xlfn.XLOOKUP(_xlfn.XLOOKUP($F958,Clientes!$B$4:$B$39,Clientes!$C$4:$C$39),Cadastros!$L$6:$L$12,Cadastros!$M$6:$M$12)+IF($F958="Bernardino Furlan",AY958/2751.92,IF($F958="Mauro José Salanti",AY958/2751.92,AY958/3356)),F958&lt;&gt;0,SUM(L958,Q958,V958,AA958,AF958,AK958,AP958,AU958))))</f>
        <v xml:space="preserve"> </v>
      </c>
      <c r="BE958" s="120"/>
      <c r="BF958" s="120"/>
      <c r="BG958" s="120"/>
    </row>
    <row r="959" spans="1:59" s="3" customFormat="1" x14ac:dyDescent="0.3">
      <c r="A959" s="15" t="str">
        <f t="shared" si="182"/>
        <v/>
      </c>
      <c r="B959" s="25"/>
      <c r="C959" s="26"/>
      <c r="D959" s="279"/>
      <c r="E959" s="27"/>
      <c r="F959" s="28"/>
      <c r="G959" s="27"/>
      <c r="H959" s="28"/>
      <c r="I959" s="28"/>
      <c r="J959" s="255" t="str">
        <f>IF(H959="","",(_xlfn.XLOOKUP(H959,Cadastros!$D$6:$D$90,Cadastros!$E$6:$E$90))*(1-_xlfn.XLOOKUP(_xlfn.XLOOKUP($F959,Clientes!$B$4:$B$39,Clientes!$C$4:$C$39),Cadastros!$L$6:$L$12,Cadastros!$N$6:$N$12)))</f>
        <v/>
      </c>
      <c r="K959" s="168" t="str">
        <f t="shared" si="183"/>
        <v/>
      </c>
      <c r="L959" s="168" t="str">
        <f>IFERROR(K959/_xlfn.XLOOKUP(_xlfn.XLOOKUP($F959,Clientes!$B$4:$B$39,Clientes!$C$4:$C$39),Cadastros!$L$6:$L$12,Cadastros!$M$6:$M$12)," ")</f>
        <v xml:space="preserve"> </v>
      </c>
      <c r="M959" s="28"/>
      <c r="N959" s="28"/>
      <c r="O959" s="255" t="str">
        <f>IF(M959="","",(_xlfn.XLOOKUP(M959,Cadastros!$D$6:$D$90,Cadastros!$E$6:$E$90))*(1-_xlfn.XLOOKUP(_xlfn.XLOOKUP($F959,Clientes!$B$4:$B$39,Clientes!$C$4:$C$39),Cadastros!$L$6:$L$12,Cadastros!$N$6:$N$12)))</f>
        <v/>
      </c>
      <c r="P959" s="168" t="str">
        <f t="shared" si="184"/>
        <v/>
      </c>
      <c r="Q959" s="168" t="str">
        <f>IFERROR(P959/_xlfn.XLOOKUP(_xlfn.XLOOKUP($F959,Clientes!$B$4:$B$39,Clientes!$C$4:$C$39),Cadastros!$L$6:$L$12,Cadastros!$M$6:$M$12)," ")</f>
        <v xml:space="preserve"> </v>
      </c>
      <c r="R959" s="28"/>
      <c r="S959" s="28"/>
      <c r="T959" s="255" t="str">
        <f>IF(R959="","",(_xlfn.XLOOKUP(R959,Cadastros!$D$6:$D$90,Cadastros!$E$6:$E$90))*(1-_xlfn.XLOOKUP(_xlfn.XLOOKUP($F959,Clientes!$B$4:$B$39,Clientes!$C$4:$C$39),Cadastros!$L$6:$L$12,Cadastros!$N$6:$N$12)))</f>
        <v/>
      </c>
      <c r="U959" s="168" t="str">
        <f t="shared" si="185"/>
        <v/>
      </c>
      <c r="V959" s="168" t="str">
        <f>IFERROR(U959/_xlfn.XLOOKUP(_xlfn.XLOOKUP($F959,Clientes!$B$4:$B$39,Clientes!$C$4:$C$39),Cadastros!$L$6:$L$12,Cadastros!$M$6:$M$12)," ")</f>
        <v xml:space="preserve"> </v>
      </c>
      <c r="W959" s="28"/>
      <c r="X959" s="28"/>
      <c r="Y959" s="255" t="str">
        <f>IF(W959="","",(_xlfn.XLOOKUP(W959,Cadastros!$D$6:$D$90,Cadastros!$E$6:$E$90))*(1-_xlfn.XLOOKUP(_xlfn.XLOOKUP($F959,Clientes!$B$4:$B$39,Clientes!$C$4:$C$39),Cadastros!$L$6:$L$12,Cadastros!$N$6:$N$12)))</f>
        <v/>
      </c>
      <c r="Z959" s="168" t="str">
        <f t="shared" si="186"/>
        <v/>
      </c>
      <c r="AA959" s="168" t="str">
        <f>IFERROR(Z959/_xlfn.XLOOKUP(_xlfn.XLOOKUP($F959,Clientes!$B$4:$B$39,Clientes!$C$4:$C$39),Cadastros!$L$6:$L$12,Cadastros!$M$6:$M$12)," ")</f>
        <v xml:space="preserve"> </v>
      </c>
      <c r="AB959" s="28"/>
      <c r="AC959" s="28"/>
      <c r="AD959" s="20" t="str">
        <f>IF(AB959="","",IF($F959="Bernardino Furlan",_xlfn.XLOOKUP(AB959,Cadastros!$G$6:$G$90,Cadastros!$H$6:$H$90)*(1-0.18),IF($F959="Mauro José Salanti",_xlfn.XLOOKUP(AB959,Cadastros!$G$6:$G$90,Cadastros!$H$6:$H$90)*(1-0.18),_xlfn.XLOOKUP(AB959,Cadastros!$G$6:$G$90,Cadastros!$H$6:$H$90))))</f>
        <v/>
      </c>
      <c r="AE959" s="168" t="str">
        <f t="shared" si="187"/>
        <v/>
      </c>
      <c r="AF959" s="168" t="str">
        <f t="shared" si="188"/>
        <v/>
      </c>
      <c r="AG959" s="28"/>
      <c r="AH959" s="28"/>
      <c r="AI959" s="20" t="str">
        <f>IF(AG959="","",IF($F959="Bernardino Furlan",_xlfn.XLOOKUP(AG959,Cadastros!$G$6:$G$90,Cadastros!$H$6:$H$90)*(1-0.18),IF($F959="Mauro José Salanti",_xlfn.XLOOKUP(AG959,Cadastros!$G$6:$G$90,Cadastros!$H$6:$H$90)*(1-0.18),_xlfn.XLOOKUP(AG959,Cadastros!$G$6:$G$90,Cadastros!$H$6:$H$90))))</f>
        <v/>
      </c>
      <c r="AJ959" s="168" t="str">
        <f t="shared" si="189"/>
        <v/>
      </c>
      <c r="AK959" s="168" t="str">
        <f t="shared" si="190"/>
        <v/>
      </c>
      <c r="AL959" s="28"/>
      <c r="AM959" s="28"/>
      <c r="AN959" s="20" t="str">
        <f>IF(AL959="","",IF($F959="Bernardino Furlan",_xlfn.XLOOKUP(AL959,Cadastros!$G$6:$G$90,Cadastros!$H$6:$H$90)*(1-0.18),IF($F959="Mauro José Salanti",_xlfn.XLOOKUP(AL959,Cadastros!$G$6:$G$90,Cadastros!$H$6:$H$90)*(1-0.18),_xlfn.XLOOKUP(AL959,Cadastros!$G$6:$G$90,Cadastros!$H$6:$H$90))))</f>
        <v/>
      </c>
      <c r="AO959" s="168" t="str">
        <f t="shared" si="191"/>
        <v/>
      </c>
      <c r="AP959" s="168" t="str">
        <f t="shared" si="192"/>
        <v/>
      </c>
      <c r="AQ959" s="28"/>
      <c r="AR959" s="28"/>
      <c r="AS959" s="20" t="str">
        <f>IF(AQ959="","",IF($F959="Bernardino Furlan",_xlfn.XLOOKUP(AQ959,Cadastros!$G$6:$G$90,Cadastros!$H$6:$H$90)*(1-0.18),IF($F959="Mauro José Salanti",_xlfn.XLOOKUP(AQ959,Cadastros!$G$6:$G$90,Cadastros!$H$6:$H$90)*(1-0.18),_xlfn.XLOOKUP(AQ959,Cadastros!$G$6:$G$90,Cadastros!$H$6:$H$90))))</f>
        <v/>
      </c>
      <c r="AT959" s="168" t="str">
        <f t="shared" si="193"/>
        <v/>
      </c>
      <c r="AU959" s="168" t="str">
        <f t="shared" si="194"/>
        <v/>
      </c>
      <c r="AV959" s="227"/>
      <c r="AW959" s="30"/>
      <c r="AX959" s="267"/>
      <c r="AY959" s="267"/>
      <c r="AZ959" s="29"/>
      <c r="BA959" s="30"/>
      <c r="BB959" s="23" t="str" cm="1">
        <f t="array" ref="BB959">_xlfn.IFS(AW959="SIM",SUM(K959,P959,U959,Z959,AE959,AJ959,AO959,AT959,AX959,AY959),F959&lt;&gt;"",SUM(K959,P959,U959,Z959,AE959,AJ959,,AO959,AT959),F959="","")</f>
        <v/>
      </c>
      <c r="BC959" s="211" t="str" cm="1">
        <f t="array" ref="BC959">_xlfn.IFS(E959="","",G959&lt;=E959,BB959*(1-0.03),G959&lt;(E959+8),BB959,AZ959="Boleto",BB959*(1+0.001)^DATEDIF(E959,G959,"D"),AZ959="Cheque",BB959,AZ959="Dinheiro","Alterar forma pgto")</f>
        <v/>
      </c>
      <c r="BD959" s="276" t="str" cm="1">
        <f t="array" ref="BD959">IF(F959=0," ",IF(BC959&lt;BB959,(_xlfn.IFS(AW959="SIM",SUM(L959,Q959,V959,AA959,AF959,AK959,AP959,AU959)+AX959/_xlfn.XLOOKUP(_xlfn.XLOOKUP($F959,Clientes!$B$4:$B$39,Clientes!$C$4:$C$39),Cadastros!$L$6:$L$12,Cadastros!$M$6:$M$12)+IF($F959="Bernardino Furlan",AY959/2751.92,IF($F959="Mauro José Salanti",AY959/2751.92,AY959/3356)),F959&lt;&gt;0,SUM(L959,Q959,V959,AA959,AF959,AK959,AP959,AU959)))*(1-0.03),_xlfn.IFS(AW959="SIM",SUM(L959,Q959,V959,AA959,AF959,AK959,AP959,AU959)+AX959/_xlfn.XLOOKUP(_xlfn.XLOOKUP($F959,Clientes!$B$4:$B$39,Clientes!$C$4:$C$39),Cadastros!$L$6:$L$12,Cadastros!$M$6:$M$12)+IF($F959="Bernardino Furlan",AY959/2751.92,IF($F959="Mauro José Salanti",AY959/2751.92,AY959/3356)),F959&lt;&gt;0,SUM(L959,Q959,V959,AA959,AF959,AK959,AP959,AU959))))</f>
        <v xml:space="preserve"> </v>
      </c>
      <c r="BE959" s="120"/>
      <c r="BF959" s="120"/>
      <c r="BG959" s="120"/>
    </row>
    <row r="960" spans="1:59" s="3" customFormat="1" x14ac:dyDescent="0.3">
      <c r="A960" s="15" t="str">
        <f t="shared" si="182"/>
        <v/>
      </c>
      <c r="B960" s="25"/>
      <c r="C960" s="26"/>
      <c r="D960" s="279"/>
      <c r="E960" s="27"/>
      <c r="F960" s="28"/>
      <c r="G960" s="27"/>
      <c r="H960" s="28"/>
      <c r="I960" s="28"/>
      <c r="J960" s="255" t="str">
        <f>IF(H960="","",(_xlfn.XLOOKUP(H960,Cadastros!$D$6:$D$90,Cadastros!$E$6:$E$90))*(1-_xlfn.XLOOKUP(_xlfn.XLOOKUP($F960,Clientes!$B$4:$B$39,Clientes!$C$4:$C$39),Cadastros!$L$6:$L$12,Cadastros!$N$6:$N$12)))</f>
        <v/>
      </c>
      <c r="K960" s="168" t="str">
        <f t="shared" si="183"/>
        <v/>
      </c>
      <c r="L960" s="168" t="str">
        <f>IFERROR(K960/_xlfn.XLOOKUP(_xlfn.XLOOKUP($F960,Clientes!$B$4:$B$39,Clientes!$C$4:$C$39),Cadastros!$L$6:$L$12,Cadastros!$M$6:$M$12)," ")</f>
        <v xml:space="preserve"> </v>
      </c>
      <c r="M960" s="28"/>
      <c r="N960" s="28"/>
      <c r="O960" s="255" t="str">
        <f>IF(M960="","",(_xlfn.XLOOKUP(M960,Cadastros!$D$6:$D$90,Cadastros!$E$6:$E$90))*(1-_xlfn.XLOOKUP(_xlfn.XLOOKUP($F960,Clientes!$B$4:$B$39,Clientes!$C$4:$C$39),Cadastros!$L$6:$L$12,Cadastros!$N$6:$N$12)))</f>
        <v/>
      </c>
      <c r="P960" s="168" t="str">
        <f t="shared" si="184"/>
        <v/>
      </c>
      <c r="Q960" s="168" t="str">
        <f>IFERROR(P960/_xlfn.XLOOKUP(_xlfn.XLOOKUP($F960,Clientes!$B$4:$B$39,Clientes!$C$4:$C$39),Cadastros!$L$6:$L$12,Cadastros!$M$6:$M$12)," ")</f>
        <v xml:space="preserve"> </v>
      </c>
      <c r="R960" s="28"/>
      <c r="S960" s="28"/>
      <c r="T960" s="255" t="str">
        <f>IF(R960="","",(_xlfn.XLOOKUP(R960,Cadastros!$D$6:$D$90,Cadastros!$E$6:$E$90))*(1-_xlfn.XLOOKUP(_xlfn.XLOOKUP($F960,Clientes!$B$4:$B$39,Clientes!$C$4:$C$39),Cadastros!$L$6:$L$12,Cadastros!$N$6:$N$12)))</f>
        <v/>
      </c>
      <c r="U960" s="168" t="str">
        <f t="shared" si="185"/>
        <v/>
      </c>
      <c r="V960" s="168" t="str">
        <f>IFERROR(U960/_xlfn.XLOOKUP(_xlfn.XLOOKUP($F960,Clientes!$B$4:$B$39,Clientes!$C$4:$C$39),Cadastros!$L$6:$L$12,Cadastros!$M$6:$M$12)," ")</f>
        <v xml:space="preserve"> </v>
      </c>
      <c r="W960" s="28"/>
      <c r="X960" s="28"/>
      <c r="Y960" s="255" t="str">
        <f>IF(W960="","",(_xlfn.XLOOKUP(W960,Cadastros!$D$6:$D$90,Cadastros!$E$6:$E$90))*(1-_xlfn.XLOOKUP(_xlfn.XLOOKUP($F960,Clientes!$B$4:$B$39,Clientes!$C$4:$C$39),Cadastros!$L$6:$L$12,Cadastros!$N$6:$N$12)))</f>
        <v/>
      </c>
      <c r="Z960" s="168" t="str">
        <f t="shared" si="186"/>
        <v/>
      </c>
      <c r="AA960" s="168" t="str">
        <f>IFERROR(Z960/_xlfn.XLOOKUP(_xlfn.XLOOKUP($F960,Clientes!$B$4:$B$39,Clientes!$C$4:$C$39),Cadastros!$L$6:$L$12,Cadastros!$M$6:$M$12)," ")</f>
        <v xml:space="preserve"> </v>
      </c>
      <c r="AB960" s="28"/>
      <c r="AC960" s="28"/>
      <c r="AD960" s="20" t="str">
        <f>IF(AB960="","",IF($F960="Bernardino Furlan",_xlfn.XLOOKUP(AB960,Cadastros!$G$6:$G$90,Cadastros!$H$6:$H$90)*(1-0.18),IF($F960="Mauro José Salanti",_xlfn.XLOOKUP(AB960,Cadastros!$G$6:$G$90,Cadastros!$H$6:$H$90)*(1-0.18),_xlfn.XLOOKUP(AB960,Cadastros!$G$6:$G$90,Cadastros!$H$6:$H$90))))</f>
        <v/>
      </c>
      <c r="AE960" s="168" t="str">
        <f t="shared" si="187"/>
        <v/>
      </c>
      <c r="AF960" s="168" t="str">
        <f t="shared" si="188"/>
        <v/>
      </c>
      <c r="AG960" s="28"/>
      <c r="AH960" s="28"/>
      <c r="AI960" s="20" t="str">
        <f>IF(AG960="","",IF($F960="Bernardino Furlan",_xlfn.XLOOKUP(AG960,Cadastros!$G$6:$G$90,Cadastros!$H$6:$H$90)*(1-0.18),IF($F960="Mauro José Salanti",_xlfn.XLOOKUP(AG960,Cadastros!$G$6:$G$90,Cadastros!$H$6:$H$90)*(1-0.18),_xlfn.XLOOKUP(AG960,Cadastros!$G$6:$G$90,Cadastros!$H$6:$H$90))))</f>
        <v/>
      </c>
      <c r="AJ960" s="168" t="str">
        <f t="shared" si="189"/>
        <v/>
      </c>
      <c r="AK960" s="168" t="str">
        <f t="shared" si="190"/>
        <v/>
      </c>
      <c r="AL960" s="28"/>
      <c r="AM960" s="28"/>
      <c r="AN960" s="20" t="str">
        <f>IF(AL960="","",IF($F960="Bernardino Furlan",_xlfn.XLOOKUP(AL960,Cadastros!$G$6:$G$90,Cadastros!$H$6:$H$90)*(1-0.18),IF($F960="Mauro José Salanti",_xlfn.XLOOKUP(AL960,Cadastros!$G$6:$G$90,Cadastros!$H$6:$H$90)*(1-0.18),_xlfn.XLOOKUP(AL960,Cadastros!$G$6:$G$90,Cadastros!$H$6:$H$90))))</f>
        <v/>
      </c>
      <c r="AO960" s="168" t="str">
        <f t="shared" si="191"/>
        <v/>
      </c>
      <c r="AP960" s="168" t="str">
        <f t="shared" si="192"/>
        <v/>
      </c>
      <c r="AQ960" s="28"/>
      <c r="AR960" s="28"/>
      <c r="AS960" s="20" t="str">
        <f>IF(AQ960="","",IF($F960="Bernardino Furlan",_xlfn.XLOOKUP(AQ960,Cadastros!$G$6:$G$90,Cadastros!$H$6:$H$90)*(1-0.18),IF($F960="Mauro José Salanti",_xlfn.XLOOKUP(AQ960,Cadastros!$G$6:$G$90,Cadastros!$H$6:$H$90)*(1-0.18),_xlfn.XLOOKUP(AQ960,Cadastros!$G$6:$G$90,Cadastros!$H$6:$H$90))))</f>
        <v/>
      </c>
      <c r="AT960" s="168" t="str">
        <f t="shared" si="193"/>
        <v/>
      </c>
      <c r="AU960" s="168" t="str">
        <f t="shared" si="194"/>
        <v/>
      </c>
      <c r="AV960" s="227"/>
      <c r="AW960" s="30"/>
      <c r="AX960" s="267"/>
      <c r="AY960" s="267"/>
      <c r="AZ960" s="29"/>
      <c r="BA960" s="30"/>
      <c r="BB960" s="23" t="str" cm="1">
        <f t="array" ref="BB960">_xlfn.IFS(AW960="SIM",SUM(K960,P960,U960,Z960,AE960,AJ960,AO960,AT960,AX960,AY960),F960&lt;&gt;"",SUM(K960,P960,U960,Z960,AE960,AJ960,,AO960,AT960),F960="","")</f>
        <v/>
      </c>
      <c r="BC960" s="211" t="str" cm="1">
        <f t="array" ref="BC960">_xlfn.IFS(E960="","",G960&lt;=E960,BB960*(1-0.03),G960&lt;(E960+8),BB960,AZ960="Boleto",BB960*(1+0.001)^DATEDIF(E960,G960,"D"),AZ960="Cheque",BB960,AZ960="Dinheiro","Alterar forma pgto")</f>
        <v/>
      </c>
      <c r="BD960" s="276" t="str" cm="1">
        <f t="array" ref="BD960">IF(F960=0," ",IF(BC960&lt;BB960,(_xlfn.IFS(AW960="SIM",SUM(L960,Q960,V960,AA960,AF960,AK960,AP960,AU960)+AX960/_xlfn.XLOOKUP(_xlfn.XLOOKUP($F960,Clientes!$B$4:$B$39,Clientes!$C$4:$C$39),Cadastros!$L$6:$L$12,Cadastros!$M$6:$M$12)+IF($F960="Bernardino Furlan",AY960/2751.92,IF($F960="Mauro José Salanti",AY960/2751.92,AY960/3356)),F960&lt;&gt;0,SUM(L960,Q960,V960,AA960,AF960,AK960,AP960,AU960)))*(1-0.03),_xlfn.IFS(AW960="SIM",SUM(L960,Q960,V960,AA960,AF960,AK960,AP960,AU960)+AX960/_xlfn.XLOOKUP(_xlfn.XLOOKUP($F960,Clientes!$B$4:$B$39,Clientes!$C$4:$C$39),Cadastros!$L$6:$L$12,Cadastros!$M$6:$M$12)+IF($F960="Bernardino Furlan",AY960/2751.92,IF($F960="Mauro José Salanti",AY960/2751.92,AY960/3356)),F960&lt;&gt;0,SUM(L960,Q960,V960,AA960,AF960,AK960,AP960,AU960))))</f>
        <v xml:space="preserve"> </v>
      </c>
      <c r="BE960" s="120"/>
      <c r="BF960" s="120"/>
      <c r="BG960" s="120"/>
    </row>
    <row r="961" spans="1:59" s="3" customFormat="1" x14ac:dyDescent="0.3">
      <c r="A961" s="15" t="str">
        <f t="shared" si="182"/>
        <v/>
      </c>
      <c r="B961" s="25"/>
      <c r="C961" s="26"/>
      <c r="D961" s="279"/>
      <c r="E961" s="27"/>
      <c r="F961" s="28"/>
      <c r="G961" s="27"/>
      <c r="H961" s="28"/>
      <c r="I961" s="28"/>
      <c r="J961" s="255" t="str">
        <f>IF(H961="","",(_xlfn.XLOOKUP(H961,Cadastros!$D$6:$D$90,Cadastros!$E$6:$E$90))*(1-_xlfn.XLOOKUP(_xlfn.XLOOKUP($F961,Clientes!$B$4:$B$39,Clientes!$C$4:$C$39),Cadastros!$L$6:$L$12,Cadastros!$N$6:$N$12)))</f>
        <v/>
      </c>
      <c r="K961" s="168" t="str">
        <f t="shared" si="183"/>
        <v/>
      </c>
      <c r="L961" s="168" t="str">
        <f>IFERROR(K961/_xlfn.XLOOKUP(_xlfn.XLOOKUP($F961,Clientes!$B$4:$B$39,Clientes!$C$4:$C$39),Cadastros!$L$6:$L$12,Cadastros!$M$6:$M$12)," ")</f>
        <v xml:space="preserve"> </v>
      </c>
      <c r="M961" s="28"/>
      <c r="N961" s="28"/>
      <c r="O961" s="255" t="str">
        <f>IF(M961="","",(_xlfn.XLOOKUP(M961,Cadastros!$D$6:$D$90,Cadastros!$E$6:$E$90))*(1-_xlfn.XLOOKUP(_xlfn.XLOOKUP($F961,Clientes!$B$4:$B$39,Clientes!$C$4:$C$39),Cadastros!$L$6:$L$12,Cadastros!$N$6:$N$12)))</f>
        <v/>
      </c>
      <c r="P961" s="168" t="str">
        <f t="shared" si="184"/>
        <v/>
      </c>
      <c r="Q961" s="168" t="str">
        <f>IFERROR(P961/_xlfn.XLOOKUP(_xlfn.XLOOKUP($F961,Clientes!$B$4:$B$39,Clientes!$C$4:$C$39),Cadastros!$L$6:$L$12,Cadastros!$M$6:$M$12)," ")</f>
        <v xml:space="preserve"> </v>
      </c>
      <c r="R961" s="28"/>
      <c r="S961" s="28"/>
      <c r="T961" s="255" t="str">
        <f>IF(R961="","",(_xlfn.XLOOKUP(R961,Cadastros!$D$6:$D$90,Cadastros!$E$6:$E$90))*(1-_xlfn.XLOOKUP(_xlfn.XLOOKUP($F961,Clientes!$B$4:$B$39,Clientes!$C$4:$C$39),Cadastros!$L$6:$L$12,Cadastros!$N$6:$N$12)))</f>
        <v/>
      </c>
      <c r="U961" s="168" t="str">
        <f t="shared" si="185"/>
        <v/>
      </c>
      <c r="V961" s="168" t="str">
        <f>IFERROR(U961/_xlfn.XLOOKUP(_xlfn.XLOOKUP($F961,Clientes!$B$4:$B$39,Clientes!$C$4:$C$39),Cadastros!$L$6:$L$12,Cadastros!$M$6:$M$12)," ")</f>
        <v xml:space="preserve"> </v>
      </c>
      <c r="W961" s="28"/>
      <c r="X961" s="28"/>
      <c r="Y961" s="255" t="str">
        <f>IF(W961="","",(_xlfn.XLOOKUP(W961,Cadastros!$D$6:$D$90,Cadastros!$E$6:$E$90))*(1-_xlfn.XLOOKUP(_xlfn.XLOOKUP($F961,Clientes!$B$4:$B$39,Clientes!$C$4:$C$39),Cadastros!$L$6:$L$12,Cadastros!$N$6:$N$12)))</f>
        <v/>
      </c>
      <c r="Z961" s="168" t="str">
        <f t="shared" si="186"/>
        <v/>
      </c>
      <c r="AA961" s="168" t="str">
        <f>IFERROR(Z961/_xlfn.XLOOKUP(_xlfn.XLOOKUP($F961,Clientes!$B$4:$B$39,Clientes!$C$4:$C$39),Cadastros!$L$6:$L$12,Cadastros!$M$6:$M$12)," ")</f>
        <v xml:space="preserve"> </v>
      </c>
      <c r="AB961" s="28"/>
      <c r="AC961" s="28"/>
      <c r="AD961" s="20" t="str">
        <f>IF(AB961="","",IF($F961="Bernardino Furlan",_xlfn.XLOOKUP(AB961,Cadastros!$G$6:$G$90,Cadastros!$H$6:$H$90)*(1-0.18),IF($F961="Mauro José Salanti",_xlfn.XLOOKUP(AB961,Cadastros!$G$6:$G$90,Cadastros!$H$6:$H$90)*(1-0.18),_xlfn.XLOOKUP(AB961,Cadastros!$G$6:$G$90,Cadastros!$H$6:$H$90))))</f>
        <v/>
      </c>
      <c r="AE961" s="168" t="str">
        <f t="shared" si="187"/>
        <v/>
      </c>
      <c r="AF961" s="168" t="str">
        <f t="shared" si="188"/>
        <v/>
      </c>
      <c r="AG961" s="28"/>
      <c r="AH961" s="28"/>
      <c r="AI961" s="20" t="str">
        <f>IF(AG961="","",IF($F961="Bernardino Furlan",_xlfn.XLOOKUP(AG961,Cadastros!$G$6:$G$90,Cadastros!$H$6:$H$90)*(1-0.18),IF($F961="Mauro José Salanti",_xlfn.XLOOKUP(AG961,Cadastros!$G$6:$G$90,Cadastros!$H$6:$H$90)*(1-0.18),_xlfn.XLOOKUP(AG961,Cadastros!$G$6:$G$90,Cadastros!$H$6:$H$90))))</f>
        <v/>
      </c>
      <c r="AJ961" s="168" t="str">
        <f t="shared" si="189"/>
        <v/>
      </c>
      <c r="AK961" s="168" t="str">
        <f t="shared" si="190"/>
        <v/>
      </c>
      <c r="AL961" s="28"/>
      <c r="AM961" s="28"/>
      <c r="AN961" s="20" t="str">
        <f>IF(AL961="","",IF($F961="Bernardino Furlan",_xlfn.XLOOKUP(AL961,Cadastros!$G$6:$G$90,Cadastros!$H$6:$H$90)*(1-0.18),IF($F961="Mauro José Salanti",_xlfn.XLOOKUP(AL961,Cadastros!$G$6:$G$90,Cadastros!$H$6:$H$90)*(1-0.18),_xlfn.XLOOKUP(AL961,Cadastros!$G$6:$G$90,Cadastros!$H$6:$H$90))))</f>
        <v/>
      </c>
      <c r="AO961" s="168" t="str">
        <f t="shared" si="191"/>
        <v/>
      </c>
      <c r="AP961" s="168" t="str">
        <f t="shared" si="192"/>
        <v/>
      </c>
      <c r="AQ961" s="28"/>
      <c r="AR961" s="28"/>
      <c r="AS961" s="20" t="str">
        <f>IF(AQ961="","",IF($F961="Bernardino Furlan",_xlfn.XLOOKUP(AQ961,Cadastros!$G$6:$G$90,Cadastros!$H$6:$H$90)*(1-0.18),IF($F961="Mauro José Salanti",_xlfn.XLOOKUP(AQ961,Cadastros!$G$6:$G$90,Cadastros!$H$6:$H$90)*(1-0.18),_xlfn.XLOOKUP(AQ961,Cadastros!$G$6:$G$90,Cadastros!$H$6:$H$90))))</f>
        <v/>
      </c>
      <c r="AT961" s="168" t="str">
        <f t="shared" si="193"/>
        <v/>
      </c>
      <c r="AU961" s="168" t="str">
        <f t="shared" si="194"/>
        <v/>
      </c>
      <c r="AV961" s="227"/>
      <c r="AW961" s="30"/>
      <c r="AX961" s="267"/>
      <c r="AY961" s="267"/>
      <c r="AZ961" s="29"/>
      <c r="BA961" s="30"/>
      <c r="BB961" s="23" t="str" cm="1">
        <f t="array" ref="BB961">_xlfn.IFS(AW961="SIM",SUM(K961,P961,U961,Z961,AE961,AJ961,AO961,AT961,AX961,AY961),F961&lt;&gt;"",SUM(K961,P961,U961,Z961,AE961,AJ961,,AO961,AT961),F961="","")</f>
        <v/>
      </c>
      <c r="BC961" s="211" t="str" cm="1">
        <f t="array" ref="BC961">_xlfn.IFS(E961="","",G961&lt;=E961,BB961*(1-0.03),G961&lt;(E961+8),BB961,AZ961="Boleto",BB961*(1+0.001)^DATEDIF(E961,G961,"D"),AZ961="Cheque",BB961,AZ961="Dinheiro","Alterar forma pgto")</f>
        <v/>
      </c>
      <c r="BD961" s="276" t="str" cm="1">
        <f t="array" ref="BD961">IF(F961=0," ",IF(BC961&lt;BB961,(_xlfn.IFS(AW961="SIM",SUM(L961,Q961,V961,AA961,AF961,AK961,AP961,AU961)+AX961/_xlfn.XLOOKUP(_xlfn.XLOOKUP($F961,Clientes!$B$4:$B$39,Clientes!$C$4:$C$39),Cadastros!$L$6:$L$12,Cadastros!$M$6:$M$12)+IF($F961="Bernardino Furlan",AY961/2751.92,IF($F961="Mauro José Salanti",AY961/2751.92,AY961/3356)),F961&lt;&gt;0,SUM(L961,Q961,V961,AA961,AF961,AK961,AP961,AU961)))*(1-0.03),_xlfn.IFS(AW961="SIM",SUM(L961,Q961,V961,AA961,AF961,AK961,AP961,AU961)+AX961/_xlfn.XLOOKUP(_xlfn.XLOOKUP($F961,Clientes!$B$4:$B$39,Clientes!$C$4:$C$39),Cadastros!$L$6:$L$12,Cadastros!$M$6:$M$12)+IF($F961="Bernardino Furlan",AY961/2751.92,IF($F961="Mauro José Salanti",AY961/2751.92,AY961/3356)),F961&lt;&gt;0,SUM(L961,Q961,V961,AA961,AF961,AK961,AP961,AU961))))</f>
        <v xml:space="preserve"> </v>
      </c>
      <c r="BE961" s="120"/>
      <c r="BF961" s="120"/>
      <c r="BG961" s="120"/>
    </row>
    <row r="962" spans="1:59" s="3" customFormat="1" x14ac:dyDescent="0.3">
      <c r="A962" s="15" t="str">
        <f t="shared" si="182"/>
        <v/>
      </c>
      <c r="B962" s="25"/>
      <c r="C962" s="26"/>
      <c r="D962" s="279"/>
      <c r="E962" s="27"/>
      <c r="F962" s="28"/>
      <c r="G962" s="27"/>
      <c r="H962" s="28"/>
      <c r="I962" s="28"/>
      <c r="J962" s="255" t="str">
        <f>IF(H962="","",(_xlfn.XLOOKUP(H962,Cadastros!$D$6:$D$90,Cadastros!$E$6:$E$90))*(1-_xlfn.XLOOKUP(_xlfn.XLOOKUP($F962,Clientes!$B$4:$B$39,Clientes!$C$4:$C$39),Cadastros!$L$6:$L$12,Cadastros!$N$6:$N$12)))</f>
        <v/>
      </c>
      <c r="K962" s="168" t="str">
        <f t="shared" si="183"/>
        <v/>
      </c>
      <c r="L962" s="168" t="str">
        <f>IFERROR(K962/_xlfn.XLOOKUP(_xlfn.XLOOKUP($F962,Clientes!$B$4:$B$39,Clientes!$C$4:$C$39),Cadastros!$L$6:$L$12,Cadastros!$M$6:$M$12)," ")</f>
        <v xml:space="preserve"> </v>
      </c>
      <c r="M962" s="28"/>
      <c r="N962" s="28"/>
      <c r="O962" s="255" t="str">
        <f>IF(M962="","",(_xlfn.XLOOKUP(M962,Cadastros!$D$6:$D$90,Cadastros!$E$6:$E$90))*(1-_xlfn.XLOOKUP(_xlfn.XLOOKUP($F962,Clientes!$B$4:$B$39,Clientes!$C$4:$C$39),Cadastros!$L$6:$L$12,Cadastros!$N$6:$N$12)))</f>
        <v/>
      </c>
      <c r="P962" s="168" t="str">
        <f t="shared" si="184"/>
        <v/>
      </c>
      <c r="Q962" s="168" t="str">
        <f>IFERROR(P962/_xlfn.XLOOKUP(_xlfn.XLOOKUP($F962,Clientes!$B$4:$B$39,Clientes!$C$4:$C$39),Cadastros!$L$6:$L$12,Cadastros!$M$6:$M$12)," ")</f>
        <v xml:space="preserve"> </v>
      </c>
      <c r="R962" s="28"/>
      <c r="S962" s="28"/>
      <c r="T962" s="255" t="str">
        <f>IF(R962="","",(_xlfn.XLOOKUP(R962,Cadastros!$D$6:$D$90,Cadastros!$E$6:$E$90))*(1-_xlfn.XLOOKUP(_xlfn.XLOOKUP($F962,Clientes!$B$4:$B$39,Clientes!$C$4:$C$39),Cadastros!$L$6:$L$12,Cadastros!$N$6:$N$12)))</f>
        <v/>
      </c>
      <c r="U962" s="168" t="str">
        <f t="shared" si="185"/>
        <v/>
      </c>
      <c r="V962" s="168" t="str">
        <f>IFERROR(U962/_xlfn.XLOOKUP(_xlfn.XLOOKUP($F962,Clientes!$B$4:$B$39,Clientes!$C$4:$C$39),Cadastros!$L$6:$L$12,Cadastros!$M$6:$M$12)," ")</f>
        <v xml:space="preserve"> </v>
      </c>
      <c r="W962" s="28"/>
      <c r="X962" s="28"/>
      <c r="Y962" s="255" t="str">
        <f>IF(W962="","",(_xlfn.XLOOKUP(W962,Cadastros!$D$6:$D$90,Cadastros!$E$6:$E$90))*(1-_xlfn.XLOOKUP(_xlfn.XLOOKUP($F962,Clientes!$B$4:$B$39,Clientes!$C$4:$C$39),Cadastros!$L$6:$L$12,Cadastros!$N$6:$N$12)))</f>
        <v/>
      </c>
      <c r="Z962" s="168" t="str">
        <f t="shared" si="186"/>
        <v/>
      </c>
      <c r="AA962" s="168" t="str">
        <f>IFERROR(Z962/_xlfn.XLOOKUP(_xlfn.XLOOKUP($F962,Clientes!$B$4:$B$39,Clientes!$C$4:$C$39),Cadastros!$L$6:$L$12,Cadastros!$M$6:$M$12)," ")</f>
        <v xml:space="preserve"> </v>
      </c>
      <c r="AB962" s="28"/>
      <c r="AC962" s="28"/>
      <c r="AD962" s="20" t="str">
        <f>IF(AB962="","",IF($F962="Bernardino Furlan",_xlfn.XLOOKUP(AB962,Cadastros!$G$6:$G$90,Cadastros!$H$6:$H$90)*(1-0.18),IF($F962="Mauro José Salanti",_xlfn.XLOOKUP(AB962,Cadastros!$G$6:$G$90,Cadastros!$H$6:$H$90)*(1-0.18),_xlfn.XLOOKUP(AB962,Cadastros!$G$6:$G$90,Cadastros!$H$6:$H$90))))</f>
        <v/>
      </c>
      <c r="AE962" s="168" t="str">
        <f t="shared" si="187"/>
        <v/>
      </c>
      <c r="AF962" s="168" t="str">
        <f t="shared" si="188"/>
        <v/>
      </c>
      <c r="AG962" s="28"/>
      <c r="AH962" s="28"/>
      <c r="AI962" s="20" t="str">
        <f>IF(AG962="","",IF($F962="Bernardino Furlan",_xlfn.XLOOKUP(AG962,Cadastros!$G$6:$G$90,Cadastros!$H$6:$H$90)*(1-0.18),IF($F962="Mauro José Salanti",_xlfn.XLOOKUP(AG962,Cadastros!$G$6:$G$90,Cadastros!$H$6:$H$90)*(1-0.18),_xlfn.XLOOKUP(AG962,Cadastros!$G$6:$G$90,Cadastros!$H$6:$H$90))))</f>
        <v/>
      </c>
      <c r="AJ962" s="168" t="str">
        <f t="shared" si="189"/>
        <v/>
      </c>
      <c r="AK962" s="168" t="str">
        <f t="shared" si="190"/>
        <v/>
      </c>
      <c r="AL962" s="28"/>
      <c r="AM962" s="28"/>
      <c r="AN962" s="20" t="str">
        <f>IF(AL962="","",IF($F962="Bernardino Furlan",_xlfn.XLOOKUP(AL962,Cadastros!$G$6:$G$90,Cadastros!$H$6:$H$90)*(1-0.18),IF($F962="Mauro José Salanti",_xlfn.XLOOKUP(AL962,Cadastros!$G$6:$G$90,Cadastros!$H$6:$H$90)*(1-0.18),_xlfn.XLOOKUP(AL962,Cadastros!$G$6:$G$90,Cadastros!$H$6:$H$90))))</f>
        <v/>
      </c>
      <c r="AO962" s="168" t="str">
        <f t="shared" si="191"/>
        <v/>
      </c>
      <c r="AP962" s="168" t="str">
        <f t="shared" si="192"/>
        <v/>
      </c>
      <c r="AQ962" s="28"/>
      <c r="AR962" s="28"/>
      <c r="AS962" s="20" t="str">
        <f>IF(AQ962="","",IF($F962="Bernardino Furlan",_xlfn.XLOOKUP(AQ962,Cadastros!$G$6:$G$90,Cadastros!$H$6:$H$90)*(1-0.18),IF($F962="Mauro José Salanti",_xlfn.XLOOKUP(AQ962,Cadastros!$G$6:$G$90,Cadastros!$H$6:$H$90)*(1-0.18),_xlfn.XLOOKUP(AQ962,Cadastros!$G$6:$G$90,Cadastros!$H$6:$H$90))))</f>
        <v/>
      </c>
      <c r="AT962" s="168" t="str">
        <f t="shared" si="193"/>
        <v/>
      </c>
      <c r="AU962" s="168" t="str">
        <f t="shared" si="194"/>
        <v/>
      </c>
      <c r="AV962" s="227"/>
      <c r="AW962" s="30"/>
      <c r="AX962" s="267"/>
      <c r="AY962" s="267"/>
      <c r="AZ962" s="29"/>
      <c r="BA962" s="30"/>
      <c r="BB962" s="23" t="str" cm="1">
        <f t="array" ref="BB962">_xlfn.IFS(AW962="SIM",SUM(K962,P962,U962,Z962,AE962,AJ962,AO962,AT962,AX962,AY962),F962&lt;&gt;"",SUM(K962,P962,U962,Z962,AE962,AJ962,,AO962,AT962),F962="","")</f>
        <v/>
      </c>
      <c r="BC962" s="211" t="str" cm="1">
        <f t="array" ref="BC962">_xlfn.IFS(E962="","",G962&lt;=E962,BB962*(1-0.03),G962&lt;(E962+8),BB962,AZ962="Boleto",BB962*(1+0.001)^DATEDIF(E962,G962,"D"),AZ962="Cheque",BB962,AZ962="Dinheiro","Alterar forma pgto")</f>
        <v/>
      </c>
      <c r="BD962" s="276" t="str" cm="1">
        <f t="array" ref="BD962">IF(F962=0," ",IF(BC962&lt;BB962,(_xlfn.IFS(AW962="SIM",SUM(L962,Q962,V962,AA962,AF962,AK962,AP962,AU962)+AX962/_xlfn.XLOOKUP(_xlfn.XLOOKUP($F962,Clientes!$B$4:$B$39,Clientes!$C$4:$C$39),Cadastros!$L$6:$L$12,Cadastros!$M$6:$M$12)+IF($F962="Bernardino Furlan",AY962/2751.92,IF($F962="Mauro José Salanti",AY962/2751.92,AY962/3356)),F962&lt;&gt;0,SUM(L962,Q962,V962,AA962,AF962,AK962,AP962,AU962)))*(1-0.03),_xlfn.IFS(AW962="SIM",SUM(L962,Q962,V962,AA962,AF962,AK962,AP962,AU962)+AX962/_xlfn.XLOOKUP(_xlfn.XLOOKUP($F962,Clientes!$B$4:$B$39,Clientes!$C$4:$C$39),Cadastros!$L$6:$L$12,Cadastros!$M$6:$M$12)+IF($F962="Bernardino Furlan",AY962/2751.92,IF($F962="Mauro José Salanti",AY962/2751.92,AY962/3356)),F962&lt;&gt;0,SUM(L962,Q962,V962,AA962,AF962,AK962,AP962,AU962))))</f>
        <v xml:space="preserve"> </v>
      </c>
      <c r="BE962" s="120"/>
      <c r="BF962" s="120"/>
      <c r="BG962" s="120"/>
    </row>
    <row r="963" spans="1:59" s="3" customFormat="1" x14ac:dyDescent="0.3">
      <c r="A963" s="15" t="str">
        <f t="shared" si="182"/>
        <v/>
      </c>
      <c r="B963" s="25"/>
      <c r="C963" s="26"/>
      <c r="D963" s="279"/>
      <c r="E963" s="27"/>
      <c r="F963" s="28"/>
      <c r="G963" s="27"/>
      <c r="H963" s="28"/>
      <c r="I963" s="28"/>
      <c r="J963" s="255" t="str">
        <f>IF(H963="","",(_xlfn.XLOOKUP(H963,Cadastros!$D$6:$D$90,Cadastros!$E$6:$E$90))*(1-_xlfn.XLOOKUP(_xlfn.XLOOKUP($F963,Clientes!$B$4:$B$39,Clientes!$C$4:$C$39),Cadastros!$L$6:$L$12,Cadastros!$N$6:$N$12)))</f>
        <v/>
      </c>
      <c r="K963" s="168" t="str">
        <f t="shared" si="183"/>
        <v/>
      </c>
      <c r="L963" s="168" t="str">
        <f>IFERROR(K963/_xlfn.XLOOKUP(_xlfn.XLOOKUP($F963,Clientes!$B$4:$B$39,Clientes!$C$4:$C$39),Cadastros!$L$6:$L$12,Cadastros!$M$6:$M$12)," ")</f>
        <v xml:space="preserve"> </v>
      </c>
      <c r="M963" s="28"/>
      <c r="N963" s="28"/>
      <c r="O963" s="255" t="str">
        <f>IF(M963="","",(_xlfn.XLOOKUP(M963,Cadastros!$D$6:$D$90,Cadastros!$E$6:$E$90))*(1-_xlfn.XLOOKUP(_xlfn.XLOOKUP($F963,Clientes!$B$4:$B$39,Clientes!$C$4:$C$39),Cadastros!$L$6:$L$12,Cadastros!$N$6:$N$12)))</f>
        <v/>
      </c>
      <c r="P963" s="168" t="str">
        <f t="shared" si="184"/>
        <v/>
      </c>
      <c r="Q963" s="168" t="str">
        <f>IFERROR(P963/_xlfn.XLOOKUP(_xlfn.XLOOKUP($F963,Clientes!$B$4:$B$39,Clientes!$C$4:$C$39),Cadastros!$L$6:$L$12,Cadastros!$M$6:$M$12)," ")</f>
        <v xml:space="preserve"> </v>
      </c>
      <c r="R963" s="28"/>
      <c r="S963" s="28"/>
      <c r="T963" s="255" t="str">
        <f>IF(R963="","",(_xlfn.XLOOKUP(R963,Cadastros!$D$6:$D$90,Cadastros!$E$6:$E$90))*(1-_xlfn.XLOOKUP(_xlfn.XLOOKUP($F963,Clientes!$B$4:$B$39,Clientes!$C$4:$C$39),Cadastros!$L$6:$L$12,Cadastros!$N$6:$N$12)))</f>
        <v/>
      </c>
      <c r="U963" s="168" t="str">
        <f t="shared" si="185"/>
        <v/>
      </c>
      <c r="V963" s="168" t="str">
        <f>IFERROR(U963/_xlfn.XLOOKUP(_xlfn.XLOOKUP($F963,Clientes!$B$4:$B$39,Clientes!$C$4:$C$39),Cadastros!$L$6:$L$12,Cadastros!$M$6:$M$12)," ")</f>
        <v xml:space="preserve"> </v>
      </c>
      <c r="W963" s="28"/>
      <c r="X963" s="28"/>
      <c r="Y963" s="255" t="str">
        <f>IF(W963="","",(_xlfn.XLOOKUP(W963,Cadastros!$D$6:$D$90,Cadastros!$E$6:$E$90))*(1-_xlfn.XLOOKUP(_xlfn.XLOOKUP($F963,Clientes!$B$4:$B$39,Clientes!$C$4:$C$39),Cadastros!$L$6:$L$12,Cadastros!$N$6:$N$12)))</f>
        <v/>
      </c>
      <c r="Z963" s="168" t="str">
        <f t="shared" si="186"/>
        <v/>
      </c>
      <c r="AA963" s="168" t="str">
        <f>IFERROR(Z963/_xlfn.XLOOKUP(_xlfn.XLOOKUP($F963,Clientes!$B$4:$B$39,Clientes!$C$4:$C$39),Cadastros!$L$6:$L$12,Cadastros!$M$6:$M$12)," ")</f>
        <v xml:space="preserve"> </v>
      </c>
      <c r="AB963" s="28"/>
      <c r="AC963" s="28"/>
      <c r="AD963" s="20" t="str">
        <f>IF(AB963="","",IF($F963="Bernardino Furlan",_xlfn.XLOOKUP(AB963,Cadastros!$G$6:$G$90,Cadastros!$H$6:$H$90)*(1-0.18),IF($F963="Mauro José Salanti",_xlfn.XLOOKUP(AB963,Cadastros!$G$6:$G$90,Cadastros!$H$6:$H$90)*(1-0.18),_xlfn.XLOOKUP(AB963,Cadastros!$G$6:$G$90,Cadastros!$H$6:$H$90))))</f>
        <v/>
      </c>
      <c r="AE963" s="168" t="str">
        <f t="shared" si="187"/>
        <v/>
      </c>
      <c r="AF963" s="168" t="str">
        <f t="shared" si="188"/>
        <v/>
      </c>
      <c r="AG963" s="28"/>
      <c r="AH963" s="28"/>
      <c r="AI963" s="20" t="str">
        <f>IF(AG963="","",IF($F963="Bernardino Furlan",_xlfn.XLOOKUP(AG963,Cadastros!$G$6:$G$90,Cadastros!$H$6:$H$90)*(1-0.18),IF($F963="Mauro José Salanti",_xlfn.XLOOKUP(AG963,Cadastros!$G$6:$G$90,Cadastros!$H$6:$H$90)*(1-0.18),_xlfn.XLOOKUP(AG963,Cadastros!$G$6:$G$90,Cadastros!$H$6:$H$90))))</f>
        <v/>
      </c>
      <c r="AJ963" s="168" t="str">
        <f t="shared" si="189"/>
        <v/>
      </c>
      <c r="AK963" s="168" t="str">
        <f t="shared" si="190"/>
        <v/>
      </c>
      <c r="AL963" s="28"/>
      <c r="AM963" s="28"/>
      <c r="AN963" s="20" t="str">
        <f>IF(AL963="","",IF($F963="Bernardino Furlan",_xlfn.XLOOKUP(AL963,Cadastros!$G$6:$G$90,Cadastros!$H$6:$H$90)*(1-0.18),IF($F963="Mauro José Salanti",_xlfn.XLOOKUP(AL963,Cadastros!$G$6:$G$90,Cadastros!$H$6:$H$90)*(1-0.18),_xlfn.XLOOKUP(AL963,Cadastros!$G$6:$G$90,Cadastros!$H$6:$H$90))))</f>
        <v/>
      </c>
      <c r="AO963" s="168" t="str">
        <f t="shared" si="191"/>
        <v/>
      </c>
      <c r="AP963" s="168" t="str">
        <f t="shared" si="192"/>
        <v/>
      </c>
      <c r="AQ963" s="28"/>
      <c r="AR963" s="28"/>
      <c r="AS963" s="20" t="str">
        <f>IF(AQ963="","",IF($F963="Bernardino Furlan",_xlfn.XLOOKUP(AQ963,Cadastros!$G$6:$G$90,Cadastros!$H$6:$H$90)*(1-0.18),IF($F963="Mauro José Salanti",_xlfn.XLOOKUP(AQ963,Cadastros!$G$6:$G$90,Cadastros!$H$6:$H$90)*(1-0.18),_xlfn.XLOOKUP(AQ963,Cadastros!$G$6:$G$90,Cadastros!$H$6:$H$90))))</f>
        <v/>
      </c>
      <c r="AT963" s="168" t="str">
        <f t="shared" si="193"/>
        <v/>
      </c>
      <c r="AU963" s="168" t="str">
        <f t="shared" si="194"/>
        <v/>
      </c>
      <c r="AV963" s="227"/>
      <c r="AW963" s="30"/>
      <c r="AX963" s="267"/>
      <c r="AY963" s="267"/>
      <c r="AZ963" s="29"/>
      <c r="BA963" s="30"/>
      <c r="BB963" s="23" t="str" cm="1">
        <f t="array" ref="BB963">_xlfn.IFS(AW963="SIM",SUM(K963,P963,U963,Z963,AE963,AJ963,AO963,AT963,AX963,AY963),F963&lt;&gt;"",SUM(K963,P963,U963,Z963,AE963,AJ963,,AO963,AT963),F963="","")</f>
        <v/>
      </c>
      <c r="BC963" s="211" t="str" cm="1">
        <f t="array" ref="BC963">_xlfn.IFS(E963="","",G963&lt;=E963,BB963*(1-0.03),G963&lt;(E963+8),BB963,AZ963="Boleto",BB963*(1+0.001)^DATEDIF(E963,G963,"D"),AZ963="Cheque",BB963,AZ963="Dinheiro","Alterar forma pgto")</f>
        <v/>
      </c>
      <c r="BD963" s="276" t="str" cm="1">
        <f t="array" ref="BD963">IF(F963=0," ",IF(BC963&lt;BB963,(_xlfn.IFS(AW963="SIM",SUM(L963,Q963,V963,AA963,AF963,AK963,AP963,AU963)+AX963/_xlfn.XLOOKUP(_xlfn.XLOOKUP($F963,Clientes!$B$4:$B$39,Clientes!$C$4:$C$39),Cadastros!$L$6:$L$12,Cadastros!$M$6:$M$12)+IF($F963="Bernardino Furlan",AY963/2751.92,IF($F963="Mauro José Salanti",AY963/2751.92,AY963/3356)),F963&lt;&gt;0,SUM(L963,Q963,V963,AA963,AF963,AK963,AP963,AU963)))*(1-0.03),_xlfn.IFS(AW963="SIM",SUM(L963,Q963,V963,AA963,AF963,AK963,AP963,AU963)+AX963/_xlfn.XLOOKUP(_xlfn.XLOOKUP($F963,Clientes!$B$4:$B$39,Clientes!$C$4:$C$39),Cadastros!$L$6:$L$12,Cadastros!$M$6:$M$12)+IF($F963="Bernardino Furlan",AY963/2751.92,IF($F963="Mauro José Salanti",AY963/2751.92,AY963/3356)),F963&lt;&gt;0,SUM(L963,Q963,V963,AA963,AF963,AK963,AP963,AU963))))</f>
        <v xml:space="preserve"> </v>
      </c>
      <c r="BE963" s="120"/>
      <c r="BF963" s="120"/>
      <c r="BG963" s="120"/>
    </row>
    <row r="964" spans="1:59" s="3" customFormat="1" x14ac:dyDescent="0.3">
      <c r="A964" s="15" t="str">
        <f t="shared" si="182"/>
        <v/>
      </c>
      <c r="B964" s="25"/>
      <c r="C964" s="26"/>
      <c r="D964" s="279"/>
      <c r="E964" s="27"/>
      <c r="F964" s="28"/>
      <c r="G964" s="27"/>
      <c r="H964" s="28"/>
      <c r="I964" s="28"/>
      <c r="J964" s="255" t="str">
        <f>IF(H964="","",(_xlfn.XLOOKUP(H964,Cadastros!$D$6:$D$90,Cadastros!$E$6:$E$90))*(1-_xlfn.XLOOKUP(_xlfn.XLOOKUP($F964,Clientes!$B$4:$B$39,Clientes!$C$4:$C$39),Cadastros!$L$6:$L$12,Cadastros!$N$6:$N$12)))</f>
        <v/>
      </c>
      <c r="K964" s="168" t="str">
        <f t="shared" si="183"/>
        <v/>
      </c>
      <c r="L964" s="168" t="str">
        <f>IFERROR(K964/_xlfn.XLOOKUP(_xlfn.XLOOKUP($F964,Clientes!$B$4:$B$39,Clientes!$C$4:$C$39),Cadastros!$L$6:$L$12,Cadastros!$M$6:$M$12)," ")</f>
        <v xml:space="preserve"> </v>
      </c>
      <c r="M964" s="28"/>
      <c r="N964" s="28"/>
      <c r="O964" s="255" t="str">
        <f>IF(M964="","",(_xlfn.XLOOKUP(M964,Cadastros!$D$6:$D$90,Cadastros!$E$6:$E$90))*(1-_xlfn.XLOOKUP(_xlfn.XLOOKUP($F964,Clientes!$B$4:$B$39,Clientes!$C$4:$C$39),Cadastros!$L$6:$L$12,Cadastros!$N$6:$N$12)))</f>
        <v/>
      </c>
      <c r="P964" s="168" t="str">
        <f t="shared" si="184"/>
        <v/>
      </c>
      <c r="Q964" s="168" t="str">
        <f>IFERROR(P964/_xlfn.XLOOKUP(_xlfn.XLOOKUP($F964,Clientes!$B$4:$B$39,Clientes!$C$4:$C$39),Cadastros!$L$6:$L$12,Cadastros!$M$6:$M$12)," ")</f>
        <v xml:space="preserve"> </v>
      </c>
      <c r="R964" s="28"/>
      <c r="S964" s="28"/>
      <c r="T964" s="255" t="str">
        <f>IF(R964="","",(_xlfn.XLOOKUP(R964,Cadastros!$D$6:$D$90,Cadastros!$E$6:$E$90))*(1-_xlfn.XLOOKUP(_xlfn.XLOOKUP($F964,Clientes!$B$4:$B$39,Clientes!$C$4:$C$39),Cadastros!$L$6:$L$12,Cadastros!$N$6:$N$12)))</f>
        <v/>
      </c>
      <c r="U964" s="168" t="str">
        <f t="shared" si="185"/>
        <v/>
      </c>
      <c r="V964" s="168" t="str">
        <f>IFERROR(U964/_xlfn.XLOOKUP(_xlfn.XLOOKUP($F964,Clientes!$B$4:$B$39,Clientes!$C$4:$C$39),Cadastros!$L$6:$L$12,Cadastros!$M$6:$M$12)," ")</f>
        <v xml:space="preserve"> </v>
      </c>
      <c r="W964" s="28"/>
      <c r="X964" s="28"/>
      <c r="Y964" s="255" t="str">
        <f>IF(W964="","",(_xlfn.XLOOKUP(W964,Cadastros!$D$6:$D$90,Cadastros!$E$6:$E$90))*(1-_xlfn.XLOOKUP(_xlfn.XLOOKUP($F964,Clientes!$B$4:$B$39,Clientes!$C$4:$C$39),Cadastros!$L$6:$L$12,Cadastros!$N$6:$N$12)))</f>
        <v/>
      </c>
      <c r="Z964" s="168" t="str">
        <f t="shared" si="186"/>
        <v/>
      </c>
      <c r="AA964" s="168" t="str">
        <f>IFERROR(Z964/_xlfn.XLOOKUP(_xlfn.XLOOKUP($F964,Clientes!$B$4:$B$39,Clientes!$C$4:$C$39),Cadastros!$L$6:$L$12,Cadastros!$M$6:$M$12)," ")</f>
        <v xml:space="preserve"> </v>
      </c>
      <c r="AB964" s="28"/>
      <c r="AC964" s="28"/>
      <c r="AD964" s="20" t="str">
        <f>IF(AB964="","",IF($F964="Bernardino Furlan",_xlfn.XLOOKUP(AB964,Cadastros!$G$6:$G$90,Cadastros!$H$6:$H$90)*(1-0.18),IF($F964="Mauro José Salanti",_xlfn.XLOOKUP(AB964,Cadastros!$G$6:$G$90,Cadastros!$H$6:$H$90)*(1-0.18),_xlfn.XLOOKUP(AB964,Cadastros!$G$6:$G$90,Cadastros!$H$6:$H$90))))</f>
        <v/>
      </c>
      <c r="AE964" s="168" t="str">
        <f t="shared" si="187"/>
        <v/>
      </c>
      <c r="AF964" s="168" t="str">
        <f t="shared" si="188"/>
        <v/>
      </c>
      <c r="AG964" s="28"/>
      <c r="AH964" s="28"/>
      <c r="AI964" s="20" t="str">
        <f>IF(AG964="","",IF($F964="Bernardino Furlan",_xlfn.XLOOKUP(AG964,Cadastros!$G$6:$G$90,Cadastros!$H$6:$H$90)*(1-0.18),IF($F964="Mauro José Salanti",_xlfn.XLOOKUP(AG964,Cadastros!$G$6:$G$90,Cadastros!$H$6:$H$90)*(1-0.18),_xlfn.XLOOKUP(AG964,Cadastros!$G$6:$G$90,Cadastros!$H$6:$H$90))))</f>
        <v/>
      </c>
      <c r="AJ964" s="168" t="str">
        <f t="shared" si="189"/>
        <v/>
      </c>
      <c r="AK964" s="168" t="str">
        <f t="shared" si="190"/>
        <v/>
      </c>
      <c r="AL964" s="28"/>
      <c r="AM964" s="28"/>
      <c r="AN964" s="20" t="str">
        <f>IF(AL964="","",IF($F964="Bernardino Furlan",_xlfn.XLOOKUP(AL964,Cadastros!$G$6:$G$90,Cadastros!$H$6:$H$90)*(1-0.18),IF($F964="Mauro José Salanti",_xlfn.XLOOKUP(AL964,Cadastros!$G$6:$G$90,Cadastros!$H$6:$H$90)*(1-0.18),_xlfn.XLOOKUP(AL964,Cadastros!$G$6:$G$90,Cadastros!$H$6:$H$90))))</f>
        <v/>
      </c>
      <c r="AO964" s="168" t="str">
        <f t="shared" si="191"/>
        <v/>
      </c>
      <c r="AP964" s="168" t="str">
        <f t="shared" si="192"/>
        <v/>
      </c>
      <c r="AQ964" s="28"/>
      <c r="AR964" s="28"/>
      <c r="AS964" s="20" t="str">
        <f>IF(AQ964="","",IF($F964="Bernardino Furlan",_xlfn.XLOOKUP(AQ964,Cadastros!$G$6:$G$90,Cadastros!$H$6:$H$90)*(1-0.18),IF($F964="Mauro José Salanti",_xlfn.XLOOKUP(AQ964,Cadastros!$G$6:$G$90,Cadastros!$H$6:$H$90)*(1-0.18),_xlfn.XLOOKUP(AQ964,Cadastros!$G$6:$G$90,Cadastros!$H$6:$H$90))))</f>
        <v/>
      </c>
      <c r="AT964" s="168" t="str">
        <f t="shared" si="193"/>
        <v/>
      </c>
      <c r="AU964" s="168" t="str">
        <f t="shared" si="194"/>
        <v/>
      </c>
      <c r="AV964" s="227"/>
      <c r="AW964" s="30"/>
      <c r="AX964" s="267"/>
      <c r="AY964" s="267"/>
      <c r="AZ964" s="29"/>
      <c r="BA964" s="30"/>
      <c r="BB964" s="23" t="str" cm="1">
        <f t="array" ref="BB964">_xlfn.IFS(AW964="SIM",SUM(K964,P964,U964,Z964,AE964,AJ964,AO964,AT964,AX964,AY964),F964&lt;&gt;"",SUM(K964,P964,U964,Z964,AE964,AJ964,,AO964,AT964),F964="","")</f>
        <v/>
      </c>
      <c r="BC964" s="211" t="str" cm="1">
        <f t="array" ref="BC964">_xlfn.IFS(E964="","",G964&lt;=E964,BB964*(1-0.03),G964&lt;(E964+8),BB964,AZ964="Boleto",BB964*(1+0.001)^DATEDIF(E964,G964,"D"),AZ964="Cheque",BB964,AZ964="Dinheiro","Alterar forma pgto")</f>
        <v/>
      </c>
      <c r="BD964" s="276" t="str" cm="1">
        <f t="array" ref="BD964">IF(F964=0," ",IF(BC964&lt;BB964,(_xlfn.IFS(AW964="SIM",SUM(L964,Q964,V964,AA964,AF964,AK964,AP964,AU964)+AX964/_xlfn.XLOOKUP(_xlfn.XLOOKUP($F964,Clientes!$B$4:$B$39,Clientes!$C$4:$C$39),Cadastros!$L$6:$L$12,Cadastros!$M$6:$M$12)+IF($F964="Bernardino Furlan",AY964/2751.92,IF($F964="Mauro José Salanti",AY964/2751.92,AY964/3356)),F964&lt;&gt;0,SUM(L964,Q964,V964,AA964,AF964,AK964,AP964,AU964)))*(1-0.03),_xlfn.IFS(AW964="SIM",SUM(L964,Q964,V964,AA964,AF964,AK964,AP964,AU964)+AX964/_xlfn.XLOOKUP(_xlfn.XLOOKUP($F964,Clientes!$B$4:$B$39,Clientes!$C$4:$C$39),Cadastros!$L$6:$L$12,Cadastros!$M$6:$M$12)+IF($F964="Bernardino Furlan",AY964/2751.92,IF($F964="Mauro José Salanti",AY964/2751.92,AY964/3356)),F964&lt;&gt;0,SUM(L964,Q964,V964,AA964,AF964,AK964,AP964,AU964))))</f>
        <v xml:space="preserve"> </v>
      </c>
      <c r="BE964" s="120"/>
      <c r="BF964" s="120"/>
      <c r="BG964" s="120"/>
    </row>
    <row r="965" spans="1:59" s="3" customFormat="1" x14ac:dyDescent="0.3">
      <c r="A965" s="15" t="str">
        <f t="shared" si="182"/>
        <v/>
      </c>
      <c r="B965" s="25"/>
      <c r="C965" s="26"/>
      <c r="D965" s="279"/>
      <c r="E965" s="27"/>
      <c r="F965" s="28"/>
      <c r="G965" s="27"/>
      <c r="H965" s="28"/>
      <c r="I965" s="28"/>
      <c r="J965" s="255" t="str">
        <f>IF(H965="","",(_xlfn.XLOOKUP(H965,Cadastros!$D$6:$D$90,Cadastros!$E$6:$E$90))*(1-_xlfn.XLOOKUP(_xlfn.XLOOKUP($F965,Clientes!$B$4:$B$39,Clientes!$C$4:$C$39),Cadastros!$L$6:$L$12,Cadastros!$N$6:$N$12)))</f>
        <v/>
      </c>
      <c r="K965" s="168" t="str">
        <f t="shared" si="183"/>
        <v/>
      </c>
      <c r="L965" s="168" t="str">
        <f>IFERROR(K965/_xlfn.XLOOKUP(_xlfn.XLOOKUP($F965,Clientes!$B$4:$B$39,Clientes!$C$4:$C$39),Cadastros!$L$6:$L$12,Cadastros!$M$6:$M$12)," ")</f>
        <v xml:space="preserve"> </v>
      </c>
      <c r="M965" s="28"/>
      <c r="N965" s="28"/>
      <c r="O965" s="255" t="str">
        <f>IF(M965="","",(_xlfn.XLOOKUP(M965,Cadastros!$D$6:$D$90,Cadastros!$E$6:$E$90))*(1-_xlfn.XLOOKUP(_xlfn.XLOOKUP($F965,Clientes!$B$4:$B$39,Clientes!$C$4:$C$39),Cadastros!$L$6:$L$12,Cadastros!$N$6:$N$12)))</f>
        <v/>
      </c>
      <c r="P965" s="168" t="str">
        <f t="shared" si="184"/>
        <v/>
      </c>
      <c r="Q965" s="168" t="str">
        <f>IFERROR(P965/_xlfn.XLOOKUP(_xlfn.XLOOKUP($F965,Clientes!$B$4:$B$39,Clientes!$C$4:$C$39),Cadastros!$L$6:$L$12,Cadastros!$M$6:$M$12)," ")</f>
        <v xml:space="preserve"> </v>
      </c>
      <c r="R965" s="28"/>
      <c r="S965" s="28"/>
      <c r="T965" s="255" t="str">
        <f>IF(R965="","",(_xlfn.XLOOKUP(R965,Cadastros!$D$6:$D$90,Cadastros!$E$6:$E$90))*(1-_xlfn.XLOOKUP(_xlfn.XLOOKUP($F965,Clientes!$B$4:$B$39,Clientes!$C$4:$C$39),Cadastros!$L$6:$L$12,Cadastros!$N$6:$N$12)))</f>
        <v/>
      </c>
      <c r="U965" s="168" t="str">
        <f t="shared" si="185"/>
        <v/>
      </c>
      <c r="V965" s="168" t="str">
        <f>IFERROR(U965/_xlfn.XLOOKUP(_xlfn.XLOOKUP($F965,Clientes!$B$4:$B$39,Clientes!$C$4:$C$39),Cadastros!$L$6:$L$12,Cadastros!$M$6:$M$12)," ")</f>
        <v xml:space="preserve"> </v>
      </c>
      <c r="W965" s="28"/>
      <c r="X965" s="28"/>
      <c r="Y965" s="255" t="str">
        <f>IF(W965="","",(_xlfn.XLOOKUP(W965,Cadastros!$D$6:$D$90,Cadastros!$E$6:$E$90))*(1-_xlfn.XLOOKUP(_xlfn.XLOOKUP($F965,Clientes!$B$4:$B$39,Clientes!$C$4:$C$39),Cadastros!$L$6:$L$12,Cadastros!$N$6:$N$12)))</f>
        <v/>
      </c>
      <c r="Z965" s="168" t="str">
        <f t="shared" si="186"/>
        <v/>
      </c>
      <c r="AA965" s="168" t="str">
        <f>IFERROR(Z965/_xlfn.XLOOKUP(_xlfn.XLOOKUP($F965,Clientes!$B$4:$B$39,Clientes!$C$4:$C$39),Cadastros!$L$6:$L$12,Cadastros!$M$6:$M$12)," ")</f>
        <v xml:space="preserve"> </v>
      </c>
      <c r="AB965" s="28"/>
      <c r="AC965" s="28"/>
      <c r="AD965" s="20" t="str">
        <f>IF(AB965="","",IF($F965="Bernardino Furlan",_xlfn.XLOOKUP(AB965,Cadastros!$G$6:$G$90,Cadastros!$H$6:$H$90)*(1-0.18),IF($F965="Mauro José Salanti",_xlfn.XLOOKUP(AB965,Cadastros!$G$6:$G$90,Cadastros!$H$6:$H$90)*(1-0.18),_xlfn.XLOOKUP(AB965,Cadastros!$G$6:$G$90,Cadastros!$H$6:$H$90))))</f>
        <v/>
      </c>
      <c r="AE965" s="168" t="str">
        <f t="shared" si="187"/>
        <v/>
      </c>
      <c r="AF965" s="168" t="str">
        <f t="shared" si="188"/>
        <v/>
      </c>
      <c r="AG965" s="28"/>
      <c r="AH965" s="28"/>
      <c r="AI965" s="20" t="str">
        <f>IF(AG965="","",IF($F965="Bernardino Furlan",_xlfn.XLOOKUP(AG965,Cadastros!$G$6:$G$90,Cadastros!$H$6:$H$90)*(1-0.18),IF($F965="Mauro José Salanti",_xlfn.XLOOKUP(AG965,Cadastros!$G$6:$G$90,Cadastros!$H$6:$H$90)*(1-0.18),_xlfn.XLOOKUP(AG965,Cadastros!$G$6:$G$90,Cadastros!$H$6:$H$90))))</f>
        <v/>
      </c>
      <c r="AJ965" s="168" t="str">
        <f t="shared" si="189"/>
        <v/>
      </c>
      <c r="AK965" s="168" t="str">
        <f t="shared" si="190"/>
        <v/>
      </c>
      <c r="AL965" s="28"/>
      <c r="AM965" s="28"/>
      <c r="AN965" s="20" t="str">
        <f>IF(AL965="","",IF($F965="Bernardino Furlan",_xlfn.XLOOKUP(AL965,Cadastros!$G$6:$G$90,Cadastros!$H$6:$H$90)*(1-0.18),IF($F965="Mauro José Salanti",_xlfn.XLOOKUP(AL965,Cadastros!$G$6:$G$90,Cadastros!$H$6:$H$90)*(1-0.18),_xlfn.XLOOKUP(AL965,Cadastros!$G$6:$G$90,Cadastros!$H$6:$H$90))))</f>
        <v/>
      </c>
      <c r="AO965" s="168" t="str">
        <f t="shared" si="191"/>
        <v/>
      </c>
      <c r="AP965" s="168" t="str">
        <f t="shared" si="192"/>
        <v/>
      </c>
      <c r="AQ965" s="28"/>
      <c r="AR965" s="28"/>
      <c r="AS965" s="20" t="str">
        <f>IF(AQ965="","",IF($F965="Bernardino Furlan",_xlfn.XLOOKUP(AQ965,Cadastros!$G$6:$G$90,Cadastros!$H$6:$H$90)*(1-0.18),IF($F965="Mauro José Salanti",_xlfn.XLOOKUP(AQ965,Cadastros!$G$6:$G$90,Cadastros!$H$6:$H$90)*(1-0.18),_xlfn.XLOOKUP(AQ965,Cadastros!$G$6:$G$90,Cadastros!$H$6:$H$90))))</f>
        <v/>
      </c>
      <c r="AT965" s="168" t="str">
        <f t="shared" si="193"/>
        <v/>
      </c>
      <c r="AU965" s="168" t="str">
        <f t="shared" si="194"/>
        <v/>
      </c>
      <c r="AV965" s="227"/>
      <c r="AW965" s="30"/>
      <c r="AX965" s="267"/>
      <c r="AY965" s="267"/>
      <c r="AZ965" s="29"/>
      <c r="BA965" s="30"/>
      <c r="BB965" s="23" t="str" cm="1">
        <f t="array" ref="BB965">_xlfn.IFS(AW965="SIM",SUM(K965,P965,U965,Z965,AE965,AJ965,AO965,AT965,AX965,AY965),F965&lt;&gt;"",SUM(K965,P965,U965,Z965,AE965,AJ965,,AO965,AT965),F965="","")</f>
        <v/>
      </c>
      <c r="BC965" s="211" t="str" cm="1">
        <f t="array" ref="BC965">_xlfn.IFS(E965="","",G965&lt;=E965,BB965*(1-0.03),G965&lt;(E965+8),BB965,AZ965="Boleto",BB965*(1+0.001)^DATEDIF(E965,G965,"D"),AZ965="Cheque",BB965,AZ965="Dinheiro","Alterar forma pgto")</f>
        <v/>
      </c>
      <c r="BD965" s="276" t="str" cm="1">
        <f t="array" ref="BD965">IF(F965=0," ",IF(BC965&lt;BB965,(_xlfn.IFS(AW965="SIM",SUM(L965,Q965,V965,AA965,AF965,AK965,AP965,AU965)+AX965/_xlfn.XLOOKUP(_xlfn.XLOOKUP($F965,Clientes!$B$4:$B$39,Clientes!$C$4:$C$39),Cadastros!$L$6:$L$12,Cadastros!$M$6:$M$12)+IF($F965="Bernardino Furlan",AY965/2751.92,IF($F965="Mauro José Salanti",AY965/2751.92,AY965/3356)),F965&lt;&gt;0,SUM(L965,Q965,V965,AA965,AF965,AK965,AP965,AU965)))*(1-0.03),_xlfn.IFS(AW965="SIM",SUM(L965,Q965,V965,AA965,AF965,AK965,AP965,AU965)+AX965/_xlfn.XLOOKUP(_xlfn.XLOOKUP($F965,Clientes!$B$4:$B$39,Clientes!$C$4:$C$39),Cadastros!$L$6:$L$12,Cadastros!$M$6:$M$12)+IF($F965="Bernardino Furlan",AY965/2751.92,IF($F965="Mauro José Salanti",AY965/2751.92,AY965/3356)),F965&lt;&gt;0,SUM(L965,Q965,V965,AA965,AF965,AK965,AP965,AU965))))</f>
        <v xml:space="preserve"> </v>
      </c>
      <c r="BE965" s="120"/>
      <c r="BF965" s="120"/>
      <c r="BG965" s="120"/>
    </row>
    <row r="966" spans="1:59" s="3" customFormat="1" x14ac:dyDescent="0.3">
      <c r="A966" s="15" t="str">
        <f t="shared" si="182"/>
        <v/>
      </c>
      <c r="B966" s="25"/>
      <c r="C966" s="26"/>
      <c r="D966" s="279"/>
      <c r="E966" s="27"/>
      <c r="F966" s="28"/>
      <c r="G966" s="27"/>
      <c r="H966" s="28"/>
      <c r="I966" s="28"/>
      <c r="J966" s="255" t="str">
        <f>IF(H966="","",(_xlfn.XLOOKUP(H966,Cadastros!$D$6:$D$90,Cadastros!$E$6:$E$90))*(1-_xlfn.XLOOKUP(_xlfn.XLOOKUP($F966,Clientes!$B$4:$B$39,Clientes!$C$4:$C$39),Cadastros!$L$6:$L$12,Cadastros!$N$6:$N$12)))</f>
        <v/>
      </c>
      <c r="K966" s="168" t="str">
        <f t="shared" si="183"/>
        <v/>
      </c>
      <c r="L966" s="168" t="str">
        <f>IFERROR(K966/_xlfn.XLOOKUP(_xlfn.XLOOKUP($F966,Clientes!$B$4:$B$39,Clientes!$C$4:$C$39),Cadastros!$L$6:$L$12,Cadastros!$M$6:$M$12)," ")</f>
        <v xml:space="preserve"> </v>
      </c>
      <c r="M966" s="28"/>
      <c r="N966" s="28"/>
      <c r="O966" s="255" t="str">
        <f>IF(M966="","",(_xlfn.XLOOKUP(M966,Cadastros!$D$6:$D$90,Cadastros!$E$6:$E$90))*(1-_xlfn.XLOOKUP(_xlfn.XLOOKUP($F966,Clientes!$B$4:$B$39,Clientes!$C$4:$C$39),Cadastros!$L$6:$L$12,Cadastros!$N$6:$N$12)))</f>
        <v/>
      </c>
      <c r="P966" s="168" t="str">
        <f t="shared" si="184"/>
        <v/>
      </c>
      <c r="Q966" s="168" t="str">
        <f>IFERROR(P966/_xlfn.XLOOKUP(_xlfn.XLOOKUP($F966,Clientes!$B$4:$B$39,Clientes!$C$4:$C$39),Cadastros!$L$6:$L$12,Cadastros!$M$6:$M$12)," ")</f>
        <v xml:space="preserve"> </v>
      </c>
      <c r="R966" s="28"/>
      <c r="S966" s="28"/>
      <c r="T966" s="255" t="str">
        <f>IF(R966="","",(_xlfn.XLOOKUP(R966,Cadastros!$D$6:$D$90,Cadastros!$E$6:$E$90))*(1-_xlfn.XLOOKUP(_xlfn.XLOOKUP($F966,Clientes!$B$4:$B$39,Clientes!$C$4:$C$39),Cadastros!$L$6:$L$12,Cadastros!$N$6:$N$12)))</f>
        <v/>
      </c>
      <c r="U966" s="168" t="str">
        <f t="shared" si="185"/>
        <v/>
      </c>
      <c r="V966" s="168" t="str">
        <f>IFERROR(U966/_xlfn.XLOOKUP(_xlfn.XLOOKUP($F966,Clientes!$B$4:$B$39,Clientes!$C$4:$C$39),Cadastros!$L$6:$L$12,Cadastros!$M$6:$M$12)," ")</f>
        <v xml:space="preserve"> </v>
      </c>
      <c r="W966" s="28"/>
      <c r="X966" s="28"/>
      <c r="Y966" s="255" t="str">
        <f>IF(W966="","",(_xlfn.XLOOKUP(W966,Cadastros!$D$6:$D$90,Cadastros!$E$6:$E$90))*(1-_xlfn.XLOOKUP(_xlfn.XLOOKUP($F966,Clientes!$B$4:$B$39,Clientes!$C$4:$C$39),Cadastros!$L$6:$L$12,Cadastros!$N$6:$N$12)))</f>
        <v/>
      </c>
      <c r="Z966" s="168" t="str">
        <f t="shared" si="186"/>
        <v/>
      </c>
      <c r="AA966" s="168" t="str">
        <f>IFERROR(Z966/_xlfn.XLOOKUP(_xlfn.XLOOKUP($F966,Clientes!$B$4:$B$39,Clientes!$C$4:$C$39),Cadastros!$L$6:$L$12,Cadastros!$M$6:$M$12)," ")</f>
        <v xml:space="preserve"> </v>
      </c>
      <c r="AB966" s="28"/>
      <c r="AC966" s="28"/>
      <c r="AD966" s="20" t="str">
        <f>IF(AB966="","",IF($F966="Bernardino Furlan",_xlfn.XLOOKUP(AB966,Cadastros!$G$6:$G$90,Cadastros!$H$6:$H$90)*(1-0.18),IF($F966="Mauro José Salanti",_xlfn.XLOOKUP(AB966,Cadastros!$G$6:$G$90,Cadastros!$H$6:$H$90)*(1-0.18),_xlfn.XLOOKUP(AB966,Cadastros!$G$6:$G$90,Cadastros!$H$6:$H$90))))</f>
        <v/>
      </c>
      <c r="AE966" s="168" t="str">
        <f t="shared" si="187"/>
        <v/>
      </c>
      <c r="AF966" s="168" t="str">
        <f t="shared" si="188"/>
        <v/>
      </c>
      <c r="AG966" s="28"/>
      <c r="AH966" s="28"/>
      <c r="AI966" s="20" t="str">
        <f>IF(AG966="","",IF($F966="Bernardino Furlan",_xlfn.XLOOKUP(AG966,Cadastros!$G$6:$G$90,Cadastros!$H$6:$H$90)*(1-0.18),IF($F966="Mauro José Salanti",_xlfn.XLOOKUP(AG966,Cadastros!$G$6:$G$90,Cadastros!$H$6:$H$90)*(1-0.18),_xlfn.XLOOKUP(AG966,Cadastros!$G$6:$G$90,Cadastros!$H$6:$H$90))))</f>
        <v/>
      </c>
      <c r="AJ966" s="168" t="str">
        <f t="shared" si="189"/>
        <v/>
      </c>
      <c r="AK966" s="168" t="str">
        <f t="shared" si="190"/>
        <v/>
      </c>
      <c r="AL966" s="28"/>
      <c r="AM966" s="28"/>
      <c r="AN966" s="20" t="str">
        <f>IF(AL966="","",IF($F966="Bernardino Furlan",_xlfn.XLOOKUP(AL966,Cadastros!$G$6:$G$90,Cadastros!$H$6:$H$90)*(1-0.18),IF($F966="Mauro José Salanti",_xlfn.XLOOKUP(AL966,Cadastros!$G$6:$G$90,Cadastros!$H$6:$H$90)*(1-0.18),_xlfn.XLOOKUP(AL966,Cadastros!$G$6:$G$90,Cadastros!$H$6:$H$90))))</f>
        <v/>
      </c>
      <c r="AO966" s="168" t="str">
        <f t="shared" si="191"/>
        <v/>
      </c>
      <c r="AP966" s="168" t="str">
        <f t="shared" si="192"/>
        <v/>
      </c>
      <c r="AQ966" s="28"/>
      <c r="AR966" s="28"/>
      <c r="AS966" s="20" t="str">
        <f>IF(AQ966="","",IF($F966="Bernardino Furlan",_xlfn.XLOOKUP(AQ966,Cadastros!$G$6:$G$90,Cadastros!$H$6:$H$90)*(1-0.18),IF($F966="Mauro José Salanti",_xlfn.XLOOKUP(AQ966,Cadastros!$G$6:$G$90,Cadastros!$H$6:$H$90)*(1-0.18),_xlfn.XLOOKUP(AQ966,Cadastros!$G$6:$G$90,Cadastros!$H$6:$H$90))))</f>
        <v/>
      </c>
      <c r="AT966" s="168" t="str">
        <f t="shared" si="193"/>
        <v/>
      </c>
      <c r="AU966" s="168" t="str">
        <f t="shared" si="194"/>
        <v/>
      </c>
      <c r="AV966" s="227"/>
      <c r="AW966" s="30"/>
      <c r="AX966" s="267"/>
      <c r="AY966" s="267"/>
      <c r="AZ966" s="29"/>
      <c r="BA966" s="30"/>
      <c r="BB966" s="23" t="str" cm="1">
        <f t="array" ref="BB966">_xlfn.IFS(AW966="SIM",SUM(K966,P966,U966,Z966,AE966,AJ966,AO966,AT966,AX966,AY966),F966&lt;&gt;"",SUM(K966,P966,U966,Z966,AE966,AJ966,,AO966,AT966),F966="","")</f>
        <v/>
      </c>
      <c r="BC966" s="211" t="str" cm="1">
        <f t="array" ref="BC966">_xlfn.IFS(E966="","",G966&lt;=E966,BB966*(1-0.03),G966&lt;(E966+8),BB966,AZ966="Boleto",BB966*(1+0.001)^DATEDIF(E966,G966,"D"),AZ966="Cheque",BB966,AZ966="Dinheiro","Alterar forma pgto")</f>
        <v/>
      </c>
      <c r="BD966" s="276" t="str" cm="1">
        <f t="array" ref="BD966">IF(F966=0," ",IF(BC966&lt;BB966,(_xlfn.IFS(AW966="SIM",SUM(L966,Q966,V966,AA966,AF966,AK966,AP966,AU966)+AX966/_xlfn.XLOOKUP(_xlfn.XLOOKUP($F966,Clientes!$B$4:$B$39,Clientes!$C$4:$C$39),Cadastros!$L$6:$L$12,Cadastros!$M$6:$M$12)+IF($F966="Bernardino Furlan",AY966/2751.92,IF($F966="Mauro José Salanti",AY966/2751.92,AY966/3356)),F966&lt;&gt;0,SUM(L966,Q966,V966,AA966,AF966,AK966,AP966,AU966)))*(1-0.03),_xlfn.IFS(AW966="SIM",SUM(L966,Q966,V966,AA966,AF966,AK966,AP966,AU966)+AX966/_xlfn.XLOOKUP(_xlfn.XLOOKUP($F966,Clientes!$B$4:$B$39,Clientes!$C$4:$C$39),Cadastros!$L$6:$L$12,Cadastros!$M$6:$M$12)+IF($F966="Bernardino Furlan",AY966/2751.92,IF($F966="Mauro José Salanti",AY966/2751.92,AY966/3356)),F966&lt;&gt;0,SUM(L966,Q966,V966,AA966,AF966,AK966,AP966,AU966))))</f>
        <v xml:space="preserve"> </v>
      </c>
      <c r="BE966" s="120"/>
      <c r="BF966" s="120"/>
      <c r="BG966" s="120"/>
    </row>
    <row r="967" spans="1:59" s="3" customFormat="1" x14ac:dyDescent="0.3">
      <c r="A967" s="15" t="str">
        <f t="shared" si="182"/>
        <v/>
      </c>
      <c r="B967" s="25"/>
      <c r="C967" s="26"/>
      <c r="D967" s="279"/>
      <c r="E967" s="27"/>
      <c r="F967" s="28"/>
      <c r="G967" s="27"/>
      <c r="H967" s="28"/>
      <c r="I967" s="28"/>
      <c r="J967" s="255" t="str">
        <f>IF(H967="","",(_xlfn.XLOOKUP(H967,Cadastros!$D$6:$D$90,Cadastros!$E$6:$E$90))*(1-_xlfn.XLOOKUP(_xlfn.XLOOKUP($F967,Clientes!$B$4:$B$39,Clientes!$C$4:$C$39),Cadastros!$L$6:$L$12,Cadastros!$N$6:$N$12)))</f>
        <v/>
      </c>
      <c r="K967" s="168" t="str">
        <f t="shared" si="183"/>
        <v/>
      </c>
      <c r="L967" s="168" t="str">
        <f>IFERROR(K967/_xlfn.XLOOKUP(_xlfn.XLOOKUP($F967,Clientes!$B$4:$B$39,Clientes!$C$4:$C$39),Cadastros!$L$6:$L$12,Cadastros!$M$6:$M$12)," ")</f>
        <v xml:space="preserve"> </v>
      </c>
      <c r="M967" s="28"/>
      <c r="N967" s="28"/>
      <c r="O967" s="255" t="str">
        <f>IF(M967="","",(_xlfn.XLOOKUP(M967,Cadastros!$D$6:$D$90,Cadastros!$E$6:$E$90))*(1-_xlfn.XLOOKUP(_xlfn.XLOOKUP($F967,Clientes!$B$4:$B$39,Clientes!$C$4:$C$39),Cadastros!$L$6:$L$12,Cadastros!$N$6:$N$12)))</f>
        <v/>
      </c>
      <c r="P967" s="168" t="str">
        <f t="shared" si="184"/>
        <v/>
      </c>
      <c r="Q967" s="168" t="str">
        <f>IFERROR(P967/_xlfn.XLOOKUP(_xlfn.XLOOKUP($F967,Clientes!$B$4:$B$39,Clientes!$C$4:$C$39),Cadastros!$L$6:$L$12,Cadastros!$M$6:$M$12)," ")</f>
        <v xml:space="preserve"> </v>
      </c>
      <c r="R967" s="28"/>
      <c r="S967" s="28"/>
      <c r="T967" s="255" t="str">
        <f>IF(R967="","",(_xlfn.XLOOKUP(R967,Cadastros!$D$6:$D$90,Cadastros!$E$6:$E$90))*(1-_xlfn.XLOOKUP(_xlfn.XLOOKUP($F967,Clientes!$B$4:$B$39,Clientes!$C$4:$C$39),Cadastros!$L$6:$L$12,Cadastros!$N$6:$N$12)))</f>
        <v/>
      </c>
      <c r="U967" s="168" t="str">
        <f t="shared" si="185"/>
        <v/>
      </c>
      <c r="V967" s="168" t="str">
        <f>IFERROR(U967/_xlfn.XLOOKUP(_xlfn.XLOOKUP($F967,Clientes!$B$4:$B$39,Clientes!$C$4:$C$39),Cadastros!$L$6:$L$12,Cadastros!$M$6:$M$12)," ")</f>
        <v xml:space="preserve"> </v>
      </c>
      <c r="W967" s="28"/>
      <c r="X967" s="28"/>
      <c r="Y967" s="255" t="str">
        <f>IF(W967="","",(_xlfn.XLOOKUP(W967,Cadastros!$D$6:$D$90,Cadastros!$E$6:$E$90))*(1-_xlfn.XLOOKUP(_xlfn.XLOOKUP($F967,Clientes!$B$4:$B$39,Clientes!$C$4:$C$39),Cadastros!$L$6:$L$12,Cadastros!$N$6:$N$12)))</f>
        <v/>
      </c>
      <c r="Z967" s="168" t="str">
        <f t="shared" si="186"/>
        <v/>
      </c>
      <c r="AA967" s="168" t="str">
        <f>IFERROR(Z967/_xlfn.XLOOKUP(_xlfn.XLOOKUP($F967,Clientes!$B$4:$B$39,Clientes!$C$4:$C$39),Cadastros!$L$6:$L$12,Cadastros!$M$6:$M$12)," ")</f>
        <v xml:space="preserve"> </v>
      </c>
      <c r="AB967" s="28"/>
      <c r="AC967" s="28"/>
      <c r="AD967" s="20" t="str">
        <f>IF(AB967="","",IF($F967="Bernardino Furlan",_xlfn.XLOOKUP(AB967,Cadastros!$G$6:$G$90,Cadastros!$H$6:$H$90)*(1-0.18),IF($F967="Mauro José Salanti",_xlfn.XLOOKUP(AB967,Cadastros!$G$6:$G$90,Cadastros!$H$6:$H$90)*(1-0.18),_xlfn.XLOOKUP(AB967,Cadastros!$G$6:$G$90,Cadastros!$H$6:$H$90))))</f>
        <v/>
      </c>
      <c r="AE967" s="168" t="str">
        <f t="shared" si="187"/>
        <v/>
      </c>
      <c r="AF967" s="168" t="str">
        <f t="shared" si="188"/>
        <v/>
      </c>
      <c r="AG967" s="28"/>
      <c r="AH967" s="28"/>
      <c r="AI967" s="20" t="str">
        <f>IF(AG967="","",IF($F967="Bernardino Furlan",_xlfn.XLOOKUP(AG967,Cadastros!$G$6:$G$90,Cadastros!$H$6:$H$90)*(1-0.18),IF($F967="Mauro José Salanti",_xlfn.XLOOKUP(AG967,Cadastros!$G$6:$G$90,Cadastros!$H$6:$H$90)*(1-0.18),_xlfn.XLOOKUP(AG967,Cadastros!$G$6:$G$90,Cadastros!$H$6:$H$90))))</f>
        <v/>
      </c>
      <c r="AJ967" s="168" t="str">
        <f t="shared" si="189"/>
        <v/>
      </c>
      <c r="AK967" s="168" t="str">
        <f t="shared" si="190"/>
        <v/>
      </c>
      <c r="AL967" s="28"/>
      <c r="AM967" s="28"/>
      <c r="AN967" s="20" t="str">
        <f>IF(AL967="","",IF($F967="Bernardino Furlan",_xlfn.XLOOKUP(AL967,Cadastros!$G$6:$G$90,Cadastros!$H$6:$H$90)*(1-0.18),IF($F967="Mauro José Salanti",_xlfn.XLOOKUP(AL967,Cadastros!$G$6:$G$90,Cadastros!$H$6:$H$90)*(1-0.18),_xlfn.XLOOKUP(AL967,Cadastros!$G$6:$G$90,Cadastros!$H$6:$H$90))))</f>
        <v/>
      </c>
      <c r="AO967" s="168" t="str">
        <f t="shared" si="191"/>
        <v/>
      </c>
      <c r="AP967" s="168" t="str">
        <f t="shared" si="192"/>
        <v/>
      </c>
      <c r="AQ967" s="28"/>
      <c r="AR967" s="28"/>
      <c r="AS967" s="20" t="str">
        <f>IF(AQ967="","",IF($F967="Bernardino Furlan",_xlfn.XLOOKUP(AQ967,Cadastros!$G$6:$G$90,Cadastros!$H$6:$H$90)*(1-0.18),IF($F967="Mauro José Salanti",_xlfn.XLOOKUP(AQ967,Cadastros!$G$6:$G$90,Cadastros!$H$6:$H$90)*(1-0.18),_xlfn.XLOOKUP(AQ967,Cadastros!$G$6:$G$90,Cadastros!$H$6:$H$90))))</f>
        <v/>
      </c>
      <c r="AT967" s="168" t="str">
        <f t="shared" si="193"/>
        <v/>
      </c>
      <c r="AU967" s="168" t="str">
        <f t="shared" si="194"/>
        <v/>
      </c>
      <c r="AV967" s="227"/>
      <c r="AW967" s="30"/>
      <c r="AX967" s="267"/>
      <c r="AY967" s="267"/>
      <c r="AZ967" s="29"/>
      <c r="BA967" s="30"/>
      <c r="BB967" s="23" t="str" cm="1">
        <f t="array" ref="BB967">_xlfn.IFS(AW967="SIM",SUM(K967,P967,U967,Z967,AE967,AJ967,AO967,AT967,AX967,AY967),F967&lt;&gt;"",SUM(K967,P967,U967,Z967,AE967,AJ967,,AO967,AT967),F967="","")</f>
        <v/>
      </c>
      <c r="BC967" s="211" t="str" cm="1">
        <f t="array" ref="BC967">_xlfn.IFS(E967="","",G967&lt;=E967,BB967*(1-0.03),G967&lt;(E967+8),BB967,AZ967="Boleto",BB967*(1+0.001)^DATEDIF(E967,G967,"D"),AZ967="Cheque",BB967,AZ967="Dinheiro","Alterar forma pgto")</f>
        <v/>
      </c>
      <c r="BD967" s="276" t="str" cm="1">
        <f t="array" ref="BD967">IF(F967=0," ",IF(BC967&lt;BB967,(_xlfn.IFS(AW967="SIM",SUM(L967,Q967,V967,AA967,AF967,AK967,AP967,AU967)+AX967/_xlfn.XLOOKUP(_xlfn.XLOOKUP($F967,Clientes!$B$4:$B$39,Clientes!$C$4:$C$39),Cadastros!$L$6:$L$12,Cadastros!$M$6:$M$12)+IF($F967="Bernardino Furlan",AY967/2751.92,IF($F967="Mauro José Salanti",AY967/2751.92,AY967/3356)),F967&lt;&gt;0,SUM(L967,Q967,V967,AA967,AF967,AK967,AP967,AU967)))*(1-0.03),_xlfn.IFS(AW967="SIM",SUM(L967,Q967,V967,AA967,AF967,AK967,AP967,AU967)+AX967/_xlfn.XLOOKUP(_xlfn.XLOOKUP($F967,Clientes!$B$4:$B$39,Clientes!$C$4:$C$39),Cadastros!$L$6:$L$12,Cadastros!$M$6:$M$12)+IF($F967="Bernardino Furlan",AY967/2751.92,IF($F967="Mauro José Salanti",AY967/2751.92,AY967/3356)),F967&lt;&gt;0,SUM(L967,Q967,V967,AA967,AF967,AK967,AP967,AU967))))</f>
        <v xml:space="preserve"> </v>
      </c>
      <c r="BE967" s="120"/>
      <c r="BF967" s="120"/>
      <c r="BG967" s="120"/>
    </row>
    <row r="968" spans="1:59" s="3" customFormat="1" x14ac:dyDescent="0.3">
      <c r="A968" s="15" t="str">
        <f t="shared" ref="A968:A1031" si="195">IF(C968="orçamento",25%,IF(C968="aprovado",50%,IF(C968="entregue",100%,IF(C968="não aceito",0%,""))))</f>
        <v/>
      </c>
      <c r="B968" s="25"/>
      <c r="C968" s="26"/>
      <c r="D968" s="279"/>
      <c r="E968" s="27"/>
      <c r="F968" s="28"/>
      <c r="G968" s="27"/>
      <c r="H968" s="28"/>
      <c r="I968" s="28"/>
      <c r="J968" s="255" t="str">
        <f>IF(H968="","",(_xlfn.XLOOKUP(H968,Cadastros!$D$6:$D$90,Cadastros!$E$6:$E$90))*(1-_xlfn.XLOOKUP(_xlfn.XLOOKUP($F968,Clientes!$B$4:$B$39,Clientes!$C$4:$C$39),Cadastros!$L$6:$L$12,Cadastros!$N$6:$N$12)))</f>
        <v/>
      </c>
      <c r="K968" s="168" t="str">
        <f t="shared" ref="K968:K1031" si="196">IF(J968="","",I968*J968)</f>
        <v/>
      </c>
      <c r="L968" s="168" t="str">
        <f>IFERROR(K968/_xlfn.XLOOKUP(_xlfn.XLOOKUP($F968,Clientes!$B$4:$B$39,Clientes!$C$4:$C$39),Cadastros!$L$6:$L$12,Cadastros!$M$6:$M$12)," ")</f>
        <v xml:space="preserve"> </v>
      </c>
      <c r="M968" s="28"/>
      <c r="N968" s="28"/>
      <c r="O968" s="255" t="str">
        <f>IF(M968="","",(_xlfn.XLOOKUP(M968,Cadastros!$D$6:$D$90,Cadastros!$E$6:$E$90))*(1-_xlfn.XLOOKUP(_xlfn.XLOOKUP($F968,Clientes!$B$4:$B$39,Clientes!$C$4:$C$39),Cadastros!$L$6:$L$12,Cadastros!$N$6:$N$12)))</f>
        <v/>
      </c>
      <c r="P968" s="168" t="str">
        <f t="shared" ref="P968:P1031" si="197">IF(O968="","",N968*O968)</f>
        <v/>
      </c>
      <c r="Q968" s="168" t="str">
        <f>IFERROR(P968/_xlfn.XLOOKUP(_xlfn.XLOOKUP($F968,Clientes!$B$4:$B$39,Clientes!$C$4:$C$39),Cadastros!$L$6:$L$12,Cadastros!$M$6:$M$12)," ")</f>
        <v xml:space="preserve"> </v>
      </c>
      <c r="R968" s="28"/>
      <c r="S968" s="28"/>
      <c r="T968" s="255" t="str">
        <f>IF(R968="","",(_xlfn.XLOOKUP(R968,Cadastros!$D$6:$D$90,Cadastros!$E$6:$E$90))*(1-_xlfn.XLOOKUP(_xlfn.XLOOKUP($F968,Clientes!$B$4:$B$39,Clientes!$C$4:$C$39),Cadastros!$L$6:$L$12,Cadastros!$N$6:$N$12)))</f>
        <v/>
      </c>
      <c r="U968" s="168" t="str">
        <f t="shared" ref="U968:U1031" si="198">IF(T968="","",S968*T968)</f>
        <v/>
      </c>
      <c r="V968" s="168" t="str">
        <f>IFERROR(U968/_xlfn.XLOOKUP(_xlfn.XLOOKUP($F968,Clientes!$B$4:$B$39,Clientes!$C$4:$C$39),Cadastros!$L$6:$L$12,Cadastros!$M$6:$M$12)," ")</f>
        <v xml:space="preserve"> </v>
      </c>
      <c r="W968" s="28"/>
      <c r="X968" s="28"/>
      <c r="Y968" s="255" t="str">
        <f>IF(W968="","",(_xlfn.XLOOKUP(W968,Cadastros!$D$6:$D$90,Cadastros!$E$6:$E$90))*(1-_xlfn.XLOOKUP(_xlfn.XLOOKUP($F968,Clientes!$B$4:$B$39,Clientes!$C$4:$C$39),Cadastros!$L$6:$L$12,Cadastros!$N$6:$N$12)))</f>
        <v/>
      </c>
      <c r="Z968" s="168" t="str">
        <f t="shared" ref="Z968:Z1031" si="199">IF(Y968="","",X968*Y968)</f>
        <v/>
      </c>
      <c r="AA968" s="168" t="str">
        <f>IFERROR(Z968/_xlfn.XLOOKUP(_xlfn.XLOOKUP($F968,Clientes!$B$4:$B$39,Clientes!$C$4:$C$39),Cadastros!$L$6:$L$12,Cadastros!$M$6:$M$12)," ")</f>
        <v xml:space="preserve"> </v>
      </c>
      <c r="AB968" s="28"/>
      <c r="AC968" s="28"/>
      <c r="AD968" s="20" t="str">
        <f>IF(AB968="","",IF($F968="Bernardino Furlan",_xlfn.XLOOKUP(AB968,Cadastros!$G$6:$G$90,Cadastros!$H$6:$H$90)*(1-0.18),IF($F968="Mauro José Salanti",_xlfn.XLOOKUP(AB968,Cadastros!$G$6:$G$90,Cadastros!$H$6:$H$90)*(1-0.18),_xlfn.XLOOKUP(AB968,Cadastros!$G$6:$G$90,Cadastros!$H$6:$H$90))))</f>
        <v/>
      </c>
      <c r="AE968" s="168" t="str">
        <f t="shared" ref="AE968:AE1031" si="200">IF(AD968="","",AC968*AD968)</f>
        <v/>
      </c>
      <c r="AF968" s="168" t="str">
        <f t="shared" ref="AF968:AF1031" si="201">IFERROR(IF($F968="Bernardino Furlan",AE968/2751.92,IF($F968="Mauro José Salanti",AE968/2751.92,AE968/3356)),"")</f>
        <v/>
      </c>
      <c r="AG968" s="28"/>
      <c r="AH968" s="28"/>
      <c r="AI968" s="20" t="str">
        <f>IF(AG968="","",IF($F968="Bernardino Furlan",_xlfn.XLOOKUP(AG968,Cadastros!$G$6:$G$90,Cadastros!$H$6:$H$90)*(1-0.18),IF($F968="Mauro José Salanti",_xlfn.XLOOKUP(AG968,Cadastros!$G$6:$G$90,Cadastros!$H$6:$H$90)*(1-0.18),_xlfn.XLOOKUP(AG968,Cadastros!$G$6:$G$90,Cadastros!$H$6:$H$90))))</f>
        <v/>
      </c>
      <c r="AJ968" s="168" t="str">
        <f t="shared" ref="AJ968:AJ1031" si="202">IF(AI968="","",AH968*AI968)</f>
        <v/>
      </c>
      <c r="AK968" s="168" t="str">
        <f t="shared" ref="AK968:AK1031" si="203">IFERROR(IF($F968="Bernardino Furlan",AJ968/2751.92,IF($F968="Mauro José Salanti",AJ968/2751.92,AJ968/3356)),"")</f>
        <v/>
      </c>
      <c r="AL968" s="28"/>
      <c r="AM968" s="28"/>
      <c r="AN968" s="20" t="str">
        <f>IF(AL968="","",IF($F968="Bernardino Furlan",_xlfn.XLOOKUP(AL968,Cadastros!$G$6:$G$90,Cadastros!$H$6:$H$90)*(1-0.18),IF($F968="Mauro José Salanti",_xlfn.XLOOKUP(AL968,Cadastros!$G$6:$G$90,Cadastros!$H$6:$H$90)*(1-0.18),_xlfn.XLOOKUP(AL968,Cadastros!$G$6:$G$90,Cadastros!$H$6:$H$90))))</f>
        <v/>
      </c>
      <c r="AO968" s="168" t="str">
        <f t="shared" ref="AO968:AO1031" si="204">IF(AN968="","",AM968*AN968)</f>
        <v/>
      </c>
      <c r="AP968" s="168" t="str">
        <f t="shared" ref="AP968:AP1031" si="205">IFERROR(IF($F968="Bernardino Furlan",AO968/2751.92,IF($F968="Mauro José Salanti",AO968/2751.92,AO968/3356)),"")</f>
        <v/>
      </c>
      <c r="AQ968" s="28"/>
      <c r="AR968" s="28"/>
      <c r="AS968" s="20" t="str">
        <f>IF(AQ968="","",IF($F968="Bernardino Furlan",_xlfn.XLOOKUP(AQ968,Cadastros!$G$6:$G$90,Cadastros!$H$6:$H$90)*(1-0.18),IF($F968="Mauro José Salanti",_xlfn.XLOOKUP(AQ968,Cadastros!$G$6:$G$90,Cadastros!$H$6:$H$90)*(1-0.18),_xlfn.XLOOKUP(AQ968,Cadastros!$G$6:$G$90,Cadastros!$H$6:$H$90))))</f>
        <v/>
      </c>
      <c r="AT968" s="168" t="str">
        <f t="shared" ref="AT968:AT1031" si="206">IF(AS968="","",AR968*AS968)</f>
        <v/>
      </c>
      <c r="AU968" s="168" t="str">
        <f t="shared" ref="AU968:AU1031" si="207">IFERROR(IF($F968="Bernardino Furlan",AT968/2751.92,IF($F968="Mauro José Salanti",AT968/2751.92,AT968/3356)),"")</f>
        <v/>
      </c>
      <c r="AV968" s="227"/>
      <c r="AW968" s="30"/>
      <c r="AX968" s="267"/>
      <c r="AY968" s="267"/>
      <c r="AZ968" s="29"/>
      <c r="BA968" s="30"/>
      <c r="BB968" s="23" t="str" cm="1">
        <f t="array" ref="BB968">_xlfn.IFS(AW968="SIM",SUM(K968,P968,U968,Z968,AE968,AJ968,AO968,AT968,AX968,AY968),F968&lt;&gt;"",SUM(K968,P968,U968,Z968,AE968,AJ968,,AO968,AT968),F968="","")</f>
        <v/>
      </c>
      <c r="BC968" s="211" t="str" cm="1">
        <f t="array" ref="BC968">_xlfn.IFS(E968="","",G968&lt;=E968,BB968*(1-0.03),G968&lt;(E968+8),BB968,AZ968="Boleto",BB968*(1+0.001)^DATEDIF(E968,G968,"D"),AZ968="Cheque",BB968,AZ968="Dinheiro","Alterar forma pgto")</f>
        <v/>
      </c>
      <c r="BD968" s="276" t="str" cm="1">
        <f t="array" ref="BD968">IF(F968=0," ",IF(BC968&lt;BB968,(_xlfn.IFS(AW968="SIM",SUM(L968,Q968,V968,AA968,AF968,AK968,AP968,AU968)+AX968/_xlfn.XLOOKUP(_xlfn.XLOOKUP($F968,Clientes!$B$4:$B$39,Clientes!$C$4:$C$39),Cadastros!$L$6:$L$12,Cadastros!$M$6:$M$12)+IF($F968="Bernardino Furlan",AY968/2751.92,IF($F968="Mauro José Salanti",AY968/2751.92,AY968/3356)),F968&lt;&gt;0,SUM(L968,Q968,V968,AA968,AF968,AK968,AP968,AU968)))*(1-0.03),_xlfn.IFS(AW968="SIM",SUM(L968,Q968,V968,AA968,AF968,AK968,AP968,AU968)+AX968/_xlfn.XLOOKUP(_xlfn.XLOOKUP($F968,Clientes!$B$4:$B$39,Clientes!$C$4:$C$39),Cadastros!$L$6:$L$12,Cadastros!$M$6:$M$12)+IF($F968="Bernardino Furlan",AY968/2751.92,IF($F968="Mauro José Salanti",AY968/2751.92,AY968/3356)),F968&lt;&gt;0,SUM(L968,Q968,V968,AA968,AF968,AK968,AP968,AU968))))</f>
        <v xml:space="preserve"> </v>
      </c>
      <c r="BE968" s="120"/>
      <c r="BF968" s="120"/>
      <c r="BG968" s="120"/>
    </row>
    <row r="969" spans="1:59" s="3" customFormat="1" x14ac:dyDescent="0.3">
      <c r="A969" s="15" t="str">
        <f t="shared" si="195"/>
        <v/>
      </c>
      <c r="B969" s="25"/>
      <c r="C969" s="26"/>
      <c r="D969" s="279"/>
      <c r="E969" s="27"/>
      <c r="F969" s="28"/>
      <c r="G969" s="27"/>
      <c r="H969" s="28"/>
      <c r="I969" s="28"/>
      <c r="J969" s="255" t="str">
        <f>IF(H969="","",(_xlfn.XLOOKUP(H969,Cadastros!$D$6:$D$90,Cadastros!$E$6:$E$90))*(1-_xlfn.XLOOKUP(_xlfn.XLOOKUP($F969,Clientes!$B$4:$B$39,Clientes!$C$4:$C$39),Cadastros!$L$6:$L$12,Cadastros!$N$6:$N$12)))</f>
        <v/>
      </c>
      <c r="K969" s="168" t="str">
        <f t="shared" si="196"/>
        <v/>
      </c>
      <c r="L969" s="168" t="str">
        <f>IFERROR(K969/_xlfn.XLOOKUP(_xlfn.XLOOKUP($F969,Clientes!$B$4:$B$39,Clientes!$C$4:$C$39),Cadastros!$L$6:$L$12,Cadastros!$M$6:$M$12)," ")</f>
        <v xml:space="preserve"> </v>
      </c>
      <c r="M969" s="28"/>
      <c r="N969" s="28"/>
      <c r="O969" s="255" t="str">
        <f>IF(M969="","",(_xlfn.XLOOKUP(M969,Cadastros!$D$6:$D$90,Cadastros!$E$6:$E$90))*(1-_xlfn.XLOOKUP(_xlfn.XLOOKUP($F969,Clientes!$B$4:$B$39,Clientes!$C$4:$C$39),Cadastros!$L$6:$L$12,Cadastros!$N$6:$N$12)))</f>
        <v/>
      </c>
      <c r="P969" s="168" t="str">
        <f t="shared" si="197"/>
        <v/>
      </c>
      <c r="Q969" s="168" t="str">
        <f>IFERROR(P969/_xlfn.XLOOKUP(_xlfn.XLOOKUP($F969,Clientes!$B$4:$B$39,Clientes!$C$4:$C$39),Cadastros!$L$6:$L$12,Cadastros!$M$6:$M$12)," ")</f>
        <v xml:space="preserve"> </v>
      </c>
      <c r="R969" s="28"/>
      <c r="S969" s="28"/>
      <c r="T969" s="255" t="str">
        <f>IF(R969="","",(_xlfn.XLOOKUP(R969,Cadastros!$D$6:$D$90,Cadastros!$E$6:$E$90))*(1-_xlfn.XLOOKUP(_xlfn.XLOOKUP($F969,Clientes!$B$4:$B$39,Clientes!$C$4:$C$39),Cadastros!$L$6:$L$12,Cadastros!$N$6:$N$12)))</f>
        <v/>
      </c>
      <c r="U969" s="168" t="str">
        <f t="shared" si="198"/>
        <v/>
      </c>
      <c r="V969" s="168" t="str">
        <f>IFERROR(U969/_xlfn.XLOOKUP(_xlfn.XLOOKUP($F969,Clientes!$B$4:$B$39,Clientes!$C$4:$C$39),Cadastros!$L$6:$L$12,Cadastros!$M$6:$M$12)," ")</f>
        <v xml:space="preserve"> </v>
      </c>
      <c r="W969" s="28"/>
      <c r="X969" s="28"/>
      <c r="Y969" s="255" t="str">
        <f>IF(W969="","",(_xlfn.XLOOKUP(W969,Cadastros!$D$6:$D$90,Cadastros!$E$6:$E$90))*(1-_xlfn.XLOOKUP(_xlfn.XLOOKUP($F969,Clientes!$B$4:$B$39,Clientes!$C$4:$C$39),Cadastros!$L$6:$L$12,Cadastros!$N$6:$N$12)))</f>
        <v/>
      </c>
      <c r="Z969" s="168" t="str">
        <f t="shared" si="199"/>
        <v/>
      </c>
      <c r="AA969" s="168" t="str">
        <f>IFERROR(Z969/_xlfn.XLOOKUP(_xlfn.XLOOKUP($F969,Clientes!$B$4:$B$39,Clientes!$C$4:$C$39),Cadastros!$L$6:$L$12,Cadastros!$M$6:$M$12)," ")</f>
        <v xml:space="preserve"> </v>
      </c>
      <c r="AB969" s="28"/>
      <c r="AC969" s="28"/>
      <c r="AD969" s="20" t="str">
        <f>IF(AB969="","",IF($F969="Bernardino Furlan",_xlfn.XLOOKUP(AB969,Cadastros!$G$6:$G$90,Cadastros!$H$6:$H$90)*(1-0.18),IF($F969="Mauro José Salanti",_xlfn.XLOOKUP(AB969,Cadastros!$G$6:$G$90,Cadastros!$H$6:$H$90)*(1-0.18),_xlfn.XLOOKUP(AB969,Cadastros!$G$6:$G$90,Cadastros!$H$6:$H$90))))</f>
        <v/>
      </c>
      <c r="AE969" s="168" t="str">
        <f t="shared" si="200"/>
        <v/>
      </c>
      <c r="AF969" s="168" t="str">
        <f t="shared" si="201"/>
        <v/>
      </c>
      <c r="AG969" s="28"/>
      <c r="AH969" s="28"/>
      <c r="AI969" s="20" t="str">
        <f>IF(AG969="","",IF($F969="Bernardino Furlan",_xlfn.XLOOKUP(AG969,Cadastros!$G$6:$G$90,Cadastros!$H$6:$H$90)*(1-0.18),IF($F969="Mauro José Salanti",_xlfn.XLOOKUP(AG969,Cadastros!$G$6:$G$90,Cadastros!$H$6:$H$90)*(1-0.18),_xlfn.XLOOKUP(AG969,Cadastros!$G$6:$G$90,Cadastros!$H$6:$H$90))))</f>
        <v/>
      </c>
      <c r="AJ969" s="168" t="str">
        <f t="shared" si="202"/>
        <v/>
      </c>
      <c r="AK969" s="168" t="str">
        <f t="shared" si="203"/>
        <v/>
      </c>
      <c r="AL969" s="28"/>
      <c r="AM969" s="28"/>
      <c r="AN969" s="20" t="str">
        <f>IF(AL969="","",IF($F969="Bernardino Furlan",_xlfn.XLOOKUP(AL969,Cadastros!$G$6:$G$90,Cadastros!$H$6:$H$90)*(1-0.18),IF($F969="Mauro José Salanti",_xlfn.XLOOKUP(AL969,Cadastros!$G$6:$G$90,Cadastros!$H$6:$H$90)*(1-0.18),_xlfn.XLOOKUP(AL969,Cadastros!$G$6:$G$90,Cadastros!$H$6:$H$90))))</f>
        <v/>
      </c>
      <c r="AO969" s="168" t="str">
        <f t="shared" si="204"/>
        <v/>
      </c>
      <c r="AP969" s="168" t="str">
        <f t="shared" si="205"/>
        <v/>
      </c>
      <c r="AQ969" s="28"/>
      <c r="AR969" s="28"/>
      <c r="AS969" s="20" t="str">
        <f>IF(AQ969="","",IF($F969="Bernardino Furlan",_xlfn.XLOOKUP(AQ969,Cadastros!$G$6:$G$90,Cadastros!$H$6:$H$90)*(1-0.18),IF($F969="Mauro José Salanti",_xlfn.XLOOKUP(AQ969,Cadastros!$G$6:$G$90,Cadastros!$H$6:$H$90)*(1-0.18),_xlfn.XLOOKUP(AQ969,Cadastros!$G$6:$G$90,Cadastros!$H$6:$H$90))))</f>
        <v/>
      </c>
      <c r="AT969" s="168" t="str">
        <f t="shared" si="206"/>
        <v/>
      </c>
      <c r="AU969" s="168" t="str">
        <f t="shared" si="207"/>
        <v/>
      </c>
      <c r="AV969" s="227"/>
      <c r="AW969" s="30"/>
      <c r="AX969" s="267"/>
      <c r="AY969" s="267"/>
      <c r="AZ969" s="29"/>
      <c r="BA969" s="30"/>
      <c r="BB969" s="23" t="str" cm="1">
        <f t="array" ref="BB969">_xlfn.IFS(AW969="SIM",SUM(K969,P969,U969,Z969,AE969,AJ969,AO969,AT969,AX969,AY969),F969&lt;&gt;"",SUM(K969,P969,U969,Z969,AE969,AJ969,,AO969,AT969),F969="","")</f>
        <v/>
      </c>
      <c r="BC969" s="211" t="str" cm="1">
        <f t="array" ref="BC969">_xlfn.IFS(E969="","",G969&lt;=E969,BB969*(1-0.03),G969&lt;(E969+8),BB969,AZ969="Boleto",BB969*(1+0.001)^DATEDIF(E969,G969,"D"),AZ969="Cheque",BB969,AZ969="Dinheiro","Alterar forma pgto")</f>
        <v/>
      </c>
      <c r="BD969" s="276" t="str" cm="1">
        <f t="array" ref="BD969">IF(F969=0," ",IF(BC969&lt;BB969,(_xlfn.IFS(AW969="SIM",SUM(L969,Q969,V969,AA969,AF969,AK969,AP969,AU969)+AX969/_xlfn.XLOOKUP(_xlfn.XLOOKUP($F969,Clientes!$B$4:$B$39,Clientes!$C$4:$C$39),Cadastros!$L$6:$L$12,Cadastros!$M$6:$M$12)+IF($F969="Bernardino Furlan",AY969/2751.92,IF($F969="Mauro José Salanti",AY969/2751.92,AY969/3356)),F969&lt;&gt;0,SUM(L969,Q969,V969,AA969,AF969,AK969,AP969,AU969)))*(1-0.03),_xlfn.IFS(AW969="SIM",SUM(L969,Q969,V969,AA969,AF969,AK969,AP969,AU969)+AX969/_xlfn.XLOOKUP(_xlfn.XLOOKUP($F969,Clientes!$B$4:$B$39,Clientes!$C$4:$C$39),Cadastros!$L$6:$L$12,Cadastros!$M$6:$M$12)+IF($F969="Bernardino Furlan",AY969/2751.92,IF($F969="Mauro José Salanti",AY969/2751.92,AY969/3356)),F969&lt;&gt;0,SUM(L969,Q969,V969,AA969,AF969,AK969,AP969,AU969))))</f>
        <v xml:space="preserve"> </v>
      </c>
      <c r="BE969" s="120"/>
      <c r="BF969" s="120"/>
      <c r="BG969" s="120"/>
    </row>
    <row r="970" spans="1:59" s="3" customFormat="1" x14ac:dyDescent="0.3">
      <c r="A970" s="15" t="str">
        <f t="shared" si="195"/>
        <v/>
      </c>
      <c r="B970" s="25"/>
      <c r="C970" s="26"/>
      <c r="D970" s="279"/>
      <c r="E970" s="27"/>
      <c r="F970" s="28"/>
      <c r="G970" s="27"/>
      <c r="H970" s="28"/>
      <c r="I970" s="28"/>
      <c r="J970" s="255" t="str">
        <f>IF(H970="","",(_xlfn.XLOOKUP(H970,Cadastros!$D$6:$D$90,Cadastros!$E$6:$E$90))*(1-_xlfn.XLOOKUP(_xlfn.XLOOKUP($F970,Clientes!$B$4:$B$39,Clientes!$C$4:$C$39),Cadastros!$L$6:$L$12,Cadastros!$N$6:$N$12)))</f>
        <v/>
      </c>
      <c r="K970" s="168" t="str">
        <f t="shared" si="196"/>
        <v/>
      </c>
      <c r="L970" s="168" t="str">
        <f>IFERROR(K970/_xlfn.XLOOKUP(_xlfn.XLOOKUP($F970,Clientes!$B$4:$B$39,Clientes!$C$4:$C$39),Cadastros!$L$6:$L$12,Cadastros!$M$6:$M$12)," ")</f>
        <v xml:space="preserve"> </v>
      </c>
      <c r="M970" s="28"/>
      <c r="N970" s="28"/>
      <c r="O970" s="255" t="str">
        <f>IF(M970="","",(_xlfn.XLOOKUP(M970,Cadastros!$D$6:$D$90,Cadastros!$E$6:$E$90))*(1-_xlfn.XLOOKUP(_xlfn.XLOOKUP($F970,Clientes!$B$4:$B$39,Clientes!$C$4:$C$39),Cadastros!$L$6:$L$12,Cadastros!$N$6:$N$12)))</f>
        <v/>
      </c>
      <c r="P970" s="168" t="str">
        <f t="shared" si="197"/>
        <v/>
      </c>
      <c r="Q970" s="168" t="str">
        <f>IFERROR(P970/_xlfn.XLOOKUP(_xlfn.XLOOKUP($F970,Clientes!$B$4:$B$39,Clientes!$C$4:$C$39),Cadastros!$L$6:$L$12,Cadastros!$M$6:$M$12)," ")</f>
        <v xml:space="preserve"> </v>
      </c>
      <c r="R970" s="28"/>
      <c r="S970" s="28"/>
      <c r="T970" s="255" t="str">
        <f>IF(R970="","",(_xlfn.XLOOKUP(R970,Cadastros!$D$6:$D$90,Cadastros!$E$6:$E$90))*(1-_xlfn.XLOOKUP(_xlfn.XLOOKUP($F970,Clientes!$B$4:$B$39,Clientes!$C$4:$C$39),Cadastros!$L$6:$L$12,Cadastros!$N$6:$N$12)))</f>
        <v/>
      </c>
      <c r="U970" s="168" t="str">
        <f t="shared" si="198"/>
        <v/>
      </c>
      <c r="V970" s="168" t="str">
        <f>IFERROR(U970/_xlfn.XLOOKUP(_xlfn.XLOOKUP($F970,Clientes!$B$4:$B$39,Clientes!$C$4:$C$39),Cadastros!$L$6:$L$12,Cadastros!$M$6:$M$12)," ")</f>
        <v xml:space="preserve"> </v>
      </c>
      <c r="W970" s="28"/>
      <c r="X970" s="28"/>
      <c r="Y970" s="255" t="str">
        <f>IF(W970="","",(_xlfn.XLOOKUP(W970,Cadastros!$D$6:$D$90,Cadastros!$E$6:$E$90))*(1-_xlfn.XLOOKUP(_xlfn.XLOOKUP($F970,Clientes!$B$4:$B$39,Clientes!$C$4:$C$39),Cadastros!$L$6:$L$12,Cadastros!$N$6:$N$12)))</f>
        <v/>
      </c>
      <c r="Z970" s="168" t="str">
        <f t="shared" si="199"/>
        <v/>
      </c>
      <c r="AA970" s="168" t="str">
        <f>IFERROR(Z970/_xlfn.XLOOKUP(_xlfn.XLOOKUP($F970,Clientes!$B$4:$B$39,Clientes!$C$4:$C$39),Cadastros!$L$6:$L$12,Cadastros!$M$6:$M$12)," ")</f>
        <v xml:space="preserve"> </v>
      </c>
      <c r="AB970" s="28"/>
      <c r="AC970" s="28"/>
      <c r="AD970" s="20" t="str">
        <f>IF(AB970="","",IF($F970="Bernardino Furlan",_xlfn.XLOOKUP(AB970,Cadastros!$G$6:$G$90,Cadastros!$H$6:$H$90)*(1-0.18),IF($F970="Mauro José Salanti",_xlfn.XLOOKUP(AB970,Cadastros!$G$6:$G$90,Cadastros!$H$6:$H$90)*(1-0.18),_xlfn.XLOOKUP(AB970,Cadastros!$G$6:$G$90,Cadastros!$H$6:$H$90))))</f>
        <v/>
      </c>
      <c r="AE970" s="168" t="str">
        <f t="shared" si="200"/>
        <v/>
      </c>
      <c r="AF970" s="168" t="str">
        <f t="shared" si="201"/>
        <v/>
      </c>
      <c r="AG970" s="28"/>
      <c r="AH970" s="28"/>
      <c r="AI970" s="20" t="str">
        <f>IF(AG970="","",IF($F970="Bernardino Furlan",_xlfn.XLOOKUP(AG970,Cadastros!$G$6:$G$90,Cadastros!$H$6:$H$90)*(1-0.18),IF($F970="Mauro José Salanti",_xlfn.XLOOKUP(AG970,Cadastros!$G$6:$G$90,Cadastros!$H$6:$H$90)*(1-0.18),_xlfn.XLOOKUP(AG970,Cadastros!$G$6:$G$90,Cadastros!$H$6:$H$90))))</f>
        <v/>
      </c>
      <c r="AJ970" s="168" t="str">
        <f t="shared" si="202"/>
        <v/>
      </c>
      <c r="AK970" s="168" t="str">
        <f t="shared" si="203"/>
        <v/>
      </c>
      <c r="AL970" s="28"/>
      <c r="AM970" s="28"/>
      <c r="AN970" s="20" t="str">
        <f>IF(AL970="","",IF($F970="Bernardino Furlan",_xlfn.XLOOKUP(AL970,Cadastros!$G$6:$G$90,Cadastros!$H$6:$H$90)*(1-0.18),IF($F970="Mauro José Salanti",_xlfn.XLOOKUP(AL970,Cadastros!$G$6:$G$90,Cadastros!$H$6:$H$90)*(1-0.18),_xlfn.XLOOKUP(AL970,Cadastros!$G$6:$G$90,Cadastros!$H$6:$H$90))))</f>
        <v/>
      </c>
      <c r="AO970" s="168" t="str">
        <f t="shared" si="204"/>
        <v/>
      </c>
      <c r="AP970" s="168" t="str">
        <f t="shared" si="205"/>
        <v/>
      </c>
      <c r="AQ970" s="28"/>
      <c r="AR970" s="28"/>
      <c r="AS970" s="20" t="str">
        <f>IF(AQ970="","",IF($F970="Bernardino Furlan",_xlfn.XLOOKUP(AQ970,Cadastros!$G$6:$G$90,Cadastros!$H$6:$H$90)*(1-0.18),IF($F970="Mauro José Salanti",_xlfn.XLOOKUP(AQ970,Cadastros!$G$6:$G$90,Cadastros!$H$6:$H$90)*(1-0.18),_xlfn.XLOOKUP(AQ970,Cadastros!$G$6:$G$90,Cadastros!$H$6:$H$90))))</f>
        <v/>
      </c>
      <c r="AT970" s="168" t="str">
        <f t="shared" si="206"/>
        <v/>
      </c>
      <c r="AU970" s="168" t="str">
        <f t="shared" si="207"/>
        <v/>
      </c>
      <c r="AV970" s="227"/>
      <c r="AW970" s="30"/>
      <c r="AX970" s="267"/>
      <c r="AY970" s="267"/>
      <c r="AZ970" s="29"/>
      <c r="BA970" s="30"/>
      <c r="BB970" s="23" t="str" cm="1">
        <f t="array" ref="BB970">_xlfn.IFS(AW970="SIM",SUM(K970,P970,U970,Z970,AE970,AJ970,AO970,AT970,AX970,AY970),F970&lt;&gt;"",SUM(K970,P970,U970,Z970,AE970,AJ970,,AO970,AT970),F970="","")</f>
        <v/>
      </c>
      <c r="BC970" s="211" t="str" cm="1">
        <f t="array" ref="BC970">_xlfn.IFS(E970="","",G970&lt;=E970,BB970*(1-0.03),G970&lt;(E970+8),BB970,AZ970="Boleto",BB970*(1+0.001)^DATEDIF(E970,G970,"D"),AZ970="Cheque",BB970,AZ970="Dinheiro","Alterar forma pgto")</f>
        <v/>
      </c>
      <c r="BD970" s="276" t="str" cm="1">
        <f t="array" ref="BD970">IF(F970=0," ",IF(BC970&lt;BB970,(_xlfn.IFS(AW970="SIM",SUM(L970,Q970,V970,AA970,AF970,AK970,AP970,AU970)+AX970/_xlfn.XLOOKUP(_xlfn.XLOOKUP($F970,Clientes!$B$4:$B$39,Clientes!$C$4:$C$39),Cadastros!$L$6:$L$12,Cadastros!$M$6:$M$12)+IF($F970="Bernardino Furlan",AY970/2751.92,IF($F970="Mauro José Salanti",AY970/2751.92,AY970/3356)),F970&lt;&gt;0,SUM(L970,Q970,V970,AA970,AF970,AK970,AP970,AU970)))*(1-0.03),_xlfn.IFS(AW970="SIM",SUM(L970,Q970,V970,AA970,AF970,AK970,AP970,AU970)+AX970/_xlfn.XLOOKUP(_xlfn.XLOOKUP($F970,Clientes!$B$4:$B$39,Clientes!$C$4:$C$39),Cadastros!$L$6:$L$12,Cadastros!$M$6:$M$12)+IF($F970="Bernardino Furlan",AY970/2751.92,IF($F970="Mauro José Salanti",AY970/2751.92,AY970/3356)),F970&lt;&gt;0,SUM(L970,Q970,V970,AA970,AF970,AK970,AP970,AU970))))</f>
        <v xml:space="preserve"> </v>
      </c>
      <c r="BE970" s="120"/>
      <c r="BF970" s="120"/>
      <c r="BG970" s="120"/>
    </row>
    <row r="971" spans="1:59" s="3" customFormat="1" x14ac:dyDescent="0.3">
      <c r="A971" s="15" t="str">
        <f t="shared" si="195"/>
        <v/>
      </c>
      <c r="B971" s="25"/>
      <c r="C971" s="26"/>
      <c r="D971" s="279"/>
      <c r="E971" s="27"/>
      <c r="F971" s="28"/>
      <c r="G971" s="27"/>
      <c r="H971" s="28"/>
      <c r="I971" s="28"/>
      <c r="J971" s="255" t="str">
        <f>IF(H971="","",(_xlfn.XLOOKUP(H971,Cadastros!$D$6:$D$90,Cadastros!$E$6:$E$90))*(1-_xlfn.XLOOKUP(_xlfn.XLOOKUP($F971,Clientes!$B$4:$B$39,Clientes!$C$4:$C$39),Cadastros!$L$6:$L$12,Cadastros!$N$6:$N$12)))</f>
        <v/>
      </c>
      <c r="K971" s="168" t="str">
        <f t="shared" si="196"/>
        <v/>
      </c>
      <c r="L971" s="168" t="str">
        <f>IFERROR(K971/_xlfn.XLOOKUP(_xlfn.XLOOKUP($F971,Clientes!$B$4:$B$39,Clientes!$C$4:$C$39),Cadastros!$L$6:$L$12,Cadastros!$M$6:$M$12)," ")</f>
        <v xml:space="preserve"> </v>
      </c>
      <c r="M971" s="28"/>
      <c r="N971" s="28"/>
      <c r="O971" s="255" t="str">
        <f>IF(M971="","",(_xlfn.XLOOKUP(M971,Cadastros!$D$6:$D$90,Cadastros!$E$6:$E$90))*(1-_xlfn.XLOOKUP(_xlfn.XLOOKUP($F971,Clientes!$B$4:$B$39,Clientes!$C$4:$C$39),Cadastros!$L$6:$L$12,Cadastros!$N$6:$N$12)))</f>
        <v/>
      </c>
      <c r="P971" s="168" t="str">
        <f t="shared" si="197"/>
        <v/>
      </c>
      <c r="Q971" s="168" t="str">
        <f>IFERROR(P971/_xlfn.XLOOKUP(_xlfn.XLOOKUP($F971,Clientes!$B$4:$B$39,Clientes!$C$4:$C$39),Cadastros!$L$6:$L$12,Cadastros!$M$6:$M$12)," ")</f>
        <v xml:space="preserve"> </v>
      </c>
      <c r="R971" s="28"/>
      <c r="S971" s="28"/>
      <c r="T971" s="255" t="str">
        <f>IF(R971="","",(_xlfn.XLOOKUP(R971,Cadastros!$D$6:$D$90,Cadastros!$E$6:$E$90))*(1-_xlfn.XLOOKUP(_xlfn.XLOOKUP($F971,Clientes!$B$4:$B$39,Clientes!$C$4:$C$39),Cadastros!$L$6:$L$12,Cadastros!$N$6:$N$12)))</f>
        <v/>
      </c>
      <c r="U971" s="168" t="str">
        <f t="shared" si="198"/>
        <v/>
      </c>
      <c r="V971" s="168" t="str">
        <f>IFERROR(U971/_xlfn.XLOOKUP(_xlfn.XLOOKUP($F971,Clientes!$B$4:$B$39,Clientes!$C$4:$C$39),Cadastros!$L$6:$L$12,Cadastros!$M$6:$M$12)," ")</f>
        <v xml:space="preserve"> </v>
      </c>
      <c r="W971" s="28"/>
      <c r="X971" s="28"/>
      <c r="Y971" s="255" t="str">
        <f>IF(W971="","",(_xlfn.XLOOKUP(W971,Cadastros!$D$6:$D$90,Cadastros!$E$6:$E$90))*(1-_xlfn.XLOOKUP(_xlfn.XLOOKUP($F971,Clientes!$B$4:$B$39,Clientes!$C$4:$C$39),Cadastros!$L$6:$L$12,Cadastros!$N$6:$N$12)))</f>
        <v/>
      </c>
      <c r="Z971" s="168" t="str">
        <f t="shared" si="199"/>
        <v/>
      </c>
      <c r="AA971" s="168" t="str">
        <f>IFERROR(Z971/_xlfn.XLOOKUP(_xlfn.XLOOKUP($F971,Clientes!$B$4:$B$39,Clientes!$C$4:$C$39),Cadastros!$L$6:$L$12,Cadastros!$M$6:$M$12)," ")</f>
        <v xml:space="preserve"> </v>
      </c>
      <c r="AB971" s="28"/>
      <c r="AC971" s="28"/>
      <c r="AD971" s="20" t="str">
        <f>IF(AB971="","",IF($F971="Bernardino Furlan",_xlfn.XLOOKUP(AB971,Cadastros!$G$6:$G$90,Cadastros!$H$6:$H$90)*(1-0.18),IF($F971="Mauro José Salanti",_xlfn.XLOOKUP(AB971,Cadastros!$G$6:$G$90,Cadastros!$H$6:$H$90)*(1-0.18),_xlfn.XLOOKUP(AB971,Cadastros!$G$6:$G$90,Cadastros!$H$6:$H$90))))</f>
        <v/>
      </c>
      <c r="AE971" s="168" t="str">
        <f t="shared" si="200"/>
        <v/>
      </c>
      <c r="AF971" s="168" t="str">
        <f t="shared" si="201"/>
        <v/>
      </c>
      <c r="AG971" s="28"/>
      <c r="AH971" s="28"/>
      <c r="AI971" s="20" t="str">
        <f>IF(AG971="","",IF($F971="Bernardino Furlan",_xlfn.XLOOKUP(AG971,Cadastros!$G$6:$G$90,Cadastros!$H$6:$H$90)*(1-0.18),IF($F971="Mauro José Salanti",_xlfn.XLOOKUP(AG971,Cadastros!$G$6:$G$90,Cadastros!$H$6:$H$90)*(1-0.18),_xlfn.XLOOKUP(AG971,Cadastros!$G$6:$G$90,Cadastros!$H$6:$H$90))))</f>
        <v/>
      </c>
      <c r="AJ971" s="168" t="str">
        <f t="shared" si="202"/>
        <v/>
      </c>
      <c r="AK971" s="168" t="str">
        <f t="shared" si="203"/>
        <v/>
      </c>
      <c r="AL971" s="28"/>
      <c r="AM971" s="28"/>
      <c r="AN971" s="20" t="str">
        <f>IF(AL971="","",IF($F971="Bernardino Furlan",_xlfn.XLOOKUP(AL971,Cadastros!$G$6:$G$90,Cadastros!$H$6:$H$90)*(1-0.18),IF($F971="Mauro José Salanti",_xlfn.XLOOKUP(AL971,Cadastros!$G$6:$G$90,Cadastros!$H$6:$H$90)*(1-0.18),_xlfn.XLOOKUP(AL971,Cadastros!$G$6:$G$90,Cadastros!$H$6:$H$90))))</f>
        <v/>
      </c>
      <c r="AO971" s="168" t="str">
        <f t="shared" si="204"/>
        <v/>
      </c>
      <c r="AP971" s="168" t="str">
        <f t="shared" si="205"/>
        <v/>
      </c>
      <c r="AQ971" s="28"/>
      <c r="AR971" s="28"/>
      <c r="AS971" s="20" t="str">
        <f>IF(AQ971="","",IF($F971="Bernardino Furlan",_xlfn.XLOOKUP(AQ971,Cadastros!$G$6:$G$90,Cadastros!$H$6:$H$90)*(1-0.18),IF($F971="Mauro José Salanti",_xlfn.XLOOKUP(AQ971,Cadastros!$G$6:$G$90,Cadastros!$H$6:$H$90)*(1-0.18),_xlfn.XLOOKUP(AQ971,Cadastros!$G$6:$G$90,Cadastros!$H$6:$H$90))))</f>
        <v/>
      </c>
      <c r="AT971" s="168" t="str">
        <f t="shared" si="206"/>
        <v/>
      </c>
      <c r="AU971" s="168" t="str">
        <f t="shared" si="207"/>
        <v/>
      </c>
      <c r="AV971" s="227"/>
      <c r="AW971" s="30"/>
      <c r="AX971" s="267"/>
      <c r="AY971" s="267"/>
      <c r="AZ971" s="29"/>
      <c r="BA971" s="30"/>
      <c r="BB971" s="23" t="str" cm="1">
        <f t="array" ref="BB971">_xlfn.IFS(AW971="SIM",SUM(K971,P971,U971,Z971,AE971,AJ971,AO971,AT971,AX971,AY971),F971&lt;&gt;"",SUM(K971,P971,U971,Z971,AE971,AJ971,,AO971,AT971),F971="","")</f>
        <v/>
      </c>
      <c r="BC971" s="211" t="str" cm="1">
        <f t="array" ref="BC971">_xlfn.IFS(E971="","",G971&lt;=E971,BB971*(1-0.03),G971&lt;(E971+8),BB971,AZ971="Boleto",BB971*(1+0.001)^DATEDIF(E971,G971,"D"),AZ971="Cheque",BB971,AZ971="Dinheiro","Alterar forma pgto")</f>
        <v/>
      </c>
      <c r="BD971" s="276" t="str" cm="1">
        <f t="array" ref="BD971">IF(F971=0," ",IF(BC971&lt;BB971,(_xlfn.IFS(AW971="SIM",SUM(L971,Q971,V971,AA971,AF971,AK971,AP971,AU971)+AX971/_xlfn.XLOOKUP(_xlfn.XLOOKUP($F971,Clientes!$B$4:$B$39,Clientes!$C$4:$C$39),Cadastros!$L$6:$L$12,Cadastros!$M$6:$M$12)+IF($F971="Bernardino Furlan",AY971/2751.92,IF($F971="Mauro José Salanti",AY971/2751.92,AY971/3356)),F971&lt;&gt;0,SUM(L971,Q971,V971,AA971,AF971,AK971,AP971,AU971)))*(1-0.03),_xlfn.IFS(AW971="SIM",SUM(L971,Q971,V971,AA971,AF971,AK971,AP971,AU971)+AX971/_xlfn.XLOOKUP(_xlfn.XLOOKUP($F971,Clientes!$B$4:$B$39,Clientes!$C$4:$C$39),Cadastros!$L$6:$L$12,Cadastros!$M$6:$M$12)+IF($F971="Bernardino Furlan",AY971/2751.92,IF($F971="Mauro José Salanti",AY971/2751.92,AY971/3356)),F971&lt;&gt;0,SUM(L971,Q971,V971,AA971,AF971,AK971,AP971,AU971))))</f>
        <v xml:space="preserve"> </v>
      </c>
      <c r="BE971" s="120"/>
      <c r="BF971" s="120"/>
      <c r="BG971" s="120"/>
    </row>
    <row r="972" spans="1:59" s="3" customFormat="1" x14ac:dyDescent="0.3">
      <c r="A972" s="15" t="str">
        <f t="shared" si="195"/>
        <v/>
      </c>
      <c r="B972" s="25"/>
      <c r="C972" s="26"/>
      <c r="D972" s="279"/>
      <c r="E972" s="27"/>
      <c r="F972" s="28"/>
      <c r="G972" s="27"/>
      <c r="H972" s="28"/>
      <c r="I972" s="28"/>
      <c r="J972" s="255" t="str">
        <f>IF(H972="","",(_xlfn.XLOOKUP(H972,Cadastros!$D$6:$D$90,Cadastros!$E$6:$E$90))*(1-_xlfn.XLOOKUP(_xlfn.XLOOKUP($F972,Clientes!$B$4:$B$39,Clientes!$C$4:$C$39),Cadastros!$L$6:$L$12,Cadastros!$N$6:$N$12)))</f>
        <v/>
      </c>
      <c r="K972" s="168" t="str">
        <f t="shared" si="196"/>
        <v/>
      </c>
      <c r="L972" s="168" t="str">
        <f>IFERROR(K972/_xlfn.XLOOKUP(_xlfn.XLOOKUP($F972,Clientes!$B$4:$B$39,Clientes!$C$4:$C$39),Cadastros!$L$6:$L$12,Cadastros!$M$6:$M$12)," ")</f>
        <v xml:space="preserve"> </v>
      </c>
      <c r="M972" s="28"/>
      <c r="N972" s="28"/>
      <c r="O972" s="255" t="str">
        <f>IF(M972="","",(_xlfn.XLOOKUP(M972,Cadastros!$D$6:$D$90,Cadastros!$E$6:$E$90))*(1-_xlfn.XLOOKUP(_xlfn.XLOOKUP($F972,Clientes!$B$4:$B$39,Clientes!$C$4:$C$39),Cadastros!$L$6:$L$12,Cadastros!$N$6:$N$12)))</f>
        <v/>
      </c>
      <c r="P972" s="168" t="str">
        <f t="shared" si="197"/>
        <v/>
      </c>
      <c r="Q972" s="168" t="str">
        <f>IFERROR(P972/_xlfn.XLOOKUP(_xlfn.XLOOKUP($F972,Clientes!$B$4:$B$39,Clientes!$C$4:$C$39),Cadastros!$L$6:$L$12,Cadastros!$M$6:$M$12)," ")</f>
        <v xml:space="preserve"> </v>
      </c>
      <c r="R972" s="28"/>
      <c r="S972" s="28"/>
      <c r="T972" s="255" t="str">
        <f>IF(R972="","",(_xlfn.XLOOKUP(R972,Cadastros!$D$6:$D$90,Cadastros!$E$6:$E$90))*(1-_xlfn.XLOOKUP(_xlfn.XLOOKUP($F972,Clientes!$B$4:$B$39,Clientes!$C$4:$C$39),Cadastros!$L$6:$L$12,Cadastros!$N$6:$N$12)))</f>
        <v/>
      </c>
      <c r="U972" s="168" t="str">
        <f t="shared" si="198"/>
        <v/>
      </c>
      <c r="V972" s="168" t="str">
        <f>IFERROR(U972/_xlfn.XLOOKUP(_xlfn.XLOOKUP($F972,Clientes!$B$4:$B$39,Clientes!$C$4:$C$39),Cadastros!$L$6:$L$12,Cadastros!$M$6:$M$12)," ")</f>
        <v xml:space="preserve"> </v>
      </c>
      <c r="W972" s="28"/>
      <c r="X972" s="28"/>
      <c r="Y972" s="255" t="str">
        <f>IF(W972="","",(_xlfn.XLOOKUP(W972,Cadastros!$D$6:$D$90,Cadastros!$E$6:$E$90))*(1-_xlfn.XLOOKUP(_xlfn.XLOOKUP($F972,Clientes!$B$4:$B$39,Clientes!$C$4:$C$39),Cadastros!$L$6:$L$12,Cadastros!$N$6:$N$12)))</f>
        <v/>
      </c>
      <c r="Z972" s="168" t="str">
        <f t="shared" si="199"/>
        <v/>
      </c>
      <c r="AA972" s="168" t="str">
        <f>IFERROR(Z972/_xlfn.XLOOKUP(_xlfn.XLOOKUP($F972,Clientes!$B$4:$B$39,Clientes!$C$4:$C$39),Cadastros!$L$6:$L$12,Cadastros!$M$6:$M$12)," ")</f>
        <v xml:space="preserve"> </v>
      </c>
      <c r="AB972" s="28"/>
      <c r="AC972" s="28"/>
      <c r="AD972" s="20" t="str">
        <f>IF(AB972="","",IF($F972="Bernardino Furlan",_xlfn.XLOOKUP(AB972,Cadastros!$G$6:$G$90,Cadastros!$H$6:$H$90)*(1-0.18),IF($F972="Mauro José Salanti",_xlfn.XLOOKUP(AB972,Cadastros!$G$6:$G$90,Cadastros!$H$6:$H$90)*(1-0.18),_xlfn.XLOOKUP(AB972,Cadastros!$G$6:$G$90,Cadastros!$H$6:$H$90))))</f>
        <v/>
      </c>
      <c r="AE972" s="168" t="str">
        <f t="shared" si="200"/>
        <v/>
      </c>
      <c r="AF972" s="168" t="str">
        <f t="shared" si="201"/>
        <v/>
      </c>
      <c r="AG972" s="28"/>
      <c r="AH972" s="28"/>
      <c r="AI972" s="20" t="str">
        <f>IF(AG972="","",IF($F972="Bernardino Furlan",_xlfn.XLOOKUP(AG972,Cadastros!$G$6:$G$90,Cadastros!$H$6:$H$90)*(1-0.18),IF($F972="Mauro José Salanti",_xlfn.XLOOKUP(AG972,Cadastros!$G$6:$G$90,Cadastros!$H$6:$H$90)*(1-0.18),_xlfn.XLOOKUP(AG972,Cadastros!$G$6:$G$90,Cadastros!$H$6:$H$90))))</f>
        <v/>
      </c>
      <c r="AJ972" s="168" t="str">
        <f t="shared" si="202"/>
        <v/>
      </c>
      <c r="AK972" s="168" t="str">
        <f t="shared" si="203"/>
        <v/>
      </c>
      <c r="AL972" s="28"/>
      <c r="AM972" s="28"/>
      <c r="AN972" s="20" t="str">
        <f>IF(AL972="","",IF($F972="Bernardino Furlan",_xlfn.XLOOKUP(AL972,Cadastros!$G$6:$G$90,Cadastros!$H$6:$H$90)*(1-0.18),IF($F972="Mauro José Salanti",_xlfn.XLOOKUP(AL972,Cadastros!$G$6:$G$90,Cadastros!$H$6:$H$90)*(1-0.18),_xlfn.XLOOKUP(AL972,Cadastros!$G$6:$G$90,Cadastros!$H$6:$H$90))))</f>
        <v/>
      </c>
      <c r="AO972" s="168" t="str">
        <f t="shared" si="204"/>
        <v/>
      </c>
      <c r="AP972" s="168" t="str">
        <f t="shared" si="205"/>
        <v/>
      </c>
      <c r="AQ972" s="28"/>
      <c r="AR972" s="28"/>
      <c r="AS972" s="20" t="str">
        <f>IF(AQ972="","",IF($F972="Bernardino Furlan",_xlfn.XLOOKUP(AQ972,Cadastros!$G$6:$G$90,Cadastros!$H$6:$H$90)*(1-0.18),IF($F972="Mauro José Salanti",_xlfn.XLOOKUP(AQ972,Cadastros!$G$6:$G$90,Cadastros!$H$6:$H$90)*(1-0.18),_xlfn.XLOOKUP(AQ972,Cadastros!$G$6:$G$90,Cadastros!$H$6:$H$90))))</f>
        <v/>
      </c>
      <c r="AT972" s="168" t="str">
        <f t="shared" si="206"/>
        <v/>
      </c>
      <c r="AU972" s="168" t="str">
        <f t="shared" si="207"/>
        <v/>
      </c>
      <c r="AV972" s="227"/>
      <c r="AW972" s="30"/>
      <c r="AX972" s="267"/>
      <c r="AY972" s="267"/>
      <c r="AZ972" s="29"/>
      <c r="BA972" s="30"/>
      <c r="BB972" s="23" t="str" cm="1">
        <f t="array" ref="BB972">_xlfn.IFS(AW972="SIM",SUM(K972,P972,U972,Z972,AE972,AJ972,AO972,AT972,AX972,AY972),F972&lt;&gt;"",SUM(K972,P972,U972,Z972,AE972,AJ972,,AO972,AT972),F972="","")</f>
        <v/>
      </c>
      <c r="BC972" s="211" t="str" cm="1">
        <f t="array" ref="BC972">_xlfn.IFS(E972="","",G972&lt;=E972,BB972*(1-0.03),G972&lt;(E972+8),BB972,AZ972="Boleto",BB972*(1+0.001)^DATEDIF(E972,G972,"D"),AZ972="Cheque",BB972,AZ972="Dinheiro","Alterar forma pgto")</f>
        <v/>
      </c>
      <c r="BD972" s="276" t="str" cm="1">
        <f t="array" ref="BD972">IF(F972=0," ",IF(BC972&lt;BB972,(_xlfn.IFS(AW972="SIM",SUM(L972,Q972,V972,AA972,AF972,AK972,AP972,AU972)+AX972/_xlfn.XLOOKUP(_xlfn.XLOOKUP($F972,Clientes!$B$4:$B$39,Clientes!$C$4:$C$39),Cadastros!$L$6:$L$12,Cadastros!$M$6:$M$12)+IF($F972="Bernardino Furlan",AY972/2751.92,IF($F972="Mauro José Salanti",AY972/2751.92,AY972/3356)),F972&lt;&gt;0,SUM(L972,Q972,V972,AA972,AF972,AK972,AP972,AU972)))*(1-0.03),_xlfn.IFS(AW972="SIM",SUM(L972,Q972,V972,AA972,AF972,AK972,AP972,AU972)+AX972/_xlfn.XLOOKUP(_xlfn.XLOOKUP($F972,Clientes!$B$4:$B$39,Clientes!$C$4:$C$39),Cadastros!$L$6:$L$12,Cadastros!$M$6:$M$12)+IF($F972="Bernardino Furlan",AY972/2751.92,IF($F972="Mauro José Salanti",AY972/2751.92,AY972/3356)),F972&lt;&gt;0,SUM(L972,Q972,V972,AA972,AF972,AK972,AP972,AU972))))</f>
        <v xml:space="preserve"> </v>
      </c>
      <c r="BE972" s="120"/>
      <c r="BF972" s="120"/>
      <c r="BG972" s="120"/>
    </row>
    <row r="973" spans="1:59" s="3" customFormat="1" x14ac:dyDescent="0.3">
      <c r="A973" s="15" t="str">
        <f t="shared" si="195"/>
        <v/>
      </c>
      <c r="B973" s="25"/>
      <c r="C973" s="26"/>
      <c r="D973" s="279"/>
      <c r="E973" s="27"/>
      <c r="F973" s="28"/>
      <c r="G973" s="27"/>
      <c r="H973" s="28"/>
      <c r="I973" s="28"/>
      <c r="J973" s="255" t="str">
        <f>IF(H973="","",(_xlfn.XLOOKUP(H973,Cadastros!$D$6:$D$90,Cadastros!$E$6:$E$90))*(1-_xlfn.XLOOKUP(_xlfn.XLOOKUP($F973,Clientes!$B$4:$B$39,Clientes!$C$4:$C$39),Cadastros!$L$6:$L$12,Cadastros!$N$6:$N$12)))</f>
        <v/>
      </c>
      <c r="K973" s="168" t="str">
        <f t="shared" si="196"/>
        <v/>
      </c>
      <c r="L973" s="168" t="str">
        <f>IFERROR(K973/_xlfn.XLOOKUP(_xlfn.XLOOKUP($F973,Clientes!$B$4:$B$39,Clientes!$C$4:$C$39),Cadastros!$L$6:$L$12,Cadastros!$M$6:$M$12)," ")</f>
        <v xml:space="preserve"> </v>
      </c>
      <c r="M973" s="28"/>
      <c r="N973" s="28"/>
      <c r="O973" s="255" t="str">
        <f>IF(M973="","",(_xlfn.XLOOKUP(M973,Cadastros!$D$6:$D$90,Cadastros!$E$6:$E$90))*(1-_xlfn.XLOOKUP(_xlfn.XLOOKUP($F973,Clientes!$B$4:$B$39,Clientes!$C$4:$C$39),Cadastros!$L$6:$L$12,Cadastros!$N$6:$N$12)))</f>
        <v/>
      </c>
      <c r="P973" s="168" t="str">
        <f t="shared" si="197"/>
        <v/>
      </c>
      <c r="Q973" s="168" t="str">
        <f>IFERROR(P973/_xlfn.XLOOKUP(_xlfn.XLOOKUP($F973,Clientes!$B$4:$B$39,Clientes!$C$4:$C$39),Cadastros!$L$6:$L$12,Cadastros!$M$6:$M$12)," ")</f>
        <v xml:space="preserve"> </v>
      </c>
      <c r="R973" s="28"/>
      <c r="S973" s="28"/>
      <c r="T973" s="255" t="str">
        <f>IF(R973="","",(_xlfn.XLOOKUP(R973,Cadastros!$D$6:$D$90,Cadastros!$E$6:$E$90))*(1-_xlfn.XLOOKUP(_xlfn.XLOOKUP($F973,Clientes!$B$4:$B$39,Clientes!$C$4:$C$39),Cadastros!$L$6:$L$12,Cadastros!$N$6:$N$12)))</f>
        <v/>
      </c>
      <c r="U973" s="168" t="str">
        <f t="shared" si="198"/>
        <v/>
      </c>
      <c r="V973" s="168" t="str">
        <f>IFERROR(U973/_xlfn.XLOOKUP(_xlfn.XLOOKUP($F973,Clientes!$B$4:$B$39,Clientes!$C$4:$C$39),Cadastros!$L$6:$L$12,Cadastros!$M$6:$M$12)," ")</f>
        <v xml:space="preserve"> </v>
      </c>
      <c r="W973" s="28"/>
      <c r="X973" s="28"/>
      <c r="Y973" s="255" t="str">
        <f>IF(W973="","",(_xlfn.XLOOKUP(W973,Cadastros!$D$6:$D$90,Cadastros!$E$6:$E$90))*(1-_xlfn.XLOOKUP(_xlfn.XLOOKUP($F973,Clientes!$B$4:$B$39,Clientes!$C$4:$C$39),Cadastros!$L$6:$L$12,Cadastros!$N$6:$N$12)))</f>
        <v/>
      </c>
      <c r="Z973" s="168" t="str">
        <f t="shared" si="199"/>
        <v/>
      </c>
      <c r="AA973" s="168" t="str">
        <f>IFERROR(Z973/_xlfn.XLOOKUP(_xlfn.XLOOKUP($F973,Clientes!$B$4:$B$39,Clientes!$C$4:$C$39),Cadastros!$L$6:$L$12,Cadastros!$M$6:$M$12)," ")</f>
        <v xml:space="preserve"> </v>
      </c>
      <c r="AB973" s="28"/>
      <c r="AC973" s="28"/>
      <c r="AD973" s="20" t="str">
        <f>IF(AB973="","",IF($F973="Bernardino Furlan",_xlfn.XLOOKUP(AB973,Cadastros!$G$6:$G$90,Cadastros!$H$6:$H$90)*(1-0.18),IF($F973="Mauro José Salanti",_xlfn.XLOOKUP(AB973,Cadastros!$G$6:$G$90,Cadastros!$H$6:$H$90)*(1-0.18),_xlfn.XLOOKUP(AB973,Cadastros!$G$6:$G$90,Cadastros!$H$6:$H$90))))</f>
        <v/>
      </c>
      <c r="AE973" s="168" t="str">
        <f t="shared" si="200"/>
        <v/>
      </c>
      <c r="AF973" s="168" t="str">
        <f t="shared" si="201"/>
        <v/>
      </c>
      <c r="AG973" s="28"/>
      <c r="AH973" s="28"/>
      <c r="AI973" s="20" t="str">
        <f>IF(AG973="","",IF($F973="Bernardino Furlan",_xlfn.XLOOKUP(AG973,Cadastros!$G$6:$G$90,Cadastros!$H$6:$H$90)*(1-0.18),IF($F973="Mauro José Salanti",_xlfn.XLOOKUP(AG973,Cadastros!$G$6:$G$90,Cadastros!$H$6:$H$90)*(1-0.18),_xlfn.XLOOKUP(AG973,Cadastros!$G$6:$G$90,Cadastros!$H$6:$H$90))))</f>
        <v/>
      </c>
      <c r="AJ973" s="168" t="str">
        <f t="shared" si="202"/>
        <v/>
      </c>
      <c r="AK973" s="168" t="str">
        <f t="shared" si="203"/>
        <v/>
      </c>
      <c r="AL973" s="28"/>
      <c r="AM973" s="28"/>
      <c r="AN973" s="20" t="str">
        <f>IF(AL973="","",IF($F973="Bernardino Furlan",_xlfn.XLOOKUP(AL973,Cadastros!$G$6:$G$90,Cadastros!$H$6:$H$90)*(1-0.18),IF($F973="Mauro José Salanti",_xlfn.XLOOKUP(AL973,Cadastros!$G$6:$G$90,Cadastros!$H$6:$H$90)*(1-0.18),_xlfn.XLOOKUP(AL973,Cadastros!$G$6:$G$90,Cadastros!$H$6:$H$90))))</f>
        <v/>
      </c>
      <c r="AO973" s="168" t="str">
        <f t="shared" si="204"/>
        <v/>
      </c>
      <c r="AP973" s="168" t="str">
        <f t="shared" si="205"/>
        <v/>
      </c>
      <c r="AQ973" s="28"/>
      <c r="AR973" s="28"/>
      <c r="AS973" s="20" t="str">
        <f>IF(AQ973="","",IF($F973="Bernardino Furlan",_xlfn.XLOOKUP(AQ973,Cadastros!$G$6:$G$90,Cadastros!$H$6:$H$90)*(1-0.18),IF($F973="Mauro José Salanti",_xlfn.XLOOKUP(AQ973,Cadastros!$G$6:$G$90,Cadastros!$H$6:$H$90)*(1-0.18),_xlfn.XLOOKUP(AQ973,Cadastros!$G$6:$G$90,Cadastros!$H$6:$H$90))))</f>
        <v/>
      </c>
      <c r="AT973" s="168" t="str">
        <f t="shared" si="206"/>
        <v/>
      </c>
      <c r="AU973" s="168" t="str">
        <f t="shared" si="207"/>
        <v/>
      </c>
      <c r="AV973" s="227"/>
      <c r="AW973" s="30"/>
      <c r="AX973" s="267"/>
      <c r="AY973" s="267"/>
      <c r="AZ973" s="29"/>
      <c r="BA973" s="30"/>
      <c r="BB973" s="23" t="str" cm="1">
        <f t="array" ref="BB973">_xlfn.IFS(AW973="SIM",SUM(K973,P973,U973,Z973,AE973,AJ973,AO973,AT973,AX973,AY973),F973&lt;&gt;"",SUM(K973,P973,U973,Z973,AE973,AJ973,,AO973,AT973),F973="","")</f>
        <v/>
      </c>
      <c r="BC973" s="211" t="str" cm="1">
        <f t="array" ref="BC973">_xlfn.IFS(E973="","",G973&lt;=E973,BB973*(1-0.03),G973&lt;(E973+8),BB973,AZ973="Boleto",BB973*(1+0.001)^DATEDIF(E973,G973,"D"),AZ973="Cheque",BB973,AZ973="Dinheiro","Alterar forma pgto")</f>
        <v/>
      </c>
      <c r="BD973" s="276" t="str" cm="1">
        <f t="array" ref="BD973">IF(F973=0," ",IF(BC973&lt;BB973,(_xlfn.IFS(AW973="SIM",SUM(L973,Q973,V973,AA973,AF973,AK973,AP973,AU973)+AX973/_xlfn.XLOOKUP(_xlfn.XLOOKUP($F973,Clientes!$B$4:$B$39,Clientes!$C$4:$C$39),Cadastros!$L$6:$L$12,Cadastros!$M$6:$M$12)+IF($F973="Bernardino Furlan",AY973/2751.92,IF($F973="Mauro José Salanti",AY973/2751.92,AY973/3356)),F973&lt;&gt;0,SUM(L973,Q973,V973,AA973,AF973,AK973,AP973,AU973)))*(1-0.03),_xlfn.IFS(AW973="SIM",SUM(L973,Q973,V973,AA973,AF973,AK973,AP973,AU973)+AX973/_xlfn.XLOOKUP(_xlfn.XLOOKUP($F973,Clientes!$B$4:$B$39,Clientes!$C$4:$C$39),Cadastros!$L$6:$L$12,Cadastros!$M$6:$M$12)+IF($F973="Bernardino Furlan",AY973/2751.92,IF($F973="Mauro José Salanti",AY973/2751.92,AY973/3356)),F973&lt;&gt;0,SUM(L973,Q973,V973,AA973,AF973,AK973,AP973,AU973))))</f>
        <v xml:space="preserve"> </v>
      </c>
      <c r="BE973" s="120"/>
      <c r="BF973" s="120"/>
      <c r="BG973" s="120"/>
    </row>
    <row r="974" spans="1:59" s="3" customFormat="1" x14ac:dyDescent="0.3">
      <c r="A974" s="15" t="str">
        <f t="shared" si="195"/>
        <v/>
      </c>
      <c r="B974" s="25"/>
      <c r="C974" s="26"/>
      <c r="D974" s="279"/>
      <c r="E974" s="27"/>
      <c r="F974" s="28"/>
      <c r="G974" s="27"/>
      <c r="H974" s="28"/>
      <c r="I974" s="28"/>
      <c r="J974" s="255" t="str">
        <f>IF(H974="","",(_xlfn.XLOOKUP(H974,Cadastros!$D$6:$D$90,Cadastros!$E$6:$E$90))*(1-_xlfn.XLOOKUP(_xlfn.XLOOKUP($F974,Clientes!$B$4:$B$39,Clientes!$C$4:$C$39),Cadastros!$L$6:$L$12,Cadastros!$N$6:$N$12)))</f>
        <v/>
      </c>
      <c r="K974" s="168" t="str">
        <f t="shared" si="196"/>
        <v/>
      </c>
      <c r="L974" s="168" t="str">
        <f>IFERROR(K974/_xlfn.XLOOKUP(_xlfn.XLOOKUP($F974,Clientes!$B$4:$B$39,Clientes!$C$4:$C$39),Cadastros!$L$6:$L$12,Cadastros!$M$6:$M$12)," ")</f>
        <v xml:space="preserve"> </v>
      </c>
      <c r="M974" s="28"/>
      <c r="N974" s="28"/>
      <c r="O974" s="255" t="str">
        <f>IF(M974="","",(_xlfn.XLOOKUP(M974,Cadastros!$D$6:$D$90,Cadastros!$E$6:$E$90))*(1-_xlfn.XLOOKUP(_xlfn.XLOOKUP($F974,Clientes!$B$4:$B$39,Clientes!$C$4:$C$39),Cadastros!$L$6:$L$12,Cadastros!$N$6:$N$12)))</f>
        <v/>
      </c>
      <c r="P974" s="168" t="str">
        <f t="shared" si="197"/>
        <v/>
      </c>
      <c r="Q974" s="168" t="str">
        <f>IFERROR(P974/_xlfn.XLOOKUP(_xlfn.XLOOKUP($F974,Clientes!$B$4:$B$39,Clientes!$C$4:$C$39),Cadastros!$L$6:$L$12,Cadastros!$M$6:$M$12)," ")</f>
        <v xml:space="preserve"> </v>
      </c>
      <c r="R974" s="28"/>
      <c r="S974" s="28"/>
      <c r="T974" s="255" t="str">
        <f>IF(R974="","",(_xlfn.XLOOKUP(R974,Cadastros!$D$6:$D$90,Cadastros!$E$6:$E$90))*(1-_xlfn.XLOOKUP(_xlfn.XLOOKUP($F974,Clientes!$B$4:$B$39,Clientes!$C$4:$C$39),Cadastros!$L$6:$L$12,Cadastros!$N$6:$N$12)))</f>
        <v/>
      </c>
      <c r="U974" s="168" t="str">
        <f t="shared" si="198"/>
        <v/>
      </c>
      <c r="V974" s="168" t="str">
        <f>IFERROR(U974/_xlfn.XLOOKUP(_xlfn.XLOOKUP($F974,Clientes!$B$4:$B$39,Clientes!$C$4:$C$39),Cadastros!$L$6:$L$12,Cadastros!$M$6:$M$12)," ")</f>
        <v xml:space="preserve"> </v>
      </c>
      <c r="W974" s="28"/>
      <c r="X974" s="28"/>
      <c r="Y974" s="255" t="str">
        <f>IF(W974="","",(_xlfn.XLOOKUP(W974,Cadastros!$D$6:$D$90,Cadastros!$E$6:$E$90))*(1-_xlfn.XLOOKUP(_xlfn.XLOOKUP($F974,Clientes!$B$4:$B$39,Clientes!$C$4:$C$39),Cadastros!$L$6:$L$12,Cadastros!$N$6:$N$12)))</f>
        <v/>
      </c>
      <c r="Z974" s="168" t="str">
        <f t="shared" si="199"/>
        <v/>
      </c>
      <c r="AA974" s="168" t="str">
        <f>IFERROR(Z974/_xlfn.XLOOKUP(_xlfn.XLOOKUP($F974,Clientes!$B$4:$B$39,Clientes!$C$4:$C$39),Cadastros!$L$6:$L$12,Cadastros!$M$6:$M$12)," ")</f>
        <v xml:space="preserve"> </v>
      </c>
      <c r="AB974" s="28"/>
      <c r="AC974" s="28"/>
      <c r="AD974" s="20" t="str">
        <f>IF(AB974="","",IF($F974="Bernardino Furlan",_xlfn.XLOOKUP(AB974,Cadastros!$G$6:$G$90,Cadastros!$H$6:$H$90)*(1-0.18),IF($F974="Mauro José Salanti",_xlfn.XLOOKUP(AB974,Cadastros!$G$6:$G$90,Cadastros!$H$6:$H$90)*(1-0.18),_xlfn.XLOOKUP(AB974,Cadastros!$G$6:$G$90,Cadastros!$H$6:$H$90))))</f>
        <v/>
      </c>
      <c r="AE974" s="168" t="str">
        <f t="shared" si="200"/>
        <v/>
      </c>
      <c r="AF974" s="168" t="str">
        <f t="shared" si="201"/>
        <v/>
      </c>
      <c r="AG974" s="28"/>
      <c r="AH974" s="28"/>
      <c r="AI974" s="20" t="str">
        <f>IF(AG974="","",IF($F974="Bernardino Furlan",_xlfn.XLOOKUP(AG974,Cadastros!$G$6:$G$90,Cadastros!$H$6:$H$90)*(1-0.18),IF($F974="Mauro José Salanti",_xlfn.XLOOKUP(AG974,Cadastros!$G$6:$G$90,Cadastros!$H$6:$H$90)*(1-0.18),_xlfn.XLOOKUP(AG974,Cadastros!$G$6:$G$90,Cadastros!$H$6:$H$90))))</f>
        <v/>
      </c>
      <c r="AJ974" s="168" t="str">
        <f t="shared" si="202"/>
        <v/>
      </c>
      <c r="AK974" s="168" t="str">
        <f t="shared" si="203"/>
        <v/>
      </c>
      <c r="AL974" s="28"/>
      <c r="AM974" s="28"/>
      <c r="AN974" s="20" t="str">
        <f>IF(AL974="","",IF($F974="Bernardino Furlan",_xlfn.XLOOKUP(AL974,Cadastros!$G$6:$G$90,Cadastros!$H$6:$H$90)*(1-0.18),IF($F974="Mauro José Salanti",_xlfn.XLOOKUP(AL974,Cadastros!$G$6:$G$90,Cadastros!$H$6:$H$90)*(1-0.18),_xlfn.XLOOKUP(AL974,Cadastros!$G$6:$G$90,Cadastros!$H$6:$H$90))))</f>
        <v/>
      </c>
      <c r="AO974" s="168" t="str">
        <f t="shared" si="204"/>
        <v/>
      </c>
      <c r="AP974" s="168" t="str">
        <f t="shared" si="205"/>
        <v/>
      </c>
      <c r="AQ974" s="28"/>
      <c r="AR974" s="28"/>
      <c r="AS974" s="20" t="str">
        <f>IF(AQ974="","",IF($F974="Bernardino Furlan",_xlfn.XLOOKUP(AQ974,Cadastros!$G$6:$G$90,Cadastros!$H$6:$H$90)*(1-0.18),IF($F974="Mauro José Salanti",_xlfn.XLOOKUP(AQ974,Cadastros!$G$6:$G$90,Cadastros!$H$6:$H$90)*(1-0.18),_xlfn.XLOOKUP(AQ974,Cadastros!$G$6:$G$90,Cadastros!$H$6:$H$90))))</f>
        <v/>
      </c>
      <c r="AT974" s="168" t="str">
        <f t="shared" si="206"/>
        <v/>
      </c>
      <c r="AU974" s="168" t="str">
        <f t="shared" si="207"/>
        <v/>
      </c>
      <c r="AV974" s="227"/>
      <c r="AW974" s="30"/>
      <c r="AX974" s="267"/>
      <c r="AY974" s="267"/>
      <c r="AZ974" s="29"/>
      <c r="BA974" s="30"/>
      <c r="BB974" s="23" t="str" cm="1">
        <f t="array" ref="BB974">_xlfn.IFS(AW974="SIM",SUM(K974,P974,U974,Z974,AE974,AJ974,AO974,AT974,AX974,AY974),F974&lt;&gt;"",SUM(K974,P974,U974,Z974,AE974,AJ974,,AO974,AT974),F974="","")</f>
        <v/>
      </c>
      <c r="BC974" s="211" t="str" cm="1">
        <f t="array" ref="BC974">_xlfn.IFS(E974="","",G974&lt;=E974,BB974*(1-0.03),G974&lt;(E974+8),BB974,AZ974="Boleto",BB974*(1+0.001)^DATEDIF(E974,G974,"D"),AZ974="Cheque",BB974,AZ974="Dinheiro","Alterar forma pgto")</f>
        <v/>
      </c>
      <c r="BD974" s="276" t="str" cm="1">
        <f t="array" ref="BD974">IF(F974=0," ",IF(BC974&lt;BB974,(_xlfn.IFS(AW974="SIM",SUM(L974,Q974,V974,AA974,AF974,AK974,AP974,AU974)+AX974/_xlfn.XLOOKUP(_xlfn.XLOOKUP($F974,Clientes!$B$4:$B$39,Clientes!$C$4:$C$39),Cadastros!$L$6:$L$12,Cadastros!$M$6:$M$12)+IF($F974="Bernardino Furlan",AY974/2751.92,IF($F974="Mauro José Salanti",AY974/2751.92,AY974/3356)),F974&lt;&gt;0,SUM(L974,Q974,V974,AA974,AF974,AK974,AP974,AU974)))*(1-0.03),_xlfn.IFS(AW974="SIM",SUM(L974,Q974,V974,AA974,AF974,AK974,AP974,AU974)+AX974/_xlfn.XLOOKUP(_xlfn.XLOOKUP($F974,Clientes!$B$4:$B$39,Clientes!$C$4:$C$39),Cadastros!$L$6:$L$12,Cadastros!$M$6:$M$12)+IF($F974="Bernardino Furlan",AY974/2751.92,IF($F974="Mauro José Salanti",AY974/2751.92,AY974/3356)),F974&lt;&gt;0,SUM(L974,Q974,V974,AA974,AF974,AK974,AP974,AU974))))</f>
        <v xml:space="preserve"> </v>
      </c>
      <c r="BE974" s="120"/>
      <c r="BF974" s="120"/>
      <c r="BG974" s="120"/>
    </row>
    <row r="975" spans="1:59" s="3" customFormat="1" x14ac:dyDescent="0.3">
      <c r="A975" s="15" t="str">
        <f t="shared" si="195"/>
        <v/>
      </c>
      <c r="B975" s="25"/>
      <c r="C975" s="26"/>
      <c r="D975" s="279"/>
      <c r="E975" s="27"/>
      <c r="F975" s="28"/>
      <c r="G975" s="27"/>
      <c r="H975" s="28"/>
      <c r="I975" s="28"/>
      <c r="J975" s="255" t="str">
        <f>IF(H975="","",(_xlfn.XLOOKUP(H975,Cadastros!$D$6:$D$90,Cadastros!$E$6:$E$90))*(1-_xlfn.XLOOKUP(_xlfn.XLOOKUP($F975,Clientes!$B$4:$B$39,Clientes!$C$4:$C$39),Cadastros!$L$6:$L$12,Cadastros!$N$6:$N$12)))</f>
        <v/>
      </c>
      <c r="K975" s="168" t="str">
        <f t="shared" si="196"/>
        <v/>
      </c>
      <c r="L975" s="168" t="str">
        <f>IFERROR(K975/_xlfn.XLOOKUP(_xlfn.XLOOKUP($F975,Clientes!$B$4:$B$39,Clientes!$C$4:$C$39),Cadastros!$L$6:$L$12,Cadastros!$M$6:$M$12)," ")</f>
        <v xml:space="preserve"> </v>
      </c>
      <c r="M975" s="28"/>
      <c r="N975" s="28"/>
      <c r="O975" s="255" t="str">
        <f>IF(M975="","",(_xlfn.XLOOKUP(M975,Cadastros!$D$6:$D$90,Cadastros!$E$6:$E$90))*(1-_xlfn.XLOOKUP(_xlfn.XLOOKUP($F975,Clientes!$B$4:$B$39,Clientes!$C$4:$C$39),Cadastros!$L$6:$L$12,Cadastros!$N$6:$N$12)))</f>
        <v/>
      </c>
      <c r="P975" s="168" t="str">
        <f t="shared" si="197"/>
        <v/>
      </c>
      <c r="Q975" s="168" t="str">
        <f>IFERROR(P975/_xlfn.XLOOKUP(_xlfn.XLOOKUP($F975,Clientes!$B$4:$B$39,Clientes!$C$4:$C$39),Cadastros!$L$6:$L$12,Cadastros!$M$6:$M$12)," ")</f>
        <v xml:space="preserve"> </v>
      </c>
      <c r="R975" s="28"/>
      <c r="S975" s="28"/>
      <c r="T975" s="255" t="str">
        <f>IF(R975="","",(_xlfn.XLOOKUP(R975,Cadastros!$D$6:$D$90,Cadastros!$E$6:$E$90))*(1-_xlfn.XLOOKUP(_xlfn.XLOOKUP($F975,Clientes!$B$4:$B$39,Clientes!$C$4:$C$39),Cadastros!$L$6:$L$12,Cadastros!$N$6:$N$12)))</f>
        <v/>
      </c>
      <c r="U975" s="168" t="str">
        <f t="shared" si="198"/>
        <v/>
      </c>
      <c r="V975" s="168" t="str">
        <f>IFERROR(U975/_xlfn.XLOOKUP(_xlfn.XLOOKUP($F975,Clientes!$B$4:$B$39,Clientes!$C$4:$C$39),Cadastros!$L$6:$L$12,Cadastros!$M$6:$M$12)," ")</f>
        <v xml:space="preserve"> </v>
      </c>
      <c r="W975" s="28"/>
      <c r="X975" s="28"/>
      <c r="Y975" s="255" t="str">
        <f>IF(W975="","",(_xlfn.XLOOKUP(W975,Cadastros!$D$6:$D$90,Cadastros!$E$6:$E$90))*(1-_xlfn.XLOOKUP(_xlfn.XLOOKUP($F975,Clientes!$B$4:$B$39,Clientes!$C$4:$C$39),Cadastros!$L$6:$L$12,Cadastros!$N$6:$N$12)))</f>
        <v/>
      </c>
      <c r="Z975" s="168" t="str">
        <f t="shared" si="199"/>
        <v/>
      </c>
      <c r="AA975" s="168" t="str">
        <f>IFERROR(Z975/_xlfn.XLOOKUP(_xlfn.XLOOKUP($F975,Clientes!$B$4:$B$39,Clientes!$C$4:$C$39),Cadastros!$L$6:$L$12,Cadastros!$M$6:$M$12)," ")</f>
        <v xml:space="preserve"> </v>
      </c>
      <c r="AB975" s="28"/>
      <c r="AC975" s="28"/>
      <c r="AD975" s="20" t="str">
        <f>IF(AB975="","",IF($F975="Bernardino Furlan",_xlfn.XLOOKUP(AB975,Cadastros!$G$6:$G$90,Cadastros!$H$6:$H$90)*(1-0.18),IF($F975="Mauro José Salanti",_xlfn.XLOOKUP(AB975,Cadastros!$G$6:$G$90,Cadastros!$H$6:$H$90)*(1-0.18),_xlfn.XLOOKUP(AB975,Cadastros!$G$6:$G$90,Cadastros!$H$6:$H$90))))</f>
        <v/>
      </c>
      <c r="AE975" s="168" t="str">
        <f t="shared" si="200"/>
        <v/>
      </c>
      <c r="AF975" s="168" t="str">
        <f t="shared" si="201"/>
        <v/>
      </c>
      <c r="AG975" s="28"/>
      <c r="AH975" s="28"/>
      <c r="AI975" s="20" t="str">
        <f>IF(AG975="","",IF($F975="Bernardino Furlan",_xlfn.XLOOKUP(AG975,Cadastros!$G$6:$G$90,Cadastros!$H$6:$H$90)*(1-0.18),IF($F975="Mauro José Salanti",_xlfn.XLOOKUP(AG975,Cadastros!$G$6:$G$90,Cadastros!$H$6:$H$90)*(1-0.18),_xlfn.XLOOKUP(AG975,Cadastros!$G$6:$G$90,Cadastros!$H$6:$H$90))))</f>
        <v/>
      </c>
      <c r="AJ975" s="168" t="str">
        <f t="shared" si="202"/>
        <v/>
      </c>
      <c r="AK975" s="168" t="str">
        <f t="shared" si="203"/>
        <v/>
      </c>
      <c r="AL975" s="28"/>
      <c r="AM975" s="28"/>
      <c r="AN975" s="20" t="str">
        <f>IF(AL975="","",IF($F975="Bernardino Furlan",_xlfn.XLOOKUP(AL975,Cadastros!$G$6:$G$90,Cadastros!$H$6:$H$90)*(1-0.18),IF($F975="Mauro José Salanti",_xlfn.XLOOKUP(AL975,Cadastros!$G$6:$G$90,Cadastros!$H$6:$H$90)*(1-0.18),_xlfn.XLOOKUP(AL975,Cadastros!$G$6:$G$90,Cadastros!$H$6:$H$90))))</f>
        <v/>
      </c>
      <c r="AO975" s="168" t="str">
        <f t="shared" si="204"/>
        <v/>
      </c>
      <c r="AP975" s="168" t="str">
        <f t="shared" si="205"/>
        <v/>
      </c>
      <c r="AQ975" s="28"/>
      <c r="AR975" s="28"/>
      <c r="AS975" s="20" t="str">
        <f>IF(AQ975="","",IF($F975="Bernardino Furlan",_xlfn.XLOOKUP(AQ975,Cadastros!$G$6:$G$90,Cadastros!$H$6:$H$90)*(1-0.18),IF($F975="Mauro José Salanti",_xlfn.XLOOKUP(AQ975,Cadastros!$G$6:$G$90,Cadastros!$H$6:$H$90)*(1-0.18),_xlfn.XLOOKUP(AQ975,Cadastros!$G$6:$G$90,Cadastros!$H$6:$H$90))))</f>
        <v/>
      </c>
      <c r="AT975" s="168" t="str">
        <f t="shared" si="206"/>
        <v/>
      </c>
      <c r="AU975" s="168" t="str">
        <f t="shared" si="207"/>
        <v/>
      </c>
      <c r="AV975" s="227"/>
      <c r="AW975" s="30"/>
      <c r="AX975" s="267"/>
      <c r="AY975" s="267"/>
      <c r="AZ975" s="29"/>
      <c r="BA975" s="30"/>
      <c r="BB975" s="23" t="str" cm="1">
        <f t="array" ref="BB975">_xlfn.IFS(AW975="SIM",SUM(K975,P975,U975,Z975,AE975,AJ975,AO975,AT975,AX975,AY975),F975&lt;&gt;"",SUM(K975,P975,U975,Z975,AE975,AJ975,,AO975,AT975),F975="","")</f>
        <v/>
      </c>
      <c r="BC975" s="211" t="str" cm="1">
        <f t="array" ref="BC975">_xlfn.IFS(E975="","",G975&lt;=E975,BB975*(1-0.03),G975&lt;(E975+8),BB975,AZ975="Boleto",BB975*(1+0.001)^DATEDIF(E975,G975,"D"),AZ975="Cheque",BB975,AZ975="Dinheiro","Alterar forma pgto")</f>
        <v/>
      </c>
      <c r="BD975" s="276" t="str" cm="1">
        <f t="array" ref="BD975">IF(F975=0," ",IF(BC975&lt;BB975,(_xlfn.IFS(AW975="SIM",SUM(L975,Q975,V975,AA975,AF975,AK975,AP975,AU975)+AX975/_xlfn.XLOOKUP(_xlfn.XLOOKUP($F975,Clientes!$B$4:$B$39,Clientes!$C$4:$C$39),Cadastros!$L$6:$L$12,Cadastros!$M$6:$M$12)+IF($F975="Bernardino Furlan",AY975/2751.92,IF($F975="Mauro José Salanti",AY975/2751.92,AY975/3356)),F975&lt;&gt;0,SUM(L975,Q975,V975,AA975,AF975,AK975,AP975,AU975)))*(1-0.03),_xlfn.IFS(AW975="SIM",SUM(L975,Q975,V975,AA975,AF975,AK975,AP975,AU975)+AX975/_xlfn.XLOOKUP(_xlfn.XLOOKUP($F975,Clientes!$B$4:$B$39,Clientes!$C$4:$C$39),Cadastros!$L$6:$L$12,Cadastros!$M$6:$M$12)+IF($F975="Bernardino Furlan",AY975/2751.92,IF($F975="Mauro José Salanti",AY975/2751.92,AY975/3356)),F975&lt;&gt;0,SUM(L975,Q975,V975,AA975,AF975,AK975,AP975,AU975))))</f>
        <v xml:space="preserve"> </v>
      </c>
      <c r="BE975" s="120"/>
      <c r="BF975" s="120"/>
      <c r="BG975" s="120"/>
    </row>
    <row r="976" spans="1:59" s="3" customFormat="1" x14ac:dyDescent="0.3">
      <c r="A976" s="15" t="str">
        <f t="shared" si="195"/>
        <v/>
      </c>
      <c r="B976" s="25"/>
      <c r="C976" s="26"/>
      <c r="D976" s="279"/>
      <c r="E976" s="27"/>
      <c r="F976" s="28"/>
      <c r="G976" s="27"/>
      <c r="H976" s="28"/>
      <c r="I976" s="28"/>
      <c r="J976" s="255" t="str">
        <f>IF(H976="","",(_xlfn.XLOOKUP(H976,Cadastros!$D$6:$D$90,Cadastros!$E$6:$E$90))*(1-_xlfn.XLOOKUP(_xlfn.XLOOKUP($F976,Clientes!$B$4:$B$39,Clientes!$C$4:$C$39),Cadastros!$L$6:$L$12,Cadastros!$N$6:$N$12)))</f>
        <v/>
      </c>
      <c r="K976" s="168" t="str">
        <f t="shared" si="196"/>
        <v/>
      </c>
      <c r="L976" s="168" t="str">
        <f>IFERROR(K976/_xlfn.XLOOKUP(_xlfn.XLOOKUP($F976,Clientes!$B$4:$B$39,Clientes!$C$4:$C$39),Cadastros!$L$6:$L$12,Cadastros!$M$6:$M$12)," ")</f>
        <v xml:space="preserve"> </v>
      </c>
      <c r="M976" s="28"/>
      <c r="N976" s="28"/>
      <c r="O976" s="255" t="str">
        <f>IF(M976="","",(_xlfn.XLOOKUP(M976,Cadastros!$D$6:$D$90,Cadastros!$E$6:$E$90))*(1-_xlfn.XLOOKUP(_xlfn.XLOOKUP($F976,Clientes!$B$4:$B$39,Clientes!$C$4:$C$39),Cadastros!$L$6:$L$12,Cadastros!$N$6:$N$12)))</f>
        <v/>
      </c>
      <c r="P976" s="168" t="str">
        <f t="shared" si="197"/>
        <v/>
      </c>
      <c r="Q976" s="168" t="str">
        <f>IFERROR(P976/_xlfn.XLOOKUP(_xlfn.XLOOKUP($F976,Clientes!$B$4:$B$39,Clientes!$C$4:$C$39),Cadastros!$L$6:$L$12,Cadastros!$M$6:$M$12)," ")</f>
        <v xml:space="preserve"> </v>
      </c>
      <c r="R976" s="28"/>
      <c r="S976" s="28"/>
      <c r="T976" s="255" t="str">
        <f>IF(R976="","",(_xlfn.XLOOKUP(R976,Cadastros!$D$6:$D$90,Cadastros!$E$6:$E$90))*(1-_xlfn.XLOOKUP(_xlfn.XLOOKUP($F976,Clientes!$B$4:$B$39,Clientes!$C$4:$C$39),Cadastros!$L$6:$L$12,Cadastros!$N$6:$N$12)))</f>
        <v/>
      </c>
      <c r="U976" s="168" t="str">
        <f t="shared" si="198"/>
        <v/>
      </c>
      <c r="V976" s="168" t="str">
        <f>IFERROR(U976/_xlfn.XLOOKUP(_xlfn.XLOOKUP($F976,Clientes!$B$4:$B$39,Clientes!$C$4:$C$39),Cadastros!$L$6:$L$12,Cadastros!$M$6:$M$12)," ")</f>
        <v xml:space="preserve"> </v>
      </c>
      <c r="W976" s="28"/>
      <c r="X976" s="28"/>
      <c r="Y976" s="255" t="str">
        <f>IF(W976="","",(_xlfn.XLOOKUP(W976,Cadastros!$D$6:$D$90,Cadastros!$E$6:$E$90))*(1-_xlfn.XLOOKUP(_xlfn.XLOOKUP($F976,Clientes!$B$4:$B$39,Clientes!$C$4:$C$39),Cadastros!$L$6:$L$12,Cadastros!$N$6:$N$12)))</f>
        <v/>
      </c>
      <c r="Z976" s="168" t="str">
        <f t="shared" si="199"/>
        <v/>
      </c>
      <c r="AA976" s="168" t="str">
        <f>IFERROR(Z976/_xlfn.XLOOKUP(_xlfn.XLOOKUP($F976,Clientes!$B$4:$B$39,Clientes!$C$4:$C$39),Cadastros!$L$6:$L$12,Cadastros!$M$6:$M$12)," ")</f>
        <v xml:space="preserve"> </v>
      </c>
      <c r="AB976" s="28"/>
      <c r="AC976" s="28"/>
      <c r="AD976" s="20" t="str">
        <f>IF(AB976="","",IF($F976="Bernardino Furlan",_xlfn.XLOOKUP(AB976,Cadastros!$G$6:$G$90,Cadastros!$H$6:$H$90)*(1-0.18),IF($F976="Mauro José Salanti",_xlfn.XLOOKUP(AB976,Cadastros!$G$6:$G$90,Cadastros!$H$6:$H$90)*(1-0.18),_xlfn.XLOOKUP(AB976,Cadastros!$G$6:$G$90,Cadastros!$H$6:$H$90))))</f>
        <v/>
      </c>
      <c r="AE976" s="168" t="str">
        <f t="shared" si="200"/>
        <v/>
      </c>
      <c r="AF976" s="168" t="str">
        <f t="shared" si="201"/>
        <v/>
      </c>
      <c r="AG976" s="28"/>
      <c r="AH976" s="28"/>
      <c r="AI976" s="20" t="str">
        <f>IF(AG976="","",IF($F976="Bernardino Furlan",_xlfn.XLOOKUP(AG976,Cadastros!$G$6:$G$90,Cadastros!$H$6:$H$90)*(1-0.18),IF($F976="Mauro José Salanti",_xlfn.XLOOKUP(AG976,Cadastros!$G$6:$G$90,Cadastros!$H$6:$H$90)*(1-0.18),_xlfn.XLOOKUP(AG976,Cadastros!$G$6:$G$90,Cadastros!$H$6:$H$90))))</f>
        <v/>
      </c>
      <c r="AJ976" s="168" t="str">
        <f t="shared" si="202"/>
        <v/>
      </c>
      <c r="AK976" s="168" t="str">
        <f t="shared" si="203"/>
        <v/>
      </c>
      <c r="AL976" s="28"/>
      <c r="AM976" s="28"/>
      <c r="AN976" s="20" t="str">
        <f>IF(AL976="","",IF($F976="Bernardino Furlan",_xlfn.XLOOKUP(AL976,Cadastros!$G$6:$G$90,Cadastros!$H$6:$H$90)*(1-0.18),IF($F976="Mauro José Salanti",_xlfn.XLOOKUP(AL976,Cadastros!$G$6:$G$90,Cadastros!$H$6:$H$90)*(1-0.18),_xlfn.XLOOKUP(AL976,Cadastros!$G$6:$G$90,Cadastros!$H$6:$H$90))))</f>
        <v/>
      </c>
      <c r="AO976" s="168" t="str">
        <f t="shared" si="204"/>
        <v/>
      </c>
      <c r="AP976" s="168" t="str">
        <f t="shared" si="205"/>
        <v/>
      </c>
      <c r="AQ976" s="28"/>
      <c r="AR976" s="28"/>
      <c r="AS976" s="20" t="str">
        <f>IF(AQ976="","",IF($F976="Bernardino Furlan",_xlfn.XLOOKUP(AQ976,Cadastros!$G$6:$G$90,Cadastros!$H$6:$H$90)*(1-0.18),IF($F976="Mauro José Salanti",_xlfn.XLOOKUP(AQ976,Cadastros!$G$6:$G$90,Cadastros!$H$6:$H$90)*(1-0.18),_xlfn.XLOOKUP(AQ976,Cadastros!$G$6:$G$90,Cadastros!$H$6:$H$90))))</f>
        <v/>
      </c>
      <c r="AT976" s="168" t="str">
        <f t="shared" si="206"/>
        <v/>
      </c>
      <c r="AU976" s="168" t="str">
        <f t="shared" si="207"/>
        <v/>
      </c>
      <c r="AV976" s="227"/>
      <c r="AW976" s="30"/>
      <c r="AX976" s="267"/>
      <c r="AY976" s="267"/>
      <c r="AZ976" s="29"/>
      <c r="BA976" s="30"/>
      <c r="BB976" s="23" t="str" cm="1">
        <f t="array" ref="BB976">_xlfn.IFS(AW976="SIM",SUM(K976,P976,U976,Z976,AE976,AJ976,AO976,AT976,AX976,AY976),F976&lt;&gt;"",SUM(K976,P976,U976,Z976,AE976,AJ976,,AO976,AT976),F976="","")</f>
        <v/>
      </c>
      <c r="BC976" s="211" t="str" cm="1">
        <f t="array" ref="BC976">_xlfn.IFS(E976="","",G976&lt;=E976,BB976*(1-0.03),G976&lt;(E976+8),BB976,AZ976="Boleto",BB976*(1+0.001)^DATEDIF(E976,G976,"D"),AZ976="Cheque",BB976,AZ976="Dinheiro","Alterar forma pgto")</f>
        <v/>
      </c>
      <c r="BD976" s="276" t="str" cm="1">
        <f t="array" ref="BD976">IF(F976=0," ",IF(BC976&lt;BB976,(_xlfn.IFS(AW976="SIM",SUM(L976,Q976,V976,AA976,AF976,AK976,AP976,AU976)+AX976/_xlfn.XLOOKUP(_xlfn.XLOOKUP($F976,Clientes!$B$4:$B$39,Clientes!$C$4:$C$39),Cadastros!$L$6:$L$12,Cadastros!$M$6:$M$12)+IF($F976="Bernardino Furlan",AY976/2751.92,IF($F976="Mauro José Salanti",AY976/2751.92,AY976/3356)),F976&lt;&gt;0,SUM(L976,Q976,V976,AA976,AF976,AK976,AP976,AU976)))*(1-0.03),_xlfn.IFS(AW976="SIM",SUM(L976,Q976,V976,AA976,AF976,AK976,AP976,AU976)+AX976/_xlfn.XLOOKUP(_xlfn.XLOOKUP($F976,Clientes!$B$4:$B$39,Clientes!$C$4:$C$39),Cadastros!$L$6:$L$12,Cadastros!$M$6:$M$12)+IF($F976="Bernardino Furlan",AY976/2751.92,IF($F976="Mauro José Salanti",AY976/2751.92,AY976/3356)),F976&lt;&gt;0,SUM(L976,Q976,V976,AA976,AF976,AK976,AP976,AU976))))</f>
        <v xml:space="preserve"> </v>
      </c>
      <c r="BE976" s="120"/>
      <c r="BF976" s="120"/>
      <c r="BG976" s="120"/>
    </row>
    <row r="977" spans="1:59" s="3" customFormat="1" x14ac:dyDescent="0.3">
      <c r="A977" s="15" t="str">
        <f t="shared" si="195"/>
        <v/>
      </c>
      <c r="B977" s="25"/>
      <c r="C977" s="26"/>
      <c r="D977" s="279"/>
      <c r="E977" s="27"/>
      <c r="F977" s="28"/>
      <c r="G977" s="27"/>
      <c r="H977" s="28"/>
      <c r="I977" s="28"/>
      <c r="J977" s="255" t="str">
        <f>IF(H977="","",(_xlfn.XLOOKUP(H977,Cadastros!$D$6:$D$90,Cadastros!$E$6:$E$90))*(1-_xlfn.XLOOKUP(_xlfn.XLOOKUP($F977,Clientes!$B$4:$B$39,Clientes!$C$4:$C$39),Cadastros!$L$6:$L$12,Cadastros!$N$6:$N$12)))</f>
        <v/>
      </c>
      <c r="K977" s="168" t="str">
        <f t="shared" si="196"/>
        <v/>
      </c>
      <c r="L977" s="168" t="str">
        <f>IFERROR(K977/_xlfn.XLOOKUP(_xlfn.XLOOKUP($F977,Clientes!$B$4:$B$39,Clientes!$C$4:$C$39),Cadastros!$L$6:$L$12,Cadastros!$M$6:$M$12)," ")</f>
        <v xml:space="preserve"> </v>
      </c>
      <c r="M977" s="28"/>
      <c r="N977" s="28"/>
      <c r="O977" s="255" t="str">
        <f>IF(M977="","",(_xlfn.XLOOKUP(M977,Cadastros!$D$6:$D$90,Cadastros!$E$6:$E$90))*(1-_xlfn.XLOOKUP(_xlfn.XLOOKUP($F977,Clientes!$B$4:$B$39,Clientes!$C$4:$C$39),Cadastros!$L$6:$L$12,Cadastros!$N$6:$N$12)))</f>
        <v/>
      </c>
      <c r="P977" s="168" t="str">
        <f t="shared" si="197"/>
        <v/>
      </c>
      <c r="Q977" s="168" t="str">
        <f>IFERROR(P977/_xlfn.XLOOKUP(_xlfn.XLOOKUP($F977,Clientes!$B$4:$B$39,Clientes!$C$4:$C$39),Cadastros!$L$6:$L$12,Cadastros!$M$6:$M$12)," ")</f>
        <v xml:space="preserve"> </v>
      </c>
      <c r="R977" s="28"/>
      <c r="S977" s="28"/>
      <c r="T977" s="255" t="str">
        <f>IF(R977="","",(_xlfn.XLOOKUP(R977,Cadastros!$D$6:$D$90,Cadastros!$E$6:$E$90))*(1-_xlfn.XLOOKUP(_xlfn.XLOOKUP($F977,Clientes!$B$4:$B$39,Clientes!$C$4:$C$39),Cadastros!$L$6:$L$12,Cadastros!$N$6:$N$12)))</f>
        <v/>
      </c>
      <c r="U977" s="168" t="str">
        <f t="shared" si="198"/>
        <v/>
      </c>
      <c r="V977" s="168" t="str">
        <f>IFERROR(U977/_xlfn.XLOOKUP(_xlfn.XLOOKUP($F977,Clientes!$B$4:$B$39,Clientes!$C$4:$C$39),Cadastros!$L$6:$L$12,Cadastros!$M$6:$M$12)," ")</f>
        <v xml:space="preserve"> </v>
      </c>
      <c r="W977" s="28"/>
      <c r="X977" s="28"/>
      <c r="Y977" s="255" t="str">
        <f>IF(W977="","",(_xlfn.XLOOKUP(W977,Cadastros!$D$6:$D$90,Cadastros!$E$6:$E$90))*(1-_xlfn.XLOOKUP(_xlfn.XLOOKUP($F977,Clientes!$B$4:$B$39,Clientes!$C$4:$C$39),Cadastros!$L$6:$L$12,Cadastros!$N$6:$N$12)))</f>
        <v/>
      </c>
      <c r="Z977" s="168" t="str">
        <f t="shared" si="199"/>
        <v/>
      </c>
      <c r="AA977" s="168" t="str">
        <f>IFERROR(Z977/_xlfn.XLOOKUP(_xlfn.XLOOKUP($F977,Clientes!$B$4:$B$39,Clientes!$C$4:$C$39),Cadastros!$L$6:$L$12,Cadastros!$M$6:$M$12)," ")</f>
        <v xml:space="preserve"> </v>
      </c>
      <c r="AB977" s="28"/>
      <c r="AC977" s="28"/>
      <c r="AD977" s="20" t="str">
        <f>IF(AB977="","",IF($F977="Bernardino Furlan",_xlfn.XLOOKUP(AB977,Cadastros!$G$6:$G$90,Cadastros!$H$6:$H$90)*(1-0.18),IF($F977="Mauro José Salanti",_xlfn.XLOOKUP(AB977,Cadastros!$G$6:$G$90,Cadastros!$H$6:$H$90)*(1-0.18),_xlfn.XLOOKUP(AB977,Cadastros!$G$6:$G$90,Cadastros!$H$6:$H$90))))</f>
        <v/>
      </c>
      <c r="AE977" s="168" t="str">
        <f t="shared" si="200"/>
        <v/>
      </c>
      <c r="AF977" s="168" t="str">
        <f t="shared" si="201"/>
        <v/>
      </c>
      <c r="AG977" s="28"/>
      <c r="AH977" s="28"/>
      <c r="AI977" s="20" t="str">
        <f>IF(AG977="","",IF($F977="Bernardino Furlan",_xlfn.XLOOKUP(AG977,Cadastros!$G$6:$G$90,Cadastros!$H$6:$H$90)*(1-0.18),IF($F977="Mauro José Salanti",_xlfn.XLOOKUP(AG977,Cadastros!$G$6:$G$90,Cadastros!$H$6:$H$90)*(1-0.18),_xlfn.XLOOKUP(AG977,Cadastros!$G$6:$G$90,Cadastros!$H$6:$H$90))))</f>
        <v/>
      </c>
      <c r="AJ977" s="168" t="str">
        <f t="shared" si="202"/>
        <v/>
      </c>
      <c r="AK977" s="168" t="str">
        <f t="shared" si="203"/>
        <v/>
      </c>
      <c r="AL977" s="28"/>
      <c r="AM977" s="28"/>
      <c r="AN977" s="20" t="str">
        <f>IF(AL977="","",IF($F977="Bernardino Furlan",_xlfn.XLOOKUP(AL977,Cadastros!$G$6:$G$90,Cadastros!$H$6:$H$90)*(1-0.18),IF($F977="Mauro José Salanti",_xlfn.XLOOKUP(AL977,Cadastros!$G$6:$G$90,Cadastros!$H$6:$H$90)*(1-0.18),_xlfn.XLOOKUP(AL977,Cadastros!$G$6:$G$90,Cadastros!$H$6:$H$90))))</f>
        <v/>
      </c>
      <c r="AO977" s="168" t="str">
        <f t="shared" si="204"/>
        <v/>
      </c>
      <c r="AP977" s="168" t="str">
        <f t="shared" si="205"/>
        <v/>
      </c>
      <c r="AQ977" s="28"/>
      <c r="AR977" s="28"/>
      <c r="AS977" s="20" t="str">
        <f>IF(AQ977="","",IF($F977="Bernardino Furlan",_xlfn.XLOOKUP(AQ977,Cadastros!$G$6:$G$90,Cadastros!$H$6:$H$90)*(1-0.18),IF($F977="Mauro José Salanti",_xlfn.XLOOKUP(AQ977,Cadastros!$G$6:$G$90,Cadastros!$H$6:$H$90)*(1-0.18),_xlfn.XLOOKUP(AQ977,Cadastros!$G$6:$G$90,Cadastros!$H$6:$H$90))))</f>
        <v/>
      </c>
      <c r="AT977" s="168" t="str">
        <f t="shared" si="206"/>
        <v/>
      </c>
      <c r="AU977" s="168" t="str">
        <f t="shared" si="207"/>
        <v/>
      </c>
      <c r="AV977" s="227"/>
      <c r="AW977" s="30"/>
      <c r="AX977" s="267"/>
      <c r="AY977" s="267"/>
      <c r="AZ977" s="29"/>
      <c r="BA977" s="30"/>
      <c r="BB977" s="23" t="str" cm="1">
        <f t="array" ref="BB977">_xlfn.IFS(AW977="SIM",SUM(K977,P977,U977,Z977,AE977,AJ977,AO977,AT977,AX977,AY977),F977&lt;&gt;"",SUM(K977,P977,U977,Z977,AE977,AJ977,,AO977,AT977),F977="","")</f>
        <v/>
      </c>
      <c r="BC977" s="211" t="str" cm="1">
        <f t="array" ref="BC977">_xlfn.IFS(E977="","",G977&lt;=E977,BB977*(1-0.03),G977&lt;(E977+8),BB977,AZ977="Boleto",BB977*(1+0.001)^DATEDIF(E977,G977,"D"),AZ977="Cheque",BB977,AZ977="Dinheiro","Alterar forma pgto")</f>
        <v/>
      </c>
      <c r="BD977" s="276" t="str" cm="1">
        <f t="array" ref="BD977">IF(F977=0," ",IF(BC977&lt;BB977,(_xlfn.IFS(AW977="SIM",SUM(L977,Q977,V977,AA977,AF977,AK977,AP977,AU977)+AX977/_xlfn.XLOOKUP(_xlfn.XLOOKUP($F977,Clientes!$B$4:$B$39,Clientes!$C$4:$C$39),Cadastros!$L$6:$L$12,Cadastros!$M$6:$M$12)+IF($F977="Bernardino Furlan",AY977/2751.92,IF($F977="Mauro José Salanti",AY977/2751.92,AY977/3356)),F977&lt;&gt;0,SUM(L977,Q977,V977,AA977,AF977,AK977,AP977,AU977)))*(1-0.03),_xlfn.IFS(AW977="SIM",SUM(L977,Q977,V977,AA977,AF977,AK977,AP977,AU977)+AX977/_xlfn.XLOOKUP(_xlfn.XLOOKUP($F977,Clientes!$B$4:$B$39,Clientes!$C$4:$C$39),Cadastros!$L$6:$L$12,Cadastros!$M$6:$M$12)+IF($F977="Bernardino Furlan",AY977/2751.92,IF($F977="Mauro José Salanti",AY977/2751.92,AY977/3356)),F977&lt;&gt;0,SUM(L977,Q977,V977,AA977,AF977,AK977,AP977,AU977))))</f>
        <v xml:space="preserve"> </v>
      </c>
      <c r="BE977" s="120"/>
      <c r="BF977" s="120"/>
      <c r="BG977" s="120"/>
    </row>
    <row r="978" spans="1:59" s="3" customFormat="1" x14ac:dyDescent="0.3">
      <c r="A978" s="15" t="str">
        <f t="shared" si="195"/>
        <v/>
      </c>
      <c r="B978" s="25"/>
      <c r="C978" s="26"/>
      <c r="D978" s="279"/>
      <c r="E978" s="27"/>
      <c r="F978" s="28"/>
      <c r="G978" s="27"/>
      <c r="H978" s="28"/>
      <c r="I978" s="28"/>
      <c r="J978" s="255" t="str">
        <f>IF(H978="","",(_xlfn.XLOOKUP(H978,Cadastros!$D$6:$D$90,Cadastros!$E$6:$E$90))*(1-_xlfn.XLOOKUP(_xlfn.XLOOKUP($F978,Clientes!$B$4:$B$39,Clientes!$C$4:$C$39),Cadastros!$L$6:$L$12,Cadastros!$N$6:$N$12)))</f>
        <v/>
      </c>
      <c r="K978" s="168" t="str">
        <f t="shared" si="196"/>
        <v/>
      </c>
      <c r="L978" s="168" t="str">
        <f>IFERROR(K978/_xlfn.XLOOKUP(_xlfn.XLOOKUP($F978,Clientes!$B$4:$B$39,Clientes!$C$4:$C$39),Cadastros!$L$6:$L$12,Cadastros!$M$6:$M$12)," ")</f>
        <v xml:space="preserve"> </v>
      </c>
      <c r="M978" s="28"/>
      <c r="N978" s="28"/>
      <c r="O978" s="255" t="str">
        <f>IF(M978="","",(_xlfn.XLOOKUP(M978,Cadastros!$D$6:$D$90,Cadastros!$E$6:$E$90))*(1-_xlfn.XLOOKUP(_xlfn.XLOOKUP($F978,Clientes!$B$4:$B$39,Clientes!$C$4:$C$39),Cadastros!$L$6:$L$12,Cadastros!$N$6:$N$12)))</f>
        <v/>
      </c>
      <c r="P978" s="168" t="str">
        <f t="shared" si="197"/>
        <v/>
      </c>
      <c r="Q978" s="168" t="str">
        <f>IFERROR(P978/_xlfn.XLOOKUP(_xlfn.XLOOKUP($F978,Clientes!$B$4:$B$39,Clientes!$C$4:$C$39),Cadastros!$L$6:$L$12,Cadastros!$M$6:$M$12)," ")</f>
        <v xml:space="preserve"> </v>
      </c>
      <c r="R978" s="28"/>
      <c r="S978" s="28"/>
      <c r="T978" s="255" t="str">
        <f>IF(R978="","",(_xlfn.XLOOKUP(R978,Cadastros!$D$6:$D$90,Cadastros!$E$6:$E$90))*(1-_xlfn.XLOOKUP(_xlfn.XLOOKUP($F978,Clientes!$B$4:$B$39,Clientes!$C$4:$C$39),Cadastros!$L$6:$L$12,Cadastros!$N$6:$N$12)))</f>
        <v/>
      </c>
      <c r="U978" s="168" t="str">
        <f t="shared" si="198"/>
        <v/>
      </c>
      <c r="V978" s="168" t="str">
        <f>IFERROR(U978/_xlfn.XLOOKUP(_xlfn.XLOOKUP($F978,Clientes!$B$4:$B$39,Clientes!$C$4:$C$39),Cadastros!$L$6:$L$12,Cadastros!$M$6:$M$12)," ")</f>
        <v xml:space="preserve"> </v>
      </c>
      <c r="W978" s="28"/>
      <c r="X978" s="28"/>
      <c r="Y978" s="255" t="str">
        <f>IF(W978="","",(_xlfn.XLOOKUP(W978,Cadastros!$D$6:$D$90,Cadastros!$E$6:$E$90))*(1-_xlfn.XLOOKUP(_xlfn.XLOOKUP($F978,Clientes!$B$4:$B$39,Clientes!$C$4:$C$39),Cadastros!$L$6:$L$12,Cadastros!$N$6:$N$12)))</f>
        <v/>
      </c>
      <c r="Z978" s="168" t="str">
        <f t="shared" si="199"/>
        <v/>
      </c>
      <c r="AA978" s="168" t="str">
        <f>IFERROR(Z978/_xlfn.XLOOKUP(_xlfn.XLOOKUP($F978,Clientes!$B$4:$B$39,Clientes!$C$4:$C$39),Cadastros!$L$6:$L$12,Cadastros!$M$6:$M$12)," ")</f>
        <v xml:space="preserve"> </v>
      </c>
      <c r="AB978" s="28"/>
      <c r="AC978" s="28"/>
      <c r="AD978" s="20" t="str">
        <f>IF(AB978="","",IF($F978="Bernardino Furlan",_xlfn.XLOOKUP(AB978,Cadastros!$G$6:$G$90,Cadastros!$H$6:$H$90)*(1-0.18),IF($F978="Mauro José Salanti",_xlfn.XLOOKUP(AB978,Cadastros!$G$6:$G$90,Cadastros!$H$6:$H$90)*(1-0.18),_xlfn.XLOOKUP(AB978,Cadastros!$G$6:$G$90,Cadastros!$H$6:$H$90))))</f>
        <v/>
      </c>
      <c r="AE978" s="168" t="str">
        <f t="shared" si="200"/>
        <v/>
      </c>
      <c r="AF978" s="168" t="str">
        <f t="shared" si="201"/>
        <v/>
      </c>
      <c r="AG978" s="28"/>
      <c r="AH978" s="28"/>
      <c r="AI978" s="20" t="str">
        <f>IF(AG978="","",IF($F978="Bernardino Furlan",_xlfn.XLOOKUP(AG978,Cadastros!$G$6:$G$90,Cadastros!$H$6:$H$90)*(1-0.18),IF($F978="Mauro José Salanti",_xlfn.XLOOKUP(AG978,Cadastros!$G$6:$G$90,Cadastros!$H$6:$H$90)*(1-0.18),_xlfn.XLOOKUP(AG978,Cadastros!$G$6:$G$90,Cadastros!$H$6:$H$90))))</f>
        <v/>
      </c>
      <c r="AJ978" s="168" t="str">
        <f t="shared" si="202"/>
        <v/>
      </c>
      <c r="AK978" s="168" t="str">
        <f t="shared" si="203"/>
        <v/>
      </c>
      <c r="AL978" s="28"/>
      <c r="AM978" s="28"/>
      <c r="AN978" s="20" t="str">
        <f>IF(AL978="","",IF($F978="Bernardino Furlan",_xlfn.XLOOKUP(AL978,Cadastros!$G$6:$G$90,Cadastros!$H$6:$H$90)*(1-0.18),IF($F978="Mauro José Salanti",_xlfn.XLOOKUP(AL978,Cadastros!$G$6:$G$90,Cadastros!$H$6:$H$90)*(1-0.18),_xlfn.XLOOKUP(AL978,Cadastros!$G$6:$G$90,Cadastros!$H$6:$H$90))))</f>
        <v/>
      </c>
      <c r="AO978" s="168" t="str">
        <f t="shared" si="204"/>
        <v/>
      </c>
      <c r="AP978" s="168" t="str">
        <f t="shared" si="205"/>
        <v/>
      </c>
      <c r="AQ978" s="28"/>
      <c r="AR978" s="28"/>
      <c r="AS978" s="20" t="str">
        <f>IF(AQ978="","",IF($F978="Bernardino Furlan",_xlfn.XLOOKUP(AQ978,Cadastros!$G$6:$G$90,Cadastros!$H$6:$H$90)*(1-0.18),IF($F978="Mauro José Salanti",_xlfn.XLOOKUP(AQ978,Cadastros!$G$6:$G$90,Cadastros!$H$6:$H$90)*(1-0.18),_xlfn.XLOOKUP(AQ978,Cadastros!$G$6:$G$90,Cadastros!$H$6:$H$90))))</f>
        <v/>
      </c>
      <c r="AT978" s="168" t="str">
        <f t="shared" si="206"/>
        <v/>
      </c>
      <c r="AU978" s="168" t="str">
        <f t="shared" si="207"/>
        <v/>
      </c>
      <c r="AV978" s="227"/>
      <c r="AW978" s="30"/>
      <c r="AX978" s="267"/>
      <c r="AY978" s="267"/>
      <c r="AZ978" s="29"/>
      <c r="BA978" s="30"/>
      <c r="BB978" s="23" t="str" cm="1">
        <f t="array" ref="BB978">_xlfn.IFS(AW978="SIM",SUM(K978,P978,U978,Z978,AE978,AJ978,AO978,AT978,AX978,AY978),F978&lt;&gt;"",SUM(K978,P978,U978,Z978,AE978,AJ978,,AO978,AT978),F978="","")</f>
        <v/>
      </c>
      <c r="BC978" s="211" t="str" cm="1">
        <f t="array" ref="BC978">_xlfn.IFS(E978="","",G978&lt;=E978,BB978*(1-0.03),G978&lt;(E978+8),BB978,AZ978="Boleto",BB978*(1+0.001)^DATEDIF(E978,G978,"D"),AZ978="Cheque",BB978,AZ978="Dinheiro","Alterar forma pgto")</f>
        <v/>
      </c>
      <c r="BD978" s="276" t="str" cm="1">
        <f t="array" ref="BD978">IF(F978=0," ",IF(BC978&lt;BB978,(_xlfn.IFS(AW978="SIM",SUM(L978,Q978,V978,AA978,AF978,AK978,AP978,AU978)+AX978/_xlfn.XLOOKUP(_xlfn.XLOOKUP($F978,Clientes!$B$4:$B$39,Clientes!$C$4:$C$39),Cadastros!$L$6:$L$12,Cadastros!$M$6:$M$12)+IF($F978="Bernardino Furlan",AY978/2751.92,IF($F978="Mauro José Salanti",AY978/2751.92,AY978/3356)),F978&lt;&gt;0,SUM(L978,Q978,V978,AA978,AF978,AK978,AP978,AU978)))*(1-0.03),_xlfn.IFS(AW978="SIM",SUM(L978,Q978,V978,AA978,AF978,AK978,AP978,AU978)+AX978/_xlfn.XLOOKUP(_xlfn.XLOOKUP($F978,Clientes!$B$4:$B$39,Clientes!$C$4:$C$39),Cadastros!$L$6:$L$12,Cadastros!$M$6:$M$12)+IF($F978="Bernardino Furlan",AY978/2751.92,IF($F978="Mauro José Salanti",AY978/2751.92,AY978/3356)),F978&lt;&gt;0,SUM(L978,Q978,V978,AA978,AF978,AK978,AP978,AU978))))</f>
        <v xml:space="preserve"> </v>
      </c>
      <c r="BE978" s="120"/>
      <c r="BF978" s="120"/>
      <c r="BG978" s="120"/>
    </row>
    <row r="979" spans="1:59" s="3" customFormat="1" x14ac:dyDescent="0.3">
      <c r="A979" s="15" t="str">
        <f t="shared" si="195"/>
        <v/>
      </c>
      <c r="B979" s="25"/>
      <c r="C979" s="26"/>
      <c r="D979" s="279"/>
      <c r="E979" s="27"/>
      <c r="F979" s="28"/>
      <c r="G979" s="27"/>
      <c r="H979" s="28"/>
      <c r="I979" s="28"/>
      <c r="J979" s="255" t="str">
        <f>IF(H979="","",(_xlfn.XLOOKUP(H979,Cadastros!$D$6:$D$90,Cadastros!$E$6:$E$90))*(1-_xlfn.XLOOKUP(_xlfn.XLOOKUP($F979,Clientes!$B$4:$B$39,Clientes!$C$4:$C$39),Cadastros!$L$6:$L$12,Cadastros!$N$6:$N$12)))</f>
        <v/>
      </c>
      <c r="K979" s="168" t="str">
        <f t="shared" si="196"/>
        <v/>
      </c>
      <c r="L979" s="168" t="str">
        <f>IFERROR(K979/_xlfn.XLOOKUP(_xlfn.XLOOKUP($F979,Clientes!$B$4:$B$39,Clientes!$C$4:$C$39),Cadastros!$L$6:$L$12,Cadastros!$M$6:$M$12)," ")</f>
        <v xml:space="preserve"> </v>
      </c>
      <c r="M979" s="28"/>
      <c r="N979" s="28"/>
      <c r="O979" s="255" t="str">
        <f>IF(M979="","",(_xlfn.XLOOKUP(M979,Cadastros!$D$6:$D$90,Cadastros!$E$6:$E$90))*(1-_xlfn.XLOOKUP(_xlfn.XLOOKUP($F979,Clientes!$B$4:$B$39,Clientes!$C$4:$C$39),Cadastros!$L$6:$L$12,Cadastros!$N$6:$N$12)))</f>
        <v/>
      </c>
      <c r="P979" s="168" t="str">
        <f t="shared" si="197"/>
        <v/>
      </c>
      <c r="Q979" s="168" t="str">
        <f>IFERROR(P979/_xlfn.XLOOKUP(_xlfn.XLOOKUP($F979,Clientes!$B$4:$B$39,Clientes!$C$4:$C$39),Cadastros!$L$6:$L$12,Cadastros!$M$6:$M$12)," ")</f>
        <v xml:space="preserve"> </v>
      </c>
      <c r="R979" s="28"/>
      <c r="S979" s="28"/>
      <c r="T979" s="255" t="str">
        <f>IF(R979="","",(_xlfn.XLOOKUP(R979,Cadastros!$D$6:$D$90,Cadastros!$E$6:$E$90))*(1-_xlfn.XLOOKUP(_xlfn.XLOOKUP($F979,Clientes!$B$4:$B$39,Clientes!$C$4:$C$39),Cadastros!$L$6:$L$12,Cadastros!$N$6:$N$12)))</f>
        <v/>
      </c>
      <c r="U979" s="168" t="str">
        <f t="shared" si="198"/>
        <v/>
      </c>
      <c r="V979" s="168" t="str">
        <f>IFERROR(U979/_xlfn.XLOOKUP(_xlfn.XLOOKUP($F979,Clientes!$B$4:$B$39,Clientes!$C$4:$C$39),Cadastros!$L$6:$L$12,Cadastros!$M$6:$M$12)," ")</f>
        <v xml:space="preserve"> </v>
      </c>
      <c r="W979" s="28"/>
      <c r="X979" s="28"/>
      <c r="Y979" s="255" t="str">
        <f>IF(W979="","",(_xlfn.XLOOKUP(W979,Cadastros!$D$6:$D$90,Cadastros!$E$6:$E$90))*(1-_xlfn.XLOOKUP(_xlfn.XLOOKUP($F979,Clientes!$B$4:$B$39,Clientes!$C$4:$C$39),Cadastros!$L$6:$L$12,Cadastros!$N$6:$N$12)))</f>
        <v/>
      </c>
      <c r="Z979" s="168" t="str">
        <f t="shared" si="199"/>
        <v/>
      </c>
      <c r="AA979" s="168" t="str">
        <f>IFERROR(Z979/_xlfn.XLOOKUP(_xlfn.XLOOKUP($F979,Clientes!$B$4:$B$39,Clientes!$C$4:$C$39),Cadastros!$L$6:$L$12,Cadastros!$M$6:$M$12)," ")</f>
        <v xml:space="preserve"> </v>
      </c>
      <c r="AB979" s="28"/>
      <c r="AC979" s="28"/>
      <c r="AD979" s="20" t="str">
        <f>IF(AB979="","",IF($F979="Bernardino Furlan",_xlfn.XLOOKUP(AB979,Cadastros!$G$6:$G$90,Cadastros!$H$6:$H$90)*(1-0.18),IF($F979="Mauro José Salanti",_xlfn.XLOOKUP(AB979,Cadastros!$G$6:$G$90,Cadastros!$H$6:$H$90)*(1-0.18),_xlfn.XLOOKUP(AB979,Cadastros!$G$6:$G$90,Cadastros!$H$6:$H$90))))</f>
        <v/>
      </c>
      <c r="AE979" s="168" t="str">
        <f t="shared" si="200"/>
        <v/>
      </c>
      <c r="AF979" s="168" t="str">
        <f t="shared" si="201"/>
        <v/>
      </c>
      <c r="AG979" s="28"/>
      <c r="AH979" s="28"/>
      <c r="AI979" s="20" t="str">
        <f>IF(AG979="","",IF($F979="Bernardino Furlan",_xlfn.XLOOKUP(AG979,Cadastros!$G$6:$G$90,Cadastros!$H$6:$H$90)*(1-0.18),IF($F979="Mauro José Salanti",_xlfn.XLOOKUP(AG979,Cadastros!$G$6:$G$90,Cadastros!$H$6:$H$90)*(1-0.18),_xlfn.XLOOKUP(AG979,Cadastros!$G$6:$G$90,Cadastros!$H$6:$H$90))))</f>
        <v/>
      </c>
      <c r="AJ979" s="168" t="str">
        <f t="shared" si="202"/>
        <v/>
      </c>
      <c r="AK979" s="168" t="str">
        <f t="shared" si="203"/>
        <v/>
      </c>
      <c r="AL979" s="28"/>
      <c r="AM979" s="28"/>
      <c r="AN979" s="20" t="str">
        <f>IF(AL979="","",IF($F979="Bernardino Furlan",_xlfn.XLOOKUP(AL979,Cadastros!$G$6:$G$90,Cadastros!$H$6:$H$90)*(1-0.18),IF($F979="Mauro José Salanti",_xlfn.XLOOKUP(AL979,Cadastros!$G$6:$G$90,Cadastros!$H$6:$H$90)*(1-0.18),_xlfn.XLOOKUP(AL979,Cadastros!$G$6:$G$90,Cadastros!$H$6:$H$90))))</f>
        <v/>
      </c>
      <c r="AO979" s="168" t="str">
        <f t="shared" si="204"/>
        <v/>
      </c>
      <c r="AP979" s="168" t="str">
        <f t="shared" si="205"/>
        <v/>
      </c>
      <c r="AQ979" s="28"/>
      <c r="AR979" s="28"/>
      <c r="AS979" s="20" t="str">
        <f>IF(AQ979="","",IF($F979="Bernardino Furlan",_xlfn.XLOOKUP(AQ979,Cadastros!$G$6:$G$90,Cadastros!$H$6:$H$90)*(1-0.18),IF($F979="Mauro José Salanti",_xlfn.XLOOKUP(AQ979,Cadastros!$G$6:$G$90,Cadastros!$H$6:$H$90)*(1-0.18),_xlfn.XLOOKUP(AQ979,Cadastros!$G$6:$G$90,Cadastros!$H$6:$H$90))))</f>
        <v/>
      </c>
      <c r="AT979" s="168" t="str">
        <f t="shared" si="206"/>
        <v/>
      </c>
      <c r="AU979" s="168" t="str">
        <f t="shared" si="207"/>
        <v/>
      </c>
      <c r="AV979" s="227"/>
      <c r="AW979" s="30"/>
      <c r="AX979" s="267"/>
      <c r="AY979" s="267"/>
      <c r="AZ979" s="29"/>
      <c r="BA979" s="30"/>
      <c r="BB979" s="23" t="str" cm="1">
        <f t="array" ref="BB979">_xlfn.IFS(AW979="SIM",SUM(K979,P979,U979,Z979,AE979,AJ979,AO979,AT979,AX979,AY979),F979&lt;&gt;"",SUM(K979,P979,U979,Z979,AE979,AJ979,,AO979,AT979),F979="","")</f>
        <v/>
      </c>
      <c r="BC979" s="211" t="str" cm="1">
        <f t="array" ref="BC979">_xlfn.IFS(E979="","",G979&lt;=E979,BB979*(1-0.03),G979&lt;(E979+8),BB979,AZ979="Boleto",BB979*(1+0.001)^DATEDIF(E979,G979,"D"),AZ979="Cheque",BB979,AZ979="Dinheiro","Alterar forma pgto")</f>
        <v/>
      </c>
      <c r="BD979" s="276" t="str" cm="1">
        <f t="array" ref="BD979">IF(F979=0," ",IF(BC979&lt;BB979,(_xlfn.IFS(AW979="SIM",SUM(L979,Q979,V979,AA979,AF979,AK979,AP979,AU979)+AX979/_xlfn.XLOOKUP(_xlfn.XLOOKUP($F979,Clientes!$B$4:$B$39,Clientes!$C$4:$C$39),Cadastros!$L$6:$L$12,Cadastros!$M$6:$M$12)+IF($F979="Bernardino Furlan",AY979/2751.92,IF($F979="Mauro José Salanti",AY979/2751.92,AY979/3356)),F979&lt;&gt;0,SUM(L979,Q979,V979,AA979,AF979,AK979,AP979,AU979)))*(1-0.03),_xlfn.IFS(AW979="SIM",SUM(L979,Q979,V979,AA979,AF979,AK979,AP979,AU979)+AX979/_xlfn.XLOOKUP(_xlfn.XLOOKUP($F979,Clientes!$B$4:$B$39,Clientes!$C$4:$C$39),Cadastros!$L$6:$L$12,Cadastros!$M$6:$M$12)+IF($F979="Bernardino Furlan",AY979/2751.92,IF($F979="Mauro José Salanti",AY979/2751.92,AY979/3356)),F979&lt;&gt;0,SUM(L979,Q979,V979,AA979,AF979,AK979,AP979,AU979))))</f>
        <v xml:space="preserve"> </v>
      </c>
      <c r="BE979" s="120"/>
      <c r="BF979" s="120"/>
      <c r="BG979" s="120"/>
    </row>
    <row r="980" spans="1:59" s="3" customFormat="1" x14ac:dyDescent="0.3">
      <c r="A980" s="15" t="str">
        <f t="shared" si="195"/>
        <v/>
      </c>
      <c r="B980" s="25"/>
      <c r="C980" s="26"/>
      <c r="D980" s="279"/>
      <c r="E980" s="27"/>
      <c r="F980" s="28"/>
      <c r="G980" s="27"/>
      <c r="H980" s="28"/>
      <c r="I980" s="28"/>
      <c r="J980" s="255" t="str">
        <f>IF(H980="","",(_xlfn.XLOOKUP(H980,Cadastros!$D$6:$D$90,Cadastros!$E$6:$E$90))*(1-_xlfn.XLOOKUP(_xlfn.XLOOKUP($F980,Clientes!$B$4:$B$39,Clientes!$C$4:$C$39),Cadastros!$L$6:$L$12,Cadastros!$N$6:$N$12)))</f>
        <v/>
      </c>
      <c r="K980" s="168" t="str">
        <f t="shared" si="196"/>
        <v/>
      </c>
      <c r="L980" s="168" t="str">
        <f>IFERROR(K980/_xlfn.XLOOKUP(_xlfn.XLOOKUP($F980,Clientes!$B$4:$B$39,Clientes!$C$4:$C$39),Cadastros!$L$6:$L$12,Cadastros!$M$6:$M$12)," ")</f>
        <v xml:space="preserve"> </v>
      </c>
      <c r="M980" s="28"/>
      <c r="N980" s="28"/>
      <c r="O980" s="255" t="str">
        <f>IF(M980="","",(_xlfn.XLOOKUP(M980,Cadastros!$D$6:$D$90,Cadastros!$E$6:$E$90))*(1-_xlfn.XLOOKUP(_xlfn.XLOOKUP($F980,Clientes!$B$4:$B$39,Clientes!$C$4:$C$39),Cadastros!$L$6:$L$12,Cadastros!$N$6:$N$12)))</f>
        <v/>
      </c>
      <c r="P980" s="168" t="str">
        <f t="shared" si="197"/>
        <v/>
      </c>
      <c r="Q980" s="168" t="str">
        <f>IFERROR(P980/_xlfn.XLOOKUP(_xlfn.XLOOKUP($F980,Clientes!$B$4:$B$39,Clientes!$C$4:$C$39),Cadastros!$L$6:$L$12,Cadastros!$M$6:$M$12)," ")</f>
        <v xml:space="preserve"> </v>
      </c>
      <c r="R980" s="28"/>
      <c r="S980" s="28"/>
      <c r="T980" s="255" t="str">
        <f>IF(R980="","",(_xlfn.XLOOKUP(R980,Cadastros!$D$6:$D$90,Cadastros!$E$6:$E$90))*(1-_xlfn.XLOOKUP(_xlfn.XLOOKUP($F980,Clientes!$B$4:$B$39,Clientes!$C$4:$C$39),Cadastros!$L$6:$L$12,Cadastros!$N$6:$N$12)))</f>
        <v/>
      </c>
      <c r="U980" s="168" t="str">
        <f t="shared" si="198"/>
        <v/>
      </c>
      <c r="V980" s="168" t="str">
        <f>IFERROR(U980/_xlfn.XLOOKUP(_xlfn.XLOOKUP($F980,Clientes!$B$4:$B$39,Clientes!$C$4:$C$39),Cadastros!$L$6:$L$12,Cadastros!$M$6:$M$12)," ")</f>
        <v xml:space="preserve"> </v>
      </c>
      <c r="W980" s="28"/>
      <c r="X980" s="28"/>
      <c r="Y980" s="255" t="str">
        <f>IF(W980="","",(_xlfn.XLOOKUP(W980,Cadastros!$D$6:$D$90,Cadastros!$E$6:$E$90))*(1-_xlfn.XLOOKUP(_xlfn.XLOOKUP($F980,Clientes!$B$4:$B$39,Clientes!$C$4:$C$39),Cadastros!$L$6:$L$12,Cadastros!$N$6:$N$12)))</f>
        <v/>
      </c>
      <c r="Z980" s="168" t="str">
        <f t="shared" si="199"/>
        <v/>
      </c>
      <c r="AA980" s="168" t="str">
        <f>IFERROR(Z980/_xlfn.XLOOKUP(_xlfn.XLOOKUP($F980,Clientes!$B$4:$B$39,Clientes!$C$4:$C$39),Cadastros!$L$6:$L$12,Cadastros!$M$6:$M$12)," ")</f>
        <v xml:space="preserve"> </v>
      </c>
      <c r="AB980" s="28"/>
      <c r="AC980" s="28"/>
      <c r="AD980" s="20" t="str">
        <f>IF(AB980="","",IF($F980="Bernardino Furlan",_xlfn.XLOOKUP(AB980,Cadastros!$G$6:$G$90,Cadastros!$H$6:$H$90)*(1-0.18),IF($F980="Mauro José Salanti",_xlfn.XLOOKUP(AB980,Cadastros!$G$6:$G$90,Cadastros!$H$6:$H$90)*(1-0.18),_xlfn.XLOOKUP(AB980,Cadastros!$G$6:$G$90,Cadastros!$H$6:$H$90))))</f>
        <v/>
      </c>
      <c r="AE980" s="168" t="str">
        <f t="shared" si="200"/>
        <v/>
      </c>
      <c r="AF980" s="168" t="str">
        <f t="shared" si="201"/>
        <v/>
      </c>
      <c r="AG980" s="28"/>
      <c r="AH980" s="28"/>
      <c r="AI980" s="20" t="str">
        <f>IF(AG980="","",IF($F980="Bernardino Furlan",_xlfn.XLOOKUP(AG980,Cadastros!$G$6:$G$90,Cadastros!$H$6:$H$90)*(1-0.18),IF($F980="Mauro José Salanti",_xlfn.XLOOKUP(AG980,Cadastros!$G$6:$G$90,Cadastros!$H$6:$H$90)*(1-0.18),_xlfn.XLOOKUP(AG980,Cadastros!$G$6:$G$90,Cadastros!$H$6:$H$90))))</f>
        <v/>
      </c>
      <c r="AJ980" s="168" t="str">
        <f t="shared" si="202"/>
        <v/>
      </c>
      <c r="AK980" s="168" t="str">
        <f t="shared" si="203"/>
        <v/>
      </c>
      <c r="AL980" s="28"/>
      <c r="AM980" s="28"/>
      <c r="AN980" s="20" t="str">
        <f>IF(AL980="","",IF($F980="Bernardino Furlan",_xlfn.XLOOKUP(AL980,Cadastros!$G$6:$G$90,Cadastros!$H$6:$H$90)*(1-0.18),IF($F980="Mauro José Salanti",_xlfn.XLOOKUP(AL980,Cadastros!$G$6:$G$90,Cadastros!$H$6:$H$90)*(1-0.18),_xlfn.XLOOKUP(AL980,Cadastros!$G$6:$G$90,Cadastros!$H$6:$H$90))))</f>
        <v/>
      </c>
      <c r="AO980" s="168" t="str">
        <f t="shared" si="204"/>
        <v/>
      </c>
      <c r="AP980" s="168" t="str">
        <f t="shared" si="205"/>
        <v/>
      </c>
      <c r="AQ980" s="28"/>
      <c r="AR980" s="28"/>
      <c r="AS980" s="20" t="str">
        <f>IF(AQ980="","",IF($F980="Bernardino Furlan",_xlfn.XLOOKUP(AQ980,Cadastros!$G$6:$G$90,Cadastros!$H$6:$H$90)*(1-0.18),IF($F980="Mauro José Salanti",_xlfn.XLOOKUP(AQ980,Cadastros!$G$6:$G$90,Cadastros!$H$6:$H$90)*(1-0.18),_xlfn.XLOOKUP(AQ980,Cadastros!$G$6:$G$90,Cadastros!$H$6:$H$90))))</f>
        <v/>
      </c>
      <c r="AT980" s="168" t="str">
        <f t="shared" si="206"/>
        <v/>
      </c>
      <c r="AU980" s="168" t="str">
        <f t="shared" si="207"/>
        <v/>
      </c>
      <c r="AV980" s="227"/>
      <c r="AW980" s="30"/>
      <c r="AX980" s="267"/>
      <c r="AY980" s="267"/>
      <c r="AZ980" s="29"/>
      <c r="BA980" s="30"/>
      <c r="BB980" s="23" t="str" cm="1">
        <f t="array" ref="BB980">_xlfn.IFS(AW980="SIM",SUM(K980,P980,U980,Z980,AE980,AJ980,AO980,AT980,AX980,AY980),F980&lt;&gt;"",SUM(K980,P980,U980,Z980,AE980,AJ980,,AO980,AT980),F980="","")</f>
        <v/>
      </c>
      <c r="BC980" s="211" t="str" cm="1">
        <f t="array" ref="BC980">_xlfn.IFS(E980="","",G980&lt;=E980,BB980*(1-0.03),G980&lt;(E980+8),BB980,AZ980="Boleto",BB980*(1+0.001)^DATEDIF(E980,G980,"D"),AZ980="Cheque",BB980,AZ980="Dinheiro","Alterar forma pgto")</f>
        <v/>
      </c>
      <c r="BD980" s="276" t="str" cm="1">
        <f t="array" ref="BD980">IF(F980=0," ",IF(BC980&lt;BB980,(_xlfn.IFS(AW980="SIM",SUM(L980,Q980,V980,AA980,AF980,AK980,AP980,AU980)+AX980/_xlfn.XLOOKUP(_xlfn.XLOOKUP($F980,Clientes!$B$4:$B$39,Clientes!$C$4:$C$39),Cadastros!$L$6:$L$12,Cadastros!$M$6:$M$12)+IF($F980="Bernardino Furlan",AY980/2751.92,IF($F980="Mauro José Salanti",AY980/2751.92,AY980/3356)),F980&lt;&gt;0,SUM(L980,Q980,V980,AA980,AF980,AK980,AP980,AU980)))*(1-0.03),_xlfn.IFS(AW980="SIM",SUM(L980,Q980,V980,AA980,AF980,AK980,AP980,AU980)+AX980/_xlfn.XLOOKUP(_xlfn.XLOOKUP($F980,Clientes!$B$4:$B$39,Clientes!$C$4:$C$39),Cadastros!$L$6:$L$12,Cadastros!$M$6:$M$12)+IF($F980="Bernardino Furlan",AY980/2751.92,IF($F980="Mauro José Salanti",AY980/2751.92,AY980/3356)),F980&lt;&gt;0,SUM(L980,Q980,V980,AA980,AF980,AK980,AP980,AU980))))</f>
        <v xml:space="preserve"> </v>
      </c>
      <c r="BE980" s="120"/>
      <c r="BF980" s="120"/>
      <c r="BG980" s="120"/>
    </row>
    <row r="981" spans="1:59" s="3" customFormat="1" x14ac:dyDescent="0.3">
      <c r="A981" s="15" t="str">
        <f t="shared" si="195"/>
        <v/>
      </c>
      <c r="B981" s="25"/>
      <c r="C981" s="26"/>
      <c r="D981" s="279"/>
      <c r="E981" s="27"/>
      <c r="F981" s="28"/>
      <c r="G981" s="27"/>
      <c r="H981" s="28"/>
      <c r="I981" s="28"/>
      <c r="J981" s="255" t="str">
        <f>IF(H981="","",(_xlfn.XLOOKUP(H981,Cadastros!$D$6:$D$90,Cadastros!$E$6:$E$90))*(1-_xlfn.XLOOKUP(_xlfn.XLOOKUP($F981,Clientes!$B$4:$B$39,Clientes!$C$4:$C$39),Cadastros!$L$6:$L$12,Cadastros!$N$6:$N$12)))</f>
        <v/>
      </c>
      <c r="K981" s="168" t="str">
        <f t="shared" si="196"/>
        <v/>
      </c>
      <c r="L981" s="168" t="str">
        <f>IFERROR(K981/_xlfn.XLOOKUP(_xlfn.XLOOKUP($F981,Clientes!$B$4:$B$39,Clientes!$C$4:$C$39),Cadastros!$L$6:$L$12,Cadastros!$M$6:$M$12)," ")</f>
        <v xml:space="preserve"> </v>
      </c>
      <c r="M981" s="28"/>
      <c r="N981" s="28"/>
      <c r="O981" s="255" t="str">
        <f>IF(M981="","",(_xlfn.XLOOKUP(M981,Cadastros!$D$6:$D$90,Cadastros!$E$6:$E$90))*(1-_xlfn.XLOOKUP(_xlfn.XLOOKUP($F981,Clientes!$B$4:$B$39,Clientes!$C$4:$C$39),Cadastros!$L$6:$L$12,Cadastros!$N$6:$N$12)))</f>
        <v/>
      </c>
      <c r="P981" s="168" t="str">
        <f t="shared" si="197"/>
        <v/>
      </c>
      <c r="Q981" s="168" t="str">
        <f>IFERROR(P981/_xlfn.XLOOKUP(_xlfn.XLOOKUP($F981,Clientes!$B$4:$B$39,Clientes!$C$4:$C$39),Cadastros!$L$6:$L$12,Cadastros!$M$6:$M$12)," ")</f>
        <v xml:space="preserve"> </v>
      </c>
      <c r="R981" s="28"/>
      <c r="S981" s="28"/>
      <c r="T981" s="255" t="str">
        <f>IF(R981="","",(_xlfn.XLOOKUP(R981,Cadastros!$D$6:$D$90,Cadastros!$E$6:$E$90))*(1-_xlfn.XLOOKUP(_xlfn.XLOOKUP($F981,Clientes!$B$4:$B$39,Clientes!$C$4:$C$39),Cadastros!$L$6:$L$12,Cadastros!$N$6:$N$12)))</f>
        <v/>
      </c>
      <c r="U981" s="168" t="str">
        <f t="shared" si="198"/>
        <v/>
      </c>
      <c r="V981" s="168" t="str">
        <f>IFERROR(U981/_xlfn.XLOOKUP(_xlfn.XLOOKUP($F981,Clientes!$B$4:$B$39,Clientes!$C$4:$C$39),Cadastros!$L$6:$L$12,Cadastros!$M$6:$M$12)," ")</f>
        <v xml:space="preserve"> </v>
      </c>
      <c r="W981" s="28"/>
      <c r="X981" s="28"/>
      <c r="Y981" s="255" t="str">
        <f>IF(W981="","",(_xlfn.XLOOKUP(W981,Cadastros!$D$6:$D$90,Cadastros!$E$6:$E$90))*(1-_xlfn.XLOOKUP(_xlfn.XLOOKUP($F981,Clientes!$B$4:$B$39,Clientes!$C$4:$C$39),Cadastros!$L$6:$L$12,Cadastros!$N$6:$N$12)))</f>
        <v/>
      </c>
      <c r="Z981" s="168" t="str">
        <f t="shared" si="199"/>
        <v/>
      </c>
      <c r="AA981" s="168" t="str">
        <f>IFERROR(Z981/_xlfn.XLOOKUP(_xlfn.XLOOKUP($F981,Clientes!$B$4:$B$39,Clientes!$C$4:$C$39),Cadastros!$L$6:$L$12,Cadastros!$M$6:$M$12)," ")</f>
        <v xml:space="preserve"> </v>
      </c>
      <c r="AB981" s="28"/>
      <c r="AC981" s="28"/>
      <c r="AD981" s="20" t="str">
        <f>IF(AB981="","",IF($F981="Bernardino Furlan",_xlfn.XLOOKUP(AB981,Cadastros!$G$6:$G$90,Cadastros!$H$6:$H$90)*(1-0.18),IF($F981="Mauro José Salanti",_xlfn.XLOOKUP(AB981,Cadastros!$G$6:$G$90,Cadastros!$H$6:$H$90)*(1-0.18),_xlfn.XLOOKUP(AB981,Cadastros!$G$6:$G$90,Cadastros!$H$6:$H$90))))</f>
        <v/>
      </c>
      <c r="AE981" s="168" t="str">
        <f t="shared" si="200"/>
        <v/>
      </c>
      <c r="AF981" s="168" t="str">
        <f t="shared" si="201"/>
        <v/>
      </c>
      <c r="AG981" s="28"/>
      <c r="AH981" s="28"/>
      <c r="AI981" s="20" t="str">
        <f>IF(AG981="","",IF($F981="Bernardino Furlan",_xlfn.XLOOKUP(AG981,Cadastros!$G$6:$G$90,Cadastros!$H$6:$H$90)*(1-0.18),IF($F981="Mauro José Salanti",_xlfn.XLOOKUP(AG981,Cadastros!$G$6:$G$90,Cadastros!$H$6:$H$90)*(1-0.18),_xlfn.XLOOKUP(AG981,Cadastros!$G$6:$G$90,Cadastros!$H$6:$H$90))))</f>
        <v/>
      </c>
      <c r="AJ981" s="168" t="str">
        <f t="shared" si="202"/>
        <v/>
      </c>
      <c r="AK981" s="168" t="str">
        <f t="shared" si="203"/>
        <v/>
      </c>
      <c r="AL981" s="28"/>
      <c r="AM981" s="28"/>
      <c r="AN981" s="20" t="str">
        <f>IF(AL981="","",IF($F981="Bernardino Furlan",_xlfn.XLOOKUP(AL981,Cadastros!$G$6:$G$90,Cadastros!$H$6:$H$90)*(1-0.18),IF($F981="Mauro José Salanti",_xlfn.XLOOKUP(AL981,Cadastros!$G$6:$G$90,Cadastros!$H$6:$H$90)*(1-0.18),_xlfn.XLOOKUP(AL981,Cadastros!$G$6:$G$90,Cadastros!$H$6:$H$90))))</f>
        <v/>
      </c>
      <c r="AO981" s="168" t="str">
        <f t="shared" si="204"/>
        <v/>
      </c>
      <c r="AP981" s="168" t="str">
        <f t="shared" si="205"/>
        <v/>
      </c>
      <c r="AQ981" s="28"/>
      <c r="AR981" s="28"/>
      <c r="AS981" s="20" t="str">
        <f>IF(AQ981="","",IF($F981="Bernardino Furlan",_xlfn.XLOOKUP(AQ981,Cadastros!$G$6:$G$90,Cadastros!$H$6:$H$90)*(1-0.18),IF($F981="Mauro José Salanti",_xlfn.XLOOKUP(AQ981,Cadastros!$G$6:$G$90,Cadastros!$H$6:$H$90)*(1-0.18),_xlfn.XLOOKUP(AQ981,Cadastros!$G$6:$G$90,Cadastros!$H$6:$H$90))))</f>
        <v/>
      </c>
      <c r="AT981" s="168" t="str">
        <f t="shared" si="206"/>
        <v/>
      </c>
      <c r="AU981" s="168" t="str">
        <f t="shared" si="207"/>
        <v/>
      </c>
      <c r="AV981" s="227"/>
      <c r="AW981" s="30"/>
      <c r="AX981" s="267"/>
      <c r="AY981" s="267"/>
      <c r="AZ981" s="29"/>
      <c r="BA981" s="30"/>
      <c r="BB981" s="23" t="str" cm="1">
        <f t="array" ref="BB981">_xlfn.IFS(AW981="SIM",SUM(K981,P981,U981,Z981,AE981,AJ981,AO981,AT981,AX981,AY981),F981&lt;&gt;"",SUM(K981,P981,U981,Z981,AE981,AJ981,,AO981,AT981),F981="","")</f>
        <v/>
      </c>
      <c r="BC981" s="211" t="str" cm="1">
        <f t="array" ref="BC981">_xlfn.IFS(E981="","",G981&lt;=E981,BB981*(1-0.03),G981&lt;(E981+8),BB981,AZ981="Boleto",BB981*(1+0.001)^DATEDIF(E981,G981,"D"),AZ981="Cheque",BB981,AZ981="Dinheiro","Alterar forma pgto")</f>
        <v/>
      </c>
      <c r="BD981" s="276" t="str" cm="1">
        <f t="array" ref="BD981">IF(F981=0," ",IF(BC981&lt;BB981,(_xlfn.IFS(AW981="SIM",SUM(L981,Q981,V981,AA981,AF981,AK981,AP981,AU981)+AX981/_xlfn.XLOOKUP(_xlfn.XLOOKUP($F981,Clientes!$B$4:$B$39,Clientes!$C$4:$C$39),Cadastros!$L$6:$L$12,Cadastros!$M$6:$M$12)+IF($F981="Bernardino Furlan",AY981/2751.92,IF($F981="Mauro José Salanti",AY981/2751.92,AY981/3356)),F981&lt;&gt;0,SUM(L981,Q981,V981,AA981,AF981,AK981,AP981,AU981)))*(1-0.03),_xlfn.IFS(AW981="SIM",SUM(L981,Q981,V981,AA981,AF981,AK981,AP981,AU981)+AX981/_xlfn.XLOOKUP(_xlfn.XLOOKUP($F981,Clientes!$B$4:$B$39,Clientes!$C$4:$C$39),Cadastros!$L$6:$L$12,Cadastros!$M$6:$M$12)+IF($F981="Bernardino Furlan",AY981/2751.92,IF($F981="Mauro José Salanti",AY981/2751.92,AY981/3356)),F981&lt;&gt;0,SUM(L981,Q981,V981,AA981,AF981,AK981,AP981,AU981))))</f>
        <v xml:space="preserve"> </v>
      </c>
      <c r="BE981" s="120"/>
      <c r="BF981" s="120"/>
      <c r="BG981" s="120"/>
    </row>
    <row r="982" spans="1:59" s="3" customFormat="1" x14ac:dyDescent="0.3">
      <c r="A982" s="15" t="str">
        <f t="shared" si="195"/>
        <v/>
      </c>
      <c r="B982" s="25"/>
      <c r="C982" s="26"/>
      <c r="D982" s="279"/>
      <c r="E982" s="27"/>
      <c r="F982" s="28"/>
      <c r="G982" s="27"/>
      <c r="H982" s="28"/>
      <c r="I982" s="28"/>
      <c r="J982" s="255" t="str">
        <f>IF(H982="","",(_xlfn.XLOOKUP(H982,Cadastros!$D$6:$D$90,Cadastros!$E$6:$E$90))*(1-_xlfn.XLOOKUP(_xlfn.XLOOKUP($F982,Clientes!$B$4:$B$39,Clientes!$C$4:$C$39),Cadastros!$L$6:$L$12,Cadastros!$N$6:$N$12)))</f>
        <v/>
      </c>
      <c r="K982" s="168" t="str">
        <f t="shared" si="196"/>
        <v/>
      </c>
      <c r="L982" s="168" t="str">
        <f>IFERROR(K982/_xlfn.XLOOKUP(_xlfn.XLOOKUP($F982,Clientes!$B$4:$B$39,Clientes!$C$4:$C$39),Cadastros!$L$6:$L$12,Cadastros!$M$6:$M$12)," ")</f>
        <v xml:space="preserve"> </v>
      </c>
      <c r="M982" s="28"/>
      <c r="N982" s="28"/>
      <c r="O982" s="255" t="str">
        <f>IF(M982="","",(_xlfn.XLOOKUP(M982,Cadastros!$D$6:$D$90,Cadastros!$E$6:$E$90))*(1-_xlfn.XLOOKUP(_xlfn.XLOOKUP($F982,Clientes!$B$4:$B$39,Clientes!$C$4:$C$39),Cadastros!$L$6:$L$12,Cadastros!$N$6:$N$12)))</f>
        <v/>
      </c>
      <c r="P982" s="168" t="str">
        <f t="shared" si="197"/>
        <v/>
      </c>
      <c r="Q982" s="168" t="str">
        <f>IFERROR(P982/_xlfn.XLOOKUP(_xlfn.XLOOKUP($F982,Clientes!$B$4:$B$39,Clientes!$C$4:$C$39),Cadastros!$L$6:$L$12,Cadastros!$M$6:$M$12)," ")</f>
        <v xml:space="preserve"> </v>
      </c>
      <c r="R982" s="28"/>
      <c r="S982" s="28"/>
      <c r="T982" s="255" t="str">
        <f>IF(R982="","",(_xlfn.XLOOKUP(R982,Cadastros!$D$6:$D$90,Cadastros!$E$6:$E$90))*(1-_xlfn.XLOOKUP(_xlfn.XLOOKUP($F982,Clientes!$B$4:$B$39,Clientes!$C$4:$C$39),Cadastros!$L$6:$L$12,Cadastros!$N$6:$N$12)))</f>
        <v/>
      </c>
      <c r="U982" s="168" t="str">
        <f t="shared" si="198"/>
        <v/>
      </c>
      <c r="V982" s="168" t="str">
        <f>IFERROR(U982/_xlfn.XLOOKUP(_xlfn.XLOOKUP($F982,Clientes!$B$4:$B$39,Clientes!$C$4:$C$39),Cadastros!$L$6:$L$12,Cadastros!$M$6:$M$12)," ")</f>
        <v xml:space="preserve"> </v>
      </c>
      <c r="W982" s="28"/>
      <c r="X982" s="28"/>
      <c r="Y982" s="255" t="str">
        <f>IF(W982="","",(_xlfn.XLOOKUP(W982,Cadastros!$D$6:$D$90,Cadastros!$E$6:$E$90))*(1-_xlfn.XLOOKUP(_xlfn.XLOOKUP($F982,Clientes!$B$4:$B$39,Clientes!$C$4:$C$39),Cadastros!$L$6:$L$12,Cadastros!$N$6:$N$12)))</f>
        <v/>
      </c>
      <c r="Z982" s="168" t="str">
        <f t="shared" si="199"/>
        <v/>
      </c>
      <c r="AA982" s="168" t="str">
        <f>IFERROR(Z982/_xlfn.XLOOKUP(_xlfn.XLOOKUP($F982,Clientes!$B$4:$B$39,Clientes!$C$4:$C$39),Cadastros!$L$6:$L$12,Cadastros!$M$6:$M$12)," ")</f>
        <v xml:space="preserve"> </v>
      </c>
      <c r="AB982" s="28"/>
      <c r="AC982" s="28"/>
      <c r="AD982" s="20" t="str">
        <f>IF(AB982="","",IF($F982="Bernardino Furlan",_xlfn.XLOOKUP(AB982,Cadastros!$G$6:$G$90,Cadastros!$H$6:$H$90)*(1-0.18),IF($F982="Mauro José Salanti",_xlfn.XLOOKUP(AB982,Cadastros!$G$6:$G$90,Cadastros!$H$6:$H$90)*(1-0.18),_xlfn.XLOOKUP(AB982,Cadastros!$G$6:$G$90,Cadastros!$H$6:$H$90))))</f>
        <v/>
      </c>
      <c r="AE982" s="168" t="str">
        <f t="shared" si="200"/>
        <v/>
      </c>
      <c r="AF982" s="168" t="str">
        <f t="shared" si="201"/>
        <v/>
      </c>
      <c r="AG982" s="28"/>
      <c r="AH982" s="28"/>
      <c r="AI982" s="20" t="str">
        <f>IF(AG982="","",IF($F982="Bernardino Furlan",_xlfn.XLOOKUP(AG982,Cadastros!$G$6:$G$90,Cadastros!$H$6:$H$90)*(1-0.18),IF($F982="Mauro José Salanti",_xlfn.XLOOKUP(AG982,Cadastros!$G$6:$G$90,Cadastros!$H$6:$H$90)*(1-0.18),_xlfn.XLOOKUP(AG982,Cadastros!$G$6:$G$90,Cadastros!$H$6:$H$90))))</f>
        <v/>
      </c>
      <c r="AJ982" s="168" t="str">
        <f t="shared" si="202"/>
        <v/>
      </c>
      <c r="AK982" s="168" t="str">
        <f t="shared" si="203"/>
        <v/>
      </c>
      <c r="AL982" s="28"/>
      <c r="AM982" s="28"/>
      <c r="AN982" s="20" t="str">
        <f>IF(AL982="","",IF($F982="Bernardino Furlan",_xlfn.XLOOKUP(AL982,Cadastros!$G$6:$G$90,Cadastros!$H$6:$H$90)*(1-0.18),IF($F982="Mauro José Salanti",_xlfn.XLOOKUP(AL982,Cadastros!$G$6:$G$90,Cadastros!$H$6:$H$90)*(1-0.18),_xlfn.XLOOKUP(AL982,Cadastros!$G$6:$G$90,Cadastros!$H$6:$H$90))))</f>
        <v/>
      </c>
      <c r="AO982" s="168" t="str">
        <f t="shared" si="204"/>
        <v/>
      </c>
      <c r="AP982" s="168" t="str">
        <f t="shared" si="205"/>
        <v/>
      </c>
      <c r="AQ982" s="28"/>
      <c r="AR982" s="28"/>
      <c r="AS982" s="20" t="str">
        <f>IF(AQ982="","",IF($F982="Bernardino Furlan",_xlfn.XLOOKUP(AQ982,Cadastros!$G$6:$G$90,Cadastros!$H$6:$H$90)*(1-0.18),IF($F982="Mauro José Salanti",_xlfn.XLOOKUP(AQ982,Cadastros!$G$6:$G$90,Cadastros!$H$6:$H$90)*(1-0.18),_xlfn.XLOOKUP(AQ982,Cadastros!$G$6:$G$90,Cadastros!$H$6:$H$90))))</f>
        <v/>
      </c>
      <c r="AT982" s="168" t="str">
        <f t="shared" si="206"/>
        <v/>
      </c>
      <c r="AU982" s="168" t="str">
        <f t="shared" si="207"/>
        <v/>
      </c>
      <c r="AV982" s="227"/>
      <c r="AW982" s="30"/>
      <c r="AX982" s="267"/>
      <c r="AY982" s="267"/>
      <c r="AZ982" s="29"/>
      <c r="BA982" s="30"/>
      <c r="BB982" s="23" t="str" cm="1">
        <f t="array" ref="BB982">_xlfn.IFS(AW982="SIM",SUM(K982,P982,U982,Z982,AE982,AJ982,AO982,AT982,AX982,AY982),F982&lt;&gt;"",SUM(K982,P982,U982,Z982,AE982,AJ982,,AO982,AT982),F982="","")</f>
        <v/>
      </c>
      <c r="BC982" s="211" t="str" cm="1">
        <f t="array" ref="BC982">_xlfn.IFS(E982="","",G982&lt;=E982,BB982*(1-0.03),G982&lt;(E982+8),BB982,AZ982="Boleto",BB982*(1+0.001)^DATEDIF(E982,G982,"D"),AZ982="Cheque",BB982,AZ982="Dinheiro","Alterar forma pgto")</f>
        <v/>
      </c>
      <c r="BD982" s="276" t="str" cm="1">
        <f t="array" ref="BD982">IF(F982=0," ",IF(BC982&lt;BB982,(_xlfn.IFS(AW982="SIM",SUM(L982,Q982,V982,AA982,AF982,AK982,AP982,AU982)+AX982/_xlfn.XLOOKUP(_xlfn.XLOOKUP($F982,Clientes!$B$4:$B$39,Clientes!$C$4:$C$39),Cadastros!$L$6:$L$12,Cadastros!$M$6:$M$12)+IF($F982="Bernardino Furlan",AY982/2751.92,IF($F982="Mauro José Salanti",AY982/2751.92,AY982/3356)),F982&lt;&gt;0,SUM(L982,Q982,V982,AA982,AF982,AK982,AP982,AU982)))*(1-0.03),_xlfn.IFS(AW982="SIM",SUM(L982,Q982,V982,AA982,AF982,AK982,AP982,AU982)+AX982/_xlfn.XLOOKUP(_xlfn.XLOOKUP($F982,Clientes!$B$4:$B$39,Clientes!$C$4:$C$39),Cadastros!$L$6:$L$12,Cadastros!$M$6:$M$12)+IF($F982="Bernardino Furlan",AY982/2751.92,IF($F982="Mauro José Salanti",AY982/2751.92,AY982/3356)),F982&lt;&gt;0,SUM(L982,Q982,V982,AA982,AF982,AK982,AP982,AU982))))</f>
        <v xml:space="preserve"> </v>
      </c>
      <c r="BE982" s="120"/>
      <c r="BF982" s="120"/>
      <c r="BG982" s="120"/>
    </row>
    <row r="983" spans="1:59" s="3" customFormat="1" x14ac:dyDescent="0.3">
      <c r="A983" s="15" t="str">
        <f t="shared" si="195"/>
        <v/>
      </c>
      <c r="B983" s="25"/>
      <c r="C983" s="26"/>
      <c r="D983" s="279"/>
      <c r="E983" s="27"/>
      <c r="F983" s="28"/>
      <c r="G983" s="27"/>
      <c r="H983" s="28"/>
      <c r="I983" s="28"/>
      <c r="J983" s="255" t="str">
        <f>IF(H983="","",(_xlfn.XLOOKUP(H983,Cadastros!$D$6:$D$90,Cadastros!$E$6:$E$90))*(1-_xlfn.XLOOKUP(_xlfn.XLOOKUP($F983,Clientes!$B$4:$B$39,Clientes!$C$4:$C$39),Cadastros!$L$6:$L$12,Cadastros!$N$6:$N$12)))</f>
        <v/>
      </c>
      <c r="K983" s="168" t="str">
        <f t="shared" si="196"/>
        <v/>
      </c>
      <c r="L983" s="168" t="str">
        <f>IFERROR(K983/_xlfn.XLOOKUP(_xlfn.XLOOKUP($F983,Clientes!$B$4:$B$39,Clientes!$C$4:$C$39),Cadastros!$L$6:$L$12,Cadastros!$M$6:$M$12)," ")</f>
        <v xml:space="preserve"> </v>
      </c>
      <c r="M983" s="28"/>
      <c r="N983" s="28"/>
      <c r="O983" s="255" t="str">
        <f>IF(M983="","",(_xlfn.XLOOKUP(M983,Cadastros!$D$6:$D$90,Cadastros!$E$6:$E$90))*(1-_xlfn.XLOOKUP(_xlfn.XLOOKUP($F983,Clientes!$B$4:$B$39,Clientes!$C$4:$C$39),Cadastros!$L$6:$L$12,Cadastros!$N$6:$N$12)))</f>
        <v/>
      </c>
      <c r="P983" s="168" t="str">
        <f t="shared" si="197"/>
        <v/>
      </c>
      <c r="Q983" s="168" t="str">
        <f>IFERROR(P983/_xlfn.XLOOKUP(_xlfn.XLOOKUP($F983,Clientes!$B$4:$B$39,Clientes!$C$4:$C$39),Cadastros!$L$6:$L$12,Cadastros!$M$6:$M$12)," ")</f>
        <v xml:space="preserve"> </v>
      </c>
      <c r="R983" s="28"/>
      <c r="S983" s="28"/>
      <c r="T983" s="255" t="str">
        <f>IF(R983="","",(_xlfn.XLOOKUP(R983,Cadastros!$D$6:$D$90,Cadastros!$E$6:$E$90))*(1-_xlfn.XLOOKUP(_xlfn.XLOOKUP($F983,Clientes!$B$4:$B$39,Clientes!$C$4:$C$39),Cadastros!$L$6:$L$12,Cadastros!$N$6:$N$12)))</f>
        <v/>
      </c>
      <c r="U983" s="168" t="str">
        <f t="shared" si="198"/>
        <v/>
      </c>
      <c r="V983" s="168" t="str">
        <f>IFERROR(U983/_xlfn.XLOOKUP(_xlfn.XLOOKUP($F983,Clientes!$B$4:$B$39,Clientes!$C$4:$C$39),Cadastros!$L$6:$L$12,Cadastros!$M$6:$M$12)," ")</f>
        <v xml:space="preserve"> </v>
      </c>
      <c r="W983" s="28"/>
      <c r="X983" s="28"/>
      <c r="Y983" s="255" t="str">
        <f>IF(W983="","",(_xlfn.XLOOKUP(W983,Cadastros!$D$6:$D$90,Cadastros!$E$6:$E$90))*(1-_xlfn.XLOOKUP(_xlfn.XLOOKUP($F983,Clientes!$B$4:$B$39,Clientes!$C$4:$C$39),Cadastros!$L$6:$L$12,Cadastros!$N$6:$N$12)))</f>
        <v/>
      </c>
      <c r="Z983" s="168" t="str">
        <f t="shared" si="199"/>
        <v/>
      </c>
      <c r="AA983" s="168" t="str">
        <f>IFERROR(Z983/_xlfn.XLOOKUP(_xlfn.XLOOKUP($F983,Clientes!$B$4:$B$39,Clientes!$C$4:$C$39),Cadastros!$L$6:$L$12,Cadastros!$M$6:$M$12)," ")</f>
        <v xml:space="preserve"> </v>
      </c>
      <c r="AB983" s="28"/>
      <c r="AC983" s="28"/>
      <c r="AD983" s="20" t="str">
        <f>IF(AB983="","",IF($F983="Bernardino Furlan",_xlfn.XLOOKUP(AB983,Cadastros!$G$6:$G$90,Cadastros!$H$6:$H$90)*(1-0.18),IF($F983="Mauro José Salanti",_xlfn.XLOOKUP(AB983,Cadastros!$G$6:$G$90,Cadastros!$H$6:$H$90)*(1-0.18),_xlfn.XLOOKUP(AB983,Cadastros!$G$6:$G$90,Cadastros!$H$6:$H$90))))</f>
        <v/>
      </c>
      <c r="AE983" s="168" t="str">
        <f t="shared" si="200"/>
        <v/>
      </c>
      <c r="AF983" s="168" t="str">
        <f t="shared" si="201"/>
        <v/>
      </c>
      <c r="AG983" s="28"/>
      <c r="AH983" s="28"/>
      <c r="AI983" s="20" t="str">
        <f>IF(AG983="","",IF($F983="Bernardino Furlan",_xlfn.XLOOKUP(AG983,Cadastros!$G$6:$G$90,Cadastros!$H$6:$H$90)*(1-0.18),IF($F983="Mauro José Salanti",_xlfn.XLOOKUP(AG983,Cadastros!$G$6:$G$90,Cadastros!$H$6:$H$90)*(1-0.18),_xlfn.XLOOKUP(AG983,Cadastros!$G$6:$G$90,Cadastros!$H$6:$H$90))))</f>
        <v/>
      </c>
      <c r="AJ983" s="168" t="str">
        <f t="shared" si="202"/>
        <v/>
      </c>
      <c r="AK983" s="168" t="str">
        <f t="shared" si="203"/>
        <v/>
      </c>
      <c r="AL983" s="28"/>
      <c r="AM983" s="28"/>
      <c r="AN983" s="20" t="str">
        <f>IF(AL983="","",IF($F983="Bernardino Furlan",_xlfn.XLOOKUP(AL983,Cadastros!$G$6:$G$90,Cadastros!$H$6:$H$90)*(1-0.18),IF($F983="Mauro José Salanti",_xlfn.XLOOKUP(AL983,Cadastros!$G$6:$G$90,Cadastros!$H$6:$H$90)*(1-0.18),_xlfn.XLOOKUP(AL983,Cadastros!$G$6:$G$90,Cadastros!$H$6:$H$90))))</f>
        <v/>
      </c>
      <c r="AO983" s="168" t="str">
        <f t="shared" si="204"/>
        <v/>
      </c>
      <c r="AP983" s="168" t="str">
        <f t="shared" si="205"/>
        <v/>
      </c>
      <c r="AQ983" s="28"/>
      <c r="AR983" s="28"/>
      <c r="AS983" s="20" t="str">
        <f>IF(AQ983="","",IF($F983="Bernardino Furlan",_xlfn.XLOOKUP(AQ983,Cadastros!$G$6:$G$90,Cadastros!$H$6:$H$90)*(1-0.18),IF($F983="Mauro José Salanti",_xlfn.XLOOKUP(AQ983,Cadastros!$G$6:$G$90,Cadastros!$H$6:$H$90)*(1-0.18),_xlfn.XLOOKUP(AQ983,Cadastros!$G$6:$G$90,Cadastros!$H$6:$H$90))))</f>
        <v/>
      </c>
      <c r="AT983" s="168" t="str">
        <f t="shared" si="206"/>
        <v/>
      </c>
      <c r="AU983" s="168" t="str">
        <f t="shared" si="207"/>
        <v/>
      </c>
      <c r="AV983" s="227"/>
      <c r="AW983" s="30"/>
      <c r="AX983" s="267"/>
      <c r="AY983" s="267"/>
      <c r="AZ983" s="29"/>
      <c r="BA983" s="30"/>
      <c r="BB983" s="23" t="str" cm="1">
        <f t="array" ref="BB983">_xlfn.IFS(AW983="SIM",SUM(K983,P983,U983,Z983,AE983,AJ983,AO983,AT983,AX983,AY983),F983&lt;&gt;"",SUM(K983,P983,U983,Z983,AE983,AJ983,,AO983,AT983),F983="","")</f>
        <v/>
      </c>
      <c r="BC983" s="211" t="str" cm="1">
        <f t="array" ref="BC983">_xlfn.IFS(E983="","",G983&lt;=E983,BB983*(1-0.03),G983&lt;(E983+8),BB983,AZ983="Boleto",BB983*(1+0.001)^DATEDIF(E983,G983,"D"),AZ983="Cheque",BB983,AZ983="Dinheiro","Alterar forma pgto")</f>
        <v/>
      </c>
      <c r="BD983" s="276" t="str" cm="1">
        <f t="array" ref="BD983">IF(F983=0," ",IF(BC983&lt;BB983,(_xlfn.IFS(AW983="SIM",SUM(L983,Q983,V983,AA983,AF983,AK983,AP983,AU983)+AX983/_xlfn.XLOOKUP(_xlfn.XLOOKUP($F983,Clientes!$B$4:$B$39,Clientes!$C$4:$C$39),Cadastros!$L$6:$L$12,Cadastros!$M$6:$M$12)+IF($F983="Bernardino Furlan",AY983/2751.92,IF($F983="Mauro José Salanti",AY983/2751.92,AY983/3356)),F983&lt;&gt;0,SUM(L983,Q983,V983,AA983,AF983,AK983,AP983,AU983)))*(1-0.03),_xlfn.IFS(AW983="SIM",SUM(L983,Q983,V983,AA983,AF983,AK983,AP983,AU983)+AX983/_xlfn.XLOOKUP(_xlfn.XLOOKUP($F983,Clientes!$B$4:$B$39,Clientes!$C$4:$C$39),Cadastros!$L$6:$L$12,Cadastros!$M$6:$M$12)+IF($F983="Bernardino Furlan",AY983/2751.92,IF($F983="Mauro José Salanti",AY983/2751.92,AY983/3356)),F983&lt;&gt;0,SUM(L983,Q983,V983,AA983,AF983,AK983,AP983,AU983))))</f>
        <v xml:space="preserve"> </v>
      </c>
      <c r="BE983" s="120"/>
      <c r="BF983" s="120"/>
      <c r="BG983" s="120"/>
    </row>
    <row r="984" spans="1:59" s="3" customFormat="1" x14ac:dyDescent="0.3">
      <c r="A984" s="15" t="str">
        <f t="shared" si="195"/>
        <v/>
      </c>
      <c r="B984" s="25"/>
      <c r="C984" s="26"/>
      <c r="D984" s="279"/>
      <c r="E984" s="27"/>
      <c r="F984" s="28"/>
      <c r="G984" s="27"/>
      <c r="H984" s="28"/>
      <c r="I984" s="28"/>
      <c r="J984" s="255" t="str">
        <f>IF(H984="","",(_xlfn.XLOOKUP(H984,Cadastros!$D$6:$D$90,Cadastros!$E$6:$E$90))*(1-_xlfn.XLOOKUP(_xlfn.XLOOKUP($F984,Clientes!$B$4:$B$39,Clientes!$C$4:$C$39),Cadastros!$L$6:$L$12,Cadastros!$N$6:$N$12)))</f>
        <v/>
      </c>
      <c r="K984" s="168" t="str">
        <f t="shared" si="196"/>
        <v/>
      </c>
      <c r="L984" s="168" t="str">
        <f>IFERROR(K984/_xlfn.XLOOKUP(_xlfn.XLOOKUP($F984,Clientes!$B$4:$B$39,Clientes!$C$4:$C$39),Cadastros!$L$6:$L$12,Cadastros!$M$6:$M$12)," ")</f>
        <v xml:space="preserve"> </v>
      </c>
      <c r="M984" s="28"/>
      <c r="N984" s="28"/>
      <c r="O984" s="255" t="str">
        <f>IF(M984="","",(_xlfn.XLOOKUP(M984,Cadastros!$D$6:$D$90,Cadastros!$E$6:$E$90))*(1-_xlfn.XLOOKUP(_xlfn.XLOOKUP($F984,Clientes!$B$4:$B$39,Clientes!$C$4:$C$39),Cadastros!$L$6:$L$12,Cadastros!$N$6:$N$12)))</f>
        <v/>
      </c>
      <c r="P984" s="168" t="str">
        <f t="shared" si="197"/>
        <v/>
      </c>
      <c r="Q984" s="168" t="str">
        <f>IFERROR(P984/_xlfn.XLOOKUP(_xlfn.XLOOKUP($F984,Clientes!$B$4:$B$39,Clientes!$C$4:$C$39),Cadastros!$L$6:$L$12,Cadastros!$M$6:$M$12)," ")</f>
        <v xml:space="preserve"> </v>
      </c>
      <c r="R984" s="28"/>
      <c r="S984" s="28"/>
      <c r="T984" s="255" t="str">
        <f>IF(R984="","",(_xlfn.XLOOKUP(R984,Cadastros!$D$6:$D$90,Cadastros!$E$6:$E$90))*(1-_xlfn.XLOOKUP(_xlfn.XLOOKUP($F984,Clientes!$B$4:$B$39,Clientes!$C$4:$C$39),Cadastros!$L$6:$L$12,Cadastros!$N$6:$N$12)))</f>
        <v/>
      </c>
      <c r="U984" s="168" t="str">
        <f t="shared" si="198"/>
        <v/>
      </c>
      <c r="V984" s="168" t="str">
        <f>IFERROR(U984/_xlfn.XLOOKUP(_xlfn.XLOOKUP($F984,Clientes!$B$4:$B$39,Clientes!$C$4:$C$39),Cadastros!$L$6:$L$12,Cadastros!$M$6:$M$12)," ")</f>
        <v xml:space="preserve"> </v>
      </c>
      <c r="W984" s="28"/>
      <c r="X984" s="28"/>
      <c r="Y984" s="255" t="str">
        <f>IF(W984="","",(_xlfn.XLOOKUP(W984,Cadastros!$D$6:$D$90,Cadastros!$E$6:$E$90))*(1-_xlfn.XLOOKUP(_xlfn.XLOOKUP($F984,Clientes!$B$4:$B$39,Clientes!$C$4:$C$39),Cadastros!$L$6:$L$12,Cadastros!$N$6:$N$12)))</f>
        <v/>
      </c>
      <c r="Z984" s="168" t="str">
        <f t="shared" si="199"/>
        <v/>
      </c>
      <c r="AA984" s="168" t="str">
        <f>IFERROR(Z984/_xlfn.XLOOKUP(_xlfn.XLOOKUP($F984,Clientes!$B$4:$B$39,Clientes!$C$4:$C$39),Cadastros!$L$6:$L$12,Cadastros!$M$6:$M$12)," ")</f>
        <v xml:space="preserve"> </v>
      </c>
      <c r="AB984" s="28"/>
      <c r="AC984" s="28"/>
      <c r="AD984" s="20" t="str">
        <f>IF(AB984="","",IF($F984="Bernardino Furlan",_xlfn.XLOOKUP(AB984,Cadastros!$G$6:$G$90,Cadastros!$H$6:$H$90)*(1-0.18),IF($F984="Mauro José Salanti",_xlfn.XLOOKUP(AB984,Cadastros!$G$6:$G$90,Cadastros!$H$6:$H$90)*(1-0.18),_xlfn.XLOOKUP(AB984,Cadastros!$G$6:$G$90,Cadastros!$H$6:$H$90))))</f>
        <v/>
      </c>
      <c r="AE984" s="168" t="str">
        <f t="shared" si="200"/>
        <v/>
      </c>
      <c r="AF984" s="168" t="str">
        <f t="shared" si="201"/>
        <v/>
      </c>
      <c r="AG984" s="28"/>
      <c r="AH984" s="28"/>
      <c r="AI984" s="20" t="str">
        <f>IF(AG984="","",IF($F984="Bernardino Furlan",_xlfn.XLOOKUP(AG984,Cadastros!$G$6:$G$90,Cadastros!$H$6:$H$90)*(1-0.18),IF($F984="Mauro José Salanti",_xlfn.XLOOKUP(AG984,Cadastros!$G$6:$G$90,Cadastros!$H$6:$H$90)*(1-0.18),_xlfn.XLOOKUP(AG984,Cadastros!$G$6:$G$90,Cadastros!$H$6:$H$90))))</f>
        <v/>
      </c>
      <c r="AJ984" s="168" t="str">
        <f t="shared" si="202"/>
        <v/>
      </c>
      <c r="AK984" s="168" t="str">
        <f t="shared" si="203"/>
        <v/>
      </c>
      <c r="AL984" s="28"/>
      <c r="AM984" s="28"/>
      <c r="AN984" s="20" t="str">
        <f>IF(AL984="","",IF($F984="Bernardino Furlan",_xlfn.XLOOKUP(AL984,Cadastros!$G$6:$G$90,Cadastros!$H$6:$H$90)*(1-0.18),IF($F984="Mauro José Salanti",_xlfn.XLOOKUP(AL984,Cadastros!$G$6:$G$90,Cadastros!$H$6:$H$90)*(1-0.18),_xlfn.XLOOKUP(AL984,Cadastros!$G$6:$G$90,Cadastros!$H$6:$H$90))))</f>
        <v/>
      </c>
      <c r="AO984" s="168" t="str">
        <f t="shared" si="204"/>
        <v/>
      </c>
      <c r="AP984" s="168" t="str">
        <f t="shared" si="205"/>
        <v/>
      </c>
      <c r="AQ984" s="28"/>
      <c r="AR984" s="28"/>
      <c r="AS984" s="20" t="str">
        <f>IF(AQ984="","",IF($F984="Bernardino Furlan",_xlfn.XLOOKUP(AQ984,Cadastros!$G$6:$G$90,Cadastros!$H$6:$H$90)*(1-0.18),IF($F984="Mauro José Salanti",_xlfn.XLOOKUP(AQ984,Cadastros!$G$6:$G$90,Cadastros!$H$6:$H$90)*(1-0.18),_xlfn.XLOOKUP(AQ984,Cadastros!$G$6:$G$90,Cadastros!$H$6:$H$90))))</f>
        <v/>
      </c>
      <c r="AT984" s="168" t="str">
        <f t="shared" si="206"/>
        <v/>
      </c>
      <c r="AU984" s="168" t="str">
        <f t="shared" si="207"/>
        <v/>
      </c>
      <c r="AV984" s="227"/>
      <c r="AW984" s="30"/>
      <c r="AX984" s="267"/>
      <c r="AY984" s="267"/>
      <c r="AZ984" s="29"/>
      <c r="BA984" s="30"/>
      <c r="BB984" s="23" t="str" cm="1">
        <f t="array" ref="BB984">_xlfn.IFS(AW984="SIM",SUM(K984,P984,U984,Z984,AE984,AJ984,AO984,AT984,AX984,AY984),F984&lt;&gt;"",SUM(K984,P984,U984,Z984,AE984,AJ984,,AO984,AT984),F984="","")</f>
        <v/>
      </c>
      <c r="BC984" s="211" t="str" cm="1">
        <f t="array" ref="BC984">_xlfn.IFS(E984="","",G984&lt;=E984,BB984*(1-0.03),G984&lt;(E984+8),BB984,AZ984="Boleto",BB984*(1+0.001)^DATEDIF(E984,G984,"D"),AZ984="Cheque",BB984,AZ984="Dinheiro","Alterar forma pgto")</f>
        <v/>
      </c>
      <c r="BD984" s="276" t="str" cm="1">
        <f t="array" ref="BD984">IF(F984=0," ",IF(BC984&lt;BB984,(_xlfn.IFS(AW984="SIM",SUM(L984,Q984,V984,AA984,AF984,AK984,AP984,AU984)+AX984/_xlfn.XLOOKUP(_xlfn.XLOOKUP($F984,Clientes!$B$4:$B$39,Clientes!$C$4:$C$39),Cadastros!$L$6:$L$12,Cadastros!$M$6:$M$12)+IF($F984="Bernardino Furlan",AY984/2751.92,IF($F984="Mauro José Salanti",AY984/2751.92,AY984/3356)),F984&lt;&gt;0,SUM(L984,Q984,V984,AA984,AF984,AK984,AP984,AU984)))*(1-0.03),_xlfn.IFS(AW984="SIM",SUM(L984,Q984,V984,AA984,AF984,AK984,AP984,AU984)+AX984/_xlfn.XLOOKUP(_xlfn.XLOOKUP($F984,Clientes!$B$4:$B$39,Clientes!$C$4:$C$39),Cadastros!$L$6:$L$12,Cadastros!$M$6:$M$12)+IF($F984="Bernardino Furlan",AY984/2751.92,IF($F984="Mauro José Salanti",AY984/2751.92,AY984/3356)),F984&lt;&gt;0,SUM(L984,Q984,V984,AA984,AF984,AK984,AP984,AU984))))</f>
        <v xml:space="preserve"> </v>
      </c>
      <c r="BE984" s="120"/>
      <c r="BF984" s="120"/>
      <c r="BG984" s="120"/>
    </row>
    <row r="985" spans="1:59" s="3" customFormat="1" x14ac:dyDescent="0.3">
      <c r="A985" s="15" t="str">
        <f t="shared" si="195"/>
        <v/>
      </c>
      <c r="B985" s="25"/>
      <c r="C985" s="26"/>
      <c r="D985" s="279"/>
      <c r="E985" s="27"/>
      <c r="F985" s="28"/>
      <c r="G985" s="27"/>
      <c r="H985" s="28"/>
      <c r="I985" s="28"/>
      <c r="J985" s="255" t="str">
        <f>IF(H985="","",(_xlfn.XLOOKUP(H985,Cadastros!$D$6:$D$90,Cadastros!$E$6:$E$90))*(1-_xlfn.XLOOKUP(_xlfn.XLOOKUP($F985,Clientes!$B$4:$B$39,Clientes!$C$4:$C$39),Cadastros!$L$6:$L$12,Cadastros!$N$6:$N$12)))</f>
        <v/>
      </c>
      <c r="K985" s="168" t="str">
        <f t="shared" si="196"/>
        <v/>
      </c>
      <c r="L985" s="168" t="str">
        <f>IFERROR(K985/_xlfn.XLOOKUP(_xlfn.XLOOKUP($F985,Clientes!$B$4:$B$39,Clientes!$C$4:$C$39),Cadastros!$L$6:$L$12,Cadastros!$M$6:$M$12)," ")</f>
        <v xml:space="preserve"> </v>
      </c>
      <c r="M985" s="28"/>
      <c r="N985" s="28"/>
      <c r="O985" s="255" t="str">
        <f>IF(M985="","",(_xlfn.XLOOKUP(M985,Cadastros!$D$6:$D$90,Cadastros!$E$6:$E$90))*(1-_xlfn.XLOOKUP(_xlfn.XLOOKUP($F985,Clientes!$B$4:$B$39,Clientes!$C$4:$C$39),Cadastros!$L$6:$L$12,Cadastros!$N$6:$N$12)))</f>
        <v/>
      </c>
      <c r="P985" s="168" t="str">
        <f t="shared" si="197"/>
        <v/>
      </c>
      <c r="Q985" s="168" t="str">
        <f>IFERROR(P985/_xlfn.XLOOKUP(_xlfn.XLOOKUP($F985,Clientes!$B$4:$B$39,Clientes!$C$4:$C$39),Cadastros!$L$6:$L$12,Cadastros!$M$6:$M$12)," ")</f>
        <v xml:space="preserve"> </v>
      </c>
      <c r="R985" s="28"/>
      <c r="S985" s="28"/>
      <c r="T985" s="255" t="str">
        <f>IF(R985="","",(_xlfn.XLOOKUP(R985,Cadastros!$D$6:$D$90,Cadastros!$E$6:$E$90))*(1-_xlfn.XLOOKUP(_xlfn.XLOOKUP($F985,Clientes!$B$4:$B$39,Clientes!$C$4:$C$39),Cadastros!$L$6:$L$12,Cadastros!$N$6:$N$12)))</f>
        <v/>
      </c>
      <c r="U985" s="168" t="str">
        <f t="shared" si="198"/>
        <v/>
      </c>
      <c r="V985" s="168" t="str">
        <f>IFERROR(U985/_xlfn.XLOOKUP(_xlfn.XLOOKUP($F985,Clientes!$B$4:$B$39,Clientes!$C$4:$C$39),Cadastros!$L$6:$L$12,Cadastros!$M$6:$M$12)," ")</f>
        <v xml:space="preserve"> </v>
      </c>
      <c r="W985" s="28"/>
      <c r="X985" s="28"/>
      <c r="Y985" s="255" t="str">
        <f>IF(W985="","",(_xlfn.XLOOKUP(W985,Cadastros!$D$6:$D$90,Cadastros!$E$6:$E$90))*(1-_xlfn.XLOOKUP(_xlfn.XLOOKUP($F985,Clientes!$B$4:$B$39,Clientes!$C$4:$C$39),Cadastros!$L$6:$L$12,Cadastros!$N$6:$N$12)))</f>
        <v/>
      </c>
      <c r="Z985" s="168" t="str">
        <f t="shared" si="199"/>
        <v/>
      </c>
      <c r="AA985" s="168" t="str">
        <f>IFERROR(Z985/_xlfn.XLOOKUP(_xlfn.XLOOKUP($F985,Clientes!$B$4:$B$39,Clientes!$C$4:$C$39),Cadastros!$L$6:$L$12,Cadastros!$M$6:$M$12)," ")</f>
        <v xml:space="preserve"> </v>
      </c>
      <c r="AB985" s="28"/>
      <c r="AC985" s="28"/>
      <c r="AD985" s="20" t="str">
        <f>IF(AB985="","",IF($F985="Bernardino Furlan",_xlfn.XLOOKUP(AB985,Cadastros!$G$6:$G$90,Cadastros!$H$6:$H$90)*(1-0.18),IF($F985="Mauro José Salanti",_xlfn.XLOOKUP(AB985,Cadastros!$G$6:$G$90,Cadastros!$H$6:$H$90)*(1-0.18),_xlfn.XLOOKUP(AB985,Cadastros!$G$6:$G$90,Cadastros!$H$6:$H$90))))</f>
        <v/>
      </c>
      <c r="AE985" s="168" t="str">
        <f t="shared" si="200"/>
        <v/>
      </c>
      <c r="AF985" s="168" t="str">
        <f t="shared" si="201"/>
        <v/>
      </c>
      <c r="AG985" s="28"/>
      <c r="AH985" s="28"/>
      <c r="AI985" s="20" t="str">
        <f>IF(AG985="","",IF($F985="Bernardino Furlan",_xlfn.XLOOKUP(AG985,Cadastros!$G$6:$G$90,Cadastros!$H$6:$H$90)*(1-0.18),IF($F985="Mauro José Salanti",_xlfn.XLOOKUP(AG985,Cadastros!$G$6:$G$90,Cadastros!$H$6:$H$90)*(1-0.18),_xlfn.XLOOKUP(AG985,Cadastros!$G$6:$G$90,Cadastros!$H$6:$H$90))))</f>
        <v/>
      </c>
      <c r="AJ985" s="168" t="str">
        <f t="shared" si="202"/>
        <v/>
      </c>
      <c r="AK985" s="168" t="str">
        <f t="shared" si="203"/>
        <v/>
      </c>
      <c r="AL985" s="28"/>
      <c r="AM985" s="28"/>
      <c r="AN985" s="20" t="str">
        <f>IF(AL985="","",IF($F985="Bernardino Furlan",_xlfn.XLOOKUP(AL985,Cadastros!$G$6:$G$90,Cadastros!$H$6:$H$90)*(1-0.18),IF($F985="Mauro José Salanti",_xlfn.XLOOKUP(AL985,Cadastros!$G$6:$G$90,Cadastros!$H$6:$H$90)*(1-0.18),_xlfn.XLOOKUP(AL985,Cadastros!$G$6:$G$90,Cadastros!$H$6:$H$90))))</f>
        <v/>
      </c>
      <c r="AO985" s="168" t="str">
        <f t="shared" si="204"/>
        <v/>
      </c>
      <c r="AP985" s="168" t="str">
        <f t="shared" si="205"/>
        <v/>
      </c>
      <c r="AQ985" s="28"/>
      <c r="AR985" s="28"/>
      <c r="AS985" s="20" t="str">
        <f>IF(AQ985="","",IF($F985="Bernardino Furlan",_xlfn.XLOOKUP(AQ985,Cadastros!$G$6:$G$90,Cadastros!$H$6:$H$90)*(1-0.18),IF($F985="Mauro José Salanti",_xlfn.XLOOKUP(AQ985,Cadastros!$G$6:$G$90,Cadastros!$H$6:$H$90)*(1-0.18),_xlfn.XLOOKUP(AQ985,Cadastros!$G$6:$G$90,Cadastros!$H$6:$H$90))))</f>
        <v/>
      </c>
      <c r="AT985" s="168" t="str">
        <f t="shared" si="206"/>
        <v/>
      </c>
      <c r="AU985" s="168" t="str">
        <f t="shared" si="207"/>
        <v/>
      </c>
      <c r="AV985" s="227"/>
      <c r="AW985" s="30"/>
      <c r="AX985" s="267"/>
      <c r="AY985" s="267"/>
      <c r="AZ985" s="29"/>
      <c r="BA985" s="30"/>
      <c r="BB985" s="23" t="str" cm="1">
        <f t="array" ref="BB985">_xlfn.IFS(AW985="SIM",SUM(K985,P985,U985,Z985,AE985,AJ985,AO985,AT985,AX985,AY985),F985&lt;&gt;"",SUM(K985,P985,U985,Z985,AE985,AJ985,,AO985,AT985),F985="","")</f>
        <v/>
      </c>
      <c r="BC985" s="211" t="str" cm="1">
        <f t="array" ref="BC985">_xlfn.IFS(E985="","",G985&lt;=E985,BB985*(1-0.03),G985&lt;(E985+8),BB985,AZ985="Boleto",BB985*(1+0.001)^DATEDIF(E985,G985,"D"),AZ985="Cheque",BB985,AZ985="Dinheiro","Alterar forma pgto")</f>
        <v/>
      </c>
      <c r="BD985" s="276" t="str" cm="1">
        <f t="array" ref="BD985">IF(F985=0," ",IF(BC985&lt;BB985,(_xlfn.IFS(AW985="SIM",SUM(L985,Q985,V985,AA985,AF985,AK985,AP985,AU985)+AX985/_xlfn.XLOOKUP(_xlfn.XLOOKUP($F985,Clientes!$B$4:$B$39,Clientes!$C$4:$C$39),Cadastros!$L$6:$L$12,Cadastros!$M$6:$M$12)+IF($F985="Bernardino Furlan",AY985/2751.92,IF($F985="Mauro José Salanti",AY985/2751.92,AY985/3356)),F985&lt;&gt;0,SUM(L985,Q985,V985,AA985,AF985,AK985,AP985,AU985)))*(1-0.03),_xlfn.IFS(AW985="SIM",SUM(L985,Q985,V985,AA985,AF985,AK985,AP985,AU985)+AX985/_xlfn.XLOOKUP(_xlfn.XLOOKUP($F985,Clientes!$B$4:$B$39,Clientes!$C$4:$C$39),Cadastros!$L$6:$L$12,Cadastros!$M$6:$M$12)+IF($F985="Bernardino Furlan",AY985/2751.92,IF($F985="Mauro José Salanti",AY985/2751.92,AY985/3356)),F985&lt;&gt;0,SUM(L985,Q985,V985,AA985,AF985,AK985,AP985,AU985))))</f>
        <v xml:space="preserve"> </v>
      </c>
      <c r="BE985" s="120"/>
      <c r="BF985" s="120"/>
      <c r="BG985" s="120"/>
    </row>
    <row r="986" spans="1:59" s="3" customFormat="1" x14ac:dyDescent="0.3">
      <c r="A986" s="15" t="str">
        <f t="shared" si="195"/>
        <v/>
      </c>
      <c r="B986" s="25"/>
      <c r="C986" s="26"/>
      <c r="D986" s="279"/>
      <c r="E986" s="27"/>
      <c r="F986" s="28"/>
      <c r="G986" s="27"/>
      <c r="H986" s="28"/>
      <c r="I986" s="28"/>
      <c r="J986" s="255" t="str">
        <f>IF(H986="","",(_xlfn.XLOOKUP(H986,Cadastros!$D$6:$D$90,Cadastros!$E$6:$E$90))*(1-_xlfn.XLOOKUP(_xlfn.XLOOKUP($F986,Clientes!$B$4:$B$39,Clientes!$C$4:$C$39),Cadastros!$L$6:$L$12,Cadastros!$N$6:$N$12)))</f>
        <v/>
      </c>
      <c r="K986" s="168" t="str">
        <f t="shared" si="196"/>
        <v/>
      </c>
      <c r="L986" s="168" t="str">
        <f>IFERROR(K986/_xlfn.XLOOKUP(_xlfn.XLOOKUP($F986,Clientes!$B$4:$B$39,Clientes!$C$4:$C$39),Cadastros!$L$6:$L$12,Cadastros!$M$6:$M$12)," ")</f>
        <v xml:space="preserve"> </v>
      </c>
      <c r="M986" s="28"/>
      <c r="N986" s="28"/>
      <c r="O986" s="255" t="str">
        <f>IF(M986="","",(_xlfn.XLOOKUP(M986,Cadastros!$D$6:$D$90,Cadastros!$E$6:$E$90))*(1-_xlfn.XLOOKUP(_xlfn.XLOOKUP($F986,Clientes!$B$4:$B$39,Clientes!$C$4:$C$39),Cadastros!$L$6:$L$12,Cadastros!$N$6:$N$12)))</f>
        <v/>
      </c>
      <c r="P986" s="168" t="str">
        <f t="shared" si="197"/>
        <v/>
      </c>
      <c r="Q986" s="168" t="str">
        <f>IFERROR(P986/_xlfn.XLOOKUP(_xlfn.XLOOKUP($F986,Clientes!$B$4:$B$39,Clientes!$C$4:$C$39),Cadastros!$L$6:$L$12,Cadastros!$M$6:$M$12)," ")</f>
        <v xml:space="preserve"> </v>
      </c>
      <c r="R986" s="28"/>
      <c r="S986" s="28"/>
      <c r="T986" s="255" t="str">
        <f>IF(R986="","",(_xlfn.XLOOKUP(R986,Cadastros!$D$6:$D$90,Cadastros!$E$6:$E$90))*(1-_xlfn.XLOOKUP(_xlfn.XLOOKUP($F986,Clientes!$B$4:$B$39,Clientes!$C$4:$C$39),Cadastros!$L$6:$L$12,Cadastros!$N$6:$N$12)))</f>
        <v/>
      </c>
      <c r="U986" s="168" t="str">
        <f t="shared" si="198"/>
        <v/>
      </c>
      <c r="V986" s="168" t="str">
        <f>IFERROR(U986/_xlfn.XLOOKUP(_xlfn.XLOOKUP($F986,Clientes!$B$4:$B$39,Clientes!$C$4:$C$39),Cadastros!$L$6:$L$12,Cadastros!$M$6:$M$12)," ")</f>
        <v xml:space="preserve"> </v>
      </c>
      <c r="W986" s="28"/>
      <c r="X986" s="28"/>
      <c r="Y986" s="255" t="str">
        <f>IF(W986="","",(_xlfn.XLOOKUP(W986,Cadastros!$D$6:$D$90,Cadastros!$E$6:$E$90))*(1-_xlfn.XLOOKUP(_xlfn.XLOOKUP($F986,Clientes!$B$4:$B$39,Clientes!$C$4:$C$39),Cadastros!$L$6:$L$12,Cadastros!$N$6:$N$12)))</f>
        <v/>
      </c>
      <c r="Z986" s="168" t="str">
        <f t="shared" si="199"/>
        <v/>
      </c>
      <c r="AA986" s="168" t="str">
        <f>IFERROR(Z986/_xlfn.XLOOKUP(_xlfn.XLOOKUP($F986,Clientes!$B$4:$B$39,Clientes!$C$4:$C$39),Cadastros!$L$6:$L$12,Cadastros!$M$6:$M$12)," ")</f>
        <v xml:space="preserve"> </v>
      </c>
      <c r="AB986" s="28"/>
      <c r="AC986" s="28"/>
      <c r="AD986" s="20" t="str">
        <f>IF(AB986="","",IF($F986="Bernardino Furlan",_xlfn.XLOOKUP(AB986,Cadastros!$G$6:$G$90,Cadastros!$H$6:$H$90)*(1-0.18),IF($F986="Mauro José Salanti",_xlfn.XLOOKUP(AB986,Cadastros!$G$6:$G$90,Cadastros!$H$6:$H$90)*(1-0.18),_xlfn.XLOOKUP(AB986,Cadastros!$G$6:$G$90,Cadastros!$H$6:$H$90))))</f>
        <v/>
      </c>
      <c r="AE986" s="168" t="str">
        <f t="shared" si="200"/>
        <v/>
      </c>
      <c r="AF986" s="168" t="str">
        <f t="shared" si="201"/>
        <v/>
      </c>
      <c r="AG986" s="28"/>
      <c r="AH986" s="28"/>
      <c r="AI986" s="20" t="str">
        <f>IF(AG986="","",IF($F986="Bernardino Furlan",_xlfn.XLOOKUP(AG986,Cadastros!$G$6:$G$90,Cadastros!$H$6:$H$90)*(1-0.18),IF($F986="Mauro José Salanti",_xlfn.XLOOKUP(AG986,Cadastros!$G$6:$G$90,Cadastros!$H$6:$H$90)*(1-0.18),_xlfn.XLOOKUP(AG986,Cadastros!$G$6:$G$90,Cadastros!$H$6:$H$90))))</f>
        <v/>
      </c>
      <c r="AJ986" s="168" t="str">
        <f t="shared" si="202"/>
        <v/>
      </c>
      <c r="AK986" s="168" t="str">
        <f t="shared" si="203"/>
        <v/>
      </c>
      <c r="AL986" s="28"/>
      <c r="AM986" s="28"/>
      <c r="AN986" s="20" t="str">
        <f>IF(AL986="","",IF($F986="Bernardino Furlan",_xlfn.XLOOKUP(AL986,Cadastros!$G$6:$G$90,Cadastros!$H$6:$H$90)*(1-0.18),IF($F986="Mauro José Salanti",_xlfn.XLOOKUP(AL986,Cadastros!$G$6:$G$90,Cadastros!$H$6:$H$90)*(1-0.18),_xlfn.XLOOKUP(AL986,Cadastros!$G$6:$G$90,Cadastros!$H$6:$H$90))))</f>
        <v/>
      </c>
      <c r="AO986" s="168" t="str">
        <f t="shared" si="204"/>
        <v/>
      </c>
      <c r="AP986" s="168" t="str">
        <f t="shared" si="205"/>
        <v/>
      </c>
      <c r="AQ986" s="28"/>
      <c r="AR986" s="28"/>
      <c r="AS986" s="20" t="str">
        <f>IF(AQ986="","",IF($F986="Bernardino Furlan",_xlfn.XLOOKUP(AQ986,Cadastros!$G$6:$G$90,Cadastros!$H$6:$H$90)*(1-0.18),IF($F986="Mauro José Salanti",_xlfn.XLOOKUP(AQ986,Cadastros!$G$6:$G$90,Cadastros!$H$6:$H$90)*(1-0.18),_xlfn.XLOOKUP(AQ986,Cadastros!$G$6:$G$90,Cadastros!$H$6:$H$90))))</f>
        <v/>
      </c>
      <c r="AT986" s="168" t="str">
        <f t="shared" si="206"/>
        <v/>
      </c>
      <c r="AU986" s="168" t="str">
        <f t="shared" si="207"/>
        <v/>
      </c>
      <c r="AV986" s="227"/>
      <c r="AW986" s="30"/>
      <c r="AX986" s="267"/>
      <c r="AY986" s="267"/>
      <c r="AZ986" s="29"/>
      <c r="BA986" s="30"/>
      <c r="BB986" s="23" t="str" cm="1">
        <f t="array" ref="BB986">_xlfn.IFS(AW986="SIM",SUM(K986,P986,U986,Z986,AE986,AJ986,AO986,AT986,AX986,AY986),F986&lt;&gt;"",SUM(K986,P986,U986,Z986,AE986,AJ986,,AO986,AT986),F986="","")</f>
        <v/>
      </c>
      <c r="BC986" s="211" t="str" cm="1">
        <f t="array" ref="BC986">_xlfn.IFS(E986="","",G986&lt;=E986,BB986*(1-0.03),G986&lt;(E986+8),BB986,AZ986="Boleto",BB986*(1+0.001)^DATEDIF(E986,G986,"D"),AZ986="Cheque",BB986,AZ986="Dinheiro","Alterar forma pgto")</f>
        <v/>
      </c>
      <c r="BD986" s="276" t="str" cm="1">
        <f t="array" ref="BD986">IF(F986=0," ",IF(BC986&lt;BB986,(_xlfn.IFS(AW986="SIM",SUM(L986,Q986,V986,AA986,AF986,AK986,AP986,AU986)+AX986/_xlfn.XLOOKUP(_xlfn.XLOOKUP($F986,Clientes!$B$4:$B$39,Clientes!$C$4:$C$39),Cadastros!$L$6:$L$12,Cadastros!$M$6:$M$12)+IF($F986="Bernardino Furlan",AY986/2751.92,IF($F986="Mauro José Salanti",AY986/2751.92,AY986/3356)),F986&lt;&gt;0,SUM(L986,Q986,V986,AA986,AF986,AK986,AP986,AU986)))*(1-0.03),_xlfn.IFS(AW986="SIM",SUM(L986,Q986,V986,AA986,AF986,AK986,AP986,AU986)+AX986/_xlfn.XLOOKUP(_xlfn.XLOOKUP($F986,Clientes!$B$4:$B$39,Clientes!$C$4:$C$39),Cadastros!$L$6:$L$12,Cadastros!$M$6:$M$12)+IF($F986="Bernardino Furlan",AY986/2751.92,IF($F986="Mauro José Salanti",AY986/2751.92,AY986/3356)),F986&lt;&gt;0,SUM(L986,Q986,V986,AA986,AF986,AK986,AP986,AU986))))</f>
        <v xml:space="preserve"> </v>
      </c>
      <c r="BE986" s="120"/>
      <c r="BF986" s="120"/>
      <c r="BG986" s="120"/>
    </row>
    <row r="987" spans="1:59" s="3" customFormat="1" x14ac:dyDescent="0.3">
      <c r="A987" s="15" t="str">
        <f t="shared" si="195"/>
        <v/>
      </c>
      <c r="B987" s="25"/>
      <c r="C987" s="26"/>
      <c r="D987" s="279"/>
      <c r="E987" s="27"/>
      <c r="F987" s="28"/>
      <c r="G987" s="27"/>
      <c r="H987" s="28"/>
      <c r="I987" s="28"/>
      <c r="J987" s="255" t="str">
        <f>IF(H987="","",(_xlfn.XLOOKUP(H987,Cadastros!$D$6:$D$90,Cadastros!$E$6:$E$90))*(1-_xlfn.XLOOKUP(_xlfn.XLOOKUP($F987,Clientes!$B$4:$B$39,Clientes!$C$4:$C$39),Cadastros!$L$6:$L$12,Cadastros!$N$6:$N$12)))</f>
        <v/>
      </c>
      <c r="K987" s="168" t="str">
        <f t="shared" si="196"/>
        <v/>
      </c>
      <c r="L987" s="168" t="str">
        <f>IFERROR(K987/_xlfn.XLOOKUP(_xlfn.XLOOKUP($F987,Clientes!$B$4:$B$39,Clientes!$C$4:$C$39),Cadastros!$L$6:$L$12,Cadastros!$M$6:$M$12)," ")</f>
        <v xml:space="preserve"> </v>
      </c>
      <c r="M987" s="28"/>
      <c r="N987" s="28"/>
      <c r="O987" s="255" t="str">
        <f>IF(M987="","",(_xlfn.XLOOKUP(M987,Cadastros!$D$6:$D$90,Cadastros!$E$6:$E$90))*(1-_xlfn.XLOOKUP(_xlfn.XLOOKUP($F987,Clientes!$B$4:$B$39,Clientes!$C$4:$C$39),Cadastros!$L$6:$L$12,Cadastros!$N$6:$N$12)))</f>
        <v/>
      </c>
      <c r="P987" s="168" t="str">
        <f t="shared" si="197"/>
        <v/>
      </c>
      <c r="Q987" s="168" t="str">
        <f>IFERROR(P987/_xlfn.XLOOKUP(_xlfn.XLOOKUP($F987,Clientes!$B$4:$B$39,Clientes!$C$4:$C$39),Cadastros!$L$6:$L$12,Cadastros!$M$6:$M$12)," ")</f>
        <v xml:space="preserve"> </v>
      </c>
      <c r="R987" s="28"/>
      <c r="S987" s="28"/>
      <c r="T987" s="255" t="str">
        <f>IF(R987="","",(_xlfn.XLOOKUP(R987,Cadastros!$D$6:$D$90,Cadastros!$E$6:$E$90))*(1-_xlfn.XLOOKUP(_xlfn.XLOOKUP($F987,Clientes!$B$4:$B$39,Clientes!$C$4:$C$39),Cadastros!$L$6:$L$12,Cadastros!$N$6:$N$12)))</f>
        <v/>
      </c>
      <c r="U987" s="168" t="str">
        <f t="shared" si="198"/>
        <v/>
      </c>
      <c r="V987" s="168" t="str">
        <f>IFERROR(U987/_xlfn.XLOOKUP(_xlfn.XLOOKUP($F987,Clientes!$B$4:$B$39,Clientes!$C$4:$C$39),Cadastros!$L$6:$L$12,Cadastros!$M$6:$M$12)," ")</f>
        <v xml:space="preserve"> </v>
      </c>
      <c r="W987" s="28"/>
      <c r="X987" s="28"/>
      <c r="Y987" s="255" t="str">
        <f>IF(W987="","",(_xlfn.XLOOKUP(W987,Cadastros!$D$6:$D$90,Cadastros!$E$6:$E$90))*(1-_xlfn.XLOOKUP(_xlfn.XLOOKUP($F987,Clientes!$B$4:$B$39,Clientes!$C$4:$C$39),Cadastros!$L$6:$L$12,Cadastros!$N$6:$N$12)))</f>
        <v/>
      </c>
      <c r="Z987" s="168" t="str">
        <f t="shared" si="199"/>
        <v/>
      </c>
      <c r="AA987" s="168" t="str">
        <f>IFERROR(Z987/_xlfn.XLOOKUP(_xlfn.XLOOKUP($F987,Clientes!$B$4:$B$39,Clientes!$C$4:$C$39),Cadastros!$L$6:$L$12,Cadastros!$M$6:$M$12)," ")</f>
        <v xml:space="preserve"> </v>
      </c>
      <c r="AB987" s="28"/>
      <c r="AC987" s="28"/>
      <c r="AD987" s="20" t="str">
        <f>IF(AB987="","",IF($F987="Bernardino Furlan",_xlfn.XLOOKUP(AB987,Cadastros!$G$6:$G$90,Cadastros!$H$6:$H$90)*(1-0.18),IF($F987="Mauro José Salanti",_xlfn.XLOOKUP(AB987,Cadastros!$G$6:$G$90,Cadastros!$H$6:$H$90)*(1-0.18),_xlfn.XLOOKUP(AB987,Cadastros!$G$6:$G$90,Cadastros!$H$6:$H$90))))</f>
        <v/>
      </c>
      <c r="AE987" s="168" t="str">
        <f t="shared" si="200"/>
        <v/>
      </c>
      <c r="AF987" s="168" t="str">
        <f t="shared" si="201"/>
        <v/>
      </c>
      <c r="AG987" s="28"/>
      <c r="AH987" s="28"/>
      <c r="AI987" s="20" t="str">
        <f>IF(AG987="","",IF($F987="Bernardino Furlan",_xlfn.XLOOKUP(AG987,Cadastros!$G$6:$G$90,Cadastros!$H$6:$H$90)*(1-0.18),IF($F987="Mauro José Salanti",_xlfn.XLOOKUP(AG987,Cadastros!$G$6:$G$90,Cadastros!$H$6:$H$90)*(1-0.18),_xlfn.XLOOKUP(AG987,Cadastros!$G$6:$G$90,Cadastros!$H$6:$H$90))))</f>
        <v/>
      </c>
      <c r="AJ987" s="168" t="str">
        <f t="shared" si="202"/>
        <v/>
      </c>
      <c r="AK987" s="168" t="str">
        <f t="shared" si="203"/>
        <v/>
      </c>
      <c r="AL987" s="28"/>
      <c r="AM987" s="28"/>
      <c r="AN987" s="20" t="str">
        <f>IF(AL987="","",IF($F987="Bernardino Furlan",_xlfn.XLOOKUP(AL987,Cadastros!$G$6:$G$90,Cadastros!$H$6:$H$90)*(1-0.18),IF($F987="Mauro José Salanti",_xlfn.XLOOKUP(AL987,Cadastros!$G$6:$G$90,Cadastros!$H$6:$H$90)*(1-0.18),_xlfn.XLOOKUP(AL987,Cadastros!$G$6:$G$90,Cadastros!$H$6:$H$90))))</f>
        <v/>
      </c>
      <c r="AO987" s="168" t="str">
        <f t="shared" si="204"/>
        <v/>
      </c>
      <c r="AP987" s="168" t="str">
        <f t="shared" si="205"/>
        <v/>
      </c>
      <c r="AQ987" s="28"/>
      <c r="AR987" s="28"/>
      <c r="AS987" s="20" t="str">
        <f>IF(AQ987="","",IF($F987="Bernardino Furlan",_xlfn.XLOOKUP(AQ987,Cadastros!$G$6:$G$90,Cadastros!$H$6:$H$90)*(1-0.18),IF($F987="Mauro José Salanti",_xlfn.XLOOKUP(AQ987,Cadastros!$G$6:$G$90,Cadastros!$H$6:$H$90)*(1-0.18),_xlfn.XLOOKUP(AQ987,Cadastros!$G$6:$G$90,Cadastros!$H$6:$H$90))))</f>
        <v/>
      </c>
      <c r="AT987" s="168" t="str">
        <f t="shared" si="206"/>
        <v/>
      </c>
      <c r="AU987" s="168" t="str">
        <f t="shared" si="207"/>
        <v/>
      </c>
      <c r="AV987" s="227"/>
      <c r="AW987" s="30"/>
      <c r="AX987" s="267"/>
      <c r="AY987" s="267"/>
      <c r="AZ987" s="29"/>
      <c r="BA987" s="30"/>
      <c r="BB987" s="23" t="str" cm="1">
        <f t="array" ref="BB987">_xlfn.IFS(AW987="SIM",SUM(K987,P987,U987,Z987,AE987,AJ987,AO987,AT987,AX987,AY987),F987&lt;&gt;"",SUM(K987,P987,U987,Z987,AE987,AJ987,,AO987,AT987),F987="","")</f>
        <v/>
      </c>
      <c r="BC987" s="211" t="str" cm="1">
        <f t="array" ref="BC987">_xlfn.IFS(E987="","",G987&lt;=E987,BB987*(1-0.03),G987&lt;(E987+8),BB987,AZ987="Boleto",BB987*(1+0.001)^DATEDIF(E987,G987,"D"),AZ987="Cheque",BB987,AZ987="Dinheiro","Alterar forma pgto")</f>
        <v/>
      </c>
      <c r="BD987" s="276" t="str" cm="1">
        <f t="array" ref="BD987">IF(F987=0," ",IF(BC987&lt;BB987,(_xlfn.IFS(AW987="SIM",SUM(L987,Q987,V987,AA987,AF987,AK987,AP987,AU987)+AX987/_xlfn.XLOOKUP(_xlfn.XLOOKUP($F987,Clientes!$B$4:$B$39,Clientes!$C$4:$C$39),Cadastros!$L$6:$L$12,Cadastros!$M$6:$M$12)+IF($F987="Bernardino Furlan",AY987/2751.92,IF($F987="Mauro José Salanti",AY987/2751.92,AY987/3356)),F987&lt;&gt;0,SUM(L987,Q987,V987,AA987,AF987,AK987,AP987,AU987)))*(1-0.03),_xlfn.IFS(AW987="SIM",SUM(L987,Q987,V987,AA987,AF987,AK987,AP987,AU987)+AX987/_xlfn.XLOOKUP(_xlfn.XLOOKUP($F987,Clientes!$B$4:$B$39,Clientes!$C$4:$C$39),Cadastros!$L$6:$L$12,Cadastros!$M$6:$M$12)+IF($F987="Bernardino Furlan",AY987/2751.92,IF($F987="Mauro José Salanti",AY987/2751.92,AY987/3356)),F987&lt;&gt;0,SUM(L987,Q987,V987,AA987,AF987,AK987,AP987,AU987))))</f>
        <v xml:space="preserve"> </v>
      </c>
      <c r="BE987" s="120"/>
      <c r="BF987" s="120"/>
      <c r="BG987" s="120"/>
    </row>
    <row r="988" spans="1:59" s="3" customFormat="1" x14ac:dyDescent="0.3">
      <c r="A988" s="15" t="str">
        <f t="shared" si="195"/>
        <v/>
      </c>
      <c r="B988" s="25"/>
      <c r="C988" s="26"/>
      <c r="D988" s="279"/>
      <c r="E988" s="27"/>
      <c r="F988" s="28"/>
      <c r="G988" s="27"/>
      <c r="H988" s="28"/>
      <c r="I988" s="28"/>
      <c r="J988" s="255" t="str">
        <f>IF(H988="","",(_xlfn.XLOOKUP(H988,Cadastros!$D$6:$D$90,Cadastros!$E$6:$E$90))*(1-_xlfn.XLOOKUP(_xlfn.XLOOKUP($F988,Clientes!$B$4:$B$39,Clientes!$C$4:$C$39),Cadastros!$L$6:$L$12,Cadastros!$N$6:$N$12)))</f>
        <v/>
      </c>
      <c r="K988" s="168" t="str">
        <f t="shared" si="196"/>
        <v/>
      </c>
      <c r="L988" s="168" t="str">
        <f>IFERROR(K988/_xlfn.XLOOKUP(_xlfn.XLOOKUP($F988,Clientes!$B$4:$B$39,Clientes!$C$4:$C$39),Cadastros!$L$6:$L$12,Cadastros!$M$6:$M$12)," ")</f>
        <v xml:space="preserve"> </v>
      </c>
      <c r="M988" s="28"/>
      <c r="N988" s="28"/>
      <c r="O988" s="255" t="str">
        <f>IF(M988="","",(_xlfn.XLOOKUP(M988,Cadastros!$D$6:$D$90,Cadastros!$E$6:$E$90))*(1-_xlfn.XLOOKUP(_xlfn.XLOOKUP($F988,Clientes!$B$4:$B$39,Clientes!$C$4:$C$39),Cadastros!$L$6:$L$12,Cadastros!$N$6:$N$12)))</f>
        <v/>
      </c>
      <c r="P988" s="168" t="str">
        <f t="shared" si="197"/>
        <v/>
      </c>
      <c r="Q988" s="168" t="str">
        <f>IFERROR(P988/_xlfn.XLOOKUP(_xlfn.XLOOKUP($F988,Clientes!$B$4:$B$39,Clientes!$C$4:$C$39),Cadastros!$L$6:$L$12,Cadastros!$M$6:$M$12)," ")</f>
        <v xml:space="preserve"> </v>
      </c>
      <c r="R988" s="28"/>
      <c r="S988" s="28"/>
      <c r="T988" s="255" t="str">
        <f>IF(R988="","",(_xlfn.XLOOKUP(R988,Cadastros!$D$6:$D$90,Cadastros!$E$6:$E$90))*(1-_xlfn.XLOOKUP(_xlfn.XLOOKUP($F988,Clientes!$B$4:$B$39,Clientes!$C$4:$C$39),Cadastros!$L$6:$L$12,Cadastros!$N$6:$N$12)))</f>
        <v/>
      </c>
      <c r="U988" s="168" t="str">
        <f t="shared" si="198"/>
        <v/>
      </c>
      <c r="V988" s="168" t="str">
        <f>IFERROR(U988/_xlfn.XLOOKUP(_xlfn.XLOOKUP($F988,Clientes!$B$4:$B$39,Clientes!$C$4:$C$39),Cadastros!$L$6:$L$12,Cadastros!$M$6:$M$12)," ")</f>
        <v xml:space="preserve"> </v>
      </c>
      <c r="W988" s="28"/>
      <c r="X988" s="28"/>
      <c r="Y988" s="255" t="str">
        <f>IF(W988="","",(_xlfn.XLOOKUP(W988,Cadastros!$D$6:$D$90,Cadastros!$E$6:$E$90))*(1-_xlfn.XLOOKUP(_xlfn.XLOOKUP($F988,Clientes!$B$4:$B$39,Clientes!$C$4:$C$39),Cadastros!$L$6:$L$12,Cadastros!$N$6:$N$12)))</f>
        <v/>
      </c>
      <c r="Z988" s="168" t="str">
        <f t="shared" si="199"/>
        <v/>
      </c>
      <c r="AA988" s="168" t="str">
        <f>IFERROR(Z988/_xlfn.XLOOKUP(_xlfn.XLOOKUP($F988,Clientes!$B$4:$B$39,Clientes!$C$4:$C$39),Cadastros!$L$6:$L$12,Cadastros!$M$6:$M$12)," ")</f>
        <v xml:space="preserve"> </v>
      </c>
      <c r="AB988" s="28"/>
      <c r="AC988" s="28"/>
      <c r="AD988" s="20" t="str">
        <f>IF(AB988="","",IF($F988="Bernardino Furlan",_xlfn.XLOOKUP(AB988,Cadastros!$G$6:$G$90,Cadastros!$H$6:$H$90)*(1-0.18),IF($F988="Mauro José Salanti",_xlfn.XLOOKUP(AB988,Cadastros!$G$6:$G$90,Cadastros!$H$6:$H$90)*(1-0.18),_xlfn.XLOOKUP(AB988,Cadastros!$G$6:$G$90,Cadastros!$H$6:$H$90))))</f>
        <v/>
      </c>
      <c r="AE988" s="168" t="str">
        <f t="shared" si="200"/>
        <v/>
      </c>
      <c r="AF988" s="168" t="str">
        <f t="shared" si="201"/>
        <v/>
      </c>
      <c r="AG988" s="28"/>
      <c r="AH988" s="28"/>
      <c r="AI988" s="20" t="str">
        <f>IF(AG988="","",IF($F988="Bernardino Furlan",_xlfn.XLOOKUP(AG988,Cadastros!$G$6:$G$90,Cadastros!$H$6:$H$90)*(1-0.18),IF($F988="Mauro José Salanti",_xlfn.XLOOKUP(AG988,Cadastros!$G$6:$G$90,Cadastros!$H$6:$H$90)*(1-0.18),_xlfn.XLOOKUP(AG988,Cadastros!$G$6:$G$90,Cadastros!$H$6:$H$90))))</f>
        <v/>
      </c>
      <c r="AJ988" s="168" t="str">
        <f t="shared" si="202"/>
        <v/>
      </c>
      <c r="AK988" s="168" t="str">
        <f t="shared" si="203"/>
        <v/>
      </c>
      <c r="AL988" s="28"/>
      <c r="AM988" s="28"/>
      <c r="AN988" s="20" t="str">
        <f>IF(AL988="","",IF($F988="Bernardino Furlan",_xlfn.XLOOKUP(AL988,Cadastros!$G$6:$G$90,Cadastros!$H$6:$H$90)*(1-0.18),IF($F988="Mauro José Salanti",_xlfn.XLOOKUP(AL988,Cadastros!$G$6:$G$90,Cadastros!$H$6:$H$90)*(1-0.18),_xlfn.XLOOKUP(AL988,Cadastros!$G$6:$G$90,Cadastros!$H$6:$H$90))))</f>
        <v/>
      </c>
      <c r="AO988" s="168" t="str">
        <f t="shared" si="204"/>
        <v/>
      </c>
      <c r="AP988" s="168" t="str">
        <f t="shared" si="205"/>
        <v/>
      </c>
      <c r="AQ988" s="28"/>
      <c r="AR988" s="28"/>
      <c r="AS988" s="20" t="str">
        <f>IF(AQ988="","",IF($F988="Bernardino Furlan",_xlfn.XLOOKUP(AQ988,Cadastros!$G$6:$G$90,Cadastros!$H$6:$H$90)*(1-0.18),IF($F988="Mauro José Salanti",_xlfn.XLOOKUP(AQ988,Cadastros!$G$6:$G$90,Cadastros!$H$6:$H$90)*(1-0.18),_xlfn.XLOOKUP(AQ988,Cadastros!$G$6:$G$90,Cadastros!$H$6:$H$90))))</f>
        <v/>
      </c>
      <c r="AT988" s="168" t="str">
        <f t="shared" si="206"/>
        <v/>
      </c>
      <c r="AU988" s="168" t="str">
        <f t="shared" si="207"/>
        <v/>
      </c>
      <c r="AV988" s="227"/>
      <c r="AW988" s="30"/>
      <c r="AX988" s="267"/>
      <c r="AY988" s="267"/>
      <c r="AZ988" s="29"/>
      <c r="BA988" s="30"/>
      <c r="BB988" s="23" t="str" cm="1">
        <f t="array" ref="BB988">_xlfn.IFS(AW988="SIM",SUM(K988,P988,U988,Z988,AE988,AJ988,AO988,AT988,AX988,AY988),F988&lt;&gt;"",SUM(K988,P988,U988,Z988,AE988,AJ988,,AO988,AT988),F988="","")</f>
        <v/>
      </c>
      <c r="BC988" s="211" t="str" cm="1">
        <f t="array" ref="BC988">_xlfn.IFS(E988="","",G988&lt;=E988,BB988*(1-0.03),G988&lt;(E988+8),BB988,AZ988="Boleto",BB988*(1+0.001)^DATEDIF(E988,G988,"D"),AZ988="Cheque",BB988,AZ988="Dinheiro","Alterar forma pgto")</f>
        <v/>
      </c>
      <c r="BD988" s="276" t="str" cm="1">
        <f t="array" ref="BD988">IF(F988=0," ",IF(BC988&lt;BB988,(_xlfn.IFS(AW988="SIM",SUM(L988,Q988,V988,AA988,AF988,AK988,AP988,AU988)+AX988/_xlfn.XLOOKUP(_xlfn.XLOOKUP($F988,Clientes!$B$4:$B$39,Clientes!$C$4:$C$39),Cadastros!$L$6:$L$12,Cadastros!$M$6:$M$12)+IF($F988="Bernardino Furlan",AY988/2751.92,IF($F988="Mauro José Salanti",AY988/2751.92,AY988/3356)),F988&lt;&gt;0,SUM(L988,Q988,V988,AA988,AF988,AK988,AP988,AU988)))*(1-0.03),_xlfn.IFS(AW988="SIM",SUM(L988,Q988,V988,AA988,AF988,AK988,AP988,AU988)+AX988/_xlfn.XLOOKUP(_xlfn.XLOOKUP($F988,Clientes!$B$4:$B$39,Clientes!$C$4:$C$39),Cadastros!$L$6:$L$12,Cadastros!$M$6:$M$12)+IF($F988="Bernardino Furlan",AY988/2751.92,IF($F988="Mauro José Salanti",AY988/2751.92,AY988/3356)),F988&lt;&gt;0,SUM(L988,Q988,V988,AA988,AF988,AK988,AP988,AU988))))</f>
        <v xml:space="preserve"> </v>
      </c>
      <c r="BE988" s="120"/>
      <c r="BF988" s="120"/>
      <c r="BG988" s="120"/>
    </row>
    <row r="989" spans="1:59" s="3" customFormat="1" x14ac:dyDescent="0.3">
      <c r="A989" s="15" t="str">
        <f t="shared" si="195"/>
        <v/>
      </c>
      <c r="B989" s="25"/>
      <c r="C989" s="26"/>
      <c r="D989" s="279"/>
      <c r="E989" s="27"/>
      <c r="F989" s="28"/>
      <c r="G989" s="27"/>
      <c r="H989" s="28"/>
      <c r="I989" s="28"/>
      <c r="J989" s="255" t="str">
        <f>IF(H989="","",(_xlfn.XLOOKUP(H989,Cadastros!$D$6:$D$90,Cadastros!$E$6:$E$90))*(1-_xlfn.XLOOKUP(_xlfn.XLOOKUP($F989,Clientes!$B$4:$B$39,Clientes!$C$4:$C$39),Cadastros!$L$6:$L$12,Cadastros!$N$6:$N$12)))</f>
        <v/>
      </c>
      <c r="K989" s="168" t="str">
        <f t="shared" si="196"/>
        <v/>
      </c>
      <c r="L989" s="168" t="str">
        <f>IFERROR(K989/_xlfn.XLOOKUP(_xlfn.XLOOKUP($F989,Clientes!$B$4:$B$39,Clientes!$C$4:$C$39),Cadastros!$L$6:$L$12,Cadastros!$M$6:$M$12)," ")</f>
        <v xml:space="preserve"> </v>
      </c>
      <c r="M989" s="28"/>
      <c r="N989" s="28"/>
      <c r="O989" s="255" t="str">
        <f>IF(M989="","",(_xlfn.XLOOKUP(M989,Cadastros!$D$6:$D$90,Cadastros!$E$6:$E$90))*(1-_xlfn.XLOOKUP(_xlfn.XLOOKUP($F989,Clientes!$B$4:$B$39,Clientes!$C$4:$C$39),Cadastros!$L$6:$L$12,Cadastros!$N$6:$N$12)))</f>
        <v/>
      </c>
      <c r="P989" s="168" t="str">
        <f t="shared" si="197"/>
        <v/>
      </c>
      <c r="Q989" s="168" t="str">
        <f>IFERROR(P989/_xlfn.XLOOKUP(_xlfn.XLOOKUP($F989,Clientes!$B$4:$B$39,Clientes!$C$4:$C$39),Cadastros!$L$6:$L$12,Cadastros!$M$6:$M$12)," ")</f>
        <v xml:space="preserve"> </v>
      </c>
      <c r="R989" s="28"/>
      <c r="S989" s="28"/>
      <c r="T989" s="255" t="str">
        <f>IF(R989="","",(_xlfn.XLOOKUP(R989,Cadastros!$D$6:$D$90,Cadastros!$E$6:$E$90))*(1-_xlfn.XLOOKUP(_xlfn.XLOOKUP($F989,Clientes!$B$4:$B$39,Clientes!$C$4:$C$39),Cadastros!$L$6:$L$12,Cadastros!$N$6:$N$12)))</f>
        <v/>
      </c>
      <c r="U989" s="168" t="str">
        <f t="shared" si="198"/>
        <v/>
      </c>
      <c r="V989" s="168" t="str">
        <f>IFERROR(U989/_xlfn.XLOOKUP(_xlfn.XLOOKUP($F989,Clientes!$B$4:$B$39,Clientes!$C$4:$C$39),Cadastros!$L$6:$L$12,Cadastros!$M$6:$M$12)," ")</f>
        <v xml:space="preserve"> </v>
      </c>
      <c r="W989" s="28"/>
      <c r="X989" s="28"/>
      <c r="Y989" s="255" t="str">
        <f>IF(W989="","",(_xlfn.XLOOKUP(W989,Cadastros!$D$6:$D$90,Cadastros!$E$6:$E$90))*(1-_xlfn.XLOOKUP(_xlfn.XLOOKUP($F989,Clientes!$B$4:$B$39,Clientes!$C$4:$C$39),Cadastros!$L$6:$L$12,Cadastros!$N$6:$N$12)))</f>
        <v/>
      </c>
      <c r="Z989" s="168" t="str">
        <f t="shared" si="199"/>
        <v/>
      </c>
      <c r="AA989" s="168" t="str">
        <f>IFERROR(Z989/_xlfn.XLOOKUP(_xlfn.XLOOKUP($F989,Clientes!$B$4:$B$39,Clientes!$C$4:$C$39),Cadastros!$L$6:$L$12,Cadastros!$M$6:$M$12)," ")</f>
        <v xml:space="preserve"> </v>
      </c>
      <c r="AB989" s="28"/>
      <c r="AC989" s="28"/>
      <c r="AD989" s="20" t="str">
        <f>IF(AB989="","",IF($F989="Bernardino Furlan",_xlfn.XLOOKUP(AB989,Cadastros!$G$6:$G$90,Cadastros!$H$6:$H$90)*(1-0.18),IF($F989="Mauro José Salanti",_xlfn.XLOOKUP(AB989,Cadastros!$G$6:$G$90,Cadastros!$H$6:$H$90)*(1-0.18),_xlfn.XLOOKUP(AB989,Cadastros!$G$6:$G$90,Cadastros!$H$6:$H$90))))</f>
        <v/>
      </c>
      <c r="AE989" s="168" t="str">
        <f t="shared" si="200"/>
        <v/>
      </c>
      <c r="AF989" s="168" t="str">
        <f t="shared" si="201"/>
        <v/>
      </c>
      <c r="AG989" s="28"/>
      <c r="AH989" s="28"/>
      <c r="AI989" s="20" t="str">
        <f>IF(AG989="","",IF($F989="Bernardino Furlan",_xlfn.XLOOKUP(AG989,Cadastros!$G$6:$G$90,Cadastros!$H$6:$H$90)*(1-0.18),IF($F989="Mauro José Salanti",_xlfn.XLOOKUP(AG989,Cadastros!$G$6:$G$90,Cadastros!$H$6:$H$90)*(1-0.18),_xlfn.XLOOKUP(AG989,Cadastros!$G$6:$G$90,Cadastros!$H$6:$H$90))))</f>
        <v/>
      </c>
      <c r="AJ989" s="168" t="str">
        <f t="shared" si="202"/>
        <v/>
      </c>
      <c r="AK989" s="168" t="str">
        <f t="shared" si="203"/>
        <v/>
      </c>
      <c r="AL989" s="28"/>
      <c r="AM989" s="28"/>
      <c r="AN989" s="20" t="str">
        <f>IF(AL989="","",IF($F989="Bernardino Furlan",_xlfn.XLOOKUP(AL989,Cadastros!$G$6:$G$90,Cadastros!$H$6:$H$90)*(1-0.18),IF($F989="Mauro José Salanti",_xlfn.XLOOKUP(AL989,Cadastros!$G$6:$G$90,Cadastros!$H$6:$H$90)*(1-0.18),_xlfn.XLOOKUP(AL989,Cadastros!$G$6:$G$90,Cadastros!$H$6:$H$90))))</f>
        <v/>
      </c>
      <c r="AO989" s="168" t="str">
        <f t="shared" si="204"/>
        <v/>
      </c>
      <c r="AP989" s="168" t="str">
        <f t="shared" si="205"/>
        <v/>
      </c>
      <c r="AQ989" s="28"/>
      <c r="AR989" s="28"/>
      <c r="AS989" s="20" t="str">
        <f>IF(AQ989="","",IF($F989="Bernardino Furlan",_xlfn.XLOOKUP(AQ989,Cadastros!$G$6:$G$90,Cadastros!$H$6:$H$90)*(1-0.18),IF($F989="Mauro José Salanti",_xlfn.XLOOKUP(AQ989,Cadastros!$G$6:$G$90,Cadastros!$H$6:$H$90)*(1-0.18),_xlfn.XLOOKUP(AQ989,Cadastros!$G$6:$G$90,Cadastros!$H$6:$H$90))))</f>
        <v/>
      </c>
      <c r="AT989" s="168" t="str">
        <f t="shared" si="206"/>
        <v/>
      </c>
      <c r="AU989" s="168" t="str">
        <f t="shared" si="207"/>
        <v/>
      </c>
      <c r="AV989" s="227"/>
      <c r="AW989" s="30"/>
      <c r="AX989" s="267"/>
      <c r="AY989" s="267"/>
      <c r="AZ989" s="29"/>
      <c r="BA989" s="30"/>
      <c r="BB989" s="23" t="str" cm="1">
        <f t="array" ref="BB989">_xlfn.IFS(AW989="SIM",SUM(K989,P989,U989,Z989,AE989,AJ989,AO989,AT989,AX989,AY989),F989&lt;&gt;"",SUM(K989,P989,U989,Z989,AE989,AJ989,,AO989,AT989),F989="","")</f>
        <v/>
      </c>
      <c r="BC989" s="211" t="str" cm="1">
        <f t="array" ref="BC989">_xlfn.IFS(E989="","",G989&lt;=E989,BB989*(1-0.03),G989&lt;(E989+8),BB989,AZ989="Boleto",BB989*(1+0.001)^DATEDIF(E989,G989,"D"),AZ989="Cheque",BB989,AZ989="Dinheiro","Alterar forma pgto")</f>
        <v/>
      </c>
      <c r="BD989" s="276" t="str" cm="1">
        <f t="array" ref="BD989">IF(F989=0," ",IF(BC989&lt;BB989,(_xlfn.IFS(AW989="SIM",SUM(L989,Q989,V989,AA989,AF989,AK989,AP989,AU989)+AX989/_xlfn.XLOOKUP(_xlfn.XLOOKUP($F989,Clientes!$B$4:$B$39,Clientes!$C$4:$C$39),Cadastros!$L$6:$L$12,Cadastros!$M$6:$M$12)+IF($F989="Bernardino Furlan",AY989/2751.92,IF($F989="Mauro José Salanti",AY989/2751.92,AY989/3356)),F989&lt;&gt;0,SUM(L989,Q989,V989,AA989,AF989,AK989,AP989,AU989)))*(1-0.03),_xlfn.IFS(AW989="SIM",SUM(L989,Q989,V989,AA989,AF989,AK989,AP989,AU989)+AX989/_xlfn.XLOOKUP(_xlfn.XLOOKUP($F989,Clientes!$B$4:$B$39,Clientes!$C$4:$C$39),Cadastros!$L$6:$L$12,Cadastros!$M$6:$M$12)+IF($F989="Bernardino Furlan",AY989/2751.92,IF($F989="Mauro José Salanti",AY989/2751.92,AY989/3356)),F989&lt;&gt;0,SUM(L989,Q989,V989,AA989,AF989,AK989,AP989,AU989))))</f>
        <v xml:space="preserve"> </v>
      </c>
      <c r="BE989" s="120"/>
      <c r="BF989" s="120"/>
      <c r="BG989" s="120"/>
    </row>
    <row r="990" spans="1:59" s="3" customFormat="1" x14ac:dyDescent="0.3">
      <c r="A990" s="15" t="str">
        <f t="shared" si="195"/>
        <v/>
      </c>
      <c r="B990" s="25"/>
      <c r="C990" s="26"/>
      <c r="D990" s="279"/>
      <c r="E990" s="27"/>
      <c r="F990" s="28"/>
      <c r="G990" s="27"/>
      <c r="H990" s="28"/>
      <c r="I990" s="28"/>
      <c r="J990" s="255" t="str">
        <f>IF(H990="","",(_xlfn.XLOOKUP(H990,Cadastros!$D$6:$D$90,Cadastros!$E$6:$E$90))*(1-_xlfn.XLOOKUP(_xlfn.XLOOKUP($F990,Clientes!$B$4:$B$39,Clientes!$C$4:$C$39),Cadastros!$L$6:$L$12,Cadastros!$N$6:$N$12)))</f>
        <v/>
      </c>
      <c r="K990" s="168" t="str">
        <f t="shared" si="196"/>
        <v/>
      </c>
      <c r="L990" s="168" t="str">
        <f>IFERROR(K990/_xlfn.XLOOKUP(_xlfn.XLOOKUP($F990,Clientes!$B$4:$B$39,Clientes!$C$4:$C$39),Cadastros!$L$6:$L$12,Cadastros!$M$6:$M$12)," ")</f>
        <v xml:space="preserve"> </v>
      </c>
      <c r="M990" s="28"/>
      <c r="N990" s="28"/>
      <c r="O990" s="255" t="str">
        <f>IF(M990="","",(_xlfn.XLOOKUP(M990,Cadastros!$D$6:$D$90,Cadastros!$E$6:$E$90))*(1-_xlfn.XLOOKUP(_xlfn.XLOOKUP($F990,Clientes!$B$4:$B$39,Clientes!$C$4:$C$39),Cadastros!$L$6:$L$12,Cadastros!$N$6:$N$12)))</f>
        <v/>
      </c>
      <c r="P990" s="168" t="str">
        <f t="shared" si="197"/>
        <v/>
      </c>
      <c r="Q990" s="168" t="str">
        <f>IFERROR(P990/_xlfn.XLOOKUP(_xlfn.XLOOKUP($F990,Clientes!$B$4:$B$39,Clientes!$C$4:$C$39),Cadastros!$L$6:$L$12,Cadastros!$M$6:$M$12)," ")</f>
        <v xml:space="preserve"> </v>
      </c>
      <c r="R990" s="28"/>
      <c r="S990" s="28"/>
      <c r="T990" s="255" t="str">
        <f>IF(R990="","",(_xlfn.XLOOKUP(R990,Cadastros!$D$6:$D$90,Cadastros!$E$6:$E$90))*(1-_xlfn.XLOOKUP(_xlfn.XLOOKUP($F990,Clientes!$B$4:$B$39,Clientes!$C$4:$C$39),Cadastros!$L$6:$L$12,Cadastros!$N$6:$N$12)))</f>
        <v/>
      </c>
      <c r="U990" s="168" t="str">
        <f t="shared" si="198"/>
        <v/>
      </c>
      <c r="V990" s="168" t="str">
        <f>IFERROR(U990/_xlfn.XLOOKUP(_xlfn.XLOOKUP($F990,Clientes!$B$4:$B$39,Clientes!$C$4:$C$39),Cadastros!$L$6:$L$12,Cadastros!$M$6:$M$12)," ")</f>
        <v xml:space="preserve"> </v>
      </c>
      <c r="W990" s="28"/>
      <c r="X990" s="28"/>
      <c r="Y990" s="255" t="str">
        <f>IF(W990="","",(_xlfn.XLOOKUP(W990,Cadastros!$D$6:$D$90,Cadastros!$E$6:$E$90))*(1-_xlfn.XLOOKUP(_xlfn.XLOOKUP($F990,Clientes!$B$4:$B$39,Clientes!$C$4:$C$39),Cadastros!$L$6:$L$12,Cadastros!$N$6:$N$12)))</f>
        <v/>
      </c>
      <c r="Z990" s="168" t="str">
        <f t="shared" si="199"/>
        <v/>
      </c>
      <c r="AA990" s="168" t="str">
        <f>IFERROR(Z990/_xlfn.XLOOKUP(_xlfn.XLOOKUP($F990,Clientes!$B$4:$B$39,Clientes!$C$4:$C$39),Cadastros!$L$6:$L$12,Cadastros!$M$6:$M$12)," ")</f>
        <v xml:space="preserve"> </v>
      </c>
      <c r="AB990" s="28"/>
      <c r="AC990" s="28"/>
      <c r="AD990" s="20" t="str">
        <f>IF(AB990="","",IF($F990="Bernardino Furlan",_xlfn.XLOOKUP(AB990,Cadastros!$G$6:$G$90,Cadastros!$H$6:$H$90)*(1-0.18),IF($F990="Mauro José Salanti",_xlfn.XLOOKUP(AB990,Cadastros!$G$6:$G$90,Cadastros!$H$6:$H$90)*(1-0.18),_xlfn.XLOOKUP(AB990,Cadastros!$G$6:$G$90,Cadastros!$H$6:$H$90))))</f>
        <v/>
      </c>
      <c r="AE990" s="168" t="str">
        <f t="shared" si="200"/>
        <v/>
      </c>
      <c r="AF990" s="168" t="str">
        <f t="shared" si="201"/>
        <v/>
      </c>
      <c r="AG990" s="28"/>
      <c r="AH990" s="28"/>
      <c r="AI990" s="20" t="str">
        <f>IF(AG990="","",IF($F990="Bernardino Furlan",_xlfn.XLOOKUP(AG990,Cadastros!$G$6:$G$90,Cadastros!$H$6:$H$90)*(1-0.18),IF($F990="Mauro José Salanti",_xlfn.XLOOKUP(AG990,Cadastros!$G$6:$G$90,Cadastros!$H$6:$H$90)*(1-0.18),_xlfn.XLOOKUP(AG990,Cadastros!$G$6:$G$90,Cadastros!$H$6:$H$90))))</f>
        <v/>
      </c>
      <c r="AJ990" s="168" t="str">
        <f t="shared" si="202"/>
        <v/>
      </c>
      <c r="AK990" s="168" t="str">
        <f t="shared" si="203"/>
        <v/>
      </c>
      <c r="AL990" s="28"/>
      <c r="AM990" s="28"/>
      <c r="AN990" s="20" t="str">
        <f>IF(AL990="","",IF($F990="Bernardino Furlan",_xlfn.XLOOKUP(AL990,Cadastros!$G$6:$G$90,Cadastros!$H$6:$H$90)*(1-0.18),IF($F990="Mauro José Salanti",_xlfn.XLOOKUP(AL990,Cadastros!$G$6:$G$90,Cadastros!$H$6:$H$90)*(1-0.18),_xlfn.XLOOKUP(AL990,Cadastros!$G$6:$G$90,Cadastros!$H$6:$H$90))))</f>
        <v/>
      </c>
      <c r="AO990" s="168" t="str">
        <f t="shared" si="204"/>
        <v/>
      </c>
      <c r="AP990" s="168" t="str">
        <f t="shared" si="205"/>
        <v/>
      </c>
      <c r="AQ990" s="28"/>
      <c r="AR990" s="28"/>
      <c r="AS990" s="20" t="str">
        <f>IF(AQ990="","",IF($F990="Bernardino Furlan",_xlfn.XLOOKUP(AQ990,Cadastros!$G$6:$G$90,Cadastros!$H$6:$H$90)*(1-0.18),IF($F990="Mauro José Salanti",_xlfn.XLOOKUP(AQ990,Cadastros!$G$6:$G$90,Cadastros!$H$6:$H$90)*(1-0.18),_xlfn.XLOOKUP(AQ990,Cadastros!$G$6:$G$90,Cadastros!$H$6:$H$90))))</f>
        <v/>
      </c>
      <c r="AT990" s="168" t="str">
        <f t="shared" si="206"/>
        <v/>
      </c>
      <c r="AU990" s="168" t="str">
        <f t="shared" si="207"/>
        <v/>
      </c>
      <c r="AV990" s="227"/>
      <c r="AW990" s="30"/>
      <c r="AX990" s="267"/>
      <c r="AY990" s="267"/>
      <c r="AZ990" s="29"/>
      <c r="BA990" s="30"/>
      <c r="BB990" s="23" t="str" cm="1">
        <f t="array" ref="BB990">_xlfn.IFS(AW990="SIM",SUM(K990,P990,U990,Z990,AE990,AJ990,AO990,AT990,AX990,AY990),F990&lt;&gt;"",SUM(K990,P990,U990,Z990,AE990,AJ990,,AO990,AT990),F990="","")</f>
        <v/>
      </c>
      <c r="BC990" s="211" t="str" cm="1">
        <f t="array" ref="BC990">_xlfn.IFS(E990="","",G990&lt;=E990,BB990*(1-0.03),G990&lt;(E990+8),BB990,AZ990="Boleto",BB990*(1+0.001)^DATEDIF(E990,G990,"D"),AZ990="Cheque",BB990,AZ990="Dinheiro","Alterar forma pgto")</f>
        <v/>
      </c>
      <c r="BD990" s="276" t="str" cm="1">
        <f t="array" ref="BD990">IF(F990=0," ",IF(BC990&lt;BB990,(_xlfn.IFS(AW990="SIM",SUM(L990,Q990,V990,AA990,AF990,AK990,AP990,AU990)+AX990/_xlfn.XLOOKUP(_xlfn.XLOOKUP($F990,Clientes!$B$4:$B$39,Clientes!$C$4:$C$39),Cadastros!$L$6:$L$12,Cadastros!$M$6:$M$12)+IF($F990="Bernardino Furlan",AY990/2751.92,IF($F990="Mauro José Salanti",AY990/2751.92,AY990/3356)),F990&lt;&gt;0,SUM(L990,Q990,V990,AA990,AF990,AK990,AP990,AU990)))*(1-0.03),_xlfn.IFS(AW990="SIM",SUM(L990,Q990,V990,AA990,AF990,AK990,AP990,AU990)+AX990/_xlfn.XLOOKUP(_xlfn.XLOOKUP($F990,Clientes!$B$4:$B$39,Clientes!$C$4:$C$39),Cadastros!$L$6:$L$12,Cadastros!$M$6:$M$12)+IF($F990="Bernardino Furlan",AY990/2751.92,IF($F990="Mauro José Salanti",AY990/2751.92,AY990/3356)),F990&lt;&gt;0,SUM(L990,Q990,V990,AA990,AF990,AK990,AP990,AU990))))</f>
        <v xml:space="preserve"> </v>
      </c>
      <c r="BE990" s="120"/>
      <c r="BF990" s="120"/>
      <c r="BG990" s="120"/>
    </row>
    <row r="991" spans="1:59" s="3" customFormat="1" x14ac:dyDescent="0.3">
      <c r="A991" s="15" t="str">
        <f t="shared" si="195"/>
        <v/>
      </c>
      <c r="B991" s="25"/>
      <c r="C991" s="26"/>
      <c r="D991" s="279"/>
      <c r="E991" s="27"/>
      <c r="F991" s="28"/>
      <c r="G991" s="27"/>
      <c r="H991" s="28"/>
      <c r="I991" s="28"/>
      <c r="J991" s="255" t="str">
        <f>IF(H991="","",(_xlfn.XLOOKUP(H991,Cadastros!$D$6:$D$90,Cadastros!$E$6:$E$90))*(1-_xlfn.XLOOKUP(_xlfn.XLOOKUP($F991,Clientes!$B$4:$B$39,Clientes!$C$4:$C$39),Cadastros!$L$6:$L$12,Cadastros!$N$6:$N$12)))</f>
        <v/>
      </c>
      <c r="K991" s="168" t="str">
        <f t="shared" si="196"/>
        <v/>
      </c>
      <c r="L991" s="168" t="str">
        <f>IFERROR(K991/_xlfn.XLOOKUP(_xlfn.XLOOKUP($F991,Clientes!$B$4:$B$39,Clientes!$C$4:$C$39),Cadastros!$L$6:$L$12,Cadastros!$M$6:$M$12)," ")</f>
        <v xml:space="preserve"> </v>
      </c>
      <c r="M991" s="28"/>
      <c r="N991" s="28"/>
      <c r="O991" s="255" t="str">
        <f>IF(M991="","",(_xlfn.XLOOKUP(M991,Cadastros!$D$6:$D$90,Cadastros!$E$6:$E$90))*(1-_xlfn.XLOOKUP(_xlfn.XLOOKUP($F991,Clientes!$B$4:$B$39,Clientes!$C$4:$C$39),Cadastros!$L$6:$L$12,Cadastros!$N$6:$N$12)))</f>
        <v/>
      </c>
      <c r="P991" s="168" t="str">
        <f t="shared" si="197"/>
        <v/>
      </c>
      <c r="Q991" s="168" t="str">
        <f>IFERROR(P991/_xlfn.XLOOKUP(_xlfn.XLOOKUP($F991,Clientes!$B$4:$B$39,Clientes!$C$4:$C$39),Cadastros!$L$6:$L$12,Cadastros!$M$6:$M$12)," ")</f>
        <v xml:space="preserve"> </v>
      </c>
      <c r="R991" s="28"/>
      <c r="S991" s="28"/>
      <c r="T991" s="255" t="str">
        <f>IF(R991="","",(_xlfn.XLOOKUP(R991,Cadastros!$D$6:$D$90,Cadastros!$E$6:$E$90))*(1-_xlfn.XLOOKUP(_xlfn.XLOOKUP($F991,Clientes!$B$4:$B$39,Clientes!$C$4:$C$39),Cadastros!$L$6:$L$12,Cadastros!$N$6:$N$12)))</f>
        <v/>
      </c>
      <c r="U991" s="168" t="str">
        <f t="shared" si="198"/>
        <v/>
      </c>
      <c r="V991" s="168" t="str">
        <f>IFERROR(U991/_xlfn.XLOOKUP(_xlfn.XLOOKUP($F991,Clientes!$B$4:$B$39,Clientes!$C$4:$C$39),Cadastros!$L$6:$L$12,Cadastros!$M$6:$M$12)," ")</f>
        <v xml:space="preserve"> </v>
      </c>
      <c r="W991" s="28"/>
      <c r="X991" s="28"/>
      <c r="Y991" s="255" t="str">
        <f>IF(W991="","",(_xlfn.XLOOKUP(W991,Cadastros!$D$6:$D$90,Cadastros!$E$6:$E$90))*(1-_xlfn.XLOOKUP(_xlfn.XLOOKUP($F991,Clientes!$B$4:$B$39,Clientes!$C$4:$C$39),Cadastros!$L$6:$L$12,Cadastros!$N$6:$N$12)))</f>
        <v/>
      </c>
      <c r="Z991" s="168" t="str">
        <f t="shared" si="199"/>
        <v/>
      </c>
      <c r="AA991" s="168" t="str">
        <f>IFERROR(Z991/_xlfn.XLOOKUP(_xlfn.XLOOKUP($F991,Clientes!$B$4:$B$39,Clientes!$C$4:$C$39),Cadastros!$L$6:$L$12,Cadastros!$M$6:$M$12)," ")</f>
        <v xml:space="preserve"> </v>
      </c>
      <c r="AB991" s="28"/>
      <c r="AC991" s="28"/>
      <c r="AD991" s="20" t="str">
        <f>IF(AB991="","",IF($F991="Bernardino Furlan",_xlfn.XLOOKUP(AB991,Cadastros!$G$6:$G$90,Cadastros!$H$6:$H$90)*(1-0.18),IF($F991="Mauro José Salanti",_xlfn.XLOOKUP(AB991,Cadastros!$G$6:$G$90,Cadastros!$H$6:$H$90)*(1-0.18),_xlfn.XLOOKUP(AB991,Cadastros!$G$6:$G$90,Cadastros!$H$6:$H$90))))</f>
        <v/>
      </c>
      <c r="AE991" s="168" t="str">
        <f t="shared" si="200"/>
        <v/>
      </c>
      <c r="AF991" s="168" t="str">
        <f t="shared" si="201"/>
        <v/>
      </c>
      <c r="AG991" s="28"/>
      <c r="AH991" s="28"/>
      <c r="AI991" s="20" t="str">
        <f>IF(AG991="","",IF($F991="Bernardino Furlan",_xlfn.XLOOKUP(AG991,Cadastros!$G$6:$G$90,Cadastros!$H$6:$H$90)*(1-0.18),IF($F991="Mauro José Salanti",_xlfn.XLOOKUP(AG991,Cadastros!$G$6:$G$90,Cadastros!$H$6:$H$90)*(1-0.18),_xlfn.XLOOKUP(AG991,Cadastros!$G$6:$G$90,Cadastros!$H$6:$H$90))))</f>
        <v/>
      </c>
      <c r="AJ991" s="168" t="str">
        <f t="shared" si="202"/>
        <v/>
      </c>
      <c r="AK991" s="168" t="str">
        <f t="shared" si="203"/>
        <v/>
      </c>
      <c r="AL991" s="28"/>
      <c r="AM991" s="28"/>
      <c r="AN991" s="20" t="str">
        <f>IF(AL991="","",IF($F991="Bernardino Furlan",_xlfn.XLOOKUP(AL991,Cadastros!$G$6:$G$90,Cadastros!$H$6:$H$90)*(1-0.18),IF($F991="Mauro José Salanti",_xlfn.XLOOKUP(AL991,Cadastros!$G$6:$G$90,Cadastros!$H$6:$H$90)*(1-0.18),_xlfn.XLOOKUP(AL991,Cadastros!$G$6:$G$90,Cadastros!$H$6:$H$90))))</f>
        <v/>
      </c>
      <c r="AO991" s="168" t="str">
        <f t="shared" si="204"/>
        <v/>
      </c>
      <c r="AP991" s="168" t="str">
        <f t="shared" si="205"/>
        <v/>
      </c>
      <c r="AQ991" s="28"/>
      <c r="AR991" s="28"/>
      <c r="AS991" s="20" t="str">
        <f>IF(AQ991="","",IF($F991="Bernardino Furlan",_xlfn.XLOOKUP(AQ991,Cadastros!$G$6:$G$90,Cadastros!$H$6:$H$90)*(1-0.18),IF($F991="Mauro José Salanti",_xlfn.XLOOKUP(AQ991,Cadastros!$G$6:$G$90,Cadastros!$H$6:$H$90)*(1-0.18),_xlfn.XLOOKUP(AQ991,Cadastros!$G$6:$G$90,Cadastros!$H$6:$H$90))))</f>
        <v/>
      </c>
      <c r="AT991" s="168" t="str">
        <f t="shared" si="206"/>
        <v/>
      </c>
      <c r="AU991" s="168" t="str">
        <f t="shared" si="207"/>
        <v/>
      </c>
      <c r="AV991" s="227"/>
      <c r="AW991" s="30"/>
      <c r="AX991" s="267"/>
      <c r="AY991" s="267"/>
      <c r="AZ991" s="29"/>
      <c r="BA991" s="30"/>
      <c r="BB991" s="23" t="str" cm="1">
        <f t="array" ref="BB991">_xlfn.IFS(AW991="SIM",SUM(K991,P991,U991,Z991,AE991,AJ991,AO991,AT991,AX991,AY991),F991&lt;&gt;"",SUM(K991,P991,U991,Z991,AE991,AJ991,,AO991,AT991),F991="","")</f>
        <v/>
      </c>
      <c r="BC991" s="211" t="str" cm="1">
        <f t="array" ref="BC991">_xlfn.IFS(E991="","",G991&lt;=E991,BB991*(1-0.03),G991&lt;(E991+8),BB991,AZ991="Boleto",BB991*(1+0.001)^DATEDIF(E991,G991,"D"),AZ991="Cheque",BB991,AZ991="Dinheiro","Alterar forma pgto")</f>
        <v/>
      </c>
      <c r="BD991" s="276" t="str" cm="1">
        <f t="array" ref="BD991">IF(F991=0," ",IF(BC991&lt;BB991,(_xlfn.IFS(AW991="SIM",SUM(L991,Q991,V991,AA991,AF991,AK991,AP991,AU991)+AX991/_xlfn.XLOOKUP(_xlfn.XLOOKUP($F991,Clientes!$B$4:$B$39,Clientes!$C$4:$C$39),Cadastros!$L$6:$L$12,Cadastros!$M$6:$M$12)+IF($F991="Bernardino Furlan",AY991/2751.92,IF($F991="Mauro José Salanti",AY991/2751.92,AY991/3356)),F991&lt;&gt;0,SUM(L991,Q991,V991,AA991,AF991,AK991,AP991,AU991)))*(1-0.03),_xlfn.IFS(AW991="SIM",SUM(L991,Q991,V991,AA991,AF991,AK991,AP991,AU991)+AX991/_xlfn.XLOOKUP(_xlfn.XLOOKUP($F991,Clientes!$B$4:$B$39,Clientes!$C$4:$C$39),Cadastros!$L$6:$L$12,Cadastros!$M$6:$M$12)+IF($F991="Bernardino Furlan",AY991/2751.92,IF($F991="Mauro José Salanti",AY991/2751.92,AY991/3356)),F991&lt;&gt;0,SUM(L991,Q991,V991,AA991,AF991,AK991,AP991,AU991))))</f>
        <v xml:space="preserve"> </v>
      </c>
      <c r="BE991" s="120"/>
      <c r="BF991" s="120"/>
      <c r="BG991" s="120"/>
    </row>
    <row r="992" spans="1:59" s="3" customFormat="1" x14ac:dyDescent="0.3">
      <c r="A992" s="15" t="str">
        <f t="shared" si="195"/>
        <v/>
      </c>
      <c r="B992" s="25"/>
      <c r="C992" s="26"/>
      <c r="D992" s="279"/>
      <c r="E992" s="27"/>
      <c r="F992" s="28"/>
      <c r="G992" s="27"/>
      <c r="H992" s="28"/>
      <c r="I992" s="28"/>
      <c r="J992" s="255" t="str">
        <f>IF(H992="","",(_xlfn.XLOOKUP(H992,Cadastros!$D$6:$D$90,Cadastros!$E$6:$E$90))*(1-_xlfn.XLOOKUP(_xlfn.XLOOKUP($F992,Clientes!$B$4:$B$39,Clientes!$C$4:$C$39),Cadastros!$L$6:$L$12,Cadastros!$N$6:$N$12)))</f>
        <v/>
      </c>
      <c r="K992" s="168" t="str">
        <f t="shared" si="196"/>
        <v/>
      </c>
      <c r="L992" s="168" t="str">
        <f>IFERROR(K992/_xlfn.XLOOKUP(_xlfn.XLOOKUP($F992,Clientes!$B$4:$B$39,Clientes!$C$4:$C$39),Cadastros!$L$6:$L$12,Cadastros!$M$6:$M$12)," ")</f>
        <v xml:space="preserve"> </v>
      </c>
      <c r="M992" s="28"/>
      <c r="N992" s="28"/>
      <c r="O992" s="255" t="str">
        <f>IF(M992="","",(_xlfn.XLOOKUP(M992,Cadastros!$D$6:$D$90,Cadastros!$E$6:$E$90))*(1-_xlfn.XLOOKUP(_xlfn.XLOOKUP($F992,Clientes!$B$4:$B$39,Clientes!$C$4:$C$39),Cadastros!$L$6:$L$12,Cadastros!$N$6:$N$12)))</f>
        <v/>
      </c>
      <c r="P992" s="168" t="str">
        <f t="shared" si="197"/>
        <v/>
      </c>
      <c r="Q992" s="168" t="str">
        <f>IFERROR(P992/_xlfn.XLOOKUP(_xlfn.XLOOKUP($F992,Clientes!$B$4:$B$39,Clientes!$C$4:$C$39),Cadastros!$L$6:$L$12,Cadastros!$M$6:$M$12)," ")</f>
        <v xml:space="preserve"> </v>
      </c>
      <c r="R992" s="28"/>
      <c r="S992" s="28"/>
      <c r="T992" s="255" t="str">
        <f>IF(R992="","",(_xlfn.XLOOKUP(R992,Cadastros!$D$6:$D$90,Cadastros!$E$6:$E$90))*(1-_xlfn.XLOOKUP(_xlfn.XLOOKUP($F992,Clientes!$B$4:$B$39,Clientes!$C$4:$C$39),Cadastros!$L$6:$L$12,Cadastros!$N$6:$N$12)))</f>
        <v/>
      </c>
      <c r="U992" s="168" t="str">
        <f t="shared" si="198"/>
        <v/>
      </c>
      <c r="V992" s="168" t="str">
        <f>IFERROR(U992/_xlfn.XLOOKUP(_xlfn.XLOOKUP($F992,Clientes!$B$4:$B$39,Clientes!$C$4:$C$39),Cadastros!$L$6:$L$12,Cadastros!$M$6:$M$12)," ")</f>
        <v xml:space="preserve"> </v>
      </c>
      <c r="W992" s="28"/>
      <c r="X992" s="28"/>
      <c r="Y992" s="255" t="str">
        <f>IF(W992="","",(_xlfn.XLOOKUP(W992,Cadastros!$D$6:$D$90,Cadastros!$E$6:$E$90))*(1-_xlfn.XLOOKUP(_xlfn.XLOOKUP($F992,Clientes!$B$4:$B$39,Clientes!$C$4:$C$39),Cadastros!$L$6:$L$12,Cadastros!$N$6:$N$12)))</f>
        <v/>
      </c>
      <c r="Z992" s="168" t="str">
        <f t="shared" si="199"/>
        <v/>
      </c>
      <c r="AA992" s="168" t="str">
        <f>IFERROR(Z992/_xlfn.XLOOKUP(_xlfn.XLOOKUP($F992,Clientes!$B$4:$B$39,Clientes!$C$4:$C$39),Cadastros!$L$6:$L$12,Cadastros!$M$6:$M$12)," ")</f>
        <v xml:space="preserve"> </v>
      </c>
      <c r="AB992" s="28"/>
      <c r="AC992" s="28"/>
      <c r="AD992" s="20" t="str">
        <f>IF(AB992="","",IF($F992="Bernardino Furlan",_xlfn.XLOOKUP(AB992,Cadastros!$G$6:$G$90,Cadastros!$H$6:$H$90)*(1-0.18),IF($F992="Mauro José Salanti",_xlfn.XLOOKUP(AB992,Cadastros!$G$6:$G$90,Cadastros!$H$6:$H$90)*(1-0.18),_xlfn.XLOOKUP(AB992,Cadastros!$G$6:$G$90,Cadastros!$H$6:$H$90))))</f>
        <v/>
      </c>
      <c r="AE992" s="168" t="str">
        <f t="shared" si="200"/>
        <v/>
      </c>
      <c r="AF992" s="168" t="str">
        <f t="shared" si="201"/>
        <v/>
      </c>
      <c r="AG992" s="28"/>
      <c r="AH992" s="28"/>
      <c r="AI992" s="20" t="str">
        <f>IF(AG992="","",IF($F992="Bernardino Furlan",_xlfn.XLOOKUP(AG992,Cadastros!$G$6:$G$90,Cadastros!$H$6:$H$90)*(1-0.18),IF($F992="Mauro José Salanti",_xlfn.XLOOKUP(AG992,Cadastros!$G$6:$G$90,Cadastros!$H$6:$H$90)*(1-0.18),_xlfn.XLOOKUP(AG992,Cadastros!$G$6:$G$90,Cadastros!$H$6:$H$90))))</f>
        <v/>
      </c>
      <c r="AJ992" s="168" t="str">
        <f t="shared" si="202"/>
        <v/>
      </c>
      <c r="AK992" s="168" t="str">
        <f t="shared" si="203"/>
        <v/>
      </c>
      <c r="AL992" s="28"/>
      <c r="AM992" s="28"/>
      <c r="AN992" s="20" t="str">
        <f>IF(AL992="","",IF($F992="Bernardino Furlan",_xlfn.XLOOKUP(AL992,Cadastros!$G$6:$G$90,Cadastros!$H$6:$H$90)*(1-0.18),IF($F992="Mauro José Salanti",_xlfn.XLOOKUP(AL992,Cadastros!$G$6:$G$90,Cadastros!$H$6:$H$90)*(1-0.18),_xlfn.XLOOKUP(AL992,Cadastros!$G$6:$G$90,Cadastros!$H$6:$H$90))))</f>
        <v/>
      </c>
      <c r="AO992" s="168" t="str">
        <f t="shared" si="204"/>
        <v/>
      </c>
      <c r="AP992" s="168" t="str">
        <f t="shared" si="205"/>
        <v/>
      </c>
      <c r="AQ992" s="28"/>
      <c r="AR992" s="28"/>
      <c r="AS992" s="20" t="str">
        <f>IF(AQ992="","",IF($F992="Bernardino Furlan",_xlfn.XLOOKUP(AQ992,Cadastros!$G$6:$G$90,Cadastros!$H$6:$H$90)*(1-0.18),IF($F992="Mauro José Salanti",_xlfn.XLOOKUP(AQ992,Cadastros!$G$6:$G$90,Cadastros!$H$6:$H$90)*(1-0.18),_xlfn.XLOOKUP(AQ992,Cadastros!$G$6:$G$90,Cadastros!$H$6:$H$90))))</f>
        <v/>
      </c>
      <c r="AT992" s="168" t="str">
        <f t="shared" si="206"/>
        <v/>
      </c>
      <c r="AU992" s="168" t="str">
        <f t="shared" si="207"/>
        <v/>
      </c>
      <c r="AV992" s="227"/>
      <c r="AW992" s="30"/>
      <c r="AX992" s="267"/>
      <c r="AY992" s="267"/>
      <c r="AZ992" s="29"/>
      <c r="BA992" s="30"/>
      <c r="BB992" s="23" t="str" cm="1">
        <f t="array" ref="BB992">_xlfn.IFS(AW992="SIM",SUM(K992,P992,U992,Z992,AE992,AJ992,AO992,AT992,AX992,AY992),F992&lt;&gt;"",SUM(K992,P992,U992,Z992,AE992,AJ992,,AO992,AT992),F992="","")</f>
        <v/>
      </c>
      <c r="BC992" s="211" t="str" cm="1">
        <f t="array" ref="BC992">_xlfn.IFS(E992="","",G992&lt;=E992,BB992*(1-0.03),G992&lt;(E992+8),BB992,AZ992="Boleto",BB992*(1+0.001)^DATEDIF(E992,G992,"D"),AZ992="Cheque",BB992,AZ992="Dinheiro","Alterar forma pgto")</f>
        <v/>
      </c>
      <c r="BD992" s="276" t="str" cm="1">
        <f t="array" ref="BD992">IF(F992=0," ",IF(BC992&lt;BB992,(_xlfn.IFS(AW992="SIM",SUM(L992,Q992,V992,AA992,AF992,AK992,AP992,AU992)+AX992/_xlfn.XLOOKUP(_xlfn.XLOOKUP($F992,Clientes!$B$4:$B$39,Clientes!$C$4:$C$39),Cadastros!$L$6:$L$12,Cadastros!$M$6:$M$12)+IF($F992="Bernardino Furlan",AY992/2751.92,IF($F992="Mauro José Salanti",AY992/2751.92,AY992/3356)),F992&lt;&gt;0,SUM(L992,Q992,V992,AA992,AF992,AK992,AP992,AU992)))*(1-0.03),_xlfn.IFS(AW992="SIM",SUM(L992,Q992,V992,AA992,AF992,AK992,AP992,AU992)+AX992/_xlfn.XLOOKUP(_xlfn.XLOOKUP($F992,Clientes!$B$4:$B$39,Clientes!$C$4:$C$39),Cadastros!$L$6:$L$12,Cadastros!$M$6:$M$12)+IF($F992="Bernardino Furlan",AY992/2751.92,IF($F992="Mauro José Salanti",AY992/2751.92,AY992/3356)),F992&lt;&gt;0,SUM(L992,Q992,V992,AA992,AF992,AK992,AP992,AU992))))</f>
        <v xml:space="preserve"> </v>
      </c>
      <c r="BE992" s="120"/>
      <c r="BF992" s="120"/>
      <c r="BG992" s="120"/>
    </row>
    <row r="993" spans="1:59" s="3" customFormat="1" x14ac:dyDescent="0.3">
      <c r="A993" s="15" t="str">
        <f t="shared" si="195"/>
        <v/>
      </c>
      <c r="B993" s="25"/>
      <c r="C993" s="26"/>
      <c r="D993" s="279"/>
      <c r="E993" s="27"/>
      <c r="F993" s="28"/>
      <c r="G993" s="27"/>
      <c r="H993" s="28"/>
      <c r="I993" s="28"/>
      <c r="J993" s="255" t="str">
        <f>IF(H993="","",(_xlfn.XLOOKUP(H993,Cadastros!$D$6:$D$90,Cadastros!$E$6:$E$90))*(1-_xlfn.XLOOKUP(_xlfn.XLOOKUP($F993,Clientes!$B$4:$B$39,Clientes!$C$4:$C$39),Cadastros!$L$6:$L$12,Cadastros!$N$6:$N$12)))</f>
        <v/>
      </c>
      <c r="K993" s="168" t="str">
        <f t="shared" si="196"/>
        <v/>
      </c>
      <c r="L993" s="168" t="str">
        <f>IFERROR(K993/_xlfn.XLOOKUP(_xlfn.XLOOKUP($F993,Clientes!$B$4:$B$39,Clientes!$C$4:$C$39),Cadastros!$L$6:$L$12,Cadastros!$M$6:$M$12)," ")</f>
        <v xml:space="preserve"> </v>
      </c>
      <c r="M993" s="28"/>
      <c r="N993" s="28"/>
      <c r="O993" s="255" t="str">
        <f>IF(M993="","",(_xlfn.XLOOKUP(M993,Cadastros!$D$6:$D$90,Cadastros!$E$6:$E$90))*(1-_xlfn.XLOOKUP(_xlfn.XLOOKUP($F993,Clientes!$B$4:$B$39,Clientes!$C$4:$C$39),Cadastros!$L$6:$L$12,Cadastros!$N$6:$N$12)))</f>
        <v/>
      </c>
      <c r="P993" s="168" t="str">
        <f t="shared" si="197"/>
        <v/>
      </c>
      <c r="Q993" s="168" t="str">
        <f>IFERROR(P993/_xlfn.XLOOKUP(_xlfn.XLOOKUP($F993,Clientes!$B$4:$B$39,Clientes!$C$4:$C$39),Cadastros!$L$6:$L$12,Cadastros!$M$6:$M$12)," ")</f>
        <v xml:space="preserve"> </v>
      </c>
      <c r="R993" s="28"/>
      <c r="S993" s="28"/>
      <c r="T993" s="255" t="str">
        <f>IF(R993="","",(_xlfn.XLOOKUP(R993,Cadastros!$D$6:$D$90,Cadastros!$E$6:$E$90))*(1-_xlfn.XLOOKUP(_xlfn.XLOOKUP($F993,Clientes!$B$4:$B$39,Clientes!$C$4:$C$39),Cadastros!$L$6:$L$12,Cadastros!$N$6:$N$12)))</f>
        <v/>
      </c>
      <c r="U993" s="168" t="str">
        <f t="shared" si="198"/>
        <v/>
      </c>
      <c r="V993" s="168" t="str">
        <f>IFERROR(U993/_xlfn.XLOOKUP(_xlfn.XLOOKUP($F993,Clientes!$B$4:$B$39,Clientes!$C$4:$C$39),Cadastros!$L$6:$L$12,Cadastros!$M$6:$M$12)," ")</f>
        <v xml:space="preserve"> </v>
      </c>
      <c r="W993" s="28"/>
      <c r="X993" s="28"/>
      <c r="Y993" s="255" t="str">
        <f>IF(W993="","",(_xlfn.XLOOKUP(W993,Cadastros!$D$6:$D$90,Cadastros!$E$6:$E$90))*(1-_xlfn.XLOOKUP(_xlfn.XLOOKUP($F993,Clientes!$B$4:$B$39,Clientes!$C$4:$C$39),Cadastros!$L$6:$L$12,Cadastros!$N$6:$N$12)))</f>
        <v/>
      </c>
      <c r="Z993" s="168" t="str">
        <f t="shared" si="199"/>
        <v/>
      </c>
      <c r="AA993" s="168" t="str">
        <f>IFERROR(Z993/_xlfn.XLOOKUP(_xlfn.XLOOKUP($F993,Clientes!$B$4:$B$39,Clientes!$C$4:$C$39),Cadastros!$L$6:$L$12,Cadastros!$M$6:$M$12)," ")</f>
        <v xml:space="preserve"> </v>
      </c>
      <c r="AB993" s="28"/>
      <c r="AC993" s="28"/>
      <c r="AD993" s="20" t="str">
        <f>IF(AB993="","",IF($F993="Bernardino Furlan",_xlfn.XLOOKUP(AB993,Cadastros!$G$6:$G$90,Cadastros!$H$6:$H$90)*(1-0.18),IF($F993="Mauro José Salanti",_xlfn.XLOOKUP(AB993,Cadastros!$G$6:$G$90,Cadastros!$H$6:$H$90)*(1-0.18),_xlfn.XLOOKUP(AB993,Cadastros!$G$6:$G$90,Cadastros!$H$6:$H$90))))</f>
        <v/>
      </c>
      <c r="AE993" s="168" t="str">
        <f t="shared" si="200"/>
        <v/>
      </c>
      <c r="AF993" s="168" t="str">
        <f t="shared" si="201"/>
        <v/>
      </c>
      <c r="AG993" s="28"/>
      <c r="AH993" s="28"/>
      <c r="AI993" s="20" t="str">
        <f>IF(AG993="","",IF($F993="Bernardino Furlan",_xlfn.XLOOKUP(AG993,Cadastros!$G$6:$G$90,Cadastros!$H$6:$H$90)*(1-0.18),IF($F993="Mauro José Salanti",_xlfn.XLOOKUP(AG993,Cadastros!$G$6:$G$90,Cadastros!$H$6:$H$90)*(1-0.18),_xlfn.XLOOKUP(AG993,Cadastros!$G$6:$G$90,Cadastros!$H$6:$H$90))))</f>
        <v/>
      </c>
      <c r="AJ993" s="168" t="str">
        <f t="shared" si="202"/>
        <v/>
      </c>
      <c r="AK993" s="168" t="str">
        <f t="shared" si="203"/>
        <v/>
      </c>
      <c r="AL993" s="28"/>
      <c r="AM993" s="28"/>
      <c r="AN993" s="20" t="str">
        <f>IF(AL993="","",IF($F993="Bernardino Furlan",_xlfn.XLOOKUP(AL993,Cadastros!$G$6:$G$90,Cadastros!$H$6:$H$90)*(1-0.18),IF($F993="Mauro José Salanti",_xlfn.XLOOKUP(AL993,Cadastros!$G$6:$G$90,Cadastros!$H$6:$H$90)*(1-0.18),_xlfn.XLOOKUP(AL993,Cadastros!$G$6:$G$90,Cadastros!$H$6:$H$90))))</f>
        <v/>
      </c>
      <c r="AO993" s="168" t="str">
        <f t="shared" si="204"/>
        <v/>
      </c>
      <c r="AP993" s="168" t="str">
        <f t="shared" si="205"/>
        <v/>
      </c>
      <c r="AQ993" s="28"/>
      <c r="AR993" s="28"/>
      <c r="AS993" s="20" t="str">
        <f>IF(AQ993="","",IF($F993="Bernardino Furlan",_xlfn.XLOOKUP(AQ993,Cadastros!$G$6:$G$90,Cadastros!$H$6:$H$90)*(1-0.18),IF($F993="Mauro José Salanti",_xlfn.XLOOKUP(AQ993,Cadastros!$G$6:$G$90,Cadastros!$H$6:$H$90)*(1-0.18),_xlfn.XLOOKUP(AQ993,Cadastros!$G$6:$G$90,Cadastros!$H$6:$H$90))))</f>
        <v/>
      </c>
      <c r="AT993" s="168" t="str">
        <f t="shared" si="206"/>
        <v/>
      </c>
      <c r="AU993" s="168" t="str">
        <f t="shared" si="207"/>
        <v/>
      </c>
      <c r="AV993" s="227"/>
      <c r="AW993" s="30"/>
      <c r="AX993" s="267"/>
      <c r="AY993" s="267"/>
      <c r="AZ993" s="29"/>
      <c r="BA993" s="30"/>
      <c r="BB993" s="23" t="str" cm="1">
        <f t="array" ref="BB993">_xlfn.IFS(AW993="SIM",SUM(K993,P993,U993,Z993,AE993,AJ993,AO993,AT993,AX993,AY993),F993&lt;&gt;"",SUM(K993,P993,U993,Z993,AE993,AJ993,,AO993,AT993),F993="","")</f>
        <v/>
      </c>
      <c r="BC993" s="211" t="str" cm="1">
        <f t="array" ref="BC993">_xlfn.IFS(E993="","",G993&lt;=E993,BB993*(1-0.03),G993&lt;(E993+8),BB993,AZ993="Boleto",BB993*(1+0.001)^DATEDIF(E993,G993,"D"),AZ993="Cheque",BB993,AZ993="Dinheiro","Alterar forma pgto")</f>
        <v/>
      </c>
      <c r="BD993" s="276" t="str" cm="1">
        <f t="array" ref="BD993">IF(F993=0," ",IF(BC993&lt;BB993,(_xlfn.IFS(AW993="SIM",SUM(L993,Q993,V993,AA993,AF993,AK993,AP993,AU993)+AX993/_xlfn.XLOOKUP(_xlfn.XLOOKUP($F993,Clientes!$B$4:$B$39,Clientes!$C$4:$C$39),Cadastros!$L$6:$L$12,Cadastros!$M$6:$M$12)+IF($F993="Bernardino Furlan",AY993/2751.92,IF($F993="Mauro José Salanti",AY993/2751.92,AY993/3356)),F993&lt;&gt;0,SUM(L993,Q993,V993,AA993,AF993,AK993,AP993,AU993)))*(1-0.03),_xlfn.IFS(AW993="SIM",SUM(L993,Q993,V993,AA993,AF993,AK993,AP993,AU993)+AX993/_xlfn.XLOOKUP(_xlfn.XLOOKUP($F993,Clientes!$B$4:$B$39,Clientes!$C$4:$C$39),Cadastros!$L$6:$L$12,Cadastros!$M$6:$M$12)+IF($F993="Bernardino Furlan",AY993/2751.92,IF($F993="Mauro José Salanti",AY993/2751.92,AY993/3356)),F993&lt;&gt;0,SUM(L993,Q993,V993,AA993,AF993,AK993,AP993,AU993))))</f>
        <v xml:space="preserve"> </v>
      </c>
      <c r="BE993" s="120"/>
      <c r="BF993" s="120"/>
      <c r="BG993" s="120"/>
    </row>
    <row r="994" spans="1:59" s="3" customFormat="1" x14ac:dyDescent="0.3">
      <c r="A994" s="15" t="str">
        <f t="shared" si="195"/>
        <v/>
      </c>
      <c r="B994" s="25"/>
      <c r="C994" s="26"/>
      <c r="D994" s="279"/>
      <c r="E994" s="27"/>
      <c r="F994" s="28"/>
      <c r="G994" s="27"/>
      <c r="H994" s="28"/>
      <c r="I994" s="28"/>
      <c r="J994" s="255" t="str">
        <f>IF(H994="","",(_xlfn.XLOOKUP(H994,Cadastros!$D$6:$D$90,Cadastros!$E$6:$E$90))*(1-_xlfn.XLOOKUP(_xlfn.XLOOKUP($F994,Clientes!$B$4:$B$39,Clientes!$C$4:$C$39),Cadastros!$L$6:$L$12,Cadastros!$N$6:$N$12)))</f>
        <v/>
      </c>
      <c r="K994" s="168" t="str">
        <f t="shared" si="196"/>
        <v/>
      </c>
      <c r="L994" s="168" t="str">
        <f>IFERROR(K994/_xlfn.XLOOKUP(_xlfn.XLOOKUP($F994,Clientes!$B$4:$B$39,Clientes!$C$4:$C$39),Cadastros!$L$6:$L$12,Cadastros!$M$6:$M$12)," ")</f>
        <v xml:space="preserve"> </v>
      </c>
      <c r="M994" s="28"/>
      <c r="N994" s="28"/>
      <c r="O994" s="255" t="str">
        <f>IF(M994="","",(_xlfn.XLOOKUP(M994,Cadastros!$D$6:$D$90,Cadastros!$E$6:$E$90))*(1-_xlfn.XLOOKUP(_xlfn.XLOOKUP($F994,Clientes!$B$4:$B$39,Clientes!$C$4:$C$39),Cadastros!$L$6:$L$12,Cadastros!$N$6:$N$12)))</f>
        <v/>
      </c>
      <c r="P994" s="168" t="str">
        <f t="shared" si="197"/>
        <v/>
      </c>
      <c r="Q994" s="168" t="str">
        <f>IFERROR(P994/_xlfn.XLOOKUP(_xlfn.XLOOKUP($F994,Clientes!$B$4:$B$39,Clientes!$C$4:$C$39),Cadastros!$L$6:$L$12,Cadastros!$M$6:$M$12)," ")</f>
        <v xml:space="preserve"> </v>
      </c>
      <c r="R994" s="28"/>
      <c r="S994" s="28"/>
      <c r="T994" s="255" t="str">
        <f>IF(R994="","",(_xlfn.XLOOKUP(R994,Cadastros!$D$6:$D$90,Cadastros!$E$6:$E$90))*(1-_xlfn.XLOOKUP(_xlfn.XLOOKUP($F994,Clientes!$B$4:$B$39,Clientes!$C$4:$C$39),Cadastros!$L$6:$L$12,Cadastros!$N$6:$N$12)))</f>
        <v/>
      </c>
      <c r="U994" s="168" t="str">
        <f t="shared" si="198"/>
        <v/>
      </c>
      <c r="V994" s="168" t="str">
        <f>IFERROR(U994/_xlfn.XLOOKUP(_xlfn.XLOOKUP($F994,Clientes!$B$4:$B$39,Clientes!$C$4:$C$39),Cadastros!$L$6:$L$12,Cadastros!$M$6:$M$12)," ")</f>
        <v xml:space="preserve"> </v>
      </c>
      <c r="W994" s="28"/>
      <c r="X994" s="28"/>
      <c r="Y994" s="255" t="str">
        <f>IF(W994="","",(_xlfn.XLOOKUP(W994,Cadastros!$D$6:$D$90,Cadastros!$E$6:$E$90))*(1-_xlfn.XLOOKUP(_xlfn.XLOOKUP($F994,Clientes!$B$4:$B$39,Clientes!$C$4:$C$39),Cadastros!$L$6:$L$12,Cadastros!$N$6:$N$12)))</f>
        <v/>
      </c>
      <c r="Z994" s="168" t="str">
        <f t="shared" si="199"/>
        <v/>
      </c>
      <c r="AA994" s="168" t="str">
        <f>IFERROR(Z994/_xlfn.XLOOKUP(_xlfn.XLOOKUP($F994,Clientes!$B$4:$B$39,Clientes!$C$4:$C$39),Cadastros!$L$6:$L$12,Cadastros!$M$6:$M$12)," ")</f>
        <v xml:space="preserve"> </v>
      </c>
      <c r="AB994" s="28"/>
      <c r="AC994" s="28"/>
      <c r="AD994" s="20" t="str">
        <f>IF(AB994="","",IF($F994="Bernardino Furlan",_xlfn.XLOOKUP(AB994,Cadastros!$G$6:$G$90,Cadastros!$H$6:$H$90)*(1-0.18),IF($F994="Mauro José Salanti",_xlfn.XLOOKUP(AB994,Cadastros!$G$6:$G$90,Cadastros!$H$6:$H$90)*(1-0.18),_xlfn.XLOOKUP(AB994,Cadastros!$G$6:$G$90,Cadastros!$H$6:$H$90))))</f>
        <v/>
      </c>
      <c r="AE994" s="168" t="str">
        <f t="shared" si="200"/>
        <v/>
      </c>
      <c r="AF994" s="168" t="str">
        <f t="shared" si="201"/>
        <v/>
      </c>
      <c r="AG994" s="28"/>
      <c r="AH994" s="28"/>
      <c r="AI994" s="20" t="str">
        <f>IF(AG994="","",IF($F994="Bernardino Furlan",_xlfn.XLOOKUP(AG994,Cadastros!$G$6:$G$90,Cadastros!$H$6:$H$90)*(1-0.18),IF($F994="Mauro José Salanti",_xlfn.XLOOKUP(AG994,Cadastros!$G$6:$G$90,Cadastros!$H$6:$H$90)*(1-0.18),_xlfn.XLOOKUP(AG994,Cadastros!$G$6:$G$90,Cadastros!$H$6:$H$90))))</f>
        <v/>
      </c>
      <c r="AJ994" s="168" t="str">
        <f t="shared" si="202"/>
        <v/>
      </c>
      <c r="AK994" s="168" t="str">
        <f t="shared" si="203"/>
        <v/>
      </c>
      <c r="AL994" s="28"/>
      <c r="AM994" s="28"/>
      <c r="AN994" s="20" t="str">
        <f>IF(AL994="","",IF($F994="Bernardino Furlan",_xlfn.XLOOKUP(AL994,Cadastros!$G$6:$G$90,Cadastros!$H$6:$H$90)*(1-0.18),IF($F994="Mauro José Salanti",_xlfn.XLOOKUP(AL994,Cadastros!$G$6:$G$90,Cadastros!$H$6:$H$90)*(1-0.18),_xlfn.XLOOKUP(AL994,Cadastros!$G$6:$G$90,Cadastros!$H$6:$H$90))))</f>
        <v/>
      </c>
      <c r="AO994" s="168" t="str">
        <f t="shared" si="204"/>
        <v/>
      </c>
      <c r="AP994" s="168" t="str">
        <f t="shared" si="205"/>
        <v/>
      </c>
      <c r="AQ994" s="28"/>
      <c r="AR994" s="28"/>
      <c r="AS994" s="20" t="str">
        <f>IF(AQ994="","",IF($F994="Bernardino Furlan",_xlfn.XLOOKUP(AQ994,Cadastros!$G$6:$G$90,Cadastros!$H$6:$H$90)*(1-0.18),IF($F994="Mauro José Salanti",_xlfn.XLOOKUP(AQ994,Cadastros!$G$6:$G$90,Cadastros!$H$6:$H$90)*(1-0.18),_xlfn.XLOOKUP(AQ994,Cadastros!$G$6:$G$90,Cadastros!$H$6:$H$90))))</f>
        <v/>
      </c>
      <c r="AT994" s="168" t="str">
        <f t="shared" si="206"/>
        <v/>
      </c>
      <c r="AU994" s="168" t="str">
        <f t="shared" si="207"/>
        <v/>
      </c>
      <c r="AV994" s="227"/>
      <c r="AW994" s="30"/>
      <c r="AX994" s="267"/>
      <c r="AY994" s="267"/>
      <c r="AZ994" s="29"/>
      <c r="BA994" s="30"/>
      <c r="BB994" s="23" t="str" cm="1">
        <f t="array" ref="BB994">_xlfn.IFS(AW994="SIM",SUM(K994,P994,U994,Z994,AE994,AJ994,AO994,AT994,AX994,AY994),F994&lt;&gt;"",SUM(K994,P994,U994,Z994,AE994,AJ994,,AO994,AT994),F994="","")</f>
        <v/>
      </c>
      <c r="BC994" s="211" t="str" cm="1">
        <f t="array" ref="BC994">_xlfn.IFS(E994="","",G994&lt;=E994,BB994*(1-0.03),G994&lt;(E994+8),BB994,AZ994="Boleto",BB994*(1+0.001)^DATEDIF(E994,G994,"D"),AZ994="Cheque",BB994,AZ994="Dinheiro","Alterar forma pgto")</f>
        <v/>
      </c>
      <c r="BD994" s="276" t="str" cm="1">
        <f t="array" ref="BD994">IF(F994=0," ",IF(BC994&lt;BB994,(_xlfn.IFS(AW994="SIM",SUM(L994,Q994,V994,AA994,AF994,AK994,AP994,AU994)+AX994/_xlfn.XLOOKUP(_xlfn.XLOOKUP($F994,Clientes!$B$4:$B$39,Clientes!$C$4:$C$39),Cadastros!$L$6:$L$12,Cadastros!$M$6:$M$12)+IF($F994="Bernardino Furlan",AY994/2751.92,IF($F994="Mauro José Salanti",AY994/2751.92,AY994/3356)),F994&lt;&gt;0,SUM(L994,Q994,V994,AA994,AF994,AK994,AP994,AU994)))*(1-0.03),_xlfn.IFS(AW994="SIM",SUM(L994,Q994,V994,AA994,AF994,AK994,AP994,AU994)+AX994/_xlfn.XLOOKUP(_xlfn.XLOOKUP($F994,Clientes!$B$4:$B$39,Clientes!$C$4:$C$39),Cadastros!$L$6:$L$12,Cadastros!$M$6:$M$12)+IF($F994="Bernardino Furlan",AY994/2751.92,IF($F994="Mauro José Salanti",AY994/2751.92,AY994/3356)),F994&lt;&gt;0,SUM(L994,Q994,V994,AA994,AF994,AK994,AP994,AU994))))</f>
        <v xml:space="preserve"> </v>
      </c>
      <c r="BE994" s="120"/>
      <c r="BF994" s="120"/>
      <c r="BG994" s="120"/>
    </row>
    <row r="995" spans="1:59" s="3" customFormat="1" x14ac:dyDescent="0.3">
      <c r="A995" s="15" t="str">
        <f t="shared" si="195"/>
        <v/>
      </c>
      <c r="B995" s="25"/>
      <c r="C995" s="26"/>
      <c r="D995" s="279"/>
      <c r="E995" s="27"/>
      <c r="F995" s="28"/>
      <c r="G995" s="27"/>
      <c r="H995" s="28"/>
      <c r="I995" s="28"/>
      <c r="J995" s="255" t="str">
        <f>IF(H995="","",(_xlfn.XLOOKUP(H995,Cadastros!$D$6:$D$90,Cadastros!$E$6:$E$90))*(1-_xlfn.XLOOKUP(_xlfn.XLOOKUP($F995,Clientes!$B$4:$B$39,Clientes!$C$4:$C$39),Cadastros!$L$6:$L$12,Cadastros!$N$6:$N$12)))</f>
        <v/>
      </c>
      <c r="K995" s="168" t="str">
        <f t="shared" si="196"/>
        <v/>
      </c>
      <c r="L995" s="168" t="str">
        <f>IFERROR(K995/_xlfn.XLOOKUP(_xlfn.XLOOKUP($F995,Clientes!$B$4:$B$39,Clientes!$C$4:$C$39),Cadastros!$L$6:$L$12,Cadastros!$M$6:$M$12)," ")</f>
        <v xml:space="preserve"> </v>
      </c>
      <c r="M995" s="28"/>
      <c r="N995" s="28"/>
      <c r="O995" s="255" t="str">
        <f>IF(M995="","",(_xlfn.XLOOKUP(M995,Cadastros!$D$6:$D$90,Cadastros!$E$6:$E$90))*(1-_xlfn.XLOOKUP(_xlfn.XLOOKUP($F995,Clientes!$B$4:$B$39,Clientes!$C$4:$C$39),Cadastros!$L$6:$L$12,Cadastros!$N$6:$N$12)))</f>
        <v/>
      </c>
      <c r="P995" s="168" t="str">
        <f t="shared" si="197"/>
        <v/>
      </c>
      <c r="Q995" s="168" t="str">
        <f>IFERROR(P995/_xlfn.XLOOKUP(_xlfn.XLOOKUP($F995,Clientes!$B$4:$B$39,Clientes!$C$4:$C$39),Cadastros!$L$6:$L$12,Cadastros!$M$6:$M$12)," ")</f>
        <v xml:space="preserve"> </v>
      </c>
      <c r="R995" s="28"/>
      <c r="S995" s="28"/>
      <c r="T995" s="255" t="str">
        <f>IF(R995="","",(_xlfn.XLOOKUP(R995,Cadastros!$D$6:$D$90,Cadastros!$E$6:$E$90))*(1-_xlfn.XLOOKUP(_xlfn.XLOOKUP($F995,Clientes!$B$4:$B$39,Clientes!$C$4:$C$39),Cadastros!$L$6:$L$12,Cadastros!$N$6:$N$12)))</f>
        <v/>
      </c>
      <c r="U995" s="168" t="str">
        <f t="shared" si="198"/>
        <v/>
      </c>
      <c r="V995" s="168" t="str">
        <f>IFERROR(U995/_xlfn.XLOOKUP(_xlfn.XLOOKUP($F995,Clientes!$B$4:$B$39,Clientes!$C$4:$C$39),Cadastros!$L$6:$L$12,Cadastros!$M$6:$M$12)," ")</f>
        <v xml:space="preserve"> </v>
      </c>
      <c r="W995" s="28"/>
      <c r="X995" s="28"/>
      <c r="Y995" s="255" t="str">
        <f>IF(W995="","",(_xlfn.XLOOKUP(W995,Cadastros!$D$6:$D$90,Cadastros!$E$6:$E$90))*(1-_xlfn.XLOOKUP(_xlfn.XLOOKUP($F995,Clientes!$B$4:$B$39,Clientes!$C$4:$C$39),Cadastros!$L$6:$L$12,Cadastros!$N$6:$N$12)))</f>
        <v/>
      </c>
      <c r="Z995" s="168" t="str">
        <f t="shared" si="199"/>
        <v/>
      </c>
      <c r="AA995" s="168" t="str">
        <f>IFERROR(Z995/_xlfn.XLOOKUP(_xlfn.XLOOKUP($F995,Clientes!$B$4:$B$39,Clientes!$C$4:$C$39),Cadastros!$L$6:$L$12,Cadastros!$M$6:$M$12)," ")</f>
        <v xml:space="preserve"> </v>
      </c>
      <c r="AB995" s="28"/>
      <c r="AC995" s="28"/>
      <c r="AD995" s="20" t="str">
        <f>IF(AB995="","",IF($F995="Bernardino Furlan",_xlfn.XLOOKUP(AB995,Cadastros!$G$6:$G$90,Cadastros!$H$6:$H$90)*(1-0.18),IF($F995="Mauro José Salanti",_xlfn.XLOOKUP(AB995,Cadastros!$G$6:$G$90,Cadastros!$H$6:$H$90)*(1-0.18),_xlfn.XLOOKUP(AB995,Cadastros!$G$6:$G$90,Cadastros!$H$6:$H$90))))</f>
        <v/>
      </c>
      <c r="AE995" s="168" t="str">
        <f t="shared" si="200"/>
        <v/>
      </c>
      <c r="AF995" s="168" t="str">
        <f t="shared" si="201"/>
        <v/>
      </c>
      <c r="AG995" s="28"/>
      <c r="AH995" s="28"/>
      <c r="AI995" s="20" t="str">
        <f>IF(AG995="","",IF($F995="Bernardino Furlan",_xlfn.XLOOKUP(AG995,Cadastros!$G$6:$G$90,Cadastros!$H$6:$H$90)*(1-0.18),IF($F995="Mauro José Salanti",_xlfn.XLOOKUP(AG995,Cadastros!$G$6:$G$90,Cadastros!$H$6:$H$90)*(1-0.18),_xlfn.XLOOKUP(AG995,Cadastros!$G$6:$G$90,Cadastros!$H$6:$H$90))))</f>
        <v/>
      </c>
      <c r="AJ995" s="168" t="str">
        <f t="shared" si="202"/>
        <v/>
      </c>
      <c r="AK995" s="168" t="str">
        <f t="shared" si="203"/>
        <v/>
      </c>
      <c r="AL995" s="28"/>
      <c r="AM995" s="28"/>
      <c r="AN995" s="20" t="str">
        <f>IF(AL995="","",IF($F995="Bernardino Furlan",_xlfn.XLOOKUP(AL995,Cadastros!$G$6:$G$90,Cadastros!$H$6:$H$90)*(1-0.18),IF($F995="Mauro José Salanti",_xlfn.XLOOKUP(AL995,Cadastros!$G$6:$G$90,Cadastros!$H$6:$H$90)*(1-0.18),_xlfn.XLOOKUP(AL995,Cadastros!$G$6:$G$90,Cadastros!$H$6:$H$90))))</f>
        <v/>
      </c>
      <c r="AO995" s="168" t="str">
        <f t="shared" si="204"/>
        <v/>
      </c>
      <c r="AP995" s="168" t="str">
        <f t="shared" si="205"/>
        <v/>
      </c>
      <c r="AQ995" s="28"/>
      <c r="AR995" s="28"/>
      <c r="AS995" s="20" t="str">
        <f>IF(AQ995="","",IF($F995="Bernardino Furlan",_xlfn.XLOOKUP(AQ995,Cadastros!$G$6:$G$90,Cadastros!$H$6:$H$90)*(1-0.18),IF($F995="Mauro José Salanti",_xlfn.XLOOKUP(AQ995,Cadastros!$G$6:$G$90,Cadastros!$H$6:$H$90)*(1-0.18),_xlfn.XLOOKUP(AQ995,Cadastros!$G$6:$G$90,Cadastros!$H$6:$H$90))))</f>
        <v/>
      </c>
      <c r="AT995" s="168" t="str">
        <f t="shared" si="206"/>
        <v/>
      </c>
      <c r="AU995" s="168" t="str">
        <f t="shared" si="207"/>
        <v/>
      </c>
      <c r="AV995" s="227"/>
      <c r="AW995" s="30"/>
      <c r="AX995" s="267"/>
      <c r="AY995" s="267"/>
      <c r="AZ995" s="29"/>
      <c r="BA995" s="30"/>
      <c r="BB995" s="23" t="str" cm="1">
        <f t="array" ref="BB995">_xlfn.IFS(AW995="SIM",SUM(K995,P995,U995,Z995,AE995,AJ995,AO995,AT995,AX995,AY995),F995&lt;&gt;"",SUM(K995,P995,U995,Z995,AE995,AJ995,,AO995,AT995),F995="","")</f>
        <v/>
      </c>
      <c r="BC995" s="211" t="str" cm="1">
        <f t="array" ref="BC995">_xlfn.IFS(E995="","",G995&lt;=E995,BB995*(1-0.03),G995&lt;(E995+8),BB995,AZ995="Boleto",BB995*(1+0.001)^DATEDIF(E995,G995,"D"),AZ995="Cheque",BB995,AZ995="Dinheiro","Alterar forma pgto")</f>
        <v/>
      </c>
      <c r="BD995" s="276" t="str" cm="1">
        <f t="array" ref="BD995">IF(F995=0," ",IF(BC995&lt;BB995,(_xlfn.IFS(AW995="SIM",SUM(L995,Q995,V995,AA995,AF995,AK995,AP995,AU995)+AX995/_xlfn.XLOOKUP(_xlfn.XLOOKUP($F995,Clientes!$B$4:$B$39,Clientes!$C$4:$C$39),Cadastros!$L$6:$L$12,Cadastros!$M$6:$M$12)+IF($F995="Bernardino Furlan",AY995/2751.92,IF($F995="Mauro José Salanti",AY995/2751.92,AY995/3356)),F995&lt;&gt;0,SUM(L995,Q995,V995,AA995,AF995,AK995,AP995,AU995)))*(1-0.03),_xlfn.IFS(AW995="SIM",SUM(L995,Q995,V995,AA995,AF995,AK995,AP995,AU995)+AX995/_xlfn.XLOOKUP(_xlfn.XLOOKUP($F995,Clientes!$B$4:$B$39,Clientes!$C$4:$C$39),Cadastros!$L$6:$L$12,Cadastros!$M$6:$M$12)+IF($F995="Bernardino Furlan",AY995/2751.92,IF($F995="Mauro José Salanti",AY995/2751.92,AY995/3356)),F995&lt;&gt;0,SUM(L995,Q995,V995,AA995,AF995,AK995,AP995,AU995))))</f>
        <v xml:space="preserve"> </v>
      </c>
      <c r="BE995" s="120"/>
      <c r="BF995" s="120"/>
      <c r="BG995" s="120"/>
    </row>
    <row r="996" spans="1:59" s="3" customFormat="1" x14ac:dyDescent="0.3">
      <c r="A996" s="15" t="str">
        <f t="shared" si="195"/>
        <v/>
      </c>
      <c r="B996" s="25"/>
      <c r="C996" s="26"/>
      <c r="D996" s="279"/>
      <c r="E996" s="27"/>
      <c r="F996" s="28"/>
      <c r="G996" s="27"/>
      <c r="H996" s="28"/>
      <c r="I996" s="28"/>
      <c r="J996" s="255" t="str">
        <f>IF(H996="","",(_xlfn.XLOOKUP(H996,Cadastros!$D$6:$D$90,Cadastros!$E$6:$E$90))*(1-_xlfn.XLOOKUP(_xlfn.XLOOKUP($F996,Clientes!$B$4:$B$39,Clientes!$C$4:$C$39),Cadastros!$L$6:$L$12,Cadastros!$N$6:$N$12)))</f>
        <v/>
      </c>
      <c r="K996" s="168" t="str">
        <f t="shared" si="196"/>
        <v/>
      </c>
      <c r="L996" s="168" t="str">
        <f>IFERROR(K996/_xlfn.XLOOKUP(_xlfn.XLOOKUP($F996,Clientes!$B$4:$B$39,Clientes!$C$4:$C$39),Cadastros!$L$6:$L$12,Cadastros!$M$6:$M$12)," ")</f>
        <v xml:space="preserve"> </v>
      </c>
      <c r="M996" s="28"/>
      <c r="N996" s="28"/>
      <c r="O996" s="255" t="str">
        <f>IF(M996="","",(_xlfn.XLOOKUP(M996,Cadastros!$D$6:$D$90,Cadastros!$E$6:$E$90))*(1-_xlfn.XLOOKUP(_xlfn.XLOOKUP($F996,Clientes!$B$4:$B$39,Clientes!$C$4:$C$39),Cadastros!$L$6:$L$12,Cadastros!$N$6:$N$12)))</f>
        <v/>
      </c>
      <c r="P996" s="168" t="str">
        <f t="shared" si="197"/>
        <v/>
      </c>
      <c r="Q996" s="168" t="str">
        <f>IFERROR(P996/_xlfn.XLOOKUP(_xlfn.XLOOKUP($F996,Clientes!$B$4:$B$39,Clientes!$C$4:$C$39),Cadastros!$L$6:$L$12,Cadastros!$M$6:$M$12)," ")</f>
        <v xml:space="preserve"> </v>
      </c>
      <c r="R996" s="28"/>
      <c r="S996" s="28"/>
      <c r="T996" s="255" t="str">
        <f>IF(R996="","",(_xlfn.XLOOKUP(R996,Cadastros!$D$6:$D$90,Cadastros!$E$6:$E$90))*(1-_xlfn.XLOOKUP(_xlfn.XLOOKUP($F996,Clientes!$B$4:$B$39,Clientes!$C$4:$C$39),Cadastros!$L$6:$L$12,Cadastros!$N$6:$N$12)))</f>
        <v/>
      </c>
      <c r="U996" s="168" t="str">
        <f t="shared" si="198"/>
        <v/>
      </c>
      <c r="V996" s="168" t="str">
        <f>IFERROR(U996/_xlfn.XLOOKUP(_xlfn.XLOOKUP($F996,Clientes!$B$4:$B$39,Clientes!$C$4:$C$39),Cadastros!$L$6:$L$12,Cadastros!$M$6:$M$12)," ")</f>
        <v xml:space="preserve"> </v>
      </c>
      <c r="W996" s="28"/>
      <c r="X996" s="28"/>
      <c r="Y996" s="255" t="str">
        <f>IF(W996="","",(_xlfn.XLOOKUP(W996,Cadastros!$D$6:$D$90,Cadastros!$E$6:$E$90))*(1-_xlfn.XLOOKUP(_xlfn.XLOOKUP($F996,Clientes!$B$4:$B$39,Clientes!$C$4:$C$39),Cadastros!$L$6:$L$12,Cadastros!$N$6:$N$12)))</f>
        <v/>
      </c>
      <c r="Z996" s="168" t="str">
        <f t="shared" si="199"/>
        <v/>
      </c>
      <c r="AA996" s="168" t="str">
        <f>IFERROR(Z996/_xlfn.XLOOKUP(_xlfn.XLOOKUP($F996,Clientes!$B$4:$B$39,Clientes!$C$4:$C$39),Cadastros!$L$6:$L$12,Cadastros!$M$6:$M$12)," ")</f>
        <v xml:space="preserve"> </v>
      </c>
      <c r="AB996" s="28"/>
      <c r="AC996" s="28"/>
      <c r="AD996" s="20" t="str">
        <f>IF(AB996="","",IF($F996="Bernardino Furlan",_xlfn.XLOOKUP(AB996,Cadastros!$G$6:$G$90,Cadastros!$H$6:$H$90)*(1-0.18),IF($F996="Mauro José Salanti",_xlfn.XLOOKUP(AB996,Cadastros!$G$6:$G$90,Cadastros!$H$6:$H$90)*(1-0.18),_xlfn.XLOOKUP(AB996,Cadastros!$G$6:$G$90,Cadastros!$H$6:$H$90))))</f>
        <v/>
      </c>
      <c r="AE996" s="168" t="str">
        <f t="shared" si="200"/>
        <v/>
      </c>
      <c r="AF996" s="168" t="str">
        <f t="shared" si="201"/>
        <v/>
      </c>
      <c r="AG996" s="28"/>
      <c r="AH996" s="28"/>
      <c r="AI996" s="20" t="str">
        <f>IF(AG996="","",IF($F996="Bernardino Furlan",_xlfn.XLOOKUP(AG996,Cadastros!$G$6:$G$90,Cadastros!$H$6:$H$90)*(1-0.18),IF($F996="Mauro José Salanti",_xlfn.XLOOKUP(AG996,Cadastros!$G$6:$G$90,Cadastros!$H$6:$H$90)*(1-0.18),_xlfn.XLOOKUP(AG996,Cadastros!$G$6:$G$90,Cadastros!$H$6:$H$90))))</f>
        <v/>
      </c>
      <c r="AJ996" s="168" t="str">
        <f t="shared" si="202"/>
        <v/>
      </c>
      <c r="AK996" s="168" t="str">
        <f t="shared" si="203"/>
        <v/>
      </c>
      <c r="AL996" s="28"/>
      <c r="AM996" s="28"/>
      <c r="AN996" s="20" t="str">
        <f>IF(AL996="","",IF($F996="Bernardino Furlan",_xlfn.XLOOKUP(AL996,Cadastros!$G$6:$G$90,Cadastros!$H$6:$H$90)*(1-0.18),IF($F996="Mauro José Salanti",_xlfn.XLOOKUP(AL996,Cadastros!$G$6:$G$90,Cadastros!$H$6:$H$90)*(1-0.18),_xlfn.XLOOKUP(AL996,Cadastros!$G$6:$G$90,Cadastros!$H$6:$H$90))))</f>
        <v/>
      </c>
      <c r="AO996" s="168" t="str">
        <f t="shared" si="204"/>
        <v/>
      </c>
      <c r="AP996" s="168" t="str">
        <f t="shared" si="205"/>
        <v/>
      </c>
      <c r="AQ996" s="28"/>
      <c r="AR996" s="28"/>
      <c r="AS996" s="20" t="str">
        <f>IF(AQ996="","",IF($F996="Bernardino Furlan",_xlfn.XLOOKUP(AQ996,Cadastros!$G$6:$G$90,Cadastros!$H$6:$H$90)*(1-0.18),IF($F996="Mauro José Salanti",_xlfn.XLOOKUP(AQ996,Cadastros!$G$6:$G$90,Cadastros!$H$6:$H$90)*(1-0.18),_xlfn.XLOOKUP(AQ996,Cadastros!$G$6:$G$90,Cadastros!$H$6:$H$90))))</f>
        <v/>
      </c>
      <c r="AT996" s="168" t="str">
        <f t="shared" si="206"/>
        <v/>
      </c>
      <c r="AU996" s="168" t="str">
        <f t="shared" si="207"/>
        <v/>
      </c>
      <c r="AV996" s="227"/>
      <c r="AW996" s="30"/>
      <c r="AX996" s="267"/>
      <c r="AY996" s="267"/>
      <c r="AZ996" s="29"/>
      <c r="BA996" s="30"/>
      <c r="BB996" s="23" t="str" cm="1">
        <f t="array" ref="BB996">_xlfn.IFS(AW996="SIM",SUM(K996,P996,U996,Z996,AE996,AJ996,AO996,AT996,AX996,AY996),F996&lt;&gt;"",SUM(K996,P996,U996,Z996,AE996,AJ996,,AO996,AT996),F996="","")</f>
        <v/>
      </c>
      <c r="BC996" s="211" t="str" cm="1">
        <f t="array" ref="BC996">_xlfn.IFS(E996="","",G996&lt;=E996,BB996*(1-0.03),G996&lt;(E996+8),BB996,AZ996="Boleto",BB996*(1+0.001)^DATEDIF(E996,G996,"D"),AZ996="Cheque",BB996,AZ996="Dinheiro","Alterar forma pgto")</f>
        <v/>
      </c>
      <c r="BD996" s="276" t="str" cm="1">
        <f t="array" ref="BD996">IF(F996=0," ",IF(BC996&lt;BB996,(_xlfn.IFS(AW996="SIM",SUM(L996,Q996,V996,AA996,AF996,AK996,AP996,AU996)+AX996/_xlfn.XLOOKUP(_xlfn.XLOOKUP($F996,Clientes!$B$4:$B$39,Clientes!$C$4:$C$39),Cadastros!$L$6:$L$12,Cadastros!$M$6:$M$12)+IF($F996="Bernardino Furlan",AY996/2751.92,IF($F996="Mauro José Salanti",AY996/2751.92,AY996/3356)),F996&lt;&gt;0,SUM(L996,Q996,V996,AA996,AF996,AK996,AP996,AU996)))*(1-0.03),_xlfn.IFS(AW996="SIM",SUM(L996,Q996,V996,AA996,AF996,AK996,AP996,AU996)+AX996/_xlfn.XLOOKUP(_xlfn.XLOOKUP($F996,Clientes!$B$4:$B$39,Clientes!$C$4:$C$39),Cadastros!$L$6:$L$12,Cadastros!$M$6:$M$12)+IF($F996="Bernardino Furlan",AY996/2751.92,IF($F996="Mauro José Salanti",AY996/2751.92,AY996/3356)),F996&lt;&gt;0,SUM(L996,Q996,V996,AA996,AF996,AK996,AP996,AU996))))</f>
        <v xml:space="preserve"> </v>
      </c>
      <c r="BE996" s="120"/>
      <c r="BF996" s="120"/>
      <c r="BG996" s="120"/>
    </row>
    <row r="997" spans="1:59" s="3" customFormat="1" x14ac:dyDescent="0.3">
      <c r="A997" s="15" t="str">
        <f t="shared" si="195"/>
        <v/>
      </c>
      <c r="B997" s="25"/>
      <c r="C997" s="26"/>
      <c r="D997" s="279"/>
      <c r="E997" s="27"/>
      <c r="F997" s="28"/>
      <c r="G997" s="27"/>
      <c r="H997" s="28"/>
      <c r="I997" s="28"/>
      <c r="J997" s="255" t="str">
        <f>IF(H997="","",(_xlfn.XLOOKUP(H997,Cadastros!$D$6:$D$90,Cadastros!$E$6:$E$90))*(1-_xlfn.XLOOKUP(_xlfn.XLOOKUP($F997,Clientes!$B$4:$B$39,Clientes!$C$4:$C$39),Cadastros!$L$6:$L$12,Cadastros!$N$6:$N$12)))</f>
        <v/>
      </c>
      <c r="K997" s="168" t="str">
        <f t="shared" si="196"/>
        <v/>
      </c>
      <c r="L997" s="168" t="str">
        <f>IFERROR(K997/_xlfn.XLOOKUP(_xlfn.XLOOKUP($F997,Clientes!$B$4:$B$39,Clientes!$C$4:$C$39),Cadastros!$L$6:$L$12,Cadastros!$M$6:$M$12)," ")</f>
        <v xml:space="preserve"> </v>
      </c>
      <c r="M997" s="28"/>
      <c r="N997" s="28"/>
      <c r="O997" s="255" t="str">
        <f>IF(M997="","",(_xlfn.XLOOKUP(M997,Cadastros!$D$6:$D$90,Cadastros!$E$6:$E$90))*(1-_xlfn.XLOOKUP(_xlfn.XLOOKUP($F997,Clientes!$B$4:$B$39,Clientes!$C$4:$C$39),Cadastros!$L$6:$L$12,Cadastros!$N$6:$N$12)))</f>
        <v/>
      </c>
      <c r="P997" s="168" t="str">
        <f t="shared" si="197"/>
        <v/>
      </c>
      <c r="Q997" s="168" t="str">
        <f>IFERROR(P997/_xlfn.XLOOKUP(_xlfn.XLOOKUP($F997,Clientes!$B$4:$B$39,Clientes!$C$4:$C$39),Cadastros!$L$6:$L$12,Cadastros!$M$6:$M$12)," ")</f>
        <v xml:space="preserve"> </v>
      </c>
      <c r="R997" s="28"/>
      <c r="S997" s="28"/>
      <c r="T997" s="255" t="str">
        <f>IF(R997="","",(_xlfn.XLOOKUP(R997,Cadastros!$D$6:$D$90,Cadastros!$E$6:$E$90))*(1-_xlfn.XLOOKUP(_xlfn.XLOOKUP($F997,Clientes!$B$4:$B$39,Clientes!$C$4:$C$39),Cadastros!$L$6:$L$12,Cadastros!$N$6:$N$12)))</f>
        <v/>
      </c>
      <c r="U997" s="168" t="str">
        <f t="shared" si="198"/>
        <v/>
      </c>
      <c r="V997" s="168" t="str">
        <f>IFERROR(U997/_xlfn.XLOOKUP(_xlfn.XLOOKUP($F997,Clientes!$B$4:$B$39,Clientes!$C$4:$C$39),Cadastros!$L$6:$L$12,Cadastros!$M$6:$M$12)," ")</f>
        <v xml:space="preserve"> </v>
      </c>
      <c r="W997" s="28"/>
      <c r="X997" s="28"/>
      <c r="Y997" s="255" t="str">
        <f>IF(W997="","",(_xlfn.XLOOKUP(W997,Cadastros!$D$6:$D$90,Cadastros!$E$6:$E$90))*(1-_xlfn.XLOOKUP(_xlfn.XLOOKUP($F997,Clientes!$B$4:$B$39,Clientes!$C$4:$C$39),Cadastros!$L$6:$L$12,Cadastros!$N$6:$N$12)))</f>
        <v/>
      </c>
      <c r="Z997" s="168" t="str">
        <f t="shared" si="199"/>
        <v/>
      </c>
      <c r="AA997" s="168" t="str">
        <f>IFERROR(Z997/_xlfn.XLOOKUP(_xlfn.XLOOKUP($F997,Clientes!$B$4:$B$39,Clientes!$C$4:$C$39),Cadastros!$L$6:$L$12,Cadastros!$M$6:$M$12)," ")</f>
        <v xml:space="preserve"> </v>
      </c>
      <c r="AB997" s="28"/>
      <c r="AC997" s="28"/>
      <c r="AD997" s="20" t="str">
        <f>IF(AB997="","",IF($F997="Bernardino Furlan",_xlfn.XLOOKUP(AB997,Cadastros!$G$6:$G$90,Cadastros!$H$6:$H$90)*(1-0.18),IF($F997="Mauro José Salanti",_xlfn.XLOOKUP(AB997,Cadastros!$G$6:$G$90,Cadastros!$H$6:$H$90)*(1-0.18),_xlfn.XLOOKUP(AB997,Cadastros!$G$6:$G$90,Cadastros!$H$6:$H$90))))</f>
        <v/>
      </c>
      <c r="AE997" s="168" t="str">
        <f t="shared" si="200"/>
        <v/>
      </c>
      <c r="AF997" s="168" t="str">
        <f t="shared" si="201"/>
        <v/>
      </c>
      <c r="AG997" s="28"/>
      <c r="AH997" s="28"/>
      <c r="AI997" s="20" t="str">
        <f>IF(AG997="","",IF($F997="Bernardino Furlan",_xlfn.XLOOKUP(AG997,Cadastros!$G$6:$G$90,Cadastros!$H$6:$H$90)*(1-0.18),IF($F997="Mauro José Salanti",_xlfn.XLOOKUP(AG997,Cadastros!$G$6:$G$90,Cadastros!$H$6:$H$90)*(1-0.18),_xlfn.XLOOKUP(AG997,Cadastros!$G$6:$G$90,Cadastros!$H$6:$H$90))))</f>
        <v/>
      </c>
      <c r="AJ997" s="168" t="str">
        <f t="shared" si="202"/>
        <v/>
      </c>
      <c r="AK997" s="168" t="str">
        <f t="shared" si="203"/>
        <v/>
      </c>
      <c r="AL997" s="28"/>
      <c r="AM997" s="28"/>
      <c r="AN997" s="20" t="str">
        <f>IF(AL997="","",IF($F997="Bernardino Furlan",_xlfn.XLOOKUP(AL997,Cadastros!$G$6:$G$90,Cadastros!$H$6:$H$90)*(1-0.18),IF($F997="Mauro José Salanti",_xlfn.XLOOKUP(AL997,Cadastros!$G$6:$G$90,Cadastros!$H$6:$H$90)*(1-0.18),_xlfn.XLOOKUP(AL997,Cadastros!$G$6:$G$90,Cadastros!$H$6:$H$90))))</f>
        <v/>
      </c>
      <c r="AO997" s="168" t="str">
        <f t="shared" si="204"/>
        <v/>
      </c>
      <c r="AP997" s="168" t="str">
        <f t="shared" si="205"/>
        <v/>
      </c>
      <c r="AQ997" s="28"/>
      <c r="AR997" s="28"/>
      <c r="AS997" s="20" t="str">
        <f>IF(AQ997="","",IF($F997="Bernardino Furlan",_xlfn.XLOOKUP(AQ997,Cadastros!$G$6:$G$90,Cadastros!$H$6:$H$90)*(1-0.18),IF($F997="Mauro José Salanti",_xlfn.XLOOKUP(AQ997,Cadastros!$G$6:$G$90,Cadastros!$H$6:$H$90)*(1-0.18),_xlfn.XLOOKUP(AQ997,Cadastros!$G$6:$G$90,Cadastros!$H$6:$H$90))))</f>
        <v/>
      </c>
      <c r="AT997" s="168" t="str">
        <f t="shared" si="206"/>
        <v/>
      </c>
      <c r="AU997" s="168" t="str">
        <f t="shared" si="207"/>
        <v/>
      </c>
      <c r="AV997" s="227"/>
      <c r="AW997" s="30"/>
      <c r="AX997" s="267"/>
      <c r="AY997" s="267"/>
      <c r="AZ997" s="29"/>
      <c r="BA997" s="30"/>
      <c r="BB997" s="23" t="str" cm="1">
        <f t="array" ref="BB997">_xlfn.IFS(AW997="SIM",SUM(K997,P997,U997,Z997,AE997,AJ997,AO997,AT997,AX997,AY997),F997&lt;&gt;"",SUM(K997,P997,U997,Z997,AE997,AJ997,,AO997,AT997),F997="","")</f>
        <v/>
      </c>
      <c r="BC997" s="211" t="str" cm="1">
        <f t="array" ref="BC997">_xlfn.IFS(E997="","",G997&lt;=E997,BB997*(1-0.03),G997&lt;(E997+8),BB997,AZ997="Boleto",BB997*(1+0.001)^DATEDIF(E997,G997,"D"),AZ997="Cheque",BB997,AZ997="Dinheiro","Alterar forma pgto")</f>
        <v/>
      </c>
      <c r="BD997" s="276" t="str" cm="1">
        <f t="array" ref="BD997">IF(F997=0," ",IF(BC997&lt;BB997,(_xlfn.IFS(AW997="SIM",SUM(L997,Q997,V997,AA997,AF997,AK997,AP997,AU997)+AX997/_xlfn.XLOOKUP(_xlfn.XLOOKUP($F997,Clientes!$B$4:$B$39,Clientes!$C$4:$C$39),Cadastros!$L$6:$L$12,Cadastros!$M$6:$M$12)+IF($F997="Bernardino Furlan",AY997/2751.92,IF($F997="Mauro José Salanti",AY997/2751.92,AY997/3356)),F997&lt;&gt;0,SUM(L997,Q997,V997,AA997,AF997,AK997,AP997,AU997)))*(1-0.03),_xlfn.IFS(AW997="SIM",SUM(L997,Q997,V997,AA997,AF997,AK997,AP997,AU997)+AX997/_xlfn.XLOOKUP(_xlfn.XLOOKUP($F997,Clientes!$B$4:$B$39,Clientes!$C$4:$C$39),Cadastros!$L$6:$L$12,Cadastros!$M$6:$M$12)+IF($F997="Bernardino Furlan",AY997/2751.92,IF($F997="Mauro José Salanti",AY997/2751.92,AY997/3356)),F997&lt;&gt;0,SUM(L997,Q997,V997,AA997,AF997,AK997,AP997,AU997))))</f>
        <v xml:space="preserve"> </v>
      </c>
      <c r="BE997" s="120"/>
      <c r="BF997" s="120"/>
      <c r="BG997" s="120"/>
    </row>
    <row r="998" spans="1:59" s="3" customFormat="1" x14ac:dyDescent="0.3">
      <c r="A998" s="15" t="str">
        <f t="shared" si="195"/>
        <v/>
      </c>
      <c r="B998" s="25"/>
      <c r="C998" s="26"/>
      <c r="D998" s="279"/>
      <c r="E998" s="27"/>
      <c r="F998" s="28"/>
      <c r="G998" s="27"/>
      <c r="H998" s="28"/>
      <c r="I998" s="28"/>
      <c r="J998" s="255" t="str">
        <f>IF(H998="","",(_xlfn.XLOOKUP(H998,Cadastros!$D$6:$D$90,Cadastros!$E$6:$E$90))*(1-_xlfn.XLOOKUP(_xlfn.XLOOKUP($F998,Clientes!$B$4:$B$39,Clientes!$C$4:$C$39),Cadastros!$L$6:$L$12,Cadastros!$N$6:$N$12)))</f>
        <v/>
      </c>
      <c r="K998" s="168" t="str">
        <f t="shared" si="196"/>
        <v/>
      </c>
      <c r="L998" s="168" t="str">
        <f>IFERROR(K998/_xlfn.XLOOKUP(_xlfn.XLOOKUP($F998,Clientes!$B$4:$B$39,Clientes!$C$4:$C$39),Cadastros!$L$6:$L$12,Cadastros!$M$6:$M$12)," ")</f>
        <v xml:space="preserve"> </v>
      </c>
      <c r="M998" s="28"/>
      <c r="N998" s="28"/>
      <c r="O998" s="255" t="str">
        <f>IF(M998="","",(_xlfn.XLOOKUP(M998,Cadastros!$D$6:$D$90,Cadastros!$E$6:$E$90))*(1-_xlfn.XLOOKUP(_xlfn.XLOOKUP($F998,Clientes!$B$4:$B$39,Clientes!$C$4:$C$39),Cadastros!$L$6:$L$12,Cadastros!$N$6:$N$12)))</f>
        <v/>
      </c>
      <c r="P998" s="168" t="str">
        <f t="shared" si="197"/>
        <v/>
      </c>
      <c r="Q998" s="168" t="str">
        <f>IFERROR(P998/_xlfn.XLOOKUP(_xlfn.XLOOKUP($F998,Clientes!$B$4:$B$39,Clientes!$C$4:$C$39),Cadastros!$L$6:$L$12,Cadastros!$M$6:$M$12)," ")</f>
        <v xml:space="preserve"> </v>
      </c>
      <c r="R998" s="28"/>
      <c r="S998" s="28"/>
      <c r="T998" s="255" t="str">
        <f>IF(R998="","",(_xlfn.XLOOKUP(R998,Cadastros!$D$6:$D$90,Cadastros!$E$6:$E$90))*(1-_xlfn.XLOOKUP(_xlfn.XLOOKUP($F998,Clientes!$B$4:$B$39,Clientes!$C$4:$C$39),Cadastros!$L$6:$L$12,Cadastros!$N$6:$N$12)))</f>
        <v/>
      </c>
      <c r="U998" s="168" t="str">
        <f t="shared" si="198"/>
        <v/>
      </c>
      <c r="V998" s="168" t="str">
        <f>IFERROR(U998/_xlfn.XLOOKUP(_xlfn.XLOOKUP($F998,Clientes!$B$4:$B$39,Clientes!$C$4:$C$39),Cadastros!$L$6:$L$12,Cadastros!$M$6:$M$12)," ")</f>
        <v xml:space="preserve"> </v>
      </c>
      <c r="W998" s="28"/>
      <c r="X998" s="28"/>
      <c r="Y998" s="255" t="str">
        <f>IF(W998="","",(_xlfn.XLOOKUP(W998,Cadastros!$D$6:$D$90,Cadastros!$E$6:$E$90))*(1-_xlfn.XLOOKUP(_xlfn.XLOOKUP($F998,Clientes!$B$4:$B$39,Clientes!$C$4:$C$39),Cadastros!$L$6:$L$12,Cadastros!$N$6:$N$12)))</f>
        <v/>
      </c>
      <c r="Z998" s="168" t="str">
        <f t="shared" si="199"/>
        <v/>
      </c>
      <c r="AA998" s="168" t="str">
        <f>IFERROR(Z998/_xlfn.XLOOKUP(_xlfn.XLOOKUP($F998,Clientes!$B$4:$B$39,Clientes!$C$4:$C$39),Cadastros!$L$6:$L$12,Cadastros!$M$6:$M$12)," ")</f>
        <v xml:space="preserve"> </v>
      </c>
      <c r="AB998" s="28"/>
      <c r="AC998" s="28"/>
      <c r="AD998" s="20" t="str">
        <f>IF(AB998="","",IF($F998="Bernardino Furlan",_xlfn.XLOOKUP(AB998,Cadastros!$G$6:$G$90,Cadastros!$H$6:$H$90)*(1-0.18),IF($F998="Mauro José Salanti",_xlfn.XLOOKUP(AB998,Cadastros!$G$6:$G$90,Cadastros!$H$6:$H$90)*(1-0.18),_xlfn.XLOOKUP(AB998,Cadastros!$G$6:$G$90,Cadastros!$H$6:$H$90))))</f>
        <v/>
      </c>
      <c r="AE998" s="168" t="str">
        <f t="shared" si="200"/>
        <v/>
      </c>
      <c r="AF998" s="168" t="str">
        <f t="shared" si="201"/>
        <v/>
      </c>
      <c r="AG998" s="28"/>
      <c r="AH998" s="28"/>
      <c r="AI998" s="20" t="str">
        <f>IF(AG998="","",IF($F998="Bernardino Furlan",_xlfn.XLOOKUP(AG998,Cadastros!$G$6:$G$90,Cadastros!$H$6:$H$90)*(1-0.18),IF($F998="Mauro José Salanti",_xlfn.XLOOKUP(AG998,Cadastros!$G$6:$G$90,Cadastros!$H$6:$H$90)*(1-0.18),_xlfn.XLOOKUP(AG998,Cadastros!$G$6:$G$90,Cadastros!$H$6:$H$90))))</f>
        <v/>
      </c>
      <c r="AJ998" s="168" t="str">
        <f t="shared" si="202"/>
        <v/>
      </c>
      <c r="AK998" s="168" t="str">
        <f t="shared" si="203"/>
        <v/>
      </c>
      <c r="AL998" s="28"/>
      <c r="AM998" s="28"/>
      <c r="AN998" s="20" t="str">
        <f>IF(AL998="","",IF($F998="Bernardino Furlan",_xlfn.XLOOKUP(AL998,Cadastros!$G$6:$G$90,Cadastros!$H$6:$H$90)*(1-0.18),IF($F998="Mauro José Salanti",_xlfn.XLOOKUP(AL998,Cadastros!$G$6:$G$90,Cadastros!$H$6:$H$90)*(1-0.18),_xlfn.XLOOKUP(AL998,Cadastros!$G$6:$G$90,Cadastros!$H$6:$H$90))))</f>
        <v/>
      </c>
      <c r="AO998" s="168" t="str">
        <f t="shared" si="204"/>
        <v/>
      </c>
      <c r="AP998" s="168" t="str">
        <f t="shared" si="205"/>
        <v/>
      </c>
      <c r="AQ998" s="28"/>
      <c r="AR998" s="28"/>
      <c r="AS998" s="20" t="str">
        <f>IF(AQ998="","",IF($F998="Bernardino Furlan",_xlfn.XLOOKUP(AQ998,Cadastros!$G$6:$G$90,Cadastros!$H$6:$H$90)*(1-0.18),IF($F998="Mauro José Salanti",_xlfn.XLOOKUP(AQ998,Cadastros!$G$6:$G$90,Cadastros!$H$6:$H$90)*(1-0.18),_xlfn.XLOOKUP(AQ998,Cadastros!$G$6:$G$90,Cadastros!$H$6:$H$90))))</f>
        <v/>
      </c>
      <c r="AT998" s="168" t="str">
        <f t="shared" si="206"/>
        <v/>
      </c>
      <c r="AU998" s="168" t="str">
        <f t="shared" si="207"/>
        <v/>
      </c>
      <c r="AV998" s="227"/>
      <c r="AW998" s="30"/>
      <c r="AX998" s="267"/>
      <c r="AY998" s="267"/>
      <c r="AZ998" s="29"/>
      <c r="BA998" s="30"/>
      <c r="BB998" s="23" t="str" cm="1">
        <f t="array" ref="BB998">_xlfn.IFS(AW998="SIM",SUM(K998,P998,U998,Z998,AE998,AJ998,AO998,AT998,AX998,AY998),F998&lt;&gt;"",SUM(K998,P998,U998,Z998,AE998,AJ998,,AO998,AT998),F998="","")</f>
        <v/>
      </c>
      <c r="BC998" s="211" t="str" cm="1">
        <f t="array" ref="BC998">_xlfn.IFS(E998="","",G998&lt;=E998,BB998*(1-0.03),G998&lt;(E998+8),BB998,AZ998="Boleto",BB998*(1+0.001)^DATEDIF(E998,G998,"D"),AZ998="Cheque",BB998,AZ998="Dinheiro","Alterar forma pgto")</f>
        <v/>
      </c>
      <c r="BD998" s="276" t="str" cm="1">
        <f t="array" ref="BD998">IF(F998=0," ",IF(BC998&lt;BB998,(_xlfn.IFS(AW998="SIM",SUM(L998,Q998,V998,AA998,AF998,AK998,AP998,AU998)+AX998/_xlfn.XLOOKUP(_xlfn.XLOOKUP($F998,Clientes!$B$4:$B$39,Clientes!$C$4:$C$39),Cadastros!$L$6:$L$12,Cadastros!$M$6:$M$12)+IF($F998="Bernardino Furlan",AY998/2751.92,IF($F998="Mauro José Salanti",AY998/2751.92,AY998/3356)),F998&lt;&gt;0,SUM(L998,Q998,V998,AA998,AF998,AK998,AP998,AU998)))*(1-0.03),_xlfn.IFS(AW998="SIM",SUM(L998,Q998,V998,AA998,AF998,AK998,AP998,AU998)+AX998/_xlfn.XLOOKUP(_xlfn.XLOOKUP($F998,Clientes!$B$4:$B$39,Clientes!$C$4:$C$39),Cadastros!$L$6:$L$12,Cadastros!$M$6:$M$12)+IF($F998="Bernardino Furlan",AY998/2751.92,IF($F998="Mauro José Salanti",AY998/2751.92,AY998/3356)),F998&lt;&gt;0,SUM(L998,Q998,V998,AA998,AF998,AK998,AP998,AU998))))</f>
        <v xml:space="preserve"> </v>
      </c>
      <c r="BE998" s="120"/>
      <c r="BF998" s="120"/>
      <c r="BG998" s="120"/>
    </row>
    <row r="999" spans="1:59" s="3" customFormat="1" x14ac:dyDescent="0.3">
      <c r="A999" s="15" t="str">
        <f t="shared" si="195"/>
        <v/>
      </c>
      <c r="B999" s="25"/>
      <c r="C999" s="26"/>
      <c r="D999" s="279"/>
      <c r="E999" s="27"/>
      <c r="F999" s="28"/>
      <c r="G999" s="27"/>
      <c r="H999" s="28"/>
      <c r="I999" s="28"/>
      <c r="J999" s="255" t="str">
        <f>IF(H999="","",(_xlfn.XLOOKUP(H999,Cadastros!$D$6:$D$90,Cadastros!$E$6:$E$90))*(1-_xlfn.XLOOKUP(_xlfn.XLOOKUP($F999,Clientes!$B$4:$B$39,Clientes!$C$4:$C$39),Cadastros!$L$6:$L$12,Cadastros!$N$6:$N$12)))</f>
        <v/>
      </c>
      <c r="K999" s="168" t="str">
        <f t="shared" si="196"/>
        <v/>
      </c>
      <c r="L999" s="168" t="str">
        <f>IFERROR(K999/_xlfn.XLOOKUP(_xlfn.XLOOKUP($F999,Clientes!$B$4:$B$39,Clientes!$C$4:$C$39),Cadastros!$L$6:$L$12,Cadastros!$M$6:$M$12)," ")</f>
        <v xml:space="preserve"> </v>
      </c>
      <c r="M999" s="28"/>
      <c r="N999" s="28"/>
      <c r="O999" s="255" t="str">
        <f>IF(M999="","",(_xlfn.XLOOKUP(M999,Cadastros!$D$6:$D$90,Cadastros!$E$6:$E$90))*(1-_xlfn.XLOOKUP(_xlfn.XLOOKUP($F999,Clientes!$B$4:$B$39,Clientes!$C$4:$C$39),Cadastros!$L$6:$L$12,Cadastros!$N$6:$N$12)))</f>
        <v/>
      </c>
      <c r="P999" s="168" t="str">
        <f t="shared" si="197"/>
        <v/>
      </c>
      <c r="Q999" s="168" t="str">
        <f>IFERROR(P999/_xlfn.XLOOKUP(_xlfn.XLOOKUP($F999,Clientes!$B$4:$B$39,Clientes!$C$4:$C$39),Cadastros!$L$6:$L$12,Cadastros!$M$6:$M$12)," ")</f>
        <v xml:space="preserve"> </v>
      </c>
      <c r="R999" s="28"/>
      <c r="S999" s="28"/>
      <c r="T999" s="255" t="str">
        <f>IF(R999="","",(_xlfn.XLOOKUP(R999,Cadastros!$D$6:$D$90,Cadastros!$E$6:$E$90))*(1-_xlfn.XLOOKUP(_xlfn.XLOOKUP($F999,Clientes!$B$4:$B$39,Clientes!$C$4:$C$39),Cadastros!$L$6:$L$12,Cadastros!$N$6:$N$12)))</f>
        <v/>
      </c>
      <c r="U999" s="168" t="str">
        <f t="shared" si="198"/>
        <v/>
      </c>
      <c r="V999" s="168" t="str">
        <f>IFERROR(U999/_xlfn.XLOOKUP(_xlfn.XLOOKUP($F999,Clientes!$B$4:$B$39,Clientes!$C$4:$C$39),Cadastros!$L$6:$L$12,Cadastros!$M$6:$M$12)," ")</f>
        <v xml:space="preserve"> </v>
      </c>
      <c r="W999" s="28"/>
      <c r="X999" s="28"/>
      <c r="Y999" s="255" t="str">
        <f>IF(W999="","",(_xlfn.XLOOKUP(W999,Cadastros!$D$6:$D$90,Cadastros!$E$6:$E$90))*(1-_xlfn.XLOOKUP(_xlfn.XLOOKUP($F999,Clientes!$B$4:$B$39,Clientes!$C$4:$C$39),Cadastros!$L$6:$L$12,Cadastros!$N$6:$N$12)))</f>
        <v/>
      </c>
      <c r="Z999" s="168" t="str">
        <f t="shared" si="199"/>
        <v/>
      </c>
      <c r="AA999" s="168" t="str">
        <f>IFERROR(Z999/_xlfn.XLOOKUP(_xlfn.XLOOKUP($F999,Clientes!$B$4:$B$39,Clientes!$C$4:$C$39),Cadastros!$L$6:$L$12,Cadastros!$M$6:$M$12)," ")</f>
        <v xml:space="preserve"> </v>
      </c>
      <c r="AB999" s="28"/>
      <c r="AC999" s="28"/>
      <c r="AD999" s="20" t="str">
        <f>IF(AB999="","",IF($F999="Bernardino Furlan",_xlfn.XLOOKUP(AB999,Cadastros!$G$6:$G$90,Cadastros!$H$6:$H$90)*(1-0.18),IF($F999="Mauro José Salanti",_xlfn.XLOOKUP(AB999,Cadastros!$G$6:$G$90,Cadastros!$H$6:$H$90)*(1-0.18),_xlfn.XLOOKUP(AB999,Cadastros!$G$6:$G$90,Cadastros!$H$6:$H$90))))</f>
        <v/>
      </c>
      <c r="AE999" s="168" t="str">
        <f t="shared" si="200"/>
        <v/>
      </c>
      <c r="AF999" s="168" t="str">
        <f t="shared" si="201"/>
        <v/>
      </c>
      <c r="AG999" s="28"/>
      <c r="AH999" s="28"/>
      <c r="AI999" s="20" t="str">
        <f>IF(AG999="","",IF($F999="Bernardino Furlan",_xlfn.XLOOKUP(AG999,Cadastros!$G$6:$G$90,Cadastros!$H$6:$H$90)*(1-0.18),IF($F999="Mauro José Salanti",_xlfn.XLOOKUP(AG999,Cadastros!$G$6:$G$90,Cadastros!$H$6:$H$90)*(1-0.18),_xlfn.XLOOKUP(AG999,Cadastros!$G$6:$G$90,Cadastros!$H$6:$H$90))))</f>
        <v/>
      </c>
      <c r="AJ999" s="168" t="str">
        <f t="shared" si="202"/>
        <v/>
      </c>
      <c r="AK999" s="168" t="str">
        <f t="shared" si="203"/>
        <v/>
      </c>
      <c r="AL999" s="28"/>
      <c r="AM999" s="28"/>
      <c r="AN999" s="20" t="str">
        <f>IF(AL999="","",IF($F999="Bernardino Furlan",_xlfn.XLOOKUP(AL999,Cadastros!$G$6:$G$90,Cadastros!$H$6:$H$90)*(1-0.18),IF($F999="Mauro José Salanti",_xlfn.XLOOKUP(AL999,Cadastros!$G$6:$G$90,Cadastros!$H$6:$H$90)*(1-0.18),_xlfn.XLOOKUP(AL999,Cadastros!$G$6:$G$90,Cadastros!$H$6:$H$90))))</f>
        <v/>
      </c>
      <c r="AO999" s="168" t="str">
        <f t="shared" si="204"/>
        <v/>
      </c>
      <c r="AP999" s="168" t="str">
        <f t="shared" si="205"/>
        <v/>
      </c>
      <c r="AQ999" s="28"/>
      <c r="AR999" s="28"/>
      <c r="AS999" s="20" t="str">
        <f>IF(AQ999="","",IF($F999="Bernardino Furlan",_xlfn.XLOOKUP(AQ999,Cadastros!$G$6:$G$90,Cadastros!$H$6:$H$90)*(1-0.18),IF($F999="Mauro José Salanti",_xlfn.XLOOKUP(AQ999,Cadastros!$G$6:$G$90,Cadastros!$H$6:$H$90)*(1-0.18),_xlfn.XLOOKUP(AQ999,Cadastros!$G$6:$G$90,Cadastros!$H$6:$H$90))))</f>
        <v/>
      </c>
      <c r="AT999" s="168" t="str">
        <f t="shared" si="206"/>
        <v/>
      </c>
      <c r="AU999" s="168" t="str">
        <f t="shared" si="207"/>
        <v/>
      </c>
      <c r="AV999" s="227"/>
      <c r="AW999" s="30"/>
      <c r="AX999" s="267"/>
      <c r="AY999" s="267"/>
      <c r="AZ999" s="29"/>
      <c r="BA999" s="30"/>
      <c r="BB999" s="23" t="str" cm="1">
        <f t="array" ref="BB999">_xlfn.IFS(AW999="SIM",SUM(K999,P999,U999,Z999,AE999,AJ999,AO999,AT999,AX999,AY999),F999&lt;&gt;"",SUM(K999,P999,U999,Z999,AE999,AJ999,,AO999,AT999),F999="","")</f>
        <v/>
      </c>
      <c r="BC999" s="211" t="str" cm="1">
        <f t="array" ref="BC999">_xlfn.IFS(E999="","",G999&lt;=E999,BB999*(1-0.03),G999&lt;(E999+8),BB999,AZ999="Boleto",BB999*(1+0.001)^DATEDIF(E999,G999,"D"),AZ999="Cheque",BB999,AZ999="Dinheiro","Alterar forma pgto")</f>
        <v/>
      </c>
      <c r="BD999" s="276" t="str" cm="1">
        <f t="array" ref="BD999">IF(F999=0," ",IF(BC999&lt;BB999,(_xlfn.IFS(AW999="SIM",SUM(L999,Q999,V999,AA999,AF999,AK999,AP999,AU999)+AX999/_xlfn.XLOOKUP(_xlfn.XLOOKUP($F999,Clientes!$B$4:$B$39,Clientes!$C$4:$C$39),Cadastros!$L$6:$L$12,Cadastros!$M$6:$M$12)+IF($F999="Bernardino Furlan",AY999/2751.92,IF($F999="Mauro José Salanti",AY999/2751.92,AY999/3356)),F999&lt;&gt;0,SUM(L999,Q999,V999,AA999,AF999,AK999,AP999,AU999)))*(1-0.03),_xlfn.IFS(AW999="SIM",SUM(L999,Q999,V999,AA999,AF999,AK999,AP999,AU999)+AX999/_xlfn.XLOOKUP(_xlfn.XLOOKUP($F999,Clientes!$B$4:$B$39,Clientes!$C$4:$C$39),Cadastros!$L$6:$L$12,Cadastros!$M$6:$M$12)+IF($F999="Bernardino Furlan",AY999/2751.92,IF($F999="Mauro José Salanti",AY999/2751.92,AY999/3356)),F999&lt;&gt;0,SUM(L999,Q999,V999,AA999,AF999,AK999,AP999,AU999))))</f>
        <v xml:space="preserve"> </v>
      </c>
      <c r="BE999" s="120"/>
      <c r="BF999" s="120"/>
      <c r="BG999" s="120"/>
    </row>
    <row r="1000" spans="1:59" s="3" customFormat="1" x14ac:dyDescent="0.3">
      <c r="A1000" s="15" t="str">
        <f t="shared" si="195"/>
        <v/>
      </c>
      <c r="B1000" s="25"/>
      <c r="C1000" s="26"/>
      <c r="D1000" s="279"/>
      <c r="E1000" s="27"/>
      <c r="F1000" s="28"/>
      <c r="G1000" s="27"/>
      <c r="H1000" s="28"/>
      <c r="I1000" s="28"/>
      <c r="J1000" s="255" t="str">
        <f>IF(H1000="","",(_xlfn.XLOOKUP(H1000,Cadastros!$D$6:$D$90,Cadastros!$E$6:$E$90))*(1-_xlfn.XLOOKUP(_xlfn.XLOOKUP($F1000,Clientes!$B$4:$B$39,Clientes!$C$4:$C$39),Cadastros!$L$6:$L$12,Cadastros!$N$6:$N$12)))</f>
        <v/>
      </c>
      <c r="K1000" s="168" t="str">
        <f t="shared" si="196"/>
        <v/>
      </c>
      <c r="L1000" s="168" t="str">
        <f>IFERROR(K1000/_xlfn.XLOOKUP(_xlfn.XLOOKUP($F1000,Clientes!$B$4:$B$39,Clientes!$C$4:$C$39),Cadastros!$L$6:$L$12,Cadastros!$M$6:$M$12)," ")</f>
        <v xml:space="preserve"> </v>
      </c>
      <c r="M1000" s="28"/>
      <c r="N1000" s="28"/>
      <c r="O1000" s="255" t="str">
        <f>IF(M1000="","",(_xlfn.XLOOKUP(M1000,Cadastros!$D$6:$D$90,Cadastros!$E$6:$E$90))*(1-_xlfn.XLOOKUP(_xlfn.XLOOKUP($F1000,Clientes!$B$4:$B$39,Clientes!$C$4:$C$39),Cadastros!$L$6:$L$12,Cadastros!$N$6:$N$12)))</f>
        <v/>
      </c>
      <c r="P1000" s="168" t="str">
        <f t="shared" si="197"/>
        <v/>
      </c>
      <c r="Q1000" s="168" t="str">
        <f>IFERROR(P1000/_xlfn.XLOOKUP(_xlfn.XLOOKUP($F1000,Clientes!$B$4:$B$39,Clientes!$C$4:$C$39),Cadastros!$L$6:$L$12,Cadastros!$M$6:$M$12)," ")</f>
        <v xml:space="preserve"> </v>
      </c>
      <c r="R1000" s="28"/>
      <c r="S1000" s="28"/>
      <c r="T1000" s="255" t="str">
        <f>IF(R1000="","",(_xlfn.XLOOKUP(R1000,Cadastros!$D$6:$D$90,Cadastros!$E$6:$E$90))*(1-_xlfn.XLOOKUP(_xlfn.XLOOKUP($F1000,Clientes!$B$4:$B$39,Clientes!$C$4:$C$39),Cadastros!$L$6:$L$12,Cadastros!$N$6:$N$12)))</f>
        <v/>
      </c>
      <c r="U1000" s="168" t="str">
        <f t="shared" si="198"/>
        <v/>
      </c>
      <c r="V1000" s="168" t="str">
        <f>IFERROR(U1000/_xlfn.XLOOKUP(_xlfn.XLOOKUP($F1000,Clientes!$B$4:$B$39,Clientes!$C$4:$C$39),Cadastros!$L$6:$L$12,Cadastros!$M$6:$M$12)," ")</f>
        <v xml:space="preserve"> </v>
      </c>
      <c r="W1000" s="28"/>
      <c r="X1000" s="28"/>
      <c r="Y1000" s="255" t="str">
        <f>IF(W1000="","",(_xlfn.XLOOKUP(W1000,Cadastros!$D$6:$D$90,Cadastros!$E$6:$E$90))*(1-_xlfn.XLOOKUP(_xlfn.XLOOKUP($F1000,Clientes!$B$4:$B$39,Clientes!$C$4:$C$39),Cadastros!$L$6:$L$12,Cadastros!$N$6:$N$12)))</f>
        <v/>
      </c>
      <c r="Z1000" s="168" t="str">
        <f t="shared" si="199"/>
        <v/>
      </c>
      <c r="AA1000" s="168" t="str">
        <f>IFERROR(Z1000/_xlfn.XLOOKUP(_xlfn.XLOOKUP($F1000,Clientes!$B$4:$B$39,Clientes!$C$4:$C$39),Cadastros!$L$6:$L$12,Cadastros!$M$6:$M$12)," ")</f>
        <v xml:space="preserve"> </v>
      </c>
      <c r="AB1000" s="28"/>
      <c r="AC1000" s="28"/>
      <c r="AD1000" s="20" t="str">
        <f>IF(AB1000="","",IF($F1000="Bernardino Furlan",_xlfn.XLOOKUP(AB1000,Cadastros!$G$6:$G$90,Cadastros!$H$6:$H$90)*(1-0.18),IF($F1000="Mauro José Salanti",_xlfn.XLOOKUP(AB1000,Cadastros!$G$6:$G$90,Cadastros!$H$6:$H$90)*(1-0.18),_xlfn.XLOOKUP(AB1000,Cadastros!$G$6:$G$90,Cadastros!$H$6:$H$90))))</f>
        <v/>
      </c>
      <c r="AE1000" s="168" t="str">
        <f t="shared" si="200"/>
        <v/>
      </c>
      <c r="AF1000" s="168" t="str">
        <f t="shared" si="201"/>
        <v/>
      </c>
      <c r="AG1000" s="28"/>
      <c r="AH1000" s="28"/>
      <c r="AI1000" s="20" t="str">
        <f>IF(AG1000="","",IF($F1000="Bernardino Furlan",_xlfn.XLOOKUP(AG1000,Cadastros!$G$6:$G$90,Cadastros!$H$6:$H$90)*(1-0.18),IF($F1000="Mauro José Salanti",_xlfn.XLOOKUP(AG1000,Cadastros!$G$6:$G$90,Cadastros!$H$6:$H$90)*(1-0.18),_xlfn.XLOOKUP(AG1000,Cadastros!$G$6:$G$90,Cadastros!$H$6:$H$90))))</f>
        <v/>
      </c>
      <c r="AJ1000" s="168" t="str">
        <f t="shared" si="202"/>
        <v/>
      </c>
      <c r="AK1000" s="168" t="str">
        <f t="shared" si="203"/>
        <v/>
      </c>
      <c r="AL1000" s="28"/>
      <c r="AM1000" s="28"/>
      <c r="AN1000" s="20" t="str">
        <f>IF(AL1000="","",IF($F1000="Bernardino Furlan",_xlfn.XLOOKUP(AL1000,Cadastros!$G$6:$G$90,Cadastros!$H$6:$H$90)*(1-0.18),IF($F1000="Mauro José Salanti",_xlfn.XLOOKUP(AL1000,Cadastros!$G$6:$G$90,Cadastros!$H$6:$H$90)*(1-0.18),_xlfn.XLOOKUP(AL1000,Cadastros!$G$6:$G$90,Cadastros!$H$6:$H$90))))</f>
        <v/>
      </c>
      <c r="AO1000" s="168" t="str">
        <f t="shared" si="204"/>
        <v/>
      </c>
      <c r="AP1000" s="168" t="str">
        <f t="shared" si="205"/>
        <v/>
      </c>
      <c r="AQ1000" s="28"/>
      <c r="AR1000" s="28"/>
      <c r="AS1000" s="20" t="str">
        <f>IF(AQ1000="","",IF($F1000="Bernardino Furlan",_xlfn.XLOOKUP(AQ1000,Cadastros!$G$6:$G$90,Cadastros!$H$6:$H$90)*(1-0.18),IF($F1000="Mauro José Salanti",_xlfn.XLOOKUP(AQ1000,Cadastros!$G$6:$G$90,Cadastros!$H$6:$H$90)*(1-0.18),_xlfn.XLOOKUP(AQ1000,Cadastros!$G$6:$G$90,Cadastros!$H$6:$H$90))))</f>
        <v/>
      </c>
      <c r="AT1000" s="168" t="str">
        <f t="shared" si="206"/>
        <v/>
      </c>
      <c r="AU1000" s="168" t="str">
        <f t="shared" si="207"/>
        <v/>
      </c>
      <c r="AV1000" s="227"/>
      <c r="AW1000" s="30"/>
      <c r="AX1000" s="267"/>
      <c r="AY1000" s="267"/>
      <c r="AZ1000" s="29"/>
      <c r="BA1000" s="30"/>
      <c r="BB1000" s="23" t="str" cm="1">
        <f t="array" ref="BB1000">_xlfn.IFS(AW1000="SIM",SUM(K1000,P1000,U1000,Z1000,AE1000,AJ1000,AO1000,AT1000,AX1000,AY1000),F1000&lt;&gt;"",SUM(K1000,P1000,U1000,Z1000,AE1000,AJ1000,,AO1000,AT1000),F1000="","")</f>
        <v/>
      </c>
      <c r="BC1000" s="211" t="str" cm="1">
        <f t="array" ref="BC1000">_xlfn.IFS(E1000="","",G1000&lt;=E1000,BB1000*(1-0.03),G1000&lt;(E1000+8),BB1000,AZ1000="Boleto",BB1000*(1+0.001)^DATEDIF(E1000,G1000,"D"),AZ1000="Cheque",BB1000,AZ1000="Dinheiro","Alterar forma pgto")</f>
        <v/>
      </c>
      <c r="BD1000" s="276" t="str" cm="1">
        <f t="array" ref="BD1000">IF(F1000=0," ",IF(BC1000&lt;BB1000,(_xlfn.IFS(AW1000="SIM",SUM(L1000,Q1000,V1000,AA1000,AF1000,AK1000,AP1000,AU1000)+AX1000/_xlfn.XLOOKUP(_xlfn.XLOOKUP($F1000,Clientes!$B$4:$B$39,Clientes!$C$4:$C$39),Cadastros!$L$6:$L$12,Cadastros!$M$6:$M$12)+IF($F1000="Bernardino Furlan",AY1000/2751.92,IF($F1000="Mauro José Salanti",AY1000/2751.92,AY1000/3356)),F1000&lt;&gt;0,SUM(L1000,Q1000,V1000,AA1000,AF1000,AK1000,AP1000,AU1000)))*(1-0.03),_xlfn.IFS(AW1000="SIM",SUM(L1000,Q1000,V1000,AA1000,AF1000,AK1000,AP1000,AU1000)+AX1000/_xlfn.XLOOKUP(_xlfn.XLOOKUP($F1000,Clientes!$B$4:$B$39,Clientes!$C$4:$C$39),Cadastros!$L$6:$L$12,Cadastros!$M$6:$M$12)+IF($F1000="Bernardino Furlan",AY1000/2751.92,IF($F1000="Mauro José Salanti",AY1000/2751.92,AY1000/3356)),F1000&lt;&gt;0,SUM(L1000,Q1000,V1000,AA1000,AF1000,AK1000,AP1000,AU1000))))</f>
        <v xml:space="preserve"> </v>
      </c>
      <c r="BE1000" s="120"/>
      <c r="BF1000" s="120"/>
      <c r="BG1000" s="120"/>
    </row>
    <row r="1001" spans="1:59" s="3" customFormat="1" x14ac:dyDescent="0.3">
      <c r="A1001" s="15" t="str">
        <f t="shared" si="195"/>
        <v/>
      </c>
      <c r="B1001" s="25"/>
      <c r="C1001" s="26"/>
      <c r="D1001" s="279"/>
      <c r="E1001" s="27"/>
      <c r="F1001" s="28"/>
      <c r="G1001" s="27"/>
      <c r="H1001" s="28"/>
      <c r="I1001" s="28"/>
      <c r="J1001" s="255" t="str">
        <f>IF(H1001="","",(_xlfn.XLOOKUP(H1001,Cadastros!$D$6:$D$90,Cadastros!$E$6:$E$90))*(1-_xlfn.XLOOKUP(_xlfn.XLOOKUP($F1001,Clientes!$B$4:$B$39,Clientes!$C$4:$C$39),Cadastros!$L$6:$L$12,Cadastros!$N$6:$N$12)))</f>
        <v/>
      </c>
      <c r="K1001" s="168" t="str">
        <f t="shared" si="196"/>
        <v/>
      </c>
      <c r="L1001" s="168" t="str">
        <f>IFERROR(K1001/_xlfn.XLOOKUP(_xlfn.XLOOKUP($F1001,Clientes!$B$4:$B$39,Clientes!$C$4:$C$39),Cadastros!$L$6:$L$12,Cadastros!$M$6:$M$12)," ")</f>
        <v xml:space="preserve"> </v>
      </c>
      <c r="M1001" s="28"/>
      <c r="N1001" s="28"/>
      <c r="O1001" s="255" t="str">
        <f>IF(M1001="","",(_xlfn.XLOOKUP(M1001,Cadastros!$D$6:$D$90,Cadastros!$E$6:$E$90))*(1-_xlfn.XLOOKUP(_xlfn.XLOOKUP($F1001,Clientes!$B$4:$B$39,Clientes!$C$4:$C$39),Cadastros!$L$6:$L$12,Cadastros!$N$6:$N$12)))</f>
        <v/>
      </c>
      <c r="P1001" s="168" t="str">
        <f t="shared" si="197"/>
        <v/>
      </c>
      <c r="Q1001" s="168" t="str">
        <f>IFERROR(P1001/_xlfn.XLOOKUP(_xlfn.XLOOKUP($F1001,Clientes!$B$4:$B$39,Clientes!$C$4:$C$39),Cadastros!$L$6:$L$12,Cadastros!$M$6:$M$12)," ")</f>
        <v xml:space="preserve"> </v>
      </c>
      <c r="R1001" s="28"/>
      <c r="S1001" s="28"/>
      <c r="T1001" s="255" t="str">
        <f>IF(R1001="","",(_xlfn.XLOOKUP(R1001,Cadastros!$D$6:$D$90,Cadastros!$E$6:$E$90))*(1-_xlfn.XLOOKUP(_xlfn.XLOOKUP($F1001,Clientes!$B$4:$B$39,Clientes!$C$4:$C$39),Cadastros!$L$6:$L$12,Cadastros!$N$6:$N$12)))</f>
        <v/>
      </c>
      <c r="U1001" s="168" t="str">
        <f t="shared" si="198"/>
        <v/>
      </c>
      <c r="V1001" s="168" t="str">
        <f>IFERROR(U1001/_xlfn.XLOOKUP(_xlfn.XLOOKUP($F1001,Clientes!$B$4:$B$39,Clientes!$C$4:$C$39),Cadastros!$L$6:$L$12,Cadastros!$M$6:$M$12)," ")</f>
        <v xml:space="preserve"> </v>
      </c>
      <c r="W1001" s="28"/>
      <c r="X1001" s="28"/>
      <c r="Y1001" s="255" t="str">
        <f>IF(W1001="","",(_xlfn.XLOOKUP(W1001,Cadastros!$D$6:$D$90,Cadastros!$E$6:$E$90))*(1-_xlfn.XLOOKUP(_xlfn.XLOOKUP($F1001,Clientes!$B$4:$B$39,Clientes!$C$4:$C$39),Cadastros!$L$6:$L$12,Cadastros!$N$6:$N$12)))</f>
        <v/>
      </c>
      <c r="Z1001" s="168" t="str">
        <f t="shared" si="199"/>
        <v/>
      </c>
      <c r="AA1001" s="168" t="str">
        <f>IFERROR(Z1001/_xlfn.XLOOKUP(_xlfn.XLOOKUP($F1001,Clientes!$B$4:$B$39,Clientes!$C$4:$C$39),Cadastros!$L$6:$L$12,Cadastros!$M$6:$M$12)," ")</f>
        <v xml:space="preserve"> </v>
      </c>
      <c r="AB1001" s="28"/>
      <c r="AC1001" s="28"/>
      <c r="AD1001" s="20" t="str">
        <f>IF(AB1001="","",IF($F1001="Bernardino Furlan",_xlfn.XLOOKUP(AB1001,Cadastros!$G$6:$G$90,Cadastros!$H$6:$H$90)*(1-0.18),IF($F1001="Mauro José Salanti",_xlfn.XLOOKUP(AB1001,Cadastros!$G$6:$G$90,Cadastros!$H$6:$H$90)*(1-0.18),_xlfn.XLOOKUP(AB1001,Cadastros!$G$6:$G$90,Cadastros!$H$6:$H$90))))</f>
        <v/>
      </c>
      <c r="AE1001" s="168" t="str">
        <f t="shared" si="200"/>
        <v/>
      </c>
      <c r="AF1001" s="168" t="str">
        <f t="shared" si="201"/>
        <v/>
      </c>
      <c r="AG1001" s="28"/>
      <c r="AH1001" s="28"/>
      <c r="AI1001" s="20" t="str">
        <f>IF(AG1001="","",IF($F1001="Bernardino Furlan",_xlfn.XLOOKUP(AG1001,Cadastros!$G$6:$G$90,Cadastros!$H$6:$H$90)*(1-0.18),IF($F1001="Mauro José Salanti",_xlfn.XLOOKUP(AG1001,Cadastros!$G$6:$G$90,Cadastros!$H$6:$H$90)*(1-0.18),_xlfn.XLOOKUP(AG1001,Cadastros!$G$6:$G$90,Cadastros!$H$6:$H$90))))</f>
        <v/>
      </c>
      <c r="AJ1001" s="168" t="str">
        <f t="shared" si="202"/>
        <v/>
      </c>
      <c r="AK1001" s="168" t="str">
        <f t="shared" si="203"/>
        <v/>
      </c>
      <c r="AL1001" s="28"/>
      <c r="AM1001" s="28"/>
      <c r="AN1001" s="20" t="str">
        <f>IF(AL1001="","",IF($F1001="Bernardino Furlan",_xlfn.XLOOKUP(AL1001,Cadastros!$G$6:$G$90,Cadastros!$H$6:$H$90)*(1-0.18),IF($F1001="Mauro José Salanti",_xlfn.XLOOKUP(AL1001,Cadastros!$G$6:$G$90,Cadastros!$H$6:$H$90)*(1-0.18),_xlfn.XLOOKUP(AL1001,Cadastros!$G$6:$G$90,Cadastros!$H$6:$H$90))))</f>
        <v/>
      </c>
      <c r="AO1001" s="168" t="str">
        <f t="shared" si="204"/>
        <v/>
      </c>
      <c r="AP1001" s="168" t="str">
        <f t="shared" si="205"/>
        <v/>
      </c>
      <c r="AQ1001" s="28"/>
      <c r="AR1001" s="28"/>
      <c r="AS1001" s="20" t="str">
        <f>IF(AQ1001="","",IF($F1001="Bernardino Furlan",_xlfn.XLOOKUP(AQ1001,Cadastros!$G$6:$G$90,Cadastros!$H$6:$H$90)*(1-0.18),IF($F1001="Mauro José Salanti",_xlfn.XLOOKUP(AQ1001,Cadastros!$G$6:$G$90,Cadastros!$H$6:$H$90)*(1-0.18),_xlfn.XLOOKUP(AQ1001,Cadastros!$G$6:$G$90,Cadastros!$H$6:$H$90))))</f>
        <v/>
      </c>
      <c r="AT1001" s="168" t="str">
        <f t="shared" si="206"/>
        <v/>
      </c>
      <c r="AU1001" s="168" t="str">
        <f t="shared" si="207"/>
        <v/>
      </c>
      <c r="AV1001" s="227"/>
      <c r="AW1001" s="30"/>
      <c r="AX1001" s="267"/>
      <c r="AY1001" s="267"/>
      <c r="AZ1001" s="29"/>
      <c r="BA1001" s="30"/>
      <c r="BB1001" s="23" t="str" cm="1">
        <f t="array" ref="BB1001">_xlfn.IFS(AW1001="SIM",SUM(K1001,P1001,U1001,Z1001,AE1001,AJ1001,AO1001,AT1001,AX1001,AY1001),F1001&lt;&gt;"",SUM(K1001,P1001,U1001,Z1001,AE1001,AJ1001,,AO1001,AT1001),F1001="","")</f>
        <v/>
      </c>
      <c r="BC1001" s="211" t="str" cm="1">
        <f t="array" ref="BC1001">_xlfn.IFS(E1001="","",G1001&lt;=E1001,BB1001*(1-0.03),G1001&lt;(E1001+8),BB1001,AZ1001="Boleto",BB1001*(1+0.001)^DATEDIF(E1001,G1001,"D"),AZ1001="Cheque",BB1001,AZ1001="Dinheiro","Alterar forma pgto")</f>
        <v/>
      </c>
      <c r="BD1001" s="276" t="str" cm="1">
        <f t="array" ref="BD1001">IF(F1001=0," ",IF(BC1001&lt;BB1001,(_xlfn.IFS(AW1001="SIM",SUM(L1001,Q1001,V1001,AA1001,AF1001,AK1001,AP1001,AU1001)+AX1001/_xlfn.XLOOKUP(_xlfn.XLOOKUP($F1001,Clientes!$B$4:$B$39,Clientes!$C$4:$C$39),Cadastros!$L$6:$L$12,Cadastros!$M$6:$M$12)+IF($F1001="Bernardino Furlan",AY1001/2751.92,IF($F1001="Mauro José Salanti",AY1001/2751.92,AY1001/3356)),F1001&lt;&gt;0,SUM(L1001,Q1001,V1001,AA1001,AF1001,AK1001,AP1001,AU1001)))*(1-0.03),_xlfn.IFS(AW1001="SIM",SUM(L1001,Q1001,V1001,AA1001,AF1001,AK1001,AP1001,AU1001)+AX1001/_xlfn.XLOOKUP(_xlfn.XLOOKUP($F1001,Clientes!$B$4:$B$39,Clientes!$C$4:$C$39),Cadastros!$L$6:$L$12,Cadastros!$M$6:$M$12)+IF($F1001="Bernardino Furlan",AY1001/2751.92,IF($F1001="Mauro José Salanti",AY1001/2751.92,AY1001/3356)),F1001&lt;&gt;0,SUM(L1001,Q1001,V1001,AA1001,AF1001,AK1001,AP1001,AU1001))))</f>
        <v xml:space="preserve"> </v>
      </c>
      <c r="BE1001" s="120"/>
      <c r="BF1001" s="120"/>
      <c r="BG1001" s="120"/>
    </row>
    <row r="1002" spans="1:59" s="3" customFormat="1" x14ac:dyDescent="0.3">
      <c r="A1002" s="15" t="str">
        <f t="shared" si="195"/>
        <v/>
      </c>
      <c r="B1002" s="25"/>
      <c r="C1002" s="26"/>
      <c r="D1002" s="279"/>
      <c r="E1002" s="27"/>
      <c r="F1002" s="28"/>
      <c r="G1002" s="27"/>
      <c r="H1002" s="28"/>
      <c r="I1002" s="28"/>
      <c r="J1002" s="255" t="str">
        <f>IF(H1002="","",(_xlfn.XLOOKUP(H1002,Cadastros!$D$6:$D$90,Cadastros!$E$6:$E$90))*(1-_xlfn.XLOOKUP(_xlfn.XLOOKUP($F1002,Clientes!$B$4:$B$39,Clientes!$C$4:$C$39),Cadastros!$L$6:$L$12,Cadastros!$N$6:$N$12)))</f>
        <v/>
      </c>
      <c r="K1002" s="168" t="str">
        <f t="shared" si="196"/>
        <v/>
      </c>
      <c r="L1002" s="168" t="str">
        <f>IFERROR(K1002/_xlfn.XLOOKUP(_xlfn.XLOOKUP($F1002,Clientes!$B$4:$B$39,Clientes!$C$4:$C$39),Cadastros!$L$6:$L$12,Cadastros!$M$6:$M$12)," ")</f>
        <v xml:space="preserve"> </v>
      </c>
      <c r="M1002" s="28"/>
      <c r="N1002" s="28"/>
      <c r="O1002" s="255" t="str">
        <f>IF(M1002="","",(_xlfn.XLOOKUP(M1002,Cadastros!$D$6:$D$90,Cadastros!$E$6:$E$90))*(1-_xlfn.XLOOKUP(_xlfn.XLOOKUP($F1002,Clientes!$B$4:$B$39,Clientes!$C$4:$C$39),Cadastros!$L$6:$L$12,Cadastros!$N$6:$N$12)))</f>
        <v/>
      </c>
      <c r="P1002" s="168" t="str">
        <f t="shared" si="197"/>
        <v/>
      </c>
      <c r="Q1002" s="168" t="str">
        <f>IFERROR(P1002/_xlfn.XLOOKUP(_xlfn.XLOOKUP($F1002,Clientes!$B$4:$B$39,Clientes!$C$4:$C$39),Cadastros!$L$6:$L$12,Cadastros!$M$6:$M$12)," ")</f>
        <v xml:space="preserve"> </v>
      </c>
      <c r="R1002" s="28"/>
      <c r="S1002" s="28"/>
      <c r="T1002" s="255" t="str">
        <f>IF(R1002="","",(_xlfn.XLOOKUP(R1002,Cadastros!$D$6:$D$90,Cadastros!$E$6:$E$90))*(1-_xlfn.XLOOKUP(_xlfn.XLOOKUP($F1002,Clientes!$B$4:$B$39,Clientes!$C$4:$C$39),Cadastros!$L$6:$L$12,Cadastros!$N$6:$N$12)))</f>
        <v/>
      </c>
      <c r="U1002" s="168" t="str">
        <f t="shared" si="198"/>
        <v/>
      </c>
      <c r="V1002" s="168" t="str">
        <f>IFERROR(U1002/_xlfn.XLOOKUP(_xlfn.XLOOKUP($F1002,Clientes!$B$4:$B$39,Clientes!$C$4:$C$39),Cadastros!$L$6:$L$12,Cadastros!$M$6:$M$12)," ")</f>
        <v xml:space="preserve"> </v>
      </c>
      <c r="W1002" s="28"/>
      <c r="X1002" s="28"/>
      <c r="Y1002" s="255" t="str">
        <f>IF(W1002="","",(_xlfn.XLOOKUP(W1002,Cadastros!$D$6:$D$90,Cadastros!$E$6:$E$90))*(1-_xlfn.XLOOKUP(_xlfn.XLOOKUP($F1002,Clientes!$B$4:$B$39,Clientes!$C$4:$C$39),Cadastros!$L$6:$L$12,Cadastros!$N$6:$N$12)))</f>
        <v/>
      </c>
      <c r="Z1002" s="168" t="str">
        <f t="shared" si="199"/>
        <v/>
      </c>
      <c r="AA1002" s="168" t="str">
        <f>IFERROR(Z1002/_xlfn.XLOOKUP(_xlfn.XLOOKUP($F1002,Clientes!$B$4:$B$39,Clientes!$C$4:$C$39),Cadastros!$L$6:$L$12,Cadastros!$M$6:$M$12)," ")</f>
        <v xml:space="preserve"> </v>
      </c>
      <c r="AB1002" s="28"/>
      <c r="AC1002" s="28"/>
      <c r="AD1002" s="20" t="str">
        <f>IF(AB1002="","",IF($F1002="Bernardino Furlan",_xlfn.XLOOKUP(AB1002,Cadastros!$G$6:$G$90,Cadastros!$H$6:$H$90)*(1-0.18),IF($F1002="Mauro José Salanti",_xlfn.XLOOKUP(AB1002,Cadastros!$G$6:$G$90,Cadastros!$H$6:$H$90)*(1-0.18),_xlfn.XLOOKUP(AB1002,Cadastros!$G$6:$G$90,Cadastros!$H$6:$H$90))))</f>
        <v/>
      </c>
      <c r="AE1002" s="168" t="str">
        <f t="shared" si="200"/>
        <v/>
      </c>
      <c r="AF1002" s="168" t="str">
        <f t="shared" si="201"/>
        <v/>
      </c>
      <c r="AG1002" s="28"/>
      <c r="AH1002" s="28"/>
      <c r="AI1002" s="20" t="str">
        <f>IF(AG1002="","",IF($F1002="Bernardino Furlan",_xlfn.XLOOKUP(AG1002,Cadastros!$G$6:$G$90,Cadastros!$H$6:$H$90)*(1-0.18),IF($F1002="Mauro José Salanti",_xlfn.XLOOKUP(AG1002,Cadastros!$G$6:$G$90,Cadastros!$H$6:$H$90)*(1-0.18),_xlfn.XLOOKUP(AG1002,Cadastros!$G$6:$G$90,Cadastros!$H$6:$H$90))))</f>
        <v/>
      </c>
      <c r="AJ1002" s="168" t="str">
        <f t="shared" si="202"/>
        <v/>
      </c>
      <c r="AK1002" s="168" t="str">
        <f t="shared" si="203"/>
        <v/>
      </c>
      <c r="AL1002" s="28"/>
      <c r="AM1002" s="28"/>
      <c r="AN1002" s="20" t="str">
        <f>IF(AL1002="","",IF($F1002="Bernardino Furlan",_xlfn.XLOOKUP(AL1002,Cadastros!$G$6:$G$90,Cadastros!$H$6:$H$90)*(1-0.18),IF($F1002="Mauro José Salanti",_xlfn.XLOOKUP(AL1002,Cadastros!$G$6:$G$90,Cadastros!$H$6:$H$90)*(1-0.18),_xlfn.XLOOKUP(AL1002,Cadastros!$G$6:$G$90,Cadastros!$H$6:$H$90))))</f>
        <v/>
      </c>
      <c r="AO1002" s="168" t="str">
        <f t="shared" si="204"/>
        <v/>
      </c>
      <c r="AP1002" s="168" t="str">
        <f t="shared" si="205"/>
        <v/>
      </c>
      <c r="AQ1002" s="28"/>
      <c r="AR1002" s="28"/>
      <c r="AS1002" s="20" t="str">
        <f>IF(AQ1002="","",IF($F1002="Bernardino Furlan",_xlfn.XLOOKUP(AQ1002,Cadastros!$G$6:$G$90,Cadastros!$H$6:$H$90)*(1-0.18),IF($F1002="Mauro José Salanti",_xlfn.XLOOKUP(AQ1002,Cadastros!$G$6:$G$90,Cadastros!$H$6:$H$90)*(1-0.18),_xlfn.XLOOKUP(AQ1002,Cadastros!$G$6:$G$90,Cadastros!$H$6:$H$90))))</f>
        <v/>
      </c>
      <c r="AT1002" s="168" t="str">
        <f t="shared" si="206"/>
        <v/>
      </c>
      <c r="AU1002" s="168" t="str">
        <f t="shared" si="207"/>
        <v/>
      </c>
      <c r="AV1002" s="227"/>
      <c r="AW1002" s="30"/>
      <c r="AX1002" s="267"/>
      <c r="AY1002" s="267"/>
      <c r="AZ1002" s="29"/>
      <c r="BA1002" s="30"/>
      <c r="BB1002" s="23" t="str" cm="1">
        <f t="array" ref="BB1002">_xlfn.IFS(AW1002="SIM",SUM(K1002,P1002,U1002,Z1002,AE1002,AJ1002,AO1002,AT1002,AX1002,AY1002),F1002&lt;&gt;"",SUM(K1002,P1002,U1002,Z1002,AE1002,AJ1002,,AO1002,AT1002),F1002="","")</f>
        <v/>
      </c>
      <c r="BC1002" s="211" t="str" cm="1">
        <f t="array" ref="BC1002">_xlfn.IFS(E1002="","",G1002&lt;=E1002,BB1002*(1-0.03),G1002&lt;(E1002+8),BB1002,AZ1002="Boleto",BB1002*(1+0.001)^DATEDIF(E1002,G1002,"D"),AZ1002="Cheque",BB1002,AZ1002="Dinheiro","Alterar forma pgto")</f>
        <v/>
      </c>
      <c r="BD1002" s="276" t="str" cm="1">
        <f t="array" ref="BD1002">IF(F1002=0," ",IF(BC1002&lt;BB1002,(_xlfn.IFS(AW1002="SIM",SUM(L1002,Q1002,V1002,AA1002,AF1002,AK1002,AP1002,AU1002)+AX1002/_xlfn.XLOOKUP(_xlfn.XLOOKUP($F1002,Clientes!$B$4:$B$39,Clientes!$C$4:$C$39),Cadastros!$L$6:$L$12,Cadastros!$M$6:$M$12)+IF($F1002="Bernardino Furlan",AY1002/2751.92,IF($F1002="Mauro José Salanti",AY1002/2751.92,AY1002/3356)),F1002&lt;&gt;0,SUM(L1002,Q1002,V1002,AA1002,AF1002,AK1002,AP1002,AU1002)))*(1-0.03),_xlfn.IFS(AW1002="SIM",SUM(L1002,Q1002,V1002,AA1002,AF1002,AK1002,AP1002,AU1002)+AX1002/_xlfn.XLOOKUP(_xlfn.XLOOKUP($F1002,Clientes!$B$4:$B$39,Clientes!$C$4:$C$39),Cadastros!$L$6:$L$12,Cadastros!$M$6:$M$12)+IF($F1002="Bernardino Furlan",AY1002/2751.92,IF($F1002="Mauro José Salanti",AY1002/2751.92,AY1002/3356)),F1002&lt;&gt;0,SUM(L1002,Q1002,V1002,AA1002,AF1002,AK1002,AP1002,AU1002))))</f>
        <v xml:space="preserve"> </v>
      </c>
      <c r="BE1002" s="120"/>
      <c r="BF1002" s="120"/>
      <c r="BG1002" s="120"/>
    </row>
    <row r="1003" spans="1:59" s="3" customFormat="1" x14ac:dyDescent="0.3">
      <c r="A1003" s="15" t="str">
        <f t="shared" si="195"/>
        <v/>
      </c>
      <c r="B1003" s="25"/>
      <c r="C1003" s="26"/>
      <c r="D1003" s="279"/>
      <c r="E1003" s="27"/>
      <c r="F1003" s="28"/>
      <c r="G1003" s="27"/>
      <c r="H1003" s="28"/>
      <c r="I1003" s="28"/>
      <c r="J1003" s="255" t="str">
        <f>IF(H1003="","",(_xlfn.XLOOKUP(H1003,Cadastros!$D$6:$D$90,Cadastros!$E$6:$E$90))*(1-_xlfn.XLOOKUP(_xlfn.XLOOKUP($F1003,Clientes!$B$4:$B$39,Clientes!$C$4:$C$39),Cadastros!$L$6:$L$12,Cadastros!$N$6:$N$12)))</f>
        <v/>
      </c>
      <c r="K1003" s="168" t="str">
        <f t="shared" si="196"/>
        <v/>
      </c>
      <c r="L1003" s="168" t="str">
        <f>IFERROR(K1003/_xlfn.XLOOKUP(_xlfn.XLOOKUP($F1003,Clientes!$B$4:$B$39,Clientes!$C$4:$C$39),Cadastros!$L$6:$L$12,Cadastros!$M$6:$M$12)," ")</f>
        <v xml:space="preserve"> </v>
      </c>
      <c r="M1003" s="28"/>
      <c r="N1003" s="28"/>
      <c r="O1003" s="255" t="str">
        <f>IF(M1003="","",(_xlfn.XLOOKUP(M1003,Cadastros!$D$6:$D$90,Cadastros!$E$6:$E$90))*(1-_xlfn.XLOOKUP(_xlfn.XLOOKUP($F1003,Clientes!$B$4:$B$39,Clientes!$C$4:$C$39),Cadastros!$L$6:$L$12,Cadastros!$N$6:$N$12)))</f>
        <v/>
      </c>
      <c r="P1003" s="168" t="str">
        <f t="shared" si="197"/>
        <v/>
      </c>
      <c r="Q1003" s="168" t="str">
        <f>IFERROR(P1003/_xlfn.XLOOKUP(_xlfn.XLOOKUP($F1003,Clientes!$B$4:$B$39,Clientes!$C$4:$C$39),Cadastros!$L$6:$L$12,Cadastros!$M$6:$M$12)," ")</f>
        <v xml:space="preserve"> </v>
      </c>
      <c r="R1003" s="28"/>
      <c r="S1003" s="28"/>
      <c r="T1003" s="255" t="str">
        <f>IF(R1003="","",(_xlfn.XLOOKUP(R1003,Cadastros!$D$6:$D$90,Cadastros!$E$6:$E$90))*(1-_xlfn.XLOOKUP(_xlfn.XLOOKUP($F1003,Clientes!$B$4:$B$39,Clientes!$C$4:$C$39),Cadastros!$L$6:$L$12,Cadastros!$N$6:$N$12)))</f>
        <v/>
      </c>
      <c r="U1003" s="168" t="str">
        <f t="shared" si="198"/>
        <v/>
      </c>
      <c r="V1003" s="168" t="str">
        <f>IFERROR(U1003/_xlfn.XLOOKUP(_xlfn.XLOOKUP($F1003,Clientes!$B$4:$B$39,Clientes!$C$4:$C$39),Cadastros!$L$6:$L$12,Cadastros!$M$6:$M$12)," ")</f>
        <v xml:space="preserve"> </v>
      </c>
      <c r="W1003" s="28"/>
      <c r="X1003" s="28"/>
      <c r="Y1003" s="255" t="str">
        <f>IF(W1003="","",(_xlfn.XLOOKUP(W1003,Cadastros!$D$6:$D$90,Cadastros!$E$6:$E$90))*(1-_xlfn.XLOOKUP(_xlfn.XLOOKUP($F1003,Clientes!$B$4:$B$39,Clientes!$C$4:$C$39),Cadastros!$L$6:$L$12,Cadastros!$N$6:$N$12)))</f>
        <v/>
      </c>
      <c r="Z1003" s="168" t="str">
        <f t="shared" si="199"/>
        <v/>
      </c>
      <c r="AA1003" s="168" t="str">
        <f>IFERROR(Z1003/_xlfn.XLOOKUP(_xlfn.XLOOKUP($F1003,Clientes!$B$4:$B$39,Clientes!$C$4:$C$39),Cadastros!$L$6:$L$12,Cadastros!$M$6:$M$12)," ")</f>
        <v xml:space="preserve"> </v>
      </c>
      <c r="AB1003" s="28"/>
      <c r="AC1003" s="28"/>
      <c r="AD1003" s="20" t="str">
        <f>IF(AB1003="","",IF($F1003="Bernardino Furlan",_xlfn.XLOOKUP(AB1003,Cadastros!$G$6:$G$90,Cadastros!$H$6:$H$90)*(1-0.18),IF($F1003="Mauro José Salanti",_xlfn.XLOOKUP(AB1003,Cadastros!$G$6:$G$90,Cadastros!$H$6:$H$90)*(1-0.18),_xlfn.XLOOKUP(AB1003,Cadastros!$G$6:$G$90,Cadastros!$H$6:$H$90))))</f>
        <v/>
      </c>
      <c r="AE1003" s="168" t="str">
        <f t="shared" si="200"/>
        <v/>
      </c>
      <c r="AF1003" s="168" t="str">
        <f t="shared" si="201"/>
        <v/>
      </c>
      <c r="AG1003" s="28"/>
      <c r="AH1003" s="28"/>
      <c r="AI1003" s="20" t="str">
        <f>IF(AG1003="","",IF($F1003="Bernardino Furlan",_xlfn.XLOOKUP(AG1003,Cadastros!$G$6:$G$90,Cadastros!$H$6:$H$90)*(1-0.18),IF($F1003="Mauro José Salanti",_xlfn.XLOOKUP(AG1003,Cadastros!$G$6:$G$90,Cadastros!$H$6:$H$90)*(1-0.18),_xlfn.XLOOKUP(AG1003,Cadastros!$G$6:$G$90,Cadastros!$H$6:$H$90))))</f>
        <v/>
      </c>
      <c r="AJ1003" s="168" t="str">
        <f t="shared" si="202"/>
        <v/>
      </c>
      <c r="AK1003" s="168" t="str">
        <f t="shared" si="203"/>
        <v/>
      </c>
      <c r="AL1003" s="28"/>
      <c r="AM1003" s="28"/>
      <c r="AN1003" s="20" t="str">
        <f>IF(AL1003="","",IF($F1003="Bernardino Furlan",_xlfn.XLOOKUP(AL1003,Cadastros!$G$6:$G$90,Cadastros!$H$6:$H$90)*(1-0.18),IF($F1003="Mauro José Salanti",_xlfn.XLOOKUP(AL1003,Cadastros!$G$6:$G$90,Cadastros!$H$6:$H$90)*(1-0.18),_xlfn.XLOOKUP(AL1003,Cadastros!$G$6:$G$90,Cadastros!$H$6:$H$90))))</f>
        <v/>
      </c>
      <c r="AO1003" s="168" t="str">
        <f t="shared" si="204"/>
        <v/>
      </c>
      <c r="AP1003" s="168" t="str">
        <f t="shared" si="205"/>
        <v/>
      </c>
      <c r="AQ1003" s="28"/>
      <c r="AR1003" s="28"/>
      <c r="AS1003" s="20" t="str">
        <f>IF(AQ1003="","",IF($F1003="Bernardino Furlan",_xlfn.XLOOKUP(AQ1003,Cadastros!$G$6:$G$90,Cadastros!$H$6:$H$90)*(1-0.18),IF($F1003="Mauro José Salanti",_xlfn.XLOOKUP(AQ1003,Cadastros!$G$6:$G$90,Cadastros!$H$6:$H$90)*(1-0.18),_xlfn.XLOOKUP(AQ1003,Cadastros!$G$6:$G$90,Cadastros!$H$6:$H$90))))</f>
        <v/>
      </c>
      <c r="AT1003" s="168" t="str">
        <f t="shared" si="206"/>
        <v/>
      </c>
      <c r="AU1003" s="168" t="str">
        <f t="shared" si="207"/>
        <v/>
      </c>
      <c r="AV1003" s="227"/>
      <c r="AW1003" s="30"/>
      <c r="AX1003" s="267"/>
      <c r="AY1003" s="267"/>
      <c r="AZ1003" s="29"/>
      <c r="BA1003" s="30"/>
      <c r="BB1003" s="23" t="str" cm="1">
        <f t="array" ref="BB1003">_xlfn.IFS(AW1003="SIM",SUM(K1003,P1003,U1003,Z1003,AE1003,AJ1003,AO1003,AT1003,AX1003,AY1003),F1003&lt;&gt;"",SUM(K1003,P1003,U1003,Z1003,AE1003,AJ1003,,AO1003,AT1003),F1003="","")</f>
        <v/>
      </c>
      <c r="BC1003" s="211" t="str" cm="1">
        <f t="array" ref="BC1003">_xlfn.IFS(E1003="","",G1003&lt;=E1003,BB1003*(1-0.03),G1003&lt;(E1003+8),BB1003,AZ1003="Boleto",BB1003*(1+0.001)^DATEDIF(E1003,G1003,"D"),AZ1003="Cheque",BB1003,AZ1003="Dinheiro","Alterar forma pgto")</f>
        <v/>
      </c>
      <c r="BD1003" s="276" t="str" cm="1">
        <f t="array" ref="BD1003">IF(F1003=0," ",IF(BC1003&lt;BB1003,(_xlfn.IFS(AW1003="SIM",SUM(L1003,Q1003,V1003,AA1003,AF1003,AK1003,AP1003,AU1003)+AX1003/_xlfn.XLOOKUP(_xlfn.XLOOKUP($F1003,Clientes!$B$4:$B$39,Clientes!$C$4:$C$39),Cadastros!$L$6:$L$12,Cadastros!$M$6:$M$12)+IF($F1003="Bernardino Furlan",AY1003/2751.92,IF($F1003="Mauro José Salanti",AY1003/2751.92,AY1003/3356)),F1003&lt;&gt;0,SUM(L1003,Q1003,V1003,AA1003,AF1003,AK1003,AP1003,AU1003)))*(1-0.03),_xlfn.IFS(AW1003="SIM",SUM(L1003,Q1003,V1003,AA1003,AF1003,AK1003,AP1003,AU1003)+AX1003/_xlfn.XLOOKUP(_xlfn.XLOOKUP($F1003,Clientes!$B$4:$B$39,Clientes!$C$4:$C$39),Cadastros!$L$6:$L$12,Cadastros!$M$6:$M$12)+IF($F1003="Bernardino Furlan",AY1003/2751.92,IF($F1003="Mauro José Salanti",AY1003/2751.92,AY1003/3356)),F1003&lt;&gt;0,SUM(L1003,Q1003,V1003,AA1003,AF1003,AK1003,AP1003,AU1003))))</f>
        <v xml:space="preserve"> </v>
      </c>
      <c r="BE1003" s="120"/>
      <c r="BF1003" s="120"/>
      <c r="BG1003" s="120"/>
    </row>
    <row r="1004" spans="1:59" s="3" customFormat="1" x14ac:dyDescent="0.3">
      <c r="A1004" s="15" t="str">
        <f t="shared" si="195"/>
        <v/>
      </c>
      <c r="B1004" s="25"/>
      <c r="C1004" s="26"/>
      <c r="D1004" s="279"/>
      <c r="E1004" s="27"/>
      <c r="F1004" s="28"/>
      <c r="G1004" s="27"/>
      <c r="H1004" s="28"/>
      <c r="I1004" s="28"/>
      <c r="J1004" s="255" t="str">
        <f>IF(H1004="","",(_xlfn.XLOOKUP(H1004,Cadastros!$D$6:$D$90,Cadastros!$E$6:$E$90))*(1-_xlfn.XLOOKUP(_xlfn.XLOOKUP($F1004,Clientes!$B$4:$B$39,Clientes!$C$4:$C$39),Cadastros!$L$6:$L$12,Cadastros!$N$6:$N$12)))</f>
        <v/>
      </c>
      <c r="K1004" s="168" t="str">
        <f t="shared" si="196"/>
        <v/>
      </c>
      <c r="L1004" s="168" t="str">
        <f>IFERROR(K1004/_xlfn.XLOOKUP(_xlfn.XLOOKUP($F1004,Clientes!$B$4:$B$39,Clientes!$C$4:$C$39),Cadastros!$L$6:$L$12,Cadastros!$M$6:$M$12)," ")</f>
        <v xml:space="preserve"> </v>
      </c>
      <c r="M1004" s="28"/>
      <c r="N1004" s="28"/>
      <c r="O1004" s="255" t="str">
        <f>IF(M1004="","",(_xlfn.XLOOKUP(M1004,Cadastros!$D$6:$D$90,Cadastros!$E$6:$E$90))*(1-_xlfn.XLOOKUP(_xlfn.XLOOKUP($F1004,Clientes!$B$4:$B$39,Clientes!$C$4:$C$39),Cadastros!$L$6:$L$12,Cadastros!$N$6:$N$12)))</f>
        <v/>
      </c>
      <c r="P1004" s="168" t="str">
        <f t="shared" si="197"/>
        <v/>
      </c>
      <c r="Q1004" s="168" t="str">
        <f>IFERROR(P1004/_xlfn.XLOOKUP(_xlfn.XLOOKUP($F1004,Clientes!$B$4:$B$39,Clientes!$C$4:$C$39),Cadastros!$L$6:$L$12,Cadastros!$M$6:$M$12)," ")</f>
        <v xml:space="preserve"> </v>
      </c>
      <c r="R1004" s="28"/>
      <c r="S1004" s="28"/>
      <c r="T1004" s="255" t="str">
        <f>IF(R1004="","",(_xlfn.XLOOKUP(R1004,Cadastros!$D$6:$D$90,Cadastros!$E$6:$E$90))*(1-_xlfn.XLOOKUP(_xlfn.XLOOKUP($F1004,Clientes!$B$4:$B$39,Clientes!$C$4:$C$39),Cadastros!$L$6:$L$12,Cadastros!$N$6:$N$12)))</f>
        <v/>
      </c>
      <c r="U1004" s="168" t="str">
        <f t="shared" si="198"/>
        <v/>
      </c>
      <c r="V1004" s="168" t="str">
        <f>IFERROR(U1004/_xlfn.XLOOKUP(_xlfn.XLOOKUP($F1004,Clientes!$B$4:$B$39,Clientes!$C$4:$C$39),Cadastros!$L$6:$L$12,Cadastros!$M$6:$M$12)," ")</f>
        <v xml:space="preserve"> </v>
      </c>
      <c r="W1004" s="28"/>
      <c r="X1004" s="28"/>
      <c r="Y1004" s="255" t="str">
        <f>IF(W1004="","",(_xlfn.XLOOKUP(W1004,Cadastros!$D$6:$D$90,Cadastros!$E$6:$E$90))*(1-_xlfn.XLOOKUP(_xlfn.XLOOKUP($F1004,Clientes!$B$4:$B$39,Clientes!$C$4:$C$39),Cadastros!$L$6:$L$12,Cadastros!$N$6:$N$12)))</f>
        <v/>
      </c>
      <c r="Z1004" s="168" t="str">
        <f t="shared" si="199"/>
        <v/>
      </c>
      <c r="AA1004" s="168" t="str">
        <f>IFERROR(Z1004/_xlfn.XLOOKUP(_xlfn.XLOOKUP($F1004,Clientes!$B$4:$B$39,Clientes!$C$4:$C$39),Cadastros!$L$6:$L$12,Cadastros!$M$6:$M$12)," ")</f>
        <v xml:space="preserve"> </v>
      </c>
      <c r="AB1004" s="28"/>
      <c r="AC1004" s="28"/>
      <c r="AD1004" s="20" t="str">
        <f>IF(AB1004="","",IF($F1004="Bernardino Furlan",_xlfn.XLOOKUP(AB1004,Cadastros!$G$6:$G$90,Cadastros!$H$6:$H$90)*(1-0.18),IF($F1004="Mauro José Salanti",_xlfn.XLOOKUP(AB1004,Cadastros!$G$6:$G$90,Cadastros!$H$6:$H$90)*(1-0.18),_xlfn.XLOOKUP(AB1004,Cadastros!$G$6:$G$90,Cadastros!$H$6:$H$90))))</f>
        <v/>
      </c>
      <c r="AE1004" s="168" t="str">
        <f t="shared" si="200"/>
        <v/>
      </c>
      <c r="AF1004" s="168" t="str">
        <f t="shared" si="201"/>
        <v/>
      </c>
      <c r="AG1004" s="28"/>
      <c r="AH1004" s="28"/>
      <c r="AI1004" s="20" t="str">
        <f>IF(AG1004="","",IF($F1004="Bernardino Furlan",_xlfn.XLOOKUP(AG1004,Cadastros!$G$6:$G$90,Cadastros!$H$6:$H$90)*(1-0.18),IF($F1004="Mauro José Salanti",_xlfn.XLOOKUP(AG1004,Cadastros!$G$6:$G$90,Cadastros!$H$6:$H$90)*(1-0.18),_xlfn.XLOOKUP(AG1004,Cadastros!$G$6:$G$90,Cadastros!$H$6:$H$90))))</f>
        <v/>
      </c>
      <c r="AJ1004" s="168" t="str">
        <f t="shared" si="202"/>
        <v/>
      </c>
      <c r="AK1004" s="168" t="str">
        <f t="shared" si="203"/>
        <v/>
      </c>
      <c r="AL1004" s="28"/>
      <c r="AM1004" s="28"/>
      <c r="AN1004" s="20" t="str">
        <f>IF(AL1004="","",IF($F1004="Bernardino Furlan",_xlfn.XLOOKUP(AL1004,Cadastros!$G$6:$G$90,Cadastros!$H$6:$H$90)*(1-0.18),IF($F1004="Mauro José Salanti",_xlfn.XLOOKUP(AL1004,Cadastros!$G$6:$G$90,Cadastros!$H$6:$H$90)*(1-0.18),_xlfn.XLOOKUP(AL1004,Cadastros!$G$6:$G$90,Cadastros!$H$6:$H$90))))</f>
        <v/>
      </c>
      <c r="AO1004" s="168" t="str">
        <f t="shared" si="204"/>
        <v/>
      </c>
      <c r="AP1004" s="168" t="str">
        <f t="shared" si="205"/>
        <v/>
      </c>
      <c r="AQ1004" s="28"/>
      <c r="AR1004" s="28"/>
      <c r="AS1004" s="20" t="str">
        <f>IF(AQ1004="","",IF($F1004="Bernardino Furlan",_xlfn.XLOOKUP(AQ1004,Cadastros!$G$6:$G$90,Cadastros!$H$6:$H$90)*(1-0.18),IF($F1004="Mauro José Salanti",_xlfn.XLOOKUP(AQ1004,Cadastros!$G$6:$G$90,Cadastros!$H$6:$H$90)*(1-0.18),_xlfn.XLOOKUP(AQ1004,Cadastros!$G$6:$G$90,Cadastros!$H$6:$H$90))))</f>
        <v/>
      </c>
      <c r="AT1004" s="168" t="str">
        <f t="shared" si="206"/>
        <v/>
      </c>
      <c r="AU1004" s="168" t="str">
        <f t="shared" si="207"/>
        <v/>
      </c>
      <c r="AV1004" s="227"/>
      <c r="AW1004" s="30"/>
      <c r="AX1004" s="267"/>
      <c r="AY1004" s="267"/>
      <c r="AZ1004" s="29"/>
      <c r="BA1004" s="30"/>
      <c r="BB1004" s="23" t="str" cm="1">
        <f t="array" ref="BB1004">_xlfn.IFS(AW1004="SIM",SUM(K1004,P1004,U1004,Z1004,AE1004,AJ1004,AO1004,AT1004,AX1004,AY1004),F1004&lt;&gt;"",SUM(K1004,P1004,U1004,Z1004,AE1004,AJ1004,,AO1004,AT1004),F1004="","")</f>
        <v/>
      </c>
      <c r="BC1004" s="211" t="str" cm="1">
        <f t="array" ref="BC1004">_xlfn.IFS(E1004="","",G1004&lt;=E1004,BB1004*(1-0.03),G1004&lt;(E1004+8),BB1004,AZ1004="Boleto",BB1004*(1+0.001)^DATEDIF(E1004,G1004,"D"),AZ1004="Cheque",BB1004,AZ1004="Dinheiro","Alterar forma pgto")</f>
        <v/>
      </c>
      <c r="BD1004" s="276" t="str" cm="1">
        <f t="array" ref="BD1004">IF(F1004=0," ",IF(BC1004&lt;BB1004,(_xlfn.IFS(AW1004="SIM",SUM(L1004,Q1004,V1004,AA1004,AF1004,AK1004,AP1004,AU1004)+AX1004/_xlfn.XLOOKUP(_xlfn.XLOOKUP($F1004,Clientes!$B$4:$B$39,Clientes!$C$4:$C$39),Cadastros!$L$6:$L$12,Cadastros!$M$6:$M$12)+IF($F1004="Bernardino Furlan",AY1004/2751.92,IF($F1004="Mauro José Salanti",AY1004/2751.92,AY1004/3356)),F1004&lt;&gt;0,SUM(L1004,Q1004,V1004,AA1004,AF1004,AK1004,AP1004,AU1004)))*(1-0.03),_xlfn.IFS(AW1004="SIM",SUM(L1004,Q1004,V1004,AA1004,AF1004,AK1004,AP1004,AU1004)+AX1004/_xlfn.XLOOKUP(_xlfn.XLOOKUP($F1004,Clientes!$B$4:$B$39,Clientes!$C$4:$C$39),Cadastros!$L$6:$L$12,Cadastros!$M$6:$M$12)+IF($F1004="Bernardino Furlan",AY1004/2751.92,IF($F1004="Mauro José Salanti",AY1004/2751.92,AY1004/3356)),F1004&lt;&gt;0,SUM(L1004,Q1004,V1004,AA1004,AF1004,AK1004,AP1004,AU1004))))</f>
        <v xml:space="preserve"> </v>
      </c>
      <c r="BE1004" s="120"/>
      <c r="BF1004" s="120"/>
      <c r="BG1004" s="120"/>
    </row>
    <row r="1005" spans="1:59" s="3" customFormat="1" x14ac:dyDescent="0.3">
      <c r="A1005" s="15" t="str">
        <f t="shared" si="195"/>
        <v/>
      </c>
      <c r="B1005" s="25"/>
      <c r="C1005" s="26"/>
      <c r="D1005" s="279"/>
      <c r="E1005" s="27"/>
      <c r="F1005" s="28"/>
      <c r="G1005" s="27"/>
      <c r="H1005" s="28"/>
      <c r="I1005" s="28"/>
      <c r="J1005" s="255" t="str">
        <f>IF(H1005="","",(_xlfn.XLOOKUP(H1005,Cadastros!$D$6:$D$90,Cadastros!$E$6:$E$90))*(1-_xlfn.XLOOKUP(_xlfn.XLOOKUP($F1005,Clientes!$B$4:$B$39,Clientes!$C$4:$C$39),Cadastros!$L$6:$L$12,Cadastros!$N$6:$N$12)))</f>
        <v/>
      </c>
      <c r="K1005" s="168" t="str">
        <f t="shared" si="196"/>
        <v/>
      </c>
      <c r="L1005" s="168" t="str">
        <f>IFERROR(K1005/_xlfn.XLOOKUP(_xlfn.XLOOKUP($F1005,Clientes!$B$4:$B$39,Clientes!$C$4:$C$39),Cadastros!$L$6:$L$12,Cadastros!$M$6:$M$12)," ")</f>
        <v xml:space="preserve"> </v>
      </c>
      <c r="M1005" s="28"/>
      <c r="N1005" s="28"/>
      <c r="O1005" s="255" t="str">
        <f>IF(M1005="","",(_xlfn.XLOOKUP(M1005,Cadastros!$D$6:$D$90,Cadastros!$E$6:$E$90))*(1-_xlfn.XLOOKUP(_xlfn.XLOOKUP($F1005,Clientes!$B$4:$B$39,Clientes!$C$4:$C$39),Cadastros!$L$6:$L$12,Cadastros!$N$6:$N$12)))</f>
        <v/>
      </c>
      <c r="P1005" s="168" t="str">
        <f t="shared" si="197"/>
        <v/>
      </c>
      <c r="Q1005" s="168" t="str">
        <f>IFERROR(P1005/_xlfn.XLOOKUP(_xlfn.XLOOKUP($F1005,Clientes!$B$4:$B$39,Clientes!$C$4:$C$39),Cadastros!$L$6:$L$12,Cadastros!$M$6:$M$12)," ")</f>
        <v xml:space="preserve"> </v>
      </c>
      <c r="R1005" s="28"/>
      <c r="S1005" s="28"/>
      <c r="T1005" s="255" t="str">
        <f>IF(R1005="","",(_xlfn.XLOOKUP(R1005,Cadastros!$D$6:$D$90,Cadastros!$E$6:$E$90))*(1-_xlfn.XLOOKUP(_xlfn.XLOOKUP($F1005,Clientes!$B$4:$B$39,Clientes!$C$4:$C$39),Cadastros!$L$6:$L$12,Cadastros!$N$6:$N$12)))</f>
        <v/>
      </c>
      <c r="U1005" s="168" t="str">
        <f t="shared" si="198"/>
        <v/>
      </c>
      <c r="V1005" s="168" t="str">
        <f>IFERROR(U1005/_xlfn.XLOOKUP(_xlfn.XLOOKUP($F1005,Clientes!$B$4:$B$39,Clientes!$C$4:$C$39),Cadastros!$L$6:$L$12,Cadastros!$M$6:$M$12)," ")</f>
        <v xml:space="preserve"> </v>
      </c>
      <c r="W1005" s="28"/>
      <c r="X1005" s="28"/>
      <c r="Y1005" s="255" t="str">
        <f>IF(W1005="","",(_xlfn.XLOOKUP(W1005,Cadastros!$D$6:$D$90,Cadastros!$E$6:$E$90))*(1-_xlfn.XLOOKUP(_xlfn.XLOOKUP($F1005,Clientes!$B$4:$B$39,Clientes!$C$4:$C$39),Cadastros!$L$6:$L$12,Cadastros!$N$6:$N$12)))</f>
        <v/>
      </c>
      <c r="Z1005" s="168" t="str">
        <f t="shared" si="199"/>
        <v/>
      </c>
      <c r="AA1005" s="168" t="str">
        <f>IFERROR(Z1005/_xlfn.XLOOKUP(_xlfn.XLOOKUP($F1005,Clientes!$B$4:$B$39,Clientes!$C$4:$C$39),Cadastros!$L$6:$L$12,Cadastros!$M$6:$M$12)," ")</f>
        <v xml:space="preserve"> </v>
      </c>
      <c r="AB1005" s="28"/>
      <c r="AC1005" s="28"/>
      <c r="AD1005" s="20" t="str">
        <f>IF(AB1005="","",IF($F1005="Bernardino Furlan",_xlfn.XLOOKUP(AB1005,Cadastros!$G$6:$G$90,Cadastros!$H$6:$H$90)*(1-0.18),IF($F1005="Mauro José Salanti",_xlfn.XLOOKUP(AB1005,Cadastros!$G$6:$G$90,Cadastros!$H$6:$H$90)*(1-0.18),_xlfn.XLOOKUP(AB1005,Cadastros!$G$6:$G$90,Cadastros!$H$6:$H$90))))</f>
        <v/>
      </c>
      <c r="AE1005" s="168" t="str">
        <f t="shared" si="200"/>
        <v/>
      </c>
      <c r="AF1005" s="168" t="str">
        <f t="shared" si="201"/>
        <v/>
      </c>
      <c r="AG1005" s="28"/>
      <c r="AH1005" s="28"/>
      <c r="AI1005" s="20" t="str">
        <f>IF(AG1005="","",IF($F1005="Bernardino Furlan",_xlfn.XLOOKUP(AG1005,Cadastros!$G$6:$G$90,Cadastros!$H$6:$H$90)*(1-0.18),IF($F1005="Mauro José Salanti",_xlfn.XLOOKUP(AG1005,Cadastros!$G$6:$G$90,Cadastros!$H$6:$H$90)*(1-0.18),_xlfn.XLOOKUP(AG1005,Cadastros!$G$6:$G$90,Cadastros!$H$6:$H$90))))</f>
        <v/>
      </c>
      <c r="AJ1005" s="168" t="str">
        <f t="shared" si="202"/>
        <v/>
      </c>
      <c r="AK1005" s="168" t="str">
        <f t="shared" si="203"/>
        <v/>
      </c>
      <c r="AL1005" s="28"/>
      <c r="AM1005" s="28"/>
      <c r="AN1005" s="20" t="str">
        <f>IF(AL1005="","",IF($F1005="Bernardino Furlan",_xlfn.XLOOKUP(AL1005,Cadastros!$G$6:$G$90,Cadastros!$H$6:$H$90)*(1-0.18),IF($F1005="Mauro José Salanti",_xlfn.XLOOKUP(AL1005,Cadastros!$G$6:$G$90,Cadastros!$H$6:$H$90)*(1-0.18),_xlfn.XLOOKUP(AL1005,Cadastros!$G$6:$G$90,Cadastros!$H$6:$H$90))))</f>
        <v/>
      </c>
      <c r="AO1005" s="168" t="str">
        <f t="shared" si="204"/>
        <v/>
      </c>
      <c r="AP1005" s="168" t="str">
        <f t="shared" si="205"/>
        <v/>
      </c>
      <c r="AQ1005" s="28"/>
      <c r="AR1005" s="28"/>
      <c r="AS1005" s="20" t="str">
        <f>IF(AQ1005="","",IF($F1005="Bernardino Furlan",_xlfn.XLOOKUP(AQ1005,Cadastros!$G$6:$G$90,Cadastros!$H$6:$H$90)*(1-0.18),IF($F1005="Mauro José Salanti",_xlfn.XLOOKUP(AQ1005,Cadastros!$G$6:$G$90,Cadastros!$H$6:$H$90)*(1-0.18),_xlfn.XLOOKUP(AQ1005,Cadastros!$G$6:$G$90,Cadastros!$H$6:$H$90))))</f>
        <v/>
      </c>
      <c r="AT1005" s="168" t="str">
        <f t="shared" si="206"/>
        <v/>
      </c>
      <c r="AU1005" s="168" t="str">
        <f t="shared" si="207"/>
        <v/>
      </c>
      <c r="AV1005" s="227"/>
      <c r="AW1005" s="30"/>
      <c r="AX1005" s="267"/>
      <c r="AY1005" s="267"/>
      <c r="AZ1005" s="29"/>
      <c r="BA1005" s="30"/>
      <c r="BB1005" s="23" t="str" cm="1">
        <f t="array" ref="BB1005">_xlfn.IFS(AW1005="SIM",SUM(K1005,P1005,U1005,Z1005,AE1005,AJ1005,AO1005,AT1005,AX1005,AY1005),F1005&lt;&gt;"",SUM(K1005,P1005,U1005,Z1005,AE1005,AJ1005,,AO1005,AT1005),F1005="","")</f>
        <v/>
      </c>
      <c r="BC1005" s="211" t="str" cm="1">
        <f t="array" ref="BC1005">_xlfn.IFS(E1005="","",G1005&lt;=E1005,BB1005*(1-0.03),G1005&lt;(E1005+8),BB1005,AZ1005="Boleto",BB1005*(1+0.001)^DATEDIF(E1005,G1005,"D"),AZ1005="Cheque",BB1005,AZ1005="Dinheiro","Alterar forma pgto")</f>
        <v/>
      </c>
      <c r="BD1005" s="276" t="str" cm="1">
        <f t="array" ref="BD1005">IF(F1005=0," ",IF(BC1005&lt;BB1005,(_xlfn.IFS(AW1005="SIM",SUM(L1005,Q1005,V1005,AA1005,AF1005,AK1005,AP1005,AU1005)+AX1005/_xlfn.XLOOKUP(_xlfn.XLOOKUP($F1005,Clientes!$B$4:$B$39,Clientes!$C$4:$C$39),Cadastros!$L$6:$L$12,Cadastros!$M$6:$M$12)+IF($F1005="Bernardino Furlan",AY1005/2751.92,IF($F1005="Mauro José Salanti",AY1005/2751.92,AY1005/3356)),F1005&lt;&gt;0,SUM(L1005,Q1005,V1005,AA1005,AF1005,AK1005,AP1005,AU1005)))*(1-0.03),_xlfn.IFS(AW1005="SIM",SUM(L1005,Q1005,V1005,AA1005,AF1005,AK1005,AP1005,AU1005)+AX1005/_xlfn.XLOOKUP(_xlfn.XLOOKUP($F1005,Clientes!$B$4:$B$39,Clientes!$C$4:$C$39),Cadastros!$L$6:$L$12,Cadastros!$M$6:$M$12)+IF($F1005="Bernardino Furlan",AY1005/2751.92,IF($F1005="Mauro José Salanti",AY1005/2751.92,AY1005/3356)),F1005&lt;&gt;0,SUM(L1005,Q1005,V1005,AA1005,AF1005,AK1005,AP1005,AU1005))))</f>
        <v xml:space="preserve"> </v>
      </c>
      <c r="BE1005" s="120"/>
      <c r="BF1005" s="120"/>
      <c r="BG1005" s="120"/>
    </row>
    <row r="1006" spans="1:59" s="3" customFormat="1" x14ac:dyDescent="0.3">
      <c r="A1006" s="15" t="str">
        <f t="shared" si="195"/>
        <v/>
      </c>
      <c r="B1006" s="25"/>
      <c r="C1006" s="26"/>
      <c r="D1006" s="279"/>
      <c r="E1006" s="27"/>
      <c r="F1006" s="28"/>
      <c r="G1006" s="27"/>
      <c r="H1006" s="28"/>
      <c r="I1006" s="28"/>
      <c r="J1006" s="255" t="str">
        <f>IF(H1006="","",(_xlfn.XLOOKUP(H1006,Cadastros!$D$6:$D$90,Cadastros!$E$6:$E$90))*(1-_xlfn.XLOOKUP(_xlfn.XLOOKUP($F1006,Clientes!$B$4:$B$39,Clientes!$C$4:$C$39),Cadastros!$L$6:$L$12,Cadastros!$N$6:$N$12)))</f>
        <v/>
      </c>
      <c r="K1006" s="168" t="str">
        <f t="shared" si="196"/>
        <v/>
      </c>
      <c r="L1006" s="168" t="str">
        <f>IFERROR(K1006/_xlfn.XLOOKUP(_xlfn.XLOOKUP($F1006,Clientes!$B$4:$B$39,Clientes!$C$4:$C$39),Cadastros!$L$6:$L$12,Cadastros!$M$6:$M$12)," ")</f>
        <v xml:space="preserve"> </v>
      </c>
      <c r="M1006" s="28"/>
      <c r="N1006" s="28"/>
      <c r="O1006" s="255" t="str">
        <f>IF(M1006="","",(_xlfn.XLOOKUP(M1006,Cadastros!$D$6:$D$90,Cadastros!$E$6:$E$90))*(1-_xlfn.XLOOKUP(_xlfn.XLOOKUP($F1006,Clientes!$B$4:$B$39,Clientes!$C$4:$C$39),Cadastros!$L$6:$L$12,Cadastros!$N$6:$N$12)))</f>
        <v/>
      </c>
      <c r="P1006" s="168" t="str">
        <f t="shared" si="197"/>
        <v/>
      </c>
      <c r="Q1006" s="168" t="str">
        <f>IFERROR(P1006/_xlfn.XLOOKUP(_xlfn.XLOOKUP($F1006,Clientes!$B$4:$B$39,Clientes!$C$4:$C$39),Cadastros!$L$6:$L$12,Cadastros!$M$6:$M$12)," ")</f>
        <v xml:space="preserve"> </v>
      </c>
      <c r="R1006" s="28"/>
      <c r="S1006" s="28"/>
      <c r="T1006" s="255" t="str">
        <f>IF(R1006="","",(_xlfn.XLOOKUP(R1006,Cadastros!$D$6:$D$90,Cadastros!$E$6:$E$90))*(1-_xlfn.XLOOKUP(_xlfn.XLOOKUP($F1006,Clientes!$B$4:$B$39,Clientes!$C$4:$C$39),Cadastros!$L$6:$L$12,Cadastros!$N$6:$N$12)))</f>
        <v/>
      </c>
      <c r="U1006" s="168" t="str">
        <f t="shared" si="198"/>
        <v/>
      </c>
      <c r="V1006" s="168" t="str">
        <f>IFERROR(U1006/_xlfn.XLOOKUP(_xlfn.XLOOKUP($F1006,Clientes!$B$4:$B$39,Clientes!$C$4:$C$39),Cadastros!$L$6:$L$12,Cadastros!$M$6:$M$12)," ")</f>
        <v xml:space="preserve"> </v>
      </c>
      <c r="W1006" s="28"/>
      <c r="X1006" s="28"/>
      <c r="Y1006" s="255" t="str">
        <f>IF(W1006="","",(_xlfn.XLOOKUP(W1006,Cadastros!$D$6:$D$90,Cadastros!$E$6:$E$90))*(1-_xlfn.XLOOKUP(_xlfn.XLOOKUP($F1006,Clientes!$B$4:$B$39,Clientes!$C$4:$C$39),Cadastros!$L$6:$L$12,Cadastros!$N$6:$N$12)))</f>
        <v/>
      </c>
      <c r="Z1006" s="168" t="str">
        <f t="shared" si="199"/>
        <v/>
      </c>
      <c r="AA1006" s="168" t="str">
        <f>IFERROR(Z1006/_xlfn.XLOOKUP(_xlfn.XLOOKUP($F1006,Clientes!$B$4:$B$39,Clientes!$C$4:$C$39),Cadastros!$L$6:$L$12,Cadastros!$M$6:$M$12)," ")</f>
        <v xml:space="preserve"> </v>
      </c>
      <c r="AB1006" s="28"/>
      <c r="AC1006" s="28"/>
      <c r="AD1006" s="20" t="str">
        <f>IF(AB1006="","",IF($F1006="Bernardino Furlan",_xlfn.XLOOKUP(AB1006,Cadastros!$G$6:$G$90,Cadastros!$H$6:$H$90)*(1-0.18),IF($F1006="Mauro José Salanti",_xlfn.XLOOKUP(AB1006,Cadastros!$G$6:$G$90,Cadastros!$H$6:$H$90)*(1-0.18),_xlfn.XLOOKUP(AB1006,Cadastros!$G$6:$G$90,Cadastros!$H$6:$H$90))))</f>
        <v/>
      </c>
      <c r="AE1006" s="168" t="str">
        <f t="shared" si="200"/>
        <v/>
      </c>
      <c r="AF1006" s="168" t="str">
        <f t="shared" si="201"/>
        <v/>
      </c>
      <c r="AG1006" s="28"/>
      <c r="AH1006" s="28"/>
      <c r="AI1006" s="20" t="str">
        <f>IF(AG1006="","",IF($F1006="Bernardino Furlan",_xlfn.XLOOKUP(AG1006,Cadastros!$G$6:$G$90,Cadastros!$H$6:$H$90)*(1-0.18),IF($F1006="Mauro José Salanti",_xlfn.XLOOKUP(AG1006,Cadastros!$G$6:$G$90,Cadastros!$H$6:$H$90)*(1-0.18),_xlfn.XLOOKUP(AG1006,Cadastros!$G$6:$G$90,Cadastros!$H$6:$H$90))))</f>
        <v/>
      </c>
      <c r="AJ1006" s="168" t="str">
        <f t="shared" si="202"/>
        <v/>
      </c>
      <c r="AK1006" s="168" t="str">
        <f t="shared" si="203"/>
        <v/>
      </c>
      <c r="AL1006" s="28"/>
      <c r="AM1006" s="28"/>
      <c r="AN1006" s="20" t="str">
        <f>IF(AL1006="","",IF($F1006="Bernardino Furlan",_xlfn.XLOOKUP(AL1006,Cadastros!$G$6:$G$90,Cadastros!$H$6:$H$90)*(1-0.18),IF($F1006="Mauro José Salanti",_xlfn.XLOOKUP(AL1006,Cadastros!$G$6:$G$90,Cadastros!$H$6:$H$90)*(1-0.18),_xlfn.XLOOKUP(AL1006,Cadastros!$G$6:$G$90,Cadastros!$H$6:$H$90))))</f>
        <v/>
      </c>
      <c r="AO1006" s="168" t="str">
        <f t="shared" si="204"/>
        <v/>
      </c>
      <c r="AP1006" s="168" t="str">
        <f t="shared" si="205"/>
        <v/>
      </c>
      <c r="AQ1006" s="28"/>
      <c r="AR1006" s="28"/>
      <c r="AS1006" s="20" t="str">
        <f>IF(AQ1006="","",IF($F1006="Bernardino Furlan",_xlfn.XLOOKUP(AQ1006,Cadastros!$G$6:$G$90,Cadastros!$H$6:$H$90)*(1-0.18),IF($F1006="Mauro José Salanti",_xlfn.XLOOKUP(AQ1006,Cadastros!$G$6:$G$90,Cadastros!$H$6:$H$90)*(1-0.18),_xlfn.XLOOKUP(AQ1006,Cadastros!$G$6:$G$90,Cadastros!$H$6:$H$90))))</f>
        <v/>
      </c>
      <c r="AT1006" s="168" t="str">
        <f t="shared" si="206"/>
        <v/>
      </c>
      <c r="AU1006" s="168" t="str">
        <f t="shared" si="207"/>
        <v/>
      </c>
      <c r="AV1006" s="227"/>
      <c r="AW1006" s="30"/>
      <c r="AX1006" s="267"/>
      <c r="AY1006" s="267"/>
      <c r="AZ1006" s="29"/>
      <c r="BA1006" s="30"/>
      <c r="BB1006" s="23" t="str" cm="1">
        <f t="array" ref="BB1006">_xlfn.IFS(AW1006="SIM",SUM(K1006,P1006,U1006,Z1006,AE1006,AJ1006,AO1006,AT1006,AX1006,AY1006),F1006&lt;&gt;"",SUM(K1006,P1006,U1006,Z1006,AE1006,AJ1006,,AO1006,AT1006),F1006="","")</f>
        <v/>
      </c>
      <c r="BC1006" s="211" t="str" cm="1">
        <f t="array" ref="BC1006">_xlfn.IFS(E1006="","",G1006&lt;=E1006,BB1006*(1-0.03),G1006&lt;(E1006+8),BB1006,AZ1006="Boleto",BB1006*(1+0.001)^DATEDIF(E1006,G1006,"D"),AZ1006="Cheque",BB1006,AZ1006="Dinheiro","Alterar forma pgto")</f>
        <v/>
      </c>
      <c r="BD1006" s="276" t="str" cm="1">
        <f t="array" ref="BD1006">IF(F1006=0," ",IF(BC1006&lt;BB1006,(_xlfn.IFS(AW1006="SIM",SUM(L1006,Q1006,V1006,AA1006,AF1006,AK1006,AP1006,AU1006)+AX1006/_xlfn.XLOOKUP(_xlfn.XLOOKUP($F1006,Clientes!$B$4:$B$39,Clientes!$C$4:$C$39),Cadastros!$L$6:$L$12,Cadastros!$M$6:$M$12)+IF($F1006="Bernardino Furlan",AY1006/2751.92,IF($F1006="Mauro José Salanti",AY1006/2751.92,AY1006/3356)),F1006&lt;&gt;0,SUM(L1006,Q1006,V1006,AA1006,AF1006,AK1006,AP1006,AU1006)))*(1-0.03),_xlfn.IFS(AW1006="SIM",SUM(L1006,Q1006,V1006,AA1006,AF1006,AK1006,AP1006,AU1006)+AX1006/_xlfn.XLOOKUP(_xlfn.XLOOKUP($F1006,Clientes!$B$4:$B$39,Clientes!$C$4:$C$39),Cadastros!$L$6:$L$12,Cadastros!$M$6:$M$12)+IF($F1006="Bernardino Furlan",AY1006/2751.92,IF($F1006="Mauro José Salanti",AY1006/2751.92,AY1006/3356)),F1006&lt;&gt;0,SUM(L1006,Q1006,V1006,AA1006,AF1006,AK1006,AP1006,AU1006))))</f>
        <v xml:space="preserve"> </v>
      </c>
      <c r="BE1006" s="120"/>
      <c r="BF1006" s="120"/>
      <c r="BG1006" s="120"/>
    </row>
    <row r="1007" spans="1:59" s="3" customFormat="1" x14ac:dyDescent="0.3">
      <c r="A1007" s="15" t="str">
        <f t="shared" si="195"/>
        <v/>
      </c>
      <c r="B1007" s="25"/>
      <c r="C1007" s="26"/>
      <c r="D1007" s="279"/>
      <c r="E1007" s="27"/>
      <c r="F1007" s="28"/>
      <c r="G1007" s="27"/>
      <c r="H1007" s="28"/>
      <c r="I1007" s="28"/>
      <c r="J1007" s="255" t="str">
        <f>IF(H1007="","",(_xlfn.XLOOKUP(H1007,Cadastros!$D$6:$D$90,Cadastros!$E$6:$E$90))*(1-_xlfn.XLOOKUP(_xlfn.XLOOKUP($F1007,Clientes!$B$4:$B$39,Clientes!$C$4:$C$39),Cadastros!$L$6:$L$12,Cadastros!$N$6:$N$12)))</f>
        <v/>
      </c>
      <c r="K1007" s="168" t="str">
        <f t="shared" si="196"/>
        <v/>
      </c>
      <c r="L1007" s="168" t="str">
        <f>IFERROR(K1007/_xlfn.XLOOKUP(_xlfn.XLOOKUP($F1007,Clientes!$B$4:$B$39,Clientes!$C$4:$C$39),Cadastros!$L$6:$L$12,Cadastros!$M$6:$M$12)," ")</f>
        <v xml:space="preserve"> </v>
      </c>
      <c r="M1007" s="28"/>
      <c r="N1007" s="28"/>
      <c r="O1007" s="255" t="str">
        <f>IF(M1007="","",(_xlfn.XLOOKUP(M1007,Cadastros!$D$6:$D$90,Cadastros!$E$6:$E$90))*(1-_xlfn.XLOOKUP(_xlfn.XLOOKUP($F1007,Clientes!$B$4:$B$39,Clientes!$C$4:$C$39),Cadastros!$L$6:$L$12,Cadastros!$N$6:$N$12)))</f>
        <v/>
      </c>
      <c r="P1007" s="168" t="str">
        <f t="shared" si="197"/>
        <v/>
      </c>
      <c r="Q1007" s="168" t="str">
        <f>IFERROR(P1007/_xlfn.XLOOKUP(_xlfn.XLOOKUP($F1007,Clientes!$B$4:$B$39,Clientes!$C$4:$C$39),Cadastros!$L$6:$L$12,Cadastros!$M$6:$M$12)," ")</f>
        <v xml:space="preserve"> </v>
      </c>
      <c r="R1007" s="28"/>
      <c r="S1007" s="28"/>
      <c r="T1007" s="255" t="str">
        <f>IF(R1007="","",(_xlfn.XLOOKUP(R1007,Cadastros!$D$6:$D$90,Cadastros!$E$6:$E$90))*(1-_xlfn.XLOOKUP(_xlfn.XLOOKUP($F1007,Clientes!$B$4:$B$39,Clientes!$C$4:$C$39),Cadastros!$L$6:$L$12,Cadastros!$N$6:$N$12)))</f>
        <v/>
      </c>
      <c r="U1007" s="168" t="str">
        <f t="shared" si="198"/>
        <v/>
      </c>
      <c r="V1007" s="168" t="str">
        <f>IFERROR(U1007/_xlfn.XLOOKUP(_xlfn.XLOOKUP($F1007,Clientes!$B$4:$B$39,Clientes!$C$4:$C$39),Cadastros!$L$6:$L$12,Cadastros!$M$6:$M$12)," ")</f>
        <v xml:space="preserve"> </v>
      </c>
      <c r="W1007" s="28"/>
      <c r="X1007" s="28"/>
      <c r="Y1007" s="255" t="str">
        <f>IF(W1007="","",(_xlfn.XLOOKUP(W1007,Cadastros!$D$6:$D$90,Cadastros!$E$6:$E$90))*(1-_xlfn.XLOOKUP(_xlfn.XLOOKUP($F1007,Clientes!$B$4:$B$39,Clientes!$C$4:$C$39),Cadastros!$L$6:$L$12,Cadastros!$N$6:$N$12)))</f>
        <v/>
      </c>
      <c r="Z1007" s="168" t="str">
        <f t="shared" si="199"/>
        <v/>
      </c>
      <c r="AA1007" s="168" t="str">
        <f>IFERROR(Z1007/_xlfn.XLOOKUP(_xlfn.XLOOKUP($F1007,Clientes!$B$4:$B$39,Clientes!$C$4:$C$39),Cadastros!$L$6:$L$12,Cadastros!$M$6:$M$12)," ")</f>
        <v xml:space="preserve"> </v>
      </c>
      <c r="AB1007" s="28"/>
      <c r="AC1007" s="28"/>
      <c r="AD1007" s="20" t="str">
        <f>IF(AB1007="","",IF($F1007="Bernardino Furlan",_xlfn.XLOOKUP(AB1007,Cadastros!$G$6:$G$90,Cadastros!$H$6:$H$90)*(1-0.18),IF($F1007="Mauro José Salanti",_xlfn.XLOOKUP(AB1007,Cadastros!$G$6:$G$90,Cadastros!$H$6:$H$90)*(1-0.18),_xlfn.XLOOKUP(AB1007,Cadastros!$G$6:$G$90,Cadastros!$H$6:$H$90))))</f>
        <v/>
      </c>
      <c r="AE1007" s="168" t="str">
        <f t="shared" si="200"/>
        <v/>
      </c>
      <c r="AF1007" s="168" t="str">
        <f t="shared" si="201"/>
        <v/>
      </c>
      <c r="AG1007" s="28"/>
      <c r="AH1007" s="28"/>
      <c r="AI1007" s="20" t="str">
        <f>IF(AG1007="","",IF($F1007="Bernardino Furlan",_xlfn.XLOOKUP(AG1007,Cadastros!$G$6:$G$90,Cadastros!$H$6:$H$90)*(1-0.18),IF($F1007="Mauro José Salanti",_xlfn.XLOOKUP(AG1007,Cadastros!$G$6:$G$90,Cadastros!$H$6:$H$90)*(1-0.18),_xlfn.XLOOKUP(AG1007,Cadastros!$G$6:$G$90,Cadastros!$H$6:$H$90))))</f>
        <v/>
      </c>
      <c r="AJ1007" s="168" t="str">
        <f t="shared" si="202"/>
        <v/>
      </c>
      <c r="AK1007" s="168" t="str">
        <f t="shared" si="203"/>
        <v/>
      </c>
      <c r="AL1007" s="28"/>
      <c r="AM1007" s="28"/>
      <c r="AN1007" s="20" t="str">
        <f>IF(AL1007="","",IF($F1007="Bernardino Furlan",_xlfn.XLOOKUP(AL1007,Cadastros!$G$6:$G$90,Cadastros!$H$6:$H$90)*(1-0.18),IF($F1007="Mauro José Salanti",_xlfn.XLOOKUP(AL1007,Cadastros!$G$6:$G$90,Cadastros!$H$6:$H$90)*(1-0.18),_xlfn.XLOOKUP(AL1007,Cadastros!$G$6:$G$90,Cadastros!$H$6:$H$90))))</f>
        <v/>
      </c>
      <c r="AO1007" s="168" t="str">
        <f t="shared" si="204"/>
        <v/>
      </c>
      <c r="AP1007" s="168" t="str">
        <f t="shared" si="205"/>
        <v/>
      </c>
      <c r="AQ1007" s="28"/>
      <c r="AR1007" s="28"/>
      <c r="AS1007" s="20" t="str">
        <f>IF(AQ1007="","",IF($F1007="Bernardino Furlan",_xlfn.XLOOKUP(AQ1007,Cadastros!$G$6:$G$90,Cadastros!$H$6:$H$90)*(1-0.18),IF($F1007="Mauro José Salanti",_xlfn.XLOOKUP(AQ1007,Cadastros!$G$6:$G$90,Cadastros!$H$6:$H$90)*(1-0.18),_xlfn.XLOOKUP(AQ1007,Cadastros!$G$6:$G$90,Cadastros!$H$6:$H$90))))</f>
        <v/>
      </c>
      <c r="AT1007" s="168" t="str">
        <f t="shared" si="206"/>
        <v/>
      </c>
      <c r="AU1007" s="168" t="str">
        <f t="shared" si="207"/>
        <v/>
      </c>
      <c r="AV1007" s="227"/>
      <c r="AW1007" s="30"/>
      <c r="AX1007" s="267"/>
      <c r="AY1007" s="267"/>
      <c r="AZ1007" s="29"/>
      <c r="BA1007" s="30"/>
      <c r="BB1007" s="23" t="str" cm="1">
        <f t="array" ref="BB1007">_xlfn.IFS(AW1007="SIM",SUM(K1007,P1007,U1007,Z1007,AE1007,AJ1007,AO1007,AT1007,AX1007,AY1007),F1007&lt;&gt;"",SUM(K1007,P1007,U1007,Z1007,AE1007,AJ1007,,AO1007,AT1007),F1007="","")</f>
        <v/>
      </c>
      <c r="BC1007" s="211" t="str" cm="1">
        <f t="array" ref="BC1007">_xlfn.IFS(E1007="","",G1007&lt;=E1007,BB1007*(1-0.03),G1007&lt;(E1007+8),BB1007,AZ1007="Boleto",BB1007*(1+0.001)^DATEDIF(E1007,G1007,"D"),AZ1007="Cheque",BB1007,AZ1007="Dinheiro","Alterar forma pgto")</f>
        <v/>
      </c>
      <c r="BD1007" s="276" t="str" cm="1">
        <f t="array" ref="BD1007">IF(F1007=0," ",IF(BC1007&lt;BB1007,(_xlfn.IFS(AW1007="SIM",SUM(L1007,Q1007,V1007,AA1007,AF1007,AK1007,AP1007,AU1007)+AX1007/_xlfn.XLOOKUP(_xlfn.XLOOKUP($F1007,Clientes!$B$4:$B$39,Clientes!$C$4:$C$39),Cadastros!$L$6:$L$12,Cadastros!$M$6:$M$12)+IF($F1007="Bernardino Furlan",AY1007/2751.92,IF($F1007="Mauro José Salanti",AY1007/2751.92,AY1007/3356)),F1007&lt;&gt;0,SUM(L1007,Q1007,V1007,AA1007,AF1007,AK1007,AP1007,AU1007)))*(1-0.03),_xlfn.IFS(AW1007="SIM",SUM(L1007,Q1007,V1007,AA1007,AF1007,AK1007,AP1007,AU1007)+AX1007/_xlfn.XLOOKUP(_xlfn.XLOOKUP($F1007,Clientes!$B$4:$B$39,Clientes!$C$4:$C$39),Cadastros!$L$6:$L$12,Cadastros!$M$6:$M$12)+IF($F1007="Bernardino Furlan",AY1007/2751.92,IF($F1007="Mauro José Salanti",AY1007/2751.92,AY1007/3356)),F1007&lt;&gt;0,SUM(L1007,Q1007,V1007,AA1007,AF1007,AK1007,AP1007,AU1007))))</f>
        <v xml:space="preserve"> </v>
      </c>
      <c r="BE1007" s="120"/>
      <c r="BF1007" s="120"/>
      <c r="BG1007" s="120"/>
    </row>
    <row r="1008" spans="1:59" s="3" customFormat="1" x14ac:dyDescent="0.3">
      <c r="A1008" s="15" t="str">
        <f t="shared" si="195"/>
        <v/>
      </c>
      <c r="B1008" s="25"/>
      <c r="C1008" s="26"/>
      <c r="D1008" s="279"/>
      <c r="E1008" s="27"/>
      <c r="F1008" s="28"/>
      <c r="G1008" s="27"/>
      <c r="H1008" s="28"/>
      <c r="I1008" s="28"/>
      <c r="J1008" s="255" t="str">
        <f>IF(H1008="","",(_xlfn.XLOOKUP(H1008,Cadastros!$D$6:$D$90,Cadastros!$E$6:$E$90))*(1-_xlfn.XLOOKUP(_xlfn.XLOOKUP($F1008,Clientes!$B$4:$B$39,Clientes!$C$4:$C$39),Cadastros!$L$6:$L$12,Cadastros!$N$6:$N$12)))</f>
        <v/>
      </c>
      <c r="K1008" s="168" t="str">
        <f t="shared" si="196"/>
        <v/>
      </c>
      <c r="L1008" s="168" t="str">
        <f>IFERROR(K1008/_xlfn.XLOOKUP(_xlfn.XLOOKUP($F1008,Clientes!$B$4:$B$39,Clientes!$C$4:$C$39),Cadastros!$L$6:$L$12,Cadastros!$M$6:$M$12)," ")</f>
        <v xml:space="preserve"> </v>
      </c>
      <c r="M1008" s="28"/>
      <c r="N1008" s="28"/>
      <c r="O1008" s="255" t="str">
        <f>IF(M1008="","",(_xlfn.XLOOKUP(M1008,Cadastros!$D$6:$D$90,Cadastros!$E$6:$E$90))*(1-_xlfn.XLOOKUP(_xlfn.XLOOKUP($F1008,Clientes!$B$4:$B$39,Clientes!$C$4:$C$39),Cadastros!$L$6:$L$12,Cadastros!$N$6:$N$12)))</f>
        <v/>
      </c>
      <c r="P1008" s="168" t="str">
        <f t="shared" si="197"/>
        <v/>
      </c>
      <c r="Q1008" s="168" t="str">
        <f>IFERROR(P1008/_xlfn.XLOOKUP(_xlfn.XLOOKUP($F1008,Clientes!$B$4:$B$39,Clientes!$C$4:$C$39),Cadastros!$L$6:$L$12,Cadastros!$M$6:$M$12)," ")</f>
        <v xml:space="preserve"> </v>
      </c>
      <c r="R1008" s="28"/>
      <c r="S1008" s="28"/>
      <c r="T1008" s="255" t="str">
        <f>IF(R1008="","",(_xlfn.XLOOKUP(R1008,Cadastros!$D$6:$D$90,Cadastros!$E$6:$E$90))*(1-_xlfn.XLOOKUP(_xlfn.XLOOKUP($F1008,Clientes!$B$4:$B$39,Clientes!$C$4:$C$39),Cadastros!$L$6:$L$12,Cadastros!$N$6:$N$12)))</f>
        <v/>
      </c>
      <c r="U1008" s="168" t="str">
        <f t="shared" si="198"/>
        <v/>
      </c>
      <c r="V1008" s="168" t="str">
        <f>IFERROR(U1008/_xlfn.XLOOKUP(_xlfn.XLOOKUP($F1008,Clientes!$B$4:$B$39,Clientes!$C$4:$C$39),Cadastros!$L$6:$L$12,Cadastros!$M$6:$M$12)," ")</f>
        <v xml:space="preserve"> </v>
      </c>
      <c r="W1008" s="28"/>
      <c r="X1008" s="28"/>
      <c r="Y1008" s="255" t="str">
        <f>IF(W1008="","",(_xlfn.XLOOKUP(W1008,Cadastros!$D$6:$D$90,Cadastros!$E$6:$E$90))*(1-_xlfn.XLOOKUP(_xlfn.XLOOKUP($F1008,Clientes!$B$4:$B$39,Clientes!$C$4:$C$39),Cadastros!$L$6:$L$12,Cadastros!$N$6:$N$12)))</f>
        <v/>
      </c>
      <c r="Z1008" s="168" t="str">
        <f t="shared" si="199"/>
        <v/>
      </c>
      <c r="AA1008" s="168" t="str">
        <f>IFERROR(Z1008/_xlfn.XLOOKUP(_xlfn.XLOOKUP($F1008,Clientes!$B$4:$B$39,Clientes!$C$4:$C$39),Cadastros!$L$6:$L$12,Cadastros!$M$6:$M$12)," ")</f>
        <v xml:space="preserve"> </v>
      </c>
      <c r="AB1008" s="28"/>
      <c r="AC1008" s="28"/>
      <c r="AD1008" s="20" t="str">
        <f>IF(AB1008="","",IF($F1008="Bernardino Furlan",_xlfn.XLOOKUP(AB1008,Cadastros!$G$6:$G$90,Cadastros!$H$6:$H$90)*(1-0.18),IF($F1008="Mauro José Salanti",_xlfn.XLOOKUP(AB1008,Cadastros!$G$6:$G$90,Cadastros!$H$6:$H$90)*(1-0.18),_xlfn.XLOOKUP(AB1008,Cadastros!$G$6:$G$90,Cadastros!$H$6:$H$90))))</f>
        <v/>
      </c>
      <c r="AE1008" s="168" t="str">
        <f t="shared" si="200"/>
        <v/>
      </c>
      <c r="AF1008" s="168" t="str">
        <f t="shared" si="201"/>
        <v/>
      </c>
      <c r="AG1008" s="28"/>
      <c r="AH1008" s="28"/>
      <c r="AI1008" s="20" t="str">
        <f>IF(AG1008="","",IF($F1008="Bernardino Furlan",_xlfn.XLOOKUP(AG1008,Cadastros!$G$6:$G$90,Cadastros!$H$6:$H$90)*(1-0.18),IF($F1008="Mauro José Salanti",_xlfn.XLOOKUP(AG1008,Cadastros!$G$6:$G$90,Cadastros!$H$6:$H$90)*(1-0.18),_xlfn.XLOOKUP(AG1008,Cadastros!$G$6:$G$90,Cadastros!$H$6:$H$90))))</f>
        <v/>
      </c>
      <c r="AJ1008" s="168" t="str">
        <f t="shared" si="202"/>
        <v/>
      </c>
      <c r="AK1008" s="168" t="str">
        <f t="shared" si="203"/>
        <v/>
      </c>
      <c r="AL1008" s="28"/>
      <c r="AM1008" s="28"/>
      <c r="AN1008" s="20" t="str">
        <f>IF(AL1008="","",IF($F1008="Bernardino Furlan",_xlfn.XLOOKUP(AL1008,Cadastros!$G$6:$G$90,Cadastros!$H$6:$H$90)*(1-0.18),IF($F1008="Mauro José Salanti",_xlfn.XLOOKUP(AL1008,Cadastros!$G$6:$G$90,Cadastros!$H$6:$H$90)*(1-0.18),_xlfn.XLOOKUP(AL1008,Cadastros!$G$6:$G$90,Cadastros!$H$6:$H$90))))</f>
        <v/>
      </c>
      <c r="AO1008" s="168" t="str">
        <f t="shared" si="204"/>
        <v/>
      </c>
      <c r="AP1008" s="168" t="str">
        <f t="shared" si="205"/>
        <v/>
      </c>
      <c r="AQ1008" s="28"/>
      <c r="AR1008" s="28"/>
      <c r="AS1008" s="20" t="str">
        <f>IF(AQ1008="","",IF($F1008="Bernardino Furlan",_xlfn.XLOOKUP(AQ1008,Cadastros!$G$6:$G$90,Cadastros!$H$6:$H$90)*(1-0.18),IF($F1008="Mauro José Salanti",_xlfn.XLOOKUP(AQ1008,Cadastros!$G$6:$G$90,Cadastros!$H$6:$H$90)*(1-0.18),_xlfn.XLOOKUP(AQ1008,Cadastros!$G$6:$G$90,Cadastros!$H$6:$H$90))))</f>
        <v/>
      </c>
      <c r="AT1008" s="168" t="str">
        <f t="shared" si="206"/>
        <v/>
      </c>
      <c r="AU1008" s="168" t="str">
        <f t="shared" si="207"/>
        <v/>
      </c>
      <c r="AV1008" s="227"/>
      <c r="AW1008" s="30"/>
      <c r="AX1008" s="267"/>
      <c r="AY1008" s="267"/>
      <c r="AZ1008" s="29"/>
      <c r="BA1008" s="30"/>
      <c r="BB1008" s="23" t="str" cm="1">
        <f t="array" ref="BB1008">_xlfn.IFS(AW1008="SIM",SUM(K1008,P1008,U1008,Z1008,AE1008,AJ1008,AO1008,AT1008,AX1008,AY1008),F1008&lt;&gt;"",SUM(K1008,P1008,U1008,Z1008,AE1008,AJ1008,,AO1008,AT1008),F1008="","")</f>
        <v/>
      </c>
      <c r="BC1008" s="211" t="str" cm="1">
        <f t="array" ref="BC1008">_xlfn.IFS(E1008="","",G1008&lt;=E1008,BB1008*(1-0.03),G1008&lt;(E1008+8),BB1008,AZ1008="Boleto",BB1008*(1+0.001)^DATEDIF(E1008,G1008,"D"),AZ1008="Cheque",BB1008,AZ1008="Dinheiro","Alterar forma pgto")</f>
        <v/>
      </c>
      <c r="BD1008" s="276" t="str" cm="1">
        <f t="array" ref="BD1008">IF(F1008=0," ",IF(BC1008&lt;BB1008,(_xlfn.IFS(AW1008="SIM",SUM(L1008,Q1008,V1008,AA1008,AF1008,AK1008,AP1008,AU1008)+AX1008/_xlfn.XLOOKUP(_xlfn.XLOOKUP($F1008,Clientes!$B$4:$B$39,Clientes!$C$4:$C$39),Cadastros!$L$6:$L$12,Cadastros!$M$6:$M$12)+IF($F1008="Bernardino Furlan",AY1008/2751.92,IF($F1008="Mauro José Salanti",AY1008/2751.92,AY1008/3356)),F1008&lt;&gt;0,SUM(L1008,Q1008,V1008,AA1008,AF1008,AK1008,AP1008,AU1008)))*(1-0.03),_xlfn.IFS(AW1008="SIM",SUM(L1008,Q1008,V1008,AA1008,AF1008,AK1008,AP1008,AU1008)+AX1008/_xlfn.XLOOKUP(_xlfn.XLOOKUP($F1008,Clientes!$B$4:$B$39,Clientes!$C$4:$C$39),Cadastros!$L$6:$L$12,Cadastros!$M$6:$M$12)+IF($F1008="Bernardino Furlan",AY1008/2751.92,IF($F1008="Mauro José Salanti",AY1008/2751.92,AY1008/3356)),F1008&lt;&gt;0,SUM(L1008,Q1008,V1008,AA1008,AF1008,AK1008,AP1008,AU1008))))</f>
        <v xml:space="preserve"> </v>
      </c>
      <c r="BE1008" s="120"/>
      <c r="BF1008" s="120"/>
      <c r="BG1008" s="120"/>
    </row>
    <row r="1009" spans="1:59" s="3" customFormat="1" x14ac:dyDescent="0.3">
      <c r="A1009" s="15" t="str">
        <f t="shared" si="195"/>
        <v/>
      </c>
      <c r="B1009" s="25"/>
      <c r="C1009" s="26"/>
      <c r="D1009" s="279"/>
      <c r="E1009" s="27"/>
      <c r="F1009" s="28"/>
      <c r="G1009" s="27"/>
      <c r="H1009" s="28"/>
      <c r="I1009" s="28"/>
      <c r="J1009" s="255" t="str">
        <f>IF(H1009="","",(_xlfn.XLOOKUP(H1009,Cadastros!$D$6:$D$90,Cadastros!$E$6:$E$90))*(1-_xlfn.XLOOKUP(_xlfn.XLOOKUP($F1009,Clientes!$B$4:$B$39,Clientes!$C$4:$C$39),Cadastros!$L$6:$L$12,Cadastros!$N$6:$N$12)))</f>
        <v/>
      </c>
      <c r="K1009" s="168" t="str">
        <f t="shared" si="196"/>
        <v/>
      </c>
      <c r="L1009" s="168" t="str">
        <f>IFERROR(K1009/_xlfn.XLOOKUP(_xlfn.XLOOKUP($F1009,Clientes!$B$4:$B$39,Clientes!$C$4:$C$39),Cadastros!$L$6:$L$12,Cadastros!$M$6:$M$12)," ")</f>
        <v xml:space="preserve"> </v>
      </c>
      <c r="M1009" s="28"/>
      <c r="N1009" s="28"/>
      <c r="O1009" s="255" t="str">
        <f>IF(M1009="","",(_xlfn.XLOOKUP(M1009,Cadastros!$D$6:$D$90,Cadastros!$E$6:$E$90))*(1-_xlfn.XLOOKUP(_xlfn.XLOOKUP($F1009,Clientes!$B$4:$B$39,Clientes!$C$4:$C$39),Cadastros!$L$6:$L$12,Cadastros!$N$6:$N$12)))</f>
        <v/>
      </c>
      <c r="P1009" s="168" t="str">
        <f t="shared" si="197"/>
        <v/>
      </c>
      <c r="Q1009" s="168" t="str">
        <f>IFERROR(P1009/_xlfn.XLOOKUP(_xlfn.XLOOKUP($F1009,Clientes!$B$4:$B$39,Clientes!$C$4:$C$39),Cadastros!$L$6:$L$12,Cadastros!$M$6:$M$12)," ")</f>
        <v xml:space="preserve"> </v>
      </c>
      <c r="R1009" s="28"/>
      <c r="S1009" s="28"/>
      <c r="T1009" s="255" t="str">
        <f>IF(R1009="","",(_xlfn.XLOOKUP(R1009,Cadastros!$D$6:$D$90,Cadastros!$E$6:$E$90))*(1-_xlfn.XLOOKUP(_xlfn.XLOOKUP($F1009,Clientes!$B$4:$B$39,Clientes!$C$4:$C$39),Cadastros!$L$6:$L$12,Cadastros!$N$6:$N$12)))</f>
        <v/>
      </c>
      <c r="U1009" s="168" t="str">
        <f t="shared" si="198"/>
        <v/>
      </c>
      <c r="V1009" s="168" t="str">
        <f>IFERROR(U1009/_xlfn.XLOOKUP(_xlfn.XLOOKUP($F1009,Clientes!$B$4:$B$39,Clientes!$C$4:$C$39),Cadastros!$L$6:$L$12,Cadastros!$M$6:$M$12)," ")</f>
        <v xml:space="preserve"> </v>
      </c>
      <c r="W1009" s="28"/>
      <c r="X1009" s="28"/>
      <c r="Y1009" s="255" t="str">
        <f>IF(W1009="","",(_xlfn.XLOOKUP(W1009,Cadastros!$D$6:$D$90,Cadastros!$E$6:$E$90))*(1-_xlfn.XLOOKUP(_xlfn.XLOOKUP($F1009,Clientes!$B$4:$B$39,Clientes!$C$4:$C$39),Cadastros!$L$6:$L$12,Cadastros!$N$6:$N$12)))</f>
        <v/>
      </c>
      <c r="Z1009" s="168" t="str">
        <f t="shared" si="199"/>
        <v/>
      </c>
      <c r="AA1009" s="168" t="str">
        <f>IFERROR(Z1009/_xlfn.XLOOKUP(_xlfn.XLOOKUP($F1009,Clientes!$B$4:$B$39,Clientes!$C$4:$C$39),Cadastros!$L$6:$L$12,Cadastros!$M$6:$M$12)," ")</f>
        <v xml:space="preserve"> </v>
      </c>
      <c r="AB1009" s="28"/>
      <c r="AC1009" s="28"/>
      <c r="AD1009" s="20" t="str">
        <f>IF(AB1009="","",IF($F1009="Bernardino Furlan",_xlfn.XLOOKUP(AB1009,Cadastros!$G$6:$G$90,Cadastros!$H$6:$H$90)*(1-0.18),IF($F1009="Mauro José Salanti",_xlfn.XLOOKUP(AB1009,Cadastros!$G$6:$G$90,Cadastros!$H$6:$H$90)*(1-0.18),_xlfn.XLOOKUP(AB1009,Cadastros!$G$6:$G$90,Cadastros!$H$6:$H$90))))</f>
        <v/>
      </c>
      <c r="AE1009" s="168" t="str">
        <f t="shared" si="200"/>
        <v/>
      </c>
      <c r="AF1009" s="168" t="str">
        <f t="shared" si="201"/>
        <v/>
      </c>
      <c r="AG1009" s="28"/>
      <c r="AH1009" s="28"/>
      <c r="AI1009" s="20" t="str">
        <f>IF(AG1009="","",IF($F1009="Bernardino Furlan",_xlfn.XLOOKUP(AG1009,Cadastros!$G$6:$G$90,Cadastros!$H$6:$H$90)*(1-0.18),IF($F1009="Mauro José Salanti",_xlfn.XLOOKUP(AG1009,Cadastros!$G$6:$G$90,Cadastros!$H$6:$H$90)*(1-0.18),_xlfn.XLOOKUP(AG1009,Cadastros!$G$6:$G$90,Cadastros!$H$6:$H$90))))</f>
        <v/>
      </c>
      <c r="AJ1009" s="168" t="str">
        <f t="shared" si="202"/>
        <v/>
      </c>
      <c r="AK1009" s="168" t="str">
        <f t="shared" si="203"/>
        <v/>
      </c>
      <c r="AL1009" s="28"/>
      <c r="AM1009" s="28"/>
      <c r="AN1009" s="20" t="str">
        <f>IF(AL1009="","",IF($F1009="Bernardino Furlan",_xlfn.XLOOKUP(AL1009,Cadastros!$G$6:$G$90,Cadastros!$H$6:$H$90)*(1-0.18),IF($F1009="Mauro José Salanti",_xlfn.XLOOKUP(AL1009,Cadastros!$G$6:$G$90,Cadastros!$H$6:$H$90)*(1-0.18),_xlfn.XLOOKUP(AL1009,Cadastros!$G$6:$G$90,Cadastros!$H$6:$H$90))))</f>
        <v/>
      </c>
      <c r="AO1009" s="168" t="str">
        <f t="shared" si="204"/>
        <v/>
      </c>
      <c r="AP1009" s="168" t="str">
        <f t="shared" si="205"/>
        <v/>
      </c>
      <c r="AQ1009" s="28"/>
      <c r="AR1009" s="28"/>
      <c r="AS1009" s="20" t="str">
        <f>IF(AQ1009="","",IF($F1009="Bernardino Furlan",_xlfn.XLOOKUP(AQ1009,Cadastros!$G$6:$G$90,Cadastros!$H$6:$H$90)*(1-0.18),IF($F1009="Mauro José Salanti",_xlfn.XLOOKUP(AQ1009,Cadastros!$G$6:$G$90,Cadastros!$H$6:$H$90)*(1-0.18),_xlfn.XLOOKUP(AQ1009,Cadastros!$G$6:$G$90,Cadastros!$H$6:$H$90))))</f>
        <v/>
      </c>
      <c r="AT1009" s="168" t="str">
        <f t="shared" si="206"/>
        <v/>
      </c>
      <c r="AU1009" s="168" t="str">
        <f t="shared" si="207"/>
        <v/>
      </c>
      <c r="AV1009" s="227"/>
      <c r="AW1009" s="30"/>
      <c r="AX1009" s="267"/>
      <c r="AY1009" s="267"/>
      <c r="AZ1009" s="29"/>
      <c r="BA1009" s="30"/>
      <c r="BB1009" s="23" t="str" cm="1">
        <f t="array" ref="BB1009">_xlfn.IFS(AW1009="SIM",SUM(K1009,P1009,U1009,Z1009,AE1009,AJ1009,AO1009,AT1009,AX1009,AY1009),F1009&lt;&gt;"",SUM(K1009,P1009,U1009,Z1009,AE1009,AJ1009,,AO1009,AT1009),F1009="","")</f>
        <v/>
      </c>
      <c r="BC1009" s="211" t="str" cm="1">
        <f t="array" ref="BC1009">_xlfn.IFS(E1009="","",G1009&lt;=E1009,BB1009*(1-0.03),G1009&lt;(E1009+8),BB1009,AZ1009="Boleto",BB1009*(1+0.001)^DATEDIF(E1009,G1009,"D"),AZ1009="Cheque",BB1009,AZ1009="Dinheiro","Alterar forma pgto")</f>
        <v/>
      </c>
      <c r="BD1009" s="276" t="str" cm="1">
        <f t="array" ref="BD1009">IF(F1009=0," ",IF(BC1009&lt;BB1009,(_xlfn.IFS(AW1009="SIM",SUM(L1009,Q1009,V1009,AA1009,AF1009,AK1009,AP1009,AU1009)+AX1009/_xlfn.XLOOKUP(_xlfn.XLOOKUP($F1009,Clientes!$B$4:$B$39,Clientes!$C$4:$C$39),Cadastros!$L$6:$L$12,Cadastros!$M$6:$M$12)+IF($F1009="Bernardino Furlan",AY1009/2751.92,IF($F1009="Mauro José Salanti",AY1009/2751.92,AY1009/3356)),F1009&lt;&gt;0,SUM(L1009,Q1009,V1009,AA1009,AF1009,AK1009,AP1009,AU1009)))*(1-0.03),_xlfn.IFS(AW1009="SIM",SUM(L1009,Q1009,V1009,AA1009,AF1009,AK1009,AP1009,AU1009)+AX1009/_xlfn.XLOOKUP(_xlfn.XLOOKUP($F1009,Clientes!$B$4:$B$39,Clientes!$C$4:$C$39),Cadastros!$L$6:$L$12,Cadastros!$M$6:$M$12)+IF($F1009="Bernardino Furlan",AY1009/2751.92,IF($F1009="Mauro José Salanti",AY1009/2751.92,AY1009/3356)),F1009&lt;&gt;0,SUM(L1009,Q1009,V1009,AA1009,AF1009,AK1009,AP1009,AU1009))))</f>
        <v xml:space="preserve"> </v>
      </c>
      <c r="BE1009" s="120"/>
      <c r="BF1009" s="120"/>
      <c r="BG1009" s="120"/>
    </row>
    <row r="1010" spans="1:59" s="3" customFormat="1" x14ac:dyDescent="0.3">
      <c r="A1010" s="15" t="str">
        <f t="shared" si="195"/>
        <v/>
      </c>
      <c r="B1010" s="25"/>
      <c r="C1010" s="26"/>
      <c r="D1010" s="279"/>
      <c r="E1010" s="27"/>
      <c r="F1010" s="28"/>
      <c r="G1010" s="27"/>
      <c r="H1010" s="28"/>
      <c r="I1010" s="28"/>
      <c r="J1010" s="255" t="str">
        <f>IF(H1010="","",(_xlfn.XLOOKUP(H1010,Cadastros!$D$6:$D$90,Cadastros!$E$6:$E$90))*(1-_xlfn.XLOOKUP(_xlfn.XLOOKUP($F1010,Clientes!$B$4:$B$39,Clientes!$C$4:$C$39),Cadastros!$L$6:$L$12,Cadastros!$N$6:$N$12)))</f>
        <v/>
      </c>
      <c r="K1010" s="168" t="str">
        <f t="shared" si="196"/>
        <v/>
      </c>
      <c r="L1010" s="168" t="str">
        <f>IFERROR(K1010/_xlfn.XLOOKUP(_xlfn.XLOOKUP($F1010,Clientes!$B$4:$B$39,Clientes!$C$4:$C$39),Cadastros!$L$6:$L$12,Cadastros!$M$6:$M$12)," ")</f>
        <v xml:space="preserve"> </v>
      </c>
      <c r="M1010" s="28"/>
      <c r="N1010" s="28"/>
      <c r="O1010" s="255" t="str">
        <f>IF(M1010="","",(_xlfn.XLOOKUP(M1010,Cadastros!$D$6:$D$90,Cadastros!$E$6:$E$90))*(1-_xlfn.XLOOKUP(_xlfn.XLOOKUP($F1010,Clientes!$B$4:$B$39,Clientes!$C$4:$C$39),Cadastros!$L$6:$L$12,Cadastros!$N$6:$N$12)))</f>
        <v/>
      </c>
      <c r="P1010" s="168" t="str">
        <f t="shared" si="197"/>
        <v/>
      </c>
      <c r="Q1010" s="168" t="str">
        <f>IFERROR(P1010/_xlfn.XLOOKUP(_xlfn.XLOOKUP($F1010,Clientes!$B$4:$B$39,Clientes!$C$4:$C$39),Cadastros!$L$6:$L$12,Cadastros!$M$6:$M$12)," ")</f>
        <v xml:space="preserve"> </v>
      </c>
      <c r="R1010" s="28"/>
      <c r="S1010" s="28"/>
      <c r="T1010" s="255" t="str">
        <f>IF(R1010="","",(_xlfn.XLOOKUP(R1010,Cadastros!$D$6:$D$90,Cadastros!$E$6:$E$90))*(1-_xlfn.XLOOKUP(_xlfn.XLOOKUP($F1010,Clientes!$B$4:$B$39,Clientes!$C$4:$C$39),Cadastros!$L$6:$L$12,Cadastros!$N$6:$N$12)))</f>
        <v/>
      </c>
      <c r="U1010" s="168" t="str">
        <f t="shared" si="198"/>
        <v/>
      </c>
      <c r="V1010" s="168" t="str">
        <f>IFERROR(U1010/_xlfn.XLOOKUP(_xlfn.XLOOKUP($F1010,Clientes!$B$4:$B$39,Clientes!$C$4:$C$39),Cadastros!$L$6:$L$12,Cadastros!$M$6:$M$12)," ")</f>
        <v xml:space="preserve"> </v>
      </c>
      <c r="W1010" s="28"/>
      <c r="X1010" s="28"/>
      <c r="Y1010" s="255" t="str">
        <f>IF(W1010="","",(_xlfn.XLOOKUP(W1010,Cadastros!$D$6:$D$90,Cadastros!$E$6:$E$90))*(1-_xlfn.XLOOKUP(_xlfn.XLOOKUP($F1010,Clientes!$B$4:$B$39,Clientes!$C$4:$C$39),Cadastros!$L$6:$L$12,Cadastros!$N$6:$N$12)))</f>
        <v/>
      </c>
      <c r="Z1010" s="168" t="str">
        <f t="shared" si="199"/>
        <v/>
      </c>
      <c r="AA1010" s="168" t="str">
        <f>IFERROR(Z1010/_xlfn.XLOOKUP(_xlfn.XLOOKUP($F1010,Clientes!$B$4:$B$39,Clientes!$C$4:$C$39),Cadastros!$L$6:$L$12,Cadastros!$M$6:$M$12)," ")</f>
        <v xml:space="preserve"> </v>
      </c>
      <c r="AB1010" s="28"/>
      <c r="AC1010" s="28"/>
      <c r="AD1010" s="20" t="str">
        <f>IF(AB1010="","",IF($F1010="Bernardino Furlan",_xlfn.XLOOKUP(AB1010,Cadastros!$G$6:$G$90,Cadastros!$H$6:$H$90)*(1-0.18),IF($F1010="Mauro José Salanti",_xlfn.XLOOKUP(AB1010,Cadastros!$G$6:$G$90,Cadastros!$H$6:$H$90)*(1-0.18),_xlfn.XLOOKUP(AB1010,Cadastros!$G$6:$G$90,Cadastros!$H$6:$H$90))))</f>
        <v/>
      </c>
      <c r="AE1010" s="168" t="str">
        <f t="shared" si="200"/>
        <v/>
      </c>
      <c r="AF1010" s="168" t="str">
        <f t="shared" si="201"/>
        <v/>
      </c>
      <c r="AG1010" s="28"/>
      <c r="AH1010" s="28"/>
      <c r="AI1010" s="20" t="str">
        <f>IF(AG1010="","",IF($F1010="Bernardino Furlan",_xlfn.XLOOKUP(AG1010,Cadastros!$G$6:$G$90,Cadastros!$H$6:$H$90)*(1-0.18),IF($F1010="Mauro José Salanti",_xlfn.XLOOKUP(AG1010,Cadastros!$G$6:$G$90,Cadastros!$H$6:$H$90)*(1-0.18),_xlfn.XLOOKUP(AG1010,Cadastros!$G$6:$G$90,Cadastros!$H$6:$H$90))))</f>
        <v/>
      </c>
      <c r="AJ1010" s="168" t="str">
        <f t="shared" si="202"/>
        <v/>
      </c>
      <c r="AK1010" s="168" t="str">
        <f t="shared" si="203"/>
        <v/>
      </c>
      <c r="AL1010" s="28"/>
      <c r="AM1010" s="28"/>
      <c r="AN1010" s="20" t="str">
        <f>IF(AL1010="","",IF($F1010="Bernardino Furlan",_xlfn.XLOOKUP(AL1010,Cadastros!$G$6:$G$90,Cadastros!$H$6:$H$90)*(1-0.18),IF($F1010="Mauro José Salanti",_xlfn.XLOOKUP(AL1010,Cadastros!$G$6:$G$90,Cadastros!$H$6:$H$90)*(1-0.18),_xlfn.XLOOKUP(AL1010,Cadastros!$G$6:$G$90,Cadastros!$H$6:$H$90))))</f>
        <v/>
      </c>
      <c r="AO1010" s="168" t="str">
        <f t="shared" si="204"/>
        <v/>
      </c>
      <c r="AP1010" s="168" t="str">
        <f t="shared" si="205"/>
        <v/>
      </c>
      <c r="AQ1010" s="28"/>
      <c r="AR1010" s="28"/>
      <c r="AS1010" s="20" t="str">
        <f>IF(AQ1010="","",IF($F1010="Bernardino Furlan",_xlfn.XLOOKUP(AQ1010,Cadastros!$G$6:$G$90,Cadastros!$H$6:$H$90)*(1-0.18),IF($F1010="Mauro José Salanti",_xlfn.XLOOKUP(AQ1010,Cadastros!$G$6:$G$90,Cadastros!$H$6:$H$90)*(1-0.18),_xlfn.XLOOKUP(AQ1010,Cadastros!$G$6:$G$90,Cadastros!$H$6:$H$90))))</f>
        <v/>
      </c>
      <c r="AT1010" s="168" t="str">
        <f t="shared" si="206"/>
        <v/>
      </c>
      <c r="AU1010" s="168" t="str">
        <f t="shared" si="207"/>
        <v/>
      </c>
      <c r="AV1010" s="227"/>
      <c r="AW1010" s="30"/>
      <c r="AX1010" s="267"/>
      <c r="AY1010" s="267"/>
      <c r="AZ1010" s="29"/>
      <c r="BA1010" s="30"/>
      <c r="BB1010" s="23" t="str" cm="1">
        <f t="array" ref="BB1010">_xlfn.IFS(AW1010="SIM",SUM(K1010,P1010,U1010,Z1010,AE1010,AJ1010,AO1010,AT1010,AX1010,AY1010),F1010&lt;&gt;"",SUM(K1010,P1010,U1010,Z1010,AE1010,AJ1010,,AO1010,AT1010),F1010="","")</f>
        <v/>
      </c>
      <c r="BC1010" s="211" t="str" cm="1">
        <f t="array" ref="BC1010">_xlfn.IFS(E1010="","",G1010&lt;=E1010,BB1010*(1-0.03),G1010&lt;(E1010+8),BB1010,AZ1010="Boleto",BB1010*(1+0.001)^DATEDIF(E1010,G1010,"D"),AZ1010="Cheque",BB1010,AZ1010="Dinheiro","Alterar forma pgto")</f>
        <v/>
      </c>
      <c r="BD1010" s="276" t="str" cm="1">
        <f t="array" ref="BD1010">IF(F1010=0," ",IF(BC1010&lt;BB1010,(_xlfn.IFS(AW1010="SIM",SUM(L1010,Q1010,V1010,AA1010,AF1010,AK1010,AP1010,AU1010)+AX1010/_xlfn.XLOOKUP(_xlfn.XLOOKUP($F1010,Clientes!$B$4:$B$39,Clientes!$C$4:$C$39),Cadastros!$L$6:$L$12,Cadastros!$M$6:$M$12)+IF($F1010="Bernardino Furlan",AY1010/2751.92,IF($F1010="Mauro José Salanti",AY1010/2751.92,AY1010/3356)),F1010&lt;&gt;0,SUM(L1010,Q1010,V1010,AA1010,AF1010,AK1010,AP1010,AU1010)))*(1-0.03),_xlfn.IFS(AW1010="SIM",SUM(L1010,Q1010,V1010,AA1010,AF1010,AK1010,AP1010,AU1010)+AX1010/_xlfn.XLOOKUP(_xlfn.XLOOKUP($F1010,Clientes!$B$4:$B$39,Clientes!$C$4:$C$39),Cadastros!$L$6:$L$12,Cadastros!$M$6:$M$12)+IF($F1010="Bernardino Furlan",AY1010/2751.92,IF($F1010="Mauro José Salanti",AY1010/2751.92,AY1010/3356)),F1010&lt;&gt;0,SUM(L1010,Q1010,V1010,AA1010,AF1010,AK1010,AP1010,AU1010))))</f>
        <v xml:space="preserve"> </v>
      </c>
      <c r="BE1010" s="120"/>
      <c r="BF1010" s="120"/>
      <c r="BG1010" s="120"/>
    </row>
    <row r="1011" spans="1:59" s="3" customFormat="1" x14ac:dyDescent="0.3">
      <c r="A1011" s="15" t="str">
        <f t="shared" si="195"/>
        <v/>
      </c>
      <c r="B1011" s="25"/>
      <c r="C1011" s="26"/>
      <c r="D1011" s="279"/>
      <c r="E1011" s="27"/>
      <c r="F1011" s="28"/>
      <c r="G1011" s="27"/>
      <c r="H1011" s="28"/>
      <c r="I1011" s="28"/>
      <c r="J1011" s="255" t="str">
        <f>IF(H1011="","",(_xlfn.XLOOKUP(H1011,Cadastros!$D$6:$D$90,Cadastros!$E$6:$E$90))*(1-_xlfn.XLOOKUP(_xlfn.XLOOKUP($F1011,Clientes!$B$4:$B$39,Clientes!$C$4:$C$39),Cadastros!$L$6:$L$12,Cadastros!$N$6:$N$12)))</f>
        <v/>
      </c>
      <c r="K1011" s="168" t="str">
        <f t="shared" si="196"/>
        <v/>
      </c>
      <c r="L1011" s="168" t="str">
        <f>IFERROR(K1011/_xlfn.XLOOKUP(_xlfn.XLOOKUP($F1011,Clientes!$B$4:$B$39,Clientes!$C$4:$C$39),Cadastros!$L$6:$L$12,Cadastros!$M$6:$M$12)," ")</f>
        <v xml:space="preserve"> </v>
      </c>
      <c r="M1011" s="28"/>
      <c r="N1011" s="28"/>
      <c r="O1011" s="255" t="str">
        <f>IF(M1011="","",(_xlfn.XLOOKUP(M1011,Cadastros!$D$6:$D$90,Cadastros!$E$6:$E$90))*(1-_xlfn.XLOOKUP(_xlfn.XLOOKUP($F1011,Clientes!$B$4:$B$39,Clientes!$C$4:$C$39),Cadastros!$L$6:$L$12,Cadastros!$N$6:$N$12)))</f>
        <v/>
      </c>
      <c r="P1011" s="168" t="str">
        <f t="shared" si="197"/>
        <v/>
      </c>
      <c r="Q1011" s="168" t="str">
        <f>IFERROR(P1011/_xlfn.XLOOKUP(_xlfn.XLOOKUP($F1011,Clientes!$B$4:$B$39,Clientes!$C$4:$C$39),Cadastros!$L$6:$L$12,Cadastros!$M$6:$M$12)," ")</f>
        <v xml:space="preserve"> </v>
      </c>
      <c r="R1011" s="28"/>
      <c r="S1011" s="28"/>
      <c r="T1011" s="255" t="str">
        <f>IF(R1011="","",(_xlfn.XLOOKUP(R1011,Cadastros!$D$6:$D$90,Cadastros!$E$6:$E$90))*(1-_xlfn.XLOOKUP(_xlfn.XLOOKUP($F1011,Clientes!$B$4:$B$39,Clientes!$C$4:$C$39),Cadastros!$L$6:$L$12,Cadastros!$N$6:$N$12)))</f>
        <v/>
      </c>
      <c r="U1011" s="168" t="str">
        <f t="shared" si="198"/>
        <v/>
      </c>
      <c r="V1011" s="168" t="str">
        <f>IFERROR(U1011/_xlfn.XLOOKUP(_xlfn.XLOOKUP($F1011,Clientes!$B$4:$B$39,Clientes!$C$4:$C$39),Cadastros!$L$6:$L$12,Cadastros!$M$6:$M$12)," ")</f>
        <v xml:space="preserve"> </v>
      </c>
      <c r="W1011" s="28"/>
      <c r="X1011" s="28"/>
      <c r="Y1011" s="255" t="str">
        <f>IF(W1011="","",(_xlfn.XLOOKUP(W1011,Cadastros!$D$6:$D$90,Cadastros!$E$6:$E$90))*(1-_xlfn.XLOOKUP(_xlfn.XLOOKUP($F1011,Clientes!$B$4:$B$39,Clientes!$C$4:$C$39),Cadastros!$L$6:$L$12,Cadastros!$N$6:$N$12)))</f>
        <v/>
      </c>
      <c r="Z1011" s="168" t="str">
        <f t="shared" si="199"/>
        <v/>
      </c>
      <c r="AA1011" s="168" t="str">
        <f>IFERROR(Z1011/_xlfn.XLOOKUP(_xlfn.XLOOKUP($F1011,Clientes!$B$4:$B$39,Clientes!$C$4:$C$39),Cadastros!$L$6:$L$12,Cadastros!$M$6:$M$12)," ")</f>
        <v xml:space="preserve"> </v>
      </c>
      <c r="AB1011" s="28"/>
      <c r="AC1011" s="28"/>
      <c r="AD1011" s="20" t="str">
        <f>IF(AB1011="","",IF($F1011="Bernardino Furlan",_xlfn.XLOOKUP(AB1011,Cadastros!$G$6:$G$90,Cadastros!$H$6:$H$90)*(1-0.18),IF($F1011="Mauro José Salanti",_xlfn.XLOOKUP(AB1011,Cadastros!$G$6:$G$90,Cadastros!$H$6:$H$90)*(1-0.18),_xlfn.XLOOKUP(AB1011,Cadastros!$G$6:$G$90,Cadastros!$H$6:$H$90))))</f>
        <v/>
      </c>
      <c r="AE1011" s="168" t="str">
        <f t="shared" si="200"/>
        <v/>
      </c>
      <c r="AF1011" s="168" t="str">
        <f t="shared" si="201"/>
        <v/>
      </c>
      <c r="AG1011" s="28"/>
      <c r="AH1011" s="28"/>
      <c r="AI1011" s="20" t="str">
        <f>IF(AG1011="","",IF($F1011="Bernardino Furlan",_xlfn.XLOOKUP(AG1011,Cadastros!$G$6:$G$90,Cadastros!$H$6:$H$90)*(1-0.18),IF($F1011="Mauro José Salanti",_xlfn.XLOOKUP(AG1011,Cadastros!$G$6:$G$90,Cadastros!$H$6:$H$90)*(1-0.18),_xlfn.XLOOKUP(AG1011,Cadastros!$G$6:$G$90,Cadastros!$H$6:$H$90))))</f>
        <v/>
      </c>
      <c r="AJ1011" s="168" t="str">
        <f t="shared" si="202"/>
        <v/>
      </c>
      <c r="AK1011" s="168" t="str">
        <f t="shared" si="203"/>
        <v/>
      </c>
      <c r="AL1011" s="28"/>
      <c r="AM1011" s="28"/>
      <c r="AN1011" s="20" t="str">
        <f>IF(AL1011="","",IF($F1011="Bernardino Furlan",_xlfn.XLOOKUP(AL1011,Cadastros!$G$6:$G$90,Cadastros!$H$6:$H$90)*(1-0.18),IF($F1011="Mauro José Salanti",_xlfn.XLOOKUP(AL1011,Cadastros!$G$6:$G$90,Cadastros!$H$6:$H$90)*(1-0.18),_xlfn.XLOOKUP(AL1011,Cadastros!$G$6:$G$90,Cadastros!$H$6:$H$90))))</f>
        <v/>
      </c>
      <c r="AO1011" s="168" t="str">
        <f t="shared" si="204"/>
        <v/>
      </c>
      <c r="AP1011" s="168" t="str">
        <f t="shared" si="205"/>
        <v/>
      </c>
      <c r="AQ1011" s="28"/>
      <c r="AR1011" s="28"/>
      <c r="AS1011" s="20" t="str">
        <f>IF(AQ1011="","",IF($F1011="Bernardino Furlan",_xlfn.XLOOKUP(AQ1011,Cadastros!$G$6:$G$90,Cadastros!$H$6:$H$90)*(1-0.18),IF($F1011="Mauro José Salanti",_xlfn.XLOOKUP(AQ1011,Cadastros!$G$6:$G$90,Cadastros!$H$6:$H$90)*(1-0.18),_xlfn.XLOOKUP(AQ1011,Cadastros!$G$6:$G$90,Cadastros!$H$6:$H$90))))</f>
        <v/>
      </c>
      <c r="AT1011" s="168" t="str">
        <f t="shared" si="206"/>
        <v/>
      </c>
      <c r="AU1011" s="168" t="str">
        <f t="shared" si="207"/>
        <v/>
      </c>
      <c r="AV1011" s="227"/>
      <c r="AW1011" s="30"/>
      <c r="AX1011" s="267"/>
      <c r="AY1011" s="267"/>
      <c r="AZ1011" s="29"/>
      <c r="BA1011" s="30"/>
      <c r="BB1011" s="23" t="str" cm="1">
        <f t="array" ref="BB1011">_xlfn.IFS(AW1011="SIM",SUM(K1011,P1011,U1011,Z1011,AE1011,AJ1011,AO1011,AT1011,AX1011,AY1011),F1011&lt;&gt;"",SUM(K1011,P1011,U1011,Z1011,AE1011,AJ1011,,AO1011,AT1011),F1011="","")</f>
        <v/>
      </c>
      <c r="BC1011" s="211" t="str" cm="1">
        <f t="array" ref="BC1011">_xlfn.IFS(E1011="","",G1011&lt;=E1011,BB1011*(1-0.03),G1011&lt;(E1011+8),BB1011,AZ1011="Boleto",BB1011*(1+0.001)^DATEDIF(E1011,G1011,"D"),AZ1011="Cheque",BB1011,AZ1011="Dinheiro","Alterar forma pgto")</f>
        <v/>
      </c>
      <c r="BD1011" s="276" t="str" cm="1">
        <f t="array" ref="BD1011">IF(F1011=0," ",IF(BC1011&lt;BB1011,(_xlfn.IFS(AW1011="SIM",SUM(L1011,Q1011,V1011,AA1011,AF1011,AK1011,AP1011,AU1011)+AX1011/_xlfn.XLOOKUP(_xlfn.XLOOKUP($F1011,Clientes!$B$4:$B$39,Clientes!$C$4:$C$39),Cadastros!$L$6:$L$12,Cadastros!$M$6:$M$12)+IF($F1011="Bernardino Furlan",AY1011/2751.92,IF($F1011="Mauro José Salanti",AY1011/2751.92,AY1011/3356)),F1011&lt;&gt;0,SUM(L1011,Q1011,V1011,AA1011,AF1011,AK1011,AP1011,AU1011)))*(1-0.03),_xlfn.IFS(AW1011="SIM",SUM(L1011,Q1011,V1011,AA1011,AF1011,AK1011,AP1011,AU1011)+AX1011/_xlfn.XLOOKUP(_xlfn.XLOOKUP($F1011,Clientes!$B$4:$B$39,Clientes!$C$4:$C$39),Cadastros!$L$6:$L$12,Cadastros!$M$6:$M$12)+IF($F1011="Bernardino Furlan",AY1011/2751.92,IF($F1011="Mauro José Salanti",AY1011/2751.92,AY1011/3356)),F1011&lt;&gt;0,SUM(L1011,Q1011,V1011,AA1011,AF1011,AK1011,AP1011,AU1011))))</f>
        <v xml:space="preserve"> </v>
      </c>
      <c r="BE1011" s="120"/>
      <c r="BF1011" s="120"/>
      <c r="BG1011" s="120"/>
    </row>
    <row r="1012" spans="1:59" s="3" customFormat="1" x14ac:dyDescent="0.3">
      <c r="A1012" s="15" t="str">
        <f t="shared" si="195"/>
        <v/>
      </c>
      <c r="B1012" s="25"/>
      <c r="C1012" s="26"/>
      <c r="D1012" s="279"/>
      <c r="E1012" s="27"/>
      <c r="F1012" s="28"/>
      <c r="G1012" s="27"/>
      <c r="H1012" s="28"/>
      <c r="I1012" s="28"/>
      <c r="J1012" s="255" t="str">
        <f>IF(H1012="","",(_xlfn.XLOOKUP(H1012,Cadastros!$D$6:$D$90,Cadastros!$E$6:$E$90))*(1-_xlfn.XLOOKUP(_xlfn.XLOOKUP($F1012,Clientes!$B$4:$B$39,Clientes!$C$4:$C$39),Cadastros!$L$6:$L$12,Cadastros!$N$6:$N$12)))</f>
        <v/>
      </c>
      <c r="K1012" s="168" t="str">
        <f t="shared" si="196"/>
        <v/>
      </c>
      <c r="L1012" s="168" t="str">
        <f>IFERROR(K1012/_xlfn.XLOOKUP(_xlfn.XLOOKUP($F1012,Clientes!$B$4:$B$39,Clientes!$C$4:$C$39),Cadastros!$L$6:$L$12,Cadastros!$M$6:$M$12)," ")</f>
        <v xml:space="preserve"> </v>
      </c>
      <c r="M1012" s="28"/>
      <c r="N1012" s="28"/>
      <c r="O1012" s="255" t="str">
        <f>IF(M1012="","",(_xlfn.XLOOKUP(M1012,Cadastros!$D$6:$D$90,Cadastros!$E$6:$E$90))*(1-_xlfn.XLOOKUP(_xlfn.XLOOKUP($F1012,Clientes!$B$4:$B$39,Clientes!$C$4:$C$39),Cadastros!$L$6:$L$12,Cadastros!$N$6:$N$12)))</f>
        <v/>
      </c>
      <c r="P1012" s="168" t="str">
        <f t="shared" si="197"/>
        <v/>
      </c>
      <c r="Q1012" s="168" t="str">
        <f>IFERROR(P1012/_xlfn.XLOOKUP(_xlfn.XLOOKUP($F1012,Clientes!$B$4:$B$39,Clientes!$C$4:$C$39),Cadastros!$L$6:$L$12,Cadastros!$M$6:$M$12)," ")</f>
        <v xml:space="preserve"> </v>
      </c>
      <c r="R1012" s="28"/>
      <c r="S1012" s="28"/>
      <c r="T1012" s="255" t="str">
        <f>IF(R1012="","",(_xlfn.XLOOKUP(R1012,Cadastros!$D$6:$D$90,Cadastros!$E$6:$E$90))*(1-_xlfn.XLOOKUP(_xlfn.XLOOKUP($F1012,Clientes!$B$4:$B$39,Clientes!$C$4:$C$39),Cadastros!$L$6:$L$12,Cadastros!$N$6:$N$12)))</f>
        <v/>
      </c>
      <c r="U1012" s="168" t="str">
        <f t="shared" si="198"/>
        <v/>
      </c>
      <c r="V1012" s="168" t="str">
        <f>IFERROR(U1012/_xlfn.XLOOKUP(_xlfn.XLOOKUP($F1012,Clientes!$B$4:$B$39,Clientes!$C$4:$C$39),Cadastros!$L$6:$L$12,Cadastros!$M$6:$M$12)," ")</f>
        <v xml:space="preserve"> </v>
      </c>
      <c r="W1012" s="28"/>
      <c r="X1012" s="28"/>
      <c r="Y1012" s="255" t="str">
        <f>IF(W1012="","",(_xlfn.XLOOKUP(W1012,Cadastros!$D$6:$D$90,Cadastros!$E$6:$E$90))*(1-_xlfn.XLOOKUP(_xlfn.XLOOKUP($F1012,Clientes!$B$4:$B$39,Clientes!$C$4:$C$39),Cadastros!$L$6:$L$12,Cadastros!$N$6:$N$12)))</f>
        <v/>
      </c>
      <c r="Z1012" s="168" t="str">
        <f t="shared" si="199"/>
        <v/>
      </c>
      <c r="AA1012" s="168" t="str">
        <f>IFERROR(Z1012/_xlfn.XLOOKUP(_xlfn.XLOOKUP($F1012,Clientes!$B$4:$B$39,Clientes!$C$4:$C$39),Cadastros!$L$6:$L$12,Cadastros!$M$6:$M$12)," ")</f>
        <v xml:space="preserve"> </v>
      </c>
      <c r="AB1012" s="28"/>
      <c r="AC1012" s="28"/>
      <c r="AD1012" s="20" t="str">
        <f>IF(AB1012="","",IF($F1012="Bernardino Furlan",_xlfn.XLOOKUP(AB1012,Cadastros!$G$6:$G$90,Cadastros!$H$6:$H$90)*(1-0.18),IF($F1012="Mauro José Salanti",_xlfn.XLOOKUP(AB1012,Cadastros!$G$6:$G$90,Cadastros!$H$6:$H$90)*(1-0.18),_xlfn.XLOOKUP(AB1012,Cadastros!$G$6:$G$90,Cadastros!$H$6:$H$90))))</f>
        <v/>
      </c>
      <c r="AE1012" s="168" t="str">
        <f t="shared" si="200"/>
        <v/>
      </c>
      <c r="AF1012" s="168" t="str">
        <f t="shared" si="201"/>
        <v/>
      </c>
      <c r="AG1012" s="28"/>
      <c r="AH1012" s="28"/>
      <c r="AI1012" s="20" t="str">
        <f>IF(AG1012="","",IF($F1012="Bernardino Furlan",_xlfn.XLOOKUP(AG1012,Cadastros!$G$6:$G$90,Cadastros!$H$6:$H$90)*(1-0.18),IF($F1012="Mauro José Salanti",_xlfn.XLOOKUP(AG1012,Cadastros!$G$6:$G$90,Cadastros!$H$6:$H$90)*(1-0.18),_xlfn.XLOOKUP(AG1012,Cadastros!$G$6:$G$90,Cadastros!$H$6:$H$90))))</f>
        <v/>
      </c>
      <c r="AJ1012" s="168" t="str">
        <f t="shared" si="202"/>
        <v/>
      </c>
      <c r="AK1012" s="168" t="str">
        <f t="shared" si="203"/>
        <v/>
      </c>
      <c r="AL1012" s="28"/>
      <c r="AM1012" s="28"/>
      <c r="AN1012" s="20" t="str">
        <f>IF(AL1012="","",IF($F1012="Bernardino Furlan",_xlfn.XLOOKUP(AL1012,Cadastros!$G$6:$G$90,Cadastros!$H$6:$H$90)*(1-0.18),IF($F1012="Mauro José Salanti",_xlfn.XLOOKUP(AL1012,Cadastros!$G$6:$G$90,Cadastros!$H$6:$H$90)*(1-0.18),_xlfn.XLOOKUP(AL1012,Cadastros!$G$6:$G$90,Cadastros!$H$6:$H$90))))</f>
        <v/>
      </c>
      <c r="AO1012" s="168" t="str">
        <f t="shared" si="204"/>
        <v/>
      </c>
      <c r="AP1012" s="168" t="str">
        <f t="shared" si="205"/>
        <v/>
      </c>
      <c r="AQ1012" s="28"/>
      <c r="AR1012" s="28"/>
      <c r="AS1012" s="20" t="str">
        <f>IF(AQ1012="","",IF($F1012="Bernardino Furlan",_xlfn.XLOOKUP(AQ1012,Cadastros!$G$6:$G$90,Cadastros!$H$6:$H$90)*(1-0.18),IF($F1012="Mauro José Salanti",_xlfn.XLOOKUP(AQ1012,Cadastros!$G$6:$G$90,Cadastros!$H$6:$H$90)*(1-0.18),_xlfn.XLOOKUP(AQ1012,Cadastros!$G$6:$G$90,Cadastros!$H$6:$H$90))))</f>
        <v/>
      </c>
      <c r="AT1012" s="168" t="str">
        <f t="shared" si="206"/>
        <v/>
      </c>
      <c r="AU1012" s="168" t="str">
        <f t="shared" si="207"/>
        <v/>
      </c>
      <c r="AV1012" s="227"/>
      <c r="AW1012" s="30"/>
      <c r="AX1012" s="267"/>
      <c r="AY1012" s="267"/>
      <c r="AZ1012" s="29"/>
      <c r="BA1012" s="30"/>
      <c r="BB1012" s="23" t="str" cm="1">
        <f t="array" ref="BB1012">_xlfn.IFS(AW1012="SIM",SUM(K1012,P1012,U1012,Z1012,AE1012,AJ1012,AO1012,AT1012,AX1012,AY1012),F1012&lt;&gt;"",SUM(K1012,P1012,U1012,Z1012,AE1012,AJ1012,,AO1012,AT1012),F1012="","")</f>
        <v/>
      </c>
      <c r="BC1012" s="211" t="str" cm="1">
        <f t="array" ref="BC1012">_xlfn.IFS(E1012="","",G1012&lt;=E1012,BB1012*(1-0.03),G1012&lt;(E1012+8),BB1012,AZ1012="Boleto",BB1012*(1+0.001)^DATEDIF(E1012,G1012,"D"),AZ1012="Cheque",BB1012,AZ1012="Dinheiro","Alterar forma pgto")</f>
        <v/>
      </c>
      <c r="BD1012" s="276" t="str" cm="1">
        <f t="array" ref="BD1012">IF(F1012=0," ",IF(BC1012&lt;BB1012,(_xlfn.IFS(AW1012="SIM",SUM(L1012,Q1012,V1012,AA1012,AF1012,AK1012,AP1012,AU1012)+AX1012/_xlfn.XLOOKUP(_xlfn.XLOOKUP($F1012,Clientes!$B$4:$B$39,Clientes!$C$4:$C$39),Cadastros!$L$6:$L$12,Cadastros!$M$6:$M$12)+IF($F1012="Bernardino Furlan",AY1012/2751.92,IF($F1012="Mauro José Salanti",AY1012/2751.92,AY1012/3356)),F1012&lt;&gt;0,SUM(L1012,Q1012,V1012,AA1012,AF1012,AK1012,AP1012,AU1012)))*(1-0.03),_xlfn.IFS(AW1012="SIM",SUM(L1012,Q1012,V1012,AA1012,AF1012,AK1012,AP1012,AU1012)+AX1012/_xlfn.XLOOKUP(_xlfn.XLOOKUP($F1012,Clientes!$B$4:$B$39,Clientes!$C$4:$C$39),Cadastros!$L$6:$L$12,Cadastros!$M$6:$M$12)+IF($F1012="Bernardino Furlan",AY1012/2751.92,IF($F1012="Mauro José Salanti",AY1012/2751.92,AY1012/3356)),F1012&lt;&gt;0,SUM(L1012,Q1012,V1012,AA1012,AF1012,AK1012,AP1012,AU1012))))</f>
        <v xml:space="preserve"> </v>
      </c>
      <c r="BE1012" s="120"/>
      <c r="BF1012" s="120"/>
      <c r="BG1012" s="120"/>
    </row>
    <row r="1013" spans="1:59" s="3" customFormat="1" x14ac:dyDescent="0.3">
      <c r="A1013" s="15" t="str">
        <f t="shared" si="195"/>
        <v/>
      </c>
      <c r="B1013" s="25"/>
      <c r="C1013" s="26"/>
      <c r="D1013" s="279"/>
      <c r="E1013" s="27"/>
      <c r="F1013" s="28"/>
      <c r="G1013" s="27"/>
      <c r="H1013" s="28"/>
      <c r="I1013" s="28"/>
      <c r="J1013" s="255" t="str">
        <f>IF(H1013="","",(_xlfn.XLOOKUP(H1013,Cadastros!$D$6:$D$90,Cadastros!$E$6:$E$90))*(1-_xlfn.XLOOKUP(_xlfn.XLOOKUP($F1013,Clientes!$B$4:$B$39,Clientes!$C$4:$C$39),Cadastros!$L$6:$L$12,Cadastros!$N$6:$N$12)))</f>
        <v/>
      </c>
      <c r="K1013" s="168" t="str">
        <f t="shared" si="196"/>
        <v/>
      </c>
      <c r="L1013" s="168" t="str">
        <f>IFERROR(K1013/_xlfn.XLOOKUP(_xlfn.XLOOKUP($F1013,Clientes!$B$4:$B$39,Clientes!$C$4:$C$39),Cadastros!$L$6:$L$12,Cadastros!$M$6:$M$12)," ")</f>
        <v xml:space="preserve"> </v>
      </c>
      <c r="M1013" s="28"/>
      <c r="N1013" s="28"/>
      <c r="O1013" s="255" t="str">
        <f>IF(M1013="","",(_xlfn.XLOOKUP(M1013,Cadastros!$D$6:$D$90,Cadastros!$E$6:$E$90))*(1-_xlfn.XLOOKUP(_xlfn.XLOOKUP($F1013,Clientes!$B$4:$B$39,Clientes!$C$4:$C$39),Cadastros!$L$6:$L$12,Cadastros!$N$6:$N$12)))</f>
        <v/>
      </c>
      <c r="P1013" s="168" t="str">
        <f t="shared" si="197"/>
        <v/>
      </c>
      <c r="Q1013" s="168" t="str">
        <f>IFERROR(P1013/_xlfn.XLOOKUP(_xlfn.XLOOKUP($F1013,Clientes!$B$4:$B$39,Clientes!$C$4:$C$39),Cadastros!$L$6:$L$12,Cadastros!$M$6:$M$12)," ")</f>
        <v xml:space="preserve"> </v>
      </c>
      <c r="R1013" s="28"/>
      <c r="S1013" s="28"/>
      <c r="T1013" s="255" t="str">
        <f>IF(R1013="","",(_xlfn.XLOOKUP(R1013,Cadastros!$D$6:$D$90,Cadastros!$E$6:$E$90))*(1-_xlfn.XLOOKUP(_xlfn.XLOOKUP($F1013,Clientes!$B$4:$B$39,Clientes!$C$4:$C$39),Cadastros!$L$6:$L$12,Cadastros!$N$6:$N$12)))</f>
        <v/>
      </c>
      <c r="U1013" s="168" t="str">
        <f t="shared" si="198"/>
        <v/>
      </c>
      <c r="V1013" s="168" t="str">
        <f>IFERROR(U1013/_xlfn.XLOOKUP(_xlfn.XLOOKUP($F1013,Clientes!$B$4:$B$39,Clientes!$C$4:$C$39),Cadastros!$L$6:$L$12,Cadastros!$M$6:$M$12)," ")</f>
        <v xml:space="preserve"> </v>
      </c>
      <c r="W1013" s="28"/>
      <c r="X1013" s="28"/>
      <c r="Y1013" s="255" t="str">
        <f>IF(W1013="","",(_xlfn.XLOOKUP(W1013,Cadastros!$D$6:$D$90,Cadastros!$E$6:$E$90))*(1-_xlfn.XLOOKUP(_xlfn.XLOOKUP($F1013,Clientes!$B$4:$B$39,Clientes!$C$4:$C$39),Cadastros!$L$6:$L$12,Cadastros!$N$6:$N$12)))</f>
        <v/>
      </c>
      <c r="Z1013" s="168" t="str">
        <f t="shared" si="199"/>
        <v/>
      </c>
      <c r="AA1013" s="168" t="str">
        <f>IFERROR(Z1013/_xlfn.XLOOKUP(_xlfn.XLOOKUP($F1013,Clientes!$B$4:$B$39,Clientes!$C$4:$C$39),Cadastros!$L$6:$L$12,Cadastros!$M$6:$M$12)," ")</f>
        <v xml:space="preserve"> </v>
      </c>
      <c r="AB1013" s="28"/>
      <c r="AC1013" s="28"/>
      <c r="AD1013" s="20" t="str">
        <f>IF(AB1013="","",IF($F1013="Bernardino Furlan",_xlfn.XLOOKUP(AB1013,Cadastros!$G$6:$G$90,Cadastros!$H$6:$H$90)*(1-0.18),IF($F1013="Mauro José Salanti",_xlfn.XLOOKUP(AB1013,Cadastros!$G$6:$G$90,Cadastros!$H$6:$H$90)*(1-0.18),_xlfn.XLOOKUP(AB1013,Cadastros!$G$6:$G$90,Cadastros!$H$6:$H$90))))</f>
        <v/>
      </c>
      <c r="AE1013" s="168" t="str">
        <f t="shared" si="200"/>
        <v/>
      </c>
      <c r="AF1013" s="168" t="str">
        <f t="shared" si="201"/>
        <v/>
      </c>
      <c r="AG1013" s="28"/>
      <c r="AH1013" s="28"/>
      <c r="AI1013" s="20" t="str">
        <f>IF(AG1013="","",IF($F1013="Bernardino Furlan",_xlfn.XLOOKUP(AG1013,Cadastros!$G$6:$G$90,Cadastros!$H$6:$H$90)*(1-0.18),IF($F1013="Mauro José Salanti",_xlfn.XLOOKUP(AG1013,Cadastros!$G$6:$G$90,Cadastros!$H$6:$H$90)*(1-0.18),_xlfn.XLOOKUP(AG1013,Cadastros!$G$6:$G$90,Cadastros!$H$6:$H$90))))</f>
        <v/>
      </c>
      <c r="AJ1013" s="168" t="str">
        <f t="shared" si="202"/>
        <v/>
      </c>
      <c r="AK1013" s="168" t="str">
        <f t="shared" si="203"/>
        <v/>
      </c>
      <c r="AL1013" s="28"/>
      <c r="AM1013" s="28"/>
      <c r="AN1013" s="20" t="str">
        <f>IF(AL1013="","",IF($F1013="Bernardino Furlan",_xlfn.XLOOKUP(AL1013,Cadastros!$G$6:$G$90,Cadastros!$H$6:$H$90)*(1-0.18),IF($F1013="Mauro José Salanti",_xlfn.XLOOKUP(AL1013,Cadastros!$G$6:$G$90,Cadastros!$H$6:$H$90)*(1-0.18),_xlfn.XLOOKUP(AL1013,Cadastros!$G$6:$G$90,Cadastros!$H$6:$H$90))))</f>
        <v/>
      </c>
      <c r="AO1013" s="168" t="str">
        <f t="shared" si="204"/>
        <v/>
      </c>
      <c r="AP1013" s="168" t="str">
        <f t="shared" si="205"/>
        <v/>
      </c>
      <c r="AQ1013" s="28"/>
      <c r="AR1013" s="28"/>
      <c r="AS1013" s="20" t="str">
        <f>IF(AQ1013="","",IF($F1013="Bernardino Furlan",_xlfn.XLOOKUP(AQ1013,Cadastros!$G$6:$G$90,Cadastros!$H$6:$H$90)*(1-0.18),IF($F1013="Mauro José Salanti",_xlfn.XLOOKUP(AQ1013,Cadastros!$G$6:$G$90,Cadastros!$H$6:$H$90)*(1-0.18),_xlfn.XLOOKUP(AQ1013,Cadastros!$G$6:$G$90,Cadastros!$H$6:$H$90))))</f>
        <v/>
      </c>
      <c r="AT1013" s="168" t="str">
        <f t="shared" si="206"/>
        <v/>
      </c>
      <c r="AU1013" s="168" t="str">
        <f t="shared" si="207"/>
        <v/>
      </c>
      <c r="AV1013" s="227"/>
      <c r="AW1013" s="30"/>
      <c r="AX1013" s="267"/>
      <c r="AY1013" s="267"/>
      <c r="AZ1013" s="29"/>
      <c r="BA1013" s="30"/>
      <c r="BB1013" s="23" t="str" cm="1">
        <f t="array" ref="BB1013">_xlfn.IFS(AW1013="SIM",SUM(K1013,P1013,U1013,Z1013,AE1013,AJ1013,AO1013,AT1013,AX1013,AY1013),F1013&lt;&gt;"",SUM(K1013,P1013,U1013,Z1013,AE1013,AJ1013,,AO1013,AT1013),F1013="","")</f>
        <v/>
      </c>
      <c r="BC1013" s="211" t="str" cm="1">
        <f t="array" ref="BC1013">_xlfn.IFS(E1013="","",G1013&lt;=E1013,BB1013*(1-0.03),G1013&lt;(E1013+8),BB1013,AZ1013="Boleto",BB1013*(1+0.001)^DATEDIF(E1013,G1013,"D"),AZ1013="Cheque",BB1013,AZ1013="Dinheiro","Alterar forma pgto")</f>
        <v/>
      </c>
      <c r="BD1013" s="276" t="str" cm="1">
        <f t="array" ref="BD1013">IF(F1013=0," ",IF(BC1013&lt;BB1013,(_xlfn.IFS(AW1013="SIM",SUM(L1013,Q1013,V1013,AA1013,AF1013,AK1013,AP1013,AU1013)+AX1013/_xlfn.XLOOKUP(_xlfn.XLOOKUP($F1013,Clientes!$B$4:$B$39,Clientes!$C$4:$C$39),Cadastros!$L$6:$L$12,Cadastros!$M$6:$M$12)+IF($F1013="Bernardino Furlan",AY1013/2751.92,IF($F1013="Mauro José Salanti",AY1013/2751.92,AY1013/3356)),F1013&lt;&gt;0,SUM(L1013,Q1013,V1013,AA1013,AF1013,AK1013,AP1013,AU1013)))*(1-0.03),_xlfn.IFS(AW1013="SIM",SUM(L1013,Q1013,V1013,AA1013,AF1013,AK1013,AP1013,AU1013)+AX1013/_xlfn.XLOOKUP(_xlfn.XLOOKUP($F1013,Clientes!$B$4:$B$39,Clientes!$C$4:$C$39),Cadastros!$L$6:$L$12,Cadastros!$M$6:$M$12)+IF($F1013="Bernardino Furlan",AY1013/2751.92,IF($F1013="Mauro José Salanti",AY1013/2751.92,AY1013/3356)),F1013&lt;&gt;0,SUM(L1013,Q1013,V1013,AA1013,AF1013,AK1013,AP1013,AU1013))))</f>
        <v xml:space="preserve"> </v>
      </c>
      <c r="BE1013" s="120"/>
      <c r="BF1013" s="120"/>
      <c r="BG1013" s="120"/>
    </row>
    <row r="1014" spans="1:59" s="3" customFormat="1" x14ac:dyDescent="0.3">
      <c r="A1014" s="15" t="str">
        <f t="shared" si="195"/>
        <v/>
      </c>
      <c r="B1014" s="25"/>
      <c r="C1014" s="26"/>
      <c r="D1014" s="279"/>
      <c r="E1014" s="27"/>
      <c r="F1014" s="28"/>
      <c r="G1014" s="27"/>
      <c r="H1014" s="28"/>
      <c r="I1014" s="28"/>
      <c r="J1014" s="255" t="str">
        <f>IF(H1014="","",(_xlfn.XLOOKUP(H1014,Cadastros!$D$6:$D$90,Cadastros!$E$6:$E$90))*(1-_xlfn.XLOOKUP(_xlfn.XLOOKUP($F1014,Clientes!$B$4:$B$39,Clientes!$C$4:$C$39),Cadastros!$L$6:$L$12,Cadastros!$N$6:$N$12)))</f>
        <v/>
      </c>
      <c r="K1014" s="168" t="str">
        <f t="shared" si="196"/>
        <v/>
      </c>
      <c r="L1014" s="168" t="str">
        <f>IFERROR(K1014/_xlfn.XLOOKUP(_xlfn.XLOOKUP($F1014,Clientes!$B$4:$B$39,Clientes!$C$4:$C$39),Cadastros!$L$6:$L$12,Cadastros!$M$6:$M$12)," ")</f>
        <v xml:space="preserve"> </v>
      </c>
      <c r="M1014" s="28"/>
      <c r="N1014" s="28"/>
      <c r="O1014" s="255" t="str">
        <f>IF(M1014="","",(_xlfn.XLOOKUP(M1014,Cadastros!$D$6:$D$90,Cadastros!$E$6:$E$90))*(1-_xlfn.XLOOKUP(_xlfn.XLOOKUP($F1014,Clientes!$B$4:$B$39,Clientes!$C$4:$C$39),Cadastros!$L$6:$L$12,Cadastros!$N$6:$N$12)))</f>
        <v/>
      </c>
      <c r="P1014" s="168" t="str">
        <f t="shared" si="197"/>
        <v/>
      </c>
      <c r="Q1014" s="168" t="str">
        <f>IFERROR(P1014/_xlfn.XLOOKUP(_xlfn.XLOOKUP($F1014,Clientes!$B$4:$B$39,Clientes!$C$4:$C$39),Cadastros!$L$6:$L$12,Cadastros!$M$6:$M$12)," ")</f>
        <v xml:space="preserve"> </v>
      </c>
      <c r="R1014" s="28"/>
      <c r="S1014" s="28"/>
      <c r="T1014" s="255" t="str">
        <f>IF(R1014="","",(_xlfn.XLOOKUP(R1014,Cadastros!$D$6:$D$90,Cadastros!$E$6:$E$90))*(1-_xlfn.XLOOKUP(_xlfn.XLOOKUP($F1014,Clientes!$B$4:$B$39,Clientes!$C$4:$C$39),Cadastros!$L$6:$L$12,Cadastros!$N$6:$N$12)))</f>
        <v/>
      </c>
      <c r="U1014" s="168" t="str">
        <f t="shared" si="198"/>
        <v/>
      </c>
      <c r="V1014" s="168" t="str">
        <f>IFERROR(U1014/_xlfn.XLOOKUP(_xlfn.XLOOKUP($F1014,Clientes!$B$4:$B$39,Clientes!$C$4:$C$39),Cadastros!$L$6:$L$12,Cadastros!$M$6:$M$12)," ")</f>
        <v xml:space="preserve"> </v>
      </c>
      <c r="W1014" s="28"/>
      <c r="X1014" s="28"/>
      <c r="Y1014" s="255" t="str">
        <f>IF(W1014="","",(_xlfn.XLOOKUP(W1014,Cadastros!$D$6:$D$90,Cadastros!$E$6:$E$90))*(1-_xlfn.XLOOKUP(_xlfn.XLOOKUP($F1014,Clientes!$B$4:$B$39,Clientes!$C$4:$C$39),Cadastros!$L$6:$L$12,Cadastros!$N$6:$N$12)))</f>
        <v/>
      </c>
      <c r="Z1014" s="168" t="str">
        <f t="shared" si="199"/>
        <v/>
      </c>
      <c r="AA1014" s="168" t="str">
        <f>IFERROR(Z1014/_xlfn.XLOOKUP(_xlfn.XLOOKUP($F1014,Clientes!$B$4:$B$39,Clientes!$C$4:$C$39),Cadastros!$L$6:$L$12,Cadastros!$M$6:$M$12)," ")</f>
        <v xml:space="preserve"> </v>
      </c>
      <c r="AB1014" s="28"/>
      <c r="AC1014" s="28"/>
      <c r="AD1014" s="20" t="str">
        <f>IF(AB1014="","",IF($F1014="Bernardino Furlan",_xlfn.XLOOKUP(AB1014,Cadastros!$G$6:$G$90,Cadastros!$H$6:$H$90)*(1-0.18),IF($F1014="Mauro José Salanti",_xlfn.XLOOKUP(AB1014,Cadastros!$G$6:$G$90,Cadastros!$H$6:$H$90)*(1-0.18),_xlfn.XLOOKUP(AB1014,Cadastros!$G$6:$G$90,Cadastros!$H$6:$H$90))))</f>
        <v/>
      </c>
      <c r="AE1014" s="168" t="str">
        <f t="shared" si="200"/>
        <v/>
      </c>
      <c r="AF1014" s="168" t="str">
        <f t="shared" si="201"/>
        <v/>
      </c>
      <c r="AG1014" s="28"/>
      <c r="AH1014" s="28"/>
      <c r="AI1014" s="20" t="str">
        <f>IF(AG1014="","",IF($F1014="Bernardino Furlan",_xlfn.XLOOKUP(AG1014,Cadastros!$G$6:$G$90,Cadastros!$H$6:$H$90)*(1-0.18),IF($F1014="Mauro José Salanti",_xlfn.XLOOKUP(AG1014,Cadastros!$G$6:$G$90,Cadastros!$H$6:$H$90)*(1-0.18),_xlfn.XLOOKUP(AG1014,Cadastros!$G$6:$G$90,Cadastros!$H$6:$H$90))))</f>
        <v/>
      </c>
      <c r="AJ1014" s="168" t="str">
        <f t="shared" si="202"/>
        <v/>
      </c>
      <c r="AK1014" s="168" t="str">
        <f t="shared" si="203"/>
        <v/>
      </c>
      <c r="AL1014" s="28"/>
      <c r="AM1014" s="28"/>
      <c r="AN1014" s="20" t="str">
        <f>IF(AL1014="","",IF($F1014="Bernardino Furlan",_xlfn.XLOOKUP(AL1014,Cadastros!$G$6:$G$90,Cadastros!$H$6:$H$90)*(1-0.18),IF($F1014="Mauro José Salanti",_xlfn.XLOOKUP(AL1014,Cadastros!$G$6:$G$90,Cadastros!$H$6:$H$90)*(1-0.18),_xlfn.XLOOKUP(AL1014,Cadastros!$G$6:$G$90,Cadastros!$H$6:$H$90))))</f>
        <v/>
      </c>
      <c r="AO1014" s="168" t="str">
        <f t="shared" si="204"/>
        <v/>
      </c>
      <c r="AP1014" s="168" t="str">
        <f t="shared" si="205"/>
        <v/>
      </c>
      <c r="AQ1014" s="28"/>
      <c r="AR1014" s="28"/>
      <c r="AS1014" s="20" t="str">
        <f>IF(AQ1014="","",IF($F1014="Bernardino Furlan",_xlfn.XLOOKUP(AQ1014,Cadastros!$G$6:$G$90,Cadastros!$H$6:$H$90)*(1-0.18),IF($F1014="Mauro José Salanti",_xlfn.XLOOKUP(AQ1014,Cadastros!$G$6:$G$90,Cadastros!$H$6:$H$90)*(1-0.18),_xlfn.XLOOKUP(AQ1014,Cadastros!$G$6:$G$90,Cadastros!$H$6:$H$90))))</f>
        <v/>
      </c>
      <c r="AT1014" s="168" t="str">
        <f t="shared" si="206"/>
        <v/>
      </c>
      <c r="AU1014" s="168" t="str">
        <f t="shared" si="207"/>
        <v/>
      </c>
      <c r="AV1014" s="227"/>
      <c r="AW1014" s="30"/>
      <c r="AX1014" s="267"/>
      <c r="AY1014" s="267"/>
      <c r="AZ1014" s="29"/>
      <c r="BA1014" s="30"/>
      <c r="BB1014" s="23" t="str" cm="1">
        <f t="array" ref="BB1014">_xlfn.IFS(AW1014="SIM",SUM(K1014,P1014,U1014,Z1014,AE1014,AJ1014,AO1014,AT1014,AX1014,AY1014),F1014&lt;&gt;"",SUM(K1014,P1014,U1014,Z1014,AE1014,AJ1014,,AO1014,AT1014),F1014="","")</f>
        <v/>
      </c>
      <c r="BC1014" s="211" t="str" cm="1">
        <f t="array" ref="BC1014">_xlfn.IFS(E1014="","",G1014&lt;=E1014,BB1014*(1-0.03),G1014&lt;(E1014+8),BB1014,AZ1014="Boleto",BB1014*(1+0.001)^DATEDIF(E1014,G1014,"D"),AZ1014="Cheque",BB1014,AZ1014="Dinheiro","Alterar forma pgto")</f>
        <v/>
      </c>
      <c r="BD1014" s="276" t="str" cm="1">
        <f t="array" ref="BD1014">IF(F1014=0," ",IF(BC1014&lt;BB1014,(_xlfn.IFS(AW1014="SIM",SUM(L1014,Q1014,V1014,AA1014,AF1014,AK1014,AP1014,AU1014)+AX1014/_xlfn.XLOOKUP(_xlfn.XLOOKUP($F1014,Clientes!$B$4:$B$39,Clientes!$C$4:$C$39),Cadastros!$L$6:$L$12,Cadastros!$M$6:$M$12)+IF($F1014="Bernardino Furlan",AY1014/2751.92,IF($F1014="Mauro José Salanti",AY1014/2751.92,AY1014/3356)),F1014&lt;&gt;0,SUM(L1014,Q1014,V1014,AA1014,AF1014,AK1014,AP1014,AU1014)))*(1-0.03),_xlfn.IFS(AW1014="SIM",SUM(L1014,Q1014,V1014,AA1014,AF1014,AK1014,AP1014,AU1014)+AX1014/_xlfn.XLOOKUP(_xlfn.XLOOKUP($F1014,Clientes!$B$4:$B$39,Clientes!$C$4:$C$39),Cadastros!$L$6:$L$12,Cadastros!$M$6:$M$12)+IF($F1014="Bernardino Furlan",AY1014/2751.92,IF($F1014="Mauro José Salanti",AY1014/2751.92,AY1014/3356)),F1014&lt;&gt;0,SUM(L1014,Q1014,V1014,AA1014,AF1014,AK1014,AP1014,AU1014))))</f>
        <v xml:space="preserve"> </v>
      </c>
      <c r="BE1014" s="120"/>
      <c r="BF1014" s="120"/>
      <c r="BG1014" s="120"/>
    </row>
    <row r="1015" spans="1:59" s="3" customFormat="1" x14ac:dyDescent="0.3">
      <c r="A1015" s="15" t="str">
        <f t="shared" si="195"/>
        <v/>
      </c>
      <c r="B1015" s="25"/>
      <c r="C1015" s="26"/>
      <c r="D1015" s="279"/>
      <c r="E1015" s="27"/>
      <c r="F1015" s="28"/>
      <c r="G1015" s="27"/>
      <c r="H1015" s="28"/>
      <c r="I1015" s="28"/>
      <c r="J1015" s="255" t="str">
        <f>IF(H1015="","",(_xlfn.XLOOKUP(H1015,Cadastros!$D$6:$D$90,Cadastros!$E$6:$E$90))*(1-_xlfn.XLOOKUP(_xlfn.XLOOKUP($F1015,Clientes!$B$4:$B$39,Clientes!$C$4:$C$39),Cadastros!$L$6:$L$12,Cadastros!$N$6:$N$12)))</f>
        <v/>
      </c>
      <c r="K1015" s="168" t="str">
        <f t="shared" si="196"/>
        <v/>
      </c>
      <c r="L1015" s="168" t="str">
        <f>IFERROR(K1015/_xlfn.XLOOKUP(_xlfn.XLOOKUP($F1015,Clientes!$B$4:$B$39,Clientes!$C$4:$C$39),Cadastros!$L$6:$L$12,Cadastros!$M$6:$M$12)," ")</f>
        <v xml:space="preserve"> </v>
      </c>
      <c r="M1015" s="28"/>
      <c r="N1015" s="28"/>
      <c r="O1015" s="255" t="str">
        <f>IF(M1015="","",(_xlfn.XLOOKUP(M1015,Cadastros!$D$6:$D$90,Cadastros!$E$6:$E$90))*(1-_xlfn.XLOOKUP(_xlfn.XLOOKUP($F1015,Clientes!$B$4:$B$39,Clientes!$C$4:$C$39),Cadastros!$L$6:$L$12,Cadastros!$N$6:$N$12)))</f>
        <v/>
      </c>
      <c r="P1015" s="168" t="str">
        <f t="shared" si="197"/>
        <v/>
      </c>
      <c r="Q1015" s="168" t="str">
        <f>IFERROR(P1015/_xlfn.XLOOKUP(_xlfn.XLOOKUP($F1015,Clientes!$B$4:$B$39,Clientes!$C$4:$C$39),Cadastros!$L$6:$L$12,Cadastros!$M$6:$M$12)," ")</f>
        <v xml:space="preserve"> </v>
      </c>
      <c r="R1015" s="28"/>
      <c r="S1015" s="28"/>
      <c r="T1015" s="255" t="str">
        <f>IF(R1015="","",(_xlfn.XLOOKUP(R1015,Cadastros!$D$6:$D$90,Cadastros!$E$6:$E$90))*(1-_xlfn.XLOOKUP(_xlfn.XLOOKUP($F1015,Clientes!$B$4:$B$39,Clientes!$C$4:$C$39),Cadastros!$L$6:$L$12,Cadastros!$N$6:$N$12)))</f>
        <v/>
      </c>
      <c r="U1015" s="168" t="str">
        <f t="shared" si="198"/>
        <v/>
      </c>
      <c r="V1015" s="168" t="str">
        <f>IFERROR(U1015/_xlfn.XLOOKUP(_xlfn.XLOOKUP($F1015,Clientes!$B$4:$B$39,Clientes!$C$4:$C$39),Cadastros!$L$6:$L$12,Cadastros!$M$6:$M$12)," ")</f>
        <v xml:space="preserve"> </v>
      </c>
      <c r="W1015" s="28"/>
      <c r="X1015" s="28"/>
      <c r="Y1015" s="255" t="str">
        <f>IF(W1015="","",(_xlfn.XLOOKUP(W1015,Cadastros!$D$6:$D$90,Cadastros!$E$6:$E$90))*(1-_xlfn.XLOOKUP(_xlfn.XLOOKUP($F1015,Clientes!$B$4:$B$39,Clientes!$C$4:$C$39),Cadastros!$L$6:$L$12,Cadastros!$N$6:$N$12)))</f>
        <v/>
      </c>
      <c r="Z1015" s="168" t="str">
        <f t="shared" si="199"/>
        <v/>
      </c>
      <c r="AA1015" s="168" t="str">
        <f>IFERROR(Z1015/_xlfn.XLOOKUP(_xlfn.XLOOKUP($F1015,Clientes!$B$4:$B$39,Clientes!$C$4:$C$39),Cadastros!$L$6:$L$12,Cadastros!$M$6:$M$12)," ")</f>
        <v xml:space="preserve"> </v>
      </c>
      <c r="AB1015" s="28"/>
      <c r="AC1015" s="28"/>
      <c r="AD1015" s="20" t="str">
        <f>IF(AB1015="","",IF($F1015="Bernardino Furlan",_xlfn.XLOOKUP(AB1015,Cadastros!$G$6:$G$90,Cadastros!$H$6:$H$90)*(1-0.18),IF($F1015="Mauro José Salanti",_xlfn.XLOOKUP(AB1015,Cadastros!$G$6:$G$90,Cadastros!$H$6:$H$90)*(1-0.18),_xlfn.XLOOKUP(AB1015,Cadastros!$G$6:$G$90,Cadastros!$H$6:$H$90))))</f>
        <v/>
      </c>
      <c r="AE1015" s="168" t="str">
        <f t="shared" si="200"/>
        <v/>
      </c>
      <c r="AF1015" s="168" t="str">
        <f t="shared" si="201"/>
        <v/>
      </c>
      <c r="AG1015" s="28"/>
      <c r="AH1015" s="28"/>
      <c r="AI1015" s="20" t="str">
        <f>IF(AG1015="","",IF($F1015="Bernardino Furlan",_xlfn.XLOOKUP(AG1015,Cadastros!$G$6:$G$90,Cadastros!$H$6:$H$90)*(1-0.18),IF($F1015="Mauro José Salanti",_xlfn.XLOOKUP(AG1015,Cadastros!$G$6:$G$90,Cadastros!$H$6:$H$90)*(1-0.18),_xlfn.XLOOKUP(AG1015,Cadastros!$G$6:$G$90,Cadastros!$H$6:$H$90))))</f>
        <v/>
      </c>
      <c r="AJ1015" s="168" t="str">
        <f t="shared" si="202"/>
        <v/>
      </c>
      <c r="AK1015" s="168" t="str">
        <f t="shared" si="203"/>
        <v/>
      </c>
      <c r="AL1015" s="28"/>
      <c r="AM1015" s="28"/>
      <c r="AN1015" s="20" t="str">
        <f>IF(AL1015="","",IF($F1015="Bernardino Furlan",_xlfn.XLOOKUP(AL1015,Cadastros!$G$6:$G$90,Cadastros!$H$6:$H$90)*(1-0.18),IF($F1015="Mauro José Salanti",_xlfn.XLOOKUP(AL1015,Cadastros!$G$6:$G$90,Cadastros!$H$6:$H$90)*(1-0.18),_xlfn.XLOOKUP(AL1015,Cadastros!$G$6:$G$90,Cadastros!$H$6:$H$90))))</f>
        <v/>
      </c>
      <c r="AO1015" s="168" t="str">
        <f t="shared" si="204"/>
        <v/>
      </c>
      <c r="AP1015" s="168" t="str">
        <f t="shared" si="205"/>
        <v/>
      </c>
      <c r="AQ1015" s="28"/>
      <c r="AR1015" s="28"/>
      <c r="AS1015" s="20" t="str">
        <f>IF(AQ1015="","",IF($F1015="Bernardino Furlan",_xlfn.XLOOKUP(AQ1015,Cadastros!$G$6:$G$90,Cadastros!$H$6:$H$90)*(1-0.18),IF($F1015="Mauro José Salanti",_xlfn.XLOOKUP(AQ1015,Cadastros!$G$6:$G$90,Cadastros!$H$6:$H$90)*(1-0.18),_xlfn.XLOOKUP(AQ1015,Cadastros!$G$6:$G$90,Cadastros!$H$6:$H$90))))</f>
        <v/>
      </c>
      <c r="AT1015" s="168" t="str">
        <f t="shared" si="206"/>
        <v/>
      </c>
      <c r="AU1015" s="168" t="str">
        <f t="shared" si="207"/>
        <v/>
      </c>
      <c r="AV1015" s="227"/>
      <c r="AW1015" s="30"/>
      <c r="AX1015" s="267"/>
      <c r="AY1015" s="267"/>
      <c r="AZ1015" s="29"/>
      <c r="BA1015" s="30"/>
      <c r="BB1015" s="23" t="str" cm="1">
        <f t="array" ref="BB1015">_xlfn.IFS(AW1015="SIM",SUM(K1015,P1015,U1015,Z1015,AE1015,AJ1015,AO1015,AT1015,AX1015,AY1015),F1015&lt;&gt;"",SUM(K1015,P1015,U1015,Z1015,AE1015,AJ1015,,AO1015,AT1015),F1015="","")</f>
        <v/>
      </c>
      <c r="BC1015" s="211" t="str" cm="1">
        <f t="array" ref="BC1015">_xlfn.IFS(E1015="","",G1015&lt;=E1015,BB1015*(1-0.03),G1015&lt;(E1015+8),BB1015,AZ1015="Boleto",BB1015*(1+0.001)^DATEDIF(E1015,G1015,"D"),AZ1015="Cheque",BB1015,AZ1015="Dinheiro","Alterar forma pgto")</f>
        <v/>
      </c>
      <c r="BD1015" s="276" t="str" cm="1">
        <f t="array" ref="BD1015">IF(F1015=0," ",IF(BC1015&lt;BB1015,(_xlfn.IFS(AW1015="SIM",SUM(L1015,Q1015,V1015,AA1015,AF1015,AK1015,AP1015,AU1015)+AX1015/_xlfn.XLOOKUP(_xlfn.XLOOKUP($F1015,Clientes!$B$4:$B$39,Clientes!$C$4:$C$39),Cadastros!$L$6:$L$12,Cadastros!$M$6:$M$12)+IF($F1015="Bernardino Furlan",AY1015/2751.92,IF($F1015="Mauro José Salanti",AY1015/2751.92,AY1015/3356)),F1015&lt;&gt;0,SUM(L1015,Q1015,V1015,AA1015,AF1015,AK1015,AP1015,AU1015)))*(1-0.03),_xlfn.IFS(AW1015="SIM",SUM(L1015,Q1015,V1015,AA1015,AF1015,AK1015,AP1015,AU1015)+AX1015/_xlfn.XLOOKUP(_xlfn.XLOOKUP($F1015,Clientes!$B$4:$B$39,Clientes!$C$4:$C$39),Cadastros!$L$6:$L$12,Cadastros!$M$6:$M$12)+IF($F1015="Bernardino Furlan",AY1015/2751.92,IF($F1015="Mauro José Salanti",AY1015/2751.92,AY1015/3356)),F1015&lt;&gt;0,SUM(L1015,Q1015,V1015,AA1015,AF1015,AK1015,AP1015,AU1015))))</f>
        <v xml:space="preserve"> </v>
      </c>
      <c r="BE1015" s="120"/>
      <c r="BF1015" s="120"/>
      <c r="BG1015" s="120"/>
    </row>
    <row r="1016" spans="1:59" s="3" customFormat="1" x14ac:dyDescent="0.3">
      <c r="A1016" s="15" t="str">
        <f t="shared" si="195"/>
        <v/>
      </c>
      <c r="B1016" s="25"/>
      <c r="C1016" s="26"/>
      <c r="D1016" s="279"/>
      <c r="E1016" s="27"/>
      <c r="F1016" s="28"/>
      <c r="G1016" s="27"/>
      <c r="H1016" s="28"/>
      <c r="I1016" s="28"/>
      <c r="J1016" s="255" t="str">
        <f>IF(H1016="","",(_xlfn.XLOOKUP(H1016,Cadastros!$D$6:$D$90,Cadastros!$E$6:$E$90))*(1-_xlfn.XLOOKUP(_xlfn.XLOOKUP($F1016,Clientes!$B$4:$B$39,Clientes!$C$4:$C$39),Cadastros!$L$6:$L$12,Cadastros!$N$6:$N$12)))</f>
        <v/>
      </c>
      <c r="K1016" s="168" t="str">
        <f t="shared" si="196"/>
        <v/>
      </c>
      <c r="L1016" s="168" t="str">
        <f>IFERROR(K1016/_xlfn.XLOOKUP(_xlfn.XLOOKUP($F1016,Clientes!$B$4:$B$39,Clientes!$C$4:$C$39),Cadastros!$L$6:$L$12,Cadastros!$M$6:$M$12)," ")</f>
        <v xml:space="preserve"> </v>
      </c>
      <c r="M1016" s="28"/>
      <c r="N1016" s="28"/>
      <c r="O1016" s="255" t="str">
        <f>IF(M1016="","",(_xlfn.XLOOKUP(M1016,Cadastros!$D$6:$D$90,Cadastros!$E$6:$E$90))*(1-_xlfn.XLOOKUP(_xlfn.XLOOKUP($F1016,Clientes!$B$4:$B$39,Clientes!$C$4:$C$39),Cadastros!$L$6:$L$12,Cadastros!$N$6:$N$12)))</f>
        <v/>
      </c>
      <c r="P1016" s="168" t="str">
        <f t="shared" si="197"/>
        <v/>
      </c>
      <c r="Q1016" s="168" t="str">
        <f>IFERROR(P1016/_xlfn.XLOOKUP(_xlfn.XLOOKUP($F1016,Clientes!$B$4:$B$39,Clientes!$C$4:$C$39),Cadastros!$L$6:$L$12,Cadastros!$M$6:$M$12)," ")</f>
        <v xml:space="preserve"> </v>
      </c>
      <c r="R1016" s="28"/>
      <c r="S1016" s="28"/>
      <c r="T1016" s="255" t="str">
        <f>IF(R1016="","",(_xlfn.XLOOKUP(R1016,Cadastros!$D$6:$D$90,Cadastros!$E$6:$E$90))*(1-_xlfn.XLOOKUP(_xlfn.XLOOKUP($F1016,Clientes!$B$4:$B$39,Clientes!$C$4:$C$39),Cadastros!$L$6:$L$12,Cadastros!$N$6:$N$12)))</f>
        <v/>
      </c>
      <c r="U1016" s="168" t="str">
        <f t="shared" si="198"/>
        <v/>
      </c>
      <c r="V1016" s="168" t="str">
        <f>IFERROR(U1016/_xlfn.XLOOKUP(_xlfn.XLOOKUP($F1016,Clientes!$B$4:$B$39,Clientes!$C$4:$C$39),Cadastros!$L$6:$L$12,Cadastros!$M$6:$M$12)," ")</f>
        <v xml:space="preserve"> </v>
      </c>
      <c r="W1016" s="28"/>
      <c r="X1016" s="28"/>
      <c r="Y1016" s="255" t="str">
        <f>IF(W1016="","",(_xlfn.XLOOKUP(W1016,Cadastros!$D$6:$D$90,Cadastros!$E$6:$E$90))*(1-_xlfn.XLOOKUP(_xlfn.XLOOKUP($F1016,Clientes!$B$4:$B$39,Clientes!$C$4:$C$39),Cadastros!$L$6:$L$12,Cadastros!$N$6:$N$12)))</f>
        <v/>
      </c>
      <c r="Z1016" s="168" t="str">
        <f t="shared" si="199"/>
        <v/>
      </c>
      <c r="AA1016" s="168" t="str">
        <f>IFERROR(Z1016/_xlfn.XLOOKUP(_xlfn.XLOOKUP($F1016,Clientes!$B$4:$B$39,Clientes!$C$4:$C$39),Cadastros!$L$6:$L$12,Cadastros!$M$6:$M$12)," ")</f>
        <v xml:space="preserve"> </v>
      </c>
      <c r="AB1016" s="28"/>
      <c r="AC1016" s="28"/>
      <c r="AD1016" s="20" t="str">
        <f>IF(AB1016="","",IF($F1016="Bernardino Furlan",_xlfn.XLOOKUP(AB1016,Cadastros!$G$6:$G$90,Cadastros!$H$6:$H$90)*(1-0.18),IF($F1016="Mauro José Salanti",_xlfn.XLOOKUP(AB1016,Cadastros!$G$6:$G$90,Cadastros!$H$6:$H$90)*(1-0.18),_xlfn.XLOOKUP(AB1016,Cadastros!$G$6:$G$90,Cadastros!$H$6:$H$90))))</f>
        <v/>
      </c>
      <c r="AE1016" s="168" t="str">
        <f t="shared" si="200"/>
        <v/>
      </c>
      <c r="AF1016" s="168" t="str">
        <f t="shared" si="201"/>
        <v/>
      </c>
      <c r="AG1016" s="28"/>
      <c r="AH1016" s="28"/>
      <c r="AI1016" s="20" t="str">
        <f>IF(AG1016="","",IF($F1016="Bernardino Furlan",_xlfn.XLOOKUP(AG1016,Cadastros!$G$6:$G$90,Cadastros!$H$6:$H$90)*(1-0.18),IF($F1016="Mauro José Salanti",_xlfn.XLOOKUP(AG1016,Cadastros!$G$6:$G$90,Cadastros!$H$6:$H$90)*(1-0.18),_xlfn.XLOOKUP(AG1016,Cadastros!$G$6:$G$90,Cadastros!$H$6:$H$90))))</f>
        <v/>
      </c>
      <c r="AJ1016" s="168" t="str">
        <f t="shared" si="202"/>
        <v/>
      </c>
      <c r="AK1016" s="168" t="str">
        <f t="shared" si="203"/>
        <v/>
      </c>
      <c r="AL1016" s="28"/>
      <c r="AM1016" s="28"/>
      <c r="AN1016" s="20" t="str">
        <f>IF(AL1016="","",IF($F1016="Bernardino Furlan",_xlfn.XLOOKUP(AL1016,Cadastros!$G$6:$G$90,Cadastros!$H$6:$H$90)*(1-0.18),IF($F1016="Mauro José Salanti",_xlfn.XLOOKUP(AL1016,Cadastros!$G$6:$G$90,Cadastros!$H$6:$H$90)*(1-0.18),_xlfn.XLOOKUP(AL1016,Cadastros!$G$6:$G$90,Cadastros!$H$6:$H$90))))</f>
        <v/>
      </c>
      <c r="AO1016" s="168" t="str">
        <f t="shared" si="204"/>
        <v/>
      </c>
      <c r="AP1016" s="168" t="str">
        <f t="shared" si="205"/>
        <v/>
      </c>
      <c r="AQ1016" s="28"/>
      <c r="AR1016" s="28"/>
      <c r="AS1016" s="20" t="str">
        <f>IF(AQ1016="","",IF($F1016="Bernardino Furlan",_xlfn.XLOOKUP(AQ1016,Cadastros!$G$6:$G$90,Cadastros!$H$6:$H$90)*(1-0.18),IF($F1016="Mauro José Salanti",_xlfn.XLOOKUP(AQ1016,Cadastros!$G$6:$G$90,Cadastros!$H$6:$H$90)*(1-0.18),_xlfn.XLOOKUP(AQ1016,Cadastros!$G$6:$G$90,Cadastros!$H$6:$H$90))))</f>
        <v/>
      </c>
      <c r="AT1016" s="168" t="str">
        <f t="shared" si="206"/>
        <v/>
      </c>
      <c r="AU1016" s="168" t="str">
        <f t="shared" si="207"/>
        <v/>
      </c>
      <c r="AV1016" s="227"/>
      <c r="AW1016" s="30"/>
      <c r="AX1016" s="267"/>
      <c r="AY1016" s="267"/>
      <c r="AZ1016" s="29"/>
      <c r="BA1016" s="30"/>
      <c r="BB1016" s="23" t="str" cm="1">
        <f t="array" ref="BB1016">_xlfn.IFS(AW1016="SIM",SUM(K1016,P1016,U1016,Z1016,AE1016,AJ1016,AO1016,AT1016,AX1016,AY1016),F1016&lt;&gt;"",SUM(K1016,P1016,U1016,Z1016,AE1016,AJ1016,,AO1016,AT1016),F1016="","")</f>
        <v/>
      </c>
      <c r="BC1016" s="211" t="str" cm="1">
        <f t="array" ref="BC1016">_xlfn.IFS(E1016="","",G1016&lt;=E1016,BB1016*(1-0.03),G1016&lt;(E1016+8),BB1016,AZ1016="Boleto",BB1016*(1+0.001)^DATEDIF(E1016,G1016,"D"),AZ1016="Cheque",BB1016,AZ1016="Dinheiro","Alterar forma pgto")</f>
        <v/>
      </c>
      <c r="BD1016" s="276" t="str" cm="1">
        <f t="array" ref="BD1016">IF(F1016=0," ",IF(BC1016&lt;BB1016,(_xlfn.IFS(AW1016="SIM",SUM(L1016,Q1016,V1016,AA1016,AF1016,AK1016,AP1016,AU1016)+AX1016/_xlfn.XLOOKUP(_xlfn.XLOOKUP($F1016,Clientes!$B$4:$B$39,Clientes!$C$4:$C$39),Cadastros!$L$6:$L$12,Cadastros!$M$6:$M$12)+IF($F1016="Bernardino Furlan",AY1016/2751.92,IF($F1016="Mauro José Salanti",AY1016/2751.92,AY1016/3356)),F1016&lt;&gt;0,SUM(L1016,Q1016,V1016,AA1016,AF1016,AK1016,AP1016,AU1016)))*(1-0.03),_xlfn.IFS(AW1016="SIM",SUM(L1016,Q1016,V1016,AA1016,AF1016,AK1016,AP1016,AU1016)+AX1016/_xlfn.XLOOKUP(_xlfn.XLOOKUP($F1016,Clientes!$B$4:$B$39,Clientes!$C$4:$C$39),Cadastros!$L$6:$L$12,Cadastros!$M$6:$M$12)+IF($F1016="Bernardino Furlan",AY1016/2751.92,IF($F1016="Mauro José Salanti",AY1016/2751.92,AY1016/3356)),F1016&lt;&gt;0,SUM(L1016,Q1016,V1016,AA1016,AF1016,AK1016,AP1016,AU1016))))</f>
        <v xml:space="preserve"> </v>
      </c>
      <c r="BE1016" s="120"/>
      <c r="BF1016" s="120"/>
      <c r="BG1016" s="120"/>
    </row>
    <row r="1017" spans="1:59" s="3" customFormat="1" x14ac:dyDescent="0.3">
      <c r="A1017" s="15" t="str">
        <f t="shared" si="195"/>
        <v/>
      </c>
      <c r="B1017" s="25"/>
      <c r="C1017" s="26"/>
      <c r="D1017" s="279"/>
      <c r="E1017" s="27"/>
      <c r="F1017" s="28"/>
      <c r="G1017" s="27"/>
      <c r="H1017" s="28"/>
      <c r="I1017" s="28"/>
      <c r="J1017" s="255" t="str">
        <f>IF(H1017="","",(_xlfn.XLOOKUP(H1017,Cadastros!$D$6:$D$90,Cadastros!$E$6:$E$90))*(1-_xlfn.XLOOKUP(_xlfn.XLOOKUP($F1017,Clientes!$B$4:$B$39,Clientes!$C$4:$C$39),Cadastros!$L$6:$L$12,Cadastros!$N$6:$N$12)))</f>
        <v/>
      </c>
      <c r="K1017" s="168" t="str">
        <f t="shared" si="196"/>
        <v/>
      </c>
      <c r="L1017" s="168" t="str">
        <f>IFERROR(K1017/_xlfn.XLOOKUP(_xlfn.XLOOKUP($F1017,Clientes!$B$4:$B$39,Clientes!$C$4:$C$39),Cadastros!$L$6:$L$12,Cadastros!$M$6:$M$12)," ")</f>
        <v xml:space="preserve"> </v>
      </c>
      <c r="M1017" s="28"/>
      <c r="N1017" s="28"/>
      <c r="O1017" s="255" t="str">
        <f>IF(M1017="","",(_xlfn.XLOOKUP(M1017,Cadastros!$D$6:$D$90,Cadastros!$E$6:$E$90))*(1-_xlfn.XLOOKUP(_xlfn.XLOOKUP($F1017,Clientes!$B$4:$B$39,Clientes!$C$4:$C$39),Cadastros!$L$6:$L$12,Cadastros!$N$6:$N$12)))</f>
        <v/>
      </c>
      <c r="P1017" s="168" t="str">
        <f t="shared" si="197"/>
        <v/>
      </c>
      <c r="Q1017" s="168" t="str">
        <f>IFERROR(P1017/_xlfn.XLOOKUP(_xlfn.XLOOKUP($F1017,Clientes!$B$4:$B$39,Clientes!$C$4:$C$39),Cadastros!$L$6:$L$12,Cadastros!$M$6:$M$12)," ")</f>
        <v xml:space="preserve"> </v>
      </c>
      <c r="R1017" s="28"/>
      <c r="S1017" s="28"/>
      <c r="T1017" s="255" t="str">
        <f>IF(R1017="","",(_xlfn.XLOOKUP(R1017,Cadastros!$D$6:$D$90,Cadastros!$E$6:$E$90))*(1-_xlfn.XLOOKUP(_xlfn.XLOOKUP($F1017,Clientes!$B$4:$B$39,Clientes!$C$4:$C$39),Cadastros!$L$6:$L$12,Cadastros!$N$6:$N$12)))</f>
        <v/>
      </c>
      <c r="U1017" s="168" t="str">
        <f t="shared" si="198"/>
        <v/>
      </c>
      <c r="V1017" s="168" t="str">
        <f>IFERROR(U1017/_xlfn.XLOOKUP(_xlfn.XLOOKUP($F1017,Clientes!$B$4:$B$39,Clientes!$C$4:$C$39),Cadastros!$L$6:$L$12,Cadastros!$M$6:$M$12)," ")</f>
        <v xml:space="preserve"> </v>
      </c>
      <c r="W1017" s="28"/>
      <c r="X1017" s="28"/>
      <c r="Y1017" s="255" t="str">
        <f>IF(W1017="","",(_xlfn.XLOOKUP(W1017,Cadastros!$D$6:$D$90,Cadastros!$E$6:$E$90))*(1-_xlfn.XLOOKUP(_xlfn.XLOOKUP($F1017,Clientes!$B$4:$B$39,Clientes!$C$4:$C$39),Cadastros!$L$6:$L$12,Cadastros!$N$6:$N$12)))</f>
        <v/>
      </c>
      <c r="Z1017" s="168" t="str">
        <f t="shared" si="199"/>
        <v/>
      </c>
      <c r="AA1017" s="168" t="str">
        <f>IFERROR(Z1017/_xlfn.XLOOKUP(_xlfn.XLOOKUP($F1017,Clientes!$B$4:$B$39,Clientes!$C$4:$C$39),Cadastros!$L$6:$L$12,Cadastros!$M$6:$M$12)," ")</f>
        <v xml:space="preserve"> </v>
      </c>
      <c r="AB1017" s="28"/>
      <c r="AC1017" s="28"/>
      <c r="AD1017" s="20" t="str">
        <f>IF(AB1017="","",IF($F1017="Bernardino Furlan",_xlfn.XLOOKUP(AB1017,Cadastros!$G$6:$G$90,Cadastros!$H$6:$H$90)*(1-0.18),IF($F1017="Mauro José Salanti",_xlfn.XLOOKUP(AB1017,Cadastros!$G$6:$G$90,Cadastros!$H$6:$H$90)*(1-0.18),_xlfn.XLOOKUP(AB1017,Cadastros!$G$6:$G$90,Cadastros!$H$6:$H$90))))</f>
        <v/>
      </c>
      <c r="AE1017" s="168" t="str">
        <f t="shared" si="200"/>
        <v/>
      </c>
      <c r="AF1017" s="168" t="str">
        <f t="shared" si="201"/>
        <v/>
      </c>
      <c r="AG1017" s="28"/>
      <c r="AH1017" s="28"/>
      <c r="AI1017" s="20" t="str">
        <f>IF(AG1017="","",IF($F1017="Bernardino Furlan",_xlfn.XLOOKUP(AG1017,Cadastros!$G$6:$G$90,Cadastros!$H$6:$H$90)*(1-0.18),IF($F1017="Mauro José Salanti",_xlfn.XLOOKUP(AG1017,Cadastros!$G$6:$G$90,Cadastros!$H$6:$H$90)*(1-0.18),_xlfn.XLOOKUP(AG1017,Cadastros!$G$6:$G$90,Cadastros!$H$6:$H$90))))</f>
        <v/>
      </c>
      <c r="AJ1017" s="168" t="str">
        <f t="shared" si="202"/>
        <v/>
      </c>
      <c r="AK1017" s="168" t="str">
        <f t="shared" si="203"/>
        <v/>
      </c>
      <c r="AL1017" s="28"/>
      <c r="AM1017" s="28"/>
      <c r="AN1017" s="20" t="str">
        <f>IF(AL1017="","",IF($F1017="Bernardino Furlan",_xlfn.XLOOKUP(AL1017,Cadastros!$G$6:$G$90,Cadastros!$H$6:$H$90)*(1-0.18),IF($F1017="Mauro José Salanti",_xlfn.XLOOKUP(AL1017,Cadastros!$G$6:$G$90,Cadastros!$H$6:$H$90)*(1-0.18),_xlfn.XLOOKUP(AL1017,Cadastros!$G$6:$G$90,Cadastros!$H$6:$H$90))))</f>
        <v/>
      </c>
      <c r="AO1017" s="168" t="str">
        <f t="shared" si="204"/>
        <v/>
      </c>
      <c r="AP1017" s="168" t="str">
        <f t="shared" si="205"/>
        <v/>
      </c>
      <c r="AQ1017" s="28"/>
      <c r="AR1017" s="28"/>
      <c r="AS1017" s="20" t="str">
        <f>IF(AQ1017="","",IF($F1017="Bernardino Furlan",_xlfn.XLOOKUP(AQ1017,Cadastros!$G$6:$G$90,Cadastros!$H$6:$H$90)*(1-0.18),IF($F1017="Mauro José Salanti",_xlfn.XLOOKUP(AQ1017,Cadastros!$G$6:$G$90,Cadastros!$H$6:$H$90)*(1-0.18),_xlfn.XLOOKUP(AQ1017,Cadastros!$G$6:$G$90,Cadastros!$H$6:$H$90))))</f>
        <v/>
      </c>
      <c r="AT1017" s="168" t="str">
        <f t="shared" si="206"/>
        <v/>
      </c>
      <c r="AU1017" s="168" t="str">
        <f t="shared" si="207"/>
        <v/>
      </c>
      <c r="AV1017" s="227"/>
      <c r="AW1017" s="30"/>
      <c r="AX1017" s="267"/>
      <c r="AY1017" s="267"/>
      <c r="AZ1017" s="29"/>
      <c r="BA1017" s="30"/>
      <c r="BB1017" s="23" t="str" cm="1">
        <f t="array" ref="BB1017">_xlfn.IFS(AW1017="SIM",SUM(K1017,P1017,U1017,Z1017,AE1017,AJ1017,AO1017,AT1017,AX1017,AY1017),F1017&lt;&gt;"",SUM(K1017,P1017,U1017,Z1017,AE1017,AJ1017,,AO1017,AT1017),F1017="","")</f>
        <v/>
      </c>
      <c r="BC1017" s="211" t="str" cm="1">
        <f t="array" ref="BC1017">_xlfn.IFS(E1017="","",G1017&lt;=E1017,BB1017*(1-0.03),G1017&lt;(E1017+8),BB1017,AZ1017="Boleto",BB1017*(1+0.001)^DATEDIF(E1017,G1017,"D"),AZ1017="Cheque",BB1017,AZ1017="Dinheiro","Alterar forma pgto")</f>
        <v/>
      </c>
      <c r="BD1017" s="276" t="str" cm="1">
        <f t="array" ref="BD1017">IF(F1017=0," ",IF(BC1017&lt;BB1017,(_xlfn.IFS(AW1017="SIM",SUM(L1017,Q1017,V1017,AA1017,AF1017,AK1017,AP1017,AU1017)+AX1017/_xlfn.XLOOKUP(_xlfn.XLOOKUP($F1017,Clientes!$B$4:$B$39,Clientes!$C$4:$C$39),Cadastros!$L$6:$L$12,Cadastros!$M$6:$M$12)+IF($F1017="Bernardino Furlan",AY1017/2751.92,IF($F1017="Mauro José Salanti",AY1017/2751.92,AY1017/3356)),F1017&lt;&gt;0,SUM(L1017,Q1017,V1017,AA1017,AF1017,AK1017,AP1017,AU1017)))*(1-0.03),_xlfn.IFS(AW1017="SIM",SUM(L1017,Q1017,V1017,AA1017,AF1017,AK1017,AP1017,AU1017)+AX1017/_xlfn.XLOOKUP(_xlfn.XLOOKUP($F1017,Clientes!$B$4:$B$39,Clientes!$C$4:$C$39),Cadastros!$L$6:$L$12,Cadastros!$M$6:$M$12)+IF($F1017="Bernardino Furlan",AY1017/2751.92,IF($F1017="Mauro José Salanti",AY1017/2751.92,AY1017/3356)),F1017&lt;&gt;0,SUM(L1017,Q1017,V1017,AA1017,AF1017,AK1017,AP1017,AU1017))))</f>
        <v xml:space="preserve"> </v>
      </c>
      <c r="BE1017" s="120"/>
      <c r="BF1017" s="120"/>
      <c r="BG1017" s="120"/>
    </row>
    <row r="1018" spans="1:59" s="3" customFormat="1" x14ac:dyDescent="0.3">
      <c r="A1018" s="15" t="str">
        <f t="shared" si="195"/>
        <v/>
      </c>
      <c r="B1018" s="25"/>
      <c r="C1018" s="26"/>
      <c r="D1018" s="279"/>
      <c r="E1018" s="27"/>
      <c r="F1018" s="28"/>
      <c r="G1018" s="27"/>
      <c r="H1018" s="28"/>
      <c r="I1018" s="28"/>
      <c r="J1018" s="255" t="str">
        <f>IF(H1018="","",(_xlfn.XLOOKUP(H1018,Cadastros!$D$6:$D$90,Cadastros!$E$6:$E$90))*(1-_xlfn.XLOOKUP(_xlfn.XLOOKUP($F1018,Clientes!$B$4:$B$39,Clientes!$C$4:$C$39),Cadastros!$L$6:$L$12,Cadastros!$N$6:$N$12)))</f>
        <v/>
      </c>
      <c r="K1018" s="168" t="str">
        <f t="shared" si="196"/>
        <v/>
      </c>
      <c r="L1018" s="168" t="str">
        <f>IFERROR(K1018/_xlfn.XLOOKUP(_xlfn.XLOOKUP($F1018,Clientes!$B$4:$B$39,Clientes!$C$4:$C$39),Cadastros!$L$6:$L$12,Cadastros!$M$6:$M$12)," ")</f>
        <v xml:space="preserve"> </v>
      </c>
      <c r="M1018" s="28"/>
      <c r="N1018" s="28"/>
      <c r="O1018" s="255" t="str">
        <f>IF(M1018="","",(_xlfn.XLOOKUP(M1018,Cadastros!$D$6:$D$90,Cadastros!$E$6:$E$90))*(1-_xlfn.XLOOKUP(_xlfn.XLOOKUP($F1018,Clientes!$B$4:$B$39,Clientes!$C$4:$C$39),Cadastros!$L$6:$L$12,Cadastros!$N$6:$N$12)))</f>
        <v/>
      </c>
      <c r="P1018" s="168" t="str">
        <f t="shared" si="197"/>
        <v/>
      </c>
      <c r="Q1018" s="168" t="str">
        <f>IFERROR(P1018/_xlfn.XLOOKUP(_xlfn.XLOOKUP($F1018,Clientes!$B$4:$B$39,Clientes!$C$4:$C$39),Cadastros!$L$6:$L$12,Cadastros!$M$6:$M$12)," ")</f>
        <v xml:space="preserve"> </v>
      </c>
      <c r="R1018" s="28"/>
      <c r="S1018" s="28"/>
      <c r="T1018" s="255" t="str">
        <f>IF(R1018="","",(_xlfn.XLOOKUP(R1018,Cadastros!$D$6:$D$90,Cadastros!$E$6:$E$90))*(1-_xlfn.XLOOKUP(_xlfn.XLOOKUP($F1018,Clientes!$B$4:$B$39,Clientes!$C$4:$C$39),Cadastros!$L$6:$L$12,Cadastros!$N$6:$N$12)))</f>
        <v/>
      </c>
      <c r="U1018" s="168" t="str">
        <f t="shared" si="198"/>
        <v/>
      </c>
      <c r="V1018" s="168" t="str">
        <f>IFERROR(U1018/_xlfn.XLOOKUP(_xlfn.XLOOKUP($F1018,Clientes!$B$4:$B$39,Clientes!$C$4:$C$39),Cadastros!$L$6:$L$12,Cadastros!$M$6:$M$12)," ")</f>
        <v xml:space="preserve"> </v>
      </c>
      <c r="W1018" s="28"/>
      <c r="X1018" s="28"/>
      <c r="Y1018" s="255" t="str">
        <f>IF(W1018="","",(_xlfn.XLOOKUP(W1018,Cadastros!$D$6:$D$90,Cadastros!$E$6:$E$90))*(1-_xlfn.XLOOKUP(_xlfn.XLOOKUP($F1018,Clientes!$B$4:$B$39,Clientes!$C$4:$C$39),Cadastros!$L$6:$L$12,Cadastros!$N$6:$N$12)))</f>
        <v/>
      </c>
      <c r="Z1018" s="168" t="str">
        <f t="shared" si="199"/>
        <v/>
      </c>
      <c r="AA1018" s="168" t="str">
        <f>IFERROR(Z1018/_xlfn.XLOOKUP(_xlfn.XLOOKUP($F1018,Clientes!$B$4:$B$39,Clientes!$C$4:$C$39),Cadastros!$L$6:$L$12,Cadastros!$M$6:$M$12)," ")</f>
        <v xml:space="preserve"> </v>
      </c>
      <c r="AB1018" s="28"/>
      <c r="AC1018" s="28"/>
      <c r="AD1018" s="20" t="str">
        <f>IF(AB1018="","",IF($F1018="Bernardino Furlan",_xlfn.XLOOKUP(AB1018,Cadastros!$G$6:$G$90,Cadastros!$H$6:$H$90)*(1-0.18),IF($F1018="Mauro José Salanti",_xlfn.XLOOKUP(AB1018,Cadastros!$G$6:$G$90,Cadastros!$H$6:$H$90)*(1-0.18),_xlfn.XLOOKUP(AB1018,Cadastros!$G$6:$G$90,Cadastros!$H$6:$H$90))))</f>
        <v/>
      </c>
      <c r="AE1018" s="168" t="str">
        <f t="shared" si="200"/>
        <v/>
      </c>
      <c r="AF1018" s="168" t="str">
        <f t="shared" si="201"/>
        <v/>
      </c>
      <c r="AG1018" s="28"/>
      <c r="AH1018" s="28"/>
      <c r="AI1018" s="20" t="str">
        <f>IF(AG1018="","",IF($F1018="Bernardino Furlan",_xlfn.XLOOKUP(AG1018,Cadastros!$G$6:$G$90,Cadastros!$H$6:$H$90)*(1-0.18),IF($F1018="Mauro José Salanti",_xlfn.XLOOKUP(AG1018,Cadastros!$G$6:$G$90,Cadastros!$H$6:$H$90)*(1-0.18),_xlfn.XLOOKUP(AG1018,Cadastros!$G$6:$G$90,Cadastros!$H$6:$H$90))))</f>
        <v/>
      </c>
      <c r="AJ1018" s="168" t="str">
        <f t="shared" si="202"/>
        <v/>
      </c>
      <c r="AK1018" s="168" t="str">
        <f t="shared" si="203"/>
        <v/>
      </c>
      <c r="AL1018" s="28"/>
      <c r="AM1018" s="28"/>
      <c r="AN1018" s="20" t="str">
        <f>IF(AL1018="","",IF($F1018="Bernardino Furlan",_xlfn.XLOOKUP(AL1018,Cadastros!$G$6:$G$90,Cadastros!$H$6:$H$90)*(1-0.18),IF($F1018="Mauro José Salanti",_xlfn.XLOOKUP(AL1018,Cadastros!$G$6:$G$90,Cadastros!$H$6:$H$90)*(1-0.18),_xlfn.XLOOKUP(AL1018,Cadastros!$G$6:$G$90,Cadastros!$H$6:$H$90))))</f>
        <v/>
      </c>
      <c r="AO1018" s="168" t="str">
        <f t="shared" si="204"/>
        <v/>
      </c>
      <c r="AP1018" s="168" t="str">
        <f t="shared" si="205"/>
        <v/>
      </c>
      <c r="AQ1018" s="28"/>
      <c r="AR1018" s="28"/>
      <c r="AS1018" s="20" t="str">
        <f>IF(AQ1018="","",IF($F1018="Bernardino Furlan",_xlfn.XLOOKUP(AQ1018,Cadastros!$G$6:$G$90,Cadastros!$H$6:$H$90)*(1-0.18),IF($F1018="Mauro José Salanti",_xlfn.XLOOKUP(AQ1018,Cadastros!$G$6:$G$90,Cadastros!$H$6:$H$90)*(1-0.18),_xlfn.XLOOKUP(AQ1018,Cadastros!$G$6:$G$90,Cadastros!$H$6:$H$90))))</f>
        <v/>
      </c>
      <c r="AT1018" s="168" t="str">
        <f t="shared" si="206"/>
        <v/>
      </c>
      <c r="AU1018" s="168" t="str">
        <f t="shared" si="207"/>
        <v/>
      </c>
      <c r="AV1018" s="227"/>
      <c r="AW1018" s="30"/>
      <c r="AX1018" s="267"/>
      <c r="AY1018" s="267"/>
      <c r="AZ1018" s="29"/>
      <c r="BA1018" s="30"/>
      <c r="BB1018" s="23" t="str" cm="1">
        <f t="array" ref="BB1018">_xlfn.IFS(AW1018="SIM",SUM(K1018,P1018,U1018,Z1018,AE1018,AJ1018,AO1018,AT1018,AX1018,AY1018),F1018&lt;&gt;"",SUM(K1018,P1018,U1018,Z1018,AE1018,AJ1018,,AO1018,AT1018),F1018="","")</f>
        <v/>
      </c>
      <c r="BC1018" s="211" t="str" cm="1">
        <f t="array" ref="BC1018">_xlfn.IFS(E1018="","",G1018&lt;=E1018,BB1018*(1-0.03),G1018&lt;(E1018+8),BB1018,AZ1018="Boleto",BB1018*(1+0.001)^DATEDIF(E1018,G1018,"D"),AZ1018="Cheque",BB1018,AZ1018="Dinheiro","Alterar forma pgto")</f>
        <v/>
      </c>
      <c r="BD1018" s="276" t="str" cm="1">
        <f t="array" ref="BD1018">IF(F1018=0," ",IF(BC1018&lt;BB1018,(_xlfn.IFS(AW1018="SIM",SUM(L1018,Q1018,V1018,AA1018,AF1018,AK1018,AP1018,AU1018)+AX1018/_xlfn.XLOOKUP(_xlfn.XLOOKUP($F1018,Clientes!$B$4:$B$39,Clientes!$C$4:$C$39),Cadastros!$L$6:$L$12,Cadastros!$M$6:$M$12)+IF($F1018="Bernardino Furlan",AY1018/2751.92,IF($F1018="Mauro José Salanti",AY1018/2751.92,AY1018/3356)),F1018&lt;&gt;0,SUM(L1018,Q1018,V1018,AA1018,AF1018,AK1018,AP1018,AU1018)))*(1-0.03),_xlfn.IFS(AW1018="SIM",SUM(L1018,Q1018,V1018,AA1018,AF1018,AK1018,AP1018,AU1018)+AX1018/_xlfn.XLOOKUP(_xlfn.XLOOKUP($F1018,Clientes!$B$4:$B$39,Clientes!$C$4:$C$39),Cadastros!$L$6:$L$12,Cadastros!$M$6:$M$12)+IF($F1018="Bernardino Furlan",AY1018/2751.92,IF($F1018="Mauro José Salanti",AY1018/2751.92,AY1018/3356)),F1018&lt;&gt;0,SUM(L1018,Q1018,V1018,AA1018,AF1018,AK1018,AP1018,AU1018))))</f>
        <v xml:space="preserve"> </v>
      </c>
      <c r="BE1018" s="120"/>
      <c r="BF1018" s="120"/>
      <c r="BG1018" s="120"/>
    </row>
    <row r="1019" spans="1:59" s="3" customFormat="1" x14ac:dyDescent="0.3">
      <c r="A1019" s="15" t="str">
        <f t="shared" si="195"/>
        <v/>
      </c>
      <c r="B1019" s="25"/>
      <c r="C1019" s="26"/>
      <c r="D1019" s="279"/>
      <c r="E1019" s="27"/>
      <c r="F1019" s="28"/>
      <c r="G1019" s="27"/>
      <c r="H1019" s="28"/>
      <c r="I1019" s="28"/>
      <c r="J1019" s="255" t="str">
        <f>IF(H1019="","",(_xlfn.XLOOKUP(H1019,Cadastros!$D$6:$D$90,Cadastros!$E$6:$E$90))*(1-_xlfn.XLOOKUP(_xlfn.XLOOKUP($F1019,Clientes!$B$4:$B$39,Clientes!$C$4:$C$39),Cadastros!$L$6:$L$12,Cadastros!$N$6:$N$12)))</f>
        <v/>
      </c>
      <c r="K1019" s="168" t="str">
        <f t="shared" si="196"/>
        <v/>
      </c>
      <c r="L1019" s="168" t="str">
        <f>IFERROR(K1019/_xlfn.XLOOKUP(_xlfn.XLOOKUP($F1019,Clientes!$B$4:$B$39,Clientes!$C$4:$C$39),Cadastros!$L$6:$L$12,Cadastros!$M$6:$M$12)," ")</f>
        <v xml:space="preserve"> </v>
      </c>
      <c r="M1019" s="28"/>
      <c r="N1019" s="28"/>
      <c r="O1019" s="255" t="str">
        <f>IF(M1019="","",(_xlfn.XLOOKUP(M1019,Cadastros!$D$6:$D$90,Cadastros!$E$6:$E$90))*(1-_xlfn.XLOOKUP(_xlfn.XLOOKUP($F1019,Clientes!$B$4:$B$39,Clientes!$C$4:$C$39),Cadastros!$L$6:$L$12,Cadastros!$N$6:$N$12)))</f>
        <v/>
      </c>
      <c r="P1019" s="168" t="str">
        <f t="shared" si="197"/>
        <v/>
      </c>
      <c r="Q1019" s="168" t="str">
        <f>IFERROR(P1019/_xlfn.XLOOKUP(_xlfn.XLOOKUP($F1019,Clientes!$B$4:$B$39,Clientes!$C$4:$C$39),Cadastros!$L$6:$L$12,Cadastros!$M$6:$M$12)," ")</f>
        <v xml:space="preserve"> </v>
      </c>
      <c r="R1019" s="28"/>
      <c r="S1019" s="28"/>
      <c r="T1019" s="255" t="str">
        <f>IF(R1019="","",(_xlfn.XLOOKUP(R1019,Cadastros!$D$6:$D$90,Cadastros!$E$6:$E$90))*(1-_xlfn.XLOOKUP(_xlfn.XLOOKUP($F1019,Clientes!$B$4:$B$39,Clientes!$C$4:$C$39),Cadastros!$L$6:$L$12,Cadastros!$N$6:$N$12)))</f>
        <v/>
      </c>
      <c r="U1019" s="168" t="str">
        <f t="shared" si="198"/>
        <v/>
      </c>
      <c r="V1019" s="168" t="str">
        <f>IFERROR(U1019/_xlfn.XLOOKUP(_xlfn.XLOOKUP($F1019,Clientes!$B$4:$B$39,Clientes!$C$4:$C$39),Cadastros!$L$6:$L$12,Cadastros!$M$6:$M$12)," ")</f>
        <v xml:space="preserve"> </v>
      </c>
      <c r="W1019" s="28"/>
      <c r="X1019" s="28"/>
      <c r="Y1019" s="255" t="str">
        <f>IF(W1019="","",(_xlfn.XLOOKUP(W1019,Cadastros!$D$6:$D$90,Cadastros!$E$6:$E$90))*(1-_xlfn.XLOOKUP(_xlfn.XLOOKUP($F1019,Clientes!$B$4:$B$39,Clientes!$C$4:$C$39),Cadastros!$L$6:$L$12,Cadastros!$N$6:$N$12)))</f>
        <v/>
      </c>
      <c r="Z1019" s="168" t="str">
        <f t="shared" si="199"/>
        <v/>
      </c>
      <c r="AA1019" s="168" t="str">
        <f>IFERROR(Z1019/_xlfn.XLOOKUP(_xlfn.XLOOKUP($F1019,Clientes!$B$4:$B$39,Clientes!$C$4:$C$39),Cadastros!$L$6:$L$12,Cadastros!$M$6:$M$12)," ")</f>
        <v xml:space="preserve"> </v>
      </c>
      <c r="AB1019" s="28"/>
      <c r="AC1019" s="28"/>
      <c r="AD1019" s="20" t="str">
        <f>IF(AB1019="","",IF($F1019="Bernardino Furlan",_xlfn.XLOOKUP(AB1019,Cadastros!$G$6:$G$90,Cadastros!$H$6:$H$90)*(1-0.18),IF($F1019="Mauro José Salanti",_xlfn.XLOOKUP(AB1019,Cadastros!$G$6:$G$90,Cadastros!$H$6:$H$90)*(1-0.18),_xlfn.XLOOKUP(AB1019,Cadastros!$G$6:$G$90,Cadastros!$H$6:$H$90))))</f>
        <v/>
      </c>
      <c r="AE1019" s="168" t="str">
        <f t="shared" si="200"/>
        <v/>
      </c>
      <c r="AF1019" s="168" t="str">
        <f t="shared" si="201"/>
        <v/>
      </c>
      <c r="AG1019" s="28"/>
      <c r="AH1019" s="28"/>
      <c r="AI1019" s="20" t="str">
        <f>IF(AG1019="","",IF($F1019="Bernardino Furlan",_xlfn.XLOOKUP(AG1019,Cadastros!$G$6:$G$90,Cadastros!$H$6:$H$90)*(1-0.18),IF($F1019="Mauro José Salanti",_xlfn.XLOOKUP(AG1019,Cadastros!$G$6:$G$90,Cadastros!$H$6:$H$90)*(1-0.18),_xlfn.XLOOKUP(AG1019,Cadastros!$G$6:$G$90,Cadastros!$H$6:$H$90))))</f>
        <v/>
      </c>
      <c r="AJ1019" s="168" t="str">
        <f t="shared" si="202"/>
        <v/>
      </c>
      <c r="AK1019" s="168" t="str">
        <f t="shared" si="203"/>
        <v/>
      </c>
      <c r="AL1019" s="28"/>
      <c r="AM1019" s="28"/>
      <c r="AN1019" s="20" t="str">
        <f>IF(AL1019="","",IF($F1019="Bernardino Furlan",_xlfn.XLOOKUP(AL1019,Cadastros!$G$6:$G$90,Cadastros!$H$6:$H$90)*(1-0.18),IF($F1019="Mauro José Salanti",_xlfn.XLOOKUP(AL1019,Cadastros!$G$6:$G$90,Cadastros!$H$6:$H$90)*(1-0.18),_xlfn.XLOOKUP(AL1019,Cadastros!$G$6:$G$90,Cadastros!$H$6:$H$90))))</f>
        <v/>
      </c>
      <c r="AO1019" s="168" t="str">
        <f t="shared" si="204"/>
        <v/>
      </c>
      <c r="AP1019" s="168" t="str">
        <f t="shared" si="205"/>
        <v/>
      </c>
      <c r="AQ1019" s="28"/>
      <c r="AR1019" s="28"/>
      <c r="AS1019" s="20" t="str">
        <f>IF(AQ1019="","",IF($F1019="Bernardino Furlan",_xlfn.XLOOKUP(AQ1019,Cadastros!$G$6:$G$90,Cadastros!$H$6:$H$90)*(1-0.18),IF($F1019="Mauro José Salanti",_xlfn.XLOOKUP(AQ1019,Cadastros!$G$6:$G$90,Cadastros!$H$6:$H$90)*(1-0.18),_xlfn.XLOOKUP(AQ1019,Cadastros!$G$6:$G$90,Cadastros!$H$6:$H$90))))</f>
        <v/>
      </c>
      <c r="AT1019" s="168" t="str">
        <f t="shared" si="206"/>
        <v/>
      </c>
      <c r="AU1019" s="168" t="str">
        <f t="shared" si="207"/>
        <v/>
      </c>
      <c r="AV1019" s="227"/>
      <c r="AW1019" s="30"/>
      <c r="AX1019" s="267"/>
      <c r="AY1019" s="267"/>
      <c r="AZ1019" s="29"/>
      <c r="BA1019" s="30"/>
      <c r="BB1019" s="23" t="str" cm="1">
        <f t="array" ref="BB1019">_xlfn.IFS(AW1019="SIM",SUM(K1019,P1019,U1019,Z1019,AE1019,AJ1019,AO1019,AT1019,AX1019,AY1019),F1019&lt;&gt;"",SUM(K1019,P1019,U1019,Z1019,AE1019,AJ1019,,AO1019,AT1019),F1019="","")</f>
        <v/>
      </c>
      <c r="BC1019" s="211" t="str" cm="1">
        <f t="array" ref="BC1019">_xlfn.IFS(E1019="","",G1019&lt;=E1019,BB1019*(1-0.03),G1019&lt;(E1019+8),BB1019,AZ1019="Boleto",BB1019*(1+0.001)^DATEDIF(E1019,G1019,"D"),AZ1019="Cheque",BB1019,AZ1019="Dinheiro","Alterar forma pgto")</f>
        <v/>
      </c>
      <c r="BD1019" s="276" t="str" cm="1">
        <f t="array" ref="BD1019">IF(F1019=0," ",IF(BC1019&lt;BB1019,(_xlfn.IFS(AW1019="SIM",SUM(L1019,Q1019,V1019,AA1019,AF1019,AK1019,AP1019,AU1019)+AX1019/_xlfn.XLOOKUP(_xlfn.XLOOKUP($F1019,Clientes!$B$4:$B$39,Clientes!$C$4:$C$39),Cadastros!$L$6:$L$12,Cadastros!$M$6:$M$12)+IF($F1019="Bernardino Furlan",AY1019/2751.92,IF($F1019="Mauro José Salanti",AY1019/2751.92,AY1019/3356)),F1019&lt;&gt;0,SUM(L1019,Q1019,V1019,AA1019,AF1019,AK1019,AP1019,AU1019)))*(1-0.03),_xlfn.IFS(AW1019="SIM",SUM(L1019,Q1019,V1019,AA1019,AF1019,AK1019,AP1019,AU1019)+AX1019/_xlfn.XLOOKUP(_xlfn.XLOOKUP($F1019,Clientes!$B$4:$B$39,Clientes!$C$4:$C$39),Cadastros!$L$6:$L$12,Cadastros!$M$6:$M$12)+IF($F1019="Bernardino Furlan",AY1019/2751.92,IF($F1019="Mauro José Salanti",AY1019/2751.92,AY1019/3356)),F1019&lt;&gt;0,SUM(L1019,Q1019,V1019,AA1019,AF1019,AK1019,AP1019,AU1019))))</f>
        <v xml:space="preserve"> </v>
      </c>
      <c r="BE1019" s="120"/>
      <c r="BF1019" s="120"/>
      <c r="BG1019" s="120"/>
    </row>
    <row r="1020" spans="1:59" s="3" customFormat="1" x14ac:dyDescent="0.3">
      <c r="A1020" s="15" t="str">
        <f t="shared" si="195"/>
        <v/>
      </c>
      <c r="B1020" s="25"/>
      <c r="C1020" s="26"/>
      <c r="D1020" s="279"/>
      <c r="E1020" s="27"/>
      <c r="F1020" s="28"/>
      <c r="G1020" s="27"/>
      <c r="H1020" s="28"/>
      <c r="I1020" s="28"/>
      <c r="J1020" s="255" t="str">
        <f>IF(H1020="","",(_xlfn.XLOOKUP(H1020,Cadastros!$D$6:$D$90,Cadastros!$E$6:$E$90))*(1-_xlfn.XLOOKUP(_xlfn.XLOOKUP($F1020,Clientes!$B$4:$B$39,Clientes!$C$4:$C$39),Cadastros!$L$6:$L$12,Cadastros!$N$6:$N$12)))</f>
        <v/>
      </c>
      <c r="K1020" s="168" t="str">
        <f t="shared" si="196"/>
        <v/>
      </c>
      <c r="L1020" s="168" t="str">
        <f>IFERROR(K1020/_xlfn.XLOOKUP(_xlfn.XLOOKUP($F1020,Clientes!$B$4:$B$39,Clientes!$C$4:$C$39),Cadastros!$L$6:$L$12,Cadastros!$M$6:$M$12)," ")</f>
        <v xml:space="preserve"> </v>
      </c>
      <c r="M1020" s="28"/>
      <c r="N1020" s="28"/>
      <c r="O1020" s="255" t="str">
        <f>IF(M1020="","",(_xlfn.XLOOKUP(M1020,Cadastros!$D$6:$D$90,Cadastros!$E$6:$E$90))*(1-_xlfn.XLOOKUP(_xlfn.XLOOKUP($F1020,Clientes!$B$4:$B$39,Clientes!$C$4:$C$39),Cadastros!$L$6:$L$12,Cadastros!$N$6:$N$12)))</f>
        <v/>
      </c>
      <c r="P1020" s="168" t="str">
        <f t="shared" si="197"/>
        <v/>
      </c>
      <c r="Q1020" s="168" t="str">
        <f>IFERROR(P1020/_xlfn.XLOOKUP(_xlfn.XLOOKUP($F1020,Clientes!$B$4:$B$39,Clientes!$C$4:$C$39),Cadastros!$L$6:$L$12,Cadastros!$M$6:$M$12)," ")</f>
        <v xml:space="preserve"> </v>
      </c>
      <c r="R1020" s="28"/>
      <c r="S1020" s="28"/>
      <c r="T1020" s="255" t="str">
        <f>IF(R1020="","",(_xlfn.XLOOKUP(R1020,Cadastros!$D$6:$D$90,Cadastros!$E$6:$E$90))*(1-_xlfn.XLOOKUP(_xlfn.XLOOKUP($F1020,Clientes!$B$4:$B$39,Clientes!$C$4:$C$39),Cadastros!$L$6:$L$12,Cadastros!$N$6:$N$12)))</f>
        <v/>
      </c>
      <c r="U1020" s="168" t="str">
        <f t="shared" si="198"/>
        <v/>
      </c>
      <c r="V1020" s="168" t="str">
        <f>IFERROR(U1020/_xlfn.XLOOKUP(_xlfn.XLOOKUP($F1020,Clientes!$B$4:$B$39,Clientes!$C$4:$C$39),Cadastros!$L$6:$L$12,Cadastros!$M$6:$M$12)," ")</f>
        <v xml:space="preserve"> </v>
      </c>
      <c r="W1020" s="28"/>
      <c r="X1020" s="28"/>
      <c r="Y1020" s="255" t="str">
        <f>IF(W1020="","",(_xlfn.XLOOKUP(W1020,Cadastros!$D$6:$D$90,Cadastros!$E$6:$E$90))*(1-_xlfn.XLOOKUP(_xlfn.XLOOKUP($F1020,Clientes!$B$4:$B$39,Clientes!$C$4:$C$39),Cadastros!$L$6:$L$12,Cadastros!$N$6:$N$12)))</f>
        <v/>
      </c>
      <c r="Z1020" s="168" t="str">
        <f t="shared" si="199"/>
        <v/>
      </c>
      <c r="AA1020" s="168" t="str">
        <f>IFERROR(Z1020/_xlfn.XLOOKUP(_xlfn.XLOOKUP($F1020,Clientes!$B$4:$B$39,Clientes!$C$4:$C$39),Cadastros!$L$6:$L$12,Cadastros!$M$6:$M$12)," ")</f>
        <v xml:space="preserve"> </v>
      </c>
      <c r="AB1020" s="28"/>
      <c r="AC1020" s="28"/>
      <c r="AD1020" s="20" t="str">
        <f>IF(AB1020="","",IF($F1020="Bernardino Furlan",_xlfn.XLOOKUP(AB1020,Cadastros!$G$6:$G$90,Cadastros!$H$6:$H$90)*(1-0.18),IF($F1020="Mauro José Salanti",_xlfn.XLOOKUP(AB1020,Cadastros!$G$6:$G$90,Cadastros!$H$6:$H$90)*(1-0.18),_xlfn.XLOOKUP(AB1020,Cadastros!$G$6:$G$90,Cadastros!$H$6:$H$90))))</f>
        <v/>
      </c>
      <c r="AE1020" s="168" t="str">
        <f t="shared" si="200"/>
        <v/>
      </c>
      <c r="AF1020" s="168" t="str">
        <f t="shared" si="201"/>
        <v/>
      </c>
      <c r="AG1020" s="28"/>
      <c r="AH1020" s="28"/>
      <c r="AI1020" s="20" t="str">
        <f>IF(AG1020="","",IF($F1020="Bernardino Furlan",_xlfn.XLOOKUP(AG1020,Cadastros!$G$6:$G$90,Cadastros!$H$6:$H$90)*(1-0.18),IF($F1020="Mauro José Salanti",_xlfn.XLOOKUP(AG1020,Cadastros!$G$6:$G$90,Cadastros!$H$6:$H$90)*(1-0.18),_xlfn.XLOOKUP(AG1020,Cadastros!$G$6:$G$90,Cadastros!$H$6:$H$90))))</f>
        <v/>
      </c>
      <c r="AJ1020" s="168" t="str">
        <f t="shared" si="202"/>
        <v/>
      </c>
      <c r="AK1020" s="168" t="str">
        <f t="shared" si="203"/>
        <v/>
      </c>
      <c r="AL1020" s="28"/>
      <c r="AM1020" s="28"/>
      <c r="AN1020" s="20" t="str">
        <f>IF(AL1020="","",IF($F1020="Bernardino Furlan",_xlfn.XLOOKUP(AL1020,Cadastros!$G$6:$G$90,Cadastros!$H$6:$H$90)*(1-0.18),IF($F1020="Mauro José Salanti",_xlfn.XLOOKUP(AL1020,Cadastros!$G$6:$G$90,Cadastros!$H$6:$H$90)*(1-0.18),_xlfn.XLOOKUP(AL1020,Cadastros!$G$6:$G$90,Cadastros!$H$6:$H$90))))</f>
        <v/>
      </c>
      <c r="AO1020" s="168" t="str">
        <f t="shared" si="204"/>
        <v/>
      </c>
      <c r="AP1020" s="168" t="str">
        <f t="shared" si="205"/>
        <v/>
      </c>
      <c r="AQ1020" s="28"/>
      <c r="AR1020" s="28"/>
      <c r="AS1020" s="20" t="str">
        <f>IF(AQ1020="","",IF($F1020="Bernardino Furlan",_xlfn.XLOOKUP(AQ1020,Cadastros!$G$6:$G$90,Cadastros!$H$6:$H$90)*(1-0.18),IF($F1020="Mauro José Salanti",_xlfn.XLOOKUP(AQ1020,Cadastros!$G$6:$G$90,Cadastros!$H$6:$H$90)*(1-0.18),_xlfn.XLOOKUP(AQ1020,Cadastros!$G$6:$G$90,Cadastros!$H$6:$H$90))))</f>
        <v/>
      </c>
      <c r="AT1020" s="168" t="str">
        <f t="shared" si="206"/>
        <v/>
      </c>
      <c r="AU1020" s="168" t="str">
        <f t="shared" si="207"/>
        <v/>
      </c>
      <c r="AV1020" s="227"/>
      <c r="AW1020" s="30"/>
      <c r="AX1020" s="267"/>
      <c r="AY1020" s="267"/>
      <c r="AZ1020" s="29"/>
      <c r="BA1020" s="30"/>
      <c r="BB1020" s="23" t="str" cm="1">
        <f t="array" ref="BB1020">_xlfn.IFS(AW1020="SIM",SUM(K1020,P1020,U1020,Z1020,AE1020,AJ1020,AO1020,AT1020,AX1020,AY1020),F1020&lt;&gt;"",SUM(K1020,P1020,U1020,Z1020,AE1020,AJ1020,,AO1020,AT1020),F1020="","")</f>
        <v/>
      </c>
      <c r="BC1020" s="211" t="str" cm="1">
        <f t="array" ref="BC1020">_xlfn.IFS(E1020="","",G1020&lt;=E1020,BB1020*(1-0.03),G1020&lt;(E1020+8),BB1020,AZ1020="Boleto",BB1020*(1+0.001)^DATEDIF(E1020,G1020,"D"),AZ1020="Cheque",BB1020,AZ1020="Dinheiro","Alterar forma pgto")</f>
        <v/>
      </c>
      <c r="BD1020" s="276" t="str" cm="1">
        <f t="array" ref="BD1020">IF(F1020=0," ",IF(BC1020&lt;BB1020,(_xlfn.IFS(AW1020="SIM",SUM(L1020,Q1020,V1020,AA1020,AF1020,AK1020,AP1020,AU1020)+AX1020/_xlfn.XLOOKUP(_xlfn.XLOOKUP($F1020,Clientes!$B$4:$B$39,Clientes!$C$4:$C$39),Cadastros!$L$6:$L$12,Cadastros!$M$6:$M$12)+IF($F1020="Bernardino Furlan",AY1020/2751.92,IF($F1020="Mauro José Salanti",AY1020/2751.92,AY1020/3356)),F1020&lt;&gt;0,SUM(L1020,Q1020,V1020,AA1020,AF1020,AK1020,AP1020,AU1020)))*(1-0.03),_xlfn.IFS(AW1020="SIM",SUM(L1020,Q1020,V1020,AA1020,AF1020,AK1020,AP1020,AU1020)+AX1020/_xlfn.XLOOKUP(_xlfn.XLOOKUP($F1020,Clientes!$B$4:$B$39,Clientes!$C$4:$C$39),Cadastros!$L$6:$L$12,Cadastros!$M$6:$M$12)+IF($F1020="Bernardino Furlan",AY1020/2751.92,IF($F1020="Mauro José Salanti",AY1020/2751.92,AY1020/3356)),F1020&lt;&gt;0,SUM(L1020,Q1020,V1020,AA1020,AF1020,AK1020,AP1020,AU1020))))</f>
        <v xml:space="preserve"> </v>
      </c>
      <c r="BE1020" s="120"/>
      <c r="BF1020" s="120"/>
      <c r="BG1020" s="120"/>
    </row>
    <row r="1021" spans="1:59" s="3" customFormat="1" x14ac:dyDescent="0.3">
      <c r="A1021" s="15" t="str">
        <f t="shared" si="195"/>
        <v/>
      </c>
      <c r="B1021" s="25"/>
      <c r="C1021" s="26"/>
      <c r="D1021" s="279"/>
      <c r="E1021" s="27"/>
      <c r="F1021" s="28"/>
      <c r="G1021" s="27"/>
      <c r="H1021" s="28"/>
      <c r="I1021" s="28"/>
      <c r="J1021" s="255" t="str">
        <f>IF(H1021="","",(_xlfn.XLOOKUP(H1021,Cadastros!$D$6:$D$90,Cadastros!$E$6:$E$90))*(1-_xlfn.XLOOKUP(_xlfn.XLOOKUP($F1021,Clientes!$B$4:$B$39,Clientes!$C$4:$C$39),Cadastros!$L$6:$L$12,Cadastros!$N$6:$N$12)))</f>
        <v/>
      </c>
      <c r="K1021" s="168" t="str">
        <f t="shared" si="196"/>
        <v/>
      </c>
      <c r="L1021" s="168" t="str">
        <f>IFERROR(K1021/_xlfn.XLOOKUP(_xlfn.XLOOKUP($F1021,Clientes!$B$4:$B$39,Clientes!$C$4:$C$39),Cadastros!$L$6:$L$12,Cadastros!$M$6:$M$12)," ")</f>
        <v xml:space="preserve"> </v>
      </c>
      <c r="M1021" s="28"/>
      <c r="N1021" s="28"/>
      <c r="O1021" s="255" t="str">
        <f>IF(M1021="","",(_xlfn.XLOOKUP(M1021,Cadastros!$D$6:$D$90,Cadastros!$E$6:$E$90))*(1-_xlfn.XLOOKUP(_xlfn.XLOOKUP($F1021,Clientes!$B$4:$B$39,Clientes!$C$4:$C$39),Cadastros!$L$6:$L$12,Cadastros!$N$6:$N$12)))</f>
        <v/>
      </c>
      <c r="P1021" s="168" t="str">
        <f t="shared" si="197"/>
        <v/>
      </c>
      <c r="Q1021" s="168" t="str">
        <f>IFERROR(P1021/_xlfn.XLOOKUP(_xlfn.XLOOKUP($F1021,Clientes!$B$4:$B$39,Clientes!$C$4:$C$39),Cadastros!$L$6:$L$12,Cadastros!$M$6:$M$12)," ")</f>
        <v xml:space="preserve"> </v>
      </c>
      <c r="R1021" s="28"/>
      <c r="S1021" s="28"/>
      <c r="T1021" s="255" t="str">
        <f>IF(R1021="","",(_xlfn.XLOOKUP(R1021,Cadastros!$D$6:$D$90,Cadastros!$E$6:$E$90))*(1-_xlfn.XLOOKUP(_xlfn.XLOOKUP($F1021,Clientes!$B$4:$B$39,Clientes!$C$4:$C$39),Cadastros!$L$6:$L$12,Cadastros!$N$6:$N$12)))</f>
        <v/>
      </c>
      <c r="U1021" s="168" t="str">
        <f t="shared" si="198"/>
        <v/>
      </c>
      <c r="V1021" s="168" t="str">
        <f>IFERROR(U1021/_xlfn.XLOOKUP(_xlfn.XLOOKUP($F1021,Clientes!$B$4:$B$39,Clientes!$C$4:$C$39),Cadastros!$L$6:$L$12,Cadastros!$M$6:$M$12)," ")</f>
        <v xml:space="preserve"> </v>
      </c>
      <c r="W1021" s="28"/>
      <c r="X1021" s="28"/>
      <c r="Y1021" s="255" t="str">
        <f>IF(W1021="","",(_xlfn.XLOOKUP(W1021,Cadastros!$D$6:$D$90,Cadastros!$E$6:$E$90))*(1-_xlfn.XLOOKUP(_xlfn.XLOOKUP($F1021,Clientes!$B$4:$B$39,Clientes!$C$4:$C$39),Cadastros!$L$6:$L$12,Cadastros!$N$6:$N$12)))</f>
        <v/>
      </c>
      <c r="Z1021" s="168" t="str">
        <f t="shared" si="199"/>
        <v/>
      </c>
      <c r="AA1021" s="168" t="str">
        <f>IFERROR(Z1021/_xlfn.XLOOKUP(_xlfn.XLOOKUP($F1021,Clientes!$B$4:$B$39,Clientes!$C$4:$C$39),Cadastros!$L$6:$L$12,Cadastros!$M$6:$M$12)," ")</f>
        <v xml:space="preserve"> </v>
      </c>
      <c r="AB1021" s="28"/>
      <c r="AC1021" s="28"/>
      <c r="AD1021" s="20" t="str">
        <f>IF(AB1021="","",IF($F1021="Bernardino Furlan",_xlfn.XLOOKUP(AB1021,Cadastros!$G$6:$G$90,Cadastros!$H$6:$H$90)*(1-0.18),IF($F1021="Mauro José Salanti",_xlfn.XLOOKUP(AB1021,Cadastros!$G$6:$G$90,Cadastros!$H$6:$H$90)*(1-0.18),_xlfn.XLOOKUP(AB1021,Cadastros!$G$6:$G$90,Cadastros!$H$6:$H$90))))</f>
        <v/>
      </c>
      <c r="AE1021" s="168" t="str">
        <f t="shared" si="200"/>
        <v/>
      </c>
      <c r="AF1021" s="168" t="str">
        <f t="shared" si="201"/>
        <v/>
      </c>
      <c r="AG1021" s="28"/>
      <c r="AH1021" s="28"/>
      <c r="AI1021" s="20" t="str">
        <f>IF(AG1021="","",IF($F1021="Bernardino Furlan",_xlfn.XLOOKUP(AG1021,Cadastros!$G$6:$G$90,Cadastros!$H$6:$H$90)*(1-0.18),IF($F1021="Mauro José Salanti",_xlfn.XLOOKUP(AG1021,Cadastros!$G$6:$G$90,Cadastros!$H$6:$H$90)*(1-0.18),_xlfn.XLOOKUP(AG1021,Cadastros!$G$6:$G$90,Cadastros!$H$6:$H$90))))</f>
        <v/>
      </c>
      <c r="AJ1021" s="168" t="str">
        <f t="shared" si="202"/>
        <v/>
      </c>
      <c r="AK1021" s="168" t="str">
        <f t="shared" si="203"/>
        <v/>
      </c>
      <c r="AL1021" s="28"/>
      <c r="AM1021" s="28"/>
      <c r="AN1021" s="20" t="str">
        <f>IF(AL1021="","",IF($F1021="Bernardino Furlan",_xlfn.XLOOKUP(AL1021,Cadastros!$G$6:$G$90,Cadastros!$H$6:$H$90)*(1-0.18),IF($F1021="Mauro José Salanti",_xlfn.XLOOKUP(AL1021,Cadastros!$G$6:$G$90,Cadastros!$H$6:$H$90)*(1-0.18),_xlfn.XLOOKUP(AL1021,Cadastros!$G$6:$G$90,Cadastros!$H$6:$H$90))))</f>
        <v/>
      </c>
      <c r="AO1021" s="168" t="str">
        <f t="shared" si="204"/>
        <v/>
      </c>
      <c r="AP1021" s="168" t="str">
        <f t="shared" si="205"/>
        <v/>
      </c>
      <c r="AQ1021" s="28"/>
      <c r="AR1021" s="28"/>
      <c r="AS1021" s="20" t="str">
        <f>IF(AQ1021="","",IF($F1021="Bernardino Furlan",_xlfn.XLOOKUP(AQ1021,Cadastros!$G$6:$G$90,Cadastros!$H$6:$H$90)*(1-0.18),IF($F1021="Mauro José Salanti",_xlfn.XLOOKUP(AQ1021,Cadastros!$G$6:$G$90,Cadastros!$H$6:$H$90)*(1-0.18),_xlfn.XLOOKUP(AQ1021,Cadastros!$G$6:$G$90,Cadastros!$H$6:$H$90))))</f>
        <v/>
      </c>
      <c r="AT1021" s="168" t="str">
        <f t="shared" si="206"/>
        <v/>
      </c>
      <c r="AU1021" s="168" t="str">
        <f t="shared" si="207"/>
        <v/>
      </c>
      <c r="AV1021" s="227"/>
      <c r="AW1021" s="30"/>
      <c r="AX1021" s="267"/>
      <c r="AY1021" s="267"/>
      <c r="AZ1021" s="29"/>
      <c r="BA1021" s="30"/>
      <c r="BB1021" s="23" t="str" cm="1">
        <f t="array" ref="BB1021">_xlfn.IFS(AW1021="SIM",SUM(K1021,P1021,U1021,Z1021,AE1021,AJ1021,AO1021,AT1021,AX1021,AY1021),F1021&lt;&gt;"",SUM(K1021,P1021,U1021,Z1021,AE1021,AJ1021,,AO1021,AT1021),F1021="","")</f>
        <v/>
      </c>
      <c r="BC1021" s="211" t="str" cm="1">
        <f t="array" ref="BC1021">_xlfn.IFS(E1021="","",G1021&lt;=E1021,BB1021*(1-0.03),G1021&lt;(E1021+8),BB1021,AZ1021="Boleto",BB1021*(1+0.001)^DATEDIF(E1021,G1021,"D"),AZ1021="Cheque",BB1021,AZ1021="Dinheiro","Alterar forma pgto")</f>
        <v/>
      </c>
      <c r="BD1021" s="276" t="str" cm="1">
        <f t="array" ref="BD1021">IF(F1021=0," ",IF(BC1021&lt;BB1021,(_xlfn.IFS(AW1021="SIM",SUM(L1021,Q1021,V1021,AA1021,AF1021,AK1021,AP1021,AU1021)+AX1021/_xlfn.XLOOKUP(_xlfn.XLOOKUP($F1021,Clientes!$B$4:$B$39,Clientes!$C$4:$C$39),Cadastros!$L$6:$L$12,Cadastros!$M$6:$M$12)+IF($F1021="Bernardino Furlan",AY1021/2751.92,IF($F1021="Mauro José Salanti",AY1021/2751.92,AY1021/3356)),F1021&lt;&gt;0,SUM(L1021,Q1021,V1021,AA1021,AF1021,AK1021,AP1021,AU1021)))*(1-0.03),_xlfn.IFS(AW1021="SIM",SUM(L1021,Q1021,V1021,AA1021,AF1021,AK1021,AP1021,AU1021)+AX1021/_xlfn.XLOOKUP(_xlfn.XLOOKUP($F1021,Clientes!$B$4:$B$39,Clientes!$C$4:$C$39),Cadastros!$L$6:$L$12,Cadastros!$M$6:$M$12)+IF($F1021="Bernardino Furlan",AY1021/2751.92,IF($F1021="Mauro José Salanti",AY1021/2751.92,AY1021/3356)),F1021&lt;&gt;0,SUM(L1021,Q1021,V1021,AA1021,AF1021,AK1021,AP1021,AU1021))))</f>
        <v xml:space="preserve"> </v>
      </c>
      <c r="BE1021" s="120"/>
      <c r="BF1021" s="120"/>
      <c r="BG1021" s="120"/>
    </row>
    <row r="1022" spans="1:59" s="3" customFormat="1" x14ac:dyDescent="0.3">
      <c r="A1022" s="15" t="str">
        <f t="shared" si="195"/>
        <v/>
      </c>
      <c r="B1022" s="25"/>
      <c r="C1022" s="26"/>
      <c r="D1022" s="279"/>
      <c r="E1022" s="27"/>
      <c r="F1022" s="28"/>
      <c r="G1022" s="27"/>
      <c r="H1022" s="28"/>
      <c r="I1022" s="28"/>
      <c r="J1022" s="255" t="str">
        <f>IF(H1022="","",(_xlfn.XLOOKUP(H1022,Cadastros!$D$6:$D$90,Cadastros!$E$6:$E$90))*(1-_xlfn.XLOOKUP(_xlfn.XLOOKUP($F1022,Clientes!$B$4:$B$39,Clientes!$C$4:$C$39),Cadastros!$L$6:$L$12,Cadastros!$N$6:$N$12)))</f>
        <v/>
      </c>
      <c r="K1022" s="168" t="str">
        <f t="shared" si="196"/>
        <v/>
      </c>
      <c r="L1022" s="168" t="str">
        <f>IFERROR(K1022/_xlfn.XLOOKUP(_xlfn.XLOOKUP($F1022,Clientes!$B$4:$B$39,Clientes!$C$4:$C$39),Cadastros!$L$6:$L$12,Cadastros!$M$6:$M$12)," ")</f>
        <v xml:space="preserve"> </v>
      </c>
      <c r="M1022" s="28"/>
      <c r="N1022" s="28"/>
      <c r="O1022" s="255" t="str">
        <f>IF(M1022="","",(_xlfn.XLOOKUP(M1022,Cadastros!$D$6:$D$90,Cadastros!$E$6:$E$90))*(1-_xlfn.XLOOKUP(_xlfn.XLOOKUP($F1022,Clientes!$B$4:$B$39,Clientes!$C$4:$C$39),Cadastros!$L$6:$L$12,Cadastros!$N$6:$N$12)))</f>
        <v/>
      </c>
      <c r="P1022" s="168" t="str">
        <f t="shared" si="197"/>
        <v/>
      </c>
      <c r="Q1022" s="168" t="str">
        <f>IFERROR(P1022/_xlfn.XLOOKUP(_xlfn.XLOOKUP($F1022,Clientes!$B$4:$B$39,Clientes!$C$4:$C$39),Cadastros!$L$6:$L$12,Cadastros!$M$6:$M$12)," ")</f>
        <v xml:space="preserve"> </v>
      </c>
      <c r="R1022" s="28"/>
      <c r="S1022" s="28"/>
      <c r="T1022" s="255" t="str">
        <f>IF(R1022="","",(_xlfn.XLOOKUP(R1022,Cadastros!$D$6:$D$90,Cadastros!$E$6:$E$90))*(1-_xlfn.XLOOKUP(_xlfn.XLOOKUP($F1022,Clientes!$B$4:$B$39,Clientes!$C$4:$C$39),Cadastros!$L$6:$L$12,Cadastros!$N$6:$N$12)))</f>
        <v/>
      </c>
      <c r="U1022" s="168" t="str">
        <f t="shared" si="198"/>
        <v/>
      </c>
      <c r="V1022" s="168" t="str">
        <f>IFERROR(U1022/_xlfn.XLOOKUP(_xlfn.XLOOKUP($F1022,Clientes!$B$4:$B$39,Clientes!$C$4:$C$39),Cadastros!$L$6:$L$12,Cadastros!$M$6:$M$12)," ")</f>
        <v xml:space="preserve"> </v>
      </c>
      <c r="W1022" s="28"/>
      <c r="X1022" s="28"/>
      <c r="Y1022" s="255" t="str">
        <f>IF(W1022="","",(_xlfn.XLOOKUP(W1022,Cadastros!$D$6:$D$90,Cadastros!$E$6:$E$90))*(1-_xlfn.XLOOKUP(_xlfn.XLOOKUP($F1022,Clientes!$B$4:$B$39,Clientes!$C$4:$C$39),Cadastros!$L$6:$L$12,Cadastros!$N$6:$N$12)))</f>
        <v/>
      </c>
      <c r="Z1022" s="168" t="str">
        <f t="shared" si="199"/>
        <v/>
      </c>
      <c r="AA1022" s="168" t="str">
        <f>IFERROR(Z1022/_xlfn.XLOOKUP(_xlfn.XLOOKUP($F1022,Clientes!$B$4:$B$39,Clientes!$C$4:$C$39),Cadastros!$L$6:$L$12,Cadastros!$M$6:$M$12)," ")</f>
        <v xml:space="preserve"> </v>
      </c>
      <c r="AB1022" s="28"/>
      <c r="AC1022" s="28"/>
      <c r="AD1022" s="20" t="str">
        <f>IF(AB1022="","",IF($F1022="Bernardino Furlan",_xlfn.XLOOKUP(AB1022,Cadastros!$G$6:$G$90,Cadastros!$H$6:$H$90)*(1-0.18),IF($F1022="Mauro José Salanti",_xlfn.XLOOKUP(AB1022,Cadastros!$G$6:$G$90,Cadastros!$H$6:$H$90)*(1-0.18),_xlfn.XLOOKUP(AB1022,Cadastros!$G$6:$G$90,Cadastros!$H$6:$H$90))))</f>
        <v/>
      </c>
      <c r="AE1022" s="168" t="str">
        <f t="shared" si="200"/>
        <v/>
      </c>
      <c r="AF1022" s="168" t="str">
        <f t="shared" si="201"/>
        <v/>
      </c>
      <c r="AG1022" s="28"/>
      <c r="AH1022" s="28"/>
      <c r="AI1022" s="20" t="str">
        <f>IF(AG1022="","",IF($F1022="Bernardino Furlan",_xlfn.XLOOKUP(AG1022,Cadastros!$G$6:$G$90,Cadastros!$H$6:$H$90)*(1-0.18),IF($F1022="Mauro José Salanti",_xlfn.XLOOKUP(AG1022,Cadastros!$G$6:$G$90,Cadastros!$H$6:$H$90)*(1-0.18),_xlfn.XLOOKUP(AG1022,Cadastros!$G$6:$G$90,Cadastros!$H$6:$H$90))))</f>
        <v/>
      </c>
      <c r="AJ1022" s="168" t="str">
        <f t="shared" si="202"/>
        <v/>
      </c>
      <c r="AK1022" s="168" t="str">
        <f t="shared" si="203"/>
        <v/>
      </c>
      <c r="AL1022" s="28"/>
      <c r="AM1022" s="28"/>
      <c r="AN1022" s="20" t="str">
        <f>IF(AL1022="","",IF($F1022="Bernardino Furlan",_xlfn.XLOOKUP(AL1022,Cadastros!$G$6:$G$90,Cadastros!$H$6:$H$90)*(1-0.18),IF($F1022="Mauro José Salanti",_xlfn.XLOOKUP(AL1022,Cadastros!$G$6:$G$90,Cadastros!$H$6:$H$90)*(1-0.18),_xlfn.XLOOKUP(AL1022,Cadastros!$G$6:$G$90,Cadastros!$H$6:$H$90))))</f>
        <v/>
      </c>
      <c r="AO1022" s="168" t="str">
        <f t="shared" si="204"/>
        <v/>
      </c>
      <c r="AP1022" s="168" t="str">
        <f t="shared" si="205"/>
        <v/>
      </c>
      <c r="AQ1022" s="28"/>
      <c r="AR1022" s="28"/>
      <c r="AS1022" s="20" t="str">
        <f>IF(AQ1022="","",IF($F1022="Bernardino Furlan",_xlfn.XLOOKUP(AQ1022,Cadastros!$G$6:$G$90,Cadastros!$H$6:$H$90)*(1-0.18),IF($F1022="Mauro José Salanti",_xlfn.XLOOKUP(AQ1022,Cadastros!$G$6:$G$90,Cadastros!$H$6:$H$90)*(1-0.18),_xlfn.XLOOKUP(AQ1022,Cadastros!$G$6:$G$90,Cadastros!$H$6:$H$90))))</f>
        <v/>
      </c>
      <c r="AT1022" s="168" t="str">
        <f t="shared" si="206"/>
        <v/>
      </c>
      <c r="AU1022" s="168" t="str">
        <f t="shared" si="207"/>
        <v/>
      </c>
      <c r="AV1022" s="227"/>
      <c r="AW1022" s="30"/>
      <c r="AX1022" s="267"/>
      <c r="AY1022" s="267"/>
      <c r="AZ1022" s="29"/>
      <c r="BA1022" s="30"/>
      <c r="BB1022" s="23" t="str" cm="1">
        <f t="array" ref="BB1022">_xlfn.IFS(AW1022="SIM",SUM(K1022,P1022,U1022,Z1022,AE1022,AJ1022,AO1022,AT1022,AX1022,AY1022),F1022&lt;&gt;"",SUM(K1022,P1022,U1022,Z1022,AE1022,AJ1022,,AO1022,AT1022),F1022="","")</f>
        <v/>
      </c>
      <c r="BC1022" s="211" t="str" cm="1">
        <f t="array" ref="BC1022">_xlfn.IFS(E1022="","",G1022&lt;=E1022,BB1022*(1-0.03),G1022&lt;(E1022+8),BB1022,AZ1022="Boleto",BB1022*(1+0.001)^DATEDIF(E1022,G1022,"D"),AZ1022="Cheque",BB1022,AZ1022="Dinheiro","Alterar forma pgto")</f>
        <v/>
      </c>
      <c r="BD1022" s="276" t="str" cm="1">
        <f t="array" ref="BD1022">IF(F1022=0," ",IF(BC1022&lt;BB1022,(_xlfn.IFS(AW1022="SIM",SUM(L1022,Q1022,V1022,AA1022,AF1022,AK1022,AP1022,AU1022)+AX1022/_xlfn.XLOOKUP(_xlfn.XLOOKUP($F1022,Clientes!$B$4:$B$39,Clientes!$C$4:$C$39),Cadastros!$L$6:$L$12,Cadastros!$M$6:$M$12)+IF($F1022="Bernardino Furlan",AY1022/2751.92,IF($F1022="Mauro José Salanti",AY1022/2751.92,AY1022/3356)),F1022&lt;&gt;0,SUM(L1022,Q1022,V1022,AA1022,AF1022,AK1022,AP1022,AU1022)))*(1-0.03),_xlfn.IFS(AW1022="SIM",SUM(L1022,Q1022,V1022,AA1022,AF1022,AK1022,AP1022,AU1022)+AX1022/_xlfn.XLOOKUP(_xlfn.XLOOKUP($F1022,Clientes!$B$4:$B$39,Clientes!$C$4:$C$39),Cadastros!$L$6:$L$12,Cadastros!$M$6:$M$12)+IF($F1022="Bernardino Furlan",AY1022/2751.92,IF($F1022="Mauro José Salanti",AY1022/2751.92,AY1022/3356)),F1022&lt;&gt;0,SUM(L1022,Q1022,V1022,AA1022,AF1022,AK1022,AP1022,AU1022))))</f>
        <v xml:space="preserve"> </v>
      </c>
      <c r="BE1022" s="120"/>
      <c r="BF1022" s="120"/>
      <c r="BG1022" s="120"/>
    </row>
    <row r="1023" spans="1:59" s="3" customFormat="1" x14ac:dyDescent="0.3">
      <c r="A1023" s="15" t="str">
        <f t="shared" si="195"/>
        <v/>
      </c>
      <c r="B1023" s="25"/>
      <c r="C1023" s="26"/>
      <c r="D1023" s="279"/>
      <c r="E1023" s="27"/>
      <c r="F1023" s="28"/>
      <c r="G1023" s="27"/>
      <c r="H1023" s="28"/>
      <c r="I1023" s="28"/>
      <c r="J1023" s="255" t="str">
        <f>IF(H1023="","",(_xlfn.XLOOKUP(H1023,Cadastros!$D$6:$D$90,Cadastros!$E$6:$E$90))*(1-_xlfn.XLOOKUP(_xlfn.XLOOKUP($F1023,Clientes!$B$4:$B$39,Clientes!$C$4:$C$39),Cadastros!$L$6:$L$12,Cadastros!$N$6:$N$12)))</f>
        <v/>
      </c>
      <c r="K1023" s="168" t="str">
        <f t="shared" si="196"/>
        <v/>
      </c>
      <c r="L1023" s="168" t="str">
        <f>IFERROR(K1023/_xlfn.XLOOKUP(_xlfn.XLOOKUP($F1023,Clientes!$B$4:$B$39,Clientes!$C$4:$C$39),Cadastros!$L$6:$L$12,Cadastros!$M$6:$M$12)," ")</f>
        <v xml:space="preserve"> </v>
      </c>
      <c r="M1023" s="28"/>
      <c r="N1023" s="28"/>
      <c r="O1023" s="255" t="str">
        <f>IF(M1023="","",(_xlfn.XLOOKUP(M1023,Cadastros!$D$6:$D$90,Cadastros!$E$6:$E$90))*(1-_xlfn.XLOOKUP(_xlfn.XLOOKUP($F1023,Clientes!$B$4:$B$39,Clientes!$C$4:$C$39),Cadastros!$L$6:$L$12,Cadastros!$N$6:$N$12)))</f>
        <v/>
      </c>
      <c r="P1023" s="168" t="str">
        <f t="shared" si="197"/>
        <v/>
      </c>
      <c r="Q1023" s="168" t="str">
        <f>IFERROR(P1023/_xlfn.XLOOKUP(_xlfn.XLOOKUP($F1023,Clientes!$B$4:$B$39,Clientes!$C$4:$C$39),Cadastros!$L$6:$L$12,Cadastros!$M$6:$M$12)," ")</f>
        <v xml:space="preserve"> </v>
      </c>
      <c r="R1023" s="28"/>
      <c r="S1023" s="28"/>
      <c r="T1023" s="255" t="str">
        <f>IF(R1023="","",(_xlfn.XLOOKUP(R1023,Cadastros!$D$6:$D$90,Cadastros!$E$6:$E$90))*(1-_xlfn.XLOOKUP(_xlfn.XLOOKUP($F1023,Clientes!$B$4:$B$39,Clientes!$C$4:$C$39),Cadastros!$L$6:$L$12,Cadastros!$N$6:$N$12)))</f>
        <v/>
      </c>
      <c r="U1023" s="168" t="str">
        <f t="shared" si="198"/>
        <v/>
      </c>
      <c r="V1023" s="168" t="str">
        <f>IFERROR(U1023/_xlfn.XLOOKUP(_xlfn.XLOOKUP($F1023,Clientes!$B$4:$B$39,Clientes!$C$4:$C$39),Cadastros!$L$6:$L$12,Cadastros!$M$6:$M$12)," ")</f>
        <v xml:space="preserve"> </v>
      </c>
      <c r="W1023" s="28"/>
      <c r="X1023" s="28"/>
      <c r="Y1023" s="255" t="str">
        <f>IF(W1023="","",(_xlfn.XLOOKUP(W1023,Cadastros!$D$6:$D$90,Cadastros!$E$6:$E$90))*(1-_xlfn.XLOOKUP(_xlfn.XLOOKUP($F1023,Clientes!$B$4:$B$39,Clientes!$C$4:$C$39),Cadastros!$L$6:$L$12,Cadastros!$N$6:$N$12)))</f>
        <v/>
      </c>
      <c r="Z1023" s="168" t="str">
        <f t="shared" si="199"/>
        <v/>
      </c>
      <c r="AA1023" s="168" t="str">
        <f>IFERROR(Z1023/_xlfn.XLOOKUP(_xlfn.XLOOKUP($F1023,Clientes!$B$4:$B$39,Clientes!$C$4:$C$39),Cadastros!$L$6:$L$12,Cadastros!$M$6:$M$12)," ")</f>
        <v xml:space="preserve"> </v>
      </c>
      <c r="AB1023" s="28"/>
      <c r="AC1023" s="28"/>
      <c r="AD1023" s="20" t="str">
        <f>IF(AB1023="","",IF($F1023="Bernardino Furlan",_xlfn.XLOOKUP(AB1023,Cadastros!$G$6:$G$90,Cadastros!$H$6:$H$90)*(1-0.18),IF($F1023="Mauro José Salanti",_xlfn.XLOOKUP(AB1023,Cadastros!$G$6:$G$90,Cadastros!$H$6:$H$90)*(1-0.18),_xlfn.XLOOKUP(AB1023,Cadastros!$G$6:$G$90,Cadastros!$H$6:$H$90))))</f>
        <v/>
      </c>
      <c r="AE1023" s="168" t="str">
        <f t="shared" si="200"/>
        <v/>
      </c>
      <c r="AF1023" s="168" t="str">
        <f t="shared" si="201"/>
        <v/>
      </c>
      <c r="AG1023" s="28"/>
      <c r="AH1023" s="28"/>
      <c r="AI1023" s="20" t="str">
        <f>IF(AG1023="","",IF($F1023="Bernardino Furlan",_xlfn.XLOOKUP(AG1023,Cadastros!$G$6:$G$90,Cadastros!$H$6:$H$90)*(1-0.18),IF($F1023="Mauro José Salanti",_xlfn.XLOOKUP(AG1023,Cadastros!$G$6:$G$90,Cadastros!$H$6:$H$90)*(1-0.18),_xlfn.XLOOKUP(AG1023,Cadastros!$G$6:$G$90,Cadastros!$H$6:$H$90))))</f>
        <v/>
      </c>
      <c r="AJ1023" s="168" t="str">
        <f t="shared" si="202"/>
        <v/>
      </c>
      <c r="AK1023" s="168" t="str">
        <f t="shared" si="203"/>
        <v/>
      </c>
      <c r="AL1023" s="28"/>
      <c r="AM1023" s="28"/>
      <c r="AN1023" s="20" t="str">
        <f>IF(AL1023="","",IF($F1023="Bernardino Furlan",_xlfn.XLOOKUP(AL1023,Cadastros!$G$6:$G$90,Cadastros!$H$6:$H$90)*(1-0.18),IF($F1023="Mauro José Salanti",_xlfn.XLOOKUP(AL1023,Cadastros!$G$6:$G$90,Cadastros!$H$6:$H$90)*(1-0.18),_xlfn.XLOOKUP(AL1023,Cadastros!$G$6:$G$90,Cadastros!$H$6:$H$90))))</f>
        <v/>
      </c>
      <c r="AO1023" s="168" t="str">
        <f t="shared" si="204"/>
        <v/>
      </c>
      <c r="AP1023" s="168" t="str">
        <f t="shared" si="205"/>
        <v/>
      </c>
      <c r="AQ1023" s="28"/>
      <c r="AR1023" s="28"/>
      <c r="AS1023" s="20" t="str">
        <f>IF(AQ1023="","",IF($F1023="Bernardino Furlan",_xlfn.XLOOKUP(AQ1023,Cadastros!$G$6:$G$90,Cadastros!$H$6:$H$90)*(1-0.18),IF($F1023="Mauro José Salanti",_xlfn.XLOOKUP(AQ1023,Cadastros!$G$6:$G$90,Cadastros!$H$6:$H$90)*(1-0.18),_xlfn.XLOOKUP(AQ1023,Cadastros!$G$6:$G$90,Cadastros!$H$6:$H$90))))</f>
        <v/>
      </c>
      <c r="AT1023" s="168" t="str">
        <f t="shared" si="206"/>
        <v/>
      </c>
      <c r="AU1023" s="168" t="str">
        <f t="shared" si="207"/>
        <v/>
      </c>
      <c r="AV1023" s="227"/>
      <c r="AW1023" s="30"/>
      <c r="AX1023" s="267"/>
      <c r="AY1023" s="267"/>
      <c r="AZ1023" s="29"/>
      <c r="BA1023" s="30"/>
      <c r="BB1023" s="23" t="str" cm="1">
        <f t="array" ref="BB1023">_xlfn.IFS(AW1023="SIM",SUM(K1023,P1023,U1023,Z1023,AE1023,AJ1023,AO1023,AT1023,AX1023,AY1023),F1023&lt;&gt;"",SUM(K1023,P1023,U1023,Z1023,AE1023,AJ1023,,AO1023,AT1023),F1023="","")</f>
        <v/>
      </c>
      <c r="BC1023" s="211" t="str" cm="1">
        <f t="array" ref="BC1023">_xlfn.IFS(E1023="","",G1023&lt;=E1023,BB1023*(1-0.03),G1023&lt;(E1023+8),BB1023,AZ1023="Boleto",BB1023*(1+0.001)^DATEDIF(E1023,G1023,"D"),AZ1023="Cheque",BB1023,AZ1023="Dinheiro","Alterar forma pgto")</f>
        <v/>
      </c>
      <c r="BD1023" s="276" t="str" cm="1">
        <f t="array" ref="BD1023">IF(F1023=0," ",IF(BC1023&lt;BB1023,(_xlfn.IFS(AW1023="SIM",SUM(L1023,Q1023,V1023,AA1023,AF1023,AK1023,AP1023,AU1023)+AX1023/_xlfn.XLOOKUP(_xlfn.XLOOKUP($F1023,Clientes!$B$4:$B$39,Clientes!$C$4:$C$39),Cadastros!$L$6:$L$12,Cadastros!$M$6:$M$12)+IF($F1023="Bernardino Furlan",AY1023/2751.92,IF($F1023="Mauro José Salanti",AY1023/2751.92,AY1023/3356)),F1023&lt;&gt;0,SUM(L1023,Q1023,V1023,AA1023,AF1023,AK1023,AP1023,AU1023)))*(1-0.03),_xlfn.IFS(AW1023="SIM",SUM(L1023,Q1023,V1023,AA1023,AF1023,AK1023,AP1023,AU1023)+AX1023/_xlfn.XLOOKUP(_xlfn.XLOOKUP($F1023,Clientes!$B$4:$B$39,Clientes!$C$4:$C$39),Cadastros!$L$6:$L$12,Cadastros!$M$6:$M$12)+IF($F1023="Bernardino Furlan",AY1023/2751.92,IF($F1023="Mauro José Salanti",AY1023/2751.92,AY1023/3356)),F1023&lt;&gt;0,SUM(L1023,Q1023,V1023,AA1023,AF1023,AK1023,AP1023,AU1023))))</f>
        <v xml:space="preserve"> </v>
      </c>
      <c r="BE1023" s="120"/>
      <c r="BF1023" s="120"/>
      <c r="BG1023" s="120"/>
    </row>
    <row r="1024" spans="1:59" s="3" customFormat="1" x14ac:dyDescent="0.3">
      <c r="A1024" s="15" t="str">
        <f t="shared" si="195"/>
        <v/>
      </c>
      <c r="B1024" s="25"/>
      <c r="C1024" s="26"/>
      <c r="D1024" s="279"/>
      <c r="E1024" s="27"/>
      <c r="F1024" s="28"/>
      <c r="G1024" s="27"/>
      <c r="H1024" s="28"/>
      <c r="I1024" s="28"/>
      <c r="J1024" s="255" t="str">
        <f>IF(H1024="","",(_xlfn.XLOOKUP(H1024,Cadastros!$D$6:$D$90,Cadastros!$E$6:$E$90))*(1-_xlfn.XLOOKUP(_xlfn.XLOOKUP($F1024,Clientes!$B$4:$B$39,Clientes!$C$4:$C$39),Cadastros!$L$6:$L$12,Cadastros!$N$6:$N$12)))</f>
        <v/>
      </c>
      <c r="K1024" s="168" t="str">
        <f t="shared" si="196"/>
        <v/>
      </c>
      <c r="L1024" s="168" t="str">
        <f>IFERROR(K1024/_xlfn.XLOOKUP(_xlfn.XLOOKUP($F1024,Clientes!$B$4:$B$39,Clientes!$C$4:$C$39),Cadastros!$L$6:$L$12,Cadastros!$M$6:$M$12)," ")</f>
        <v xml:space="preserve"> </v>
      </c>
      <c r="M1024" s="28"/>
      <c r="N1024" s="28"/>
      <c r="O1024" s="255" t="str">
        <f>IF(M1024="","",(_xlfn.XLOOKUP(M1024,Cadastros!$D$6:$D$90,Cadastros!$E$6:$E$90))*(1-_xlfn.XLOOKUP(_xlfn.XLOOKUP($F1024,Clientes!$B$4:$B$39,Clientes!$C$4:$C$39),Cadastros!$L$6:$L$12,Cadastros!$N$6:$N$12)))</f>
        <v/>
      </c>
      <c r="P1024" s="168" t="str">
        <f t="shared" si="197"/>
        <v/>
      </c>
      <c r="Q1024" s="168" t="str">
        <f>IFERROR(P1024/_xlfn.XLOOKUP(_xlfn.XLOOKUP($F1024,Clientes!$B$4:$B$39,Clientes!$C$4:$C$39),Cadastros!$L$6:$L$12,Cadastros!$M$6:$M$12)," ")</f>
        <v xml:space="preserve"> </v>
      </c>
      <c r="R1024" s="28"/>
      <c r="S1024" s="28"/>
      <c r="T1024" s="255" t="str">
        <f>IF(R1024="","",(_xlfn.XLOOKUP(R1024,Cadastros!$D$6:$D$90,Cadastros!$E$6:$E$90))*(1-_xlfn.XLOOKUP(_xlfn.XLOOKUP($F1024,Clientes!$B$4:$B$39,Clientes!$C$4:$C$39),Cadastros!$L$6:$L$12,Cadastros!$N$6:$N$12)))</f>
        <v/>
      </c>
      <c r="U1024" s="168" t="str">
        <f t="shared" si="198"/>
        <v/>
      </c>
      <c r="V1024" s="168" t="str">
        <f>IFERROR(U1024/_xlfn.XLOOKUP(_xlfn.XLOOKUP($F1024,Clientes!$B$4:$B$39,Clientes!$C$4:$C$39),Cadastros!$L$6:$L$12,Cadastros!$M$6:$M$12)," ")</f>
        <v xml:space="preserve"> </v>
      </c>
      <c r="W1024" s="28"/>
      <c r="X1024" s="28"/>
      <c r="Y1024" s="255" t="str">
        <f>IF(W1024="","",(_xlfn.XLOOKUP(W1024,Cadastros!$D$6:$D$90,Cadastros!$E$6:$E$90))*(1-_xlfn.XLOOKUP(_xlfn.XLOOKUP($F1024,Clientes!$B$4:$B$39,Clientes!$C$4:$C$39),Cadastros!$L$6:$L$12,Cadastros!$N$6:$N$12)))</f>
        <v/>
      </c>
      <c r="Z1024" s="168" t="str">
        <f t="shared" si="199"/>
        <v/>
      </c>
      <c r="AA1024" s="168" t="str">
        <f>IFERROR(Z1024/_xlfn.XLOOKUP(_xlfn.XLOOKUP($F1024,Clientes!$B$4:$B$39,Clientes!$C$4:$C$39),Cadastros!$L$6:$L$12,Cadastros!$M$6:$M$12)," ")</f>
        <v xml:space="preserve"> </v>
      </c>
      <c r="AB1024" s="28"/>
      <c r="AC1024" s="28"/>
      <c r="AD1024" s="20" t="str">
        <f>IF(AB1024="","",IF($F1024="Bernardino Furlan",_xlfn.XLOOKUP(AB1024,Cadastros!$G$6:$G$90,Cadastros!$H$6:$H$90)*(1-0.18),IF($F1024="Mauro José Salanti",_xlfn.XLOOKUP(AB1024,Cadastros!$G$6:$G$90,Cadastros!$H$6:$H$90)*(1-0.18),_xlfn.XLOOKUP(AB1024,Cadastros!$G$6:$G$90,Cadastros!$H$6:$H$90))))</f>
        <v/>
      </c>
      <c r="AE1024" s="168" t="str">
        <f t="shared" si="200"/>
        <v/>
      </c>
      <c r="AF1024" s="168" t="str">
        <f t="shared" si="201"/>
        <v/>
      </c>
      <c r="AG1024" s="28"/>
      <c r="AH1024" s="28"/>
      <c r="AI1024" s="20" t="str">
        <f>IF(AG1024="","",IF($F1024="Bernardino Furlan",_xlfn.XLOOKUP(AG1024,Cadastros!$G$6:$G$90,Cadastros!$H$6:$H$90)*(1-0.18),IF($F1024="Mauro José Salanti",_xlfn.XLOOKUP(AG1024,Cadastros!$G$6:$G$90,Cadastros!$H$6:$H$90)*(1-0.18),_xlfn.XLOOKUP(AG1024,Cadastros!$G$6:$G$90,Cadastros!$H$6:$H$90))))</f>
        <v/>
      </c>
      <c r="AJ1024" s="168" t="str">
        <f t="shared" si="202"/>
        <v/>
      </c>
      <c r="AK1024" s="168" t="str">
        <f t="shared" si="203"/>
        <v/>
      </c>
      <c r="AL1024" s="28"/>
      <c r="AM1024" s="28"/>
      <c r="AN1024" s="20" t="str">
        <f>IF(AL1024="","",IF($F1024="Bernardino Furlan",_xlfn.XLOOKUP(AL1024,Cadastros!$G$6:$G$90,Cadastros!$H$6:$H$90)*(1-0.18),IF($F1024="Mauro José Salanti",_xlfn.XLOOKUP(AL1024,Cadastros!$G$6:$G$90,Cadastros!$H$6:$H$90)*(1-0.18),_xlfn.XLOOKUP(AL1024,Cadastros!$G$6:$G$90,Cadastros!$H$6:$H$90))))</f>
        <v/>
      </c>
      <c r="AO1024" s="168" t="str">
        <f t="shared" si="204"/>
        <v/>
      </c>
      <c r="AP1024" s="168" t="str">
        <f t="shared" si="205"/>
        <v/>
      </c>
      <c r="AQ1024" s="28"/>
      <c r="AR1024" s="28"/>
      <c r="AS1024" s="20" t="str">
        <f>IF(AQ1024="","",IF($F1024="Bernardino Furlan",_xlfn.XLOOKUP(AQ1024,Cadastros!$G$6:$G$90,Cadastros!$H$6:$H$90)*(1-0.18),IF($F1024="Mauro José Salanti",_xlfn.XLOOKUP(AQ1024,Cadastros!$G$6:$G$90,Cadastros!$H$6:$H$90)*(1-0.18),_xlfn.XLOOKUP(AQ1024,Cadastros!$G$6:$G$90,Cadastros!$H$6:$H$90))))</f>
        <v/>
      </c>
      <c r="AT1024" s="168" t="str">
        <f t="shared" si="206"/>
        <v/>
      </c>
      <c r="AU1024" s="168" t="str">
        <f t="shared" si="207"/>
        <v/>
      </c>
      <c r="AV1024" s="227"/>
      <c r="AW1024" s="30"/>
      <c r="AX1024" s="267"/>
      <c r="AY1024" s="267"/>
      <c r="AZ1024" s="29"/>
      <c r="BA1024" s="30"/>
      <c r="BB1024" s="23" t="str" cm="1">
        <f t="array" ref="BB1024">_xlfn.IFS(AW1024="SIM",SUM(K1024,P1024,U1024,Z1024,AE1024,AJ1024,AO1024,AT1024,AX1024,AY1024),F1024&lt;&gt;"",SUM(K1024,P1024,U1024,Z1024,AE1024,AJ1024,,AO1024,AT1024),F1024="","")</f>
        <v/>
      </c>
      <c r="BC1024" s="211" t="str" cm="1">
        <f t="array" ref="BC1024">_xlfn.IFS(E1024="","",G1024&lt;=E1024,BB1024*(1-0.03),G1024&lt;(E1024+8),BB1024,AZ1024="Boleto",BB1024*(1+0.001)^DATEDIF(E1024,G1024,"D"),AZ1024="Cheque",BB1024,AZ1024="Dinheiro","Alterar forma pgto")</f>
        <v/>
      </c>
      <c r="BD1024" s="276" t="str" cm="1">
        <f t="array" ref="BD1024">IF(F1024=0," ",IF(BC1024&lt;BB1024,(_xlfn.IFS(AW1024="SIM",SUM(L1024,Q1024,V1024,AA1024,AF1024,AK1024,AP1024,AU1024)+AX1024/_xlfn.XLOOKUP(_xlfn.XLOOKUP($F1024,Clientes!$B$4:$B$39,Clientes!$C$4:$C$39),Cadastros!$L$6:$L$12,Cadastros!$M$6:$M$12)+IF($F1024="Bernardino Furlan",AY1024/2751.92,IF($F1024="Mauro José Salanti",AY1024/2751.92,AY1024/3356)),F1024&lt;&gt;0,SUM(L1024,Q1024,V1024,AA1024,AF1024,AK1024,AP1024,AU1024)))*(1-0.03),_xlfn.IFS(AW1024="SIM",SUM(L1024,Q1024,V1024,AA1024,AF1024,AK1024,AP1024,AU1024)+AX1024/_xlfn.XLOOKUP(_xlfn.XLOOKUP($F1024,Clientes!$B$4:$B$39,Clientes!$C$4:$C$39),Cadastros!$L$6:$L$12,Cadastros!$M$6:$M$12)+IF($F1024="Bernardino Furlan",AY1024/2751.92,IF($F1024="Mauro José Salanti",AY1024/2751.92,AY1024/3356)),F1024&lt;&gt;0,SUM(L1024,Q1024,V1024,AA1024,AF1024,AK1024,AP1024,AU1024))))</f>
        <v xml:space="preserve"> </v>
      </c>
      <c r="BE1024" s="120"/>
      <c r="BF1024" s="120"/>
      <c r="BG1024" s="120"/>
    </row>
    <row r="1025" spans="1:59" s="3" customFormat="1" x14ac:dyDescent="0.3">
      <c r="A1025" s="15" t="str">
        <f t="shared" si="195"/>
        <v/>
      </c>
      <c r="B1025" s="25"/>
      <c r="C1025" s="26"/>
      <c r="D1025" s="279"/>
      <c r="E1025" s="27"/>
      <c r="F1025" s="28"/>
      <c r="G1025" s="27"/>
      <c r="H1025" s="28"/>
      <c r="I1025" s="28"/>
      <c r="J1025" s="255" t="str">
        <f>IF(H1025="","",(_xlfn.XLOOKUP(H1025,Cadastros!$D$6:$D$90,Cadastros!$E$6:$E$90))*(1-_xlfn.XLOOKUP(_xlfn.XLOOKUP($F1025,Clientes!$B$4:$B$39,Clientes!$C$4:$C$39),Cadastros!$L$6:$L$12,Cadastros!$N$6:$N$12)))</f>
        <v/>
      </c>
      <c r="K1025" s="168" t="str">
        <f t="shared" si="196"/>
        <v/>
      </c>
      <c r="L1025" s="168" t="str">
        <f>IFERROR(K1025/_xlfn.XLOOKUP(_xlfn.XLOOKUP($F1025,Clientes!$B$4:$B$39,Clientes!$C$4:$C$39),Cadastros!$L$6:$L$12,Cadastros!$M$6:$M$12)," ")</f>
        <v xml:space="preserve"> </v>
      </c>
      <c r="M1025" s="28"/>
      <c r="N1025" s="28"/>
      <c r="O1025" s="255" t="str">
        <f>IF(M1025="","",(_xlfn.XLOOKUP(M1025,Cadastros!$D$6:$D$90,Cadastros!$E$6:$E$90))*(1-_xlfn.XLOOKUP(_xlfn.XLOOKUP($F1025,Clientes!$B$4:$B$39,Clientes!$C$4:$C$39),Cadastros!$L$6:$L$12,Cadastros!$N$6:$N$12)))</f>
        <v/>
      </c>
      <c r="P1025" s="168" t="str">
        <f t="shared" si="197"/>
        <v/>
      </c>
      <c r="Q1025" s="168" t="str">
        <f>IFERROR(P1025/_xlfn.XLOOKUP(_xlfn.XLOOKUP($F1025,Clientes!$B$4:$B$39,Clientes!$C$4:$C$39),Cadastros!$L$6:$L$12,Cadastros!$M$6:$M$12)," ")</f>
        <v xml:space="preserve"> </v>
      </c>
      <c r="R1025" s="28"/>
      <c r="S1025" s="28"/>
      <c r="T1025" s="255" t="str">
        <f>IF(R1025="","",(_xlfn.XLOOKUP(R1025,Cadastros!$D$6:$D$90,Cadastros!$E$6:$E$90))*(1-_xlfn.XLOOKUP(_xlfn.XLOOKUP($F1025,Clientes!$B$4:$B$39,Clientes!$C$4:$C$39),Cadastros!$L$6:$L$12,Cadastros!$N$6:$N$12)))</f>
        <v/>
      </c>
      <c r="U1025" s="168" t="str">
        <f t="shared" si="198"/>
        <v/>
      </c>
      <c r="V1025" s="168" t="str">
        <f>IFERROR(U1025/_xlfn.XLOOKUP(_xlfn.XLOOKUP($F1025,Clientes!$B$4:$B$39,Clientes!$C$4:$C$39),Cadastros!$L$6:$L$12,Cadastros!$M$6:$M$12)," ")</f>
        <v xml:space="preserve"> </v>
      </c>
      <c r="W1025" s="28"/>
      <c r="X1025" s="28"/>
      <c r="Y1025" s="255" t="str">
        <f>IF(W1025="","",(_xlfn.XLOOKUP(W1025,Cadastros!$D$6:$D$90,Cadastros!$E$6:$E$90))*(1-_xlfn.XLOOKUP(_xlfn.XLOOKUP($F1025,Clientes!$B$4:$B$39,Clientes!$C$4:$C$39),Cadastros!$L$6:$L$12,Cadastros!$N$6:$N$12)))</f>
        <v/>
      </c>
      <c r="Z1025" s="168" t="str">
        <f t="shared" si="199"/>
        <v/>
      </c>
      <c r="AA1025" s="168" t="str">
        <f>IFERROR(Z1025/_xlfn.XLOOKUP(_xlfn.XLOOKUP($F1025,Clientes!$B$4:$B$39,Clientes!$C$4:$C$39),Cadastros!$L$6:$L$12,Cadastros!$M$6:$M$12)," ")</f>
        <v xml:space="preserve"> </v>
      </c>
      <c r="AB1025" s="28"/>
      <c r="AC1025" s="28"/>
      <c r="AD1025" s="20" t="str">
        <f>IF(AB1025="","",IF($F1025="Bernardino Furlan",_xlfn.XLOOKUP(AB1025,Cadastros!$G$6:$G$90,Cadastros!$H$6:$H$90)*(1-0.18),IF($F1025="Mauro José Salanti",_xlfn.XLOOKUP(AB1025,Cadastros!$G$6:$G$90,Cadastros!$H$6:$H$90)*(1-0.18),_xlfn.XLOOKUP(AB1025,Cadastros!$G$6:$G$90,Cadastros!$H$6:$H$90))))</f>
        <v/>
      </c>
      <c r="AE1025" s="168" t="str">
        <f t="shared" si="200"/>
        <v/>
      </c>
      <c r="AF1025" s="168" t="str">
        <f t="shared" si="201"/>
        <v/>
      </c>
      <c r="AG1025" s="28"/>
      <c r="AH1025" s="28"/>
      <c r="AI1025" s="20" t="str">
        <f>IF(AG1025="","",IF($F1025="Bernardino Furlan",_xlfn.XLOOKUP(AG1025,Cadastros!$G$6:$G$90,Cadastros!$H$6:$H$90)*(1-0.18),IF($F1025="Mauro José Salanti",_xlfn.XLOOKUP(AG1025,Cadastros!$G$6:$G$90,Cadastros!$H$6:$H$90)*(1-0.18),_xlfn.XLOOKUP(AG1025,Cadastros!$G$6:$G$90,Cadastros!$H$6:$H$90))))</f>
        <v/>
      </c>
      <c r="AJ1025" s="168" t="str">
        <f t="shared" si="202"/>
        <v/>
      </c>
      <c r="AK1025" s="168" t="str">
        <f t="shared" si="203"/>
        <v/>
      </c>
      <c r="AL1025" s="28"/>
      <c r="AM1025" s="28"/>
      <c r="AN1025" s="20" t="str">
        <f>IF(AL1025="","",IF($F1025="Bernardino Furlan",_xlfn.XLOOKUP(AL1025,Cadastros!$G$6:$G$90,Cadastros!$H$6:$H$90)*(1-0.18),IF($F1025="Mauro José Salanti",_xlfn.XLOOKUP(AL1025,Cadastros!$G$6:$G$90,Cadastros!$H$6:$H$90)*(1-0.18),_xlfn.XLOOKUP(AL1025,Cadastros!$G$6:$G$90,Cadastros!$H$6:$H$90))))</f>
        <v/>
      </c>
      <c r="AO1025" s="168" t="str">
        <f t="shared" si="204"/>
        <v/>
      </c>
      <c r="AP1025" s="168" t="str">
        <f t="shared" si="205"/>
        <v/>
      </c>
      <c r="AQ1025" s="28"/>
      <c r="AR1025" s="28"/>
      <c r="AS1025" s="20" t="str">
        <f>IF(AQ1025="","",IF($F1025="Bernardino Furlan",_xlfn.XLOOKUP(AQ1025,Cadastros!$G$6:$G$90,Cadastros!$H$6:$H$90)*(1-0.18),IF($F1025="Mauro José Salanti",_xlfn.XLOOKUP(AQ1025,Cadastros!$G$6:$G$90,Cadastros!$H$6:$H$90)*(1-0.18),_xlfn.XLOOKUP(AQ1025,Cadastros!$G$6:$G$90,Cadastros!$H$6:$H$90))))</f>
        <v/>
      </c>
      <c r="AT1025" s="168" t="str">
        <f t="shared" si="206"/>
        <v/>
      </c>
      <c r="AU1025" s="168" t="str">
        <f t="shared" si="207"/>
        <v/>
      </c>
      <c r="AV1025" s="227"/>
      <c r="AW1025" s="30"/>
      <c r="AX1025" s="267"/>
      <c r="AY1025" s="267"/>
      <c r="AZ1025" s="29"/>
      <c r="BA1025" s="30"/>
      <c r="BB1025" s="23" t="str" cm="1">
        <f t="array" ref="BB1025">_xlfn.IFS(AW1025="SIM",SUM(K1025,P1025,U1025,Z1025,AE1025,AJ1025,AO1025,AT1025,AX1025,AY1025),F1025&lt;&gt;"",SUM(K1025,P1025,U1025,Z1025,AE1025,AJ1025,,AO1025,AT1025),F1025="","")</f>
        <v/>
      </c>
      <c r="BC1025" s="211" t="str" cm="1">
        <f t="array" ref="BC1025">_xlfn.IFS(E1025="","",G1025&lt;=E1025,BB1025*(1-0.03),G1025&lt;(E1025+8),BB1025,AZ1025="Boleto",BB1025*(1+0.001)^DATEDIF(E1025,G1025,"D"),AZ1025="Cheque",BB1025,AZ1025="Dinheiro","Alterar forma pgto")</f>
        <v/>
      </c>
      <c r="BD1025" s="276" t="str" cm="1">
        <f t="array" ref="BD1025">IF(F1025=0," ",IF(BC1025&lt;BB1025,(_xlfn.IFS(AW1025="SIM",SUM(L1025,Q1025,V1025,AA1025,AF1025,AK1025,AP1025,AU1025)+AX1025/_xlfn.XLOOKUP(_xlfn.XLOOKUP($F1025,Clientes!$B$4:$B$39,Clientes!$C$4:$C$39),Cadastros!$L$6:$L$12,Cadastros!$M$6:$M$12)+IF($F1025="Bernardino Furlan",AY1025/2751.92,IF($F1025="Mauro José Salanti",AY1025/2751.92,AY1025/3356)),F1025&lt;&gt;0,SUM(L1025,Q1025,V1025,AA1025,AF1025,AK1025,AP1025,AU1025)))*(1-0.03),_xlfn.IFS(AW1025="SIM",SUM(L1025,Q1025,V1025,AA1025,AF1025,AK1025,AP1025,AU1025)+AX1025/_xlfn.XLOOKUP(_xlfn.XLOOKUP($F1025,Clientes!$B$4:$B$39,Clientes!$C$4:$C$39),Cadastros!$L$6:$L$12,Cadastros!$M$6:$M$12)+IF($F1025="Bernardino Furlan",AY1025/2751.92,IF($F1025="Mauro José Salanti",AY1025/2751.92,AY1025/3356)),F1025&lt;&gt;0,SUM(L1025,Q1025,V1025,AA1025,AF1025,AK1025,AP1025,AU1025))))</f>
        <v xml:space="preserve"> </v>
      </c>
      <c r="BE1025" s="120"/>
      <c r="BF1025" s="120"/>
      <c r="BG1025" s="120"/>
    </row>
    <row r="1026" spans="1:59" s="3" customFormat="1" x14ac:dyDescent="0.3">
      <c r="A1026" s="15" t="str">
        <f t="shared" si="195"/>
        <v/>
      </c>
      <c r="B1026" s="25"/>
      <c r="C1026" s="26"/>
      <c r="D1026" s="279"/>
      <c r="E1026" s="27"/>
      <c r="F1026" s="28"/>
      <c r="G1026" s="27"/>
      <c r="H1026" s="28"/>
      <c r="I1026" s="28"/>
      <c r="J1026" s="255" t="str">
        <f>IF(H1026="","",(_xlfn.XLOOKUP(H1026,Cadastros!$D$6:$D$90,Cadastros!$E$6:$E$90))*(1-_xlfn.XLOOKUP(_xlfn.XLOOKUP($F1026,Clientes!$B$4:$B$39,Clientes!$C$4:$C$39),Cadastros!$L$6:$L$12,Cadastros!$N$6:$N$12)))</f>
        <v/>
      </c>
      <c r="K1026" s="168" t="str">
        <f t="shared" si="196"/>
        <v/>
      </c>
      <c r="L1026" s="168" t="str">
        <f>IFERROR(K1026/_xlfn.XLOOKUP(_xlfn.XLOOKUP($F1026,Clientes!$B$4:$B$39,Clientes!$C$4:$C$39),Cadastros!$L$6:$L$12,Cadastros!$M$6:$M$12)," ")</f>
        <v xml:space="preserve"> </v>
      </c>
      <c r="M1026" s="28"/>
      <c r="N1026" s="28"/>
      <c r="O1026" s="255" t="str">
        <f>IF(M1026="","",(_xlfn.XLOOKUP(M1026,Cadastros!$D$6:$D$90,Cadastros!$E$6:$E$90))*(1-_xlfn.XLOOKUP(_xlfn.XLOOKUP($F1026,Clientes!$B$4:$B$39,Clientes!$C$4:$C$39),Cadastros!$L$6:$L$12,Cadastros!$N$6:$N$12)))</f>
        <v/>
      </c>
      <c r="P1026" s="168" t="str">
        <f t="shared" si="197"/>
        <v/>
      </c>
      <c r="Q1026" s="168" t="str">
        <f>IFERROR(P1026/_xlfn.XLOOKUP(_xlfn.XLOOKUP($F1026,Clientes!$B$4:$B$39,Clientes!$C$4:$C$39),Cadastros!$L$6:$L$12,Cadastros!$M$6:$M$12)," ")</f>
        <v xml:space="preserve"> </v>
      </c>
      <c r="R1026" s="28"/>
      <c r="S1026" s="28"/>
      <c r="T1026" s="255" t="str">
        <f>IF(R1026="","",(_xlfn.XLOOKUP(R1026,Cadastros!$D$6:$D$90,Cadastros!$E$6:$E$90))*(1-_xlfn.XLOOKUP(_xlfn.XLOOKUP($F1026,Clientes!$B$4:$B$39,Clientes!$C$4:$C$39),Cadastros!$L$6:$L$12,Cadastros!$N$6:$N$12)))</f>
        <v/>
      </c>
      <c r="U1026" s="168" t="str">
        <f t="shared" si="198"/>
        <v/>
      </c>
      <c r="V1026" s="168" t="str">
        <f>IFERROR(U1026/_xlfn.XLOOKUP(_xlfn.XLOOKUP($F1026,Clientes!$B$4:$B$39,Clientes!$C$4:$C$39),Cadastros!$L$6:$L$12,Cadastros!$M$6:$M$12)," ")</f>
        <v xml:space="preserve"> </v>
      </c>
      <c r="W1026" s="28"/>
      <c r="X1026" s="28"/>
      <c r="Y1026" s="255" t="str">
        <f>IF(W1026="","",(_xlfn.XLOOKUP(W1026,Cadastros!$D$6:$D$90,Cadastros!$E$6:$E$90))*(1-_xlfn.XLOOKUP(_xlfn.XLOOKUP($F1026,Clientes!$B$4:$B$39,Clientes!$C$4:$C$39),Cadastros!$L$6:$L$12,Cadastros!$N$6:$N$12)))</f>
        <v/>
      </c>
      <c r="Z1026" s="168" t="str">
        <f t="shared" si="199"/>
        <v/>
      </c>
      <c r="AA1026" s="168" t="str">
        <f>IFERROR(Z1026/_xlfn.XLOOKUP(_xlfn.XLOOKUP($F1026,Clientes!$B$4:$B$39,Clientes!$C$4:$C$39),Cadastros!$L$6:$L$12,Cadastros!$M$6:$M$12)," ")</f>
        <v xml:space="preserve"> </v>
      </c>
      <c r="AB1026" s="28"/>
      <c r="AC1026" s="28"/>
      <c r="AD1026" s="20" t="str">
        <f>IF(AB1026="","",IF($F1026="Bernardino Furlan",_xlfn.XLOOKUP(AB1026,Cadastros!$G$6:$G$90,Cadastros!$H$6:$H$90)*(1-0.18),IF($F1026="Mauro José Salanti",_xlfn.XLOOKUP(AB1026,Cadastros!$G$6:$G$90,Cadastros!$H$6:$H$90)*(1-0.18),_xlfn.XLOOKUP(AB1026,Cadastros!$G$6:$G$90,Cadastros!$H$6:$H$90))))</f>
        <v/>
      </c>
      <c r="AE1026" s="168" t="str">
        <f t="shared" si="200"/>
        <v/>
      </c>
      <c r="AF1026" s="168" t="str">
        <f t="shared" si="201"/>
        <v/>
      </c>
      <c r="AG1026" s="28"/>
      <c r="AH1026" s="28"/>
      <c r="AI1026" s="20" t="str">
        <f>IF(AG1026="","",IF($F1026="Bernardino Furlan",_xlfn.XLOOKUP(AG1026,Cadastros!$G$6:$G$90,Cadastros!$H$6:$H$90)*(1-0.18),IF($F1026="Mauro José Salanti",_xlfn.XLOOKUP(AG1026,Cadastros!$G$6:$G$90,Cadastros!$H$6:$H$90)*(1-0.18),_xlfn.XLOOKUP(AG1026,Cadastros!$G$6:$G$90,Cadastros!$H$6:$H$90))))</f>
        <v/>
      </c>
      <c r="AJ1026" s="168" t="str">
        <f t="shared" si="202"/>
        <v/>
      </c>
      <c r="AK1026" s="168" t="str">
        <f t="shared" si="203"/>
        <v/>
      </c>
      <c r="AL1026" s="28"/>
      <c r="AM1026" s="28"/>
      <c r="AN1026" s="20" t="str">
        <f>IF(AL1026="","",IF($F1026="Bernardino Furlan",_xlfn.XLOOKUP(AL1026,Cadastros!$G$6:$G$90,Cadastros!$H$6:$H$90)*(1-0.18),IF($F1026="Mauro José Salanti",_xlfn.XLOOKUP(AL1026,Cadastros!$G$6:$G$90,Cadastros!$H$6:$H$90)*(1-0.18),_xlfn.XLOOKUP(AL1026,Cadastros!$G$6:$G$90,Cadastros!$H$6:$H$90))))</f>
        <v/>
      </c>
      <c r="AO1026" s="168" t="str">
        <f t="shared" si="204"/>
        <v/>
      </c>
      <c r="AP1026" s="168" t="str">
        <f t="shared" si="205"/>
        <v/>
      </c>
      <c r="AQ1026" s="28"/>
      <c r="AR1026" s="28"/>
      <c r="AS1026" s="20" t="str">
        <f>IF(AQ1026="","",IF($F1026="Bernardino Furlan",_xlfn.XLOOKUP(AQ1026,Cadastros!$G$6:$G$90,Cadastros!$H$6:$H$90)*(1-0.18),IF($F1026="Mauro José Salanti",_xlfn.XLOOKUP(AQ1026,Cadastros!$G$6:$G$90,Cadastros!$H$6:$H$90)*(1-0.18),_xlfn.XLOOKUP(AQ1026,Cadastros!$G$6:$G$90,Cadastros!$H$6:$H$90))))</f>
        <v/>
      </c>
      <c r="AT1026" s="168" t="str">
        <f t="shared" si="206"/>
        <v/>
      </c>
      <c r="AU1026" s="168" t="str">
        <f t="shared" si="207"/>
        <v/>
      </c>
      <c r="AV1026" s="227"/>
      <c r="AW1026" s="30"/>
      <c r="AX1026" s="267"/>
      <c r="AY1026" s="267"/>
      <c r="AZ1026" s="29"/>
      <c r="BA1026" s="30"/>
      <c r="BB1026" s="23" t="str" cm="1">
        <f t="array" ref="BB1026">_xlfn.IFS(AW1026="SIM",SUM(K1026,P1026,U1026,Z1026,AE1026,AJ1026,AO1026,AT1026,AX1026,AY1026),F1026&lt;&gt;"",SUM(K1026,P1026,U1026,Z1026,AE1026,AJ1026,,AO1026,AT1026),F1026="","")</f>
        <v/>
      </c>
      <c r="BC1026" s="211" t="str" cm="1">
        <f t="array" ref="BC1026">_xlfn.IFS(E1026="","",G1026&lt;=E1026,BB1026*(1-0.03),G1026&lt;(E1026+8),BB1026,AZ1026="Boleto",BB1026*(1+0.001)^DATEDIF(E1026,G1026,"D"),AZ1026="Cheque",BB1026,AZ1026="Dinheiro","Alterar forma pgto")</f>
        <v/>
      </c>
      <c r="BD1026" s="276" t="str" cm="1">
        <f t="array" ref="BD1026">IF(F1026=0," ",IF(BC1026&lt;BB1026,(_xlfn.IFS(AW1026="SIM",SUM(L1026,Q1026,V1026,AA1026,AF1026,AK1026,AP1026,AU1026)+AX1026/_xlfn.XLOOKUP(_xlfn.XLOOKUP($F1026,Clientes!$B$4:$B$39,Clientes!$C$4:$C$39),Cadastros!$L$6:$L$12,Cadastros!$M$6:$M$12)+IF($F1026="Bernardino Furlan",AY1026/2751.92,IF($F1026="Mauro José Salanti",AY1026/2751.92,AY1026/3356)),F1026&lt;&gt;0,SUM(L1026,Q1026,V1026,AA1026,AF1026,AK1026,AP1026,AU1026)))*(1-0.03),_xlfn.IFS(AW1026="SIM",SUM(L1026,Q1026,V1026,AA1026,AF1026,AK1026,AP1026,AU1026)+AX1026/_xlfn.XLOOKUP(_xlfn.XLOOKUP($F1026,Clientes!$B$4:$B$39,Clientes!$C$4:$C$39),Cadastros!$L$6:$L$12,Cadastros!$M$6:$M$12)+IF($F1026="Bernardino Furlan",AY1026/2751.92,IF($F1026="Mauro José Salanti",AY1026/2751.92,AY1026/3356)),F1026&lt;&gt;0,SUM(L1026,Q1026,V1026,AA1026,AF1026,AK1026,AP1026,AU1026))))</f>
        <v xml:space="preserve"> </v>
      </c>
      <c r="BE1026" s="120"/>
      <c r="BF1026" s="120"/>
      <c r="BG1026" s="120"/>
    </row>
    <row r="1027" spans="1:59" s="3" customFormat="1" x14ac:dyDescent="0.3">
      <c r="A1027" s="15" t="str">
        <f t="shared" si="195"/>
        <v/>
      </c>
      <c r="B1027" s="25"/>
      <c r="C1027" s="26"/>
      <c r="D1027" s="279"/>
      <c r="E1027" s="27"/>
      <c r="F1027" s="28"/>
      <c r="G1027" s="27"/>
      <c r="H1027" s="28"/>
      <c r="I1027" s="28"/>
      <c r="J1027" s="255" t="str">
        <f>IF(H1027="","",(_xlfn.XLOOKUP(H1027,Cadastros!$D$6:$D$90,Cadastros!$E$6:$E$90))*(1-_xlfn.XLOOKUP(_xlfn.XLOOKUP($F1027,Clientes!$B$4:$B$39,Clientes!$C$4:$C$39),Cadastros!$L$6:$L$12,Cadastros!$N$6:$N$12)))</f>
        <v/>
      </c>
      <c r="K1027" s="168" t="str">
        <f t="shared" si="196"/>
        <v/>
      </c>
      <c r="L1027" s="168" t="str">
        <f>IFERROR(K1027/_xlfn.XLOOKUP(_xlfn.XLOOKUP($F1027,Clientes!$B$4:$B$39,Clientes!$C$4:$C$39),Cadastros!$L$6:$L$12,Cadastros!$M$6:$M$12)," ")</f>
        <v xml:space="preserve"> </v>
      </c>
      <c r="M1027" s="28"/>
      <c r="N1027" s="28"/>
      <c r="O1027" s="255" t="str">
        <f>IF(M1027="","",(_xlfn.XLOOKUP(M1027,Cadastros!$D$6:$D$90,Cadastros!$E$6:$E$90))*(1-_xlfn.XLOOKUP(_xlfn.XLOOKUP($F1027,Clientes!$B$4:$B$39,Clientes!$C$4:$C$39),Cadastros!$L$6:$L$12,Cadastros!$N$6:$N$12)))</f>
        <v/>
      </c>
      <c r="P1027" s="168" t="str">
        <f t="shared" si="197"/>
        <v/>
      </c>
      <c r="Q1027" s="168" t="str">
        <f>IFERROR(P1027/_xlfn.XLOOKUP(_xlfn.XLOOKUP($F1027,Clientes!$B$4:$B$39,Clientes!$C$4:$C$39),Cadastros!$L$6:$L$12,Cadastros!$M$6:$M$12)," ")</f>
        <v xml:space="preserve"> </v>
      </c>
      <c r="R1027" s="28"/>
      <c r="S1027" s="28"/>
      <c r="T1027" s="255" t="str">
        <f>IF(R1027="","",(_xlfn.XLOOKUP(R1027,Cadastros!$D$6:$D$90,Cadastros!$E$6:$E$90))*(1-_xlfn.XLOOKUP(_xlfn.XLOOKUP($F1027,Clientes!$B$4:$B$39,Clientes!$C$4:$C$39),Cadastros!$L$6:$L$12,Cadastros!$N$6:$N$12)))</f>
        <v/>
      </c>
      <c r="U1027" s="168" t="str">
        <f t="shared" si="198"/>
        <v/>
      </c>
      <c r="V1027" s="168" t="str">
        <f>IFERROR(U1027/_xlfn.XLOOKUP(_xlfn.XLOOKUP($F1027,Clientes!$B$4:$B$39,Clientes!$C$4:$C$39),Cadastros!$L$6:$L$12,Cadastros!$M$6:$M$12)," ")</f>
        <v xml:space="preserve"> </v>
      </c>
      <c r="W1027" s="28"/>
      <c r="X1027" s="28"/>
      <c r="Y1027" s="255" t="str">
        <f>IF(W1027="","",(_xlfn.XLOOKUP(W1027,Cadastros!$D$6:$D$90,Cadastros!$E$6:$E$90))*(1-_xlfn.XLOOKUP(_xlfn.XLOOKUP($F1027,Clientes!$B$4:$B$39,Clientes!$C$4:$C$39),Cadastros!$L$6:$L$12,Cadastros!$N$6:$N$12)))</f>
        <v/>
      </c>
      <c r="Z1027" s="168" t="str">
        <f t="shared" si="199"/>
        <v/>
      </c>
      <c r="AA1027" s="168" t="str">
        <f>IFERROR(Z1027/_xlfn.XLOOKUP(_xlfn.XLOOKUP($F1027,Clientes!$B$4:$B$39,Clientes!$C$4:$C$39),Cadastros!$L$6:$L$12,Cadastros!$M$6:$M$12)," ")</f>
        <v xml:space="preserve"> </v>
      </c>
      <c r="AB1027" s="28"/>
      <c r="AC1027" s="28"/>
      <c r="AD1027" s="20" t="str">
        <f>IF(AB1027="","",IF($F1027="Bernardino Furlan",_xlfn.XLOOKUP(AB1027,Cadastros!$G$6:$G$90,Cadastros!$H$6:$H$90)*(1-0.18),IF($F1027="Mauro José Salanti",_xlfn.XLOOKUP(AB1027,Cadastros!$G$6:$G$90,Cadastros!$H$6:$H$90)*(1-0.18),_xlfn.XLOOKUP(AB1027,Cadastros!$G$6:$G$90,Cadastros!$H$6:$H$90))))</f>
        <v/>
      </c>
      <c r="AE1027" s="168" t="str">
        <f t="shared" si="200"/>
        <v/>
      </c>
      <c r="AF1027" s="168" t="str">
        <f t="shared" si="201"/>
        <v/>
      </c>
      <c r="AG1027" s="28"/>
      <c r="AH1027" s="28"/>
      <c r="AI1027" s="20" t="str">
        <f>IF(AG1027="","",IF($F1027="Bernardino Furlan",_xlfn.XLOOKUP(AG1027,Cadastros!$G$6:$G$90,Cadastros!$H$6:$H$90)*(1-0.18),IF($F1027="Mauro José Salanti",_xlfn.XLOOKUP(AG1027,Cadastros!$G$6:$G$90,Cadastros!$H$6:$H$90)*(1-0.18),_xlfn.XLOOKUP(AG1027,Cadastros!$G$6:$G$90,Cadastros!$H$6:$H$90))))</f>
        <v/>
      </c>
      <c r="AJ1027" s="168" t="str">
        <f t="shared" si="202"/>
        <v/>
      </c>
      <c r="AK1027" s="168" t="str">
        <f t="shared" si="203"/>
        <v/>
      </c>
      <c r="AL1027" s="28"/>
      <c r="AM1027" s="28"/>
      <c r="AN1027" s="20" t="str">
        <f>IF(AL1027="","",IF($F1027="Bernardino Furlan",_xlfn.XLOOKUP(AL1027,Cadastros!$G$6:$G$90,Cadastros!$H$6:$H$90)*(1-0.18),IF($F1027="Mauro José Salanti",_xlfn.XLOOKUP(AL1027,Cadastros!$G$6:$G$90,Cadastros!$H$6:$H$90)*(1-0.18),_xlfn.XLOOKUP(AL1027,Cadastros!$G$6:$G$90,Cadastros!$H$6:$H$90))))</f>
        <v/>
      </c>
      <c r="AO1027" s="168" t="str">
        <f t="shared" si="204"/>
        <v/>
      </c>
      <c r="AP1027" s="168" t="str">
        <f t="shared" si="205"/>
        <v/>
      </c>
      <c r="AQ1027" s="28"/>
      <c r="AR1027" s="28"/>
      <c r="AS1027" s="20" t="str">
        <f>IF(AQ1027="","",IF($F1027="Bernardino Furlan",_xlfn.XLOOKUP(AQ1027,Cadastros!$G$6:$G$90,Cadastros!$H$6:$H$90)*(1-0.18),IF($F1027="Mauro José Salanti",_xlfn.XLOOKUP(AQ1027,Cadastros!$G$6:$G$90,Cadastros!$H$6:$H$90)*(1-0.18),_xlfn.XLOOKUP(AQ1027,Cadastros!$G$6:$G$90,Cadastros!$H$6:$H$90))))</f>
        <v/>
      </c>
      <c r="AT1027" s="168" t="str">
        <f t="shared" si="206"/>
        <v/>
      </c>
      <c r="AU1027" s="168" t="str">
        <f t="shared" si="207"/>
        <v/>
      </c>
      <c r="AV1027" s="227"/>
      <c r="AW1027" s="30"/>
      <c r="AX1027" s="267"/>
      <c r="AY1027" s="267"/>
      <c r="AZ1027" s="29"/>
      <c r="BA1027" s="30"/>
      <c r="BB1027" s="23" t="str" cm="1">
        <f t="array" ref="BB1027">_xlfn.IFS(AW1027="SIM",SUM(K1027,P1027,U1027,Z1027,AE1027,AJ1027,AO1027,AT1027,AX1027,AY1027),F1027&lt;&gt;"",SUM(K1027,P1027,U1027,Z1027,AE1027,AJ1027,,AO1027,AT1027),F1027="","")</f>
        <v/>
      </c>
      <c r="BC1027" s="211" t="str" cm="1">
        <f t="array" ref="BC1027">_xlfn.IFS(E1027="","",G1027&lt;=E1027,BB1027*(1-0.03),G1027&lt;(E1027+8),BB1027,AZ1027="Boleto",BB1027*(1+0.001)^DATEDIF(E1027,G1027,"D"),AZ1027="Cheque",BB1027,AZ1027="Dinheiro","Alterar forma pgto")</f>
        <v/>
      </c>
      <c r="BD1027" s="276" t="str" cm="1">
        <f t="array" ref="BD1027">IF(F1027=0," ",IF(BC1027&lt;BB1027,(_xlfn.IFS(AW1027="SIM",SUM(L1027,Q1027,V1027,AA1027,AF1027,AK1027,AP1027,AU1027)+AX1027/_xlfn.XLOOKUP(_xlfn.XLOOKUP($F1027,Clientes!$B$4:$B$39,Clientes!$C$4:$C$39),Cadastros!$L$6:$L$12,Cadastros!$M$6:$M$12)+IF($F1027="Bernardino Furlan",AY1027/2751.92,IF($F1027="Mauro José Salanti",AY1027/2751.92,AY1027/3356)),F1027&lt;&gt;0,SUM(L1027,Q1027,V1027,AA1027,AF1027,AK1027,AP1027,AU1027)))*(1-0.03),_xlfn.IFS(AW1027="SIM",SUM(L1027,Q1027,V1027,AA1027,AF1027,AK1027,AP1027,AU1027)+AX1027/_xlfn.XLOOKUP(_xlfn.XLOOKUP($F1027,Clientes!$B$4:$B$39,Clientes!$C$4:$C$39),Cadastros!$L$6:$L$12,Cadastros!$M$6:$M$12)+IF($F1027="Bernardino Furlan",AY1027/2751.92,IF($F1027="Mauro José Salanti",AY1027/2751.92,AY1027/3356)),F1027&lt;&gt;0,SUM(L1027,Q1027,V1027,AA1027,AF1027,AK1027,AP1027,AU1027))))</f>
        <v xml:space="preserve"> </v>
      </c>
      <c r="BE1027" s="120"/>
      <c r="BF1027" s="120"/>
      <c r="BG1027" s="120"/>
    </row>
    <row r="1028" spans="1:59" s="3" customFormat="1" x14ac:dyDescent="0.3">
      <c r="A1028" s="15" t="str">
        <f t="shared" si="195"/>
        <v/>
      </c>
      <c r="B1028" s="25"/>
      <c r="C1028" s="26"/>
      <c r="D1028" s="279"/>
      <c r="E1028" s="27"/>
      <c r="F1028" s="28"/>
      <c r="G1028" s="27"/>
      <c r="H1028" s="28"/>
      <c r="I1028" s="28"/>
      <c r="J1028" s="255" t="str">
        <f>IF(H1028="","",(_xlfn.XLOOKUP(H1028,Cadastros!$D$6:$D$90,Cadastros!$E$6:$E$90))*(1-_xlfn.XLOOKUP(_xlfn.XLOOKUP($F1028,Clientes!$B$4:$B$39,Clientes!$C$4:$C$39),Cadastros!$L$6:$L$12,Cadastros!$N$6:$N$12)))</f>
        <v/>
      </c>
      <c r="K1028" s="168" t="str">
        <f t="shared" si="196"/>
        <v/>
      </c>
      <c r="L1028" s="168" t="str">
        <f>IFERROR(K1028/_xlfn.XLOOKUP(_xlfn.XLOOKUP($F1028,Clientes!$B$4:$B$39,Clientes!$C$4:$C$39),Cadastros!$L$6:$L$12,Cadastros!$M$6:$M$12)," ")</f>
        <v xml:space="preserve"> </v>
      </c>
      <c r="M1028" s="28"/>
      <c r="N1028" s="28"/>
      <c r="O1028" s="255" t="str">
        <f>IF(M1028="","",(_xlfn.XLOOKUP(M1028,Cadastros!$D$6:$D$90,Cadastros!$E$6:$E$90))*(1-_xlfn.XLOOKUP(_xlfn.XLOOKUP($F1028,Clientes!$B$4:$B$39,Clientes!$C$4:$C$39),Cadastros!$L$6:$L$12,Cadastros!$N$6:$N$12)))</f>
        <v/>
      </c>
      <c r="P1028" s="168" t="str">
        <f t="shared" si="197"/>
        <v/>
      </c>
      <c r="Q1028" s="168" t="str">
        <f>IFERROR(P1028/_xlfn.XLOOKUP(_xlfn.XLOOKUP($F1028,Clientes!$B$4:$B$39,Clientes!$C$4:$C$39),Cadastros!$L$6:$L$12,Cadastros!$M$6:$M$12)," ")</f>
        <v xml:space="preserve"> </v>
      </c>
      <c r="R1028" s="28"/>
      <c r="S1028" s="28"/>
      <c r="T1028" s="255" t="str">
        <f>IF(R1028="","",(_xlfn.XLOOKUP(R1028,Cadastros!$D$6:$D$90,Cadastros!$E$6:$E$90))*(1-_xlfn.XLOOKUP(_xlfn.XLOOKUP($F1028,Clientes!$B$4:$B$39,Clientes!$C$4:$C$39),Cadastros!$L$6:$L$12,Cadastros!$N$6:$N$12)))</f>
        <v/>
      </c>
      <c r="U1028" s="168" t="str">
        <f t="shared" si="198"/>
        <v/>
      </c>
      <c r="V1028" s="168" t="str">
        <f>IFERROR(U1028/_xlfn.XLOOKUP(_xlfn.XLOOKUP($F1028,Clientes!$B$4:$B$39,Clientes!$C$4:$C$39),Cadastros!$L$6:$L$12,Cadastros!$M$6:$M$12)," ")</f>
        <v xml:space="preserve"> </v>
      </c>
      <c r="W1028" s="28"/>
      <c r="X1028" s="28"/>
      <c r="Y1028" s="255" t="str">
        <f>IF(W1028="","",(_xlfn.XLOOKUP(W1028,Cadastros!$D$6:$D$90,Cadastros!$E$6:$E$90))*(1-_xlfn.XLOOKUP(_xlfn.XLOOKUP($F1028,Clientes!$B$4:$B$39,Clientes!$C$4:$C$39),Cadastros!$L$6:$L$12,Cadastros!$N$6:$N$12)))</f>
        <v/>
      </c>
      <c r="Z1028" s="168" t="str">
        <f t="shared" si="199"/>
        <v/>
      </c>
      <c r="AA1028" s="168" t="str">
        <f>IFERROR(Z1028/_xlfn.XLOOKUP(_xlfn.XLOOKUP($F1028,Clientes!$B$4:$B$39,Clientes!$C$4:$C$39),Cadastros!$L$6:$L$12,Cadastros!$M$6:$M$12)," ")</f>
        <v xml:space="preserve"> </v>
      </c>
      <c r="AB1028" s="28"/>
      <c r="AC1028" s="28"/>
      <c r="AD1028" s="20" t="str">
        <f>IF(AB1028="","",IF($F1028="Bernardino Furlan",_xlfn.XLOOKUP(AB1028,Cadastros!$G$6:$G$90,Cadastros!$H$6:$H$90)*(1-0.18),IF($F1028="Mauro José Salanti",_xlfn.XLOOKUP(AB1028,Cadastros!$G$6:$G$90,Cadastros!$H$6:$H$90)*(1-0.18),_xlfn.XLOOKUP(AB1028,Cadastros!$G$6:$G$90,Cadastros!$H$6:$H$90))))</f>
        <v/>
      </c>
      <c r="AE1028" s="168" t="str">
        <f t="shared" si="200"/>
        <v/>
      </c>
      <c r="AF1028" s="168" t="str">
        <f t="shared" si="201"/>
        <v/>
      </c>
      <c r="AG1028" s="28"/>
      <c r="AH1028" s="28"/>
      <c r="AI1028" s="20" t="str">
        <f>IF(AG1028="","",IF($F1028="Bernardino Furlan",_xlfn.XLOOKUP(AG1028,Cadastros!$G$6:$G$90,Cadastros!$H$6:$H$90)*(1-0.18),IF($F1028="Mauro José Salanti",_xlfn.XLOOKUP(AG1028,Cadastros!$G$6:$G$90,Cadastros!$H$6:$H$90)*(1-0.18),_xlfn.XLOOKUP(AG1028,Cadastros!$G$6:$G$90,Cadastros!$H$6:$H$90))))</f>
        <v/>
      </c>
      <c r="AJ1028" s="168" t="str">
        <f t="shared" si="202"/>
        <v/>
      </c>
      <c r="AK1028" s="168" t="str">
        <f t="shared" si="203"/>
        <v/>
      </c>
      <c r="AL1028" s="28"/>
      <c r="AM1028" s="28"/>
      <c r="AN1028" s="20" t="str">
        <f>IF(AL1028="","",IF($F1028="Bernardino Furlan",_xlfn.XLOOKUP(AL1028,Cadastros!$G$6:$G$90,Cadastros!$H$6:$H$90)*(1-0.18),IF($F1028="Mauro José Salanti",_xlfn.XLOOKUP(AL1028,Cadastros!$G$6:$G$90,Cadastros!$H$6:$H$90)*(1-0.18),_xlfn.XLOOKUP(AL1028,Cadastros!$G$6:$G$90,Cadastros!$H$6:$H$90))))</f>
        <v/>
      </c>
      <c r="AO1028" s="168" t="str">
        <f t="shared" si="204"/>
        <v/>
      </c>
      <c r="AP1028" s="168" t="str">
        <f t="shared" si="205"/>
        <v/>
      </c>
      <c r="AQ1028" s="28"/>
      <c r="AR1028" s="28"/>
      <c r="AS1028" s="20" t="str">
        <f>IF(AQ1028="","",IF($F1028="Bernardino Furlan",_xlfn.XLOOKUP(AQ1028,Cadastros!$G$6:$G$90,Cadastros!$H$6:$H$90)*(1-0.18),IF($F1028="Mauro José Salanti",_xlfn.XLOOKUP(AQ1028,Cadastros!$G$6:$G$90,Cadastros!$H$6:$H$90)*(1-0.18),_xlfn.XLOOKUP(AQ1028,Cadastros!$G$6:$G$90,Cadastros!$H$6:$H$90))))</f>
        <v/>
      </c>
      <c r="AT1028" s="168" t="str">
        <f t="shared" si="206"/>
        <v/>
      </c>
      <c r="AU1028" s="168" t="str">
        <f t="shared" si="207"/>
        <v/>
      </c>
      <c r="AV1028" s="227"/>
      <c r="AW1028" s="30"/>
      <c r="AX1028" s="267"/>
      <c r="AY1028" s="267"/>
      <c r="AZ1028" s="29"/>
      <c r="BA1028" s="30"/>
      <c r="BB1028" s="23" t="str" cm="1">
        <f t="array" ref="BB1028">_xlfn.IFS(AW1028="SIM",SUM(K1028,P1028,U1028,Z1028,AE1028,AJ1028,AO1028,AT1028,AX1028,AY1028),F1028&lt;&gt;"",SUM(K1028,P1028,U1028,Z1028,AE1028,AJ1028,,AO1028,AT1028),F1028="","")</f>
        <v/>
      </c>
      <c r="BC1028" s="211" t="str" cm="1">
        <f t="array" ref="BC1028">_xlfn.IFS(E1028="","",G1028&lt;=E1028,BB1028*(1-0.03),G1028&lt;(E1028+8),BB1028,AZ1028="Boleto",BB1028*(1+0.001)^DATEDIF(E1028,G1028,"D"),AZ1028="Cheque",BB1028,AZ1028="Dinheiro","Alterar forma pgto")</f>
        <v/>
      </c>
      <c r="BD1028" s="276" t="str" cm="1">
        <f t="array" ref="BD1028">IF(F1028=0," ",IF(BC1028&lt;BB1028,(_xlfn.IFS(AW1028="SIM",SUM(L1028,Q1028,V1028,AA1028,AF1028,AK1028,AP1028,AU1028)+AX1028/_xlfn.XLOOKUP(_xlfn.XLOOKUP($F1028,Clientes!$B$4:$B$39,Clientes!$C$4:$C$39),Cadastros!$L$6:$L$12,Cadastros!$M$6:$M$12)+IF($F1028="Bernardino Furlan",AY1028/2751.92,IF($F1028="Mauro José Salanti",AY1028/2751.92,AY1028/3356)),F1028&lt;&gt;0,SUM(L1028,Q1028,V1028,AA1028,AF1028,AK1028,AP1028,AU1028)))*(1-0.03),_xlfn.IFS(AW1028="SIM",SUM(L1028,Q1028,V1028,AA1028,AF1028,AK1028,AP1028,AU1028)+AX1028/_xlfn.XLOOKUP(_xlfn.XLOOKUP($F1028,Clientes!$B$4:$B$39,Clientes!$C$4:$C$39),Cadastros!$L$6:$L$12,Cadastros!$M$6:$M$12)+IF($F1028="Bernardino Furlan",AY1028/2751.92,IF($F1028="Mauro José Salanti",AY1028/2751.92,AY1028/3356)),F1028&lt;&gt;0,SUM(L1028,Q1028,V1028,AA1028,AF1028,AK1028,AP1028,AU1028))))</f>
        <v xml:space="preserve"> </v>
      </c>
      <c r="BE1028" s="120"/>
      <c r="BF1028" s="120"/>
      <c r="BG1028" s="120"/>
    </row>
    <row r="1029" spans="1:59" s="3" customFormat="1" x14ac:dyDescent="0.3">
      <c r="A1029" s="15" t="str">
        <f t="shared" si="195"/>
        <v/>
      </c>
      <c r="B1029" s="25"/>
      <c r="C1029" s="26"/>
      <c r="D1029" s="279"/>
      <c r="E1029" s="27"/>
      <c r="F1029" s="28"/>
      <c r="G1029" s="27"/>
      <c r="H1029" s="28"/>
      <c r="I1029" s="28"/>
      <c r="J1029" s="255" t="str">
        <f>IF(H1029="","",(_xlfn.XLOOKUP(H1029,Cadastros!$D$6:$D$90,Cadastros!$E$6:$E$90))*(1-_xlfn.XLOOKUP(_xlfn.XLOOKUP($F1029,Clientes!$B$4:$B$39,Clientes!$C$4:$C$39),Cadastros!$L$6:$L$12,Cadastros!$N$6:$N$12)))</f>
        <v/>
      </c>
      <c r="K1029" s="168" t="str">
        <f t="shared" si="196"/>
        <v/>
      </c>
      <c r="L1029" s="168" t="str">
        <f>IFERROR(K1029/_xlfn.XLOOKUP(_xlfn.XLOOKUP($F1029,Clientes!$B$4:$B$39,Clientes!$C$4:$C$39),Cadastros!$L$6:$L$12,Cadastros!$M$6:$M$12)," ")</f>
        <v xml:space="preserve"> </v>
      </c>
      <c r="M1029" s="28"/>
      <c r="N1029" s="28"/>
      <c r="O1029" s="255" t="str">
        <f>IF(M1029="","",(_xlfn.XLOOKUP(M1029,Cadastros!$D$6:$D$90,Cadastros!$E$6:$E$90))*(1-_xlfn.XLOOKUP(_xlfn.XLOOKUP($F1029,Clientes!$B$4:$B$39,Clientes!$C$4:$C$39),Cadastros!$L$6:$L$12,Cadastros!$N$6:$N$12)))</f>
        <v/>
      </c>
      <c r="P1029" s="168" t="str">
        <f t="shared" si="197"/>
        <v/>
      </c>
      <c r="Q1029" s="168" t="str">
        <f>IFERROR(P1029/_xlfn.XLOOKUP(_xlfn.XLOOKUP($F1029,Clientes!$B$4:$B$39,Clientes!$C$4:$C$39),Cadastros!$L$6:$L$12,Cadastros!$M$6:$M$12)," ")</f>
        <v xml:space="preserve"> </v>
      </c>
      <c r="R1029" s="28"/>
      <c r="S1029" s="28"/>
      <c r="T1029" s="255" t="str">
        <f>IF(R1029="","",(_xlfn.XLOOKUP(R1029,Cadastros!$D$6:$D$90,Cadastros!$E$6:$E$90))*(1-_xlfn.XLOOKUP(_xlfn.XLOOKUP($F1029,Clientes!$B$4:$B$39,Clientes!$C$4:$C$39),Cadastros!$L$6:$L$12,Cadastros!$N$6:$N$12)))</f>
        <v/>
      </c>
      <c r="U1029" s="168" t="str">
        <f t="shared" si="198"/>
        <v/>
      </c>
      <c r="V1029" s="168" t="str">
        <f>IFERROR(U1029/_xlfn.XLOOKUP(_xlfn.XLOOKUP($F1029,Clientes!$B$4:$B$39,Clientes!$C$4:$C$39),Cadastros!$L$6:$L$12,Cadastros!$M$6:$M$12)," ")</f>
        <v xml:space="preserve"> </v>
      </c>
      <c r="W1029" s="28"/>
      <c r="X1029" s="28"/>
      <c r="Y1029" s="255" t="str">
        <f>IF(W1029="","",(_xlfn.XLOOKUP(W1029,Cadastros!$D$6:$D$90,Cadastros!$E$6:$E$90))*(1-_xlfn.XLOOKUP(_xlfn.XLOOKUP($F1029,Clientes!$B$4:$B$39,Clientes!$C$4:$C$39),Cadastros!$L$6:$L$12,Cadastros!$N$6:$N$12)))</f>
        <v/>
      </c>
      <c r="Z1029" s="168" t="str">
        <f t="shared" si="199"/>
        <v/>
      </c>
      <c r="AA1029" s="168" t="str">
        <f>IFERROR(Z1029/_xlfn.XLOOKUP(_xlfn.XLOOKUP($F1029,Clientes!$B$4:$B$39,Clientes!$C$4:$C$39),Cadastros!$L$6:$L$12,Cadastros!$M$6:$M$12)," ")</f>
        <v xml:space="preserve"> </v>
      </c>
      <c r="AB1029" s="28"/>
      <c r="AC1029" s="28"/>
      <c r="AD1029" s="20" t="str">
        <f>IF(AB1029="","",IF($F1029="Bernardino Furlan",_xlfn.XLOOKUP(AB1029,Cadastros!$G$6:$G$90,Cadastros!$H$6:$H$90)*(1-0.18),IF($F1029="Mauro José Salanti",_xlfn.XLOOKUP(AB1029,Cadastros!$G$6:$G$90,Cadastros!$H$6:$H$90)*(1-0.18),_xlfn.XLOOKUP(AB1029,Cadastros!$G$6:$G$90,Cadastros!$H$6:$H$90))))</f>
        <v/>
      </c>
      <c r="AE1029" s="168" t="str">
        <f t="shared" si="200"/>
        <v/>
      </c>
      <c r="AF1029" s="168" t="str">
        <f t="shared" si="201"/>
        <v/>
      </c>
      <c r="AG1029" s="28"/>
      <c r="AH1029" s="28"/>
      <c r="AI1029" s="20" t="str">
        <f>IF(AG1029="","",IF($F1029="Bernardino Furlan",_xlfn.XLOOKUP(AG1029,Cadastros!$G$6:$G$90,Cadastros!$H$6:$H$90)*(1-0.18),IF($F1029="Mauro José Salanti",_xlfn.XLOOKUP(AG1029,Cadastros!$G$6:$G$90,Cadastros!$H$6:$H$90)*(1-0.18),_xlfn.XLOOKUP(AG1029,Cadastros!$G$6:$G$90,Cadastros!$H$6:$H$90))))</f>
        <v/>
      </c>
      <c r="AJ1029" s="168" t="str">
        <f t="shared" si="202"/>
        <v/>
      </c>
      <c r="AK1029" s="168" t="str">
        <f t="shared" si="203"/>
        <v/>
      </c>
      <c r="AL1029" s="28"/>
      <c r="AM1029" s="28"/>
      <c r="AN1029" s="20" t="str">
        <f>IF(AL1029="","",IF($F1029="Bernardino Furlan",_xlfn.XLOOKUP(AL1029,Cadastros!$G$6:$G$90,Cadastros!$H$6:$H$90)*(1-0.18),IF($F1029="Mauro José Salanti",_xlfn.XLOOKUP(AL1029,Cadastros!$G$6:$G$90,Cadastros!$H$6:$H$90)*(1-0.18),_xlfn.XLOOKUP(AL1029,Cadastros!$G$6:$G$90,Cadastros!$H$6:$H$90))))</f>
        <v/>
      </c>
      <c r="AO1029" s="168" t="str">
        <f t="shared" si="204"/>
        <v/>
      </c>
      <c r="AP1029" s="168" t="str">
        <f t="shared" si="205"/>
        <v/>
      </c>
      <c r="AQ1029" s="28"/>
      <c r="AR1029" s="28"/>
      <c r="AS1029" s="20" t="str">
        <f>IF(AQ1029="","",IF($F1029="Bernardino Furlan",_xlfn.XLOOKUP(AQ1029,Cadastros!$G$6:$G$90,Cadastros!$H$6:$H$90)*(1-0.18),IF($F1029="Mauro José Salanti",_xlfn.XLOOKUP(AQ1029,Cadastros!$G$6:$G$90,Cadastros!$H$6:$H$90)*(1-0.18),_xlfn.XLOOKUP(AQ1029,Cadastros!$G$6:$G$90,Cadastros!$H$6:$H$90))))</f>
        <v/>
      </c>
      <c r="AT1029" s="168" t="str">
        <f t="shared" si="206"/>
        <v/>
      </c>
      <c r="AU1029" s="168" t="str">
        <f t="shared" si="207"/>
        <v/>
      </c>
      <c r="AV1029" s="227"/>
      <c r="AW1029" s="30"/>
      <c r="AX1029" s="267"/>
      <c r="AY1029" s="267"/>
      <c r="AZ1029" s="29"/>
      <c r="BA1029" s="30"/>
      <c r="BB1029" s="23" t="str" cm="1">
        <f t="array" ref="BB1029">_xlfn.IFS(AW1029="SIM",SUM(K1029,P1029,U1029,Z1029,AE1029,AJ1029,AO1029,AT1029,AX1029,AY1029),F1029&lt;&gt;"",SUM(K1029,P1029,U1029,Z1029,AE1029,AJ1029,,AO1029,AT1029),F1029="","")</f>
        <v/>
      </c>
      <c r="BC1029" s="211" t="str" cm="1">
        <f t="array" ref="BC1029">_xlfn.IFS(E1029="","",G1029&lt;=E1029,BB1029*(1-0.03),G1029&lt;(E1029+8),BB1029,AZ1029="Boleto",BB1029*(1+0.001)^DATEDIF(E1029,G1029,"D"),AZ1029="Cheque",BB1029,AZ1029="Dinheiro","Alterar forma pgto")</f>
        <v/>
      </c>
      <c r="BD1029" s="276" t="str" cm="1">
        <f t="array" ref="BD1029">IF(F1029=0," ",IF(BC1029&lt;BB1029,(_xlfn.IFS(AW1029="SIM",SUM(L1029,Q1029,V1029,AA1029,AF1029,AK1029,AP1029,AU1029)+AX1029/_xlfn.XLOOKUP(_xlfn.XLOOKUP($F1029,Clientes!$B$4:$B$39,Clientes!$C$4:$C$39),Cadastros!$L$6:$L$12,Cadastros!$M$6:$M$12)+IF($F1029="Bernardino Furlan",AY1029/2751.92,IF($F1029="Mauro José Salanti",AY1029/2751.92,AY1029/3356)),F1029&lt;&gt;0,SUM(L1029,Q1029,V1029,AA1029,AF1029,AK1029,AP1029,AU1029)))*(1-0.03),_xlfn.IFS(AW1029="SIM",SUM(L1029,Q1029,V1029,AA1029,AF1029,AK1029,AP1029,AU1029)+AX1029/_xlfn.XLOOKUP(_xlfn.XLOOKUP($F1029,Clientes!$B$4:$B$39,Clientes!$C$4:$C$39),Cadastros!$L$6:$L$12,Cadastros!$M$6:$M$12)+IF($F1029="Bernardino Furlan",AY1029/2751.92,IF($F1029="Mauro José Salanti",AY1029/2751.92,AY1029/3356)),F1029&lt;&gt;0,SUM(L1029,Q1029,V1029,AA1029,AF1029,AK1029,AP1029,AU1029))))</f>
        <v xml:space="preserve"> </v>
      </c>
      <c r="BE1029" s="120"/>
      <c r="BF1029" s="120"/>
      <c r="BG1029" s="120"/>
    </row>
    <row r="1030" spans="1:59" s="3" customFormat="1" x14ac:dyDescent="0.3">
      <c r="A1030" s="15" t="str">
        <f t="shared" si="195"/>
        <v/>
      </c>
      <c r="B1030" s="25"/>
      <c r="C1030" s="26"/>
      <c r="D1030" s="279"/>
      <c r="E1030" s="27"/>
      <c r="F1030" s="28"/>
      <c r="G1030" s="27"/>
      <c r="H1030" s="28"/>
      <c r="I1030" s="28"/>
      <c r="J1030" s="255" t="str">
        <f>IF(H1030="","",(_xlfn.XLOOKUP(H1030,Cadastros!$D$6:$D$90,Cadastros!$E$6:$E$90))*(1-_xlfn.XLOOKUP(_xlfn.XLOOKUP($F1030,Clientes!$B$4:$B$39,Clientes!$C$4:$C$39),Cadastros!$L$6:$L$12,Cadastros!$N$6:$N$12)))</f>
        <v/>
      </c>
      <c r="K1030" s="168" t="str">
        <f t="shared" si="196"/>
        <v/>
      </c>
      <c r="L1030" s="168" t="str">
        <f>IFERROR(K1030/_xlfn.XLOOKUP(_xlfn.XLOOKUP($F1030,Clientes!$B$4:$B$39,Clientes!$C$4:$C$39),Cadastros!$L$6:$L$12,Cadastros!$M$6:$M$12)," ")</f>
        <v xml:space="preserve"> </v>
      </c>
      <c r="M1030" s="28"/>
      <c r="N1030" s="28"/>
      <c r="O1030" s="255" t="str">
        <f>IF(M1030="","",(_xlfn.XLOOKUP(M1030,Cadastros!$D$6:$D$90,Cadastros!$E$6:$E$90))*(1-_xlfn.XLOOKUP(_xlfn.XLOOKUP($F1030,Clientes!$B$4:$B$39,Clientes!$C$4:$C$39),Cadastros!$L$6:$L$12,Cadastros!$N$6:$N$12)))</f>
        <v/>
      </c>
      <c r="P1030" s="168" t="str">
        <f t="shared" si="197"/>
        <v/>
      </c>
      <c r="Q1030" s="168" t="str">
        <f>IFERROR(P1030/_xlfn.XLOOKUP(_xlfn.XLOOKUP($F1030,Clientes!$B$4:$B$39,Clientes!$C$4:$C$39),Cadastros!$L$6:$L$12,Cadastros!$M$6:$M$12)," ")</f>
        <v xml:space="preserve"> </v>
      </c>
      <c r="R1030" s="28"/>
      <c r="S1030" s="28"/>
      <c r="T1030" s="255" t="str">
        <f>IF(R1030="","",(_xlfn.XLOOKUP(R1030,Cadastros!$D$6:$D$90,Cadastros!$E$6:$E$90))*(1-_xlfn.XLOOKUP(_xlfn.XLOOKUP($F1030,Clientes!$B$4:$B$39,Clientes!$C$4:$C$39),Cadastros!$L$6:$L$12,Cadastros!$N$6:$N$12)))</f>
        <v/>
      </c>
      <c r="U1030" s="168" t="str">
        <f t="shared" si="198"/>
        <v/>
      </c>
      <c r="V1030" s="168" t="str">
        <f>IFERROR(U1030/_xlfn.XLOOKUP(_xlfn.XLOOKUP($F1030,Clientes!$B$4:$B$39,Clientes!$C$4:$C$39),Cadastros!$L$6:$L$12,Cadastros!$M$6:$M$12)," ")</f>
        <v xml:space="preserve"> </v>
      </c>
      <c r="W1030" s="28"/>
      <c r="X1030" s="28"/>
      <c r="Y1030" s="255" t="str">
        <f>IF(W1030="","",(_xlfn.XLOOKUP(W1030,Cadastros!$D$6:$D$90,Cadastros!$E$6:$E$90))*(1-_xlfn.XLOOKUP(_xlfn.XLOOKUP($F1030,Clientes!$B$4:$B$39,Clientes!$C$4:$C$39),Cadastros!$L$6:$L$12,Cadastros!$N$6:$N$12)))</f>
        <v/>
      </c>
      <c r="Z1030" s="168" t="str">
        <f t="shared" si="199"/>
        <v/>
      </c>
      <c r="AA1030" s="168" t="str">
        <f>IFERROR(Z1030/_xlfn.XLOOKUP(_xlfn.XLOOKUP($F1030,Clientes!$B$4:$B$39,Clientes!$C$4:$C$39),Cadastros!$L$6:$L$12,Cadastros!$M$6:$M$12)," ")</f>
        <v xml:space="preserve"> </v>
      </c>
      <c r="AB1030" s="28"/>
      <c r="AC1030" s="28"/>
      <c r="AD1030" s="20" t="str">
        <f>IF(AB1030="","",IF($F1030="Bernardino Furlan",_xlfn.XLOOKUP(AB1030,Cadastros!$G$6:$G$90,Cadastros!$H$6:$H$90)*(1-0.18),IF($F1030="Mauro José Salanti",_xlfn.XLOOKUP(AB1030,Cadastros!$G$6:$G$90,Cadastros!$H$6:$H$90)*(1-0.18),_xlfn.XLOOKUP(AB1030,Cadastros!$G$6:$G$90,Cadastros!$H$6:$H$90))))</f>
        <v/>
      </c>
      <c r="AE1030" s="168" t="str">
        <f t="shared" si="200"/>
        <v/>
      </c>
      <c r="AF1030" s="168" t="str">
        <f t="shared" si="201"/>
        <v/>
      </c>
      <c r="AG1030" s="28"/>
      <c r="AH1030" s="28"/>
      <c r="AI1030" s="20" t="str">
        <f>IF(AG1030="","",IF($F1030="Bernardino Furlan",_xlfn.XLOOKUP(AG1030,Cadastros!$G$6:$G$90,Cadastros!$H$6:$H$90)*(1-0.18),IF($F1030="Mauro José Salanti",_xlfn.XLOOKUP(AG1030,Cadastros!$G$6:$G$90,Cadastros!$H$6:$H$90)*(1-0.18),_xlfn.XLOOKUP(AG1030,Cadastros!$G$6:$G$90,Cadastros!$H$6:$H$90))))</f>
        <v/>
      </c>
      <c r="AJ1030" s="168" t="str">
        <f t="shared" si="202"/>
        <v/>
      </c>
      <c r="AK1030" s="168" t="str">
        <f t="shared" si="203"/>
        <v/>
      </c>
      <c r="AL1030" s="28"/>
      <c r="AM1030" s="28"/>
      <c r="AN1030" s="20" t="str">
        <f>IF(AL1030="","",IF($F1030="Bernardino Furlan",_xlfn.XLOOKUP(AL1030,Cadastros!$G$6:$G$90,Cadastros!$H$6:$H$90)*(1-0.18),IF($F1030="Mauro José Salanti",_xlfn.XLOOKUP(AL1030,Cadastros!$G$6:$G$90,Cadastros!$H$6:$H$90)*(1-0.18),_xlfn.XLOOKUP(AL1030,Cadastros!$G$6:$G$90,Cadastros!$H$6:$H$90))))</f>
        <v/>
      </c>
      <c r="AO1030" s="168" t="str">
        <f t="shared" si="204"/>
        <v/>
      </c>
      <c r="AP1030" s="168" t="str">
        <f t="shared" si="205"/>
        <v/>
      </c>
      <c r="AQ1030" s="28"/>
      <c r="AR1030" s="28"/>
      <c r="AS1030" s="20" t="str">
        <f>IF(AQ1030="","",IF($F1030="Bernardino Furlan",_xlfn.XLOOKUP(AQ1030,Cadastros!$G$6:$G$90,Cadastros!$H$6:$H$90)*(1-0.18),IF($F1030="Mauro José Salanti",_xlfn.XLOOKUP(AQ1030,Cadastros!$G$6:$G$90,Cadastros!$H$6:$H$90)*(1-0.18),_xlfn.XLOOKUP(AQ1030,Cadastros!$G$6:$G$90,Cadastros!$H$6:$H$90))))</f>
        <v/>
      </c>
      <c r="AT1030" s="168" t="str">
        <f t="shared" si="206"/>
        <v/>
      </c>
      <c r="AU1030" s="168" t="str">
        <f t="shared" si="207"/>
        <v/>
      </c>
      <c r="AV1030" s="227"/>
      <c r="AW1030" s="30"/>
      <c r="AX1030" s="267"/>
      <c r="AY1030" s="267"/>
      <c r="AZ1030" s="29"/>
      <c r="BA1030" s="30"/>
      <c r="BB1030" s="23" t="str" cm="1">
        <f t="array" ref="BB1030">_xlfn.IFS(AW1030="SIM",SUM(K1030,P1030,U1030,Z1030,AE1030,AJ1030,AO1030,AT1030,AX1030,AY1030),F1030&lt;&gt;"",SUM(K1030,P1030,U1030,Z1030,AE1030,AJ1030,,AO1030,AT1030),F1030="","")</f>
        <v/>
      </c>
      <c r="BC1030" s="211" t="str" cm="1">
        <f t="array" ref="BC1030">_xlfn.IFS(E1030="","",G1030&lt;=E1030,BB1030*(1-0.03),G1030&lt;(E1030+8),BB1030,AZ1030="Boleto",BB1030*(1+0.001)^DATEDIF(E1030,G1030,"D"),AZ1030="Cheque",BB1030,AZ1030="Dinheiro","Alterar forma pgto")</f>
        <v/>
      </c>
      <c r="BD1030" s="276" t="str" cm="1">
        <f t="array" ref="BD1030">IF(F1030=0," ",IF(BC1030&lt;BB1030,(_xlfn.IFS(AW1030="SIM",SUM(L1030,Q1030,V1030,AA1030,AF1030,AK1030,AP1030,AU1030)+AX1030/_xlfn.XLOOKUP(_xlfn.XLOOKUP($F1030,Clientes!$B$4:$B$39,Clientes!$C$4:$C$39),Cadastros!$L$6:$L$12,Cadastros!$M$6:$M$12)+IF($F1030="Bernardino Furlan",AY1030/2751.92,IF($F1030="Mauro José Salanti",AY1030/2751.92,AY1030/3356)),F1030&lt;&gt;0,SUM(L1030,Q1030,V1030,AA1030,AF1030,AK1030,AP1030,AU1030)))*(1-0.03),_xlfn.IFS(AW1030="SIM",SUM(L1030,Q1030,V1030,AA1030,AF1030,AK1030,AP1030,AU1030)+AX1030/_xlfn.XLOOKUP(_xlfn.XLOOKUP($F1030,Clientes!$B$4:$B$39,Clientes!$C$4:$C$39),Cadastros!$L$6:$L$12,Cadastros!$M$6:$M$12)+IF($F1030="Bernardino Furlan",AY1030/2751.92,IF($F1030="Mauro José Salanti",AY1030/2751.92,AY1030/3356)),F1030&lt;&gt;0,SUM(L1030,Q1030,V1030,AA1030,AF1030,AK1030,AP1030,AU1030))))</f>
        <v xml:space="preserve"> </v>
      </c>
      <c r="BE1030" s="120"/>
      <c r="BF1030" s="120"/>
      <c r="BG1030" s="120"/>
    </row>
    <row r="1031" spans="1:59" s="3" customFormat="1" x14ac:dyDescent="0.3">
      <c r="A1031" s="15" t="str">
        <f t="shared" si="195"/>
        <v/>
      </c>
      <c r="B1031" s="25"/>
      <c r="C1031" s="26"/>
      <c r="D1031" s="279"/>
      <c r="E1031" s="27"/>
      <c r="F1031" s="28"/>
      <c r="G1031" s="27"/>
      <c r="H1031" s="28"/>
      <c r="I1031" s="28"/>
      <c r="J1031" s="255" t="str">
        <f>IF(H1031="","",(_xlfn.XLOOKUP(H1031,Cadastros!$D$6:$D$90,Cadastros!$E$6:$E$90))*(1-_xlfn.XLOOKUP(_xlfn.XLOOKUP($F1031,Clientes!$B$4:$B$39,Clientes!$C$4:$C$39),Cadastros!$L$6:$L$12,Cadastros!$N$6:$N$12)))</f>
        <v/>
      </c>
      <c r="K1031" s="168" t="str">
        <f t="shared" si="196"/>
        <v/>
      </c>
      <c r="L1031" s="168" t="str">
        <f>IFERROR(K1031/_xlfn.XLOOKUP(_xlfn.XLOOKUP($F1031,Clientes!$B$4:$B$39,Clientes!$C$4:$C$39),Cadastros!$L$6:$L$12,Cadastros!$M$6:$M$12)," ")</f>
        <v xml:space="preserve"> </v>
      </c>
      <c r="M1031" s="28"/>
      <c r="N1031" s="28"/>
      <c r="O1031" s="255" t="str">
        <f>IF(M1031="","",(_xlfn.XLOOKUP(M1031,Cadastros!$D$6:$D$90,Cadastros!$E$6:$E$90))*(1-_xlfn.XLOOKUP(_xlfn.XLOOKUP($F1031,Clientes!$B$4:$B$39,Clientes!$C$4:$C$39),Cadastros!$L$6:$L$12,Cadastros!$N$6:$N$12)))</f>
        <v/>
      </c>
      <c r="P1031" s="168" t="str">
        <f t="shared" si="197"/>
        <v/>
      </c>
      <c r="Q1031" s="168" t="str">
        <f>IFERROR(P1031/_xlfn.XLOOKUP(_xlfn.XLOOKUP($F1031,Clientes!$B$4:$B$39,Clientes!$C$4:$C$39),Cadastros!$L$6:$L$12,Cadastros!$M$6:$M$12)," ")</f>
        <v xml:space="preserve"> </v>
      </c>
      <c r="R1031" s="28"/>
      <c r="S1031" s="28"/>
      <c r="T1031" s="255" t="str">
        <f>IF(R1031="","",(_xlfn.XLOOKUP(R1031,Cadastros!$D$6:$D$90,Cadastros!$E$6:$E$90))*(1-_xlfn.XLOOKUP(_xlfn.XLOOKUP($F1031,Clientes!$B$4:$B$39,Clientes!$C$4:$C$39),Cadastros!$L$6:$L$12,Cadastros!$N$6:$N$12)))</f>
        <v/>
      </c>
      <c r="U1031" s="168" t="str">
        <f t="shared" si="198"/>
        <v/>
      </c>
      <c r="V1031" s="168" t="str">
        <f>IFERROR(U1031/_xlfn.XLOOKUP(_xlfn.XLOOKUP($F1031,Clientes!$B$4:$B$39,Clientes!$C$4:$C$39),Cadastros!$L$6:$L$12,Cadastros!$M$6:$M$12)," ")</f>
        <v xml:space="preserve"> </v>
      </c>
      <c r="W1031" s="28"/>
      <c r="X1031" s="28"/>
      <c r="Y1031" s="255" t="str">
        <f>IF(W1031="","",(_xlfn.XLOOKUP(W1031,Cadastros!$D$6:$D$90,Cadastros!$E$6:$E$90))*(1-_xlfn.XLOOKUP(_xlfn.XLOOKUP($F1031,Clientes!$B$4:$B$39,Clientes!$C$4:$C$39),Cadastros!$L$6:$L$12,Cadastros!$N$6:$N$12)))</f>
        <v/>
      </c>
      <c r="Z1031" s="168" t="str">
        <f t="shared" si="199"/>
        <v/>
      </c>
      <c r="AA1031" s="168" t="str">
        <f>IFERROR(Z1031/_xlfn.XLOOKUP(_xlfn.XLOOKUP($F1031,Clientes!$B$4:$B$39,Clientes!$C$4:$C$39),Cadastros!$L$6:$L$12,Cadastros!$M$6:$M$12)," ")</f>
        <v xml:space="preserve"> </v>
      </c>
      <c r="AB1031" s="28"/>
      <c r="AC1031" s="28"/>
      <c r="AD1031" s="20" t="str">
        <f>IF(AB1031="","",IF($F1031="Bernardino Furlan",_xlfn.XLOOKUP(AB1031,Cadastros!$G$6:$G$90,Cadastros!$H$6:$H$90)*(1-0.18),IF($F1031="Mauro José Salanti",_xlfn.XLOOKUP(AB1031,Cadastros!$G$6:$G$90,Cadastros!$H$6:$H$90)*(1-0.18),_xlfn.XLOOKUP(AB1031,Cadastros!$G$6:$G$90,Cadastros!$H$6:$H$90))))</f>
        <v/>
      </c>
      <c r="AE1031" s="168" t="str">
        <f t="shared" si="200"/>
        <v/>
      </c>
      <c r="AF1031" s="168" t="str">
        <f t="shared" si="201"/>
        <v/>
      </c>
      <c r="AG1031" s="28"/>
      <c r="AH1031" s="28"/>
      <c r="AI1031" s="20" t="str">
        <f>IF(AG1031="","",IF($F1031="Bernardino Furlan",_xlfn.XLOOKUP(AG1031,Cadastros!$G$6:$G$90,Cadastros!$H$6:$H$90)*(1-0.18),IF($F1031="Mauro José Salanti",_xlfn.XLOOKUP(AG1031,Cadastros!$G$6:$G$90,Cadastros!$H$6:$H$90)*(1-0.18),_xlfn.XLOOKUP(AG1031,Cadastros!$G$6:$G$90,Cadastros!$H$6:$H$90))))</f>
        <v/>
      </c>
      <c r="AJ1031" s="168" t="str">
        <f t="shared" si="202"/>
        <v/>
      </c>
      <c r="AK1031" s="168" t="str">
        <f t="shared" si="203"/>
        <v/>
      </c>
      <c r="AL1031" s="28"/>
      <c r="AM1031" s="28"/>
      <c r="AN1031" s="20" t="str">
        <f>IF(AL1031="","",IF($F1031="Bernardino Furlan",_xlfn.XLOOKUP(AL1031,Cadastros!$G$6:$G$90,Cadastros!$H$6:$H$90)*(1-0.18),IF($F1031="Mauro José Salanti",_xlfn.XLOOKUP(AL1031,Cadastros!$G$6:$G$90,Cadastros!$H$6:$H$90)*(1-0.18),_xlfn.XLOOKUP(AL1031,Cadastros!$G$6:$G$90,Cadastros!$H$6:$H$90))))</f>
        <v/>
      </c>
      <c r="AO1031" s="168" t="str">
        <f t="shared" si="204"/>
        <v/>
      </c>
      <c r="AP1031" s="168" t="str">
        <f t="shared" si="205"/>
        <v/>
      </c>
      <c r="AQ1031" s="28"/>
      <c r="AR1031" s="28"/>
      <c r="AS1031" s="20" t="str">
        <f>IF(AQ1031="","",IF($F1031="Bernardino Furlan",_xlfn.XLOOKUP(AQ1031,Cadastros!$G$6:$G$90,Cadastros!$H$6:$H$90)*(1-0.18),IF($F1031="Mauro José Salanti",_xlfn.XLOOKUP(AQ1031,Cadastros!$G$6:$G$90,Cadastros!$H$6:$H$90)*(1-0.18),_xlfn.XLOOKUP(AQ1031,Cadastros!$G$6:$G$90,Cadastros!$H$6:$H$90))))</f>
        <v/>
      </c>
      <c r="AT1031" s="168" t="str">
        <f t="shared" si="206"/>
        <v/>
      </c>
      <c r="AU1031" s="168" t="str">
        <f t="shared" si="207"/>
        <v/>
      </c>
      <c r="AV1031" s="227"/>
      <c r="AW1031" s="30"/>
      <c r="AX1031" s="267"/>
      <c r="AY1031" s="267"/>
      <c r="AZ1031" s="29"/>
      <c r="BA1031" s="30"/>
      <c r="BB1031" s="23" t="str" cm="1">
        <f t="array" ref="BB1031">_xlfn.IFS(AW1031="SIM",SUM(K1031,P1031,U1031,Z1031,AE1031,AJ1031,AO1031,AT1031,AX1031,AY1031),F1031&lt;&gt;"",SUM(K1031,P1031,U1031,Z1031,AE1031,AJ1031,,AO1031,AT1031),F1031="","")</f>
        <v/>
      </c>
      <c r="BC1031" s="211" t="str" cm="1">
        <f t="array" ref="BC1031">_xlfn.IFS(E1031="","",G1031&lt;=E1031,BB1031*(1-0.03),G1031&lt;(E1031+8),BB1031,AZ1031="Boleto",BB1031*(1+0.001)^DATEDIF(E1031,G1031,"D"),AZ1031="Cheque",BB1031,AZ1031="Dinheiro","Alterar forma pgto")</f>
        <v/>
      </c>
      <c r="BD1031" s="276" t="str" cm="1">
        <f t="array" ref="BD1031">IF(F1031=0," ",IF(BC1031&lt;BB1031,(_xlfn.IFS(AW1031="SIM",SUM(L1031,Q1031,V1031,AA1031,AF1031,AK1031,AP1031,AU1031)+AX1031/_xlfn.XLOOKUP(_xlfn.XLOOKUP($F1031,Clientes!$B$4:$B$39,Clientes!$C$4:$C$39),Cadastros!$L$6:$L$12,Cadastros!$M$6:$M$12)+IF($F1031="Bernardino Furlan",AY1031/2751.92,IF($F1031="Mauro José Salanti",AY1031/2751.92,AY1031/3356)),F1031&lt;&gt;0,SUM(L1031,Q1031,V1031,AA1031,AF1031,AK1031,AP1031,AU1031)))*(1-0.03),_xlfn.IFS(AW1031="SIM",SUM(L1031,Q1031,V1031,AA1031,AF1031,AK1031,AP1031,AU1031)+AX1031/_xlfn.XLOOKUP(_xlfn.XLOOKUP($F1031,Clientes!$B$4:$B$39,Clientes!$C$4:$C$39),Cadastros!$L$6:$L$12,Cadastros!$M$6:$M$12)+IF($F1031="Bernardino Furlan",AY1031/2751.92,IF($F1031="Mauro José Salanti",AY1031/2751.92,AY1031/3356)),F1031&lt;&gt;0,SUM(L1031,Q1031,V1031,AA1031,AF1031,AK1031,AP1031,AU1031))))</f>
        <v xml:space="preserve"> </v>
      </c>
      <c r="BE1031" s="120"/>
      <c r="BF1031" s="120"/>
      <c r="BG1031" s="120"/>
    </row>
    <row r="1032" spans="1:59" s="3" customFormat="1" x14ac:dyDescent="0.3">
      <c r="A1032" s="15" t="str">
        <f t="shared" ref="A1032:A1095" si="208">IF(C1032="orçamento",25%,IF(C1032="aprovado",50%,IF(C1032="entregue",100%,IF(C1032="não aceito",0%,""))))</f>
        <v/>
      </c>
      <c r="B1032" s="25"/>
      <c r="C1032" s="26"/>
      <c r="D1032" s="279"/>
      <c r="E1032" s="27"/>
      <c r="F1032" s="28"/>
      <c r="G1032" s="27"/>
      <c r="H1032" s="28"/>
      <c r="I1032" s="28"/>
      <c r="J1032" s="255" t="str">
        <f>IF(H1032="","",(_xlfn.XLOOKUP(H1032,Cadastros!$D$6:$D$90,Cadastros!$E$6:$E$90))*(1-_xlfn.XLOOKUP(_xlfn.XLOOKUP($F1032,Clientes!$B$4:$B$39,Clientes!$C$4:$C$39),Cadastros!$L$6:$L$12,Cadastros!$N$6:$N$12)))</f>
        <v/>
      </c>
      <c r="K1032" s="168" t="str">
        <f t="shared" ref="K1032:K1095" si="209">IF(J1032="","",I1032*J1032)</f>
        <v/>
      </c>
      <c r="L1032" s="168" t="str">
        <f>IFERROR(K1032/_xlfn.XLOOKUP(_xlfn.XLOOKUP($F1032,Clientes!$B$4:$B$39,Clientes!$C$4:$C$39),Cadastros!$L$6:$L$12,Cadastros!$M$6:$M$12)," ")</f>
        <v xml:space="preserve"> </v>
      </c>
      <c r="M1032" s="28"/>
      <c r="N1032" s="28"/>
      <c r="O1032" s="255" t="str">
        <f>IF(M1032="","",(_xlfn.XLOOKUP(M1032,Cadastros!$D$6:$D$90,Cadastros!$E$6:$E$90))*(1-_xlfn.XLOOKUP(_xlfn.XLOOKUP($F1032,Clientes!$B$4:$B$39,Clientes!$C$4:$C$39),Cadastros!$L$6:$L$12,Cadastros!$N$6:$N$12)))</f>
        <v/>
      </c>
      <c r="P1032" s="168" t="str">
        <f t="shared" ref="P1032:P1095" si="210">IF(O1032="","",N1032*O1032)</f>
        <v/>
      </c>
      <c r="Q1032" s="168" t="str">
        <f>IFERROR(P1032/_xlfn.XLOOKUP(_xlfn.XLOOKUP($F1032,Clientes!$B$4:$B$39,Clientes!$C$4:$C$39),Cadastros!$L$6:$L$12,Cadastros!$M$6:$M$12)," ")</f>
        <v xml:space="preserve"> </v>
      </c>
      <c r="R1032" s="28"/>
      <c r="S1032" s="28"/>
      <c r="T1032" s="255" t="str">
        <f>IF(R1032="","",(_xlfn.XLOOKUP(R1032,Cadastros!$D$6:$D$90,Cadastros!$E$6:$E$90))*(1-_xlfn.XLOOKUP(_xlfn.XLOOKUP($F1032,Clientes!$B$4:$B$39,Clientes!$C$4:$C$39),Cadastros!$L$6:$L$12,Cadastros!$N$6:$N$12)))</f>
        <v/>
      </c>
      <c r="U1032" s="168" t="str">
        <f t="shared" ref="U1032:U1095" si="211">IF(T1032="","",S1032*T1032)</f>
        <v/>
      </c>
      <c r="V1032" s="168" t="str">
        <f>IFERROR(U1032/_xlfn.XLOOKUP(_xlfn.XLOOKUP($F1032,Clientes!$B$4:$B$39,Clientes!$C$4:$C$39),Cadastros!$L$6:$L$12,Cadastros!$M$6:$M$12)," ")</f>
        <v xml:space="preserve"> </v>
      </c>
      <c r="W1032" s="28"/>
      <c r="X1032" s="28"/>
      <c r="Y1032" s="255" t="str">
        <f>IF(W1032="","",(_xlfn.XLOOKUP(W1032,Cadastros!$D$6:$D$90,Cadastros!$E$6:$E$90))*(1-_xlfn.XLOOKUP(_xlfn.XLOOKUP($F1032,Clientes!$B$4:$B$39,Clientes!$C$4:$C$39),Cadastros!$L$6:$L$12,Cadastros!$N$6:$N$12)))</f>
        <v/>
      </c>
      <c r="Z1032" s="168" t="str">
        <f t="shared" ref="Z1032:Z1095" si="212">IF(Y1032="","",X1032*Y1032)</f>
        <v/>
      </c>
      <c r="AA1032" s="168" t="str">
        <f>IFERROR(Z1032/_xlfn.XLOOKUP(_xlfn.XLOOKUP($F1032,Clientes!$B$4:$B$39,Clientes!$C$4:$C$39),Cadastros!$L$6:$L$12,Cadastros!$M$6:$M$12)," ")</f>
        <v xml:space="preserve"> </v>
      </c>
      <c r="AB1032" s="28"/>
      <c r="AC1032" s="28"/>
      <c r="AD1032" s="20" t="str">
        <f>IF(AB1032="","",IF($F1032="Bernardino Furlan",_xlfn.XLOOKUP(AB1032,Cadastros!$G$6:$G$90,Cadastros!$H$6:$H$90)*(1-0.18),IF($F1032="Mauro José Salanti",_xlfn.XLOOKUP(AB1032,Cadastros!$G$6:$G$90,Cadastros!$H$6:$H$90)*(1-0.18),_xlfn.XLOOKUP(AB1032,Cadastros!$G$6:$G$90,Cadastros!$H$6:$H$90))))</f>
        <v/>
      </c>
      <c r="AE1032" s="168" t="str">
        <f t="shared" ref="AE1032:AE1095" si="213">IF(AD1032="","",AC1032*AD1032)</f>
        <v/>
      </c>
      <c r="AF1032" s="168" t="str">
        <f t="shared" ref="AF1032:AF1095" si="214">IFERROR(IF($F1032="Bernardino Furlan",AE1032/2751.92,IF($F1032="Mauro José Salanti",AE1032/2751.92,AE1032/3356)),"")</f>
        <v/>
      </c>
      <c r="AG1032" s="28"/>
      <c r="AH1032" s="28"/>
      <c r="AI1032" s="20" t="str">
        <f>IF(AG1032="","",IF($F1032="Bernardino Furlan",_xlfn.XLOOKUP(AG1032,Cadastros!$G$6:$G$90,Cadastros!$H$6:$H$90)*(1-0.18),IF($F1032="Mauro José Salanti",_xlfn.XLOOKUP(AG1032,Cadastros!$G$6:$G$90,Cadastros!$H$6:$H$90)*(1-0.18),_xlfn.XLOOKUP(AG1032,Cadastros!$G$6:$G$90,Cadastros!$H$6:$H$90))))</f>
        <v/>
      </c>
      <c r="AJ1032" s="168" t="str">
        <f t="shared" ref="AJ1032:AJ1095" si="215">IF(AI1032="","",AH1032*AI1032)</f>
        <v/>
      </c>
      <c r="AK1032" s="168" t="str">
        <f t="shared" ref="AK1032:AK1095" si="216">IFERROR(IF($F1032="Bernardino Furlan",AJ1032/2751.92,IF($F1032="Mauro José Salanti",AJ1032/2751.92,AJ1032/3356)),"")</f>
        <v/>
      </c>
      <c r="AL1032" s="28"/>
      <c r="AM1032" s="28"/>
      <c r="AN1032" s="20" t="str">
        <f>IF(AL1032="","",IF($F1032="Bernardino Furlan",_xlfn.XLOOKUP(AL1032,Cadastros!$G$6:$G$90,Cadastros!$H$6:$H$90)*(1-0.18),IF($F1032="Mauro José Salanti",_xlfn.XLOOKUP(AL1032,Cadastros!$G$6:$G$90,Cadastros!$H$6:$H$90)*(1-0.18),_xlfn.XLOOKUP(AL1032,Cadastros!$G$6:$G$90,Cadastros!$H$6:$H$90))))</f>
        <v/>
      </c>
      <c r="AO1032" s="168" t="str">
        <f t="shared" ref="AO1032:AO1095" si="217">IF(AN1032="","",AM1032*AN1032)</f>
        <v/>
      </c>
      <c r="AP1032" s="168" t="str">
        <f t="shared" ref="AP1032:AP1095" si="218">IFERROR(IF($F1032="Bernardino Furlan",AO1032/2751.92,IF($F1032="Mauro José Salanti",AO1032/2751.92,AO1032/3356)),"")</f>
        <v/>
      </c>
      <c r="AQ1032" s="28"/>
      <c r="AR1032" s="28"/>
      <c r="AS1032" s="20" t="str">
        <f>IF(AQ1032="","",IF($F1032="Bernardino Furlan",_xlfn.XLOOKUP(AQ1032,Cadastros!$G$6:$G$90,Cadastros!$H$6:$H$90)*(1-0.18),IF($F1032="Mauro José Salanti",_xlfn.XLOOKUP(AQ1032,Cadastros!$G$6:$G$90,Cadastros!$H$6:$H$90)*(1-0.18),_xlfn.XLOOKUP(AQ1032,Cadastros!$G$6:$G$90,Cadastros!$H$6:$H$90))))</f>
        <v/>
      </c>
      <c r="AT1032" s="168" t="str">
        <f t="shared" ref="AT1032:AT1095" si="219">IF(AS1032="","",AR1032*AS1032)</f>
        <v/>
      </c>
      <c r="AU1032" s="168" t="str">
        <f t="shared" ref="AU1032:AU1095" si="220">IFERROR(IF($F1032="Bernardino Furlan",AT1032/2751.92,IF($F1032="Mauro José Salanti",AT1032/2751.92,AT1032/3356)),"")</f>
        <v/>
      </c>
      <c r="AV1032" s="227"/>
      <c r="AW1032" s="30"/>
      <c r="AX1032" s="267"/>
      <c r="AY1032" s="267"/>
      <c r="AZ1032" s="29"/>
      <c r="BA1032" s="30"/>
      <c r="BB1032" s="23" t="str" cm="1">
        <f t="array" ref="BB1032">_xlfn.IFS(AW1032="SIM",SUM(K1032,P1032,U1032,Z1032,AE1032,AJ1032,AO1032,AT1032,AX1032,AY1032),F1032&lt;&gt;"",SUM(K1032,P1032,U1032,Z1032,AE1032,AJ1032,,AO1032,AT1032),F1032="","")</f>
        <v/>
      </c>
      <c r="BC1032" s="211" t="str" cm="1">
        <f t="array" ref="BC1032">_xlfn.IFS(E1032="","",G1032&lt;=E1032,BB1032*(1-0.03),G1032&lt;(E1032+8),BB1032,AZ1032="Boleto",BB1032*(1+0.001)^DATEDIF(E1032,G1032,"D"),AZ1032="Cheque",BB1032,AZ1032="Dinheiro","Alterar forma pgto")</f>
        <v/>
      </c>
      <c r="BD1032" s="276" t="str" cm="1">
        <f t="array" ref="BD1032">IF(F1032=0," ",IF(BC1032&lt;BB1032,(_xlfn.IFS(AW1032="SIM",SUM(L1032,Q1032,V1032,AA1032,AF1032,AK1032,AP1032,AU1032)+AX1032/_xlfn.XLOOKUP(_xlfn.XLOOKUP($F1032,Clientes!$B$4:$B$39,Clientes!$C$4:$C$39),Cadastros!$L$6:$L$12,Cadastros!$M$6:$M$12)+IF($F1032="Bernardino Furlan",AY1032/2751.92,IF($F1032="Mauro José Salanti",AY1032/2751.92,AY1032/3356)),F1032&lt;&gt;0,SUM(L1032,Q1032,V1032,AA1032,AF1032,AK1032,AP1032,AU1032)))*(1-0.03),_xlfn.IFS(AW1032="SIM",SUM(L1032,Q1032,V1032,AA1032,AF1032,AK1032,AP1032,AU1032)+AX1032/_xlfn.XLOOKUP(_xlfn.XLOOKUP($F1032,Clientes!$B$4:$B$39,Clientes!$C$4:$C$39),Cadastros!$L$6:$L$12,Cadastros!$M$6:$M$12)+IF($F1032="Bernardino Furlan",AY1032/2751.92,IF($F1032="Mauro José Salanti",AY1032/2751.92,AY1032/3356)),F1032&lt;&gt;0,SUM(L1032,Q1032,V1032,AA1032,AF1032,AK1032,AP1032,AU1032))))</f>
        <v xml:space="preserve"> </v>
      </c>
      <c r="BE1032" s="120"/>
      <c r="BF1032" s="120"/>
      <c r="BG1032" s="120"/>
    </row>
    <row r="1033" spans="1:59" s="3" customFormat="1" x14ac:dyDescent="0.3">
      <c r="A1033" s="15" t="str">
        <f t="shared" si="208"/>
        <v/>
      </c>
      <c r="B1033" s="25"/>
      <c r="C1033" s="26"/>
      <c r="D1033" s="279"/>
      <c r="E1033" s="27"/>
      <c r="F1033" s="28"/>
      <c r="G1033" s="27"/>
      <c r="H1033" s="28"/>
      <c r="I1033" s="28"/>
      <c r="J1033" s="255" t="str">
        <f>IF(H1033="","",(_xlfn.XLOOKUP(H1033,Cadastros!$D$6:$D$90,Cadastros!$E$6:$E$90))*(1-_xlfn.XLOOKUP(_xlfn.XLOOKUP($F1033,Clientes!$B$4:$B$39,Clientes!$C$4:$C$39),Cadastros!$L$6:$L$12,Cadastros!$N$6:$N$12)))</f>
        <v/>
      </c>
      <c r="K1033" s="168" t="str">
        <f t="shared" si="209"/>
        <v/>
      </c>
      <c r="L1033" s="168" t="str">
        <f>IFERROR(K1033/_xlfn.XLOOKUP(_xlfn.XLOOKUP($F1033,Clientes!$B$4:$B$39,Clientes!$C$4:$C$39),Cadastros!$L$6:$L$12,Cadastros!$M$6:$M$12)," ")</f>
        <v xml:space="preserve"> </v>
      </c>
      <c r="M1033" s="28"/>
      <c r="N1033" s="28"/>
      <c r="O1033" s="255" t="str">
        <f>IF(M1033="","",(_xlfn.XLOOKUP(M1033,Cadastros!$D$6:$D$90,Cadastros!$E$6:$E$90))*(1-_xlfn.XLOOKUP(_xlfn.XLOOKUP($F1033,Clientes!$B$4:$B$39,Clientes!$C$4:$C$39),Cadastros!$L$6:$L$12,Cadastros!$N$6:$N$12)))</f>
        <v/>
      </c>
      <c r="P1033" s="168" t="str">
        <f t="shared" si="210"/>
        <v/>
      </c>
      <c r="Q1033" s="168" t="str">
        <f>IFERROR(P1033/_xlfn.XLOOKUP(_xlfn.XLOOKUP($F1033,Clientes!$B$4:$B$39,Clientes!$C$4:$C$39),Cadastros!$L$6:$L$12,Cadastros!$M$6:$M$12)," ")</f>
        <v xml:space="preserve"> </v>
      </c>
      <c r="R1033" s="28"/>
      <c r="S1033" s="28"/>
      <c r="T1033" s="255" t="str">
        <f>IF(R1033="","",(_xlfn.XLOOKUP(R1033,Cadastros!$D$6:$D$90,Cadastros!$E$6:$E$90))*(1-_xlfn.XLOOKUP(_xlfn.XLOOKUP($F1033,Clientes!$B$4:$B$39,Clientes!$C$4:$C$39),Cadastros!$L$6:$L$12,Cadastros!$N$6:$N$12)))</f>
        <v/>
      </c>
      <c r="U1033" s="168" t="str">
        <f t="shared" si="211"/>
        <v/>
      </c>
      <c r="V1033" s="168" t="str">
        <f>IFERROR(U1033/_xlfn.XLOOKUP(_xlfn.XLOOKUP($F1033,Clientes!$B$4:$B$39,Clientes!$C$4:$C$39),Cadastros!$L$6:$L$12,Cadastros!$M$6:$M$12)," ")</f>
        <v xml:space="preserve"> </v>
      </c>
      <c r="W1033" s="28"/>
      <c r="X1033" s="28"/>
      <c r="Y1033" s="255" t="str">
        <f>IF(W1033="","",(_xlfn.XLOOKUP(W1033,Cadastros!$D$6:$D$90,Cadastros!$E$6:$E$90))*(1-_xlfn.XLOOKUP(_xlfn.XLOOKUP($F1033,Clientes!$B$4:$B$39,Clientes!$C$4:$C$39),Cadastros!$L$6:$L$12,Cadastros!$N$6:$N$12)))</f>
        <v/>
      </c>
      <c r="Z1033" s="168" t="str">
        <f t="shared" si="212"/>
        <v/>
      </c>
      <c r="AA1033" s="168" t="str">
        <f>IFERROR(Z1033/_xlfn.XLOOKUP(_xlfn.XLOOKUP($F1033,Clientes!$B$4:$B$39,Clientes!$C$4:$C$39),Cadastros!$L$6:$L$12,Cadastros!$M$6:$M$12)," ")</f>
        <v xml:space="preserve"> </v>
      </c>
      <c r="AB1033" s="28"/>
      <c r="AC1033" s="28"/>
      <c r="AD1033" s="20" t="str">
        <f>IF(AB1033="","",IF($F1033="Bernardino Furlan",_xlfn.XLOOKUP(AB1033,Cadastros!$G$6:$G$90,Cadastros!$H$6:$H$90)*(1-0.18),IF($F1033="Mauro José Salanti",_xlfn.XLOOKUP(AB1033,Cadastros!$G$6:$G$90,Cadastros!$H$6:$H$90)*(1-0.18),_xlfn.XLOOKUP(AB1033,Cadastros!$G$6:$G$90,Cadastros!$H$6:$H$90))))</f>
        <v/>
      </c>
      <c r="AE1033" s="168" t="str">
        <f t="shared" si="213"/>
        <v/>
      </c>
      <c r="AF1033" s="168" t="str">
        <f t="shared" si="214"/>
        <v/>
      </c>
      <c r="AG1033" s="28"/>
      <c r="AH1033" s="28"/>
      <c r="AI1033" s="20" t="str">
        <f>IF(AG1033="","",IF($F1033="Bernardino Furlan",_xlfn.XLOOKUP(AG1033,Cadastros!$G$6:$G$90,Cadastros!$H$6:$H$90)*(1-0.18),IF($F1033="Mauro José Salanti",_xlfn.XLOOKUP(AG1033,Cadastros!$G$6:$G$90,Cadastros!$H$6:$H$90)*(1-0.18),_xlfn.XLOOKUP(AG1033,Cadastros!$G$6:$G$90,Cadastros!$H$6:$H$90))))</f>
        <v/>
      </c>
      <c r="AJ1033" s="168" t="str">
        <f t="shared" si="215"/>
        <v/>
      </c>
      <c r="AK1033" s="168" t="str">
        <f t="shared" si="216"/>
        <v/>
      </c>
      <c r="AL1033" s="28"/>
      <c r="AM1033" s="28"/>
      <c r="AN1033" s="20" t="str">
        <f>IF(AL1033="","",IF($F1033="Bernardino Furlan",_xlfn.XLOOKUP(AL1033,Cadastros!$G$6:$G$90,Cadastros!$H$6:$H$90)*(1-0.18),IF($F1033="Mauro José Salanti",_xlfn.XLOOKUP(AL1033,Cadastros!$G$6:$G$90,Cadastros!$H$6:$H$90)*(1-0.18),_xlfn.XLOOKUP(AL1033,Cadastros!$G$6:$G$90,Cadastros!$H$6:$H$90))))</f>
        <v/>
      </c>
      <c r="AO1033" s="168" t="str">
        <f t="shared" si="217"/>
        <v/>
      </c>
      <c r="AP1033" s="168" t="str">
        <f t="shared" si="218"/>
        <v/>
      </c>
      <c r="AQ1033" s="28"/>
      <c r="AR1033" s="28"/>
      <c r="AS1033" s="20" t="str">
        <f>IF(AQ1033="","",IF($F1033="Bernardino Furlan",_xlfn.XLOOKUP(AQ1033,Cadastros!$G$6:$G$90,Cadastros!$H$6:$H$90)*(1-0.18),IF($F1033="Mauro José Salanti",_xlfn.XLOOKUP(AQ1033,Cadastros!$G$6:$G$90,Cadastros!$H$6:$H$90)*(1-0.18),_xlfn.XLOOKUP(AQ1033,Cadastros!$G$6:$G$90,Cadastros!$H$6:$H$90))))</f>
        <v/>
      </c>
      <c r="AT1033" s="168" t="str">
        <f t="shared" si="219"/>
        <v/>
      </c>
      <c r="AU1033" s="168" t="str">
        <f t="shared" si="220"/>
        <v/>
      </c>
      <c r="AV1033" s="227"/>
      <c r="AW1033" s="30"/>
      <c r="AX1033" s="267"/>
      <c r="AY1033" s="267"/>
      <c r="AZ1033" s="29"/>
      <c r="BA1033" s="30"/>
      <c r="BB1033" s="23" t="str" cm="1">
        <f t="array" ref="BB1033">_xlfn.IFS(AW1033="SIM",SUM(K1033,P1033,U1033,Z1033,AE1033,AJ1033,AO1033,AT1033,AX1033,AY1033),F1033&lt;&gt;"",SUM(K1033,P1033,U1033,Z1033,AE1033,AJ1033,,AO1033,AT1033),F1033="","")</f>
        <v/>
      </c>
      <c r="BC1033" s="211" t="str" cm="1">
        <f t="array" ref="BC1033">_xlfn.IFS(E1033="","",G1033&lt;=E1033,BB1033*(1-0.03),G1033&lt;(E1033+8),BB1033,AZ1033="Boleto",BB1033*(1+0.001)^DATEDIF(E1033,G1033,"D"),AZ1033="Cheque",BB1033,AZ1033="Dinheiro","Alterar forma pgto")</f>
        <v/>
      </c>
      <c r="BD1033" s="276" t="str" cm="1">
        <f t="array" ref="BD1033">IF(F1033=0," ",IF(BC1033&lt;BB1033,(_xlfn.IFS(AW1033="SIM",SUM(L1033,Q1033,V1033,AA1033,AF1033,AK1033,AP1033,AU1033)+AX1033/_xlfn.XLOOKUP(_xlfn.XLOOKUP($F1033,Clientes!$B$4:$B$39,Clientes!$C$4:$C$39),Cadastros!$L$6:$L$12,Cadastros!$M$6:$M$12)+IF($F1033="Bernardino Furlan",AY1033/2751.92,IF($F1033="Mauro José Salanti",AY1033/2751.92,AY1033/3356)),F1033&lt;&gt;0,SUM(L1033,Q1033,V1033,AA1033,AF1033,AK1033,AP1033,AU1033)))*(1-0.03),_xlfn.IFS(AW1033="SIM",SUM(L1033,Q1033,V1033,AA1033,AF1033,AK1033,AP1033,AU1033)+AX1033/_xlfn.XLOOKUP(_xlfn.XLOOKUP($F1033,Clientes!$B$4:$B$39,Clientes!$C$4:$C$39),Cadastros!$L$6:$L$12,Cadastros!$M$6:$M$12)+IF($F1033="Bernardino Furlan",AY1033/2751.92,IF($F1033="Mauro José Salanti",AY1033/2751.92,AY1033/3356)),F1033&lt;&gt;0,SUM(L1033,Q1033,V1033,AA1033,AF1033,AK1033,AP1033,AU1033))))</f>
        <v xml:space="preserve"> </v>
      </c>
      <c r="BE1033" s="120"/>
      <c r="BF1033" s="120"/>
      <c r="BG1033" s="120"/>
    </row>
    <row r="1034" spans="1:59" s="3" customFormat="1" x14ac:dyDescent="0.3">
      <c r="A1034" s="15" t="str">
        <f t="shared" si="208"/>
        <v/>
      </c>
      <c r="B1034" s="25"/>
      <c r="C1034" s="26"/>
      <c r="D1034" s="279"/>
      <c r="E1034" s="27"/>
      <c r="F1034" s="28"/>
      <c r="G1034" s="27"/>
      <c r="H1034" s="28"/>
      <c r="I1034" s="28"/>
      <c r="J1034" s="255" t="str">
        <f>IF(H1034="","",(_xlfn.XLOOKUP(H1034,Cadastros!$D$6:$D$90,Cadastros!$E$6:$E$90))*(1-_xlfn.XLOOKUP(_xlfn.XLOOKUP($F1034,Clientes!$B$4:$B$39,Clientes!$C$4:$C$39),Cadastros!$L$6:$L$12,Cadastros!$N$6:$N$12)))</f>
        <v/>
      </c>
      <c r="K1034" s="168" t="str">
        <f t="shared" si="209"/>
        <v/>
      </c>
      <c r="L1034" s="168" t="str">
        <f>IFERROR(K1034/_xlfn.XLOOKUP(_xlfn.XLOOKUP($F1034,Clientes!$B$4:$B$39,Clientes!$C$4:$C$39),Cadastros!$L$6:$L$12,Cadastros!$M$6:$M$12)," ")</f>
        <v xml:space="preserve"> </v>
      </c>
      <c r="M1034" s="28"/>
      <c r="N1034" s="28"/>
      <c r="O1034" s="255" t="str">
        <f>IF(M1034="","",(_xlfn.XLOOKUP(M1034,Cadastros!$D$6:$D$90,Cadastros!$E$6:$E$90))*(1-_xlfn.XLOOKUP(_xlfn.XLOOKUP($F1034,Clientes!$B$4:$B$39,Clientes!$C$4:$C$39),Cadastros!$L$6:$L$12,Cadastros!$N$6:$N$12)))</f>
        <v/>
      </c>
      <c r="P1034" s="168" t="str">
        <f t="shared" si="210"/>
        <v/>
      </c>
      <c r="Q1034" s="168" t="str">
        <f>IFERROR(P1034/_xlfn.XLOOKUP(_xlfn.XLOOKUP($F1034,Clientes!$B$4:$B$39,Clientes!$C$4:$C$39),Cadastros!$L$6:$L$12,Cadastros!$M$6:$M$12)," ")</f>
        <v xml:space="preserve"> </v>
      </c>
      <c r="R1034" s="28"/>
      <c r="S1034" s="28"/>
      <c r="T1034" s="255" t="str">
        <f>IF(R1034="","",(_xlfn.XLOOKUP(R1034,Cadastros!$D$6:$D$90,Cadastros!$E$6:$E$90))*(1-_xlfn.XLOOKUP(_xlfn.XLOOKUP($F1034,Clientes!$B$4:$B$39,Clientes!$C$4:$C$39),Cadastros!$L$6:$L$12,Cadastros!$N$6:$N$12)))</f>
        <v/>
      </c>
      <c r="U1034" s="168" t="str">
        <f t="shared" si="211"/>
        <v/>
      </c>
      <c r="V1034" s="168" t="str">
        <f>IFERROR(U1034/_xlfn.XLOOKUP(_xlfn.XLOOKUP($F1034,Clientes!$B$4:$B$39,Clientes!$C$4:$C$39),Cadastros!$L$6:$L$12,Cadastros!$M$6:$M$12)," ")</f>
        <v xml:space="preserve"> </v>
      </c>
      <c r="W1034" s="28"/>
      <c r="X1034" s="28"/>
      <c r="Y1034" s="255" t="str">
        <f>IF(W1034="","",(_xlfn.XLOOKUP(W1034,Cadastros!$D$6:$D$90,Cadastros!$E$6:$E$90))*(1-_xlfn.XLOOKUP(_xlfn.XLOOKUP($F1034,Clientes!$B$4:$B$39,Clientes!$C$4:$C$39),Cadastros!$L$6:$L$12,Cadastros!$N$6:$N$12)))</f>
        <v/>
      </c>
      <c r="Z1034" s="168" t="str">
        <f t="shared" si="212"/>
        <v/>
      </c>
      <c r="AA1034" s="168" t="str">
        <f>IFERROR(Z1034/_xlfn.XLOOKUP(_xlfn.XLOOKUP($F1034,Clientes!$B$4:$B$39,Clientes!$C$4:$C$39),Cadastros!$L$6:$L$12,Cadastros!$M$6:$M$12)," ")</f>
        <v xml:space="preserve"> </v>
      </c>
      <c r="AB1034" s="28"/>
      <c r="AC1034" s="28"/>
      <c r="AD1034" s="20" t="str">
        <f>IF(AB1034="","",IF($F1034="Bernardino Furlan",_xlfn.XLOOKUP(AB1034,Cadastros!$G$6:$G$90,Cadastros!$H$6:$H$90)*(1-0.18),IF($F1034="Mauro José Salanti",_xlfn.XLOOKUP(AB1034,Cadastros!$G$6:$G$90,Cadastros!$H$6:$H$90)*(1-0.18),_xlfn.XLOOKUP(AB1034,Cadastros!$G$6:$G$90,Cadastros!$H$6:$H$90))))</f>
        <v/>
      </c>
      <c r="AE1034" s="168" t="str">
        <f t="shared" si="213"/>
        <v/>
      </c>
      <c r="AF1034" s="168" t="str">
        <f t="shared" si="214"/>
        <v/>
      </c>
      <c r="AG1034" s="28"/>
      <c r="AH1034" s="28"/>
      <c r="AI1034" s="20" t="str">
        <f>IF(AG1034="","",IF($F1034="Bernardino Furlan",_xlfn.XLOOKUP(AG1034,Cadastros!$G$6:$G$90,Cadastros!$H$6:$H$90)*(1-0.18),IF($F1034="Mauro José Salanti",_xlfn.XLOOKUP(AG1034,Cadastros!$G$6:$G$90,Cadastros!$H$6:$H$90)*(1-0.18),_xlfn.XLOOKUP(AG1034,Cadastros!$G$6:$G$90,Cadastros!$H$6:$H$90))))</f>
        <v/>
      </c>
      <c r="AJ1034" s="168" t="str">
        <f t="shared" si="215"/>
        <v/>
      </c>
      <c r="AK1034" s="168" t="str">
        <f t="shared" si="216"/>
        <v/>
      </c>
      <c r="AL1034" s="28"/>
      <c r="AM1034" s="28"/>
      <c r="AN1034" s="20" t="str">
        <f>IF(AL1034="","",IF($F1034="Bernardino Furlan",_xlfn.XLOOKUP(AL1034,Cadastros!$G$6:$G$90,Cadastros!$H$6:$H$90)*(1-0.18),IF($F1034="Mauro José Salanti",_xlfn.XLOOKUP(AL1034,Cadastros!$G$6:$G$90,Cadastros!$H$6:$H$90)*(1-0.18),_xlfn.XLOOKUP(AL1034,Cadastros!$G$6:$G$90,Cadastros!$H$6:$H$90))))</f>
        <v/>
      </c>
      <c r="AO1034" s="168" t="str">
        <f t="shared" si="217"/>
        <v/>
      </c>
      <c r="AP1034" s="168" t="str">
        <f t="shared" si="218"/>
        <v/>
      </c>
      <c r="AQ1034" s="28"/>
      <c r="AR1034" s="28"/>
      <c r="AS1034" s="20" t="str">
        <f>IF(AQ1034="","",IF($F1034="Bernardino Furlan",_xlfn.XLOOKUP(AQ1034,Cadastros!$G$6:$G$90,Cadastros!$H$6:$H$90)*(1-0.18),IF($F1034="Mauro José Salanti",_xlfn.XLOOKUP(AQ1034,Cadastros!$G$6:$G$90,Cadastros!$H$6:$H$90)*(1-0.18),_xlfn.XLOOKUP(AQ1034,Cadastros!$G$6:$G$90,Cadastros!$H$6:$H$90))))</f>
        <v/>
      </c>
      <c r="AT1034" s="168" t="str">
        <f t="shared" si="219"/>
        <v/>
      </c>
      <c r="AU1034" s="168" t="str">
        <f t="shared" si="220"/>
        <v/>
      </c>
      <c r="AV1034" s="227"/>
      <c r="AW1034" s="30"/>
      <c r="AX1034" s="267"/>
      <c r="AY1034" s="267"/>
      <c r="AZ1034" s="29"/>
      <c r="BA1034" s="30"/>
      <c r="BB1034" s="23" t="str" cm="1">
        <f t="array" ref="BB1034">_xlfn.IFS(AW1034="SIM",SUM(K1034,P1034,U1034,Z1034,AE1034,AJ1034,AO1034,AT1034,AX1034,AY1034),F1034&lt;&gt;"",SUM(K1034,P1034,U1034,Z1034,AE1034,AJ1034,,AO1034,AT1034),F1034="","")</f>
        <v/>
      </c>
      <c r="BC1034" s="211" t="str" cm="1">
        <f t="array" ref="BC1034">_xlfn.IFS(E1034="","",G1034&lt;=E1034,BB1034*(1-0.03),G1034&lt;(E1034+8),BB1034,AZ1034="Boleto",BB1034*(1+0.001)^DATEDIF(E1034,G1034,"D"),AZ1034="Cheque",BB1034,AZ1034="Dinheiro","Alterar forma pgto")</f>
        <v/>
      </c>
      <c r="BD1034" s="276" t="str" cm="1">
        <f t="array" ref="BD1034">IF(F1034=0," ",IF(BC1034&lt;BB1034,(_xlfn.IFS(AW1034="SIM",SUM(L1034,Q1034,V1034,AA1034,AF1034,AK1034,AP1034,AU1034)+AX1034/_xlfn.XLOOKUP(_xlfn.XLOOKUP($F1034,Clientes!$B$4:$B$39,Clientes!$C$4:$C$39),Cadastros!$L$6:$L$12,Cadastros!$M$6:$M$12)+IF($F1034="Bernardino Furlan",AY1034/2751.92,IF($F1034="Mauro José Salanti",AY1034/2751.92,AY1034/3356)),F1034&lt;&gt;0,SUM(L1034,Q1034,V1034,AA1034,AF1034,AK1034,AP1034,AU1034)))*(1-0.03),_xlfn.IFS(AW1034="SIM",SUM(L1034,Q1034,V1034,AA1034,AF1034,AK1034,AP1034,AU1034)+AX1034/_xlfn.XLOOKUP(_xlfn.XLOOKUP($F1034,Clientes!$B$4:$B$39,Clientes!$C$4:$C$39),Cadastros!$L$6:$L$12,Cadastros!$M$6:$M$12)+IF($F1034="Bernardino Furlan",AY1034/2751.92,IF($F1034="Mauro José Salanti",AY1034/2751.92,AY1034/3356)),F1034&lt;&gt;0,SUM(L1034,Q1034,V1034,AA1034,AF1034,AK1034,AP1034,AU1034))))</f>
        <v xml:space="preserve"> </v>
      </c>
      <c r="BE1034" s="120"/>
      <c r="BF1034" s="120"/>
      <c r="BG1034" s="120"/>
    </row>
    <row r="1035" spans="1:59" s="3" customFormat="1" x14ac:dyDescent="0.3">
      <c r="A1035" s="15" t="str">
        <f t="shared" si="208"/>
        <v/>
      </c>
      <c r="B1035" s="25"/>
      <c r="C1035" s="26"/>
      <c r="D1035" s="279"/>
      <c r="E1035" s="27"/>
      <c r="F1035" s="28"/>
      <c r="G1035" s="27"/>
      <c r="H1035" s="28"/>
      <c r="I1035" s="28"/>
      <c r="J1035" s="255" t="str">
        <f>IF(H1035="","",(_xlfn.XLOOKUP(H1035,Cadastros!$D$6:$D$90,Cadastros!$E$6:$E$90))*(1-_xlfn.XLOOKUP(_xlfn.XLOOKUP($F1035,Clientes!$B$4:$B$39,Clientes!$C$4:$C$39),Cadastros!$L$6:$L$12,Cadastros!$N$6:$N$12)))</f>
        <v/>
      </c>
      <c r="K1035" s="168" t="str">
        <f t="shared" si="209"/>
        <v/>
      </c>
      <c r="L1035" s="168" t="str">
        <f>IFERROR(K1035/_xlfn.XLOOKUP(_xlfn.XLOOKUP($F1035,Clientes!$B$4:$B$39,Clientes!$C$4:$C$39),Cadastros!$L$6:$L$12,Cadastros!$M$6:$M$12)," ")</f>
        <v xml:space="preserve"> </v>
      </c>
      <c r="M1035" s="28"/>
      <c r="N1035" s="28"/>
      <c r="O1035" s="255" t="str">
        <f>IF(M1035="","",(_xlfn.XLOOKUP(M1035,Cadastros!$D$6:$D$90,Cadastros!$E$6:$E$90))*(1-_xlfn.XLOOKUP(_xlfn.XLOOKUP($F1035,Clientes!$B$4:$B$39,Clientes!$C$4:$C$39),Cadastros!$L$6:$L$12,Cadastros!$N$6:$N$12)))</f>
        <v/>
      </c>
      <c r="P1035" s="168" t="str">
        <f t="shared" si="210"/>
        <v/>
      </c>
      <c r="Q1035" s="168" t="str">
        <f>IFERROR(P1035/_xlfn.XLOOKUP(_xlfn.XLOOKUP($F1035,Clientes!$B$4:$B$39,Clientes!$C$4:$C$39),Cadastros!$L$6:$L$12,Cadastros!$M$6:$M$12)," ")</f>
        <v xml:space="preserve"> </v>
      </c>
      <c r="R1035" s="28"/>
      <c r="S1035" s="28"/>
      <c r="T1035" s="255" t="str">
        <f>IF(R1035="","",(_xlfn.XLOOKUP(R1035,Cadastros!$D$6:$D$90,Cadastros!$E$6:$E$90))*(1-_xlfn.XLOOKUP(_xlfn.XLOOKUP($F1035,Clientes!$B$4:$B$39,Clientes!$C$4:$C$39),Cadastros!$L$6:$L$12,Cadastros!$N$6:$N$12)))</f>
        <v/>
      </c>
      <c r="U1035" s="168" t="str">
        <f t="shared" si="211"/>
        <v/>
      </c>
      <c r="V1035" s="168" t="str">
        <f>IFERROR(U1035/_xlfn.XLOOKUP(_xlfn.XLOOKUP($F1035,Clientes!$B$4:$B$39,Clientes!$C$4:$C$39),Cadastros!$L$6:$L$12,Cadastros!$M$6:$M$12)," ")</f>
        <v xml:space="preserve"> </v>
      </c>
      <c r="W1035" s="28"/>
      <c r="X1035" s="28"/>
      <c r="Y1035" s="255" t="str">
        <f>IF(W1035="","",(_xlfn.XLOOKUP(W1035,Cadastros!$D$6:$D$90,Cadastros!$E$6:$E$90))*(1-_xlfn.XLOOKUP(_xlfn.XLOOKUP($F1035,Clientes!$B$4:$B$39,Clientes!$C$4:$C$39),Cadastros!$L$6:$L$12,Cadastros!$N$6:$N$12)))</f>
        <v/>
      </c>
      <c r="Z1035" s="168" t="str">
        <f t="shared" si="212"/>
        <v/>
      </c>
      <c r="AA1035" s="168" t="str">
        <f>IFERROR(Z1035/_xlfn.XLOOKUP(_xlfn.XLOOKUP($F1035,Clientes!$B$4:$B$39,Clientes!$C$4:$C$39),Cadastros!$L$6:$L$12,Cadastros!$M$6:$M$12)," ")</f>
        <v xml:space="preserve"> </v>
      </c>
      <c r="AB1035" s="28"/>
      <c r="AC1035" s="28"/>
      <c r="AD1035" s="20" t="str">
        <f>IF(AB1035="","",IF($F1035="Bernardino Furlan",_xlfn.XLOOKUP(AB1035,Cadastros!$G$6:$G$90,Cadastros!$H$6:$H$90)*(1-0.18),IF($F1035="Mauro José Salanti",_xlfn.XLOOKUP(AB1035,Cadastros!$G$6:$G$90,Cadastros!$H$6:$H$90)*(1-0.18),_xlfn.XLOOKUP(AB1035,Cadastros!$G$6:$G$90,Cadastros!$H$6:$H$90))))</f>
        <v/>
      </c>
      <c r="AE1035" s="168" t="str">
        <f t="shared" si="213"/>
        <v/>
      </c>
      <c r="AF1035" s="168" t="str">
        <f t="shared" si="214"/>
        <v/>
      </c>
      <c r="AG1035" s="28"/>
      <c r="AH1035" s="28"/>
      <c r="AI1035" s="20" t="str">
        <f>IF(AG1035="","",IF($F1035="Bernardino Furlan",_xlfn.XLOOKUP(AG1035,Cadastros!$G$6:$G$90,Cadastros!$H$6:$H$90)*(1-0.18),IF($F1035="Mauro José Salanti",_xlfn.XLOOKUP(AG1035,Cadastros!$G$6:$G$90,Cadastros!$H$6:$H$90)*(1-0.18),_xlfn.XLOOKUP(AG1035,Cadastros!$G$6:$G$90,Cadastros!$H$6:$H$90))))</f>
        <v/>
      </c>
      <c r="AJ1035" s="168" t="str">
        <f t="shared" si="215"/>
        <v/>
      </c>
      <c r="AK1035" s="168" t="str">
        <f t="shared" si="216"/>
        <v/>
      </c>
      <c r="AL1035" s="28"/>
      <c r="AM1035" s="28"/>
      <c r="AN1035" s="20" t="str">
        <f>IF(AL1035="","",IF($F1035="Bernardino Furlan",_xlfn.XLOOKUP(AL1035,Cadastros!$G$6:$G$90,Cadastros!$H$6:$H$90)*(1-0.18),IF($F1035="Mauro José Salanti",_xlfn.XLOOKUP(AL1035,Cadastros!$G$6:$G$90,Cadastros!$H$6:$H$90)*(1-0.18),_xlfn.XLOOKUP(AL1035,Cadastros!$G$6:$G$90,Cadastros!$H$6:$H$90))))</f>
        <v/>
      </c>
      <c r="AO1035" s="168" t="str">
        <f t="shared" si="217"/>
        <v/>
      </c>
      <c r="AP1035" s="168" t="str">
        <f t="shared" si="218"/>
        <v/>
      </c>
      <c r="AQ1035" s="28"/>
      <c r="AR1035" s="28"/>
      <c r="AS1035" s="20" t="str">
        <f>IF(AQ1035="","",IF($F1035="Bernardino Furlan",_xlfn.XLOOKUP(AQ1035,Cadastros!$G$6:$G$90,Cadastros!$H$6:$H$90)*(1-0.18),IF($F1035="Mauro José Salanti",_xlfn.XLOOKUP(AQ1035,Cadastros!$G$6:$G$90,Cadastros!$H$6:$H$90)*(1-0.18),_xlfn.XLOOKUP(AQ1035,Cadastros!$G$6:$G$90,Cadastros!$H$6:$H$90))))</f>
        <v/>
      </c>
      <c r="AT1035" s="168" t="str">
        <f t="shared" si="219"/>
        <v/>
      </c>
      <c r="AU1035" s="168" t="str">
        <f t="shared" si="220"/>
        <v/>
      </c>
      <c r="AV1035" s="227"/>
      <c r="AW1035" s="30"/>
      <c r="AX1035" s="267"/>
      <c r="AY1035" s="267"/>
      <c r="AZ1035" s="29"/>
      <c r="BA1035" s="30"/>
      <c r="BB1035" s="23" t="str" cm="1">
        <f t="array" ref="BB1035">_xlfn.IFS(AW1035="SIM",SUM(K1035,P1035,U1035,Z1035,AE1035,AJ1035,AO1035,AT1035,AX1035,AY1035),F1035&lt;&gt;"",SUM(K1035,P1035,U1035,Z1035,AE1035,AJ1035,,AO1035,AT1035),F1035="","")</f>
        <v/>
      </c>
      <c r="BC1035" s="211" t="str" cm="1">
        <f t="array" ref="BC1035">_xlfn.IFS(E1035="","",G1035&lt;=E1035,BB1035*(1-0.03),G1035&lt;(E1035+8),BB1035,AZ1035="Boleto",BB1035*(1+0.001)^DATEDIF(E1035,G1035,"D"),AZ1035="Cheque",BB1035,AZ1035="Dinheiro","Alterar forma pgto")</f>
        <v/>
      </c>
      <c r="BD1035" s="276" t="str" cm="1">
        <f t="array" ref="BD1035">IF(F1035=0," ",IF(BC1035&lt;BB1035,(_xlfn.IFS(AW1035="SIM",SUM(L1035,Q1035,V1035,AA1035,AF1035,AK1035,AP1035,AU1035)+AX1035/_xlfn.XLOOKUP(_xlfn.XLOOKUP($F1035,Clientes!$B$4:$B$39,Clientes!$C$4:$C$39),Cadastros!$L$6:$L$12,Cadastros!$M$6:$M$12)+IF($F1035="Bernardino Furlan",AY1035/2751.92,IF($F1035="Mauro José Salanti",AY1035/2751.92,AY1035/3356)),F1035&lt;&gt;0,SUM(L1035,Q1035,V1035,AA1035,AF1035,AK1035,AP1035,AU1035)))*(1-0.03),_xlfn.IFS(AW1035="SIM",SUM(L1035,Q1035,V1035,AA1035,AF1035,AK1035,AP1035,AU1035)+AX1035/_xlfn.XLOOKUP(_xlfn.XLOOKUP($F1035,Clientes!$B$4:$B$39,Clientes!$C$4:$C$39),Cadastros!$L$6:$L$12,Cadastros!$M$6:$M$12)+IF($F1035="Bernardino Furlan",AY1035/2751.92,IF($F1035="Mauro José Salanti",AY1035/2751.92,AY1035/3356)),F1035&lt;&gt;0,SUM(L1035,Q1035,V1035,AA1035,AF1035,AK1035,AP1035,AU1035))))</f>
        <v xml:space="preserve"> </v>
      </c>
      <c r="BE1035" s="120"/>
      <c r="BF1035" s="120"/>
      <c r="BG1035" s="120"/>
    </row>
    <row r="1036" spans="1:59" s="3" customFormat="1" x14ac:dyDescent="0.3">
      <c r="A1036" s="15" t="str">
        <f t="shared" si="208"/>
        <v/>
      </c>
      <c r="B1036" s="25"/>
      <c r="C1036" s="26"/>
      <c r="D1036" s="279"/>
      <c r="E1036" s="27"/>
      <c r="F1036" s="28"/>
      <c r="G1036" s="27"/>
      <c r="H1036" s="28"/>
      <c r="I1036" s="28"/>
      <c r="J1036" s="255" t="str">
        <f>IF(H1036="","",(_xlfn.XLOOKUP(H1036,Cadastros!$D$6:$D$90,Cadastros!$E$6:$E$90))*(1-_xlfn.XLOOKUP(_xlfn.XLOOKUP($F1036,Clientes!$B$4:$B$39,Clientes!$C$4:$C$39),Cadastros!$L$6:$L$12,Cadastros!$N$6:$N$12)))</f>
        <v/>
      </c>
      <c r="K1036" s="168" t="str">
        <f t="shared" si="209"/>
        <v/>
      </c>
      <c r="L1036" s="168" t="str">
        <f>IFERROR(K1036/_xlfn.XLOOKUP(_xlfn.XLOOKUP($F1036,Clientes!$B$4:$B$39,Clientes!$C$4:$C$39),Cadastros!$L$6:$L$12,Cadastros!$M$6:$M$12)," ")</f>
        <v xml:space="preserve"> </v>
      </c>
      <c r="M1036" s="28"/>
      <c r="N1036" s="28"/>
      <c r="O1036" s="255" t="str">
        <f>IF(M1036="","",(_xlfn.XLOOKUP(M1036,Cadastros!$D$6:$D$90,Cadastros!$E$6:$E$90))*(1-_xlfn.XLOOKUP(_xlfn.XLOOKUP($F1036,Clientes!$B$4:$B$39,Clientes!$C$4:$C$39),Cadastros!$L$6:$L$12,Cadastros!$N$6:$N$12)))</f>
        <v/>
      </c>
      <c r="P1036" s="168" t="str">
        <f t="shared" si="210"/>
        <v/>
      </c>
      <c r="Q1036" s="168" t="str">
        <f>IFERROR(P1036/_xlfn.XLOOKUP(_xlfn.XLOOKUP($F1036,Clientes!$B$4:$B$39,Clientes!$C$4:$C$39),Cadastros!$L$6:$L$12,Cadastros!$M$6:$M$12)," ")</f>
        <v xml:space="preserve"> </v>
      </c>
      <c r="R1036" s="28"/>
      <c r="S1036" s="28"/>
      <c r="T1036" s="255" t="str">
        <f>IF(R1036="","",(_xlfn.XLOOKUP(R1036,Cadastros!$D$6:$D$90,Cadastros!$E$6:$E$90))*(1-_xlfn.XLOOKUP(_xlfn.XLOOKUP($F1036,Clientes!$B$4:$B$39,Clientes!$C$4:$C$39),Cadastros!$L$6:$L$12,Cadastros!$N$6:$N$12)))</f>
        <v/>
      </c>
      <c r="U1036" s="168" t="str">
        <f t="shared" si="211"/>
        <v/>
      </c>
      <c r="V1036" s="168" t="str">
        <f>IFERROR(U1036/_xlfn.XLOOKUP(_xlfn.XLOOKUP($F1036,Clientes!$B$4:$B$39,Clientes!$C$4:$C$39),Cadastros!$L$6:$L$12,Cadastros!$M$6:$M$12)," ")</f>
        <v xml:space="preserve"> </v>
      </c>
      <c r="W1036" s="28"/>
      <c r="X1036" s="28"/>
      <c r="Y1036" s="255" t="str">
        <f>IF(W1036="","",(_xlfn.XLOOKUP(W1036,Cadastros!$D$6:$D$90,Cadastros!$E$6:$E$90))*(1-_xlfn.XLOOKUP(_xlfn.XLOOKUP($F1036,Clientes!$B$4:$B$39,Clientes!$C$4:$C$39),Cadastros!$L$6:$L$12,Cadastros!$N$6:$N$12)))</f>
        <v/>
      </c>
      <c r="Z1036" s="168" t="str">
        <f t="shared" si="212"/>
        <v/>
      </c>
      <c r="AA1036" s="168" t="str">
        <f>IFERROR(Z1036/_xlfn.XLOOKUP(_xlfn.XLOOKUP($F1036,Clientes!$B$4:$B$39,Clientes!$C$4:$C$39),Cadastros!$L$6:$L$12,Cadastros!$M$6:$M$12)," ")</f>
        <v xml:space="preserve"> </v>
      </c>
      <c r="AB1036" s="28"/>
      <c r="AC1036" s="28"/>
      <c r="AD1036" s="20" t="str">
        <f>IF(AB1036="","",IF($F1036="Bernardino Furlan",_xlfn.XLOOKUP(AB1036,Cadastros!$G$6:$G$90,Cadastros!$H$6:$H$90)*(1-0.18),IF($F1036="Mauro José Salanti",_xlfn.XLOOKUP(AB1036,Cadastros!$G$6:$G$90,Cadastros!$H$6:$H$90)*(1-0.18),_xlfn.XLOOKUP(AB1036,Cadastros!$G$6:$G$90,Cadastros!$H$6:$H$90))))</f>
        <v/>
      </c>
      <c r="AE1036" s="168" t="str">
        <f t="shared" si="213"/>
        <v/>
      </c>
      <c r="AF1036" s="168" t="str">
        <f t="shared" si="214"/>
        <v/>
      </c>
      <c r="AG1036" s="28"/>
      <c r="AH1036" s="28"/>
      <c r="AI1036" s="20" t="str">
        <f>IF(AG1036="","",IF($F1036="Bernardino Furlan",_xlfn.XLOOKUP(AG1036,Cadastros!$G$6:$G$90,Cadastros!$H$6:$H$90)*(1-0.18),IF($F1036="Mauro José Salanti",_xlfn.XLOOKUP(AG1036,Cadastros!$G$6:$G$90,Cadastros!$H$6:$H$90)*(1-0.18),_xlfn.XLOOKUP(AG1036,Cadastros!$G$6:$G$90,Cadastros!$H$6:$H$90))))</f>
        <v/>
      </c>
      <c r="AJ1036" s="168" t="str">
        <f t="shared" si="215"/>
        <v/>
      </c>
      <c r="AK1036" s="168" t="str">
        <f t="shared" si="216"/>
        <v/>
      </c>
      <c r="AL1036" s="28"/>
      <c r="AM1036" s="28"/>
      <c r="AN1036" s="20" t="str">
        <f>IF(AL1036="","",IF($F1036="Bernardino Furlan",_xlfn.XLOOKUP(AL1036,Cadastros!$G$6:$G$90,Cadastros!$H$6:$H$90)*(1-0.18),IF($F1036="Mauro José Salanti",_xlfn.XLOOKUP(AL1036,Cadastros!$G$6:$G$90,Cadastros!$H$6:$H$90)*(1-0.18),_xlfn.XLOOKUP(AL1036,Cadastros!$G$6:$G$90,Cadastros!$H$6:$H$90))))</f>
        <v/>
      </c>
      <c r="AO1036" s="168" t="str">
        <f t="shared" si="217"/>
        <v/>
      </c>
      <c r="AP1036" s="168" t="str">
        <f t="shared" si="218"/>
        <v/>
      </c>
      <c r="AQ1036" s="28"/>
      <c r="AR1036" s="28"/>
      <c r="AS1036" s="20" t="str">
        <f>IF(AQ1036="","",IF($F1036="Bernardino Furlan",_xlfn.XLOOKUP(AQ1036,Cadastros!$G$6:$G$90,Cadastros!$H$6:$H$90)*(1-0.18),IF($F1036="Mauro José Salanti",_xlfn.XLOOKUP(AQ1036,Cadastros!$G$6:$G$90,Cadastros!$H$6:$H$90)*(1-0.18),_xlfn.XLOOKUP(AQ1036,Cadastros!$G$6:$G$90,Cadastros!$H$6:$H$90))))</f>
        <v/>
      </c>
      <c r="AT1036" s="168" t="str">
        <f t="shared" si="219"/>
        <v/>
      </c>
      <c r="AU1036" s="168" t="str">
        <f t="shared" si="220"/>
        <v/>
      </c>
      <c r="AV1036" s="227"/>
      <c r="AW1036" s="30"/>
      <c r="AX1036" s="267"/>
      <c r="AY1036" s="267"/>
      <c r="AZ1036" s="29"/>
      <c r="BA1036" s="30"/>
      <c r="BB1036" s="23" t="str" cm="1">
        <f t="array" ref="BB1036">_xlfn.IFS(AW1036="SIM",SUM(K1036,P1036,U1036,Z1036,AE1036,AJ1036,AO1036,AT1036,AX1036,AY1036),F1036&lt;&gt;"",SUM(K1036,P1036,U1036,Z1036,AE1036,AJ1036,,AO1036,AT1036),F1036="","")</f>
        <v/>
      </c>
      <c r="BC1036" s="211" t="str" cm="1">
        <f t="array" ref="BC1036">_xlfn.IFS(E1036="","",G1036&lt;=E1036,BB1036*(1-0.03),G1036&lt;(E1036+8),BB1036,AZ1036="Boleto",BB1036*(1+0.001)^DATEDIF(E1036,G1036,"D"),AZ1036="Cheque",BB1036,AZ1036="Dinheiro","Alterar forma pgto")</f>
        <v/>
      </c>
      <c r="BD1036" s="276" t="str" cm="1">
        <f t="array" ref="BD1036">IF(F1036=0," ",IF(BC1036&lt;BB1036,(_xlfn.IFS(AW1036="SIM",SUM(L1036,Q1036,V1036,AA1036,AF1036,AK1036,AP1036,AU1036)+AX1036/_xlfn.XLOOKUP(_xlfn.XLOOKUP($F1036,Clientes!$B$4:$B$39,Clientes!$C$4:$C$39),Cadastros!$L$6:$L$12,Cadastros!$M$6:$M$12)+IF($F1036="Bernardino Furlan",AY1036/2751.92,IF($F1036="Mauro José Salanti",AY1036/2751.92,AY1036/3356)),F1036&lt;&gt;0,SUM(L1036,Q1036,V1036,AA1036,AF1036,AK1036,AP1036,AU1036)))*(1-0.03),_xlfn.IFS(AW1036="SIM",SUM(L1036,Q1036,V1036,AA1036,AF1036,AK1036,AP1036,AU1036)+AX1036/_xlfn.XLOOKUP(_xlfn.XLOOKUP($F1036,Clientes!$B$4:$B$39,Clientes!$C$4:$C$39),Cadastros!$L$6:$L$12,Cadastros!$M$6:$M$12)+IF($F1036="Bernardino Furlan",AY1036/2751.92,IF($F1036="Mauro José Salanti",AY1036/2751.92,AY1036/3356)),F1036&lt;&gt;0,SUM(L1036,Q1036,V1036,AA1036,AF1036,AK1036,AP1036,AU1036))))</f>
        <v xml:space="preserve"> </v>
      </c>
      <c r="BE1036" s="120"/>
      <c r="BF1036" s="120"/>
      <c r="BG1036" s="120"/>
    </row>
    <row r="1037" spans="1:59" s="3" customFormat="1" x14ac:dyDescent="0.3">
      <c r="A1037" s="15" t="str">
        <f t="shared" si="208"/>
        <v/>
      </c>
      <c r="B1037" s="25"/>
      <c r="C1037" s="26"/>
      <c r="D1037" s="279"/>
      <c r="E1037" s="27"/>
      <c r="F1037" s="28"/>
      <c r="G1037" s="27"/>
      <c r="H1037" s="28"/>
      <c r="I1037" s="28"/>
      <c r="J1037" s="255" t="str">
        <f>IF(H1037="","",(_xlfn.XLOOKUP(H1037,Cadastros!$D$6:$D$90,Cadastros!$E$6:$E$90))*(1-_xlfn.XLOOKUP(_xlfn.XLOOKUP($F1037,Clientes!$B$4:$B$39,Clientes!$C$4:$C$39),Cadastros!$L$6:$L$12,Cadastros!$N$6:$N$12)))</f>
        <v/>
      </c>
      <c r="K1037" s="168" t="str">
        <f t="shared" si="209"/>
        <v/>
      </c>
      <c r="L1037" s="168" t="str">
        <f>IFERROR(K1037/_xlfn.XLOOKUP(_xlfn.XLOOKUP($F1037,Clientes!$B$4:$B$39,Clientes!$C$4:$C$39),Cadastros!$L$6:$L$12,Cadastros!$M$6:$M$12)," ")</f>
        <v xml:space="preserve"> </v>
      </c>
      <c r="M1037" s="28"/>
      <c r="N1037" s="28"/>
      <c r="O1037" s="255" t="str">
        <f>IF(M1037="","",(_xlfn.XLOOKUP(M1037,Cadastros!$D$6:$D$90,Cadastros!$E$6:$E$90))*(1-_xlfn.XLOOKUP(_xlfn.XLOOKUP($F1037,Clientes!$B$4:$B$39,Clientes!$C$4:$C$39),Cadastros!$L$6:$L$12,Cadastros!$N$6:$N$12)))</f>
        <v/>
      </c>
      <c r="P1037" s="168" t="str">
        <f t="shared" si="210"/>
        <v/>
      </c>
      <c r="Q1037" s="168" t="str">
        <f>IFERROR(P1037/_xlfn.XLOOKUP(_xlfn.XLOOKUP($F1037,Clientes!$B$4:$B$39,Clientes!$C$4:$C$39),Cadastros!$L$6:$L$12,Cadastros!$M$6:$M$12)," ")</f>
        <v xml:space="preserve"> </v>
      </c>
      <c r="R1037" s="28"/>
      <c r="S1037" s="28"/>
      <c r="T1037" s="255" t="str">
        <f>IF(R1037="","",(_xlfn.XLOOKUP(R1037,Cadastros!$D$6:$D$90,Cadastros!$E$6:$E$90))*(1-_xlfn.XLOOKUP(_xlfn.XLOOKUP($F1037,Clientes!$B$4:$B$39,Clientes!$C$4:$C$39),Cadastros!$L$6:$L$12,Cadastros!$N$6:$N$12)))</f>
        <v/>
      </c>
      <c r="U1037" s="168" t="str">
        <f t="shared" si="211"/>
        <v/>
      </c>
      <c r="V1037" s="168" t="str">
        <f>IFERROR(U1037/_xlfn.XLOOKUP(_xlfn.XLOOKUP($F1037,Clientes!$B$4:$B$39,Clientes!$C$4:$C$39),Cadastros!$L$6:$L$12,Cadastros!$M$6:$M$12)," ")</f>
        <v xml:space="preserve"> </v>
      </c>
      <c r="W1037" s="28"/>
      <c r="X1037" s="28"/>
      <c r="Y1037" s="255" t="str">
        <f>IF(W1037="","",(_xlfn.XLOOKUP(W1037,Cadastros!$D$6:$D$90,Cadastros!$E$6:$E$90))*(1-_xlfn.XLOOKUP(_xlfn.XLOOKUP($F1037,Clientes!$B$4:$B$39,Clientes!$C$4:$C$39),Cadastros!$L$6:$L$12,Cadastros!$N$6:$N$12)))</f>
        <v/>
      </c>
      <c r="Z1037" s="168" t="str">
        <f t="shared" si="212"/>
        <v/>
      </c>
      <c r="AA1037" s="168" t="str">
        <f>IFERROR(Z1037/_xlfn.XLOOKUP(_xlfn.XLOOKUP($F1037,Clientes!$B$4:$B$39,Clientes!$C$4:$C$39),Cadastros!$L$6:$L$12,Cadastros!$M$6:$M$12)," ")</f>
        <v xml:space="preserve"> </v>
      </c>
      <c r="AB1037" s="28"/>
      <c r="AC1037" s="28"/>
      <c r="AD1037" s="20" t="str">
        <f>IF(AB1037="","",IF($F1037="Bernardino Furlan",_xlfn.XLOOKUP(AB1037,Cadastros!$G$6:$G$90,Cadastros!$H$6:$H$90)*(1-0.18),IF($F1037="Mauro José Salanti",_xlfn.XLOOKUP(AB1037,Cadastros!$G$6:$G$90,Cadastros!$H$6:$H$90)*(1-0.18),_xlfn.XLOOKUP(AB1037,Cadastros!$G$6:$G$90,Cadastros!$H$6:$H$90))))</f>
        <v/>
      </c>
      <c r="AE1037" s="168" t="str">
        <f t="shared" si="213"/>
        <v/>
      </c>
      <c r="AF1037" s="168" t="str">
        <f t="shared" si="214"/>
        <v/>
      </c>
      <c r="AG1037" s="28"/>
      <c r="AH1037" s="28"/>
      <c r="AI1037" s="20" t="str">
        <f>IF(AG1037="","",IF($F1037="Bernardino Furlan",_xlfn.XLOOKUP(AG1037,Cadastros!$G$6:$G$90,Cadastros!$H$6:$H$90)*(1-0.18),IF($F1037="Mauro José Salanti",_xlfn.XLOOKUP(AG1037,Cadastros!$G$6:$G$90,Cadastros!$H$6:$H$90)*(1-0.18),_xlfn.XLOOKUP(AG1037,Cadastros!$G$6:$G$90,Cadastros!$H$6:$H$90))))</f>
        <v/>
      </c>
      <c r="AJ1037" s="168" t="str">
        <f t="shared" si="215"/>
        <v/>
      </c>
      <c r="AK1037" s="168" t="str">
        <f t="shared" si="216"/>
        <v/>
      </c>
      <c r="AL1037" s="28"/>
      <c r="AM1037" s="28"/>
      <c r="AN1037" s="20" t="str">
        <f>IF(AL1037="","",IF($F1037="Bernardino Furlan",_xlfn.XLOOKUP(AL1037,Cadastros!$G$6:$G$90,Cadastros!$H$6:$H$90)*(1-0.18),IF($F1037="Mauro José Salanti",_xlfn.XLOOKUP(AL1037,Cadastros!$G$6:$G$90,Cadastros!$H$6:$H$90)*(1-0.18),_xlfn.XLOOKUP(AL1037,Cadastros!$G$6:$G$90,Cadastros!$H$6:$H$90))))</f>
        <v/>
      </c>
      <c r="AO1037" s="168" t="str">
        <f t="shared" si="217"/>
        <v/>
      </c>
      <c r="AP1037" s="168" t="str">
        <f t="shared" si="218"/>
        <v/>
      </c>
      <c r="AQ1037" s="28"/>
      <c r="AR1037" s="28"/>
      <c r="AS1037" s="20" t="str">
        <f>IF(AQ1037="","",IF($F1037="Bernardino Furlan",_xlfn.XLOOKUP(AQ1037,Cadastros!$G$6:$G$90,Cadastros!$H$6:$H$90)*(1-0.18),IF($F1037="Mauro José Salanti",_xlfn.XLOOKUP(AQ1037,Cadastros!$G$6:$G$90,Cadastros!$H$6:$H$90)*(1-0.18),_xlfn.XLOOKUP(AQ1037,Cadastros!$G$6:$G$90,Cadastros!$H$6:$H$90))))</f>
        <v/>
      </c>
      <c r="AT1037" s="168" t="str">
        <f t="shared" si="219"/>
        <v/>
      </c>
      <c r="AU1037" s="168" t="str">
        <f t="shared" si="220"/>
        <v/>
      </c>
      <c r="AV1037" s="227"/>
      <c r="AW1037" s="30"/>
      <c r="AX1037" s="267"/>
      <c r="AY1037" s="267"/>
      <c r="AZ1037" s="29"/>
      <c r="BA1037" s="30"/>
      <c r="BB1037" s="23" t="str" cm="1">
        <f t="array" ref="BB1037">_xlfn.IFS(AW1037="SIM",SUM(K1037,P1037,U1037,Z1037,AE1037,AJ1037,AO1037,AT1037,AX1037,AY1037),F1037&lt;&gt;"",SUM(K1037,P1037,U1037,Z1037,AE1037,AJ1037,,AO1037,AT1037),F1037="","")</f>
        <v/>
      </c>
      <c r="BC1037" s="211" t="str" cm="1">
        <f t="array" ref="BC1037">_xlfn.IFS(E1037="","",G1037&lt;=E1037,BB1037*(1-0.03),G1037&lt;(E1037+8),BB1037,AZ1037="Boleto",BB1037*(1+0.001)^DATEDIF(E1037,G1037,"D"),AZ1037="Cheque",BB1037,AZ1037="Dinheiro","Alterar forma pgto")</f>
        <v/>
      </c>
      <c r="BD1037" s="276" t="str" cm="1">
        <f t="array" ref="BD1037">IF(F1037=0," ",IF(BC1037&lt;BB1037,(_xlfn.IFS(AW1037="SIM",SUM(L1037,Q1037,V1037,AA1037,AF1037,AK1037,AP1037,AU1037)+AX1037/_xlfn.XLOOKUP(_xlfn.XLOOKUP($F1037,Clientes!$B$4:$B$39,Clientes!$C$4:$C$39),Cadastros!$L$6:$L$12,Cadastros!$M$6:$M$12)+IF($F1037="Bernardino Furlan",AY1037/2751.92,IF($F1037="Mauro José Salanti",AY1037/2751.92,AY1037/3356)),F1037&lt;&gt;0,SUM(L1037,Q1037,V1037,AA1037,AF1037,AK1037,AP1037,AU1037)))*(1-0.03),_xlfn.IFS(AW1037="SIM",SUM(L1037,Q1037,V1037,AA1037,AF1037,AK1037,AP1037,AU1037)+AX1037/_xlfn.XLOOKUP(_xlfn.XLOOKUP($F1037,Clientes!$B$4:$B$39,Clientes!$C$4:$C$39),Cadastros!$L$6:$L$12,Cadastros!$M$6:$M$12)+IF($F1037="Bernardino Furlan",AY1037/2751.92,IF($F1037="Mauro José Salanti",AY1037/2751.92,AY1037/3356)),F1037&lt;&gt;0,SUM(L1037,Q1037,V1037,AA1037,AF1037,AK1037,AP1037,AU1037))))</f>
        <v xml:space="preserve"> </v>
      </c>
      <c r="BE1037" s="120"/>
      <c r="BF1037" s="120"/>
      <c r="BG1037" s="120"/>
    </row>
    <row r="1038" spans="1:59" s="3" customFormat="1" x14ac:dyDescent="0.3">
      <c r="A1038" s="15" t="str">
        <f t="shared" si="208"/>
        <v/>
      </c>
      <c r="B1038" s="25"/>
      <c r="C1038" s="26"/>
      <c r="D1038" s="279"/>
      <c r="E1038" s="27"/>
      <c r="F1038" s="28"/>
      <c r="G1038" s="27"/>
      <c r="H1038" s="28"/>
      <c r="I1038" s="28"/>
      <c r="J1038" s="255" t="str">
        <f>IF(H1038="","",(_xlfn.XLOOKUP(H1038,Cadastros!$D$6:$D$90,Cadastros!$E$6:$E$90))*(1-_xlfn.XLOOKUP(_xlfn.XLOOKUP($F1038,Clientes!$B$4:$B$39,Clientes!$C$4:$C$39),Cadastros!$L$6:$L$12,Cadastros!$N$6:$N$12)))</f>
        <v/>
      </c>
      <c r="K1038" s="168" t="str">
        <f t="shared" si="209"/>
        <v/>
      </c>
      <c r="L1038" s="168" t="str">
        <f>IFERROR(K1038/_xlfn.XLOOKUP(_xlfn.XLOOKUP($F1038,Clientes!$B$4:$B$39,Clientes!$C$4:$C$39),Cadastros!$L$6:$L$12,Cadastros!$M$6:$M$12)," ")</f>
        <v xml:space="preserve"> </v>
      </c>
      <c r="M1038" s="28"/>
      <c r="N1038" s="28"/>
      <c r="O1038" s="255" t="str">
        <f>IF(M1038="","",(_xlfn.XLOOKUP(M1038,Cadastros!$D$6:$D$90,Cadastros!$E$6:$E$90))*(1-_xlfn.XLOOKUP(_xlfn.XLOOKUP($F1038,Clientes!$B$4:$B$39,Clientes!$C$4:$C$39),Cadastros!$L$6:$L$12,Cadastros!$N$6:$N$12)))</f>
        <v/>
      </c>
      <c r="P1038" s="168" t="str">
        <f t="shared" si="210"/>
        <v/>
      </c>
      <c r="Q1038" s="168" t="str">
        <f>IFERROR(P1038/_xlfn.XLOOKUP(_xlfn.XLOOKUP($F1038,Clientes!$B$4:$B$39,Clientes!$C$4:$C$39),Cadastros!$L$6:$L$12,Cadastros!$M$6:$M$12)," ")</f>
        <v xml:space="preserve"> </v>
      </c>
      <c r="R1038" s="28"/>
      <c r="S1038" s="28"/>
      <c r="T1038" s="255" t="str">
        <f>IF(R1038="","",(_xlfn.XLOOKUP(R1038,Cadastros!$D$6:$D$90,Cadastros!$E$6:$E$90))*(1-_xlfn.XLOOKUP(_xlfn.XLOOKUP($F1038,Clientes!$B$4:$B$39,Clientes!$C$4:$C$39),Cadastros!$L$6:$L$12,Cadastros!$N$6:$N$12)))</f>
        <v/>
      </c>
      <c r="U1038" s="168" t="str">
        <f t="shared" si="211"/>
        <v/>
      </c>
      <c r="V1038" s="168" t="str">
        <f>IFERROR(U1038/_xlfn.XLOOKUP(_xlfn.XLOOKUP($F1038,Clientes!$B$4:$B$39,Clientes!$C$4:$C$39),Cadastros!$L$6:$L$12,Cadastros!$M$6:$M$12)," ")</f>
        <v xml:space="preserve"> </v>
      </c>
      <c r="W1038" s="28"/>
      <c r="X1038" s="28"/>
      <c r="Y1038" s="255" t="str">
        <f>IF(W1038="","",(_xlfn.XLOOKUP(W1038,Cadastros!$D$6:$D$90,Cadastros!$E$6:$E$90))*(1-_xlfn.XLOOKUP(_xlfn.XLOOKUP($F1038,Clientes!$B$4:$B$39,Clientes!$C$4:$C$39),Cadastros!$L$6:$L$12,Cadastros!$N$6:$N$12)))</f>
        <v/>
      </c>
      <c r="Z1038" s="168" t="str">
        <f t="shared" si="212"/>
        <v/>
      </c>
      <c r="AA1038" s="168" t="str">
        <f>IFERROR(Z1038/_xlfn.XLOOKUP(_xlfn.XLOOKUP($F1038,Clientes!$B$4:$B$39,Clientes!$C$4:$C$39),Cadastros!$L$6:$L$12,Cadastros!$M$6:$M$12)," ")</f>
        <v xml:space="preserve"> </v>
      </c>
      <c r="AB1038" s="28"/>
      <c r="AC1038" s="28"/>
      <c r="AD1038" s="20" t="str">
        <f>IF(AB1038="","",IF($F1038="Bernardino Furlan",_xlfn.XLOOKUP(AB1038,Cadastros!$G$6:$G$90,Cadastros!$H$6:$H$90)*(1-0.18),IF($F1038="Mauro José Salanti",_xlfn.XLOOKUP(AB1038,Cadastros!$G$6:$G$90,Cadastros!$H$6:$H$90)*(1-0.18),_xlfn.XLOOKUP(AB1038,Cadastros!$G$6:$G$90,Cadastros!$H$6:$H$90))))</f>
        <v/>
      </c>
      <c r="AE1038" s="168" t="str">
        <f t="shared" si="213"/>
        <v/>
      </c>
      <c r="AF1038" s="168" t="str">
        <f t="shared" si="214"/>
        <v/>
      </c>
      <c r="AG1038" s="28"/>
      <c r="AH1038" s="28"/>
      <c r="AI1038" s="20" t="str">
        <f>IF(AG1038="","",IF($F1038="Bernardino Furlan",_xlfn.XLOOKUP(AG1038,Cadastros!$G$6:$G$90,Cadastros!$H$6:$H$90)*(1-0.18),IF($F1038="Mauro José Salanti",_xlfn.XLOOKUP(AG1038,Cadastros!$G$6:$G$90,Cadastros!$H$6:$H$90)*(1-0.18),_xlfn.XLOOKUP(AG1038,Cadastros!$G$6:$G$90,Cadastros!$H$6:$H$90))))</f>
        <v/>
      </c>
      <c r="AJ1038" s="168" t="str">
        <f t="shared" si="215"/>
        <v/>
      </c>
      <c r="AK1038" s="168" t="str">
        <f t="shared" si="216"/>
        <v/>
      </c>
      <c r="AL1038" s="28"/>
      <c r="AM1038" s="28"/>
      <c r="AN1038" s="20" t="str">
        <f>IF(AL1038="","",IF($F1038="Bernardino Furlan",_xlfn.XLOOKUP(AL1038,Cadastros!$G$6:$G$90,Cadastros!$H$6:$H$90)*(1-0.18),IF($F1038="Mauro José Salanti",_xlfn.XLOOKUP(AL1038,Cadastros!$G$6:$G$90,Cadastros!$H$6:$H$90)*(1-0.18),_xlfn.XLOOKUP(AL1038,Cadastros!$G$6:$G$90,Cadastros!$H$6:$H$90))))</f>
        <v/>
      </c>
      <c r="AO1038" s="168" t="str">
        <f t="shared" si="217"/>
        <v/>
      </c>
      <c r="AP1038" s="168" t="str">
        <f t="shared" si="218"/>
        <v/>
      </c>
      <c r="AQ1038" s="28"/>
      <c r="AR1038" s="28"/>
      <c r="AS1038" s="20" t="str">
        <f>IF(AQ1038="","",IF($F1038="Bernardino Furlan",_xlfn.XLOOKUP(AQ1038,Cadastros!$G$6:$G$90,Cadastros!$H$6:$H$90)*(1-0.18),IF($F1038="Mauro José Salanti",_xlfn.XLOOKUP(AQ1038,Cadastros!$G$6:$G$90,Cadastros!$H$6:$H$90)*(1-0.18),_xlfn.XLOOKUP(AQ1038,Cadastros!$G$6:$G$90,Cadastros!$H$6:$H$90))))</f>
        <v/>
      </c>
      <c r="AT1038" s="168" t="str">
        <f t="shared" si="219"/>
        <v/>
      </c>
      <c r="AU1038" s="168" t="str">
        <f t="shared" si="220"/>
        <v/>
      </c>
      <c r="AV1038" s="227"/>
      <c r="AW1038" s="30"/>
      <c r="AX1038" s="267"/>
      <c r="AY1038" s="267"/>
      <c r="AZ1038" s="29"/>
      <c r="BA1038" s="30"/>
      <c r="BB1038" s="23" t="str" cm="1">
        <f t="array" ref="BB1038">_xlfn.IFS(AW1038="SIM",SUM(K1038,P1038,U1038,Z1038,AE1038,AJ1038,AO1038,AT1038,AX1038,AY1038),F1038&lt;&gt;"",SUM(K1038,P1038,U1038,Z1038,AE1038,AJ1038,,AO1038,AT1038),F1038="","")</f>
        <v/>
      </c>
      <c r="BC1038" s="211" t="str" cm="1">
        <f t="array" ref="BC1038">_xlfn.IFS(E1038="","",G1038&lt;=E1038,BB1038*(1-0.03),G1038&lt;(E1038+8),BB1038,AZ1038="Boleto",BB1038*(1+0.001)^DATEDIF(E1038,G1038,"D"),AZ1038="Cheque",BB1038,AZ1038="Dinheiro","Alterar forma pgto")</f>
        <v/>
      </c>
      <c r="BD1038" s="276" t="str" cm="1">
        <f t="array" ref="BD1038">IF(F1038=0," ",IF(BC1038&lt;BB1038,(_xlfn.IFS(AW1038="SIM",SUM(L1038,Q1038,V1038,AA1038,AF1038,AK1038,AP1038,AU1038)+AX1038/_xlfn.XLOOKUP(_xlfn.XLOOKUP($F1038,Clientes!$B$4:$B$39,Clientes!$C$4:$C$39),Cadastros!$L$6:$L$12,Cadastros!$M$6:$M$12)+IF($F1038="Bernardino Furlan",AY1038/2751.92,IF($F1038="Mauro José Salanti",AY1038/2751.92,AY1038/3356)),F1038&lt;&gt;0,SUM(L1038,Q1038,V1038,AA1038,AF1038,AK1038,AP1038,AU1038)))*(1-0.03),_xlfn.IFS(AW1038="SIM",SUM(L1038,Q1038,V1038,AA1038,AF1038,AK1038,AP1038,AU1038)+AX1038/_xlfn.XLOOKUP(_xlfn.XLOOKUP($F1038,Clientes!$B$4:$B$39,Clientes!$C$4:$C$39),Cadastros!$L$6:$L$12,Cadastros!$M$6:$M$12)+IF($F1038="Bernardino Furlan",AY1038/2751.92,IF($F1038="Mauro José Salanti",AY1038/2751.92,AY1038/3356)),F1038&lt;&gt;0,SUM(L1038,Q1038,V1038,AA1038,AF1038,AK1038,AP1038,AU1038))))</f>
        <v xml:space="preserve"> </v>
      </c>
      <c r="BE1038" s="120"/>
      <c r="BF1038" s="120"/>
      <c r="BG1038" s="120"/>
    </row>
    <row r="1039" spans="1:59" s="3" customFormat="1" x14ac:dyDescent="0.3">
      <c r="A1039" s="15" t="str">
        <f t="shared" si="208"/>
        <v/>
      </c>
      <c r="B1039" s="25"/>
      <c r="C1039" s="26"/>
      <c r="D1039" s="279"/>
      <c r="E1039" s="27"/>
      <c r="F1039" s="28"/>
      <c r="G1039" s="27"/>
      <c r="H1039" s="28"/>
      <c r="I1039" s="28"/>
      <c r="J1039" s="255" t="str">
        <f>IF(H1039="","",(_xlfn.XLOOKUP(H1039,Cadastros!$D$6:$D$90,Cadastros!$E$6:$E$90))*(1-_xlfn.XLOOKUP(_xlfn.XLOOKUP($F1039,Clientes!$B$4:$B$39,Clientes!$C$4:$C$39),Cadastros!$L$6:$L$12,Cadastros!$N$6:$N$12)))</f>
        <v/>
      </c>
      <c r="K1039" s="168" t="str">
        <f t="shared" si="209"/>
        <v/>
      </c>
      <c r="L1039" s="168" t="str">
        <f>IFERROR(K1039/_xlfn.XLOOKUP(_xlfn.XLOOKUP($F1039,Clientes!$B$4:$B$39,Clientes!$C$4:$C$39),Cadastros!$L$6:$L$12,Cadastros!$M$6:$M$12)," ")</f>
        <v xml:space="preserve"> </v>
      </c>
      <c r="M1039" s="28"/>
      <c r="N1039" s="28"/>
      <c r="O1039" s="255" t="str">
        <f>IF(M1039="","",(_xlfn.XLOOKUP(M1039,Cadastros!$D$6:$D$90,Cadastros!$E$6:$E$90))*(1-_xlfn.XLOOKUP(_xlfn.XLOOKUP($F1039,Clientes!$B$4:$B$39,Clientes!$C$4:$C$39),Cadastros!$L$6:$L$12,Cadastros!$N$6:$N$12)))</f>
        <v/>
      </c>
      <c r="P1039" s="168" t="str">
        <f t="shared" si="210"/>
        <v/>
      </c>
      <c r="Q1039" s="168" t="str">
        <f>IFERROR(P1039/_xlfn.XLOOKUP(_xlfn.XLOOKUP($F1039,Clientes!$B$4:$B$39,Clientes!$C$4:$C$39),Cadastros!$L$6:$L$12,Cadastros!$M$6:$M$12)," ")</f>
        <v xml:space="preserve"> </v>
      </c>
      <c r="R1039" s="28"/>
      <c r="S1039" s="28"/>
      <c r="T1039" s="255" t="str">
        <f>IF(R1039="","",(_xlfn.XLOOKUP(R1039,Cadastros!$D$6:$D$90,Cadastros!$E$6:$E$90))*(1-_xlfn.XLOOKUP(_xlfn.XLOOKUP($F1039,Clientes!$B$4:$B$39,Clientes!$C$4:$C$39),Cadastros!$L$6:$L$12,Cadastros!$N$6:$N$12)))</f>
        <v/>
      </c>
      <c r="U1039" s="168" t="str">
        <f t="shared" si="211"/>
        <v/>
      </c>
      <c r="V1039" s="168" t="str">
        <f>IFERROR(U1039/_xlfn.XLOOKUP(_xlfn.XLOOKUP($F1039,Clientes!$B$4:$B$39,Clientes!$C$4:$C$39),Cadastros!$L$6:$L$12,Cadastros!$M$6:$M$12)," ")</f>
        <v xml:space="preserve"> </v>
      </c>
      <c r="W1039" s="28"/>
      <c r="X1039" s="28"/>
      <c r="Y1039" s="255" t="str">
        <f>IF(W1039="","",(_xlfn.XLOOKUP(W1039,Cadastros!$D$6:$D$90,Cadastros!$E$6:$E$90))*(1-_xlfn.XLOOKUP(_xlfn.XLOOKUP($F1039,Clientes!$B$4:$B$39,Clientes!$C$4:$C$39),Cadastros!$L$6:$L$12,Cadastros!$N$6:$N$12)))</f>
        <v/>
      </c>
      <c r="Z1039" s="168" t="str">
        <f t="shared" si="212"/>
        <v/>
      </c>
      <c r="AA1039" s="168" t="str">
        <f>IFERROR(Z1039/_xlfn.XLOOKUP(_xlfn.XLOOKUP($F1039,Clientes!$B$4:$B$39,Clientes!$C$4:$C$39),Cadastros!$L$6:$L$12,Cadastros!$M$6:$M$12)," ")</f>
        <v xml:space="preserve"> </v>
      </c>
      <c r="AB1039" s="28"/>
      <c r="AC1039" s="28"/>
      <c r="AD1039" s="20" t="str">
        <f>IF(AB1039="","",IF($F1039="Bernardino Furlan",_xlfn.XLOOKUP(AB1039,Cadastros!$G$6:$G$90,Cadastros!$H$6:$H$90)*(1-0.18),IF($F1039="Mauro José Salanti",_xlfn.XLOOKUP(AB1039,Cadastros!$G$6:$G$90,Cadastros!$H$6:$H$90)*(1-0.18),_xlfn.XLOOKUP(AB1039,Cadastros!$G$6:$G$90,Cadastros!$H$6:$H$90))))</f>
        <v/>
      </c>
      <c r="AE1039" s="168" t="str">
        <f t="shared" si="213"/>
        <v/>
      </c>
      <c r="AF1039" s="168" t="str">
        <f t="shared" si="214"/>
        <v/>
      </c>
      <c r="AG1039" s="28"/>
      <c r="AH1039" s="28"/>
      <c r="AI1039" s="20" t="str">
        <f>IF(AG1039="","",IF($F1039="Bernardino Furlan",_xlfn.XLOOKUP(AG1039,Cadastros!$G$6:$G$90,Cadastros!$H$6:$H$90)*(1-0.18),IF($F1039="Mauro José Salanti",_xlfn.XLOOKUP(AG1039,Cadastros!$G$6:$G$90,Cadastros!$H$6:$H$90)*(1-0.18),_xlfn.XLOOKUP(AG1039,Cadastros!$G$6:$G$90,Cadastros!$H$6:$H$90))))</f>
        <v/>
      </c>
      <c r="AJ1039" s="168" t="str">
        <f t="shared" si="215"/>
        <v/>
      </c>
      <c r="AK1039" s="168" t="str">
        <f t="shared" si="216"/>
        <v/>
      </c>
      <c r="AL1039" s="28"/>
      <c r="AM1039" s="28"/>
      <c r="AN1039" s="20" t="str">
        <f>IF(AL1039="","",IF($F1039="Bernardino Furlan",_xlfn.XLOOKUP(AL1039,Cadastros!$G$6:$G$90,Cadastros!$H$6:$H$90)*(1-0.18),IF($F1039="Mauro José Salanti",_xlfn.XLOOKUP(AL1039,Cadastros!$G$6:$G$90,Cadastros!$H$6:$H$90)*(1-0.18),_xlfn.XLOOKUP(AL1039,Cadastros!$G$6:$G$90,Cadastros!$H$6:$H$90))))</f>
        <v/>
      </c>
      <c r="AO1039" s="168" t="str">
        <f t="shared" si="217"/>
        <v/>
      </c>
      <c r="AP1039" s="168" t="str">
        <f t="shared" si="218"/>
        <v/>
      </c>
      <c r="AQ1039" s="28"/>
      <c r="AR1039" s="28"/>
      <c r="AS1039" s="20" t="str">
        <f>IF(AQ1039="","",IF($F1039="Bernardino Furlan",_xlfn.XLOOKUP(AQ1039,Cadastros!$G$6:$G$90,Cadastros!$H$6:$H$90)*(1-0.18),IF($F1039="Mauro José Salanti",_xlfn.XLOOKUP(AQ1039,Cadastros!$G$6:$G$90,Cadastros!$H$6:$H$90)*(1-0.18),_xlfn.XLOOKUP(AQ1039,Cadastros!$G$6:$G$90,Cadastros!$H$6:$H$90))))</f>
        <v/>
      </c>
      <c r="AT1039" s="168" t="str">
        <f t="shared" si="219"/>
        <v/>
      </c>
      <c r="AU1039" s="168" t="str">
        <f t="shared" si="220"/>
        <v/>
      </c>
      <c r="AV1039" s="227"/>
      <c r="AW1039" s="30"/>
      <c r="AX1039" s="267"/>
      <c r="AY1039" s="267"/>
      <c r="AZ1039" s="29"/>
      <c r="BA1039" s="30"/>
      <c r="BB1039" s="23" t="str" cm="1">
        <f t="array" ref="BB1039">_xlfn.IFS(AW1039="SIM",SUM(K1039,P1039,U1039,Z1039,AE1039,AJ1039,AO1039,AT1039,AX1039,AY1039),F1039&lt;&gt;"",SUM(K1039,P1039,U1039,Z1039,AE1039,AJ1039,,AO1039,AT1039),F1039="","")</f>
        <v/>
      </c>
      <c r="BC1039" s="211" t="str" cm="1">
        <f t="array" ref="BC1039">_xlfn.IFS(E1039="","",G1039&lt;=E1039,BB1039*(1-0.03),G1039&lt;(E1039+8),BB1039,AZ1039="Boleto",BB1039*(1+0.001)^DATEDIF(E1039,G1039,"D"),AZ1039="Cheque",BB1039,AZ1039="Dinheiro","Alterar forma pgto")</f>
        <v/>
      </c>
      <c r="BD1039" s="276" t="str" cm="1">
        <f t="array" ref="BD1039">IF(F1039=0," ",IF(BC1039&lt;BB1039,(_xlfn.IFS(AW1039="SIM",SUM(L1039,Q1039,V1039,AA1039,AF1039,AK1039,AP1039,AU1039)+AX1039/_xlfn.XLOOKUP(_xlfn.XLOOKUP($F1039,Clientes!$B$4:$B$39,Clientes!$C$4:$C$39),Cadastros!$L$6:$L$12,Cadastros!$M$6:$M$12)+IF($F1039="Bernardino Furlan",AY1039/2751.92,IF($F1039="Mauro José Salanti",AY1039/2751.92,AY1039/3356)),F1039&lt;&gt;0,SUM(L1039,Q1039,V1039,AA1039,AF1039,AK1039,AP1039,AU1039)))*(1-0.03),_xlfn.IFS(AW1039="SIM",SUM(L1039,Q1039,V1039,AA1039,AF1039,AK1039,AP1039,AU1039)+AX1039/_xlfn.XLOOKUP(_xlfn.XLOOKUP($F1039,Clientes!$B$4:$B$39,Clientes!$C$4:$C$39),Cadastros!$L$6:$L$12,Cadastros!$M$6:$M$12)+IF($F1039="Bernardino Furlan",AY1039/2751.92,IF($F1039="Mauro José Salanti",AY1039/2751.92,AY1039/3356)),F1039&lt;&gt;0,SUM(L1039,Q1039,V1039,AA1039,AF1039,AK1039,AP1039,AU1039))))</f>
        <v xml:space="preserve"> </v>
      </c>
      <c r="BE1039" s="120"/>
      <c r="BF1039" s="120"/>
      <c r="BG1039" s="120"/>
    </row>
    <row r="1040" spans="1:59" s="3" customFormat="1" x14ac:dyDescent="0.3">
      <c r="A1040" s="15" t="str">
        <f t="shared" si="208"/>
        <v/>
      </c>
      <c r="B1040" s="25"/>
      <c r="C1040" s="26"/>
      <c r="D1040" s="279"/>
      <c r="E1040" s="27"/>
      <c r="F1040" s="28"/>
      <c r="G1040" s="27"/>
      <c r="H1040" s="28"/>
      <c r="I1040" s="28"/>
      <c r="J1040" s="255" t="str">
        <f>IF(H1040="","",(_xlfn.XLOOKUP(H1040,Cadastros!$D$6:$D$90,Cadastros!$E$6:$E$90))*(1-_xlfn.XLOOKUP(_xlfn.XLOOKUP($F1040,Clientes!$B$4:$B$39,Clientes!$C$4:$C$39),Cadastros!$L$6:$L$12,Cadastros!$N$6:$N$12)))</f>
        <v/>
      </c>
      <c r="K1040" s="168" t="str">
        <f t="shared" si="209"/>
        <v/>
      </c>
      <c r="L1040" s="168" t="str">
        <f>IFERROR(K1040/_xlfn.XLOOKUP(_xlfn.XLOOKUP($F1040,Clientes!$B$4:$B$39,Clientes!$C$4:$C$39),Cadastros!$L$6:$L$12,Cadastros!$M$6:$M$12)," ")</f>
        <v xml:space="preserve"> </v>
      </c>
      <c r="M1040" s="28"/>
      <c r="N1040" s="28"/>
      <c r="O1040" s="255" t="str">
        <f>IF(M1040="","",(_xlfn.XLOOKUP(M1040,Cadastros!$D$6:$D$90,Cadastros!$E$6:$E$90))*(1-_xlfn.XLOOKUP(_xlfn.XLOOKUP($F1040,Clientes!$B$4:$B$39,Clientes!$C$4:$C$39),Cadastros!$L$6:$L$12,Cadastros!$N$6:$N$12)))</f>
        <v/>
      </c>
      <c r="P1040" s="168" t="str">
        <f t="shared" si="210"/>
        <v/>
      </c>
      <c r="Q1040" s="168" t="str">
        <f>IFERROR(P1040/_xlfn.XLOOKUP(_xlfn.XLOOKUP($F1040,Clientes!$B$4:$B$39,Clientes!$C$4:$C$39),Cadastros!$L$6:$L$12,Cadastros!$M$6:$M$12)," ")</f>
        <v xml:space="preserve"> </v>
      </c>
      <c r="R1040" s="28"/>
      <c r="S1040" s="28"/>
      <c r="T1040" s="255" t="str">
        <f>IF(R1040="","",(_xlfn.XLOOKUP(R1040,Cadastros!$D$6:$D$90,Cadastros!$E$6:$E$90))*(1-_xlfn.XLOOKUP(_xlfn.XLOOKUP($F1040,Clientes!$B$4:$B$39,Clientes!$C$4:$C$39),Cadastros!$L$6:$L$12,Cadastros!$N$6:$N$12)))</f>
        <v/>
      </c>
      <c r="U1040" s="168" t="str">
        <f t="shared" si="211"/>
        <v/>
      </c>
      <c r="V1040" s="168" t="str">
        <f>IFERROR(U1040/_xlfn.XLOOKUP(_xlfn.XLOOKUP($F1040,Clientes!$B$4:$B$39,Clientes!$C$4:$C$39),Cadastros!$L$6:$L$12,Cadastros!$M$6:$M$12)," ")</f>
        <v xml:space="preserve"> </v>
      </c>
      <c r="W1040" s="28"/>
      <c r="X1040" s="28"/>
      <c r="Y1040" s="255" t="str">
        <f>IF(W1040="","",(_xlfn.XLOOKUP(W1040,Cadastros!$D$6:$D$90,Cadastros!$E$6:$E$90))*(1-_xlfn.XLOOKUP(_xlfn.XLOOKUP($F1040,Clientes!$B$4:$B$39,Clientes!$C$4:$C$39),Cadastros!$L$6:$L$12,Cadastros!$N$6:$N$12)))</f>
        <v/>
      </c>
      <c r="Z1040" s="168" t="str">
        <f t="shared" si="212"/>
        <v/>
      </c>
      <c r="AA1040" s="168" t="str">
        <f>IFERROR(Z1040/_xlfn.XLOOKUP(_xlfn.XLOOKUP($F1040,Clientes!$B$4:$B$39,Clientes!$C$4:$C$39),Cadastros!$L$6:$L$12,Cadastros!$M$6:$M$12)," ")</f>
        <v xml:space="preserve"> </v>
      </c>
      <c r="AB1040" s="28"/>
      <c r="AC1040" s="28"/>
      <c r="AD1040" s="20" t="str">
        <f>IF(AB1040="","",IF($F1040="Bernardino Furlan",_xlfn.XLOOKUP(AB1040,Cadastros!$G$6:$G$90,Cadastros!$H$6:$H$90)*(1-0.18),IF($F1040="Mauro José Salanti",_xlfn.XLOOKUP(AB1040,Cadastros!$G$6:$G$90,Cadastros!$H$6:$H$90)*(1-0.18),_xlfn.XLOOKUP(AB1040,Cadastros!$G$6:$G$90,Cadastros!$H$6:$H$90))))</f>
        <v/>
      </c>
      <c r="AE1040" s="168" t="str">
        <f t="shared" si="213"/>
        <v/>
      </c>
      <c r="AF1040" s="168" t="str">
        <f t="shared" si="214"/>
        <v/>
      </c>
      <c r="AG1040" s="28"/>
      <c r="AH1040" s="28"/>
      <c r="AI1040" s="20" t="str">
        <f>IF(AG1040="","",IF($F1040="Bernardino Furlan",_xlfn.XLOOKUP(AG1040,Cadastros!$G$6:$G$90,Cadastros!$H$6:$H$90)*(1-0.18),IF($F1040="Mauro José Salanti",_xlfn.XLOOKUP(AG1040,Cadastros!$G$6:$G$90,Cadastros!$H$6:$H$90)*(1-0.18),_xlfn.XLOOKUP(AG1040,Cadastros!$G$6:$G$90,Cadastros!$H$6:$H$90))))</f>
        <v/>
      </c>
      <c r="AJ1040" s="168" t="str">
        <f t="shared" si="215"/>
        <v/>
      </c>
      <c r="AK1040" s="168" t="str">
        <f t="shared" si="216"/>
        <v/>
      </c>
      <c r="AL1040" s="28"/>
      <c r="AM1040" s="28"/>
      <c r="AN1040" s="20" t="str">
        <f>IF(AL1040="","",IF($F1040="Bernardino Furlan",_xlfn.XLOOKUP(AL1040,Cadastros!$G$6:$G$90,Cadastros!$H$6:$H$90)*(1-0.18),IF($F1040="Mauro José Salanti",_xlfn.XLOOKUP(AL1040,Cadastros!$G$6:$G$90,Cadastros!$H$6:$H$90)*(1-0.18),_xlfn.XLOOKUP(AL1040,Cadastros!$G$6:$G$90,Cadastros!$H$6:$H$90))))</f>
        <v/>
      </c>
      <c r="AO1040" s="168" t="str">
        <f t="shared" si="217"/>
        <v/>
      </c>
      <c r="AP1040" s="168" t="str">
        <f t="shared" si="218"/>
        <v/>
      </c>
      <c r="AQ1040" s="28"/>
      <c r="AR1040" s="28"/>
      <c r="AS1040" s="20" t="str">
        <f>IF(AQ1040="","",IF($F1040="Bernardino Furlan",_xlfn.XLOOKUP(AQ1040,Cadastros!$G$6:$G$90,Cadastros!$H$6:$H$90)*(1-0.18),IF($F1040="Mauro José Salanti",_xlfn.XLOOKUP(AQ1040,Cadastros!$G$6:$G$90,Cadastros!$H$6:$H$90)*(1-0.18),_xlfn.XLOOKUP(AQ1040,Cadastros!$G$6:$G$90,Cadastros!$H$6:$H$90))))</f>
        <v/>
      </c>
      <c r="AT1040" s="168" t="str">
        <f t="shared" si="219"/>
        <v/>
      </c>
      <c r="AU1040" s="168" t="str">
        <f t="shared" si="220"/>
        <v/>
      </c>
      <c r="AV1040" s="227"/>
      <c r="AW1040" s="30"/>
      <c r="AX1040" s="267"/>
      <c r="AY1040" s="267"/>
      <c r="AZ1040" s="29"/>
      <c r="BA1040" s="30"/>
      <c r="BB1040" s="23" t="str" cm="1">
        <f t="array" ref="BB1040">_xlfn.IFS(AW1040="SIM",SUM(K1040,P1040,U1040,Z1040,AE1040,AJ1040,AO1040,AT1040,AX1040,AY1040),F1040&lt;&gt;"",SUM(K1040,P1040,U1040,Z1040,AE1040,AJ1040,,AO1040,AT1040),F1040="","")</f>
        <v/>
      </c>
      <c r="BC1040" s="211" t="str" cm="1">
        <f t="array" ref="BC1040">_xlfn.IFS(E1040="","",G1040&lt;=E1040,BB1040*(1-0.03),G1040&lt;(E1040+8),BB1040,AZ1040="Boleto",BB1040*(1+0.001)^DATEDIF(E1040,G1040,"D"),AZ1040="Cheque",BB1040,AZ1040="Dinheiro","Alterar forma pgto")</f>
        <v/>
      </c>
      <c r="BD1040" s="276" t="str" cm="1">
        <f t="array" ref="BD1040">IF(F1040=0," ",IF(BC1040&lt;BB1040,(_xlfn.IFS(AW1040="SIM",SUM(L1040,Q1040,V1040,AA1040,AF1040,AK1040,AP1040,AU1040)+AX1040/_xlfn.XLOOKUP(_xlfn.XLOOKUP($F1040,Clientes!$B$4:$B$39,Clientes!$C$4:$C$39),Cadastros!$L$6:$L$12,Cadastros!$M$6:$M$12)+IF($F1040="Bernardino Furlan",AY1040/2751.92,IF($F1040="Mauro José Salanti",AY1040/2751.92,AY1040/3356)),F1040&lt;&gt;0,SUM(L1040,Q1040,V1040,AA1040,AF1040,AK1040,AP1040,AU1040)))*(1-0.03),_xlfn.IFS(AW1040="SIM",SUM(L1040,Q1040,V1040,AA1040,AF1040,AK1040,AP1040,AU1040)+AX1040/_xlfn.XLOOKUP(_xlfn.XLOOKUP($F1040,Clientes!$B$4:$B$39,Clientes!$C$4:$C$39),Cadastros!$L$6:$L$12,Cadastros!$M$6:$M$12)+IF($F1040="Bernardino Furlan",AY1040/2751.92,IF($F1040="Mauro José Salanti",AY1040/2751.92,AY1040/3356)),F1040&lt;&gt;0,SUM(L1040,Q1040,V1040,AA1040,AF1040,AK1040,AP1040,AU1040))))</f>
        <v xml:space="preserve"> </v>
      </c>
      <c r="BE1040" s="120"/>
      <c r="BF1040" s="120"/>
      <c r="BG1040" s="120"/>
    </row>
    <row r="1041" spans="1:59" s="3" customFormat="1" x14ac:dyDescent="0.3">
      <c r="A1041" s="15" t="str">
        <f t="shared" si="208"/>
        <v/>
      </c>
      <c r="B1041" s="25"/>
      <c r="C1041" s="26"/>
      <c r="D1041" s="279"/>
      <c r="E1041" s="27"/>
      <c r="F1041" s="28"/>
      <c r="G1041" s="27"/>
      <c r="H1041" s="28"/>
      <c r="I1041" s="28"/>
      <c r="J1041" s="255" t="str">
        <f>IF(H1041="","",(_xlfn.XLOOKUP(H1041,Cadastros!$D$6:$D$90,Cadastros!$E$6:$E$90))*(1-_xlfn.XLOOKUP(_xlfn.XLOOKUP($F1041,Clientes!$B$4:$B$39,Clientes!$C$4:$C$39),Cadastros!$L$6:$L$12,Cadastros!$N$6:$N$12)))</f>
        <v/>
      </c>
      <c r="K1041" s="168" t="str">
        <f t="shared" si="209"/>
        <v/>
      </c>
      <c r="L1041" s="168" t="str">
        <f>IFERROR(K1041/_xlfn.XLOOKUP(_xlfn.XLOOKUP($F1041,Clientes!$B$4:$B$39,Clientes!$C$4:$C$39),Cadastros!$L$6:$L$12,Cadastros!$M$6:$M$12)," ")</f>
        <v xml:space="preserve"> </v>
      </c>
      <c r="M1041" s="28"/>
      <c r="N1041" s="28"/>
      <c r="O1041" s="255" t="str">
        <f>IF(M1041="","",(_xlfn.XLOOKUP(M1041,Cadastros!$D$6:$D$90,Cadastros!$E$6:$E$90))*(1-_xlfn.XLOOKUP(_xlfn.XLOOKUP($F1041,Clientes!$B$4:$B$39,Clientes!$C$4:$C$39),Cadastros!$L$6:$L$12,Cadastros!$N$6:$N$12)))</f>
        <v/>
      </c>
      <c r="P1041" s="168" t="str">
        <f t="shared" si="210"/>
        <v/>
      </c>
      <c r="Q1041" s="168" t="str">
        <f>IFERROR(P1041/_xlfn.XLOOKUP(_xlfn.XLOOKUP($F1041,Clientes!$B$4:$B$39,Clientes!$C$4:$C$39),Cadastros!$L$6:$L$12,Cadastros!$M$6:$M$12)," ")</f>
        <v xml:space="preserve"> </v>
      </c>
      <c r="R1041" s="28"/>
      <c r="S1041" s="28"/>
      <c r="T1041" s="255" t="str">
        <f>IF(R1041="","",(_xlfn.XLOOKUP(R1041,Cadastros!$D$6:$D$90,Cadastros!$E$6:$E$90))*(1-_xlfn.XLOOKUP(_xlfn.XLOOKUP($F1041,Clientes!$B$4:$B$39,Clientes!$C$4:$C$39),Cadastros!$L$6:$L$12,Cadastros!$N$6:$N$12)))</f>
        <v/>
      </c>
      <c r="U1041" s="168" t="str">
        <f t="shared" si="211"/>
        <v/>
      </c>
      <c r="V1041" s="168" t="str">
        <f>IFERROR(U1041/_xlfn.XLOOKUP(_xlfn.XLOOKUP($F1041,Clientes!$B$4:$B$39,Clientes!$C$4:$C$39),Cadastros!$L$6:$L$12,Cadastros!$M$6:$M$12)," ")</f>
        <v xml:space="preserve"> </v>
      </c>
      <c r="W1041" s="28"/>
      <c r="X1041" s="28"/>
      <c r="Y1041" s="255" t="str">
        <f>IF(W1041="","",(_xlfn.XLOOKUP(W1041,Cadastros!$D$6:$D$90,Cadastros!$E$6:$E$90))*(1-_xlfn.XLOOKUP(_xlfn.XLOOKUP($F1041,Clientes!$B$4:$B$39,Clientes!$C$4:$C$39),Cadastros!$L$6:$L$12,Cadastros!$N$6:$N$12)))</f>
        <v/>
      </c>
      <c r="Z1041" s="168" t="str">
        <f t="shared" si="212"/>
        <v/>
      </c>
      <c r="AA1041" s="168" t="str">
        <f>IFERROR(Z1041/_xlfn.XLOOKUP(_xlfn.XLOOKUP($F1041,Clientes!$B$4:$B$39,Clientes!$C$4:$C$39),Cadastros!$L$6:$L$12,Cadastros!$M$6:$M$12)," ")</f>
        <v xml:space="preserve"> </v>
      </c>
      <c r="AB1041" s="28"/>
      <c r="AC1041" s="28"/>
      <c r="AD1041" s="20" t="str">
        <f>IF(AB1041="","",IF($F1041="Bernardino Furlan",_xlfn.XLOOKUP(AB1041,Cadastros!$G$6:$G$90,Cadastros!$H$6:$H$90)*(1-0.18),IF($F1041="Mauro José Salanti",_xlfn.XLOOKUP(AB1041,Cadastros!$G$6:$G$90,Cadastros!$H$6:$H$90)*(1-0.18),_xlfn.XLOOKUP(AB1041,Cadastros!$G$6:$G$90,Cadastros!$H$6:$H$90))))</f>
        <v/>
      </c>
      <c r="AE1041" s="168" t="str">
        <f t="shared" si="213"/>
        <v/>
      </c>
      <c r="AF1041" s="168" t="str">
        <f t="shared" si="214"/>
        <v/>
      </c>
      <c r="AG1041" s="28"/>
      <c r="AH1041" s="28"/>
      <c r="AI1041" s="20" t="str">
        <f>IF(AG1041="","",IF($F1041="Bernardino Furlan",_xlfn.XLOOKUP(AG1041,Cadastros!$G$6:$G$90,Cadastros!$H$6:$H$90)*(1-0.18),IF($F1041="Mauro José Salanti",_xlfn.XLOOKUP(AG1041,Cadastros!$G$6:$G$90,Cadastros!$H$6:$H$90)*(1-0.18),_xlfn.XLOOKUP(AG1041,Cadastros!$G$6:$G$90,Cadastros!$H$6:$H$90))))</f>
        <v/>
      </c>
      <c r="AJ1041" s="168" t="str">
        <f t="shared" si="215"/>
        <v/>
      </c>
      <c r="AK1041" s="168" t="str">
        <f t="shared" si="216"/>
        <v/>
      </c>
      <c r="AL1041" s="28"/>
      <c r="AM1041" s="28"/>
      <c r="AN1041" s="20" t="str">
        <f>IF(AL1041="","",IF($F1041="Bernardino Furlan",_xlfn.XLOOKUP(AL1041,Cadastros!$G$6:$G$90,Cadastros!$H$6:$H$90)*(1-0.18),IF($F1041="Mauro José Salanti",_xlfn.XLOOKUP(AL1041,Cadastros!$G$6:$G$90,Cadastros!$H$6:$H$90)*(1-0.18),_xlfn.XLOOKUP(AL1041,Cadastros!$G$6:$G$90,Cadastros!$H$6:$H$90))))</f>
        <v/>
      </c>
      <c r="AO1041" s="168" t="str">
        <f t="shared" si="217"/>
        <v/>
      </c>
      <c r="AP1041" s="168" t="str">
        <f t="shared" si="218"/>
        <v/>
      </c>
      <c r="AQ1041" s="28"/>
      <c r="AR1041" s="28"/>
      <c r="AS1041" s="20" t="str">
        <f>IF(AQ1041="","",IF($F1041="Bernardino Furlan",_xlfn.XLOOKUP(AQ1041,Cadastros!$G$6:$G$90,Cadastros!$H$6:$H$90)*(1-0.18),IF($F1041="Mauro José Salanti",_xlfn.XLOOKUP(AQ1041,Cadastros!$G$6:$G$90,Cadastros!$H$6:$H$90)*(1-0.18),_xlfn.XLOOKUP(AQ1041,Cadastros!$G$6:$G$90,Cadastros!$H$6:$H$90))))</f>
        <v/>
      </c>
      <c r="AT1041" s="168" t="str">
        <f t="shared" si="219"/>
        <v/>
      </c>
      <c r="AU1041" s="168" t="str">
        <f t="shared" si="220"/>
        <v/>
      </c>
      <c r="AV1041" s="227"/>
      <c r="AW1041" s="30"/>
      <c r="AX1041" s="267"/>
      <c r="AY1041" s="267"/>
      <c r="AZ1041" s="29"/>
      <c r="BA1041" s="30"/>
      <c r="BB1041" s="23" t="str" cm="1">
        <f t="array" ref="BB1041">_xlfn.IFS(AW1041="SIM",SUM(K1041,P1041,U1041,Z1041,AE1041,AJ1041,AO1041,AT1041,AX1041,AY1041),F1041&lt;&gt;"",SUM(K1041,P1041,U1041,Z1041,AE1041,AJ1041,,AO1041,AT1041),F1041="","")</f>
        <v/>
      </c>
      <c r="BC1041" s="211" t="str" cm="1">
        <f t="array" ref="BC1041">_xlfn.IFS(E1041="","",G1041&lt;=E1041,BB1041*(1-0.03),G1041&lt;(E1041+8),BB1041,AZ1041="Boleto",BB1041*(1+0.001)^DATEDIF(E1041,G1041,"D"),AZ1041="Cheque",BB1041,AZ1041="Dinheiro","Alterar forma pgto")</f>
        <v/>
      </c>
      <c r="BD1041" s="276" t="str" cm="1">
        <f t="array" ref="BD1041">IF(F1041=0," ",IF(BC1041&lt;BB1041,(_xlfn.IFS(AW1041="SIM",SUM(L1041,Q1041,V1041,AA1041,AF1041,AK1041,AP1041,AU1041)+AX1041/_xlfn.XLOOKUP(_xlfn.XLOOKUP($F1041,Clientes!$B$4:$B$39,Clientes!$C$4:$C$39),Cadastros!$L$6:$L$12,Cadastros!$M$6:$M$12)+IF($F1041="Bernardino Furlan",AY1041/2751.92,IF($F1041="Mauro José Salanti",AY1041/2751.92,AY1041/3356)),F1041&lt;&gt;0,SUM(L1041,Q1041,V1041,AA1041,AF1041,AK1041,AP1041,AU1041)))*(1-0.03),_xlfn.IFS(AW1041="SIM",SUM(L1041,Q1041,V1041,AA1041,AF1041,AK1041,AP1041,AU1041)+AX1041/_xlfn.XLOOKUP(_xlfn.XLOOKUP($F1041,Clientes!$B$4:$B$39,Clientes!$C$4:$C$39),Cadastros!$L$6:$L$12,Cadastros!$M$6:$M$12)+IF($F1041="Bernardino Furlan",AY1041/2751.92,IF($F1041="Mauro José Salanti",AY1041/2751.92,AY1041/3356)),F1041&lt;&gt;0,SUM(L1041,Q1041,V1041,AA1041,AF1041,AK1041,AP1041,AU1041))))</f>
        <v xml:space="preserve"> </v>
      </c>
      <c r="BE1041" s="120"/>
      <c r="BF1041" s="120"/>
      <c r="BG1041" s="120"/>
    </row>
    <row r="1042" spans="1:59" s="3" customFormat="1" x14ac:dyDescent="0.3">
      <c r="A1042" s="15" t="str">
        <f t="shared" si="208"/>
        <v/>
      </c>
      <c r="B1042" s="25"/>
      <c r="C1042" s="26"/>
      <c r="D1042" s="279"/>
      <c r="E1042" s="27"/>
      <c r="F1042" s="28"/>
      <c r="G1042" s="27"/>
      <c r="H1042" s="28"/>
      <c r="I1042" s="28"/>
      <c r="J1042" s="255" t="str">
        <f>IF(H1042="","",(_xlfn.XLOOKUP(H1042,Cadastros!$D$6:$D$90,Cadastros!$E$6:$E$90))*(1-_xlfn.XLOOKUP(_xlfn.XLOOKUP($F1042,Clientes!$B$4:$B$39,Clientes!$C$4:$C$39),Cadastros!$L$6:$L$12,Cadastros!$N$6:$N$12)))</f>
        <v/>
      </c>
      <c r="K1042" s="168" t="str">
        <f t="shared" si="209"/>
        <v/>
      </c>
      <c r="L1042" s="168" t="str">
        <f>IFERROR(K1042/_xlfn.XLOOKUP(_xlfn.XLOOKUP($F1042,Clientes!$B$4:$B$39,Clientes!$C$4:$C$39),Cadastros!$L$6:$L$12,Cadastros!$M$6:$M$12)," ")</f>
        <v xml:space="preserve"> </v>
      </c>
      <c r="M1042" s="28"/>
      <c r="N1042" s="28"/>
      <c r="O1042" s="255" t="str">
        <f>IF(M1042="","",(_xlfn.XLOOKUP(M1042,Cadastros!$D$6:$D$90,Cadastros!$E$6:$E$90))*(1-_xlfn.XLOOKUP(_xlfn.XLOOKUP($F1042,Clientes!$B$4:$B$39,Clientes!$C$4:$C$39),Cadastros!$L$6:$L$12,Cadastros!$N$6:$N$12)))</f>
        <v/>
      </c>
      <c r="P1042" s="168" t="str">
        <f t="shared" si="210"/>
        <v/>
      </c>
      <c r="Q1042" s="168" t="str">
        <f>IFERROR(P1042/_xlfn.XLOOKUP(_xlfn.XLOOKUP($F1042,Clientes!$B$4:$B$39,Clientes!$C$4:$C$39),Cadastros!$L$6:$L$12,Cadastros!$M$6:$M$12)," ")</f>
        <v xml:space="preserve"> </v>
      </c>
      <c r="R1042" s="28"/>
      <c r="S1042" s="28"/>
      <c r="T1042" s="255" t="str">
        <f>IF(R1042="","",(_xlfn.XLOOKUP(R1042,Cadastros!$D$6:$D$90,Cadastros!$E$6:$E$90))*(1-_xlfn.XLOOKUP(_xlfn.XLOOKUP($F1042,Clientes!$B$4:$B$39,Clientes!$C$4:$C$39),Cadastros!$L$6:$L$12,Cadastros!$N$6:$N$12)))</f>
        <v/>
      </c>
      <c r="U1042" s="168" t="str">
        <f t="shared" si="211"/>
        <v/>
      </c>
      <c r="V1042" s="168" t="str">
        <f>IFERROR(U1042/_xlfn.XLOOKUP(_xlfn.XLOOKUP($F1042,Clientes!$B$4:$B$39,Clientes!$C$4:$C$39),Cadastros!$L$6:$L$12,Cadastros!$M$6:$M$12)," ")</f>
        <v xml:space="preserve"> </v>
      </c>
      <c r="W1042" s="28"/>
      <c r="X1042" s="28"/>
      <c r="Y1042" s="255" t="str">
        <f>IF(W1042="","",(_xlfn.XLOOKUP(W1042,Cadastros!$D$6:$D$90,Cadastros!$E$6:$E$90))*(1-_xlfn.XLOOKUP(_xlfn.XLOOKUP($F1042,Clientes!$B$4:$B$39,Clientes!$C$4:$C$39),Cadastros!$L$6:$L$12,Cadastros!$N$6:$N$12)))</f>
        <v/>
      </c>
      <c r="Z1042" s="168" t="str">
        <f t="shared" si="212"/>
        <v/>
      </c>
      <c r="AA1042" s="168" t="str">
        <f>IFERROR(Z1042/_xlfn.XLOOKUP(_xlfn.XLOOKUP($F1042,Clientes!$B$4:$B$39,Clientes!$C$4:$C$39),Cadastros!$L$6:$L$12,Cadastros!$M$6:$M$12)," ")</f>
        <v xml:space="preserve"> </v>
      </c>
      <c r="AB1042" s="28"/>
      <c r="AC1042" s="28"/>
      <c r="AD1042" s="20" t="str">
        <f>IF(AB1042="","",IF($F1042="Bernardino Furlan",_xlfn.XLOOKUP(AB1042,Cadastros!$G$6:$G$90,Cadastros!$H$6:$H$90)*(1-0.18),IF($F1042="Mauro José Salanti",_xlfn.XLOOKUP(AB1042,Cadastros!$G$6:$G$90,Cadastros!$H$6:$H$90)*(1-0.18),_xlfn.XLOOKUP(AB1042,Cadastros!$G$6:$G$90,Cadastros!$H$6:$H$90))))</f>
        <v/>
      </c>
      <c r="AE1042" s="168" t="str">
        <f t="shared" si="213"/>
        <v/>
      </c>
      <c r="AF1042" s="168" t="str">
        <f t="shared" si="214"/>
        <v/>
      </c>
      <c r="AG1042" s="28"/>
      <c r="AH1042" s="28"/>
      <c r="AI1042" s="20" t="str">
        <f>IF(AG1042="","",IF($F1042="Bernardino Furlan",_xlfn.XLOOKUP(AG1042,Cadastros!$G$6:$G$90,Cadastros!$H$6:$H$90)*(1-0.18),IF($F1042="Mauro José Salanti",_xlfn.XLOOKUP(AG1042,Cadastros!$G$6:$G$90,Cadastros!$H$6:$H$90)*(1-0.18),_xlfn.XLOOKUP(AG1042,Cadastros!$G$6:$G$90,Cadastros!$H$6:$H$90))))</f>
        <v/>
      </c>
      <c r="AJ1042" s="168" t="str">
        <f t="shared" si="215"/>
        <v/>
      </c>
      <c r="AK1042" s="168" t="str">
        <f t="shared" si="216"/>
        <v/>
      </c>
      <c r="AL1042" s="28"/>
      <c r="AM1042" s="28"/>
      <c r="AN1042" s="20" t="str">
        <f>IF(AL1042="","",IF($F1042="Bernardino Furlan",_xlfn.XLOOKUP(AL1042,Cadastros!$G$6:$G$90,Cadastros!$H$6:$H$90)*(1-0.18),IF($F1042="Mauro José Salanti",_xlfn.XLOOKUP(AL1042,Cadastros!$G$6:$G$90,Cadastros!$H$6:$H$90)*(1-0.18),_xlfn.XLOOKUP(AL1042,Cadastros!$G$6:$G$90,Cadastros!$H$6:$H$90))))</f>
        <v/>
      </c>
      <c r="AO1042" s="168" t="str">
        <f t="shared" si="217"/>
        <v/>
      </c>
      <c r="AP1042" s="168" t="str">
        <f t="shared" si="218"/>
        <v/>
      </c>
      <c r="AQ1042" s="28"/>
      <c r="AR1042" s="28"/>
      <c r="AS1042" s="20" t="str">
        <f>IF(AQ1042="","",IF($F1042="Bernardino Furlan",_xlfn.XLOOKUP(AQ1042,Cadastros!$G$6:$G$90,Cadastros!$H$6:$H$90)*(1-0.18),IF($F1042="Mauro José Salanti",_xlfn.XLOOKUP(AQ1042,Cadastros!$G$6:$G$90,Cadastros!$H$6:$H$90)*(1-0.18),_xlfn.XLOOKUP(AQ1042,Cadastros!$G$6:$G$90,Cadastros!$H$6:$H$90))))</f>
        <v/>
      </c>
      <c r="AT1042" s="168" t="str">
        <f t="shared" si="219"/>
        <v/>
      </c>
      <c r="AU1042" s="168" t="str">
        <f t="shared" si="220"/>
        <v/>
      </c>
      <c r="AV1042" s="227"/>
      <c r="AW1042" s="30"/>
      <c r="AX1042" s="267"/>
      <c r="AY1042" s="267"/>
      <c r="AZ1042" s="29"/>
      <c r="BA1042" s="30"/>
      <c r="BB1042" s="23" t="str" cm="1">
        <f t="array" ref="BB1042">_xlfn.IFS(AW1042="SIM",SUM(K1042,P1042,U1042,Z1042,AE1042,AJ1042,AO1042,AT1042,AX1042,AY1042),F1042&lt;&gt;"",SUM(K1042,P1042,U1042,Z1042,AE1042,AJ1042,,AO1042,AT1042),F1042="","")</f>
        <v/>
      </c>
      <c r="BC1042" s="211" t="str" cm="1">
        <f t="array" ref="BC1042">_xlfn.IFS(E1042="","",G1042&lt;=E1042,BB1042*(1-0.03),G1042&lt;(E1042+8),BB1042,AZ1042="Boleto",BB1042*(1+0.001)^DATEDIF(E1042,G1042,"D"),AZ1042="Cheque",BB1042,AZ1042="Dinheiro","Alterar forma pgto")</f>
        <v/>
      </c>
      <c r="BD1042" s="276" t="str" cm="1">
        <f t="array" ref="BD1042">IF(F1042=0," ",IF(BC1042&lt;BB1042,(_xlfn.IFS(AW1042="SIM",SUM(L1042,Q1042,V1042,AA1042,AF1042,AK1042,AP1042,AU1042)+AX1042/_xlfn.XLOOKUP(_xlfn.XLOOKUP($F1042,Clientes!$B$4:$B$39,Clientes!$C$4:$C$39),Cadastros!$L$6:$L$12,Cadastros!$M$6:$M$12)+IF($F1042="Bernardino Furlan",AY1042/2751.92,IF($F1042="Mauro José Salanti",AY1042/2751.92,AY1042/3356)),F1042&lt;&gt;0,SUM(L1042,Q1042,V1042,AA1042,AF1042,AK1042,AP1042,AU1042)))*(1-0.03),_xlfn.IFS(AW1042="SIM",SUM(L1042,Q1042,V1042,AA1042,AF1042,AK1042,AP1042,AU1042)+AX1042/_xlfn.XLOOKUP(_xlfn.XLOOKUP($F1042,Clientes!$B$4:$B$39,Clientes!$C$4:$C$39),Cadastros!$L$6:$L$12,Cadastros!$M$6:$M$12)+IF($F1042="Bernardino Furlan",AY1042/2751.92,IF($F1042="Mauro José Salanti",AY1042/2751.92,AY1042/3356)),F1042&lt;&gt;0,SUM(L1042,Q1042,V1042,AA1042,AF1042,AK1042,AP1042,AU1042))))</f>
        <v xml:space="preserve"> </v>
      </c>
      <c r="BE1042" s="120"/>
      <c r="BF1042" s="120"/>
      <c r="BG1042" s="120"/>
    </row>
    <row r="1043" spans="1:59" s="3" customFormat="1" x14ac:dyDescent="0.3">
      <c r="A1043" s="15" t="str">
        <f t="shared" si="208"/>
        <v/>
      </c>
      <c r="B1043" s="25"/>
      <c r="C1043" s="26"/>
      <c r="D1043" s="279"/>
      <c r="E1043" s="27"/>
      <c r="F1043" s="28"/>
      <c r="G1043" s="27"/>
      <c r="H1043" s="28"/>
      <c r="I1043" s="28"/>
      <c r="J1043" s="255" t="str">
        <f>IF(H1043="","",(_xlfn.XLOOKUP(H1043,Cadastros!$D$6:$D$90,Cadastros!$E$6:$E$90))*(1-_xlfn.XLOOKUP(_xlfn.XLOOKUP($F1043,Clientes!$B$4:$B$39,Clientes!$C$4:$C$39),Cadastros!$L$6:$L$12,Cadastros!$N$6:$N$12)))</f>
        <v/>
      </c>
      <c r="K1043" s="168" t="str">
        <f t="shared" si="209"/>
        <v/>
      </c>
      <c r="L1043" s="168" t="str">
        <f>IFERROR(K1043/_xlfn.XLOOKUP(_xlfn.XLOOKUP($F1043,Clientes!$B$4:$B$39,Clientes!$C$4:$C$39),Cadastros!$L$6:$L$12,Cadastros!$M$6:$M$12)," ")</f>
        <v xml:space="preserve"> </v>
      </c>
      <c r="M1043" s="28"/>
      <c r="N1043" s="28"/>
      <c r="O1043" s="255" t="str">
        <f>IF(M1043="","",(_xlfn.XLOOKUP(M1043,Cadastros!$D$6:$D$90,Cadastros!$E$6:$E$90))*(1-_xlfn.XLOOKUP(_xlfn.XLOOKUP($F1043,Clientes!$B$4:$B$39,Clientes!$C$4:$C$39),Cadastros!$L$6:$L$12,Cadastros!$N$6:$N$12)))</f>
        <v/>
      </c>
      <c r="P1043" s="168" t="str">
        <f t="shared" si="210"/>
        <v/>
      </c>
      <c r="Q1043" s="168" t="str">
        <f>IFERROR(P1043/_xlfn.XLOOKUP(_xlfn.XLOOKUP($F1043,Clientes!$B$4:$B$39,Clientes!$C$4:$C$39),Cadastros!$L$6:$L$12,Cadastros!$M$6:$M$12)," ")</f>
        <v xml:space="preserve"> </v>
      </c>
      <c r="R1043" s="28"/>
      <c r="S1043" s="28"/>
      <c r="T1043" s="255" t="str">
        <f>IF(R1043="","",(_xlfn.XLOOKUP(R1043,Cadastros!$D$6:$D$90,Cadastros!$E$6:$E$90))*(1-_xlfn.XLOOKUP(_xlfn.XLOOKUP($F1043,Clientes!$B$4:$B$39,Clientes!$C$4:$C$39),Cadastros!$L$6:$L$12,Cadastros!$N$6:$N$12)))</f>
        <v/>
      </c>
      <c r="U1043" s="168" t="str">
        <f t="shared" si="211"/>
        <v/>
      </c>
      <c r="V1043" s="168" t="str">
        <f>IFERROR(U1043/_xlfn.XLOOKUP(_xlfn.XLOOKUP($F1043,Clientes!$B$4:$B$39,Clientes!$C$4:$C$39),Cadastros!$L$6:$L$12,Cadastros!$M$6:$M$12)," ")</f>
        <v xml:space="preserve"> </v>
      </c>
      <c r="W1043" s="28"/>
      <c r="X1043" s="28"/>
      <c r="Y1043" s="255" t="str">
        <f>IF(W1043="","",(_xlfn.XLOOKUP(W1043,Cadastros!$D$6:$D$90,Cadastros!$E$6:$E$90))*(1-_xlfn.XLOOKUP(_xlfn.XLOOKUP($F1043,Clientes!$B$4:$B$39,Clientes!$C$4:$C$39),Cadastros!$L$6:$L$12,Cadastros!$N$6:$N$12)))</f>
        <v/>
      </c>
      <c r="Z1043" s="168" t="str">
        <f t="shared" si="212"/>
        <v/>
      </c>
      <c r="AA1043" s="168" t="str">
        <f>IFERROR(Z1043/_xlfn.XLOOKUP(_xlfn.XLOOKUP($F1043,Clientes!$B$4:$B$39,Clientes!$C$4:$C$39),Cadastros!$L$6:$L$12,Cadastros!$M$6:$M$12)," ")</f>
        <v xml:space="preserve"> </v>
      </c>
      <c r="AB1043" s="28"/>
      <c r="AC1043" s="28"/>
      <c r="AD1043" s="20" t="str">
        <f>IF(AB1043="","",IF($F1043="Bernardino Furlan",_xlfn.XLOOKUP(AB1043,Cadastros!$G$6:$G$90,Cadastros!$H$6:$H$90)*(1-0.18),IF($F1043="Mauro José Salanti",_xlfn.XLOOKUP(AB1043,Cadastros!$G$6:$G$90,Cadastros!$H$6:$H$90)*(1-0.18),_xlfn.XLOOKUP(AB1043,Cadastros!$G$6:$G$90,Cadastros!$H$6:$H$90))))</f>
        <v/>
      </c>
      <c r="AE1043" s="168" t="str">
        <f t="shared" si="213"/>
        <v/>
      </c>
      <c r="AF1043" s="168" t="str">
        <f t="shared" si="214"/>
        <v/>
      </c>
      <c r="AG1043" s="28"/>
      <c r="AH1043" s="28"/>
      <c r="AI1043" s="20" t="str">
        <f>IF(AG1043="","",IF($F1043="Bernardino Furlan",_xlfn.XLOOKUP(AG1043,Cadastros!$G$6:$G$90,Cadastros!$H$6:$H$90)*(1-0.18),IF($F1043="Mauro José Salanti",_xlfn.XLOOKUP(AG1043,Cadastros!$G$6:$G$90,Cadastros!$H$6:$H$90)*(1-0.18),_xlfn.XLOOKUP(AG1043,Cadastros!$G$6:$G$90,Cadastros!$H$6:$H$90))))</f>
        <v/>
      </c>
      <c r="AJ1043" s="168" t="str">
        <f t="shared" si="215"/>
        <v/>
      </c>
      <c r="AK1043" s="168" t="str">
        <f t="shared" si="216"/>
        <v/>
      </c>
      <c r="AL1043" s="28"/>
      <c r="AM1043" s="28"/>
      <c r="AN1043" s="20" t="str">
        <f>IF(AL1043="","",IF($F1043="Bernardino Furlan",_xlfn.XLOOKUP(AL1043,Cadastros!$G$6:$G$90,Cadastros!$H$6:$H$90)*(1-0.18),IF($F1043="Mauro José Salanti",_xlfn.XLOOKUP(AL1043,Cadastros!$G$6:$G$90,Cadastros!$H$6:$H$90)*(1-0.18),_xlfn.XLOOKUP(AL1043,Cadastros!$G$6:$G$90,Cadastros!$H$6:$H$90))))</f>
        <v/>
      </c>
      <c r="AO1043" s="168" t="str">
        <f t="shared" si="217"/>
        <v/>
      </c>
      <c r="AP1043" s="168" t="str">
        <f t="shared" si="218"/>
        <v/>
      </c>
      <c r="AQ1043" s="28"/>
      <c r="AR1043" s="28"/>
      <c r="AS1043" s="20" t="str">
        <f>IF(AQ1043="","",IF($F1043="Bernardino Furlan",_xlfn.XLOOKUP(AQ1043,Cadastros!$G$6:$G$90,Cadastros!$H$6:$H$90)*(1-0.18),IF($F1043="Mauro José Salanti",_xlfn.XLOOKUP(AQ1043,Cadastros!$G$6:$G$90,Cadastros!$H$6:$H$90)*(1-0.18),_xlfn.XLOOKUP(AQ1043,Cadastros!$G$6:$G$90,Cadastros!$H$6:$H$90))))</f>
        <v/>
      </c>
      <c r="AT1043" s="168" t="str">
        <f t="shared" si="219"/>
        <v/>
      </c>
      <c r="AU1043" s="168" t="str">
        <f t="shared" si="220"/>
        <v/>
      </c>
      <c r="AV1043" s="227"/>
      <c r="AW1043" s="30"/>
      <c r="AX1043" s="267"/>
      <c r="AY1043" s="267"/>
      <c r="AZ1043" s="29"/>
      <c r="BA1043" s="30"/>
      <c r="BB1043" s="23" t="str" cm="1">
        <f t="array" ref="BB1043">_xlfn.IFS(AW1043="SIM",SUM(K1043,P1043,U1043,Z1043,AE1043,AJ1043,AO1043,AT1043,AX1043,AY1043),F1043&lt;&gt;"",SUM(K1043,P1043,U1043,Z1043,AE1043,AJ1043,,AO1043,AT1043),F1043="","")</f>
        <v/>
      </c>
      <c r="BC1043" s="211" t="str" cm="1">
        <f t="array" ref="BC1043">_xlfn.IFS(E1043="","",G1043&lt;=E1043,BB1043*(1-0.03),G1043&lt;(E1043+8),BB1043,AZ1043="Boleto",BB1043*(1+0.001)^DATEDIF(E1043,G1043,"D"),AZ1043="Cheque",BB1043,AZ1043="Dinheiro","Alterar forma pgto")</f>
        <v/>
      </c>
      <c r="BD1043" s="276" t="str" cm="1">
        <f t="array" ref="BD1043">IF(F1043=0," ",IF(BC1043&lt;BB1043,(_xlfn.IFS(AW1043="SIM",SUM(L1043,Q1043,V1043,AA1043,AF1043,AK1043,AP1043,AU1043)+AX1043/_xlfn.XLOOKUP(_xlfn.XLOOKUP($F1043,Clientes!$B$4:$B$39,Clientes!$C$4:$C$39),Cadastros!$L$6:$L$12,Cadastros!$M$6:$M$12)+IF($F1043="Bernardino Furlan",AY1043/2751.92,IF($F1043="Mauro José Salanti",AY1043/2751.92,AY1043/3356)),F1043&lt;&gt;0,SUM(L1043,Q1043,V1043,AA1043,AF1043,AK1043,AP1043,AU1043)))*(1-0.03),_xlfn.IFS(AW1043="SIM",SUM(L1043,Q1043,V1043,AA1043,AF1043,AK1043,AP1043,AU1043)+AX1043/_xlfn.XLOOKUP(_xlfn.XLOOKUP($F1043,Clientes!$B$4:$B$39,Clientes!$C$4:$C$39),Cadastros!$L$6:$L$12,Cadastros!$M$6:$M$12)+IF($F1043="Bernardino Furlan",AY1043/2751.92,IF($F1043="Mauro José Salanti",AY1043/2751.92,AY1043/3356)),F1043&lt;&gt;0,SUM(L1043,Q1043,V1043,AA1043,AF1043,AK1043,AP1043,AU1043))))</f>
        <v xml:space="preserve"> </v>
      </c>
      <c r="BE1043" s="120"/>
      <c r="BF1043" s="120"/>
      <c r="BG1043" s="120"/>
    </row>
    <row r="1044" spans="1:59" s="3" customFormat="1" x14ac:dyDescent="0.3">
      <c r="A1044" s="15" t="str">
        <f t="shared" si="208"/>
        <v/>
      </c>
      <c r="B1044" s="25"/>
      <c r="C1044" s="26"/>
      <c r="D1044" s="279"/>
      <c r="E1044" s="27"/>
      <c r="F1044" s="28"/>
      <c r="G1044" s="27"/>
      <c r="H1044" s="28"/>
      <c r="I1044" s="28"/>
      <c r="J1044" s="255" t="str">
        <f>IF(H1044="","",(_xlfn.XLOOKUP(H1044,Cadastros!$D$6:$D$90,Cadastros!$E$6:$E$90))*(1-_xlfn.XLOOKUP(_xlfn.XLOOKUP($F1044,Clientes!$B$4:$B$39,Clientes!$C$4:$C$39),Cadastros!$L$6:$L$12,Cadastros!$N$6:$N$12)))</f>
        <v/>
      </c>
      <c r="K1044" s="168" t="str">
        <f t="shared" si="209"/>
        <v/>
      </c>
      <c r="L1044" s="168" t="str">
        <f>IFERROR(K1044/_xlfn.XLOOKUP(_xlfn.XLOOKUP($F1044,Clientes!$B$4:$B$39,Clientes!$C$4:$C$39),Cadastros!$L$6:$L$12,Cadastros!$M$6:$M$12)," ")</f>
        <v xml:space="preserve"> </v>
      </c>
      <c r="M1044" s="28"/>
      <c r="N1044" s="28"/>
      <c r="O1044" s="255" t="str">
        <f>IF(M1044="","",(_xlfn.XLOOKUP(M1044,Cadastros!$D$6:$D$90,Cadastros!$E$6:$E$90))*(1-_xlfn.XLOOKUP(_xlfn.XLOOKUP($F1044,Clientes!$B$4:$B$39,Clientes!$C$4:$C$39),Cadastros!$L$6:$L$12,Cadastros!$N$6:$N$12)))</f>
        <v/>
      </c>
      <c r="P1044" s="168" t="str">
        <f t="shared" si="210"/>
        <v/>
      </c>
      <c r="Q1044" s="168" t="str">
        <f>IFERROR(P1044/_xlfn.XLOOKUP(_xlfn.XLOOKUP($F1044,Clientes!$B$4:$B$39,Clientes!$C$4:$C$39),Cadastros!$L$6:$L$12,Cadastros!$M$6:$M$12)," ")</f>
        <v xml:space="preserve"> </v>
      </c>
      <c r="R1044" s="28"/>
      <c r="S1044" s="28"/>
      <c r="T1044" s="255" t="str">
        <f>IF(R1044="","",(_xlfn.XLOOKUP(R1044,Cadastros!$D$6:$D$90,Cadastros!$E$6:$E$90))*(1-_xlfn.XLOOKUP(_xlfn.XLOOKUP($F1044,Clientes!$B$4:$B$39,Clientes!$C$4:$C$39),Cadastros!$L$6:$L$12,Cadastros!$N$6:$N$12)))</f>
        <v/>
      </c>
      <c r="U1044" s="168" t="str">
        <f t="shared" si="211"/>
        <v/>
      </c>
      <c r="V1044" s="168" t="str">
        <f>IFERROR(U1044/_xlfn.XLOOKUP(_xlfn.XLOOKUP($F1044,Clientes!$B$4:$B$39,Clientes!$C$4:$C$39),Cadastros!$L$6:$L$12,Cadastros!$M$6:$M$12)," ")</f>
        <v xml:space="preserve"> </v>
      </c>
      <c r="W1044" s="28"/>
      <c r="X1044" s="28"/>
      <c r="Y1044" s="255" t="str">
        <f>IF(W1044="","",(_xlfn.XLOOKUP(W1044,Cadastros!$D$6:$D$90,Cadastros!$E$6:$E$90))*(1-_xlfn.XLOOKUP(_xlfn.XLOOKUP($F1044,Clientes!$B$4:$B$39,Clientes!$C$4:$C$39),Cadastros!$L$6:$L$12,Cadastros!$N$6:$N$12)))</f>
        <v/>
      </c>
      <c r="Z1044" s="168" t="str">
        <f t="shared" si="212"/>
        <v/>
      </c>
      <c r="AA1044" s="168" t="str">
        <f>IFERROR(Z1044/_xlfn.XLOOKUP(_xlfn.XLOOKUP($F1044,Clientes!$B$4:$B$39,Clientes!$C$4:$C$39),Cadastros!$L$6:$L$12,Cadastros!$M$6:$M$12)," ")</f>
        <v xml:space="preserve"> </v>
      </c>
      <c r="AB1044" s="28"/>
      <c r="AC1044" s="28"/>
      <c r="AD1044" s="20" t="str">
        <f>IF(AB1044="","",IF($F1044="Bernardino Furlan",_xlfn.XLOOKUP(AB1044,Cadastros!$G$6:$G$90,Cadastros!$H$6:$H$90)*(1-0.18),IF($F1044="Mauro José Salanti",_xlfn.XLOOKUP(AB1044,Cadastros!$G$6:$G$90,Cadastros!$H$6:$H$90)*(1-0.18),_xlfn.XLOOKUP(AB1044,Cadastros!$G$6:$G$90,Cadastros!$H$6:$H$90))))</f>
        <v/>
      </c>
      <c r="AE1044" s="168" t="str">
        <f t="shared" si="213"/>
        <v/>
      </c>
      <c r="AF1044" s="168" t="str">
        <f t="shared" si="214"/>
        <v/>
      </c>
      <c r="AG1044" s="28"/>
      <c r="AH1044" s="28"/>
      <c r="AI1044" s="20" t="str">
        <f>IF(AG1044="","",IF($F1044="Bernardino Furlan",_xlfn.XLOOKUP(AG1044,Cadastros!$G$6:$G$90,Cadastros!$H$6:$H$90)*(1-0.18),IF($F1044="Mauro José Salanti",_xlfn.XLOOKUP(AG1044,Cadastros!$G$6:$G$90,Cadastros!$H$6:$H$90)*(1-0.18),_xlfn.XLOOKUP(AG1044,Cadastros!$G$6:$G$90,Cadastros!$H$6:$H$90))))</f>
        <v/>
      </c>
      <c r="AJ1044" s="168" t="str">
        <f t="shared" si="215"/>
        <v/>
      </c>
      <c r="AK1044" s="168" t="str">
        <f t="shared" si="216"/>
        <v/>
      </c>
      <c r="AL1044" s="28"/>
      <c r="AM1044" s="28"/>
      <c r="AN1044" s="20" t="str">
        <f>IF(AL1044="","",IF($F1044="Bernardino Furlan",_xlfn.XLOOKUP(AL1044,Cadastros!$G$6:$G$90,Cadastros!$H$6:$H$90)*(1-0.18),IF($F1044="Mauro José Salanti",_xlfn.XLOOKUP(AL1044,Cadastros!$G$6:$G$90,Cadastros!$H$6:$H$90)*(1-0.18),_xlfn.XLOOKUP(AL1044,Cadastros!$G$6:$G$90,Cadastros!$H$6:$H$90))))</f>
        <v/>
      </c>
      <c r="AO1044" s="168" t="str">
        <f t="shared" si="217"/>
        <v/>
      </c>
      <c r="AP1044" s="168" t="str">
        <f t="shared" si="218"/>
        <v/>
      </c>
      <c r="AQ1044" s="28"/>
      <c r="AR1044" s="28"/>
      <c r="AS1044" s="20" t="str">
        <f>IF(AQ1044="","",IF($F1044="Bernardino Furlan",_xlfn.XLOOKUP(AQ1044,Cadastros!$G$6:$G$90,Cadastros!$H$6:$H$90)*(1-0.18),IF($F1044="Mauro José Salanti",_xlfn.XLOOKUP(AQ1044,Cadastros!$G$6:$G$90,Cadastros!$H$6:$H$90)*(1-0.18),_xlfn.XLOOKUP(AQ1044,Cadastros!$G$6:$G$90,Cadastros!$H$6:$H$90))))</f>
        <v/>
      </c>
      <c r="AT1044" s="168" t="str">
        <f t="shared" si="219"/>
        <v/>
      </c>
      <c r="AU1044" s="168" t="str">
        <f t="shared" si="220"/>
        <v/>
      </c>
      <c r="AV1044" s="227"/>
      <c r="AW1044" s="30"/>
      <c r="AX1044" s="267"/>
      <c r="AY1044" s="267"/>
      <c r="AZ1044" s="29"/>
      <c r="BA1044" s="30"/>
      <c r="BB1044" s="23" t="str" cm="1">
        <f t="array" ref="BB1044">_xlfn.IFS(AW1044="SIM",SUM(K1044,P1044,U1044,Z1044,AE1044,AJ1044,AO1044,AT1044,AX1044,AY1044),F1044&lt;&gt;"",SUM(K1044,P1044,U1044,Z1044,AE1044,AJ1044,,AO1044,AT1044),F1044="","")</f>
        <v/>
      </c>
      <c r="BC1044" s="211" t="str" cm="1">
        <f t="array" ref="BC1044">_xlfn.IFS(E1044="","",G1044&lt;=E1044,BB1044*(1-0.03),G1044&lt;(E1044+8),BB1044,AZ1044="Boleto",BB1044*(1+0.001)^DATEDIF(E1044,G1044,"D"),AZ1044="Cheque",BB1044,AZ1044="Dinheiro","Alterar forma pgto")</f>
        <v/>
      </c>
      <c r="BD1044" s="276" t="str" cm="1">
        <f t="array" ref="BD1044">IF(F1044=0," ",IF(BC1044&lt;BB1044,(_xlfn.IFS(AW1044="SIM",SUM(L1044,Q1044,V1044,AA1044,AF1044,AK1044,AP1044,AU1044)+AX1044/_xlfn.XLOOKUP(_xlfn.XLOOKUP($F1044,Clientes!$B$4:$B$39,Clientes!$C$4:$C$39),Cadastros!$L$6:$L$12,Cadastros!$M$6:$M$12)+IF($F1044="Bernardino Furlan",AY1044/2751.92,IF($F1044="Mauro José Salanti",AY1044/2751.92,AY1044/3356)),F1044&lt;&gt;0,SUM(L1044,Q1044,V1044,AA1044,AF1044,AK1044,AP1044,AU1044)))*(1-0.03),_xlfn.IFS(AW1044="SIM",SUM(L1044,Q1044,V1044,AA1044,AF1044,AK1044,AP1044,AU1044)+AX1044/_xlfn.XLOOKUP(_xlfn.XLOOKUP($F1044,Clientes!$B$4:$B$39,Clientes!$C$4:$C$39),Cadastros!$L$6:$L$12,Cadastros!$M$6:$M$12)+IF($F1044="Bernardino Furlan",AY1044/2751.92,IF($F1044="Mauro José Salanti",AY1044/2751.92,AY1044/3356)),F1044&lt;&gt;0,SUM(L1044,Q1044,V1044,AA1044,AF1044,AK1044,AP1044,AU1044))))</f>
        <v xml:space="preserve"> </v>
      </c>
      <c r="BE1044" s="120"/>
      <c r="BF1044" s="120"/>
      <c r="BG1044" s="120"/>
    </row>
    <row r="1045" spans="1:59" s="3" customFormat="1" x14ac:dyDescent="0.3">
      <c r="A1045" s="15" t="str">
        <f t="shared" si="208"/>
        <v/>
      </c>
      <c r="B1045" s="25"/>
      <c r="C1045" s="26"/>
      <c r="D1045" s="279"/>
      <c r="E1045" s="27"/>
      <c r="F1045" s="28"/>
      <c r="G1045" s="27"/>
      <c r="H1045" s="28"/>
      <c r="I1045" s="28"/>
      <c r="J1045" s="255" t="str">
        <f>IF(H1045="","",(_xlfn.XLOOKUP(H1045,Cadastros!$D$6:$D$90,Cadastros!$E$6:$E$90))*(1-_xlfn.XLOOKUP(_xlfn.XLOOKUP($F1045,Clientes!$B$4:$B$39,Clientes!$C$4:$C$39),Cadastros!$L$6:$L$12,Cadastros!$N$6:$N$12)))</f>
        <v/>
      </c>
      <c r="K1045" s="168" t="str">
        <f t="shared" si="209"/>
        <v/>
      </c>
      <c r="L1045" s="168" t="str">
        <f>IFERROR(K1045/_xlfn.XLOOKUP(_xlfn.XLOOKUP($F1045,Clientes!$B$4:$B$39,Clientes!$C$4:$C$39),Cadastros!$L$6:$L$12,Cadastros!$M$6:$M$12)," ")</f>
        <v xml:space="preserve"> </v>
      </c>
      <c r="M1045" s="28"/>
      <c r="N1045" s="28"/>
      <c r="O1045" s="255" t="str">
        <f>IF(M1045="","",(_xlfn.XLOOKUP(M1045,Cadastros!$D$6:$D$90,Cadastros!$E$6:$E$90))*(1-_xlfn.XLOOKUP(_xlfn.XLOOKUP($F1045,Clientes!$B$4:$B$39,Clientes!$C$4:$C$39),Cadastros!$L$6:$L$12,Cadastros!$N$6:$N$12)))</f>
        <v/>
      </c>
      <c r="P1045" s="168" t="str">
        <f t="shared" si="210"/>
        <v/>
      </c>
      <c r="Q1045" s="168" t="str">
        <f>IFERROR(P1045/_xlfn.XLOOKUP(_xlfn.XLOOKUP($F1045,Clientes!$B$4:$B$39,Clientes!$C$4:$C$39),Cadastros!$L$6:$L$12,Cadastros!$M$6:$M$12)," ")</f>
        <v xml:space="preserve"> </v>
      </c>
      <c r="R1045" s="28"/>
      <c r="S1045" s="28"/>
      <c r="T1045" s="255" t="str">
        <f>IF(R1045="","",(_xlfn.XLOOKUP(R1045,Cadastros!$D$6:$D$90,Cadastros!$E$6:$E$90))*(1-_xlfn.XLOOKUP(_xlfn.XLOOKUP($F1045,Clientes!$B$4:$B$39,Clientes!$C$4:$C$39),Cadastros!$L$6:$L$12,Cadastros!$N$6:$N$12)))</f>
        <v/>
      </c>
      <c r="U1045" s="168" t="str">
        <f t="shared" si="211"/>
        <v/>
      </c>
      <c r="V1045" s="168" t="str">
        <f>IFERROR(U1045/_xlfn.XLOOKUP(_xlfn.XLOOKUP($F1045,Clientes!$B$4:$B$39,Clientes!$C$4:$C$39),Cadastros!$L$6:$L$12,Cadastros!$M$6:$M$12)," ")</f>
        <v xml:space="preserve"> </v>
      </c>
      <c r="W1045" s="28"/>
      <c r="X1045" s="28"/>
      <c r="Y1045" s="255" t="str">
        <f>IF(W1045="","",(_xlfn.XLOOKUP(W1045,Cadastros!$D$6:$D$90,Cadastros!$E$6:$E$90))*(1-_xlfn.XLOOKUP(_xlfn.XLOOKUP($F1045,Clientes!$B$4:$B$39,Clientes!$C$4:$C$39),Cadastros!$L$6:$L$12,Cadastros!$N$6:$N$12)))</f>
        <v/>
      </c>
      <c r="Z1045" s="168" t="str">
        <f t="shared" si="212"/>
        <v/>
      </c>
      <c r="AA1045" s="168" t="str">
        <f>IFERROR(Z1045/_xlfn.XLOOKUP(_xlfn.XLOOKUP($F1045,Clientes!$B$4:$B$39,Clientes!$C$4:$C$39),Cadastros!$L$6:$L$12,Cadastros!$M$6:$M$12)," ")</f>
        <v xml:space="preserve"> </v>
      </c>
      <c r="AB1045" s="28"/>
      <c r="AC1045" s="28"/>
      <c r="AD1045" s="20" t="str">
        <f>IF(AB1045="","",IF($F1045="Bernardino Furlan",_xlfn.XLOOKUP(AB1045,Cadastros!$G$6:$G$90,Cadastros!$H$6:$H$90)*(1-0.18),IF($F1045="Mauro José Salanti",_xlfn.XLOOKUP(AB1045,Cadastros!$G$6:$G$90,Cadastros!$H$6:$H$90)*(1-0.18),_xlfn.XLOOKUP(AB1045,Cadastros!$G$6:$G$90,Cadastros!$H$6:$H$90))))</f>
        <v/>
      </c>
      <c r="AE1045" s="168" t="str">
        <f t="shared" si="213"/>
        <v/>
      </c>
      <c r="AF1045" s="168" t="str">
        <f t="shared" si="214"/>
        <v/>
      </c>
      <c r="AG1045" s="28"/>
      <c r="AH1045" s="28"/>
      <c r="AI1045" s="20" t="str">
        <f>IF(AG1045="","",IF($F1045="Bernardino Furlan",_xlfn.XLOOKUP(AG1045,Cadastros!$G$6:$G$90,Cadastros!$H$6:$H$90)*(1-0.18),IF($F1045="Mauro José Salanti",_xlfn.XLOOKUP(AG1045,Cadastros!$G$6:$G$90,Cadastros!$H$6:$H$90)*(1-0.18),_xlfn.XLOOKUP(AG1045,Cadastros!$G$6:$G$90,Cadastros!$H$6:$H$90))))</f>
        <v/>
      </c>
      <c r="AJ1045" s="168" t="str">
        <f t="shared" si="215"/>
        <v/>
      </c>
      <c r="AK1045" s="168" t="str">
        <f t="shared" si="216"/>
        <v/>
      </c>
      <c r="AL1045" s="28"/>
      <c r="AM1045" s="28"/>
      <c r="AN1045" s="20" t="str">
        <f>IF(AL1045="","",IF($F1045="Bernardino Furlan",_xlfn.XLOOKUP(AL1045,Cadastros!$G$6:$G$90,Cadastros!$H$6:$H$90)*(1-0.18),IF($F1045="Mauro José Salanti",_xlfn.XLOOKUP(AL1045,Cadastros!$G$6:$G$90,Cadastros!$H$6:$H$90)*(1-0.18),_xlfn.XLOOKUP(AL1045,Cadastros!$G$6:$G$90,Cadastros!$H$6:$H$90))))</f>
        <v/>
      </c>
      <c r="AO1045" s="168" t="str">
        <f t="shared" si="217"/>
        <v/>
      </c>
      <c r="AP1045" s="168" t="str">
        <f t="shared" si="218"/>
        <v/>
      </c>
      <c r="AQ1045" s="28"/>
      <c r="AR1045" s="28"/>
      <c r="AS1045" s="20" t="str">
        <f>IF(AQ1045="","",IF($F1045="Bernardino Furlan",_xlfn.XLOOKUP(AQ1045,Cadastros!$G$6:$G$90,Cadastros!$H$6:$H$90)*(1-0.18),IF($F1045="Mauro José Salanti",_xlfn.XLOOKUP(AQ1045,Cadastros!$G$6:$G$90,Cadastros!$H$6:$H$90)*(1-0.18),_xlfn.XLOOKUP(AQ1045,Cadastros!$G$6:$G$90,Cadastros!$H$6:$H$90))))</f>
        <v/>
      </c>
      <c r="AT1045" s="168" t="str">
        <f t="shared" si="219"/>
        <v/>
      </c>
      <c r="AU1045" s="168" t="str">
        <f t="shared" si="220"/>
        <v/>
      </c>
      <c r="AV1045" s="227"/>
      <c r="AW1045" s="30"/>
      <c r="AX1045" s="267"/>
      <c r="AY1045" s="267"/>
      <c r="AZ1045" s="29"/>
      <c r="BA1045" s="30"/>
      <c r="BB1045" s="23" t="str" cm="1">
        <f t="array" ref="BB1045">_xlfn.IFS(AW1045="SIM",SUM(K1045,P1045,U1045,Z1045,AE1045,AJ1045,AO1045,AT1045,AX1045,AY1045),F1045&lt;&gt;"",SUM(K1045,P1045,U1045,Z1045,AE1045,AJ1045,,AO1045,AT1045),F1045="","")</f>
        <v/>
      </c>
      <c r="BC1045" s="211" t="str" cm="1">
        <f t="array" ref="BC1045">_xlfn.IFS(E1045="","",G1045&lt;=E1045,BB1045*(1-0.03),G1045&lt;(E1045+8),BB1045,AZ1045="Boleto",BB1045*(1+0.001)^DATEDIF(E1045,G1045,"D"),AZ1045="Cheque",BB1045,AZ1045="Dinheiro","Alterar forma pgto")</f>
        <v/>
      </c>
      <c r="BD1045" s="276" t="str" cm="1">
        <f t="array" ref="BD1045">IF(F1045=0," ",IF(BC1045&lt;BB1045,(_xlfn.IFS(AW1045="SIM",SUM(L1045,Q1045,V1045,AA1045,AF1045,AK1045,AP1045,AU1045)+AX1045/_xlfn.XLOOKUP(_xlfn.XLOOKUP($F1045,Clientes!$B$4:$B$39,Clientes!$C$4:$C$39),Cadastros!$L$6:$L$12,Cadastros!$M$6:$M$12)+IF($F1045="Bernardino Furlan",AY1045/2751.92,IF($F1045="Mauro José Salanti",AY1045/2751.92,AY1045/3356)),F1045&lt;&gt;0,SUM(L1045,Q1045,V1045,AA1045,AF1045,AK1045,AP1045,AU1045)))*(1-0.03),_xlfn.IFS(AW1045="SIM",SUM(L1045,Q1045,V1045,AA1045,AF1045,AK1045,AP1045,AU1045)+AX1045/_xlfn.XLOOKUP(_xlfn.XLOOKUP($F1045,Clientes!$B$4:$B$39,Clientes!$C$4:$C$39),Cadastros!$L$6:$L$12,Cadastros!$M$6:$M$12)+IF($F1045="Bernardino Furlan",AY1045/2751.92,IF($F1045="Mauro José Salanti",AY1045/2751.92,AY1045/3356)),F1045&lt;&gt;0,SUM(L1045,Q1045,V1045,AA1045,AF1045,AK1045,AP1045,AU1045))))</f>
        <v xml:space="preserve"> </v>
      </c>
      <c r="BE1045" s="120"/>
      <c r="BF1045" s="120"/>
      <c r="BG1045" s="120"/>
    </row>
    <row r="1046" spans="1:59" s="3" customFormat="1" x14ac:dyDescent="0.3">
      <c r="A1046" s="15" t="str">
        <f t="shared" si="208"/>
        <v/>
      </c>
      <c r="B1046" s="25"/>
      <c r="C1046" s="26"/>
      <c r="D1046" s="279"/>
      <c r="E1046" s="27"/>
      <c r="F1046" s="28"/>
      <c r="G1046" s="27"/>
      <c r="H1046" s="28"/>
      <c r="I1046" s="28"/>
      <c r="J1046" s="255" t="str">
        <f>IF(H1046="","",(_xlfn.XLOOKUP(H1046,Cadastros!$D$6:$D$90,Cadastros!$E$6:$E$90))*(1-_xlfn.XLOOKUP(_xlfn.XLOOKUP($F1046,Clientes!$B$4:$B$39,Clientes!$C$4:$C$39),Cadastros!$L$6:$L$12,Cadastros!$N$6:$N$12)))</f>
        <v/>
      </c>
      <c r="K1046" s="168" t="str">
        <f t="shared" si="209"/>
        <v/>
      </c>
      <c r="L1046" s="168" t="str">
        <f>IFERROR(K1046/_xlfn.XLOOKUP(_xlfn.XLOOKUP($F1046,Clientes!$B$4:$B$39,Clientes!$C$4:$C$39),Cadastros!$L$6:$L$12,Cadastros!$M$6:$M$12)," ")</f>
        <v xml:space="preserve"> </v>
      </c>
      <c r="M1046" s="28"/>
      <c r="N1046" s="28"/>
      <c r="O1046" s="255" t="str">
        <f>IF(M1046="","",(_xlfn.XLOOKUP(M1046,Cadastros!$D$6:$D$90,Cadastros!$E$6:$E$90))*(1-_xlfn.XLOOKUP(_xlfn.XLOOKUP($F1046,Clientes!$B$4:$B$39,Clientes!$C$4:$C$39),Cadastros!$L$6:$L$12,Cadastros!$N$6:$N$12)))</f>
        <v/>
      </c>
      <c r="P1046" s="168" t="str">
        <f t="shared" si="210"/>
        <v/>
      </c>
      <c r="Q1046" s="168" t="str">
        <f>IFERROR(P1046/_xlfn.XLOOKUP(_xlfn.XLOOKUP($F1046,Clientes!$B$4:$B$39,Clientes!$C$4:$C$39),Cadastros!$L$6:$L$12,Cadastros!$M$6:$M$12)," ")</f>
        <v xml:space="preserve"> </v>
      </c>
      <c r="R1046" s="28"/>
      <c r="S1046" s="28"/>
      <c r="T1046" s="255" t="str">
        <f>IF(R1046="","",(_xlfn.XLOOKUP(R1046,Cadastros!$D$6:$D$90,Cadastros!$E$6:$E$90))*(1-_xlfn.XLOOKUP(_xlfn.XLOOKUP($F1046,Clientes!$B$4:$B$39,Clientes!$C$4:$C$39),Cadastros!$L$6:$L$12,Cadastros!$N$6:$N$12)))</f>
        <v/>
      </c>
      <c r="U1046" s="168" t="str">
        <f t="shared" si="211"/>
        <v/>
      </c>
      <c r="V1046" s="168" t="str">
        <f>IFERROR(U1046/_xlfn.XLOOKUP(_xlfn.XLOOKUP($F1046,Clientes!$B$4:$B$39,Clientes!$C$4:$C$39),Cadastros!$L$6:$L$12,Cadastros!$M$6:$M$12)," ")</f>
        <v xml:space="preserve"> </v>
      </c>
      <c r="W1046" s="28"/>
      <c r="X1046" s="28"/>
      <c r="Y1046" s="255" t="str">
        <f>IF(W1046="","",(_xlfn.XLOOKUP(W1046,Cadastros!$D$6:$D$90,Cadastros!$E$6:$E$90))*(1-_xlfn.XLOOKUP(_xlfn.XLOOKUP($F1046,Clientes!$B$4:$B$39,Clientes!$C$4:$C$39),Cadastros!$L$6:$L$12,Cadastros!$N$6:$N$12)))</f>
        <v/>
      </c>
      <c r="Z1046" s="168" t="str">
        <f t="shared" si="212"/>
        <v/>
      </c>
      <c r="AA1046" s="168" t="str">
        <f>IFERROR(Z1046/_xlfn.XLOOKUP(_xlfn.XLOOKUP($F1046,Clientes!$B$4:$B$39,Clientes!$C$4:$C$39),Cadastros!$L$6:$L$12,Cadastros!$M$6:$M$12)," ")</f>
        <v xml:space="preserve"> </v>
      </c>
      <c r="AB1046" s="28"/>
      <c r="AC1046" s="28"/>
      <c r="AD1046" s="20" t="str">
        <f>IF(AB1046="","",IF($F1046="Bernardino Furlan",_xlfn.XLOOKUP(AB1046,Cadastros!$G$6:$G$90,Cadastros!$H$6:$H$90)*(1-0.18),IF($F1046="Mauro José Salanti",_xlfn.XLOOKUP(AB1046,Cadastros!$G$6:$G$90,Cadastros!$H$6:$H$90)*(1-0.18),_xlfn.XLOOKUP(AB1046,Cadastros!$G$6:$G$90,Cadastros!$H$6:$H$90))))</f>
        <v/>
      </c>
      <c r="AE1046" s="168" t="str">
        <f t="shared" si="213"/>
        <v/>
      </c>
      <c r="AF1046" s="168" t="str">
        <f t="shared" si="214"/>
        <v/>
      </c>
      <c r="AG1046" s="28"/>
      <c r="AH1046" s="28"/>
      <c r="AI1046" s="20" t="str">
        <f>IF(AG1046="","",IF($F1046="Bernardino Furlan",_xlfn.XLOOKUP(AG1046,Cadastros!$G$6:$G$90,Cadastros!$H$6:$H$90)*(1-0.18),IF($F1046="Mauro José Salanti",_xlfn.XLOOKUP(AG1046,Cadastros!$G$6:$G$90,Cadastros!$H$6:$H$90)*(1-0.18),_xlfn.XLOOKUP(AG1046,Cadastros!$G$6:$G$90,Cadastros!$H$6:$H$90))))</f>
        <v/>
      </c>
      <c r="AJ1046" s="168" t="str">
        <f t="shared" si="215"/>
        <v/>
      </c>
      <c r="AK1046" s="168" t="str">
        <f t="shared" si="216"/>
        <v/>
      </c>
      <c r="AL1046" s="28"/>
      <c r="AM1046" s="28"/>
      <c r="AN1046" s="20" t="str">
        <f>IF(AL1046="","",IF($F1046="Bernardino Furlan",_xlfn.XLOOKUP(AL1046,Cadastros!$G$6:$G$90,Cadastros!$H$6:$H$90)*(1-0.18),IF($F1046="Mauro José Salanti",_xlfn.XLOOKUP(AL1046,Cadastros!$G$6:$G$90,Cadastros!$H$6:$H$90)*(1-0.18),_xlfn.XLOOKUP(AL1046,Cadastros!$G$6:$G$90,Cadastros!$H$6:$H$90))))</f>
        <v/>
      </c>
      <c r="AO1046" s="168" t="str">
        <f t="shared" si="217"/>
        <v/>
      </c>
      <c r="AP1046" s="168" t="str">
        <f t="shared" si="218"/>
        <v/>
      </c>
      <c r="AQ1046" s="28"/>
      <c r="AR1046" s="28"/>
      <c r="AS1046" s="20" t="str">
        <f>IF(AQ1046="","",IF($F1046="Bernardino Furlan",_xlfn.XLOOKUP(AQ1046,Cadastros!$G$6:$G$90,Cadastros!$H$6:$H$90)*(1-0.18),IF($F1046="Mauro José Salanti",_xlfn.XLOOKUP(AQ1046,Cadastros!$G$6:$G$90,Cadastros!$H$6:$H$90)*(1-0.18),_xlfn.XLOOKUP(AQ1046,Cadastros!$G$6:$G$90,Cadastros!$H$6:$H$90))))</f>
        <v/>
      </c>
      <c r="AT1046" s="168" t="str">
        <f t="shared" si="219"/>
        <v/>
      </c>
      <c r="AU1046" s="168" t="str">
        <f t="shared" si="220"/>
        <v/>
      </c>
      <c r="AV1046" s="227"/>
      <c r="AW1046" s="30"/>
      <c r="AX1046" s="267"/>
      <c r="AY1046" s="267"/>
      <c r="AZ1046" s="29"/>
      <c r="BA1046" s="30"/>
      <c r="BB1046" s="23" t="str" cm="1">
        <f t="array" ref="BB1046">_xlfn.IFS(AW1046="SIM",SUM(K1046,P1046,U1046,Z1046,AE1046,AJ1046,AO1046,AT1046,AX1046,AY1046),F1046&lt;&gt;"",SUM(K1046,P1046,U1046,Z1046,AE1046,AJ1046,,AO1046,AT1046),F1046="","")</f>
        <v/>
      </c>
      <c r="BC1046" s="211" t="str" cm="1">
        <f t="array" ref="BC1046">_xlfn.IFS(E1046="","",G1046&lt;=E1046,BB1046*(1-0.03),G1046&lt;(E1046+8),BB1046,AZ1046="Boleto",BB1046*(1+0.001)^DATEDIF(E1046,G1046,"D"),AZ1046="Cheque",BB1046,AZ1046="Dinheiro","Alterar forma pgto")</f>
        <v/>
      </c>
      <c r="BD1046" s="276" t="str" cm="1">
        <f t="array" ref="BD1046">IF(F1046=0," ",IF(BC1046&lt;BB1046,(_xlfn.IFS(AW1046="SIM",SUM(L1046,Q1046,V1046,AA1046,AF1046,AK1046,AP1046,AU1046)+AX1046/_xlfn.XLOOKUP(_xlfn.XLOOKUP($F1046,Clientes!$B$4:$B$39,Clientes!$C$4:$C$39),Cadastros!$L$6:$L$12,Cadastros!$M$6:$M$12)+IF($F1046="Bernardino Furlan",AY1046/2751.92,IF($F1046="Mauro José Salanti",AY1046/2751.92,AY1046/3356)),F1046&lt;&gt;0,SUM(L1046,Q1046,V1046,AA1046,AF1046,AK1046,AP1046,AU1046)))*(1-0.03),_xlfn.IFS(AW1046="SIM",SUM(L1046,Q1046,V1046,AA1046,AF1046,AK1046,AP1046,AU1046)+AX1046/_xlfn.XLOOKUP(_xlfn.XLOOKUP($F1046,Clientes!$B$4:$B$39,Clientes!$C$4:$C$39),Cadastros!$L$6:$L$12,Cadastros!$M$6:$M$12)+IF($F1046="Bernardino Furlan",AY1046/2751.92,IF($F1046="Mauro José Salanti",AY1046/2751.92,AY1046/3356)),F1046&lt;&gt;0,SUM(L1046,Q1046,V1046,AA1046,AF1046,AK1046,AP1046,AU1046))))</f>
        <v xml:space="preserve"> </v>
      </c>
      <c r="BE1046" s="120"/>
      <c r="BF1046" s="120"/>
      <c r="BG1046" s="120"/>
    </row>
    <row r="1047" spans="1:59" s="3" customFormat="1" x14ac:dyDescent="0.3">
      <c r="A1047" s="15" t="str">
        <f t="shared" si="208"/>
        <v/>
      </c>
      <c r="B1047" s="25"/>
      <c r="C1047" s="26"/>
      <c r="D1047" s="279"/>
      <c r="E1047" s="27"/>
      <c r="F1047" s="28"/>
      <c r="G1047" s="27"/>
      <c r="H1047" s="28"/>
      <c r="I1047" s="28"/>
      <c r="J1047" s="255" t="str">
        <f>IF(H1047="","",(_xlfn.XLOOKUP(H1047,Cadastros!$D$6:$D$90,Cadastros!$E$6:$E$90))*(1-_xlfn.XLOOKUP(_xlfn.XLOOKUP($F1047,Clientes!$B$4:$B$39,Clientes!$C$4:$C$39),Cadastros!$L$6:$L$12,Cadastros!$N$6:$N$12)))</f>
        <v/>
      </c>
      <c r="K1047" s="168" t="str">
        <f t="shared" si="209"/>
        <v/>
      </c>
      <c r="L1047" s="168" t="str">
        <f>IFERROR(K1047/_xlfn.XLOOKUP(_xlfn.XLOOKUP($F1047,Clientes!$B$4:$B$39,Clientes!$C$4:$C$39),Cadastros!$L$6:$L$12,Cadastros!$M$6:$M$12)," ")</f>
        <v xml:space="preserve"> </v>
      </c>
      <c r="M1047" s="28"/>
      <c r="N1047" s="28"/>
      <c r="O1047" s="255" t="str">
        <f>IF(M1047="","",(_xlfn.XLOOKUP(M1047,Cadastros!$D$6:$D$90,Cadastros!$E$6:$E$90))*(1-_xlfn.XLOOKUP(_xlfn.XLOOKUP($F1047,Clientes!$B$4:$B$39,Clientes!$C$4:$C$39),Cadastros!$L$6:$L$12,Cadastros!$N$6:$N$12)))</f>
        <v/>
      </c>
      <c r="P1047" s="168" t="str">
        <f t="shared" si="210"/>
        <v/>
      </c>
      <c r="Q1047" s="168" t="str">
        <f>IFERROR(P1047/_xlfn.XLOOKUP(_xlfn.XLOOKUP($F1047,Clientes!$B$4:$B$39,Clientes!$C$4:$C$39),Cadastros!$L$6:$L$12,Cadastros!$M$6:$M$12)," ")</f>
        <v xml:space="preserve"> </v>
      </c>
      <c r="R1047" s="28"/>
      <c r="S1047" s="28"/>
      <c r="T1047" s="255" t="str">
        <f>IF(R1047="","",(_xlfn.XLOOKUP(R1047,Cadastros!$D$6:$D$90,Cadastros!$E$6:$E$90))*(1-_xlfn.XLOOKUP(_xlfn.XLOOKUP($F1047,Clientes!$B$4:$B$39,Clientes!$C$4:$C$39),Cadastros!$L$6:$L$12,Cadastros!$N$6:$N$12)))</f>
        <v/>
      </c>
      <c r="U1047" s="168" t="str">
        <f t="shared" si="211"/>
        <v/>
      </c>
      <c r="V1047" s="168" t="str">
        <f>IFERROR(U1047/_xlfn.XLOOKUP(_xlfn.XLOOKUP($F1047,Clientes!$B$4:$B$39,Clientes!$C$4:$C$39),Cadastros!$L$6:$L$12,Cadastros!$M$6:$M$12)," ")</f>
        <v xml:space="preserve"> </v>
      </c>
      <c r="W1047" s="28"/>
      <c r="X1047" s="28"/>
      <c r="Y1047" s="255" t="str">
        <f>IF(W1047="","",(_xlfn.XLOOKUP(W1047,Cadastros!$D$6:$D$90,Cadastros!$E$6:$E$90))*(1-_xlfn.XLOOKUP(_xlfn.XLOOKUP($F1047,Clientes!$B$4:$B$39,Clientes!$C$4:$C$39),Cadastros!$L$6:$L$12,Cadastros!$N$6:$N$12)))</f>
        <v/>
      </c>
      <c r="Z1047" s="168" t="str">
        <f t="shared" si="212"/>
        <v/>
      </c>
      <c r="AA1047" s="168" t="str">
        <f>IFERROR(Z1047/_xlfn.XLOOKUP(_xlfn.XLOOKUP($F1047,Clientes!$B$4:$B$39,Clientes!$C$4:$C$39),Cadastros!$L$6:$L$12,Cadastros!$M$6:$M$12)," ")</f>
        <v xml:space="preserve"> </v>
      </c>
      <c r="AB1047" s="28"/>
      <c r="AC1047" s="28"/>
      <c r="AD1047" s="20" t="str">
        <f>IF(AB1047="","",IF($F1047="Bernardino Furlan",_xlfn.XLOOKUP(AB1047,Cadastros!$G$6:$G$90,Cadastros!$H$6:$H$90)*(1-0.18),IF($F1047="Mauro José Salanti",_xlfn.XLOOKUP(AB1047,Cadastros!$G$6:$G$90,Cadastros!$H$6:$H$90)*(1-0.18),_xlfn.XLOOKUP(AB1047,Cadastros!$G$6:$G$90,Cadastros!$H$6:$H$90))))</f>
        <v/>
      </c>
      <c r="AE1047" s="168" t="str">
        <f t="shared" si="213"/>
        <v/>
      </c>
      <c r="AF1047" s="168" t="str">
        <f t="shared" si="214"/>
        <v/>
      </c>
      <c r="AG1047" s="28"/>
      <c r="AH1047" s="28"/>
      <c r="AI1047" s="20" t="str">
        <f>IF(AG1047="","",IF($F1047="Bernardino Furlan",_xlfn.XLOOKUP(AG1047,Cadastros!$G$6:$G$90,Cadastros!$H$6:$H$90)*(1-0.18),IF($F1047="Mauro José Salanti",_xlfn.XLOOKUP(AG1047,Cadastros!$G$6:$G$90,Cadastros!$H$6:$H$90)*(1-0.18),_xlfn.XLOOKUP(AG1047,Cadastros!$G$6:$G$90,Cadastros!$H$6:$H$90))))</f>
        <v/>
      </c>
      <c r="AJ1047" s="168" t="str">
        <f t="shared" si="215"/>
        <v/>
      </c>
      <c r="AK1047" s="168" t="str">
        <f t="shared" si="216"/>
        <v/>
      </c>
      <c r="AL1047" s="28"/>
      <c r="AM1047" s="28"/>
      <c r="AN1047" s="20" t="str">
        <f>IF(AL1047="","",IF($F1047="Bernardino Furlan",_xlfn.XLOOKUP(AL1047,Cadastros!$G$6:$G$90,Cadastros!$H$6:$H$90)*(1-0.18),IF($F1047="Mauro José Salanti",_xlfn.XLOOKUP(AL1047,Cadastros!$G$6:$G$90,Cadastros!$H$6:$H$90)*(1-0.18),_xlfn.XLOOKUP(AL1047,Cadastros!$G$6:$G$90,Cadastros!$H$6:$H$90))))</f>
        <v/>
      </c>
      <c r="AO1047" s="168" t="str">
        <f t="shared" si="217"/>
        <v/>
      </c>
      <c r="AP1047" s="168" t="str">
        <f t="shared" si="218"/>
        <v/>
      </c>
      <c r="AQ1047" s="28"/>
      <c r="AR1047" s="28"/>
      <c r="AS1047" s="20" t="str">
        <f>IF(AQ1047="","",IF($F1047="Bernardino Furlan",_xlfn.XLOOKUP(AQ1047,Cadastros!$G$6:$G$90,Cadastros!$H$6:$H$90)*(1-0.18),IF($F1047="Mauro José Salanti",_xlfn.XLOOKUP(AQ1047,Cadastros!$G$6:$G$90,Cadastros!$H$6:$H$90)*(1-0.18),_xlfn.XLOOKUP(AQ1047,Cadastros!$G$6:$G$90,Cadastros!$H$6:$H$90))))</f>
        <v/>
      </c>
      <c r="AT1047" s="168" t="str">
        <f t="shared" si="219"/>
        <v/>
      </c>
      <c r="AU1047" s="168" t="str">
        <f t="shared" si="220"/>
        <v/>
      </c>
      <c r="AV1047" s="227"/>
      <c r="AW1047" s="30"/>
      <c r="AX1047" s="267"/>
      <c r="AY1047" s="267"/>
      <c r="AZ1047" s="29"/>
      <c r="BA1047" s="30"/>
      <c r="BB1047" s="23" t="str" cm="1">
        <f t="array" ref="BB1047">_xlfn.IFS(AW1047="SIM",SUM(K1047,P1047,U1047,Z1047,AE1047,AJ1047,AO1047,AT1047,AX1047,AY1047),F1047&lt;&gt;"",SUM(K1047,P1047,U1047,Z1047,AE1047,AJ1047,,AO1047,AT1047),F1047="","")</f>
        <v/>
      </c>
      <c r="BC1047" s="211" t="str" cm="1">
        <f t="array" ref="BC1047">_xlfn.IFS(E1047="","",G1047&lt;=E1047,BB1047*(1-0.03),G1047&lt;(E1047+8),BB1047,AZ1047="Boleto",BB1047*(1+0.001)^DATEDIF(E1047,G1047,"D"),AZ1047="Cheque",BB1047,AZ1047="Dinheiro","Alterar forma pgto")</f>
        <v/>
      </c>
      <c r="BD1047" s="276" t="str" cm="1">
        <f t="array" ref="BD1047">IF(F1047=0," ",IF(BC1047&lt;BB1047,(_xlfn.IFS(AW1047="SIM",SUM(L1047,Q1047,V1047,AA1047,AF1047,AK1047,AP1047,AU1047)+AX1047/_xlfn.XLOOKUP(_xlfn.XLOOKUP($F1047,Clientes!$B$4:$B$39,Clientes!$C$4:$C$39),Cadastros!$L$6:$L$12,Cadastros!$M$6:$M$12)+IF($F1047="Bernardino Furlan",AY1047/2751.92,IF($F1047="Mauro José Salanti",AY1047/2751.92,AY1047/3356)),F1047&lt;&gt;0,SUM(L1047,Q1047,V1047,AA1047,AF1047,AK1047,AP1047,AU1047)))*(1-0.03),_xlfn.IFS(AW1047="SIM",SUM(L1047,Q1047,V1047,AA1047,AF1047,AK1047,AP1047,AU1047)+AX1047/_xlfn.XLOOKUP(_xlfn.XLOOKUP($F1047,Clientes!$B$4:$B$39,Clientes!$C$4:$C$39),Cadastros!$L$6:$L$12,Cadastros!$M$6:$M$12)+IF($F1047="Bernardino Furlan",AY1047/2751.92,IF($F1047="Mauro José Salanti",AY1047/2751.92,AY1047/3356)),F1047&lt;&gt;0,SUM(L1047,Q1047,V1047,AA1047,AF1047,AK1047,AP1047,AU1047))))</f>
        <v xml:space="preserve"> </v>
      </c>
      <c r="BE1047" s="120"/>
      <c r="BF1047" s="120"/>
      <c r="BG1047" s="120"/>
    </row>
    <row r="1048" spans="1:59" s="3" customFormat="1" x14ac:dyDescent="0.3">
      <c r="A1048" s="15" t="str">
        <f t="shared" si="208"/>
        <v/>
      </c>
      <c r="B1048" s="25"/>
      <c r="C1048" s="26"/>
      <c r="D1048" s="279"/>
      <c r="E1048" s="27"/>
      <c r="F1048" s="28"/>
      <c r="G1048" s="27"/>
      <c r="H1048" s="28"/>
      <c r="I1048" s="28"/>
      <c r="J1048" s="255" t="str">
        <f>IF(H1048="","",(_xlfn.XLOOKUP(H1048,Cadastros!$D$6:$D$90,Cadastros!$E$6:$E$90))*(1-_xlfn.XLOOKUP(_xlfn.XLOOKUP($F1048,Clientes!$B$4:$B$39,Clientes!$C$4:$C$39),Cadastros!$L$6:$L$12,Cadastros!$N$6:$N$12)))</f>
        <v/>
      </c>
      <c r="K1048" s="168" t="str">
        <f t="shared" si="209"/>
        <v/>
      </c>
      <c r="L1048" s="168" t="str">
        <f>IFERROR(K1048/_xlfn.XLOOKUP(_xlfn.XLOOKUP($F1048,Clientes!$B$4:$B$39,Clientes!$C$4:$C$39),Cadastros!$L$6:$L$12,Cadastros!$M$6:$M$12)," ")</f>
        <v xml:space="preserve"> </v>
      </c>
      <c r="M1048" s="28"/>
      <c r="N1048" s="28"/>
      <c r="O1048" s="255" t="str">
        <f>IF(M1048="","",(_xlfn.XLOOKUP(M1048,Cadastros!$D$6:$D$90,Cadastros!$E$6:$E$90))*(1-_xlfn.XLOOKUP(_xlfn.XLOOKUP($F1048,Clientes!$B$4:$B$39,Clientes!$C$4:$C$39),Cadastros!$L$6:$L$12,Cadastros!$N$6:$N$12)))</f>
        <v/>
      </c>
      <c r="P1048" s="168" t="str">
        <f t="shared" si="210"/>
        <v/>
      </c>
      <c r="Q1048" s="168" t="str">
        <f>IFERROR(P1048/_xlfn.XLOOKUP(_xlfn.XLOOKUP($F1048,Clientes!$B$4:$B$39,Clientes!$C$4:$C$39),Cadastros!$L$6:$L$12,Cadastros!$M$6:$M$12)," ")</f>
        <v xml:space="preserve"> </v>
      </c>
      <c r="R1048" s="28"/>
      <c r="S1048" s="28"/>
      <c r="T1048" s="255" t="str">
        <f>IF(R1048="","",(_xlfn.XLOOKUP(R1048,Cadastros!$D$6:$D$90,Cadastros!$E$6:$E$90))*(1-_xlfn.XLOOKUP(_xlfn.XLOOKUP($F1048,Clientes!$B$4:$B$39,Clientes!$C$4:$C$39),Cadastros!$L$6:$L$12,Cadastros!$N$6:$N$12)))</f>
        <v/>
      </c>
      <c r="U1048" s="168" t="str">
        <f t="shared" si="211"/>
        <v/>
      </c>
      <c r="V1048" s="168" t="str">
        <f>IFERROR(U1048/_xlfn.XLOOKUP(_xlfn.XLOOKUP($F1048,Clientes!$B$4:$B$39,Clientes!$C$4:$C$39),Cadastros!$L$6:$L$12,Cadastros!$M$6:$M$12)," ")</f>
        <v xml:space="preserve"> </v>
      </c>
      <c r="W1048" s="28"/>
      <c r="X1048" s="28"/>
      <c r="Y1048" s="255" t="str">
        <f>IF(W1048="","",(_xlfn.XLOOKUP(W1048,Cadastros!$D$6:$D$90,Cadastros!$E$6:$E$90))*(1-_xlfn.XLOOKUP(_xlfn.XLOOKUP($F1048,Clientes!$B$4:$B$39,Clientes!$C$4:$C$39),Cadastros!$L$6:$L$12,Cadastros!$N$6:$N$12)))</f>
        <v/>
      </c>
      <c r="Z1048" s="168" t="str">
        <f t="shared" si="212"/>
        <v/>
      </c>
      <c r="AA1048" s="168" t="str">
        <f>IFERROR(Z1048/_xlfn.XLOOKUP(_xlfn.XLOOKUP($F1048,Clientes!$B$4:$B$39,Clientes!$C$4:$C$39),Cadastros!$L$6:$L$12,Cadastros!$M$6:$M$12)," ")</f>
        <v xml:space="preserve"> </v>
      </c>
      <c r="AB1048" s="28"/>
      <c r="AC1048" s="28"/>
      <c r="AD1048" s="20" t="str">
        <f>IF(AB1048="","",IF($F1048="Bernardino Furlan",_xlfn.XLOOKUP(AB1048,Cadastros!$G$6:$G$90,Cadastros!$H$6:$H$90)*(1-0.18),IF($F1048="Mauro José Salanti",_xlfn.XLOOKUP(AB1048,Cadastros!$G$6:$G$90,Cadastros!$H$6:$H$90)*(1-0.18),_xlfn.XLOOKUP(AB1048,Cadastros!$G$6:$G$90,Cadastros!$H$6:$H$90))))</f>
        <v/>
      </c>
      <c r="AE1048" s="168" t="str">
        <f t="shared" si="213"/>
        <v/>
      </c>
      <c r="AF1048" s="168" t="str">
        <f t="shared" si="214"/>
        <v/>
      </c>
      <c r="AG1048" s="28"/>
      <c r="AH1048" s="28"/>
      <c r="AI1048" s="20" t="str">
        <f>IF(AG1048="","",IF($F1048="Bernardino Furlan",_xlfn.XLOOKUP(AG1048,Cadastros!$G$6:$G$90,Cadastros!$H$6:$H$90)*(1-0.18),IF($F1048="Mauro José Salanti",_xlfn.XLOOKUP(AG1048,Cadastros!$G$6:$G$90,Cadastros!$H$6:$H$90)*(1-0.18),_xlfn.XLOOKUP(AG1048,Cadastros!$G$6:$G$90,Cadastros!$H$6:$H$90))))</f>
        <v/>
      </c>
      <c r="AJ1048" s="168" t="str">
        <f t="shared" si="215"/>
        <v/>
      </c>
      <c r="AK1048" s="168" t="str">
        <f t="shared" si="216"/>
        <v/>
      </c>
      <c r="AL1048" s="28"/>
      <c r="AM1048" s="28"/>
      <c r="AN1048" s="20" t="str">
        <f>IF(AL1048="","",IF($F1048="Bernardino Furlan",_xlfn.XLOOKUP(AL1048,Cadastros!$G$6:$G$90,Cadastros!$H$6:$H$90)*(1-0.18),IF($F1048="Mauro José Salanti",_xlfn.XLOOKUP(AL1048,Cadastros!$G$6:$G$90,Cadastros!$H$6:$H$90)*(1-0.18),_xlfn.XLOOKUP(AL1048,Cadastros!$G$6:$G$90,Cadastros!$H$6:$H$90))))</f>
        <v/>
      </c>
      <c r="AO1048" s="168" t="str">
        <f t="shared" si="217"/>
        <v/>
      </c>
      <c r="AP1048" s="168" t="str">
        <f t="shared" si="218"/>
        <v/>
      </c>
      <c r="AQ1048" s="28"/>
      <c r="AR1048" s="28"/>
      <c r="AS1048" s="20" t="str">
        <f>IF(AQ1048="","",IF($F1048="Bernardino Furlan",_xlfn.XLOOKUP(AQ1048,Cadastros!$G$6:$G$90,Cadastros!$H$6:$H$90)*(1-0.18),IF($F1048="Mauro José Salanti",_xlfn.XLOOKUP(AQ1048,Cadastros!$G$6:$G$90,Cadastros!$H$6:$H$90)*(1-0.18),_xlfn.XLOOKUP(AQ1048,Cadastros!$G$6:$G$90,Cadastros!$H$6:$H$90))))</f>
        <v/>
      </c>
      <c r="AT1048" s="168" t="str">
        <f t="shared" si="219"/>
        <v/>
      </c>
      <c r="AU1048" s="168" t="str">
        <f t="shared" si="220"/>
        <v/>
      </c>
      <c r="AV1048" s="227"/>
      <c r="AW1048" s="30"/>
      <c r="AX1048" s="267"/>
      <c r="AY1048" s="267"/>
      <c r="AZ1048" s="29"/>
      <c r="BA1048" s="30"/>
      <c r="BB1048" s="23" t="str" cm="1">
        <f t="array" ref="BB1048">_xlfn.IFS(AW1048="SIM",SUM(K1048,P1048,U1048,Z1048,AE1048,AJ1048,AO1048,AT1048,AX1048,AY1048),F1048&lt;&gt;"",SUM(K1048,P1048,U1048,Z1048,AE1048,AJ1048,,AO1048,AT1048),F1048="","")</f>
        <v/>
      </c>
      <c r="BC1048" s="211" t="str" cm="1">
        <f t="array" ref="BC1048">_xlfn.IFS(E1048="","",G1048&lt;=E1048,BB1048*(1-0.03),G1048&lt;(E1048+8),BB1048,AZ1048="Boleto",BB1048*(1+0.001)^DATEDIF(E1048,G1048,"D"),AZ1048="Cheque",BB1048,AZ1048="Dinheiro","Alterar forma pgto")</f>
        <v/>
      </c>
      <c r="BD1048" s="276" t="str" cm="1">
        <f t="array" ref="BD1048">IF(F1048=0," ",IF(BC1048&lt;BB1048,(_xlfn.IFS(AW1048="SIM",SUM(L1048,Q1048,V1048,AA1048,AF1048,AK1048,AP1048,AU1048)+AX1048/_xlfn.XLOOKUP(_xlfn.XLOOKUP($F1048,Clientes!$B$4:$B$39,Clientes!$C$4:$C$39),Cadastros!$L$6:$L$12,Cadastros!$M$6:$M$12)+IF($F1048="Bernardino Furlan",AY1048/2751.92,IF($F1048="Mauro José Salanti",AY1048/2751.92,AY1048/3356)),F1048&lt;&gt;0,SUM(L1048,Q1048,V1048,AA1048,AF1048,AK1048,AP1048,AU1048)))*(1-0.03),_xlfn.IFS(AW1048="SIM",SUM(L1048,Q1048,V1048,AA1048,AF1048,AK1048,AP1048,AU1048)+AX1048/_xlfn.XLOOKUP(_xlfn.XLOOKUP($F1048,Clientes!$B$4:$B$39,Clientes!$C$4:$C$39),Cadastros!$L$6:$L$12,Cadastros!$M$6:$M$12)+IF($F1048="Bernardino Furlan",AY1048/2751.92,IF($F1048="Mauro José Salanti",AY1048/2751.92,AY1048/3356)),F1048&lt;&gt;0,SUM(L1048,Q1048,V1048,AA1048,AF1048,AK1048,AP1048,AU1048))))</f>
        <v xml:space="preserve"> </v>
      </c>
      <c r="BE1048" s="120"/>
      <c r="BF1048" s="120"/>
      <c r="BG1048" s="120"/>
    </row>
    <row r="1049" spans="1:59" s="3" customFormat="1" x14ac:dyDescent="0.3">
      <c r="A1049" s="15" t="str">
        <f t="shared" si="208"/>
        <v/>
      </c>
      <c r="B1049" s="25"/>
      <c r="C1049" s="26"/>
      <c r="D1049" s="279"/>
      <c r="E1049" s="27"/>
      <c r="F1049" s="28"/>
      <c r="G1049" s="27"/>
      <c r="H1049" s="28"/>
      <c r="I1049" s="28"/>
      <c r="J1049" s="255" t="str">
        <f>IF(H1049="","",(_xlfn.XLOOKUP(H1049,Cadastros!$D$6:$D$90,Cadastros!$E$6:$E$90))*(1-_xlfn.XLOOKUP(_xlfn.XLOOKUP($F1049,Clientes!$B$4:$B$39,Clientes!$C$4:$C$39),Cadastros!$L$6:$L$12,Cadastros!$N$6:$N$12)))</f>
        <v/>
      </c>
      <c r="K1049" s="168" t="str">
        <f t="shared" si="209"/>
        <v/>
      </c>
      <c r="L1049" s="168" t="str">
        <f>IFERROR(K1049/_xlfn.XLOOKUP(_xlfn.XLOOKUP($F1049,Clientes!$B$4:$B$39,Clientes!$C$4:$C$39),Cadastros!$L$6:$L$12,Cadastros!$M$6:$M$12)," ")</f>
        <v xml:space="preserve"> </v>
      </c>
      <c r="M1049" s="28"/>
      <c r="N1049" s="28"/>
      <c r="O1049" s="255" t="str">
        <f>IF(M1049="","",(_xlfn.XLOOKUP(M1049,Cadastros!$D$6:$D$90,Cadastros!$E$6:$E$90))*(1-_xlfn.XLOOKUP(_xlfn.XLOOKUP($F1049,Clientes!$B$4:$B$39,Clientes!$C$4:$C$39),Cadastros!$L$6:$L$12,Cadastros!$N$6:$N$12)))</f>
        <v/>
      </c>
      <c r="P1049" s="168" t="str">
        <f t="shared" si="210"/>
        <v/>
      </c>
      <c r="Q1049" s="168" t="str">
        <f>IFERROR(P1049/_xlfn.XLOOKUP(_xlfn.XLOOKUP($F1049,Clientes!$B$4:$B$39,Clientes!$C$4:$C$39),Cadastros!$L$6:$L$12,Cadastros!$M$6:$M$12)," ")</f>
        <v xml:space="preserve"> </v>
      </c>
      <c r="R1049" s="28"/>
      <c r="S1049" s="28"/>
      <c r="T1049" s="255" t="str">
        <f>IF(R1049="","",(_xlfn.XLOOKUP(R1049,Cadastros!$D$6:$D$90,Cadastros!$E$6:$E$90))*(1-_xlfn.XLOOKUP(_xlfn.XLOOKUP($F1049,Clientes!$B$4:$B$39,Clientes!$C$4:$C$39),Cadastros!$L$6:$L$12,Cadastros!$N$6:$N$12)))</f>
        <v/>
      </c>
      <c r="U1049" s="168" t="str">
        <f t="shared" si="211"/>
        <v/>
      </c>
      <c r="V1049" s="168" t="str">
        <f>IFERROR(U1049/_xlfn.XLOOKUP(_xlfn.XLOOKUP($F1049,Clientes!$B$4:$B$39,Clientes!$C$4:$C$39),Cadastros!$L$6:$L$12,Cadastros!$M$6:$M$12)," ")</f>
        <v xml:space="preserve"> </v>
      </c>
      <c r="W1049" s="28"/>
      <c r="X1049" s="28"/>
      <c r="Y1049" s="255" t="str">
        <f>IF(W1049="","",(_xlfn.XLOOKUP(W1049,Cadastros!$D$6:$D$90,Cadastros!$E$6:$E$90))*(1-_xlfn.XLOOKUP(_xlfn.XLOOKUP($F1049,Clientes!$B$4:$B$39,Clientes!$C$4:$C$39),Cadastros!$L$6:$L$12,Cadastros!$N$6:$N$12)))</f>
        <v/>
      </c>
      <c r="Z1049" s="168" t="str">
        <f t="shared" si="212"/>
        <v/>
      </c>
      <c r="AA1049" s="168" t="str">
        <f>IFERROR(Z1049/_xlfn.XLOOKUP(_xlfn.XLOOKUP($F1049,Clientes!$B$4:$B$39,Clientes!$C$4:$C$39),Cadastros!$L$6:$L$12,Cadastros!$M$6:$M$12)," ")</f>
        <v xml:space="preserve"> </v>
      </c>
      <c r="AB1049" s="28"/>
      <c r="AC1049" s="28"/>
      <c r="AD1049" s="20" t="str">
        <f>IF(AB1049="","",IF($F1049="Bernardino Furlan",_xlfn.XLOOKUP(AB1049,Cadastros!$G$6:$G$90,Cadastros!$H$6:$H$90)*(1-0.18),IF($F1049="Mauro José Salanti",_xlfn.XLOOKUP(AB1049,Cadastros!$G$6:$G$90,Cadastros!$H$6:$H$90)*(1-0.18),_xlfn.XLOOKUP(AB1049,Cadastros!$G$6:$G$90,Cadastros!$H$6:$H$90))))</f>
        <v/>
      </c>
      <c r="AE1049" s="168" t="str">
        <f t="shared" si="213"/>
        <v/>
      </c>
      <c r="AF1049" s="168" t="str">
        <f t="shared" si="214"/>
        <v/>
      </c>
      <c r="AG1049" s="28"/>
      <c r="AH1049" s="28"/>
      <c r="AI1049" s="20" t="str">
        <f>IF(AG1049="","",IF($F1049="Bernardino Furlan",_xlfn.XLOOKUP(AG1049,Cadastros!$G$6:$G$90,Cadastros!$H$6:$H$90)*(1-0.18),IF($F1049="Mauro José Salanti",_xlfn.XLOOKUP(AG1049,Cadastros!$G$6:$G$90,Cadastros!$H$6:$H$90)*(1-0.18),_xlfn.XLOOKUP(AG1049,Cadastros!$G$6:$G$90,Cadastros!$H$6:$H$90))))</f>
        <v/>
      </c>
      <c r="AJ1049" s="168" t="str">
        <f t="shared" si="215"/>
        <v/>
      </c>
      <c r="AK1049" s="168" t="str">
        <f t="shared" si="216"/>
        <v/>
      </c>
      <c r="AL1049" s="28"/>
      <c r="AM1049" s="28"/>
      <c r="AN1049" s="20" t="str">
        <f>IF(AL1049="","",IF($F1049="Bernardino Furlan",_xlfn.XLOOKUP(AL1049,Cadastros!$G$6:$G$90,Cadastros!$H$6:$H$90)*(1-0.18),IF($F1049="Mauro José Salanti",_xlfn.XLOOKUP(AL1049,Cadastros!$G$6:$G$90,Cadastros!$H$6:$H$90)*(1-0.18),_xlfn.XLOOKUP(AL1049,Cadastros!$G$6:$G$90,Cadastros!$H$6:$H$90))))</f>
        <v/>
      </c>
      <c r="AO1049" s="168" t="str">
        <f t="shared" si="217"/>
        <v/>
      </c>
      <c r="AP1049" s="168" t="str">
        <f t="shared" si="218"/>
        <v/>
      </c>
      <c r="AQ1049" s="28"/>
      <c r="AR1049" s="28"/>
      <c r="AS1049" s="20" t="str">
        <f>IF(AQ1049="","",IF($F1049="Bernardino Furlan",_xlfn.XLOOKUP(AQ1049,Cadastros!$G$6:$G$90,Cadastros!$H$6:$H$90)*(1-0.18),IF($F1049="Mauro José Salanti",_xlfn.XLOOKUP(AQ1049,Cadastros!$G$6:$G$90,Cadastros!$H$6:$H$90)*(1-0.18),_xlfn.XLOOKUP(AQ1049,Cadastros!$G$6:$G$90,Cadastros!$H$6:$H$90))))</f>
        <v/>
      </c>
      <c r="AT1049" s="168" t="str">
        <f t="shared" si="219"/>
        <v/>
      </c>
      <c r="AU1049" s="168" t="str">
        <f t="shared" si="220"/>
        <v/>
      </c>
      <c r="AV1049" s="227"/>
      <c r="AW1049" s="30"/>
      <c r="AX1049" s="267"/>
      <c r="AY1049" s="267"/>
      <c r="AZ1049" s="29"/>
      <c r="BA1049" s="30"/>
      <c r="BB1049" s="23" t="str" cm="1">
        <f t="array" ref="BB1049">_xlfn.IFS(AW1049="SIM",SUM(K1049,P1049,U1049,Z1049,AE1049,AJ1049,AO1049,AT1049,AX1049,AY1049),F1049&lt;&gt;"",SUM(K1049,P1049,U1049,Z1049,AE1049,AJ1049,,AO1049,AT1049),F1049="","")</f>
        <v/>
      </c>
      <c r="BC1049" s="211" t="str" cm="1">
        <f t="array" ref="BC1049">_xlfn.IFS(E1049="","",G1049&lt;=E1049,BB1049*(1-0.03),G1049&lt;(E1049+8),BB1049,AZ1049="Boleto",BB1049*(1+0.001)^DATEDIF(E1049,G1049,"D"),AZ1049="Cheque",BB1049,AZ1049="Dinheiro","Alterar forma pgto")</f>
        <v/>
      </c>
      <c r="BD1049" s="276" t="str" cm="1">
        <f t="array" ref="BD1049">IF(F1049=0," ",IF(BC1049&lt;BB1049,(_xlfn.IFS(AW1049="SIM",SUM(L1049,Q1049,V1049,AA1049,AF1049,AK1049,AP1049,AU1049)+AX1049/_xlfn.XLOOKUP(_xlfn.XLOOKUP($F1049,Clientes!$B$4:$B$39,Clientes!$C$4:$C$39),Cadastros!$L$6:$L$12,Cadastros!$M$6:$M$12)+IF($F1049="Bernardino Furlan",AY1049/2751.92,IF($F1049="Mauro José Salanti",AY1049/2751.92,AY1049/3356)),F1049&lt;&gt;0,SUM(L1049,Q1049,V1049,AA1049,AF1049,AK1049,AP1049,AU1049)))*(1-0.03),_xlfn.IFS(AW1049="SIM",SUM(L1049,Q1049,V1049,AA1049,AF1049,AK1049,AP1049,AU1049)+AX1049/_xlfn.XLOOKUP(_xlfn.XLOOKUP($F1049,Clientes!$B$4:$B$39,Clientes!$C$4:$C$39),Cadastros!$L$6:$L$12,Cadastros!$M$6:$M$12)+IF($F1049="Bernardino Furlan",AY1049/2751.92,IF($F1049="Mauro José Salanti",AY1049/2751.92,AY1049/3356)),F1049&lt;&gt;0,SUM(L1049,Q1049,V1049,AA1049,AF1049,AK1049,AP1049,AU1049))))</f>
        <v xml:space="preserve"> </v>
      </c>
      <c r="BE1049" s="120"/>
      <c r="BF1049" s="120"/>
      <c r="BG1049" s="120"/>
    </row>
    <row r="1050" spans="1:59" s="3" customFormat="1" x14ac:dyDescent="0.3">
      <c r="A1050" s="15" t="str">
        <f t="shared" si="208"/>
        <v/>
      </c>
      <c r="B1050" s="25"/>
      <c r="C1050" s="26"/>
      <c r="D1050" s="279"/>
      <c r="E1050" s="27"/>
      <c r="F1050" s="28"/>
      <c r="G1050" s="27"/>
      <c r="H1050" s="28"/>
      <c r="I1050" s="28"/>
      <c r="J1050" s="255" t="str">
        <f>IF(H1050="","",(_xlfn.XLOOKUP(H1050,Cadastros!$D$6:$D$90,Cadastros!$E$6:$E$90))*(1-_xlfn.XLOOKUP(_xlfn.XLOOKUP($F1050,Clientes!$B$4:$B$39,Clientes!$C$4:$C$39),Cadastros!$L$6:$L$12,Cadastros!$N$6:$N$12)))</f>
        <v/>
      </c>
      <c r="K1050" s="168" t="str">
        <f t="shared" si="209"/>
        <v/>
      </c>
      <c r="L1050" s="168" t="str">
        <f>IFERROR(K1050/_xlfn.XLOOKUP(_xlfn.XLOOKUP($F1050,Clientes!$B$4:$B$39,Clientes!$C$4:$C$39),Cadastros!$L$6:$L$12,Cadastros!$M$6:$M$12)," ")</f>
        <v xml:space="preserve"> </v>
      </c>
      <c r="M1050" s="28"/>
      <c r="N1050" s="28"/>
      <c r="O1050" s="255" t="str">
        <f>IF(M1050="","",(_xlfn.XLOOKUP(M1050,Cadastros!$D$6:$D$90,Cadastros!$E$6:$E$90))*(1-_xlfn.XLOOKUP(_xlfn.XLOOKUP($F1050,Clientes!$B$4:$B$39,Clientes!$C$4:$C$39),Cadastros!$L$6:$L$12,Cadastros!$N$6:$N$12)))</f>
        <v/>
      </c>
      <c r="P1050" s="168" t="str">
        <f t="shared" si="210"/>
        <v/>
      </c>
      <c r="Q1050" s="168" t="str">
        <f>IFERROR(P1050/_xlfn.XLOOKUP(_xlfn.XLOOKUP($F1050,Clientes!$B$4:$B$39,Clientes!$C$4:$C$39),Cadastros!$L$6:$L$12,Cadastros!$M$6:$M$12)," ")</f>
        <v xml:space="preserve"> </v>
      </c>
      <c r="R1050" s="28"/>
      <c r="S1050" s="28"/>
      <c r="T1050" s="255" t="str">
        <f>IF(R1050="","",(_xlfn.XLOOKUP(R1050,Cadastros!$D$6:$D$90,Cadastros!$E$6:$E$90))*(1-_xlfn.XLOOKUP(_xlfn.XLOOKUP($F1050,Clientes!$B$4:$B$39,Clientes!$C$4:$C$39),Cadastros!$L$6:$L$12,Cadastros!$N$6:$N$12)))</f>
        <v/>
      </c>
      <c r="U1050" s="168" t="str">
        <f t="shared" si="211"/>
        <v/>
      </c>
      <c r="V1050" s="168" t="str">
        <f>IFERROR(U1050/_xlfn.XLOOKUP(_xlfn.XLOOKUP($F1050,Clientes!$B$4:$B$39,Clientes!$C$4:$C$39),Cadastros!$L$6:$L$12,Cadastros!$M$6:$M$12)," ")</f>
        <v xml:space="preserve"> </v>
      </c>
      <c r="W1050" s="28"/>
      <c r="X1050" s="28"/>
      <c r="Y1050" s="255" t="str">
        <f>IF(W1050="","",(_xlfn.XLOOKUP(W1050,Cadastros!$D$6:$D$90,Cadastros!$E$6:$E$90))*(1-_xlfn.XLOOKUP(_xlfn.XLOOKUP($F1050,Clientes!$B$4:$B$39,Clientes!$C$4:$C$39),Cadastros!$L$6:$L$12,Cadastros!$N$6:$N$12)))</f>
        <v/>
      </c>
      <c r="Z1050" s="168" t="str">
        <f t="shared" si="212"/>
        <v/>
      </c>
      <c r="AA1050" s="168" t="str">
        <f>IFERROR(Z1050/_xlfn.XLOOKUP(_xlfn.XLOOKUP($F1050,Clientes!$B$4:$B$39,Clientes!$C$4:$C$39),Cadastros!$L$6:$L$12,Cadastros!$M$6:$M$12)," ")</f>
        <v xml:space="preserve"> </v>
      </c>
      <c r="AB1050" s="28"/>
      <c r="AC1050" s="28"/>
      <c r="AD1050" s="20" t="str">
        <f>IF(AB1050="","",IF($F1050="Bernardino Furlan",_xlfn.XLOOKUP(AB1050,Cadastros!$G$6:$G$90,Cadastros!$H$6:$H$90)*(1-0.18),IF($F1050="Mauro José Salanti",_xlfn.XLOOKUP(AB1050,Cadastros!$G$6:$G$90,Cadastros!$H$6:$H$90)*(1-0.18),_xlfn.XLOOKUP(AB1050,Cadastros!$G$6:$G$90,Cadastros!$H$6:$H$90))))</f>
        <v/>
      </c>
      <c r="AE1050" s="168" t="str">
        <f t="shared" si="213"/>
        <v/>
      </c>
      <c r="AF1050" s="168" t="str">
        <f t="shared" si="214"/>
        <v/>
      </c>
      <c r="AG1050" s="28"/>
      <c r="AH1050" s="28"/>
      <c r="AI1050" s="20" t="str">
        <f>IF(AG1050="","",IF($F1050="Bernardino Furlan",_xlfn.XLOOKUP(AG1050,Cadastros!$G$6:$G$90,Cadastros!$H$6:$H$90)*(1-0.18),IF($F1050="Mauro José Salanti",_xlfn.XLOOKUP(AG1050,Cadastros!$G$6:$G$90,Cadastros!$H$6:$H$90)*(1-0.18),_xlfn.XLOOKUP(AG1050,Cadastros!$G$6:$G$90,Cadastros!$H$6:$H$90))))</f>
        <v/>
      </c>
      <c r="AJ1050" s="168" t="str">
        <f t="shared" si="215"/>
        <v/>
      </c>
      <c r="AK1050" s="168" t="str">
        <f t="shared" si="216"/>
        <v/>
      </c>
      <c r="AL1050" s="28"/>
      <c r="AM1050" s="28"/>
      <c r="AN1050" s="20" t="str">
        <f>IF(AL1050="","",IF($F1050="Bernardino Furlan",_xlfn.XLOOKUP(AL1050,Cadastros!$G$6:$G$90,Cadastros!$H$6:$H$90)*(1-0.18),IF($F1050="Mauro José Salanti",_xlfn.XLOOKUP(AL1050,Cadastros!$G$6:$G$90,Cadastros!$H$6:$H$90)*(1-0.18),_xlfn.XLOOKUP(AL1050,Cadastros!$G$6:$G$90,Cadastros!$H$6:$H$90))))</f>
        <v/>
      </c>
      <c r="AO1050" s="168" t="str">
        <f t="shared" si="217"/>
        <v/>
      </c>
      <c r="AP1050" s="168" t="str">
        <f t="shared" si="218"/>
        <v/>
      </c>
      <c r="AQ1050" s="28"/>
      <c r="AR1050" s="28"/>
      <c r="AS1050" s="20" t="str">
        <f>IF(AQ1050="","",IF($F1050="Bernardino Furlan",_xlfn.XLOOKUP(AQ1050,Cadastros!$G$6:$G$90,Cadastros!$H$6:$H$90)*(1-0.18),IF($F1050="Mauro José Salanti",_xlfn.XLOOKUP(AQ1050,Cadastros!$G$6:$G$90,Cadastros!$H$6:$H$90)*(1-0.18),_xlfn.XLOOKUP(AQ1050,Cadastros!$G$6:$G$90,Cadastros!$H$6:$H$90))))</f>
        <v/>
      </c>
      <c r="AT1050" s="168" t="str">
        <f t="shared" si="219"/>
        <v/>
      </c>
      <c r="AU1050" s="168" t="str">
        <f t="shared" si="220"/>
        <v/>
      </c>
      <c r="AV1050" s="227"/>
      <c r="AW1050" s="30"/>
      <c r="AX1050" s="267"/>
      <c r="AY1050" s="267"/>
      <c r="AZ1050" s="29"/>
      <c r="BA1050" s="30"/>
      <c r="BB1050" s="23" t="str" cm="1">
        <f t="array" ref="BB1050">_xlfn.IFS(AW1050="SIM",SUM(K1050,P1050,U1050,Z1050,AE1050,AJ1050,AO1050,AT1050,AX1050,AY1050),F1050&lt;&gt;"",SUM(K1050,P1050,U1050,Z1050,AE1050,AJ1050,,AO1050,AT1050),F1050="","")</f>
        <v/>
      </c>
      <c r="BC1050" s="211" t="str" cm="1">
        <f t="array" ref="BC1050">_xlfn.IFS(E1050="","",G1050&lt;=E1050,BB1050*(1-0.03),G1050&lt;(E1050+8),BB1050,AZ1050="Boleto",BB1050*(1+0.001)^DATEDIF(E1050,G1050,"D"),AZ1050="Cheque",BB1050,AZ1050="Dinheiro","Alterar forma pgto")</f>
        <v/>
      </c>
      <c r="BD1050" s="276" t="str" cm="1">
        <f t="array" ref="BD1050">IF(F1050=0," ",IF(BC1050&lt;BB1050,(_xlfn.IFS(AW1050="SIM",SUM(L1050,Q1050,V1050,AA1050,AF1050,AK1050,AP1050,AU1050)+AX1050/_xlfn.XLOOKUP(_xlfn.XLOOKUP($F1050,Clientes!$B$4:$B$39,Clientes!$C$4:$C$39),Cadastros!$L$6:$L$12,Cadastros!$M$6:$M$12)+IF($F1050="Bernardino Furlan",AY1050/2751.92,IF($F1050="Mauro José Salanti",AY1050/2751.92,AY1050/3356)),F1050&lt;&gt;0,SUM(L1050,Q1050,V1050,AA1050,AF1050,AK1050,AP1050,AU1050)))*(1-0.03),_xlfn.IFS(AW1050="SIM",SUM(L1050,Q1050,V1050,AA1050,AF1050,AK1050,AP1050,AU1050)+AX1050/_xlfn.XLOOKUP(_xlfn.XLOOKUP($F1050,Clientes!$B$4:$B$39,Clientes!$C$4:$C$39),Cadastros!$L$6:$L$12,Cadastros!$M$6:$M$12)+IF($F1050="Bernardino Furlan",AY1050/2751.92,IF($F1050="Mauro José Salanti",AY1050/2751.92,AY1050/3356)),F1050&lt;&gt;0,SUM(L1050,Q1050,V1050,AA1050,AF1050,AK1050,AP1050,AU1050))))</f>
        <v xml:space="preserve"> </v>
      </c>
      <c r="BE1050" s="120"/>
      <c r="BF1050" s="120"/>
      <c r="BG1050" s="120"/>
    </row>
    <row r="1051" spans="1:59" s="3" customFormat="1" x14ac:dyDescent="0.3">
      <c r="A1051" s="15" t="str">
        <f t="shared" si="208"/>
        <v/>
      </c>
      <c r="B1051" s="25"/>
      <c r="C1051" s="26"/>
      <c r="D1051" s="279"/>
      <c r="E1051" s="27"/>
      <c r="F1051" s="28"/>
      <c r="G1051" s="27"/>
      <c r="H1051" s="28"/>
      <c r="I1051" s="28"/>
      <c r="J1051" s="255" t="str">
        <f>IF(H1051="","",(_xlfn.XLOOKUP(H1051,Cadastros!$D$6:$D$90,Cadastros!$E$6:$E$90))*(1-_xlfn.XLOOKUP(_xlfn.XLOOKUP($F1051,Clientes!$B$4:$B$39,Clientes!$C$4:$C$39),Cadastros!$L$6:$L$12,Cadastros!$N$6:$N$12)))</f>
        <v/>
      </c>
      <c r="K1051" s="168" t="str">
        <f t="shared" si="209"/>
        <v/>
      </c>
      <c r="L1051" s="168" t="str">
        <f>IFERROR(K1051/_xlfn.XLOOKUP(_xlfn.XLOOKUP($F1051,Clientes!$B$4:$B$39,Clientes!$C$4:$C$39),Cadastros!$L$6:$L$12,Cadastros!$M$6:$M$12)," ")</f>
        <v xml:space="preserve"> </v>
      </c>
      <c r="M1051" s="28"/>
      <c r="N1051" s="28"/>
      <c r="O1051" s="255" t="str">
        <f>IF(M1051="","",(_xlfn.XLOOKUP(M1051,Cadastros!$D$6:$D$90,Cadastros!$E$6:$E$90))*(1-_xlfn.XLOOKUP(_xlfn.XLOOKUP($F1051,Clientes!$B$4:$B$39,Clientes!$C$4:$C$39),Cadastros!$L$6:$L$12,Cadastros!$N$6:$N$12)))</f>
        <v/>
      </c>
      <c r="P1051" s="168" t="str">
        <f t="shared" si="210"/>
        <v/>
      </c>
      <c r="Q1051" s="168" t="str">
        <f>IFERROR(P1051/_xlfn.XLOOKUP(_xlfn.XLOOKUP($F1051,Clientes!$B$4:$B$39,Clientes!$C$4:$C$39),Cadastros!$L$6:$L$12,Cadastros!$M$6:$M$12)," ")</f>
        <v xml:space="preserve"> </v>
      </c>
      <c r="R1051" s="28"/>
      <c r="S1051" s="28"/>
      <c r="T1051" s="255" t="str">
        <f>IF(R1051="","",(_xlfn.XLOOKUP(R1051,Cadastros!$D$6:$D$90,Cadastros!$E$6:$E$90))*(1-_xlfn.XLOOKUP(_xlfn.XLOOKUP($F1051,Clientes!$B$4:$B$39,Clientes!$C$4:$C$39),Cadastros!$L$6:$L$12,Cadastros!$N$6:$N$12)))</f>
        <v/>
      </c>
      <c r="U1051" s="168" t="str">
        <f t="shared" si="211"/>
        <v/>
      </c>
      <c r="V1051" s="168" t="str">
        <f>IFERROR(U1051/_xlfn.XLOOKUP(_xlfn.XLOOKUP($F1051,Clientes!$B$4:$B$39,Clientes!$C$4:$C$39),Cadastros!$L$6:$L$12,Cadastros!$M$6:$M$12)," ")</f>
        <v xml:space="preserve"> </v>
      </c>
      <c r="W1051" s="28"/>
      <c r="X1051" s="28"/>
      <c r="Y1051" s="255" t="str">
        <f>IF(W1051="","",(_xlfn.XLOOKUP(W1051,Cadastros!$D$6:$D$90,Cadastros!$E$6:$E$90))*(1-_xlfn.XLOOKUP(_xlfn.XLOOKUP($F1051,Clientes!$B$4:$B$39,Clientes!$C$4:$C$39),Cadastros!$L$6:$L$12,Cadastros!$N$6:$N$12)))</f>
        <v/>
      </c>
      <c r="Z1051" s="168" t="str">
        <f t="shared" si="212"/>
        <v/>
      </c>
      <c r="AA1051" s="168" t="str">
        <f>IFERROR(Z1051/_xlfn.XLOOKUP(_xlfn.XLOOKUP($F1051,Clientes!$B$4:$B$39,Clientes!$C$4:$C$39),Cadastros!$L$6:$L$12,Cadastros!$M$6:$M$12)," ")</f>
        <v xml:space="preserve"> </v>
      </c>
      <c r="AB1051" s="28"/>
      <c r="AC1051" s="28"/>
      <c r="AD1051" s="20" t="str">
        <f>IF(AB1051="","",IF($F1051="Bernardino Furlan",_xlfn.XLOOKUP(AB1051,Cadastros!$G$6:$G$90,Cadastros!$H$6:$H$90)*(1-0.18),IF($F1051="Mauro José Salanti",_xlfn.XLOOKUP(AB1051,Cadastros!$G$6:$G$90,Cadastros!$H$6:$H$90)*(1-0.18),_xlfn.XLOOKUP(AB1051,Cadastros!$G$6:$G$90,Cadastros!$H$6:$H$90))))</f>
        <v/>
      </c>
      <c r="AE1051" s="168" t="str">
        <f t="shared" si="213"/>
        <v/>
      </c>
      <c r="AF1051" s="168" t="str">
        <f t="shared" si="214"/>
        <v/>
      </c>
      <c r="AG1051" s="28"/>
      <c r="AH1051" s="28"/>
      <c r="AI1051" s="20" t="str">
        <f>IF(AG1051="","",IF($F1051="Bernardino Furlan",_xlfn.XLOOKUP(AG1051,Cadastros!$G$6:$G$90,Cadastros!$H$6:$H$90)*(1-0.18),IF($F1051="Mauro José Salanti",_xlfn.XLOOKUP(AG1051,Cadastros!$G$6:$G$90,Cadastros!$H$6:$H$90)*(1-0.18),_xlfn.XLOOKUP(AG1051,Cadastros!$G$6:$G$90,Cadastros!$H$6:$H$90))))</f>
        <v/>
      </c>
      <c r="AJ1051" s="168" t="str">
        <f t="shared" si="215"/>
        <v/>
      </c>
      <c r="AK1051" s="168" t="str">
        <f t="shared" si="216"/>
        <v/>
      </c>
      <c r="AL1051" s="28"/>
      <c r="AM1051" s="28"/>
      <c r="AN1051" s="20" t="str">
        <f>IF(AL1051="","",IF($F1051="Bernardino Furlan",_xlfn.XLOOKUP(AL1051,Cadastros!$G$6:$G$90,Cadastros!$H$6:$H$90)*(1-0.18),IF($F1051="Mauro José Salanti",_xlfn.XLOOKUP(AL1051,Cadastros!$G$6:$G$90,Cadastros!$H$6:$H$90)*(1-0.18),_xlfn.XLOOKUP(AL1051,Cadastros!$G$6:$G$90,Cadastros!$H$6:$H$90))))</f>
        <v/>
      </c>
      <c r="AO1051" s="168" t="str">
        <f t="shared" si="217"/>
        <v/>
      </c>
      <c r="AP1051" s="168" t="str">
        <f t="shared" si="218"/>
        <v/>
      </c>
      <c r="AQ1051" s="28"/>
      <c r="AR1051" s="28"/>
      <c r="AS1051" s="20" t="str">
        <f>IF(AQ1051="","",IF($F1051="Bernardino Furlan",_xlfn.XLOOKUP(AQ1051,Cadastros!$G$6:$G$90,Cadastros!$H$6:$H$90)*(1-0.18),IF($F1051="Mauro José Salanti",_xlfn.XLOOKUP(AQ1051,Cadastros!$G$6:$G$90,Cadastros!$H$6:$H$90)*(1-0.18),_xlfn.XLOOKUP(AQ1051,Cadastros!$G$6:$G$90,Cadastros!$H$6:$H$90))))</f>
        <v/>
      </c>
      <c r="AT1051" s="168" t="str">
        <f t="shared" si="219"/>
        <v/>
      </c>
      <c r="AU1051" s="168" t="str">
        <f t="shared" si="220"/>
        <v/>
      </c>
      <c r="AV1051" s="227"/>
      <c r="AW1051" s="30"/>
      <c r="AX1051" s="267"/>
      <c r="AY1051" s="267"/>
      <c r="AZ1051" s="29"/>
      <c r="BA1051" s="30"/>
      <c r="BB1051" s="23" t="str" cm="1">
        <f t="array" ref="BB1051">_xlfn.IFS(AW1051="SIM",SUM(K1051,P1051,U1051,Z1051,AE1051,AJ1051,AO1051,AT1051,AX1051,AY1051),F1051&lt;&gt;"",SUM(K1051,P1051,U1051,Z1051,AE1051,AJ1051,,AO1051,AT1051),F1051="","")</f>
        <v/>
      </c>
      <c r="BC1051" s="211" t="str" cm="1">
        <f t="array" ref="BC1051">_xlfn.IFS(E1051="","",G1051&lt;=E1051,BB1051*(1-0.03),G1051&lt;(E1051+8),BB1051,AZ1051="Boleto",BB1051*(1+0.001)^DATEDIF(E1051,G1051,"D"),AZ1051="Cheque",BB1051,AZ1051="Dinheiro","Alterar forma pgto")</f>
        <v/>
      </c>
      <c r="BD1051" s="276" t="str" cm="1">
        <f t="array" ref="BD1051">IF(F1051=0," ",IF(BC1051&lt;BB1051,(_xlfn.IFS(AW1051="SIM",SUM(L1051,Q1051,V1051,AA1051,AF1051,AK1051,AP1051,AU1051)+AX1051/_xlfn.XLOOKUP(_xlfn.XLOOKUP($F1051,Clientes!$B$4:$B$39,Clientes!$C$4:$C$39),Cadastros!$L$6:$L$12,Cadastros!$M$6:$M$12)+IF($F1051="Bernardino Furlan",AY1051/2751.92,IF($F1051="Mauro José Salanti",AY1051/2751.92,AY1051/3356)),F1051&lt;&gt;0,SUM(L1051,Q1051,V1051,AA1051,AF1051,AK1051,AP1051,AU1051)))*(1-0.03),_xlfn.IFS(AW1051="SIM",SUM(L1051,Q1051,V1051,AA1051,AF1051,AK1051,AP1051,AU1051)+AX1051/_xlfn.XLOOKUP(_xlfn.XLOOKUP($F1051,Clientes!$B$4:$B$39,Clientes!$C$4:$C$39),Cadastros!$L$6:$L$12,Cadastros!$M$6:$M$12)+IF($F1051="Bernardino Furlan",AY1051/2751.92,IF($F1051="Mauro José Salanti",AY1051/2751.92,AY1051/3356)),F1051&lt;&gt;0,SUM(L1051,Q1051,V1051,AA1051,AF1051,AK1051,AP1051,AU1051))))</f>
        <v xml:space="preserve"> </v>
      </c>
      <c r="BE1051" s="120"/>
      <c r="BF1051" s="120"/>
      <c r="BG1051" s="120"/>
    </row>
    <row r="1052" spans="1:59" s="3" customFormat="1" x14ac:dyDescent="0.3">
      <c r="A1052" s="15" t="str">
        <f t="shared" si="208"/>
        <v/>
      </c>
      <c r="B1052" s="25"/>
      <c r="C1052" s="26"/>
      <c r="D1052" s="279"/>
      <c r="E1052" s="27"/>
      <c r="F1052" s="28"/>
      <c r="G1052" s="27"/>
      <c r="H1052" s="28"/>
      <c r="I1052" s="28"/>
      <c r="J1052" s="255" t="str">
        <f>IF(H1052="","",(_xlfn.XLOOKUP(H1052,Cadastros!$D$6:$D$90,Cadastros!$E$6:$E$90))*(1-_xlfn.XLOOKUP(_xlfn.XLOOKUP($F1052,Clientes!$B$4:$B$39,Clientes!$C$4:$C$39),Cadastros!$L$6:$L$12,Cadastros!$N$6:$N$12)))</f>
        <v/>
      </c>
      <c r="K1052" s="168" t="str">
        <f t="shared" si="209"/>
        <v/>
      </c>
      <c r="L1052" s="168" t="str">
        <f>IFERROR(K1052/_xlfn.XLOOKUP(_xlfn.XLOOKUP($F1052,Clientes!$B$4:$B$39,Clientes!$C$4:$C$39),Cadastros!$L$6:$L$12,Cadastros!$M$6:$M$12)," ")</f>
        <v xml:space="preserve"> </v>
      </c>
      <c r="M1052" s="28"/>
      <c r="N1052" s="28"/>
      <c r="O1052" s="255" t="str">
        <f>IF(M1052="","",(_xlfn.XLOOKUP(M1052,Cadastros!$D$6:$D$90,Cadastros!$E$6:$E$90))*(1-_xlfn.XLOOKUP(_xlfn.XLOOKUP($F1052,Clientes!$B$4:$B$39,Clientes!$C$4:$C$39),Cadastros!$L$6:$L$12,Cadastros!$N$6:$N$12)))</f>
        <v/>
      </c>
      <c r="P1052" s="168" t="str">
        <f t="shared" si="210"/>
        <v/>
      </c>
      <c r="Q1052" s="168" t="str">
        <f>IFERROR(P1052/_xlfn.XLOOKUP(_xlfn.XLOOKUP($F1052,Clientes!$B$4:$B$39,Clientes!$C$4:$C$39),Cadastros!$L$6:$L$12,Cadastros!$M$6:$M$12)," ")</f>
        <v xml:space="preserve"> </v>
      </c>
      <c r="R1052" s="28"/>
      <c r="S1052" s="28"/>
      <c r="T1052" s="255" t="str">
        <f>IF(R1052="","",(_xlfn.XLOOKUP(R1052,Cadastros!$D$6:$D$90,Cadastros!$E$6:$E$90))*(1-_xlfn.XLOOKUP(_xlfn.XLOOKUP($F1052,Clientes!$B$4:$B$39,Clientes!$C$4:$C$39),Cadastros!$L$6:$L$12,Cadastros!$N$6:$N$12)))</f>
        <v/>
      </c>
      <c r="U1052" s="168" t="str">
        <f t="shared" si="211"/>
        <v/>
      </c>
      <c r="V1052" s="168" t="str">
        <f>IFERROR(U1052/_xlfn.XLOOKUP(_xlfn.XLOOKUP($F1052,Clientes!$B$4:$B$39,Clientes!$C$4:$C$39),Cadastros!$L$6:$L$12,Cadastros!$M$6:$M$12)," ")</f>
        <v xml:space="preserve"> </v>
      </c>
      <c r="W1052" s="28"/>
      <c r="X1052" s="28"/>
      <c r="Y1052" s="255" t="str">
        <f>IF(W1052="","",(_xlfn.XLOOKUP(W1052,Cadastros!$D$6:$D$90,Cadastros!$E$6:$E$90))*(1-_xlfn.XLOOKUP(_xlfn.XLOOKUP($F1052,Clientes!$B$4:$B$39,Clientes!$C$4:$C$39),Cadastros!$L$6:$L$12,Cadastros!$N$6:$N$12)))</f>
        <v/>
      </c>
      <c r="Z1052" s="168" t="str">
        <f t="shared" si="212"/>
        <v/>
      </c>
      <c r="AA1052" s="168" t="str">
        <f>IFERROR(Z1052/_xlfn.XLOOKUP(_xlfn.XLOOKUP($F1052,Clientes!$B$4:$B$39,Clientes!$C$4:$C$39),Cadastros!$L$6:$L$12,Cadastros!$M$6:$M$12)," ")</f>
        <v xml:space="preserve"> </v>
      </c>
      <c r="AB1052" s="28"/>
      <c r="AC1052" s="28"/>
      <c r="AD1052" s="20" t="str">
        <f>IF(AB1052="","",IF($F1052="Bernardino Furlan",_xlfn.XLOOKUP(AB1052,Cadastros!$G$6:$G$90,Cadastros!$H$6:$H$90)*(1-0.18),IF($F1052="Mauro José Salanti",_xlfn.XLOOKUP(AB1052,Cadastros!$G$6:$G$90,Cadastros!$H$6:$H$90)*(1-0.18),_xlfn.XLOOKUP(AB1052,Cadastros!$G$6:$G$90,Cadastros!$H$6:$H$90))))</f>
        <v/>
      </c>
      <c r="AE1052" s="168" t="str">
        <f t="shared" si="213"/>
        <v/>
      </c>
      <c r="AF1052" s="168" t="str">
        <f t="shared" si="214"/>
        <v/>
      </c>
      <c r="AG1052" s="28"/>
      <c r="AH1052" s="28"/>
      <c r="AI1052" s="20" t="str">
        <f>IF(AG1052="","",IF($F1052="Bernardino Furlan",_xlfn.XLOOKUP(AG1052,Cadastros!$G$6:$G$90,Cadastros!$H$6:$H$90)*(1-0.18),IF($F1052="Mauro José Salanti",_xlfn.XLOOKUP(AG1052,Cadastros!$G$6:$G$90,Cadastros!$H$6:$H$90)*(1-0.18),_xlfn.XLOOKUP(AG1052,Cadastros!$G$6:$G$90,Cadastros!$H$6:$H$90))))</f>
        <v/>
      </c>
      <c r="AJ1052" s="168" t="str">
        <f t="shared" si="215"/>
        <v/>
      </c>
      <c r="AK1052" s="168" t="str">
        <f t="shared" si="216"/>
        <v/>
      </c>
      <c r="AL1052" s="28"/>
      <c r="AM1052" s="28"/>
      <c r="AN1052" s="20" t="str">
        <f>IF(AL1052="","",IF($F1052="Bernardino Furlan",_xlfn.XLOOKUP(AL1052,Cadastros!$G$6:$G$90,Cadastros!$H$6:$H$90)*(1-0.18),IF($F1052="Mauro José Salanti",_xlfn.XLOOKUP(AL1052,Cadastros!$G$6:$G$90,Cadastros!$H$6:$H$90)*(1-0.18),_xlfn.XLOOKUP(AL1052,Cadastros!$G$6:$G$90,Cadastros!$H$6:$H$90))))</f>
        <v/>
      </c>
      <c r="AO1052" s="168" t="str">
        <f t="shared" si="217"/>
        <v/>
      </c>
      <c r="AP1052" s="168" t="str">
        <f t="shared" si="218"/>
        <v/>
      </c>
      <c r="AQ1052" s="28"/>
      <c r="AR1052" s="28"/>
      <c r="AS1052" s="20" t="str">
        <f>IF(AQ1052="","",IF($F1052="Bernardino Furlan",_xlfn.XLOOKUP(AQ1052,Cadastros!$G$6:$G$90,Cadastros!$H$6:$H$90)*(1-0.18),IF($F1052="Mauro José Salanti",_xlfn.XLOOKUP(AQ1052,Cadastros!$G$6:$G$90,Cadastros!$H$6:$H$90)*(1-0.18),_xlfn.XLOOKUP(AQ1052,Cadastros!$G$6:$G$90,Cadastros!$H$6:$H$90))))</f>
        <v/>
      </c>
      <c r="AT1052" s="168" t="str">
        <f t="shared" si="219"/>
        <v/>
      </c>
      <c r="AU1052" s="168" t="str">
        <f t="shared" si="220"/>
        <v/>
      </c>
      <c r="AV1052" s="227"/>
      <c r="AW1052" s="30"/>
      <c r="AX1052" s="267"/>
      <c r="AY1052" s="267"/>
      <c r="AZ1052" s="29"/>
      <c r="BA1052" s="30"/>
      <c r="BB1052" s="23" t="str" cm="1">
        <f t="array" ref="BB1052">_xlfn.IFS(AW1052="SIM",SUM(K1052,P1052,U1052,Z1052,AE1052,AJ1052,AO1052,AT1052,AX1052,AY1052),F1052&lt;&gt;"",SUM(K1052,P1052,U1052,Z1052,AE1052,AJ1052,,AO1052,AT1052),F1052="","")</f>
        <v/>
      </c>
      <c r="BC1052" s="211" t="str" cm="1">
        <f t="array" ref="BC1052">_xlfn.IFS(E1052="","",G1052&lt;=E1052,BB1052*(1-0.03),G1052&lt;(E1052+8),BB1052,AZ1052="Boleto",BB1052*(1+0.001)^DATEDIF(E1052,G1052,"D"),AZ1052="Cheque",BB1052,AZ1052="Dinheiro","Alterar forma pgto")</f>
        <v/>
      </c>
      <c r="BD1052" s="276" t="str" cm="1">
        <f t="array" ref="BD1052">IF(F1052=0," ",IF(BC1052&lt;BB1052,(_xlfn.IFS(AW1052="SIM",SUM(L1052,Q1052,V1052,AA1052,AF1052,AK1052,AP1052,AU1052)+AX1052/_xlfn.XLOOKUP(_xlfn.XLOOKUP($F1052,Clientes!$B$4:$B$39,Clientes!$C$4:$C$39),Cadastros!$L$6:$L$12,Cadastros!$M$6:$M$12)+IF($F1052="Bernardino Furlan",AY1052/2751.92,IF($F1052="Mauro José Salanti",AY1052/2751.92,AY1052/3356)),F1052&lt;&gt;0,SUM(L1052,Q1052,V1052,AA1052,AF1052,AK1052,AP1052,AU1052)))*(1-0.03),_xlfn.IFS(AW1052="SIM",SUM(L1052,Q1052,V1052,AA1052,AF1052,AK1052,AP1052,AU1052)+AX1052/_xlfn.XLOOKUP(_xlfn.XLOOKUP($F1052,Clientes!$B$4:$B$39,Clientes!$C$4:$C$39),Cadastros!$L$6:$L$12,Cadastros!$M$6:$M$12)+IF($F1052="Bernardino Furlan",AY1052/2751.92,IF($F1052="Mauro José Salanti",AY1052/2751.92,AY1052/3356)),F1052&lt;&gt;0,SUM(L1052,Q1052,V1052,AA1052,AF1052,AK1052,AP1052,AU1052))))</f>
        <v xml:space="preserve"> </v>
      </c>
      <c r="BE1052" s="120"/>
      <c r="BF1052" s="120"/>
      <c r="BG1052" s="120"/>
    </row>
    <row r="1053" spans="1:59" s="3" customFormat="1" x14ac:dyDescent="0.3">
      <c r="A1053" s="15" t="str">
        <f t="shared" si="208"/>
        <v/>
      </c>
      <c r="B1053" s="25"/>
      <c r="C1053" s="26"/>
      <c r="D1053" s="279"/>
      <c r="E1053" s="27"/>
      <c r="F1053" s="28"/>
      <c r="G1053" s="27"/>
      <c r="H1053" s="28"/>
      <c r="I1053" s="28"/>
      <c r="J1053" s="255" t="str">
        <f>IF(H1053="","",(_xlfn.XLOOKUP(H1053,Cadastros!$D$6:$D$90,Cadastros!$E$6:$E$90))*(1-_xlfn.XLOOKUP(_xlfn.XLOOKUP($F1053,Clientes!$B$4:$B$39,Clientes!$C$4:$C$39),Cadastros!$L$6:$L$12,Cadastros!$N$6:$N$12)))</f>
        <v/>
      </c>
      <c r="K1053" s="168" t="str">
        <f t="shared" si="209"/>
        <v/>
      </c>
      <c r="L1053" s="168" t="str">
        <f>IFERROR(K1053/_xlfn.XLOOKUP(_xlfn.XLOOKUP($F1053,Clientes!$B$4:$B$39,Clientes!$C$4:$C$39),Cadastros!$L$6:$L$12,Cadastros!$M$6:$M$12)," ")</f>
        <v xml:space="preserve"> </v>
      </c>
      <c r="M1053" s="28"/>
      <c r="N1053" s="28"/>
      <c r="O1053" s="255" t="str">
        <f>IF(M1053="","",(_xlfn.XLOOKUP(M1053,Cadastros!$D$6:$D$90,Cadastros!$E$6:$E$90))*(1-_xlfn.XLOOKUP(_xlfn.XLOOKUP($F1053,Clientes!$B$4:$B$39,Clientes!$C$4:$C$39),Cadastros!$L$6:$L$12,Cadastros!$N$6:$N$12)))</f>
        <v/>
      </c>
      <c r="P1053" s="168" t="str">
        <f t="shared" si="210"/>
        <v/>
      </c>
      <c r="Q1053" s="168" t="str">
        <f>IFERROR(P1053/_xlfn.XLOOKUP(_xlfn.XLOOKUP($F1053,Clientes!$B$4:$B$39,Clientes!$C$4:$C$39),Cadastros!$L$6:$L$12,Cadastros!$M$6:$M$12)," ")</f>
        <v xml:space="preserve"> </v>
      </c>
      <c r="R1053" s="28"/>
      <c r="S1053" s="28"/>
      <c r="T1053" s="255" t="str">
        <f>IF(R1053="","",(_xlfn.XLOOKUP(R1053,Cadastros!$D$6:$D$90,Cadastros!$E$6:$E$90))*(1-_xlfn.XLOOKUP(_xlfn.XLOOKUP($F1053,Clientes!$B$4:$B$39,Clientes!$C$4:$C$39),Cadastros!$L$6:$L$12,Cadastros!$N$6:$N$12)))</f>
        <v/>
      </c>
      <c r="U1053" s="168" t="str">
        <f t="shared" si="211"/>
        <v/>
      </c>
      <c r="V1053" s="168" t="str">
        <f>IFERROR(U1053/_xlfn.XLOOKUP(_xlfn.XLOOKUP($F1053,Clientes!$B$4:$B$39,Clientes!$C$4:$C$39),Cadastros!$L$6:$L$12,Cadastros!$M$6:$M$12)," ")</f>
        <v xml:space="preserve"> </v>
      </c>
      <c r="W1053" s="28"/>
      <c r="X1053" s="28"/>
      <c r="Y1053" s="255" t="str">
        <f>IF(W1053="","",(_xlfn.XLOOKUP(W1053,Cadastros!$D$6:$D$90,Cadastros!$E$6:$E$90))*(1-_xlfn.XLOOKUP(_xlfn.XLOOKUP($F1053,Clientes!$B$4:$B$39,Clientes!$C$4:$C$39),Cadastros!$L$6:$L$12,Cadastros!$N$6:$N$12)))</f>
        <v/>
      </c>
      <c r="Z1053" s="168" t="str">
        <f t="shared" si="212"/>
        <v/>
      </c>
      <c r="AA1053" s="168" t="str">
        <f>IFERROR(Z1053/_xlfn.XLOOKUP(_xlfn.XLOOKUP($F1053,Clientes!$B$4:$B$39,Clientes!$C$4:$C$39),Cadastros!$L$6:$L$12,Cadastros!$M$6:$M$12)," ")</f>
        <v xml:space="preserve"> </v>
      </c>
      <c r="AB1053" s="28"/>
      <c r="AC1053" s="28"/>
      <c r="AD1053" s="20" t="str">
        <f>IF(AB1053="","",IF($F1053="Bernardino Furlan",_xlfn.XLOOKUP(AB1053,Cadastros!$G$6:$G$90,Cadastros!$H$6:$H$90)*(1-0.18),IF($F1053="Mauro José Salanti",_xlfn.XLOOKUP(AB1053,Cadastros!$G$6:$G$90,Cadastros!$H$6:$H$90)*(1-0.18),_xlfn.XLOOKUP(AB1053,Cadastros!$G$6:$G$90,Cadastros!$H$6:$H$90))))</f>
        <v/>
      </c>
      <c r="AE1053" s="168" t="str">
        <f t="shared" si="213"/>
        <v/>
      </c>
      <c r="AF1053" s="168" t="str">
        <f t="shared" si="214"/>
        <v/>
      </c>
      <c r="AG1053" s="28"/>
      <c r="AH1053" s="28"/>
      <c r="AI1053" s="20" t="str">
        <f>IF(AG1053="","",IF($F1053="Bernardino Furlan",_xlfn.XLOOKUP(AG1053,Cadastros!$G$6:$G$90,Cadastros!$H$6:$H$90)*(1-0.18),IF($F1053="Mauro José Salanti",_xlfn.XLOOKUP(AG1053,Cadastros!$G$6:$G$90,Cadastros!$H$6:$H$90)*(1-0.18),_xlfn.XLOOKUP(AG1053,Cadastros!$G$6:$G$90,Cadastros!$H$6:$H$90))))</f>
        <v/>
      </c>
      <c r="AJ1053" s="168" t="str">
        <f t="shared" si="215"/>
        <v/>
      </c>
      <c r="AK1053" s="168" t="str">
        <f t="shared" si="216"/>
        <v/>
      </c>
      <c r="AL1053" s="28"/>
      <c r="AM1053" s="28"/>
      <c r="AN1053" s="20" t="str">
        <f>IF(AL1053="","",IF($F1053="Bernardino Furlan",_xlfn.XLOOKUP(AL1053,Cadastros!$G$6:$G$90,Cadastros!$H$6:$H$90)*(1-0.18),IF($F1053="Mauro José Salanti",_xlfn.XLOOKUP(AL1053,Cadastros!$G$6:$G$90,Cadastros!$H$6:$H$90)*(1-0.18),_xlfn.XLOOKUP(AL1053,Cadastros!$G$6:$G$90,Cadastros!$H$6:$H$90))))</f>
        <v/>
      </c>
      <c r="AO1053" s="168" t="str">
        <f t="shared" si="217"/>
        <v/>
      </c>
      <c r="AP1053" s="168" t="str">
        <f t="shared" si="218"/>
        <v/>
      </c>
      <c r="AQ1053" s="28"/>
      <c r="AR1053" s="28"/>
      <c r="AS1053" s="20" t="str">
        <f>IF(AQ1053="","",IF($F1053="Bernardino Furlan",_xlfn.XLOOKUP(AQ1053,Cadastros!$G$6:$G$90,Cadastros!$H$6:$H$90)*(1-0.18),IF($F1053="Mauro José Salanti",_xlfn.XLOOKUP(AQ1053,Cadastros!$G$6:$G$90,Cadastros!$H$6:$H$90)*(1-0.18),_xlfn.XLOOKUP(AQ1053,Cadastros!$G$6:$G$90,Cadastros!$H$6:$H$90))))</f>
        <v/>
      </c>
      <c r="AT1053" s="168" t="str">
        <f t="shared" si="219"/>
        <v/>
      </c>
      <c r="AU1053" s="168" t="str">
        <f t="shared" si="220"/>
        <v/>
      </c>
      <c r="AV1053" s="227"/>
      <c r="AW1053" s="30"/>
      <c r="AX1053" s="267"/>
      <c r="AY1053" s="267"/>
      <c r="AZ1053" s="29"/>
      <c r="BA1053" s="30"/>
      <c r="BB1053" s="23" t="str" cm="1">
        <f t="array" ref="BB1053">_xlfn.IFS(AW1053="SIM",SUM(K1053,P1053,U1053,Z1053,AE1053,AJ1053,AO1053,AT1053,AX1053,AY1053),F1053&lt;&gt;"",SUM(K1053,P1053,U1053,Z1053,AE1053,AJ1053,,AO1053,AT1053),F1053="","")</f>
        <v/>
      </c>
      <c r="BC1053" s="211" t="str" cm="1">
        <f t="array" ref="BC1053">_xlfn.IFS(E1053="","",G1053&lt;=E1053,BB1053*(1-0.03),G1053&lt;(E1053+8),BB1053,AZ1053="Boleto",BB1053*(1+0.001)^DATEDIF(E1053,G1053,"D"),AZ1053="Cheque",BB1053,AZ1053="Dinheiro","Alterar forma pgto")</f>
        <v/>
      </c>
      <c r="BD1053" s="276" t="str" cm="1">
        <f t="array" ref="BD1053">IF(F1053=0," ",IF(BC1053&lt;BB1053,(_xlfn.IFS(AW1053="SIM",SUM(L1053,Q1053,V1053,AA1053,AF1053,AK1053,AP1053,AU1053)+AX1053/_xlfn.XLOOKUP(_xlfn.XLOOKUP($F1053,Clientes!$B$4:$B$39,Clientes!$C$4:$C$39),Cadastros!$L$6:$L$12,Cadastros!$M$6:$M$12)+IF($F1053="Bernardino Furlan",AY1053/2751.92,IF($F1053="Mauro José Salanti",AY1053/2751.92,AY1053/3356)),F1053&lt;&gt;0,SUM(L1053,Q1053,V1053,AA1053,AF1053,AK1053,AP1053,AU1053)))*(1-0.03),_xlfn.IFS(AW1053="SIM",SUM(L1053,Q1053,V1053,AA1053,AF1053,AK1053,AP1053,AU1053)+AX1053/_xlfn.XLOOKUP(_xlfn.XLOOKUP($F1053,Clientes!$B$4:$B$39,Clientes!$C$4:$C$39),Cadastros!$L$6:$L$12,Cadastros!$M$6:$M$12)+IF($F1053="Bernardino Furlan",AY1053/2751.92,IF($F1053="Mauro José Salanti",AY1053/2751.92,AY1053/3356)),F1053&lt;&gt;0,SUM(L1053,Q1053,V1053,AA1053,AF1053,AK1053,AP1053,AU1053))))</f>
        <v xml:space="preserve"> </v>
      </c>
      <c r="BE1053" s="120"/>
      <c r="BF1053" s="120"/>
      <c r="BG1053" s="120"/>
    </row>
    <row r="1054" spans="1:59" s="3" customFormat="1" x14ac:dyDescent="0.3">
      <c r="A1054" s="15" t="str">
        <f t="shared" si="208"/>
        <v/>
      </c>
      <c r="B1054" s="25"/>
      <c r="C1054" s="26"/>
      <c r="D1054" s="279"/>
      <c r="E1054" s="27"/>
      <c r="F1054" s="28"/>
      <c r="G1054" s="27"/>
      <c r="H1054" s="28"/>
      <c r="I1054" s="28"/>
      <c r="J1054" s="255" t="str">
        <f>IF(H1054="","",(_xlfn.XLOOKUP(H1054,Cadastros!$D$6:$D$90,Cadastros!$E$6:$E$90))*(1-_xlfn.XLOOKUP(_xlfn.XLOOKUP($F1054,Clientes!$B$4:$B$39,Clientes!$C$4:$C$39),Cadastros!$L$6:$L$12,Cadastros!$N$6:$N$12)))</f>
        <v/>
      </c>
      <c r="K1054" s="168" t="str">
        <f t="shared" si="209"/>
        <v/>
      </c>
      <c r="L1054" s="168" t="str">
        <f>IFERROR(K1054/_xlfn.XLOOKUP(_xlfn.XLOOKUP($F1054,Clientes!$B$4:$B$39,Clientes!$C$4:$C$39),Cadastros!$L$6:$L$12,Cadastros!$M$6:$M$12)," ")</f>
        <v xml:space="preserve"> </v>
      </c>
      <c r="M1054" s="28"/>
      <c r="N1054" s="28"/>
      <c r="O1054" s="255" t="str">
        <f>IF(M1054="","",(_xlfn.XLOOKUP(M1054,Cadastros!$D$6:$D$90,Cadastros!$E$6:$E$90))*(1-_xlfn.XLOOKUP(_xlfn.XLOOKUP($F1054,Clientes!$B$4:$B$39,Clientes!$C$4:$C$39),Cadastros!$L$6:$L$12,Cadastros!$N$6:$N$12)))</f>
        <v/>
      </c>
      <c r="P1054" s="168" t="str">
        <f t="shared" si="210"/>
        <v/>
      </c>
      <c r="Q1054" s="168" t="str">
        <f>IFERROR(P1054/_xlfn.XLOOKUP(_xlfn.XLOOKUP($F1054,Clientes!$B$4:$B$39,Clientes!$C$4:$C$39),Cadastros!$L$6:$L$12,Cadastros!$M$6:$M$12)," ")</f>
        <v xml:space="preserve"> </v>
      </c>
      <c r="R1054" s="28"/>
      <c r="S1054" s="28"/>
      <c r="T1054" s="255" t="str">
        <f>IF(R1054="","",(_xlfn.XLOOKUP(R1054,Cadastros!$D$6:$D$90,Cadastros!$E$6:$E$90))*(1-_xlfn.XLOOKUP(_xlfn.XLOOKUP($F1054,Clientes!$B$4:$B$39,Clientes!$C$4:$C$39),Cadastros!$L$6:$L$12,Cadastros!$N$6:$N$12)))</f>
        <v/>
      </c>
      <c r="U1054" s="168" t="str">
        <f t="shared" si="211"/>
        <v/>
      </c>
      <c r="V1054" s="168" t="str">
        <f>IFERROR(U1054/_xlfn.XLOOKUP(_xlfn.XLOOKUP($F1054,Clientes!$B$4:$B$39,Clientes!$C$4:$C$39),Cadastros!$L$6:$L$12,Cadastros!$M$6:$M$12)," ")</f>
        <v xml:space="preserve"> </v>
      </c>
      <c r="W1054" s="28"/>
      <c r="X1054" s="28"/>
      <c r="Y1054" s="255" t="str">
        <f>IF(W1054="","",(_xlfn.XLOOKUP(W1054,Cadastros!$D$6:$D$90,Cadastros!$E$6:$E$90))*(1-_xlfn.XLOOKUP(_xlfn.XLOOKUP($F1054,Clientes!$B$4:$B$39,Clientes!$C$4:$C$39),Cadastros!$L$6:$L$12,Cadastros!$N$6:$N$12)))</f>
        <v/>
      </c>
      <c r="Z1054" s="168" t="str">
        <f t="shared" si="212"/>
        <v/>
      </c>
      <c r="AA1054" s="168" t="str">
        <f>IFERROR(Z1054/_xlfn.XLOOKUP(_xlfn.XLOOKUP($F1054,Clientes!$B$4:$B$39,Clientes!$C$4:$C$39),Cadastros!$L$6:$L$12,Cadastros!$M$6:$M$12)," ")</f>
        <v xml:space="preserve"> </v>
      </c>
      <c r="AB1054" s="28"/>
      <c r="AC1054" s="28"/>
      <c r="AD1054" s="20" t="str">
        <f>IF(AB1054="","",IF($F1054="Bernardino Furlan",_xlfn.XLOOKUP(AB1054,Cadastros!$G$6:$G$90,Cadastros!$H$6:$H$90)*(1-0.18),IF($F1054="Mauro José Salanti",_xlfn.XLOOKUP(AB1054,Cadastros!$G$6:$G$90,Cadastros!$H$6:$H$90)*(1-0.18),_xlfn.XLOOKUP(AB1054,Cadastros!$G$6:$G$90,Cadastros!$H$6:$H$90))))</f>
        <v/>
      </c>
      <c r="AE1054" s="168" t="str">
        <f t="shared" si="213"/>
        <v/>
      </c>
      <c r="AF1054" s="168" t="str">
        <f t="shared" si="214"/>
        <v/>
      </c>
      <c r="AG1054" s="28"/>
      <c r="AH1054" s="28"/>
      <c r="AI1054" s="20" t="str">
        <f>IF(AG1054="","",IF($F1054="Bernardino Furlan",_xlfn.XLOOKUP(AG1054,Cadastros!$G$6:$G$90,Cadastros!$H$6:$H$90)*(1-0.18),IF($F1054="Mauro José Salanti",_xlfn.XLOOKUP(AG1054,Cadastros!$G$6:$G$90,Cadastros!$H$6:$H$90)*(1-0.18),_xlfn.XLOOKUP(AG1054,Cadastros!$G$6:$G$90,Cadastros!$H$6:$H$90))))</f>
        <v/>
      </c>
      <c r="AJ1054" s="168" t="str">
        <f t="shared" si="215"/>
        <v/>
      </c>
      <c r="AK1054" s="168" t="str">
        <f t="shared" si="216"/>
        <v/>
      </c>
      <c r="AL1054" s="28"/>
      <c r="AM1054" s="28"/>
      <c r="AN1054" s="20" t="str">
        <f>IF(AL1054="","",IF($F1054="Bernardino Furlan",_xlfn.XLOOKUP(AL1054,Cadastros!$G$6:$G$90,Cadastros!$H$6:$H$90)*(1-0.18),IF($F1054="Mauro José Salanti",_xlfn.XLOOKUP(AL1054,Cadastros!$G$6:$G$90,Cadastros!$H$6:$H$90)*(1-0.18),_xlfn.XLOOKUP(AL1054,Cadastros!$G$6:$G$90,Cadastros!$H$6:$H$90))))</f>
        <v/>
      </c>
      <c r="AO1054" s="168" t="str">
        <f t="shared" si="217"/>
        <v/>
      </c>
      <c r="AP1054" s="168" t="str">
        <f t="shared" si="218"/>
        <v/>
      </c>
      <c r="AQ1054" s="28"/>
      <c r="AR1054" s="28"/>
      <c r="AS1054" s="20" t="str">
        <f>IF(AQ1054="","",IF($F1054="Bernardino Furlan",_xlfn.XLOOKUP(AQ1054,Cadastros!$G$6:$G$90,Cadastros!$H$6:$H$90)*(1-0.18),IF($F1054="Mauro José Salanti",_xlfn.XLOOKUP(AQ1054,Cadastros!$G$6:$G$90,Cadastros!$H$6:$H$90)*(1-0.18),_xlfn.XLOOKUP(AQ1054,Cadastros!$G$6:$G$90,Cadastros!$H$6:$H$90))))</f>
        <v/>
      </c>
      <c r="AT1054" s="168" t="str">
        <f t="shared" si="219"/>
        <v/>
      </c>
      <c r="AU1054" s="168" t="str">
        <f t="shared" si="220"/>
        <v/>
      </c>
      <c r="AV1054" s="227"/>
      <c r="AW1054" s="30"/>
      <c r="AX1054" s="267"/>
      <c r="AY1054" s="267"/>
      <c r="AZ1054" s="29"/>
      <c r="BA1054" s="30"/>
      <c r="BB1054" s="23" t="str" cm="1">
        <f t="array" ref="BB1054">_xlfn.IFS(AW1054="SIM",SUM(K1054,P1054,U1054,Z1054,AE1054,AJ1054,AO1054,AT1054,AX1054,AY1054),F1054&lt;&gt;"",SUM(K1054,P1054,U1054,Z1054,AE1054,AJ1054,,AO1054,AT1054),F1054="","")</f>
        <v/>
      </c>
      <c r="BC1054" s="211" t="str" cm="1">
        <f t="array" ref="BC1054">_xlfn.IFS(E1054="","",G1054&lt;=E1054,BB1054*(1-0.03),G1054&lt;(E1054+8),BB1054,AZ1054="Boleto",BB1054*(1+0.001)^DATEDIF(E1054,G1054,"D"),AZ1054="Cheque",BB1054,AZ1054="Dinheiro","Alterar forma pgto")</f>
        <v/>
      </c>
      <c r="BD1054" s="276" t="str" cm="1">
        <f t="array" ref="BD1054">IF(F1054=0," ",IF(BC1054&lt;BB1054,(_xlfn.IFS(AW1054="SIM",SUM(L1054,Q1054,V1054,AA1054,AF1054,AK1054,AP1054,AU1054)+AX1054/_xlfn.XLOOKUP(_xlfn.XLOOKUP($F1054,Clientes!$B$4:$B$39,Clientes!$C$4:$C$39),Cadastros!$L$6:$L$12,Cadastros!$M$6:$M$12)+IF($F1054="Bernardino Furlan",AY1054/2751.92,IF($F1054="Mauro José Salanti",AY1054/2751.92,AY1054/3356)),F1054&lt;&gt;0,SUM(L1054,Q1054,V1054,AA1054,AF1054,AK1054,AP1054,AU1054)))*(1-0.03),_xlfn.IFS(AW1054="SIM",SUM(L1054,Q1054,V1054,AA1054,AF1054,AK1054,AP1054,AU1054)+AX1054/_xlfn.XLOOKUP(_xlfn.XLOOKUP($F1054,Clientes!$B$4:$B$39,Clientes!$C$4:$C$39),Cadastros!$L$6:$L$12,Cadastros!$M$6:$M$12)+IF($F1054="Bernardino Furlan",AY1054/2751.92,IF($F1054="Mauro José Salanti",AY1054/2751.92,AY1054/3356)),F1054&lt;&gt;0,SUM(L1054,Q1054,V1054,AA1054,AF1054,AK1054,AP1054,AU1054))))</f>
        <v xml:space="preserve"> </v>
      </c>
      <c r="BE1054" s="120"/>
      <c r="BF1054" s="120"/>
      <c r="BG1054" s="120"/>
    </row>
    <row r="1055" spans="1:59" s="3" customFormat="1" x14ac:dyDescent="0.3">
      <c r="A1055" s="15" t="str">
        <f t="shared" si="208"/>
        <v/>
      </c>
      <c r="B1055" s="25"/>
      <c r="C1055" s="26"/>
      <c r="D1055" s="279"/>
      <c r="E1055" s="27"/>
      <c r="F1055" s="28"/>
      <c r="G1055" s="27"/>
      <c r="H1055" s="28"/>
      <c r="I1055" s="28"/>
      <c r="J1055" s="255" t="str">
        <f>IF(H1055="","",(_xlfn.XLOOKUP(H1055,Cadastros!$D$6:$D$90,Cadastros!$E$6:$E$90))*(1-_xlfn.XLOOKUP(_xlfn.XLOOKUP($F1055,Clientes!$B$4:$B$39,Clientes!$C$4:$C$39),Cadastros!$L$6:$L$12,Cadastros!$N$6:$N$12)))</f>
        <v/>
      </c>
      <c r="K1055" s="168" t="str">
        <f t="shared" si="209"/>
        <v/>
      </c>
      <c r="L1055" s="168" t="str">
        <f>IFERROR(K1055/_xlfn.XLOOKUP(_xlfn.XLOOKUP($F1055,Clientes!$B$4:$B$39,Clientes!$C$4:$C$39),Cadastros!$L$6:$L$12,Cadastros!$M$6:$M$12)," ")</f>
        <v xml:space="preserve"> </v>
      </c>
      <c r="M1055" s="28"/>
      <c r="N1055" s="28"/>
      <c r="O1055" s="255" t="str">
        <f>IF(M1055="","",(_xlfn.XLOOKUP(M1055,Cadastros!$D$6:$D$90,Cadastros!$E$6:$E$90))*(1-_xlfn.XLOOKUP(_xlfn.XLOOKUP($F1055,Clientes!$B$4:$B$39,Clientes!$C$4:$C$39),Cadastros!$L$6:$L$12,Cadastros!$N$6:$N$12)))</f>
        <v/>
      </c>
      <c r="P1055" s="168" t="str">
        <f t="shared" si="210"/>
        <v/>
      </c>
      <c r="Q1055" s="168" t="str">
        <f>IFERROR(P1055/_xlfn.XLOOKUP(_xlfn.XLOOKUP($F1055,Clientes!$B$4:$B$39,Clientes!$C$4:$C$39),Cadastros!$L$6:$L$12,Cadastros!$M$6:$M$12)," ")</f>
        <v xml:space="preserve"> </v>
      </c>
      <c r="R1055" s="28"/>
      <c r="S1055" s="28"/>
      <c r="T1055" s="255" t="str">
        <f>IF(R1055="","",(_xlfn.XLOOKUP(R1055,Cadastros!$D$6:$D$90,Cadastros!$E$6:$E$90))*(1-_xlfn.XLOOKUP(_xlfn.XLOOKUP($F1055,Clientes!$B$4:$B$39,Clientes!$C$4:$C$39),Cadastros!$L$6:$L$12,Cadastros!$N$6:$N$12)))</f>
        <v/>
      </c>
      <c r="U1055" s="168" t="str">
        <f t="shared" si="211"/>
        <v/>
      </c>
      <c r="V1055" s="168" t="str">
        <f>IFERROR(U1055/_xlfn.XLOOKUP(_xlfn.XLOOKUP($F1055,Clientes!$B$4:$B$39,Clientes!$C$4:$C$39),Cadastros!$L$6:$L$12,Cadastros!$M$6:$M$12)," ")</f>
        <v xml:space="preserve"> </v>
      </c>
      <c r="W1055" s="28"/>
      <c r="X1055" s="28"/>
      <c r="Y1055" s="255" t="str">
        <f>IF(W1055="","",(_xlfn.XLOOKUP(W1055,Cadastros!$D$6:$D$90,Cadastros!$E$6:$E$90))*(1-_xlfn.XLOOKUP(_xlfn.XLOOKUP($F1055,Clientes!$B$4:$B$39,Clientes!$C$4:$C$39),Cadastros!$L$6:$L$12,Cadastros!$N$6:$N$12)))</f>
        <v/>
      </c>
      <c r="Z1055" s="168" t="str">
        <f t="shared" si="212"/>
        <v/>
      </c>
      <c r="AA1055" s="168" t="str">
        <f>IFERROR(Z1055/_xlfn.XLOOKUP(_xlfn.XLOOKUP($F1055,Clientes!$B$4:$B$39,Clientes!$C$4:$C$39),Cadastros!$L$6:$L$12,Cadastros!$M$6:$M$12)," ")</f>
        <v xml:space="preserve"> </v>
      </c>
      <c r="AB1055" s="28"/>
      <c r="AC1055" s="28"/>
      <c r="AD1055" s="20" t="str">
        <f>IF(AB1055="","",IF($F1055="Bernardino Furlan",_xlfn.XLOOKUP(AB1055,Cadastros!$G$6:$G$90,Cadastros!$H$6:$H$90)*(1-0.18),IF($F1055="Mauro José Salanti",_xlfn.XLOOKUP(AB1055,Cadastros!$G$6:$G$90,Cadastros!$H$6:$H$90)*(1-0.18),_xlfn.XLOOKUP(AB1055,Cadastros!$G$6:$G$90,Cadastros!$H$6:$H$90))))</f>
        <v/>
      </c>
      <c r="AE1055" s="168" t="str">
        <f t="shared" si="213"/>
        <v/>
      </c>
      <c r="AF1055" s="168" t="str">
        <f t="shared" si="214"/>
        <v/>
      </c>
      <c r="AG1055" s="28"/>
      <c r="AH1055" s="28"/>
      <c r="AI1055" s="20" t="str">
        <f>IF(AG1055="","",IF($F1055="Bernardino Furlan",_xlfn.XLOOKUP(AG1055,Cadastros!$G$6:$G$90,Cadastros!$H$6:$H$90)*(1-0.18),IF($F1055="Mauro José Salanti",_xlfn.XLOOKUP(AG1055,Cadastros!$G$6:$G$90,Cadastros!$H$6:$H$90)*(1-0.18),_xlfn.XLOOKUP(AG1055,Cadastros!$G$6:$G$90,Cadastros!$H$6:$H$90))))</f>
        <v/>
      </c>
      <c r="AJ1055" s="168" t="str">
        <f t="shared" si="215"/>
        <v/>
      </c>
      <c r="AK1055" s="168" t="str">
        <f t="shared" si="216"/>
        <v/>
      </c>
      <c r="AL1055" s="28"/>
      <c r="AM1055" s="28"/>
      <c r="AN1055" s="20" t="str">
        <f>IF(AL1055="","",IF($F1055="Bernardino Furlan",_xlfn.XLOOKUP(AL1055,Cadastros!$G$6:$G$90,Cadastros!$H$6:$H$90)*(1-0.18),IF($F1055="Mauro José Salanti",_xlfn.XLOOKUP(AL1055,Cadastros!$G$6:$G$90,Cadastros!$H$6:$H$90)*(1-0.18),_xlfn.XLOOKUP(AL1055,Cadastros!$G$6:$G$90,Cadastros!$H$6:$H$90))))</f>
        <v/>
      </c>
      <c r="AO1055" s="168" t="str">
        <f t="shared" si="217"/>
        <v/>
      </c>
      <c r="AP1055" s="168" t="str">
        <f t="shared" si="218"/>
        <v/>
      </c>
      <c r="AQ1055" s="28"/>
      <c r="AR1055" s="28"/>
      <c r="AS1055" s="20" t="str">
        <f>IF(AQ1055="","",IF($F1055="Bernardino Furlan",_xlfn.XLOOKUP(AQ1055,Cadastros!$G$6:$G$90,Cadastros!$H$6:$H$90)*(1-0.18),IF($F1055="Mauro José Salanti",_xlfn.XLOOKUP(AQ1055,Cadastros!$G$6:$G$90,Cadastros!$H$6:$H$90)*(1-0.18),_xlfn.XLOOKUP(AQ1055,Cadastros!$G$6:$G$90,Cadastros!$H$6:$H$90))))</f>
        <v/>
      </c>
      <c r="AT1055" s="168" t="str">
        <f t="shared" si="219"/>
        <v/>
      </c>
      <c r="AU1055" s="168" t="str">
        <f t="shared" si="220"/>
        <v/>
      </c>
      <c r="AV1055" s="227"/>
      <c r="AW1055" s="30"/>
      <c r="AX1055" s="267"/>
      <c r="AY1055" s="267"/>
      <c r="AZ1055" s="29"/>
      <c r="BA1055" s="30"/>
      <c r="BB1055" s="23" t="str" cm="1">
        <f t="array" ref="BB1055">_xlfn.IFS(AW1055="SIM",SUM(K1055,P1055,U1055,Z1055,AE1055,AJ1055,AO1055,AT1055,AX1055,AY1055),F1055&lt;&gt;"",SUM(K1055,P1055,U1055,Z1055,AE1055,AJ1055,,AO1055,AT1055),F1055="","")</f>
        <v/>
      </c>
      <c r="BC1055" s="211" t="str" cm="1">
        <f t="array" ref="BC1055">_xlfn.IFS(E1055="","",G1055&lt;=E1055,BB1055*(1-0.03),G1055&lt;(E1055+8),BB1055,AZ1055="Boleto",BB1055*(1+0.001)^DATEDIF(E1055,G1055,"D"),AZ1055="Cheque",BB1055,AZ1055="Dinheiro","Alterar forma pgto")</f>
        <v/>
      </c>
      <c r="BD1055" s="276" t="str" cm="1">
        <f t="array" ref="BD1055">IF(F1055=0," ",IF(BC1055&lt;BB1055,(_xlfn.IFS(AW1055="SIM",SUM(L1055,Q1055,V1055,AA1055,AF1055,AK1055,AP1055,AU1055)+AX1055/_xlfn.XLOOKUP(_xlfn.XLOOKUP($F1055,Clientes!$B$4:$B$39,Clientes!$C$4:$C$39),Cadastros!$L$6:$L$12,Cadastros!$M$6:$M$12)+IF($F1055="Bernardino Furlan",AY1055/2751.92,IF($F1055="Mauro José Salanti",AY1055/2751.92,AY1055/3356)),F1055&lt;&gt;0,SUM(L1055,Q1055,V1055,AA1055,AF1055,AK1055,AP1055,AU1055)))*(1-0.03),_xlfn.IFS(AW1055="SIM",SUM(L1055,Q1055,V1055,AA1055,AF1055,AK1055,AP1055,AU1055)+AX1055/_xlfn.XLOOKUP(_xlfn.XLOOKUP($F1055,Clientes!$B$4:$B$39,Clientes!$C$4:$C$39),Cadastros!$L$6:$L$12,Cadastros!$M$6:$M$12)+IF($F1055="Bernardino Furlan",AY1055/2751.92,IF($F1055="Mauro José Salanti",AY1055/2751.92,AY1055/3356)),F1055&lt;&gt;0,SUM(L1055,Q1055,V1055,AA1055,AF1055,AK1055,AP1055,AU1055))))</f>
        <v xml:space="preserve"> </v>
      </c>
      <c r="BE1055" s="120"/>
      <c r="BF1055" s="120"/>
      <c r="BG1055" s="120"/>
    </row>
    <row r="1056" spans="1:59" s="3" customFormat="1" x14ac:dyDescent="0.3">
      <c r="A1056" s="15" t="str">
        <f t="shared" si="208"/>
        <v/>
      </c>
      <c r="B1056" s="25"/>
      <c r="C1056" s="26"/>
      <c r="D1056" s="279"/>
      <c r="E1056" s="27"/>
      <c r="F1056" s="28"/>
      <c r="G1056" s="27"/>
      <c r="H1056" s="28"/>
      <c r="I1056" s="28"/>
      <c r="J1056" s="255" t="str">
        <f>IF(H1056="","",(_xlfn.XLOOKUP(H1056,Cadastros!$D$6:$D$90,Cadastros!$E$6:$E$90))*(1-_xlfn.XLOOKUP(_xlfn.XLOOKUP($F1056,Clientes!$B$4:$B$39,Clientes!$C$4:$C$39),Cadastros!$L$6:$L$12,Cadastros!$N$6:$N$12)))</f>
        <v/>
      </c>
      <c r="K1056" s="168" t="str">
        <f t="shared" si="209"/>
        <v/>
      </c>
      <c r="L1056" s="168" t="str">
        <f>IFERROR(K1056/_xlfn.XLOOKUP(_xlfn.XLOOKUP($F1056,Clientes!$B$4:$B$39,Clientes!$C$4:$C$39),Cadastros!$L$6:$L$12,Cadastros!$M$6:$M$12)," ")</f>
        <v xml:space="preserve"> </v>
      </c>
      <c r="M1056" s="28"/>
      <c r="N1056" s="28"/>
      <c r="O1056" s="255" t="str">
        <f>IF(M1056="","",(_xlfn.XLOOKUP(M1056,Cadastros!$D$6:$D$90,Cadastros!$E$6:$E$90))*(1-_xlfn.XLOOKUP(_xlfn.XLOOKUP($F1056,Clientes!$B$4:$B$39,Clientes!$C$4:$C$39),Cadastros!$L$6:$L$12,Cadastros!$N$6:$N$12)))</f>
        <v/>
      </c>
      <c r="P1056" s="168" t="str">
        <f t="shared" si="210"/>
        <v/>
      </c>
      <c r="Q1056" s="168" t="str">
        <f>IFERROR(P1056/_xlfn.XLOOKUP(_xlfn.XLOOKUP($F1056,Clientes!$B$4:$B$39,Clientes!$C$4:$C$39),Cadastros!$L$6:$L$12,Cadastros!$M$6:$M$12)," ")</f>
        <v xml:space="preserve"> </v>
      </c>
      <c r="R1056" s="28"/>
      <c r="S1056" s="28"/>
      <c r="T1056" s="255" t="str">
        <f>IF(R1056="","",(_xlfn.XLOOKUP(R1056,Cadastros!$D$6:$D$90,Cadastros!$E$6:$E$90))*(1-_xlfn.XLOOKUP(_xlfn.XLOOKUP($F1056,Clientes!$B$4:$B$39,Clientes!$C$4:$C$39),Cadastros!$L$6:$L$12,Cadastros!$N$6:$N$12)))</f>
        <v/>
      </c>
      <c r="U1056" s="168" t="str">
        <f t="shared" si="211"/>
        <v/>
      </c>
      <c r="V1056" s="168" t="str">
        <f>IFERROR(U1056/_xlfn.XLOOKUP(_xlfn.XLOOKUP($F1056,Clientes!$B$4:$B$39,Clientes!$C$4:$C$39),Cadastros!$L$6:$L$12,Cadastros!$M$6:$M$12)," ")</f>
        <v xml:space="preserve"> </v>
      </c>
      <c r="W1056" s="28"/>
      <c r="X1056" s="28"/>
      <c r="Y1056" s="255" t="str">
        <f>IF(W1056="","",(_xlfn.XLOOKUP(W1056,Cadastros!$D$6:$D$90,Cadastros!$E$6:$E$90))*(1-_xlfn.XLOOKUP(_xlfn.XLOOKUP($F1056,Clientes!$B$4:$B$39,Clientes!$C$4:$C$39),Cadastros!$L$6:$L$12,Cadastros!$N$6:$N$12)))</f>
        <v/>
      </c>
      <c r="Z1056" s="168" t="str">
        <f t="shared" si="212"/>
        <v/>
      </c>
      <c r="AA1056" s="168" t="str">
        <f>IFERROR(Z1056/_xlfn.XLOOKUP(_xlfn.XLOOKUP($F1056,Clientes!$B$4:$B$39,Clientes!$C$4:$C$39),Cadastros!$L$6:$L$12,Cadastros!$M$6:$M$12)," ")</f>
        <v xml:space="preserve"> </v>
      </c>
      <c r="AB1056" s="28"/>
      <c r="AC1056" s="28"/>
      <c r="AD1056" s="20" t="str">
        <f>IF(AB1056="","",IF($F1056="Bernardino Furlan",_xlfn.XLOOKUP(AB1056,Cadastros!$G$6:$G$90,Cadastros!$H$6:$H$90)*(1-0.18),IF($F1056="Mauro José Salanti",_xlfn.XLOOKUP(AB1056,Cadastros!$G$6:$G$90,Cadastros!$H$6:$H$90)*(1-0.18),_xlfn.XLOOKUP(AB1056,Cadastros!$G$6:$G$90,Cadastros!$H$6:$H$90))))</f>
        <v/>
      </c>
      <c r="AE1056" s="168" t="str">
        <f t="shared" si="213"/>
        <v/>
      </c>
      <c r="AF1056" s="168" t="str">
        <f t="shared" si="214"/>
        <v/>
      </c>
      <c r="AG1056" s="28"/>
      <c r="AH1056" s="28"/>
      <c r="AI1056" s="20" t="str">
        <f>IF(AG1056="","",IF($F1056="Bernardino Furlan",_xlfn.XLOOKUP(AG1056,Cadastros!$G$6:$G$90,Cadastros!$H$6:$H$90)*(1-0.18),IF($F1056="Mauro José Salanti",_xlfn.XLOOKUP(AG1056,Cadastros!$G$6:$G$90,Cadastros!$H$6:$H$90)*(1-0.18),_xlfn.XLOOKUP(AG1056,Cadastros!$G$6:$G$90,Cadastros!$H$6:$H$90))))</f>
        <v/>
      </c>
      <c r="AJ1056" s="168" t="str">
        <f t="shared" si="215"/>
        <v/>
      </c>
      <c r="AK1056" s="168" t="str">
        <f t="shared" si="216"/>
        <v/>
      </c>
      <c r="AL1056" s="28"/>
      <c r="AM1056" s="28"/>
      <c r="AN1056" s="20" t="str">
        <f>IF(AL1056="","",IF($F1056="Bernardino Furlan",_xlfn.XLOOKUP(AL1056,Cadastros!$G$6:$G$90,Cadastros!$H$6:$H$90)*(1-0.18),IF($F1056="Mauro José Salanti",_xlfn.XLOOKUP(AL1056,Cadastros!$G$6:$G$90,Cadastros!$H$6:$H$90)*(1-0.18),_xlfn.XLOOKUP(AL1056,Cadastros!$G$6:$G$90,Cadastros!$H$6:$H$90))))</f>
        <v/>
      </c>
      <c r="AO1056" s="168" t="str">
        <f t="shared" si="217"/>
        <v/>
      </c>
      <c r="AP1056" s="168" t="str">
        <f t="shared" si="218"/>
        <v/>
      </c>
      <c r="AQ1056" s="28"/>
      <c r="AR1056" s="28"/>
      <c r="AS1056" s="20" t="str">
        <f>IF(AQ1056="","",IF($F1056="Bernardino Furlan",_xlfn.XLOOKUP(AQ1056,Cadastros!$G$6:$G$90,Cadastros!$H$6:$H$90)*(1-0.18),IF($F1056="Mauro José Salanti",_xlfn.XLOOKUP(AQ1056,Cadastros!$G$6:$G$90,Cadastros!$H$6:$H$90)*(1-0.18),_xlfn.XLOOKUP(AQ1056,Cadastros!$G$6:$G$90,Cadastros!$H$6:$H$90))))</f>
        <v/>
      </c>
      <c r="AT1056" s="168" t="str">
        <f t="shared" si="219"/>
        <v/>
      </c>
      <c r="AU1056" s="168" t="str">
        <f t="shared" si="220"/>
        <v/>
      </c>
      <c r="AV1056" s="227"/>
      <c r="AW1056" s="30"/>
      <c r="AX1056" s="267"/>
      <c r="AY1056" s="267"/>
      <c r="AZ1056" s="29"/>
      <c r="BA1056" s="30"/>
      <c r="BB1056" s="23" t="str" cm="1">
        <f t="array" ref="BB1056">_xlfn.IFS(AW1056="SIM",SUM(K1056,P1056,U1056,Z1056,AE1056,AJ1056,AO1056,AT1056,AX1056,AY1056),F1056&lt;&gt;"",SUM(K1056,P1056,U1056,Z1056,AE1056,AJ1056,,AO1056,AT1056),F1056="","")</f>
        <v/>
      </c>
      <c r="BC1056" s="211" t="str" cm="1">
        <f t="array" ref="BC1056">_xlfn.IFS(E1056="","",G1056&lt;=E1056,BB1056*(1-0.03),G1056&lt;(E1056+8),BB1056,AZ1056="Boleto",BB1056*(1+0.001)^DATEDIF(E1056,G1056,"D"),AZ1056="Cheque",BB1056,AZ1056="Dinheiro","Alterar forma pgto")</f>
        <v/>
      </c>
      <c r="BD1056" s="276" t="str" cm="1">
        <f t="array" ref="BD1056">IF(F1056=0," ",IF(BC1056&lt;BB1056,(_xlfn.IFS(AW1056="SIM",SUM(L1056,Q1056,V1056,AA1056,AF1056,AK1056,AP1056,AU1056)+AX1056/_xlfn.XLOOKUP(_xlfn.XLOOKUP($F1056,Clientes!$B$4:$B$39,Clientes!$C$4:$C$39),Cadastros!$L$6:$L$12,Cadastros!$M$6:$M$12)+IF($F1056="Bernardino Furlan",AY1056/2751.92,IF($F1056="Mauro José Salanti",AY1056/2751.92,AY1056/3356)),F1056&lt;&gt;0,SUM(L1056,Q1056,V1056,AA1056,AF1056,AK1056,AP1056,AU1056)))*(1-0.03),_xlfn.IFS(AW1056="SIM",SUM(L1056,Q1056,V1056,AA1056,AF1056,AK1056,AP1056,AU1056)+AX1056/_xlfn.XLOOKUP(_xlfn.XLOOKUP($F1056,Clientes!$B$4:$B$39,Clientes!$C$4:$C$39),Cadastros!$L$6:$L$12,Cadastros!$M$6:$M$12)+IF($F1056="Bernardino Furlan",AY1056/2751.92,IF($F1056="Mauro José Salanti",AY1056/2751.92,AY1056/3356)),F1056&lt;&gt;0,SUM(L1056,Q1056,V1056,AA1056,AF1056,AK1056,AP1056,AU1056))))</f>
        <v xml:space="preserve"> </v>
      </c>
      <c r="BE1056" s="120"/>
      <c r="BF1056" s="120"/>
      <c r="BG1056" s="120"/>
    </row>
    <row r="1057" spans="1:59" s="3" customFormat="1" x14ac:dyDescent="0.3">
      <c r="A1057" s="15" t="str">
        <f t="shared" si="208"/>
        <v/>
      </c>
      <c r="B1057" s="25"/>
      <c r="C1057" s="26"/>
      <c r="D1057" s="279"/>
      <c r="E1057" s="27"/>
      <c r="F1057" s="28"/>
      <c r="G1057" s="27"/>
      <c r="H1057" s="28"/>
      <c r="I1057" s="28"/>
      <c r="J1057" s="255" t="str">
        <f>IF(H1057="","",(_xlfn.XLOOKUP(H1057,Cadastros!$D$6:$D$90,Cadastros!$E$6:$E$90))*(1-_xlfn.XLOOKUP(_xlfn.XLOOKUP($F1057,Clientes!$B$4:$B$39,Clientes!$C$4:$C$39),Cadastros!$L$6:$L$12,Cadastros!$N$6:$N$12)))</f>
        <v/>
      </c>
      <c r="K1057" s="168" t="str">
        <f t="shared" si="209"/>
        <v/>
      </c>
      <c r="L1057" s="168" t="str">
        <f>IFERROR(K1057/_xlfn.XLOOKUP(_xlfn.XLOOKUP($F1057,Clientes!$B$4:$B$39,Clientes!$C$4:$C$39),Cadastros!$L$6:$L$12,Cadastros!$M$6:$M$12)," ")</f>
        <v xml:space="preserve"> </v>
      </c>
      <c r="M1057" s="28"/>
      <c r="N1057" s="28"/>
      <c r="O1057" s="255" t="str">
        <f>IF(M1057="","",(_xlfn.XLOOKUP(M1057,Cadastros!$D$6:$D$90,Cadastros!$E$6:$E$90))*(1-_xlfn.XLOOKUP(_xlfn.XLOOKUP($F1057,Clientes!$B$4:$B$39,Clientes!$C$4:$C$39),Cadastros!$L$6:$L$12,Cadastros!$N$6:$N$12)))</f>
        <v/>
      </c>
      <c r="P1057" s="168" t="str">
        <f t="shared" si="210"/>
        <v/>
      </c>
      <c r="Q1057" s="168" t="str">
        <f>IFERROR(P1057/_xlfn.XLOOKUP(_xlfn.XLOOKUP($F1057,Clientes!$B$4:$B$39,Clientes!$C$4:$C$39),Cadastros!$L$6:$L$12,Cadastros!$M$6:$M$12)," ")</f>
        <v xml:space="preserve"> </v>
      </c>
      <c r="R1057" s="28"/>
      <c r="S1057" s="28"/>
      <c r="T1057" s="255" t="str">
        <f>IF(R1057="","",(_xlfn.XLOOKUP(R1057,Cadastros!$D$6:$D$90,Cadastros!$E$6:$E$90))*(1-_xlfn.XLOOKUP(_xlfn.XLOOKUP($F1057,Clientes!$B$4:$B$39,Clientes!$C$4:$C$39),Cadastros!$L$6:$L$12,Cadastros!$N$6:$N$12)))</f>
        <v/>
      </c>
      <c r="U1057" s="168" t="str">
        <f t="shared" si="211"/>
        <v/>
      </c>
      <c r="V1057" s="168" t="str">
        <f>IFERROR(U1057/_xlfn.XLOOKUP(_xlfn.XLOOKUP($F1057,Clientes!$B$4:$B$39,Clientes!$C$4:$C$39),Cadastros!$L$6:$L$12,Cadastros!$M$6:$M$12)," ")</f>
        <v xml:space="preserve"> </v>
      </c>
      <c r="W1057" s="28"/>
      <c r="X1057" s="28"/>
      <c r="Y1057" s="255" t="str">
        <f>IF(W1057="","",(_xlfn.XLOOKUP(W1057,Cadastros!$D$6:$D$90,Cadastros!$E$6:$E$90))*(1-_xlfn.XLOOKUP(_xlfn.XLOOKUP($F1057,Clientes!$B$4:$B$39,Clientes!$C$4:$C$39),Cadastros!$L$6:$L$12,Cadastros!$N$6:$N$12)))</f>
        <v/>
      </c>
      <c r="Z1057" s="168" t="str">
        <f t="shared" si="212"/>
        <v/>
      </c>
      <c r="AA1057" s="168" t="str">
        <f>IFERROR(Z1057/_xlfn.XLOOKUP(_xlfn.XLOOKUP($F1057,Clientes!$B$4:$B$39,Clientes!$C$4:$C$39),Cadastros!$L$6:$L$12,Cadastros!$M$6:$M$12)," ")</f>
        <v xml:space="preserve"> </v>
      </c>
      <c r="AB1057" s="28"/>
      <c r="AC1057" s="28"/>
      <c r="AD1057" s="20" t="str">
        <f>IF(AB1057="","",IF($F1057="Bernardino Furlan",_xlfn.XLOOKUP(AB1057,Cadastros!$G$6:$G$90,Cadastros!$H$6:$H$90)*(1-0.18),IF($F1057="Mauro José Salanti",_xlfn.XLOOKUP(AB1057,Cadastros!$G$6:$G$90,Cadastros!$H$6:$H$90)*(1-0.18),_xlfn.XLOOKUP(AB1057,Cadastros!$G$6:$G$90,Cadastros!$H$6:$H$90))))</f>
        <v/>
      </c>
      <c r="AE1057" s="168" t="str">
        <f t="shared" si="213"/>
        <v/>
      </c>
      <c r="AF1057" s="168" t="str">
        <f t="shared" si="214"/>
        <v/>
      </c>
      <c r="AG1057" s="28"/>
      <c r="AH1057" s="28"/>
      <c r="AI1057" s="20" t="str">
        <f>IF(AG1057="","",IF($F1057="Bernardino Furlan",_xlfn.XLOOKUP(AG1057,Cadastros!$G$6:$G$90,Cadastros!$H$6:$H$90)*(1-0.18),IF($F1057="Mauro José Salanti",_xlfn.XLOOKUP(AG1057,Cadastros!$G$6:$G$90,Cadastros!$H$6:$H$90)*(1-0.18),_xlfn.XLOOKUP(AG1057,Cadastros!$G$6:$G$90,Cadastros!$H$6:$H$90))))</f>
        <v/>
      </c>
      <c r="AJ1057" s="168" t="str">
        <f t="shared" si="215"/>
        <v/>
      </c>
      <c r="AK1057" s="168" t="str">
        <f t="shared" si="216"/>
        <v/>
      </c>
      <c r="AL1057" s="28"/>
      <c r="AM1057" s="28"/>
      <c r="AN1057" s="20" t="str">
        <f>IF(AL1057="","",IF($F1057="Bernardino Furlan",_xlfn.XLOOKUP(AL1057,Cadastros!$G$6:$G$90,Cadastros!$H$6:$H$90)*(1-0.18),IF($F1057="Mauro José Salanti",_xlfn.XLOOKUP(AL1057,Cadastros!$G$6:$G$90,Cadastros!$H$6:$H$90)*(1-0.18),_xlfn.XLOOKUP(AL1057,Cadastros!$G$6:$G$90,Cadastros!$H$6:$H$90))))</f>
        <v/>
      </c>
      <c r="AO1057" s="168" t="str">
        <f t="shared" si="217"/>
        <v/>
      </c>
      <c r="AP1057" s="168" t="str">
        <f t="shared" si="218"/>
        <v/>
      </c>
      <c r="AQ1057" s="28"/>
      <c r="AR1057" s="28"/>
      <c r="AS1057" s="20" t="str">
        <f>IF(AQ1057="","",IF($F1057="Bernardino Furlan",_xlfn.XLOOKUP(AQ1057,Cadastros!$G$6:$G$90,Cadastros!$H$6:$H$90)*(1-0.18),IF($F1057="Mauro José Salanti",_xlfn.XLOOKUP(AQ1057,Cadastros!$G$6:$G$90,Cadastros!$H$6:$H$90)*(1-0.18),_xlfn.XLOOKUP(AQ1057,Cadastros!$G$6:$G$90,Cadastros!$H$6:$H$90))))</f>
        <v/>
      </c>
      <c r="AT1057" s="168" t="str">
        <f t="shared" si="219"/>
        <v/>
      </c>
      <c r="AU1057" s="168" t="str">
        <f t="shared" si="220"/>
        <v/>
      </c>
      <c r="AV1057" s="227"/>
      <c r="AW1057" s="30"/>
      <c r="AX1057" s="267"/>
      <c r="AY1057" s="267"/>
      <c r="AZ1057" s="29"/>
      <c r="BA1057" s="30"/>
      <c r="BB1057" s="23" t="str" cm="1">
        <f t="array" ref="BB1057">_xlfn.IFS(AW1057="SIM",SUM(K1057,P1057,U1057,Z1057,AE1057,AJ1057,AO1057,AT1057,AX1057,AY1057),F1057&lt;&gt;"",SUM(K1057,P1057,U1057,Z1057,AE1057,AJ1057,,AO1057,AT1057),F1057="","")</f>
        <v/>
      </c>
      <c r="BC1057" s="211" t="str" cm="1">
        <f t="array" ref="BC1057">_xlfn.IFS(E1057="","",G1057&lt;=E1057,BB1057*(1-0.03),G1057&lt;(E1057+8),BB1057,AZ1057="Boleto",BB1057*(1+0.001)^DATEDIF(E1057,G1057,"D"),AZ1057="Cheque",BB1057,AZ1057="Dinheiro","Alterar forma pgto")</f>
        <v/>
      </c>
      <c r="BD1057" s="276" t="str" cm="1">
        <f t="array" ref="BD1057">IF(F1057=0," ",IF(BC1057&lt;BB1057,(_xlfn.IFS(AW1057="SIM",SUM(L1057,Q1057,V1057,AA1057,AF1057,AK1057,AP1057,AU1057)+AX1057/_xlfn.XLOOKUP(_xlfn.XLOOKUP($F1057,Clientes!$B$4:$B$39,Clientes!$C$4:$C$39),Cadastros!$L$6:$L$12,Cadastros!$M$6:$M$12)+IF($F1057="Bernardino Furlan",AY1057/2751.92,IF($F1057="Mauro José Salanti",AY1057/2751.92,AY1057/3356)),F1057&lt;&gt;0,SUM(L1057,Q1057,V1057,AA1057,AF1057,AK1057,AP1057,AU1057)))*(1-0.03),_xlfn.IFS(AW1057="SIM",SUM(L1057,Q1057,V1057,AA1057,AF1057,AK1057,AP1057,AU1057)+AX1057/_xlfn.XLOOKUP(_xlfn.XLOOKUP($F1057,Clientes!$B$4:$B$39,Clientes!$C$4:$C$39),Cadastros!$L$6:$L$12,Cadastros!$M$6:$M$12)+IF($F1057="Bernardino Furlan",AY1057/2751.92,IF($F1057="Mauro José Salanti",AY1057/2751.92,AY1057/3356)),F1057&lt;&gt;0,SUM(L1057,Q1057,V1057,AA1057,AF1057,AK1057,AP1057,AU1057))))</f>
        <v xml:space="preserve"> </v>
      </c>
      <c r="BE1057" s="120"/>
      <c r="BF1057" s="120"/>
      <c r="BG1057" s="120"/>
    </row>
    <row r="1058" spans="1:59" s="3" customFormat="1" x14ac:dyDescent="0.3">
      <c r="A1058" s="15" t="str">
        <f t="shared" si="208"/>
        <v/>
      </c>
      <c r="B1058" s="25"/>
      <c r="C1058" s="26"/>
      <c r="D1058" s="279"/>
      <c r="E1058" s="27"/>
      <c r="F1058" s="28"/>
      <c r="G1058" s="27"/>
      <c r="H1058" s="28"/>
      <c r="I1058" s="28"/>
      <c r="J1058" s="255" t="str">
        <f>IF(H1058="","",(_xlfn.XLOOKUP(H1058,Cadastros!$D$6:$D$90,Cadastros!$E$6:$E$90))*(1-_xlfn.XLOOKUP(_xlfn.XLOOKUP($F1058,Clientes!$B$4:$B$39,Clientes!$C$4:$C$39),Cadastros!$L$6:$L$12,Cadastros!$N$6:$N$12)))</f>
        <v/>
      </c>
      <c r="K1058" s="168" t="str">
        <f t="shared" si="209"/>
        <v/>
      </c>
      <c r="L1058" s="168" t="str">
        <f>IFERROR(K1058/_xlfn.XLOOKUP(_xlfn.XLOOKUP($F1058,Clientes!$B$4:$B$39,Clientes!$C$4:$C$39),Cadastros!$L$6:$L$12,Cadastros!$M$6:$M$12)," ")</f>
        <v xml:space="preserve"> </v>
      </c>
      <c r="M1058" s="28"/>
      <c r="N1058" s="28"/>
      <c r="O1058" s="255" t="str">
        <f>IF(M1058="","",(_xlfn.XLOOKUP(M1058,Cadastros!$D$6:$D$90,Cadastros!$E$6:$E$90))*(1-_xlfn.XLOOKUP(_xlfn.XLOOKUP($F1058,Clientes!$B$4:$B$39,Clientes!$C$4:$C$39),Cadastros!$L$6:$L$12,Cadastros!$N$6:$N$12)))</f>
        <v/>
      </c>
      <c r="P1058" s="168" t="str">
        <f t="shared" si="210"/>
        <v/>
      </c>
      <c r="Q1058" s="168" t="str">
        <f>IFERROR(P1058/_xlfn.XLOOKUP(_xlfn.XLOOKUP($F1058,Clientes!$B$4:$B$39,Clientes!$C$4:$C$39),Cadastros!$L$6:$L$12,Cadastros!$M$6:$M$12)," ")</f>
        <v xml:space="preserve"> </v>
      </c>
      <c r="R1058" s="28"/>
      <c r="S1058" s="28"/>
      <c r="T1058" s="255" t="str">
        <f>IF(R1058="","",(_xlfn.XLOOKUP(R1058,Cadastros!$D$6:$D$90,Cadastros!$E$6:$E$90))*(1-_xlfn.XLOOKUP(_xlfn.XLOOKUP($F1058,Clientes!$B$4:$B$39,Clientes!$C$4:$C$39),Cadastros!$L$6:$L$12,Cadastros!$N$6:$N$12)))</f>
        <v/>
      </c>
      <c r="U1058" s="168" t="str">
        <f t="shared" si="211"/>
        <v/>
      </c>
      <c r="V1058" s="168" t="str">
        <f>IFERROR(U1058/_xlfn.XLOOKUP(_xlfn.XLOOKUP($F1058,Clientes!$B$4:$B$39,Clientes!$C$4:$C$39),Cadastros!$L$6:$L$12,Cadastros!$M$6:$M$12)," ")</f>
        <v xml:space="preserve"> </v>
      </c>
      <c r="W1058" s="28"/>
      <c r="X1058" s="28"/>
      <c r="Y1058" s="255" t="str">
        <f>IF(W1058="","",(_xlfn.XLOOKUP(W1058,Cadastros!$D$6:$D$90,Cadastros!$E$6:$E$90))*(1-_xlfn.XLOOKUP(_xlfn.XLOOKUP($F1058,Clientes!$B$4:$B$39,Clientes!$C$4:$C$39),Cadastros!$L$6:$L$12,Cadastros!$N$6:$N$12)))</f>
        <v/>
      </c>
      <c r="Z1058" s="168" t="str">
        <f t="shared" si="212"/>
        <v/>
      </c>
      <c r="AA1058" s="168" t="str">
        <f>IFERROR(Z1058/_xlfn.XLOOKUP(_xlfn.XLOOKUP($F1058,Clientes!$B$4:$B$39,Clientes!$C$4:$C$39),Cadastros!$L$6:$L$12,Cadastros!$M$6:$M$12)," ")</f>
        <v xml:space="preserve"> </v>
      </c>
      <c r="AB1058" s="28"/>
      <c r="AC1058" s="28"/>
      <c r="AD1058" s="20" t="str">
        <f>IF(AB1058="","",IF($F1058="Bernardino Furlan",_xlfn.XLOOKUP(AB1058,Cadastros!$G$6:$G$90,Cadastros!$H$6:$H$90)*(1-0.18),IF($F1058="Mauro José Salanti",_xlfn.XLOOKUP(AB1058,Cadastros!$G$6:$G$90,Cadastros!$H$6:$H$90)*(1-0.18),_xlfn.XLOOKUP(AB1058,Cadastros!$G$6:$G$90,Cadastros!$H$6:$H$90))))</f>
        <v/>
      </c>
      <c r="AE1058" s="168" t="str">
        <f t="shared" si="213"/>
        <v/>
      </c>
      <c r="AF1058" s="168" t="str">
        <f t="shared" si="214"/>
        <v/>
      </c>
      <c r="AG1058" s="28"/>
      <c r="AH1058" s="28"/>
      <c r="AI1058" s="20" t="str">
        <f>IF(AG1058="","",IF($F1058="Bernardino Furlan",_xlfn.XLOOKUP(AG1058,Cadastros!$G$6:$G$90,Cadastros!$H$6:$H$90)*(1-0.18),IF($F1058="Mauro José Salanti",_xlfn.XLOOKUP(AG1058,Cadastros!$G$6:$G$90,Cadastros!$H$6:$H$90)*(1-0.18),_xlfn.XLOOKUP(AG1058,Cadastros!$G$6:$G$90,Cadastros!$H$6:$H$90))))</f>
        <v/>
      </c>
      <c r="AJ1058" s="168" t="str">
        <f t="shared" si="215"/>
        <v/>
      </c>
      <c r="AK1058" s="168" t="str">
        <f t="shared" si="216"/>
        <v/>
      </c>
      <c r="AL1058" s="28"/>
      <c r="AM1058" s="28"/>
      <c r="AN1058" s="20" t="str">
        <f>IF(AL1058="","",IF($F1058="Bernardino Furlan",_xlfn.XLOOKUP(AL1058,Cadastros!$G$6:$G$90,Cadastros!$H$6:$H$90)*(1-0.18),IF($F1058="Mauro José Salanti",_xlfn.XLOOKUP(AL1058,Cadastros!$G$6:$G$90,Cadastros!$H$6:$H$90)*(1-0.18),_xlfn.XLOOKUP(AL1058,Cadastros!$G$6:$G$90,Cadastros!$H$6:$H$90))))</f>
        <v/>
      </c>
      <c r="AO1058" s="168" t="str">
        <f t="shared" si="217"/>
        <v/>
      </c>
      <c r="AP1058" s="168" t="str">
        <f t="shared" si="218"/>
        <v/>
      </c>
      <c r="AQ1058" s="28"/>
      <c r="AR1058" s="28"/>
      <c r="AS1058" s="20" t="str">
        <f>IF(AQ1058="","",IF($F1058="Bernardino Furlan",_xlfn.XLOOKUP(AQ1058,Cadastros!$G$6:$G$90,Cadastros!$H$6:$H$90)*(1-0.18),IF($F1058="Mauro José Salanti",_xlfn.XLOOKUP(AQ1058,Cadastros!$G$6:$G$90,Cadastros!$H$6:$H$90)*(1-0.18),_xlfn.XLOOKUP(AQ1058,Cadastros!$G$6:$G$90,Cadastros!$H$6:$H$90))))</f>
        <v/>
      </c>
      <c r="AT1058" s="168" t="str">
        <f t="shared" si="219"/>
        <v/>
      </c>
      <c r="AU1058" s="168" t="str">
        <f t="shared" si="220"/>
        <v/>
      </c>
      <c r="AV1058" s="227"/>
      <c r="AW1058" s="30"/>
      <c r="AX1058" s="267"/>
      <c r="AY1058" s="267"/>
      <c r="AZ1058" s="29"/>
      <c r="BA1058" s="30"/>
      <c r="BB1058" s="23" t="str" cm="1">
        <f t="array" ref="BB1058">_xlfn.IFS(AW1058="SIM",SUM(K1058,P1058,U1058,Z1058,AE1058,AJ1058,AO1058,AT1058,AX1058,AY1058),F1058&lt;&gt;"",SUM(K1058,P1058,U1058,Z1058,AE1058,AJ1058,,AO1058,AT1058),F1058="","")</f>
        <v/>
      </c>
      <c r="BC1058" s="211" t="str" cm="1">
        <f t="array" ref="BC1058">_xlfn.IFS(E1058="","",G1058&lt;=E1058,BB1058*(1-0.03),G1058&lt;(E1058+8),BB1058,AZ1058="Boleto",BB1058*(1+0.001)^DATEDIF(E1058,G1058,"D"),AZ1058="Cheque",BB1058,AZ1058="Dinheiro","Alterar forma pgto")</f>
        <v/>
      </c>
      <c r="BD1058" s="276" t="str" cm="1">
        <f t="array" ref="BD1058">IF(F1058=0," ",IF(BC1058&lt;BB1058,(_xlfn.IFS(AW1058="SIM",SUM(L1058,Q1058,V1058,AA1058,AF1058,AK1058,AP1058,AU1058)+AX1058/_xlfn.XLOOKUP(_xlfn.XLOOKUP($F1058,Clientes!$B$4:$B$39,Clientes!$C$4:$C$39),Cadastros!$L$6:$L$12,Cadastros!$M$6:$M$12)+IF($F1058="Bernardino Furlan",AY1058/2751.92,IF($F1058="Mauro José Salanti",AY1058/2751.92,AY1058/3356)),F1058&lt;&gt;0,SUM(L1058,Q1058,V1058,AA1058,AF1058,AK1058,AP1058,AU1058)))*(1-0.03),_xlfn.IFS(AW1058="SIM",SUM(L1058,Q1058,V1058,AA1058,AF1058,AK1058,AP1058,AU1058)+AX1058/_xlfn.XLOOKUP(_xlfn.XLOOKUP($F1058,Clientes!$B$4:$B$39,Clientes!$C$4:$C$39),Cadastros!$L$6:$L$12,Cadastros!$M$6:$M$12)+IF($F1058="Bernardino Furlan",AY1058/2751.92,IF($F1058="Mauro José Salanti",AY1058/2751.92,AY1058/3356)),F1058&lt;&gt;0,SUM(L1058,Q1058,V1058,AA1058,AF1058,AK1058,AP1058,AU1058))))</f>
        <v xml:space="preserve"> </v>
      </c>
      <c r="BE1058" s="120"/>
      <c r="BF1058" s="120"/>
      <c r="BG1058" s="120"/>
    </row>
    <row r="1059" spans="1:59" s="3" customFormat="1" x14ac:dyDescent="0.3">
      <c r="A1059" s="15" t="str">
        <f t="shared" si="208"/>
        <v/>
      </c>
      <c r="B1059" s="25"/>
      <c r="C1059" s="26"/>
      <c r="D1059" s="279"/>
      <c r="E1059" s="27"/>
      <c r="F1059" s="28"/>
      <c r="G1059" s="27"/>
      <c r="H1059" s="28"/>
      <c r="I1059" s="28"/>
      <c r="J1059" s="255" t="str">
        <f>IF(H1059="","",(_xlfn.XLOOKUP(H1059,Cadastros!$D$6:$D$90,Cadastros!$E$6:$E$90))*(1-_xlfn.XLOOKUP(_xlfn.XLOOKUP($F1059,Clientes!$B$4:$B$39,Clientes!$C$4:$C$39),Cadastros!$L$6:$L$12,Cadastros!$N$6:$N$12)))</f>
        <v/>
      </c>
      <c r="K1059" s="168" t="str">
        <f t="shared" si="209"/>
        <v/>
      </c>
      <c r="L1059" s="168" t="str">
        <f>IFERROR(K1059/_xlfn.XLOOKUP(_xlfn.XLOOKUP($F1059,Clientes!$B$4:$B$39,Clientes!$C$4:$C$39),Cadastros!$L$6:$L$12,Cadastros!$M$6:$M$12)," ")</f>
        <v xml:space="preserve"> </v>
      </c>
      <c r="M1059" s="28"/>
      <c r="N1059" s="28"/>
      <c r="O1059" s="255" t="str">
        <f>IF(M1059="","",(_xlfn.XLOOKUP(M1059,Cadastros!$D$6:$D$90,Cadastros!$E$6:$E$90))*(1-_xlfn.XLOOKUP(_xlfn.XLOOKUP($F1059,Clientes!$B$4:$B$39,Clientes!$C$4:$C$39),Cadastros!$L$6:$L$12,Cadastros!$N$6:$N$12)))</f>
        <v/>
      </c>
      <c r="P1059" s="168" t="str">
        <f t="shared" si="210"/>
        <v/>
      </c>
      <c r="Q1059" s="168" t="str">
        <f>IFERROR(P1059/_xlfn.XLOOKUP(_xlfn.XLOOKUP($F1059,Clientes!$B$4:$B$39,Clientes!$C$4:$C$39),Cadastros!$L$6:$L$12,Cadastros!$M$6:$M$12)," ")</f>
        <v xml:space="preserve"> </v>
      </c>
      <c r="R1059" s="28"/>
      <c r="S1059" s="28"/>
      <c r="T1059" s="255" t="str">
        <f>IF(R1059="","",(_xlfn.XLOOKUP(R1059,Cadastros!$D$6:$D$90,Cadastros!$E$6:$E$90))*(1-_xlfn.XLOOKUP(_xlfn.XLOOKUP($F1059,Clientes!$B$4:$B$39,Clientes!$C$4:$C$39),Cadastros!$L$6:$L$12,Cadastros!$N$6:$N$12)))</f>
        <v/>
      </c>
      <c r="U1059" s="168" t="str">
        <f t="shared" si="211"/>
        <v/>
      </c>
      <c r="V1059" s="168" t="str">
        <f>IFERROR(U1059/_xlfn.XLOOKUP(_xlfn.XLOOKUP($F1059,Clientes!$B$4:$B$39,Clientes!$C$4:$C$39),Cadastros!$L$6:$L$12,Cadastros!$M$6:$M$12)," ")</f>
        <v xml:space="preserve"> </v>
      </c>
      <c r="W1059" s="28"/>
      <c r="X1059" s="28"/>
      <c r="Y1059" s="255" t="str">
        <f>IF(W1059="","",(_xlfn.XLOOKUP(W1059,Cadastros!$D$6:$D$90,Cadastros!$E$6:$E$90))*(1-_xlfn.XLOOKUP(_xlfn.XLOOKUP($F1059,Clientes!$B$4:$B$39,Clientes!$C$4:$C$39),Cadastros!$L$6:$L$12,Cadastros!$N$6:$N$12)))</f>
        <v/>
      </c>
      <c r="Z1059" s="168" t="str">
        <f t="shared" si="212"/>
        <v/>
      </c>
      <c r="AA1059" s="168" t="str">
        <f>IFERROR(Z1059/_xlfn.XLOOKUP(_xlfn.XLOOKUP($F1059,Clientes!$B$4:$B$39,Clientes!$C$4:$C$39),Cadastros!$L$6:$L$12,Cadastros!$M$6:$M$12)," ")</f>
        <v xml:space="preserve"> </v>
      </c>
      <c r="AB1059" s="28"/>
      <c r="AC1059" s="28"/>
      <c r="AD1059" s="20" t="str">
        <f>IF(AB1059="","",IF($F1059="Bernardino Furlan",_xlfn.XLOOKUP(AB1059,Cadastros!$G$6:$G$90,Cadastros!$H$6:$H$90)*(1-0.18),IF($F1059="Mauro José Salanti",_xlfn.XLOOKUP(AB1059,Cadastros!$G$6:$G$90,Cadastros!$H$6:$H$90)*(1-0.18),_xlfn.XLOOKUP(AB1059,Cadastros!$G$6:$G$90,Cadastros!$H$6:$H$90))))</f>
        <v/>
      </c>
      <c r="AE1059" s="168" t="str">
        <f t="shared" si="213"/>
        <v/>
      </c>
      <c r="AF1059" s="168" t="str">
        <f t="shared" si="214"/>
        <v/>
      </c>
      <c r="AG1059" s="28"/>
      <c r="AH1059" s="28"/>
      <c r="AI1059" s="20" t="str">
        <f>IF(AG1059="","",IF($F1059="Bernardino Furlan",_xlfn.XLOOKUP(AG1059,Cadastros!$G$6:$G$90,Cadastros!$H$6:$H$90)*(1-0.18),IF($F1059="Mauro José Salanti",_xlfn.XLOOKUP(AG1059,Cadastros!$G$6:$G$90,Cadastros!$H$6:$H$90)*(1-0.18),_xlfn.XLOOKUP(AG1059,Cadastros!$G$6:$G$90,Cadastros!$H$6:$H$90))))</f>
        <v/>
      </c>
      <c r="AJ1059" s="168" t="str">
        <f t="shared" si="215"/>
        <v/>
      </c>
      <c r="AK1059" s="168" t="str">
        <f t="shared" si="216"/>
        <v/>
      </c>
      <c r="AL1059" s="28"/>
      <c r="AM1059" s="28"/>
      <c r="AN1059" s="20" t="str">
        <f>IF(AL1059="","",IF($F1059="Bernardino Furlan",_xlfn.XLOOKUP(AL1059,Cadastros!$G$6:$G$90,Cadastros!$H$6:$H$90)*(1-0.18),IF($F1059="Mauro José Salanti",_xlfn.XLOOKUP(AL1059,Cadastros!$G$6:$G$90,Cadastros!$H$6:$H$90)*(1-0.18),_xlfn.XLOOKUP(AL1059,Cadastros!$G$6:$G$90,Cadastros!$H$6:$H$90))))</f>
        <v/>
      </c>
      <c r="AO1059" s="168" t="str">
        <f t="shared" si="217"/>
        <v/>
      </c>
      <c r="AP1059" s="168" t="str">
        <f t="shared" si="218"/>
        <v/>
      </c>
      <c r="AQ1059" s="28"/>
      <c r="AR1059" s="28"/>
      <c r="AS1059" s="20" t="str">
        <f>IF(AQ1059="","",IF($F1059="Bernardino Furlan",_xlfn.XLOOKUP(AQ1059,Cadastros!$G$6:$G$90,Cadastros!$H$6:$H$90)*(1-0.18),IF($F1059="Mauro José Salanti",_xlfn.XLOOKUP(AQ1059,Cadastros!$G$6:$G$90,Cadastros!$H$6:$H$90)*(1-0.18),_xlfn.XLOOKUP(AQ1059,Cadastros!$G$6:$G$90,Cadastros!$H$6:$H$90))))</f>
        <v/>
      </c>
      <c r="AT1059" s="168" t="str">
        <f t="shared" si="219"/>
        <v/>
      </c>
      <c r="AU1059" s="168" t="str">
        <f t="shared" si="220"/>
        <v/>
      </c>
      <c r="AV1059" s="227"/>
      <c r="AW1059" s="30"/>
      <c r="AX1059" s="267"/>
      <c r="AY1059" s="267"/>
      <c r="AZ1059" s="29"/>
      <c r="BA1059" s="30"/>
      <c r="BB1059" s="23" t="str" cm="1">
        <f t="array" ref="BB1059">_xlfn.IFS(AW1059="SIM",SUM(K1059,P1059,U1059,Z1059,AE1059,AJ1059,AO1059,AT1059,AX1059,AY1059),F1059&lt;&gt;"",SUM(K1059,P1059,U1059,Z1059,AE1059,AJ1059,,AO1059,AT1059),F1059="","")</f>
        <v/>
      </c>
      <c r="BC1059" s="211" t="str" cm="1">
        <f t="array" ref="BC1059">_xlfn.IFS(E1059="","",G1059&lt;=E1059,BB1059*(1-0.03),G1059&lt;(E1059+8),BB1059,AZ1059="Boleto",BB1059*(1+0.001)^DATEDIF(E1059,G1059,"D"),AZ1059="Cheque",BB1059,AZ1059="Dinheiro","Alterar forma pgto")</f>
        <v/>
      </c>
      <c r="BD1059" s="276" t="str" cm="1">
        <f t="array" ref="BD1059">IF(F1059=0," ",IF(BC1059&lt;BB1059,(_xlfn.IFS(AW1059="SIM",SUM(L1059,Q1059,V1059,AA1059,AF1059,AK1059,AP1059,AU1059)+AX1059/_xlfn.XLOOKUP(_xlfn.XLOOKUP($F1059,Clientes!$B$4:$B$39,Clientes!$C$4:$C$39),Cadastros!$L$6:$L$12,Cadastros!$M$6:$M$12)+IF($F1059="Bernardino Furlan",AY1059/2751.92,IF($F1059="Mauro José Salanti",AY1059/2751.92,AY1059/3356)),F1059&lt;&gt;0,SUM(L1059,Q1059,V1059,AA1059,AF1059,AK1059,AP1059,AU1059)))*(1-0.03),_xlfn.IFS(AW1059="SIM",SUM(L1059,Q1059,V1059,AA1059,AF1059,AK1059,AP1059,AU1059)+AX1059/_xlfn.XLOOKUP(_xlfn.XLOOKUP($F1059,Clientes!$B$4:$B$39,Clientes!$C$4:$C$39),Cadastros!$L$6:$L$12,Cadastros!$M$6:$M$12)+IF($F1059="Bernardino Furlan",AY1059/2751.92,IF($F1059="Mauro José Salanti",AY1059/2751.92,AY1059/3356)),F1059&lt;&gt;0,SUM(L1059,Q1059,V1059,AA1059,AF1059,AK1059,AP1059,AU1059))))</f>
        <v xml:space="preserve"> </v>
      </c>
      <c r="BE1059" s="120"/>
      <c r="BF1059" s="120"/>
      <c r="BG1059" s="120"/>
    </row>
    <row r="1060" spans="1:59" s="3" customFormat="1" x14ac:dyDescent="0.3">
      <c r="A1060" s="15" t="str">
        <f t="shared" si="208"/>
        <v/>
      </c>
      <c r="B1060" s="25"/>
      <c r="C1060" s="26"/>
      <c r="D1060" s="279"/>
      <c r="E1060" s="27"/>
      <c r="F1060" s="28"/>
      <c r="G1060" s="27"/>
      <c r="H1060" s="28"/>
      <c r="I1060" s="28"/>
      <c r="J1060" s="255" t="str">
        <f>IF(H1060="","",(_xlfn.XLOOKUP(H1060,Cadastros!$D$6:$D$90,Cadastros!$E$6:$E$90))*(1-_xlfn.XLOOKUP(_xlfn.XLOOKUP($F1060,Clientes!$B$4:$B$39,Clientes!$C$4:$C$39),Cadastros!$L$6:$L$12,Cadastros!$N$6:$N$12)))</f>
        <v/>
      </c>
      <c r="K1060" s="168" t="str">
        <f t="shared" si="209"/>
        <v/>
      </c>
      <c r="L1060" s="168" t="str">
        <f>IFERROR(K1060/_xlfn.XLOOKUP(_xlfn.XLOOKUP($F1060,Clientes!$B$4:$B$39,Clientes!$C$4:$C$39),Cadastros!$L$6:$L$12,Cadastros!$M$6:$M$12)," ")</f>
        <v xml:space="preserve"> </v>
      </c>
      <c r="M1060" s="28"/>
      <c r="N1060" s="28"/>
      <c r="O1060" s="255" t="str">
        <f>IF(M1060="","",(_xlfn.XLOOKUP(M1060,Cadastros!$D$6:$D$90,Cadastros!$E$6:$E$90))*(1-_xlfn.XLOOKUP(_xlfn.XLOOKUP($F1060,Clientes!$B$4:$B$39,Clientes!$C$4:$C$39),Cadastros!$L$6:$L$12,Cadastros!$N$6:$N$12)))</f>
        <v/>
      </c>
      <c r="P1060" s="168" t="str">
        <f t="shared" si="210"/>
        <v/>
      </c>
      <c r="Q1060" s="168" t="str">
        <f>IFERROR(P1060/_xlfn.XLOOKUP(_xlfn.XLOOKUP($F1060,Clientes!$B$4:$B$39,Clientes!$C$4:$C$39),Cadastros!$L$6:$L$12,Cadastros!$M$6:$M$12)," ")</f>
        <v xml:space="preserve"> </v>
      </c>
      <c r="R1060" s="28"/>
      <c r="S1060" s="28"/>
      <c r="T1060" s="255" t="str">
        <f>IF(R1060="","",(_xlfn.XLOOKUP(R1060,Cadastros!$D$6:$D$90,Cadastros!$E$6:$E$90))*(1-_xlfn.XLOOKUP(_xlfn.XLOOKUP($F1060,Clientes!$B$4:$B$39,Clientes!$C$4:$C$39),Cadastros!$L$6:$L$12,Cadastros!$N$6:$N$12)))</f>
        <v/>
      </c>
      <c r="U1060" s="168" t="str">
        <f t="shared" si="211"/>
        <v/>
      </c>
      <c r="V1060" s="168" t="str">
        <f>IFERROR(U1060/_xlfn.XLOOKUP(_xlfn.XLOOKUP($F1060,Clientes!$B$4:$B$39,Clientes!$C$4:$C$39),Cadastros!$L$6:$L$12,Cadastros!$M$6:$M$12)," ")</f>
        <v xml:space="preserve"> </v>
      </c>
      <c r="W1060" s="28"/>
      <c r="X1060" s="28"/>
      <c r="Y1060" s="255" t="str">
        <f>IF(W1060="","",(_xlfn.XLOOKUP(W1060,Cadastros!$D$6:$D$90,Cadastros!$E$6:$E$90))*(1-_xlfn.XLOOKUP(_xlfn.XLOOKUP($F1060,Clientes!$B$4:$B$39,Clientes!$C$4:$C$39),Cadastros!$L$6:$L$12,Cadastros!$N$6:$N$12)))</f>
        <v/>
      </c>
      <c r="Z1060" s="168" t="str">
        <f t="shared" si="212"/>
        <v/>
      </c>
      <c r="AA1060" s="168" t="str">
        <f>IFERROR(Z1060/_xlfn.XLOOKUP(_xlfn.XLOOKUP($F1060,Clientes!$B$4:$B$39,Clientes!$C$4:$C$39),Cadastros!$L$6:$L$12,Cadastros!$M$6:$M$12)," ")</f>
        <v xml:space="preserve"> </v>
      </c>
      <c r="AB1060" s="28"/>
      <c r="AC1060" s="28"/>
      <c r="AD1060" s="20" t="str">
        <f>IF(AB1060="","",IF($F1060="Bernardino Furlan",_xlfn.XLOOKUP(AB1060,Cadastros!$G$6:$G$90,Cadastros!$H$6:$H$90)*(1-0.18),IF($F1060="Mauro José Salanti",_xlfn.XLOOKUP(AB1060,Cadastros!$G$6:$G$90,Cadastros!$H$6:$H$90)*(1-0.18),_xlfn.XLOOKUP(AB1060,Cadastros!$G$6:$G$90,Cadastros!$H$6:$H$90))))</f>
        <v/>
      </c>
      <c r="AE1060" s="168" t="str">
        <f t="shared" si="213"/>
        <v/>
      </c>
      <c r="AF1060" s="168" t="str">
        <f t="shared" si="214"/>
        <v/>
      </c>
      <c r="AG1060" s="28"/>
      <c r="AH1060" s="28"/>
      <c r="AI1060" s="20" t="str">
        <f>IF(AG1060="","",IF($F1060="Bernardino Furlan",_xlfn.XLOOKUP(AG1060,Cadastros!$G$6:$G$90,Cadastros!$H$6:$H$90)*(1-0.18),IF($F1060="Mauro José Salanti",_xlfn.XLOOKUP(AG1060,Cadastros!$G$6:$G$90,Cadastros!$H$6:$H$90)*(1-0.18),_xlfn.XLOOKUP(AG1060,Cadastros!$G$6:$G$90,Cadastros!$H$6:$H$90))))</f>
        <v/>
      </c>
      <c r="AJ1060" s="168" t="str">
        <f t="shared" si="215"/>
        <v/>
      </c>
      <c r="AK1060" s="168" t="str">
        <f t="shared" si="216"/>
        <v/>
      </c>
      <c r="AL1060" s="28"/>
      <c r="AM1060" s="28"/>
      <c r="AN1060" s="20" t="str">
        <f>IF(AL1060="","",IF($F1060="Bernardino Furlan",_xlfn.XLOOKUP(AL1060,Cadastros!$G$6:$G$90,Cadastros!$H$6:$H$90)*(1-0.18),IF($F1060="Mauro José Salanti",_xlfn.XLOOKUP(AL1060,Cadastros!$G$6:$G$90,Cadastros!$H$6:$H$90)*(1-0.18),_xlfn.XLOOKUP(AL1060,Cadastros!$G$6:$G$90,Cadastros!$H$6:$H$90))))</f>
        <v/>
      </c>
      <c r="AO1060" s="168" t="str">
        <f t="shared" si="217"/>
        <v/>
      </c>
      <c r="AP1060" s="168" t="str">
        <f t="shared" si="218"/>
        <v/>
      </c>
      <c r="AQ1060" s="28"/>
      <c r="AR1060" s="28"/>
      <c r="AS1060" s="20" t="str">
        <f>IF(AQ1060="","",IF($F1060="Bernardino Furlan",_xlfn.XLOOKUP(AQ1060,Cadastros!$G$6:$G$90,Cadastros!$H$6:$H$90)*(1-0.18),IF($F1060="Mauro José Salanti",_xlfn.XLOOKUP(AQ1060,Cadastros!$G$6:$G$90,Cadastros!$H$6:$H$90)*(1-0.18),_xlfn.XLOOKUP(AQ1060,Cadastros!$G$6:$G$90,Cadastros!$H$6:$H$90))))</f>
        <v/>
      </c>
      <c r="AT1060" s="168" t="str">
        <f t="shared" si="219"/>
        <v/>
      </c>
      <c r="AU1060" s="168" t="str">
        <f t="shared" si="220"/>
        <v/>
      </c>
      <c r="AV1060" s="227"/>
      <c r="AW1060" s="30"/>
      <c r="AX1060" s="267"/>
      <c r="AY1060" s="267"/>
      <c r="AZ1060" s="29"/>
      <c r="BA1060" s="30"/>
      <c r="BB1060" s="23" t="str" cm="1">
        <f t="array" ref="BB1060">_xlfn.IFS(AW1060="SIM",SUM(K1060,P1060,U1060,Z1060,AE1060,AJ1060,AO1060,AT1060,AX1060,AY1060),F1060&lt;&gt;"",SUM(K1060,P1060,U1060,Z1060,AE1060,AJ1060,,AO1060,AT1060),F1060="","")</f>
        <v/>
      </c>
      <c r="BC1060" s="211" t="str" cm="1">
        <f t="array" ref="BC1060">_xlfn.IFS(E1060="","",G1060&lt;=E1060,BB1060*(1-0.03),G1060&lt;(E1060+8),BB1060,AZ1060="Boleto",BB1060*(1+0.001)^DATEDIF(E1060,G1060,"D"),AZ1060="Cheque",BB1060,AZ1060="Dinheiro","Alterar forma pgto")</f>
        <v/>
      </c>
      <c r="BD1060" s="276" t="str" cm="1">
        <f t="array" ref="BD1060">IF(F1060=0," ",IF(BC1060&lt;BB1060,(_xlfn.IFS(AW1060="SIM",SUM(L1060,Q1060,V1060,AA1060,AF1060,AK1060,AP1060,AU1060)+AX1060/_xlfn.XLOOKUP(_xlfn.XLOOKUP($F1060,Clientes!$B$4:$B$39,Clientes!$C$4:$C$39),Cadastros!$L$6:$L$12,Cadastros!$M$6:$M$12)+IF($F1060="Bernardino Furlan",AY1060/2751.92,IF($F1060="Mauro José Salanti",AY1060/2751.92,AY1060/3356)),F1060&lt;&gt;0,SUM(L1060,Q1060,V1060,AA1060,AF1060,AK1060,AP1060,AU1060)))*(1-0.03),_xlfn.IFS(AW1060="SIM",SUM(L1060,Q1060,V1060,AA1060,AF1060,AK1060,AP1060,AU1060)+AX1060/_xlfn.XLOOKUP(_xlfn.XLOOKUP($F1060,Clientes!$B$4:$B$39,Clientes!$C$4:$C$39),Cadastros!$L$6:$L$12,Cadastros!$M$6:$M$12)+IF($F1060="Bernardino Furlan",AY1060/2751.92,IF($F1060="Mauro José Salanti",AY1060/2751.92,AY1060/3356)),F1060&lt;&gt;0,SUM(L1060,Q1060,V1060,AA1060,AF1060,AK1060,AP1060,AU1060))))</f>
        <v xml:space="preserve"> </v>
      </c>
      <c r="BE1060" s="120"/>
      <c r="BF1060" s="120"/>
      <c r="BG1060" s="120"/>
    </row>
    <row r="1061" spans="1:59" s="3" customFormat="1" x14ac:dyDescent="0.3">
      <c r="A1061" s="15" t="str">
        <f t="shared" si="208"/>
        <v/>
      </c>
      <c r="B1061" s="25"/>
      <c r="C1061" s="26"/>
      <c r="D1061" s="279"/>
      <c r="E1061" s="27"/>
      <c r="F1061" s="28"/>
      <c r="G1061" s="27"/>
      <c r="H1061" s="28"/>
      <c r="I1061" s="28"/>
      <c r="J1061" s="255" t="str">
        <f>IF(H1061="","",(_xlfn.XLOOKUP(H1061,Cadastros!$D$6:$D$90,Cadastros!$E$6:$E$90))*(1-_xlfn.XLOOKUP(_xlfn.XLOOKUP($F1061,Clientes!$B$4:$B$39,Clientes!$C$4:$C$39),Cadastros!$L$6:$L$12,Cadastros!$N$6:$N$12)))</f>
        <v/>
      </c>
      <c r="K1061" s="168" t="str">
        <f t="shared" si="209"/>
        <v/>
      </c>
      <c r="L1061" s="168" t="str">
        <f>IFERROR(K1061/_xlfn.XLOOKUP(_xlfn.XLOOKUP($F1061,Clientes!$B$4:$B$39,Clientes!$C$4:$C$39),Cadastros!$L$6:$L$12,Cadastros!$M$6:$M$12)," ")</f>
        <v xml:space="preserve"> </v>
      </c>
      <c r="M1061" s="28"/>
      <c r="N1061" s="28"/>
      <c r="O1061" s="255" t="str">
        <f>IF(M1061="","",(_xlfn.XLOOKUP(M1061,Cadastros!$D$6:$D$90,Cadastros!$E$6:$E$90))*(1-_xlfn.XLOOKUP(_xlfn.XLOOKUP($F1061,Clientes!$B$4:$B$39,Clientes!$C$4:$C$39),Cadastros!$L$6:$L$12,Cadastros!$N$6:$N$12)))</f>
        <v/>
      </c>
      <c r="P1061" s="168" t="str">
        <f t="shared" si="210"/>
        <v/>
      </c>
      <c r="Q1061" s="168" t="str">
        <f>IFERROR(P1061/_xlfn.XLOOKUP(_xlfn.XLOOKUP($F1061,Clientes!$B$4:$B$39,Clientes!$C$4:$C$39),Cadastros!$L$6:$L$12,Cadastros!$M$6:$M$12)," ")</f>
        <v xml:space="preserve"> </v>
      </c>
      <c r="R1061" s="28"/>
      <c r="S1061" s="28"/>
      <c r="T1061" s="255" t="str">
        <f>IF(R1061="","",(_xlfn.XLOOKUP(R1061,Cadastros!$D$6:$D$90,Cadastros!$E$6:$E$90))*(1-_xlfn.XLOOKUP(_xlfn.XLOOKUP($F1061,Clientes!$B$4:$B$39,Clientes!$C$4:$C$39),Cadastros!$L$6:$L$12,Cadastros!$N$6:$N$12)))</f>
        <v/>
      </c>
      <c r="U1061" s="168" t="str">
        <f t="shared" si="211"/>
        <v/>
      </c>
      <c r="V1061" s="168" t="str">
        <f>IFERROR(U1061/_xlfn.XLOOKUP(_xlfn.XLOOKUP($F1061,Clientes!$B$4:$B$39,Clientes!$C$4:$C$39),Cadastros!$L$6:$L$12,Cadastros!$M$6:$M$12)," ")</f>
        <v xml:space="preserve"> </v>
      </c>
      <c r="W1061" s="28"/>
      <c r="X1061" s="28"/>
      <c r="Y1061" s="255" t="str">
        <f>IF(W1061="","",(_xlfn.XLOOKUP(W1061,Cadastros!$D$6:$D$90,Cadastros!$E$6:$E$90))*(1-_xlfn.XLOOKUP(_xlfn.XLOOKUP($F1061,Clientes!$B$4:$B$39,Clientes!$C$4:$C$39),Cadastros!$L$6:$L$12,Cadastros!$N$6:$N$12)))</f>
        <v/>
      </c>
      <c r="Z1061" s="168" t="str">
        <f t="shared" si="212"/>
        <v/>
      </c>
      <c r="AA1061" s="168" t="str">
        <f>IFERROR(Z1061/_xlfn.XLOOKUP(_xlfn.XLOOKUP($F1061,Clientes!$B$4:$B$39,Clientes!$C$4:$C$39),Cadastros!$L$6:$L$12,Cadastros!$M$6:$M$12)," ")</f>
        <v xml:space="preserve"> </v>
      </c>
      <c r="AB1061" s="28"/>
      <c r="AC1061" s="28"/>
      <c r="AD1061" s="20" t="str">
        <f>IF(AB1061="","",IF($F1061="Bernardino Furlan",_xlfn.XLOOKUP(AB1061,Cadastros!$G$6:$G$90,Cadastros!$H$6:$H$90)*(1-0.18),IF($F1061="Mauro José Salanti",_xlfn.XLOOKUP(AB1061,Cadastros!$G$6:$G$90,Cadastros!$H$6:$H$90)*(1-0.18),_xlfn.XLOOKUP(AB1061,Cadastros!$G$6:$G$90,Cadastros!$H$6:$H$90))))</f>
        <v/>
      </c>
      <c r="AE1061" s="168" t="str">
        <f t="shared" si="213"/>
        <v/>
      </c>
      <c r="AF1061" s="168" t="str">
        <f t="shared" si="214"/>
        <v/>
      </c>
      <c r="AG1061" s="28"/>
      <c r="AH1061" s="28"/>
      <c r="AI1061" s="20" t="str">
        <f>IF(AG1061="","",IF($F1061="Bernardino Furlan",_xlfn.XLOOKUP(AG1061,Cadastros!$G$6:$G$90,Cadastros!$H$6:$H$90)*(1-0.18),IF($F1061="Mauro José Salanti",_xlfn.XLOOKUP(AG1061,Cadastros!$G$6:$G$90,Cadastros!$H$6:$H$90)*(1-0.18),_xlfn.XLOOKUP(AG1061,Cadastros!$G$6:$G$90,Cadastros!$H$6:$H$90))))</f>
        <v/>
      </c>
      <c r="AJ1061" s="168" t="str">
        <f t="shared" si="215"/>
        <v/>
      </c>
      <c r="AK1061" s="168" t="str">
        <f t="shared" si="216"/>
        <v/>
      </c>
      <c r="AL1061" s="28"/>
      <c r="AM1061" s="28"/>
      <c r="AN1061" s="20" t="str">
        <f>IF(AL1061="","",IF($F1061="Bernardino Furlan",_xlfn.XLOOKUP(AL1061,Cadastros!$G$6:$G$90,Cadastros!$H$6:$H$90)*(1-0.18),IF($F1061="Mauro José Salanti",_xlfn.XLOOKUP(AL1061,Cadastros!$G$6:$G$90,Cadastros!$H$6:$H$90)*(1-0.18),_xlfn.XLOOKUP(AL1061,Cadastros!$G$6:$G$90,Cadastros!$H$6:$H$90))))</f>
        <v/>
      </c>
      <c r="AO1061" s="168" t="str">
        <f t="shared" si="217"/>
        <v/>
      </c>
      <c r="AP1061" s="168" t="str">
        <f t="shared" si="218"/>
        <v/>
      </c>
      <c r="AQ1061" s="28"/>
      <c r="AR1061" s="28"/>
      <c r="AS1061" s="20" t="str">
        <f>IF(AQ1061="","",IF($F1061="Bernardino Furlan",_xlfn.XLOOKUP(AQ1061,Cadastros!$G$6:$G$90,Cadastros!$H$6:$H$90)*(1-0.18),IF($F1061="Mauro José Salanti",_xlfn.XLOOKUP(AQ1061,Cadastros!$G$6:$G$90,Cadastros!$H$6:$H$90)*(1-0.18),_xlfn.XLOOKUP(AQ1061,Cadastros!$G$6:$G$90,Cadastros!$H$6:$H$90))))</f>
        <v/>
      </c>
      <c r="AT1061" s="168" t="str">
        <f t="shared" si="219"/>
        <v/>
      </c>
      <c r="AU1061" s="168" t="str">
        <f t="shared" si="220"/>
        <v/>
      </c>
      <c r="AV1061" s="227"/>
      <c r="AW1061" s="30"/>
      <c r="AX1061" s="267"/>
      <c r="AY1061" s="267"/>
      <c r="AZ1061" s="29"/>
      <c r="BA1061" s="30"/>
      <c r="BB1061" s="23" t="str" cm="1">
        <f t="array" ref="BB1061">_xlfn.IFS(AW1061="SIM",SUM(K1061,P1061,U1061,Z1061,AE1061,AJ1061,AO1061,AT1061,AX1061,AY1061),F1061&lt;&gt;"",SUM(K1061,P1061,U1061,Z1061,AE1061,AJ1061,,AO1061,AT1061),F1061="","")</f>
        <v/>
      </c>
      <c r="BC1061" s="211" t="str" cm="1">
        <f t="array" ref="BC1061">_xlfn.IFS(E1061="","",G1061&lt;=E1061,BB1061*(1-0.03),G1061&lt;(E1061+8),BB1061,AZ1061="Boleto",BB1061*(1+0.001)^DATEDIF(E1061,G1061,"D"),AZ1061="Cheque",BB1061,AZ1061="Dinheiro","Alterar forma pgto")</f>
        <v/>
      </c>
      <c r="BD1061" s="276" t="str" cm="1">
        <f t="array" ref="BD1061">IF(F1061=0," ",IF(BC1061&lt;BB1061,(_xlfn.IFS(AW1061="SIM",SUM(L1061,Q1061,V1061,AA1061,AF1061,AK1061,AP1061,AU1061)+AX1061/_xlfn.XLOOKUP(_xlfn.XLOOKUP($F1061,Clientes!$B$4:$B$39,Clientes!$C$4:$C$39),Cadastros!$L$6:$L$12,Cadastros!$M$6:$M$12)+IF($F1061="Bernardino Furlan",AY1061/2751.92,IF($F1061="Mauro José Salanti",AY1061/2751.92,AY1061/3356)),F1061&lt;&gt;0,SUM(L1061,Q1061,V1061,AA1061,AF1061,AK1061,AP1061,AU1061)))*(1-0.03),_xlfn.IFS(AW1061="SIM",SUM(L1061,Q1061,V1061,AA1061,AF1061,AK1061,AP1061,AU1061)+AX1061/_xlfn.XLOOKUP(_xlfn.XLOOKUP($F1061,Clientes!$B$4:$B$39,Clientes!$C$4:$C$39),Cadastros!$L$6:$L$12,Cadastros!$M$6:$M$12)+IF($F1061="Bernardino Furlan",AY1061/2751.92,IF($F1061="Mauro José Salanti",AY1061/2751.92,AY1061/3356)),F1061&lt;&gt;0,SUM(L1061,Q1061,V1061,AA1061,AF1061,AK1061,AP1061,AU1061))))</f>
        <v xml:space="preserve"> </v>
      </c>
      <c r="BE1061" s="120"/>
      <c r="BF1061" s="120"/>
      <c r="BG1061" s="120"/>
    </row>
    <row r="1062" spans="1:59" s="3" customFormat="1" x14ac:dyDescent="0.3">
      <c r="A1062" s="15" t="str">
        <f t="shared" si="208"/>
        <v/>
      </c>
      <c r="B1062" s="25"/>
      <c r="C1062" s="26"/>
      <c r="D1062" s="279"/>
      <c r="E1062" s="27"/>
      <c r="F1062" s="28"/>
      <c r="G1062" s="27"/>
      <c r="H1062" s="28"/>
      <c r="I1062" s="28"/>
      <c r="J1062" s="255" t="str">
        <f>IF(H1062="","",(_xlfn.XLOOKUP(H1062,Cadastros!$D$6:$D$90,Cadastros!$E$6:$E$90))*(1-_xlfn.XLOOKUP(_xlfn.XLOOKUP($F1062,Clientes!$B$4:$B$39,Clientes!$C$4:$C$39),Cadastros!$L$6:$L$12,Cadastros!$N$6:$N$12)))</f>
        <v/>
      </c>
      <c r="K1062" s="168" t="str">
        <f t="shared" si="209"/>
        <v/>
      </c>
      <c r="L1062" s="168" t="str">
        <f>IFERROR(K1062/_xlfn.XLOOKUP(_xlfn.XLOOKUP($F1062,Clientes!$B$4:$B$39,Clientes!$C$4:$C$39),Cadastros!$L$6:$L$12,Cadastros!$M$6:$M$12)," ")</f>
        <v xml:space="preserve"> </v>
      </c>
      <c r="M1062" s="28"/>
      <c r="N1062" s="28"/>
      <c r="O1062" s="255" t="str">
        <f>IF(M1062="","",(_xlfn.XLOOKUP(M1062,Cadastros!$D$6:$D$90,Cadastros!$E$6:$E$90))*(1-_xlfn.XLOOKUP(_xlfn.XLOOKUP($F1062,Clientes!$B$4:$B$39,Clientes!$C$4:$C$39),Cadastros!$L$6:$L$12,Cadastros!$N$6:$N$12)))</f>
        <v/>
      </c>
      <c r="P1062" s="168" t="str">
        <f t="shared" si="210"/>
        <v/>
      </c>
      <c r="Q1062" s="168" t="str">
        <f>IFERROR(P1062/_xlfn.XLOOKUP(_xlfn.XLOOKUP($F1062,Clientes!$B$4:$B$39,Clientes!$C$4:$C$39),Cadastros!$L$6:$L$12,Cadastros!$M$6:$M$12)," ")</f>
        <v xml:space="preserve"> </v>
      </c>
      <c r="R1062" s="28"/>
      <c r="S1062" s="28"/>
      <c r="T1062" s="255" t="str">
        <f>IF(R1062="","",(_xlfn.XLOOKUP(R1062,Cadastros!$D$6:$D$90,Cadastros!$E$6:$E$90))*(1-_xlfn.XLOOKUP(_xlfn.XLOOKUP($F1062,Clientes!$B$4:$B$39,Clientes!$C$4:$C$39),Cadastros!$L$6:$L$12,Cadastros!$N$6:$N$12)))</f>
        <v/>
      </c>
      <c r="U1062" s="168" t="str">
        <f t="shared" si="211"/>
        <v/>
      </c>
      <c r="V1062" s="168" t="str">
        <f>IFERROR(U1062/_xlfn.XLOOKUP(_xlfn.XLOOKUP($F1062,Clientes!$B$4:$B$39,Clientes!$C$4:$C$39),Cadastros!$L$6:$L$12,Cadastros!$M$6:$M$12)," ")</f>
        <v xml:space="preserve"> </v>
      </c>
      <c r="W1062" s="28"/>
      <c r="X1062" s="28"/>
      <c r="Y1062" s="255" t="str">
        <f>IF(W1062="","",(_xlfn.XLOOKUP(W1062,Cadastros!$D$6:$D$90,Cadastros!$E$6:$E$90))*(1-_xlfn.XLOOKUP(_xlfn.XLOOKUP($F1062,Clientes!$B$4:$B$39,Clientes!$C$4:$C$39),Cadastros!$L$6:$L$12,Cadastros!$N$6:$N$12)))</f>
        <v/>
      </c>
      <c r="Z1062" s="168" t="str">
        <f t="shared" si="212"/>
        <v/>
      </c>
      <c r="AA1062" s="168" t="str">
        <f>IFERROR(Z1062/_xlfn.XLOOKUP(_xlfn.XLOOKUP($F1062,Clientes!$B$4:$B$39,Clientes!$C$4:$C$39),Cadastros!$L$6:$L$12,Cadastros!$M$6:$M$12)," ")</f>
        <v xml:space="preserve"> </v>
      </c>
      <c r="AB1062" s="28"/>
      <c r="AC1062" s="28"/>
      <c r="AD1062" s="20" t="str">
        <f>IF(AB1062="","",IF($F1062="Bernardino Furlan",_xlfn.XLOOKUP(AB1062,Cadastros!$G$6:$G$90,Cadastros!$H$6:$H$90)*(1-0.18),IF($F1062="Mauro José Salanti",_xlfn.XLOOKUP(AB1062,Cadastros!$G$6:$G$90,Cadastros!$H$6:$H$90)*(1-0.18),_xlfn.XLOOKUP(AB1062,Cadastros!$G$6:$G$90,Cadastros!$H$6:$H$90))))</f>
        <v/>
      </c>
      <c r="AE1062" s="168" t="str">
        <f t="shared" si="213"/>
        <v/>
      </c>
      <c r="AF1062" s="168" t="str">
        <f t="shared" si="214"/>
        <v/>
      </c>
      <c r="AG1062" s="28"/>
      <c r="AH1062" s="28"/>
      <c r="AI1062" s="20" t="str">
        <f>IF(AG1062="","",IF($F1062="Bernardino Furlan",_xlfn.XLOOKUP(AG1062,Cadastros!$G$6:$G$90,Cadastros!$H$6:$H$90)*(1-0.18),IF($F1062="Mauro José Salanti",_xlfn.XLOOKUP(AG1062,Cadastros!$G$6:$G$90,Cadastros!$H$6:$H$90)*(1-0.18),_xlfn.XLOOKUP(AG1062,Cadastros!$G$6:$G$90,Cadastros!$H$6:$H$90))))</f>
        <v/>
      </c>
      <c r="AJ1062" s="168" t="str">
        <f t="shared" si="215"/>
        <v/>
      </c>
      <c r="AK1062" s="168" t="str">
        <f t="shared" si="216"/>
        <v/>
      </c>
      <c r="AL1062" s="28"/>
      <c r="AM1062" s="28"/>
      <c r="AN1062" s="20" t="str">
        <f>IF(AL1062="","",IF($F1062="Bernardino Furlan",_xlfn.XLOOKUP(AL1062,Cadastros!$G$6:$G$90,Cadastros!$H$6:$H$90)*(1-0.18),IF($F1062="Mauro José Salanti",_xlfn.XLOOKUP(AL1062,Cadastros!$G$6:$G$90,Cadastros!$H$6:$H$90)*(1-0.18),_xlfn.XLOOKUP(AL1062,Cadastros!$G$6:$G$90,Cadastros!$H$6:$H$90))))</f>
        <v/>
      </c>
      <c r="AO1062" s="168" t="str">
        <f t="shared" si="217"/>
        <v/>
      </c>
      <c r="AP1062" s="168" t="str">
        <f t="shared" si="218"/>
        <v/>
      </c>
      <c r="AQ1062" s="28"/>
      <c r="AR1062" s="28"/>
      <c r="AS1062" s="20" t="str">
        <f>IF(AQ1062="","",IF($F1062="Bernardino Furlan",_xlfn.XLOOKUP(AQ1062,Cadastros!$G$6:$G$90,Cadastros!$H$6:$H$90)*(1-0.18),IF($F1062="Mauro José Salanti",_xlfn.XLOOKUP(AQ1062,Cadastros!$G$6:$G$90,Cadastros!$H$6:$H$90)*(1-0.18),_xlfn.XLOOKUP(AQ1062,Cadastros!$G$6:$G$90,Cadastros!$H$6:$H$90))))</f>
        <v/>
      </c>
      <c r="AT1062" s="168" t="str">
        <f t="shared" si="219"/>
        <v/>
      </c>
      <c r="AU1062" s="168" t="str">
        <f t="shared" si="220"/>
        <v/>
      </c>
      <c r="AV1062" s="227"/>
      <c r="AW1062" s="30"/>
      <c r="AX1062" s="267"/>
      <c r="AY1062" s="267"/>
      <c r="AZ1062" s="29"/>
      <c r="BA1062" s="30"/>
      <c r="BB1062" s="23" t="str" cm="1">
        <f t="array" ref="BB1062">_xlfn.IFS(AW1062="SIM",SUM(K1062,P1062,U1062,Z1062,AE1062,AJ1062,AO1062,AT1062,AX1062,AY1062),F1062&lt;&gt;"",SUM(K1062,P1062,U1062,Z1062,AE1062,AJ1062,,AO1062,AT1062),F1062="","")</f>
        <v/>
      </c>
      <c r="BC1062" s="211" t="str" cm="1">
        <f t="array" ref="BC1062">_xlfn.IFS(E1062="","",G1062&lt;=E1062,BB1062*(1-0.03),G1062&lt;(E1062+8),BB1062,AZ1062="Boleto",BB1062*(1+0.001)^DATEDIF(E1062,G1062,"D"),AZ1062="Cheque",BB1062,AZ1062="Dinheiro","Alterar forma pgto")</f>
        <v/>
      </c>
      <c r="BD1062" s="276" t="str" cm="1">
        <f t="array" ref="BD1062">IF(F1062=0," ",IF(BC1062&lt;BB1062,(_xlfn.IFS(AW1062="SIM",SUM(L1062,Q1062,V1062,AA1062,AF1062,AK1062,AP1062,AU1062)+AX1062/_xlfn.XLOOKUP(_xlfn.XLOOKUP($F1062,Clientes!$B$4:$B$39,Clientes!$C$4:$C$39),Cadastros!$L$6:$L$12,Cadastros!$M$6:$M$12)+IF($F1062="Bernardino Furlan",AY1062/2751.92,IF($F1062="Mauro José Salanti",AY1062/2751.92,AY1062/3356)),F1062&lt;&gt;0,SUM(L1062,Q1062,V1062,AA1062,AF1062,AK1062,AP1062,AU1062)))*(1-0.03),_xlfn.IFS(AW1062="SIM",SUM(L1062,Q1062,V1062,AA1062,AF1062,AK1062,AP1062,AU1062)+AX1062/_xlfn.XLOOKUP(_xlfn.XLOOKUP($F1062,Clientes!$B$4:$B$39,Clientes!$C$4:$C$39),Cadastros!$L$6:$L$12,Cadastros!$M$6:$M$12)+IF($F1062="Bernardino Furlan",AY1062/2751.92,IF($F1062="Mauro José Salanti",AY1062/2751.92,AY1062/3356)),F1062&lt;&gt;0,SUM(L1062,Q1062,V1062,AA1062,AF1062,AK1062,AP1062,AU1062))))</f>
        <v xml:space="preserve"> </v>
      </c>
      <c r="BE1062" s="120"/>
      <c r="BF1062" s="120"/>
      <c r="BG1062" s="120"/>
    </row>
    <row r="1063" spans="1:59" s="3" customFormat="1" x14ac:dyDescent="0.3">
      <c r="A1063" s="15" t="str">
        <f t="shared" si="208"/>
        <v/>
      </c>
      <c r="B1063" s="25"/>
      <c r="C1063" s="26"/>
      <c r="D1063" s="279"/>
      <c r="E1063" s="27"/>
      <c r="F1063" s="28"/>
      <c r="G1063" s="27"/>
      <c r="H1063" s="28"/>
      <c r="I1063" s="28"/>
      <c r="J1063" s="255" t="str">
        <f>IF(H1063="","",(_xlfn.XLOOKUP(H1063,Cadastros!$D$6:$D$90,Cadastros!$E$6:$E$90))*(1-_xlfn.XLOOKUP(_xlfn.XLOOKUP($F1063,Clientes!$B$4:$B$39,Clientes!$C$4:$C$39),Cadastros!$L$6:$L$12,Cadastros!$N$6:$N$12)))</f>
        <v/>
      </c>
      <c r="K1063" s="168" t="str">
        <f t="shared" si="209"/>
        <v/>
      </c>
      <c r="L1063" s="168" t="str">
        <f>IFERROR(K1063/_xlfn.XLOOKUP(_xlfn.XLOOKUP($F1063,Clientes!$B$4:$B$39,Clientes!$C$4:$C$39),Cadastros!$L$6:$L$12,Cadastros!$M$6:$M$12)," ")</f>
        <v xml:space="preserve"> </v>
      </c>
      <c r="M1063" s="28"/>
      <c r="N1063" s="28"/>
      <c r="O1063" s="255" t="str">
        <f>IF(M1063="","",(_xlfn.XLOOKUP(M1063,Cadastros!$D$6:$D$90,Cadastros!$E$6:$E$90))*(1-_xlfn.XLOOKUP(_xlfn.XLOOKUP($F1063,Clientes!$B$4:$B$39,Clientes!$C$4:$C$39),Cadastros!$L$6:$L$12,Cadastros!$N$6:$N$12)))</f>
        <v/>
      </c>
      <c r="P1063" s="168" t="str">
        <f t="shared" si="210"/>
        <v/>
      </c>
      <c r="Q1063" s="168" t="str">
        <f>IFERROR(P1063/_xlfn.XLOOKUP(_xlfn.XLOOKUP($F1063,Clientes!$B$4:$B$39,Clientes!$C$4:$C$39),Cadastros!$L$6:$L$12,Cadastros!$M$6:$M$12)," ")</f>
        <v xml:space="preserve"> </v>
      </c>
      <c r="R1063" s="28"/>
      <c r="S1063" s="28"/>
      <c r="T1063" s="255" t="str">
        <f>IF(R1063="","",(_xlfn.XLOOKUP(R1063,Cadastros!$D$6:$D$90,Cadastros!$E$6:$E$90))*(1-_xlfn.XLOOKUP(_xlfn.XLOOKUP($F1063,Clientes!$B$4:$B$39,Clientes!$C$4:$C$39),Cadastros!$L$6:$L$12,Cadastros!$N$6:$N$12)))</f>
        <v/>
      </c>
      <c r="U1063" s="168" t="str">
        <f t="shared" si="211"/>
        <v/>
      </c>
      <c r="V1063" s="168" t="str">
        <f>IFERROR(U1063/_xlfn.XLOOKUP(_xlfn.XLOOKUP($F1063,Clientes!$B$4:$B$39,Clientes!$C$4:$C$39),Cadastros!$L$6:$L$12,Cadastros!$M$6:$M$12)," ")</f>
        <v xml:space="preserve"> </v>
      </c>
      <c r="W1063" s="28"/>
      <c r="X1063" s="28"/>
      <c r="Y1063" s="255" t="str">
        <f>IF(W1063="","",(_xlfn.XLOOKUP(W1063,Cadastros!$D$6:$D$90,Cadastros!$E$6:$E$90))*(1-_xlfn.XLOOKUP(_xlfn.XLOOKUP($F1063,Clientes!$B$4:$B$39,Clientes!$C$4:$C$39),Cadastros!$L$6:$L$12,Cadastros!$N$6:$N$12)))</f>
        <v/>
      </c>
      <c r="Z1063" s="168" t="str">
        <f t="shared" si="212"/>
        <v/>
      </c>
      <c r="AA1063" s="168" t="str">
        <f>IFERROR(Z1063/_xlfn.XLOOKUP(_xlfn.XLOOKUP($F1063,Clientes!$B$4:$B$39,Clientes!$C$4:$C$39),Cadastros!$L$6:$L$12,Cadastros!$M$6:$M$12)," ")</f>
        <v xml:space="preserve"> </v>
      </c>
      <c r="AB1063" s="28"/>
      <c r="AC1063" s="28"/>
      <c r="AD1063" s="20" t="str">
        <f>IF(AB1063="","",IF($F1063="Bernardino Furlan",_xlfn.XLOOKUP(AB1063,Cadastros!$G$6:$G$90,Cadastros!$H$6:$H$90)*(1-0.18),IF($F1063="Mauro José Salanti",_xlfn.XLOOKUP(AB1063,Cadastros!$G$6:$G$90,Cadastros!$H$6:$H$90)*(1-0.18),_xlfn.XLOOKUP(AB1063,Cadastros!$G$6:$G$90,Cadastros!$H$6:$H$90))))</f>
        <v/>
      </c>
      <c r="AE1063" s="168" t="str">
        <f t="shared" si="213"/>
        <v/>
      </c>
      <c r="AF1063" s="168" t="str">
        <f t="shared" si="214"/>
        <v/>
      </c>
      <c r="AG1063" s="28"/>
      <c r="AH1063" s="28"/>
      <c r="AI1063" s="20" t="str">
        <f>IF(AG1063="","",IF($F1063="Bernardino Furlan",_xlfn.XLOOKUP(AG1063,Cadastros!$G$6:$G$90,Cadastros!$H$6:$H$90)*(1-0.18),IF($F1063="Mauro José Salanti",_xlfn.XLOOKUP(AG1063,Cadastros!$G$6:$G$90,Cadastros!$H$6:$H$90)*(1-0.18),_xlfn.XLOOKUP(AG1063,Cadastros!$G$6:$G$90,Cadastros!$H$6:$H$90))))</f>
        <v/>
      </c>
      <c r="AJ1063" s="168" t="str">
        <f t="shared" si="215"/>
        <v/>
      </c>
      <c r="AK1063" s="168" t="str">
        <f t="shared" si="216"/>
        <v/>
      </c>
      <c r="AL1063" s="28"/>
      <c r="AM1063" s="28"/>
      <c r="AN1063" s="20" t="str">
        <f>IF(AL1063="","",IF($F1063="Bernardino Furlan",_xlfn.XLOOKUP(AL1063,Cadastros!$G$6:$G$90,Cadastros!$H$6:$H$90)*(1-0.18),IF($F1063="Mauro José Salanti",_xlfn.XLOOKUP(AL1063,Cadastros!$G$6:$G$90,Cadastros!$H$6:$H$90)*(1-0.18),_xlfn.XLOOKUP(AL1063,Cadastros!$G$6:$G$90,Cadastros!$H$6:$H$90))))</f>
        <v/>
      </c>
      <c r="AO1063" s="168" t="str">
        <f t="shared" si="217"/>
        <v/>
      </c>
      <c r="AP1063" s="168" t="str">
        <f t="shared" si="218"/>
        <v/>
      </c>
      <c r="AQ1063" s="28"/>
      <c r="AR1063" s="28"/>
      <c r="AS1063" s="20" t="str">
        <f>IF(AQ1063="","",IF($F1063="Bernardino Furlan",_xlfn.XLOOKUP(AQ1063,Cadastros!$G$6:$G$90,Cadastros!$H$6:$H$90)*(1-0.18),IF($F1063="Mauro José Salanti",_xlfn.XLOOKUP(AQ1063,Cadastros!$G$6:$G$90,Cadastros!$H$6:$H$90)*(1-0.18),_xlfn.XLOOKUP(AQ1063,Cadastros!$G$6:$G$90,Cadastros!$H$6:$H$90))))</f>
        <v/>
      </c>
      <c r="AT1063" s="168" t="str">
        <f t="shared" si="219"/>
        <v/>
      </c>
      <c r="AU1063" s="168" t="str">
        <f t="shared" si="220"/>
        <v/>
      </c>
      <c r="AV1063" s="227"/>
      <c r="AW1063" s="30"/>
      <c r="AX1063" s="267"/>
      <c r="AY1063" s="267"/>
      <c r="AZ1063" s="29"/>
      <c r="BA1063" s="30"/>
      <c r="BB1063" s="23" t="str" cm="1">
        <f t="array" ref="BB1063">_xlfn.IFS(AW1063="SIM",SUM(K1063,P1063,U1063,Z1063,AE1063,AJ1063,AO1063,AT1063,AX1063,AY1063),F1063&lt;&gt;"",SUM(K1063,P1063,U1063,Z1063,AE1063,AJ1063,,AO1063,AT1063),F1063="","")</f>
        <v/>
      </c>
      <c r="BC1063" s="211" t="str" cm="1">
        <f t="array" ref="BC1063">_xlfn.IFS(E1063="","",G1063&lt;=E1063,BB1063*(1-0.03),G1063&lt;(E1063+8),BB1063,AZ1063="Boleto",BB1063*(1+0.001)^DATEDIF(E1063,G1063,"D"),AZ1063="Cheque",BB1063,AZ1063="Dinheiro","Alterar forma pgto")</f>
        <v/>
      </c>
      <c r="BD1063" s="276" t="str" cm="1">
        <f t="array" ref="BD1063">IF(F1063=0," ",IF(BC1063&lt;BB1063,(_xlfn.IFS(AW1063="SIM",SUM(L1063,Q1063,V1063,AA1063,AF1063,AK1063,AP1063,AU1063)+AX1063/_xlfn.XLOOKUP(_xlfn.XLOOKUP($F1063,Clientes!$B$4:$B$39,Clientes!$C$4:$C$39),Cadastros!$L$6:$L$12,Cadastros!$M$6:$M$12)+IF($F1063="Bernardino Furlan",AY1063/2751.92,IF($F1063="Mauro José Salanti",AY1063/2751.92,AY1063/3356)),F1063&lt;&gt;0,SUM(L1063,Q1063,V1063,AA1063,AF1063,AK1063,AP1063,AU1063)))*(1-0.03),_xlfn.IFS(AW1063="SIM",SUM(L1063,Q1063,V1063,AA1063,AF1063,AK1063,AP1063,AU1063)+AX1063/_xlfn.XLOOKUP(_xlfn.XLOOKUP($F1063,Clientes!$B$4:$B$39,Clientes!$C$4:$C$39),Cadastros!$L$6:$L$12,Cadastros!$M$6:$M$12)+IF($F1063="Bernardino Furlan",AY1063/2751.92,IF($F1063="Mauro José Salanti",AY1063/2751.92,AY1063/3356)),F1063&lt;&gt;0,SUM(L1063,Q1063,V1063,AA1063,AF1063,AK1063,AP1063,AU1063))))</f>
        <v xml:space="preserve"> </v>
      </c>
      <c r="BE1063" s="120"/>
      <c r="BF1063" s="120"/>
      <c r="BG1063" s="120"/>
    </row>
    <row r="1064" spans="1:59" s="3" customFormat="1" x14ac:dyDescent="0.3">
      <c r="A1064" s="15" t="str">
        <f t="shared" si="208"/>
        <v/>
      </c>
      <c r="B1064" s="25"/>
      <c r="C1064" s="26"/>
      <c r="D1064" s="279"/>
      <c r="E1064" s="27"/>
      <c r="F1064" s="28"/>
      <c r="G1064" s="27"/>
      <c r="H1064" s="28"/>
      <c r="I1064" s="28"/>
      <c r="J1064" s="255" t="str">
        <f>IF(H1064="","",(_xlfn.XLOOKUP(H1064,Cadastros!$D$6:$D$90,Cadastros!$E$6:$E$90))*(1-_xlfn.XLOOKUP(_xlfn.XLOOKUP($F1064,Clientes!$B$4:$B$39,Clientes!$C$4:$C$39),Cadastros!$L$6:$L$12,Cadastros!$N$6:$N$12)))</f>
        <v/>
      </c>
      <c r="K1064" s="168" t="str">
        <f t="shared" si="209"/>
        <v/>
      </c>
      <c r="L1064" s="168" t="str">
        <f>IFERROR(K1064/_xlfn.XLOOKUP(_xlfn.XLOOKUP($F1064,Clientes!$B$4:$B$39,Clientes!$C$4:$C$39),Cadastros!$L$6:$L$12,Cadastros!$M$6:$M$12)," ")</f>
        <v xml:space="preserve"> </v>
      </c>
      <c r="M1064" s="28"/>
      <c r="N1064" s="28"/>
      <c r="O1064" s="255" t="str">
        <f>IF(M1064="","",(_xlfn.XLOOKUP(M1064,Cadastros!$D$6:$D$90,Cadastros!$E$6:$E$90))*(1-_xlfn.XLOOKUP(_xlfn.XLOOKUP($F1064,Clientes!$B$4:$B$39,Clientes!$C$4:$C$39),Cadastros!$L$6:$L$12,Cadastros!$N$6:$N$12)))</f>
        <v/>
      </c>
      <c r="P1064" s="168" t="str">
        <f t="shared" si="210"/>
        <v/>
      </c>
      <c r="Q1064" s="168" t="str">
        <f>IFERROR(P1064/_xlfn.XLOOKUP(_xlfn.XLOOKUP($F1064,Clientes!$B$4:$B$39,Clientes!$C$4:$C$39),Cadastros!$L$6:$L$12,Cadastros!$M$6:$M$12)," ")</f>
        <v xml:space="preserve"> </v>
      </c>
      <c r="R1064" s="28"/>
      <c r="S1064" s="28"/>
      <c r="T1064" s="255" t="str">
        <f>IF(R1064="","",(_xlfn.XLOOKUP(R1064,Cadastros!$D$6:$D$90,Cadastros!$E$6:$E$90))*(1-_xlfn.XLOOKUP(_xlfn.XLOOKUP($F1064,Clientes!$B$4:$B$39,Clientes!$C$4:$C$39),Cadastros!$L$6:$L$12,Cadastros!$N$6:$N$12)))</f>
        <v/>
      </c>
      <c r="U1064" s="168" t="str">
        <f t="shared" si="211"/>
        <v/>
      </c>
      <c r="V1064" s="168" t="str">
        <f>IFERROR(U1064/_xlfn.XLOOKUP(_xlfn.XLOOKUP($F1064,Clientes!$B$4:$B$39,Clientes!$C$4:$C$39),Cadastros!$L$6:$L$12,Cadastros!$M$6:$M$12)," ")</f>
        <v xml:space="preserve"> </v>
      </c>
      <c r="W1064" s="28"/>
      <c r="X1064" s="28"/>
      <c r="Y1064" s="255" t="str">
        <f>IF(W1064="","",(_xlfn.XLOOKUP(W1064,Cadastros!$D$6:$D$90,Cadastros!$E$6:$E$90))*(1-_xlfn.XLOOKUP(_xlfn.XLOOKUP($F1064,Clientes!$B$4:$B$39,Clientes!$C$4:$C$39),Cadastros!$L$6:$L$12,Cadastros!$N$6:$N$12)))</f>
        <v/>
      </c>
      <c r="Z1064" s="168" t="str">
        <f t="shared" si="212"/>
        <v/>
      </c>
      <c r="AA1064" s="168" t="str">
        <f>IFERROR(Z1064/_xlfn.XLOOKUP(_xlfn.XLOOKUP($F1064,Clientes!$B$4:$B$39,Clientes!$C$4:$C$39),Cadastros!$L$6:$L$12,Cadastros!$M$6:$M$12)," ")</f>
        <v xml:space="preserve"> </v>
      </c>
      <c r="AB1064" s="28"/>
      <c r="AC1064" s="28"/>
      <c r="AD1064" s="20" t="str">
        <f>IF(AB1064="","",IF($F1064="Bernardino Furlan",_xlfn.XLOOKUP(AB1064,Cadastros!$G$6:$G$90,Cadastros!$H$6:$H$90)*(1-0.18),IF($F1064="Mauro José Salanti",_xlfn.XLOOKUP(AB1064,Cadastros!$G$6:$G$90,Cadastros!$H$6:$H$90)*(1-0.18),_xlfn.XLOOKUP(AB1064,Cadastros!$G$6:$G$90,Cadastros!$H$6:$H$90))))</f>
        <v/>
      </c>
      <c r="AE1064" s="168" t="str">
        <f t="shared" si="213"/>
        <v/>
      </c>
      <c r="AF1064" s="168" t="str">
        <f t="shared" si="214"/>
        <v/>
      </c>
      <c r="AG1064" s="28"/>
      <c r="AH1064" s="28"/>
      <c r="AI1064" s="20" t="str">
        <f>IF(AG1064="","",IF($F1064="Bernardino Furlan",_xlfn.XLOOKUP(AG1064,Cadastros!$G$6:$G$90,Cadastros!$H$6:$H$90)*(1-0.18),IF($F1064="Mauro José Salanti",_xlfn.XLOOKUP(AG1064,Cadastros!$G$6:$G$90,Cadastros!$H$6:$H$90)*(1-0.18),_xlfn.XLOOKUP(AG1064,Cadastros!$G$6:$G$90,Cadastros!$H$6:$H$90))))</f>
        <v/>
      </c>
      <c r="AJ1064" s="168" t="str">
        <f t="shared" si="215"/>
        <v/>
      </c>
      <c r="AK1064" s="168" t="str">
        <f t="shared" si="216"/>
        <v/>
      </c>
      <c r="AL1064" s="28"/>
      <c r="AM1064" s="28"/>
      <c r="AN1064" s="20" t="str">
        <f>IF(AL1064="","",IF($F1064="Bernardino Furlan",_xlfn.XLOOKUP(AL1064,Cadastros!$G$6:$G$90,Cadastros!$H$6:$H$90)*(1-0.18),IF($F1064="Mauro José Salanti",_xlfn.XLOOKUP(AL1064,Cadastros!$G$6:$G$90,Cadastros!$H$6:$H$90)*(1-0.18),_xlfn.XLOOKUP(AL1064,Cadastros!$G$6:$G$90,Cadastros!$H$6:$H$90))))</f>
        <v/>
      </c>
      <c r="AO1064" s="168" t="str">
        <f t="shared" si="217"/>
        <v/>
      </c>
      <c r="AP1064" s="168" t="str">
        <f t="shared" si="218"/>
        <v/>
      </c>
      <c r="AQ1064" s="28"/>
      <c r="AR1064" s="28"/>
      <c r="AS1064" s="20" t="str">
        <f>IF(AQ1064="","",IF($F1064="Bernardino Furlan",_xlfn.XLOOKUP(AQ1064,Cadastros!$G$6:$G$90,Cadastros!$H$6:$H$90)*(1-0.18),IF($F1064="Mauro José Salanti",_xlfn.XLOOKUP(AQ1064,Cadastros!$G$6:$G$90,Cadastros!$H$6:$H$90)*(1-0.18),_xlfn.XLOOKUP(AQ1064,Cadastros!$G$6:$G$90,Cadastros!$H$6:$H$90))))</f>
        <v/>
      </c>
      <c r="AT1064" s="168" t="str">
        <f t="shared" si="219"/>
        <v/>
      </c>
      <c r="AU1064" s="168" t="str">
        <f t="shared" si="220"/>
        <v/>
      </c>
      <c r="AV1064" s="227"/>
      <c r="AW1064" s="30"/>
      <c r="AX1064" s="267"/>
      <c r="AY1064" s="267"/>
      <c r="AZ1064" s="29"/>
      <c r="BA1064" s="30"/>
      <c r="BB1064" s="23" t="str" cm="1">
        <f t="array" ref="BB1064">_xlfn.IFS(AW1064="SIM",SUM(K1064,P1064,U1064,Z1064,AE1064,AJ1064,AO1064,AT1064,AX1064,AY1064),F1064&lt;&gt;"",SUM(K1064,P1064,U1064,Z1064,AE1064,AJ1064,,AO1064,AT1064),F1064="","")</f>
        <v/>
      </c>
      <c r="BC1064" s="211" t="str" cm="1">
        <f t="array" ref="BC1064">_xlfn.IFS(E1064="","",G1064&lt;=E1064,BB1064*(1-0.03),G1064&lt;(E1064+8),BB1064,AZ1064="Boleto",BB1064*(1+0.001)^DATEDIF(E1064,G1064,"D"),AZ1064="Cheque",BB1064,AZ1064="Dinheiro","Alterar forma pgto")</f>
        <v/>
      </c>
      <c r="BD1064" s="276" t="str" cm="1">
        <f t="array" ref="BD1064">IF(F1064=0," ",IF(BC1064&lt;BB1064,(_xlfn.IFS(AW1064="SIM",SUM(L1064,Q1064,V1064,AA1064,AF1064,AK1064,AP1064,AU1064)+AX1064/_xlfn.XLOOKUP(_xlfn.XLOOKUP($F1064,Clientes!$B$4:$B$39,Clientes!$C$4:$C$39),Cadastros!$L$6:$L$12,Cadastros!$M$6:$M$12)+IF($F1064="Bernardino Furlan",AY1064/2751.92,IF($F1064="Mauro José Salanti",AY1064/2751.92,AY1064/3356)),F1064&lt;&gt;0,SUM(L1064,Q1064,V1064,AA1064,AF1064,AK1064,AP1064,AU1064)))*(1-0.03),_xlfn.IFS(AW1064="SIM",SUM(L1064,Q1064,V1064,AA1064,AF1064,AK1064,AP1064,AU1064)+AX1064/_xlfn.XLOOKUP(_xlfn.XLOOKUP($F1064,Clientes!$B$4:$B$39,Clientes!$C$4:$C$39),Cadastros!$L$6:$L$12,Cadastros!$M$6:$M$12)+IF($F1064="Bernardino Furlan",AY1064/2751.92,IF($F1064="Mauro José Salanti",AY1064/2751.92,AY1064/3356)),F1064&lt;&gt;0,SUM(L1064,Q1064,V1064,AA1064,AF1064,AK1064,AP1064,AU1064))))</f>
        <v xml:space="preserve"> </v>
      </c>
      <c r="BE1064" s="120"/>
      <c r="BF1064" s="120"/>
      <c r="BG1064" s="120"/>
    </row>
    <row r="1065" spans="1:59" s="3" customFormat="1" x14ac:dyDescent="0.3">
      <c r="A1065" s="15" t="str">
        <f t="shared" si="208"/>
        <v/>
      </c>
      <c r="B1065" s="25"/>
      <c r="C1065" s="26"/>
      <c r="D1065" s="279"/>
      <c r="E1065" s="27"/>
      <c r="F1065" s="28"/>
      <c r="G1065" s="27"/>
      <c r="H1065" s="28"/>
      <c r="I1065" s="28"/>
      <c r="J1065" s="255" t="str">
        <f>IF(H1065="","",(_xlfn.XLOOKUP(H1065,Cadastros!$D$6:$D$90,Cadastros!$E$6:$E$90))*(1-_xlfn.XLOOKUP(_xlfn.XLOOKUP($F1065,Clientes!$B$4:$B$39,Clientes!$C$4:$C$39),Cadastros!$L$6:$L$12,Cadastros!$N$6:$N$12)))</f>
        <v/>
      </c>
      <c r="K1065" s="168" t="str">
        <f t="shared" si="209"/>
        <v/>
      </c>
      <c r="L1065" s="168" t="str">
        <f>IFERROR(K1065/_xlfn.XLOOKUP(_xlfn.XLOOKUP($F1065,Clientes!$B$4:$B$39,Clientes!$C$4:$C$39),Cadastros!$L$6:$L$12,Cadastros!$M$6:$M$12)," ")</f>
        <v xml:space="preserve"> </v>
      </c>
      <c r="M1065" s="28"/>
      <c r="N1065" s="28"/>
      <c r="O1065" s="255" t="str">
        <f>IF(M1065="","",(_xlfn.XLOOKUP(M1065,Cadastros!$D$6:$D$90,Cadastros!$E$6:$E$90))*(1-_xlfn.XLOOKUP(_xlfn.XLOOKUP($F1065,Clientes!$B$4:$B$39,Clientes!$C$4:$C$39),Cadastros!$L$6:$L$12,Cadastros!$N$6:$N$12)))</f>
        <v/>
      </c>
      <c r="P1065" s="168" t="str">
        <f t="shared" si="210"/>
        <v/>
      </c>
      <c r="Q1065" s="168" t="str">
        <f>IFERROR(P1065/_xlfn.XLOOKUP(_xlfn.XLOOKUP($F1065,Clientes!$B$4:$B$39,Clientes!$C$4:$C$39),Cadastros!$L$6:$L$12,Cadastros!$M$6:$M$12)," ")</f>
        <v xml:space="preserve"> </v>
      </c>
      <c r="R1065" s="28"/>
      <c r="S1065" s="28"/>
      <c r="T1065" s="255" t="str">
        <f>IF(R1065="","",(_xlfn.XLOOKUP(R1065,Cadastros!$D$6:$D$90,Cadastros!$E$6:$E$90))*(1-_xlfn.XLOOKUP(_xlfn.XLOOKUP($F1065,Clientes!$B$4:$B$39,Clientes!$C$4:$C$39),Cadastros!$L$6:$L$12,Cadastros!$N$6:$N$12)))</f>
        <v/>
      </c>
      <c r="U1065" s="168" t="str">
        <f t="shared" si="211"/>
        <v/>
      </c>
      <c r="V1065" s="168" t="str">
        <f>IFERROR(U1065/_xlfn.XLOOKUP(_xlfn.XLOOKUP($F1065,Clientes!$B$4:$B$39,Clientes!$C$4:$C$39),Cadastros!$L$6:$L$12,Cadastros!$M$6:$M$12)," ")</f>
        <v xml:space="preserve"> </v>
      </c>
      <c r="W1065" s="28"/>
      <c r="X1065" s="28"/>
      <c r="Y1065" s="255" t="str">
        <f>IF(W1065="","",(_xlfn.XLOOKUP(W1065,Cadastros!$D$6:$D$90,Cadastros!$E$6:$E$90))*(1-_xlfn.XLOOKUP(_xlfn.XLOOKUP($F1065,Clientes!$B$4:$B$39,Clientes!$C$4:$C$39),Cadastros!$L$6:$L$12,Cadastros!$N$6:$N$12)))</f>
        <v/>
      </c>
      <c r="Z1065" s="168" t="str">
        <f t="shared" si="212"/>
        <v/>
      </c>
      <c r="AA1065" s="168" t="str">
        <f>IFERROR(Z1065/_xlfn.XLOOKUP(_xlfn.XLOOKUP($F1065,Clientes!$B$4:$B$39,Clientes!$C$4:$C$39),Cadastros!$L$6:$L$12,Cadastros!$M$6:$M$12)," ")</f>
        <v xml:space="preserve"> </v>
      </c>
      <c r="AB1065" s="28"/>
      <c r="AC1065" s="28"/>
      <c r="AD1065" s="20" t="str">
        <f>IF(AB1065="","",IF($F1065="Bernardino Furlan",_xlfn.XLOOKUP(AB1065,Cadastros!$G$6:$G$90,Cadastros!$H$6:$H$90)*(1-0.18),IF($F1065="Mauro José Salanti",_xlfn.XLOOKUP(AB1065,Cadastros!$G$6:$G$90,Cadastros!$H$6:$H$90)*(1-0.18),_xlfn.XLOOKUP(AB1065,Cadastros!$G$6:$G$90,Cadastros!$H$6:$H$90))))</f>
        <v/>
      </c>
      <c r="AE1065" s="168" t="str">
        <f t="shared" si="213"/>
        <v/>
      </c>
      <c r="AF1065" s="168" t="str">
        <f t="shared" si="214"/>
        <v/>
      </c>
      <c r="AG1065" s="28"/>
      <c r="AH1065" s="28"/>
      <c r="AI1065" s="20" t="str">
        <f>IF(AG1065="","",IF($F1065="Bernardino Furlan",_xlfn.XLOOKUP(AG1065,Cadastros!$G$6:$G$90,Cadastros!$H$6:$H$90)*(1-0.18),IF($F1065="Mauro José Salanti",_xlfn.XLOOKUP(AG1065,Cadastros!$G$6:$G$90,Cadastros!$H$6:$H$90)*(1-0.18),_xlfn.XLOOKUP(AG1065,Cadastros!$G$6:$G$90,Cadastros!$H$6:$H$90))))</f>
        <v/>
      </c>
      <c r="AJ1065" s="168" t="str">
        <f t="shared" si="215"/>
        <v/>
      </c>
      <c r="AK1065" s="168" t="str">
        <f t="shared" si="216"/>
        <v/>
      </c>
      <c r="AL1065" s="28"/>
      <c r="AM1065" s="28"/>
      <c r="AN1065" s="20" t="str">
        <f>IF(AL1065="","",IF($F1065="Bernardino Furlan",_xlfn.XLOOKUP(AL1065,Cadastros!$G$6:$G$90,Cadastros!$H$6:$H$90)*(1-0.18),IF($F1065="Mauro José Salanti",_xlfn.XLOOKUP(AL1065,Cadastros!$G$6:$G$90,Cadastros!$H$6:$H$90)*(1-0.18),_xlfn.XLOOKUP(AL1065,Cadastros!$G$6:$G$90,Cadastros!$H$6:$H$90))))</f>
        <v/>
      </c>
      <c r="AO1065" s="168" t="str">
        <f t="shared" si="217"/>
        <v/>
      </c>
      <c r="AP1065" s="168" t="str">
        <f t="shared" si="218"/>
        <v/>
      </c>
      <c r="AQ1065" s="28"/>
      <c r="AR1065" s="28"/>
      <c r="AS1065" s="20" t="str">
        <f>IF(AQ1065="","",IF($F1065="Bernardino Furlan",_xlfn.XLOOKUP(AQ1065,Cadastros!$G$6:$G$90,Cadastros!$H$6:$H$90)*(1-0.18),IF($F1065="Mauro José Salanti",_xlfn.XLOOKUP(AQ1065,Cadastros!$G$6:$G$90,Cadastros!$H$6:$H$90)*(1-0.18),_xlfn.XLOOKUP(AQ1065,Cadastros!$G$6:$G$90,Cadastros!$H$6:$H$90))))</f>
        <v/>
      </c>
      <c r="AT1065" s="168" t="str">
        <f t="shared" si="219"/>
        <v/>
      </c>
      <c r="AU1065" s="168" t="str">
        <f t="shared" si="220"/>
        <v/>
      </c>
      <c r="AV1065" s="227"/>
      <c r="AW1065" s="30"/>
      <c r="AX1065" s="267"/>
      <c r="AY1065" s="267"/>
      <c r="AZ1065" s="29"/>
      <c r="BA1065" s="30"/>
      <c r="BB1065" s="23" t="str" cm="1">
        <f t="array" ref="BB1065">_xlfn.IFS(AW1065="SIM",SUM(K1065,P1065,U1065,Z1065,AE1065,AJ1065,AO1065,AT1065,AX1065,AY1065),F1065&lt;&gt;"",SUM(K1065,P1065,U1065,Z1065,AE1065,AJ1065,,AO1065,AT1065),F1065="","")</f>
        <v/>
      </c>
      <c r="BC1065" s="211" t="str" cm="1">
        <f t="array" ref="BC1065">_xlfn.IFS(E1065="","",G1065&lt;=E1065,BB1065*(1-0.03),G1065&lt;(E1065+8),BB1065,AZ1065="Boleto",BB1065*(1+0.001)^DATEDIF(E1065,G1065,"D"),AZ1065="Cheque",BB1065,AZ1065="Dinheiro","Alterar forma pgto")</f>
        <v/>
      </c>
      <c r="BD1065" s="276" t="str" cm="1">
        <f t="array" ref="BD1065">IF(F1065=0," ",IF(BC1065&lt;BB1065,(_xlfn.IFS(AW1065="SIM",SUM(L1065,Q1065,V1065,AA1065,AF1065,AK1065,AP1065,AU1065)+AX1065/_xlfn.XLOOKUP(_xlfn.XLOOKUP($F1065,Clientes!$B$4:$B$39,Clientes!$C$4:$C$39),Cadastros!$L$6:$L$12,Cadastros!$M$6:$M$12)+IF($F1065="Bernardino Furlan",AY1065/2751.92,IF($F1065="Mauro José Salanti",AY1065/2751.92,AY1065/3356)),F1065&lt;&gt;0,SUM(L1065,Q1065,V1065,AA1065,AF1065,AK1065,AP1065,AU1065)))*(1-0.03),_xlfn.IFS(AW1065="SIM",SUM(L1065,Q1065,V1065,AA1065,AF1065,AK1065,AP1065,AU1065)+AX1065/_xlfn.XLOOKUP(_xlfn.XLOOKUP($F1065,Clientes!$B$4:$B$39,Clientes!$C$4:$C$39),Cadastros!$L$6:$L$12,Cadastros!$M$6:$M$12)+IF($F1065="Bernardino Furlan",AY1065/2751.92,IF($F1065="Mauro José Salanti",AY1065/2751.92,AY1065/3356)),F1065&lt;&gt;0,SUM(L1065,Q1065,V1065,AA1065,AF1065,AK1065,AP1065,AU1065))))</f>
        <v xml:space="preserve"> </v>
      </c>
      <c r="BE1065" s="120"/>
      <c r="BF1065" s="120"/>
      <c r="BG1065" s="120"/>
    </row>
    <row r="1066" spans="1:59" s="3" customFormat="1" x14ac:dyDescent="0.3">
      <c r="A1066" s="15" t="str">
        <f t="shared" si="208"/>
        <v/>
      </c>
      <c r="B1066" s="25"/>
      <c r="C1066" s="26"/>
      <c r="D1066" s="279"/>
      <c r="E1066" s="27"/>
      <c r="F1066" s="28"/>
      <c r="G1066" s="27"/>
      <c r="H1066" s="28"/>
      <c r="I1066" s="28"/>
      <c r="J1066" s="255" t="str">
        <f>IF(H1066="","",(_xlfn.XLOOKUP(H1066,Cadastros!$D$6:$D$90,Cadastros!$E$6:$E$90))*(1-_xlfn.XLOOKUP(_xlfn.XLOOKUP($F1066,Clientes!$B$4:$B$39,Clientes!$C$4:$C$39),Cadastros!$L$6:$L$12,Cadastros!$N$6:$N$12)))</f>
        <v/>
      </c>
      <c r="K1066" s="168" t="str">
        <f t="shared" si="209"/>
        <v/>
      </c>
      <c r="L1066" s="168" t="str">
        <f>IFERROR(K1066/_xlfn.XLOOKUP(_xlfn.XLOOKUP($F1066,Clientes!$B$4:$B$39,Clientes!$C$4:$C$39),Cadastros!$L$6:$L$12,Cadastros!$M$6:$M$12)," ")</f>
        <v xml:space="preserve"> </v>
      </c>
      <c r="M1066" s="28"/>
      <c r="N1066" s="28"/>
      <c r="O1066" s="255" t="str">
        <f>IF(M1066="","",(_xlfn.XLOOKUP(M1066,Cadastros!$D$6:$D$90,Cadastros!$E$6:$E$90))*(1-_xlfn.XLOOKUP(_xlfn.XLOOKUP($F1066,Clientes!$B$4:$B$39,Clientes!$C$4:$C$39),Cadastros!$L$6:$L$12,Cadastros!$N$6:$N$12)))</f>
        <v/>
      </c>
      <c r="P1066" s="168" t="str">
        <f t="shared" si="210"/>
        <v/>
      </c>
      <c r="Q1066" s="168" t="str">
        <f>IFERROR(P1066/_xlfn.XLOOKUP(_xlfn.XLOOKUP($F1066,Clientes!$B$4:$B$39,Clientes!$C$4:$C$39),Cadastros!$L$6:$L$12,Cadastros!$M$6:$M$12)," ")</f>
        <v xml:space="preserve"> </v>
      </c>
      <c r="R1066" s="28"/>
      <c r="S1066" s="28"/>
      <c r="T1066" s="255" t="str">
        <f>IF(R1066="","",(_xlfn.XLOOKUP(R1066,Cadastros!$D$6:$D$90,Cadastros!$E$6:$E$90))*(1-_xlfn.XLOOKUP(_xlfn.XLOOKUP($F1066,Clientes!$B$4:$B$39,Clientes!$C$4:$C$39),Cadastros!$L$6:$L$12,Cadastros!$N$6:$N$12)))</f>
        <v/>
      </c>
      <c r="U1066" s="168" t="str">
        <f t="shared" si="211"/>
        <v/>
      </c>
      <c r="V1066" s="168" t="str">
        <f>IFERROR(U1066/_xlfn.XLOOKUP(_xlfn.XLOOKUP($F1066,Clientes!$B$4:$B$39,Clientes!$C$4:$C$39),Cadastros!$L$6:$L$12,Cadastros!$M$6:$M$12)," ")</f>
        <v xml:space="preserve"> </v>
      </c>
      <c r="W1066" s="28"/>
      <c r="X1066" s="28"/>
      <c r="Y1066" s="255" t="str">
        <f>IF(W1066="","",(_xlfn.XLOOKUP(W1066,Cadastros!$D$6:$D$90,Cadastros!$E$6:$E$90))*(1-_xlfn.XLOOKUP(_xlfn.XLOOKUP($F1066,Clientes!$B$4:$B$39,Clientes!$C$4:$C$39),Cadastros!$L$6:$L$12,Cadastros!$N$6:$N$12)))</f>
        <v/>
      </c>
      <c r="Z1066" s="168" t="str">
        <f t="shared" si="212"/>
        <v/>
      </c>
      <c r="AA1066" s="168" t="str">
        <f>IFERROR(Z1066/_xlfn.XLOOKUP(_xlfn.XLOOKUP($F1066,Clientes!$B$4:$B$39,Clientes!$C$4:$C$39),Cadastros!$L$6:$L$12,Cadastros!$M$6:$M$12)," ")</f>
        <v xml:space="preserve"> </v>
      </c>
      <c r="AB1066" s="28"/>
      <c r="AC1066" s="28"/>
      <c r="AD1066" s="20" t="str">
        <f>IF(AB1066="","",IF($F1066="Bernardino Furlan",_xlfn.XLOOKUP(AB1066,Cadastros!$G$6:$G$90,Cadastros!$H$6:$H$90)*(1-0.18),IF($F1066="Mauro José Salanti",_xlfn.XLOOKUP(AB1066,Cadastros!$G$6:$G$90,Cadastros!$H$6:$H$90)*(1-0.18),_xlfn.XLOOKUP(AB1066,Cadastros!$G$6:$G$90,Cadastros!$H$6:$H$90))))</f>
        <v/>
      </c>
      <c r="AE1066" s="168" t="str">
        <f t="shared" si="213"/>
        <v/>
      </c>
      <c r="AF1066" s="168" t="str">
        <f t="shared" si="214"/>
        <v/>
      </c>
      <c r="AG1066" s="28"/>
      <c r="AH1066" s="28"/>
      <c r="AI1066" s="20" t="str">
        <f>IF(AG1066="","",IF($F1066="Bernardino Furlan",_xlfn.XLOOKUP(AG1066,Cadastros!$G$6:$G$90,Cadastros!$H$6:$H$90)*(1-0.18),IF($F1066="Mauro José Salanti",_xlfn.XLOOKUP(AG1066,Cadastros!$G$6:$G$90,Cadastros!$H$6:$H$90)*(1-0.18),_xlfn.XLOOKUP(AG1066,Cadastros!$G$6:$G$90,Cadastros!$H$6:$H$90))))</f>
        <v/>
      </c>
      <c r="AJ1066" s="168" t="str">
        <f t="shared" si="215"/>
        <v/>
      </c>
      <c r="AK1066" s="168" t="str">
        <f t="shared" si="216"/>
        <v/>
      </c>
      <c r="AL1066" s="28"/>
      <c r="AM1066" s="28"/>
      <c r="AN1066" s="20" t="str">
        <f>IF(AL1066="","",IF($F1066="Bernardino Furlan",_xlfn.XLOOKUP(AL1066,Cadastros!$G$6:$G$90,Cadastros!$H$6:$H$90)*(1-0.18),IF($F1066="Mauro José Salanti",_xlfn.XLOOKUP(AL1066,Cadastros!$G$6:$G$90,Cadastros!$H$6:$H$90)*(1-0.18),_xlfn.XLOOKUP(AL1066,Cadastros!$G$6:$G$90,Cadastros!$H$6:$H$90))))</f>
        <v/>
      </c>
      <c r="AO1066" s="168" t="str">
        <f t="shared" si="217"/>
        <v/>
      </c>
      <c r="AP1066" s="168" t="str">
        <f t="shared" si="218"/>
        <v/>
      </c>
      <c r="AQ1066" s="28"/>
      <c r="AR1066" s="28"/>
      <c r="AS1066" s="20" t="str">
        <f>IF(AQ1066="","",IF($F1066="Bernardino Furlan",_xlfn.XLOOKUP(AQ1066,Cadastros!$G$6:$G$90,Cadastros!$H$6:$H$90)*(1-0.18),IF($F1066="Mauro José Salanti",_xlfn.XLOOKUP(AQ1066,Cadastros!$G$6:$G$90,Cadastros!$H$6:$H$90)*(1-0.18),_xlfn.XLOOKUP(AQ1066,Cadastros!$G$6:$G$90,Cadastros!$H$6:$H$90))))</f>
        <v/>
      </c>
      <c r="AT1066" s="168" t="str">
        <f t="shared" si="219"/>
        <v/>
      </c>
      <c r="AU1066" s="168" t="str">
        <f t="shared" si="220"/>
        <v/>
      </c>
      <c r="AV1066" s="227"/>
      <c r="AW1066" s="30"/>
      <c r="AX1066" s="267"/>
      <c r="AY1066" s="267"/>
      <c r="AZ1066" s="29"/>
      <c r="BA1066" s="30"/>
      <c r="BB1066" s="23" t="str" cm="1">
        <f t="array" ref="BB1066">_xlfn.IFS(AW1066="SIM",SUM(K1066,P1066,U1066,Z1066,AE1066,AJ1066,AO1066,AT1066,AX1066,AY1066),F1066&lt;&gt;"",SUM(K1066,P1066,U1066,Z1066,AE1066,AJ1066,,AO1066,AT1066),F1066="","")</f>
        <v/>
      </c>
      <c r="BC1066" s="211" t="str" cm="1">
        <f t="array" ref="BC1066">_xlfn.IFS(E1066="","",G1066&lt;=E1066,BB1066*(1-0.03),G1066&lt;(E1066+8),BB1066,AZ1066="Boleto",BB1066*(1+0.001)^DATEDIF(E1066,G1066,"D"),AZ1066="Cheque",BB1066,AZ1066="Dinheiro","Alterar forma pgto")</f>
        <v/>
      </c>
      <c r="BD1066" s="276" t="str" cm="1">
        <f t="array" ref="BD1066">IF(F1066=0," ",IF(BC1066&lt;BB1066,(_xlfn.IFS(AW1066="SIM",SUM(L1066,Q1066,V1066,AA1066,AF1066,AK1066,AP1066,AU1066)+AX1066/_xlfn.XLOOKUP(_xlfn.XLOOKUP($F1066,Clientes!$B$4:$B$39,Clientes!$C$4:$C$39),Cadastros!$L$6:$L$12,Cadastros!$M$6:$M$12)+IF($F1066="Bernardino Furlan",AY1066/2751.92,IF($F1066="Mauro José Salanti",AY1066/2751.92,AY1066/3356)),F1066&lt;&gt;0,SUM(L1066,Q1066,V1066,AA1066,AF1066,AK1066,AP1066,AU1066)))*(1-0.03),_xlfn.IFS(AW1066="SIM",SUM(L1066,Q1066,V1066,AA1066,AF1066,AK1066,AP1066,AU1066)+AX1066/_xlfn.XLOOKUP(_xlfn.XLOOKUP($F1066,Clientes!$B$4:$B$39,Clientes!$C$4:$C$39),Cadastros!$L$6:$L$12,Cadastros!$M$6:$M$12)+IF($F1066="Bernardino Furlan",AY1066/2751.92,IF($F1066="Mauro José Salanti",AY1066/2751.92,AY1066/3356)),F1066&lt;&gt;0,SUM(L1066,Q1066,V1066,AA1066,AF1066,AK1066,AP1066,AU1066))))</f>
        <v xml:space="preserve"> </v>
      </c>
      <c r="BE1066" s="120"/>
      <c r="BF1066" s="120"/>
      <c r="BG1066" s="120"/>
    </row>
    <row r="1067" spans="1:59" s="3" customFormat="1" x14ac:dyDescent="0.3">
      <c r="A1067" s="15" t="str">
        <f t="shared" si="208"/>
        <v/>
      </c>
      <c r="B1067" s="25"/>
      <c r="C1067" s="26"/>
      <c r="D1067" s="279"/>
      <c r="E1067" s="27"/>
      <c r="F1067" s="28"/>
      <c r="G1067" s="27"/>
      <c r="H1067" s="28"/>
      <c r="I1067" s="28"/>
      <c r="J1067" s="255" t="str">
        <f>IF(H1067="","",(_xlfn.XLOOKUP(H1067,Cadastros!$D$6:$D$90,Cadastros!$E$6:$E$90))*(1-_xlfn.XLOOKUP(_xlfn.XLOOKUP($F1067,Clientes!$B$4:$B$39,Clientes!$C$4:$C$39),Cadastros!$L$6:$L$12,Cadastros!$N$6:$N$12)))</f>
        <v/>
      </c>
      <c r="K1067" s="168" t="str">
        <f t="shared" si="209"/>
        <v/>
      </c>
      <c r="L1067" s="168" t="str">
        <f>IFERROR(K1067/_xlfn.XLOOKUP(_xlfn.XLOOKUP($F1067,Clientes!$B$4:$B$39,Clientes!$C$4:$C$39),Cadastros!$L$6:$L$12,Cadastros!$M$6:$M$12)," ")</f>
        <v xml:space="preserve"> </v>
      </c>
      <c r="M1067" s="28"/>
      <c r="N1067" s="28"/>
      <c r="O1067" s="255" t="str">
        <f>IF(M1067="","",(_xlfn.XLOOKUP(M1067,Cadastros!$D$6:$D$90,Cadastros!$E$6:$E$90))*(1-_xlfn.XLOOKUP(_xlfn.XLOOKUP($F1067,Clientes!$B$4:$B$39,Clientes!$C$4:$C$39),Cadastros!$L$6:$L$12,Cadastros!$N$6:$N$12)))</f>
        <v/>
      </c>
      <c r="P1067" s="168" t="str">
        <f t="shared" si="210"/>
        <v/>
      </c>
      <c r="Q1067" s="168" t="str">
        <f>IFERROR(P1067/_xlfn.XLOOKUP(_xlfn.XLOOKUP($F1067,Clientes!$B$4:$B$39,Clientes!$C$4:$C$39),Cadastros!$L$6:$L$12,Cadastros!$M$6:$M$12)," ")</f>
        <v xml:space="preserve"> </v>
      </c>
      <c r="R1067" s="28"/>
      <c r="S1067" s="28"/>
      <c r="T1067" s="255" t="str">
        <f>IF(R1067="","",(_xlfn.XLOOKUP(R1067,Cadastros!$D$6:$D$90,Cadastros!$E$6:$E$90))*(1-_xlfn.XLOOKUP(_xlfn.XLOOKUP($F1067,Clientes!$B$4:$B$39,Clientes!$C$4:$C$39),Cadastros!$L$6:$L$12,Cadastros!$N$6:$N$12)))</f>
        <v/>
      </c>
      <c r="U1067" s="168" t="str">
        <f t="shared" si="211"/>
        <v/>
      </c>
      <c r="V1067" s="168" t="str">
        <f>IFERROR(U1067/_xlfn.XLOOKUP(_xlfn.XLOOKUP($F1067,Clientes!$B$4:$B$39,Clientes!$C$4:$C$39),Cadastros!$L$6:$L$12,Cadastros!$M$6:$M$12)," ")</f>
        <v xml:space="preserve"> </v>
      </c>
      <c r="W1067" s="28"/>
      <c r="X1067" s="28"/>
      <c r="Y1067" s="255" t="str">
        <f>IF(W1067="","",(_xlfn.XLOOKUP(W1067,Cadastros!$D$6:$D$90,Cadastros!$E$6:$E$90))*(1-_xlfn.XLOOKUP(_xlfn.XLOOKUP($F1067,Clientes!$B$4:$B$39,Clientes!$C$4:$C$39),Cadastros!$L$6:$L$12,Cadastros!$N$6:$N$12)))</f>
        <v/>
      </c>
      <c r="Z1067" s="168" t="str">
        <f t="shared" si="212"/>
        <v/>
      </c>
      <c r="AA1067" s="168" t="str">
        <f>IFERROR(Z1067/_xlfn.XLOOKUP(_xlfn.XLOOKUP($F1067,Clientes!$B$4:$B$39,Clientes!$C$4:$C$39),Cadastros!$L$6:$L$12,Cadastros!$M$6:$M$12)," ")</f>
        <v xml:space="preserve"> </v>
      </c>
      <c r="AB1067" s="28"/>
      <c r="AC1067" s="28"/>
      <c r="AD1067" s="20" t="str">
        <f>IF(AB1067="","",IF($F1067="Bernardino Furlan",_xlfn.XLOOKUP(AB1067,Cadastros!$G$6:$G$90,Cadastros!$H$6:$H$90)*(1-0.18),IF($F1067="Mauro José Salanti",_xlfn.XLOOKUP(AB1067,Cadastros!$G$6:$G$90,Cadastros!$H$6:$H$90)*(1-0.18),_xlfn.XLOOKUP(AB1067,Cadastros!$G$6:$G$90,Cadastros!$H$6:$H$90))))</f>
        <v/>
      </c>
      <c r="AE1067" s="168" t="str">
        <f t="shared" si="213"/>
        <v/>
      </c>
      <c r="AF1067" s="168" t="str">
        <f t="shared" si="214"/>
        <v/>
      </c>
      <c r="AG1067" s="28"/>
      <c r="AH1067" s="28"/>
      <c r="AI1067" s="20" t="str">
        <f>IF(AG1067="","",IF($F1067="Bernardino Furlan",_xlfn.XLOOKUP(AG1067,Cadastros!$G$6:$G$90,Cadastros!$H$6:$H$90)*(1-0.18),IF($F1067="Mauro José Salanti",_xlfn.XLOOKUP(AG1067,Cadastros!$G$6:$G$90,Cadastros!$H$6:$H$90)*(1-0.18),_xlfn.XLOOKUP(AG1067,Cadastros!$G$6:$G$90,Cadastros!$H$6:$H$90))))</f>
        <v/>
      </c>
      <c r="AJ1067" s="168" t="str">
        <f t="shared" si="215"/>
        <v/>
      </c>
      <c r="AK1067" s="168" t="str">
        <f t="shared" si="216"/>
        <v/>
      </c>
      <c r="AL1067" s="28"/>
      <c r="AM1067" s="28"/>
      <c r="AN1067" s="20" t="str">
        <f>IF(AL1067="","",IF($F1067="Bernardino Furlan",_xlfn.XLOOKUP(AL1067,Cadastros!$G$6:$G$90,Cadastros!$H$6:$H$90)*(1-0.18),IF($F1067="Mauro José Salanti",_xlfn.XLOOKUP(AL1067,Cadastros!$G$6:$G$90,Cadastros!$H$6:$H$90)*(1-0.18),_xlfn.XLOOKUP(AL1067,Cadastros!$G$6:$G$90,Cadastros!$H$6:$H$90))))</f>
        <v/>
      </c>
      <c r="AO1067" s="168" t="str">
        <f t="shared" si="217"/>
        <v/>
      </c>
      <c r="AP1067" s="168" t="str">
        <f t="shared" si="218"/>
        <v/>
      </c>
      <c r="AQ1067" s="28"/>
      <c r="AR1067" s="28"/>
      <c r="AS1067" s="20" t="str">
        <f>IF(AQ1067="","",IF($F1067="Bernardino Furlan",_xlfn.XLOOKUP(AQ1067,Cadastros!$G$6:$G$90,Cadastros!$H$6:$H$90)*(1-0.18),IF($F1067="Mauro José Salanti",_xlfn.XLOOKUP(AQ1067,Cadastros!$G$6:$G$90,Cadastros!$H$6:$H$90)*(1-0.18),_xlfn.XLOOKUP(AQ1067,Cadastros!$G$6:$G$90,Cadastros!$H$6:$H$90))))</f>
        <v/>
      </c>
      <c r="AT1067" s="168" t="str">
        <f t="shared" si="219"/>
        <v/>
      </c>
      <c r="AU1067" s="168" t="str">
        <f t="shared" si="220"/>
        <v/>
      </c>
      <c r="AV1067" s="227"/>
      <c r="AW1067" s="30"/>
      <c r="AX1067" s="267"/>
      <c r="AY1067" s="267"/>
      <c r="AZ1067" s="29"/>
      <c r="BA1067" s="30"/>
      <c r="BB1067" s="23" t="str" cm="1">
        <f t="array" ref="BB1067">_xlfn.IFS(AW1067="SIM",SUM(K1067,P1067,U1067,Z1067,AE1067,AJ1067,AO1067,AT1067,AX1067,AY1067),F1067&lt;&gt;"",SUM(K1067,P1067,U1067,Z1067,AE1067,AJ1067,,AO1067,AT1067),F1067="","")</f>
        <v/>
      </c>
      <c r="BC1067" s="211" t="str" cm="1">
        <f t="array" ref="BC1067">_xlfn.IFS(E1067="","",G1067&lt;=E1067,BB1067*(1-0.03),G1067&lt;(E1067+8),BB1067,AZ1067="Boleto",BB1067*(1+0.001)^DATEDIF(E1067,G1067,"D"),AZ1067="Cheque",BB1067,AZ1067="Dinheiro","Alterar forma pgto")</f>
        <v/>
      </c>
      <c r="BD1067" s="276" t="str" cm="1">
        <f t="array" ref="BD1067">IF(F1067=0," ",IF(BC1067&lt;BB1067,(_xlfn.IFS(AW1067="SIM",SUM(L1067,Q1067,V1067,AA1067,AF1067,AK1067,AP1067,AU1067)+AX1067/_xlfn.XLOOKUP(_xlfn.XLOOKUP($F1067,Clientes!$B$4:$B$39,Clientes!$C$4:$C$39),Cadastros!$L$6:$L$12,Cadastros!$M$6:$M$12)+IF($F1067="Bernardino Furlan",AY1067/2751.92,IF($F1067="Mauro José Salanti",AY1067/2751.92,AY1067/3356)),F1067&lt;&gt;0,SUM(L1067,Q1067,V1067,AA1067,AF1067,AK1067,AP1067,AU1067)))*(1-0.03),_xlfn.IFS(AW1067="SIM",SUM(L1067,Q1067,V1067,AA1067,AF1067,AK1067,AP1067,AU1067)+AX1067/_xlfn.XLOOKUP(_xlfn.XLOOKUP($F1067,Clientes!$B$4:$B$39,Clientes!$C$4:$C$39),Cadastros!$L$6:$L$12,Cadastros!$M$6:$M$12)+IF($F1067="Bernardino Furlan",AY1067/2751.92,IF($F1067="Mauro José Salanti",AY1067/2751.92,AY1067/3356)),F1067&lt;&gt;0,SUM(L1067,Q1067,V1067,AA1067,AF1067,AK1067,AP1067,AU1067))))</f>
        <v xml:space="preserve"> </v>
      </c>
      <c r="BE1067" s="120"/>
      <c r="BF1067" s="120"/>
      <c r="BG1067" s="120"/>
    </row>
    <row r="1068" spans="1:59" s="3" customFormat="1" x14ac:dyDescent="0.3">
      <c r="A1068" s="15" t="str">
        <f t="shared" si="208"/>
        <v/>
      </c>
      <c r="B1068" s="25"/>
      <c r="C1068" s="26"/>
      <c r="D1068" s="279"/>
      <c r="E1068" s="27"/>
      <c r="F1068" s="28"/>
      <c r="G1068" s="27"/>
      <c r="H1068" s="28"/>
      <c r="I1068" s="28"/>
      <c r="J1068" s="255" t="str">
        <f>IF(H1068="","",(_xlfn.XLOOKUP(H1068,Cadastros!$D$6:$D$90,Cadastros!$E$6:$E$90))*(1-_xlfn.XLOOKUP(_xlfn.XLOOKUP($F1068,Clientes!$B$4:$B$39,Clientes!$C$4:$C$39),Cadastros!$L$6:$L$12,Cadastros!$N$6:$N$12)))</f>
        <v/>
      </c>
      <c r="K1068" s="168" t="str">
        <f t="shared" si="209"/>
        <v/>
      </c>
      <c r="L1068" s="168" t="str">
        <f>IFERROR(K1068/_xlfn.XLOOKUP(_xlfn.XLOOKUP($F1068,Clientes!$B$4:$B$39,Clientes!$C$4:$C$39),Cadastros!$L$6:$L$12,Cadastros!$M$6:$M$12)," ")</f>
        <v xml:space="preserve"> </v>
      </c>
      <c r="M1068" s="28"/>
      <c r="N1068" s="28"/>
      <c r="O1068" s="255" t="str">
        <f>IF(M1068="","",(_xlfn.XLOOKUP(M1068,Cadastros!$D$6:$D$90,Cadastros!$E$6:$E$90))*(1-_xlfn.XLOOKUP(_xlfn.XLOOKUP($F1068,Clientes!$B$4:$B$39,Clientes!$C$4:$C$39),Cadastros!$L$6:$L$12,Cadastros!$N$6:$N$12)))</f>
        <v/>
      </c>
      <c r="P1068" s="168" t="str">
        <f t="shared" si="210"/>
        <v/>
      </c>
      <c r="Q1068" s="168" t="str">
        <f>IFERROR(P1068/_xlfn.XLOOKUP(_xlfn.XLOOKUP($F1068,Clientes!$B$4:$B$39,Clientes!$C$4:$C$39),Cadastros!$L$6:$L$12,Cadastros!$M$6:$M$12)," ")</f>
        <v xml:space="preserve"> </v>
      </c>
      <c r="R1068" s="28"/>
      <c r="S1068" s="28"/>
      <c r="T1068" s="255" t="str">
        <f>IF(R1068="","",(_xlfn.XLOOKUP(R1068,Cadastros!$D$6:$D$90,Cadastros!$E$6:$E$90))*(1-_xlfn.XLOOKUP(_xlfn.XLOOKUP($F1068,Clientes!$B$4:$B$39,Clientes!$C$4:$C$39),Cadastros!$L$6:$L$12,Cadastros!$N$6:$N$12)))</f>
        <v/>
      </c>
      <c r="U1068" s="168" t="str">
        <f t="shared" si="211"/>
        <v/>
      </c>
      <c r="V1068" s="168" t="str">
        <f>IFERROR(U1068/_xlfn.XLOOKUP(_xlfn.XLOOKUP($F1068,Clientes!$B$4:$B$39,Clientes!$C$4:$C$39),Cadastros!$L$6:$L$12,Cadastros!$M$6:$M$12)," ")</f>
        <v xml:space="preserve"> </v>
      </c>
      <c r="W1068" s="28"/>
      <c r="X1068" s="28"/>
      <c r="Y1068" s="255" t="str">
        <f>IF(W1068="","",(_xlfn.XLOOKUP(W1068,Cadastros!$D$6:$D$90,Cadastros!$E$6:$E$90))*(1-_xlfn.XLOOKUP(_xlfn.XLOOKUP($F1068,Clientes!$B$4:$B$39,Clientes!$C$4:$C$39),Cadastros!$L$6:$L$12,Cadastros!$N$6:$N$12)))</f>
        <v/>
      </c>
      <c r="Z1068" s="168" t="str">
        <f t="shared" si="212"/>
        <v/>
      </c>
      <c r="AA1068" s="168" t="str">
        <f>IFERROR(Z1068/_xlfn.XLOOKUP(_xlfn.XLOOKUP($F1068,Clientes!$B$4:$B$39,Clientes!$C$4:$C$39),Cadastros!$L$6:$L$12,Cadastros!$M$6:$M$12)," ")</f>
        <v xml:space="preserve"> </v>
      </c>
      <c r="AB1068" s="28"/>
      <c r="AC1068" s="28"/>
      <c r="AD1068" s="20" t="str">
        <f>IF(AB1068="","",IF($F1068="Bernardino Furlan",_xlfn.XLOOKUP(AB1068,Cadastros!$G$6:$G$90,Cadastros!$H$6:$H$90)*(1-0.18),IF($F1068="Mauro José Salanti",_xlfn.XLOOKUP(AB1068,Cadastros!$G$6:$G$90,Cadastros!$H$6:$H$90)*(1-0.18),_xlfn.XLOOKUP(AB1068,Cadastros!$G$6:$G$90,Cadastros!$H$6:$H$90))))</f>
        <v/>
      </c>
      <c r="AE1068" s="168" t="str">
        <f t="shared" si="213"/>
        <v/>
      </c>
      <c r="AF1068" s="168" t="str">
        <f t="shared" si="214"/>
        <v/>
      </c>
      <c r="AG1068" s="28"/>
      <c r="AH1068" s="28"/>
      <c r="AI1068" s="20" t="str">
        <f>IF(AG1068="","",IF($F1068="Bernardino Furlan",_xlfn.XLOOKUP(AG1068,Cadastros!$G$6:$G$90,Cadastros!$H$6:$H$90)*(1-0.18),IF($F1068="Mauro José Salanti",_xlfn.XLOOKUP(AG1068,Cadastros!$G$6:$G$90,Cadastros!$H$6:$H$90)*(1-0.18),_xlfn.XLOOKUP(AG1068,Cadastros!$G$6:$G$90,Cadastros!$H$6:$H$90))))</f>
        <v/>
      </c>
      <c r="AJ1068" s="168" t="str">
        <f t="shared" si="215"/>
        <v/>
      </c>
      <c r="AK1068" s="168" t="str">
        <f t="shared" si="216"/>
        <v/>
      </c>
      <c r="AL1068" s="28"/>
      <c r="AM1068" s="28"/>
      <c r="AN1068" s="20" t="str">
        <f>IF(AL1068="","",IF($F1068="Bernardino Furlan",_xlfn.XLOOKUP(AL1068,Cadastros!$G$6:$G$90,Cadastros!$H$6:$H$90)*(1-0.18),IF($F1068="Mauro José Salanti",_xlfn.XLOOKUP(AL1068,Cadastros!$G$6:$G$90,Cadastros!$H$6:$H$90)*(1-0.18),_xlfn.XLOOKUP(AL1068,Cadastros!$G$6:$G$90,Cadastros!$H$6:$H$90))))</f>
        <v/>
      </c>
      <c r="AO1068" s="168" t="str">
        <f t="shared" si="217"/>
        <v/>
      </c>
      <c r="AP1068" s="168" t="str">
        <f t="shared" si="218"/>
        <v/>
      </c>
      <c r="AQ1068" s="28"/>
      <c r="AR1068" s="28"/>
      <c r="AS1068" s="20" t="str">
        <f>IF(AQ1068="","",IF($F1068="Bernardino Furlan",_xlfn.XLOOKUP(AQ1068,Cadastros!$G$6:$G$90,Cadastros!$H$6:$H$90)*(1-0.18),IF($F1068="Mauro José Salanti",_xlfn.XLOOKUP(AQ1068,Cadastros!$G$6:$G$90,Cadastros!$H$6:$H$90)*(1-0.18),_xlfn.XLOOKUP(AQ1068,Cadastros!$G$6:$G$90,Cadastros!$H$6:$H$90))))</f>
        <v/>
      </c>
      <c r="AT1068" s="168" t="str">
        <f t="shared" si="219"/>
        <v/>
      </c>
      <c r="AU1068" s="168" t="str">
        <f t="shared" si="220"/>
        <v/>
      </c>
      <c r="AV1068" s="227"/>
      <c r="AW1068" s="30"/>
      <c r="AX1068" s="267"/>
      <c r="AY1068" s="267"/>
      <c r="AZ1068" s="29"/>
      <c r="BA1068" s="30"/>
      <c r="BB1068" s="23" t="str" cm="1">
        <f t="array" ref="BB1068">_xlfn.IFS(AW1068="SIM",SUM(K1068,P1068,U1068,Z1068,AE1068,AJ1068,AO1068,AT1068,AX1068,AY1068),F1068&lt;&gt;"",SUM(K1068,P1068,U1068,Z1068,AE1068,AJ1068,,AO1068,AT1068),F1068="","")</f>
        <v/>
      </c>
      <c r="BC1068" s="211" t="str" cm="1">
        <f t="array" ref="BC1068">_xlfn.IFS(E1068="","",G1068&lt;=E1068,BB1068*(1-0.03),G1068&lt;(E1068+8),BB1068,AZ1068="Boleto",BB1068*(1+0.001)^DATEDIF(E1068,G1068,"D"),AZ1068="Cheque",BB1068,AZ1068="Dinheiro","Alterar forma pgto")</f>
        <v/>
      </c>
      <c r="BD1068" s="276" t="str" cm="1">
        <f t="array" ref="BD1068">IF(F1068=0," ",IF(BC1068&lt;BB1068,(_xlfn.IFS(AW1068="SIM",SUM(L1068,Q1068,V1068,AA1068,AF1068,AK1068,AP1068,AU1068)+AX1068/_xlfn.XLOOKUP(_xlfn.XLOOKUP($F1068,Clientes!$B$4:$B$39,Clientes!$C$4:$C$39),Cadastros!$L$6:$L$12,Cadastros!$M$6:$M$12)+IF($F1068="Bernardino Furlan",AY1068/2751.92,IF($F1068="Mauro José Salanti",AY1068/2751.92,AY1068/3356)),F1068&lt;&gt;0,SUM(L1068,Q1068,V1068,AA1068,AF1068,AK1068,AP1068,AU1068)))*(1-0.03),_xlfn.IFS(AW1068="SIM",SUM(L1068,Q1068,V1068,AA1068,AF1068,AK1068,AP1068,AU1068)+AX1068/_xlfn.XLOOKUP(_xlfn.XLOOKUP($F1068,Clientes!$B$4:$B$39,Clientes!$C$4:$C$39),Cadastros!$L$6:$L$12,Cadastros!$M$6:$M$12)+IF($F1068="Bernardino Furlan",AY1068/2751.92,IF($F1068="Mauro José Salanti",AY1068/2751.92,AY1068/3356)),F1068&lt;&gt;0,SUM(L1068,Q1068,V1068,AA1068,AF1068,AK1068,AP1068,AU1068))))</f>
        <v xml:space="preserve"> </v>
      </c>
      <c r="BE1068" s="120"/>
      <c r="BF1068" s="120"/>
      <c r="BG1068" s="120"/>
    </row>
    <row r="1069" spans="1:59" s="3" customFormat="1" x14ac:dyDescent="0.3">
      <c r="A1069" s="15" t="str">
        <f t="shared" si="208"/>
        <v/>
      </c>
      <c r="B1069" s="25"/>
      <c r="C1069" s="26"/>
      <c r="D1069" s="279"/>
      <c r="E1069" s="27"/>
      <c r="F1069" s="28"/>
      <c r="G1069" s="27"/>
      <c r="H1069" s="28"/>
      <c r="I1069" s="28"/>
      <c r="J1069" s="255" t="str">
        <f>IF(H1069="","",(_xlfn.XLOOKUP(H1069,Cadastros!$D$6:$D$90,Cadastros!$E$6:$E$90))*(1-_xlfn.XLOOKUP(_xlfn.XLOOKUP($F1069,Clientes!$B$4:$B$39,Clientes!$C$4:$C$39),Cadastros!$L$6:$L$12,Cadastros!$N$6:$N$12)))</f>
        <v/>
      </c>
      <c r="K1069" s="168" t="str">
        <f t="shared" si="209"/>
        <v/>
      </c>
      <c r="L1069" s="168" t="str">
        <f>IFERROR(K1069/_xlfn.XLOOKUP(_xlfn.XLOOKUP($F1069,Clientes!$B$4:$B$39,Clientes!$C$4:$C$39),Cadastros!$L$6:$L$12,Cadastros!$M$6:$M$12)," ")</f>
        <v xml:space="preserve"> </v>
      </c>
      <c r="M1069" s="28"/>
      <c r="N1069" s="28"/>
      <c r="O1069" s="255" t="str">
        <f>IF(M1069="","",(_xlfn.XLOOKUP(M1069,Cadastros!$D$6:$D$90,Cadastros!$E$6:$E$90))*(1-_xlfn.XLOOKUP(_xlfn.XLOOKUP($F1069,Clientes!$B$4:$B$39,Clientes!$C$4:$C$39),Cadastros!$L$6:$L$12,Cadastros!$N$6:$N$12)))</f>
        <v/>
      </c>
      <c r="P1069" s="168" t="str">
        <f t="shared" si="210"/>
        <v/>
      </c>
      <c r="Q1069" s="168" t="str">
        <f>IFERROR(P1069/_xlfn.XLOOKUP(_xlfn.XLOOKUP($F1069,Clientes!$B$4:$B$39,Clientes!$C$4:$C$39),Cadastros!$L$6:$L$12,Cadastros!$M$6:$M$12)," ")</f>
        <v xml:space="preserve"> </v>
      </c>
      <c r="R1069" s="28"/>
      <c r="S1069" s="28"/>
      <c r="T1069" s="255" t="str">
        <f>IF(R1069="","",(_xlfn.XLOOKUP(R1069,Cadastros!$D$6:$D$90,Cadastros!$E$6:$E$90))*(1-_xlfn.XLOOKUP(_xlfn.XLOOKUP($F1069,Clientes!$B$4:$B$39,Clientes!$C$4:$C$39),Cadastros!$L$6:$L$12,Cadastros!$N$6:$N$12)))</f>
        <v/>
      </c>
      <c r="U1069" s="168" t="str">
        <f t="shared" si="211"/>
        <v/>
      </c>
      <c r="V1069" s="168" t="str">
        <f>IFERROR(U1069/_xlfn.XLOOKUP(_xlfn.XLOOKUP($F1069,Clientes!$B$4:$B$39,Clientes!$C$4:$C$39),Cadastros!$L$6:$L$12,Cadastros!$M$6:$M$12)," ")</f>
        <v xml:space="preserve"> </v>
      </c>
      <c r="W1069" s="28"/>
      <c r="X1069" s="28"/>
      <c r="Y1069" s="255" t="str">
        <f>IF(W1069="","",(_xlfn.XLOOKUP(W1069,Cadastros!$D$6:$D$90,Cadastros!$E$6:$E$90))*(1-_xlfn.XLOOKUP(_xlfn.XLOOKUP($F1069,Clientes!$B$4:$B$39,Clientes!$C$4:$C$39),Cadastros!$L$6:$L$12,Cadastros!$N$6:$N$12)))</f>
        <v/>
      </c>
      <c r="Z1069" s="168" t="str">
        <f t="shared" si="212"/>
        <v/>
      </c>
      <c r="AA1069" s="168" t="str">
        <f>IFERROR(Z1069/_xlfn.XLOOKUP(_xlfn.XLOOKUP($F1069,Clientes!$B$4:$B$39,Clientes!$C$4:$C$39),Cadastros!$L$6:$L$12,Cadastros!$M$6:$M$12)," ")</f>
        <v xml:space="preserve"> </v>
      </c>
      <c r="AB1069" s="28"/>
      <c r="AC1069" s="28"/>
      <c r="AD1069" s="20" t="str">
        <f>IF(AB1069="","",IF($F1069="Bernardino Furlan",_xlfn.XLOOKUP(AB1069,Cadastros!$G$6:$G$90,Cadastros!$H$6:$H$90)*(1-0.18),IF($F1069="Mauro José Salanti",_xlfn.XLOOKUP(AB1069,Cadastros!$G$6:$G$90,Cadastros!$H$6:$H$90)*(1-0.18),_xlfn.XLOOKUP(AB1069,Cadastros!$G$6:$G$90,Cadastros!$H$6:$H$90))))</f>
        <v/>
      </c>
      <c r="AE1069" s="168" t="str">
        <f t="shared" si="213"/>
        <v/>
      </c>
      <c r="AF1069" s="168" t="str">
        <f t="shared" si="214"/>
        <v/>
      </c>
      <c r="AG1069" s="28"/>
      <c r="AH1069" s="28"/>
      <c r="AI1069" s="20" t="str">
        <f>IF(AG1069="","",IF($F1069="Bernardino Furlan",_xlfn.XLOOKUP(AG1069,Cadastros!$G$6:$G$90,Cadastros!$H$6:$H$90)*(1-0.18),IF($F1069="Mauro José Salanti",_xlfn.XLOOKUP(AG1069,Cadastros!$G$6:$G$90,Cadastros!$H$6:$H$90)*(1-0.18),_xlfn.XLOOKUP(AG1069,Cadastros!$G$6:$G$90,Cadastros!$H$6:$H$90))))</f>
        <v/>
      </c>
      <c r="AJ1069" s="168" t="str">
        <f t="shared" si="215"/>
        <v/>
      </c>
      <c r="AK1069" s="168" t="str">
        <f t="shared" si="216"/>
        <v/>
      </c>
      <c r="AL1069" s="28"/>
      <c r="AM1069" s="28"/>
      <c r="AN1069" s="20" t="str">
        <f>IF(AL1069="","",IF($F1069="Bernardino Furlan",_xlfn.XLOOKUP(AL1069,Cadastros!$G$6:$G$90,Cadastros!$H$6:$H$90)*(1-0.18),IF($F1069="Mauro José Salanti",_xlfn.XLOOKUP(AL1069,Cadastros!$G$6:$G$90,Cadastros!$H$6:$H$90)*(1-0.18),_xlfn.XLOOKUP(AL1069,Cadastros!$G$6:$G$90,Cadastros!$H$6:$H$90))))</f>
        <v/>
      </c>
      <c r="AO1069" s="168" t="str">
        <f t="shared" si="217"/>
        <v/>
      </c>
      <c r="AP1069" s="168" t="str">
        <f t="shared" si="218"/>
        <v/>
      </c>
      <c r="AQ1069" s="28"/>
      <c r="AR1069" s="28"/>
      <c r="AS1069" s="20" t="str">
        <f>IF(AQ1069="","",IF($F1069="Bernardino Furlan",_xlfn.XLOOKUP(AQ1069,Cadastros!$G$6:$G$90,Cadastros!$H$6:$H$90)*(1-0.18),IF($F1069="Mauro José Salanti",_xlfn.XLOOKUP(AQ1069,Cadastros!$G$6:$G$90,Cadastros!$H$6:$H$90)*(1-0.18),_xlfn.XLOOKUP(AQ1069,Cadastros!$G$6:$G$90,Cadastros!$H$6:$H$90))))</f>
        <v/>
      </c>
      <c r="AT1069" s="168" t="str">
        <f t="shared" si="219"/>
        <v/>
      </c>
      <c r="AU1069" s="168" t="str">
        <f t="shared" si="220"/>
        <v/>
      </c>
      <c r="AV1069" s="227"/>
      <c r="AW1069" s="30"/>
      <c r="AX1069" s="267"/>
      <c r="AY1069" s="267"/>
      <c r="AZ1069" s="29"/>
      <c r="BA1069" s="30"/>
      <c r="BB1069" s="23" t="str" cm="1">
        <f t="array" ref="BB1069">_xlfn.IFS(AW1069="SIM",SUM(K1069,P1069,U1069,Z1069,AE1069,AJ1069,AO1069,AT1069,AX1069,AY1069),F1069&lt;&gt;"",SUM(K1069,P1069,U1069,Z1069,AE1069,AJ1069,,AO1069,AT1069),F1069="","")</f>
        <v/>
      </c>
      <c r="BC1069" s="211" t="str" cm="1">
        <f t="array" ref="BC1069">_xlfn.IFS(E1069="","",G1069&lt;=E1069,BB1069*(1-0.03),G1069&lt;(E1069+8),BB1069,AZ1069="Boleto",BB1069*(1+0.001)^DATEDIF(E1069,G1069,"D"),AZ1069="Cheque",BB1069,AZ1069="Dinheiro","Alterar forma pgto")</f>
        <v/>
      </c>
      <c r="BD1069" s="276" t="str" cm="1">
        <f t="array" ref="BD1069">IF(F1069=0," ",IF(BC1069&lt;BB1069,(_xlfn.IFS(AW1069="SIM",SUM(L1069,Q1069,V1069,AA1069,AF1069,AK1069,AP1069,AU1069)+AX1069/_xlfn.XLOOKUP(_xlfn.XLOOKUP($F1069,Clientes!$B$4:$B$39,Clientes!$C$4:$C$39),Cadastros!$L$6:$L$12,Cadastros!$M$6:$M$12)+IF($F1069="Bernardino Furlan",AY1069/2751.92,IF($F1069="Mauro José Salanti",AY1069/2751.92,AY1069/3356)),F1069&lt;&gt;0,SUM(L1069,Q1069,V1069,AA1069,AF1069,AK1069,AP1069,AU1069)))*(1-0.03),_xlfn.IFS(AW1069="SIM",SUM(L1069,Q1069,V1069,AA1069,AF1069,AK1069,AP1069,AU1069)+AX1069/_xlfn.XLOOKUP(_xlfn.XLOOKUP($F1069,Clientes!$B$4:$B$39,Clientes!$C$4:$C$39),Cadastros!$L$6:$L$12,Cadastros!$M$6:$M$12)+IF($F1069="Bernardino Furlan",AY1069/2751.92,IF($F1069="Mauro José Salanti",AY1069/2751.92,AY1069/3356)),F1069&lt;&gt;0,SUM(L1069,Q1069,V1069,AA1069,AF1069,AK1069,AP1069,AU1069))))</f>
        <v xml:space="preserve"> </v>
      </c>
      <c r="BE1069" s="120"/>
      <c r="BF1069" s="120"/>
      <c r="BG1069" s="120"/>
    </row>
    <row r="1070" spans="1:59" s="3" customFormat="1" x14ac:dyDescent="0.3">
      <c r="A1070" s="15" t="str">
        <f t="shared" si="208"/>
        <v/>
      </c>
      <c r="B1070" s="25"/>
      <c r="C1070" s="26"/>
      <c r="D1070" s="279"/>
      <c r="E1070" s="27"/>
      <c r="F1070" s="28"/>
      <c r="G1070" s="27"/>
      <c r="H1070" s="28"/>
      <c r="I1070" s="28"/>
      <c r="J1070" s="255" t="str">
        <f>IF(H1070="","",(_xlfn.XLOOKUP(H1070,Cadastros!$D$6:$D$90,Cadastros!$E$6:$E$90))*(1-_xlfn.XLOOKUP(_xlfn.XLOOKUP($F1070,Clientes!$B$4:$B$39,Clientes!$C$4:$C$39),Cadastros!$L$6:$L$12,Cadastros!$N$6:$N$12)))</f>
        <v/>
      </c>
      <c r="K1070" s="168" t="str">
        <f t="shared" si="209"/>
        <v/>
      </c>
      <c r="L1070" s="168" t="str">
        <f>IFERROR(K1070/_xlfn.XLOOKUP(_xlfn.XLOOKUP($F1070,Clientes!$B$4:$B$39,Clientes!$C$4:$C$39),Cadastros!$L$6:$L$12,Cadastros!$M$6:$M$12)," ")</f>
        <v xml:space="preserve"> </v>
      </c>
      <c r="M1070" s="28"/>
      <c r="N1070" s="28"/>
      <c r="O1070" s="255" t="str">
        <f>IF(M1070="","",(_xlfn.XLOOKUP(M1070,Cadastros!$D$6:$D$90,Cadastros!$E$6:$E$90))*(1-_xlfn.XLOOKUP(_xlfn.XLOOKUP($F1070,Clientes!$B$4:$B$39,Clientes!$C$4:$C$39),Cadastros!$L$6:$L$12,Cadastros!$N$6:$N$12)))</f>
        <v/>
      </c>
      <c r="P1070" s="168" t="str">
        <f t="shared" si="210"/>
        <v/>
      </c>
      <c r="Q1070" s="168" t="str">
        <f>IFERROR(P1070/_xlfn.XLOOKUP(_xlfn.XLOOKUP($F1070,Clientes!$B$4:$B$39,Clientes!$C$4:$C$39),Cadastros!$L$6:$L$12,Cadastros!$M$6:$M$12)," ")</f>
        <v xml:space="preserve"> </v>
      </c>
      <c r="R1070" s="28"/>
      <c r="S1070" s="28"/>
      <c r="T1070" s="255" t="str">
        <f>IF(R1070="","",(_xlfn.XLOOKUP(R1070,Cadastros!$D$6:$D$90,Cadastros!$E$6:$E$90))*(1-_xlfn.XLOOKUP(_xlfn.XLOOKUP($F1070,Clientes!$B$4:$B$39,Clientes!$C$4:$C$39),Cadastros!$L$6:$L$12,Cadastros!$N$6:$N$12)))</f>
        <v/>
      </c>
      <c r="U1070" s="168" t="str">
        <f t="shared" si="211"/>
        <v/>
      </c>
      <c r="V1070" s="168" t="str">
        <f>IFERROR(U1070/_xlfn.XLOOKUP(_xlfn.XLOOKUP($F1070,Clientes!$B$4:$B$39,Clientes!$C$4:$C$39),Cadastros!$L$6:$L$12,Cadastros!$M$6:$M$12)," ")</f>
        <v xml:space="preserve"> </v>
      </c>
      <c r="W1070" s="28"/>
      <c r="X1070" s="28"/>
      <c r="Y1070" s="255" t="str">
        <f>IF(W1070="","",(_xlfn.XLOOKUP(W1070,Cadastros!$D$6:$D$90,Cadastros!$E$6:$E$90))*(1-_xlfn.XLOOKUP(_xlfn.XLOOKUP($F1070,Clientes!$B$4:$B$39,Clientes!$C$4:$C$39),Cadastros!$L$6:$L$12,Cadastros!$N$6:$N$12)))</f>
        <v/>
      </c>
      <c r="Z1070" s="168" t="str">
        <f t="shared" si="212"/>
        <v/>
      </c>
      <c r="AA1070" s="168" t="str">
        <f>IFERROR(Z1070/_xlfn.XLOOKUP(_xlfn.XLOOKUP($F1070,Clientes!$B$4:$B$39,Clientes!$C$4:$C$39),Cadastros!$L$6:$L$12,Cadastros!$M$6:$M$12)," ")</f>
        <v xml:space="preserve"> </v>
      </c>
      <c r="AB1070" s="28"/>
      <c r="AC1070" s="28"/>
      <c r="AD1070" s="20" t="str">
        <f>IF(AB1070="","",IF($F1070="Bernardino Furlan",_xlfn.XLOOKUP(AB1070,Cadastros!$G$6:$G$90,Cadastros!$H$6:$H$90)*(1-0.18),IF($F1070="Mauro José Salanti",_xlfn.XLOOKUP(AB1070,Cadastros!$G$6:$G$90,Cadastros!$H$6:$H$90)*(1-0.18),_xlfn.XLOOKUP(AB1070,Cadastros!$G$6:$G$90,Cadastros!$H$6:$H$90))))</f>
        <v/>
      </c>
      <c r="AE1070" s="168" t="str">
        <f t="shared" si="213"/>
        <v/>
      </c>
      <c r="AF1070" s="168" t="str">
        <f t="shared" si="214"/>
        <v/>
      </c>
      <c r="AG1070" s="28"/>
      <c r="AH1070" s="28"/>
      <c r="AI1070" s="20" t="str">
        <f>IF(AG1070="","",IF($F1070="Bernardino Furlan",_xlfn.XLOOKUP(AG1070,Cadastros!$G$6:$G$90,Cadastros!$H$6:$H$90)*(1-0.18),IF($F1070="Mauro José Salanti",_xlfn.XLOOKUP(AG1070,Cadastros!$G$6:$G$90,Cadastros!$H$6:$H$90)*(1-0.18),_xlfn.XLOOKUP(AG1070,Cadastros!$G$6:$G$90,Cadastros!$H$6:$H$90))))</f>
        <v/>
      </c>
      <c r="AJ1070" s="168" t="str">
        <f t="shared" si="215"/>
        <v/>
      </c>
      <c r="AK1070" s="168" t="str">
        <f t="shared" si="216"/>
        <v/>
      </c>
      <c r="AL1070" s="28"/>
      <c r="AM1070" s="28"/>
      <c r="AN1070" s="20" t="str">
        <f>IF(AL1070="","",IF($F1070="Bernardino Furlan",_xlfn.XLOOKUP(AL1070,Cadastros!$G$6:$G$90,Cadastros!$H$6:$H$90)*(1-0.18),IF($F1070="Mauro José Salanti",_xlfn.XLOOKUP(AL1070,Cadastros!$G$6:$G$90,Cadastros!$H$6:$H$90)*(1-0.18),_xlfn.XLOOKUP(AL1070,Cadastros!$G$6:$G$90,Cadastros!$H$6:$H$90))))</f>
        <v/>
      </c>
      <c r="AO1070" s="168" t="str">
        <f t="shared" si="217"/>
        <v/>
      </c>
      <c r="AP1070" s="168" t="str">
        <f t="shared" si="218"/>
        <v/>
      </c>
      <c r="AQ1070" s="28"/>
      <c r="AR1070" s="28"/>
      <c r="AS1070" s="20" t="str">
        <f>IF(AQ1070="","",IF($F1070="Bernardino Furlan",_xlfn.XLOOKUP(AQ1070,Cadastros!$G$6:$G$90,Cadastros!$H$6:$H$90)*(1-0.18),IF($F1070="Mauro José Salanti",_xlfn.XLOOKUP(AQ1070,Cadastros!$G$6:$G$90,Cadastros!$H$6:$H$90)*(1-0.18),_xlfn.XLOOKUP(AQ1070,Cadastros!$G$6:$G$90,Cadastros!$H$6:$H$90))))</f>
        <v/>
      </c>
      <c r="AT1070" s="168" t="str">
        <f t="shared" si="219"/>
        <v/>
      </c>
      <c r="AU1070" s="168" t="str">
        <f t="shared" si="220"/>
        <v/>
      </c>
      <c r="AV1070" s="227"/>
      <c r="AW1070" s="30"/>
      <c r="AX1070" s="267"/>
      <c r="AY1070" s="267"/>
      <c r="AZ1070" s="29"/>
      <c r="BA1070" s="30"/>
      <c r="BB1070" s="23" t="str" cm="1">
        <f t="array" ref="BB1070">_xlfn.IFS(AW1070="SIM",SUM(K1070,P1070,U1070,Z1070,AE1070,AJ1070,AO1070,AT1070,AX1070,AY1070),F1070&lt;&gt;"",SUM(K1070,P1070,U1070,Z1070,AE1070,AJ1070,,AO1070,AT1070),F1070="","")</f>
        <v/>
      </c>
      <c r="BC1070" s="211" t="str" cm="1">
        <f t="array" ref="BC1070">_xlfn.IFS(E1070="","",G1070&lt;=E1070,BB1070*(1-0.03),G1070&lt;(E1070+8),BB1070,AZ1070="Boleto",BB1070*(1+0.001)^DATEDIF(E1070,G1070,"D"),AZ1070="Cheque",BB1070,AZ1070="Dinheiro","Alterar forma pgto")</f>
        <v/>
      </c>
      <c r="BD1070" s="276" t="str" cm="1">
        <f t="array" ref="BD1070">IF(F1070=0," ",IF(BC1070&lt;BB1070,(_xlfn.IFS(AW1070="SIM",SUM(L1070,Q1070,V1070,AA1070,AF1070,AK1070,AP1070,AU1070)+AX1070/_xlfn.XLOOKUP(_xlfn.XLOOKUP($F1070,Clientes!$B$4:$B$39,Clientes!$C$4:$C$39),Cadastros!$L$6:$L$12,Cadastros!$M$6:$M$12)+IF($F1070="Bernardino Furlan",AY1070/2751.92,IF($F1070="Mauro José Salanti",AY1070/2751.92,AY1070/3356)),F1070&lt;&gt;0,SUM(L1070,Q1070,V1070,AA1070,AF1070,AK1070,AP1070,AU1070)))*(1-0.03),_xlfn.IFS(AW1070="SIM",SUM(L1070,Q1070,V1070,AA1070,AF1070,AK1070,AP1070,AU1070)+AX1070/_xlfn.XLOOKUP(_xlfn.XLOOKUP($F1070,Clientes!$B$4:$B$39,Clientes!$C$4:$C$39),Cadastros!$L$6:$L$12,Cadastros!$M$6:$M$12)+IF($F1070="Bernardino Furlan",AY1070/2751.92,IF($F1070="Mauro José Salanti",AY1070/2751.92,AY1070/3356)),F1070&lt;&gt;0,SUM(L1070,Q1070,V1070,AA1070,AF1070,AK1070,AP1070,AU1070))))</f>
        <v xml:space="preserve"> </v>
      </c>
      <c r="BE1070" s="120"/>
      <c r="BF1070" s="120"/>
      <c r="BG1070" s="120"/>
    </row>
    <row r="1071" spans="1:59" s="3" customFormat="1" x14ac:dyDescent="0.3">
      <c r="A1071" s="15" t="str">
        <f t="shared" si="208"/>
        <v/>
      </c>
      <c r="B1071" s="25"/>
      <c r="C1071" s="26"/>
      <c r="D1071" s="279"/>
      <c r="E1071" s="27"/>
      <c r="F1071" s="28"/>
      <c r="G1071" s="27"/>
      <c r="H1071" s="28"/>
      <c r="I1071" s="28"/>
      <c r="J1071" s="255" t="str">
        <f>IF(H1071="","",(_xlfn.XLOOKUP(H1071,Cadastros!$D$6:$D$90,Cadastros!$E$6:$E$90))*(1-_xlfn.XLOOKUP(_xlfn.XLOOKUP($F1071,Clientes!$B$4:$B$39,Clientes!$C$4:$C$39),Cadastros!$L$6:$L$12,Cadastros!$N$6:$N$12)))</f>
        <v/>
      </c>
      <c r="K1071" s="168" t="str">
        <f t="shared" si="209"/>
        <v/>
      </c>
      <c r="L1071" s="168" t="str">
        <f>IFERROR(K1071/_xlfn.XLOOKUP(_xlfn.XLOOKUP($F1071,Clientes!$B$4:$B$39,Clientes!$C$4:$C$39),Cadastros!$L$6:$L$12,Cadastros!$M$6:$M$12)," ")</f>
        <v xml:space="preserve"> </v>
      </c>
      <c r="M1071" s="28"/>
      <c r="N1071" s="28"/>
      <c r="O1071" s="255" t="str">
        <f>IF(M1071="","",(_xlfn.XLOOKUP(M1071,Cadastros!$D$6:$D$90,Cadastros!$E$6:$E$90))*(1-_xlfn.XLOOKUP(_xlfn.XLOOKUP($F1071,Clientes!$B$4:$B$39,Clientes!$C$4:$C$39),Cadastros!$L$6:$L$12,Cadastros!$N$6:$N$12)))</f>
        <v/>
      </c>
      <c r="P1071" s="168" t="str">
        <f t="shared" si="210"/>
        <v/>
      </c>
      <c r="Q1071" s="168" t="str">
        <f>IFERROR(P1071/_xlfn.XLOOKUP(_xlfn.XLOOKUP($F1071,Clientes!$B$4:$B$39,Clientes!$C$4:$C$39),Cadastros!$L$6:$L$12,Cadastros!$M$6:$M$12)," ")</f>
        <v xml:space="preserve"> </v>
      </c>
      <c r="R1071" s="28"/>
      <c r="S1071" s="28"/>
      <c r="T1071" s="255" t="str">
        <f>IF(R1071="","",(_xlfn.XLOOKUP(R1071,Cadastros!$D$6:$D$90,Cadastros!$E$6:$E$90))*(1-_xlfn.XLOOKUP(_xlfn.XLOOKUP($F1071,Clientes!$B$4:$B$39,Clientes!$C$4:$C$39),Cadastros!$L$6:$L$12,Cadastros!$N$6:$N$12)))</f>
        <v/>
      </c>
      <c r="U1071" s="168" t="str">
        <f t="shared" si="211"/>
        <v/>
      </c>
      <c r="V1071" s="168" t="str">
        <f>IFERROR(U1071/_xlfn.XLOOKUP(_xlfn.XLOOKUP($F1071,Clientes!$B$4:$B$39,Clientes!$C$4:$C$39),Cadastros!$L$6:$L$12,Cadastros!$M$6:$M$12)," ")</f>
        <v xml:space="preserve"> </v>
      </c>
      <c r="W1071" s="28"/>
      <c r="X1071" s="28"/>
      <c r="Y1071" s="255" t="str">
        <f>IF(W1071="","",(_xlfn.XLOOKUP(W1071,Cadastros!$D$6:$D$90,Cadastros!$E$6:$E$90))*(1-_xlfn.XLOOKUP(_xlfn.XLOOKUP($F1071,Clientes!$B$4:$B$39,Clientes!$C$4:$C$39),Cadastros!$L$6:$L$12,Cadastros!$N$6:$N$12)))</f>
        <v/>
      </c>
      <c r="Z1071" s="168" t="str">
        <f t="shared" si="212"/>
        <v/>
      </c>
      <c r="AA1071" s="168" t="str">
        <f>IFERROR(Z1071/_xlfn.XLOOKUP(_xlfn.XLOOKUP($F1071,Clientes!$B$4:$B$39,Clientes!$C$4:$C$39),Cadastros!$L$6:$L$12,Cadastros!$M$6:$M$12)," ")</f>
        <v xml:space="preserve"> </v>
      </c>
      <c r="AB1071" s="28"/>
      <c r="AC1071" s="28"/>
      <c r="AD1071" s="20" t="str">
        <f>IF(AB1071="","",IF($F1071="Bernardino Furlan",_xlfn.XLOOKUP(AB1071,Cadastros!$G$6:$G$90,Cadastros!$H$6:$H$90)*(1-0.18),IF($F1071="Mauro José Salanti",_xlfn.XLOOKUP(AB1071,Cadastros!$G$6:$G$90,Cadastros!$H$6:$H$90)*(1-0.18),_xlfn.XLOOKUP(AB1071,Cadastros!$G$6:$G$90,Cadastros!$H$6:$H$90))))</f>
        <v/>
      </c>
      <c r="AE1071" s="168" t="str">
        <f t="shared" si="213"/>
        <v/>
      </c>
      <c r="AF1071" s="168" t="str">
        <f t="shared" si="214"/>
        <v/>
      </c>
      <c r="AG1071" s="28"/>
      <c r="AH1071" s="28"/>
      <c r="AI1071" s="20" t="str">
        <f>IF(AG1071="","",IF($F1071="Bernardino Furlan",_xlfn.XLOOKUP(AG1071,Cadastros!$G$6:$G$90,Cadastros!$H$6:$H$90)*(1-0.18),IF($F1071="Mauro José Salanti",_xlfn.XLOOKUP(AG1071,Cadastros!$G$6:$G$90,Cadastros!$H$6:$H$90)*(1-0.18),_xlfn.XLOOKUP(AG1071,Cadastros!$G$6:$G$90,Cadastros!$H$6:$H$90))))</f>
        <v/>
      </c>
      <c r="AJ1071" s="168" t="str">
        <f t="shared" si="215"/>
        <v/>
      </c>
      <c r="AK1071" s="168" t="str">
        <f t="shared" si="216"/>
        <v/>
      </c>
      <c r="AL1071" s="28"/>
      <c r="AM1071" s="28"/>
      <c r="AN1071" s="20" t="str">
        <f>IF(AL1071="","",IF($F1071="Bernardino Furlan",_xlfn.XLOOKUP(AL1071,Cadastros!$G$6:$G$90,Cadastros!$H$6:$H$90)*(1-0.18),IF($F1071="Mauro José Salanti",_xlfn.XLOOKUP(AL1071,Cadastros!$G$6:$G$90,Cadastros!$H$6:$H$90)*(1-0.18),_xlfn.XLOOKUP(AL1071,Cadastros!$G$6:$G$90,Cadastros!$H$6:$H$90))))</f>
        <v/>
      </c>
      <c r="AO1071" s="168" t="str">
        <f t="shared" si="217"/>
        <v/>
      </c>
      <c r="AP1071" s="168" t="str">
        <f t="shared" si="218"/>
        <v/>
      </c>
      <c r="AQ1071" s="28"/>
      <c r="AR1071" s="28"/>
      <c r="AS1071" s="20" t="str">
        <f>IF(AQ1071="","",IF($F1071="Bernardino Furlan",_xlfn.XLOOKUP(AQ1071,Cadastros!$G$6:$G$90,Cadastros!$H$6:$H$90)*(1-0.18),IF($F1071="Mauro José Salanti",_xlfn.XLOOKUP(AQ1071,Cadastros!$G$6:$G$90,Cadastros!$H$6:$H$90)*(1-0.18),_xlfn.XLOOKUP(AQ1071,Cadastros!$G$6:$G$90,Cadastros!$H$6:$H$90))))</f>
        <v/>
      </c>
      <c r="AT1071" s="168" t="str">
        <f t="shared" si="219"/>
        <v/>
      </c>
      <c r="AU1071" s="168" t="str">
        <f t="shared" si="220"/>
        <v/>
      </c>
      <c r="AV1071" s="227"/>
      <c r="AW1071" s="30"/>
      <c r="AX1071" s="267"/>
      <c r="AY1071" s="267"/>
      <c r="AZ1071" s="29"/>
      <c r="BA1071" s="30"/>
      <c r="BB1071" s="23" t="str" cm="1">
        <f t="array" ref="BB1071">_xlfn.IFS(AW1071="SIM",SUM(K1071,P1071,U1071,Z1071,AE1071,AJ1071,AO1071,AT1071,AX1071,AY1071),F1071&lt;&gt;"",SUM(K1071,P1071,U1071,Z1071,AE1071,AJ1071,,AO1071,AT1071),F1071="","")</f>
        <v/>
      </c>
      <c r="BC1071" s="211" t="str" cm="1">
        <f t="array" ref="BC1071">_xlfn.IFS(E1071="","",G1071&lt;=E1071,BB1071*(1-0.03),G1071&lt;(E1071+8),BB1071,AZ1071="Boleto",BB1071*(1+0.001)^DATEDIF(E1071,G1071,"D"),AZ1071="Cheque",BB1071,AZ1071="Dinheiro","Alterar forma pgto")</f>
        <v/>
      </c>
      <c r="BD1071" s="276" t="str" cm="1">
        <f t="array" ref="BD1071">IF(F1071=0," ",IF(BC1071&lt;BB1071,(_xlfn.IFS(AW1071="SIM",SUM(L1071,Q1071,V1071,AA1071,AF1071,AK1071,AP1071,AU1071)+AX1071/_xlfn.XLOOKUP(_xlfn.XLOOKUP($F1071,Clientes!$B$4:$B$39,Clientes!$C$4:$C$39),Cadastros!$L$6:$L$12,Cadastros!$M$6:$M$12)+IF($F1071="Bernardino Furlan",AY1071/2751.92,IF($F1071="Mauro José Salanti",AY1071/2751.92,AY1071/3356)),F1071&lt;&gt;0,SUM(L1071,Q1071,V1071,AA1071,AF1071,AK1071,AP1071,AU1071)))*(1-0.03),_xlfn.IFS(AW1071="SIM",SUM(L1071,Q1071,V1071,AA1071,AF1071,AK1071,AP1071,AU1071)+AX1071/_xlfn.XLOOKUP(_xlfn.XLOOKUP($F1071,Clientes!$B$4:$B$39,Clientes!$C$4:$C$39),Cadastros!$L$6:$L$12,Cadastros!$M$6:$M$12)+IF($F1071="Bernardino Furlan",AY1071/2751.92,IF($F1071="Mauro José Salanti",AY1071/2751.92,AY1071/3356)),F1071&lt;&gt;0,SUM(L1071,Q1071,V1071,AA1071,AF1071,AK1071,AP1071,AU1071))))</f>
        <v xml:space="preserve"> </v>
      </c>
      <c r="BE1071" s="120"/>
      <c r="BF1071" s="120"/>
      <c r="BG1071" s="120"/>
    </row>
    <row r="1072" spans="1:59" s="3" customFormat="1" x14ac:dyDescent="0.3">
      <c r="A1072" s="15" t="str">
        <f t="shared" si="208"/>
        <v/>
      </c>
      <c r="B1072" s="25"/>
      <c r="C1072" s="26"/>
      <c r="D1072" s="279"/>
      <c r="E1072" s="27"/>
      <c r="F1072" s="28"/>
      <c r="G1072" s="27"/>
      <c r="H1072" s="28"/>
      <c r="I1072" s="28"/>
      <c r="J1072" s="255" t="str">
        <f>IF(H1072="","",(_xlfn.XLOOKUP(H1072,Cadastros!$D$6:$D$90,Cadastros!$E$6:$E$90))*(1-_xlfn.XLOOKUP(_xlfn.XLOOKUP($F1072,Clientes!$B$4:$B$39,Clientes!$C$4:$C$39),Cadastros!$L$6:$L$12,Cadastros!$N$6:$N$12)))</f>
        <v/>
      </c>
      <c r="K1072" s="168" t="str">
        <f t="shared" si="209"/>
        <v/>
      </c>
      <c r="L1072" s="168" t="str">
        <f>IFERROR(K1072/_xlfn.XLOOKUP(_xlfn.XLOOKUP($F1072,Clientes!$B$4:$B$39,Clientes!$C$4:$C$39),Cadastros!$L$6:$L$12,Cadastros!$M$6:$M$12)," ")</f>
        <v xml:space="preserve"> </v>
      </c>
      <c r="M1072" s="28"/>
      <c r="N1072" s="28"/>
      <c r="O1072" s="255" t="str">
        <f>IF(M1072="","",(_xlfn.XLOOKUP(M1072,Cadastros!$D$6:$D$90,Cadastros!$E$6:$E$90))*(1-_xlfn.XLOOKUP(_xlfn.XLOOKUP($F1072,Clientes!$B$4:$B$39,Clientes!$C$4:$C$39),Cadastros!$L$6:$L$12,Cadastros!$N$6:$N$12)))</f>
        <v/>
      </c>
      <c r="P1072" s="168" t="str">
        <f t="shared" si="210"/>
        <v/>
      </c>
      <c r="Q1072" s="168" t="str">
        <f>IFERROR(P1072/_xlfn.XLOOKUP(_xlfn.XLOOKUP($F1072,Clientes!$B$4:$B$39,Clientes!$C$4:$C$39),Cadastros!$L$6:$L$12,Cadastros!$M$6:$M$12)," ")</f>
        <v xml:space="preserve"> </v>
      </c>
      <c r="R1072" s="28"/>
      <c r="S1072" s="28"/>
      <c r="T1072" s="255" t="str">
        <f>IF(R1072="","",(_xlfn.XLOOKUP(R1072,Cadastros!$D$6:$D$90,Cadastros!$E$6:$E$90))*(1-_xlfn.XLOOKUP(_xlfn.XLOOKUP($F1072,Clientes!$B$4:$B$39,Clientes!$C$4:$C$39),Cadastros!$L$6:$L$12,Cadastros!$N$6:$N$12)))</f>
        <v/>
      </c>
      <c r="U1072" s="168" t="str">
        <f t="shared" si="211"/>
        <v/>
      </c>
      <c r="V1072" s="168" t="str">
        <f>IFERROR(U1072/_xlfn.XLOOKUP(_xlfn.XLOOKUP($F1072,Clientes!$B$4:$B$39,Clientes!$C$4:$C$39),Cadastros!$L$6:$L$12,Cadastros!$M$6:$M$12)," ")</f>
        <v xml:space="preserve"> </v>
      </c>
      <c r="W1072" s="28"/>
      <c r="X1072" s="28"/>
      <c r="Y1072" s="255" t="str">
        <f>IF(W1072="","",(_xlfn.XLOOKUP(W1072,Cadastros!$D$6:$D$90,Cadastros!$E$6:$E$90))*(1-_xlfn.XLOOKUP(_xlfn.XLOOKUP($F1072,Clientes!$B$4:$B$39,Clientes!$C$4:$C$39),Cadastros!$L$6:$L$12,Cadastros!$N$6:$N$12)))</f>
        <v/>
      </c>
      <c r="Z1072" s="168" t="str">
        <f t="shared" si="212"/>
        <v/>
      </c>
      <c r="AA1072" s="168" t="str">
        <f>IFERROR(Z1072/_xlfn.XLOOKUP(_xlfn.XLOOKUP($F1072,Clientes!$B$4:$B$39,Clientes!$C$4:$C$39),Cadastros!$L$6:$L$12,Cadastros!$M$6:$M$12)," ")</f>
        <v xml:space="preserve"> </v>
      </c>
      <c r="AB1072" s="28"/>
      <c r="AC1072" s="28"/>
      <c r="AD1072" s="20" t="str">
        <f>IF(AB1072="","",IF($F1072="Bernardino Furlan",_xlfn.XLOOKUP(AB1072,Cadastros!$G$6:$G$90,Cadastros!$H$6:$H$90)*(1-0.18),IF($F1072="Mauro José Salanti",_xlfn.XLOOKUP(AB1072,Cadastros!$G$6:$G$90,Cadastros!$H$6:$H$90)*(1-0.18),_xlfn.XLOOKUP(AB1072,Cadastros!$G$6:$G$90,Cadastros!$H$6:$H$90))))</f>
        <v/>
      </c>
      <c r="AE1072" s="168" t="str">
        <f t="shared" si="213"/>
        <v/>
      </c>
      <c r="AF1072" s="168" t="str">
        <f t="shared" si="214"/>
        <v/>
      </c>
      <c r="AG1072" s="28"/>
      <c r="AH1072" s="28"/>
      <c r="AI1072" s="20" t="str">
        <f>IF(AG1072="","",IF($F1072="Bernardino Furlan",_xlfn.XLOOKUP(AG1072,Cadastros!$G$6:$G$90,Cadastros!$H$6:$H$90)*(1-0.18),IF($F1072="Mauro José Salanti",_xlfn.XLOOKUP(AG1072,Cadastros!$G$6:$G$90,Cadastros!$H$6:$H$90)*(1-0.18),_xlfn.XLOOKUP(AG1072,Cadastros!$G$6:$G$90,Cadastros!$H$6:$H$90))))</f>
        <v/>
      </c>
      <c r="AJ1072" s="168" t="str">
        <f t="shared" si="215"/>
        <v/>
      </c>
      <c r="AK1072" s="168" t="str">
        <f t="shared" si="216"/>
        <v/>
      </c>
      <c r="AL1072" s="28"/>
      <c r="AM1072" s="28"/>
      <c r="AN1072" s="20" t="str">
        <f>IF(AL1072="","",IF($F1072="Bernardino Furlan",_xlfn.XLOOKUP(AL1072,Cadastros!$G$6:$G$90,Cadastros!$H$6:$H$90)*(1-0.18),IF($F1072="Mauro José Salanti",_xlfn.XLOOKUP(AL1072,Cadastros!$G$6:$G$90,Cadastros!$H$6:$H$90)*(1-0.18),_xlfn.XLOOKUP(AL1072,Cadastros!$G$6:$G$90,Cadastros!$H$6:$H$90))))</f>
        <v/>
      </c>
      <c r="AO1072" s="168" t="str">
        <f t="shared" si="217"/>
        <v/>
      </c>
      <c r="AP1072" s="168" t="str">
        <f t="shared" si="218"/>
        <v/>
      </c>
      <c r="AQ1072" s="28"/>
      <c r="AR1072" s="28"/>
      <c r="AS1072" s="20" t="str">
        <f>IF(AQ1072="","",IF($F1072="Bernardino Furlan",_xlfn.XLOOKUP(AQ1072,Cadastros!$G$6:$G$90,Cadastros!$H$6:$H$90)*(1-0.18),IF($F1072="Mauro José Salanti",_xlfn.XLOOKUP(AQ1072,Cadastros!$G$6:$G$90,Cadastros!$H$6:$H$90)*(1-0.18),_xlfn.XLOOKUP(AQ1072,Cadastros!$G$6:$G$90,Cadastros!$H$6:$H$90))))</f>
        <v/>
      </c>
      <c r="AT1072" s="168" t="str">
        <f t="shared" si="219"/>
        <v/>
      </c>
      <c r="AU1072" s="168" t="str">
        <f t="shared" si="220"/>
        <v/>
      </c>
      <c r="AV1072" s="227"/>
      <c r="AW1072" s="30"/>
      <c r="AX1072" s="267"/>
      <c r="AY1072" s="267"/>
      <c r="AZ1072" s="29"/>
      <c r="BA1072" s="30"/>
      <c r="BB1072" s="23" t="str" cm="1">
        <f t="array" ref="BB1072">_xlfn.IFS(AW1072="SIM",SUM(K1072,P1072,U1072,Z1072,AE1072,AJ1072,AO1072,AT1072,AX1072,AY1072),F1072&lt;&gt;"",SUM(K1072,P1072,U1072,Z1072,AE1072,AJ1072,,AO1072,AT1072),F1072="","")</f>
        <v/>
      </c>
      <c r="BC1072" s="211" t="str" cm="1">
        <f t="array" ref="BC1072">_xlfn.IFS(E1072="","",G1072&lt;=E1072,BB1072*(1-0.03),G1072&lt;(E1072+8),BB1072,AZ1072="Boleto",BB1072*(1+0.001)^DATEDIF(E1072,G1072,"D"),AZ1072="Cheque",BB1072,AZ1072="Dinheiro","Alterar forma pgto")</f>
        <v/>
      </c>
      <c r="BD1072" s="276" t="str" cm="1">
        <f t="array" ref="BD1072">IF(F1072=0," ",IF(BC1072&lt;BB1072,(_xlfn.IFS(AW1072="SIM",SUM(L1072,Q1072,V1072,AA1072,AF1072,AK1072,AP1072,AU1072)+AX1072/_xlfn.XLOOKUP(_xlfn.XLOOKUP($F1072,Clientes!$B$4:$B$39,Clientes!$C$4:$C$39),Cadastros!$L$6:$L$12,Cadastros!$M$6:$M$12)+IF($F1072="Bernardino Furlan",AY1072/2751.92,IF($F1072="Mauro José Salanti",AY1072/2751.92,AY1072/3356)),F1072&lt;&gt;0,SUM(L1072,Q1072,V1072,AA1072,AF1072,AK1072,AP1072,AU1072)))*(1-0.03),_xlfn.IFS(AW1072="SIM",SUM(L1072,Q1072,V1072,AA1072,AF1072,AK1072,AP1072,AU1072)+AX1072/_xlfn.XLOOKUP(_xlfn.XLOOKUP($F1072,Clientes!$B$4:$B$39,Clientes!$C$4:$C$39),Cadastros!$L$6:$L$12,Cadastros!$M$6:$M$12)+IF($F1072="Bernardino Furlan",AY1072/2751.92,IF($F1072="Mauro José Salanti",AY1072/2751.92,AY1072/3356)),F1072&lt;&gt;0,SUM(L1072,Q1072,V1072,AA1072,AF1072,AK1072,AP1072,AU1072))))</f>
        <v xml:space="preserve"> </v>
      </c>
      <c r="BE1072" s="120"/>
      <c r="BF1072" s="120"/>
      <c r="BG1072" s="120"/>
    </row>
    <row r="1073" spans="1:59" s="3" customFormat="1" x14ac:dyDescent="0.3">
      <c r="A1073" s="15" t="str">
        <f t="shared" si="208"/>
        <v/>
      </c>
      <c r="B1073" s="25"/>
      <c r="C1073" s="26"/>
      <c r="D1073" s="279"/>
      <c r="E1073" s="27"/>
      <c r="F1073" s="28"/>
      <c r="G1073" s="27"/>
      <c r="H1073" s="28"/>
      <c r="I1073" s="28"/>
      <c r="J1073" s="255" t="str">
        <f>IF(H1073="","",(_xlfn.XLOOKUP(H1073,Cadastros!$D$6:$D$90,Cadastros!$E$6:$E$90))*(1-_xlfn.XLOOKUP(_xlfn.XLOOKUP($F1073,Clientes!$B$4:$B$39,Clientes!$C$4:$C$39),Cadastros!$L$6:$L$12,Cadastros!$N$6:$N$12)))</f>
        <v/>
      </c>
      <c r="K1073" s="168" t="str">
        <f t="shared" si="209"/>
        <v/>
      </c>
      <c r="L1073" s="168" t="str">
        <f>IFERROR(K1073/_xlfn.XLOOKUP(_xlfn.XLOOKUP($F1073,Clientes!$B$4:$B$39,Clientes!$C$4:$C$39),Cadastros!$L$6:$L$12,Cadastros!$M$6:$M$12)," ")</f>
        <v xml:space="preserve"> </v>
      </c>
      <c r="M1073" s="28"/>
      <c r="N1073" s="28"/>
      <c r="O1073" s="255" t="str">
        <f>IF(M1073="","",(_xlfn.XLOOKUP(M1073,Cadastros!$D$6:$D$90,Cadastros!$E$6:$E$90))*(1-_xlfn.XLOOKUP(_xlfn.XLOOKUP($F1073,Clientes!$B$4:$B$39,Clientes!$C$4:$C$39),Cadastros!$L$6:$L$12,Cadastros!$N$6:$N$12)))</f>
        <v/>
      </c>
      <c r="P1073" s="168" t="str">
        <f t="shared" si="210"/>
        <v/>
      </c>
      <c r="Q1073" s="168" t="str">
        <f>IFERROR(P1073/_xlfn.XLOOKUP(_xlfn.XLOOKUP($F1073,Clientes!$B$4:$B$39,Clientes!$C$4:$C$39),Cadastros!$L$6:$L$12,Cadastros!$M$6:$M$12)," ")</f>
        <v xml:space="preserve"> </v>
      </c>
      <c r="R1073" s="28"/>
      <c r="S1073" s="28"/>
      <c r="T1073" s="255" t="str">
        <f>IF(R1073="","",(_xlfn.XLOOKUP(R1073,Cadastros!$D$6:$D$90,Cadastros!$E$6:$E$90))*(1-_xlfn.XLOOKUP(_xlfn.XLOOKUP($F1073,Clientes!$B$4:$B$39,Clientes!$C$4:$C$39),Cadastros!$L$6:$L$12,Cadastros!$N$6:$N$12)))</f>
        <v/>
      </c>
      <c r="U1073" s="168" t="str">
        <f t="shared" si="211"/>
        <v/>
      </c>
      <c r="V1073" s="168" t="str">
        <f>IFERROR(U1073/_xlfn.XLOOKUP(_xlfn.XLOOKUP($F1073,Clientes!$B$4:$B$39,Clientes!$C$4:$C$39),Cadastros!$L$6:$L$12,Cadastros!$M$6:$M$12)," ")</f>
        <v xml:space="preserve"> </v>
      </c>
      <c r="W1073" s="28"/>
      <c r="X1073" s="28"/>
      <c r="Y1073" s="255" t="str">
        <f>IF(W1073="","",(_xlfn.XLOOKUP(W1073,Cadastros!$D$6:$D$90,Cadastros!$E$6:$E$90))*(1-_xlfn.XLOOKUP(_xlfn.XLOOKUP($F1073,Clientes!$B$4:$B$39,Clientes!$C$4:$C$39),Cadastros!$L$6:$L$12,Cadastros!$N$6:$N$12)))</f>
        <v/>
      </c>
      <c r="Z1073" s="168" t="str">
        <f t="shared" si="212"/>
        <v/>
      </c>
      <c r="AA1073" s="168" t="str">
        <f>IFERROR(Z1073/_xlfn.XLOOKUP(_xlfn.XLOOKUP($F1073,Clientes!$B$4:$B$39,Clientes!$C$4:$C$39),Cadastros!$L$6:$L$12,Cadastros!$M$6:$M$12)," ")</f>
        <v xml:space="preserve"> </v>
      </c>
      <c r="AB1073" s="28"/>
      <c r="AC1073" s="28"/>
      <c r="AD1073" s="20" t="str">
        <f>IF(AB1073="","",IF($F1073="Bernardino Furlan",_xlfn.XLOOKUP(AB1073,Cadastros!$G$6:$G$90,Cadastros!$H$6:$H$90)*(1-0.18),IF($F1073="Mauro José Salanti",_xlfn.XLOOKUP(AB1073,Cadastros!$G$6:$G$90,Cadastros!$H$6:$H$90)*(1-0.18),_xlfn.XLOOKUP(AB1073,Cadastros!$G$6:$G$90,Cadastros!$H$6:$H$90))))</f>
        <v/>
      </c>
      <c r="AE1073" s="168" t="str">
        <f t="shared" si="213"/>
        <v/>
      </c>
      <c r="AF1073" s="168" t="str">
        <f t="shared" si="214"/>
        <v/>
      </c>
      <c r="AG1073" s="28"/>
      <c r="AH1073" s="28"/>
      <c r="AI1073" s="20" t="str">
        <f>IF(AG1073="","",IF($F1073="Bernardino Furlan",_xlfn.XLOOKUP(AG1073,Cadastros!$G$6:$G$90,Cadastros!$H$6:$H$90)*(1-0.18),IF($F1073="Mauro José Salanti",_xlfn.XLOOKUP(AG1073,Cadastros!$G$6:$G$90,Cadastros!$H$6:$H$90)*(1-0.18),_xlfn.XLOOKUP(AG1073,Cadastros!$G$6:$G$90,Cadastros!$H$6:$H$90))))</f>
        <v/>
      </c>
      <c r="AJ1073" s="168" t="str">
        <f t="shared" si="215"/>
        <v/>
      </c>
      <c r="AK1073" s="168" t="str">
        <f t="shared" si="216"/>
        <v/>
      </c>
      <c r="AL1073" s="28"/>
      <c r="AM1073" s="28"/>
      <c r="AN1073" s="20" t="str">
        <f>IF(AL1073="","",IF($F1073="Bernardino Furlan",_xlfn.XLOOKUP(AL1073,Cadastros!$G$6:$G$90,Cadastros!$H$6:$H$90)*(1-0.18),IF($F1073="Mauro José Salanti",_xlfn.XLOOKUP(AL1073,Cadastros!$G$6:$G$90,Cadastros!$H$6:$H$90)*(1-0.18),_xlfn.XLOOKUP(AL1073,Cadastros!$G$6:$G$90,Cadastros!$H$6:$H$90))))</f>
        <v/>
      </c>
      <c r="AO1073" s="168" t="str">
        <f t="shared" si="217"/>
        <v/>
      </c>
      <c r="AP1073" s="168" t="str">
        <f t="shared" si="218"/>
        <v/>
      </c>
      <c r="AQ1073" s="28"/>
      <c r="AR1073" s="28"/>
      <c r="AS1073" s="20" t="str">
        <f>IF(AQ1073="","",IF($F1073="Bernardino Furlan",_xlfn.XLOOKUP(AQ1073,Cadastros!$G$6:$G$90,Cadastros!$H$6:$H$90)*(1-0.18),IF($F1073="Mauro José Salanti",_xlfn.XLOOKUP(AQ1073,Cadastros!$G$6:$G$90,Cadastros!$H$6:$H$90)*(1-0.18),_xlfn.XLOOKUP(AQ1073,Cadastros!$G$6:$G$90,Cadastros!$H$6:$H$90))))</f>
        <v/>
      </c>
      <c r="AT1073" s="168" t="str">
        <f t="shared" si="219"/>
        <v/>
      </c>
      <c r="AU1073" s="168" t="str">
        <f t="shared" si="220"/>
        <v/>
      </c>
      <c r="AV1073" s="227"/>
      <c r="AW1073" s="30"/>
      <c r="AX1073" s="267"/>
      <c r="AY1073" s="267"/>
      <c r="AZ1073" s="29"/>
      <c r="BA1073" s="30"/>
      <c r="BB1073" s="23" t="str" cm="1">
        <f t="array" ref="BB1073">_xlfn.IFS(AW1073="SIM",SUM(K1073,P1073,U1073,Z1073,AE1073,AJ1073,AO1073,AT1073,AX1073,AY1073),F1073&lt;&gt;"",SUM(K1073,P1073,U1073,Z1073,AE1073,AJ1073,,AO1073,AT1073),F1073="","")</f>
        <v/>
      </c>
      <c r="BC1073" s="211" t="str" cm="1">
        <f t="array" ref="BC1073">_xlfn.IFS(E1073="","",G1073&lt;=E1073,BB1073*(1-0.03),G1073&lt;(E1073+8),BB1073,AZ1073="Boleto",BB1073*(1+0.001)^DATEDIF(E1073,G1073,"D"),AZ1073="Cheque",BB1073,AZ1073="Dinheiro","Alterar forma pgto")</f>
        <v/>
      </c>
      <c r="BD1073" s="276" t="str" cm="1">
        <f t="array" ref="BD1073">IF(F1073=0," ",IF(BC1073&lt;BB1073,(_xlfn.IFS(AW1073="SIM",SUM(L1073,Q1073,V1073,AA1073,AF1073,AK1073,AP1073,AU1073)+AX1073/_xlfn.XLOOKUP(_xlfn.XLOOKUP($F1073,Clientes!$B$4:$B$39,Clientes!$C$4:$C$39),Cadastros!$L$6:$L$12,Cadastros!$M$6:$M$12)+IF($F1073="Bernardino Furlan",AY1073/2751.92,IF($F1073="Mauro José Salanti",AY1073/2751.92,AY1073/3356)),F1073&lt;&gt;0,SUM(L1073,Q1073,V1073,AA1073,AF1073,AK1073,AP1073,AU1073)))*(1-0.03),_xlfn.IFS(AW1073="SIM",SUM(L1073,Q1073,V1073,AA1073,AF1073,AK1073,AP1073,AU1073)+AX1073/_xlfn.XLOOKUP(_xlfn.XLOOKUP($F1073,Clientes!$B$4:$B$39,Clientes!$C$4:$C$39),Cadastros!$L$6:$L$12,Cadastros!$M$6:$M$12)+IF($F1073="Bernardino Furlan",AY1073/2751.92,IF($F1073="Mauro José Salanti",AY1073/2751.92,AY1073/3356)),F1073&lt;&gt;0,SUM(L1073,Q1073,V1073,AA1073,AF1073,AK1073,AP1073,AU1073))))</f>
        <v xml:space="preserve"> </v>
      </c>
      <c r="BE1073" s="120"/>
      <c r="BF1073" s="120"/>
      <c r="BG1073" s="120"/>
    </row>
    <row r="1074" spans="1:59" s="3" customFormat="1" x14ac:dyDescent="0.3">
      <c r="A1074" s="15" t="str">
        <f t="shared" si="208"/>
        <v/>
      </c>
      <c r="B1074" s="25"/>
      <c r="C1074" s="26"/>
      <c r="D1074" s="279"/>
      <c r="E1074" s="27"/>
      <c r="F1074" s="28"/>
      <c r="G1074" s="27"/>
      <c r="H1074" s="28"/>
      <c r="I1074" s="28"/>
      <c r="J1074" s="255" t="str">
        <f>IF(H1074="","",(_xlfn.XLOOKUP(H1074,Cadastros!$D$6:$D$90,Cadastros!$E$6:$E$90))*(1-_xlfn.XLOOKUP(_xlfn.XLOOKUP($F1074,Clientes!$B$4:$B$39,Clientes!$C$4:$C$39),Cadastros!$L$6:$L$12,Cadastros!$N$6:$N$12)))</f>
        <v/>
      </c>
      <c r="K1074" s="168" t="str">
        <f t="shared" si="209"/>
        <v/>
      </c>
      <c r="L1074" s="168" t="str">
        <f>IFERROR(K1074/_xlfn.XLOOKUP(_xlfn.XLOOKUP($F1074,Clientes!$B$4:$B$39,Clientes!$C$4:$C$39),Cadastros!$L$6:$L$12,Cadastros!$M$6:$M$12)," ")</f>
        <v xml:space="preserve"> </v>
      </c>
      <c r="M1074" s="28"/>
      <c r="N1074" s="28"/>
      <c r="O1074" s="255" t="str">
        <f>IF(M1074="","",(_xlfn.XLOOKUP(M1074,Cadastros!$D$6:$D$90,Cadastros!$E$6:$E$90))*(1-_xlfn.XLOOKUP(_xlfn.XLOOKUP($F1074,Clientes!$B$4:$B$39,Clientes!$C$4:$C$39),Cadastros!$L$6:$L$12,Cadastros!$N$6:$N$12)))</f>
        <v/>
      </c>
      <c r="P1074" s="168" t="str">
        <f t="shared" si="210"/>
        <v/>
      </c>
      <c r="Q1074" s="168" t="str">
        <f>IFERROR(P1074/_xlfn.XLOOKUP(_xlfn.XLOOKUP($F1074,Clientes!$B$4:$B$39,Clientes!$C$4:$C$39),Cadastros!$L$6:$L$12,Cadastros!$M$6:$M$12)," ")</f>
        <v xml:space="preserve"> </v>
      </c>
      <c r="R1074" s="28"/>
      <c r="S1074" s="28"/>
      <c r="T1074" s="255" t="str">
        <f>IF(R1074="","",(_xlfn.XLOOKUP(R1074,Cadastros!$D$6:$D$90,Cadastros!$E$6:$E$90))*(1-_xlfn.XLOOKUP(_xlfn.XLOOKUP($F1074,Clientes!$B$4:$B$39,Clientes!$C$4:$C$39),Cadastros!$L$6:$L$12,Cadastros!$N$6:$N$12)))</f>
        <v/>
      </c>
      <c r="U1074" s="168" t="str">
        <f t="shared" si="211"/>
        <v/>
      </c>
      <c r="V1074" s="168" t="str">
        <f>IFERROR(U1074/_xlfn.XLOOKUP(_xlfn.XLOOKUP($F1074,Clientes!$B$4:$B$39,Clientes!$C$4:$C$39),Cadastros!$L$6:$L$12,Cadastros!$M$6:$M$12)," ")</f>
        <v xml:space="preserve"> </v>
      </c>
      <c r="W1074" s="28"/>
      <c r="X1074" s="28"/>
      <c r="Y1074" s="255" t="str">
        <f>IF(W1074="","",(_xlfn.XLOOKUP(W1074,Cadastros!$D$6:$D$90,Cadastros!$E$6:$E$90))*(1-_xlfn.XLOOKUP(_xlfn.XLOOKUP($F1074,Clientes!$B$4:$B$39,Clientes!$C$4:$C$39),Cadastros!$L$6:$L$12,Cadastros!$N$6:$N$12)))</f>
        <v/>
      </c>
      <c r="Z1074" s="168" t="str">
        <f t="shared" si="212"/>
        <v/>
      </c>
      <c r="AA1074" s="168" t="str">
        <f>IFERROR(Z1074/_xlfn.XLOOKUP(_xlfn.XLOOKUP($F1074,Clientes!$B$4:$B$39,Clientes!$C$4:$C$39),Cadastros!$L$6:$L$12,Cadastros!$M$6:$M$12)," ")</f>
        <v xml:space="preserve"> </v>
      </c>
      <c r="AB1074" s="28"/>
      <c r="AC1074" s="28"/>
      <c r="AD1074" s="20" t="str">
        <f>IF(AB1074="","",IF($F1074="Bernardino Furlan",_xlfn.XLOOKUP(AB1074,Cadastros!$G$6:$G$90,Cadastros!$H$6:$H$90)*(1-0.18),IF($F1074="Mauro José Salanti",_xlfn.XLOOKUP(AB1074,Cadastros!$G$6:$G$90,Cadastros!$H$6:$H$90)*(1-0.18),_xlfn.XLOOKUP(AB1074,Cadastros!$G$6:$G$90,Cadastros!$H$6:$H$90))))</f>
        <v/>
      </c>
      <c r="AE1074" s="168" t="str">
        <f t="shared" si="213"/>
        <v/>
      </c>
      <c r="AF1074" s="168" t="str">
        <f t="shared" si="214"/>
        <v/>
      </c>
      <c r="AG1074" s="28"/>
      <c r="AH1074" s="28"/>
      <c r="AI1074" s="20" t="str">
        <f>IF(AG1074="","",IF($F1074="Bernardino Furlan",_xlfn.XLOOKUP(AG1074,Cadastros!$G$6:$G$90,Cadastros!$H$6:$H$90)*(1-0.18),IF($F1074="Mauro José Salanti",_xlfn.XLOOKUP(AG1074,Cadastros!$G$6:$G$90,Cadastros!$H$6:$H$90)*(1-0.18),_xlfn.XLOOKUP(AG1074,Cadastros!$G$6:$G$90,Cadastros!$H$6:$H$90))))</f>
        <v/>
      </c>
      <c r="AJ1074" s="168" t="str">
        <f t="shared" si="215"/>
        <v/>
      </c>
      <c r="AK1074" s="168" t="str">
        <f t="shared" si="216"/>
        <v/>
      </c>
      <c r="AL1074" s="28"/>
      <c r="AM1074" s="28"/>
      <c r="AN1074" s="20" t="str">
        <f>IF(AL1074="","",IF($F1074="Bernardino Furlan",_xlfn.XLOOKUP(AL1074,Cadastros!$G$6:$G$90,Cadastros!$H$6:$H$90)*(1-0.18),IF($F1074="Mauro José Salanti",_xlfn.XLOOKUP(AL1074,Cadastros!$G$6:$G$90,Cadastros!$H$6:$H$90)*(1-0.18),_xlfn.XLOOKUP(AL1074,Cadastros!$G$6:$G$90,Cadastros!$H$6:$H$90))))</f>
        <v/>
      </c>
      <c r="AO1074" s="168" t="str">
        <f t="shared" si="217"/>
        <v/>
      </c>
      <c r="AP1074" s="168" t="str">
        <f t="shared" si="218"/>
        <v/>
      </c>
      <c r="AQ1074" s="28"/>
      <c r="AR1074" s="28"/>
      <c r="AS1074" s="20" t="str">
        <f>IF(AQ1074="","",IF($F1074="Bernardino Furlan",_xlfn.XLOOKUP(AQ1074,Cadastros!$G$6:$G$90,Cadastros!$H$6:$H$90)*(1-0.18),IF($F1074="Mauro José Salanti",_xlfn.XLOOKUP(AQ1074,Cadastros!$G$6:$G$90,Cadastros!$H$6:$H$90)*(1-0.18),_xlfn.XLOOKUP(AQ1074,Cadastros!$G$6:$G$90,Cadastros!$H$6:$H$90))))</f>
        <v/>
      </c>
      <c r="AT1074" s="168" t="str">
        <f t="shared" si="219"/>
        <v/>
      </c>
      <c r="AU1074" s="168" t="str">
        <f t="shared" si="220"/>
        <v/>
      </c>
      <c r="AV1074" s="227"/>
      <c r="AW1074" s="30"/>
      <c r="AX1074" s="267"/>
      <c r="AY1074" s="267"/>
      <c r="AZ1074" s="29"/>
      <c r="BA1074" s="30"/>
      <c r="BB1074" s="23" t="str" cm="1">
        <f t="array" ref="BB1074">_xlfn.IFS(AW1074="SIM",SUM(K1074,P1074,U1074,Z1074,AE1074,AJ1074,AO1074,AT1074,AX1074,AY1074),F1074&lt;&gt;"",SUM(K1074,P1074,U1074,Z1074,AE1074,AJ1074,,AO1074,AT1074),F1074="","")</f>
        <v/>
      </c>
      <c r="BC1074" s="211" t="str" cm="1">
        <f t="array" ref="BC1074">_xlfn.IFS(E1074="","",G1074&lt;=E1074,BB1074*(1-0.03),G1074&lt;(E1074+8),BB1074,AZ1074="Boleto",BB1074*(1+0.001)^DATEDIF(E1074,G1074,"D"),AZ1074="Cheque",BB1074,AZ1074="Dinheiro","Alterar forma pgto")</f>
        <v/>
      </c>
      <c r="BD1074" s="276" t="str" cm="1">
        <f t="array" ref="BD1074">IF(F1074=0," ",IF(BC1074&lt;BB1074,(_xlfn.IFS(AW1074="SIM",SUM(L1074,Q1074,V1074,AA1074,AF1074,AK1074,AP1074,AU1074)+AX1074/_xlfn.XLOOKUP(_xlfn.XLOOKUP($F1074,Clientes!$B$4:$B$39,Clientes!$C$4:$C$39),Cadastros!$L$6:$L$12,Cadastros!$M$6:$M$12)+IF($F1074="Bernardino Furlan",AY1074/2751.92,IF($F1074="Mauro José Salanti",AY1074/2751.92,AY1074/3356)),F1074&lt;&gt;0,SUM(L1074,Q1074,V1074,AA1074,AF1074,AK1074,AP1074,AU1074)))*(1-0.03),_xlfn.IFS(AW1074="SIM",SUM(L1074,Q1074,V1074,AA1074,AF1074,AK1074,AP1074,AU1074)+AX1074/_xlfn.XLOOKUP(_xlfn.XLOOKUP($F1074,Clientes!$B$4:$B$39,Clientes!$C$4:$C$39),Cadastros!$L$6:$L$12,Cadastros!$M$6:$M$12)+IF($F1074="Bernardino Furlan",AY1074/2751.92,IF($F1074="Mauro José Salanti",AY1074/2751.92,AY1074/3356)),F1074&lt;&gt;0,SUM(L1074,Q1074,V1074,AA1074,AF1074,AK1074,AP1074,AU1074))))</f>
        <v xml:space="preserve"> </v>
      </c>
      <c r="BE1074" s="120"/>
      <c r="BF1074" s="120"/>
      <c r="BG1074" s="120"/>
    </row>
    <row r="1075" spans="1:59" s="3" customFormat="1" x14ac:dyDescent="0.3">
      <c r="A1075" s="15" t="str">
        <f t="shared" si="208"/>
        <v/>
      </c>
      <c r="B1075" s="25"/>
      <c r="C1075" s="26"/>
      <c r="D1075" s="279"/>
      <c r="E1075" s="27"/>
      <c r="F1075" s="28"/>
      <c r="G1075" s="27"/>
      <c r="H1075" s="28"/>
      <c r="I1075" s="28"/>
      <c r="J1075" s="255" t="str">
        <f>IF(H1075="","",(_xlfn.XLOOKUP(H1075,Cadastros!$D$6:$D$90,Cadastros!$E$6:$E$90))*(1-_xlfn.XLOOKUP(_xlfn.XLOOKUP($F1075,Clientes!$B$4:$B$39,Clientes!$C$4:$C$39),Cadastros!$L$6:$L$12,Cadastros!$N$6:$N$12)))</f>
        <v/>
      </c>
      <c r="K1075" s="168" t="str">
        <f t="shared" si="209"/>
        <v/>
      </c>
      <c r="L1075" s="168" t="str">
        <f>IFERROR(K1075/_xlfn.XLOOKUP(_xlfn.XLOOKUP($F1075,Clientes!$B$4:$B$39,Clientes!$C$4:$C$39),Cadastros!$L$6:$L$12,Cadastros!$M$6:$M$12)," ")</f>
        <v xml:space="preserve"> </v>
      </c>
      <c r="M1075" s="28"/>
      <c r="N1075" s="28"/>
      <c r="O1075" s="255" t="str">
        <f>IF(M1075="","",(_xlfn.XLOOKUP(M1075,Cadastros!$D$6:$D$90,Cadastros!$E$6:$E$90))*(1-_xlfn.XLOOKUP(_xlfn.XLOOKUP($F1075,Clientes!$B$4:$B$39,Clientes!$C$4:$C$39),Cadastros!$L$6:$L$12,Cadastros!$N$6:$N$12)))</f>
        <v/>
      </c>
      <c r="P1075" s="168" t="str">
        <f t="shared" si="210"/>
        <v/>
      </c>
      <c r="Q1075" s="168" t="str">
        <f>IFERROR(P1075/_xlfn.XLOOKUP(_xlfn.XLOOKUP($F1075,Clientes!$B$4:$B$39,Clientes!$C$4:$C$39),Cadastros!$L$6:$L$12,Cadastros!$M$6:$M$12)," ")</f>
        <v xml:space="preserve"> </v>
      </c>
      <c r="R1075" s="28"/>
      <c r="S1075" s="28"/>
      <c r="T1075" s="255" t="str">
        <f>IF(R1075="","",(_xlfn.XLOOKUP(R1075,Cadastros!$D$6:$D$90,Cadastros!$E$6:$E$90))*(1-_xlfn.XLOOKUP(_xlfn.XLOOKUP($F1075,Clientes!$B$4:$B$39,Clientes!$C$4:$C$39),Cadastros!$L$6:$L$12,Cadastros!$N$6:$N$12)))</f>
        <v/>
      </c>
      <c r="U1075" s="168" t="str">
        <f t="shared" si="211"/>
        <v/>
      </c>
      <c r="V1075" s="168" t="str">
        <f>IFERROR(U1075/_xlfn.XLOOKUP(_xlfn.XLOOKUP($F1075,Clientes!$B$4:$B$39,Clientes!$C$4:$C$39),Cadastros!$L$6:$L$12,Cadastros!$M$6:$M$12)," ")</f>
        <v xml:space="preserve"> </v>
      </c>
      <c r="W1075" s="28"/>
      <c r="X1075" s="28"/>
      <c r="Y1075" s="255" t="str">
        <f>IF(W1075="","",(_xlfn.XLOOKUP(W1075,Cadastros!$D$6:$D$90,Cadastros!$E$6:$E$90))*(1-_xlfn.XLOOKUP(_xlfn.XLOOKUP($F1075,Clientes!$B$4:$B$39,Clientes!$C$4:$C$39),Cadastros!$L$6:$L$12,Cadastros!$N$6:$N$12)))</f>
        <v/>
      </c>
      <c r="Z1075" s="168" t="str">
        <f t="shared" si="212"/>
        <v/>
      </c>
      <c r="AA1075" s="168" t="str">
        <f>IFERROR(Z1075/_xlfn.XLOOKUP(_xlfn.XLOOKUP($F1075,Clientes!$B$4:$B$39,Clientes!$C$4:$C$39),Cadastros!$L$6:$L$12,Cadastros!$M$6:$M$12)," ")</f>
        <v xml:space="preserve"> </v>
      </c>
      <c r="AB1075" s="28"/>
      <c r="AC1075" s="28"/>
      <c r="AD1075" s="20" t="str">
        <f>IF(AB1075="","",IF($F1075="Bernardino Furlan",_xlfn.XLOOKUP(AB1075,Cadastros!$G$6:$G$90,Cadastros!$H$6:$H$90)*(1-0.18),IF($F1075="Mauro José Salanti",_xlfn.XLOOKUP(AB1075,Cadastros!$G$6:$G$90,Cadastros!$H$6:$H$90)*(1-0.18),_xlfn.XLOOKUP(AB1075,Cadastros!$G$6:$G$90,Cadastros!$H$6:$H$90))))</f>
        <v/>
      </c>
      <c r="AE1075" s="168" t="str">
        <f t="shared" si="213"/>
        <v/>
      </c>
      <c r="AF1075" s="168" t="str">
        <f t="shared" si="214"/>
        <v/>
      </c>
      <c r="AG1075" s="28"/>
      <c r="AH1075" s="28"/>
      <c r="AI1075" s="20" t="str">
        <f>IF(AG1075="","",IF($F1075="Bernardino Furlan",_xlfn.XLOOKUP(AG1075,Cadastros!$G$6:$G$90,Cadastros!$H$6:$H$90)*(1-0.18),IF($F1075="Mauro José Salanti",_xlfn.XLOOKUP(AG1075,Cadastros!$G$6:$G$90,Cadastros!$H$6:$H$90)*(1-0.18),_xlfn.XLOOKUP(AG1075,Cadastros!$G$6:$G$90,Cadastros!$H$6:$H$90))))</f>
        <v/>
      </c>
      <c r="AJ1075" s="168" t="str">
        <f t="shared" si="215"/>
        <v/>
      </c>
      <c r="AK1075" s="168" t="str">
        <f t="shared" si="216"/>
        <v/>
      </c>
      <c r="AL1075" s="28"/>
      <c r="AM1075" s="28"/>
      <c r="AN1075" s="20" t="str">
        <f>IF(AL1075="","",IF($F1075="Bernardino Furlan",_xlfn.XLOOKUP(AL1075,Cadastros!$G$6:$G$90,Cadastros!$H$6:$H$90)*(1-0.18),IF($F1075="Mauro José Salanti",_xlfn.XLOOKUP(AL1075,Cadastros!$G$6:$G$90,Cadastros!$H$6:$H$90)*(1-0.18),_xlfn.XLOOKUP(AL1075,Cadastros!$G$6:$G$90,Cadastros!$H$6:$H$90))))</f>
        <v/>
      </c>
      <c r="AO1075" s="168" t="str">
        <f t="shared" si="217"/>
        <v/>
      </c>
      <c r="AP1075" s="168" t="str">
        <f t="shared" si="218"/>
        <v/>
      </c>
      <c r="AQ1075" s="28"/>
      <c r="AR1075" s="28"/>
      <c r="AS1075" s="20" t="str">
        <f>IF(AQ1075="","",IF($F1075="Bernardino Furlan",_xlfn.XLOOKUP(AQ1075,Cadastros!$G$6:$G$90,Cadastros!$H$6:$H$90)*(1-0.18),IF($F1075="Mauro José Salanti",_xlfn.XLOOKUP(AQ1075,Cadastros!$G$6:$G$90,Cadastros!$H$6:$H$90)*(1-0.18),_xlfn.XLOOKUP(AQ1075,Cadastros!$G$6:$G$90,Cadastros!$H$6:$H$90))))</f>
        <v/>
      </c>
      <c r="AT1075" s="168" t="str">
        <f t="shared" si="219"/>
        <v/>
      </c>
      <c r="AU1075" s="168" t="str">
        <f t="shared" si="220"/>
        <v/>
      </c>
      <c r="AV1075" s="227"/>
      <c r="AW1075" s="30"/>
      <c r="AX1075" s="267"/>
      <c r="AY1075" s="267"/>
      <c r="AZ1075" s="29"/>
      <c r="BA1075" s="30"/>
      <c r="BB1075" s="23" t="str" cm="1">
        <f t="array" ref="BB1075">_xlfn.IFS(AW1075="SIM",SUM(K1075,P1075,U1075,Z1075,AE1075,AJ1075,AO1075,AT1075,AX1075,AY1075),F1075&lt;&gt;"",SUM(K1075,P1075,U1075,Z1075,AE1075,AJ1075,,AO1075,AT1075),F1075="","")</f>
        <v/>
      </c>
      <c r="BC1075" s="211" t="str" cm="1">
        <f t="array" ref="BC1075">_xlfn.IFS(E1075="","",G1075&lt;=E1075,BB1075*(1-0.03),G1075&lt;(E1075+8),BB1075,AZ1075="Boleto",BB1075*(1+0.001)^DATEDIF(E1075,G1075,"D"),AZ1075="Cheque",BB1075,AZ1075="Dinheiro","Alterar forma pgto")</f>
        <v/>
      </c>
      <c r="BD1075" s="276" t="str" cm="1">
        <f t="array" ref="BD1075">IF(F1075=0," ",IF(BC1075&lt;BB1075,(_xlfn.IFS(AW1075="SIM",SUM(L1075,Q1075,V1075,AA1075,AF1075,AK1075,AP1075,AU1075)+AX1075/_xlfn.XLOOKUP(_xlfn.XLOOKUP($F1075,Clientes!$B$4:$B$39,Clientes!$C$4:$C$39),Cadastros!$L$6:$L$12,Cadastros!$M$6:$M$12)+IF($F1075="Bernardino Furlan",AY1075/2751.92,IF($F1075="Mauro José Salanti",AY1075/2751.92,AY1075/3356)),F1075&lt;&gt;0,SUM(L1075,Q1075,V1075,AA1075,AF1075,AK1075,AP1075,AU1075)))*(1-0.03),_xlfn.IFS(AW1075="SIM",SUM(L1075,Q1075,V1075,AA1075,AF1075,AK1075,AP1075,AU1075)+AX1075/_xlfn.XLOOKUP(_xlfn.XLOOKUP($F1075,Clientes!$B$4:$B$39,Clientes!$C$4:$C$39),Cadastros!$L$6:$L$12,Cadastros!$M$6:$M$12)+IF($F1075="Bernardino Furlan",AY1075/2751.92,IF($F1075="Mauro José Salanti",AY1075/2751.92,AY1075/3356)),F1075&lt;&gt;0,SUM(L1075,Q1075,V1075,AA1075,AF1075,AK1075,AP1075,AU1075))))</f>
        <v xml:space="preserve"> </v>
      </c>
      <c r="BE1075" s="120"/>
      <c r="BF1075" s="120"/>
      <c r="BG1075" s="120"/>
    </row>
    <row r="1076" spans="1:59" s="3" customFormat="1" x14ac:dyDescent="0.3">
      <c r="A1076" s="15" t="str">
        <f t="shared" si="208"/>
        <v/>
      </c>
      <c r="B1076" s="25"/>
      <c r="C1076" s="26"/>
      <c r="D1076" s="279"/>
      <c r="E1076" s="27"/>
      <c r="F1076" s="28"/>
      <c r="G1076" s="27"/>
      <c r="H1076" s="28"/>
      <c r="I1076" s="28"/>
      <c r="J1076" s="255" t="str">
        <f>IF(H1076="","",(_xlfn.XLOOKUP(H1076,Cadastros!$D$6:$D$90,Cadastros!$E$6:$E$90))*(1-_xlfn.XLOOKUP(_xlfn.XLOOKUP($F1076,Clientes!$B$4:$B$39,Clientes!$C$4:$C$39),Cadastros!$L$6:$L$12,Cadastros!$N$6:$N$12)))</f>
        <v/>
      </c>
      <c r="K1076" s="168" t="str">
        <f t="shared" si="209"/>
        <v/>
      </c>
      <c r="L1076" s="168" t="str">
        <f>IFERROR(K1076/_xlfn.XLOOKUP(_xlfn.XLOOKUP($F1076,Clientes!$B$4:$B$39,Clientes!$C$4:$C$39),Cadastros!$L$6:$L$12,Cadastros!$M$6:$M$12)," ")</f>
        <v xml:space="preserve"> </v>
      </c>
      <c r="M1076" s="28"/>
      <c r="N1076" s="28"/>
      <c r="O1076" s="255" t="str">
        <f>IF(M1076="","",(_xlfn.XLOOKUP(M1076,Cadastros!$D$6:$D$90,Cadastros!$E$6:$E$90))*(1-_xlfn.XLOOKUP(_xlfn.XLOOKUP($F1076,Clientes!$B$4:$B$39,Clientes!$C$4:$C$39),Cadastros!$L$6:$L$12,Cadastros!$N$6:$N$12)))</f>
        <v/>
      </c>
      <c r="P1076" s="168" t="str">
        <f t="shared" si="210"/>
        <v/>
      </c>
      <c r="Q1076" s="168" t="str">
        <f>IFERROR(P1076/_xlfn.XLOOKUP(_xlfn.XLOOKUP($F1076,Clientes!$B$4:$B$39,Clientes!$C$4:$C$39),Cadastros!$L$6:$L$12,Cadastros!$M$6:$M$12)," ")</f>
        <v xml:space="preserve"> </v>
      </c>
      <c r="R1076" s="28"/>
      <c r="S1076" s="28"/>
      <c r="T1076" s="255" t="str">
        <f>IF(R1076="","",(_xlfn.XLOOKUP(R1076,Cadastros!$D$6:$D$90,Cadastros!$E$6:$E$90))*(1-_xlfn.XLOOKUP(_xlfn.XLOOKUP($F1076,Clientes!$B$4:$B$39,Clientes!$C$4:$C$39),Cadastros!$L$6:$L$12,Cadastros!$N$6:$N$12)))</f>
        <v/>
      </c>
      <c r="U1076" s="168" t="str">
        <f t="shared" si="211"/>
        <v/>
      </c>
      <c r="V1076" s="168" t="str">
        <f>IFERROR(U1076/_xlfn.XLOOKUP(_xlfn.XLOOKUP($F1076,Clientes!$B$4:$B$39,Clientes!$C$4:$C$39),Cadastros!$L$6:$L$12,Cadastros!$M$6:$M$12)," ")</f>
        <v xml:space="preserve"> </v>
      </c>
      <c r="W1076" s="28"/>
      <c r="X1076" s="28"/>
      <c r="Y1076" s="255" t="str">
        <f>IF(W1076="","",(_xlfn.XLOOKUP(W1076,Cadastros!$D$6:$D$90,Cadastros!$E$6:$E$90))*(1-_xlfn.XLOOKUP(_xlfn.XLOOKUP($F1076,Clientes!$B$4:$B$39,Clientes!$C$4:$C$39),Cadastros!$L$6:$L$12,Cadastros!$N$6:$N$12)))</f>
        <v/>
      </c>
      <c r="Z1076" s="168" t="str">
        <f t="shared" si="212"/>
        <v/>
      </c>
      <c r="AA1076" s="168" t="str">
        <f>IFERROR(Z1076/_xlfn.XLOOKUP(_xlfn.XLOOKUP($F1076,Clientes!$B$4:$B$39,Clientes!$C$4:$C$39),Cadastros!$L$6:$L$12,Cadastros!$M$6:$M$12)," ")</f>
        <v xml:space="preserve"> </v>
      </c>
      <c r="AB1076" s="28"/>
      <c r="AC1076" s="28"/>
      <c r="AD1076" s="20" t="str">
        <f>IF(AB1076="","",IF($F1076="Bernardino Furlan",_xlfn.XLOOKUP(AB1076,Cadastros!$G$6:$G$90,Cadastros!$H$6:$H$90)*(1-0.18),IF($F1076="Mauro José Salanti",_xlfn.XLOOKUP(AB1076,Cadastros!$G$6:$G$90,Cadastros!$H$6:$H$90)*(1-0.18),_xlfn.XLOOKUP(AB1076,Cadastros!$G$6:$G$90,Cadastros!$H$6:$H$90))))</f>
        <v/>
      </c>
      <c r="AE1076" s="168" t="str">
        <f t="shared" si="213"/>
        <v/>
      </c>
      <c r="AF1076" s="168" t="str">
        <f t="shared" si="214"/>
        <v/>
      </c>
      <c r="AG1076" s="28"/>
      <c r="AH1076" s="28"/>
      <c r="AI1076" s="20" t="str">
        <f>IF(AG1076="","",IF($F1076="Bernardino Furlan",_xlfn.XLOOKUP(AG1076,Cadastros!$G$6:$G$90,Cadastros!$H$6:$H$90)*(1-0.18),IF($F1076="Mauro José Salanti",_xlfn.XLOOKUP(AG1076,Cadastros!$G$6:$G$90,Cadastros!$H$6:$H$90)*(1-0.18),_xlfn.XLOOKUP(AG1076,Cadastros!$G$6:$G$90,Cadastros!$H$6:$H$90))))</f>
        <v/>
      </c>
      <c r="AJ1076" s="168" t="str">
        <f t="shared" si="215"/>
        <v/>
      </c>
      <c r="AK1076" s="168" t="str">
        <f t="shared" si="216"/>
        <v/>
      </c>
      <c r="AL1076" s="28"/>
      <c r="AM1076" s="28"/>
      <c r="AN1076" s="20" t="str">
        <f>IF(AL1076="","",IF($F1076="Bernardino Furlan",_xlfn.XLOOKUP(AL1076,Cadastros!$G$6:$G$90,Cadastros!$H$6:$H$90)*(1-0.18),IF($F1076="Mauro José Salanti",_xlfn.XLOOKUP(AL1076,Cadastros!$G$6:$G$90,Cadastros!$H$6:$H$90)*(1-0.18),_xlfn.XLOOKUP(AL1076,Cadastros!$G$6:$G$90,Cadastros!$H$6:$H$90))))</f>
        <v/>
      </c>
      <c r="AO1076" s="168" t="str">
        <f t="shared" si="217"/>
        <v/>
      </c>
      <c r="AP1076" s="168" t="str">
        <f t="shared" si="218"/>
        <v/>
      </c>
      <c r="AQ1076" s="28"/>
      <c r="AR1076" s="28"/>
      <c r="AS1076" s="20" t="str">
        <f>IF(AQ1076="","",IF($F1076="Bernardino Furlan",_xlfn.XLOOKUP(AQ1076,Cadastros!$G$6:$G$90,Cadastros!$H$6:$H$90)*(1-0.18),IF($F1076="Mauro José Salanti",_xlfn.XLOOKUP(AQ1076,Cadastros!$G$6:$G$90,Cadastros!$H$6:$H$90)*(1-0.18),_xlfn.XLOOKUP(AQ1076,Cadastros!$G$6:$G$90,Cadastros!$H$6:$H$90))))</f>
        <v/>
      </c>
      <c r="AT1076" s="168" t="str">
        <f t="shared" si="219"/>
        <v/>
      </c>
      <c r="AU1076" s="168" t="str">
        <f t="shared" si="220"/>
        <v/>
      </c>
      <c r="AV1076" s="227"/>
      <c r="AW1076" s="30"/>
      <c r="AX1076" s="267"/>
      <c r="AY1076" s="267"/>
      <c r="AZ1076" s="29"/>
      <c r="BA1076" s="30"/>
      <c r="BB1076" s="23" t="str" cm="1">
        <f t="array" ref="BB1076">_xlfn.IFS(AW1076="SIM",SUM(K1076,P1076,U1076,Z1076,AE1076,AJ1076,AO1076,AT1076,AX1076,AY1076),F1076&lt;&gt;"",SUM(K1076,P1076,U1076,Z1076,AE1076,AJ1076,,AO1076,AT1076),F1076="","")</f>
        <v/>
      </c>
      <c r="BC1076" s="211" t="str" cm="1">
        <f t="array" ref="BC1076">_xlfn.IFS(E1076="","",G1076&lt;=E1076,BB1076*(1-0.03),G1076&lt;(E1076+8),BB1076,AZ1076="Boleto",BB1076*(1+0.001)^DATEDIF(E1076,G1076,"D"),AZ1076="Cheque",BB1076,AZ1076="Dinheiro","Alterar forma pgto")</f>
        <v/>
      </c>
      <c r="BD1076" s="276" t="str" cm="1">
        <f t="array" ref="BD1076">IF(F1076=0," ",IF(BC1076&lt;BB1076,(_xlfn.IFS(AW1076="SIM",SUM(L1076,Q1076,V1076,AA1076,AF1076,AK1076,AP1076,AU1076)+AX1076/_xlfn.XLOOKUP(_xlfn.XLOOKUP($F1076,Clientes!$B$4:$B$39,Clientes!$C$4:$C$39),Cadastros!$L$6:$L$12,Cadastros!$M$6:$M$12)+IF($F1076="Bernardino Furlan",AY1076/2751.92,IF($F1076="Mauro José Salanti",AY1076/2751.92,AY1076/3356)),F1076&lt;&gt;0,SUM(L1076,Q1076,V1076,AA1076,AF1076,AK1076,AP1076,AU1076)))*(1-0.03),_xlfn.IFS(AW1076="SIM",SUM(L1076,Q1076,V1076,AA1076,AF1076,AK1076,AP1076,AU1076)+AX1076/_xlfn.XLOOKUP(_xlfn.XLOOKUP($F1076,Clientes!$B$4:$B$39,Clientes!$C$4:$C$39),Cadastros!$L$6:$L$12,Cadastros!$M$6:$M$12)+IF($F1076="Bernardino Furlan",AY1076/2751.92,IF($F1076="Mauro José Salanti",AY1076/2751.92,AY1076/3356)),F1076&lt;&gt;0,SUM(L1076,Q1076,V1076,AA1076,AF1076,AK1076,AP1076,AU1076))))</f>
        <v xml:space="preserve"> </v>
      </c>
      <c r="BE1076" s="120"/>
      <c r="BF1076" s="120"/>
      <c r="BG1076" s="120"/>
    </row>
    <row r="1077" spans="1:59" s="3" customFormat="1" x14ac:dyDescent="0.3">
      <c r="A1077" s="15" t="str">
        <f t="shared" si="208"/>
        <v/>
      </c>
      <c r="B1077" s="25"/>
      <c r="C1077" s="26"/>
      <c r="D1077" s="279"/>
      <c r="E1077" s="27"/>
      <c r="F1077" s="28"/>
      <c r="G1077" s="27"/>
      <c r="H1077" s="28"/>
      <c r="I1077" s="28"/>
      <c r="J1077" s="255" t="str">
        <f>IF(H1077="","",(_xlfn.XLOOKUP(H1077,Cadastros!$D$6:$D$90,Cadastros!$E$6:$E$90))*(1-_xlfn.XLOOKUP(_xlfn.XLOOKUP($F1077,Clientes!$B$4:$B$39,Clientes!$C$4:$C$39),Cadastros!$L$6:$L$12,Cadastros!$N$6:$N$12)))</f>
        <v/>
      </c>
      <c r="K1077" s="168" t="str">
        <f t="shared" si="209"/>
        <v/>
      </c>
      <c r="L1077" s="168" t="str">
        <f>IFERROR(K1077/_xlfn.XLOOKUP(_xlfn.XLOOKUP($F1077,Clientes!$B$4:$B$39,Clientes!$C$4:$C$39),Cadastros!$L$6:$L$12,Cadastros!$M$6:$M$12)," ")</f>
        <v xml:space="preserve"> </v>
      </c>
      <c r="M1077" s="28"/>
      <c r="N1077" s="28"/>
      <c r="O1077" s="255" t="str">
        <f>IF(M1077="","",(_xlfn.XLOOKUP(M1077,Cadastros!$D$6:$D$90,Cadastros!$E$6:$E$90))*(1-_xlfn.XLOOKUP(_xlfn.XLOOKUP($F1077,Clientes!$B$4:$B$39,Clientes!$C$4:$C$39),Cadastros!$L$6:$L$12,Cadastros!$N$6:$N$12)))</f>
        <v/>
      </c>
      <c r="P1077" s="168" t="str">
        <f t="shared" si="210"/>
        <v/>
      </c>
      <c r="Q1077" s="168" t="str">
        <f>IFERROR(P1077/_xlfn.XLOOKUP(_xlfn.XLOOKUP($F1077,Clientes!$B$4:$B$39,Clientes!$C$4:$C$39),Cadastros!$L$6:$L$12,Cadastros!$M$6:$M$12)," ")</f>
        <v xml:space="preserve"> </v>
      </c>
      <c r="R1077" s="28"/>
      <c r="S1077" s="28"/>
      <c r="T1077" s="255" t="str">
        <f>IF(R1077="","",(_xlfn.XLOOKUP(R1077,Cadastros!$D$6:$D$90,Cadastros!$E$6:$E$90))*(1-_xlfn.XLOOKUP(_xlfn.XLOOKUP($F1077,Clientes!$B$4:$B$39,Clientes!$C$4:$C$39),Cadastros!$L$6:$L$12,Cadastros!$N$6:$N$12)))</f>
        <v/>
      </c>
      <c r="U1077" s="168" t="str">
        <f t="shared" si="211"/>
        <v/>
      </c>
      <c r="V1077" s="168" t="str">
        <f>IFERROR(U1077/_xlfn.XLOOKUP(_xlfn.XLOOKUP($F1077,Clientes!$B$4:$B$39,Clientes!$C$4:$C$39),Cadastros!$L$6:$L$12,Cadastros!$M$6:$M$12)," ")</f>
        <v xml:space="preserve"> </v>
      </c>
      <c r="W1077" s="28"/>
      <c r="X1077" s="28"/>
      <c r="Y1077" s="255" t="str">
        <f>IF(W1077="","",(_xlfn.XLOOKUP(W1077,Cadastros!$D$6:$D$90,Cadastros!$E$6:$E$90))*(1-_xlfn.XLOOKUP(_xlfn.XLOOKUP($F1077,Clientes!$B$4:$B$39,Clientes!$C$4:$C$39),Cadastros!$L$6:$L$12,Cadastros!$N$6:$N$12)))</f>
        <v/>
      </c>
      <c r="Z1077" s="168" t="str">
        <f t="shared" si="212"/>
        <v/>
      </c>
      <c r="AA1077" s="168" t="str">
        <f>IFERROR(Z1077/_xlfn.XLOOKUP(_xlfn.XLOOKUP($F1077,Clientes!$B$4:$B$39,Clientes!$C$4:$C$39),Cadastros!$L$6:$L$12,Cadastros!$M$6:$M$12)," ")</f>
        <v xml:space="preserve"> </v>
      </c>
      <c r="AB1077" s="28"/>
      <c r="AC1077" s="28"/>
      <c r="AD1077" s="20" t="str">
        <f>IF(AB1077="","",IF($F1077="Bernardino Furlan",_xlfn.XLOOKUP(AB1077,Cadastros!$G$6:$G$90,Cadastros!$H$6:$H$90)*(1-0.18),IF($F1077="Mauro José Salanti",_xlfn.XLOOKUP(AB1077,Cadastros!$G$6:$G$90,Cadastros!$H$6:$H$90)*(1-0.18),_xlfn.XLOOKUP(AB1077,Cadastros!$G$6:$G$90,Cadastros!$H$6:$H$90))))</f>
        <v/>
      </c>
      <c r="AE1077" s="168" t="str">
        <f t="shared" si="213"/>
        <v/>
      </c>
      <c r="AF1077" s="168" t="str">
        <f t="shared" si="214"/>
        <v/>
      </c>
      <c r="AG1077" s="28"/>
      <c r="AH1077" s="28"/>
      <c r="AI1077" s="20" t="str">
        <f>IF(AG1077="","",IF($F1077="Bernardino Furlan",_xlfn.XLOOKUP(AG1077,Cadastros!$G$6:$G$90,Cadastros!$H$6:$H$90)*(1-0.18),IF($F1077="Mauro José Salanti",_xlfn.XLOOKUP(AG1077,Cadastros!$G$6:$G$90,Cadastros!$H$6:$H$90)*(1-0.18),_xlfn.XLOOKUP(AG1077,Cadastros!$G$6:$G$90,Cadastros!$H$6:$H$90))))</f>
        <v/>
      </c>
      <c r="AJ1077" s="168" t="str">
        <f t="shared" si="215"/>
        <v/>
      </c>
      <c r="AK1077" s="168" t="str">
        <f t="shared" si="216"/>
        <v/>
      </c>
      <c r="AL1077" s="28"/>
      <c r="AM1077" s="28"/>
      <c r="AN1077" s="20" t="str">
        <f>IF(AL1077="","",IF($F1077="Bernardino Furlan",_xlfn.XLOOKUP(AL1077,Cadastros!$G$6:$G$90,Cadastros!$H$6:$H$90)*(1-0.18),IF($F1077="Mauro José Salanti",_xlfn.XLOOKUP(AL1077,Cadastros!$G$6:$G$90,Cadastros!$H$6:$H$90)*(1-0.18),_xlfn.XLOOKUP(AL1077,Cadastros!$G$6:$G$90,Cadastros!$H$6:$H$90))))</f>
        <v/>
      </c>
      <c r="AO1077" s="168" t="str">
        <f t="shared" si="217"/>
        <v/>
      </c>
      <c r="AP1077" s="168" t="str">
        <f t="shared" si="218"/>
        <v/>
      </c>
      <c r="AQ1077" s="28"/>
      <c r="AR1077" s="28"/>
      <c r="AS1077" s="20" t="str">
        <f>IF(AQ1077="","",IF($F1077="Bernardino Furlan",_xlfn.XLOOKUP(AQ1077,Cadastros!$G$6:$G$90,Cadastros!$H$6:$H$90)*(1-0.18),IF($F1077="Mauro José Salanti",_xlfn.XLOOKUP(AQ1077,Cadastros!$G$6:$G$90,Cadastros!$H$6:$H$90)*(1-0.18),_xlfn.XLOOKUP(AQ1077,Cadastros!$G$6:$G$90,Cadastros!$H$6:$H$90))))</f>
        <v/>
      </c>
      <c r="AT1077" s="168" t="str">
        <f t="shared" si="219"/>
        <v/>
      </c>
      <c r="AU1077" s="168" t="str">
        <f t="shared" si="220"/>
        <v/>
      </c>
      <c r="AV1077" s="227"/>
      <c r="AW1077" s="30"/>
      <c r="AX1077" s="267"/>
      <c r="AY1077" s="267"/>
      <c r="AZ1077" s="29"/>
      <c r="BA1077" s="30"/>
      <c r="BB1077" s="23" t="str" cm="1">
        <f t="array" ref="BB1077">_xlfn.IFS(AW1077="SIM",SUM(K1077,P1077,U1077,Z1077,AE1077,AJ1077,AO1077,AT1077,AX1077,AY1077),F1077&lt;&gt;"",SUM(K1077,P1077,U1077,Z1077,AE1077,AJ1077,,AO1077,AT1077),F1077="","")</f>
        <v/>
      </c>
      <c r="BC1077" s="211" t="str" cm="1">
        <f t="array" ref="BC1077">_xlfn.IFS(E1077="","",G1077&lt;=E1077,BB1077*(1-0.03),G1077&lt;(E1077+8),BB1077,AZ1077="Boleto",BB1077*(1+0.001)^DATEDIF(E1077,G1077,"D"),AZ1077="Cheque",BB1077,AZ1077="Dinheiro","Alterar forma pgto")</f>
        <v/>
      </c>
      <c r="BD1077" s="276" t="str" cm="1">
        <f t="array" ref="BD1077">IF(F1077=0," ",IF(BC1077&lt;BB1077,(_xlfn.IFS(AW1077="SIM",SUM(L1077,Q1077,V1077,AA1077,AF1077,AK1077,AP1077,AU1077)+AX1077/_xlfn.XLOOKUP(_xlfn.XLOOKUP($F1077,Clientes!$B$4:$B$39,Clientes!$C$4:$C$39),Cadastros!$L$6:$L$12,Cadastros!$M$6:$M$12)+IF($F1077="Bernardino Furlan",AY1077/2751.92,IF($F1077="Mauro José Salanti",AY1077/2751.92,AY1077/3356)),F1077&lt;&gt;0,SUM(L1077,Q1077,V1077,AA1077,AF1077,AK1077,AP1077,AU1077)))*(1-0.03),_xlfn.IFS(AW1077="SIM",SUM(L1077,Q1077,V1077,AA1077,AF1077,AK1077,AP1077,AU1077)+AX1077/_xlfn.XLOOKUP(_xlfn.XLOOKUP($F1077,Clientes!$B$4:$B$39,Clientes!$C$4:$C$39),Cadastros!$L$6:$L$12,Cadastros!$M$6:$M$12)+IF($F1077="Bernardino Furlan",AY1077/2751.92,IF($F1077="Mauro José Salanti",AY1077/2751.92,AY1077/3356)),F1077&lt;&gt;0,SUM(L1077,Q1077,V1077,AA1077,AF1077,AK1077,AP1077,AU1077))))</f>
        <v xml:space="preserve"> </v>
      </c>
      <c r="BE1077" s="120"/>
      <c r="BF1077" s="120"/>
      <c r="BG1077" s="120"/>
    </row>
    <row r="1078" spans="1:59" s="3" customFormat="1" x14ac:dyDescent="0.3">
      <c r="A1078" s="15" t="str">
        <f t="shared" si="208"/>
        <v/>
      </c>
      <c r="B1078" s="25"/>
      <c r="C1078" s="26"/>
      <c r="D1078" s="279"/>
      <c r="E1078" s="27"/>
      <c r="F1078" s="28"/>
      <c r="G1078" s="27"/>
      <c r="H1078" s="28"/>
      <c r="I1078" s="28"/>
      <c r="J1078" s="255" t="str">
        <f>IF(H1078="","",(_xlfn.XLOOKUP(H1078,Cadastros!$D$6:$D$90,Cadastros!$E$6:$E$90))*(1-_xlfn.XLOOKUP(_xlfn.XLOOKUP($F1078,Clientes!$B$4:$B$39,Clientes!$C$4:$C$39),Cadastros!$L$6:$L$12,Cadastros!$N$6:$N$12)))</f>
        <v/>
      </c>
      <c r="K1078" s="168" t="str">
        <f t="shared" si="209"/>
        <v/>
      </c>
      <c r="L1078" s="168" t="str">
        <f>IFERROR(K1078/_xlfn.XLOOKUP(_xlfn.XLOOKUP($F1078,Clientes!$B$4:$B$39,Clientes!$C$4:$C$39),Cadastros!$L$6:$L$12,Cadastros!$M$6:$M$12)," ")</f>
        <v xml:space="preserve"> </v>
      </c>
      <c r="M1078" s="28"/>
      <c r="N1078" s="28"/>
      <c r="O1078" s="255" t="str">
        <f>IF(M1078="","",(_xlfn.XLOOKUP(M1078,Cadastros!$D$6:$D$90,Cadastros!$E$6:$E$90))*(1-_xlfn.XLOOKUP(_xlfn.XLOOKUP($F1078,Clientes!$B$4:$B$39,Clientes!$C$4:$C$39),Cadastros!$L$6:$L$12,Cadastros!$N$6:$N$12)))</f>
        <v/>
      </c>
      <c r="P1078" s="168" t="str">
        <f t="shared" si="210"/>
        <v/>
      </c>
      <c r="Q1078" s="168" t="str">
        <f>IFERROR(P1078/_xlfn.XLOOKUP(_xlfn.XLOOKUP($F1078,Clientes!$B$4:$B$39,Clientes!$C$4:$C$39),Cadastros!$L$6:$L$12,Cadastros!$M$6:$M$12)," ")</f>
        <v xml:space="preserve"> </v>
      </c>
      <c r="R1078" s="28"/>
      <c r="S1078" s="28"/>
      <c r="T1078" s="255" t="str">
        <f>IF(R1078="","",(_xlfn.XLOOKUP(R1078,Cadastros!$D$6:$D$90,Cadastros!$E$6:$E$90))*(1-_xlfn.XLOOKUP(_xlfn.XLOOKUP($F1078,Clientes!$B$4:$B$39,Clientes!$C$4:$C$39),Cadastros!$L$6:$L$12,Cadastros!$N$6:$N$12)))</f>
        <v/>
      </c>
      <c r="U1078" s="168" t="str">
        <f t="shared" si="211"/>
        <v/>
      </c>
      <c r="V1078" s="168" t="str">
        <f>IFERROR(U1078/_xlfn.XLOOKUP(_xlfn.XLOOKUP($F1078,Clientes!$B$4:$B$39,Clientes!$C$4:$C$39),Cadastros!$L$6:$L$12,Cadastros!$M$6:$M$12)," ")</f>
        <v xml:space="preserve"> </v>
      </c>
      <c r="W1078" s="28"/>
      <c r="X1078" s="28"/>
      <c r="Y1078" s="255" t="str">
        <f>IF(W1078="","",(_xlfn.XLOOKUP(W1078,Cadastros!$D$6:$D$90,Cadastros!$E$6:$E$90))*(1-_xlfn.XLOOKUP(_xlfn.XLOOKUP($F1078,Clientes!$B$4:$B$39,Clientes!$C$4:$C$39),Cadastros!$L$6:$L$12,Cadastros!$N$6:$N$12)))</f>
        <v/>
      </c>
      <c r="Z1078" s="168" t="str">
        <f t="shared" si="212"/>
        <v/>
      </c>
      <c r="AA1078" s="168" t="str">
        <f>IFERROR(Z1078/_xlfn.XLOOKUP(_xlfn.XLOOKUP($F1078,Clientes!$B$4:$B$39,Clientes!$C$4:$C$39),Cadastros!$L$6:$L$12,Cadastros!$M$6:$M$12)," ")</f>
        <v xml:space="preserve"> </v>
      </c>
      <c r="AB1078" s="28"/>
      <c r="AC1078" s="28"/>
      <c r="AD1078" s="20" t="str">
        <f>IF(AB1078="","",IF($F1078="Bernardino Furlan",_xlfn.XLOOKUP(AB1078,Cadastros!$G$6:$G$90,Cadastros!$H$6:$H$90)*(1-0.18),IF($F1078="Mauro José Salanti",_xlfn.XLOOKUP(AB1078,Cadastros!$G$6:$G$90,Cadastros!$H$6:$H$90)*(1-0.18),_xlfn.XLOOKUP(AB1078,Cadastros!$G$6:$G$90,Cadastros!$H$6:$H$90))))</f>
        <v/>
      </c>
      <c r="AE1078" s="168" t="str">
        <f t="shared" si="213"/>
        <v/>
      </c>
      <c r="AF1078" s="168" t="str">
        <f t="shared" si="214"/>
        <v/>
      </c>
      <c r="AG1078" s="28"/>
      <c r="AH1078" s="28"/>
      <c r="AI1078" s="20" t="str">
        <f>IF(AG1078="","",IF($F1078="Bernardino Furlan",_xlfn.XLOOKUP(AG1078,Cadastros!$G$6:$G$90,Cadastros!$H$6:$H$90)*(1-0.18),IF($F1078="Mauro José Salanti",_xlfn.XLOOKUP(AG1078,Cadastros!$G$6:$G$90,Cadastros!$H$6:$H$90)*(1-0.18),_xlfn.XLOOKUP(AG1078,Cadastros!$G$6:$G$90,Cadastros!$H$6:$H$90))))</f>
        <v/>
      </c>
      <c r="AJ1078" s="168" t="str">
        <f t="shared" si="215"/>
        <v/>
      </c>
      <c r="AK1078" s="168" t="str">
        <f t="shared" si="216"/>
        <v/>
      </c>
      <c r="AL1078" s="28"/>
      <c r="AM1078" s="28"/>
      <c r="AN1078" s="20" t="str">
        <f>IF(AL1078="","",IF($F1078="Bernardino Furlan",_xlfn.XLOOKUP(AL1078,Cadastros!$G$6:$G$90,Cadastros!$H$6:$H$90)*(1-0.18),IF($F1078="Mauro José Salanti",_xlfn.XLOOKUP(AL1078,Cadastros!$G$6:$G$90,Cadastros!$H$6:$H$90)*(1-0.18),_xlfn.XLOOKUP(AL1078,Cadastros!$G$6:$G$90,Cadastros!$H$6:$H$90))))</f>
        <v/>
      </c>
      <c r="AO1078" s="168" t="str">
        <f t="shared" si="217"/>
        <v/>
      </c>
      <c r="AP1078" s="168" t="str">
        <f t="shared" si="218"/>
        <v/>
      </c>
      <c r="AQ1078" s="28"/>
      <c r="AR1078" s="28"/>
      <c r="AS1078" s="20" t="str">
        <f>IF(AQ1078="","",IF($F1078="Bernardino Furlan",_xlfn.XLOOKUP(AQ1078,Cadastros!$G$6:$G$90,Cadastros!$H$6:$H$90)*(1-0.18),IF($F1078="Mauro José Salanti",_xlfn.XLOOKUP(AQ1078,Cadastros!$G$6:$G$90,Cadastros!$H$6:$H$90)*(1-0.18),_xlfn.XLOOKUP(AQ1078,Cadastros!$G$6:$G$90,Cadastros!$H$6:$H$90))))</f>
        <v/>
      </c>
      <c r="AT1078" s="168" t="str">
        <f t="shared" si="219"/>
        <v/>
      </c>
      <c r="AU1078" s="168" t="str">
        <f t="shared" si="220"/>
        <v/>
      </c>
      <c r="AV1078" s="227"/>
      <c r="AW1078" s="30"/>
      <c r="AX1078" s="267"/>
      <c r="AY1078" s="267"/>
      <c r="AZ1078" s="29"/>
      <c r="BA1078" s="30"/>
      <c r="BB1078" s="23" t="str" cm="1">
        <f t="array" ref="BB1078">_xlfn.IFS(AW1078="SIM",SUM(K1078,P1078,U1078,Z1078,AE1078,AJ1078,AO1078,AT1078,AX1078,AY1078),F1078&lt;&gt;"",SUM(K1078,P1078,U1078,Z1078,AE1078,AJ1078,,AO1078,AT1078),F1078="","")</f>
        <v/>
      </c>
      <c r="BC1078" s="211" t="str" cm="1">
        <f t="array" ref="BC1078">_xlfn.IFS(E1078="","",G1078&lt;=E1078,BB1078*(1-0.03),G1078&lt;(E1078+8),BB1078,AZ1078="Boleto",BB1078*(1+0.001)^DATEDIF(E1078,G1078,"D"),AZ1078="Cheque",BB1078,AZ1078="Dinheiro","Alterar forma pgto")</f>
        <v/>
      </c>
      <c r="BD1078" s="276" t="str" cm="1">
        <f t="array" ref="BD1078">IF(F1078=0," ",IF(BC1078&lt;BB1078,(_xlfn.IFS(AW1078="SIM",SUM(L1078,Q1078,V1078,AA1078,AF1078,AK1078,AP1078,AU1078)+AX1078/_xlfn.XLOOKUP(_xlfn.XLOOKUP($F1078,Clientes!$B$4:$B$39,Clientes!$C$4:$C$39),Cadastros!$L$6:$L$12,Cadastros!$M$6:$M$12)+IF($F1078="Bernardino Furlan",AY1078/2751.92,IF($F1078="Mauro José Salanti",AY1078/2751.92,AY1078/3356)),F1078&lt;&gt;0,SUM(L1078,Q1078,V1078,AA1078,AF1078,AK1078,AP1078,AU1078)))*(1-0.03),_xlfn.IFS(AW1078="SIM",SUM(L1078,Q1078,V1078,AA1078,AF1078,AK1078,AP1078,AU1078)+AX1078/_xlfn.XLOOKUP(_xlfn.XLOOKUP($F1078,Clientes!$B$4:$B$39,Clientes!$C$4:$C$39),Cadastros!$L$6:$L$12,Cadastros!$M$6:$M$12)+IF($F1078="Bernardino Furlan",AY1078/2751.92,IF($F1078="Mauro José Salanti",AY1078/2751.92,AY1078/3356)),F1078&lt;&gt;0,SUM(L1078,Q1078,V1078,AA1078,AF1078,AK1078,AP1078,AU1078))))</f>
        <v xml:space="preserve"> </v>
      </c>
      <c r="BE1078" s="120"/>
      <c r="BF1078" s="120"/>
      <c r="BG1078" s="120"/>
    </row>
    <row r="1079" spans="1:59" s="3" customFormat="1" x14ac:dyDescent="0.3">
      <c r="A1079" s="15" t="str">
        <f t="shared" si="208"/>
        <v/>
      </c>
      <c r="B1079" s="25"/>
      <c r="C1079" s="26"/>
      <c r="D1079" s="279"/>
      <c r="E1079" s="27"/>
      <c r="F1079" s="28"/>
      <c r="G1079" s="27"/>
      <c r="H1079" s="28"/>
      <c r="I1079" s="28"/>
      <c r="J1079" s="255" t="str">
        <f>IF(H1079="","",(_xlfn.XLOOKUP(H1079,Cadastros!$D$6:$D$90,Cadastros!$E$6:$E$90))*(1-_xlfn.XLOOKUP(_xlfn.XLOOKUP($F1079,Clientes!$B$4:$B$39,Clientes!$C$4:$C$39),Cadastros!$L$6:$L$12,Cadastros!$N$6:$N$12)))</f>
        <v/>
      </c>
      <c r="K1079" s="168" t="str">
        <f t="shared" si="209"/>
        <v/>
      </c>
      <c r="L1079" s="168" t="str">
        <f>IFERROR(K1079/_xlfn.XLOOKUP(_xlfn.XLOOKUP($F1079,Clientes!$B$4:$B$39,Clientes!$C$4:$C$39),Cadastros!$L$6:$L$12,Cadastros!$M$6:$M$12)," ")</f>
        <v xml:space="preserve"> </v>
      </c>
      <c r="M1079" s="28"/>
      <c r="N1079" s="28"/>
      <c r="O1079" s="255" t="str">
        <f>IF(M1079="","",(_xlfn.XLOOKUP(M1079,Cadastros!$D$6:$D$90,Cadastros!$E$6:$E$90))*(1-_xlfn.XLOOKUP(_xlfn.XLOOKUP($F1079,Clientes!$B$4:$B$39,Clientes!$C$4:$C$39),Cadastros!$L$6:$L$12,Cadastros!$N$6:$N$12)))</f>
        <v/>
      </c>
      <c r="P1079" s="168" t="str">
        <f t="shared" si="210"/>
        <v/>
      </c>
      <c r="Q1079" s="168" t="str">
        <f>IFERROR(P1079/_xlfn.XLOOKUP(_xlfn.XLOOKUP($F1079,Clientes!$B$4:$B$39,Clientes!$C$4:$C$39),Cadastros!$L$6:$L$12,Cadastros!$M$6:$M$12)," ")</f>
        <v xml:space="preserve"> </v>
      </c>
      <c r="R1079" s="28"/>
      <c r="S1079" s="28"/>
      <c r="T1079" s="255" t="str">
        <f>IF(R1079="","",(_xlfn.XLOOKUP(R1079,Cadastros!$D$6:$D$90,Cadastros!$E$6:$E$90))*(1-_xlfn.XLOOKUP(_xlfn.XLOOKUP($F1079,Clientes!$B$4:$B$39,Clientes!$C$4:$C$39),Cadastros!$L$6:$L$12,Cadastros!$N$6:$N$12)))</f>
        <v/>
      </c>
      <c r="U1079" s="168" t="str">
        <f t="shared" si="211"/>
        <v/>
      </c>
      <c r="V1079" s="168" t="str">
        <f>IFERROR(U1079/_xlfn.XLOOKUP(_xlfn.XLOOKUP($F1079,Clientes!$B$4:$B$39,Clientes!$C$4:$C$39),Cadastros!$L$6:$L$12,Cadastros!$M$6:$M$12)," ")</f>
        <v xml:space="preserve"> </v>
      </c>
      <c r="W1079" s="28"/>
      <c r="X1079" s="28"/>
      <c r="Y1079" s="255" t="str">
        <f>IF(W1079="","",(_xlfn.XLOOKUP(W1079,Cadastros!$D$6:$D$90,Cadastros!$E$6:$E$90))*(1-_xlfn.XLOOKUP(_xlfn.XLOOKUP($F1079,Clientes!$B$4:$B$39,Clientes!$C$4:$C$39),Cadastros!$L$6:$L$12,Cadastros!$N$6:$N$12)))</f>
        <v/>
      </c>
      <c r="Z1079" s="168" t="str">
        <f t="shared" si="212"/>
        <v/>
      </c>
      <c r="AA1079" s="168" t="str">
        <f>IFERROR(Z1079/_xlfn.XLOOKUP(_xlfn.XLOOKUP($F1079,Clientes!$B$4:$B$39,Clientes!$C$4:$C$39),Cadastros!$L$6:$L$12,Cadastros!$M$6:$M$12)," ")</f>
        <v xml:space="preserve"> </v>
      </c>
      <c r="AB1079" s="28"/>
      <c r="AC1079" s="28"/>
      <c r="AD1079" s="20" t="str">
        <f>IF(AB1079="","",IF($F1079="Bernardino Furlan",_xlfn.XLOOKUP(AB1079,Cadastros!$G$6:$G$90,Cadastros!$H$6:$H$90)*(1-0.18),IF($F1079="Mauro José Salanti",_xlfn.XLOOKUP(AB1079,Cadastros!$G$6:$G$90,Cadastros!$H$6:$H$90)*(1-0.18),_xlfn.XLOOKUP(AB1079,Cadastros!$G$6:$G$90,Cadastros!$H$6:$H$90))))</f>
        <v/>
      </c>
      <c r="AE1079" s="168" t="str">
        <f t="shared" si="213"/>
        <v/>
      </c>
      <c r="AF1079" s="168" t="str">
        <f t="shared" si="214"/>
        <v/>
      </c>
      <c r="AG1079" s="28"/>
      <c r="AH1079" s="28"/>
      <c r="AI1079" s="20" t="str">
        <f>IF(AG1079="","",IF($F1079="Bernardino Furlan",_xlfn.XLOOKUP(AG1079,Cadastros!$G$6:$G$90,Cadastros!$H$6:$H$90)*(1-0.18),IF($F1079="Mauro José Salanti",_xlfn.XLOOKUP(AG1079,Cadastros!$G$6:$G$90,Cadastros!$H$6:$H$90)*(1-0.18),_xlfn.XLOOKUP(AG1079,Cadastros!$G$6:$G$90,Cadastros!$H$6:$H$90))))</f>
        <v/>
      </c>
      <c r="AJ1079" s="168" t="str">
        <f t="shared" si="215"/>
        <v/>
      </c>
      <c r="AK1079" s="168" t="str">
        <f t="shared" si="216"/>
        <v/>
      </c>
      <c r="AL1079" s="28"/>
      <c r="AM1079" s="28"/>
      <c r="AN1079" s="20" t="str">
        <f>IF(AL1079="","",IF($F1079="Bernardino Furlan",_xlfn.XLOOKUP(AL1079,Cadastros!$G$6:$G$90,Cadastros!$H$6:$H$90)*(1-0.18),IF($F1079="Mauro José Salanti",_xlfn.XLOOKUP(AL1079,Cadastros!$G$6:$G$90,Cadastros!$H$6:$H$90)*(1-0.18),_xlfn.XLOOKUP(AL1079,Cadastros!$G$6:$G$90,Cadastros!$H$6:$H$90))))</f>
        <v/>
      </c>
      <c r="AO1079" s="168" t="str">
        <f t="shared" si="217"/>
        <v/>
      </c>
      <c r="AP1079" s="168" t="str">
        <f t="shared" si="218"/>
        <v/>
      </c>
      <c r="AQ1079" s="28"/>
      <c r="AR1079" s="28"/>
      <c r="AS1079" s="20" t="str">
        <f>IF(AQ1079="","",IF($F1079="Bernardino Furlan",_xlfn.XLOOKUP(AQ1079,Cadastros!$G$6:$G$90,Cadastros!$H$6:$H$90)*(1-0.18),IF($F1079="Mauro José Salanti",_xlfn.XLOOKUP(AQ1079,Cadastros!$G$6:$G$90,Cadastros!$H$6:$H$90)*(1-0.18),_xlfn.XLOOKUP(AQ1079,Cadastros!$G$6:$G$90,Cadastros!$H$6:$H$90))))</f>
        <v/>
      </c>
      <c r="AT1079" s="168" t="str">
        <f t="shared" si="219"/>
        <v/>
      </c>
      <c r="AU1079" s="168" t="str">
        <f t="shared" si="220"/>
        <v/>
      </c>
      <c r="AV1079" s="227"/>
      <c r="AW1079" s="30"/>
      <c r="AX1079" s="267"/>
      <c r="AY1079" s="267"/>
      <c r="AZ1079" s="29"/>
      <c r="BA1079" s="30"/>
      <c r="BB1079" s="23" t="str" cm="1">
        <f t="array" ref="BB1079">_xlfn.IFS(AW1079="SIM",SUM(K1079,P1079,U1079,Z1079,AE1079,AJ1079,AO1079,AT1079,AX1079,AY1079),F1079&lt;&gt;"",SUM(K1079,P1079,U1079,Z1079,AE1079,AJ1079,,AO1079,AT1079),F1079="","")</f>
        <v/>
      </c>
      <c r="BC1079" s="211" t="str" cm="1">
        <f t="array" ref="BC1079">_xlfn.IFS(E1079="","",G1079&lt;=E1079,BB1079*(1-0.03),G1079&lt;(E1079+8),BB1079,AZ1079="Boleto",BB1079*(1+0.001)^DATEDIF(E1079,G1079,"D"),AZ1079="Cheque",BB1079,AZ1079="Dinheiro","Alterar forma pgto")</f>
        <v/>
      </c>
      <c r="BD1079" s="276" t="str" cm="1">
        <f t="array" ref="BD1079">IF(F1079=0," ",IF(BC1079&lt;BB1079,(_xlfn.IFS(AW1079="SIM",SUM(L1079,Q1079,V1079,AA1079,AF1079,AK1079,AP1079,AU1079)+AX1079/_xlfn.XLOOKUP(_xlfn.XLOOKUP($F1079,Clientes!$B$4:$B$39,Clientes!$C$4:$C$39),Cadastros!$L$6:$L$12,Cadastros!$M$6:$M$12)+IF($F1079="Bernardino Furlan",AY1079/2751.92,IF($F1079="Mauro José Salanti",AY1079/2751.92,AY1079/3356)),F1079&lt;&gt;0,SUM(L1079,Q1079,V1079,AA1079,AF1079,AK1079,AP1079,AU1079)))*(1-0.03),_xlfn.IFS(AW1079="SIM",SUM(L1079,Q1079,V1079,AA1079,AF1079,AK1079,AP1079,AU1079)+AX1079/_xlfn.XLOOKUP(_xlfn.XLOOKUP($F1079,Clientes!$B$4:$B$39,Clientes!$C$4:$C$39),Cadastros!$L$6:$L$12,Cadastros!$M$6:$M$12)+IF($F1079="Bernardino Furlan",AY1079/2751.92,IF($F1079="Mauro José Salanti",AY1079/2751.92,AY1079/3356)),F1079&lt;&gt;0,SUM(L1079,Q1079,V1079,AA1079,AF1079,AK1079,AP1079,AU1079))))</f>
        <v xml:space="preserve"> </v>
      </c>
      <c r="BE1079" s="120"/>
      <c r="BF1079" s="120"/>
      <c r="BG1079" s="120"/>
    </row>
    <row r="1080" spans="1:59" s="3" customFormat="1" x14ac:dyDescent="0.3">
      <c r="A1080" s="15" t="str">
        <f t="shared" si="208"/>
        <v/>
      </c>
      <c r="B1080" s="25"/>
      <c r="C1080" s="26"/>
      <c r="D1080" s="279"/>
      <c r="E1080" s="27"/>
      <c r="F1080" s="28"/>
      <c r="G1080" s="27"/>
      <c r="H1080" s="28"/>
      <c r="I1080" s="28"/>
      <c r="J1080" s="255" t="str">
        <f>IF(H1080="","",(_xlfn.XLOOKUP(H1080,Cadastros!$D$6:$D$90,Cadastros!$E$6:$E$90))*(1-_xlfn.XLOOKUP(_xlfn.XLOOKUP($F1080,Clientes!$B$4:$B$39,Clientes!$C$4:$C$39),Cadastros!$L$6:$L$12,Cadastros!$N$6:$N$12)))</f>
        <v/>
      </c>
      <c r="K1080" s="168" t="str">
        <f t="shared" si="209"/>
        <v/>
      </c>
      <c r="L1080" s="168" t="str">
        <f>IFERROR(K1080/_xlfn.XLOOKUP(_xlfn.XLOOKUP($F1080,Clientes!$B$4:$B$39,Clientes!$C$4:$C$39),Cadastros!$L$6:$L$12,Cadastros!$M$6:$M$12)," ")</f>
        <v xml:space="preserve"> </v>
      </c>
      <c r="M1080" s="28"/>
      <c r="N1080" s="28"/>
      <c r="O1080" s="255" t="str">
        <f>IF(M1080="","",(_xlfn.XLOOKUP(M1080,Cadastros!$D$6:$D$90,Cadastros!$E$6:$E$90))*(1-_xlfn.XLOOKUP(_xlfn.XLOOKUP($F1080,Clientes!$B$4:$B$39,Clientes!$C$4:$C$39),Cadastros!$L$6:$L$12,Cadastros!$N$6:$N$12)))</f>
        <v/>
      </c>
      <c r="P1080" s="168" t="str">
        <f t="shared" si="210"/>
        <v/>
      </c>
      <c r="Q1080" s="168" t="str">
        <f>IFERROR(P1080/_xlfn.XLOOKUP(_xlfn.XLOOKUP($F1080,Clientes!$B$4:$B$39,Clientes!$C$4:$C$39),Cadastros!$L$6:$L$12,Cadastros!$M$6:$M$12)," ")</f>
        <v xml:space="preserve"> </v>
      </c>
      <c r="R1080" s="28"/>
      <c r="S1080" s="28"/>
      <c r="T1080" s="255" t="str">
        <f>IF(R1080="","",(_xlfn.XLOOKUP(R1080,Cadastros!$D$6:$D$90,Cadastros!$E$6:$E$90))*(1-_xlfn.XLOOKUP(_xlfn.XLOOKUP($F1080,Clientes!$B$4:$B$39,Clientes!$C$4:$C$39),Cadastros!$L$6:$L$12,Cadastros!$N$6:$N$12)))</f>
        <v/>
      </c>
      <c r="U1080" s="168" t="str">
        <f t="shared" si="211"/>
        <v/>
      </c>
      <c r="V1080" s="168" t="str">
        <f>IFERROR(U1080/_xlfn.XLOOKUP(_xlfn.XLOOKUP($F1080,Clientes!$B$4:$B$39,Clientes!$C$4:$C$39),Cadastros!$L$6:$L$12,Cadastros!$M$6:$M$12)," ")</f>
        <v xml:space="preserve"> </v>
      </c>
      <c r="W1080" s="28"/>
      <c r="X1080" s="28"/>
      <c r="Y1080" s="255" t="str">
        <f>IF(W1080="","",(_xlfn.XLOOKUP(W1080,Cadastros!$D$6:$D$90,Cadastros!$E$6:$E$90))*(1-_xlfn.XLOOKUP(_xlfn.XLOOKUP($F1080,Clientes!$B$4:$B$39,Clientes!$C$4:$C$39),Cadastros!$L$6:$L$12,Cadastros!$N$6:$N$12)))</f>
        <v/>
      </c>
      <c r="Z1080" s="168" t="str">
        <f t="shared" si="212"/>
        <v/>
      </c>
      <c r="AA1080" s="168" t="str">
        <f>IFERROR(Z1080/_xlfn.XLOOKUP(_xlfn.XLOOKUP($F1080,Clientes!$B$4:$B$39,Clientes!$C$4:$C$39),Cadastros!$L$6:$L$12,Cadastros!$M$6:$M$12)," ")</f>
        <v xml:space="preserve"> </v>
      </c>
      <c r="AB1080" s="28"/>
      <c r="AC1080" s="28"/>
      <c r="AD1080" s="20" t="str">
        <f>IF(AB1080="","",IF($F1080="Bernardino Furlan",_xlfn.XLOOKUP(AB1080,Cadastros!$G$6:$G$90,Cadastros!$H$6:$H$90)*(1-0.18),IF($F1080="Mauro José Salanti",_xlfn.XLOOKUP(AB1080,Cadastros!$G$6:$G$90,Cadastros!$H$6:$H$90)*(1-0.18),_xlfn.XLOOKUP(AB1080,Cadastros!$G$6:$G$90,Cadastros!$H$6:$H$90))))</f>
        <v/>
      </c>
      <c r="AE1080" s="168" t="str">
        <f t="shared" si="213"/>
        <v/>
      </c>
      <c r="AF1080" s="168" t="str">
        <f t="shared" si="214"/>
        <v/>
      </c>
      <c r="AG1080" s="28"/>
      <c r="AH1080" s="28"/>
      <c r="AI1080" s="20" t="str">
        <f>IF(AG1080="","",IF($F1080="Bernardino Furlan",_xlfn.XLOOKUP(AG1080,Cadastros!$G$6:$G$90,Cadastros!$H$6:$H$90)*(1-0.18),IF($F1080="Mauro José Salanti",_xlfn.XLOOKUP(AG1080,Cadastros!$G$6:$G$90,Cadastros!$H$6:$H$90)*(1-0.18),_xlfn.XLOOKUP(AG1080,Cadastros!$G$6:$G$90,Cadastros!$H$6:$H$90))))</f>
        <v/>
      </c>
      <c r="AJ1080" s="168" t="str">
        <f t="shared" si="215"/>
        <v/>
      </c>
      <c r="AK1080" s="168" t="str">
        <f t="shared" si="216"/>
        <v/>
      </c>
      <c r="AL1080" s="28"/>
      <c r="AM1080" s="28"/>
      <c r="AN1080" s="20" t="str">
        <f>IF(AL1080="","",IF($F1080="Bernardino Furlan",_xlfn.XLOOKUP(AL1080,Cadastros!$G$6:$G$90,Cadastros!$H$6:$H$90)*(1-0.18),IF($F1080="Mauro José Salanti",_xlfn.XLOOKUP(AL1080,Cadastros!$G$6:$G$90,Cadastros!$H$6:$H$90)*(1-0.18),_xlfn.XLOOKUP(AL1080,Cadastros!$G$6:$G$90,Cadastros!$H$6:$H$90))))</f>
        <v/>
      </c>
      <c r="AO1080" s="168" t="str">
        <f t="shared" si="217"/>
        <v/>
      </c>
      <c r="AP1080" s="168" t="str">
        <f t="shared" si="218"/>
        <v/>
      </c>
      <c r="AQ1080" s="28"/>
      <c r="AR1080" s="28"/>
      <c r="AS1080" s="20" t="str">
        <f>IF(AQ1080="","",IF($F1080="Bernardino Furlan",_xlfn.XLOOKUP(AQ1080,Cadastros!$G$6:$G$90,Cadastros!$H$6:$H$90)*(1-0.18),IF($F1080="Mauro José Salanti",_xlfn.XLOOKUP(AQ1080,Cadastros!$G$6:$G$90,Cadastros!$H$6:$H$90)*(1-0.18),_xlfn.XLOOKUP(AQ1080,Cadastros!$G$6:$G$90,Cadastros!$H$6:$H$90))))</f>
        <v/>
      </c>
      <c r="AT1080" s="168" t="str">
        <f t="shared" si="219"/>
        <v/>
      </c>
      <c r="AU1080" s="168" t="str">
        <f t="shared" si="220"/>
        <v/>
      </c>
      <c r="AV1080" s="227"/>
      <c r="AW1080" s="30"/>
      <c r="AX1080" s="267"/>
      <c r="AY1080" s="267"/>
      <c r="AZ1080" s="29"/>
      <c r="BA1080" s="30"/>
      <c r="BB1080" s="23" t="str" cm="1">
        <f t="array" ref="BB1080">_xlfn.IFS(AW1080="SIM",SUM(K1080,P1080,U1080,Z1080,AE1080,AJ1080,AO1080,AT1080,AX1080,AY1080),F1080&lt;&gt;"",SUM(K1080,P1080,U1080,Z1080,AE1080,AJ1080,,AO1080,AT1080),F1080="","")</f>
        <v/>
      </c>
      <c r="BC1080" s="211" t="str" cm="1">
        <f t="array" ref="BC1080">_xlfn.IFS(E1080="","",G1080&lt;=E1080,BB1080*(1-0.03),G1080&lt;(E1080+8),BB1080,AZ1080="Boleto",BB1080*(1+0.001)^DATEDIF(E1080,G1080,"D"),AZ1080="Cheque",BB1080,AZ1080="Dinheiro","Alterar forma pgto")</f>
        <v/>
      </c>
      <c r="BD1080" s="276" t="str" cm="1">
        <f t="array" ref="BD1080">IF(F1080=0," ",IF(BC1080&lt;BB1080,(_xlfn.IFS(AW1080="SIM",SUM(L1080,Q1080,V1080,AA1080,AF1080,AK1080,AP1080,AU1080)+AX1080/_xlfn.XLOOKUP(_xlfn.XLOOKUP($F1080,Clientes!$B$4:$B$39,Clientes!$C$4:$C$39),Cadastros!$L$6:$L$12,Cadastros!$M$6:$M$12)+IF($F1080="Bernardino Furlan",AY1080/2751.92,IF($F1080="Mauro José Salanti",AY1080/2751.92,AY1080/3356)),F1080&lt;&gt;0,SUM(L1080,Q1080,V1080,AA1080,AF1080,AK1080,AP1080,AU1080)))*(1-0.03),_xlfn.IFS(AW1080="SIM",SUM(L1080,Q1080,V1080,AA1080,AF1080,AK1080,AP1080,AU1080)+AX1080/_xlfn.XLOOKUP(_xlfn.XLOOKUP($F1080,Clientes!$B$4:$B$39,Clientes!$C$4:$C$39),Cadastros!$L$6:$L$12,Cadastros!$M$6:$M$12)+IF($F1080="Bernardino Furlan",AY1080/2751.92,IF($F1080="Mauro José Salanti",AY1080/2751.92,AY1080/3356)),F1080&lt;&gt;0,SUM(L1080,Q1080,V1080,AA1080,AF1080,AK1080,AP1080,AU1080))))</f>
        <v xml:space="preserve"> </v>
      </c>
      <c r="BE1080" s="120"/>
      <c r="BF1080" s="120"/>
      <c r="BG1080" s="120"/>
    </row>
    <row r="1081" spans="1:59" s="3" customFormat="1" x14ac:dyDescent="0.3">
      <c r="A1081" s="15" t="str">
        <f t="shared" si="208"/>
        <v/>
      </c>
      <c r="B1081" s="25"/>
      <c r="C1081" s="26"/>
      <c r="D1081" s="279"/>
      <c r="E1081" s="27"/>
      <c r="F1081" s="28"/>
      <c r="G1081" s="27"/>
      <c r="H1081" s="28"/>
      <c r="I1081" s="28"/>
      <c r="J1081" s="255" t="str">
        <f>IF(H1081="","",(_xlfn.XLOOKUP(H1081,Cadastros!$D$6:$D$90,Cadastros!$E$6:$E$90))*(1-_xlfn.XLOOKUP(_xlfn.XLOOKUP($F1081,Clientes!$B$4:$B$39,Clientes!$C$4:$C$39),Cadastros!$L$6:$L$12,Cadastros!$N$6:$N$12)))</f>
        <v/>
      </c>
      <c r="K1081" s="168" t="str">
        <f t="shared" si="209"/>
        <v/>
      </c>
      <c r="L1081" s="168" t="str">
        <f>IFERROR(K1081/_xlfn.XLOOKUP(_xlfn.XLOOKUP($F1081,Clientes!$B$4:$B$39,Clientes!$C$4:$C$39),Cadastros!$L$6:$L$12,Cadastros!$M$6:$M$12)," ")</f>
        <v xml:space="preserve"> </v>
      </c>
      <c r="M1081" s="28"/>
      <c r="N1081" s="28"/>
      <c r="O1081" s="255" t="str">
        <f>IF(M1081="","",(_xlfn.XLOOKUP(M1081,Cadastros!$D$6:$D$90,Cadastros!$E$6:$E$90))*(1-_xlfn.XLOOKUP(_xlfn.XLOOKUP($F1081,Clientes!$B$4:$B$39,Clientes!$C$4:$C$39),Cadastros!$L$6:$L$12,Cadastros!$N$6:$N$12)))</f>
        <v/>
      </c>
      <c r="P1081" s="168" t="str">
        <f t="shared" si="210"/>
        <v/>
      </c>
      <c r="Q1081" s="168" t="str">
        <f>IFERROR(P1081/_xlfn.XLOOKUP(_xlfn.XLOOKUP($F1081,Clientes!$B$4:$B$39,Clientes!$C$4:$C$39),Cadastros!$L$6:$L$12,Cadastros!$M$6:$M$12)," ")</f>
        <v xml:space="preserve"> </v>
      </c>
      <c r="R1081" s="28"/>
      <c r="S1081" s="28"/>
      <c r="T1081" s="255" t="str">
        <f>IF(R1081="","",(_xlfn.XLOOKUP(R1081,Cadastros!$D$6:$D$90,Cadastros!$E$6:$E$90))*(1-_xlfn.XLOOKUP(_xlfn.XLOOKUP($F1081,Clientes!$B$4:$B$39,Clientes!$C$4:$C$39),Cadastros!$L$6:$L$12,Cadastros!$N$6:$N$12)))</f>
        <v/>
      </c>
      <c r="U1081" s="168" t="str">
        <f t="shared" si="211"/>
        <v/>
      </c>
      <c r="V1081" s="168" t="str">
        <f>IFERROR(U1081/_xlfn.XLOOKUP(_xlfn.XLOOKUP($F1081,Clientes!$B$4:$B$39,Clientes!$C$4:$C$39),Cadastros!$L$6:$L$12,Cadastros!$M$6:$M$12)," ")</f>
        <v xml:space="preserve"> </v>
      </c>
      <c r="W1081" s="28"/>
      <c r="X1081" s="28"/>
      <c r="Y1081" s="255" t="str">
        <f>IF(W1081="","",(_xlfn.XLOOKUP(W1081,Cadastros!$D$6:$D$90,Cadastros!$E$6:$E$90))*(1-_xlfn.XLOOKUP(_xlfn.XLOOKUP($F1081,Clientes!$B$4:$B$39,Clientes!$C$4:$C$39),Cadastros!$L$6:$L$12,Cadastros!$N$6:$N$12)))</f>
        <v/>
      </c>
      <c r="Z1081" s="168" t="str">
        <f t="shared" si="212"/>
        <v/>
      </c>
      <c r="AA1081" s="168" t="str">
        <f>IFERROR(Z1081/_xlfn.XLOOKUP(_xlfn.XLOOKUP($F1081,Clientes!$B$4:$B$39,Clientes!$C$4:$C$39),Cadastros!$L$6:$L$12,Cadastros!$M$6:$M$12)," ")</f>
        <v xml:space="preserve"> </v>
      </c>
      <c r="AB1081" s="28"/>
      <c r="AC1081" s="28"/>
      <c r="AD1081" s="20" t="str">
        <f>IF(AB1081="","",IF($F1081="Bernardino Furlan",_xlfn.XLOOKUP(AB1081,Cadastros!$G$6:$G$90,Cadastros!$H$6:$H$90)*(1-0.18),IF($F1081="Mauro José Salanti",_xlfn.XLOOKUP(AB1081,Cadastros!$G$6:$G$90,Cadastros!$H$6:$H$90)*(1-0.18),_xlfn.XLOOKUP(AB1081,Cadastros!$G$6:$G$90,Cadastros!$H$6:$H$90))))</f>
        <v/>
      </c>
      <c r="AE1081" s="168" t="str">
        <f t="shared" si="213"/>
        <v/>
      </c>
      <c r="AF1081" s="168" t="str">
        <f t="shared" si="214"/>
        <v/>
      </c>
      <c r="AG1081" s="28"/>
      <c r="AH1081" s="28"/>
      <c r="AI1081" s="20" t="str">
        <f>IF(AG1081="","",IF($F1081="Bernardino Furlan",_xlfn.XLOOKUP(AG1081,Cadastros!$G$6:$G$90,Cadastros!$H$6:$H$90)*(1-0.18),IF($F1081="Mauro José Salanti",_xlfn.XLOOKUP(AG1081,Cadastros!$G$6:$G$90,Cadastros!$H$6:$H$90)*(1-0.18),_xlfn.XLOOKUP(AG1081,Cadastros!$G$6:$G$90,Cadastros!$H$6:$H$90))))</f>
        <v/>
      </c>
      <c r="AJ1081" s="168" t="str">
        <f t="shared" si="215"/>
        <v/>
      </c>
      <c r="AK1081" s="168" t="str">
        <f t="shared" si="216"/>
        <v/>
      </c>
      <c r="AL1081" s="28"/>
      <c r="AM1081" s="28"/>
      <c r="AN1081" s="20" t="str">
        <f>IF(AL1081="","",IF($F1081="Bernardino Furlan",_xlfn.XLOOKUP(AL1081,Cadastros!$G$6:$G$90,Cadastros!$H$6:$H$90)*(1-0.18),IF($F1081="Mauro José Salanti",_xlfn.XLOOKUP(AL1081,Cadastros!$G$6:$G$90,Cadastros!$H$6:$H$90)*(1-0.18),_xlfn.XLOOKUP(AL1081,Cadastros!$G$6:$G$90,Cadastros!$H$6:$H$90))))</f>
        <v/>
      </c>
      <c r="AO1081" s="168" t="str">
        <f t="shared" si="217"/>
        <v/>
      </c>
      <c r="AP1081" s="168" t="str">
        <f t="shared" si="218"/>
        <v/>
      </c>
      <c r="AQ1081" s="28"/>
      <c r="AR1081" s="28"/>
      <c r="AS1081" s="20" t="str">
        <f>IF(AQ1081="","",IF($F1081="Bernardino Furlan",_xlfn.XLOOKUP(AQ1081,Cadastros!$G$6:$G$90,Cadastros!$H$6:$H$90)*(1-0.18),IF($F1081="Mauro José Salanti",_xlfn.XLOOKUP(AQ1081,Cadastros!$G$6:$G$90,Cadastros!$H$6:$H$90)*(1-0.18),_xlfn.XLOOKUP(AQ1081,Cadastros!$G$6:$G$90,Cadastros!$H$6:$H$90))))</f>
        <v/>
      </c>
      <c r="AT1081" s="168" t="str">
        <f t="shared" si="219"/>
        <v/>
      </c>
      <c r="AU1081" s="168" t="str">
        <f t="shared" si="220"/>
        <v/>
      </c>
      <c r="AV1081" s="227"/>
      <c r="AW1081" s="30"/>
      <c r="AX1081" s="267"/>
      <c r="AY1081" s="267"/>
      <c r="AZ1081" s="29"/>
      <c r="BA1081" s="30"/>
      <c r="BB1081" s="23" t="str" cm="1">
        <f t="array" ref="BB1081">_xlfn.IFS(AW1081="SIM",SUM(K1081,P1081,U1081,Z1081,AE1081,AJ1081,AO1081,AT1081,AX1081,AY1081),F1081&lt;&gt;"",SUM(K1081,P1081,U1081,Z1081,AE1081,AJ1081,,AO1081,AT1081),F1081="","")</f>
        <v/>
      </c>
      <c r="BC1081" s="211" t="str" cm="1">
        <f t="array" ref="BC1081">_xlfn.IFS(E1081="","",G1081&lt;=E1081,BB1081*(1-0.03),G1081&lt;(E1081+8),BB1081,AZ1081="Boleto",BB1081*(1+0.001)^DATEDIF(E1081,G1081,"D"),AZ1081="Cheque",BB1081,AZ1081="Dinheiro","Alterar forma pgto")</f>
        <v/>
      </c>
      <c r="BD1081" s="276" t="str" cm="1">
        <f t="array" ref="BD1081">IF(F1081=0," ",IF(BC1081&lt;BB1081,(_xlfn.IFS(AW1081="SIM",SUM(L1081,Q1081,V1081,AA1081,AF1081,AK1081,AP1081,AU1081)+AX1081/_xlfn.XLOOKUP(_xlfn.XLOOKUP($F1081,Clientes!$B$4:$B$39,Clientes!$C$4:$C$39),Cadastros!$L$6:$L$12,Cadastros!$M$6:$M$12)+IF($F1081="Bernardino Furlan",AY1081/2751.92,IF($F1081="Mauro José Salanti",AY1081/2751.92,AY1081/3356)),F1081&lt;&gt;0,SUM(L1081,Q1081,V1081,AA1081,AF1081,AK1081,AP1081,AU1081)))*(1-0.03),_xlfn.IFS(AW1081="SIM",SUM(L1081,Q1081,V1081,AA1081,AF1081,AK1081,AP1081,AU1081)+AX1081/_xlfn.XLOOKUP(_xlfn.XLOOKUP($F1081,Clientes!$B$4:$B$39,Clientes!$C$4:$C$39),Cadastros!$L$6:$L$12,Cadastros!$M$6:$M$12)+IF($F1081="Bernardino Furlan",AY1081/2751.92,IF($F1081="Mauro José Salanti",AY1081/2751.92,AY1081/3356)),F1081&lt;&gt;0,SUM(L1081,Q1081,V1081,AA1081,AF1081,AK1081,AP1081,AU1081))))</f>
        <v xml:space="preserve"> </v>
      </c>
      <c r="BE1081" s="120"/>
      <c r="BF1081" s="120"/>
      <c r="BG1081" s="120"/>
    </row>
    <row r="1082" spans="1:59" s="3" customFormat="1" x14ac:dyDescent="0.3">
      <c r="A1082" s="15" t="str">
        <f t="shared" si="208"/>
        <v/>
      </c>
      <c r="B1082" s="25"/>
      <c r="C1082" s="26"/>
      <c r="D1082" s="279"/>
      <c r="E1082" s="27"/>
      <c r="F1082" s="28"/>
      <c r="G1082" s="27"/>
      <c r="H1082" s="28"/>
      <c r="I1082" s="28"/>
      <c r="J1082" s="255" t="str">
        <f>IF(H1082="","",(_xlfn.XLOOKUP(H1082,Cadastros!$D$6:$D$90,Cadastros!$E$6:$E$90))*(1-_xlfn.XLOOKUP(_xlfn.XLOOKUP($F1082,Clientes!$B$4:$B$39,Clientes!$C$4:$C$39),Cadastros!$L$6:$L$12,Cadastros!$N$6:$N$12)))</f>
        <v/>
      </c>
      <c r="K1082" s="168" t="str">
        <f t="shared" si="209"/>
        <v/>
      </c>
      <c r="L1082" s="168" t="str">
        <f>IFERROR(K1082/_xlfn.XLOOKUP(_xlfn.XLOOKUP($F1082,Clientes!$B$4:$B$39,Clientes!$C$4:$C$39),Cadastros!$L$6:$L$12,Cadastros!$M$6:$M$12)," ")</f>
        <v xml:space="preserve"> </v>
      </c>
      <c r="M1082" s="28"/>
      <c r="N1082" s="28"/>
      <c r="O1082" s="255" t="str">
        <f>IF(M1082="","",(_xlfn.XLOOKUP(M1082,Cadastros!$D$6:$D$90,Cadastros!$E$6:$E$90))*(1-_xlfn.XLOOKUP(_xlfn.XLOOKUP($F1082,Clientes!$B$4:$B$39,Clientes!$C$4:$C$39),Cadastros!$L$6:$L$12,Cadastros!$N$6:$N$12)))</f>
        <v/>
      </c>
      <c r="P1082" s="168" t="str">
        <f t="shared" si="210"/>
        <v/>
      </c>
      <c r="Q1082" s="168" t="str">
        <f>IFERROR(P1082/_xlfn.XLOOKUP(_xlfn.XLOOKUP($F1082,Clientes!$B$4:$B$39,Clientes!$C$4:$C$39),Cadastros!$L$6:$L$12,Cadastros!$M$6:$M$12)," ")</f>
        <v xml:space="preserve"> </v>
      </c>
      <c r="R1082" s="28"/>
      <c r="S1082" s="28"/>
      <c r="T1082" s="255" t="str">
        <f>IF(R1082="","",(_xlfn.XLOOKUP(R1082,Cadastros!$D$6:$D$90,Cadastros!$E$6:$E$90))*(1-_xlfn.XLOOKUP(_xlfn.XLOOKUP($F1082,Clientes!$B$4:$B$39,Clientes!$C$4:$C$39),Cadastros!$L$6:$L$12,Cadastros!$N$6:$N$12)))</f>
        <v/>
      </c>
      <c r="U1082" s="168" t="str">
        <f t="shared" si="211"/>
        <v/>
      </c>
      <c r="V1082" s="168" t="str">
        <f>IFERROR(U1082/_xlfn.XLOOKUP(_xlfn.XLOOKUP($F1082,Clientes!$B$4:$B$39,Clientes!$C$4:$C$39),Cadastros!$L$6:$L$12,Cadastros!$M$6:$M$12)," ")</f>
        <v xml:space="preserve"> </v>
      </c>
      <c r="W1082" s="28"/>
      <c r="X1082" s="28"/>
      <c r="Y1082" s="255" t="str">
        <f>IF(W1082="","",(_xlfn.XLOOKUP(W1082,Cadastros!$D$6:$D$90,Cadastros!$E$6:$E$90))*(1-_xlfn.XLOOKUP(_xlfn.XLOOKUP($F1082,Clientes!$B$4:$B$39,Clientes!$C$4:$C$39),Cadastros!$L$6:$L$12,Cadastros!$N$6:$N$12)))</f>
        <v/>
      </c>
      <c r="Z1082" s="168" t="str">
        <f t="shared" si="212"/>
        <v/>
      </c>
      <c r="AA1082" s="168" t="str">
        <f>IFERROR(Z1082/_xlfn.XLOOKUP(_xlfn.XLOOKUP($F1082,Clientes!$B$4:$B$39,Clientes!$C$4:$C$39),Cadastros!$L$6:$L$12,Cadastros!$M$6:$M$12)," ")</f>
        <v xml:space="preserve"> </v>
      </c>
      <c r="AB1082" s="28"/>
      <c r="AC1082" s="28"/>
      <c r="AD1082" s="20" t="str">
        <f>IF(AB1082="","",IF($F1082="Bernardino Furlan",_xlfn.XLOOKUP(AB1082,Cadastros!$G$6:$G$90,Cadastros!$H$6:$H$90)*(1-0.18),IF($F1082="Mauro José Salanti",_xlfn.XLOOKUP(AB1082,Cadastros!$G$6:$G$90,Cadastros!$H$6:$H$90)*(1-0.18),_xlfn.XLOOKUP(AB1082,Cadastros!$G$6:$G$90,Cadastros!$H$6:$H$90))))</f>
        <v/>
      </c>
      <c r="AE1082" s="168" t="str">
        <f t="shared" si="213"/>
        <v/>
      </c>
      <c r="AF1082" s="168" t="str">
        <f t="shared" si="214"/>
        <v/>
      </c>
      <c r="AG1082" s="28"/>
      <c r="AH1082" s="28"/>
      <c r="AI1082" s="20" t="str">
        <f>IF(AG1082="","",IF($F1082="Bernardino Furlan",_xlfn.XLOOKUP(AG1082,Cadastros!$G$6:$G$90,Cadastros!$H$6:$H$90)*(1-0.18),IF($F1082="Mauro José Salanti",_xlfn.XLOOKUP(AG1082,Cadastros!$G$6:$G$90,Cadastros!$H$6:$H$90)*(1-0.18),_xlfn.XLOOKUP(AG1082,Cadastros!$G$6:$G$90,Cadastros!$H$6:$H$90))))</f>
        <v/>
      </c>
      <c r="AJ1082" s="168" t="str">
        <f t="shared" si="215"/>
        <v/>
      </c>
      <c r="AK1082" s="168" t="str">
        <f t="shared" si="216"/>
        <v/>
      </c>
      <c r="AL1082" s="28"/>
      <c r="AM1082" s="28"/>
      <c r="AN1082" s="20" t="str">
        <f>IF(AL1082="","",IF($F1082="Bernardino Furlan",_xlfn.XLOOKUP(AL1082,Cadastros!$G$6:$G$90,Cadastros!$H$6:$H$90)*(1-0.18),IF($F1082="Mauro José Salanti",_xlfn.XLOOKUP(AL1082,Cadastros!$G$6:$G$90,Cadastros!$H$6:$H$90)*(1-0.18),_xlfn.XLOOKUP(AL1082,Cadastros!$G$6:$G$90,Cadastros!$H$6:$H$90))))</f>
        <v/>
      </c>
      <c r="AO1082" s="168" t="str">
        <f t="shared" si="217"/>
        <v/>
      </c>
      <c r="AP1082" s="168" t="str">
        <f t="shared" si="218"/>
        <v/>
      </c>
      <c r="AQ1082" s="28"/>
      <c r="AR1082" s="28"/>
      <c r="AS1082" s="20" t="str">
        <f>IF(AQ1082="","",IF($F1082="Bernardino Furlan",_xlfn.XLOOKUP(AQ1082,Cadastros!$G$6:$G$90,Cadastros!$H$6:$H$90)*(1-0.18),IF($F1082="Mauro José Salanti",_xlfn.XLOOKUP(AQ1082,Cadastros!$G$6:$G$90,Cadastros!$H$6:$H$90)*(1-0.18),_xlfn.XLOOKUP(AQ1082,Cadastros!$G$6:$G$90,Cadastros!$H$6:$H$90))))</f>
        <v/>
      </c>
      <c r="AT1082" s="168" t="str">
        <f t="shared" si="219"/>
        <v/>
      </c>
      <c r="AU1082" s="168" t="str">
        <f t="shared" si="220"/>
        <v/>
      </c>
      <c r="AV1082" s="227"/>
      <c r="AW1082" s="30"/>
      <c r="AX1082" s="267"/>
      <c r="AY1082" s="267"/>
      <c r="AZ1082" s="29"/>
      <c r="BA1082" s="30"/>
      <c r="BB1082" s="23" t="str" cm="1">
        <f t="array" ref="BB1082">_xlfn.IFS(AW1082="SIM",SUM(K1082,P1082,U1082,Z1082,AE1082,AJ1082,AO1082,AT1082,AX1082,AY1082),F1082&lt;&gt;"",SUM(K1082,P1082,U1082,Z1082,AE1082,AJ1082,,AO1082,AT1082),F1082="","")</f>
        <v/>
      </c>
      <c r="BC1082" s="211" t="str" cm="1">
        <f t="array" ref="BC1082">_xlfn.IFS(E1082="","",G1082&lt;=E1082,BB1082*(1-0.03),G1082&lt;(E1082+8),BB1082,AZ1082="Boleto",BB1082*(1+0.001)^DATEDIF(E1082,G1082,"D"),AZ1082="Cheque",BB1082,AZ1082="Dinheiro","Alterar forma pgto")</f>
        <v/>
      </c>
      <c r="BD1082" s="276" t="str" cm="1">
        <f t="array" ref="BD1082">IF(F1082=0," ",IF(BC1082&lt;BB1082,(_xlfn.IFS(AW1082="SIM",SUM(L1082,Q1082,V1082,AA1082,AF1082,AK1082,AP1082,AU1082)+AX1082/_xlfn.XLOOKUP(_xlfn.XLOOKUP($F1082,Clientes!$B$4:$B$39,Clientes!$C$4:$C$39),Cadastros!$L$6:$L$12,Cadastros!$M$6:$M$12)+IF($F1082="Bernardino Furlan",AY1082/2751.92,IF($F1082="Mauro José Salanti",AY1082/2751.92,AY1082/3356)),F1082&lt;&gt;0,SUM(L1082,Q1082,V1082,AA1082,AF1082,AK1082,AP1082,AU1082)))*(1-0.03),_xlfn.IFS(AW1082="SIM",SUM(L1082,Q1082,V1082,AA1082,AF1082,AK1082,AP1082,AU1082)+AX1082/_xlfn.XLOOKUP(_xlfn.XLOOKUP($F1082,Clientes!$B$4:$B$39,Clientes!$C$4:$C$39),Cadastros!$L$6:$L$12,Cadastros!$M$6:$M$12)+IF($F1082="Bernardino Furlan",AY1082/2751.92,IF($F1082="Mauro José Salanti",AY1082/2751.92,AY1082/3356)),F1082&lt;&gt;0,SUM(L1082,Q1082,V1082,AA1082,AF1082,AK1082,AP1082,AU1082))))</f>
        <v xml:space="preserve"> </v>
      </c>
      <c r="BE1082" s="120"/>
      <c r="BF1082" s="120"/>
      <c r="BG1082" s="120"/>
    </row>
    <row r="1083" spans="1:59" s="3" customFormat="1" x14ac:dyDescent="0.3">
      <c r="A1083" s="15" t="str">
        <f t="shared" si="208"/>
        <v/>
      </c>
      <c r="B1083" s="25"/>
      <c r="C1083" s="26"/>
      <c r="D1083" s="279"/>
      <c r="E1083" s="27"/>
      <c r="F1083" s="28"/>
      <c r="G1083" s="27"/>
      <c r="H1083" s="28"/>
      <c r="I1083" s="28"/>
      <c r="J1083" s="255" t="str">
        <f>IF(H1083="","",(_xlfn.XLOOKUP(H1083,Cadastros!$D$6:$D$90,Cadastros!$E$6:$E$90))*(1-_xlfn.XLOOKUP(_xlfn.XLOOKUP($F1083,Clientes!$B$4:$B$39,Clientes!$C$4:$C$39),Cadastros!$L$6:$L$12,Cadastros!$N$6:$N$12)))</f>
        <v/>
      </c>
      <c r="K1083" s="168" t="str">
        <f t="shared" si="209"/>
        <v/>
      </c>
      <c r="L1083" s="168" t="str">
        <f>IFERROR(K1083/_xlfn.XLOOKUP(_xlfn.XLOOKUP($F1083,Clientes!$B$4:$B$39,Clientes!$C$4:$C$39),Cadastros!$L$6:$L$12,Cadastros!$M$6:$M$12)," ")</f>
        <v xml:space="preserve"> </v>
      </c>
      <c r="M1083" s="28"/>
      <c r="N1083" s="28"/>
      <c r="O1083" s="255" t="str">
        <f>IF(M1083="","",(_xlfn.XLOOKUP(M1083,Cadastros!$D$6:$D$90,Cadastros!$E$6:$E$90))*(1-_xlfn.XLOOKUP(_xlfn.XLOOKUP($F1083,Clientes!$B$4:$B$39,Clientes!$C$4:$C$39),Cadastros!$L$6:$L$12,Cadastros!$N$6:$N$12)))</f>
        <v/>
      </c>
      <c r="P1083" s="168" t="str">
        <f t="shared" si="210"/>
        <v/>
      </c>
      <c r="Q1083" s="168" t="str">
        <f>IFERROR(P1083/_xlfn.XLOOKUP(_xlfn.XLOOKUP($F1083,Clientes!$B$4:$B$39,Clientes!$C$4:$C$39),Cadastros!$L$6:$L$12,Cadastros!$M$6:$M$12)," ")</f>
        <v xml:space="preserve"> </v>
      </c>
      <c r="R1083" s="28"/>
      <c r="S1083" s="28"/>
      <c r="T1083" s="255" t="str">
        <f>IF(R1083="","",(_xlfn.XLOOKUP(R1083,Cadastros!$D$6:$D$90,Cadastros!$E$6:$E$90))*(1-_xlfn.XLOOKUP(_xlfn.XLOOKUP($F1083,Clientes!$B$4:$B$39,Clientes!$C$4:$C$39),Cadastros!$L$6:$L$12,Cadastros!$N$6:$N$12)))</f>
        <v/>
      </c>
      <c r="U1083" s="168" t="str">
        <f t="shared" si="211"/>
        <v/>
      </c>
      <c r="V1083" s="168" t="str">
        <f>IFERROR(U1083/_xlfn.XLOOKUP(_xlfn.XLOOKUP($F1083,Clientes!$B$4:$B$39,Clientes!$C$4:$C$39),Cadastros!$L$6:$L$12,Cadastros!$M$6:$M$12)," ")</f>
        <v xml:space="preserve"> </v>
      </c>
      <c r="W1083" s="28"/>
      <c r="X1083" s="28"/>
      <c r="Y1083" s="255" t="str">
        <f>IF(W1083="","",(_xlfn.XLOOKUP(W1083,Cadastros!$D$6:$D$90,Cadastros!$E$6:$E$90))*(1-_xlfn.XLOOKUP(_xlfn.XLOOKUP($F1083,Clientes!$B$4:$B$39,Clientes!$C$4:$C$39),Cadastros!$L$6:$L$12,Cadastros!$N$6:$N$12)))</f>
        <v/>
      </c>
      <c r="Z1083" s="168" t="str">
        <f t="shared" si="212"/>
        <v/>
      </c>
      <c r="AA1083" s="168" t="str">
        <f>IFERROR(Z1083/_xlfn.XLOOKUP(_xlfn.XLOOKUP($F1083,Clientes!$B$4:$B$39,Clientes!$C$4:$C$39),Cadastros!$L$6:$L$12,Cadastros!$M$6:$M$12)," ")</f>
        <v xml:space="preserve"> </v>
      </c>
      <c r="AB1083" s="28"/>
      <c r="AC1083" s="28"/>
      <c r="AD1083" s="20" t="str">
        <f>IF(AB1083="","",IF($F1083="Bernardino Furlan",_xlfn.XLOOKUP(AB1083,Cadastros!$G$6:$G$90,Cadastros!$H$6:$H$90)*(1-0.18),IF($F1083="Mauro José Salanti",_xlfn.XLOOKUP(AB1083,Cadastros!$G$6:$G$90,Cadastros!$H$6:$H$90)*(1-0.18),_xlfn.XLOOKUP(AB1083,Cadastros!$G$6:$G$90,Cadastros!$H$6:$H$90))))</f>
        <v/>
      </c>
      <c r="AE1083" s="168" t="str">
        <f t="shared" si="213"/>
        <v/>
      </c>
      <c r="AF1083" s="168" t="str">
        <f t="shared" si="214"/>
        <v/>
      </c>
      <c r="AG1083" s="28"/>
      <c r="AH1083" s="28"/>
      <c r="AI1083" s="20" t="str">
        <f>IF(AG1083="","",IF($F1083="Bernardino Furlan",_xlfn.XLOOKUP(AG1083,Cadastros!$G$6:$G$90,Cadastros!$H$6:$H$90)*(1-0.18),IF($F1083="Mauro José Salanti",_xlfn.XLOOKUP(AG1083,Cadastros!$G$6:$G$90,Cadastros!$H$6:$H$90)*(1-0.18),_xlfn.XLOOKUP(AG1083,Cadastros!$G$6:$G$90,Cadastros!$H$6:$H$90))))</f>
        <v/>
      </c>
      <c r="AJ1083" s="168" t="str">
        <f t="shared" si="215"/>
        <v/>
      </c>
      <c r="AK1083" s="168" t="str">
        <f t="shared" si="216"/>
        <v/>
      </c>
      <c r="AL1083" s="28"/>
      <c r="AM1083" s="28"/>
      <c r="AN1083" s="20" t="str">
        <f>IF(AL1083="","",IF($F1083="Bernardino Furlan",_xlfn.XLOOKUP(AL1083,Cadastros!$G$6:$G$90,Cadastros!$H$6:$H$90)*(1-0.18),IF($F1083="Mauro José Salanti",_xlfn.XLOOKUP(AL1083,Cadastros!$G$6:$G$90,Cadastros!$H$6:$H$90)*(1-0.18),_xlfn.XLOOKUP(AL1083,Cadastros!$G$6:$G$90,Cadastros!$H$6:$H$90))))</f>
        <v/>
      </c>
      <c r="AO1083" s="168" t="str">
        <f t="shared" si="217"/>
        <v/>
      </c>
      <c r="AP1083" s="168" t="str">
        <f t="shared" si="218"/>
        <v/>
      </c>
      <c r="AQ1083" s="28"/>
      <c r="AR1083" s="28"/>
      <c r="AS1083" s="20" t="str">
        <f>IF(AQ1083="","",IF($F1083="Bernardino Furlan",_xlfn.XLOOKUP(AQ1083,Cadastros!$G$6:$G$90,Cadastros!$H$6:$H$90)*(1-0.18),IF($F1083="Mauro José Salanti",_xlfn.XLOOKUP(AQ1083,Cadastros!$G$6:$G$90,Cadastros!$H$6:$H$90)*(1-0.18),_xlfn.XLOOKUP(AQ1083,Cadastros!$G$6:$G$90,Cadastros!$H$6:$H$90))))</f>
        <v/>
      </c>
      <c r="AT1083" s="168" t="str">
        <f t="shared" si="219"/>
        <v/>
      </c>
      <c r="AU1083" s="168" t="str">
        <f t="shared" si="220"/>
        <v/>
      </c>
      <c r="AV1083" s="227"/>
      <c r="AW1083" s="30"/>
      <c r="AX1083" s="267"/>
      <c r="AY1083" s="267"/>
      <c r="AZ1083" s="29"/>
      <c r="BA1083" s="30"/>
      <c r="BB1083" s="23" t="str" cm="1">
        <f t="array" ref="BB1083">_xlfn.IFS(AW1083="SIM",SUM(K1083,P1083,U1083,Z1083,AE1083,AJ1083,AO1083,AT1083,AX1083,AY1083),F1083&lt;&gt;"",SUM(K1083,P1083,U1083,Z1083,AE1083,AJ1083,,AO1083,AT1083),F1083="","")</f>
        <v/>
      </c>
      <c r="BC1083" s="211" t="str" cm="1">
        <f t="array" ref="BC1083">_xlfn.IFS(E1083="","",G1083&lt;=E1083,BB1083*(1-0.03),G1083&lt;(E1083+8),BB1083,AZ1083="Boleto",BB1083*(1+0.001)^DATEDIF(E1083,G1083,"D"),AZ1083="Cheque",BB1083,AZ1083="Dinheiro","Alterar forma pgto")</f>
        <v/>
      </c>
      <c r="BD1083" s="276" t="str" cm="1">
        <f t="array" ref="BD1083">IF(F1083=0," ",IF(BC1083&lt;BB1083,(_xlfn.IFS(AW1083="SIM",SUM(L1083,Q1083,V1083,AA1083,AF1083,AK1083,AP1083,AU1083)+AX1083/_xlfn.XLOOKUP(_xlfn.XLOOKUP($F1083,Clientes!$B$4:$B$39,Clientes!$C$4:$C$39),Cadastros!$L$6:$L$12,Cadastros!$M$6:$M$12)+IF($F1083="Bernardino Furlan",AY1083/2751.92,IF($F1083="Mauro José Salanti",AY1083/2751.92,AY1083/3356)),F1083&lt;&gt;0,SUM(L1083,Q1083,V1083,AA1083,AF1083,AK1083,AP1083,AU1083)))*(1-0.03),_xlfn.IFS(AW1083="SIM",SUM(L1083,Q1083,V1083,AA1083,AF1083,AK1083,AP1083,AU1083)+AX1083/_xlfn.XLOOKUP(_xlfn.XLOOKUP($F1083,Clientes!$B$4:$B$39,Clientes!$C$4:$C$39),Cadastros!$L$6:$L$12,Cadastros!$M$6:$M$12)+IF($F1083="Bernardino Furlan",AY1083/2751.92,IF($F1083="Mauro José Salanti",AY1083/2751.92,AY1083/3356)),F1083&lt;&gt;0,SUM(L1083,Q1083,V1083,AA1083,AF1083,AK1083,AP1083,AU1083))))</f>
        <v xml:space="preserve"> </v>
      </c>
      <c r="BE1083" s="120"/>
      <c r="BF1083" s="120"/>
      <c r="BG1083" s="120"/>
    </row>
    <row r="1084" spans="1:59" s="3" customFormat="1" x14ac:dyDescent="0.3">
      <c r="A1084" s="15" t="str">
        <f t="shared" si="208"/>
        <v/>
      </c>
      <c r="B1084" s="25"/>
      <c r="C1084" s="26"/>
      <c r="D1084" s="279"/>
      <c r="E1084" s="27"/>
      <c r="F1084" s="28"/>
      <c r="G1084" s="27"/>
      <c r="H1084" s="28"/>
      <c r="I1084" s="28"/>
      <c r="J1084" s="255" t="str">
        <f>IF(H1084="","",(_xlfn.XLOOKUP(H1084,Cadastros!$D$6:$D$90,Cadastros!$E$6:$E$90))*(1-_xlfn.XLOOKUP(_xlfn.XLOOKUP($F1084,Clientes!$B$4:$B$39,Clientes!$C$4:$C$39),Cadastros!$L$6:$L$12,Cadastros!$N$6:$N$12)))</f>
        <v/>
      </c>
      <c r="K1084" s="168" t="str">
        <f t="shared" si="209"/>
        <v/>
      </c>
      <c r="L1084" s="168" t="str">
        <f>IFERROR(K1084/_xlfn.XLOOKUP(_xlfn.XLOOKUP($F1084,Clientes!$B$4:$B$39,Clientes!$C$4:$C$39),Cadastros!$L$6:$L$12,Cadastros!$M$6:$M$12)," ")</f>
        <v xml:space="preserve"> </v>
      </c>
      <c r="M1084" s="28"/>
      <c r="N1084" s="28"/>
      <c r="O1084" s="255" t="str">
        <f>IF(M1084="","",(_xlfn.XLOOKUP(M1084,Cadastros!$D$6:$D$90,Cadastros!$E$6:$E$90))*(1-_xlfn.XLOOKUP(_xlfn.XLOOKUP($F1084,Clientes!$B$4:$B$39,Clientes!$C$4:$C$39),Cadastros!$L$6:$L$12,Cadastros!$N$6:$N$12)))</f>
        <v/>
      </c>
      <c r="P1084" s="168" t="str">
        <f t="shared" si="210"/>
        <v/>
      </c>
      <c r="Q1084" s="168" t="str">
        <f>IFERROR(P1084/_xlfn.XLOOKUP(_xlfn.XLOOKUP($F1084,Clientes!$B$4:$B$39,Clientes!$C$4:$C$39),Cadastros!$L$6:$L$12,Cadastros!$M$6:$M$12)," ")</f>
        <v xml:space="preserve"> </v>
      </c>
      <c r="R1084" s="28"/>
      <c r="S1084" s="28"/>
      <c r="T1084" s="255" t="str">
        <f>IF(R1084="","",(_xlfn.XLOOKUP(R1084,Cadastros!$D$6:$D$90,Cadastros!$E$6:$E$90))*(1-_xlfn.XLOOKUP(_xlfn.XLOOKUP($F1084,Clientes!$B$4:$B$39,Clientes!$C$4:$C$39),Cadastros!$L$6:$L$12,Cadastros!$N$6:$N$12)))</f>
        <v/>
      </c>
      <c r="U1084" s="168" t="str">
        <f t="shared" si="211"/>
        <v/>
      </c>
      <c r="V1084" s="168" t="str">
        <f>IFERROR(U1084/_xlfn.XLOOKUP(_xlfn.XLOOKUP($F1084,Clientes!$B$4:$B$39,Clientes!$C$4:$C$39),Cadastros!$L$6:$L$12,Cadastros!$M$6:$M$12)," ")</f>
        <v xml:space="preserve"> </v>
      </c>
      <c r="W1084" s="28"/>
      <c r="X1084" s="28"/>
      <c r="Y1084" s="255" t="str">
        <f>IF(W1084="","",(_xlfn.XLOOKUP(W1084,Cadastros!$D$6:$D$90,Cadastros!$E$6:$E$90))*(1-_xlfn.XLOOKUP(_xlfn.XLOOKUP($F1084,Clientes!$B$4:$B$39,Clientes!$C$4:$C$39),Cadastros!$L$6:$L$12,Cadastros!$N$6:$N$12)))</f>
        <v/>
      </c>
      <c r="Z1084" s="168" t="str">
        <f t="shared" si="212"/>
        <v/>
      </c>
      <c r="AA1084" s="168" t="str">
        <f>IFERROR(Z1084/_xlfn.XLOOKUP(_xlfn.XLOOKUP($F1084,Clientes!$B$4:$B$39,Clientes!$C$4:$C$39),Cadastros!$L$6:$L$12,Cadastros!$M$6:$M$12)," ")</f>
        <v xml:space="preserve"> </v>
      </c>
      <c r="AB1084" s="28"/>
      <c r="AC1084" s="28"/>
      <c r="AD1084" s="20" t="str">
        <f>IF(AB1084="","",IF($F1084="Bernardino Furlan",_xlfn.XLOOKUP(AB1084,Cadastros!$G$6:$G$90,Cadastros!$H$6:$H$90)*(1-0.18),IF($F1084="Mauro José Salanti",_xlfn.XLOOKUP(AB1084,Cadastros!$G$6:$G$90,Cadastros!$H$6:$H$90)*(1-0.18),_xlfn.XLOOKUP(AB1084,Cadastros!$G$6:$G$90,Cadastros!$H$6:$H$90))))</f>
        <v/>
      </c>
      <c r="AE1084" s="168" t="str">
        <f t="shared" si="213"/>
        <v/>
      </c>
      <c r="AF1084" s="168" t="str">
        <f t="shared" si="214"/>
        <v/>
      </c>
      <c r="AG1084" s="28"/>
      <c r="AH1084" s="28"/>
      <c r="AI1084" s="20" t="str">
        <f>IF(AG1084="","",IF($F1084="Bernardino Furlan",_xlfn.XLOOKUP(AG1084,Cadastros!$G$6:$G$90,Cadastros!$H$6:$H$90)*(1-0.18),IF($F1084="Mauro José Salanti",_xlfn.XLOOKUP(AG1084,Cadastros!$G$6:$G$90,Cadastros!$H$6:$H$90)*(1-0.18),_xlfn.XLOOKUP(AG1084,Cadastros!$G$6:$G$90,Cadastros!$H$6:$H$90))))</f>
        <v/>
      </c>
      <c r="AJ1084" s="168" t="str">
        <f t="shared" si="215"/>
        <v/>
      </c>
      <c r="AK1084" s="168" t="str">
        <f t="shared" si="216"/>
        <v/>
      </c>
      <c r="AL1084" s="28"/>
      <c r="AM1084" s="28"/>
      <c r="AN1084" s="20" t="str">
        <f>IF(AL1084="","",IF($F1084="Bernardino Furlan",_xlfn.XLOOKUP(AL1084,Cadastros!$G$6:$G$90,Cadastros!$H$6:$H$90)*(1-0.18),IF($F1084="Mauro José Salanti",_xlfn.XLOOKUP(AL1084,Cadastros!$G$6:$G$90,Cadastros!$H$6:$H$90)*(1-0.18),_xlfn.XLOOKUP(AL1084,Cadastros!$G$6:$G$90,Cadastros!$H$6:$H$90))))</f>
        <v/>
      </c>
      <c r="AO1084" s="168" t="str">
        <f t="shared" si="217"/>
        <v/>
      </c>
      <c r="AP1084" s="168" t="str">
        <f t="shared" si="218"/>
        <v/>
      </c>
      <c r="AQ1084" s="28"/>
      <c r="AR1084" s="28"/>
      <c r="AS1084" s="20" t="str">
        <f>IF(AQ1084="","",IF($F1084="Bernardino Furlan",_xlfn.XLOOKUP(AQ1084,Cadastros!$G$6:$G$90,Cadastros!$H$6:$H$90)*(1-0.18),IF($F1084="Mauro José Salanti",_xlfn.XLOOKUP(AQ1084,Cadastros!$G$6:$G$90,Cadastros!$H$6:$H$90)*(1-0.18),_xlfn.XLOOKUP(AQ1084,Cadastros!$G$6:$G$90,Cadastros!$H$6:$H$90))))</f>
        <v/>
      </c>
      <c r="AT1084" s="168" t="str">
        <f t="shared" si="219"/>
        <v/>
      </c>
      <c r="AU1084" s="168" t="str">
        <f t="shared" si="220"/>
        <v/>
      </c>
      <c r="AV1084" s="227"/>
      <c r="AW1084" s="30"/>
      <c r="AX1084" s="267"/>
      <c r="AY1084" s="267"/>
      <c r="AZ1084" s="29"/>
      <c r="BA1084" s="30"/>
      <c r="BB1084" s="23" t="str" cm="1">
        <f t="array" ref="BB1084">_xlfn.IFS(AW1084="SIM",SUM(K1084,P1084,U1084,Z1084,AE1084,AJ1084,AO1084,AT1084,AX1084,AY1084),F1084&lt;&gt;"",SUM(K1084,P1084,U1084,Z1084,AE1084,AJ1084,,AO1084,AT1084),F1084="","")</f>
        <v/>
      </c>
      <c r="BC1084" s="211" t="str" cm="1">
        <f t="array" ref="BC1084">_xlfn.IFS(E1084="","",G1084&lt;=E1084,BB1084*(1-0.03),G1084&lt;(E1084+8),BB1084,AZ1084="Boleto",BB1084*(1+0.001)^DATEDIF(E1084,G1084,"D"),AZ1084="Cheque",BB1084,AZ1084="Dinheiro","Alterar forma pgto")</f>
        <v/>
      </c>
      <c r="BD1084" s="276" t="str" cm="1">
        <f t="array" ref="BD1084">IF(F1084=0," ",IF(BC1084&lt;BB1084,(_xlfn.IFS(AW1084="SIM",SUM(L1084,Q1084,V1084,AA1084,AF1084,AK1084,AP1084,AU1084)+AX1084/_xlfn.XLOOKUP(_xlfn.XLOOKUP($F1084,Clientes!$B$4:$B$39,Clientes!$C$4:$C$39),Cadastros!$L$6:$L$12,Cadastros!$M$6:$M$12)+IF($F1084="Bernardino Furlan",AY1084/2751.92,IF($F1084="Mauro José Salanti",AY1084/2751.92,AY1084/3356)),F1084&lt;&gt;0,SUM(L1084,Q1084,V1084,AA1084,AF1084,AK1084,AP1084,AU1084)))*(1-0.03),_xlfn.IFS(AW1084="SIM",SUM(L1084,Q1084,V1084,AA1084,AF1084,AK1084,AP1084,AU1084)+AX1084/_xlfn.XLOOKUP(_xlfn.XLOOKUP($F1084,Clientes!$B$4:$B$39,Clientes!$C$4:$C$39),Cadastros!$L$6:$L$12,Cadastros!$M$6:$M$12)+IF($F1084="Bernardino Furlan",AY1084/2751.92,IF($F1084="Mauro José Salanti",AY1084/2751.92,AY1084/3356)),F1084&lt;&gt;0,SUM(L1084,Q1084,V1084,AA1084,AF1084,AK1084,AP1084,AU1084))))</f>
        <v xml:space="preserve"> </v>
      </c>
      <c r="BE1084" s="120"/>
      <c r="BF1084" s="120"/>
      <c r="BG1084" s="120"/>
    </row>
    <row r="1085" spans="1:59" s="3" customFormat="1" x14ac:dyDescent="0.3">
      <c r="A1085" s="15" t="str">
        <f t="shared" si="208"/>
        <v/>
      </c>
      <c r="B1085" s="25"/>
      <c r="C1085" s="26"/>
      <c r="D1085" s="279"/>
      <c r="E1085" s="27"/>
      <c r="F1085" s="28"/>
      <c r="G1085" s="27"/>
      <c r="H1085" s="28"/>
      <c r="I1085" s="28"/>
      <c r="J1085" s="255" t="str">
        <f>IF(H1085="","",(_xlfn.XLOOKUP(H1085,Cadastros!$D$6:$D$90,Cadastros!$E$6:$E$90))*(1-_xlfn.XLOOKUP(_xlfn.XLOOKUP($F1085,Clientes!$B$4:$B$39,Clientes!$C$4:$C$39),Cadastros!$L$6:$L$12,Cadastros!$N$6:$N$12)))</f>
        <v/>
      </c>
      <c r="K1085" s="168" t="str">
        <f t="shared" si="209"/>
        <v/>
      </c>
      <c r="L1085" s="168" t="str">
        <f>IFERROR(K1085/_xlfn.XLOOKUP(_xlfn.XLOOKUP($F1085,Clientes!$B$4:$B$39,Clientes!$C$4:$C$39),Cadastros!$L$6:$L$12,Cadastros!$M$6:$M$12)," ")</f>
        <v xml:space="preserve"> </v>
      </c>
      <c r="M1085" s="28"/>
      <c r="N1085" s="28"/>
      <c r="O1085" s="255" t="str">
        <f>IF(M1085="","",(_xlfn.XLOOKUP(M1085,Cadastros!$D$6:$D$90,Cadastros!$E$6:$E$90))*(1-_xlfn.XLOOKUP(_xlfn.XLOOKUP($F1085,Clientes!$B$4:$B$39,Clientes!$C$4:$C$39),Cadastros!$L$6:$L$12,Cadastros!$N$6:$N$12)))</f>
        <v/>
      </c>
      <c r="P1085" s="168" t="str">
        <f t="shared" si="210"/>
        <v/>
      </c>
      <c r="Q1085" s="168" t="str">
        <f>IFERROR(P1085/_xlfn.XLOOKUP(_xlfn.XLOOKUP($F1085,Clientes!$B$4:$B$39,Clientes!$C$4:$C$39),Cadastros!$L$6:$L$12,Cadastros!$M$6:$M$12)," ")</f>
        <v xml:space="preserve"> </v>
      </c>
      <c r="R1085" s="28"/>
      <c r="S1085" s="28"/>
      <c r="T1085" s="255" t="str">
        <f>IF(R1085="","",(_xlfn.XLOOKUP(R1085,Cadastros!$D$6:$D$90,Cadastros!$E$6:$E$90))*(1-_xlfn.XLOOKUP(_xlfn.XLOOKUP($F1085,Clientes!$B$4:$B$39,Clientes!$C$4:$C$39),Cadastros!$L$6:$L$12,Cadastros!$N$6:$N$12)))</f>
        <v/>
      </c>
      <c r="U1085" s="168" t="str">
        <f t="shared" si="211"/>
        <v/>
      </c>
      <c r="V1085" s="168" t="str">
        <f>IFERROR(U1085/_xlfn.XLOOKUP(_xlfn.XLOOKUP($F1085,Clientes!$B$4:$B$39,Clientes!$C$4:$C$39),Cadastros!$L$6:$L$12,Cadastros!$M$6:$M$12)," ")</f>
        <v xml:space="preserve"> </v>
      </c>
      <c r="W1085" s="28"/>
      <c r="X1085" s="28"/>
      <c r="Y1085" s="255" t="str">
        <f>IF(W1085="","",(_xlfn.XLOOKUP(W1085,Cadastros!$D$6:$D$90,Cadastros!$E$6:$E$90))*(1-_xlfn.XLOOKUP(_xlfn.XLOOKUP($F1085,Clientes!$B$4:$B$39,Clientes!$C$4:$C$39),Cadastros!$L$6:$L$12,Cadastros!$N$6:$N$12)))</f>
        <v/>
      </c>
      <c r="Z1085" s="168" t="str">
        <f t="shared" si="212"/>
        <v/>
      </c>
      <c r="AA1085" s="168" t="str">
        <f>IFERROR(Z1085/_xlfn.XLOOKUP(_xlfn.XLOOKUP($F1085,Clientes!$B$4:$B$39,Clientes!$C$4:$C$39),Cadastros!$L$6:$L$12,Cadastros!$M$6:$M$12)," ")</f>
        <v xml:space="preserve"> </v>
      </c>
      <c r="AB1085" s="28"/>
      <c r="AC1085" s="28"/>
      <c r="AD1085" s="20" t="str">
        <f>IF(AB1085="","",IF($F1085="Bernardino Furlan",_xlfn.XLOOKUP(AB1085,Cadastros!$G$6:$G$90,Cadastros!$H$6:$H$90)*(1-0.18),IF($F1085="Mauro José Salanti",_xlfn.XLOOKUP(AB1085,Cadastros!$G$6:$G$90,Cadastros!$H$6:$H$90)*(1-0.18),_xlfn.XLOOKUP(AB1085,Cadastros!$G$6:$G$90,Cadastros!$H$6:$H$90))))</f>
        <v/>
      </c>
      <c r="AE1085" s="168" t="str">
        <f t="shared" si="213"/>
        <v/>
      </c>
      <c r="AF1085" s="168" t="str">
        <f t="shared" si="214"/>
        <v/>
      </c>
      <c r="AG1085" s="28"/>
      <c r="AH1085" s="28"/>
      <c r="AI1085" s="20" t="str">
        <f>IF(AG1085="","",IF($F1085="Bernardino Furlan",_xlfn.XLOOKUP(AG1085,Cadastros!$G$6:$G$90,Cadastros!$H$6:$H$90)*(1-0.18),IF($F1085="Mauro José Salanti",_xlfn.XLOOKUP(AG1085,Cadastros!$G$6:$G$90,Cadastros!$H$6:$H$90)*(1-0.18),_xlfn.XLOOKUP(AG1085,Cadastros!$G$6:$G$90,Cadastros!$H$6:$H$90))))</f>
        <v/>
      </c>
      <c r="AJ1085" s="168" t="str">
        <f t="shared" si="215"/>
        <v/>
      </c>
      <c r="AK1085" s="168" t="str">
        <f t="shared" si="216"/>
        <v/>
      </c>
      <c r="AL1085" s="28"/>
      <c r="AM1085" s="28"/>
      <c r="AN1085" s="20" t="str">
        <f>IF(AL1085="","",IF($F1085="Bernardino Furlan",_xlfn.XLOOKUP(AL1085,Cadastros!$G$6:$G$90,Cadastros!$H$6:$H$90)*(1-0.18),IF($F1085="Mauro José Salanti",_xlfn.XLOOKUP(AL1085,Cadastros!$G$6:$G$90,Cadastros!$H$6:$H$90)*(1-0.18),_xlfn.XLOOKUP(AL1085,Cadastros!$G$6:$G$90,Cadastros!$H$6:$H$90))))</f>
        <v/>
      </c>
      <c r="AO1085" s="168" t="str">
        <f t="shared" si="217"/>
        <v/>
      </c>
      <c r="AP1085" s="168" t="str">
        <f t="shared" si="218"/>
        <v/>
      </c>
      <c r="AQ1085" s="28"/>
      <c r="AR1085" s="28"/>
      <c r="AS1085" s="20" t="str">
        <f>IF(AQ1085="","",IF($F1085="Bernardino Furlan",_xlfn.XLOOKUP(AQ1085,Cadastros!$G$6:$G$90,Cadastros!$H$6:$H$90)*(1-0.18),IF($F1085="Mauro José Salanti",_xlfn.XLOOKUP(AQ1085,Cadastros!$G$6:$G$90,Cadastros!$H$6:$H$90)*(1-0.18),_xlfn.XLOOKUP(AQ1085,Cadastros!$G$6:$G$90,Cadastros!$H$6:$H$90))))</f>
        <v/>
      </c>
      <c r="AT1085" s="168" t="str">
        <f t="shared" si="219"/>
        <v/>
      </c>
      <c r="AU1085" s="168" t="str">
        <f t="shared" si="220"/>
        <v/>
      </c>
      <c r="AV1085" s="227"/>
      <c r="AW1085" s="30"/>
      <c r="AX1085" s="267"/>
      <c r="AY1085" s="267"/>
      <c r="AZ1085" s="29"/>
      <c r="BA1085" s="30"/>
      <c r="BB1085" s="23" t="str" cm="1">
        <f t="array" ref="BB1085">_xlfn.IFS(AW1085="SIM",SUM(K1085,P1085,U1085,Z1085,AE1085,AJ1085,AO1085,AT1085,AX1085,AY1085),F1085&lt;&gt;"",SUM(K1085,P1085,U1085,Z1085,AE1085,AJ1085,,AO1085,AT1085),F1085="","")</f>
        <v/>
      </c>
      <c r="BC1085" s="211" t="str" cm="1">
        <f t="array" ref="BC1085">_xlfn.IFS(E1085="","",G1085&lt;=E1085,BB1085*(1-0.03),G1085&lt;(E1085+8),BB1085,AZ1085="Boleto",BB1085*(1+0.001)^DATEDIF(E1085,G1085,"D"),AZ1085="Cheque",BB1085,AZ1085="Dinheiro","Alterar forma pgto")</f>
        <v/>
      </c>
      <c r="BD1085" s="276" t="str" cm="1">
        <f t="array" ref="BD1085">IF(F1085=0," ",IF(BC1085&lt;BB1085,(_xlfn.IFS(AW1085="SIM",SUM(L1085,Q1085,V1085,AA1085,AF1085,AK1085,AP1085,AU1085)+AX1085/_xlfn.XLOOKUP(_xlfn.XLOOKUP($F1085,Clientes!$B$4:$B$39,Clientes!$C$4:$C$39),Cadastros!$L$6:$L$12,Cadastros!$M$6:$M$12)+IF($F1085="Bernardino Furlan",AY1085/2751.92,IF($F1085="Mauro José Salanti",AY1085/2751.92,AY1085/3356)),F1085&lt;&gt;0,SUM(L1085,Q1085,V1085,AA1085,AF1085,AK1085,AP1085,AU1085)))*(1-0.03),_xlfn.IFS(AW1085="SIM",SUM(L1085,Q1085,V1085,AA1085,AF1085,AK1085,AP1085,AU1085)+AX1085/_xlfn.XLOOKUP(_xlfn.XLOOKUP($F1085,Clientes!$B$4:$B$39,Clientes!$C$4:$C$39),Cadastros!$L$6:$L$12,Cadastros!$M$6:$M$12)+IF($F1085="Bernardino Furlan",AY1085/2751.92,IF($F1085="Mauro José Salanti",AY1085/2751.92,AY1085/3356)),F1085&lt;&gt;0,SUM(L1085,Q1085,V1085,AA1085,AF1085,AK1085,AP1085,AU1085))))</f>
        <v xml:space="preserve"> </v>
      </c>
      <c r="BE1085" s="120"/>
      <c r="BF1085" s="120"/>
      <c r="BG1085" s="120"/>
    </row>
    <row r="1086" spans="1:59" s="3" customFormat="1" x14ac:dyDescent="0.3">
      <c r="A1086" s="15" t="str">
        <f t="shared" si="208"/>
        <v/>
      </c>
      <c r="B1086" s="25"/>
      <c r="C1086" s="26"/>
      <c r="D1086" s="279"/>
      <c r="E1086" s="27"/>
      <c r="F1086" s="28"/>
      <c r="G1086" s="27"/>
      <c r="H1086" s="28"/>
      <c r="I1086" s="28"/>
      <c r="J1086" s="255" t="str">
        <f>IF(H1086="","",(_xlfn.XLOOKUP(H1086,Cadastros!$D$6:$D$90,Cadastros!$E$6:$E$90))*(1-_xlfn.XLOOKUP(_xlfn.XLOOKUP($F1086,Clientes!$B$4:$B$39,Clientes!$C$4:$C$39),Cadastros!$L$6:$L$12,Cadastros!$N$6:$N$12)))</f>
        <v/>
      </c>
      <c r="K1086" s="168" t="str">
        <f t="shared" si="209"/>
        <v/>
      </c>
      <c r="L1086" s="168" t="str">
        <f>IFERROR(K1086/_xlfn.XLOOKUP(_xlfn.XLOOKUP($F1086,Clientes!$B$4:$B$39,Clientes!$C$4:$C$39),Cadastros!$L$6:$L$12,Cadastros!$M$6:$M$12)," ")</f>
        <v xml:space="preserve"> </v>
      </c>
      <c r="M1086" s="28"/>
      <c r="N1086" s="28"/>
      <c r="O1086" s="255" t="str">
        <f>IF(M1086="","",(_xlfn.XLOOKUP(M1086,Cadastros!$D$6:$D$90,Cadastros!$E$6:$E$90))*(1-_xlfn.XLOOKUP(_xlfn.XLOOKUP($F1086,Clientes!$B$4:$B$39,Clientes!$C$4:$C$39),Cadastros!$L$6:$L$12,Cadastros!$N$6:$N$12)))</f>
        <v/>
      </c>
      <c r="P1086" s="168" t="str">
        <f t="shared" si="210"/>
        <v/>
      </c>
      <c r="Q1086" s="168" t="str">
        <f>IFERROR(P1086/_xlfn.XLOOKUP(_xlfn.XLOOKUP($F1086,Clientes!$B$4:$B$39,Clientes!$C$4:$C$39),Cadastros!$L$6:$L$12,Cadastros!$M$6:$M$12)," ")</f>
        <v xml:space="preserve"> </v>
      </c>
      <c r="R1086" s="28"/>
      <c r="S1086" s="28"/>
      <c r="T1086" s="255" t="str">
        <f>IF(R1086="","",(_xlfn.XLOOKUP(R1086,Cadastros!$D$6:$D$90,Cadastros!$E$6:$E$90))*(1-_xlfn.XLOOKUP(_xlfn.XLOOKUP($F1086,Clientes!$B$4:$B$39,Clientes!$C$4:$C$39),Cadastros!$L$6:$L$12,Cadastros!$N$6:$N$12)))</f>
        <v/>
      </c>
      <c r="U1086" s="168" t="str">
        <f t="shared" si="211"/>
        <v/>
      </c>
      <c r="V1086" s="168" t="str">
        <f>IFERROR(U1086/_xlfn.XLOOKUP(_xlfn.XLOOKUP($F1086,Clientes!$B$4:$B$39,Clientes!$C$4:$C$39),Cadastros!$L$6:$L$12,Cadastros!$M$6:$M$12)," ")</f>
        <v xml:space="preserve"> </v>
      </c>
      <c r="W1086" s="28"/>
      <c r="X1086" s="28"/>
      <c r="Y1086" s="255" t="str">
        <f>IF(W1086="","",(_xlfn.XLOOKUP(W1086,Cadastros!$D$6:$D$90,Cadastros!$E$6:$E$90))*(1-_xlfn.XLOOKUP(_xlfn.XLOOKUP($F1086,Clientes!$B$4:$B$39,Clientes!$C$4:$C$39),Cadastros!$L$6:$L$12,Cadastros!$N$6:$N$12)))</f>
        <v/>
      </c>
      <c r="Z1086" s="168" t="str">
        <f t="shared" si="212"/>
        <v/>
      </c>
      <c r="AA1086" s="168" t="str">
        <f>IFERROR(Z1086/_xlfn.XLOOKUP(_xlfn.XLOOKUP($F1086,Clientes!$B$4:$B$39,Clientes!$C$4:$C$39),Cadastros!$L$6:$L$12,Cadastros!$M$6:$M$12)," ")</f>
        <v xml:space="preserve"> </v>
      </c>
      <c r="AB1086" s="28"/>
      <c r="AC1086" s="28"/>
      <c r="AD1086" s="20" t="str">
        <f>IF(AB1086="","",IF($F1086="Bernardino Furlan",_xlfn.XLOOKUP(AB1086,Cadastros!$G$6:$G$90,Cadastros!$H$6:$H$90)*(1-0.18),IF($F1086="Mauro José Salanti",_xlfn.XLOOKUP(AB1086,Cadastros!$G$6:$G$90,Cadastros!$H$6:$H$90)*(1-0.18),_xlfn.XLOOKUP(AB1086,Cadastros!$G$6:$G$90,Cadastros!$H$6:$H$90))))</f>
        <v/>
      </c>
      <c r="AE1086" s="168" t="str">
        <f t="shared" si="213"/>
        <v/>
      </c>
      <c r="AF1086" s="168" t="str">
        <f t="shared" si="214"/>
        <v/>
      </c>
      <c r="AG1086" s="28"/>
      <c r="AH1086" s="28"/>
      <c r="AI1086" s="20" t="str">
        <f>IF(AG1086="","",IF($F1086="Bernardino Furlan",_xlfn.XLOOKUP(AG1086,Cadastros!$G$6:$G$90,Cadastros!$H$6:$H$90)*(1-0.18),IF($F1086="Mauro José Salanti",_xlfn.XLOOKUP(AG1086,Cadastros!$G$6:$G$90,Cadastros!$H$6:$H$90)*(1-0.18),_xlfn.XLOOKUP(AG1086,Cadastros!$G$6:$G$90,Cadastros!$H$6:$H$90))))</f>
        <v/>
      </c>
      <c r="AJ1086" s="168" t="str">
        <f t="shared" si="215"/>
        <v/>
      </c>
      <c r="AK1086" s="168" t="str">
        <f t="shared" si="216"/>
        <v/>
      </c>
      <c r="AL1086" s="28"/>
      <c r="AM1086" s="28"/>
      <c r="AN1086" s="20" t="str">
        <f>IF(AL1086="","",IF($F1086="Bernardino Furlan",_xlfn.XLOOKUP(AL1086,Cadastros!$G$6:$G$90,Cadastros!$H$6:$H$90)*(1-0.18),IF($F1086="Mauro José Salanti",_xlfn.XLOOKUP(AL1086,Cadastros!$G$6:$G$90,Cadastros!$H$6:$H$90)*(1-0.18),_xlfn.XLOOKUP(AL1086,Cadastros!$G$6:$G$90,Cadastros!$H$6:$H$90))))</f>
        <v/>
      </c>
      <c r="AO1086" s="168" t="str">
        <f t="shared" si="217"/>
        <v/>
      </c>
      <c r="AP1086" s="168" t="str">
        <f t="shared" si="218"/>
        <v/>
      </c>
      <c r="AQ1086" s="28"/>
      <c r="AR1086" s="28"/>
      <c r="AS1086" s="20" t="str">
        <f>IF(AQ1086="","",IF($F1086="Bernardino Furlan",_xlfn.XLOOKUP(AQ1086,Cadastros!$G$6:$G$90,Cadastros!$H$6:$H$90)*(1-0.18),IF($F1086="Mauro José Salanti",_xlfn.XLOOKUP(AQ1086,Cadastros!$G$6:$G$90,Cadastros!$H$6:$H$90)*(1-0.18),_xlfn.XLOOKUP(AQ1086,Cadastros!$G$6:$G$90,Cadastros!$H$6:$H$90))))</f>
        <v/>
      </c>
      <c r="AT1086" s="168" t="str">
        <f t="shared" si="219"/>
        <v/>
      </c>
      <c r="AU1086" s="168" t="str">
        <f t="shared" si="220"/>
        <v/>
      </c>
      <c r="AV1086" s="227"/>
      <c r="AW1086" s="30"/>
      <c r="AX1086" s="267"/>
      <c r="AY1086" s="267"/>
      <c r="AZ1086" s="29"/>
      <c r="BA1086" s="30"/>
      <c r="BB1086" s="23" t="str" cm="1">
        <f t="array" ref="BB1086">_xlfn.IFS(AW1086="SIM",SUM(K1086,P1086,U1086,Z1086,AE1086,AJ1086,AO1086,AT1086,AX1086,AY1086),F1086&lt;&gt;"",SUM(K1086,P1086,U1086,Z1086,AE1086,AJ1086,,AO1086,AT1086),F1086="","")</f>
        <v/>
      </c>
      <c r="BC1086" s="211" t="str" cm="1">
        <f t="array" ref="BC1086">_xlfn.IFS(E1086="","",G1086&lt;=E1086,BB1086*(1-0.03),G1086&lt;(E1086+8),BB1086,AZ1086="Boleto",BB1086*(1+0.001)^DATEDIF(E1086,G1086,"D"),AZ1086="Cheque",BB1086,AZ1086="Dinheiro","Alterar forma pgto")</f>
        <v/>
      </c>
      <c r="BD1086" s="276" t="str" cm="1">
        <f t="array" ref="BD1086">IF(F1086=0," ",IF(BC1086&lt;BB1086,(_xlfn.IFS(AW1086="SIM",SUM(L1086,Q1086,V1086,AA1086,AF1086,AK1086,AP1086,AU1086)+AX1086/_xlfn.XLOOKUP(_xlfn.XLOOKUP($F1086,Clientes!$B$4:$B$39,Clientes!$C$4:$C$39),Cadastros!$L$6:$L$12,Cadastros!$M$6:$M$12)+IF($F1086="Bernardino Furlan",AY1086/2751.92,IF($F1086="Mauro José Salanti",AY1086/2751.92,AY1086/3356)),F1086&lt;&gt;0,SUM(L1086,Q1086,V1086,AA1086,AF1086,AK1086,AP1086,AU1086)))*(1-0.03),_xlfn.IFS(AW1086="SIM",SUM(L1086,Q1086,V1086,AA1086,AF1086,AK1086,AP1086,AU1086)+AX1086/_xlfn.XLOOKUP(_xlfn.XLOOKUP($F1086,Clientes!$B$4:$B$39,Clientes!$C$4:$C$39),Cadastros!$L$6:$L$12,Cadastros!$M$6:$M$12)+IF($F1086="Bernardino Furlan",AY1086/2751.92,IF($F1086="Mauro José Salanti",AY1086/2751.92,AY1086/3356)),F1086&lt;&gt;0,SUM(L1086,Q1086,V1086,AA1086,AF1086,AK1086,AP1086,AU1086))))</f>
        <v xml:space="preserve"> </v>
      </c>
      <c r="BE1086" s="120"/>
      <c r="BF1086" s="120"/>
      <c r="BG1086" s="120"/>
    </row>
    <row r="1087" spans="1:59" s="3" customFormat="1" x14ac:dyDescent="0.3">
      <c r="A1087" s="15" t="str">
        <f t="shared" si="208"/>
        <v/>
      </c>
      <c r="B1087" s="25"/>
      <c r="C1087" s="26"/>
      <c r="D1087" s="279"/>
      <c r="E1087" s="27"/>
      <c r="F1087" s="28"/>
      <c r="G1087" s="27"/>
      <c r="H1087" s="28"/>
      <c r="I1087" s="28"/>
      <c r="J1087" s="255" t="str">
        <f>IF(H1087="","",(_xlfn.XLOOKUP(H1087,Cadastros!$D$6:$D$90,Cadastros!$E$6:$E$90))*(1-_xlfn.XLOOKUP(_xlfn.XLOOKUP($F1087,Clientes!$B$4:$B$39,Clientes!$C$4:$C$39),Cadastros!$L$6:$L$12,Cadastros!$N$6:$N$12)))</f>
        <v/>
      </c>
      <c r="K1087" s="168" t="str">
        <f t="shared" si="209"/>
        <v/>
      </c>
      <c r="L1087" s="168" t="str">
        <f>IFERROR(K1087/_xlfn.XLOOKUP(_xlfn.XLOOKUP($F1087,Clientes!$B$4:$B$39,Clientes!$C$4:$C$39),Cadastros!$L$6:$L$12,Cadastros!$M$6:$M$12)," ")</f>
        <v xml:space="preserve"> </v>
      </c>
      <c r="M1087" s="28"/>
      <c r="N1087" s="28"/>
      <c r="O1087" s="255" t="str">
        <f>IF(M1087="","",(_xlfn.XLOOKUP(M1087,Cadastros!$D$6:$D$90,Cadastros!$E$6:$E$90))*(1-_xlfn.XLOOKUP(_xlfn.XLOOKUP($F1087,Clientes!$B$4:$B$39,Clientes!$C$4:$C$39),Cadastros!$L$6:$L$12,Cadastros!$N$6:$N$12)))</f>
        <v/>
      </c>
      <c r="P1087" s="168" t="str">
        <f t="shared" si="210"/>
        <v/>
      </c>
      <c r="Q1087" s="168" t="str">
        <f>IFERROR(P1087/_xlfn.XLOOKUP(_xlfn.XLOOKUP($F1087,Clientes!$B$4:$B$39,Clientes!$C$4:$C$39),Cadastros!$L$6:$L$12,Cadastros!$M$6:$M$12)," ")</f>
        <v xml:space="preserve"> </v>
      </c>
      <c r="R1087" s="28"/>
      <c r="S1087" s="28"/>
      <c r="T1087" s="255" t="str">
        <f>IF(R1087="","",(_xlfn.XLOOKUP(R1087,Cadastros!$D$6:$D$90,Cadastros!$E$6:$E$90))*(1-_xlfn.XLOOKUP(_xlfn.XLOOKUP($F1087,Clientes!$B$4:$B$39,Clientes!$C$4:$C$39),Cadastros!$L$6:$L$12,Cadastros!$N$6:$N$12)))</f>
        <v/>
      </c>
      <c r="U1087" s="168" t="str">
        <f t="shared" si="211"/>
        <v/>
      </c>
      <c r="V1087" s="168" t="str">
        <f>IFERROR(U1087/_xlfn.XLOOKUP(_xlfn.XLOOKUP($F1087,Clientes!$B$4:$B$39,Clientes!$C$4:$C$39),Cadastros!$L$6:$L$12,Cadastros!$M$6:$M$12)," ")</f>
        <v xml:space="preserve"> </v>
      </c>
      <c r="W1087" s="28"/>
      <c r="X1087" s="28"/>
      <c r="Y1087" s="255" t="str">
        <f>IF(W1087="","",(_xlfn.XLOOKUP(W1087,Cadastros!$D$6:$D$90,Cadastros!$E$6:$E$90))*(1-_xlfn.XLOOKUP(_xlfn.XLOOKUP($F1087,Clientes!$B$4:$B$39,Clientes!$C$4:$C$39),Cadastros!$L$6:$L$12,Cadastros!$N$6:$N$12)))</f>
        <v/>
      </c>
      <c r="Z1087" s="168" t="str">
        <f t="shared" si="212"/>
        <v/>
      </c>
      <c r="AA1087" s="168" t="str">
        <f>IFERROR(Z1087/_xlfn.XLOOKUP(_xlfn.XLOOKUP($F1087,Clientes!$B$4:$B$39,Clientes!$C$4:$C$39),Cadastros!$L$6:$L$12,Cadastros!$M$6:$M$12)," ")</f>
        <v xml:space="preserve"> </v>
      </c>
      <c r="AB1087" s="28"/>
      <c r="AC1087" s="28"/>
      <c r="AD1087" s="20" t="str">
        <f>IF(AB1087="","",IF($F1087="Bernardino Furlan",_xlfn.XLOOKUP(AB1087,Cadastros!$G$6:$G$90,Cadastros!$H$6:$H$90)*(1-0.18),IF($F1087="Mauro José Salanti",_xlfn.XLOOKUP(AB1087,Cadastros!$G$6:$G$90,Cadastros!$H$6:$H$90)*(1-0.18),_xlfn.XLOOKUP(AB1087,Cadastros!$G$6:$G$90,Cadastros!$H$6:$H$90))))</f>
        <v/>
      </c>
      <c r="AE1087" s="168" t="str">
        <f t="shared" si="213"/>
        <v/>
      </c>
      <c r="AF1087" s="168" t="str">
        <f t="shared" si="214"/>
        <v/>
      </c>
      <c r="AG1087" s="28"/>
      <c r="AH1087" s="28"/>
      <c r="AI1087" s="20" t="str">
        <f>IF(AG1087="","",IF($F1087="Bernardino Furlan",_xlfn.XLOOKUP(AG1087,Cadastros!$G$6:$G$90,Cadastros!$H$6:$H$90)*(1-0.18),IF($F1087="Mauro José Salanti",_xlfn.XLOOKUP(AG1087,Cadastros!$G$6:$G$90,Cadastros!$H$6:$H$90)*(1-0.18),_xlfn.XLOOKUP(AG1087,Cadastros!$G$6:$G$90,Cadastros!$H$6:$H$90))))</f>
        <v/>
      </c>
      <c r="AJ1087" s="168" t="str">
        <f t="shared" si="215"/>
        <v/>
      </c>
      <c r="AK1087" s="168" t="str">
        <f t="shared" si="216"/>
        <v/>
      </c>
      <c r="AL1087" s="28"/>
      <c r="AM1087" s="28"/>
      <c r="AN1087" s="20" t="str">
        <f>IF(AL1087="","",IF($F1087="Bernardino Furlan",_xlfn.XLOOKUP(AL1087,Cadastros!$G$6:$G$90,Cadastros!$H$6:$H$90)*(1-0.18),IF($F1087="Mauro José Salanti",_xlfn.XLOOKUP(AL1087,Cadastros!$G$6:$G$90,Cadastros!$H$6:$H$90)*(1-0.18),_xlfn.XLOOKUP(AL1087,Cadastros!$G$6:$G$90,Cadastros!$H$6:$H$90))))</f>
        <v/>
      </c>
      <c r="AO1087" s="168" t="str">
        <f t="shared" si="217"/>
        <v/>
      </c>
      <c r="AP1087" s="168" t="str">
        <f t="shared" si="218"/>
        <v/>
      </c>
      <c r="AQ1087" s="28"/>
      <c r="AR1087" s="28"/>
      <c r="AS1087" s="20" t="str">
        <f>IF(AQ1087="","",IF($F1087="Bernardino Furlan",_xlfn.XLOOKUP(AQ1087,Cadastros!$G$6:$G$90,Cadastros!$H$6:$H$90)*(1-0.18),IF($F1087="Mauro José Salanti",_xlfn.XLOOKUP(AQ1087,Cadastros!$G$6:$G$90,Cadastros!$H$6:$H$90)*(1-0.18),_xlfn.XLOOKUP(AQ1087,Cadastros!$G$6:$G$90,Cadastros!$H$6:$H$90))))</f>
        <v/>
      </c>
      <c r="AT1087" s="168" t="str">
        <f t="shared" si="219"/>
        <v/>
      </c>
      <c r="AU1087" s="168" t="str">
        <f t="shared" si="220"/>
        <v/>
      </c>
      <c r="AV1087" s="227"/>
      <c r="AW1087" s="30"/>
      <c r="AX1087" s="267"/>
      <c r="AY1087" s="267"/>
      <c r="AZ1087" s="29"/>
      <c r="BA1087" s="30"/>
      <c r="BB1087" s="23" t="str" cm="1">
        <f t="array" ref="BB1087">_xlfn.IFS(AW1087="SIM",SUM(K1087,P1087,U1087,Z1087,AE1087,AJ1087,AO1087,AT1087,AX1087,AY1087),F1087&lt;&gt;"",SUM(K1087,P1087,U1087,Z1087,AE1087,AJ1087,,AO1087,AT1087),F1087="","")</f>
        <v/>
      </c>
      <c r="BC1087" s="211" t="str" cm="1">
        <f t="array" ref="BC1087">_xlfn.IFS(E1087="","",G1087&lt;=E1087,BB1087*(1-0.03),G1087&lt;(E1087+8),BB1087,AZ1087="Boleto",BB1087*(1+0.001)^DATEDIF(E1087,G1087,"D"),AZ1087="Cheque",BB1087,AZ1087="Dinheiro","Alterar forma pgto")</f>
        <v/>
      </c>
      <c r="BD1087" s="276" t="str" cm="1">
        <f t="array" ref="BD1087">IF(F1087=0," ",IF(BC1087&lt;BB1087,(_xlfn.IFS(AW1087="SIM",SUM(L1087,Q1087,V1087,AA1087,AF1087,AK1087,AP1087,AU1087)+AX1087/_xlfn.XLOOKUP(_xlfn.XLOOKUP($F1087,Clientes!$B$4:$B$39,Clientes!$C$4:$C$39),Cadastros!$L$6:$L$12,Cadastros!$M$6:$M$12)+IF($F1087="Bernardino Furlan",AY1087/2751.92,IF($F1087="Mauro José Salanti",AY1087/2751.92,AY1087/3356)),F1087&lt;&gt;0,SUM(L1087,Q1087,V1087,AA1087,AF1087,AK1087,AP1087,AU1087)))*(1-0.03),_xlfn.IFS(AW1087="SIM",SUM(L1087,Q1087,V1087,AA1087,AF1087,AK1087,AP1087,AU1087)+AX1087/_xlfn.XLOOKUP(_xlfn.XLOOKUP($F1087,Clientes!$B$4:$B$39,Clientes!$C$4:$C$39),Cadastros!$L$6:$L$12,Cadastros!$M$6:$M$12)+IF($F1087="Bernardino Furlan",AY1087/2751.92,IF($F1087="Mauro José Salanti",AY1087/2751.92,AY1087/3356)),F1087&lt;&gt;0,SUM(L1087,Q1087,V1087,AA1087,AF1087,AK1087,AP1087,AU1087))))</f>
        <v xml:space="preserve"> </v>
      </c>
      <c r="BE1087" s="120"/>
      <c r="BF1087" s="120"/>
      <c r="BG1087" s="120"/>
    </row>
    <row r="1088" spans="1:59" s="3" customFormat="1" x14ac:dyDescent="0.3">
      <c r="A1088" s="15" t="str">
        <f t="shared" si="208"/>
        <v/>
      </c>
      <c r="B1088" s="25"/>
      <c r="C1088" s="26"/>
      <c r="D1088" s="279"/>
      <c r="E1088" s="27"/>
      <c r="F1088" s="28"/>
      <c r="G1088" s="27"/>
      <c r="H1088" s="28"/>
      <c r="I1088" s="28"/>
      <c r="J1088" s="255" t="str">
        <f>IF(H1088="","",(_xlfn.XLOOKUP(H1088,Cadastros!$D$6:$D$90,Cadastros!$E$6:$E$90))*(1-_xlfn.XLOOKUP(_xlfn.XLOOKUP($F1088,Clientes!$B$4:$B$39,Clientes!$C$4:$C$39),Cadastros!$L$6:$L$12,Cadastros!$N$6:$N$12)))</f>
        <v/>
      </c>
      <c r="K1088" s="168" t="str">
        <f t="shared" si="209"/>
        <v/>
      </c>
      <c r="L1088" s="168" t="str">
        <f>IFERROR(K1088/_xlfn.XLOOKUP(_xlfn.XLOOKUP($F1088,Clientes!$B$4:$B$39,Clientes!$C$4:$C$39),Cadastros!$L$6:$L$12,Cadastros!$M$6:$M$12)," ")</f>
        <v xml:space="preserve"> </v>
      </c>
      <c r="M1088" s="28"/>
      <c r="N1088" s="28"/>
      <c r="O1088" s="255" t="str">
        <f>IF(M1088="","",(_xlfn.XLOOKUP(M1088,Cadastros!$D$6:$D$90,Cadastros!$E$6:$E$90))*(1-_xlfn.XLOOKUP(_xlfn.XLOOKUP($F1088,Clientes!$B$4:$B$39,Clientes!$C$4:$C$39),Cadastros!$L$6:$L$12,Cadastros!$N$6:$N$12)))</f>
        <v/>
      </c>
      <c r="P1088" s="168" t="str">
        <f t="shared" si="210"/>
        <v/>
      </c>
      <c r="Q1088" s="168" t="str">
        <f>IFERROR(P1088/_xlfn.XLOOKUP(_xlfn.XLOOKUP($F1088,Clientes!$B$4:$B$39,Clientes!$C$4:$C$39),Cadastros!$L$6:$L$12,Cadastros!$M$6:$M$12)," ")</f>
        <v xml:space="preserve"> </v>
      </c>
      <c r="R1088" s="28"/>
      <c r="S1088" s="28"/>
      <c r="T1088" s="255" t="str">
        <f>IF(R1088="","",(_xlfn.XLOOKUP(R1088,Cadastros!$D$6:$D$90,Cadastros!$E$6:$E$90))*(1-_xlfn.XLOOKUP(_xlfn.XLOOKUP($F1088,Clientes!$B$4:$B$39,Clientes!$C$4:$C$39),Cadastros!$L$6:$L$12,Cadastros!$N$6:$N$12)))</f>
        <v/>
      </c>
      <c r="U1088" s="168" t="str">
        <f t="shared" si="211"/>
        <v/>
      </c>
      <c r="V1088" s="168" t="str">
        <f>IFERROR(U1088/_xlfn.XLOOKUP(_xlfn.XLOOKUP($F1088,Clientes!$B$4:$B$39,Clientes!$C$4:$C$39),Cadastros!$L$6:$L$12,Cadastros!$M$6:$M$12)," ")</f>
        <v xml:space="preserve"> </v>
      </c>
      <c r="W1088" s="28"/>
      <c r="X1088" s="28"/>
      <c r="Y1088" s="255" t="str">
        <f>IF(W1088="","",(_xlfn.XLOOKUP(W1088,Cadastros!$D$6:$D$90,Cadastros!$E$6:$E$90))*(1-_xlfn.XLOOKUP(_xlfn.XLOOKUP($F1088,Clientes!$B$4:$B$39,Clientes!$C$4:$C$39),Cadastros!$L$6:$L$12,Cadastros!$N$6:$N$12)))</f>
        <v/>
      </c>
      <c r="Z1088" s="168" t="str">
        <f t="shared" si="212"/>
        <v/>
      </c>
      <c r="AA1088" s="168" t="str">
        <f>IFERROR(Z1088/_xlfn.XLOOKUP(_xlfn.XLOOKUP($F1088,Clientes!$B$4:$B$39,Clientes!$C$4:$C$39),Cadastros!$L$6:$L$12,Cadastros!$M$6:$M$12)," ")</f>
        <v xml:space="preserve"> </v>
      </c>
      <c r="AB1088" s="28"/>
      <c r="AC1088" s="28"/>
      <c r="AD1088" s="20" t="str">
        <f>IF(AB1088="","",IF($F1088="Bernardino Furlan",_xlfn.XLOOKUP(AB1088,Cadastros!$G$6:$G$90,Cadastros!$H$6:$H$90)*(1-0.18),IF($F1088="Mauro José Salanti",_xlfn.XLOOKUP(AB1088,Cadastros!$G$6:$G$90,Cadastros!$H$6:$H$90)*(1-0.18),_xlfn.XLOOKUP(AB1088,Cadastros!$G$6:$G$90,Cadastros!$H$6:$H$90))))</f>
        <v/>
      </c>
      <c r="AE1088" s="168" t="str">
        <f t="shared" si="213"/>
        <v/>
      </c>
      <c r="AF1088" s="168" t="str">
        <f t="shared" si="214"/>
        <v/>
      </c>
      <c r="AG1088" s="28"/>
      <c r="AH1088" s="28"/>
      <c r="AI1088" s="20" t="str">
        <f>IF(AG1088="","",IF($F1088="Bernardino Furlan",_xlfn.XLOOKUP(AG1088,Cadastros!$G$6:$G$90,Cadastros!$H$6:$H$90)*(1-0.18),IF($F1088="Mauro José Salanti",_xlfn.XLOOKUP(AG1088,Cadastros!$G$6:$G$90,Cadastros!$H$6:$H$90)*(1-0.18),_xlfn.XLOOKUP(AG1088,Cadastros!$G$6:$G$90,Cadastros!$H$6:$H$90))))</f>
        <v/>
      </c>
      <c r="AJ1088" s="168" t="str">
        <f t="shared" si="215"/>
        <v/>
      </c>
      <c r="AK1088" s="168" t="str">
        <f t="shared" si="216"/>
        <v/>
      </c>
      <c r="AL1088" s="28"/>
      <c r="AM1088" s="28"/>
      <c r="AN1088" s="20" t="str">
        <f>IF(AL1088="","",IF($F1088="Bernardino Furlan",_xlfn.XLOOKUP(AL1088,Cadastros!$G$6:$G$90,Cadastros!$H$6:$H$90)*(1-0.18),IF($F1088="Mauro José Salanti",_xlfn.XLOOKUP(AL1088,Cadastros!$G$6:$G$90,Cadastros!$H$6:$H$90)*(1-0.18),_xlfn.XLOOKUP(AL1088,Cadastros!$G$6:$G$90,Cadastros!$H$6:$H$90))))</f>
        <v/>
      </c>
      <c r="AO1088" s="168" t="str">
        <f t="shared" si="217"/>
        <v/>
      </c>
      <c r="AP1088" s="168" t="str">
        <f t="shared" si="218"/>
        <v/>
      </c>
      <c r="AQ1088" s="28"/>
      <c r="AR1088" s="28"/>
      <c r="AS1088" s="20" t="str">
        <f>IF(AQ1088="","",IF($F1088="Bernardino Furlan",_xlfn.XLOOKUP(AQ1088,Cadastros!$G$6:$G$90,Cadastros!$H$6:$H$90)*(1-0.18),IF($F1088="Mauro José Salanti",_xlfn.XLOOKUP(AQ1088,Cadastros!$G$6:$G$90,Cadastros!$H$6:$H$90)*(1-0.18),_xlfn.XLOOKUP(AQ1088,Cadastros!$G$6:$G$90,Cadastros!$H$6:$H$90))))</f>
        <v/>
      </c>
      <c r="AT1088" s="168" t="str">
        <f t="shared" si="219"/>
        <v/>
      </c>
      <c r="AU1088" s="168" t="str">
        <f t="shared" si="220"/>
        <v/>
      </c>
      <c r="AV1088" s="227"/>
      <c r="AW1088" s="30"/>
      <c r="AX1088" s="267"/>
      <c r="AY1088" s="267"/>
      <c r="AZ1088" s="29"/>
      <c r="BA1088" s="30"/>
      <c r="BB1088" s="23" t="str" cm="1">
        <f t="array" ref="BB1088">_xlfn.IFS(AW1088="SIM",SUM(K1088,P1088,U1088,Z1088,AE1088,AJ1088,AO1088,AT1088,AX1088,AY1088),F1088&lt;&gt;"",SUM(K1088,P1088,U1088,Z1088,AE1088,AJ1088,,AO1088,AT1088),F1088="","")</f>
        <v/>
      </c>
      <c r="BC1088" s="211" t="str" cm="1">
        <f t="array" ref="BC1088">_xlfn.IFS(E1088="","",G1088&lt;=E1088,BB1088*(1-0.03),G1088&lt;(E1088+8),BB1088,AZ1088="Boleto",BB1088*(1+0.001)^DATEDIF(E1088,G1088,"D"),AZ1088="Cheque",BB1088,AZ1088="Dinheiro","Alterar forma pgto")</f>
        <v/>
      </c>
      <c r="BD1088" s="276" t="str" cm="1">
        <f t="array" ref="BD1088">IF(F1088=0," ",IF(BC1088&lt;BB1088,(_xlfn.IFS(AW1088="SIM",SUM(L1088,Q1088,V1088,AA1088,AF1088,AK1088,AP1088,AU1088)+AX1088/_xlfn.XLOOKUP(_xlfn.XLOOKUP($F1088,Clientes!$B$4:$B$39,Clientes!$C$4:$C$39),Cadastros!$L$6:$L$12,Cadastros!$M$6:$M$12)+IF($F1088="Bernardino Furlan",AY1088/2751.92,IF($F1088="Mauro José Salanti",AY1088/2751.92,AY1088/3356)),F1088&lt;&gt;0,SUM(L1088,Q1088,V1088,AA1088,AF1088,AK1088,AP1088,AU1088)))*(1-0.03),_xlfn.IFS(AW1088="SIM",SUM(L1088,Q1088,V1088,AA1088,AF1088,AK1088,AP1088,AU1088)+AX1088/_xlfn.XLOOKUP(_xlfn.XLOOKUP($F1088,Clientes!$B$4:$B$39,Clientes!$C$4:$C$39),Cadastros!$L$6:$L$12,Cadastros!$M$6:$M$12)+IF($F1088="Bernardino Furlan",AY1088/2751.92,IF($F1088="Mauro José Salanti",AY1088/2751.92,AY1088/3356)),F1088&lt;&gt;0,SUM(L1088,Q1088,V1088,AA1088,AF1088,AK1088,AP1088,AU1088))))</f>
        <v xml:space="preserve"> </v>
      </c>
      <c r="BE1088" s="120"/>
      <c r="BF1088" s="120"/>
      <c r="BG1088" s="120"/>
    </row>
    <row r="1089" spans="1:59" s="3" customFormat="1" x14ac:dyDescent="0.3">
      <c r="A1089" s="15" t="str">
        <f t="shared" si="208"/>
        <v/>
      </c>
      <c r="B1089" s="25"/>
      <c r="C1089" s="26"/>
      <c r="D1089" s="279"/>
      <c r="E1089" s="27"/>
      <c r="F1089" s="28"/>
      <c r="G1089" s="27"/>
      <c r="H1089" s="28"/>
      <c r="I1089" s="28"/>
      <c r="J1089" s="255" t="str">
        <f>IF(H1089="","",(_xlfn.XLOOKUP(H1089,Cadastros!$D$6:$D$90,Cadastros!$E$6:$E$90))*(1-_xlfn.XLOOKUP(_xlfn.XLOOKUP($F1089,Clientes!$B$4:$B$39,Clientes!$C$4:$C$39),Cadastros!$L$6:$L$12,Cadastros!$N$6:$N$12)))</f>
        <v/>
      </c>
      <c r="K1089" s="168" t="str">
        <f t="shared" si="209"/>
        <v/>
      </c>
      <c r="L1089" s="168" t="str">
        <f>IFERROR(K1089/_xlfn.XLOOKUP(_xlfn.XLOOKUP($F1089,Clientes!$B$4:$B$39,Clientes!$C$4:$C$39),Cadastros!$L$6:$L$12,Cadastros!$M$6:$M$12)," ")</f>
        <v xml:space="preserve"> </v>
      </c>
      <c r="M1089" s="28"/>
      <c r="N1089" s="28"/>
      <c r="O1089" s="255" t="str">
        <f>IF(M1089="","",(_xlfn.XLOOKUP(M1089,Cadastros!$D$6:$D$90,Cadastros!$E$6:$E$90))*(1-_xlfn.XLOOKUP(_xlfn.XLOOKUP($F1089,Clientes!$B$4:$B$39,Clientes!$C$4:$C$39),Cadastros!$L$6:$L$12,Cadastros!$N$6:$N$12)))</f>
        <v/>
      </c>
      <c r="P1089" s="168" t="str">
        <f t="shared" si="210"/>
        <v/>
      </c>
      <c r="Q1089" s="168" t="str">
        <f>IFERROR(P1089/_xlfn.XLOOKUP(_xlfn.XLOOKUP($F1089,Clientes!$B$4:$B$39,Clientes!$C$4:$C$39),Cadastros!$L$6:$L$12,Cadastros!$M$6:$M$12)," ")</f>
        <v xml:space="preserve"> </v>
      </c>
      <c r="R1089" s="28"/>
      <c r="S1089" s="28"/>
      <c r="T1089" s="255" t="str">
        <f>IF(R1089="","",(_xlfn.XLOOKUP(R1089,Cadastros!$D$6:$D$90,Cadastros!$E$6:$E$90))*(1-_xlfn.XLOOKUP(_xlfn.XLOOKUP($F1089,Clientes!$B$4:$B$39,Clientes!$C$4:$C$39),Cadastros!$L$6:$L$12,Cadastros!$N$6:$N$12)))</f>
        <v/>
      </c>
      <c r="U1089" s="168" t="str">
        <f t="shared" si="211"/>
        <v/>
      </c>
      <c r="V1089" s="168" t="str">
        <f>IFERROR(U1089/_xlfn.XLOOKUP(_xlfn.XLOOKUP($F1089,Clientes!$B$4:$B$39,Clientes!$C$4:$C$39),Cadastros!$L$6:$L$12,Cadastros!$M$6:$M$12)," ")</f>
        <v xml:space="preserve"> </v>
      </c>
      <c r="W1089" s="28"/>
      <c r="X1089" s="28"/>
      <c r="Y1089" s="255" t="str">
        <f>IF(W1089="","",(_xlfn.XLOOKUP(W1089,Cadastros!$D$6:$D$90,Cadastros!$E$6:$E$90))*(1-_xlfn.XLOOKUP(_xlfn.XLOOKUP($F1089,Clientes!$B$4:$B$39,Clientes!$C$4:$C$39),Cadastros!$L$6:$L$12,Cadastros!$N$6:$N$12)))</f>
        <v/>
      </c>
      <c r="Z1089" s="168" t="str">
        <f t="shared" si="212"/>
        <v/>
      </c>
      <c r="AA1089" s="168" t="str">
        <f>IFERROR(Z1089/_xlfn.XLOOKUP(_xlfn.XLOOKUP($F1089,Clientes!$B$4:$B$39,Clientes!$C$4:$C$39),Cadastros!$L$6:$L$12,Cadastros!$M$6:$M$12)," ")</f>
        <v xml:space="preserve"> </v>
      </c>
      <c r="AB1089" s="28"/>
      <c r="AC1089" s="28"/>
      <c r="AD1089" s="20" t="str">
        <f>IF(AB1089="","",IF($F1089="Bernardino Furlan",_xlfn.XLOOKUP(AB1089,Cadastros!$G$6:$G$90,Cadastros!$H$6:$H$90)*(1-0.18),IF($F1089="Mauro José Salanti",_xlfn.XLOOKUP(AB1089,Cadastros!$G$6:$G$90,Cadastros!$H$6:$H$90)*(1-0.18),_xlfn.XLOOKUP(AB1089,Cadastros!$G$6:$G$90,Cadastros!$H$6:$H$90))))</f>
        <v/>
      </c>
      <c r="AE1089" s="168" t="str">
        <f t="shared" si="213"/>
        <v/>
      </c>
      <c r="AF1089" s="168" t="str">
        <f t="shared" si="214"/>
        <v/>
      </c>
      <c r="AG1089" s="28"/>
      <c r="AH1089" s="28"/>
      <c r="AI1089" s="20" t="str">
        <f>IF(AG1089="","",IF($F1089="Bernardino Furlan",_xlfn.XLOOKUP(AG1089,Cadastros!$G$6:$G$90,Cadastros!$H$6:$H$90)*(1-0.18),IF($F1089="Mauro José Salanti",_xlfn.XLOOKUP(AG1089,Cadastros!$G$6:$G$90,Cadastros!$H$6:$H$90)*(1-0.18),_xlfn.XLOOKUP(AG1089,Cadastros!$G$6:$G$90,Cadastros!$H$6:$H$90))))</f>
        <v/>
      </c>
      <c r="AJ1089" s="168" t="str">
        <f t="shared" si="215"/>
        <v/>
      </c>
      <c r="AK1089" s="168" t="str">
        <f t="shared" si="216"/>
        <v/>
      </c>
      <c r="AL1089" s="28"/>
      <c r="AM1089" s="28"/>
      <c r="AN1089" s="20" t="str">
        <f>IF(AL1089="","",IF($F1089="Bernardino Furlan",_xlfn.XLOOKUP(AL1089,Cadastros!$G$6:$G$90,Cadastros!$H$6:$H$90)*(1-0.18),IF($F1089="Mauro José Salanti",_xlfn.XLOOKUP(AL1089,Cadastros!$G$6:$G$90,Cadastros!$H$6:$H$90)*(1-0.18),_xlfn.XLOOKUP(AL1089,Cadastros!$G$6:$G$90,Cadastros!$H$6:$H$90))))</f>
        <v/>
      </c>
      <c r="AO1089" s="168" t="str">
        <f t="shared" si="217"/>
        <v/>
      </c>
      <c r="AP1089" s="168" t="str">
        <f t="shared" si="218"/>
        <v/>
      </c>
      <c r="AQ1089" s="28"/>
      <c r="AR1089" s="28"/>
      <c r="AS1089" s="20" t="str">
        <f>IF(AQ1089="","",IF($F1089="Bernardino Furlan",_xlfn.XLOOKUP(AQ1089,Cadastros!$G$6:$G$90,Cadastros!$H$6:$H$90)*(1-0.18),IF($F1089="Mauro José Salanti",_xlfn.XLOOKUP(AQ1089,Cadastros!$G$6:$G$90,Cadastros!$H$6:$H$90)*(1-0.18),_xlfn.XLOOKUP(AQ1089,Cadastros!$G$6:$G$90,Cadastros!$H$6:$H$90))))</f>
        <v/>
      </c>
      <c r="AT1089" s="168" t="str">
        <f t="shared" si="219"/>
        <v/>
      </c>
      <c r="AU1089" s="168" t="str">
        <f t="shared" si="220"/>
        <v/>
      </c>
      <c r="AV1089" s="227"/>
      <c r="AW1089" s="30"/>
      <c r="AX1089" s="267"/>
      <c r="AY1089" s="267"/>
      <c r="AZ1089" s="29"/>
      <c r="BA1089" s="30"/>
      <c r="BB1089" s="23" t="str" cm="1">
        <f t="array" ref="BB1089">_xlfn.IFS(AW1089="SIM",SUM(K1089,P1089,U1089,Z1089,AE1089,AJ1089,AO1089,AT1089,AX1089,AY1089),F1089&lt;&gt;"",SUM(K1089,P1089,U1089,Z1089,AE1089,AJ1089,,AO1089,AT1089),F1089="","")</f>
        <v/>
      </c>
      <c r="BC1089" s="211" t="str" cm="1">
        <f t="array" ref="BC1089">_xlfn.IFS(E1089="","",G1089&lt;=E1089,BB1089*(1-0.03),G1089&lt;(E1089+8),BB1089,AZ1089="Boleto",BB1089*(1+0.001)^DATEDIF(E1089,G1089,"D"),AZ1089="Cheque",BB1089,AZ1089="Dinheiro","Alterar forma pgto")</f>
        <v/>
      </c>
      <c r="BD1089" s="276" t="str" cm="1">
        <f t="array" ref="BD1089">IF(F1089=0," ",IF(BC1089&lt;BB1089,(_xlfn.IFS(AW1089="SIM",SUM(L1089,Q1089,V1089,AA1089,AF1089,AK1089,AP1089,AU1089)+AX1089/_xlfn.XLOOKUP(_xlfn.XLOOKUP($F1089,Clientes!$B$4:$B$39,Clientes!$C$4:$C$39),Cadastros!$L$6:$L$12,Cadastros!$M$6:$M$12)+IF($F1089="Bernardino Furlan",AY1089/2751.92,IF($F1089="Mauro José Salanti",AY1089/2751.92,AY1089/3356)),F1089&lt;&gt;0,SUM(L1089,Q1089,V1089,AA1089,AF1089,AK1089,AP1089,AU1089)))*(1-0.03),_xlfn.IFS(AW1089="SIM",SUM(L1089,Q1089,V1089,AA1089,AF1089,AK1089,AP1089,AU1089)+AX1089/_xlfn.XLOOKUP(_xlfn.XLOOKUP($F1089,Clientes!$B$4:$B$39,Clientes!$C$4:$C$39),Cadastros!$L$6:$L$12,Cadastros!$M$6:$M$12)+IF($F1089="Bernardino Furlan",AY1089/2751.92,IF($F1089="Mauro José Salanti",AY1089/2751.92,AY1089/3356)),F1089&lt;&gt;0,SUM(L1089,Q1089,V1089,AA1089,AF1089,AK1089,AP1089,AU1089))))</f>
        <v xml:space="preserve"> </v>
      </c>
      <c r="BE1089" s="120"/>
      <c r="BF1089" s="120"/>
      <c r="BG1089" s="120"/>
    </row>
    <row r="1090" spans="1:59" s="3" customFormat="1" x14ac:dyDescent="0.3">
      <c r="A1090" s="15" t="str">
        <f t="shared" si="208"/>
        <v/>
      </c>
      <c r="B1090" s="25"/>
      <c r="C1090" s="26"/>
      <c r="D1090" s="279"/>
      <c r="E1090" s="27"/>
      <c r="F1090" s="28"/>
      <c r="G1090" s="27"/>
      <c r="H1090" s="28"/>
      <c r="I1090" s="28"/>
      <c r="J1090" s="255" t="str">
        <f>IF(H1090="","",(_xlfn.XLOOKUP(H1090,Cadastros!$D$6:$D$90,Cadastros!$E$6:$E$90))*(1-_xlfn.XLOOKUP(_xlfn.XLOOKUP($F1090,Clientes!$B$4:$B$39,Clientes!$C$4:$C$39),Cadastros!$L$6:$L$12,Cadastros!$N$6:$N$12)))</f>
        <v/>
      </c>
      <c r="K1090" s="168" t="str">
        <f t="shared" si="209"/>
        <v/>
      </c>
      <c r="L1090" s="168" t="str">
        <f>IFERROR(K1090/_xlfn.XLOOKUP(_xlfn.XLOOKUP($F1090,Clientes!$B$4:$B$39,Clientes!$C$4:$C$39),Cadastros!$L$6:$L$12,Cadastros!$M$6:$M$12)," ")</f>
        <v xml:space="preserve"> </v>
      </c>
      <c r="M1090" s="28"/>
      <c r="N1090" s="28"/>
      <c r="O1090" s="255" t="str">
        <f>IF(M1090="","",(_xlfn.XLOOKUP(M1090,Cadastros!$D$6:$D$90,Cadastros!$E$6:$E$90))*(1-_xlfn.XLOOKUP(_xlfn.XLOOKUP($F1090,Clientes!$B$4:$B$39,Clientes!$C$4:$C$39),Cadastros!$L$6:$L$12,Cadastros!$N$6:$N$12)))</f>
        <v/>
      </c>
      <c r="P1090" s="168" t="str">
        <f t="shared" si="210"/>
        <v/>
      </c>
      <c r="Q1090" s="168" t="str">
        <f>IFERROR(P1090/_xlfn.XLOOKUP(_xlfn.XLOOKUP($F1090,Clientes!$B$4:$B$39,Clientes!$C$4:$C$39),Cadastros!$L$6:$L$12,Cadastros!$M$6:$M$12)," ")</f>
        <v xml:space="preserve"> </v>
      </c>
      <c r="R1090" s="28"/>
      <c r="S1090" s="28"/>
      <c r="T1090" s="255" t="str">
        <f>IF(R1090="","",(_xlfn.XLOOKUP(R1090,Cadastros!$D$6:$D$90,Cadastros!$E$6:$E$90))*(1-_xlfn.XLOOKUP(_xlfn.XLOOKUP($F1090,Clientes!$B$4:$B$39,Clientes!$C$4:$C$39),Cadastros!$L$6:$L$12,Cadastros!$N$6:$N$12)))</f>
        <v/>
      </c>
      <c r="U1090" s="168" t="str">
        <f t="shared" si="211"/>
        <v/>
      </c>
      <c r="V1090" s="168" t="str">
        <f>IFERROR(U1090/_xlfn.XLOOKUP(_xlfn.XLOOKUP($F1090,Clientes!$B$4:$B$39,Clientes!$C$4:$C$39),Cadastros!$L$6:$L$12,Cadastros!$M$6:$M$12)," ")</f>
        <v xml:space="preserve"> </v>
      </c>
      <c r="W1090" s="28"/>
      <c r="X1090" s="28"/>
      <c r="Y1090" s="255" t="str">
        <f>IF(W1090="","",(_xlfn.XLOOKUP(W1090,Cadastros!$D$6:$D$90,Cadastros!$E$6:$E$90))*(1-_xlfn.XLOOKUP(_xlfn.XLOOKUP($F1090,Clientes!$B$4:$B$39,Clientes!$C$4:$C$39),Cadastros!$L$6:$L$12,Cadastros!$N$6:$N$12)))</f>
        <v/>
      </c>
      <c r="Z1090" s="168" t="str">
        <f t="shared" si="212"/>
        <v/>
      </c>
      <c r="AA1090" s="168" t="str">
        <f>IFERROR(Z1090/_xlfn.XLOOKUP(_xlfn.XLOOKUP($F1090,Clientes!$B$4:$B$39,Clientes!$C$4:$C$39),Cadastros!$L$6:$L$12,Cadastros!$M$6:$M$12)," ")</f>
        <v xml:space="preserve"> </v>
      </c>
      <c r="AB1090" s="28"/>
      <c r="AC1090" s="28"/>
      <c r="AD1090" s="20" t="str">
        <f>IF(AB1090="","",IF($F1090="Bernardino Furlan",_xlfn.XLOOKUP(AB1090,Cadastros!$G$6:$G$90,Cadastros!$H$6:$H$90)*(1-0.18),IF($F1090="Mauro José Salanti",_xlfn.XLOOKUP(AB1090,Cadastros!$G$6:$G$90,Cadastros!$H$6:$H$90)*(1-0.18),_xlfn.XLOOKUP(AB1090,Cadastros!$G$6:$G$90,Cadastros!$H$6:$H$90))))</f>
        <v/>
      </c>
      <c r="AE1090" s="168" t="str">
        <f t="shared" si="213"/>
        <v/>
      </c>
      <c r="AF1090" s="168" t="str">
        <f t="shared" si="214"/>
        <v/>
      </c>
      <c r="AG1090" s="28"/>
      <c r="AH1090" s="28"/>
      <c r="AI1090" s="20" t="str">
        <f>IF(AG1090="","",IF($F1090="Bernardino Furlan",_xlfn.XLOOKUP(AG1090,Cadastros!$G$6:$G$90,Cadastros!$H$6:$H$90)*(1-0.18),IF($F1090="Mauro José Salanti",_xlfn.XLOOKUP(AG1090,Cadastros!$G$6:$G$90,Cadastros!$H$6:$H$90)*(1-0.18),_xlfn.XLOOKUP(AG1090,Cadastros!$G$6:$G$90,Cadastros!$H$6:$H$90))))</f>
        <v/>
      </c>
      <c r="AJ1090" s="168" t="str">
        <f t="shared" si="215"/>
        <v/>
      </c>
      <c r="AK1090" s="168" t="str">
        <f t="shared" si="216"/>
        <v/>
      </c>
      <c r="AL1090" s="28"/>
      <c r="AM1090" s="28"/>
      <c r="AN1090" s="20" t="str">
        <f>IF(AL1090="","",IF($F1090="Bernardino Furlan",_xlfn.XLOOKUP(AL1090,Cadastros!$G$6:$G$90,Cadastros!$H$6:$H$90)*(1-0.18),IF($F1090="Mauro José Salanti",_xlfn.XLOOKUP(AL1090,Cadastros!$G$6:$G$90,Cadastros!$H$6:$H$90)*(1-0.18),_xlfn.XLOOKUP(AL1090,Cadastros!$G$6:$G$90,Cadastros!$H$6:$H$90))))</f>
        <v/>
      </c>
      <c r="AO1090" s="168" t="str">
        <f t="shared" si="217"/>
        <v/>
      </c>
      <c r="AP1090" s="168" t="str">
        <f t="shared" si="218"/>
        <v/>
      </c>
      <c r="AQ1090" s="28"/>
      <c r="AR1090" s="28"/>
      <c r="AS1090" s="20" t="str">
        <f>IF(AQ1090="","",IF($F1090="Bernardino Furlan",_xlfn.XLOOKUP(AQ1090,Cadastros!$G$6:$G$90,Cadastros!$H$6:$H$90)*(1-0.18),IF($F1090="Mauro José Salanti",_xlfn.XLOOKUP(AQ1090,Cadastros!$G$6:$G$90,Cadastros!$H$6:$H$90)*(1-0.18),_xlfn.XLOOKUP(AQ1090,Cadastros!$G$6:$G$90,Cadastros!$H$6:$H$90))))</f>
        <v/>
      </c>
      <c r="AT1090" s="168" t="str">
        <f t="shared" si="219"/>
        <v/>
      </c>
      <c r="AU1090" s="168" t="str">
        <f t="shared" si="220"/>
        <v/>
      </c>
      <c r="AV1090" s="227"/>
      <c r="AW1090" s="30"/>
      <c r="AX1090" s="267"/>
      <c r="AY1090" s="267"/>
      <c r="AZ1090" s="29"/>
      <c r="BA1090" s="30"/>
      <c r="BB1090" s="23" t="str" cm="1">
        <f t="array" ref="BB1090">_xlfn.IFS(AW1090="SIM",SUM(K1090,P1090,U1090,Z1090,AE1090,AJ1090,AO1090,AT1090,AX1090,AY1090),F1090&lt;&gt;"",SUM(K1090,P1090,U1090,Z1090,AE1090,AJ1090,,AO1090,AT1090),F1090="","")</f>
        <v/>
      </c>
      <c r="BC1090" s="211" t="str" cm="1">
        <f t="array" ref="BC1090">_xlfn.IFS(E1090="","",G1090&lt;=E1090,BB1090*(1-0.03),G1090&lt;(E1090+8),BB1090,AZ1090="Boleto",BB1090*(1+0.001)^DATEDIF(E1090,G1090,"D"),AZ1090="Cheque",BB1090,AZ1090="Dinheiro","Alterar forma pgto")</f>
        <v/>
      </c>
      <c r="BD1090" s="276" t="str" cm="1">
        <f t="array" ref="BD1090">IF(F1090=0," ",IF(BC1090&lt;BB1090,(_xlfn.IFS(AW1090="SIM",SUM(L1090,Q1090,V1090,AA1090,AF1090,AK1090,AP1090,AU1090)+AX1090/_xlfn.XLOOKUP(_xlfn.XLOOKUP($F1090,Clientes!$B$4:$B$39,Clientes!$C$4:$C$39),Cadastros!$L$6:$L$12,Cadastros!$M$6:$M$12)+IF($F1090="Bernardino Furlan",AY1090/2751.92,IF($F1090="Mauro José Salanti",AY1090/2751.92,AY1090/3356)),F1090&lt;&gt;0,SUM(L1090,Q1090,V1090,AA1090,AF1090,AK1090,AP1090,AU1090)))*(1-0.03),_xlfn.IFS(AW1090="SIM",SUM(L1090,Q1090,V1090,AA1090,AF1090,AK1090,AP1090,AU1090)+AX1090/_xlfn.XLOOKUP(_xlfn.XLOOKUP($F1090,Clientes!$B$4:$B$39,Clientes!$C$4:$C$39),Cadastros!$L$6:$L$12,Cadastros!$M$6:$M$12)+IF($F1090="Bernardino Furlan",AY1090/2751.92,IF($F1090="Mauro José Salanti",AY1090/2751.92,AY1090/3356)),F1090&lt;&gt;0,SUM(L1090,Q1090,V1090,AA1090,AF1090,AK1090,AP1090,AU1090))))</f>
        <v xml:space="preserve"> </v>
      </c>
      <c r="BE1090" s="120"/>
      <c r="BF1090" s="120"/>
      <c r="BG1090" s="120"/>
    </row>
    <row r="1091" spans="1:59" s="3" customFormat="1" x14ac:dyDescent="0.3">
      <c r="A1091" s="15" t="str">
        <f t="shared" si="208"/>
        <v/>
      </c>
      <c r="B1091" s="25"/>
      <c r="C1091" s="26"/>
      <c r="D1091" s="279"/>
      <c r="E1091" s="27"/>
      <c r="F1091" s="28"/>
      <c r="G1091" s="27"/>
      <c r="H1091" s="28"/>
      <c r="I1091" s="28"/>
      <c r="J1091" s="255" t="str">
        <f>IF(H1091="","",(_xlfn.XLOOKUP(H1091,Cadastros!$D$6:$D$90,Cadastros!$E$6:$E$90))*(1-_xlfn.XLOOKUP(_xlfn.XLOOKUP($F1091,Clientes!$B$4:$B$39,Clientes!$C$4:$C$39),Cadastros!$L$6:$L$12,Cadastros!$N$6:$N$12)))</f>
        <v/>
      </c>
      <c r="K1091" s="168" t="str">
        <f t="shared" si="209"/>
        <v/>
      </c>
      <c r="L1091" s="168" t="str">
        <f>IFERROR(K1091/_xlfn.XLOOKUP(_xlfn.XLOOKUP($F1091,Clientes!$B$4:$B$39,Clientes!$C$4:$C$39),Cadastros!$L$6:$L$12,Cadastros!$M$6:$M$12)," ")</f>
        <v xml:space="preserve"> </v>
      </c>
      <c r="M1091" s="28"/>
      <c r="N1091" s="28"/>
      <c r="O1091" s="255" t="str">
        <f>IF(M1091="","",(_xlfn.XLOOKUP(M1091,Cadastros!$D$6:$D$90,Cadastros!$E$6:$E$90))*(1-_xlfn.XLOOKUP(_xlfn.XLOOKUP($F1091,Clientes!$B$4:$B$39,Clientes!$C$4:$C$39),Cadastros!$L$6:$L$12,Cadastros!$N$6:$N$12)))</f>
        <v/>
      </c>
      <c r="P1091" s="168" t="str">
        <f t="shared" si="210"/>
        <v/>
      </c>
      <c r="Q1091" s="168" t="str">
        <f>IFERROR(P1091/_xlfn.XLOOKUP(_xlfn.XLOOKUP($F1091,Clientes!$B$4:$B$39,Clientes!$C$4:$C$39),Cadastros!$L$6:$L$12,Cadastros!$M$6:$M$12)," ")</f>
        <v xml:space="preserve"> </v>
      </c>
      <c r="R1091" s="28"/>
      <c r="S1091" s="28"/>
      <c r="T1091" s="255" t="str">
        <f>IF(R1091="","",(_xlfn.XLOOKUP(R1091,Cadastros!$D$6:$D$90,Cadastros!$E$6:$E$90))*(1-_xlfn.XLOOKUP(_xlfn.XLOOKUP($F1091,Clientes!$B$4:$B$39,Clientes!$C$4:$C$39),Cadastros!$L$6:$L$12,Cadastros!$N$6:$N$12)))</f>
        <v/>
      </c>
      <c r="U1091" s="168" t="str">
        <f t="shared" si="211"/>
        <v/>
      </c>
      <c r="V1091" s="168" t="str">
        <f>IFERROR(U1091/_xlfn.XLOOKUP(_xlfn.XLOOKUP($F1091,Clientes!$B$4:$B$39,Clientes!$C$4:$C$39),Cadastros!$L$6:$L$12,Cadastros!$M$6:$M$12)," ")</f>
        <v xml:space="preserve"> </v>
      </c>
      <c r="W1091" s="28"/>
      <c r="X1091" s="28"/>
      <c r="Y1091" s="255" t="str">
        <f>IF(W1091="","",(_xlfn.XLOOKUP(W1091,Cadastros!$D$6:$D$90,Cadastros!$E$6:$E$90))*(1-_xlfn.XLOOKUP(_xlfn.XLOOKUP($F1091,Clientes!$B$4:$B$39,Clientes!$C$4:$C$39),Cadastros!$L$6:$L$12,Cadastros!$N$6:$N$12)))</f>
        <v/>
      </c>
      <c r="Z1091" s="168" t="str">
        <f t="shared" si="212"/>
        <v/>
      </c>
      <c r="AA1091" s="168" t="str">
        <f>IFERROR(Z1091/_xlfn.XLOOKUP(_xlfn.XLOOKUP($F1091,Clientes!$B$4:$B$39,Clientes!$C$4:$C$39),Cadastros!$L$6:$L$12,Cadastros!$M$6:$M$12)," ")</f>
        <v xml:space="preserve"> </v>
      </c>
      <c r="AB1091" s="28"/>
      <c r="AC1091" s="28"/>
      <c r="AD1091" s="20" t="str">
        <f>IF(AB1091="","",IF($F1091="Bernardino Furlan",_xlfn.XLOOKUP(AB1091,Cadastros!$G$6:$G$90,Cadastros!$H$6:$H$90)*(1-0.18),IF($F1091="Mauro José Salanti",_xlfn.XLOOKUP(AB1091,Cadastros!$G$6:$G$90,Cadastros!$H$6:$H$90)*(1-0.18),_xlfn.XLOOKUP(AB1091,Cadastros!$G$6:$G$90,Cadastros!$H$6:$H$90))))</f>
        <v/>
      </c>
      <c r="AE1091" s="168" t="str">
        <f t="shared" si="213"/>
        <v/>
      </c>
      <c r="AF1091" s="168" t="str">
        <f t="shared" si="214"/>
        <v/>
      </c>
      <c r="AG1091" s="28"/>
      <c r="AH1091" s="28"/>
      <c r="AI1091" s="20" t="str">
        <f>IF(AG1091="","",IF($F1091="Bernardino Furlan",_xlfn.XLOOKUP(AG1091,Cadastros!$G$6:$G$90,Cadastros!$H$6:$H$90)*(1-0.18),IF($F1091="Mauro José Salanti",_xlfn.XLOOKUP(AG1091,Cadastros!$G$6:$G$90,Cadastros!$H$6:$H$90)*(1-0.18),_xlfn.XLOOKUP(AG1091,Cadastros!$G$6:$G$90,Cadastros!$H$6:$H$90))))</f>
        <v/>
      </c>
      <c r="AJ1091" s="168" t="str">
        <f t="shared" si="215"/>
        <v/>
      </c>
      <c r="AK1091" s="168" t="str">
        <f t="shared" si="216"/>
        <v/>
      </c>
      <c r="AL1091" s="28"/>
      <c r="AM1091" s="28"/>
      <c r="AN1091" s="20" t="str">
        <f>IF(AL1091="","",IF($F1091="Bernardino Furlan",_xlfn.XLOOKUP(AL1091,Cadastros!$G$6:$G$90,Cadastros!$H$6:$H$90)*(1-0.18),IF($F1091="Mauro José Salanti",_xlfn.XLOOKUP(AL1091,Cadastros!$G$6:$G$90,Cadastros!$H$6:$H$90)*(1-0.18),_xlfn.XLOOKUP(AL1091,Cadastros!$G$6:$G$90,Cadastros!$H$6:$H$90))))</f>
        <v/>
      </c>
      <c r="AO1091" s="168" t="str">
        <f t="shared" si="217"/>
        <v/>
      </c>
      <c r="AP1091" s="168" t="str">
        <f t="shared" si="218"/>
        <v/>
      </c>
      <c r="AQ1091" s="28"/>
      <c r="AR1091" s="28"/>
      <c r="AS1091" s="20" t="str">
        <f>IF(AQ1091="","",IF($F1091="Bernardino Furlan",_xlfn.XLOOKUP(AQ1091,Cadastros!$G$6:$G$90,Cadastros!$H$6:$H$90)*(1-0.18),IF($F1091="Mauro José Salanti",_xlfn.XLOOKUP(AQ1091,Cadastros!$G$6:$G$90,Cadastros!$H$6:$H$90)*(1-0.18),_xlfn.XLOOKUP(AQ1091,Cadastros!$G$6:$G$90,Cadastros!$H$6:$H$90))))</f>
        <v/>
      </c>
      <c r="AT1091" s="168" t="str">
        <f t="shared" si="219"/>
        <v/>
      </c>
      <c r="AU1091" s="168" t="str">
        <f t="shared" si="220"/>
        <v/>
      </c>
      <c r="AV1091" s="227"/>
      <c r="AW1091" s="30"/>
      <c r="AX1091" s="267"/>
      <c r="AY1091" s="267"/>
      <c r="AZ1091" s="29"/>
      <c r="BA1091" s="30"/>
      <c r="BB1091" s="23" t="str" cm="1">
        <f t="array" ref="BB1091">_xlfn.IFS(AW1091="SIM",SUM(K1091,P1091,U1091,Z1091,AE1091,AJ1091,AO1091,AT1091,AX1091,AY1091),F1091&lt;&gt;"",SUM(K1091,P1091,U1091,Z1091,AE1091,AJ1091,,AO1091,AT1091),F1091="","")</f>
        <v/>
      </c>
      <c r="BC1091" s="211" t="str" cm="1">
        <f t="array" ref="BC1091">_xlfn.IFS(E1091="","",G1091&lt;=E1091,BB1091*(1-0.03),G1091&lt;(E1091+8),BB1091,AZ1091="Boleto",BB1091*(1+0.001)^DATEDIF(E1091,G1091,"D"),AZ1091="Cheque",BB1091,AZ1091="Dinheiro","Alterar forma pgto")</f>
        <v/>
      </c>
      <c r="BD1091" s="276" t="str" cm="1">
        <f t="array" ref="BD1091">IF(F1091=0," ",IF(BC1091&lt;BB1091,(_xlfn.IFS(AW1091="SIM",SUM(L1091,Q1091,V1091,AA1091,AF1091,AK1091,AP1091,AU1091)+AX1091/_xlfn.XLOOKUP(_xlfn.XLOOKUP($F1091,Clientes!$B$4:$B$39,Clientes!$C$4:$C$39),Cadastros!$L$6:$L$12,Cadastros!$M$6:$M$12)+IF($F1091="Bernardino Furlan",AY1091/2751.92,IF($F1091="Mauro José Salanti",AY1091/2751.92,AY1091/3356)),F1091&lt;&gt;0,SUM(L1091,Q1091,V1091,AA1091,AF1091,AK1091,AP1091,AU1091)))*(1-0.03),_xlfn.IFS(AW1091="SIM",SUM(L1091,Q1091,V1091,AA1091,AF1091,AK1091,AP1091,AU1091)+AX1091/_xlfn.XLOOKUP(_xlfn.XLOOKUP($F1091,Clientes!$B$4:$B$39,Clientes!$C$4:$C$39),Cadastros!$L$6:$L$12,Cadastros!$M$6:$M$12)+IF($F1091="Bernardino Furlan",AY1091/2751.92,IF($F1091="Mauro José Salanti",AY1091/2751.92,AY1091/3356)),F1091&lt;&gt;0,SUM(L1091,Q1091,V1091,AA1091,AF1091,AK1091,AP1091,AU1091))))</f>
        <v xml:space="preserve"> </v>
      </c>
      <c r="BE1091" s="120"/>
      <c r="BF1091" s="120"/>
      <c r="BG1091" s="120"/>
    </row>
    <row r="1092" spans="1:59" s="3" customFormat="1" x14ac:dyDescent="0.3">
      <c r="A1092" s="15" t="str">
        <f t="shared" si="208"/>
        <v/>
      </c>
      <c r="B1092" s="25"/>
      <c r="C1092" s="26"/>
      <c r="D1092" s="279"/>
      <c r="E1092" s="27"/>
      <c r="F1092" s="28"/>
      <c r="G1092" s="27"/>
      <c r="H1092" s="28"/>
      <c r="I1092" s="28"/>
      <c r="J1092" s="255" t="str">
        <f>IF(H1092="","",(_xlfn.XLOOKUP(H1092,Cadastros!$D$6:$D$90,Cadastros!$E$6:$E$90))*(1-_xlfn.XLOOKUP(_xlfn.XLOOKUP($F1092,Clientes!$B$4:$B$39,Clientes!$C$4:$C$39),Cadastros!$L$6:$L$12,Cadastros!$N$6:$N$12)))</f>
        <v/>
      </c>
      <c r="K1092" s="168" t="str">
        <f t="shared" si="209"/>
        <v/>
      </c>
      <c r="L1092" s="168" t="str">
        <f>IFERROR(K1092/_xlfn.XLOOKUP(_xlfn.XLOOKUP($F1092,Clientes!$B$4:$B$39,Clientes!$C$4:$C$39),Cadastros!$L$6:$L$12,Cadastros!$M$6:$M$12)," ")</f>
        <v xml:space="preserve"> </v>
      </c>
      <c r="M1092" s="28"/>
      <c r="N1092" s="28"/>
      <c r="O1092" s="255" t="str">
        <f>IF(M1092="","",(_xlfn.XLOOKUP(M1092,Cadastros!$D$6:$D$90,Cadastros!$E$6:$E$90))*(1-_xlfn.XLOOKUP(_xlfn.XLOOKUP($F1092,Clientes!$B$4:$B$39,Clientes!$C$4:$C$39),Cadastros!$L$6:$L$12,Cadastros!$N$6:$N$12)))</f>
        <v/>
      </c>
      <c r="P1092" s="168" t="str">
        <f t="shared" si="210"/>
        <v/>
      </c>
      <c r="Q1092" s="168" t="str">
        <f>IFERROR(P1092/_xlfn.XLOOKUP(_xlfn.XLOOKUP($F1092,Clientes!$B$4:$B$39,Clientes!$C$4:$C$39),Cadastros!$L$6:$L$12,Cadastros!$M$6:$M$12)," ")</f>
        <v xml:space="preserve"> </v>
      </c>
      <c r="R1092" s="28"/>
      <c r="S1092" s="28"/>
      <c r="T1092" s="255" t="str">
        <f>IF(R1092="","",(_xlfn.XLOOKUP(R1092,Cadastros!$D$6:$D$90,Cadastros!$E$6:$E$90))*(1-_xlfn.XLOOKUP(_xlfn.XLOOKUP($F1092,Clientes!$B$4:$B$39,Clientes!$C$4:$C$39),Cadastros!$L$6:$L$12,Cadastros!$N$6:$N$12)))</f>
        <v/>
      </c>
      <c r="U1092" s="168" t="str">
        <f t="shared" si="211"/>
        <v/>
      </c>
      <c r="V1092" s="168" t="str">
        <f>IFERROR(U1092/_xlfn.XLOOKUP(_xlfn.XLOOKUP($F1092,Clientes!$B$4:$B$39,Clientes!$C$4:$C$39),Cadastros!$L$6:$L$12,Cadastros!$M$6:$M$12)," ")</f>
        <v xml:space="preserve"> </v>
      </c>
      <c r="W1092" s="28"/>
      <c r="X1092" s="28"/>
      <c r="Y1092" s="255" t="str">
        <f>IF(W1092="","",(_xlfn.XLOOKUP(W1092,Cadastros!$D$6:$D$90,Cadastros!$E$6:$E$90))*(1-_xlfn.XLOOKUP(_xlfn.XLOOKUP($F1092,Clientes!$B$4:$B$39,Clientes!$C$4:$C$39),Cadastros!$L$6:$L$12,Cadastros!$N$6:$N$12)))</f>
        <v/>
      </c>
      <c r="Z1092" s="168" t="str">
        <f t="shared" si="212"/>
        <v/>
      </c>
      <c r="AA1092" s="168" t="str">
        <f>IFERROR(Z1092/_xlfn.XLOOKUP(_xlfn.XLOOKUP($F1092,Clientes!$B$4:$B$39,Clientes!$C$4:$C$39),Cadastros!$L$6:$L$12,Cadastros!$M$6:$M$12)," ")</f>
        <v xml:space="preserve"> </v>
      </c>
      <c r="AB1092" s="28"/>
      <c r="AC1092" s="28"/>
      <c r="AD1092" s="20" t="str">
        <f>IF(AB1092="","",IF($F1092="Bernardino Furlan",_xlfn.XLOOKUP(AB1092,Cadastros!$G$6:$G$90,Cadastros!$H$6:$H$90)*(1-0.18),IF($F1092="Mauro José Salanti",_xlfn.XLOOKUP(AB1092,Cadastros!$G$6:$G$90,Cadastros!$H$6:$H$90)*(1-0.18),_xlfn.XLOOKUP(AB1092,Cadastros!$G$6:$G$90,Cadastros!$H$6:$H$90))))</f>
        <v/>
      </c>
      <c r="AE1092" s="168" t="str">
        <f t="shared" si="213"/>
        <v/>
      </c>
      <c r="AF1092" s="168" t="str">
        <f t="shared" si="214"/>
        <v/>
      </c>
      <c r="AG1092" s="28"/>
      <c r="AH1092" s="28"/>
      <c r="AI1092" s="20" t="str">
        <f>IF(AG1092="","",IF($F1092="Bernardino Furlan",_xlfn.XLOOKUP(AG1092,Cadastros!$G$6:$G$90,Cadastros!$H$6:$H$90)*(1-0.18),IF($F1092="Mauro José Salanti",_xlfn.XLOOKUP(AG1092,Cadastros!$G$6:$G$90,Cadastros!$H$6:$H$90)*(1-0.18),_xlfn.XLOOKUP(AG1092,Cadastros!$G$6:$G$90,Cadastros!$H$6:$H$90))))</f>
        <v/>
      </c>
      <c r="AJ1092" s="168" t="str">
        <f t="shared" si="215"/>
        <v/>
      </c>
      <c r="AK1092" s="168" t="str">
        <f t="shared" si="216"/>
        <v/>
      </c>
      <c r="AL1092" s="28"/>
      <c r="AM1092" s="28"/>
      <c r="AN1092" s="20" t="str">
        <f>IF(AL1092="","",IF($F1092="Bernardino Furlan",_xlfn.XLOOKUP(AL1092,Cadastros!$G$6:$G$90,Cadastros!$H$6:$H$90)*(1-0.18),IF($F1092="Mauro José Salanti",_xlfn.XLOOKUP(AL1092,Cadastros!$G$6:$G$90,Cadastros!$H$6:$H$90)*(1-0.18),_xlfn.XLOOKUP(AL1092,Cadastros!$G$6:$G$90,Cadastros!$H$6:$H$90))))</f>
        <v/>
      </c>
      <c r="AO1092" s="168" t="str">
        <f t="shared" si="217"/>
        <v/>
      </c>
      <c r="AP1092" s="168" t="str">
        <f t="shared" si="218"/>
        <v/>
      </c>
      <c r="AQ1092" s="28"/>
      <c r="AR1092" s="28"/>
      <c r="AS1092" s="20" t="str">
        <f>IF(AQ1092="","",IF($F1092="Bernardino Furlan",_xlfn.XLOOKUP(AQ1092,Cadastros!$G$6:$G$90,Cadastros!$H$6:$H$90)*(1-0.18),IF($F1092="Mauro José Salanti",_xlfn.XLOOKUP(AQ1092,Cadastros!$G$6:$G$90,Cadastros!$H$6:$H$90)*(1-0.18),_xlfn.XLOOKUP(AQ1092,Cadastros!$G$6:$G$90,Cadastros!$H$6:$H$90))))</f>
        <v/>
      </c>
      <c r="AT1092" s="168" t="str">
        <f t="shared" si="219"/>
        <v/>
      </c>
      <c r="AU1092" s="168" t="str">
        <f t="shared" si="220"/>
        <v/>
      </c>
      <c r="AV1092" s="227"/>
      <c r="AW1092" s="30"/>
      <c r="AX1092" s="267"/>
      <c r="AY1092" s="267"/>
      <c r="AZ1092" s="29"/>
      <c r="BA1092" s="30"/>
      <c r="BB1092" s="23" t="str" cm="1">
        <f t="array" ref="BB1092">_xlfn.IFS(AW1092="SIM",SUM(K1092,P1092,U1092,Z1092,AE1092,AJ1092,AO1092,AT1092,AX1092,AY1092),F1092&lt;&gt;"",SUM(K1092,P1092,U1092,Z1092,AE1092,AJ1092,,AO1092,AT1092),F1092="","")</f>
        <v/>
      </c>
      <c r="BC1092" s="211" t="str" cm="1">
        <f t="array" ref="BC1092">_xlfn.IFS(E1092="","",G1092&lt;=E1092,BB1092*(1-0.03),G1092&lt;(E1092+8),BB1092,AZ1092="Boleto",BB1092*(1+0.001)^DATEDIF(E1092,G1092,"D"),AZ1092="Cheque",BB1092,AZ1092="Dinheiro","Alterar forma pgto")</f>
        <v/>
      </c>
      <c r="BD1092" s="276" t="str" cm="1">
        <f t="array" ref="BD1092">IF(F1092=0," ",IF(BC1092&lt;BB1092,(_xlfn.IFS(AW1092="SIM",SUM(L1092,Q1092,V1092,AA1092,AF1092,AK1092,AP1092,AU1092)+AX1092/_xlfn.XLOOKUP(_xlfn.XLOOKUP($F1092,Clientes!$B$4:$B$39,Clientes!$C$4:$C$39),Cadastros!$L$6:$L$12,Cadastros!$M$6:$M$12)+IF($F1092="Bernardino Furlan",AY1092/2751.92,IF($F1092="Mauro José Salanti",AY1092/2751.92,AY1092/3356)),F1092&lt;&gt;0,SUM(L1092,Q1092,V1092,AA1092,AF1092,AK1092,AP1092,AU1092)))*(1-0.03),_xlfn.IFS(AW1092="SIM",SUM(L1092,Q1092,V1092,AA1092,AF1092,AK1092,AP1092,AU1092)+AX1092/_xlfn.XLOOKUP(_xlfn.XLOOKUP($F1092,Clientes!$B$4:$B$39,Clientes!$C$4:$C$39),Cadastros!$L$6:$L$12,Cadastros!$M$6:$M$12)+IF($F1092="Bernardino Furlan",AY1092/2751.92,IF($F1092="Mauro José Salanti",AY1092/2751.92,AY1092/3356)),F1092&lt;&gt;0,SUM(L1092,Q1092,V1092,AA1092,AF1092,AK1092,AP1092,AU1092))))</f>
        <v xml:space="preserve"> </v>
      </c>
      <c r="BE1092" s="120"/>
      <c r="BF1092" s="120"/>
      <c r="BG1092" s="120"/>
    </row>
    <row r="1093" spans="1:59" s="3" customFormat="1" x14ac:dyDescent="0.3">
      <c r="A1093" s="15" t="str">
        <f t="shared" si="208"/>
        <v/>
      </c>
      <c r="B1093" s="25"/>
      <c r="C1093" s="26"/>
      <c r="D1093" s="279"/>
      <c r="E1093" s="27"/>
      <c r="F1093" s="28"/>
      <c r="G1093" s="27"/>
      <c r="H1093" s="28"/>
      <c r="I1093" s="28"/>
      <c r="J1093" s="255" t="str">
        <f>IF(H1093="","",(_xlfn.XLOOKUP(H1093,Cadastros!$D$6:$D$90,Cadastros!$E$6:$E$90))*(1-_xlfn.XLOOKUP(_xlfn.XLOOKUP($F1093,Clientes!$B$4:$B$39,Clientes!$C$4:$C$39),Cadastros!$L$6:$L$12,Cadastros!$N$6:$N$12)))</f>
        <v/>
      </c>
      <c r="K1093" s="168" t="str">
        <f t="shared" si="209"/>
        <v/>
      </c>
      <c r="L1093" s="168" t="str">
        <f>IFERROR(K1093/_xlfn.XLOOKUP(_xlfn.XLOOKUP($F1093,Clientes!$B$4:$B$39,Clientes!$C$4:$C$39),Cadastros!$L$6:$L$12,Cadastros!$M$6:$M$12)," ")</f>
        <v xml:space="preserve"> </v>
      </c>
      <c r="M1093" s="28"/>
      <c r="N1093" s="28"/>
      <c r="O1093" s="255" t="str">
        <f>IF(M1093="","",(_xlfn.XLOOKUP(M1093,Cadastros!$D$6:$D$90,Cadastros!$E$6:$E$90))*(1-_xlfn.XLOOKUP(_xlfn.XLOOKUP($F1093,Clientes!$B$4:$B$39,Clientes!$C$4:$C$39),Cadastros!$L$6:$L$12,Cadastros!$N$6:$N$12)))</f>
        <v/>
      </c>
      <c r="P1093" s="168" t="str">
        <f t="shared" si="210"/>
        <v/>
      </c>
      <c r="Q1093" s="168" t="str">
        <f>IFERROR(P1093/_xlfn.XLOOKUP(_xlfn.XLOOKUP($F1093,Clientes!$B$4:$B$39,Clientes!$C$4:$C$39),Cadastros!$L$6:$L$12,Cadastros!$M$6:$M$12)," ")</f>
        <v xml:space="preserve"> </v>
      </c>
      <c r="R1093" s="28"/>
      <c r="S1093" s="28"/>
      <c r="T1093" s="255" t="str">
        <f>IF(R1093="","",(_xlfn.XLOOKUP(R1093,Cadastros!$D$6:$D$90,Cadastros!$E$6:$E$90))*(1-_xlfn.XLOOKUP(_xlfn.XLOOKUP($F1093,Clientes!$B$4:$B$39,Clientes!$C$4:$C$39),Cadastros!$L$6:$L$12,Cadastros!$N$6:$N$12)))</f>
        <v/>
      </c>
      <c r="U1093" s="168" t="str">
        <f t="shared" si="211"/>
        <v/>
      </c>
      <c r="V1093" s="168" t="str">
        <f>IFERROR(U1093/_xlfn.XLOOKUP(_xlfn.XLOOKUP($F1093,Clientes!$B$4:$B$39,Clientes!$C$4:$C$39),Cadastros!$L$6:$L$12,Cadastros!$M$6:$M$12)," ")</f>
        <v xml:space="preserve"> </v>
      </c>
      <c r="W1093" s="28"/>
      <c r="X1093" s="28"/>
      <c r="Y1093" s="255" t="str">
        <f>IF(W1093="","",(_xlfn.XLOOKUP(W1093,Cadastros!$D$6:$D$90,Cadastros!$E$6:$E$90))*(1-_xlfn.XLOOKUP(_xlfn.XLOOKUP($F1093,Clientes!$B$4:$B$39,Clientes!$C$4:$C$39),Cadastros!$L$6:$L$12,Cadastros!$N$6:$N$12)))</f>
        <v/>
      </c>
      <c r="Z1093" s="168" t="str">
        <f t="shared" si="212"/>
        <v/>
      </c>
      <c r="AA1093" s="168" t="str">
        <f>IFERROR(Z1093/_xlfn.XLOOKUP(_xlfn.XLOOKUP($F1093,Clientes!$B$4:$B$39,Clientes!$C$4:$C$39),Cadastros!$L$6:$L$12,Cadastros!$M$6:$M$12)," ")</f>
        <v xml:space="preserve"> </v>
      </c>
      <c r="AB1093" s="28"/>
      <c r="AC1093" s="28"/>
      <c r="AD1093" s="20" t="str">
        <f>IF(AB1093="","",IF($F1093="Bernardino Furlan",_xlfn.XLOOKUP(AB1093,Cadastros!$G$6:$G$90,Cadastros!$H$6:$H$90)*(1-0.18),IF($F1093="Mauro José Salanti",_xlfn.XLOOKUP(AB1093,Cadastros!$G$6:$G$90,Cadastros!$H$6:$H$90)*(1-0.18),_xlfn.XLOOKUP(AB1093,Cadastros!$G$6:$G$90,Cadastros!$H$6:$H$90))))</f>
        <v/>
      </c>
      <c r="AE1093" s="168" t="str">
        <f t="shared" si="213"/>
        <v/>
      </c>
      <c r="AF1093" s="168" t="str">
        <f t="shared" si="214"/>
        <v/>
      </c>
      <c r="AG1093" s="28"/>
      <c r="AH1093" s="28"/>
      <c r="AI1093" s="20" t="str">
        <f>IF(AG1093="","",IF($F1093="Bernardino Furlan",_xlfn.XLOOKUP(AG1093,Cadastros!$G$6:$G$90,Cadastros!$H$6:$H$90)*(1-0.18),IF($F1093="Mauro José Salanti",_xlfn.XLOOKUP(AG1093,Cadastros!$G$6:$G$90,Cadastros!$H$6:$H$90)*(1-0.18),_xlfn.XLOOKUP(AG1093,Cadastros!$G$6:$G$90,Cadastros!$H$6:$H$90))))</f>
        <v/>
      </c>
      <c r="AJ1093" s="168" t="str">
        <f t="shared" si="215"/>
        <v/>
      </c>
      <c r="AK1093" s="168" t="str">
        <f t="shared" si="216"/>
        <v/>
      </c>
      <c r="AL1093" s="28"/>
      <c r="AM1093" s="28"/>
      <c r="AN1093" s="20" t="str">
        <f>IF(AL1093="","",IF($F1093="Bernardino Furlan",_xlfn.XLOOKUP(AL1093,Cadastros!$G$6:$G$90,Cadastros!$H$6:$H$90)*(1-0.18),IF($F1093="Mauro José Salanti",_xlfn.XLOOKUP(AL1093,Cadastros!$G$6:$G$90,Cadastros!$H$6:$H$90)*(1-0.18),_xlfn.XLOOKUP(AL1093,Cadastros!$G$6:$G$90,Cadastros!$H$6:$H$90))))</f>
        <v/>
      </c>
      <c r="AO1093" s="168" t="str">
        <f t="shared" si="217"/>
        <v/>
      </c>
      <c r="AP1093" s="168" t="str">
        <f t="shared" si="218"/>
        <v/>
      </c>
      <c r="AQ1093" s="28"/>
      <c r="AR1093" s="28"/>
      <c r="AS1093" s="20" t="str">
        <f>IF(AQ1093="","",IF($F1093="Bernardino Furlan",_xlfn.XLOOKUP(AQ1093,Cadastros!$G$6:$G$90,Cadastros!$H$6:$H$90)*(1-0.18),IF($F1093="Mauro José Salanti",_xlfn.XLOOKUP(AQ1093,Cadastros!$G$6:$G$90,Cadastros!$H$6:$H$90)*(1-0.18),_xlfn.XLOOKUP(AQ1093,Cadastros!$G$6:$G$90,Cadastros!$H$6:$H$90))))</f>
        <v/>
      </c>
      <c r="AT1093" s="168" t="str">
        <f t="shared" si="219"/>
        <v/>
      </c>
      <c r="AU1093" s="168" t="str">
        <f t="shared" si="220"/>
        <v/>
      </c>
      <c r="AV1093" s="227"/>
      <c r="AW1093" s="30"/>
      <c r="AX1093" s="267"/>
      <c r="AY1093" s="267"/>
      <c r="AZ1093" s="29"/>
      <c r="BA1093" s="30"/>
      <c r="BB1093" s="23" t="str" cm="1">
        <f t="array" ref="BB1093">_xlfn.IFS(AW1093="SIM",SUM(K1093,P1093,U1093,Z1093,AE1093,AJ1093,AO1093,AT1093,AX1093,AY1093),F1093&lt;&gt;"",SUM(K1093,P1093,U1093,Z1093,AE1093,AJ1093,,AO1093,AT1093),F1093="","")</f>
        <v/>
      </c>
      <c r="BC1093" s="211" t="str" cm="1">
        <f t="array" ref="BC1093">_xlfn.IFS(E1093="","",G1093&lt;=E1093,BB1093*(1-0.03),G1093&lt;(E1093+8),BB1093,AZ1093="Boleto",BB1093*(1+0.001)^DATEDIF(E1093,G1093,"D"),AZ1093="Cheque",BB1093,AZ1093="Dinheiro","Alterar forma pgto")</f>
        <v/>
      </c>
      <c r="BD1093" s="276" t="str" cm="1">
        <f t="array" ref="BD1093">IF(F1093=0," ",IF(BC1093&lt;BB1093,(_xlfn.IFS(AW1093="SIM",SUM(L1093,Q1093,V1093,AA1093,AF1093,AK1093,AP1093,AU1093)+AX1093/_xlfn.XLOOKUP(_xlfn.XLOOKUP($F1093,Clientes!$B$4:$B$39,Clientes!$C$4:$C$39),Cadastros!$L$6:$L$12,Cadastros!$M$6:$M$12)+IF($F1093="Bernardino Furlan",AY1093/2751.92,IF($F1093="Mauro José Salanti",AY1093/2751.92,AY1093/3356)),F1093&lt;&gt;0,SUM(L1093,Q1093,V1093,AA1093,AF1093,AK1093,AP1093,AU1093)))*(1-0.03),_xlfn.IFS(AW1093="SIM",SUM(L1093,Q1093,V1093,AA1093,AF1093,AK1093,AP1093,AU1093)+AX1093/_xlfn.XLOOKUP(_xlfn.XLOOKUP($F1093,Clientes!$B$4:$B$39,Clientes!$C$4:$C$39),Cadastros!$L$6:$L$12,Cadastros!$M$6:$M$12)+IF($F1093="Bernardino Furlan",AY1093/2751.92,IF($F1093="Mauro José Salanti",AY1093/2751.92,AY1093/3356)),F1093&lt;&gt;0,SUM(L1093,Q1093,V1093,AA1093,AF1093,AK1093,AP1093,AU1093))))</f>
        <v xml:space="preserve"> </v>
      </c>
      <c r="BE1093" s="120"/>
      <c r="BF1093" s="120"/>
      <c r="BG1093" s="120"/>
    </row>
    <row r="1094" spans="1:59" s="3" customFormat="1" x14ac:dyDescent="0.3">
      <c r="A1094" s="15" t="str">
        <f t="shared" si="208"/>
        <v/>
      </c>
      <c r="B1094" s="25"/>
      <c r="C1094" s="26"/>
      <c r="D1094" s="279"/>
      <c r="E1094" s="27"/>
      <c r="F1094" s="28"/>
      <c r="G1094" s="27"/>
      <c r="H1094" s="28"/>
      <c r="I1094" s="28"/>
      <c r="J1094" s="255" t="str">
        <f>IF(H1094="","",(_xlfn.XLOOKUP(H1094,Cadastros!$D$6:$D$90,Cadastros!$E$6:$E$90))*(1-_xlfn.XLOOKUP(_xlfn.XLOOKUP($F1094,Clientes!$B$4:$B$39,Clientes!$C$4:$C$39),Cadastros!$L$6:$L$12,Cadastros!$N$6:$N$12)))</f>
        <v/>
      </c>
      <c r="K1094" s="168" t="str">
        <f t="shared" si="209"/>
        <v/>
      </c>
      <c r="L1094" s="168" t="str">
        <f>IFERROR(K1094/_xlfn.XLOOKUP(_xlfn.XLOOKUP($F1094,Clientes!$B$4:$B$39,Clientes!$C$4:$C$39),Cadastros!$L$6:$L$12,Cadastros!$M$6:$M$12)," ")</f>
        <v xml:space="preserve"> </v>
      </c>
      <c r="M1094" s="28"/>
      <c r="N1094" s="28"/>
      <c r="O1094" s="255" t="str">
        <f>IF(M1094="","",(_xlfn.XLOOKUP(M1094,Cadastros!$D$6:$D$90,Cadastros!$E$6:$E$90))*(1-_xlfn.XLOOKUP(_xlfn.XLOOKUP($F1094,Clientes!$B$4:$B$39,Clientes!$C$4:$C$39),Cadastros!$L$6:$L$12,Cadastros!$N$6:$N$12)))</f>
        <v/>
      </c>
      <c r="P1094" s="168" t="str">
        <f t="shared" si="210"/>
        <v/>
      </c>
      <c r="Q1094" s="168" t="str">
        <f>IFERROR(P1094/_xlfn.XLOOKUP(_xlfn.XLOOKUP($F1094,Clientes!$B$4:$B$39,Clientes!$C$4:$C$39),Cadastros!$L$6:$L$12,Cadastros!$M$6:$M$12)," ")</f>
        <v xml:space="preserve"> </v>
      </c>
      <c r="R1094" s="28"/>
      <c r="S1094" s="28"/>
      <c r="T1094" s="255" t="str">
        <f>IF(R1094="","",(_xlfn.XLOOKUP(R1094,Cadastros!$D$6:$D$90,Cadastros!$E$6:$E$90))*(1-_xlfn.XLOOKUP(_xlfn.XLOOKUP($F1094,Clientes!$B$4:$B$39,Clientes!$C$4:$C$39),Cadastros!$L$6:$L$12,Cadastros!$N$6:$N$12)))</f>
        <v/>
      </c>
      <c r="U1094" s="168" t="str">
        <f t="shared" si="211"/>
        <v/>
      </c>
      <c r="V1094" s="168" t="str">
        <f>IFERROR(U1094/_xlfn.XLOOKUP(_xlfn.XLOOKUP($F1094,Clientes!$B$4:$B$39,Clientes!$C$4:$C$39),Cadastros!$L$6:$L$12,Cadastros!$M$6:$M$12)," ")</f>
        <v xml:space="preserve"> </v>
      </c>
      <c r="W1094" s="28"/>
      <c r="X1094" s="28"/>
      <c r="Y1094" s="255" t="str">
        <f>IF(W1094="","",(_xlfn.XLOOKUP(W1094,Cadastros!$D$6:$D$90,Cadastros!$E$6:$E$90))*(1-_xlfn.XLOOKUP(_xlfn.XLOOKUP($F1094,Clientes!$B$4:$B$39,Clientes!$C$4:$C$39),Cadastros!$L$6:$L$12,Cadastros!$N$6:$N$12)))</f>
        <v/>
      </c>
      <c r="Z1094" s="168" t="str">
        <f t="shared" si="212"/>
        <v/>
      </c>
      <c r="AA1094" s="168" t="str">
        <f>IFERROR(Z1094/_xlfn.XLOOKUP(_xlfn.XLOOKUP($F1094,Clientes!$B$4:$B$39,Clientes!$C$4:$C$39),Cadastros!$L$6:$L$12,Cadastros!$M$6:$M$12)," ")</f>
        <v xml:space="preserve"> </v>
      </c>
      <c r="AB1094" s="28"/>
      <c r="AC1094" s="28"/>
      <c r="AD1094" s="20" t="str">
        <f>IF(AB1094="","",IF($F1094="Bernardino Furlan",_xlfn.XLOOKUP(AB1094,Cadastros!$G$6:$G$90,Cadastros!$H$6:$H$90)*(1-0.18),IF($F1094="Mauro José Salanti",_xlfn.XLOOKUP(AB1094,Cadastros!$G$6:$G$90,Cadastros!$H$6:$H$90)*(1-0.18),_xlfn.XLOOKUP(AB1094,Cadastros!$G$6:$G$90,Cadastros!$H$6:$H$90))))</f>
        <v/>
      </c>
      <c r="AE1094" s="168" t="str">
        <f t="shared" si="213"/>
        <v/>
      </c>
      <c r="AF1094" s="168" t="str">
        <f t="shared" si="214"/>
        <v/>
      </c>
      <c r="AG1094" s="28"/>
      <c r="AH1094" s="28"/>
      <c r="AI1094" s="20" t="str">
        <f>IF(AG1094="","",IF($F1094="Bernardino Furlan",_xlfn.XLOOKUP(AG1094,Cadastros!$G$6:$G$90,Cadastros!$H$6:$H$90)*(1-0.18),IF($F1094="Mauro José Salanti",_xlfn.XLOOKUP(AG1094,Cadastros!$G$6:$G$90,Cadastros!$H$6:$H$90)*(1-0.18),_xlfn.XLOOKUP(AG1094,Cadastros!$G$6:$G$90,Cadastros!$H$6:$H$90))))</f>
        <v/>
      </c>
      <c r="AJ1094" s="168" t="str">
        <f t="shared" si="215"/>
        <v/>
      </c>
      <c r="AK1094" s="168" t="str">
        <f t="shared" si="216"/>
        <v/>
      </c>
      <c r="AL1094" s="28"/>
      <c r="AM1094" s="28"/>
      <c r="AN1094" s="20" t="str">
        <f>IF(AL1094="","",IF($F1094="Bernardino Furlan",_xlfn.XLOOKUP(AL1094,Cadastros!$G$6:$G$90,Cadastros!$H$6:$H$90)*(1-0.18),IF($F1094="Mauro José Salanti",_xlfn.XLOOKUP(AL1094,Cadastros!$G$6:$G$90,Cadastros!$H$6:$H$90)*(1-0.18),_xlfn.XLOOKUP(AL1094,Cadastros!$G$6:$G$90,Cadastros!$H$6:$H$90))))</f>
        <v/>
      </c>
      <c r="AO1094" s="168" t="str">
        <f t="shared" si="217"/>
        <v/>
      </c>
      <c r="AP1094" s="168" t="str">
        <f t="shared" si="218"/>
        <v/>
      </c>
      <c r="AQ1094" s="28"/>
      <c r="AR1094" s="28"/>
      <c r="AS1094" s="20" t="str">
        <f>IF(AQ1094="","",IF($F1094="Bernardino Furlan",_xlfn.XLOOKUP(AQ1094,Cadastros!$G$6:$G$90,Cadastros!$H$6:$H$90)*(1-0.18),IF($F1094="Mauro José Salanti",_xlfn.XLOOKUP(AQ1094,Cadastros!$G$6:$G$90,Cadastros!$H$6:$H$90)*(1-0.18),_xlfn.XLOOKUP(AQ1094,Cadastros!$G$6:$G$90,Cadastros!$H$6:$H$90))))</f>
        <v/>
      </c>
      <c r="AT1094" s="168" t="str">
        <f t="shared" si="219"/>
        <v/>
      </c>
      <c r="AU1094" s="168" t="str">
        <f t="shared" si="220"/>
        <v/>
      </c>
      <c r="AV1094" s="227"/>
      <c r="AW1094" s="30"/>
      <c r="AX1094" s="267"/>
      <c r="AY1094" s="267"/>
      <c r="AZ1094" s="29"/>
      <c r="BA1094" s="30"/>
      <c r="BB1094" s="23" t="str" cm="1">
        <f t="array" ref="BB1094">_xlfn.IFS(AW1094="SIM",SUM(K1094,P1094,U1094,Z1094,AE1094,AJ1094,AO1094,AT1094,AX1094,AY1094),F1094&lt;&gt;"",SUM(K1094,P1094,U1094,Z1094,AE1094,AJ1094,,AO1094,AT1094),F1094="","")</f>
        <v/>
      </c>
      <c r="BC1094" s="211" t="str" cm="1">
        <f t="array" ref="BC1094">_xlfn.IFS(E1094="","",G1094&lt;=E1094,BB1094*(1-0.03),G1094&lt;(E1094+8),BB1094,AZ1094="Boleto",BB1094*(1+0.001)^DATEDIF(E1094,G1094,"D"),AZ1094="Cheque",BB1094,AZ1094="Dinheiro","Alterar forma pgto")</f>
        <v/>
      </c>
      <c r="BD1094" s="276" t="str" cm="1">
        <f t="array" ref="BD1094">IF(F1094=0," ",IF(BC1094&lt;BB1094,(_xlfn.IFS(AW1094="SIM",SUM(L1094,Q1094,V1094,AA1094,AF1094,AK1094,AP1094,AU1094)+AX1094/_xlfn.XLOOKUP(_xlfn.XLOOKUP($F1094,Clientes!$B$4:$B$39,Clientes!$C$4:$C$39),Cadastros!$L$6:$L$12,Cadastros!$M$6:$M$12)+IF($F1094="Bernardino Furlan",AY1094/2751.92,IF($F1094="Mauro José Salanti",AY1094/2751.92,AY1094/3356)),F1094&lt;&gt;0,SUM(L1094,Q1094,V1094,AA1094,AF1094,AK1094,AP1094,AU1094)))*(1-0.03),_xlfn.IFS(AW1094="SIM",SUM(L1094,Q1094,V1094,AA1094,AF1094,AK1094,AP1094,AU1094)+AX1094/_xlfn.XLOOKUP(_xlfn.XLOOKUP($F1094,Clientes!$B$4:$B$39,Clientes!$C$4:$C$39),Cadastros!$L$6:$L$12,Cadastros!$M$6:$M$12)+IF($F1094="Bernardino Furlan",AY1094/2751.92,IF($F1094="Mauro José Salanti",AY1094/2751.92,AY1094/3356)),F1094&lt;&gt;0,SUM(L1094,Q1094,V1094,AA1094,AF1094,AK1094,AP1094,AU1094))))</f>
        <v xml:space="preserve"> </v>
      </c>
      <c r="BE1094" s="120"/>
      <c r="BF1094" s="120"/>
      <c r="BG1094" s="120"/>
    </row>
    <row r="1095" spans="1:59" s="3" customFormat="1" x14ac:dyDescent="0.3">
      <c r="A1095" s="15" t="str">
        <f t="shared" si="208"/>
        <v/>
      </c>
      <c r="B1095" s="25"/>
      <c r="C1095" s="26"/>
      <c r="D1095" s="279"/>
      <c r="E1095" s="27"/>
      <c r="F1095" s="28"/>
      <c r="G1095" s="27"/>
      <c r="H1095" s="28"/>
      <c r="I1095" s="28"/>
      <c r="J1095" s="255" t="str">
        <f>IF(H1095="","",(_xlfn.XLOOKUP(H1095,Cadastros!$D$6:$D$90,Cadastros!$E$6:$E$90))*(1-_xlfn.XLOOKUP(_xlfn.XLOOKUP($F1095,Clientes!$B$4:$B$39,Clientes!$C$4:$C$39),Cadastros!$L$6:$L$12,Cadastros!$N$6:$N$12)))</f>
        <v/>
      </c>
      <c r="K1095" s="168" t="str">
        <f t="shared" si="209"/>
        <v/>
      </c>
      <c r="L1095" s="168" t="str">
        <f>IFERROR(K1095/_xlfn.XLOOKUP(_xlfn.XLOOKUP($F1095,Clientes!$B$4:$B$39,Clientes!$C$4:$C$39),Cadastros!$L$6:$L$12,Cadastros!$M$6:$M$12)," ")</f>
        <v xml:space="preserve"> </v>
      </c>
      <c r="M1095" s="28"/>
      <c r="N1095" s="28"/>
      <c r="O1095" s="255" t="str">
        <f>IF(M1095="","",(_xlfn.XLOOKUP(M1095,Cadastros!$D$6:$D$90,Cadastros!$E$6:$E$90))*(1-_xlfn.XLOOKUP(_xlfn.XLOOKUP($F1095,Clientes!$B$4:$B$39,Clientes!$C$4:$C$39),Cadastros!$L$6:$L$12,Cadastros!$N$6:$N$12)))</f>
        <v/>
      </c>
      <c r="P1095" s="168" t="str">
        <f t="shared" si="210"/>
        <v/>
      </c>
      <c r="Q1095" s="168" t="str">
        <f>IFERROR(P1095/_xlfn.XLOOKUP(_xlfn.XLOOKUP($F1095,Clientes!$B$4:$B$39,Clientes!$C$4:$C$39),Cadastros!$L$6:$L$12,Cadastros!$M$6:$M$12)," ")</f>
        <v xml:space="preserve"> </v>
      </c>
      <c r="R1095" s="28"/>
      <c r="S1095" s="28"/>
      <c r="T1095" s="255" t="str">
        <f>IF(R1095="","",(_xlfn.XLOOKUP(R1095,Cadastros!$D$6:$D$90,Cadastros!$E$6:$E$90))*(1-_xlfn.XLOOKUP(_xlfn.XLOOKUP($F1095,Clientes!$B$4:$B$39,Clientes!$C$4:$C$39),Cadastros!$L$6:$L$12,Cadastros!$N$6:$N$12)))</f>
        <v/>
      </c>
      <c r="U1095" s="168" t="str">
        <f t="shared" si="211"/>
        <v/>
      </c>
      <c r="V1095" s="168" t="str">
        <f>IFERROR(U1095/_xlfn.XLOOKUP(_xlfn.XLOOKUP($F1095,Clientes!$B$4:$B$39,Clientes!$C$4:$C$39),Cadastros!$L$6:$L$12,Cadastros!$M$6:$M$12)," ")</f>
        <v xml:space="preserve"> </v>
      </c>
      <c r="W1095" s="28"/>
      <c r="X1095" s="28"/>
      <c r="Y1095" s="255" t="str">
        <f>IF(W1095="","",(_xlfn.XLOOKUP(W1095,Cadastros!$D$6:$D$90,Cadastros!$E$6:$E$90))*(1-_xlfn.XLOOKUP(_xlfn.XLOOKUP($F1095,Clientes!$B$4:$B$39,Clientes!$C$4:$C$39),Cadastros!$L$6:$L$12,Cadastros!$N$6:$N$12)))</f>
        <v/>
      </c>
      <c r="Z1095" s="168" t="str">
        <f t="shared" si="212"/>
        <v/>
      </c>
      <c r="AA1095" s="168" t="str">
        <f>IFERROR(Z1095/_xlfn.XLOOKUP(_xlfn.XLOOKUP($F1095,Clientes!$B$4:$B$39,Clientes!$C$4:$C$39),Cadastros!$L$6:$L$12,Cadastros!$M$6:$M$12)," ")</f>
        <v xml:space="preserve"> </v>
      </c>
      <c r="AB1095" s="28"/>
      <c r="AC1095" s="28"/>
      <c r="AD1095" s="20" t="str">
        <f>IF(AB1095="","",IF($F1095="Bernardino Furlan",_xlfn.XLOOKUP(AB1095,Cadastros!$G$6:$G$90,Cadastros!$H$6:$H$90)*(1-0.18),IF($F1095="Mauro José Salanti",_xlfn.XLOOKUP(AB1095,Cadastros!$G$6:$G$90,Cadastros!$H$6:$H$90)*(1-0.18),_xlfn.XLOOKUP(AB1095,Cadastros!$G$6:$G$90,Cadastros!$H$6:$H$90))))</f>
        <v/>
      </c>
      <c r="AE1095" s="168" t="str">
        <f t="shared" si="213"/>
        <v/>
      </c>
      <c r="AF1095" s="168" t="str">
        <f t="shared" si="214"/>
        <v/>
      </c>
      <c r="AG1095" s="28"/>
      <c r="AH1095" s="28"/>
      <c r="AI1095" s="20" t="str">
        <f>IF(AG1095="","",IF($F1095="Bernardino Furlan",_xlfn.XLOOKUP(AG1095,Cadastros!$G$6:$G$90,Cadastros!$H$6:$H$90)*(1-0.18),IF($F1095="Mauro José Salanti",_xlfn.XLOOKUP(AG1095,Cadastros!$G$6:$G$90,Cadastros!$H$6:$H$90)*(1-0.18),_xlfn.XLOOKUP(AG1095,Cadastros!$G$6:$G$90,Cadastros!$H$6:$H$90))))</f>
        <v/>
      </c>
      <c r="AJ1095" s="168" t="str">
        <f t="shared" si="215"/>
        <v/>
      </c>
      <c r="AK1095" s="168" t="str">
        <f t="shared" si="216"/>
        <v/>
      </c>
      <c r="AL1095" s="28"/>
      <c r="AM1095" s="28"/>
      <c r="AN1095" s="20" t="str">
        <f>IF(AL1095="","",IF($F1095="Bernardino Furlan",_xlfn.XLOOKUP(AL1095,Cadastros!$G$6:$G$90,Cadastros!$H$6:$H$90)*(1-0.18),IF($F1095="Mauro José Salanti",_xlfn.XLOOKUP(AL1095,Cadastros!$G$6:$G$90,Cadastros!$H$6:$H$90)*(1-0.18),_xlfn.XLOOKUP(AL1095,Cadastros!$G$6:$G$90,Cadastros!$H$6:$H$90))))</f>
        <v/>
      </c>
      <c r="AO1095" s="168" t="str">
        <f t="shared" si="217"/>
        <v/>
      </c>
      <c r="AP1095" s="168" t="str">
        <f t="shared" si="218"/>
        <v/>
      </c>
      <c r="AQ1095" s="28"/>
      <c r="AR1095" s="28"/>
      <c r="AS1095" s="20" t="str">
        <f>IF(AQ1095="","",IF($F1095="Bernardino Furlan",_xlfn.XLOOKUP(AQ1095,Cadastros!$G$6:$G$90,Cadastros!$H$6:$H$90)*(1-0.18),IF($F1095="Mauro José Salanti",_xlfn.XLOOKUP(AQ1095,Cadastros!$G$6:$G$90,Cadastros!$H$6:$H$90)*(1-0.18),_xlfn.XLOOKUP(AQ1095,Cadastros!$G$6:$G$90,Cadastros!$H$6:$H$90))))</f>
        <v/>
      </c>
      <c r="AT1095" s="168" t="str">
        <f t="shared" si="219"/>
        <v/>
      </c>
      <c r="AU1095" s="168" t="str">
        <f t="shared" si="220"/>
        <v/>
      </c>
      <c r="AV1095" s="227"/>
      <c r="AW1095" s="30"/>
      <c r="AX1095" s="267"/>
      <c r="AY1095" s="267"/>
      <c r="AZ1095" s="29"/>
      <c r="BA1095" s="30"/>
      <c r="BB1095" s="23" t="str" cm="1">
        <f t="array" ref="BB1095">_xlfn.IFS(AW1095="SIM",SUM(K1095,P1095,U1095,Z1095,AE1095,AJ1095,AO1095,AT1095,AX1095,AY1095),F1095&lt;&gt;"",SUM(K1095,P1095,U1095,Z1095,AE1095,AJ1095,,AO1095,AT1095),F1095="","")</f>
        <v/>
      </c>
      <c r="BC1095" s="211" t="str" cm="1">
        <f t="array" ref="BC1095">_xlfn.IFS(E1095="","",G1095&lt;=E1095,BB1095*(1-0.03),G1095&lt;(E1095+8),BB1095,AZ1095="Boleto",BB1095*(1+0.001)^DATEDIF(E1095,G1095,"D"),AZ1095="Cheque",BB1095,AZ1095="Dinheiro","Alterar forma pgto")</f>
        <v/>
      </c>
      <c r="BD1095" s="276" t="str" cm="1">
        <f t="array" ref="BD1095">IF(F1095=0," ",IF(BC1095&lt;BB1095,(_xlfn.IFS(AW1095="SIM",SUM(L1095,Q1095,V1095,AA1095,AF1095,AK1095,AP1095,AU1095)+AX1095/_xlfn.XLOOKUP(_xlfn.XLOOKUP($F1095,Clientes!$B$4:$B$39,Clientes!$C$4:$C$39),Cadastros!$L$6:$L$12,Cadastros!$M$6:$M$12)+IF($F1095="Bernardino Furlan",AY1095/2751.92,IF($F1095="Mauro José Salanti",AY1095/2751.92,AY1095/3356)),F1095&lt;&gt;0,SUM(L1095,Q1095,V1095,AA1095,AF1095,AK1095,AP1095,AU1095)))*(1-0.03),_xlfn.IFS(AW1095="SIM",SUM(L1095,Q1095,V1095,AA1095,AF1095,AK1095,AP1095,AU1095)+AX1095/_xlfn.XLOOKUP(_xlfn.XLOOKUP($F1095,Clientes!$B$4:$B$39,Clientes!$C$4:$C$39),Cadastros!$L$6:$L$12,Cadastros!$M$6:$M$12)+IF($F1095="Bernardino Furlan",AY1095/2751.92,IF($F1095="Mauro José Salanti",AY1095/2751.92,AY1095/3356)),F1095&lt;&gt;0,SUM(L1095,Q1095,V1095,AA1095,AF1095,AK1095,AP1095,AU1095))))</f>
        <v xml:space="preserve"> </v>
      </c>
      <c r="BE1095" s="120"/>
      <c r="BF1095" s="120"/>
      <c r="BG1095" s="120"/>
    </row>
    <row r="1096" spans="1:59" s="3" customFormat="1" x14ac:dyDescent="0.3">
      <c r="A1096" s="15" t="str">
        <f t="shared" ref="A1096:A1159" si="221">IF(C1096="orçamento",25%,IF(C1096="aprovado",50%,IF(C1096="entregue",100%,IF(C1096="não aceito",0%,""))))</f>
        <v/>
      </c>
      <c r="B1096" s="25"/>
      <c r="C1096" s="26"/>
      <c r="D1096" s="279"/>
      <c r="E1096" s="27"/>
      <c r="F1096" s="28"/>
      <c r="G1096" s="27"/>
      <c r="H1096" s="28"/>
      <c r="I1096" s="28"/>
      <c r="J1096" s="255" t="str">
        <f>IF(H1096="","",(_xlfn.XLOOKUP(H1096,Cadastros!$D$6:$D$90,Cadastros!$E$6:$E$90))*(1-_xlfn.XLOOKUP(_xlfn.XLOOKUP($F1096,Clientes!$B$4:$B$39,Clientes!$C$4:$C$39),Cadastros!$L$6:$L$12,Cadastros!$N$6:$N$12)))</f>
        <v/>
      </c>
      <c r="K1096" s="168" t="str">
        <f t="shared" ref="K1096:K1159" si="222">IF(J1096="","",I1096*J1096)</f>
        <v/>
      </c>
      <c r="L1096" s="168" t="str">
        <f>IFERROR(K1096/_xlfn.XLOOKUP(_xlfn.XLOOKUP($F1096,Clientes!$B$4:$B$39,Clientes!$C$4:$C$39),Cadastros!$L$6:$L$12,Cadastros!$M$6:$M$12)," ")</f>
        <v xml:space="preserve"> </v>
      </c>
      <c r="M1096" s="28"/>
      <c r="N1096" s="28"/>
      <c r="O1096" s="255" t="str">
        <f>IF(M1096="","",(_xlfn.XLOOKUP(M1096,Cadastros!$D$6:$D$90,Cadastros!$E$6:$E$90))*(1-_xlfn.XLOOKUP(_xlfn.XLOOKUP($F1096,Clientes!$B$4:$B$39,Clientes!$C$4:$C$39),Cadastros!$L$6:$L$12,Cadastros!$N$6:$N$12)))</f>
        <v/>
      </c>
      <c r="P1096" s="168" t="str">
        <f t="shared" ref="P1096:P1159" si="223">IF(O1096="","",N1096*O1096)</f>
        <v/>
      </c>
      <c r="Q1096" s="168" t="str">
        <f>IFERROR(P1096/_xlfn.XLOOKUP(_xlfn.XLOOKUP($F1096,Clientes!$B$4:$B$39,Clientes!$C$4:$C$39),Cadastros!$L$6:$L$12,Cadastros!$M$6:$M$12)," ")</f>
        <v xml:space="preserve"> </v>
      </c>
      <c r="R1096" s="28"/>
      <c r="S1096" s="28"/>
      <c r="T1096" s="255" t="str">
        <f>IF(R1096="","",(_xlfn.XLOOKUP(R1096,Cadastros!$D$6:$D$90,Cadastros!$E$6:$E$90))*(1-_xlfn.XLOOKUP(_xlfn.XLOOKUP($F1096,Clientes!$B$4:$B$39,Clientes!$C$4:$C$39),Cadastros!$L$6:$L$12,Cadastros!$N$6:$N$12)))</f>
        <v/>
      </c>
      <c r="U1096" s="168" t="str">
        <f t="shared" ref="U1096:U1159" si="224">IF(T1096="","",S1096*T1096)</f>
        <v/>
      </c>
      <c r="V1096" s="168" t="str">
        <f>IFERROR(U1096/_xlfn.XLOOKUP(_xlfn.XLOOKUP($F1096,Clientes!$B$4:$B$39,Clientes!$C$4:$C$39),Cadastros!$L$6:$L$12,Cadastros!$M$6:$M$12)," ")</f>
        <v xml:space="preserve"> </v>
      </c>
      <c r="W1096" s="28"/>
      <c r="X1096" s="28"/>
      <c r="Y1096" s="255" t="str">
        <f>IF(W1096="","",(_xlfn.XLOOKUP(W1096,Cadastros!$D$6:$D$90,Cadastros!$E$6:$E$90))*(1-_xlfn.XLOOKUP(_xlfn.XLOOKUP($F1096,Clientes!$B$4:$B$39,Clientes!$C$4:$C$39),Cadastros!$L$6:$L$12,Cadastros!$N$6:$N$12)))</f>
        <v/>
      </c>
      <c r="Z1096" s="168" t="str">
        <f t="shared" ref="Z1096:Z1159" si="225">IF(Y1096="","",X1096*Y1096)</f>
        <v/>
      </c>
      <c r="AA1096" s="168" t="str">
        <f>IFERROR(Z1096/_xlfn.XLOOKUP(_xlfn.XLOOKUP($F1096,Clientes!$B$4:$B$39,Clientes!$C$4:$C$39),Cadastros!$L$6:$L$12,Cadastros!$M$6:$M$12)," ")</f>
        <v xml:space="preserve"> </v>
      </c>
      <c r="AB1096" s="28"/>
      <c r="AC1096" s="28"/>
      <c r="AD1096" s="20" t="str">
        <f>IF(AB1096="","",IF($F1096="Bernardino Furlan",_xlfn.XLOOKUP(AB1096,Cadastros!$G$6:$G$90,Cadastros!$H$6:$H$90)*(1-0.18),IF($F1096="Mauro José Salanti",_xlfn.XLOOKUP(AB1096,Cadastros!$G$6:$G$90,Cadastros!$H$6:$H$90)*(1-0.18),_xlfn.XLOOKUP(AB1096,Cadastros!$G$6:$G$90,Cadastros!$H$6:$H$90))))</f>
        <v/>
      </c>
      <c r="AE1096" s="168" t="str">
        <f t="shared" ref="AE1096:AE1159" si="226">IF(AD1096="","",AC1096*AD1096)</f>
        <v/>
      </c>
      <c r="AF1096" s="168" t="str">
        <f t="shared" ref="AF1096:AF1159" si="227">IFERROR(IF($F1096="Bernardino Furlan",AE1096/2751.92,IF($F1096="Mauro José Salanti",AE1096/2751.92,AE1096/3356)),"")</f>
        <v/>
      </c>
      <c r="AG1096" s="28"/>
      <c r="AH1096" s="28"/>
      <c r="AI1096" s="20" t="str">
        <f>IF(AG1096="","",IF($F1096="Bernardino Furlan",_xlfn.XLOOKUP(AG1096,Cadastros!$G$6:$G$90,Cadastros!$H$6:$H$90)*(1-0.18),IF($F1096="Mauro José Salanti",_xlfn.XLOOKUP(AG1096,Cadastros!$G$6:$G$90,Cadastros!$H$6:$H$90)*(1-0.18),_xlfn.XLOOKUP(AG1096,Cadastros!$G$6:$G$90,Cadastros!$H$6:$H$90))))</f>
        <v/>
      </c>
      <c r="AJ1096" s="168" t="str">
        <f t="shared" ref="AJ1096:AJ1159" si="228">IF(AI1096="","",AH1096*AI1096)</f>
        <v/>
      </c>
      <c r="AK1096" s="168" t="str">
        <f t="shared" ref="AK1096:AK1159" si="229">IFERROR(IF($F1096="Bernardino Furlan",AJ1096/2751.92,IF($F1096="Mauro José Salanti",AJ1096/2751.92,AJ1096/3356)),"")</f>
        <v/>
      </c>
      <c r="AL1096" s="28"/>
      <c r="AM1096" s="28"/>
      <c r="AN1096" s="20" t="str">
        <f>IF(AL1096="","",IF($F1096="Bernardino Furlan",_xlfn.XLOOKUP(AL1096,Cadastros!$G$6:$G$90,Cadastros!$H$6:$H$90)*(1-0.18),IF($F1096="Mauro José Salanti",_xlfn.XLOOKUP(AL1096,Cadastros!$G$6:$G$90,Cadastros!$H$6:$H$90)*(1-0.18),_xlfn.XLOOKUP(AL1096,Cadastros!$G$6:$G$90,Cadastros!$H$6:$H$90))))</f>
        <v/>
      </c>
      <c r="AO1096" s="168" t="str">
        <f t="shared" ref="AO1096:AO1159" si="230">IF(AN1096="","",AM1096*AN1096)</f>
        <v/>
      </c>
      <c r="AP1096" s="168" t="str">
        <f t="shared" ref="AP1096:AP1159" si="231">IFERROR(IF($F1096="Bernardino Furlan",AO1096/2751.92,IF($F1096="Mauro José Salanti",AO1096/2751.92,AO1096/3356)),"")</f>
        <v/>
      </c>
      <c r="AQ1096" s="28"/>
      <c r="AR1096" s="28"/>
      <c r="AS1096" s="20" t="str">
        <f>IF(AQ1096="","",IF($F1096="Bernardino Furlan",_xlfn.XLOOKUP(AQ1096,Cadastros!$G$6:$G$90,Cadastros!$H$6:$H$90)*(1-0.18),IF($F1096="Mauro José Salanti",_xlfn.XLOOKUP(AQ1096,Cadastros!$G$6:$G$90,Cadastros!$H$6:$H$90)*(1-0.18),_xlfn.XLOOKUP(AQ1096,Cadastros!$G$6:$G$90,Cadastros!$H$6:$H$90))))</f>
        <v/>
      </c>
      <c r="AT1096" s="168" t="str">
        <f t="shared" ref="AT1096:AT1159" si="232">IF(AS1096="","",AR1096*AS1096)</f>
        <v/>
      </c>
      <c r="AU1096" s="168" t="str">
        <f t="shared" ref="AU1096:AU1159" si="233">IFERROR(IF($F1096="Bernardino Furlan",AT1096/2751.92,IF($F1096="Mauro José Salanti",AT1096/2751.92,AT1096/3356)),"")</f>
        <v/>
      </c>
      <c r="AV1096" s="227"/>
      <c r="AW1096" s="30"/>
      <c r="AX1096" s="267"/>
      <c r="AY1096" s="267"/>
      <c r="AZ1096" s="29"/>
      <c r="BA1096" s="30"/>
      <c r="BB1096" s="23" t="str" cm="1">
        <f t="array" ref="BB1096">_xlfn.IFS(AW1096="SIM",SUM(K1096,P1096,U1096,Z1096,AE1096,AJ1096,AO1096,AT1096,AX1096,AY1096),F1096&lt;&gt;"",SUM(K1096,P1096,U1096,Z1096,AE1096,AJ1096,,AO1096,AT1096),F1096="","")</f>
        <v/>
      </c>
      <c r="BC1096" s="211" t="str" cm="1">
        <f t="array" ref="BC1096">_xlfn.IFS(E1096="","",G1096&lt;=E1096,BB1096*(1-0.03),G1096&lt;(E1096+8),BB1096,AZ1096="Boleto",BB1096*(1+0.001)^DATEDIF(E1096,G1096,"D"),AZ1096="Cheque",BB1096,AZ1096="Dinheiro","Alterar forma pgto")</f>
        <v/>
      </c>
      <c r="BD1096" s="276" t="str" cm="1">
        <f t="array" ref="BD1096">IF(F1096=0," ",IF(BC1096&lt;BB1096,(_xlfn.IFS(AW1096="SIM",SUM(L1096,Q1096,V1096,AA1096,AF1096,AK1096,AP1096,AU1096)+AX1096/_xlfn.XLOOKUP(_xlfn.XLOOKUP($F1096,Clientes!$B$4:$B$39,Clientes!$C$4:$C$39),Cadastros!$L$6:$L$12,Cadastros!$M$6:$M$12)+IF($F1096="Bernardino Furlan",AY1096/2751.92,IF($F1096="Mauro José Salanti",AY1096/2751.92,AY1096/3356)),F1096&lt;&gt;0,SUM(L1096,Q1096,V1096,AA1096,AF1096,AK1096,AP1096,AU1096)))*(1-0.03),_xlfn.IFS(AW1096="SIM",SUM(L1096,Q1096,V1096,AA1096,AF1096,AK1096,AP1096,AU1096)+AX1096/_xlfn.XLOOKUP(_xlfn.XLOOKUP($F1096,Clientes!$B$4:$B$39,Clientes!$C$4:$C$39),Cadastros!$L$6:$L$12,Cadastros!$M$6:$M$12)+IF($F1096="Bernardino Furlan",AY1096/2751.92,IF($F1096="Mauro José Salanti",AY1096/2751.92,AY1096/3356)),F1096&lt;&gt;0,SUM(L1096,Q1096,V1096,AA1096,AF1096,AK1096,AP1096,AU1096))))</f>
        <v xml:space="preserve"> </v>
      </c>
      <c r="BE1096" s="120"/>
      <c r="BF1096" s="120"/>
      <c r="BG1096" s="120"/>
    </row>
    <row r="1097" spans="1:59" s="3" customFormat="1" x14ac:dyDescent="0.3">
      <c r="A1097" s="15" t="str">
        <f t="shared" si="221"/>
        <v/>
      </c>
      <c r="B1097" s="25"/>
      <c r="C1097" s="26"/>
      <c r="D1097" s="279"/>
      <c r="E1097" s="27"/>
      <c r="F1097" s="28"/>
      <c r="G1097" s="27"/>
      <c r="H1097" s="28"/>
      <c r="I1097" s="28"/>
      <c r="J1097" s="255" t="str">
        <f>IF(H1097="","",(_xlfn.XLOOKUP(H1097,Cadastros!$D$6:$D$90,Cadastros!$E$6:$E$90))*(1-_xlfn.XLOOKUP(_xlfn.XLOOKUP($F1097,Clientes!$B$4:$B$39,Clientes!$C$4:$C$39),Cadastros!$L$6:$L$12,Cadastros!$N$6:$N$12)))</f>
        <v/>
      </c>
      <c r="K1097" s="168" t="str">
        <f t="shared" si="222"/>
        <v/>
      </c>
      <c r="L1097" s="168" t="str">
        <f>IFERROR(K1097/_xlfn.XLOOKUP(_xlfn.XLOOKUP($F1097,Clientes!$B$4:$B$39,Clientes!$C$4:$C$39),Cadastros!$L$6:$L$12,Cadastros!$M$6:$M$12)," ")</f>
        <v xml:space="preserve"> </v>
      </c>
      <c r="M1097" s="28"/>
      <c r="N1097" s="28"/>
      <c r="O1097" s="255" t="str">
        <f>IF(M1097="","",(_xlfn.XLOOKUP(M1097,Cadastros!$D$6:$D$90,Cadastros!$E$6:$E$90))*(1-_xlfn.XLOOKUP(_xlfn.XLOOKUP($F1097,Clientes!$B$4:$B$39,Clientes!$C$4:$C$39),Cadastros!$L$6:$L$12,Cadastros!$N$6:$N$12)))</f>
        <v/>
      </c>
      <c r="P1097" s="168" t="str">
        <f t="shared" si="223"/>
        <v/>
      </c>
      <c r="Q1097" s="168" t="str">
        <f>IFERROR(P1097/_xlfn.XLOOKUP(_xlfn.XLOOKUP($F1097,Clientes!$B$4:$B$39,Clientes!$C$4:$C$39),Cadastros!$L$6:$L$12,Cadastros!$M$6:$M$12)," ")</f>
        <v xml:space="preserve"> </v>
      </c>
      <c r="R1097" s="28"/>
      <c r="S1097" s="28"/>
      <c r="T1097" s="255" t="str">
        <f>IF(R1097="","",(_xlfn.XLOOKUP(R1097,Cadastros!$D$6:$D$90,Cadastros!$E$6:$E$90))*(1-_xlfn.XLOOKUP(_xlfn.XLOOKUP($F1097,Clientes!$B$4:$B$39,Clientes!$C$4:$C$39),Cadastros!$L$6:$L$12,Cadastros!$N$6:$N$12)))</f>
        <v/>
      </c>
      <c r="U1097" s="168" t="str">
        <f t="shared" si="224"/>
        <v/>
      </c>
      <c r="V1097" s="168" t="str">
        <f>IFERROR(U1097/_xlfn.XLOOKUP(_xlfn.XLOOKUP($F1097,Clientes!$B$4:$B$39,Clientes!$C$4:$C$39),Cadastros!$L$6:$L$12,Cadastros!$M$6:$M$12)," ")</f>
        <v xml:space="preserve"> </v>
      </c>
      <c r="W1097" s="28"/>
      <c r="X1097" s="28"/>
      <c r="Y1097" s="255" t="str">
        <f>IF(W1097="","",(_xlfn.XLOOKUP(W1097,Cadastros!$D$6:$D$90,Cadastros!$E$6:$E$90))*(1-_xlfn.XLOOKUP(_xlfn.XLOOKUP($F1097,Clientes!$B$4:$B$39,Clientes!$C$4:$C$39),Cadastros!$L$6:$L$12,Cadastros!$N$6:$N$12)))</f>
        <v/>
      </c>
      <c r="Z1097" s="168" t="str">
        <f t="shared" si="225"/>
        <v/>
      </c>
      <c r="AA1097" s="168" t="str">
        <f>IFERROR(Z1097/_xlfn.XLOOKUP(_xlfn.XLOOKUP($F1097,Clientes!$B$4:$B$39,Clientes!$C$4:$C$39),Cadastros!$L$6:$L$12,Cadastros!$M$6:$M$12)," ")</f>
        <v xml:space="preserve"> </v>
      </c>
      <c r="AB1097" s="28"/>
      <c r="AC1097" s="28"/>
      <c r="AD1097" s="20" t="str">
        <f>IF(AB1097="","",IF($F1097="Bernardino Furlan",_xlfn.XLOOKUP(AB1097,Cadastros!$G$6:$G$90,Cadastros!$H$6:$H$90)*(1-0.18),IF($F1097="Mauro José Salanti",_xlfn.XLOOKUP(AB1097,Cadastros!$G$6:$G$90,Cadastros!$H$6:$H$90)*(1-0.18),_xlfn.XLOOKUP(AB1097,Cadastros!$G$6:$G$90,Cadastros!$H$6:$H$90))))</f>
        <v/>
      </c>
      <c r="AE1097" s="168" t="str">
        <f t="shared" si="226"/>
        <v/>
      </c>
      <c r="AF1097" s="168" t="str">
        <f t="shared" si="227"/>
        <v/>
      </c>
      <c r="AG1097" s="28"/>
      <c r="AH1097" s="28"/>
      <c r="AI1097" s="20" t="str">
        <f>IF(AG1097="","",IF($F1097="Bernardino Furlan",_xlfn.XLOOKUP(AG1097,Cadastros!$G$6:$G$90,Cadastros!$H$6:$H$90)*(1-0.18),IF($F1097="Mauro José Salanti",_xlfn.XLOOKUP(AG1097,Cadastros!$G$6:$G$90,Cadastros!$H$6:$H$90)*(1-0.18),_xlfn.XLOOKUP(AG1097,Cadastros!$G$6:$G$90,Cadastros!$H$6:$H$90))))</f>
        <v/>
      </c>
      <c r="AJ1097" s="168" t="str">
        <f t="shared" si="228"/>
        <v/>
      </c>
      <c r="AK1097" s="168" t="str">
        <f t="shared" si="229"/>
        <v/>
      </c>
      <c r="AL1097" s="28"/>
      <c r="AM1097" s="28"/>
      <c r="AN1097" s="20" t="str">
        <f>IF(AL1097="","",IF($F1097="Bernardino Furlan",_xlfn.XLOOKUP(AL1097,Cadastros!$G$6:$G$90,Cadastros!$H$6:$H$90)*(1-0.18),IF($F1097="Mauro José Salanti",_xlfn.XLOOKUP(AL1097,Cadastros!$G$6:$G$90,Cadastros!$H$6:$H$90)*(1-0.18),_xlfn.XLOOKUP(AL1097,Cadastros!$G$6:$G$90,Cadastros!$H$6:$H$90))))</f>
        <v/>
      </c>
      <c r="AO1097" s="168" t="str">
        <f t="shared" si="230"/>
        <v/>
      </c>
      <c r="AP1097" s="168" t="str">
        <f t="shared" si="231"/>
        <v/>
      </c>
      <c r="AQ1097" s="28"/>
      <c r="AR1097" s="28"/>
      <c r="AS1097" s="20" t="str">
        <f>IF(AQ1097="","",IF($F1097="Bernardino Furlan",_xlfn.XLOOKUP(AQ1097,Cadastros!$G$6:$G$90,Cadastros!$H$6:$H$90)*(1-0.18),IF($F1097="Mauro José Salanti",_xlfn.XLOOKUP(AQ1097,Cadastros!$G$6:$G$90,Cadastros!$H$6:$H$90)*(1-0.18),_xlfn.XLOOKUP(AQ1097,Cadastros!$G$6:$G$90,Cadastros!$H$6:$H$90))))</f>
        <v/>
      </c>
      <c r="AT1097" s="168" t="str">
        <f t="shared" si="232"/>
        <v/>
      </c>
      <c r="AU1097" s="168" t="str">
        <f t="shared" si="233"/>
        <v/>
      </c>
      <c r="AV1097" s="227"/>
      <c r="AW1097" s="30"/>
      <c r="AX1097" s="267"/>
      <c r="AY1097" s="267"/>
      <c r="AZ1097" s="29"/>
      <c r="BA1097" s="30"/>
      <c r="BB1097" s="23" t="str" cm="1">
        <f t="array" ref="BB1097">_xlfn.IFS(AW1097="SIM",SUM(K1097,P1097,U1097,Z1097,AE1097,AJ1097,AO1097,AT1097,AX1097,AY1097),F1097&lt;&gt;"",SUM(K1097,P1097,U1097,Z1097,AE1097,AJ1097,,AO1097,AT1097),F1097="","")</f>
        <v/>
      </c>
      <c r="BC1097" s="211" t="str" cm="1">
        <f t="array" ref="BC1097">_xlfn.IFS(E1097="","",G1097&lt;=E1097,BB1097*(1-0.03),G1097&lt;(E1097+8),BB1097,AZ1097="Boleto",BB1097*(1+0.001)^DATEDIF(E1097,G1097,"D"),AZ1097="Cheque",BB1097,AZ1097="Dinheiro","Alterar forma pgto")</f>
        <v/>
      </c>
      <c r="BD1097" s="276" t="str" cm="1">
        <f t="array" ref="BD1097">IF(F1097=0," ",IF(BC1097&lt;BB1097,(_xlfn.IFS(AW1097="SIM",SUM(L1097,Q1097,V1097,AA1097,AF1097,AK1097,AP1097,AU1097)+AX1097/_xlfn.XLOOKUP(_xlfn.XLOOKUP($F1097,Clientes!$B$4:$B$39,Clientes!$C$4:$C$39),Cadastros!$L$6:$L$12,Cadastros!$M$6:$M$12)+IF($F1097="Bernardino Furlan",AY1097/2751.92,IF($F1097="Mauro José Salanti",AY1097/2751.92,AY1097/3356)),F1097&lt;&gt;0,SUM(L1097,Q1097,V1097,AA1097,AF1097,AK1097,AP1097,AU1097)))*(1-0.03),_xlfn.IFS(AW1097="SIM",SUM(L1097,Q1097,V1097,AA1097,AF1097,AK1097,AP1097,AU1097)+AX1097/_xlfn.XLOOKUP(_xlfn.XLOOKUP($F1097,Clientes!$B$4:$B$39,Clientes!$C$4:$C$39),Cadastros!$L$6:$L$12,Cadastros!$M$6:$M$12)+IF($F1097="Bernardino Furlan",AY1097/2751.92,IF($F1097="Mauro José Salanti",AY1097/2751.92,AY1097/3356)),F1097&lt;&gt;0,SUM(L1097,Q1097,V1097,AA1097,AF1097,AK1097,AP1097,AU1097))))</f>
        <v xml:space="preserve"> </v>
      </c>
      <c r="BE1097" s="120"/>
      <c r="BF1097" s="120"/>
      <c r="BG1097" s="120"/>
    </row>
    <row r="1098" spans="1:59" s="3" customFormat="1" x14ac:dyDescent="0.3">
      <c r="A1098" s="15" t="str">
        <f t="shared" si="221"/>
        <v/>
      </c>
      <c r="B1098" s="25"/>
      <c r="C1098" s="26"/>
      <c r="D1098" s="279"/>
      <c r="E1098" s="27"/>
      <c r="F1098" s="28"/>
      <c r="G1098" s="27"/>
      <c r="H1098" s="28"/>
      <c r="I1098" s="28"/>
      <c r="J1098" s="255" t="str">
        <f>IF(H1098="","",(_xlfn.XLOOKUP(H1098,Cadastros!$D$6:$D$90,Cadastros!$E$6:$E$90))*(1-_xlfn.XLOOKUP(_xlfn.XLOOKUP($F1098,Clientes!$B$4:$B$39,Clientes!$C$4:$C$39),Cadastros!$L$6:$L$12,Cadastros!$N$6:$N$12)))</f>
        <v/>
      </c>
      <c r="K1098" s="168" t="str">
        <f t="shared" si="222"/>
        <v/>
      </c>
      <c r="L1098" s="168" t="str">
        <f>IFERROR(K1098/_xlfn.XLOOKUP(_xlfn.XLOOKUP($F1098,Clientes!$B$4:$B$39,Clientes!$C$4:$C$39),Cadastros!$L$6:$L$12,Cadastros!$M$6:$M$12)," ")</f>
        <v xml:space="preserve"> </v>
      </c>
      <c r="M1098" s="28"/>
      <c r="N1098" s="28"/>
      <c r="O1098" s="255" t="str">
        <f>IF(M1098="","",(_xlfn.XLOOKUP(M1098,Cadastros!$D$6:$D$90,Cadastros!$E$6:$E$90))*(1-_xlfn.XLOOKUP(_xlfn.XLOOKUP($F1098,Clientes!$B$4:$B$39,Clientes!$C$4:$C$39),Cadastros!$L$6:$L$12,Cadastros!$N$6:$N$12)))</f>
        <v/>
      </c>
      <c r="P1098" s="168" t="str">
        <f t="shared" si="223"/>
        <v/>
      </c>
      <c r="Q1098" s="168" t="str">
        <f>IFERROR(P1098/_xlfn.XLOOKUP(_xlfn.XLOOKUP($F1098,Clientes!$B$4:$B$39,Clientes!$C$4:$C$39),Cadastros!$L$6:$L$12,Cadastros!$M$6:$M$12)," ")</f>
        <v xml:space="preserve"> </v>
      </c>
      <c r="R1098" s="28"/>
      <c r="S1098" s="28"/>
      <c r="T1098" s="255" t="str">
        <f>IF(R1098="","",(_xlfn.XLOOKUP(R1098,Cadastros!$D$6:$D$90,Cadastros!$E$6:$E$90))*(1-_xlfn.XLOOKUP(_xlfn.XLOOKUP($F1098,Clientes!$B$4:$B$39,Clientes!$C$4:$C$39),Cadastros!$L$6:$L$12,Cadastros!$N$6:$N$12)))</f>
        <v/>
      </c>
      <c r="U1098" s="168" t="str">
        <f t="shared" si="224"/>
        <v/>
      </c>
      <c r="V1098" s="168" t="str">
        <f>IFERROR(U1098/_xlfn.XLOOKUP(_xlfn.XLOOKUP($F1098,Clientes!$B$4:$B$39,Clientes!$C$4:$C$39),Cadastros!$L$6:$L$12,Cadastros!$M$6:$M$12)," ")</f>
        <v xml:space="preserve"> </v>
      </c>
      <c r="W1098" s="28"/>
      <c r="X1098" s="28"/>
      <c r="Y1098" s="255" t="str">
        <f>IF(W1098="","",(_xlfn.XLOOKUP(W1098,Cadastros!$D$6:$D$90,Cadastros!$E$6:$E$90))*(1-_xlfn.XLOOKUP(_xlfn.XLOOKUP($F1098,Clientes!$B$4:$B$39,Clientes!$C$4:$C$39),Cadastros!$L$6:$L$12,Cadastros!$N$6:$N$12)))</f>
        <v/>
      </c>
      <c r="Z1098" s="168" t="str">
        <f t="shared" si="225"/>
        <v/>
      </c>
      <c r="AA1098" s="168" t="str">
        <f>IFERROR(Z1098/_xlfn.XLOOKUP(_xlfn.XLOOKUP($F1098,Clientes!$B$4:$B$39,Clientes!$C$4:$C$39),Cadastros!$L$6:$L$12,Cadastros!$M$6:$M$12)," ")</f>
        <v xml:space="preserve"> </v>
      </c>
      <c r="AB1098" s="28"/>
      <c r="AC1098" s="28"/>
      <c r="AD1098" s="20" t="str">
        <f>IF(AB1098="","",IF($F1098="Bernardino Furlan",_xlfn.XLOOKUP(AB1098,Cadastros!$G$6:$G$90,Cadastros!$H$6:$H$90)*(1-0.18),IF($F1098="Mauro José Salanti",_xlfn.XLOOKUP(AB1098,Cadastros!$G$6:$G$90,Cadastros!$H$6:$H$90)*(1-0.18),_xlfn.XLOOKUP(AB1098,Cadastros!$G$6:$G$90,Cadastros!$H$6:$H$90))))</f>
        <v/>
      </c>
      <c r="AE1098" s="168" t="str">
        <f t="shared" si="226"/>
        <v/>
      </c>
      <c r="AF1098" s="168" t="str">
        <f t="shared" si="227"/>
        <v/>
      </c>
      <c r="AG1098" s="28"/>
      <c r="AH1098" s="28"/>
      <c r="AI1098" s="20" t="str">
        <f>IF(AG1098="","",IF($F1098="Bernardino Furlan",_xlfn.XLOOKUP(AG1098,Cadastros!$G$6:$G$90,Cadastros!$H$6:$H$90)*(1-0.18),IF($F1098="Mauro José Salanti",_xlfn.XLOOKUP(AG1098,Cadastros!$G$6:$G$90,Cadastros!$H$6:$H$90)*(1-0.18),_xlfn.XLOOKUP(AG1098,Cadastros!$G$6:$G$90,Cadastros!$H$6:$H$90))))</f>
        <v/>
      </c>
      <c r="AJ1098" s="168" t="str">
        <f t="shared" si="228"/>
        <v/>
      </c>
      <c r="AK1098" s="168" t="str">
        <f t="shared" si="229"/>
        <v/>
      </c>
      <c r="AL1098" s="28"/>
      <c r="AM1098" s="28"/>
      <c r="AN1098" s="20" t="str">
        <f>IF(AL1098="","",IF($F1098="Bernardino Furlan",_xlfn.XLOOKUP(AL1098,Cadastros!$G$6:$G$90,Cadastros!$H$6:$H$90)*(1-0.18),IF($F1098="Mauro José Salanti",_xlfn.XLOOKUP(AL1098,Cadastros!$G$6:$G$90,Cadastros!$H$6:$H$90)*(1-0.18),_xlfn.XLOOKUP(AL1098,Cadastros!$G$6:$G$90,Cadastros!$H$6:$H$90))))</f>
        <v/>
      </c>
      <c r="AO1098" s="168" t="str">
        <f t="shared" si="230"/>
        <v/>
      </c>
      <c r="AP1098" s="168" t="str">
        <f t="shared" si="231"/>
        <v/>
      </c>
      <c r="AQ1098" s="28"/>
      <c r="AR1098" s="28"/>
      <c r="AS1098" s="20" t="str">
        <f>IF(AQ1098="","",IF($F1098="Bernardino Furlan",_xlfn.XLOOKUP(AQ1098,Cadastros!$G$6:$G$90,Cadastros!$H$6:$H$90)*(1-0.18),IF($F1098="Mauro José Salanti",_xlfn.XLOOKUP(AQ1098,Cadastros!$G$6:$G$90,Cadastros!$H$6:$H$90)*(1-0.18),_xlfn.XLOOKUP(AQ1098,Cadastros!$G$6:$G$90,Cadastros!$H$6:$H$90))))</f>
        <v/>
      </c>
      <c r="AT1098" s="168" t="str">
        <f t="shared" si="232"/>
        <v/>
      </c>
      <c r="AU1098" s="168" t="str">
        <f t="shared" si="233"/>
        <v/>
      </c>
      <c r="AV1098" s="227"/>
      <c r="AW1098" s="30"/>
      <c r="AX1098" s="267"/>
      <c r="AY1098" s="267"/>
      <c r="AZ1098" s="29"/>
      <c r="BA1098" s="30"/>
      <c r="BB1098" s="23" t="str" cm="1">
        <f t="array" ref="BB1098">_xlfn.IFS(AW1098="SIM",SUM(K1098,P1098,U1098,Z1098,AE1098,AJ1098,AO1098,AT1098,AX1098,AY1098),F1098&lt;&gt;"",SUM(K1098,P1098,U1098,Z1098,AE1098,AJ1098,,AO1098,AT1098),F1098="","")</f>
        <v/>
      </c>
      <c r="BC1098" s="211" t="str" cm="1">
        <f t="array" ref="BC1098">_xlfn.IFS(E1098="","",G1098&lt;=E1098,BB1098*(1-0.03),G1098&lt;(E1098+8),BB1098,AZ1098="Boleto",BB1098*(1+0.001)^DATEDIF(E1098,G1098,"D"),AZ1098="Cheque",BB1098,AZ1098="Dinheiro","Alterar forma pgto")</f>
        <v/>
      </c>
      <c r="BD1098" s="276" t="str" cm="1">
        <f t="array" ref="BD1098">IF(F1098=0," ",IF(BC1098&lt;BB1098,(_xlfn.IFS(AW1098="SIM",SUM(L1098,Q1098,V1098,AA1098,AF1098,AK1098,AP1098,AU1098)+AX1098/_xlfn.XLOOKUP(_xlfn.XLOOKUP($F1098,Clientes!$B$4:$B$39,Clientes!$C$4:$C$39),Cadastros!$L$6:$L$12,Cadastros!$M$6:$M$12)+IF($F1098="Bernardino Furlan",AY1098/2751.92,IF($F1098="Mauro José Salanti",AY1098/2751.92,AY1098/3356)),F1098&lt;&gt;0,SUM(L1098,Q1098,V1098,AA1098,AF1098,AK1098,AP1098,AU1098)))*(1-0.03),_xlfn.IFS(AW1098="SIM",SUM(L1098,Q1098,V1098,AA1098,AF1098,AK1098,AP1098,AU1098)+AX1098/_xlfn.XLOOKUP(_xlfn.XLOOKUP($F1098,Clientes!$B$4:$B$39,Clientes!$C$4:$C$39),Cadastros!$L$6:$L$12,Cadastros!$M$6:$M$12)+IF($F1098="Bernardino Furlan",AY1098/2751.92,IF($F1098="Mauro José Salanti",AY1098/2751.92,AY1098/3356)),F1098&lt;&gt;0,SUM(L1098,Q1098,V1098,AA1098,AF1098,AK1098,AP1098,AU1098))))</f>
        <v xml:space="preserve"> </v>
      </c>
      <c r="BE1098" s="120"/>
      <c r="BF1098" s="120"/>
      <c r="BG1098" s="120"/>
    </row>
    <row r="1099" spans="1:59" s="3" customFormat="1" x14ac:dyDescent="0.3">
      <c r="A1099" s="15" t="str">
        <f t="shared" si="221"/>
        <v/>
      </c>
      <c r="B1099" s="25"/>
      <c r="C1099" s="26"/>
      <c r="D1099" s="279"/>
      <c r="E1099" s="27"/>
      <c r="F1099" s="28"/>
      <c r="G1099" s="27"/>
      <c r="H1099" s="28"/>
      <c r="I1099" s="28"/>
      <c r="J1099" s="255" t="str">
        <f>IF(H1099="","",(_xlfn.XLOOKUP(H1099,Cadastros!$D$6:$D$90,Cadastros!$E$6:$E$90))*(1-_xlfn.XLOOKUP(_xlfn.XLOOKUP($F1099,Clientes!$B$4:$B$39,Clientes!$C$4:$C$39),Cadastros!$L$6:$L$12,Cadastros!$N$6:$N$12)))</f>
        <v/>
      </c>
      <c r="K1099" s="168" t="str">
        <f t="shared" si="222"/>
        <v/>
      </c>
      <c r="L1099" s="168" t="str">
        <f>IFERROR(K1099/_xlfn.XLOOKUP(_xlfn.XLOOKUP($F1099,Clientes!$B$4:$B$39,Clientes!$C$4:$C$39),Cadastros!$L$6:$L$12,Cadastros!$M$6:$M$12)," ")</f>
        <v xml:space="preserve"> </v>
      </c>
      <c r="M1099" s="28"/>
      <c r="N1099" s="28"/>
      <c r="O1099" s="255" t="str">
        <f>IF(M1099="","",(_xlfn.XLOOKUP(M1099,Cadastros!$D$6:$D$90,Cadastros!$E$6:$E$90))*(1-_xlfn.XLOOKUP(_xlfn.XLOOKUP($F1099,Clientes!$B$4:$B$39,Clientes!$C$4:$C$39),Cadastros!$L$6:$L$12,Cadastros!$N$6:$N$12)))</f>
        <v/>
      </c>
      <c r="P1099" s="168" t="str">
        <f t="shared" si="223"/>
        <v/>
      </c>
      <c r="Q1099" s="168" t="str">
        <f>IFERROR(P1099/_xlfn.XLOOKUP(_xlfn.XLOOKUP($F1099,Clientes!$B$4:$B$39,Clientes!$C$4:$C$39),Cadastros!$L$6:$L$12,Cadastros!$M$6:$M$12)," ")</f>
        <v xml:space="preserve"> </v>
      </c>
      <c r="R1099" s="28"/>
      <c r="S1099" s="28"/>
      <c r="T1099" s="255" t="str">
        <f>IF(R1099="","",(_xlfn.XLOOKUP(R1099,Cadastros!$D$6:$D$90,Cadastros!$E$6:$E$90))*(1-_xlfn.XLOOKUP(_xlfn.XLOOKUP($F1099,Clientes!$B$4:$B$39,Clientes!$C$4:$C$39),Cadastros!$L$6:$L$12,Cadastros!$N$6:$N$12)))</f>
        <v/>
      </c>
      <c r="U1099" s="168" t="str">
        <f t="shared" si="224"/>
        <v/>
      </c>
      <c r="V1099" s="168" t="str">
        <f>IFERROR(U1099/_xlfn.XLOOKUP(_xlfn.XLOOKUP($F1099,Clientes!$B$4:$B$39,Clientes!$C$4:$C$39),Cadastros!$L$6:$L$12,Cadastros!$M$6:$M$12)," ")</f>
        <v xml:space="preserve"> </v>
      </c>
      <c r="W1099" s="28"/>
      <c r="X1099" s="28"/>
      <c r="Y1099" s="255" t="str">
        <f>IF(W1099="","",(_xlfn.XLOOKUP(W1099,Cadastros!$D$6:$D$90,Cadastros!$E$6:$E$90))*(1-_xlfn.XLOOKUP(_xlfn.XLOOKUP($F1099,Clientes!$B$4:$B$39,Clientes!$C$4:$C$39),Cadastros!$L$6:$L$12,Cadastros!$N$6:$N$12)))</f>
        <v/>
      </c>
      <c r="Z1099" s="168" t="str">
        <f t="shared" si="225"/>
        <v/>
      </c>
      <c r="AA1099" s="168" t="str">
        <f>IFERROR(Z1099/_xlfn.XLOOKUP(_xlfn.XLOOKUP($F1099,Clientes!$B$4:$B$39,Clientes!$C$4:$C$39),Cadastros!$L$6:$L$12,Cadastros!$M$6:$M$12)," ")</f>
        <v xml:space="preserve"> </v>
      </c>
      <c r="AB1099" s="28"/>
      <c r="AC1099" s="28"/>
      <c r="AD1099" s="20" t="str">
        <f>IF(AB1099="","",IF($F1099="Bernardino Furlan",_xlfn.XLOOKUP(AB1099,Cadastros!$G$6:$G$90,Cadastros!$H$6:$H$90)*(1-0.18),IF($F1099="Mauro José Salanti",_xlfn.XLOOKUP(AB1099,Cadastros!$G$6:$G$90,Cadastros!$H$6:$H$90)*(1-0.18),_xlfn.XLOOKUP(AB1099,Cadastros!$G$6:$G$90,Cadastros!$H$6:$H$90))))</f>
        <v/>
      </c>
      <c r="AE1099" s="168" t="str">
        <f t="shared" si="226"/>
        <v/>
      </c>
      <c r="AF1099" s="168" t="str">
        <f t="shared" si="227"/>
        <v/>
      </c>
      <c r="AG1099" s="28"/>
      <c r="AH1099" s="28"/>
      <c r="AI1099" s="20" t="str">
        <f>IF(AG1099="","",IF($F1099="Bernardino Furlan",_xlfn.XLOOKUP(AG1099,Cadastros!$G$6:$G$90,Cadastros!$H$6:$H$90)*(1-0.18),IF($F1099="Mauro José Salanti",_xlfn.XLOOKUP(AG1099,Cadastros!$G$6:$G$90,Cadastros!$H$6:$H$90)*(1-0.18),_xlfn.XLOOKUP(AG1099,Cadastros!$G$6:$G$90,Cadastros!$H$6:$H$90))))</f>
        <v/>
      </c>
      <c r="AJ1099" s="168" t="str">
        <f t="shared" si="228"/>
        <v/>
      </c>
      <c r="AK1099" s="168" t="str">
        <f t="shared" si="229"/>
        <v/>
      </c>
      <c r="AL1099" s="28"/>
      <c r="AM1099" s="28"/>
      <c r="AN1099" s="20" t="str">
        <f>IF(AL1099="","",IF($F1099="Bernardino Furlan",_xlfn.XLOOKUP(AL1099,Cadastros!$G$6:$G$90,Cadastros!$H$6:$H$90)*(1-0.18),IF($F1099="Mauro José Salanti",_xlfn.XLOOKUP(AL1099,Cadastros!$G$6:$G$90,Cadastros!$H$6:$H$90)*(1-0.18),_xlfn.XLOOKUP(AL1099,Cadastros!$G$6:$G$90,Cadastros!$H$6:$H$90))))</f>
        <v/>
      </c>
      <c r="AO1099" s="168" t="str">
        <f t="shared" si="230"/>
        <v/>
      </c>
      <c r="AP1099" s="168" t="str">
        <f t="shared" si="231"/>
        <v/>
      </c>
      <c r="AQ1099" s="28"/>
      <c r="AR1099" s="28"/>
      <c r="AS1099" s="20" t="str">
        <f>IF(AQ1099="","",IF($F1099="Bernardino Furlan",_xlfn.XLOOKUP(AQ1099,Cadastros!$G$6:$G$90,Cadastros!$H$6:$H$90)*(1-0.18),IF($F1099="Mauro José Salanti",_xlfn.XLOOKUP(AQ1099,Cadastros!$G$6:$G$90,Cadastros!$H$6:$H$90)*(1-0.18),_xlfn.XLOOKUP(AQ1099,Cadastros!$G$6:$G$90,Cadastros!$H$6:$H$90))))</f>
        <v/>
      </c>
      <c r="AT1099" s="168" t="str">
        <f t="shared" si="232"/>
        <v/>
      </c>
      <c r="AU1099" s="168" t="str">
        <f t="shared" si="233"/>
        <v/>
      </c>
      <c r="AV1099" s="227"/>
      <c r="AW1099" s="30"/>
      <c r="AX1099" s="267"/>
      <c r="AY1099" s="267"/>
      <c r="AZ1099" s="29"/>
      <c r="BA1099" s="30"/>
      <c r="BB1099" s="23" t="str" cm="1">
        <f t="array" ref="BB1099">_xlfn.IFS(AW1099="SIM",SUM(K1099,P1099,U1099,Z1099,AE1099,AJ1099,AO1099,AT1099,AX1099,AY1099),F1099&lt;&gt;"",SUM(K1099,P1099,U1099,Z1099,AE1099,AJ1099,,AO1099,AT1099),F1099="","")</f>
        <v/>
      </c>
      <c r="BC1099" s="211" t="str" cm="1">
        <f t="array" ref="BC1099">_xlfn.IFS(E1099="","",G1099&lt;=E1099,BB1099*(1-0.03),G1099&lt;(E1099+8),BB1099,AZ1099="Boleto",BB1099*(1+0.001)^DATEDIF(E1099,G1099,"D"),AZ1099="Cheque",BB1099,AZ1099="Dinheiro","Alterar forma pgto")</f>
        <v/>
      </c>
      <c r="BD1099" s="276" t="str" cm="1">
        <f t="array" ref="BD1099">IF(F1099=0," ",IF(BC1099&lt;BB1099,(_xlfn.IFS(AW1099="SIM",SUM(L1099,Q1099,V1099,AA1099,AF1099,AK1099,AP1099,AU1099)+AX1099/_xlfn.XLOOKUP(_xlfn.XLOOKUP($F1099,Clientes!$B$4:$B$39,Clientes!$C$4:$C$39),Cadastros!$L$6:$L$12,Cadastros!$M$6:$M$12)+IF($F1099="Bernardino Furlan",AY1099/2751.92,IF($F1099="Mauro José Salanti",AY1099/2751.92,AY1099/3356)),F1099&lt;&gt;0,SUM(L1099,Q1099,V1099,AA1099,AF1099,AK1099,AP1099,AU1099)))*(1-0.03),_xlfn.IFS(AW1099="SIM",SUM(L1099,Q1099,V1099,AA1099,AF1099,AK1099,AP1099,AU1099)+AX1099/_xlfn.XLOOKUP(_xlfn.XLOOKUP($F1099,Clientes!$B$4:$B$39,Clientes!$C$4:$C$39),Cadastros!$L$6:$L$12,Cadastros!$M$6:$M$12)+IF($F1099="Bernardino Furlan",AY1099/2751.92,IF($F1099="Mauro José Salanti",AY1099/2751.92,AY1099/3356)),F1099&lt;&gt;0,SUM(L1099,Q1099,V1099,AA1099,AF1099,AK1099,AP1099,AU1099))))</f>
        <v xml:space="preserve"> </v>
      </c>
      <c r="BE1099" s="120"/>
      <c r="BF1099" s="120"/>
      <c r="BG1099" s="120"/>
    </row>
    <row r="1100" spans="1:59" s="3" customFormat="1" x14ac:dyDescent="0.3">
      <c r="A1100" s="15" t="str">
        <f t="shared" si="221"/>
        <v/>
      </c>
      <c r="B1100" s="25"/>
      <c r="C1100" s="26"/>
      <c r="D1100" s="279"/>
      <c r="E1100" s="27"/>
      <c r="F1100" s="28"/>
      <c r="G1100" s="27"/>
      <c r="H1100" s="28"/>
      <c r="I1100" s="28"/>
      <c r="J1100" s="255" t="str">
        <f>IF(H1100="","",(_xlfn.XLOOKUP(H1100,Cadastros!$D$6:$D$90,Cadastros!$E$6:$E$90))*(1-_xlfn.XLOOKUP(_xlfn.XLOOKUP($F1100,Clientes!$B$4:$B$39,Clientes!$C$4:$C$39),Cadastros!$L$6:$L$12,Cadastros!$N$6:$N$12)))</f>
        <v/>
      </c>
      <c r="K1100" s="168" t="str">
        <f t="shared" si="222"/>
        <v/>
      </c>
      <c r="L1100" s="168" t="str">
        <f>IFERROR(K1100/_xlfn.XLOOKUP(_xlfn.XLOOKUP($F1100,Clientes!$B$4:$B$39,Clientes!$C$4:$C$39),Cadastros!$L$6:$L$12,Cadastros!$M$6:$M$12)," ")</f>
        <v xml:space="preserve"> </v>
      </c>
      <c r="M1100" s="28"/>
      <c r="N1100" s="28"/>
      <c r="O1100" s="255" t="str">
        <f>IF(M1100="","",(_xlfn.XLOOKUP(M1100,Cadastros!$D$6:$D$90,Cadastros!$E$6:$E$90))*(1-_xlfn.XLOOKUP(_xlfn.XLOOKUP($F1100,Clientes!$B$4:$B$39,Clientes!$C$4:$C$39),Cadastros!$L$6:$L$12,Cadastros!$N$6:$N$12)))</f>
        <v/>
      </c>
      <c r="P1100" s="168" t="str">
        <f t="shared" si="223"/>
        <v/>
      </c>
      <c r="Q1100" s="168" t="str">
        <f>IFERROR(P1100/_xlfn.XLOOKUP(_xlfn.XLOOKUP($F1100,Clientes!$B$4:$B$39,Clientes!$C$4:$C$39),Cadastros!$L$6:$L$12,Cadastros!$M$6:$M$12)," ")</f>
        <v xml:space="preserve"> </v>
      </c>
      <c r="R1100" s="28"/>
      <c r="S1100" s="28"/>
      <c r="T1100" s="255" t="str">
        <f>IF(R1100="","",(_xlfn.XLOOKUP(R1100,Cadastros!$D$6:$D$90,Cadastros!$E$6:$E$90))*(1-_xlfn.XLOOKUP(_xlfn.XLOOKUP($F1100,Clientes!$B$4:$B$39,Clientes!$C$4:$C$39),Cadastros!$L$6:$L$12,Cadastros!$N$6:$N$12)))</f>
        <v/>
      </c>
      <c r="U1100" s="168" t="str">
        <f t="shared" si="224"/>
        <v/>
      </c>
      <c r="V1100" s="168" t="str">
        <f>IFERROR(U1100/_xlfn.XLOOKUP(_xlfn.XLOOKUP($F1100,Clientes!$B$4:$B$39,Clientes!$C$4:$C$39),Cadastros!$L$6:$L$12,Cadastros!$M$6:$M$12)," ")</f>
        <v xml:space="preserve"> </v>
      </c>
      <c r="W1100" s="28"/>
      <c r="X1100" s="28"/>
      <c r="Y1100" s="255" t="str">
        <f>IF(W1100="","",(_xlfn.XLOOKUP(W1100,Cadastros!$D$6:$D$90,Cadastros!$E$6:$E$90))*(1-_xlfn.XLOOKUP(_xlfn.XLOOKUP($F1100,Clientes!$B$4:$B$39,Clientes!$C$4:$C$39),Cadastros!$L$6:$L$12,Cadastros!$N$6:$N$12)))</f>
        <v/>
      </c>
      <c r="Z1100" s="168" t="str">
        <f t="shared" si="225"/>
        <v/>
      </c>
      <c r="AA1100" s="168" t="str">
        <f>IFERROR(Z1100/_xlfn.XLOOKUP(_xlfn.XLOOKUP($F1100,Clientes!$B$4:$B$39,Clientes!$C$4:$C$39),Cadastros!$L$6:$L$12,Cadastros!$M$6:$M$12)," ")</f>
        <v xml:space="preserve"> </v>
      </c>
      <c r="AB1100" s="28"/>
      <c r="AC1100" s="28"/>
      <c r="AD1100" s="20" t="str">
        <f>IF(AB1100="","",IF($F1100="Bernardino Furlan",_xlfn.XLOOKUP(AB1100,Cadastros!$G$6:$G$90,Cadastros!$H$6:$H$90)*(1-0.18),IF($F1100="Mauro José Salanti",_xlfn.XLOOKUP(AB1100,Cadastros!$G$6:$G$90,Cadastros!$H$6:$H$90)*(1-0.18),_xlfn.XLOOKUP(AB1100,Cadastros!$G$6:$G$90,Cadastros!$H$6:$H$90))))</f>
        <v/>
      </c>
      <c r="AE1100" s="168" t="str">
        <f t="shared" si="226"/>
        <v/>
      </c>
      <c r="AF1100" s="168" t="str">
        <f t="shared" si="227"/>
        <v/>
      </c>
      <c r="AG1100" s="28"/>
      <c r="AH1100" s="28"/>
      <c r="AI1100" s="20" t="str">
        <f>IF(AG1100="","",IF($F1100="Bernardino Furlan",_xlfn.XLOOKUP(AG1100,Cadastros!$G$6:$G$90,Cadastros!$H$6:$H$90)*(1-0.18),IF($F1100="Mauro José Salanti",_xlfn.XLOOKUP(AG1100,Cadastros!$G$6:$G$90,Cadastros!$H$6:$H$90)*(1-0.18),_xlfn.XLOOKUP(AG1100,Cadastros!$G$6:$G$90,Cadastros!$H$6:$H$90))))</f>
        <v/>
      </c>
      <c r="AJ1100" s="168" t="str">
        <f t="shared" si="228"/>
        <v/>
      </c>
      <c r="AK1100" s="168" t="str">
        <f t="shared" si="229"/>
        <v/>
      </c>
      <c r="AL1100" s="28"/>
      <c r="AM1100" s="28"/>
      <c r="AN1100" s="20" t="str">
        <f>IF(AL1100="","",IF($F1100="Bernardino Furlan",_xlfn.XLOOKUP(AL1100,Cadastros!$G$6:$G$90,Cadastros!$H$6:$H$90)*(1-0.18),IF($F1100="Mauro José Salanti",_xlfn.XLOOKUP(AL1100,Cadastros!$G$6:$G$90,Cadastros!$H$6:$H$90)*(1-0.18),_xlfn.XLOOKUP(AL1100,Cadastros!$G$6:$G$90,Cadastros!$H$6:$H$90))))</f>
        <v/>
      </c>
      <c r="AO1100" s="168" t="str">
        <f t="shared" si="230"/>
        <v/>
      </c>
      <c r="AP1100" s="168" t="str">
        <f t="shared" si="231"/>
        <v/>
      </c>
      <c r="AQ1100" s="28"/>
      <c r="AR1100" s="28"/>
      <c r="AS1100" s="20" t="str">
        <f>IF(AQ1100="","",IF($F1100="Bernardino Furlan",_xlfn.XLOOKUP(AQ1100,Cadastros!$G$6:$G$90,Cadastros!$H$6:$H$90)*(1-0.18),IF($F1100="Mauro José Salanti",_xlfn.XLOOKUP(AQ1100,Cadastros!$G$6:$G$90,Cadastros!$H$6:$H$90)*(1-0.18),_xlfn.XLOOKUP(AQ1100,Cadastros!$G$6:$G$90,Cadastros!$H$6:$H$90))))</f>
        <v/>
      </c>
      <c r="AT1100" s="168" t="str">
        <f t="shared" si="232"/>
        <v/>
      </c>
      <c r="AU1100" s="168" t="str">
        <f t="shared" si="233"/>
        <v/>
      </c>
      <c r="AV1100" s="227"/>
      <c r="AW1100" s="30"/>
      <c r="AX1100" s="267"/>
      <c r="AY1100" s="267"/>
      <c r="AZ1100" s="29"/>
      <c r="BA1100" s="30"/>
      <c r="BB1100" s="23" t="str" cm="1">
        <f t="array" ref="BB1100">_xlfn.IFS(AW1100="SIM",SUM(K1100,P1100,U1100,Z1100,AE1100,AJ1100,AO1100,AT1100,AX1100,AY1100),F1100&lt;&gt;"",SUM(K1100,P1100,U1100,Z1100,AE1100,AJ1100,,AO1100,AT1100),F1100="","")</f>
        <v/>
      </c>
      <c r="BC1100" s="211" t="str" cm="1">
        <f t="array" ref="BC1100">_xlfn.IFS(E1100="","",G1100&lt;=E1100,BB1100*(1-0.03),G1100&lt;(E1100+8),BB1100,AZ1100="Boleto",BB1100*(1+0.001)^DATEDIF(E1100,G1100,"D"),AZ1100="Cheque",BB1100,AZ1100="Dinheiro","Alterar forma pgto")</f>
        <v/>
      </c>
      <c r="BD1100" s="276" t="str" cm="1">
        <f t="array" ref="BD1100">IF(F1100=0," ",IF(BC1100&lt;BB1100,(_xlfn.IFS(AW1100="SIM",SUM(L1100,Q1100,V1100,AA1100,AF1100,AK1100,AP1100,AU1100)+AX1100/_xlfn.XLOOKUP(_xlfn.XLOOKUP($F1100,Clientes!$B$4:$B$39,Clientes!$C$4:$C$39),Cadastros!$L$6:$L$12,Cadastros!$M$6:$M$12)+IF($F1100="Bernardino Furlan",AY1100/2751.92,IF($F1100="Mauro José Salanti",AY1100/2751.92,AY1100/3356)),F1100&lt;&gt;0,SUM(L1100,Q1100,V1100,AA1100,AF1100,AK1100,AP1100,AU1100)))*(1-0.03),_xlfn.IFS(AW1100="SIM",SUM(L1100,Q1100,V1100,AA1100,AF1100,AK1100,AP1100,AU1100)+AX1100/_xlfn.XLOOKUP(_xlfn.XLOOKUP($F1100,Clientes!$B$4:$B$39,Clientes!$C$4:$C$39),Cadastros!$L$6:$L$12,Cadastros!$M$6:$M$12)+IF($F1100="Bernardino Furlan",AY1100/2751.92,IF($F1100="Mauro José Salanti",AY1100/2751.92,AY1100/3356)),F1100&lt;&gt;0,SUM(L1100,Q1100,V1100,AA1100,AF1100,AK1100,AP1100,AU1100))))</f>
        <v xml:space="preserve"> </v>
      </c>
      <c r="BE1100" s="120"/>
      <c r="BF1100" s="120"/>
      <c r="BG1100" s="120"/>
    </row>
    <row r="1101" spans="1:59" s="3" customFormat="1" x14ac:dyDescent="0.3">
      <c r="A1101" s="15" t="str">
        <f t="shared" si="221"/>
        <v/>
      </c>
      <c r="B1101" s="25"/>
      <c r="C1101" s="26"/>
      <c r="D1101" s="279"/>
      <c r="E1101" s="27"/>
      <c r="F1101" s="28"/>
      <c r="G1101" s="27"/>
      <c r="H1101" s="28"/>
      <c r="I1101" s="28"/>
      <c r="J1101" s="255" t="str">
        <f>IF(H1101="","",(_xlfn.XLOOKUP(H1101,Cadastros!$D$6:$D$90,Cadastros!$E$6:$E$90))*(1-_xlfn.XLOOKUP(_xlfn.XLOOKUP($F1101,Clientes!$B$4:$B$39,Clientes!$C$4:$C$39),Cadastros!$L$6:$L$12,Cadastros!$N$6:$N$12)))</f>
        <v/>
      </c>
      <c r="K1101" s="168" t="str">
        <f t="shared" si="222"/>
        <v/>
      </c>
      <c r="L1101" s="168" t="str">
        <f>IFERROR(K1101/_xlfn.XLOOKUP(_xlfn.XLOOKUP($F1101,Clientes!$B$4:$B$39,Clientes!$C$4:$C$39),Cadastros!$L$6:$L$12,Cadastros!$M$6:$M$12)," ")</f>
        <v xml:space="preserve"> </v>
      </c>
      <c r="M1101" s="28"/>
      <c r="N1101" s="28"/>
      <c r="O1101" s="255" t="str">
        <f>IF(M1101="","",(_xlfn.XLOOKUP(M1101,Cadastros!$D$6:$D$90,Cadastros!$E$6:$E$90))*(1-_xlfn.XLOOKUP(_xlfn.XLOOKUP($F1101,Clientes!$B$4:$B$39,Clientes!$C$4:$C$39),Cadastros!$L$6:$L$12,Cadastros!$N$6:$N$12)))</f>
        <v/>
      </c>
      <c r="P1101" s="168" t="str">
        <f t="shared" si="223"/>
        <v/>
      </c>
      <c r="Q1101" s="168" t="str">
        <f>IFERROR(P1101/_xlfn.XLOOKUP(_xlfn.XLOOKUP($F1101,Clientes!$B$4:$B$39,Clientes!$C$4:$C$39),Cadastros!$L$6:$L$12,Cadastros!$M$6:$M$12)," ")</f>
        <v xml:space="preserve"> </v>
      </c>
      <c r="R1101" s="28"/>
      <c r="S1101" s="28"/>
      <c r="T1101" s="255" t="str">
        <f>IF(R1101="","",(_xlfn.XLOOKUP(R1101,Cadastros!$D$6:$D$90,Cadastros!$E$6:$E$90))*(1-_xlfn.XLOOKUP(_xlfn.XLOOKUP($F1101,Clientes!$B$4:$B$39,Clientes!$C$4:$C$39),Cadastros!$L$6:$L$12,Cadastros!$N$6:$N$12)))</f>
        <v/>
      </c>
      <c r="U1101" s="168" t="str">
        <f t="shared" si="224"/>
        <v/>
      </c>
      <c r="V1101" s="168" t="str">
        <f>IFERROR(U1101/_xlfn.XLOOKUP(_xlfn.XLOOKUP($F1101,Clientes!$B$4:$B$39,Clientes!$C$4:$C$39),Cadastros!$L$6:$L$12,Cadastros!$M$6:$M$12)," ")</f>
        <v xml:space="preserve"> </v>
      </c>
      <c r="W1101" s="28"/>
      <c r="X1101" s="28"/>
      <c r="Y1101" s="255" t="str">
        <f>IF(W1101="","",(_xlfn.XLOOKUP(W1101,Cadastros!$D$6:$D$90,Cadastros!$E$6:$E$90))*(1-_xlfn.XLOOKUP(_xlfn.XLOOKUP($F1101,Clientes!$B$4:$B$39,Clientes!$C$4:$C$39),Cadastros!$L$6:$L$12,Cadastros!$N$6:$N$12)))</f>
        <v/>
      </c>
      <c r="Z1101" s="168" t="str">
        <f t="shared" si="225"/>
        <v/>
      </c>
      <c r="AA1101" s="168" t="str">
        <f>IFERROR(Z1101/_xlfn.XLOOKUP(_xlfn.XLOOKUP($F1101,Clientes!$B$4:$B$39,Clientes!$C$4:$C$39),Cadastros!$L$6:$L$12,Cadastros!$M$6:$M$12)," ")</f>
        <v xml:space="preserve"> </v>
      </c>
      <c r="AB1101" s="28"/>
      <c r="AC1101" s="28"/>
      <c r="AD1101" s="20" t="str">
        <f>IF(AB1101="","",IF($F1101="Bernardino Furlan",_xlfn.XLOOKUP(AB1101,Cadastros!$G$6:$G$90,Cadastros!$H$6:$H$90)*(1-0.18),IF($F1101="Mauro José Salanti",_xlfn.XLOOKUP(AB1101,Cadastros!$G$6:$G$90,Cadastros!$H$6:$H$90)*(1-0.18),_xlfn.XLOOKUP(AB1101,Cadastros!$G$6:$G$90,Cadastros!$H$6:$H$90))))</f>
        <v/>
      </c>
      <c r="AE1101" s="168" t="str">
        <f t="shared" si="226"/>
        <v/>
      </c>
      <c r="AF1101" s="168" t="str">
        <f t="shared" si="227"/>
        <v/>
      </c>
      <c r="AG1101" s="28"/>
      <c r="AH1101" s="28"/>
      <c r="AI1101" s="20" t="str">
        <f>IF(AG1101="","",IF($F1101="Bernardino Furlan",_xlfn.XLOOKUP(AG1101,Cadastros!$G$6:$G$90,Cadastros!$H$6:$H$90)*(1-0.18),IF($F1101="Mauro José Salanti",_xlfn.XLOOKUP(AG1101,Cadastros!$G$6:$G$90,Cadastros!$H$6:$H$90)*(1-0.18),_xlfn.XLOOKUP(AG1101,Cadastros!$G$6:$G$90,Cadastros!$H$6:$H$90))))</f>
        <v/>
      </c>
      <c r="AJ1101" s="168" t="str">
        <f t="shared" si="228"/>
        <v/>
      </c>
      <c r="AK1101" s="168" t="str">
        <f t="shared" si="229"/>
        <v/>
      </c>
      <c r="AL1101" s="28"/>
      <c r="AM1101" s="28"/>
      <c r="AN1101" s="20" t="str">
        <f>IF(AL1101="","",IF($F1101="Bernardino Furlan",_xlfn.XLOOKUP(AL1101,Cadastros!$G$6:$G$90,Cadastros!$H$6:$H$90)*(1-0.18),IF($F1101="Mauro José Salanti",_xlfn.XLOOKUP(AL1101,Cadastros!$G$6:$G$90,Cadastros!$H$6:$H$90)*(1-0.18),_xlfn.XLOOKUP(AL1101,Cadastros!$G$6:$G$90,Cadastros!$H$6:$H$90))))</f>
        <v/>
      </c>
      <c r="AO1101" s="168" t="str">
        <f t="shared" si="230"/>
        <v/>
      </c>
      <c r="AP1101" s="168" t="str">
        <f t="shared" si="231"/>
        <v/>
      </c>
      <c r="AQ1101" s="28"/>
      <c r="AR1101" s="28"/>
      <c r="AS1101" s="20" t="str">
        <f>IF(AQ1101="","",IF($F1101="Bernardino Furlan",_xlfn.XLOOKUP(AQ1101,Cadastros!$G$6:$G$90,Cadastros!$H$6:$H$90)*(1-0.18),IF($F1101="Mauro José Salanti",_xlfn.XLOOKUP(AQ1101,Cadastros!$G$6:$G$90,Cadastros!$H$6:$H$90)*(1-0.18),_xlfn.XLOOKUP(AQ1101,Cadastros!$G$6:$G$90,Cadastros!$H$6:$H$90))))</f>
        <v/>
      </c>
      <c r="AT1101" s="168" t="str">
        <f t="shared" si="232"/>
        <v/>
      </c>
      <c r="AU1101" s="168" t="str">
        <f t="shared" si="233"/>
        <v/>
      </c>
      <c r="AV1101" s="227"/>
      <c r="AW1101" s="30"/>
      <c r="AX1101" s="267"/>
      <c r="AY1101" s="267"/>
      <c r="AZ1101" s="29"/>
      <c r="BA1101" s="30"/>
      <c r="BB1101" s="23" t="str" cm="1">
        <f t="array" ref="BB1101">_xlfn.IFS(AW1101="SIM",SUM(K1101,P1101,U1101,Z1101,AE1101,AJ1101,AO1101,AT1101,AX1101,AY1101),F1101&lt;&gt;"",SUM(K1101,P1101,U1101,Z1101,AE1101,AJ1101,,AO1101,AT1101),F1101="","")</f>
        <v/>
      </c>
      <c r="BC1101" s="211" t="str" cm="1">
        <f t="array" ref="BC1101">_xlfn.IFS(E1101="","",G1101&lt;=E1101,BB1101*(1-0.03),G1101&lt;(E1101+8),BB1101,AZ1101="Boleto",BB1101*(1+0.001)^DATEDIF(E1101,G1101,"D"),AZ1101="Cheque",BB1101,AZ1101="Dinheiro","Alterar forma pgto")</f>
        <v/>
      </c>
      <c r="BD1101" s="276" t="str" cm="1">
        <f t="array" ref="BD1101">IF(F1101=0," ",IF(BC1101&lt;BB1101,(_xlfn.IFS(AW1101="SIM",SUM(L1101,Q1101,V1101,AA1101,AF1101,AK1101,AP1101,AU1101)+AX1101/_xlfn.XLOOKUP(_xlfn.XLOOKUP($F1101,Clientes!$B$4:$B$39,Clientes!$C$4:$C$39),Cadastros!$L$6:$L$12,Cadastros!$M$6:$M$12)+IF($F1101="Bernardino Furlan",AY1101/2751.92,IF($F1101="Mauro José Salanti",AY1101/2751.92,AY1101/3356)),F1101&lt;&gt;0,SUM(L1101,Q1101,V1101,AA1101,AF1101,AK1101,AP1101,AU1101)))*(1-0.03),_xlfn.IFS(AW1101="SIM",SUM(L1101,Q1101,V1101,AA1101,AF1101,AK1101,AP1101,AU1101)+AX1101/_xlfn.XLOOKUP(_xlfn.XLOOKUP($F1101,Clientes!$B$4:$B$39,Clientes!$C$4:$C$39),Cadastros!$L$6:$L$12,Cadastros!$M$6:$M$12)+IF($F1101="Bernardino Furlan",AY1101/2751.92,IF($F1101="Mauro José Salanti",AY1101/2751.92,AY1101/3356)),F1101&lt;&gt;0,SUM(L1101,Q1101,V1101,AA1101,AF1101,AK1101,AP1101,AU1101))))</f>
        <v xml:space="preserve"> </v>
      </c>
      <c r="BE1101" s="120"/>
      <c r="BF1101" s="120"/>
      <c r="BG1101" s="120"/>
    </row>
    <row r="1102" spans="1:59" s="3" customFormat="1" x14ac:dyDescent="0.3">
      <c r="A1102" s="15" t="str">
        <f t="shared" si="221"/>
        <v/>
      </c>
      <c r="B1102" s="25"/>
      <c r="C1102" s="26"/>
      <c r="D1102" s="279"/>
      <c r="E1102" s="27"/>
      <c r="F1102" s="28"/>
      <c r="G1102" s="27"/>
      <c r="H1102" s="28"/>
      <c r="I1102" s="28"/>
      <c r="J1102" s="255" t="str">
        <f>IF(H1102="","",(_xlfn.XLOOKUP(H1102,Cadastros!$D$6:$D$90,Cadastros!$E$6:$E$90))*(1-_xlfn.XLOOKUP(_xlfn.XLOOKUP($F1102,Clientes!$B$4:$B$39,Clientes!$C$4:$C$39),Cadastros!$L$6:$L$12,Cadastros!$N$6:$N$12)))</f>
        <v/>
      </c>
      <c r="K1102" s="168" t="str">
        <f t="shared" si="222"/>
        <v/>
      </c>
      <c r="L1102" s="168" t="str">
        <f>IFERROR(K1102/_xlfn.XLOOKUP(_xlfn.XLOOKUP($F1102,Clientes!$B$4:$B$39,Clientes!$C$4:$C$39),Cadastros!$L$6:$L$12,Cadastros!$M$6:$M$12)," ")</f>
        <v xml:space="preserve"> </v>
      </c>
      <c r="M1102" s="28"/>
      <c r="N1102" s="28"/>
      <c r="O1102" s="255" t="str">
        <f>IF(M1102="","",(_xlfn.XLOOKUP(M1102,Cadastros!$D$6:$D$90,Cadastros!$E$6:$E$90))*(1-_xlfn.XLOOKUP(_xlfn.XLOOKUP($F1102,Clientes!$B$4:$B$39,Clientes!$C$4:$C$39),Cadastros!$L$6:$L$12,Cadastros!$N$6:$N$12)))</f>
        <v/>
      </c>
      <c r="P1102" s="168" t="str">
        <f t="shared" si="223"/>
        <v/>
      </c>
      <c r="Q1102" s="168" t="str">
        <f>IFERROR(P1102/_xlfn.XLOOKUP(_xlfn.XLOOKUP($F1102,Clientes!$B$4:$B$39,Clientes!$C$4:$C$39),Cadastros!$L$6:$L$12,Cadastros!$M$6:$M$12)," ")</f>
        <v xml:space="preserve"> </v>
      </c>
      <c r="R1102" s="28"/>
      <c r="S1102" s="28"/>
      <c r="T1102" s="255" t="str">
        <f>IF(R1102="","",(_xlfn.XLOOKUP(R1102,Cadastros!$D$6:$D$90,Cadastros!$E$6:$E$90))*(1-_xlfn.XLOOKUP(_xlfn.XLOOKUP($F1102,Clientes!$B$4:$B$39,Clientes!$C$4:$C$39),Cadastros!$L$6:$L$12,Cadastros!$N$6:$N$12)))</f>
        <v/>
      </c>
      <c r="U1102" s="168" t="str">
        <f t="shared" si="224"/>
        <v/>
      </c>
      <c r="V1102" s="168" t="str">
        <f>IFERROR(U1102/_xlfn.XLOOKUP(_xlfn.XLOOKUP($F1102,Clientes!$B$4:$B$39,Clientes!$C$4:$C$39),Cadastros!$L$6:$L$12,Cadastros!$M$6:$M$12)," ")</f>
        <v xml:space="preserve"> </v>
      </c>
      <c r="W1102" s="28"/>
      <c r="X1102" s="28"/>
      <c r="Y1102" s="255" t="str">
        <f>IF(W1102="","",(_xlfn.XLOOKUP(W1102,Cadastros!$D$6:$D$90,Cadastros!$E$6:$E$90))*(1-_xlfn.XLOOKUP(_xlfn.XLOOKUP($F1102,Clientes!$B$4:$B$39,Clientes!$C$4:$C$39),Cadastros!$L$6:$L$12,Cadastros!$N$6:$N$12)))</f>
        <v/>
      </c>
      <c r="Z1102" s="168" t="str">
        <f t="shared" si="225"/>
        <v/>
      </c>
      <c r="AA1102" s="168" t="str">
        <f>IFERROR(Z1102/_xlfn.XLOOKUP(_xlfn.XLOOKUP($F1102,Clientes!$B$4:$B$39,Clientes!$C$4:$C$39),Cadastros!$L$6:$L$12,Cadastros!$M$6:$M$12)," ")</f>
        <v xml:space="preserve"> </v>
      </c>
      <c r="AB1102" s="28"/>
      <c r="AC1102" s="28"/>
      <c r="AD1102" s="20" t="str">
        <f>IF(AB1102="","",IF($F1102="Bernardino Furlan",_xlfn.XLOOKUP(AB1102,Cadastros!$G$6:$G$90,Cadastros!$H$6:$H$90)*(1-0.18),IF($F1102="Mauro José Salanti",_xlfn.XLOOKUP(AB1102,Cadastros!$G$6:$G$90,Cadastros!$H$6:$H$90)*(1-0.18),_xlfn.XLOOKUP(AB1102,Cadastros!$G$6:$G$90,Cadastros!$H$6:$H$90))))</f>
        <v/>
      </c>
      <c r="AE1102" s="168" t="str">
        <f t="shared" si="226"/>
        <v/>
      </c>
      <c r="AF1102" s="168" t="str">
        <f t="shared" si="227"/>
        <v/>
      </c>
      <c r="AG1102" s="28"/>
      <c r="AH1102" s="28"/>
      <c r="AI1102" s="20" t="str">
        <f>IF(AG1102="","",IF($F1102="Bernardino Furlan",_xlfn.XLOOKUP(AG1102,Cadastros!$G$6:$G$90,Cadastros!$H$6:$H$90)*(1-0.18),IF($F1102="Mauro José Salanti",_xlfn.XLOOKUP(AG1102,Cadastros!$G$6:$G$90,Cadastros!$H$6:$H$90)*(1-0.18),_xlfn.XLOOKUP(AG1102,Cadastros!$G$6:$G$90,Cadastros!$H$6:$H$90))))</f>
        <v/>
      </c>
      <c r="AJ1102" s="168" t="str">
        <f t="shared" si="228"/>
        <v/>
      </c>
      <c r="AK1102" s="168" t="str">
        <f t="shared" si="229"/>
        <v/>
      </c>
      <c r="AL1102" s="28"/>
      <c r="AM1102" s="28"/>
      <c r="AN1102" s="20" t="str">
        <f>IF(AL1102="","",IF($F1102="Bernardino Furlan",_xlfn.XLOOKUP(AL1102,Cadastros!$G$6:$G$90,Cadastros!$H$6:$H$90)*(1-0.18),IF($F1102="Mauro José Salanti",_xlfn.XLOOKUP(AL1102,Cadastros!$G$6:$G$90,Cadastros!$H$6:$H$90)*(1-0.18),_xlfn.XLOOKUP(AL1102,Cadastros!$G$6:$G$90,Cadastros!$H$6:$H$90))))</f>
        <v/>
      </c>
      <c r="AO1102" s="168" t="str">
        <f t="shared" si="230"/>
        <v/>
      </c>
      <c r="AP1102" s="168" t="str">
        <f t="shared" si="231"/>
        <v/>
      </c>
      <c r="AQ1102" s="28"/>
      <c r="AR1102" s="28"/>
      <c r="AS1102" s="20" t="str">
        <f>IF(AQ1102="","",IF($F1102="Bernardino Furlan",_xlfn.XLOOKUP(AQ1102,Cadastros!$G$6:$G$90,Cadastros!$H$6:$H$90)*(1-0.18),IF($F1102="Mauro José Salanti",_xlfn.XLOOKUP(AQ1102,Cadastros!$G$6:$G$90,Cadastros!$H$6:$H$90)*(1-0.18),_xlfn.XLOOKUP(AQ1102,Cadastros!$G$6:$G$90,Cadastros!$H$6:$H$90))))</f>
        <v/>
      </c>
      <c r="AT1102" s="168" t="str">
        <f t="shared" si="232"/>
        <v/>
      </c>
      <c r="AU1102" s="168" t="str">
        <f t="shared" si="233"/>
        <v/>
      </c>
      <c r="AV1102" s="227"/>
      <c r="AW1102" s="30"/>
      <c r="AX1102" s="267"/>
      <c r="AY1102" s="267"/>
      <c r="AZ1102" s="29"/>
      <c r="BA1102" s="30"/>
      <c r="BB1102" s="23" t="str" cm="1">
        <f t="array" ref="BB1102">_xlfn.IFS(AW1102="SIM",SUM(K1102,P1102,U1102,Z1102,AE1102,AJ1102,AO1102,AT1102,AX1102,AY1102),F1102&lt;&gt;"",SUM(K1102,P1102,U1102,Z1102,AE1102,AJ1102,,AO1102,AT1102),F1102="","")</f>
        <v/>
      </c>
      <c r="BC1102" s="211" t="str" cm="1">
        <f t="array" ref="BC1102">_xlfn.IFS(E1102="","",G1102&lt;=E1102,BB1102*(1-0.03),G1102&lt;(E1102+8),BB1102,AZ1102="Boleto",BB1102*(1+0.001)^DATEDIF(E1102,G1102,"D"),AZ1102="Cheque",BB1102,AZ1102="Dinheiro","Alterar forma pgto")</f>
        <v/>
      </c>
      <c r="BD1102" s="276" t="str" cm="1">
        <f t="array" ref="BD1102">IF(F1102=0," ",IF(BC1102&lt;BB1102,(_xlfn.IFS(AW1102="SIM",SUM(L1102,Q1102,V1102,AA1102,AF1102,AK1102,AP1102,AU1102)+AX1102/_xlfn.XLOOKUP(_xlfn.XLOOKUP($F1102,Clientes!$B$4:$B$39,Clientes!$C$4:$C$39),Cadastros!$L$6:$L$12,Cadastros!$M$6:$M$12)+IF($F1102="Bernardino Furlan",AY1102/2751.92,IF($F1102="Mauro José Salanti",AY1102/2751.92,AY1102/3356)),F1102&lt;&gt;0,SUM(L1102,Q1102,V1102,AA1102,AF1102,AK1102,AP1102,AU1102)))*(1-0.03),_xlfn.IFS(AW1102="SIM",SUM(L1102,Q1102,V1102,AA1102,AF1102,AK1102,AP1102,AU1102)+AX1102/_xlfn.XLOOKUP(_xlfn.XLOOKUP($F1102,Clientes!$B$4:$B$39,Clientes!$C$4:$C$39),Cadastros!$L$6:$L$12,Cadastros!$M$6:$M$12)+IF($F1102="Bernardino Furlan",AY1102/2751.92,IF($F1102="Mauro José Salanti",AY1102/2751.92,AY1102/3356)),F1102&lt;&gt;0,SUM(L1102,Q1102,V1102,AA1102,AF1102,AK1102,AP1102,AU1102))))</f>
        <v xml:space="preserve"> </v>
      </c>
      <c r="BE1102" s="120"/>
      <c r="BF1102" s="120"/>
      <c r="BG1102" s="120"/>
    </row>
    <row r="1103" spans="1:59" s="3" customFormat="1" x14ac:dyDescent="0.3">
      <c r="A1103" s="15" t="str">
        <f t="shared" si="221"/>
        <v/>
      </c>
      <c r="B1103" s="25"/>
      <c r="C1103" s="26"/>
      <c r="D1103" s="279"/>
      <c r="E1103" s="27"/>
      <c r="F1103" s="28"/>
      <c r="G1103" s="27"/>
      <c r="H1103" s="28"/>
      <c r="I1103" s="28"/>
      <c r="J1103" s="255" t="str">
        <f>IF(H1103="","",(_xlfn.XLOOKUP(H1103,Cadastros!$D$6:$D$90,Cadastros!$E$6:$E$90))*(1-_xlfn.XLOOKUP(_xlfn.XLOOKUP($F1103,Clientes!$B$4:$B$39,Clientes!$C$4:$C$39),Cadastros!$L$6:$L$12,Cadastros!$N$6:$N$12)))</f>
        <v/>
      </c>
      <c r="K1103" s="168" t="str">
        <f t="shared" si="222"/>
        <v/>
      </c>
      <c r="L1103" s="168" t="str">
        <f>IFERROR(K1103/_xlfn.XLOOKUP(_xlfn.XLOOKUP($F1103,Clientes!$B$4:$B$39,Clientes!$C$4:$C$39),Cadastros!$L$6:$L$12,Cadastros!$M$6:$M$12)," ")</f>
        <v xml:space="preserve"> </v>
      </c>
      <c r="M1103" s="28"/>
      <c r="N1103" s="28"/>
      <c r="O1103" s="255" t="str">
        <f>IF(M1103="","",(_xlfn.XLOOKUP(M1103,Cadastros!$D$6:$D$90,Cadastros!$E$6:$E$90))*(1-_xlfn.XLOOKUP(_xlfn.XLOOKUP($F1103,Clientes!$B$4:$B$39,Clientes!$C$4:$C$39),Cadastros!$L$6:$L$12,Cadastros!$N$6:$N$12)))</f>
        <v/>
      </c>
      <c r="P1103" s="168" t="str">
        <f t="shared" si="223"/>
        <v/>
      </c>
      <c r="Q1103" s="168" t="str">
        <f>IFERROR(P1103/_xlfn.XLOOKUP(_xlfn.XLOOKUP($F1103,Clientes!$B$4:$B$39,Clientes!$C$4:$C$39),Cadastros!$L$6:$L$12,Cadastros!$M$6:$M$12)," ")</f>
        <v xml:space="preserve"> </v>
      </c>
      <c r="R1103" s="28"/>
      <c r="S1103" s="28"/>
      <c r="T1103" s="255" t="str">
        <f>IF(R1103="","",(_xlfn.XLOOKUP(R1103,Cadastros!$D$6:$D$90,Cadastros!$E$6:$E$90))*(1-_xlfn.XLOOKUP(_xlfn.XLOOKUP($F1103,Clientes!$B$4:$B$39,Clientes!$C$4:$C$39),Cadastros!$L$6:$L$12,Cadastros!$N$6:$N$12)))</f>
        <v/>
      </c>
      <c r="U1103" s="168" t="str">
        <f t="shared" si="224"/>
        <v/>
      </c>
      <c r="V1103" s="168" t="str">
        <f>IFERROR(U1103/_xlfn.XLOOKUP(_xlfn.XLOOKUP($F1103,Clientes!$B$4:$B$39,Clientes!$C$4:$C$39),Cadastros!$L$6:$L$12,Cadastros!$M$6:$M$12)," ")</f>
        <v xml:space="preserve"> </v>
      </c>
      <c r="W1103" s="28"/>
      <c r="X1103" s="28"/>
      <c r="Y1103" s="255" t="str">
        <f>IF(W1103="","",(_xlfn.XLOOKUP(W1103,Cadastros!$D$6:$D$90,Cadastros!$E$6:$E$90))*(1-_xlfn.XLOOKUP(_xlfn.XLOOKUP($F1103,Clientes!$B$4:$B$39,Clientes!$C$4:$C$39),Cadastros!$L$6:$L$12,Cadastros!$N$6:$N$12)))</f>
        <v/>
      </c>
      <c r="Z1103" s="168" t="str">
        <f t="shared" si="225"/>
        <v/>
      </c>
      <c r="AA1103" s="168" t="str">
        <f>IFERROR(Z1103/_xlfn.XLOOKUP(_xlfn.XLOOKUP($F1103,Clientes!$B$4:$B$39,Clientes!$C$4:$C$39),Cadastros!$L$6:$L$12,Cadastros!$M$6:$M$12)," ")</f>
        <v xml:space="preserve"> </v>
      </c>
      <c r="AB1103" s="28"/>
      <c r="AC1103" s="28"/>
      <c r="AD1103" s="20" t="str">
        <f>IF(AB1103="","",IF($F1103="Bernardino Furlan",_xlfn.XLOOKUP(AB1103,Cadastros!$G$6:$G$90,Cadastros!$H$6:$H$90)*(1-0.18),IF($F1103="Mauro José Salanti",_xlfn.XLOOKUP(AB1103,Cadastros!$G$6:$G$90,Cadastros!$H$6:$H$90)*(1-0.18),_xlfn.XLOOKUP(AB1103,Cadastros!$G$6:$G$90,Cadastros!$H$6:$H$90))))</f>
        <v/>
      </c>
      <c r="AE1103" s="168" t="str">
        <f t="shared" si="226"/>
        <v/>
      </c>
      <c r="AF1103" s="168" t="str">
        <f t="shared" si="227"/>
        <v/>
      </c>
      <c r="AG1103" s="28"/>
      <c r="AH1103" s="28"/>
      <c r="AI1103" s="20" t="str">
        <f>IF(AG1103="","",IF($F1103="Bernardino Furlan",_xlfn.XLOOKUP(AG1103,Cadastros!$G$6:$G$90,Cadastros!$H$6:$H$90)*(1-0.18),IF($F1103="Mauro José Salanti",_xlfn.XLOOKUP(AG1103,Cadastros!$G$6:$G$90,Cadastros!$H$6:$H$90)*(1-0.18),_xlfn.XLOOKUP(AG1103,Cadastros!$G$6:$G$90,Cadastros!$H$6:$H$90))))</f>
        <v/>
      </c>
      <c r="AJ1103" s="168" t="str">
        <f t="shared" si="228"/>
        <v/>
      </c>
      <c r="AK1103" s="168" t="str">
        <f t="shared" si="229"/>
        <v/>
      </c>
      <c r="AL1103" s="28"/>
      <c r="AM1103" s="28"/>
      <c r="AN1103" s="20" t="str">
        <f>IF(AL1103="","",IF($F1103="Bernardino Furlan",_xlfn.XLOOKUP(AL1103,Cadastros!$G$6:$G$90,Cadastros!$H$6:$H$90)*(1-0.18),IF($F1103="Mauro José Salanti",_xlfn.XLOOKUP(AL1103,Cadastros!$G$6:$G$90,Cadastros!$H$6:$H$90)*(1-0.18),_xlfn.XLOOKUP(AL1103,Cadastros!$G$6:$G$90,Cadastros!$H$6:$H$90))))</f>
        <v/>
      </c>
      <c r="AO1103" s="168" t="str">
        <f t="shared" si="230"/>
        <v/>
      </c>
      <c r="AP1103" s="168" t="str">
        <f t="shared" si="231"/>
        <v/>
      </c>
      <c r="AQ1103" s="28"/>
      <c r="AR1103" s="28"/>
      <c r="AS1103" s="20" t="str">
        <f>IF(AQ1103="","",IF($F1103="Bernardino Furlan",_xlfn.XLOOKUP(AQ1103,Cadastros!$G$6:$G$90,Cadastros!$H$6:$H$90)*(1-0.18),IF($F1103="Mauro José Salanti",_xlfn.XLOOKUP(AQ1103,Cadastros!$G$6:$G$90,Cadastros!$H$6:$H$90)*(1-0.18),_xlfn.XLOOKUP(AQ1103,Cadastros!$G$6:$G$90,Cadastros!$H$6:$H$90))))</f>
        <v/>
      </c>
      <c r="AT1103" s="168" t="str">
        <f t="shared" si="232"/>
        <v/>
      </c>
      <c r="AU1103" s="168" t="str">
        <f t="shared" si="233"/>
        <v/>
      </c>
      <c r="AV1103" s="227"/>
      <c r="AW1103" s="30"/>
      <c r="AX1103" s="267"/>
      <c r="AY1103" s="267"/>
      <c r="AZ1103" s="29"/>
      <c r="BA1103" s="30"/>
      <c r="BB1103" s="23" t="str" cm="1">
        <f t="array" ref="BB1103">_xlfn.IFS(AW1103="SIM",SUM(K1103,P1103,U1103,Z1103,AE1103,AJ1103,AO1103,AT1103,AX1103,AY1103),F1103&lt;&gt;"",SUM(K1103,P1103,U1103,Z1103,AE1103,AJ1103,,AO1103,AT1103),F1103="","")</f>
        <v/>
      </c>
      <c r="BC1103" s="211" t="str" cm="1">
        <f t="array" ref="BC1103">_xlfn.IFS(E1103="","",G1103&lt;=E1103,BB1103*(1-0.03),G1103&lt;(E1103+8),BB1103,AZ1103="Boleto",BB1103*(1+0.001)^DATEDIF(E1103,G1103,"D"),AZ1103="Cheque",BB1103,AZ1103="Dinheiro","Alterar forma pgto")</f>
        <v/>
      </c>
      <c r="BD1103" s="276" t="str" cm="1">
        <f t="array" ref="BD1103">IF(F1103=0," ",IF(BC1103&lt;BB1103,(_xlfn.IFS(AW1103="SIM",SUM(L1103,Q1103,V1103,AA1103,AF1103,AK1103,AP1103,AU1103)+AX1103/_xlfn.XLOOKUP(_xlfn.XLOOKUP($F1103,Clientes!$B$4:$B$39,Clientes!$C$4:$C$39),Cadastros!$L$6:$L$12,Cadastros!$M$6:$M$12)+IF($F1103="Bernardino Furlan",AY1103/2751.92,IF($F1103="Mauro José Salanti",AY1103/2751.92,AY1103/3356)),F1103&lt;&gt;0,SUM(L1103,Q1103,V1103,AA1103,AF1103,AK1103,AP1103,AU1103)))*(1-0.03),_xlfn.IFS(AW1103="SIM",SUM(L1103,Q1103,V1103,AA1103,AF1103,AK1103,AP1103,AU1103)+AX1103/_xlfn.XLOOKUP(_xlfn.XLOOKUP($F1103,Clientes!$B$4:$B$39,Clientes!$C$4:$C$39),Cadastros!$L$6:$L$12,Cadastros!$M$6:$M$12)+IF($F1103="Bernardino Furlan",AY1103/2751.92,IF($F1103="Mauro José Salanti",AY1103/2751.92,AY1103/3356)),F1103&lt;&gt;0,SUM(L1103,Q1103,V1103,AA1103,AF1103,AK1103,AP1103,AU1103))))</f>
        <v xml:space="preserve"> </v>
      </c>
      <c r="BE1103" s="120"/>
      <c r="BF1103" s="120"/>
      <c r="BG1103" s="120"/>
    </row>
    <row r="1104" spans="1:59" s="3" customFormat="1" x14ac:dyDescent="0.3">
      <c r="A1104" s="15" t="str">
        <f t="shared" si="221"/>
        <v/>
      </c>
      <c r="B1104" s="25"/>
      <c r="C1104" s="26"/>
      <c r="D1104" s="279"/>
      <c r="E1104" s="27"/>
      <c r="F1104" s="28"/>
      <c r="G1104" s="27"/>
      <c r="H1104" s="28"/>
      <c r="I1104" s="28"/>
      <c r="J1104" s="255" t="str">
        <f>IF(H1104="","",(_xlfn.XLOOKUP(H1104,Cadastros!$D$6:$D$90,Cadastros!$E$6:$E$90))*(1-_xlfn.XLOOKUP(_xlfn.XLOOKUP($F1104,Clientes!$B$4:$B$39,Clientes!$C$4:$C$39),Cadastros!$L$6:$L$12,Cadastros!$N$6:$N$12)))</f>
        <v/>
      </c>
      <c r="K1104" s="168" t="str">
        <f t="shared" si="222"/>
        <v/>
      </c>
      <c r="L1104" s="168" t="str">
        <f>IFERROR(K1104/_xlfn.XLOOKUP(_xlfn.XLOOKUP($F1104,Clientes!$B$4:$B$39,Clientes!$C$4:$C$39),Cadastros!$L$6:$L$12,Cadastros!$M$6:$M$12)," ")</f>
        <v xml:space="preserve"> </v>
      </c>
      <c r="M1104" s="28"/>
      <c r="N1104" s="28"/>
      <c r="O1104" s="255" t="str">
        <f>IF(M1104="","",(_xlfn.XLOOKUP(M1104,Cadastros!$D$6:$D$90,Cadastros!$E$6:$E$90))*(1-_xlfn.XLOOKUP(_xlfn.XLOOKUP($F1104,Clientes!$B$4:$B$39,Clientes!$C$4:$C$39),Cadastros!$L$6:$L$12,Cadastros!$N$6:$N$12)))</f>
        <v/>
      </c>
      <c r="P1104" s="168" t="str">
        <f t="shared" si="223"/>
        <v/>
      </c>
      <c r="Q1104" s="168" t="str">
        <f>IFERROR(P1104/_xlfn.XLOOKUP(_xlfn.XLOOKUP($F1104,Clientes!$B$4:$B$39,Clientes!$C$4:$C$39),Cadastros!$L$6:$L$12,Cadastros!$M$6:$M$12)," ")</f>
        <v xml:space="preserve"> </v>
      </c>
      <c r="R1104" s="28"/>
      <c r="S1104" s="28"/>
      <c r="T1104" s="255" t="str">
        <f>IF(R1104="","",(_xlfn.XLOOKUP(R1104,Cadastros!$D$6:$D$90,Cadastros!$E$6:$E$90))*(1-_xlfn.XLOOKUP(_xlfn.XLOOKUP($F1104,Clientes!$B$4:$B$39,Clientes!$C$4:$C$39),Cadastros!$L$6:$L$12,Cadastros!$N$6:$N$12)))</f>
        <v/>
      </c>
      <c r="U1104" s="168" t="str">
        <f t="shared" si="224"/>
        <v/>
      </c>
      <c r="V1104" s="168" t="str">
        <f>IFERROR(U1104/_xlfn.XLOOKUP(_xlfn.XLOOKUP($F1104,Clientes!$B$4:$B$39,Clientes!$C$4:$C$39),Cadastros!$L$6:$L$12,Cadastros!$M$6:$M$12)," ")</f>
        <v xml:space="preserve"> </v>
      </c>
      <c r="W1104" s="28"/>
      <c r="X1104" s="28"/>
      <c r="Y1104" s="255" t="str">
        <f>IF(W1104="","",(_xlfn.XLOOKUP(W1104,Cadastros!$D$6:$D$90,Cadastros!$E$6:$E$90))*(1-_xlfn.XLOOKUP(_xlfn.XLOOKUP($F1104,Clientes!$B$4:$B$39,Clientes!$C$4:$C$39),Cadastros!$L$6:$L$12,Cadastros!$N$6:$N$12)))</f>
        <v/>
      </c>
      <c r="Z1104" s="168" t="str">
        <f t="shared" si="225"/>
        <v/>
      </c>
      <c r="AA1104" s="168" t="str">
        <f>IFERROR(Z1104/_xlfn.XLOOKUP(_xlfn.XLOOKUP($F1104,Clientes!$B$4:$B$39,Clientes!$C$4:$C$39),Cadastros!$L$6:$L$12,Cadastros!$M$6:$M$12)," ")</f>
        <v xml:space="preserve"> </v>
      </c>
      <c r="AB1104" s="28"/>
      <c r="AC1104" s="28"/>
      <c r="AD1104" s="20" t="str">
        <f>IF(AB1104="","",IF($F1104="Bernardino Furlan",_xlfn.XLOOKUP(AB1104,Cadastros!$G$6:$G$90,Cadastros!$H$6:$H$90)*(1-0.18),IF($F1104="Mauro José Salanti",_xlfn.XLOOKUP(AB1104,Cadastros!$G$6:$G$90,Cadastros!$H$6:$H$90)*(1-0.18),_xlfn.XLOOKUP(AB1104,Cadastros!$G$6:$G$90,Cadastros!$H$6:$H$90))))</f>
        <v/>
      </c>
      <c r="AE1104" s="168" t="str">
        <f t="shared" si="226"/>
        <v/>
      </c>
      <c r="AF1104" s="168" t="str">
        <f t="shared" si="227"/>
        <v/>
      </c>
      <c r="AG1104" s="28"/>
      <c r="AH1104" s="28"/>
      <c r="AI1104" s="20" t="str">
        <f>IF(AG1104="","",IF($F1104="Bernardino Furlan",_xlfn.XLOOKUP(AG1104,Cadastros!$G$6:$G$90,Cadastros!$H$6:$H$90)*(1-0.18),IF($F1104="Mauro José Salanti",_xlfn.XLOOKUP(AG1104,Cadastros!$G$6:$G$90,Cadastros!$H$6:$H$90)*(1-0.18),_xlfn.XLOOKUP(AG1104,Cadastros!$G$6:$G$90,Cadastros!$H$6:$H$90))))</f>
        <v/>
      </c>
      <c r="AJ1104" s="168" t="str">
        <f t="shared" si="228"/>
        <v/>
      </c>
      <c r="AK1104" s="168" t="str">
        <f t="shared" si="229"/>
        <v/>
      </c>
      <c r="AL1104" s="28"/>
      <c r="AM1104" s="28"/>
      <c r="AN1104" s="20" t="str">
        <f>IF(AL1104="","",IF($F1104="Bernardino Furlan",_xlfn.XLOOKUP(AL1104,Cadastros!$G$6:$G$90,Cadastros!$H$6:$H$90)*(1-0.18),IF($F1104="Mauro José Salanti",_xlfn.XLOOKUP(AL1104,Cadastros!$G$6:$G$90,Cadastros!$H$6:$H$90)*(1-0.18),_xlfn.XLOOKUP(AL1104,Cadastros!$G$6:$G$90,Cadastros!$H$6:$H$90))))</f>
        <v/>
      </c>
      <c r="AO1104" s="168" t="str">
        <f t="shared" si="230"/>
        <v/>
      </c>
      <c r="AP1104" s="168" t="str">
        <f t="shared" si="231"/>
        <v/>
      </c>
      <c r="AQ1104" s="28"/>
      <c r="AR1104" s="28"/>
      <c r="AS1104" s="20" t="str">
        <f>IF(AQ1104="","",IF($F1104="Bernardino Furlan",_xlfn.XLOOKUP(AQ1104,Cadastros!$G$6:$G$90,Cadastros!$H$6:$H$90)*(1-0.18),IF($F1104="Mauro José Salanti",_xlfn.XLOOKUP(AQ1104,Cadastros!$G$6:$G$90,Cadastros!$H$6:$H$90)*(1-0.18),_xlfn.XLOOKUP(AQ1104,Cadastros!$G$6:$G$90,Cadastros!$H$6:$H$90))))</f>
        <v/>
      </c>
      <c r="AT1104" s="168" t="str">
        <f t="shared" si="232"/>
        <v/>
      </c>
      <c r="AU1104" s="168" t="str">
        <f t="shared" si="233"/>
        <v/>
      </c>
      <c r="AV1104" s="227"/>
      <c r="AW1104" s="30"/>
      <c r="AX1104" s="267"/>
      <c r="AY1104" s="267"/>
      <c r="AZ1104" s="29"/>
      <c r="BA1104" s="30"/>
      <c r="BB1104" s="23" t="str" cm="1">
        <f t="array" ref="BB1104">_xlfn.IFS(AW1104="SIM",SUM(K1104,P1104,U1104,Z1104,AE1104,AJ1104,AO1104,AT1104,AX1104,AY1104),F1104&lt;&gt;"",SUM(K1104,P1104,U1104,Z1104,AE1104,AJ1104,,AO1104,AT1104),F1104="","")</f>
        <v/>
      </c>
      <c r="BC1104" s="211" t="str" cm="1">
        <f t="array" ref="BC1104">_xlfn.IFS(E1104="","",G1104&lt;=E1104,BB1104*(1-0.03),G1104&lt;(E1104+8),BB1104,AZ1104="Boleto",BB1104*(1+0.001)^DATEDIF(E1104,G1104,"D"),AZ1104="Cheque",BB1104,AZ1104="Dinheiro","Alterar forma pgto")</f>
        <v/>
      </c>
      <c r="BD1104" s="276" t="str" cm="1">
        <f t="array" ref="BD1104">IF(F1104=0," ",IF(BC1104&lt;BB1104,(_xlfn.IFS(AW1104="SIM",SUM(L1104,Q1104,V1104,AA1104,AF1104,AK1104,AP1104,AU1104)+AX1104/_xlfn.XLOOKUP(_xlfn.XLOOKUP($F1104,Clientes!$B$4:$B$39,Clientes!$C$4:$C$39),Cadastros!$L$6:$L$12,Cadastros!$M$6:$M$12)+IF($F1104="Bernardino Furlan",AY1104/2751.92,IF($F1104="Mauro José Salanti",AY1104/2751.92,AY1104/3356)),F1104&lt;&gt;0,SUM(L1104,Q1104,V1104,AA1104,AF1104,AK1104,AP1104,AU1104)))*(1-0.03),_xlfn.IFS(AW1104="SIM",SUM(L1104,Q1104,V1104,AA1104,AF1104,AK1104,AP1104,AU1104)+AX1104/_xlfn.XLOOKUP(_xlfn.XLOOKUP($F1104,Clientes!$B$4:$B$39,Clientes!$C$4:$C$39),Cadastros!$L$6:$L$12,Cadastros!$M$6:$M$12)+IF($F1104="Bernardino Furlan",AY1104/2751.92,IF($F1104="Mauro José Salanti",AY1104/2751.92,AY1104/3356)),F1104&lt;&gt;0,SUM(L1104,Q1104,V1104,AA1104,AF1104,AK1104,AP1104,AU1104))))</f>
        <v xml:space="preserve"> </v>
      </c>
      <c r="BE1104" s="120"/>
      <c r="BF1104" s="120"/>
      <c r="BG1104" s="120"/>
    </row>
    <row r="1105" spans="1:59" s="3" customFormat="1" x14ac:dyDescent="0.3">
      <c r="A1105" s="15" t="str">
        <f t="shared" si="221"/>
        <v/>
      </c>
      <c r="B1105" s="25"/>
      <c r="C1105" s="26"/>
      <c r="D1105" s="279"/>
      <c r="E1105" s="27"/>
      <c r="F1105" s="28"/>
      <c r="G1105" s="27"/>
      <c r="H1105" s="28"/>
      <c r="I1105" s="28"/>
      <c r="J1105" s="255" t="str">
        <f>IF(H1105="","",(_xlfn.XLOOKUP(H1105,Cadastros!$D$6:$D$90,Cadastros!$E$6:$E$90))*(1-_xlfn.XLOOKUP(_xlfn.XLOOKUP($F1105,Clientes!$B$4:$B$39,Clientes!$C$4:$C$39),Cadastros!$L$6:$L$12,Cadastros!$N$6:$N$12)))</f>
        <v/>
      </c>
      <c r="K1105" s="168" t="str">
        <f t="shared" si="222"/>
        <v/>
      </c>
      <c r="L1105" s="168" t="str">
        <f>IFERROR(K1105/_xlfn.XLOOKUP(_xlfn.XLOOKUP($F1105,Clientes!$B$4:$B$39,Clientes!$C$4:$C$39),Cadastros!$L$6:$L$12,Cadastros!$M$6:$M$12)," ")</f>
        <v xml:space="preserve"> </v>
      </c>
      <c r="M1105" s="28"/>
      <c r="N1105" s="28"/>
      <c r="O1105" s="255" t="str">
        <f>IF(M1105="","",(_xlfn.XLOOKUP(M1105,Cadastros!$D$6:$D$90,Cadastros!$E$6:$E$90))*(1-_xlfn.XLOOKUP(_xlfn.XLOOKUP($F1105,Clientes!$B$4:$B$39,Clientes!$C$4:$C$39),Cadastros!$L$6:$L$12,Cadastros!$N$6:$N$12)))</f>
        <v/>
      </c>
      <c r="P1105" s="168" t="str">
        <f t="shared" si="223"/>
        <v/>
      </c>
      <c r="Q1105" s="168" t="str">
        <f>IFERROR(P1105/_xlfn.XLOOKUP(_xlfn.XLOOKUP($F1105,Clientes!$B$4:$B$39,Clientes!$C$4:$C$39),Cadastros!$L$6:$L$12,Cadastros!$M$6:$M$12)," ")</f>
        <v xml:space="preserve"> </v>
      </c>
      <c r="R1105" s="28"/>
      <c r="S1105" s="28"/>
      <c r="T1105" s="255" t="str">
        <f>IF(R1105="","",(_xlfn.XLOOKUP(R1105,Cadastros!$D$6:$D$90,Cadastros!$E$6:$E$90))*(1-_xlfn.XLOOKUP(_xlfn.XLOOKUP($F1105,Clientes!$B$4:$B$39,Clientes!$C$4:$C$39),Cadastros!$L$6:$L$12,Cadastros!$N$6:$N$12)))</f>
        <v/>
      </c>
      <c r="U1105" s="168" t="str">
        <f t="shared" si="224"/>
        <v/>
      </c>
      <c r="V1105" s="168" t="str">
        <f>IFERROR(U1105/_xlfn.XLOOKUP(_xlfn.XLOOKUP($F1105,Clientes!$B$4:$B$39,Clientes!$C$4:$C$39),Cadastros!$L$6:$L$12,Cadastros!$M$6:$M$12)," ")</f>
        <v xml:space="preserve"> </v>
      </c>
      <c r="W1105" s="28"/>
      <c r="X1105" s="28"/>
      <c r="Y1105" s="255" t="str">
        <f>IF(W1105="","",(_xlfn.XLOOKUP(W1105,Cadastros!$D$6:$D$90,Cadastros!$E$6:$E$90))*(1-_xlfn.XLOOKUP(_xlfn.XLOOKUP($F1105,Clientes!$B$4:$B$39,Clientes!$C$4:$C$39),Cadastros!$L$6:$L$12,Cadastros!$N$6:$N$12)))</f>
        <v/>
      </c>
      <c r="Z1105" s="168" t="str">
        <f t="shared" si="225"/>
        <v/>
      </c>
      <c r="AA1105" s="168" t="str">
        <f>IFERROR(Z1105/_xlfn.XLOOKUP(_xlfn.XLOOKUP($F1105,Clientes!$B$4:$B$39,Clientes!$C$4:$C$39),Cadastros!$L$6:$L$12,Cadastros!$M$6:$M$12)," ")</f>
        <v xml:space="preserve"> </v>
      </c>
      <c r="AB1105" s="28"/>
      <c r="AC1105" s="28"/>
      <c r="AD1105" s="20" t="str">
        <f>IF(AB1105="","",IF($F1105="Bernardino Furlan",_xlfn.XLOOKUP(AB1105,Cadastros!$G$6:$G$90,Cadastros!$H$6:$H$90)*(1-0.18),IF($F1105="Mauro José Salanti",_xlfn.XLOOKUP(AB1105,Cadastros!$G$6:$G$90,Cadastros!$H$6:$H$90)*(1-0.18),_xlfn.XLOOKUP(AB1105,Cadastros!$G$6:$G$90,Cadastros!$H$6:$H$90))))</f>
        <v/>
      </c>
      <c r="AE1105" s="168" t="str">
        <f t="shared" si="226"/>
        <v/>
      </c>
      <c r="AF1105" s="168" t="str">
        <f t="shared" si="227"/>
        <v/>
      </c>
      <c r="AG1105" s="28"/>
      <c r="AH1105" s="28"/>
      <c r="AI1105" s="20" t="str">
        <f>IF(AG1105="","",IF($F1105="Bernardino Furlan",_xlfn.XLOOKUP(AG1105,Cadastros!$G$6:$G$90,Cadastros!$H$6:$H$90)*(1-0.18),IF($F1105="Mauro José Salanti",_xlfn.XLOOKUP(AG1105,Cadastros!$G$6:$G$90,Cadastros!$H$6:$H$90)*(1-0.18),_xlfn.XLOOKUP(AG1105,Cadastros!$G$6:$G$90,Cadastros!$H$6:$H$90))))</f>
        <v/>
      </c>
      <c r="AJ1105" s="168" t="str">
        <f t="shared" si="228"/>
        <v/>
      </c>
      <c r="AK1105" s="168" t="str">
        <f t="shared" si="229"/>
        <v/>
      </c>
      <c r="AL1105" s="28"/>
      <c r="AM1105" s="28"/>
      <c r="AN1105" s="20" t="str">
        <f>IF(AL1105="","",IF($F1105="Bernardino Furlan",_xlfn.XLOOKUP(AL1105,Cadastros!$G$6:$G$90,Cadastros!$H$6:$H$90)*(1-0.18),IF($F1105="Mauro José Salanti",_xlfn.XLOOKUP(AL1105,Cadastros!$G$6:$G$90,Cadastros!$H$6:$H$90)*(1-0.18),_xlfn.XLOOKUP(AL1105,Cadastros!$G$6:$G$90,Cadastros!$H$6:$H$90))))</f>
        <v/>
      </c>
      <c r="AO1105" s="168" t="str">
        <f t="shared" si="230"/>
        <v/>
      </c>
      <c r="AP1105" s="168" t="str">
        <f t="shared" si="231"/>
        <v/>
      </c>
      <c r="AQ1105" s="28"/>
      <c r="AR1105" s="28"/>
      <c r="AS1105" s="20" t="str">
        <f>IF(AQ1105="","",IF($F1105="Bernardino Furlan",_xlfn.XLOOKUP(AQ1105,Cadastros!$G$6:$G$90,Cadastros!$H$6:$H$90)*(1-0.18),IF($F1105="Mauro José Salanti",_xlfn.XLOOKUP(AQ1105,Cadastros!$G$6:$G$90,Cadastros!$H$6:$H$90)*(1-0.18),_xlfn.XLOOKUP(AQ1105,Cadastros!$G$6:$G$90,Cadastros!$H$6:$H$90))))</f>
        <v/>
      </c>
      <c r="AT1105" s="168" t="str">
        <f t="shared" si="232"/>
        <v/>
      </c>
      <c r="AU1105" s="168" t="str">
        <f t="shared" si="233"/>
        <v/>
      </c>
      <c r="AV1105" s="227"/>
      <c r="AW1105" s="30"/>
      <c r="AX1105" s="267"/>
      <c r="AY1105" s="267"/>
      <c r="AZ1105" s="29"/>
      <c r="BA1105" s="30"/>
      <c r="BB1105" s="23" t="str" cm="1">
        <f t="array" ref="BB1105">_xlfn.IFS(AW1105="SIM",SUM(K1105,P1105,U1105,Z1105,AE1105,AJ1105,AO1105,AT1105,AX1105,AY1105),F1105&lt;&gt;"",SUM(K1105,P1105,U1105,Z1105,AE1105,AJ1105,,AO1105,AT1105),F1105="","")</f>
        <v/>
      </c>
      <c r="BC1105" s="211" t="str" cm="1">
        <f t="array" ref="BC1105">_xlfn.IFS(E1105="","",G1105&lt;=E1105,BB1105*(1-0.03),G1105&lt;(E1105+8),BB1105,AZ1105="Boleto",BB1105*(1+0.001)^DATEDIF(E1105,G1105,"D"),AZ1105="Cheque",BB1105,AZ1105="Dinheiro","Alterar forma pgto")</f>
        <v/>
      </c>
      <c r="BD1105" s="276" t="str" cm="1">
        <f t="array" ref="BD1105">IF(F1105=0," ",IF(BC1105&lt;BB1105,(_xlfn.IFS(AW1105="SIM",SUM(L1105,Q1105,V1105,AA1105,AF1105,AK1105,AP1105,AU1105)+AX1105/_xlfn.XLOOKUP(_xlfn.XLOOKUP($F1105,Clientes!$B$4:$B$39,Clientes!$C$4:$C$39),Cadastros!$L$6:$L$12,Cadastros!$M$6:$M$12)+IF($F1105="Bernardino Furlan",AY1105/2751.92,IF($F1105="Mauro José Salanti",AY1105/2751.92,AY1105/3356)),F1105&lt;&gt;0,SUM(L1105,Q1105,V1105,AA1105,AF1105,AK1105,AP1105,AU1105)))*(1-0.03),_xlfn.IFS(AW1105="SIM",SUM(L1105,Q1105,V1105,AA1105,AF1105,AK1105,AP1105,AU1105)+AX1105/_xlfn.XLOOKUP(_xlfn.XLOOKUP($F1105,Clientes!$B$4:$B$39,Clientes!$C$4:$C$39),Cadastros!$L$6:$L$12,Cadastros!$M$6:$M$12)+IF($F1105="Bernardino Furlan",AY1105/2751.92,IF($F1105="Mauro José Salanti",AY1105/2751.92,AY1105/3356)),F1105&lt;&gt;0,SUM(L1105,Q1105,V1105,AA1105,AF1105,AK1105,AP1105,AU1105))))</f>
        <v xml:space="preserve"> </v>
      </c>
      <c r="BE1105" s="120"/>
      <c r="BF1105" s="120"/>
      <c r="BG1105" s="120"/>
    </row>
    <row r="1106" spans="1:59" s="3" customFormat="1" x14ac:dyDescent="0.3">
      <c r="A1106" s="15" t="str">
        <f t="shared" si="221"/>
        <v/>
      </c>
      <c r="B1106" s="25"/>
      <c r="C1106" s="26"/>
      <c r="D1106" s="279"/>
      <c r="E1106" s="27"/>
      <c r="F1106" s="28"/>
      <c r="G1106" s="27"/>
      <c r="H1106" s="28"/>
      <c r="I1106" s="28"/>
      <c r="J1106" s="255" t="str">
        <f>IF(H1106="","",(_xlfn.XLOOKUP(H1106,Cadastros!$D$6:$D$90,Cadastros!$E$6:$E$90))*(1-_xlfn.XLOOKUP(_xlfn.XLOOKUP($F1106,Clientes!$B$4:$B$39,Clientes!$C$4:$C$39),Cadastros!$L$6:$L$12,Cadastros!$N$6:$N$12)))</f>
        <v/>
      </c>
      <c r="K1106" s="168" t="str">
        <f t="shared" si="222"/>
        <v/>
      </c>
      <c r="L1106" s="168" t="str">
        <f>IFERROR(K1106/_xlfn.XLOOKUP(_xlfn.XLOOKUP($F1106,Clientes!$B$4:$B$39,Clientes!$C$4:$C$39),Cadastros!$L$6:$L$12,Cadastros!$M$6:$M$12)," ")</f>
        <v xml:space="preserve"> </v>
      </c>
      <c r="M1106" s="28"/>
      <c r="N1106" s="28"/>
      <c r="O1106" s="255" t="str">
        <f>IF(M1106="","",(_xlfn.XLOOKUP(M1106,Cadastros!$D$6:$D$90,Cadastros!$E$6:$E$90))*(1-_xlfn.XLOOKUP(_xlfn.XLOOKUP($F1106,Clientes!$B$4:$B$39,Clientes!$C$4:$C$39),Cadastros!$L$6:$L$12,Cadastros!$N$6:$N$12)))</f>
        <v/>
      </c>
      <c r="P1106" s="168" t="str">
        <f t="shared" si="223"/>
        <v/>
      </c>
      <c r="Q1106" s="168" t="str">
        <f>IFERROR(P1106/_xlfn.XLOOKUP(_xlfn.XLOOKUP($F1106,Clientes!$B$4:$B$39,Clientes!$C$4:$C$39),Cadastros!$L$6:$L$12,Cadastros!$M$6:$M$12)," ")</f>
        <v xml:space="preserve"> </v>
      </c>
      <c r="R1106" s="28"/>
      <c r="S1106" s="28"/>
      <c r="T1106" s="255" t="str">
        <f>IF(R1106="","",(_xlfn.XLOOKUP(R1106,Cadastros!$D$6:$D$90,Cadastros!$E$6:$E$90))*(1-_xlfn.XLOOKUP(_xlfn.XLOOKUP($F1106,Clientes!$B$4:$B$39,Clientes!$C$4:$C$39),Cadastros!$L$6:$L$12,Cadastros!$N$6:$N$12)))</f>
        <v/>
      </c>
      <c r="U1106" s="168" t="str">
        <f t="shared" si="224"/>
        <v/>
      </c>
      <c r="V1106" s="168" t="str">
        <f>IFERROR(U1106/_xlfn.XLOOKUP(_xlfn.XLOOKUP($F1106,Clientes!$B$4:$B$39,Clientes!$C$4:$C$39),Cadastros!$L$6:$L$12,Cadastros!$M$6:$M$12)," ")</f>
        <v xml:space="preserve"> </v>
      </c>
      <c r="W1106" s="28"/>
      <c r="X1106" s="28"/>
      <c r="Y1106" s="255" t="str">
        <f>IF(W1106="","",(_xlfn.XLOOKUP(W1106,Cadastros!$D$6:$D$90,Cadastros!$E$6:$E$90))*(1-_xlfn.XLOOKUP(_xlfn.XLOOKUP($F1106,Clientes!$B$4:$B$39,Clientes!$C$4:$C$39),Cadastros!$L$6:$L$12,Cadastros!$N$6:$N$12)))</f>
        <v/>
      </c>
      <c r="Z1106" s="168" t="str">
        <f t="shared" si="225"/>
        <v/>
      </c>
      <c r="AA1106" s="168" t="str">
        <f>IFERROR(Z1106/_xlfn.XLOOKUP(_xlfn.XLOOKUP($F1106,Clientes!$B$4:$B$39,Clientes!$C$4:$C$39),Cadastros!$L$6:$L$12,Cadastros!$M$6:$M$12)," ")</f>
        <v xml:space="preserve"> </v>
      </c>
      <c r="AB1106" s="28"/>
      <c r="AC1106" s="28"/>
      <c r="AD1106" s="20" t="str">
        <f>IF(AB1106="","",IF($F1106="Bernardino Furlan",_xlfn.XLOOKUP(AB1106,Cadastros!$G$6:$G$90,Cadastros!$H$6:$H$90)*(1-0.18),IF($F1106="Mauro José Salanti",_xlfn.XLOOKUP(AB1106,Cadastros!$G$6:$G$90,Cadastros!$H$6:$H$90)*(1-0.18),_xlfn.XLOOKUP(AB1106,Cadastros!$G$6:$G$90,Cadastros!$H$6:$H$90))))</f>
        <v/>
      </c>
      <c r="AE1106" s="168" t="str">
        <f t="shared" si="226"/>
        <v/>
      </c>
      <c r="AF1106" s="168" t="str">
        <f t="shared" si="227"/>
        <v/>
      </c>
      <c r="AG1106" s="28"/>
      <c r="AH1106" s="28"/>
      <c r="AI1106" s="20" t="str">
        <f>IF(AG1106="","",IF($F1106="Bernardino Furlan",_xlfn.XLOOKUP(AG1106,Cadastros!$G$6:$G$90,Cadastros!$H$6:$H$90)*(1-0.18),IF($F1106="Mauro José Salanti",_xlfn.XLOOKUP(AG1106,Cadastros!$G$6:$G$90,Cadastros!$H$6:$H$90)*(1-0.18),_xlfn.XLOOKUP(AG1106,Cadastros!$G$6:$G$90,Cadastros!$H$6:$H$90))))</f>
        <v/>
      </c>
      <c r="AJ1106" s="168" t="str">
        <f t="shared" si="228"/>
        <v/>
      </c>
      <c r="AK1106" s="168" t="str">
        <f t="shared" si="229"/>
        <v/>
      </c>
      <c r="AL1106" s="28"/>
      <c r="AM1106" s="28"/>
      <c r="AN1106" s="20" t="str">
        <f>IF(AL1106="","",IF($F1106="Bernardino Furlan",_xlfn.XLOOKUP(AL1106,Cadastros!$G$6:$G$90,Cadastros!$H$6:$H$90)*(1-0.18),IF($F1106="Mauro José Salanti",_xlfn.XLOOKUP(AL1106,Cadastros!$G$6:$G$90,Cadastros!$H$6:$H$90)*(1-0.18),_xlfn.XLOOKUP(AL1106,Cadastros!$G$6:$G$90,Cadastros!$H$6:$H$90))))</f>
        <v/>
      </c>
      <c r="AO1106" s="168" t="str">
        <f t="shared" si="230"/>
        <v/>
      </c>
      <c r="AP1106" s="168" t="str">
        <f t="shared" si="231"/>
        <v/>
      </c>
      <c r="AQ1106" s="28"/>
      <c r="AR1106" s="28"/>
      <c r="AS1106" s="20" t="str">
        <f>IF(AQ1106="","",IF($F1106="Bernardino Furlan",_xlfn.XLOOKUP(AQ1106,Cadastros!$G$6:$G$90,Cadastros!$H$6:$H$90)*(1-0.18),IF($F1106="Mauro José Salanti",_xlfn.XLOOKUP(AQ1106,Cadastros!$G$6:$G$90,Cadastros!$H$6:$H$90)*(1-0.18),_xlfn.XLOOKUP(AQ1106,Cadastros!$G$6:$G$90,Cadastros!$H$6:$H$90))))</f>
        <v/>
      </c>
      <c r="AT1106" s="168" t="str">
        <f t="shared" si="232"/>
        <v/>
      </c>
      <c r="AU1106" s="168" t="str">
        <f t="shared" si="233"/>
        <v/>
      </c>
      <c r="AV1106" s="227"/>
      <c r="AW1106" s="30"/>
      <c r="AX1106" s="267"/>
      <c r="AY1106" s="267"/>
      <c r="AZ1106" s="29"/>
      <c r="BA1106" s="30"/>
      <c r="BB1106" s="23" t="str" cm="1">
        <f t="array" ref="BB1106">_xlfn.IFS(AW1106="SIM",SUM(K1106,P1106,U1106,Z1106,AE1106,AJ1106,AO1106,AT1106,AX1106,AY1106),F1106&lt;&gt;"",SUM(K1106,P1106,U1106,Z1106,AE1106,AJ1106,,AO1106,AT1106),F1106="","")</f>
        <v/>
      </c>
      <c r="BC1106" s="211" t="str" cm="1">
        <f t="array" ref="BC1106">_xlfn.IFS(E1106="","",G1106&lt;=E1106,BB1106*(1-0.03),G1106&lt;(E1106+8),BB1106,AZ1106="Boleto",BB1106*(1+0.001)^DATEDIF(E1106,G1106,"D"),AZ1106="Cheque",BB1106,AZ1106="Dinheiro","Alterar forma pgto")</f>
        <v/>
      </c>
      <c r="BD1106" s="276" t="str" cm="1">
        <f t="array" ref="BD1106">IF(F1106=0," ",IF(BC1106&lt;BB1106,(_xlfn.IFS(AW1106="SIM",SUM(L1106,Q1106,V1106,AA1106,AF1106,AK1106,AP1106,AU1106)+AX1106/_xlfn.XLOOKUP(_xlfn.XLOOKUP($F1106,Clientes!$B$4:$B$39,Clientes!$C$4:$C$39),Cadastros!$L$6:$L$12,Cadastros!$M$6:$M$12)+IF($F1106="Bernardino Furlan",AY1106/2751.92,IF($F1106="Mauro José Salanti",AY1106/2751.92,AY1106/3356)),F1106&lt;&gt;0,SUM(L1106,Q1106,V1106,AA1106,AF1106,AK1106,AP1106,AU1106)))*(1-0.03),_xlfn.IFS(AW1106="SIM",SUM(L1106,Q1106,V1106,AA1106,AF1106,AK1106,AP1106,AU1106)+AX1106/_xlfn.XLOOKUP(_xlfn.XLOOKUP($F1106,Clientes!$B$4:$B$39,Clientes!$C$4:$C$39),Cadastros!$L$6:$L$12,Cadastros!$M$6:$M$12)+IF($F1106="Bernardino Furlan",AY1106/2751.92,IF($F1106="Mauro José Salanti",AY1106/2751.92,AY1106/3356)),F1106&lt;&gt;0,SUM(L1106,Q1106,V1106,AA1106,AF1106,AK1106,AP1106,AU1106))))</f>
        <v xml:space="preserve"> </v>
      </c>
      <c r="BE1106" s="120"/>
      <c r="BF1106" s="120"/>
      <c r="BG1106" s="120"/>
    </row>
    <row r="1107" spans="1:59" s="3" customFormat="1" x14ac:dyDescent="0.3">
      <c r="A1107" s="15" t="str">
        <f t="shared" si="221"/>
        <v/>
      </c>
      <c r="B1107" s="25"/>
      <c r="C1107" s="26"/>
      <c r="D1107" s="279"/>
      <c r="E1107" s="27"/>
      <c r="F1107" s="28"/>
      <c r="G1107" s="27"/>
      <c r="H1107" s="28"/>
      <c r="I1107" s="28"/>
      <c r="J1107" s="255" t="str">
        <f>IF(H1107="","",(_xlfn.XLOOKUP(H1107,Cadastros!$D$6:$D$90,Cadastros!$E$6:$E$90))*(1-_xlfn.XLOOKUP(_xlfn.XLOOKUP($F1107,Clientes!$B$4:$B$39,Clientes!$C$4:$C$39),Cadastros!$L$6:$L$12,Cadastros!$N$6:$N$12)))</f>
        <v/>
      </c>
      <c r="K1107" s="168" t="str">
        <f t="shared" si="222"/>
        <v/>
      </c>
      <c r="L1107" s="168" t="str">
        <f>IFERROR(K1107/_xlfn.XLOOKUP(_xlfn.XLOOKUP($F1107,Clientes!$B$4:$B$39,Clientes!$C$4:$C$39),Cadastros!$L$6:$L$12,Cadastros!$M$6:$M$12)," ")</f>
        <v xml:space="preserve"> </v>
      </c>
      <c r="M1107" s="28"/>
      <c r="N1107" s="28"/>
      <c r="O1107" s="255" t="str">
        <f>IF(M1107="","",(_xlfn.XLOOKUP(M1107,Cadastros!$D$6:$D$90,Cadastros!$E$6:$E$90))*(1-_xlfn.XLOOKUP(_xlfn.XLOOKUP($F1107,Clientes!$B$4:$B$39,Clientes!$C$4:$C$39),Cadastros!$L$6:$L$12,Cadastros!$N$6:$N$12)))</f>
        <v/>
      </c>
      <c r="P1107" s="168" t="str">
        <f t="shared" si="223"/>
        <v/>
      </c>
      <c r="Q1107" s="168" t="str">
        <f>IFERROR(P1107/_xlfn.XLOOKUP(_xlfn.XLOOKUP($F1107,Clientes!$B$4:$B$39,Clientes!$C$4:$C$39),Cadastros!$L$6:$L$12,Cadastros!$M$6:$M$12)," ")</f>
        <v xml:space="preserve"> </v>
      </c>
      <c r="R1107" s="28"/>
      <c r="S1107" s="28"/>
      <c r="T1107" s="255" t="str">
        <f>IF(R1107="","",(_xlfn.XLOOKUP(R1107,Cadastros!$D$6:$D$90,Cadastros!$E$6:$E$90))*(1-_xlfn.XLOOKUP(_xlfn.XLOOKUP($F1107,Clientes!$B$4:$B$39,Clientes!$C$4:$C$39),Cadastros!$L$6:$L$12,Cadastros!$N$6:$N$12)))</f>
        <v/>
      </c>
      <c r="U1107" s="168" t="str">
        <f t="shared" si="224"/>
        <v/>
      </c>
      <c r="V1107" s="168" t="str">
        <f>IFERROR(U1107/_xlfn.XLOOKUP(_xlfn.XLOOKUP($F1107,Clientes!$B$4:$B$39,Clientes!$C$4:$C$39),Cadastros!$L$6:$L$12,Cadastros!$M$6:$M$12)," ")</f>
        <v xml:space="preserve"> </v>
      </c>
      <c r="W1107" s="28"/>
      <c r="X1107" s="28"/>
      <c r="Y1107" s="255" t="str">
        <f>IF(W1107="","",(_xlfn.XLOOKUP(W1107,Cadastros!$D$6:$D$90,Cadastros!$E$6:$E$90))*(1-_xlfn.XLOOKUP(_xlfn.XLOOKUP($F1107,Clientes!$B$4:$B$39,Clientes!$C$4:$C$39),Cadastros!$L$6:$L$12,Cadastros!$N$6:$N$12)))</f>
        <v/>
      </c>
      <c r="Z1107" s="168" t="str">
        <f t="shared" si="225"/>
        <v/>
      </c>
      <c r="AA1107" s="168" t="str">
        <f>IFERROR(Z1107/_xlfn.XLOOKUP(_xlfn.XLOOKUP($F1107,Clientes!$B$4:$B$39,Clientes!$C$4:$C$39),Cadastros!$L$6:$L$12,Cadastros!$M$6:$M$12)," ")</f>
        <v xml:space="preserve"> </v>
      </c>
      <c r="AB1107" s="28"/>
      <c r="AC1107" s="28"/>
      <c r="AD1107" s="20" t="str">
        <f>IF(AB1107="","",IF($F1107="Bernardino Furlan",_xlfn.XLOOKUP(AB1107,Cadastros!$G$6:$G$90,Cadastros!$H$6:$H$90)*(1-0.18),IF($F1107="Mauro José Salanti",_xlfn.XLOOKUP(AB1107,Cadastros!$G$6:$G$90,Cadastros!$H$6:$H$90)*(1-0.18),_xlfn.XLOOKUP(AB1107,Cadastros!$G$6:$G$90,Cadastros!$H$6:$H$90))))</f>
        <v/>
      </c>
      <c r="AE1107" s="168" t="str">
        <f t="shared" si="226"/>
        <v/>
      </c>
      <c r="AF1107" s="168" t="str">
        <f t="shared" si="227"/>
        <v/>
      </c>
      <c r="AG1107" s="28"/>
      <c r="AH1107" s="28"/>
      <c r="AI1107" s="20" t="str">
        <f>IF(AG1107="","",IF($F1107="Bernardino Furlan",_xlfn.XLOOKUP(AG1107,Cadastros!$G$6:$G$90,Cadastros!$H$6:$H$90)*(1-0.18),IF($F1107="Mauro José Salanti",_xlfn.XLOOKUP(AG1107,Cadastros!$G$6:$G$90,Cadastros!$H$6:$H$90)*(1-0.18),_xlfn.XLOOKUP(AG1107,Cadastros!$G$6:$G$90,Cadastros!$H$6:$H$90))))</f>
        <v/>
      </c>
      <c r="AJ1107" s="168" t="str">
        <f t="shared" si="228"/>
        <v/>
      </c>
      <c r="AK1107" s="168" t="str">
        <f t="shared" si="229"/>
        <v/>
      </c>
      <c r="AL1107" s="28"/>
      <c r="AM1107" s="28"/>
      <c r="AN1107" s="20" t="str">
        <f>IF(AL1107="","",IF($F1107="Bernardino Furlan",_xlfn.XLOOKUP(AL1107,Cadastros!$G$6:$G$90,Cadastros!$H$6:$H$90)*(1-0.18),IF($F1107="Mauro José Salanti",_xlfn.XLOOKUP(AL1107,Cadastros!$G$6:$G$90,Cadastros!$H$6:$H$90)*(1-0.18),_xlfn.XLOOKUP(AL1107,Cadastros!$G$6:$G$90,Cadastros!$H$6:$H$90))))</f>
        <v/>
      </c>
      <c r="AO1107" s="168" t="str">
        <f t="shared" si="230"/>
        <v/>
      </c>
      <c r="AP1107" s="168" t="str">
        <f t="shared" si="231"/>
        <v/>
      </c>
      <c r="AQ1107" s="28"/>
      <c r="AR1107" s="28"/>
      <c r="AS1107" s="20" t="str">
        <f>IF(AQ1107="","",IF($F1107="Bernardino Furlan",_xlfn.XLOOKUP(AQ1107,Cadastros!$G$6:$G$90,Cadastros!$H$6:$H$90)*(1-0.18),IF($F1107="Mauro José Salanti",_xlfn.XLOOKUP(AQ1107,Cadastros!$G$6:$G$90,Cadastros!$H$6:$H$90)*(1-0.18),_xlfn.XLOOKUP(AQ1107,Cadastros!$G$6:$G$90,Cadastros!$H$6:$H$90))))</f>
        <v/>
      </c>
      <c r="AT1107" s="168" t="str">
        <f t="shared" si="232"/>
        <v/>
      </c>
      <c r="AU1107" s="168" t="str">
        <f t="shared" si="233"/>
        <v/>
      </c>
      <c r="AV1107" s="227"/>
      <c r="AW1107" s="30"/>
      <c r="AX1107" s="267"/>
      <c r="AY1107" s="267"/>
      <c r="AZ1107" s="29"/>
      <c r="BA1107" s="30"/>
      <c r="BB1107" s="23" t="str" cm="1">
        <f t="array" ref="BB1107">_xlfn.IFS(AW1107="SIM",SUM(K1107,P1107,U1107,Z1107,AE1107,AJ1107,AO1107,AT1107,AX1107,AY1107),F1107&lt;&gt;"",SUM(K1107,P1107,U1107,Z1107,AE1107,AJ1107,,AO1107,AT1107),F1107="","")</f>
        <v/>
      </c>
      <c r="BC1107" s="211" t="str" cm="1">
        <f t="array" ref="BC1107">_xlfn.IFS(E1107="","",G1107&lt;=E1107,BB1107*(1-0.03),G1107&lt;(E1107+8),BB1107,AZ1107="Boleto",BB1107*(1+0.001)^DATEDIF(E1107,G1107,"D"),AZ1107="Cheque",BB1107,AZ1107="Dinheiro","Alterar forma pgto")</f>
        <v/>
      </c>
      <c r="BD1107" s="276" t="str" cm="1">
        <f t="array" ref="BD1107">IF(F1107=0," ",IF(BC1107&lt;BB1107,(_xlfn.IFS(AW1107="SIM",SUM(L1107,Q1107,V1107,AA1107,AF1107,AK1107,AP1107,AU1107)+AX1107/_xlfn.XLOOKUP(_xlfn.XLOOKUP($F1107,Clientes!$B$4:$B$39,Clientes!$C$4:$C$39),Cadastros!$L$6:$L$12,Cadastros!$M$6:$M$12)+IF($F1107="Bernardino Furlan",AY1107/2751.92,IF($F1107="Mauro José Salanti",AY1107/2751.92,AY1107/3356)),F1107&lt;&gt;0,SUM(L1107,Q1107,V1107,AA1107,AF1107,AK1107,AP1107,AU1107)))*(1-0.03),_xlfn.IFS(AW1107="SIM",SUM(L1107,Q1107,V1107,AA1107,AF1107,AK1107,AP1107,AU1107)+AX1107/_xlfn.XLOOKUP(_xlfn.XLOOKUP($F1107,Clientes!$B$4:$B$39,Clientes!$C$4:$C$39),Cadastros!$L$6:$L$12,Cadastros!$M$6:$M$12)+IF($F1107="Bernardino Furlan",AY1107/2751.92,IF($F1107="Mauro José Salanti",AY1107/2751.92,AY1107/3356)),F1107&lt;&gt;0,SUM(L1107,Q1107,V1107,AA1107,AF1107,AK1107,AP1107,AU1107))))</f>
        <v xml:space="preserve"> </v>
      </c>
      <c r="BE1107" s="120"/>
      <c r="BF1107" s="120"/>
      <c r="BG1107" s="120"/>
    </row>
    <row r="1108" spans="1:59" s="3" customFormat="1" x14ac:dyDescent="0.3">
      <c r="A1108" s="15" t="str">
        <f t="shared" si="221"/>
        <v/>
      </c>
      <c r="B1108" s="25"/>
      <c r="C1108" s="26"/>
      <c r="D1108" s="279"/>
      <c r="E1108" s="27"/>
      <c r="F1108" s="28"/>
      <c r="G1108" s="27"/>
      <c r="H1108" s="28"/>
      <c r="I1108" s="28"/>
      <c r="J1108" s="255" t="str">
        <f>IF(H1108="","",(_xlfn.XLOOKUP(H1108,Cadastros!$D$6:$D$90,Cadastros!$E$6:$E$90))*(1-_xlfn.XLOOKUP(_xlfn.XLOOKUP($F1108,Clientes!$B$4:$B$39,Clientes!$C$4:$C$39),Cadastros!$L$6:$L$12,Cadastros!$N$6:$N$12)))</f>
        <v/>
      </c>
      <c r="K1108" s="168" t="str">
        <f t="shared" si="222"/>
        <v/>
      </c>
      <c r="L1108" s="168" t="str">
        <f>IFERROR(K1108/_xlfn.XLOOKUP(_xlfn.XLOOKUP($F1108,Clientes!$B$4:$B$39,Clientes!$C$4:$C$39),Cadastros!$L$6:$L$12,Cadastros!$M$6:$M$12)," ")</f>
        <v xml:space="preserve"> </v>
      </c>
      <c r="M1108" s="28"/>
      <c r="N1108" s="28"/>
      <c r="O1108" s="255" t="str">
        <f>IF(M1108="","",(_xlfn.XLOOKUP(M1108,Cadastros!$D$6:$D$90,Cadastros!$E$6:$E$90))*(1-_xlfn.XLOOKUP(_xlfn.XLOOKUP($F1108,Clientes!$B$4:$B$39,Clientes!$C$4:$C$39),Cadastros!$L$6:$L$12,Cadastros!$N$6:$N$12)))</f>
        <v/>
      </c>
      <c r="P1108" s="168" t="str">
        <f t="shared" si="223"/>
        <v/>
      </c>
      <c r="Q1108" s="168" t="str">
        <f>IFERROR(P1108/_xlfn.XLOOKUP(_xlfn.XLOOKUP($F1108,Clientes!$B$4:$B$39,Clientes!$C$4:$C$39),Cadastros!$L$6:$L$12,Cadastros!$M$6:$M$12)," ")</f>
        <v xml:space="preserve"> </v>
      </c>
      <c r="R1108" s="28"/>
      <c r="S1108" s="28"/>
      <c r="T1108" s="255" t="str">
        <f>IF(R1108="","",(_xlfn.XLOOKUP(R1108,Cadastros!$D$6:$D$90,Cadastros!$E$6:$E$90))*(1-_xlfn.XLOOKUP(_xlfn.XLOOKUP($F1108,Clientes!$B$4:$B$39,Clientes!$C$4:$C$39),Cadastros!$L$6:$L$12,Cadastros!$N$6:$N$12)))</f>
        <v/>
      </c>
      <c r="U1108" s="168" t="str">
        <f t="shared" si="224"/>
        <v/>
      </c>
      <c r="V1108" s="168" t="str">
        <f>IFERROR(U1108/_xlfn.XLOOKUP(_xlfn.XLOOKUP($F1108,Clientes!$B$4:$B$39,Clientes!$C$4:$C$39),Cadastros!$L$6:$L$12,Cadastros!$M$6:$M$12)," ")</f>
        <v xml:space="preserve"> </v>
      </c>
      <c r="W1108" s="28"/>
      <c r="X1108" s="28"/>
      <c r="Y1108" s="255" t="str">
        <f>IF(W1108="","",(_xlfn.XLOOKUP(W1108,Cadastros!$D$6:$D$90,Cadastros!$E$6:$E$90))*(1-_xlfn.XLOOKUP(_xlfn.XLOOKUP($F1108,Clientes!$B$4:$B$39,Clientes!$C$4:$C$39),Cadastros!$L$6:$L$12,Cadastros!$N$6:$N$12)))</f>
        <v/>
      </c>
      <c r="Z1108" s="168" t="str">
        <f t="shared" si="225"/>
        <v/>
      </c>
      <c r="AA1108" s="168" t="str">
        <f>IFERROR(Z1108/_xlfn.XLOOKUP(_xlfn.XLOOKUP($F1108,Clientes!$B$4:$B$39,Clientes!$C$4:$C$39),Cadastros!$L$6:$L$12,Cadastros!$M$6:$M$12)," ")</f>
        <v xml:space="preserve"> </v>
      </c>
      <c r="AB1108" s="28"/>
      <c r="AC1108" s="28"/>
      <c r="AD1108" s="20" t="str">
        <f>IF(AB1108="","",IF($F1108="Bernardino Furlan",_xlfn.XLOOKUP(AB1108,Cadastros!$G$6:$G$90,Cadastros!$H$6:$H$90)*(1-0.18),IF($F1108="Mauro José Salanti",_xlfn.XLOOKUP(AB1108,Cadastros!$G$6:$G$90,Cadastros!$H$6:$H$90)*(1-0.18),_xlfn.XLOOKUP(AB1108,Cadastros!$G$6:$G$90,Cadastros!$H$6:$H$90))))</f>
        <v/>
      </c>
      <c r="AE1108" s="168" t="str">
        <f t="shared" si="226"/>
        <v/>
      </c>
      <c r="AF1108" s="168" t="str">
        <f t="shared" si="227"/>
        <v/>
      </c>
      <c r="AG1108" s="28"/>
      <c r="AH1108" s="28"/>
      <c r="AI1108" s="20" t="str">
        <f>IF(AG1108="","",IF($F1108="Bernardino Furlan",_xlfn.XLOOKUP(AG1108,Cadastros!$G$6:$G$90,Cadastros!$H$6:$H$90)*(1-0.18),IF($F1108="Mauro José Salanti",_xlfn.XLOOKUP(AG1108,Cadastros!$G$6:$G$90,Cadastros!$H$6:$H$90)*(1-0.18),_xlfn.XLOOKUP(AG1108,Cadastros!$G$6:$G$90,Cadastros!$H$6:$H$90))))</f>
        <v/>
      </c>
      <c r="AJ1108" s="168" t="str">
        <f t="shared" si="228"/>
        <v/>
      </c>
      <c r="AK1108" s="168" t="str">
        <f t="shared" si="229"/>
        <v/>
      </c>
      <c r="AL1108" s="28"/>
      <c r="AM1108" s="28"/>
      <c r="AN1108" s="20" t="str">
        <f>IF(AL1108="","",IF($F1108="Bernardino Furlan",_xlfn.XLOOKUP(AL1108,Cadastros!$G$6:$G$90,Cadastros!$H$6:$H$90)*(1-0.18),IF($F1108="Mauro José Salanti",_xlfn.XLOOKUP(AL1108,Cadastros!$G$6:$G$90,Cadastros!$H$6:$H$90)*(1-0.18),_xlfn.XLOOKUP(AL1108,Cadastros!$G$6:$G$90,Cadastros!$H$6:$H$90))))</f>
        <v/>
      </c>
      <c r="AO1108" s="168" t="str">
        <f t="shared" si="230"/>
        <v/>
      </c>
      <c r="AP1108" s="168" t="str">
        <f t="shared" si="231"/>
        <v/>
      </c>
      <c r="AQ1108" s="28"/>
      <c r="AR1108" s="28"/>
      <c r="AS1108" s="20" t="str">
        <f>IF(AQ1108="","",IF($F1108="Bernardino Furlan",_xlfn.XLOOKUP(AQ1108,Cadastros!$G$6:$G$90,Cadastros!$H$6:$H$90)*(1-0.18),IF($F1108="Mauro José Salanti",_xlfn.XLOOKUP(AQ1108,Cadastros!$G$6:$G$90,Cadastros!$H$6:$H$90)*(1-0.18),_xlfn.XLOOKUP(AQ1108,Cadastros!$G$6:$G$90,Cadastros!$H$6:$H$90))))</f>
        <v/>
      </c>
      <c r="AT1108" s="168" t="str">
        <f t="shared" si="232"/>
        <v/>
      </c>
      <c r="AU1108" s="168" t="str">
        <f t="shared" si="233"/>
        <v/>
      </c>
      <c r="AV1108" s="227"/>
      <c r="AW1108" s="30"/>
      <c r="AX1108" s="267"/>
      <c r="AY1108" s="267"/>
      <c r="AZ1108" s="29"/>
      <c r="BA1108" s="30"/>
      <c r="BB1108" s="23" t="str" cm="1">
        <f t="array" ref="BB1108">_xlfn.IFS(AW1108="SIM",SUM(K1108,P1108,U1108,Z1108,AE1108,AJ1108,AO1108,AT1108,AX1108,AY1108),F1108&lt;&gt;"",SUM(K1108,P1108,U1108,Z1108,AE1108,AJ1108,,AO1108,AT1108),F1108="","")</f>
        <v/>
      </c>
      <c r="BC1108" s="211" t="str" cm="1">
        <f t="array" ref="BC1108">_xlfn.IFS(E1108="","",G1108&lt;=E1108,BB1108*(1-0.03),G1108&lt;(E1108+8),BB1108,AZ1108="Boleto",BB1108*(1+0.001)^DATEDIF(E1108,G1108,"D"),AZ1108="Cheque",BB1108,AZ1108="Dinheiro","Alterar forma pgto")</f>
        <v/>
      </c>
      <c r="BD1108" s="276" t="str" cm="1">
        <f t="array" ref="BD1108">IF(F1108=0," ",IF(BC1108&lt;BB1108,(_xlfn.IFS(AW1108="SIM",SUM(L1108,Q1108,V1108,AA1108,AF1108,AK1108,AP1108,AU1108)+AX1108/_xlfn.XLOOKUP(_xlfn.XLOOKUP($F1108,Clientes!$B$4:$B$39,Clientes!$C$4:$C$39),Cadastros!$L$6:$L$12,Cadastros!$M$6:$M$12)+IF($F1108="Bernardino Furlan",AY1108/2751.92,IF($F1108="Mauro José Salanti",AY1108/2751.92,AY1108/3356)),F1108&lt;&gt;0,SUM(L1108,Q1108,V1108,AA1108,AF1108,AK1108,AP1108,AU1108)))*(1-0.03),_xlfn.IFS(AW1108="SIM",SUM(L1108,Q1108,V1108,AA1108,AF1108,AK1108,AP1108,AU1108)+AX1108/_xlfn.XLOOKUP(_xlfn.XLOOKUP($F1108,Clientes!$B$4:$B$39,Clientes!$C$4:$C$39),Cadastros!$L$6:$L$12,Cadastros!$M$6:$M$12)+IF($F1108="Bernardino Furlan",AY1108/2751.92,IF($F1108="Mauro José Salanti",AY1108/2751.92,AY1108/3356)),F1108&lt;&gt;0,SUM(L1108,Q1108,V1108,AA1108,AF1108,AK1108,AP1108,AU1108))))</f>
        <v xml:space="preserve"> </v>
      </c>
      <c r="BE1108" s="120"/>
      <c r="BF1108" s="120"/>
      <c r="BG1108" s="120"/>
    </row>
    <row r="1109" spans="1:59" s="3" customFormat="1" x14ac:dyDescent="0.3">
      <c r="A1109" s="15" t="str">
        <f t="shared" si="221"/>
        <v/>
      </c>
      <c r="B1109" s="25"/>
      <c r="C1109" s="26"/>
      <c r="D1109" s="279"/>
      <c r="E1109" s="27"/>
      <c r="F1109" s="28"/>
      <c r="G1109" s="27"/>
      <c r="H1109" s="28"/>
      <c r="I1109" s="28"/>
      <c r="J1109" s="255" t="str">
        <f>IF(H1109="","",(_xlfn.XLOOKUP(H1109,Cadastros!$D$6:$D$90,Cadastros!$E$6:$E$90))*(1-_xlfn.XLOOKUP(_xlfn.XLOOKUP($F1109,Clientes!$B$4:$B$39,Clientes!$C$4:$C$39),Cadastros!$L$6:$L$12,Cadastros!$N$6:$N$12)))</f>
        <v/>
      </c>
      <c r="K1109" s="168" t="str">
        <f t="shared" si="222"/>
        <v/>
      </c>
      <c r="L1109" s="168" t="str">
        <f>IFERROR(K1109/_xlfn.XLOOKUP(_xlfn.XLOOKUP($F1109,Clientes!$B$4:$B$39,Clientes!$C$4:$C$39),Cadastros!$L$6:$L$12,Cadastros!$M$6:$M$12)," ")</f>
        <v xml:space="preserve"> </v>
      </c>
      <c r="M1109" s="28"/>
      <c r="N1109" s="28"/>
      <c r="O1109" s="255" t="str">
        <f>IF(M1109="","",(_xlfn.XLOOKUP(M1109,Cadastros!$D$6:$D$90,Cadastros!$E$6:$E$90))*(1-_xlfn.XLOOKUP(_xlfn.XLOOKUP($F1109,Clientes!$B$4:$B$39,Clientes!$C$4:$C$39),Cadastros!$L$6:$L$12,Cadastros!$N$6:$N$12)))</f>
        <v/>
      </c>
      <c r="P1109" s="168" t="str">
        <f t="shared" si="223"/>
        <v/>
      </c>
      <c r="Q1109" s="168" t="str">
        <f>IFERROR(P1109/_xlfn.XLOOKUP(_xlfn.XLOOKUP($F1109,Clientes!$B$4:$B$39,Clientes!$C$4:$C$39),Cadastros!$L$6:$L$12,Cadastros!$M$6:$M$12)," ")</f>
        <v xml:space="preserve"> </v>
      </c>
      <c r="R1109" s="28"/>
      <c r="S1109" s="28"/>
      <c r="T1109" s="255" t="str">
        <f>IF(R1109="","",(_xlfn.XLOOKUP(R1109,Cadastros!$D$6:$D$90,Cadastros!$E$6:$E$90))*(1-_xlfn.XLOOKUP(_xlfn.XLOOKUP($F1109,Clientes!$B$4:$B$39,Clientes!$C$4:$C$39),Cadastros!$L$6:$L$12,Cadastros!$N$6:$N$12)))</f>
        <v/>
      </c>
      <c r="U1109" s="168" t="str">
        <f t="shared" si="224"/>
        <v/>
      </c>
      <c r="V1109" s="168" t="str">
        <f>IFERROR(U1109/_xlfn.XLOOKUP(_xlfn.XLOOKUP($F1109,Clientes!$B$4:$B$39,Clientes!$C$4:$C$39),Cadastros!$L$6:$L$12,Cadastros!$M$6:$M$12)," ")</f>
        <v xml:space="preserve"> </v>
      </c>
      <c r="W1109" s="28"/>
      <c r="X1109" s="28"/>
      <c r="Y1109" s="255" t="str">
        <f>IF(W1109="","",(_xlfn.XLOOKUP(W1109,Cadastros!$D$6:$D$90,Cadastros!$E$6:$E$90))*(1-_xlfn.XLOOKUP(_xlfn.XLOOKUP($F1109,Clientes!$B$4:$B$39,Clientes!$C$4:$C$39),Cadastros!$L$6:$L$12,Cadastros!$N$6:$N$12)))</f>
        <v/>
      </c>
      <c r="Z1109" s="168" t="str">
        <f t="shared" si="225"/>
        <v/>
      </c>
      <c r="AA1109" s="168" t="str">
        <f>IFERROR(Z1109/_xlfn.XLOOKUP(_xlfn.XLOOKUP($F1109,Clientes!$B$4:$B$39,Clientes!$C$4:$C$39),Cadastros!$L$6:$L$12,Cadastros!$M$6:$M$12)," ")</f>
        <v xml:space="preserve"> </v>
      </c>
      <c r="AB1109" s="28"/>
      <c r="AC1109" s="28"/>
      <c r="AD1109" s="20" t="str">
        <f>IF(AB1109="","",IF($F1109="Bernardino Furlan",_xlfn.XLOOKUP(AB1109,Cadastros!$G$6:$G$90,Cadastros!$H$6:$H$90)*(1-0.18),IF($F1109="Mauro José Salanti",_xlfn.XLOOKUP(AB1109,Cadastros!$G$6:$G$90,Cadastros!$H$6:$H$90)*(1-0.18),_xlfn.XLOOKUP(AB1109,Cadastros!$G$6:$G$90,Cadastros!$H$6:$H$90))))</f>
        <v/>
      </c>
      <c r="AE1109" s="168" t="str">
        <f t="shared" si="226"/>
        <v/>
      </c>
      <c r="AF1109" s="168" t="str">
        <f t="shared" si="227"/>
        <v/>
      </c>
      <c r="AG1109" s="28"/>
      <c r="AH1109" s="28"/>
      <c r="AI1109" s="20" t="str">
        <f>IF(AG1109="","",IF($F1109="Bernardino Furlan",_xlfn.XLOOKUP(AG1109,Cadastros!$G$6:$G$90,Cadastros!$H$6:$H$90)*(1-0.18),IF($F1109="Mauro José Salanti",_xlfn.XLOOKUP(AG1109,Cadastros!$G$6:$G$90,Cadastros!$H$6:$H$90)*(1-0.18),_xlfn.XLOOKUP(AG1109,Cadastros!$G$6:$G$90,Cadastros!$H$6:$H$90))))</f>
        <v/>
      </c>
      <c r="AJ1109" s="168" t="str">
        <f t="shared" si="228"/>
        <v/>
      </c>
      <c r="AK1109" s="168" t="str">
        <f t="shared" si="229"/>
        <v/>
      </c>
      <c r="AL1109" s="28"/>
      <c r="AM1109" s="28"/>
      <c r="AN1109" s="20" t="str">
        <f>IF(AL1109="","",IF($F1109="Bernardino Furlan",_xlfn.XLOOKUP(AL1109,Cadastros!$G$6:$G$90,Cadastros!$H$6:$H$90)*(1-0.18),IF($F1109="Mauro José Salanti",_xlfn.XLOOKUP(AL1109,Cadastros!$G$6:$G$90,Cadastros!$H$6:$H$90)*(1-0.18),_xlfn.XLOOKUP(AL1109,Cadastros!$G$6:$G$90,Cadastros!$H$6:$H$90))))</f>
        <v/>
      </c>
      <c r="AO1109" s="168" t="str">
        <f t="shared" si="230"/>
        <v/>
      </c>
      <c r="AP1109" s="168" t="str">
        <f t="shared" si="231"/>
        <v/>
      </c>
      <c r="AQ1109" s="28"/>
      <c r="AR1109" s="28"/>
      <c r="AS1109" s="20" t="str">
        <f>IF(AQ1109="","",IF($F1109="Bernardino Furlan",_xlfn.XLOOKUP(AQ1109,Cadastros!$G$6:$G$90,Cadastros!$H$6:$H$90)*(1-0.18),IF($F1109="Mauro José Salanti",_xlfn.XLOOKUP(AQ1109,Cadastros!$G$6:$G$90,Cadastros!$H$6:$H$90)*(1-0.18),_xlfn.XLOOKUP(AQ1109,Cadastros!$G$6:$G$90,Cadastros!$H$6:$H$90))))</f>
        <v/>
      </c>
      <c r="AT1109" s="168" t="str">
        <f t="shared" si="232"/>
        <v/>
      </c>
      <c r="AU1109" s="168" t="str">
        <f t="shared" si="233"/>
        <v/>
      </c>
      <c r="AV1109" s="227"/>
      <c r="AW1109" s="30"/>
      <c r="AX1109" s="267"/>
      <c r="AY1109" s="267"/>
      <c r="AZ1109" s="29"/>
      <c r="BA1109" s="30"/>
      <c r="BB1109" s="23" t="str" cm="1">
        <f t="array" ref="BB1109">_xlfn.IFS(AW1109="SIM",SUM(K1109,P1109,U1109,Z1109,AE1109,AJ1109,AO1109,AT1109,AX1109,AY1109),F1109&lt;&gt;"",SUM(K1109,P1109,U1109,Z1109,AE1109,AJ1109,,AO1109,AT1109),F1109="","")</f>
        <v/>
      </c>
      <c r="BC1109" s="211" t="str" cm="1">
        <f t="array" ref="BC1109">_xlfn.IFS(E1109="","",G1109&lt;=E1109,BB1109*(1-0.03),G1109&lt;(E1109+8),BB1109,AZ1109="Boleto",BB1109*(1+0.001)^DATEDIF(E1109,G1109,"D"),AZ1109="Cheque",BB1109,AZ1109="Dinheiro","Alterar forma pgto")</f>
        <v/>
      </c>
      <c r="BD1109" s="276" t="str" cm="1">
        <f t="array" ref="BD1109">IF(F1109=0," ",IF(BC1109&lt;BB1109,(_xlfn.IFS(AW1109="SIM",SUM(L1109,Q1109,V1109,AA1109,AF1109,AK1109,AP1109,AU1109)+AX1109/_xlfn.XLOOKUP(_xlfn.XLOOKUP($F1109,Clientes!$B$4:$B$39,Clientes!$C$4:$C$39),Cadastros!$L$6:$L$12,Cadastros!$M$6:$M$12)+IF($F1109="Bernardino Furlan",AY1109/2751.92,IF($F1109="Mauro José Salanti",AY1109/2751.92,AY1109/3356)),F1109&lt;&gt;0,SUM(L1109,Q1109,V1109,AA1109,AF1109,AK1109,AP1109,AU1109)))*(1-0.03),_xlfn.IFS(AW1109="SIM",SUM(L1109,Q1109,V1109,AA1109,AF1109,AK1109,AP1109,AU1109)+AX1109/_xlfn.XLOOKUP(_xlfn.XLOOKUP($F1109,Clientes!$B$4:$B$39,Clientes!$C$4:$C$39),Cadastros!$L$6:$L$12,Cadastros!$M$6:$M$12)+IF($F1109="Bernardino Furlan",AY1109/2751.92,IF($F1109="Mauro José Salanti",AY1109/2751.92,AY1109/3356)),F1109&lt;&gt;0,SUM(L1109,Q1109,V1109,AA1109,AF1109,AK1109,AP1109,AU1109))))</f>
        <v xml:space="preserve"> </v>
      </c>
      <c r="BE1109" s="120"/>
      <c r="BF1109" s="120"/>
      <c r="BG1109" s="120"/>
    </row>
    <row r="1110" spans="1:59" s="3" customFormat="1" x14ac:dyDescent="0.3">
      <c r="A1110" s="15" t="str">
        <f t="shared" si="221"/>
        <v/>
      </c>
      <c r="B1110" s="25"/>
      <c r="C1110" s="26"/>
      <c r="D1110" s="279"/>
      <c r="E1110" s="27"/>
      <c r="F1110" s="28"/>
      <c r="G1110" s="27"/>
      <c r="H1110" s="28"/>
      <c r="I1110" s="28"/>
      <c r="J1110" s="255" t="str">
        <f>IF(H1110="","",(_xlfn.XLOOKUP(H1110,Cadastros!$D$6:$D$90,Cadastros!$E$6:$E$90))*(1-_xlfn.XLOOKUP(_xlfn.XLOOKUP($F1110,Clientes!$B$4:$B$39,Clientes!$C$4:$C$39),Cadastros!$L$6:$L$12,Cadastros!$N$6:$N$12)))</f>
        <v/>
      </c>
      <c r="K1110" s="168" t="str">
        <f t="shared" si="222"/>
        <v/>
      </c>
      <c r="L1110" s="168" t="str">
        <f>IFERROR(K1110/_xlfn.XLOOKUP(_xlfn.XLOOKUP($F1110,Clientes!$B$4:$B$39,Clientes!$C$4:$C$39),Cadastros!$L$6:$L$12,Cadastros!$M$6:$M$12)," ")</f>
        <v xml:space="preserve"> </v>
      </c>
      <c r="M1110" s="28"/>
      <c r="N1110" s="28"/>
      <c r="O1110" s="255" t="str">
        <f>IF(M1110="","",(_xlfn.XLOOKUP(M1110,Cadastros!$D$6:$D$90,Cadastros!$E$6:$E$90))*(1-_xlfn.XLOOKUP(_xlfn.XLOOKUP($F1110,Clientes!$B$4:$B$39,Clientes!$C$4:$C$39),Cadastros!$L$6:$L$12,Cadastros!$N$6:$N$12)))</f>
        <v/>
      </c>
      <c r="P1110" s="168" t="str">
        <f t="shared" si="223"/>
        <v/>
      </c>
      <c r="Q1110" s="168" t="str">
        <f>IFERROR(P1110/_xlfn.XLOOKUP(_xlfn.XLOOKUP($F1110,Clientes!$B$4:$B$39,Clientes!$C$4:$C$39),Cadastros!$L$6:$L$12,Cadastros!$M$6:$M$12)," ")</f>
        <v xml:space="preserve"> </v>
      </c>
      <c r="R1110" s="28"/>
      <c r="S1110" s="28"/>
      <c r="T1110" s="255" t="str">
        <f>IF(R1110="","",(_xlfn.XLOOKUP(R1110,Cadastros!$D$6:$D$90,Cadastros!$E$6:$E$90))*(1-_xlfn.XLOOKUP(_xlfn.XLOOKUP($F1110,Clientes!$B$4:$B$39,Clientes!$C$4:$C$39),Cadastros!$L$6:$L$12,Cadastros!$N$6:$N$12)))</f>
        <v/>
      </c>
      <c r="U1110" s="168" t="str">
        <f t="shared" si="224"/>
        <v/>
      </c>
      <c r="V1110" s="168" t="str">
        <f>IFERROR(U1110/_xlfn.XLOOKUP(_xlfn.XLOOKUP($F1110,Clientes!$B$4:$B$39,Clientes!$C$4:$C$39),Cadastros!$L$6:$L$12,Cadastros!$M$6:$M$12)," ")</f>
        <v xml:space="preserve"> </v>
      </c>
      <c r="W1110" s="28"/>
      <c r="X1110" s="28"/>
      <c r="Y1110" s="255" t="str">
        <f>IF(W1110="","",(_xlfn.XLOOKUP(W1110,Cadastros!$D$6:$D$90,Cadastros!$E$6:$E$90))*(1-_xlfn.XLOOKUP(_xlfn.XLOOKUP($F1110,Clientes!$B$4:$B$39,Clientes!$C$4:$C$39),Cadastros!$L$6:$L$12,Cadastros!$N$6:$N$12)))</f>
        <v/>
      </c>
      <c r="Z1110" s="168" t="str">
        <f t="shared" si="225"/>
        <v/>
      </c>
      <c r="AA1110" s="168" t="str">
        <f>IFERROR(Z1110/_xlfn.XLOOKUP(_xlfn.XLOOKUP($F1110,Clientes!$B$4:$B$39,Clientes!$C$4:$C$39),Cadastros!$L$6:$L$12,Cadastros!$M$6:$M$12)," ")</f>
        <v xml:space="preserve"> </v>
      </c>
      <c r="AB1110" s="28"/>
      <c r="AC1110" s="28"/>
      <c r="AD1110" s="20" t="str">
        <f>IF(AB1110="","",IF($F1110="Bernardino Furlan",_xlfn.XLOOKUP(AB1110,Cadastros!$G$6:$G$90,Cadastros!$H$6:$H$90)*(1-0.18),IF($F1110="Mauro José Salanti",_xlfn.XLOOKUP(AB1110,Cadastros!$G$6:$G$90,Cadastros!$H$6:$H$90)*(1-0.18),_xlfn.XLOOKUP(AB1110,Cadastros!$G$6:$G$90,Cadastros!$H$6:$H$90))))</f>
        <v/>
      </c>
      <c r="AE1110" s="168" t="str">
        <f t="shared" si="226"/>
        <v/>
      </c>
      <c r="AF1110" s="168" t="str">
        <f t="shared" si="227"/>
        <v/>
      </c>
      <c r="AG1110" s="28"/>
      <c r="AH1110" s="28"/>
      <c r="AI1110" s="20" t="str">
        <f>IF(AG1110="","",IF($F1110="Bernardino Furlan",_xlfn.XLOOKUP(AG1110,Cadastros!$G$6:$G$90,Cadastros!$H$6:$H$90)*(1-0.18),IF($F1110="Mauro José Salanti",_xlfn.XLOOKUP(AG1110,Cadastros!$G$6:$G$90,Cadastros!$H$6:$H$90)*(1-0.18),_xlfn.XLOOKUP(AG1110,Cadastros!$G$6:$G$90,Cadastros!$H$6:$H$90))))</f>
        <v/>
      </c>
      <c r="AJ1110" s="168" t="str">
        <f t="shared" si="228"/>
        <v/>
      </c>
      <c r="AK1110" s="168" t="str">
        <f t="shared" si="229"/>
        <v/>
      </c>
      <c r="AL1110" s="28"/>
      <c r="AM1110" s="28"/>
      <c r="AN1110" s="20" t="str">
        <f>IF(AL1110="","",IF($F1110="Bernardino Furlan",_xlfn.XLOOKUP(AL1110,Cadastros!$G$6:$G$90,Cadastros!$H$6:$H$90)*(1-0.18),IF($F1110="Mauro José Salanti",_xlfn.XLOOKUP(AL1110,Cadastros!$G$6:$G$90,Cadastros!$H$6:$H$90)*(1-0.18),_xlfn.XLOOKUP(AL1110,Cadastros!$G$6:$G$90,Cadastros!$H$6:$H$90))))</f>
        <v/>
      </c>
      <c r="AO1110" s="168" t="str">
        <f t="shared" si="230"/>
        <v/>
      </c>
      <c r="AP1110" s="168" t="str">
        <f t="shared" si="231"/>
        <v/>
      </c>
      <c r="AQ1110" s="28"/>
      <c r="AR1110" s="28"/>
      <c r="AS1110" s="20" t="str">
        <f>IF(AQ1110="","",IF($F1110="Bernardino Furlan",_xlfn.XLOOKUP(AQ1110,Cadastros!$G$6:$G$90,Cadastros!$H$6:$H$90)*(1-0.18),IF($F1110="Mauro José Salanti",_xlfn.XLOOKUP(AQ1110,Cadastros!$G$6:$G$90,Cadastros!$H$6:$H$90)*(1-0.18),_xlfn.XLOOKUP(AQ1110,Cadastros!$G$6:$G$90,Cadastros!$H$6:$H$90))))</f>
        <v/>
      </c>
      <c r="AT1110" s="168" t="str">
        <f t="shared" si="232"/>
        <v/>
      </c>
      <c r="AU1110" s="168" t="str">
        <f t="shared" si="233"/>
        <v/>
      </c>
      <c r="AV1110" s="227"/>
      <c r="AW1110" s="30"/>
      <c r="AX1110" s="267"/>
      <c r="AY1110" s="267"/>
      <c r="AZ1110" s="29"/>
      <c r="BA1110" s="30"/>
      <c r="BB1110" s="23" t="str" cm="1">
        <f t="array" ref="BB1110">_xlfn.IFS(AW1110="SIM",SUM(K1110,P1110,U1110,Z1110,AE1110,AJ1110,AO1110,AT1110,AX1110,AY1110),F1110&lt;&gt;"",SUM(K1110,P1110,U1110,Z1110,AE1110,AJ1110,,AO1110,AT1110),F1110="","")</f>
        <v/>
      </c>
      <c r="BC1110" s="211" t="str" cm="1">
        <f t="array" ref="BC1110">_xlfn.IFS(E1110="","",G1110&lt;=E1110,BB1110*(1-0.03),G1110&lt;(E1110+8),BB1110,AZ1110="Boleto",BB1110*(1+0.001)^DATEDIF(E1110,G1110,"D"),AZ1110="Cheque",BB1110,AZ1110="Dinheiro","Alterar forma pgto")</f>
        <v/>
      </c>
      <c r="BD1110" s="276" t="str" cm="1">
        <f t="array" ref="BD1110">IF(F1110=0," ",IF(BC1110&lt;BB1110,(_xlfn.IFS(AW1110="SIM",SUM(L1110,Q1110,V1110,AA1110,AF1110,AK1110,AP1110,AU1110)+AX1110/_xlfn.XLOOKUP(_xlfn.XLOOKUP($F1110,Clientes!$B$4:$B$39,Clientes!$C$4:$C$39),Cadastros!$L$6:$L$12,Cadastros!$M$6:$M$12)+IF($F1110="Bernardino Furlan",AY1110/2751.92,IF($F1110="Mauro José Salanti",AY1110/2751.92,AY1110/3356)),F1110&lt;&gt;0,SUM(L1110,Q1110,V1110,AA1110,AF1110,AK1110,AP1110,AU1110)))*(1-0.03),_xlfn.IFS(AW1110="SIM",SUM(L1110,Q1110,V1110,AA1110,AF1110,AK1110,AP1110,AU1110)+AX1110/_xlfn.XLOOKUP(_xlfn.XLOOKUP($F1110,Clientes!$B$4:$B$39,Clientes!$C$4:$C$39),Cadastros!$L$6:$L$12,Cadastros!$M$6:$M$12)+IF($F1110="Bernardino Furlan",AY1110/2751.92,IF($F1110="Mauro José Salanti",AY1110/2751.92,AY1110/3356)),F1110&lt;&gt;0,SUM(L1110,Q1110,V1110,AA1110,AF1110,AK1110,AP1110,AU1110))))</f>
        <v xml:space="preserve"> </v>
      </c>
      <c r="BE1110" s="120"/>
      <c r="BF1110" s="120"/>
      <c r="BG1110" s="120"/>
    </row>
    <row r="1111" spans="1:59" s="3" customFormat="1" x14ac:dyDescent="0.3">
      <c r="A1111" s="15" t="str">
        <f t="shared" si="221"/>
        <v/>
      </c>
      <c r="B1111" s="25"/>
      <c r="C1111" s="26"/>
      <c r="D1111" s="279"/>
      <c r="E1111" s="27"/>
      <c r="F1111" s="28"/>
      <c r="G1111" s="27"/>
      <c r="H1111" s="28"/>
      <c r="I1111" s="28"/>
      <c r="J1111" s="255" t="str">
        <f>IF(H1111="","",(_xlfn.XLOOKUP(H1111,Cadastros!$D$6:$D$90,Cadastros!$E$6:$E$90))*(1-_xlfn.XLOOKUP(_xlfn.XLOOKUP($F1111,Clientes!$B$4:$B$39,Clientes!$C$4:$C$39),Cadastros!$L$6:$L$12,Cadastros!$N$6:$N$12)))</f>
        <v/>
      </c>
      <c r="K1111" s="168" t="str">
        <f t="shared" si="222"/>
        <v/>
      </c>
      <c r="L1111" s="168" t="str">
        <f>IFERROR(K1111/_xlfn.XLOOKUP(_xlfn.XLOOKUP($F1111,Clientes!$B$4:$B$39,Clientes!$C$4:$C$39),Cadastros!$L$6:$L$12,Cadastros!$M$6:$M$12)," ")</f>
        <v xml:space="preserve"> </v>
      </c>
      <c r="M1111" s="28"/>
      <c r="N1111" s="28"/>
      <c r="O1111" s="255" t="str">
        <f>IF(M1111="","",(_xlfn.XLOOKUP(M1111,Cadastros!$D$6:$D$90,Cadastros!$E$6:$E$90))*(1-_xlfn.XLOOKUP(_xlfn.XLOOKUP($F1111,Clientes!$B$4:$B$39,Clientes!$C$4:$C$39),Cadastros!$L$6:$L$12,Cadastros!$N$6:$N$12)))</f>
        <v/>
      </c>
      <c r="P1111" s="168" t="str">
        <f t="shared" si="223"/>
        <v/>
      </c>
      <c r="Q1111" s="168" t="str">
        <f>IFERROR(P1111/_xlfn.XLOOKUP(_xlfn.XLOOKUP($F1111,Clientes!$B$4:$B$39,Clientes!$C$4:$C$39),Cadastros!$L$6:$L$12,Cadastros!$M$6:$M$12)," ")</f>
        <v xml:space="preserve"> </v>
      </c>
      <c r="R1111" s="28"/>
      <c r="S1111" s="28"/>
      <c r="T1111" s="255" t="str">
        <f>IF(R1111="","",(_xlfn.XLOOKUP(R1111,Cadastros!$D$6:$D$90,Cadastros!$E$6:$E$90))*(1-_xlfn.XLOOKUP(_xlfn.XLOOKUP($F1111,Clientes!$B$4:$B$39,Clientes!$C$4:$C$39),Cadastros!$L$6:$L$12,Cadastros!$N$6:$N$12)))</f>
        <v/>
      </c>
      <c r="U1111" s="168" t="str">
        <f t="shared" si="224"/>
        <v/>
      </c>
      <c r="V1111" s="168" t="str">
        <f>IFERROR(U1111/_xlfn.XLOOKUP(_xlfn.XLOOKUP($F1111,Clientes!$B$4:$B$39,Clientes!$C$4:$C$39),Cadastros!$L$6:$L$12,Cadastros!$M$6:$M$12)," ")</f>
        <v xml:space="preserve"> </v>
      </c>
      <c r="W1111" s="28"/>
      <c r="X1111" s="28"/>
      <c r="Y1111" s="255" t="str">
        <f>IF(W1111="","",(_xlfn.XLOOKUP(W1111,Cadastros!$D$6:$D$90,Cadastros!$E$6:$E$90))*(1-_xlfn.XLOOKUP(_xlfn.XLOOKUP($F1111,Clientes!$B$4:$B$39,Clientes!$C$4:$C$39),Cadastros!$L$6:$L$12,Cadastros!$N$6:$N$12)))</f>
        <v/>
      </c>
      <c r="Z1111" s="168" t="str">
        <f t="shared" si="225"/>
        <v/>
      </c>
      <c r="AA1111" s="168" t="str">
        <f>IFERROR(Z1111/_xlfn.XLOOKUP(_xlfn.XLOOKUP($F1111,Clientes!$B$4:$B$39,Clientes!$C$4:$C$39),Cadastros!$L$6:$L$12,Cadastros!$M$6:$M$12)," ")</f>
        <v xml:space="preserve"> </v>
      </c>
      <c r="AB1111" s="28"/>
      <c r="AC1111" s="28"/>
      <c r="AD1111" s="20" t="str">
        <f>IF(AB1111="","",IF($F1111="Bernardino Furlan",_xlfn.XLOOKUP(AB1111,Cadastros!$G$6:$G$90,Cadastros!$H$6:$H$90)*(1-0.18),IF($F1111="Mauro José Salanti",_xlfn.XLOOKUP(AB1111,Cadastros!$G$6:$G$90,Cadastros!$H$6:$H$90)*(1-0.18),_xlfn.XLOOKUP(AB1111,Cadastros!$G$6:$G$90,Cadastros!$H$6:$H$90))))</f>
        <v/>
      </c>
      <c r="AE1111" s="168" t="str">
        <f t="shared" si="226"/>
        <v/>
      </c>
      <c r="AF1111" s="168" t="str">
        <f t="shared" si="227"/>
        <v/>
      </c>
      <c r="AG1111" s="28"/>
      <c r="AH1111" s="28"/>
      <c r="AI1111" s="20" t="str">
        <f>IF(AG1111="","",IF($F1111="Bernardino Furlan",_xlfn.XLOOKUP(AG1111,Cadastros!$G$6:$G$90,Cadastros!$H$6:$H$90)*(1-0.18),IF($F1111="Mauro José Salanti",_xlfn.XLOOKUP(AG1111,Cadastros!$G$6:$G$90,Cadastros!$H$6:$H$90)*(1-0.18),_xlfn.XLOOKUP(AG1111,Cadastros!$G$6:$G$90,Cadastros!$H$6:$H$90))))</f>
        <v/>
      </c>
      <c r="AJ1111" s="168" t="str">
        <f t="shared" si="228"/>
        <v/>
      </c>
      <c r="AK1111" s="168" t="str">
        <f t="shared" si="229"/>
        <v/>
      </c>
      <c r="AL1111" s="28"/>
      <c r="AM1111" s="28"/>
      <c r="AN1111" s="20" t="str">
        <f>IF(AL1111="","",IF($F1111="Bernardino Furlan",_xlfn.XLOOKUP(AL1111,Cadastros!$G$6:$G$90,Cadastros!$H$6:$H$90)*(1-0.18),IF($F1111="Mauro José Salanti",_xlfn.XLOOKUP(AL1111,Cadastros!$G$6:$G$90,Cadastros!$H$6:$H$90)*(1-0.18),_xlfn.XLOOKUP(AL1111,Cadastros!$G$6:$G$90,Cadastros!$H$6:$H$90))))</f>
        <v/>
      </c>
      <c r="AO1111" s="168" t="str">
        <f t="shared" si="230"/>
        <v/>
      </c>
      <c r="AP1111" s="168" t="str">
        <f t="shared" si="231"/>
        <v/>
      </c>
      <c r="AQ1111" s="28"/>
      <c r="AR1111" s="28"/>
      <c r="AS1111" s="20" t="str">
        <f>IF(AQ1111="","",IF($F1111="Bernardino Furlan",_xlfn.XLOOKUP(AQ1111,Cadastros!$G$6:$G$90,Cadastros!$H$6:$H$90)*(1-0.18),IF($F1111="Mauro José Salanti",_xlfn.XLOOKUP(AQ1111,Cadastros!$G$6:$G$90,Cadastros!$H$6:$H$90)*(1-0.18),_xlfn.XLOOKUP(AQ1111,Cadastros!$G$6:$G$90,Cadastros!$H$6:$H$90))))</f>
        <v/>
      </c>
      <c r="AT1111" s="168" t="str">
        <f t="shared" si="232"/>
        <v/>
      </c>
      <c r="AU1111" s="168" t="str">
        <f t="shared" si="233"/>
        <v/>
      </c>
      <c r="AV1111" s="227"/>
      <c r="AW1111" s="30"/>
      <c r="AX1111" s="267"/>
      <c r="AY1111" s="267"/>
      <c r="AZ1111" s="29"/>
      <c r="BA1111" s="30"/>
      <c r="BB1111" s="23" t="str" cm="1">
        <f t="array" ref="BB1111">_xlfn.IFS(AW1111="SIM",SUM(K1111,P1111,U1111,Z1111,AE1111,AJ1111,AO1111,AT1111,AX1111,AY1111),F1111&lt;&gt;"",SUM(K1111,P1111,U1111,Z1111,AE1111,AJ1111,,AO1111,AT1111),F1111="","")</f>
        <v/>
      </c>
      <c r="BC1111" s="211" t="str" cm="1">
        <f t="array" ref="BC1111">_xlfn.IFS(E1111="","",G1111&lt;=E1111,BB1111*(1-0.03),G1111&lt;(E1111+8),BB1111,AZ1111="Boleto",BB1111*(1+0.001)^DATEDIF(E1111,G1111,"D"),AZ1111="Cheque",BB1111,AZ1111="Dinheiro","Alterar forma pgto")</f>
        <v/>
      </c>
      <c r="BD1111" s="276" t="str" cm="1">
        <f t="array" ref="BD1111">IF(F1111=0," ",IF(BC1111&lt;BB1111,(_xlfn.IFS(AW1111="SIM",SUM(L1111,Q1111,V1111,AA1111,AF1111,AK1111,AP1111,AU1111)+AX1111/_xlfn.XLOOKUP(_xlfn.XLOOKUP($F1111,Clientes!$B$4:$B$39,Clientes!$C$4:$C$39),Cadastros!$L$6:$L$12,Cadastros!$M$6:$M$12)+IF($F1111="Bernardino Furlan",AY1111/2751.92,IF($F1111="Mauro José Salanti",AY1111/2751.92,AY1111/3356)),F1111&lt;&gt;0,SUM(L1111,Q1111,V1111,AA1111,AF1111,AK1111,AP1111,AU1111)))*(1-0.03),_xlfn.IFS(AW1111="SIM",SUM(L1111,Q1111,V1111,AA1111,AF1111,AK1111,AP1111,AU1111)+AX1111/_xlfn.XLOOKUP(_xlfn.XLOOKUP($F1111,Clientes!$B$4:$B$39,Clientes!$C$4:$C$39),Cadastros!$L$6:$L$12,Cadastros!$M$6:$M$12)+IF($F1111="Bernardino Furlan",AY1111/2751.92,IF($F1111="Mauro José Salanti",AY1111/2751.92,AY1111/3356)),F1111&lt;&gt;0,SUM(L1111,Q1111,V1111,AA1111,AF1111,AK1111,AP1111,AU1111))))</f>
        <v xml:space="preserve"> </v>
      </c>
      <c r="BE1111" s="120"/>
      <c r="BF1111" s="120"/>
      <c r="BG1111" s="120"/>
    </row>
    <row r="1112" spans="1:59" s="3" customFormat="1" x14ac:dyDescent="0.3">
      <c r="A1112" s="15" t="str">
        <f t="shared" si="221"/>
        <v/>
      </c>
      <c r="B1112" s="25"/>
      <c r="C1112" s="26"/>
      <c r="D1112" s="279"/>
      <c r="E1112" s="27"/>
      <c r="F1112" s="28"/>
      <c r="G1112" s="27"/>
      <c r="H1112" s="28"/>
      <c r="I1112" s="28"/>
      <c r="J1112" s="255" t="str">
        <f>IF(H1112="","",(_xlfn.XLOOKUP(H1112,Cadastros!$D$6:$D$90,Cadastros!$E$6:$E$90))*(1-_xlfn.XLOOKUP(_xlfn.XLOOKUP($F1112,Clientes!$B$4:$B$39,Clientes!$C$4:$C$39),Cadastros!$L$6:$L$12,Cadastros!$N$6:$N$12)))</f>
        <v/>
      </c>
      <c r="K1112" s="168" t="str">
        <f t="shared" si="222"/>
        <v/>
      </c>
      <c r="L1112" s="168" t="str">
        <f>IFERROR(K1112/_xlfn.XLOOKUP(_xlfn.XLOOKUP($F1112,Clientes!$B$4:$B$39,Clientes!$C$4:$C$39),Cadastros!$L$6:$L$12,Cadastros!$M$6:$M$12)," ")</f>
        <v xml:space="preserve"> </v>
      </c>
      <c r="M1112" s="28"/>
      <c r="N1112" s="28"/>
      <c r="O1112" s="255" t="str">
        <f>IF(M1112="","",(_xlfn.XLOOKUP(M1112,Cadastros!$D$6:$D$90,Cadastros!$E$6:$E$90))*(1-_xlfn.XLOOKUP(_xlfn.XLOOKUP($F1112,Clientes!$B$4:$B$39,Clientes!$C$4:$C$39),Cadastros!$L$6:$L$12,Cadastros!$N$6:$N$12)))</f>
        <v/>
      </c>
      <c r="P1112" s="168" t="str">
        <f t="shared" si="223"/>
        <v/>
      </c>
      <c r="Q1112" s="168" t="str">
        <f>IFERROR(P1112/_xlfn.XLOOKUP(_xlfn.XLOOKUP($F1112,Clientes!$B$4:$B$39,Clientes!$C$4:$C$39),Cadastros!$L$6:$L$12,Cadastros!$M$6:$M$12)," ")</f>
        <v xml:space="preserve"> </v>
      </c>
      <c r="R1112" s="28"/>
      <c r="S1112" s="28"/>
      <c r="T1112" s="255" t="str">
        <f>IF(R1112="","",(_xlfn.XLOOKUP(R1112,Cadastros!$D$6:$D$90,Cadastros!$E$6:$E$90))*(1-_xlfn.XLOOKUP(_xlfn.XLOOKUP($F1112,Clientes!$B$4:$B$39,Clientes!$C$4:$C$39),Cadastros!$L$6:$L$12,Cadastros!$N$6:$N$12)))</f>
        <v/>
      </c>
      <c r="U1112" s="168" t="str">
        <f t="shared" si="224"/>
        <v/>
      </c>
      <c r="V1112" s="168" t="str">
        <f>IFERROR(U1112/_xlfn.XLOOKUP(_xlfn.XLOOKUP($F1112,Clientes!$B$4:$B$39,Clientes!$C$4:$C$39),Cadastros!$L$6:$L$12,Cadastros!$M$6:$M$12)," ")</f>
        <v xml:space="preserve"> </v>
      </c>
      <c r="W1112" s="28"/>
      <c r="X1112" s="28"/>
      <c r="Y1112" s="255" t="str">
        <f>IF(W1112="","",(_xlfn.XLOOKUP(W1112,Cadastros!$D$6:$D$90,Cadastros!$E$6:$E$90))*(1-_xlfn.XLOOKUP(_xlfn.XLOOKUP($F1112,Clientes!$B$4:$B$39,Clientes!$C$4:$C$39),Cadastros!$L$6:$L$12,Cadastros!$N$6:$N$12)))</f>
        <v/>
      </c>
      <c r="Z1112" s="168" t="str">
        <f t="shared" si="225"/>
        <v/>
      </c>
      <c r="AA1112" s="168" t="str">
        <f>IFERROR(Z1112/_xlfn.XLOOKUP(_xlfn.XLOOKUP($F1112,Clientes!$B$4:$B$39,Clientes!$C$4:$C$39),Cadastros!$L$6:$L$12,Cadastros!$M$6:$M$12)," ")</f>
        <v xml:space="preserve"> </v>
      </c>
      <c r="AB1112" s="28"/>
      <c r="AC1112" s="28"/>
      <c r="AD1112" s="20" t="str">
        <f>IF(AB1112="","",IF($F1112="Bernardino Furlan",_xlfn.XLOOKUP(AB1112,Cadastros!$G$6:$G$90,Cadastros!$H$6:$H$90)*(1-0.18),IF($F1112="Mauro José Salanti",_xlfn.XLOOKUP(AB1112,Cadastros!$G$6:$G$90,Cadastros!$H$6:$H$90)*(1-0.18),_xlfn.XLOOKUP(AB1112,Cadastros!$G$6:$G$90,Cadastros!$H$6:$H$90))))</f>
        <v/>
      </c>
      <c r="AE1112" s="168" t="str">
        <f t="shared" si="226"/>
        <v/>
      </c>
      <c r="AF1112" s="168" t="str">
        <f t="shared" si="227"/>
        <v/>
      </c>
      <c r="AG1112" s="28"/>
      <c r="AH1112" s="28"/>
      <c r="AI1112" s="20" t="str">
        <f>IF(AG1112="","",IF($F1112="Bernardino Furlan",_xlfn.XLOOKUP(AG1112,Cadastros!$G$6:$G$90,Cadastros!$H$6:$H$90)*(1-0.18),IF($F1112="Mauro José Salanti",_xlfn.XLOOKUP(AG1112,Cadastros!$G$6:$G$90,Cadastros!$H$6:$H$90)*(1-0.18),_xlfn.XLOOKUP(AG1112,Cadastros!$G$6:$G$90,Cadastros!$H$6:$H$90))))</f>
        <v/>
      </c>
      <c r="AJ1112" s="168" t="str">
        <f t="shared" si="228"/>
        <v/>
      </c>
      <c r="AK1112" s="168" t="str">
        <f t="shared" si="229"/>
        <v/>
      </c>
      <c r="AL1112" s="28"/>
      <c r="AM1112" s="28"/>
      <c r="AN1112" s="20" t="str">
        <f>IF(AL1112="","",IF($F1112="Bernardino Furlan",_xlfn.XLOOKUP(AL1112,Cadastros!$G$6:$G$90,Cadastros!$H$6:$H$90)*(1-0.18),IF($F1112="Mauro José Salanti",_xlfn.XLOOKUP(AL1112,Cadastros!$G$6:$G$90,Cadastros!$H$6:$H$90)*(1-0.18),_xlfn.XLOOKUP(AL1112,Cadastros!$G$6:$G$90,Cadastros!$H$6:$H$90))))</f>
        <v/>
      </c>
      <c r="AO1112" s="168" t="str">
        <f t="shared" si="230"/>
        <v/>
      </c>
      <c r="AP1112" s="168" t="str">
        <f t="shared" si="231"/>
        <v/>
      </c>
      <c r="AQ1112" s="28"/>
      <c r="AR1112" s="28"/>
      <c r="AS1112" s="20" t="str">
        <f>IF(AQ1112="","",IF($F1112="Bernardino Furlan",_xlfn.XLOOKUP(AQ1112,Cadastros!$G$6:$G$90,Cadastros!$H$6:$H$90)*(1-0.18),IF($F1112="Mauro José Salanti",_xlfn.XLOOKUP(AQ1112,Cadastros!$G$6:$G$90,Cadastros!$H$6:$H$90)*(1-0.18),_xlfn.XLOOKUP(AQ1112,Cadastros!$G$6:$G$90,Cadastros!$H$6:$H$90))))</f>
        <v/>
      </c>
      <c r="AT1112" s="168" t="str">
        <f t="shared" si="232"/>
        <v/>
      </c>
      <c r="AU1112" s="168" t="str">
        <f t="shared" si="233"/>
        <v/>
      </c>
      <c r="AV1112" s="227"/>
      <c r="AW1112" s="30"/>
      <c r="AX1112" s="267"/>
      <c r="AY1112" s="267"/>
      <c r="AZ1112" s="29"/>
      <c r="BA1112" s="30"/>
      <c r="BB1112" s="23" t="str" cm="1">
        <f t="array" ref="BB1112">_xlfn.IFS(AW1112="SIM",SUM(K1112,P1112,U1112,Z1112,AE1112,AJ1112,AO1112,AT1112,AX1112,AY1112),F1112&lt;&gt;"",SUM(K1112,P1112,U1112,Z1112,AE1112,AJ1112,,AO1112,AT1112),F1112="","")</f>
        <v/>
      </c>
      <c r="BC1112" s="211" t="str" cm="1">
        <f t="array" ref="BC1112">_xlfn.IFS(E1112="","",G1112&lt;=E1112,BB1112*(1-0.03),G1112&lt;(E1112+8),BB1112,AZ1112="Boleto",BB1112*(1+0.001)^DATEDIF(E1112,G1112,"D"),AZ1112="Cheque",BB1112,AZ1112="Dinheiro","Alterar forma pgto")</f>
        <v/>
      </c>
      <c r="BD1112" s="276" t="str" cm="1">
        <f t="array" ref="BD1112">IF(F1112=0," ",IF(BC1112&lt;BB1112,(_xlfn.IFS(AW1112="SIM",SUM(L1112,Q1112,V1112,AA1112,AF1112,AK1112,AP1112,AU1112)+AX1112/_xlfn.XLOOKUP(_xlfn.XLOOKUP($F1112,Clientes!$B$4:$B$39,Clientes!$C$4:$C$39),Cadastros!$L$6:$L$12,Cadastros!$M$6:$M$12)+IF($F1112="Bernardino Furlan",AY1112/2751.92,IF($F1112="Mauro José Salanti",AY1112/2751.92,AY1112/3356)),F1112&lt;&gt;0,SUM(L1112,Q1112,V1112,AA1112,AF1112,AK1112,AP1112,AU1112)))*(1-0.03),_xlfn.IFS(AW1112="SIM",SUM(L1112,Q1112,V1112,AA1112,AF1112,AK1112,AP1112,AU1112)+AX1112/_xlfn.XLOOKUP(_xlfn.XLOOKUP($F1112,Clientes!$B$4:$B$39,Clientes!$C$4:$C$39),Cadastros!$L$6:$L$12,Cadastros!$M$6:$M$12)+IF($F1112="Bernardino Furlan",AY1112/2751.92,IF($F1112="Mauro José Salanti",AY1112/2751.92,AY1112/3356)),F1112&lt;&gt;0,SUM(L1112,Q1112,V1112,AA1112,AF1112,AK1112,AP1112,AU1112))))</f>
        <v xml:space="preserve"> </v>
      </c>
      <c r="BE1112" s="120"/>
      <c r="BF1112" s="120"/>
      <c r="BG1112" s="120"/>
    </row>
    <row r="1113" spans="1:59" s="3" customFormat="1" x14ac:dyDescent="0.3">
      <c r="A1113" s="15" t="str">
        <f t="shared" si="221"/>
        <v/>
      </c>
      <c r="B1113" s="25"/>
      <c r="C1113" s="26"/>
      <c r="D1113" s="279"/>
      <c r="E1113" s="27"/>
      <c r="F1113" s="28"/>
      <c r="G1113" s="27"/>
      <c r="H1113" s="28"/>
      <c r="I1113" s="28"/>
      <c r="J1113" s="255" t="str">
        <f>IF(H1113="","",(_xlfn.XLOOKUP(H1113,Cadastros!$D$6:$D$90,Cadastros!$E$6:$E$90))*(1-_xlfn.XLOOKUP(_xlfn.XLOOKUP($F1113,Clientes!$B$4:$B$39,Clientes!$C$4:$C$39),Cadastros!$L$6:$L$12,Cadastros!$N$6:$N$12)))</f>
        <v/>
      </c>
      <c r="K1113" s="168" t="str">
        <f t="shared" si="222"/>
        <v/>
      </c>
      <c r="L1113" s="168" t="str">
        <f>IFERROR(K1113/_xlfn.XLOOKUP(_xlfn.XLOOKUP($F1113,Clientes!$B$4:$B$39,Clientes!$C$4:$C$39),Cadastros!$L$6:$L$12,Cadastros!$M$6:$M$12)," ")</f>
        <v xml:space="preserve"> </v>
      </c>
      <c r="M1113" s="28"/>
      <c r="N1113" s="28"/>
      <c r="O1113" s="255" t="str">
        <f>IF(M1113="","",(_xlfn.XLOOKUP(M1113,Cadastros!$D$6:$D$90,Cadastros!$E$6:$E$90))*(1-_xlfn.XLOOKUP(_xlfn.XLOOKUP($F1113,Clientes!$B$4:$B$39,Clientes!$C$4:$C$39),Cadastros!$L$6:$L$12,Cadastros!$N$6:$N$12)))</f>
        <v/>
      </c>
      <c r="P1113" s="168" t="str">
        <f t="shared" si="223"/>
        <v/>
      </c>
      <c r="Q1113" s="168" t="str">
        <f>IFERROR(P1113/_xlfn.XLOOKUP(_xlfn.XLOOKUP($F1113,Clientes!$B$4:$B$39,Clientes!$C$4:$C$39),Cadastros!$L$6:$L$12,Cadastros!$M$6:$M$12)," ")</f>
        <v xml:space="preserve"> </v>
      </c>
      <c r="R1113" s="28"/>
      <c r="S1113" s="28"/>
      <c r="T1113" s="255" t="str">
        <f>IF(R1113="","",(_xlfn.XLOOKUP(R1113,Cadastros!$D$6:$D$90,Cadastros!$E$6:$E$90))*(1-_xlfn.XLOOKUP(_xlfn.XLOOKUP($F1113,Clientes!$B$4:$B$39,Clientes!$C$4:$C$39),Cadastros!$L$6:$L$12,Cadastros!$N$6:$N$12)))</f>
        <v/>
      </c>
      <c r="U1113" s="168" t="str">
        <f t="shared" si="224"/>
        <v/>
      </c>
      <c r="V1113" s="168" t="str">
        <f>IFERROR(U1113/_xlfn.XLOOKUP(_xlfn.XLOOKUP($F1113,Clientes!$B$4:$B$39,Clientes!$C$4:$C$39),Cadastros!$L$6:$L$12,Cadastros!$M$6:$M$12)," ")</f>
        <v xml:space="preserve"> </v>
      </c>
      <c r="W1113" s="28"/>
      <c r="X1113" s="28"/>
      <c r="Y1113" s="255" t="str">
        <f>IF(W1113="","",(_xlfn.XLOOKUP(W1113,Cadastros!$D$6:$D$90,Cadastros!$E$6:$E$90))*(1-_xlfn.XLOOKUP(_xlfn.XLOOKUP($F1113,Clientes!$B$4:$B$39,Clientes!$C$4:$C$39),Cadastros!$L$6:$L$12,Cadastros!$N$6:$N$12)))</f>
        <v/>
      </c>
      <c r="Z1113" s="168" t="str">
        <f t="shared" si="225"/>
        <v/>
      </c>
      <c r="AA1113" s="168" t="str">
        <f>IFERROR(Z1113/_xlfn.XLOOKUP(_xlfn.XLOOKUP($F1113,Clientes!$B$4:$B$39,Clientes!$C$4:$C$39),Cadastros!$L$6:$L$12,Cadastros!$M$6:$M$12)," ")</f>
        <v xml:space="preserve"> </v>
      </c>
      <c r="AB1113" s="28"/>
      <c r="AC1113" s="28"/>
      <c r="AD1113" s="20" t="str">
        <f>IF(AB1113="","",IF($F1113="Bernardino Furlan",_xlfn.XLOOKUP(AB1113,Cadastros!$G$6:$G$90,Cadastros!$H$6:$H$90)*(1-0.18),IF($F1113="Mauro José Salanti",_xlfn.XLOOKUP(AB1113,Cadastros!$G$6:$G$90,Cadastros!$H$6:$H$90)*(1-0.18),_xlfn.XLOOKUP(AB1113,Cadastros!$G$6:$G$90,Cadastros!$H$6:$H$90))))</f>
        <v/>
      </c>
      <c r="AE1113" s="168" t="str">
        <f t="shared" si="226"/>
        <v/>
      </c>
      <c r="AF1113" s="168" t="str">
        <f t="shared" si="227"/>
        <v/>
      </c>
      <c r="AG1113" s="28"/>
      <c r="AH1113" s="28"/>
      <c r="AI1113" s="20" t="str">
        <f>IF(AG1113="","",IF($F1113="Bernardino Furlan",_xlfn.XLOOKUP(AG1113,Cadastros!$G$6:$G$90,Cadastros!$H$6:$H$90)*(1-0.18),IF($F1113="Mauro José Salanti",_xlfn.XLOOKUP(AG1113,Cadastros!$G$6:$G$90,Cadastros!$H$6:$H$90)*(1-0.18),_xlfn.XLOOKUP(AG1113,Cadastros!$G$6:$G$90,Cadastros!$H$6:$H$90))))</f>
        <v/>
      </c>
      <c r="AJ1113" s="168" t="str">
        <f t="shared" si="228"/>
        <v/>
      </c>
      <c r="AK1113" s="168" t="str">
        <f t="shared" si="229"/>
        <v/>
      </c>
      <c r="AL1113" s="28"/>
      <c r="AM1113" s="28"/>
      <c r="AN1113" s="20" t="str">
        <f>IF(AL1113="","",IF($F1113="Bernardino Furlan",_xlfn.XLOOKUP(AL1113,Cadastros!$G$6:$G$90,Cadastros!$H$6:$H$90)*(1-0.18),IF($F1113="Mauro José Salanti",_xlfn.XLOOKUP(AL1113,Cadastros!$G$6:$G$90,Cadastros!$H$6:$H$90)*(1-0.18),_xlfn.XLOOKUP(AL1113,Cadastros!$G$6:$G$90,Cadastros!$H$6:$H$90))))</f>
        <v/>
      </c>
      <c r="AO1113" s="168" t="str">
        <f t="shared" si="230"/>
        <v/>
      </c>
      <c r="AP1113" s="168" t="str">
        <f t="shared" si="231"/>
        <v/>
      </c>
      <c r="AQ1113" s="28"/>
      <c r="AR1113" s="28"/>
      <c r="AS1113" s="20" t="str">
        <f>IF(AQ1113="","",IF($F1113="Bernardino Furlan",_xlfn.XLOOKUP(AQ1113,Cadastros!$G$6:$G$90,Cadastros!$H$6:$H$90)*(1-0.18),IF($F1113="Mauro José Salanti",_xlfn.XLOOKUP(AQ1113,Cadastros!$G$6:$G$90,Cadastros!$H$6:$H$90)*(1-0.18),_xlfn.XLOOKUP(AQ1113,Cadastros!$G$6:$G$90,Cadastros!$H$6:$H$90))))</f>
        <v/>
      </c>
      <c r="AT1113" s="168" t="str">
        <f t="shared" si="232"/>
        <v/>
      </c>
      <c r="AU1113" s="168" t="str">
        <f t="shared" si="233"/>
        <v/>
      </c>
      <c r="AV1113" s="227"/>
      <c r="AW1113" s="30"/>
      <c r="AX1113" s="267"/>
      <c r="AY1113" s="267"/>
      <c r="AZ1113" s="29"/>
      <c r="BA1113" s="30"/>
      <c r="BB1113" s="23" t="str" cm="1">
        <f t="array" ref="BB1113">_xlfn.IFS(AW1113="SIM",SUM(K1113,P1113,U1113,Z1113,AE1113,AJ1113,AO1113,AT1113,AX1113,AY1113),F1113&lt;&gt;"",SUM(K1113,P1113,U1113,Z1113,AE1113,AJ1113,,AO1113,AT1113),F1113="","")</f>
        <v/>
      </c>
      <c r="BC1113" s="211" t="str" cm="1">
        <f t="array" ref="BC1113">_xlfn.IFS(E1113="","",G1113&lt;=E1113,BB1113*(1-0.03),G1113&lt;(E1113+8),BB1113,AZ1113="Boleto",BB1113*(1+0.001)^DATEDIF(E1113,G1113,"D"),AZ1113="Cheque",BB1113,AZ1113="Dinheiro","Alterar forma pgto")</f>
        <v/>
      </c>
      <c r="BD1113" s="276" t="str" cm="1">
        <f t="array" ref="BD1113">IF(F1113=0," ",IF(BC1113&lt;BB1113,(_xlfn.IFS(AW1113="SIM",SUM(L1113,Q1113,V1113,AA1113,AF1113,AK1113,AP1113,AU1113)+AX1113/_xlfn.XLOOKUP(_xlfn.XLOOKUP($F1113,Clientes!$B$4:$B$39,Clientes!$C$4:$C$39),Cadastros!$L$6:$L$12,Cadastros!$M$6:$M$12)+IF($F1113="Bernardino Furlan",AY1113/2751.92,IF($F1113="Mauro José Salanti",AY1113/2751.92,AY1113/3356)),F1113&lt;&gt;0,SUM(L1113,Q1113,V1113,AA1113,AF1113,AK1113,AP1113,AU1113)))*(1-0.03),_xlfn.IFS(AW1113="SIM",SUM(L1113,Q1113,V1113,AA1113,AF1113,AK1113,AP1113,AU1113)+AX1113/_xlfn.XLOOKUP(_xlfn.XLOOKUP($F1113,Clientes!$B$4:$B$39,Clientes!$C$4:$C$39),Cadastros!$L$6:$L$12,Cadastros!$M$6:$M$12)+IF($F1113="Bernardino Furlan",AY1113/2751.92,IF($F1113="Mauro José Salanti",AY1113/2751.92,AY1113/3356)),F1113&lt;&gt;0,SUM(L1113,Q1113,V1113,AA1113,AF1113,AK1113,AP1113,AU1113))))</f>
        <v xml:space="preserve"> </v>
      </c>
      <c r="BE1113" s="120"/>
      <c r="BF1113" s="120"/>
      <c r="BG1113" s="120"/>
    </row>
    <row r="1114" spans="1:59" s="3" customFormat="1" x14ac:dyDescent="0.3">
      <c r="A1114" s="15" t="str">
        <f t="shared" si="221"/>
        <v/>
      </c>
      <c r="B1114" s="25"/>
      <c r="C1114" s="26"/>
      <c r="D1114" s="279"/>
      <c r="E1114" s="27"/>
      <c r="F1114" s="28"/>
      <c r="G1114" s="27"/>
      <c r="H1114" s="28"/>
      <c r="I1114" s="28"/>
      <c r="J1114" s="255" t="str">
        <f>IF(H1114="","",(_xlfn.XLOOKUP(H1114,Cadastros!$D$6:$D$90,Cadastros!$E$6:$E$90))*(1-_xlfn.XLOOKUP(_xlfn.XLOOKUP($F1114,Clientes!$B$4:$B$39,Clientes!$C$4:$C$39),Cadastros!$L$6:$L$12,Cadastros!$N$6:$N$12)))</f>
        <v/>
      </c>
      <c r="K1114" s="168" t="str">
        <f t="shared" si="222"/>
        <v/>
      </c>
      <c r="L1114" s="168" t="str">
        <f>IFERROR(K1114/_xlfn.XLOOKUP(_xlfn.XLOOKUP($F1114,Clientes!$B$4:$B$39,Clientes!$C$4:$C$39),Cadastros!$L$6:$L$12,Cadastros!$M$6:$M$12)," ")</f>
        <v xml:space="preserve"> </v>
      </c>
      <c r="M1114" s="28"/>
      <c r="N1114" s="28"/>
      <c r="O1114" s="255" t="str">
        <f>IF(M1114="","",(_xlfn.XLOOKUP(M1114,Cadastros!$D$6:$D$90,Cadastros!$E$6:$E$90))*(1-_xlfn.XLOOKUP(_xlfn.XLOOKUP($F1114,Clientes!$B$4:$B$39,Clientes!$C$4:$C$39),Cadastros!$L$6:$L$12,Cadastros!$N$6:$N$12)))</f>
        <v/>
      </c>
      <c r="P1114" s="168" t="str">
        <f t="shared" si="223"/>
        <v/>
      </c>
      <c r="Q1114" s="168" t="str">
        <f>IFERROR(P1114/_xlfn.XLOOKUP(_xlfn.XLOOKUP($F1114,Clientes!$B$4:$B$39,Clientes!$C$4:$C$39),Cadastros!$L$6:$L$12,Cadastros!$M$6:$M$12)," ")</f>
        <v xml:space="preserve"> </v>
      </c>
      <c r="R1114" s="28"/>
      <c r="S1114" s="28"/>
      <c r="T1114" s="255" t="str">
        <f>IF(R1114="","",(_xlfn.XLOOKUP(R1114,Cadastros!$D$6:$D$90,Cadastros!$E$6:$E$90))*(1-_xlfn.XLOOKUP(_xlfn.XLOOKUP($F1114,Clientes!$B$4:$B$39,Clientes!$C$4:$C$39),Cadastros!$L$6:$L$12,Cadastros!$N$6:$N$12)))</f>
        <v/>
      </c>
      <c r="U1114" s="168" t="str">
        <f t="shared" si="224"/>
        <v/>
      </c>
      <c r="V1114" s="168" t="str">
        <f>IFERROR(U1114/_xlfn.XLOOKUP(_xlfn.XLOOKUP($F1114,Clientes!$B$4:$B$39,Clientes!$C$4:$C$39),Cadastros!$L$6:$L$12,Cadastros!$M$6:$M$12)," ")</f>
        <v xml:space="preserve"> </v>
      </c>
      <c r="W1114" s="28"/>
      <c r="X1114" s="28"/>
      <c r="Y1114" s="255" t="str">
        <f>IF(W1114="","",(_xlfn.XLOOKUP(W1114,Cadastros!$D$6:$D$90,Cadastros!$E$6:$E$90))*(1-_xlfn.XLOOKUP(_xlfn.XLOOKUP($F1114,Clientes!$B$4:$B$39,Clientes!$C$4:$C$39),Cadastros!$L$6:$L$12,Cadastros!$N$6:$N$12)))</f>
        <v/>
      </c>
      <c r="Z1114" s="168" t="str">
        <f t="shared" si="225"/>
        <v/>
      </c>
      <c r="AA1114" s="168" t="str">
        <f>IFERROR(Z1114/_xlfn.XLOOKUP(_xlfn.XLOOKUP($F1114,Clientes!$B$4:$B$39,Clientes!$C$4:$C$39),Cadastros!$L$6:$L$12,Cadastros!$M$6:$M$12)," ")</f>
        <v xml:space="preserve"> </v>
      </c>
      <c r="AB1114" s="28"/>
      <c r="AC1114" s="28"/>
      <c r="AD1114" s="20" t="str">
        <f>IF(AB1114="","",IF($F1114="Bernardino Furlan",_xlfn.XLOOKUP(AB1114,Cadastros!$G$6:$G$90,Cadastros!$H$6:$H$90)*(1-0.18),IF($F1114="Mauro José Salanti",_xlfn.XLOOKUP(AB1114,Cadastros!$G$6:$G$90,Cadastros!$H$6:$H$90)*(1-0.18),_xlfn.XLOOKUP(AB1114,Cadastros!$G$6:$G$90,Cadastros!$H$6:$H$90))))</f>
        <v/>
      </c>
      <c r="AE1114" s="168" t="str">
        <f t="shared" si="226"/>
        <v/>
      </c>
      <c r="AF1114" s="168" t="str">
        <f t="shared" si="227"/>
        <v/>
      </c>
      <c r="AG1114" s="28"/>
      <c r="AH1114" s="28"/>
      <c r="AI1114" s="20" t="str">
        <f>IF(AG1114="","",IF($F1114="Bernardino Furlan",_xlfn.XLOOKUP(AG1114,Cadastros!$G$6:$G$90,Cadastros!$H$6:$H$90)*(1-0.18),IF($F1114="Mauro José Salanti",_xlfn.XLOOKUP(AG1114,Cadastros!$G$6:$G$90,Cadastros!$H$6:$H$90)*(1-0.18),_xlfn.XLOOKUP(AG1114,Cadastros!$G$6:$G$90,Cadastros!$H$6:$H$90))))</f>
        <v/>
      </c>
      <c r="AJ1114" s="168" t="str">
        <f t="shared" si="228"/>
        <v/>
      </c>
      <c r="AK1114" s="168" t="str">
        <f t="shared" si="229"/>
        <v/>
      </c>
      <c r="AL1114" s="28"/>
      <c r="AM1114" s="28"/>
      <c r="AN1114" s="20" t="str">
        <f>IF(AL1114="","",IF($F1114="Bernardino Furlan",_xlfn.XLOOKUP(AL1114,Cadastros!$G$6:$G$90,Cadastros!$H$6:$H$90)*(1-0.18),IF($F1114="Mauro José Salanti",_xlfn.XLOOKUP(AL1114,Cadastros!$G$6:$G$90,Cadastros!$H$6:$H$90)*(1-0.18),_xlfn.XLOOKUP(AL1114,Cadastros!$G$6:$G$90,Cadastros!$H$6:$H$90))))</f>
        <v/>
      </c>
      <c r="AO1114" s="168" t="str">
        <f t="shared" si="230"/>
        <v/>
      </c>
      <c r="AP1114" s="168" t="str">
        <f t="shared" si="231"/>
        <v/>
      </c>
      <c r="AQ1114" s="28"/>
      <c r="AR1114" s="28"/>
      <c r="AS1114" s="20" t="str">
        <f>IF(AQ1114="","",IF($F1114="Bernardino Furlan",_xlfn.XLOOKUP(AQ1114,Cadastros!$G$6:$G$90,Cadastros!$H$6:$H$90)*(1-0.18),IF($F1114="Mauro José Salanti",_xlfn.XLOOKUP(AQ1114,Cadastros!$G$6:$G$90,Cadastros!$H$6:$H$90)*(1-0.18),_xlfn.XLOOKUP(AQ1114,Cadastros!$G$6:$G$90,Cadastros!$H$6:$H$90))))</f>
        <v/>
      </c>
      <c r="AT1114" s="168" t="str">
        <f t="shared" si="232"/>
        <v/>
      </c>
      <c r="AU1114" s="168" t="str">
        <f t="shared" si="233"/>
        <v/>
      </c>
      <c r="AV1114" s="227"/>
      <c r="AW1114" s="30"/>
      <c r="AX1114" s="267"/>
      <c r="AY1114" s="267"/>
      <c r="AZ1114" s="29"/>
      <c r="BA1114" s="30"/>
      <c r="BB1114" s="23" t="str" cm="1">
        <f t="array" ref="BB1114">_xlfn.IFS(AW1114="SIM",SUM(K1114,P1114,U1114,Z1114,AE1114,AJ1114,AO1114,AT1114,AX1114,AY1114),F1114&lt;&gt;"",SUM(K1114,P1114,U1114,Z1114,AE1114,AJ1114,,AO1114,AT1114),F1114="","")</f>
        <v/>
      </c>
      <c r="BC1114" s="211" t="str" cm="1">
        <f t="array" ref="BC1114">_xlfn.IFS(E1114="","",G1114&lt;=E1114,BB1114*(1-0.03),G1114&lt;(E1114+8),BB1114,AZ1114="Boleto",BB1114*(1+0.001)^DATEDIF(E1114,G1114,"D"),AZ1114="Cheque",BB1114,AZ1114="Dinheiro","Alterar forma pgto")</f>
        <v/>
      </c>
      <c r="BD1114" s="276" t="str" cm="1">
        <f t="array" ref="BD1114">IF(F1114=0," ",IF(BC1114&lt;BB1114,(_xlfn.IFS(AW1114="SIM",SUM(L1114,Q1114,V1114,AA1114,AF1114,AK1114,AP1114,AU1114)+AX1114/_xlfn.XLOOKUP(_xlfn.XLOOKUP($F1114,Clientes!$B$4:$B$39,Clientes!$C$4:$C$39),Cadastros!$L$6:$L$12,Cadastros!$M$6:$M$12)+IF($F1114="Bernardino Furlan",AY1114/2751.92,IF($F1114="Mauro José Salanti",AY1114/2751.92,AY1114/3356)),F1114&lt;&gt;0,SUM(L1114,Q1114,V1114,AA1114,AF1114,AK1114,AP1114,AU1114)))*(1-0.03),_xlfn.IFS(AW1114="SIM",SUM(L1114,Q1114,V1114,AA1114,AF1114,AK1114,AP1114,AU1114)+AX1114/_xlfn.XLOOKUP(_xlfn.XLOOKUP($F1114,Clientes!$B$4:$B$39,Clientes!$C$4:$C$39),Cadastros!$L$6:$L$12,Cadastros!$M$6:$M$12)+IF($F1114="Bernardino Furlan",AY1114/2751.92,IF($F1114="Mauro José Salanti",AY1114/2751.92,AY1114/3356)),F1114&lt;&gt;0,SUM(L1114,Q1114,V1114,AA1114,AF1114,AK1114,AP1114,AU1114))))</f>
        <v xml:space="preserve"> </v>
      </c>
      <c r="BE1114" s="120"/>
      <c r="BF1114" s="120"/>
      <c r="BG1114" s="120"/>
    </row>
    <row r="1115" spans="1:59" s="3" customFormat="1" x14ac:dyDescent="0.3">
      <c r="A1115" s="15" t="str">
        <f t="shared" si="221"/>
        <v/>
      </c>
      <c r="B1115" s="25"/>
      <c r="C1115" s="26"/>
      <c r="D1115" s="279"/>
      <c r="E1115" s="27"/>
      <c r="F1115" s="28"/>
      <c r="G1115" s="27"/>
      <c r="H1115" s="28"/>
      <c r="I1115" s="28"/>
      <c r="J1115" s="255" t="str">
        <f>IF(H1115="","",(_xlfn.XLOOKUP(H1115,Cadastros!$D$6:$D$90,Cadastros!$E$6:$E$90))*(1-_xlfn.XLOOKUP(_xlfn.XLOOKUP($F1115,Clientes!$B$4:$B$39,Clientes!$C$4:$C$39),Cadastros!$L$6:$L$12,Cadastros!$N$6:$N$12)))</f>
        <v/>
      </c>
      <c r="K1115" s="168" t="str">
        <f t="shared" si="222"/>
        <v/>
      </c>
      <c r="L1115" s="168" t="str">
        <f>IFERROR(K1115/_xlfn.XLOOKUP(_xlfn.XLOOKUP($F1115,Clientes!$B$4:$B$39,Clientes!$C$4:$C$39),Cadastros!$L$6:$L$12,Cadastros!$M$6:$M$12)," ")</f>
        <v xml:space="preserve"> </v>
      </c>
      <c r="M1115" s="28"/>
      <c r="N1115" s="28"/>
      <c r="O1115" s="255" t="str">
        <f>IF(M1115="","",(_xlfn.XLOOKUP(M1115,Cadastros!$D$6:$D$90,Cadastros!$E$6:$E$90))*(1-_xlfn.XLOOKUP(_xlfn.XLOOKUP($F1115,Clientes!$B$4:$B$39,Clientes!$C$4:$C$39),Cadastros!$L$6:$L$12,Cadastros!$N$6:$N$12)))</f>
        <v/>
      </c>
      <c r="P1115" s="168" t="str">
        <f t="shared" si="223"/>
        <v/>
      </c>
      <c r="Q1115" s="168" t="str">
        <f>IFERROR(P1115/_xlfn.XLOOKUP(_xlfn.XLOOKUP($F1115,Clientes!$B$4:$B$39,Clientes!$C$4:$C$39),Cadastros!$L$6:$L$12,Cadastros!$M$6:$M$12)," ")</f>
        <v xml:space="preserve"> </v>
      </c>
      <c r="R1115" s="28"/>
      <c r="S1115" s="28"/>
      <c r="T1115" s="255" t="str">
        <f>IF(R1115="","",(_xlfn.XLOOKUP(R1115,Cadastros!$D$6:$D$90,Cadastros!$E$6:$E$90))*(1-_xlfn.XLOOKUP(_xlfn.XLOOKUP($F1115,Clientes!$B$4:$B$39,Clientes!$C$4:$C$39),Cadastros!$L$6:$L$12,Cadastros!$N$6:$N$12)))</f>
        <v/>
      </c>
      <c r="U1115" s="168" t="str">
        <f t="shared" si="224"/>
        <v/>
      </c>
      <c r="V1115" s="168" t="str">
        <f>IFERROR(U1115/_xlfn.XLOOKUP(_xlfn.XLOOKUP($F1115,Clientes!$B$4:$B$39,Clientes!$C$4:$C$39),Cadastros!$L$6:$L$12,Cadastros!$M$6:$M$12)," ")</f>
        <v xml:space="preserve"> </v>
      </c>
      <c r="W1115" s="28"/>
      <c r="X1115" s="28"/>
      <c r="Y1115" s="255" t="str">
        <f>IF(W1115="","",(_xlfn.XLOOKUP(W1115,Cadastros!$D$6:$D$90,Cadastros!$E$6:$E$90))*(1-_xlfn.XLOOKUP(_xlfn.XLOOKUP($F1115,Clientes!$B$4:$B$39,Clientes!$C$4:$C$39),Cadastros!$L$6:$L$12,Cadastros!$N$6:$N$12)))</f>
        <v/>
      </c>
      <c r="Z1115" s="168" t="str">
        <f t="shared" si="225"/>
        <v/>
      </c>
      <c r="AA1115" s="168" t="str">
        <f>IFERROR(Z1115/_xlfn.XLOOKUP(_xlfn.XLOOKUP($F1115,Clientes!$B$4:$B$39,Clientes!$C$4:$C$39),Cadastros!$L$6:$L$12,Cadastros!$M$6:$M$12)," ")</f>
        <v xml:space="preserve"> </v>
      </c>
      <c r="AB1115" s="28"/>
      <c r="AC1115" s="28"/>
      <c r="AD1115" s="20" t="str">
        <f>IF(AB1115="","",IF($F1115="Bernardino Furlan",_xlfn.XLOOKUP(AB1115,Cadastros!$G$6:$G$90,Cadastros!$H$6:$H$90)*(1-0.18),IF($F1115="Mauro José Salanti",_xlfn.XLOOKUP(AB1115,Cadastros!$G$6:$G$90,Cadastros!$H$6:$H$90)*(1-0.18),_xlfn.XLOOKUP(AB1115,Cadastros!$G$6:$G$90,Cadastros!$H$6:$H$90))))</f>
        <v/>
      </c>
      <c r="AE1115" s="168" t="str">
        <f t="shared" si="226"/>
        <v/>
      </c>
      <c r="AF1115" s="168" t="str">
        <f t="shared" si="227"/>
        <v/>
      </c>
      <c r="AG1115" s="28"/>
      <c r="AH1115" s="28"/>
      <c r="AI1115" s="20" t="str">
        <f>IF(AG1115="","",IF($F1115="Bernardino Furlan",_xlfn.XLOOKUP(AG1115,Cadastros!$G$6:$G$90,Cadastros!$H$6:$H$90)*(1-0.18),IF($F1115="Mauro José Salanti",_xlfn.XLOOKUP(AG1115,Cadastros!$G$6:$G$90,Cadastros!$H$6:$H$90)*(1-0.18),_xlfn.XLOOKUP(AG1115,Cadastros!$G$6:$G$90,Cadastros!$H$6:$H$90))))</f>
        <v/>
      </c>
      <c r="AJ1115" s="168" t="str">
        <f t="shared" si="228"/>
        <v/>
      </c>
      <c r="AK1115" s="168" t="str">
        <f t="shared" si="229"/>
        <v/>
      </c>
      <c r="AL1115" s="28"/>
      <c r="AM1115" s="28"/>
      <c r="AN1115" s="20" t="str">
        <f>IF(AL1115="","",IF($F1115="Bernardino Furlan",_xlfn.XLOOKUP(AL1115,Cadastros!$G$6:$G$90,Cadastros!$H$6:$H$90)*(1-0.18),IF($F1115="Mauro José Salanti",_xlfn.XLOOKUP(AL1115,Cadastros!$G$6:$G$90,Cadastros!$H$6:$H$90)*(1-0.18),_xlfn.XLOOKUP(AL1115,Cadastros!$G$6:$G$90,Cadastros!$H$6:$H$90))))</f>
        <v/>
      </c>
      <c r="AO1115" s="168" t="str">
        <f t="shared" si="230"/>
        <v/>
      </c>
      <c r="AP1115" s="168" t="str">
        <f t="shared" si="231"/>
        <v/>
      </c>
      <c r="AQ1115" s="28"/>
      <c r="AR1115" s="28"/>
      <c r="AS1115" s="20" t="str">
        <f>IF(AQ1115="","",IF($F1115="Bernardino Furlan",_xlfn.XLOOKUP(AQ1115,Cadastros!$G$6:$G$90,Cadastros!$H$6:$H$90)*(1-0.18),IF($F1115="Mauro José Salanti",_xlfn.XLOOKUP(AQ1115,Cadastros!$G$6:$G$90,Cadastros!$H$6:$H$90)*(1-0.18),_xlfn.XLOOKUP(AQ1115,Cadastros!$G$6:$G$90,Cadastros!$H$6:$H$90))))</f>
        <v/>
      </c>
      <c r="AT1115" s="168" t="str">
        <f t="shared" si="232"/>
        <v/>
      </c>
      <c r="AU1115" s="168" t="str">
        <f t="shared" si="233"/>
        <v/>
      </c>
      <c r="AV1115" s="227"/>
      <c r="AW1115" s="30"/>
      <c r="AX1115" s="267"/>
      <c r="AY1115" s="267"/>
      <c r="AZ1115" s="29"/>
      <c r="BA1115" s="30"/>
      <c r="BB1115" s="23" t="str" cm="1">
        <f t="array" ref="BB1115">_xlfn.IFS(AW1115="SIM",SUM(K1115,P1115,U1115,Z1115,AE1115,AJ1115,AO1115,AT1115,AX1115,AY1115),F1115&lt;&gt;"",SUM(K1115,P1115,U1115,Z1115,AE1115,AJ1115,,AO1115,AT1115),F1115="","")</f>
        <v/>
      </c>
      <c r="BC1115" s="211" t="str" cm="1">
        <f t="array" ref="BC1115">_xlfn.IFS(E1115="","",G1115&lt;=E1115,BB1115*(1-0.03),G1115&lt;(E1115+8),BB1115,AZ1115="Boleto",BB1115*(1+0.001)^DATEDIF(E1115,G1115,"D"),AZ1115="Cheque",BB1115,AZ1115="Dinheiro","Alterar forma pgto")</f>
        <v/>
      </c>
      <c r="BD1115" s="276" t="str" cm="1">
        <f t="array" ref="BD1115">IF(F1115=0," ",IF(BC1115&lt;BB1115,(_xlfn.IFS(AW1115="SIM",SUM(L1115,Q1115,V1115,AA1115,AF1115,AK1115,AP1115,AU1115)+AX1115/_xlfn.XLOOKUP(_xlfn.XLOOKUP($F1115,Clientes!$B$4:$B$39,Clientes!$C$4:$C$39),Cadastros!$L$6:$L$12,Cadastros!$M$6:$M$12)+IF($F1115="Bernardino Furlan",AY1115/2751.92,IF($F1115="Mauro José Salanti",AY1115/2751.92,AY1115/3356)),F1115&lt;&gt;0,SUM(L1115,Q1115,V1115,AA1115,AF1115,AK1115,AP1115,AU1115)))*(1-0.03),_xlfn.IFS(AW1115="SIM",SUM(L1115,Q1115,V1115,AA1115,AF1115,AK1115,AP1115,AU1115)+AX1115/_xlfn.XLOOKUP(_xlfn.XLOOKUP($F1115,Clientes!$B$4:$B$39,Clientes!$C$4:$C$39),Cadastros!$L$6:$L$12,Cadastros!$M$6:$M$12)+IF($F1115="Bernardino Furlan",AY1115/2751.92,IF($F1115="Mauro José Salanti",AY1115/2751.92,AY1115/3356)),F1115&lt;&gt;0,SUM(L1115,Q1115,V1115,AA1115,AF1115,AK1115,AP1115,AU1115))))</f>
        <v xml:space="preserve"> </v>
      </c>
      <c r="BE1115" s="120"/>
      <c r="BF1115" s="120"/>
      <c r="BG1115" s="120"/>
    </row>
    <row r="1116" spans="1:59" s="3" customFormat="1" x14ac:dyDescent="0.3">
      <c r="A1116" s="15" t="str">
        <f t="shared" si="221"/>
        <v/>
      </c>
      <c r="B1116" s="25"/>
      <c r="C1116" s="26"/>
      <c r="D1116" s="279"/>
      <c r="E1116" s="27"/>
      <c r="F1116" s="28"/>
      <c r="G1116" s="27"/>
      <c r="H1116" s="28"/>
      <c r="I1116" s="28"/>
      <c r="J1116" s="255" t="str">
        <f>IF(H1116="","",(_xlfn.XLOOKUP(H1116,Cadastros!$D$6:$D$90,Cadastros!$E$6:$E$90))*(1-_xlfn.XLOOKUP(_xlfn.XLOOKUP($F1116,Clientes!$B$4:$B$39,Clientes!$C$4:$C$39),Cadastros!$L$6:$L$12,Cadastros!$N$6:$N$12)))</f>
        <v/>
      </c>
      <c r="K1116" s="168" t="str">
        <f t="shared" si="222"/>
        <v/>
      </c>
      <c r="L1116" s="168" t="str">
        <f>IFERROR(K1116/_xlfn.XLOOKUP(_xlfn.XLOOKUP($F1116,Clientes!$B$4:$B$39,Clientes!$C$4:$C$39),Cadastros!$L$6:$L$12,Cadastros!$M$6:$M$12)," ")</f>
        <v xml:space="preserve"> </v>
      </c>
      <c r="M1116" s="28"/>
      <c r="N1116" s="28"/>
      <c r="O1116" s="255" t="str">
        <f>IF(M1116="","",(_xlfn.XLOOKUP(M1116,Cadastros!$D$6:$D$90,Cadastros!$E$6:$E$90))*(1-_xlfn.XLOOKUP(_xlfn.XLOOKUP($F1116,Clientes!$B$4:$B$39,Clientes!$C$4:$C$39),Cadastros!$L$6:$L$12,Cadastros!$N$6:$N$12)))</f>
        <v/>
      </c>
      <c r="P1116" s="168" t="str">
        <f t="shared" si="223"/>
        <v/>
      </c>
      <c r="Q1116" s="168" t="str">
        <f>IFERROR(P1116/_xlfn.XLOOKUP(_xlfn.XLOOKUP($F1116,Clientes!$B$4:$B$39,Clientes!$C$4:$C$39),Cadastros!$L$6:$L$12,Cadastros!$M$6:$M$12)," ")</f>
        <v xml:space="preserve"> </v>
      </c>
      <c r="R1116" s="28"/>
      <c r="S1116" s="28"/>
      <c r="T1116" s="255" t="str">
        <f>IF(R1116="","",(_xlfn.XLOOKUP(R1116,Cadastros!$D$6:$D$90,Cadastros!$E$6:$E$90))*(1-_xlfn.XLOOKUP(_xlfn.XLOOKUP($F1116,Clientes!$B$4:$B$39,Clientes!$C$4:$C$39),Cadastros!$L$6:$L$12,Cadastros!$N$6:$N$12)))</f>
        <v/>
      </c>
      <c r="U1116" s="168" t="str">
        <f t="shared" si="224"/>
        <v/>
      </c>
      <c r="V1116" s="168" t="str">
        <f>IFERROR(U1116/_xlfn.XLOOKUP(_xlfn.XLOOKUP($F1116,Clientes!$B$4:$B$39,Clientes!$C$4:$C$39),Cadastros!$L$6:$L$12,Cadastros!$M$6:$M$12)," ")</f>
        <v xml:space="preserve"> </v>
      </c>
      <c r="W1116" s="28"/>
      <c r="X1116" s="28"/>
      <c r="Y1116" s="255" t="str">
        <f>IF(W1116="","",(_xlfn.XLOOKUP(W1116,Cadastros!$D$6:$D$90,Cadastros!$E$6:$E$90))*(1-_xlfn.XLOOKUP(_xlfn.XLOOKUP($F1116,Clientes!$B$4:$B$39,Clientes!$C$4:$C$39),Cadastros!$L$6:$L$12,Cadastros!$N$6:$N$12)))</f>
        <v/>
      </c>
      <c r="Z1116" s="168" t="str">
        <f t="shared" si="225"/>
        <v/>
      </c>
      <c r="AA1116" s="168" t="str">
        <f>IFERROR(Z1116/_xlfn.XLOOKUP(_xlfn.XLOOKUP($F1116,Clientes!$B$4:$B$39,Clientes!$C$4:$C$39),Cadastros!$L$6:$L$12,Cadastros!$M$6:$M$12)," ")</f>
        <v xml:space="preserve"> </v>
      </c>
      <c r="AB1116" s="28"/>
      <c r="AC1116" s="28"/>
      <c r="AD1116" s="20" t="str">
        <f>IF(AB1116="","",IF($F1116="Bernardino Furlan",_xlfn.XLOOKUP(AB1116,Cadastros!$G$6:$G$90,Cadastros!$H$6:$H$90)*(1-0.18),IF($F1116="Mauro José Salanti",_xlfn.XLOOKUP(AB1116,Cadastros!$G$6:$G$90,Cadastros!$H$6:$H$90)*(1-0.18),_xlfn.XLOOKUP(AB1116,Cadastros!$G$6:$G$90,Cadastros!$H$6:$H$90))))</f>
        <v/>
      </c>
      <c r="AE1116" s="168" t="str">
        <f t="shared" si="226"/>
        <v/>
      </c>
      <c r="AF1116" s="168" t="str">
        <f t="shared" si="227"/>
        <v/>
      </c>
      <c r="AG1116" s="28"/>
      <c r="AH1116" s="28"/>
      <c r="AI1116" s="20" t="str">
        <f>IF(AG1116="","",IF($F1116="Bernardino Furlan",_xlfn.XLOOKUP(AG1116,Cadastros!$G$6:$G$90,Cadastros!$H$6:$H$90)*(1-0.18),IF($F1116="Mauro José Salanti",_xlfn.XLOOKUP(AG1116,Cadastros!$G$6:$G$90,Cadastros!$H$6:$H$90)*(1-0.18),_xlfn.XLOOKUP(AG1116,Cadastros!$G$6:$G$90,Cadastros!$H$6:$H$90))))</f>
        <v/>
      </c>
      <c r="AJ1116" s="168" t="str">
        <f t="shared" si="228"/>
        <v/>
      </c>
      <c r="AK1116" s="168" t="str">
        <f t="shared" si="229"/>
        <v/>
      </c>
      <c r="AL1116" s="28"/>
      <c r="AM1116" s="28"/>
      <c r="AN1116" s="20" t="str">
        <f>IF(AL1116="","",IF($F1116="Bernardino Furlan",_xlfn.XLOOKUP(AL1116,Cadastros!$G$6:$G$90,Cadastros!$H$6:$H$90)*(1-0.18),IF($F1116="Mauro José Salanti",_xlfn.XLOOKUP(AL1116,Cadastros!$G$6:$G$90,Cadastros!$H$6:$H$90)*(1-0.18),_xlfn.XLOOKUP(AL1116,Cadastros!$G$6:$G$90,Cadastros!$H$6:$H$90))))</f>
        <v/>
      </c>
      <c r="AO1116" s="168" t="str">
        <f t="shared" si="230"/>
        <v/>
      </c>
      <c r="AP1116" s="168" t="str">
        <f t="shared" si="231"/>
        <v/>
      </c>
      <c r="AQ1116" s="28"/>
      <c r="AR1116" s="28"/>
      <c r="AS1116" s="20" t="str">
        <f>IF(AQ1116="","",IF($F1116="Bernardino Furlan",_xlfn.XLOOKUP(AQ1116,Cadastros!$G$6:$G$90,Cadastros!$H$6:$H$90)*(1-0.18),IF($F1116="Mauro José Salanti",_xlfn.XLOOKUP(AQ1116,Cadastros!$G$6:$G$90,Cadastros!$H$6:$H$90)*(1-0.18),_xlfn.XLOOKUP(AQ1116,Cadastros!$G$6:$G$90,Cadastros!$H$6:$H$90))))</f>
        <v/>
      </c>
      <c r="AT1116" s="168" t="str">
        <f t="shared" si="232"/>
        <v/>
      </c>
      <c r="AU1116" s="168" t="str">
        <f t="shared" si="233"/>
        <v/>
      </c>
      <c r="AV1116" s="227"/>
      <c r="AW1116" s="30"/>
      <c r="AX1116" s="267"/>
      <c r="AY1116" s="267"/>
      <c r="AZ1116" s="29"/>
      <c r="BA1116" s="30"/>
      <c r="BB1116" s="23" t="str" cm="1">
        <f t="array" ref="BB1116">_xlfn.IFS(AW1116="SIM",SUM(K1116,P1116,U1116,Z1116,AE1116,AJ1116,AO1116,AT1116,AX1116,AY1116),F1116&lt;&gt;"",SUM(K1116,P1116,U1116,Z1116,AE1116,AJ1116,,AO1116,AT1116),F1116="","")</f>
        <v/>
      </c>
      <c r="BC1116" s="211" t="str" cm="1">
        <f t="array" ref="BC1116">_xlfn.IFS(E1116="","",G1116&lt;=E1116,BB1116*(1-0.03),G1116&lt;(E1116+8),BB1116,AZ1116="Boleto",BB1116*(1+0.001)^DATEDIF(E1116,G1116,"D"),AZ1116="Cheque",BB1116,AZ1116="Dinheiro","Alterar forma pgto")</f>
        <v/>
      </c>
      <c r="BD1116" s="276" t="str" cm="1">
        <f t="array" ref="BD1116">IF(F1116=0," ",IF(BC1116&lt;BB1116,(_xlfn.IFS(AW1116="SIM",SUM(L1116,Q1116,V1116,AA1116,AF1116,AK1116,AP1116,AU1116)+AX1116/_xlfn.XLOOKUP(_xlfn.XLOOKUP($F1116,Clientes!$B$4:$B$39,Clientes!$C$4:$C$39),Cadastros!$L$6:$L$12,Cadastros!$M$6:$M$12)+IF($F1116="Bernardino Furlan",AY1116/2751.92,IF($F1116="Mauro José Salanti",AY1116/2751.92,AY1116/3356)),F1116&lt;&gt;0,SUM(L1116,Q1116,V1116,AA1116,AF1116,AK1116,AP1116,AU1116)))*(1-0.03),_xlfn.IFS(AW1116="SIM",SUM(L1116,Q1116,V1116,AA1116,AF1116,AK1116,AP1116,AU1116)+AX1116/_xlfn.XLOOKUP(_xlfn.XLOOKUP($F1116,Clientes!$B$4:$B$39,Clientes!$C$4:$C$39),Cadastros!$L$6:$L$12,Cadastros!$M$6:$M$12)+IF($F1116="Bernardino Furlan",AY1116/2751.92,IF($F1116="Mauro José Salanti",AY1116/2751.92,AY1116/3356)),F1116&lt;&gt;0,SUM(L1116,Q1116,V1116,AA1116,AF1116,AK1116,AP1116,AU1116))))</f>
        <v xml:space="preserve"> </v>
      </c>
      <c r="BE1116" s="120"/>
      <c r="BF1116" s="120"/>
      <c r="BG1116" s="120"/>
    </row>
    <row r="1117" spans="1:59" s="3" customFormat="1" x14ac:dyDescent="0.3">
      <c r="A1117" s="15" t="str">
        <f t="shared" si="221"/>
        <v/>
      </c>
      <c r="B1117" s="25"/>
      <c r="C1117" s="26"/>
      <c r="D1117" s="279"/>
      <c r="E1117" s="27"/>
      <c r="F1117" s="28"/>
      <c r="G1117" s="27"/>
      <c r="H1117" s="28"/>
      <c r="I1117" s="28"/>
      <c r="J1117" s="255" t="str">
        <f>IF(H1117="","",(_xlfn.XLOOKUP(H1117,Cadastros!$D$6:$D$90,Cadastros!$E$6:$E$90))*(1-_xlfn.XLOOKUP(_xlfn.XLOOKUP($F1117,Clientes!$B$4:$B$39,Clientes!$C$4:$C$39),Cadastros!$L$6:$L$12,Cadastros!$N$6:$N$12)))</f>
        <v/>
      </c>
      <c r="K1117" s="168" t="str">
        <f t="shared" si="222"/>
        <v/>
      </c>
      <c r="L1117" s="168" t="str">
        <f>IFERROR(K1117/_xlfn.XLOOKUP(_xlfn.XLOOKUP($F1117,Clientes!$B$4:$B$39,Clientes!$C$4:$C$39),Cadastros!$L$6:$L$12,Cadastros!$M$6:$M$12)," ")</f>
        <v xml:space="preserve"> </v>
      </c>
      <c r="M1117" s="28"/>
      <c r="N1117" s="28"/>
      <c r="O1117" s="255" t="str">
        <f>IF(M1117="","",(_xlfn.XLOOKUP(M1117,Cadastros!$D$6:$D$90,Cadastros!$E$6:$E$90))*(1-_xlfn.XLOOKUP(_xlfn.XLOOKUP($F1117,Clientes!$B$4:$B$39,Clientes!$C$4:$C$39),Cadastros!$L$6:$L$12,Cadastros!$N$6:$N$12)))</f>
        <v/>
      </c>
      <c r="P1117" s="168" t="str">
        <f t="shared" si="223"/>
        <v/>
      </c>
      <c r="Q1117" s="168" t="str">
        <f>IFERROR(P1117/_xlfn.XLOOKUP(_xlfn.XLOOKUP($F1117,Clientes!$B$4:$B$39,Clientes!$C$4:$C$39),Cadastros!$L$6:$L$12,Cadastros!$M$6:$M$12)," ")</f>
        <v xml:space="preserve"> </v>
      </c>
      <c r="R1117" s="28"/>
      <c r="S1117" s="28"/>
      <c r="T1117" s="255" t="str">
        <f>IF(R1117="","",(_xlfn.XLOOKUP(R1117,Cadastros!$D$6:$D$90,Cadastros!$E$6:$E$90))*(1-_xlfn.XLOOKUP(_xlfn.XLOOKUP($F1117,Clientes!$B$4:$B$39,Clientes!$C$4:$C$39),Cadastros!$L$6:$L$12,Cadastros!$N$6:$N$12)))</f>
        <v/>
      </c>
      <c r="U1117" s="168" t="str">
        <f t="shared" si="224"/>
        <v/>
      </c>
      <c r="V1117" s="168" t="str">
        <f>IFERROR(U1117/_xlfn.XLOOKUP(_xlfn.XLOOKUP($F1117,Clientes!$B$4:$B$39,Clientes!$C$4:$C$39),Cadastros!$L$6:$L$12,Cadastros!$M$6:$M$12)," ")</f>
        <v xml:space="preserve"> </v>
      </c>
      <c r="W1117" s="28"/>
      <c r="X1117" s="28"/>
      <c r="Y1117" s="255" t="str">
        <f>IF(W1117="","",(_xlfn.XLOOKUP(W1117,Cadastros!$D$6:$D$90,Cadastros!$E$6:$E$90))*(1-_xlfn.XLOOKUP(_xlfn.XLOOKUP($F1117,Clientes!$B$4:$B$39,Clientes!$C$4:$C$39),Cadastros!$L$6:$L$12,Cadastros!$N$6:$N$12)))</f>
        <v/>
      </c>
      <c r="Z1117" s="168" t="str">
        <f t="shared" si="225"/>
        <v/>
      </c>
      <c r="AA1117" s="168" t="str">
        <f>IFERROR(Z1117/_xlfn.XLOOKUP(_xlfn.XLOOKUP($F1117,Clientes!$B$4:$B$39,Clientes!$C$4:$C$39),Cadastros!$L$6:$L$12,Cadastros!$M$6:$M$12)," ")</f>
        <v xml:space="preserve"> </v>
      </c>
      <c r="AB1117" s="28"/>
      <c r="AC1117" s="28"/>
      <c r="AD1117" s="20" t="str">
        <f>IF(AB1117="","",IF($F1117="Bernardino Furlan",_xlfn.XLOOKUP(AB1117,Cadastros!$G$6:$G$90,Cadastros!$H$6:$H$90)*(1-0.18),IF($F1117="Mauro José Salanti",_xlfn.XLOOKUP(AB1117,Cadastros!$G$6:$G$90,Cadastros!$H$6:$H$90)*(1-0.18),_xlfn.XLOOKUP(AB1117,Cadastros!$G$6:$G$90,Cadastros!$H$6:$H$90))))</f>
        <v/>
      </c>
      <c r="AE1117" s="168" t="str">
        <f t="shared" si="226"/>
        <v/>
      </c>
      <c r="AF1117" s="168" t="str">
        <f t="shared" si="227"/>
        <v/>
      </c>
      <c r="AG1117" s="28"/>
      <c r="AH1117" s="28"/>
      <c r="AI1117" s="20" t="str">
        <f>IF(AG1117="","",IF($F1117="Bernardino Furlan",_xlfn.XLOOKUP(AG1117,Cadastros!$G$6:$G$90,Cadastros!$H$6:$H$90)*(1-0.18),IF($F1117="Mauro José Salanti",_xlfn.XLOOKUP(AG1117,Cadastros!$G$6:$G$90,Cadastros!$H$6:$H$90)*(1-0.18),_xlfn.XLOOKUP(AG1117,Cadastros!$G$6:$G$90,Cadastros!$H$6:$H$90))))</f>
        <v/>
      </c>
      <c r="AJ1117" s="168" t="str">
        <f t="shared" si="228"/>
        <v/>
      </c>
      <c r="AK1117" s="168" t="str">
        <f t="shared" si="229"/>
        <v/>
      </c>
      <c r="AL1117" s="28"/>
      <c r="AM1117" s="28"/>
      <c r="AN1117" s="20" t="str">
        <f>IF(AL1117="","",IF($F1117="Bernardino Furlan",_xlfn.XLOOKUP(AL1117,Cadastros!$G$6:$G$90,Cadastros!$H$6:$H$90)*(1-0.18),IF($F1117="Mauro José Salanti",_xlfn.XLOOKUP(AL1117,Cadastros!$G$6:$G$90,Cadastros!$H$6:$H$90)*(1-0.18),_xlfn.XLOOKUP(AL1117,Cadastros!$G$6:$G$90,Cadastros!$H$6:$H$90))))</f>
        <v/>
      </c>
      <c r="AO1117" s="168" t="str">
        <f t="shared" si="230"/>
        <v/>
      </c>
      <c r="AP1117" s="168" t="str">
        <f t="shared" si="231"/>
        <v/>
      </c>
      <c r="AQ1117" s="28"/>
      <c r="AR1117" s="28"/>
      <c r="AS1117" s="20" t="str">
        <f>IF(AQ1117="","",IF($F1117="Bernardino Furlan",_xlfn.XLOOKUP(AQ1117,Cadastros!$G$6:$G$90,Cadastros!$H$6:$H$90)*(1-0.18),IF($F1117="Mauro José Salanti",_xlfn.XLOOKUP(AQ1117,Cadastros!$G$6:$G$90,Cadastros!$H$6:$H$90)*(1-0.18),_xlfn.XLOOKUP(AQ1117,Cadastros!$G$6:$G$90,Cadastros!$H$6:$H$90))))</f>
        <v/>
      </c>
      <c r="AT1117" s="168" t="str">
        <f t="shared" si="232"/>
        <v/>
      </c>
      <c r="AU1117" s="168" t="str">
        <f t="shared" si="233"/>
        <v/>
      </c>
      <c r="AV1117" s="227"/>
      <c r="AW1117" s="30"/>
      <c r="AX1117" s="267"/>
      <c r="AY1117" s="267"/>
      <c r="AZ1117" s="29"/>
      <c r="BA1117" s="30"/>
      <c r="BB1117" s="23" t="str" cm="1">
        <f t="array" ref="BB1117">_xlfn.IFS(AW1117="SIM",SUM(K1117,P1117,U1117,Z1117,AE1117,AJ1117,AO1117,AT1117,AX1117,AY1117),F1117&lt;&gt;"",SUM(K1117,P1117,U1117,Z1117,AE1117,AJ1117,,AO1117,AT1117),F1117="","")</f>
        <v/>
      </c>
      <c r="BC1117" s="211" t="str" cm="1">
        <f t="array" ref="BC1117">_xlfn.IFS(E1117="","",G1117&lt;=E1117,BB1117*(1-0.03),G1117&lt;(E1117+8),BB1117,AZ1117="Boleto",BB1117*(1+0.001)^DATEDIF(E1117,G1117,"D"),AZ1117="Cheque",BB1117,AZ1117="Dinheiro","Alterar forma pgto")</f>
        <v/>
      </c>
      <c r="BD1117" s="276" t="str" cm="1">
        <f t="array" ref="BD1117">IF(F1117=0," ",IF(BC1117&lt;BB1117,(_xlfn.IFS(AW1117="SIM",SUM(L1117,Q1117,V1117,AA1117,AF1117,AK1117,AP1117,AU1117)+AX1117/_xlfn.XLOOKUP(_xlfn.XLOOKUP($F1117,Clientes!$B$4:$B$39,Clientes!$C$4:$C$39),Cadastros!$L$6:$L$12,Cadastros!$M$6:$M$12)+IF($F1117="Bernardino Furlan",AY1117/2751.92,IF($F1117="Mauro José Salanti",AY1117/2751.92,AY1117/3356)),F1117&lt;&gt;0,SUM(L1117,Q1117,V1117,AA1117,AF1117,AK1117,AP1117,AU1117)))*(1-0.03),_xlfn.IFS(AW1117="SIM",SUM(L1117,Q1117,V1117,AA1117,AF1117,AK1117,AP1117,AU1117)+AX1117/_xlfn.XLOOKUP(_xlfn.XLOOKUP($F1117,Clientes!$B$4:$B$39,Clientes!$C$4:$C$39),Cadastros!$L$6:$L$12,Cadastros!$M$6:$M$12)+IF($F1117="Bernardino Furlan",AY1117/2751.92,IF($F1117="Mauro José Salanti",AY1117/2751.92,AY1117/3356)),F1117&lt;&gt;0,SUM(L1117,Q1117,V1117,AA1117,AF1117,AK1117,AP1117,AU1117))))</f>
        <v xml:space="preserve"> </v>
      </c>
      <c r="BE1117" s="120"/>
      <c r="BF1117" s="120"/>
      <c r="BG1117" s="120"/>
    </row>
    <row r="1118" spans="1:59" s="3" customFormat="1" x14ac:dyDescent="0.3">
      <c r="A1118" s="15" t="str">
        <f t="shared" si="221"/>
        <v/>
      </c>
      <c r="B1118" s="25"/>
      <c r="C1118" s="26"/>
      <c r="D1118" s="279"/>
      <c r="E1118" s="27"/>
      <c r="F1118" s="28"/>
      <c r="G1118" s="27"/>
      <c r="H1118" s="28"/>
      <c r="I1118" s="28"/>
      <c r="J1118" s="255" t="str">
        <f>IF(H1118="","",(_xlfn.XLOOKUP(H1118,Cadastros!$D$6:$D$90,Cadastros!$E$6:$E$90))*(1-_xlfn.XLOOKUP(_xlfn.XLOOKUP($F1118,Clientes!$B$4:$B$39,Clientes!$C$4:$C$39),Cadastros!$L$6:$L$12,Cadastros!$N$6:$N$12)))</f>
        <v/>
      </c>
      <c r="K1118" s="168" t="str">
        <f t="shared" si="222"/>
        <v/>
      </c>
      <c r="L1118" s="168" t="str">
        <f>IFERROR(K1118/_xlfn.XLOOKUP(_xlfn.XLOOKUP($F1118,Clientes!$B$4:$B$39,Clientes!$C$4:$C$39),Cadastros!$L$6:$L$12,Cadastros!$M$6:$M$12)," ")</f>
        <v xml:space="preserve"> </v>
      </c>
      <c r="M1118" s="28"/>
      <c r="N1118" s="28"/>
      <c r="O1118" s="255" t="str">
        <f>IF(M1118="","",(_xlfn.XLOOKUP(M1118,Cadastros!$D$6:$D$90,Cadastros!$E$6:$E$90))*(1-_xlfn.XLOOKUP(_xlfn.XLOOKUP($F1118,Clientes!$B$4:$B$39,Clientes!$C$4:$C$39),Cadastros!$L$6:$L$12,Cadastros!$N$6:$N$12)))</f>
        <v/>
      </c>
      <c r="P1118" s="168" t="str">
        <f t="shared" si="223"/>
        <v/>
      </c>
      <c r="Q1118" s="168" t="str">
        <f>IFERROR(P1118/_xlfn.XLOOKUP(_xlfn.XLOOKUP($F1118,Clientes!$B$4:$B$39,Clientes!$C$4:$C$39),Cadastros!$L$6:$L$12,Cadastros!$M$6:$M$12)," ")</f>
        <v xml:space="preserve"> </v>
      </c>
      <c r="R1118" s="28"/>
      <c r="S1118" s="28"/>
      <c r="T1118" s="255" t="str">
        <f>IF(R1118="","",(_xlfn.XLOOKUP(R1118,Cadastros!$D$6:$D$90,Cadastros!$E$6:$E$90))*(1-_xlfn.XLOOKUP(_xlfn.XLOOKUP($F1118,Clientes!$B$4:$B$39,Clientes!$C$4:$C$39),Cadastros!$L$6:$L$12,Cadastros!$N$6:$N$12)))</f>
        <v/>
      </c>
      <c r="U1118" s="168" t="str">
        <f t="shared" si="224"/>
        <v/>
      </c>
      <c r="V1118" s="168" t="str">
        <f>IFERROR(U1118/_xlfn.XLOOKUP(_xlfn.XLOOKUP($F1118,Clientes!$B$4:$B$39,Clientes!$C$4:$C$39),Cadastros!$L$6:$L$12,Cadastros!$M$6:$M$12)," ")</f>
        <v xml:space="preserve"> </v>
      </c>
      <c r="W1118" s="28"/>
      <c r="X1118" s="28"/>
      <c r="Y1118" s="255" t="str">
        <f>IF(W1118="","",(_xlfn.XLOOKUP(W1118,Cadastros!$D$6:$D$90,Cadastros!$E$6:$E$90))*(1-_xlfn.XLOOKUP(_xlfn.XLOOKUP($F1118,Clientes!$B$4:$B$39,Clientes!$C$4:$C$39),Cadastros!$L$6:$L$12,Cadastros!$N$6:$N$12)))</f>
        <v/>
      </c>
      <c r="Z1118" s="168" t="str">
        <f t="shared" si="225"/>
        <v/>
      </c>
      <c r="AA1118" s="168" t="str">
        <f>IFERROR(Z1118/_xlfn.XLOOKUP(_xlfn.XLOOKUP($F1118,Clientes!$B$4:$B$39,Clientes!$C$4:$C$39),Cadastros!$L$6:$L$12,Cadastros!$M$6:$M$12)," ")</f>
        <v xml:space="preserve"> </v>
      </c>
      <c r="AB1118" s="28"/>
      <c r="AC1118" s="28"/>
      <c r="AD1118" s="20" t="str">
        <f>IF(AB1118="","",IF($F1118="Bernardino Furlan",_xlfn.XLOOKUP(AB1118,Cadastros!$G$6:$G$90,Cadastros!$H$6:$H$90)*(1-0.18),IF($F1118="Mauro José Salanti",_xlfn.XLOOKUP(AB1118,Cadastros!$G$6:$G$90,Cadastros!$H$6:$H$90)*(1-0.18),_xlfn.XLOOKUP(AB1118,Cadastros!$G$6:$G$90,Cadastros!$H$6:$H$90))))</f>
        <v/>
      </c>
      <c r="AE1118" s="168" t="str">
        <f t="shared" si="226"/>
        <v/>
      </c>
      <c r="AF1118" s="168" t="str">
        <f t="shared" si="227"/>
        <v/>
      </c>
      <c r="AG1118" s="28"/>
      <c r="AH1118" s="28"/>
      <c r="AI1118" s="20" t="str">
        <f>IF(AG1118="","",IF($F1118="Bernardino Furlan",_xlfn.XLOOKUP(AG1118,Cadastros!$G$6:$G$90,Cadastros!$H$6:$H$90)*(1-0.18),IF($F1118="Mauro José Salanti",_xlfn.XLOOKUP(AG1118,Cadastros!$G$6:$G$90,Cadastros!$H$6:$H$90)*(1-0.18),_xlfn.XLOOKUP(AG1118,Cadastros!$G$6:$G$90,Cadastros!$H$6:$H$90))))</f>
        <v/>
      </c>
      <c r="AJ1118" s="168" t="str">
        <f t="shared" si="228"/>
        <v/>
      </c>
      <c r="AK1118" s="168" t="str">
        <f t="shared" si="229"/>
        <v/>
      </c>
      <c r="AL1118" s="28"/>
      <c r="AM1118" s="28"/>
      <c r="AN1118" s="20" t="str">
        <f>IF(AL1118="","",IF($F1118="Bernardino Furlan",_xlfn.XLOOKUP(AL1118,Cadastros!$G$6:$G$90,Cadastros!$H$6:$H$90)*(1-0.18),IF($F1118="Mauro José Salanti",_xlfn.XLOOKUP(AL1118,Cadastros!$G$6:$G$90,Cadastros!$H$6:$H$90)*(1-0.18),_xlfn.XLOOKUP(AL1118,Cadastros!$G$6:$G$90,Cadastros!$H$6:$H$90))))</f>
        <v/>
      </c>
      <c r="AO1118" s="168" t="str">
        <f t="shared" si="230"/>
        <v/>
      </c>
      <c r="AP1118" s="168" t="str">
        <f t="shared" si="231"/>
        <v/>
      </c>
      <c r="AQ1118" s="28"/>
      <c r="AR1118" s="28"/>
      <c r="AS1118" s="20" t="str">
        <f>IF(AQ1118="","",IF($F1118="Bernardino Furlan",_xlfn.XLOOKUP(AQ1118,Cadastros!$G$6:$G$90,Cadastros!$H$6:$H$90)*(1-0.18),IF($F1118="Mauro José Salanti",_xlfn.XLOOKUP(AQ1118,Cadastros!$G$6:$G$90,Cadastros!$H$6:$H$90)*(1-0.18),_xlfn.XLOOKUP(AQ1118,Cadastros!$G$6:$G$90,Cadastros!$H$6:$H$90))))</f>
        <v/>
      </c>
      <c r="AT1118" s="168" t="str">
        <f t="shared" si="232"/>
        <v/>
      </c>
      <c r="AU1118" s="168" t="str">
        <f t="shared" si="233"/>
        <v/>
      </c>
      <c r="AV1118" s="227"/>
      <c r="AW1118" s="30"/>
      <c r="AX1118" s="267"/>
      <c r="AY1118" s="267"/>
      <c r="AZ1118" s="29"/>
      <c r="BA1118" s="30"/>
      <c r="BB1118" s="23" t="str" cm="1">
        <f t="array" ref="BB1118">_xlfn.IFS(AW1118="SIM",SUM(K1118,P1118,U1118,Z1118,AE1118,AJ1118,AO1118,AT1118,AX1118,AY1118),F1118&lt;&gt;"",SUM(K1118,P1118,U1118,Z1118,AE1118,AJ1118,,AO1118,AT1118),F1118="","")</f>
        <v/>
      </c>
      <c r="BC1118" s="211" t="str" cm="1">
        <f t="array" ref="BC1118">_xlfn.IFS(E1118="","",G1118&lt;=E1118,BB1118*(1-0.03),G1118&lt;(E1118+8),BB1118,AZ1118="Boleto",BB1118*(1+0.001)^DATEDIF(E1118,G1118,"D"),AZ1118="Cheque",BB1118,AZ1118="Dinheiro","Alterar forma pgto")</f>
        <v/>
      </c>
      <c r="BD1118" s="276" t="str" cm="1">
        <f t="array" ref="BD1118">IF(F1118=0," ",IF(BC1118&lt;BB1118,(_xlfn.IFS(AW1118="SIM",SUM(L1118,Q1118,V1118,AA1118,AF1118,AK1118,AP1118,AU1118)+AX1118/_xlfn.XLOOKUP(_xlfn.XLOOKUP($F1118,Clientes!$B$4:$B$39,Clientes!$C$4:$C$39),Cadastros!$L$6:$L$12,Cadastros!$M$6:$M$12)+IF($F1118="Bernardino Furlan",AY1118/2751.92,IF($F1118="Mauro José Salanti",AY1118/2751.92,AY1118/3356)),F1118&lt;&gt;0,SUM(L1118,Q1118,V1118,AA1118,AF1118,AK1118,AP1118,AU1118)))*(1-0.03),_xlfn.IFS(AW1118="SIM",SUM(L1118,Q1118,V1118,AA1118,AF1118,AK1118,AP1118,AU1118)+AX1118/_xlfn.XLOOKUP(_xlfn.XLOOKUP($F1118,Clientes!$B$4:$B$39,Clientes!$C$4:$C$39),Cadastros!$L$6:$L$12,Cadastros!$M$6:$M$12)+IF($F1118="Bernardino Furlan",AY1118/2751.92,IF($F1118="Mauro José Salanti",AY1118/2751.92,AY1118/3356)),F1118&lt;&gt;0,SUM(L1118,Q1118,V1118,AA1118,AF1118,AK1118,AP1118,AU1118))))</f>
        <v xml:space="preserve"> </v>
      </c>
      <c r="BE1118" s="120"/>
      <c r="BF1118" s="120"/>
      <c r="BG1118" s="120"/>
    </row>
    <row r="1119" spans="1:59" s="3" customFormat="1" x14ac:dyDescent="0.3">
      <c r="A1119" s="15" t="str">
        <f t="shared" si="221"/>
        <v/>
      </c>
      <c r="B1119" s="25"/>
      <c r="C1119" s="26"/>
      <c r="D1119" s="279"/>
      <c r="E1119" s="27"/>
      <c r="F1119" s="28"/>
      <c r="G1119" s="27"/>
      <c r="H1119" s="28"/>
      <c r="I1119" s="28"/>
      <c r="J1119" s="255" t="str">
        <f>IF(H1119="","",(_xlfn.XLOOKUP(H1119,Cadastros!$D$6:$D$90,Cadastros!$E$6:$E$90))*(1-_xlfn.XLOOKUP(_xlfn.XLOOKUP($F1119,Clientes!$B$4:$B$39,Clientes!$C$4:$C$39),Cadastros!$L$6:$L$12,Cadastros!$N$6:$N$12)))</f>
        <v/>
      </c>
      <c r="K1119" s="168" t="str">
        <f t="shared" si="222"/>
        <v/>
      </c>
      <c r="L1119" s="168" t="str">
        <f>IFERROR(K1119/_xlfn.XLOOKUP(_xlfn.XLOOKUP($F1119,Clientes!$B$4:$B$39,Clientes!$C$4:$C$39),Cadastros!$L$6:$L$12,Cadastros!$M$6:$M$12)," ")</f>
        <v xml:space="preserve"> </v>
      </c>
      <c r="M1119" s="28"/>
      <c r="N1119" s="28"/>
      <c r="O1119" s="255" t="str">
        <f>IF(M1119="","",(_xlfn.XLOOKUP(M1119,Cadastros!$D$6:$D$90,Cadastros!$E$6:$E$90))*(1-_xlfn.XLOOKUP(_xlfn.XLOOKUP($F1119,Clientes!$B$4:$B$39,Clientes!$C$4:$C$39),Cadastros!$L$6:$L$12,Cadastros!$N$6:$N$12)))</f>
        <v/>
      </c>
      <c r="P1119" s="168" t="str">
        <f t="shared" si="223"/>
        <v/>
      </c>
      <c r="Q1119" s="168" t="str">
        <f>IFERROR(P1119/_xlfn.XLOOKUP(_xlfn.XLOOKUP($F1119,Clientes!$B$4:$B$39,Clientes!$C$4:$C$39),Cadastros!$L$6:$L$12,Cadastros!$M$6:$M$12)," ")</f>
        <v xml:space="preserve"> </v>
      </c>
      <c r="R1119" s="28"/>
      <c r="S1119" s="28"/>
      <c r="T1119" s="255" t="str">
        <f>IF(R1119="","",(_xlfn.XLOOKUP(R1119,Cadastros!$D$6:$D$90,Cadastros!$E$6:$E$90))*(1-_xlfn.XLOOKUP(_xlfn.XLOOKUP($F1119,Clientes!$B$4:$B$39,Clientes!$C$4:$C$39),Cadastros!$L$6:$L$12,Cadastros!$N$6:$N$12)))</f>
        <v/>
      </c>
      <c r="U1119" s="168" t="str">
        <f t="shared" si="224"/>
        <v/>
      </c>
      <c r="V1119" s="168" t="str">
        <f>IFERROR(U1119/_xlfn.XLOOKUP(_xlfn.XLOOKUP($F1119,Clientes!$B$4:$B$39,Clientes!$C$4:$C$39),Cadastros!$L$6:$L$12,Cadastros!$M$6:$M$12)," ")</f>
        <v xml:space="preserve"> </v>
      </c>
      <c r="W1119" s="28"/>
      <c r="X1119" s="28"/>
      <c r="Y1119" s="255" t="str">
        <f>IF(W1119="","",(_xlfn.XLOOKUP(W1119,Cadastros!$D$6:$D$90,Cadastros!$E$6:$E$90))*(1-_xlfn.XLOOKUP(_xlfn.XLOOKUP($F1119,Clientes!$B$4:$B$39,Clientes!$C$4:$C$39),Cadastros!$L$6:$L$12,Cadastros!$N$6:$N$12)))</f>
        <v/>
      </c>
      <c r="Z1119" s="168" t="str">
        <f t="shared" si="225"/>
        <v/>
      </c>
      <c r="AA1119" s="168" t="str">
        <f>IFERROR(Z1119/_xlfn.XLOOKUP(_xlfn.XLOOKUP($F1119,Clientes!$B$4:$B$39,Clientes!$C$4:$C$39),Cadastros!$L$6:$L$12,Cadastros!$M$6:$M$12)," ")</f>
        <v xml:space="preserve"> </v>
      </c>
      <c r="AB1119" s="28"/>
      <c r="AC1119" s="28"/>
      <c r="AD1119" s="20" t="str">
        <f>IF(AB1119="","",IF($F1119="Bernardino Furlan",_xlfn.XLOOKUP(AB1119,Cadastros!$G$6:$G$90,Cadastros!$H$6:$H$90)*(1-0.18),IF($F1119="Mauro José Salanti",_xlfn.XLOOKUP(AB1119,Cadastros!$G$6:$G$90,Cadastros!$H$6:$H$90)*(1-0.18),_xlfn.XLOOKUP(AB1119,Cadastros!$G$6:$G$90,Cadastros!$H$6:$H$90))))</f>
        <v/>
      </c>
      <c r="AE1119" s="168" t="str">
        <f t="shared" si="226"/>
        <v/>
      </c>
      <c r="AF1119" s="168" t="str">
        <f t="shared" si="227"/>
        <v/>
      </c>
      <c r="AG1119" s="28"/>
      <c r="AH1119" s="28"/>
      <c r="AI1119" s="20" t="str">
        <f>IF(AG1119="","",IF($F1119="Bernardino Furlan",_xlfn.XLOOKUP(AG1119,Cadastros!$G$6:$G$90,Cadastros!$H$6:$H$90)*(1-0.18),IF($F1119="Mauro José Salanti",_xlfn.XLOOKUP(AG1119,Cadastros!$G$6:$G$90,Cadastros!$H$6:$H$90)*(1-0.18),_xlfn.XLOOKUP(AG1119,Cadastros!$G$6:$G$90,Cadastros!$H$6:$H$90))))</f>
        <v/>
      </c>
      <c r="AJ1119" s="168" t="str">
        <f t="shared" si="228"/>
        <v/>
      </c>
      <c r="AK1119" s="168" t="str">
        <f t="shared" si="229"/>
        <v/>
      </c>
      <c r="AL1119" s="28"/>
      <c r="AM1119" s="28"/>
      <c r="AN1119" s="20" t="str">
        <f>IF(AL1119="","",IF($F1119="Bernardino Furlan",_xlfn.XLOOKUP(AL1119,Cadastros!$G$6:$G$90,Cadastros!$H$6:$H$90)*(1-0.18),IF($F1119="Mauro José Salanti",_xlfn.XLOOKUP(AL1119,Cadastros!$G$6:$G$90,Cadastros!$H$6:$H$90)*(1-0.18),_xlfn.XLOOKUP(AL1119,Cadastros!$G$6:$G$90,Cadastros!$H$6:$H$90))))</f>
        <v/>
      </c>
      <c r="AO1119" s="168" t="str">
        <f t="shared" si="230"/>
        <v/>
      </c>
      <c r="AP1119" s="168" t="str">
        <f t="shared" si="231"/>
        <v/>
      </c>
      <c r="AQ1119" s="28"/>
      <c r="AR1119" s="28"/>
      <c r="AS1119" s="20" t="str">
        <f>IF(AQ1119="","",IF($F1119="Bernardino Furlan",_xlfn.XLOOKUP(AQ1119,Cadastros!$G$6:$G$90,Cadastros!$H$6:$H$90)*(1-0.18),IF($F1119="Mauro José Salanti",_xlfn.XLOOKUP(AQ1119,Cadastros!$G$6:$G$90,Cadastros!$H$6:$H$90)*(1-0.18),_xlfn.XLOOKUP(AQ1119,Cadastros!$G$6:$G$90,Cadastros!$H$6:$H$90))))</f>
        <v/>
      </c>
      <c r="AT1119" s="168" t="str">
        <f t="shared" si="232"/>
        <v/>
      </c>
      <c r="AU1119" s="168" t="str">
        <f t="shared" si="233"/>
        <v/>
      </c>
      <c r="AV1119" s="227"/>
      <c r="AW1119" s="30"/>
      <c r="AX1119" s="267"/>
      <c r="AY1119" s="267"/>
      <c r="AZ1119" s="29"/>
      <c r="BA1119" s="30"/>
      <c r="BB1119" s="23" t="str" cm="1">
        <f t="array" ref="BB1119">_xlfn.IFS(AW1119="SIM",SUM(K1119,P1119,U1119,Z1119,AE1119,AJ1119,AO1119,AT1119,AX1119,AY1119),F1119&lt;&gt;"",SUM(K1119,P1119,U1119,Z1119,AE1119,AJ1119,,AO1119,AT1119),F1119="","")</f>
        <v/>
      </c>
      <c r="BC1119" s="211" t="str" cm="1">
        <f t="array" ref="BC1119">_xlfn.IFS(E1119="","",G1119&lt;=E1119,BB1119*(1-0.03),G1119&lt;(E1119+8),BB1119,AZ1119="Boleto",BB1119*(1+0.001)^DATEDIF(E1119,G1119,"D"),AZ1119="Cheque",BB1119,AZ1119="Dinheiro","Alterar forma pgto")</f>
        <v/>
      </c>
      <c r="BD1119" s="276" t="str" cm="1">
        <f t="array" ref="BD1119">IF(F1119=0," ",IF(BC1119&lt;BB1119,(_xlfn.IFS(AW1119="SIM",SUM(L1119,Q1119,V1119,AA1119,AF1119,AK1119,AP1119,AU1119)+AX1119/_xlfn.XLOOKUP(_xlfn.XLOOKUP($F1119,Clientes!$B$4:$B$39,Clientes!$C$4:$C$39),Cadastros!$L$6:$L$12,Cadastros!$M$6:$M$12)+IF($F1119="Bernardino Furlan",AY1119/2751.92,IF($F1119="Mauro José Salanti",AY1119/2751.92,AY1119/3356)),F1119&lt;&gt;0,SUM(L1119,Q1119,V1119,AA1119,AF1119,AK1119,AP1119,AU1119)))*(1-0.03),_xlfn.IFS(AW1119="SIM",SUM(L1119,Q1119,V1119,AA1119,AF1119,AK1119,AP1119,AU1119)+AX1119/_xlfn.XLOOKUP(_xlfn.XLOOKUP($F1119,Clientes!$B$4:$B$39,Clientes!$C$4:$C$39),Cadastros!$L$6:$L$12,Cadastros!$M$6:$M$12)+IF($F1119="Bernardino Furlan",AY1119/2751.92,IF($F1119="Mauro José Salanti",AY1119/2751.92,AY1119/3356)),F1119&lt;&gt;0,SUM(L1119,Q1119,V1119,AA1119,AF1119,AK1119,AP1119,AU1119))))</f>
        <v xml:space="preserve"> </v>
      </c>
      <c r="BE1119" s="120"/>
      <c r="BF1119" s="120"/>
      <c r="BG1119" s="120"/>
    </row>
    <row r="1120" spans="1:59" s="3" customFormat="1" x14ac:dyDescent="0.3">
      <c r="A1120" s="15" t="str">
        <f t="shared" si="221"/>
        <v/>
      </c>
      <c r="B1120" s="25"/>
      <c r="C1120" s="26"/>
      <c r="D1120" s="279"/>
      <c r="E1120" s="27"/>
      <c r="F1120" s="28"/>
      <c r="G1120" s="27"/>
      <c r="H1120" s="28"/>
      <c r="I1120" s="28"/>
      <c r="J1120" s="255" t="str">
        <f>IF(H1120="","",(_xlfn.XLOOKUP(H1120,Cadastros!$D$6:$D$90,Cadastros!$E$6:$E$90))*(1-_xlfn.XLOOKUP(_xlfn.XLOOKUP($F1120,Clientes!$B$4:$B$39,Clientes!$C$4:$C$39),Cadastros!$L$6:$L$12,Cadastros!$N$6:$N$12)))</f>
        <v/>
      </c>
      <c r="K1120" s="168" t="str">
        <f t="shared" si="222"/>
        <v/>
      </c>
      <c r="L1120" s="168" t="str">
        <f>IFERROR(K1120/_xlfn.XLOOKUP(_xlfn.XLOOKUP($F1120,Clientes!$B$4:$B$39,Clientes!$C$4:$C$39),Cadastros!$L$6:$L$12,Cadastros!$M$6:$M$12)," ")</f>
        <v xml:space="preserve"> </v>
      </c>
      <c r="M1120" s="28"/>
      <c r="N1120" s="28"/>
      <c r="O1120" s="255" t="str">
        <f>IF(M1120="","",(_xlfn.XLOOKUP(M1120,Cadastros!$D$6:$D$90,Cadastros!$E$6:$E$90))*(1-_xlfn.XLOOKUP(_xlfn.XLOOKUP($F1120,Clientes!$B$4:$B$39,Clientes!$C$4:$C$39),Cadastros!$L$6:$L$12,Cadastros!$N$6:$N$12)))</f>
        <v/>
      </c>
      <c r="P1120" s="168" t="str">
        <f t="shared" si="223"/>
        <v/>
      </c>
      <c r="Q1120" s="168" t="str">
        <f>IFERROR(P1120/_xlfn.XLOOKUP(_xlfn.XLOOKUP($F1120,Clientes!$B$4:$B$39,Clientes!$C$4:$C$39),Cadastros!$L$6:$L$12,Cadastros!$M$6:$M$12)," ")</f>
        <v xml:space="preserve"> </v>
      </c>
      <c r="R1120" s="28"/>
      <c r="S1120" s="28"/>
      <c r="T1120" s="255" t="str">
        <f>IF(R1120="","",(_xlfn.XLOOKUP(R1120,Cadastros!$D$6:$D$90,Cadastros!$E$6:$E$90))*(1-_xlfn.XLOOKUP(_xlfn.XLOOKUP($F1120,Clientes!$B$4:$B$39,Clientes!$C$4:$C$39),Cadastros!$L$6:$L$12,Cadastros!$N$6:$N$12)))</f>
        <v/>
      </c>
      <c r="U1120" s="168" t="str">
        <f t="shared" si="224"/>
        <v/>
      </c>
      <c r="V1120" s="168" t="str">
        <f>IFERROR(U1120/_xlfn.XLOOKUP(_xlfn.XLOOKUP($F1120,Clientes!$B$4:$B$39,Clientes!$C$4:$C$39),Cadastros!$L$6:$L$12,Cadastros!$M$6:$M$12)," ")</f>
        <v xml:space="preserve"> </v>
      </c>
      <c r="W1120" s="28"/>
      <c r="X1120" s="28"/>
      <c r="Y1120" s="255" t="str">
        <f>IF(W1120="","",(_xlfn.XLOOKUP(W1120,Cadastros!$D$6:$D$90,Cadastros!$E$6:$E$90))*(1-_xlfn.XLOOKUP(_xlfn.XLOOKUP($F1120,Clientes!$B$4:$B$39,Clientes!$C$4:$C$39),Cadastros!$L$6:$L$12,Cadastros!$N$6:$N$12)))</f>
        <v/>
      </c>
      <c r="Z1120" s="168" t="str">
        <f t="shared" si="225"/>
        <v/>
      </c>
      <c r="AA1120" s="168" t="str">
        <f>IFERROR(Z1120/_xlfn.XLOOKUP(_xlfn.XLOOKUP($F1120,Clientes!$B$4:$B$39,Clientes!$C$4:$C$39),Cadastros!$L$6:$L$12,Cadastros!$M$6:$M$12)," ")</f>
        <v xml:space="preserve"> </v>
      </c>
      <c r="AB1120" s="28"/>
      <c r="AC1120" s="28"/>
      <c r="AD1120" s="20" t="str">
        <f>IF(AB1120="","",IF($F1120="Bernardino Furlan",_xlfn.XLOOKUP(AB1120,Cadastros!$G$6:$G$90,Cadastros!$H$6:$H$90)*(1-0.18),IF($F1120="Mauro José Salanti",_xlfn.XLOOKUP(AB1120,Cadastros!$G$6:$G$90,Cadastros!$H$6:$H$90)*(1-0.18),_xlfn.XLOOKUP(AB1120,Cadastros!$G$6:$G$90,Cadastros!$H$6:$H$90))))</f>
        <v/>
      </c>
      <c r="AE1120" s="168" t="str">
        <f t="shared" si="226"/>
        <v/>
      </c>
      <c r="AF1120" s="168" t="str">
        <f t="shared" si="227"/>
        <v/>
      </c>
      <c r="AG1120" s="28"/>
      <c r="AH1120" s="28"/>
      <c r="AI1120" s="20" t="str">
        <f>IF(AG1120="","",IF($F1120="Bernardino Furlan",_xlfn.XLOOKUP(AG1120,Cadastros!$G$6:$G$90,Cadastros!$H$6:$H$90)*(1-0.18),IF($F1120="Mauro José Salanti",_xlfn.XLOOKUP(AG1120,Cadastros!$G$6:$G$90,Cadastros!$H$6:$H$90)*(1-0.18),_xlfn.XLOOKUP(AG1120,Cadastros!$G$6:$G$90,Cadastros!$H$6:$H$90))))</f>
        <v/>
      </c>
      <c r="AJ1120" s="168" t="str">
        <f t="shared" si="228"/>
        <v/>
      </c>
      <c r="AK1120" s="168" t="str">
        <f t="shared" si="229"/>
        <v/>
      </c>
      <c r="AL1120" s="28"/>
      <c r="AM1120" s="28"/>
      <c r="AN1120" s="20" t="str">
        <f>IF(AL1120="","",IF($F1120="Bernardino Furlan",_xlfn.XLOOKUP(AL1120,Cadastros!$G$6:$G$90,Cadastros!$H$6:$H$90)*(1-0.18),IF($F1120="Mauro José Salanti",_xlfn.XLOOKUP(AL1120,Cadastros!$G$6:$G$90,Cadastros!$H$6:$H$90)*(1-0.18),_xlfn.XLOOKUP(AL1120,Cadastros!$G$6:$G$90,Cadastros!$H$6:$H$90))))</f>
        <v/>
      </c>
      <c r="AO1120" s="168" t="str">
        <f t="shared" si="230"/>
        <v/>
      </c>
      <c r="AP1120" s="168" t="str">
        <f t="shared" si="231"/>
        <v/>
      </c>
      <c r="AQ1120" s="28"/>
      <c r="AR1120" s="28"/>
      <c r="AS1120" s="20" t="str">
        <f>IF(AQ1120="","",IF($F1120="Bernardino Furlan",_xlfn.XLOOKUP(AQ1120,Cadastros!$G$6:$G$90,Cadastros!$H$6:$H$90)*(1-0.18),IF($F1120="Mauro José Salanti",_xlfn.XLOOKUP(AQ1120,Cadastros!$G$6:$G$90,Cadastros!$H$6:$H$90)*(1-0.18),_xlfn.XLOOKUP(AQ1120,Cadastros!$G$6:$G$90,Cadastros!$H$6:$H$90))))</f>
        <v/>
      </c>
      <c r="AT1120" s="168" t="str">
        <f t="shared" si="232"/>
        <v/>
      </c>
      <c r="AU1120" s="168" t="str">
        <f t="shared" si="233"/>
        <v/>
      </c>
      <c r="AV1120" s="227"/>
      <c r="AW1120" s="30"/>
      <c r="AX1120" s="267"/>
      <c r="AY1120" s="267"/>
      <c r="AZ1120" s="29"/>
      <c r="BA1120" s="30"/>
      <c r="BB1120" s="23" t="str" cm="1">
        <f t="array" ref="BB1120">_xlfn.IFS(AW1120="SIM",SUM(K1120,P1120,U1120,Z1120,AE1120,AJ1120,AO1120,AT1120,AX1120,AY1120),F1120&lt;&gt;"",SUM(K1120,P1120,U1120,Z1120,AE1120,AJ1120,,AO1120,AT1120),F1120="","")</f>
        <v/>
      </c>
      <c r="BC1120" s="211" t="str" cm="1">
        <f t="array" ref="BC1120">_xlfn.IFS(E1120="","",G1120&lt;=E1120,BB1120*(1-0.03),G1120&lt;(E1120+8),BB1120,AZ1120="Boleto",BB1120*(1+0.001)^DATEDIF(E1120,G1120,"D"),AZ1120="Cheque",BB1120,AZ1120="Dinheiro","Alterar forma pgto")</f>
        <v/>
      </c>
      <c r="BD1120" s="276" t="str" cm="1">
        <f t="array" ref="BD1120">IF(F1120=0," ",IF(BC1120&lt;BB1120,(_xlfn.IFS(AW1120="SIM",SUM(L1120,Q1120,V1120,AA1120,AF1120,AK1120,AP1120,AU1120)+AX1120/_xlfn.XLOOKUP(_xlfn.XLOOKUP($F1120,Clientes!$B$4:$B$39,Clientes!$C$4:$C$39),Cadastros!$L$6:$L$12,Cadastros!$M$6:$M$12)+IF($F1120="Bernardino Furlan",AY1120/2751.92,IF($F1120="Mauro José Salanti",AY1120/2751.92,AY1120/3356)),F1120&lt;&gt;0,SUM(L1120,Q1120,V1120,AA1120,AF1120,AK1120,AP1120,AU1120)))*(1-0.03),_xlfn.IFS(AW1120="SIM",SUM(L1120,Q1120,V1120,AA1120,AF1120,AK1120,AP1120,AU1120)+AX1120/_xlfn.XLOOKUP(_xlfn.XLOOKUP($F1120,Clientes!$B$4:$B$39,Clientes!$C$4:$C$39),Cadastros!$L$6:$L$12,Cadastros!$M$6:$M$12)+IF($F1120="Bernardino Furlan",AY1120/2751.92,IF($F1120="Mauro José Salanti",AY1120/2751.92,AY1120/3356)),F1120&lt;&gt;0,SUM(L1120,Q1120,V1120,AA1120,AF1120,AK1120,AP1120,AU1120))))</f>
        <v xml:space="preserve"> </v>
      </c>
      <c r="BE1120" s="120"/>
      <c r="BF1120" s="120"/>
      <c r="BG1120" s="120"/>
    </row>
    <row r="1121" spans="1:59" s="3" customFormat="1" x14ac:dyDescent="0.3">
      <c r="A1121" s="15" t="str">
        <f t="shared" si="221"/>
        <v/>
      </c>
      <c r="B1121" s="25"/>
      <c r="C1121" s="26"/>
      <c r="D1121" s="279"/>
      <c r="E1121" s="27"/>
      <c r="F1121" s="28"/>
      <c r="G1121" s="27"/>
      <c r="H1121" s="28"/>
      <c r="I1121" s="28"/>
      <c r="J1121" s="255" t="str">
        <f>IF(H1121="","",(_xlfn.XLOOKUP(H1121,Cadastros!$D$6:$D$90,Cadastros!$E$6:$E$90))*(1-_xlfn.XLOOKUP(_xlfn.XLOOKUP($F1121,Clientes!$B$4:$B$39,Clientes!$C$4:$C$39),Cadastros!$L$6:$L$12,Cadastros!$N$6:$N$12)))</f>
        <v/>
      </c>
      <c r="K1121" s="168" t="str">
        <f t="shared" si="222"/>
        <v/>
      </c>
      <c r="L1121" s="168" t="str">
        <f>IFERROR(K1121/_xlfn.XLOOKUP(_xlfn.XLOOKUP($F1121,Clientes!$B$4:$B$39,Clientes!$C$4:$C$39),Cadastros!$L$6:$L$12,Cadastros!$M$6:$M$12)," ")</f>
        <v xml:space="preserve"> </v>
      </c>
      <c r="M1121" s="28"/>
      <c r="N1121" s="28"/>
      <c r="O1121" s="255" t="str">
        <f>IF(M1121="","",(_xlfn.XLOOKUP(M1121,Cadastros!$D$6:$D$90,Cadastros!$E$6:$E$90))*(1-_xlfn.XLOOKUP(_xlfn.XLOOKUP($F1121,Clientes!$B$4:$B$39,Clientes!$C$4:$C$39),Cadastros!$L$6:$L$12,Cadastros!$N$6:$N$12)))</f>
        <v/>
      </c>
      <c r="P1121" s="168" t="str">
        <f t="shared" si="223"/>
        <v/>
      </c>
      <c r="Q1121" s="168" t="str">
        <f>IFERROR(P1121/_xlfn.XLOOKUP(_xlfn.XLOOKUP($F1121,Clientes!$B$4:$B$39,Clientes!$C$4:$C$39),Cadastros!$L$6:$L$12,Cadastros!$M$6:$M$12)," ")</f>
        <v xml:space="preserve"> </v>
      </c>
      <c r="R1121" s="28"/>
      <c r="S1121" s="28"/>
      <c r="T1121" s="255" t="str">
        <f>IF(R1121="","",(_xlfn.XLOOKUP(R1121,Cadastros!$D$6:$D$90,Cadastros!$E$6:$E$90))*(1-_xlfn.XLOOKUP(_xlfn.XLOOKUP($F1121,Clientes!$B$4:$B$39,Clientes!$C$4:$C$39),Cadastros!$L$6:$L$12,Cadastros!$N$6:$N$12)))</f>
        <v/>
      </c>
      <c r="U1121" s="168" t="str">
        <f t="shared" si="224"/>
        <v/>
      </c>
      <c r="V1121" s="168" t="str">
        <f>IFERROR(U1121/_xlfn.XLOOKUP(_xlfn.XLOOKUP($F1121,Clientes!$B$4:$B$39,Clientes!$C$4:$C$39),Cadastros!$L$6:$L$12,Cadastros!$M$6:$M$12)," ")</f>
        <v xml:space="preserve"> </v>
      </c>
      <c r="W1121" s="28"/>
      <c r="X1121" s="28"/>
      <c r="Y1121" s="255" t="str">
        <f>IF(W1121="","",(_xlfn.XLOOKUP(W1121,Cadastros!$D$6:$D$90,Cadastros!$E$6:$E$90))*(1-_xlfn.XLOOKUP(_xlfn.XLOOKUP($F1121,Clientes!$B$4:$B$39,Clientes!$C$4:$C$39),Cadastros!$L$6:$L$12,Cadastros!$N$6:$N$12)))</f>
        <v/>
      </c>
      <c r="Z1121" s="168" t="str">
        <f t="shared" si="225"/>
        <v/>
      </c>
      <c r="AA1121" s="168" t="str">
        <f>IFERROR(Z1121/_xlfn.XLOOKUP(_xlfn.XLOOKUP($F1121,Clientes!$B$4:$B$39,Clientes!$C$4:$C$39),Cadastros!$L$6:$L$12,Cadastros!$M$6:$M$12)," ")</f>
        <v xml:space="preserve"> </v>
      </c>
      <c r="AB1121" s="28"/>
      <c r="AC1121" s="28"/>
      <c r="AD1121" s="20" t="str">
        <f>IF(AB1121="","",IF($F1121="Bernardino Furlan",_xlfn.XLOOKUP(AB1121,Cadastros!$G$6:$G$90,Cadastros!$H$6:$H$90)*(1-0.18),IF($F1121="Mauro José Salanti",_xlfn.XLOOKUP(AB1121,Cadastros!$G$6:$G$90,Cadastros!$H$6:$H$90)*(1-0.18),_xlfn.XLOOKUP(AB1121,Cadastros!$G$6:$G$90,Cadastros!$H$6:$H$90))))</f>
        <v/>
      </c>
      <c r="AE1121" s="168" t="str">
        <f t="shared" si="226"/>
        <v/>
      </c>
      <c r="AF1121" s="168" t="str">
        <f t="shared" si="227"/>
        <v/>
      </c>
      <c r="AG1121" s="28"/>
      <c r="AH1121" s="28"/>
      <c r="AI1121" s="20" t="str">
        <f>IF(AG1121="","",IF($F1121="Bernardino Furlan",_xlfn.XLOOKUP(AG1121,Cadastros!$G$6:$G$90,Cadastros!$H$6:$H$90)*(1-0.18),IF($F1121="Mauro José Salanti",_xlfn.XLOOKUP(AG1121,Cadastros!$G$6:$G$90,Cadastros!$H$6:$H$90)*(1-0.18),_xlfn.XLOOKUP(AG1121,Cadastros!$G$6:$G$90,Cadastros!$H$6:$H$90))))</f>
        <v/>
      </c>
      <c r="AJ1121" s="168" t="str">
        <f t="shared" si="228"/>
        <v/>
      </c>
      <c r="AK1121" s="168" t="str">
        <f t="shared" si="229"/>
        <v/>
      </c>
      <c r="AL1121" s="28"/>
      <c r="AM1121" s="28"/>
      <c r="AN1121" s="20" t="str">
        <f>IF(AL1121="","",IF($F1121="Bernardino Furlan",_xlfn.XLOOKUP(AL1121,Cadastros!$G$6:$G$90,Cadastros!$H$6:$H$90)*(1-0.18),IF($F1121="Mauro José Salanti",_xlfn.XLOOKUP(AL1121,Cadastros!$G$6:$G$90,Cadastros!$H$6:$H$90)*(1-0.18),_xlfn.XLOOKUP(AL1121,Cadastros!$G$6:$G$90,Cadastros!$H$6:$H$90))))</f>
        <v/>
      </c>
      <c r="AO1121" s="168" t="str">
        <f t="shared" si="230"/>
        <v/>
      </c>
      <c r="AP1121" s="168" t="str">
        <f t="shared" si="231"/>
        <v/>
      </c>
      <c r="AQ1121" s="28"/>
      <c r="AR1121" s="28"/>
      <c r="AS1121" s="20" t="str">
        <f>IF(AQ1121="","",IF($F1121="Bernardino Furlan",_xlfn.XLOOKUP(AQ1121,Cadastros!$G$6:$G$90,Cadastros!$H$6:$H$90)*(1-0.18),IF($F1121="Mauro José Salanti",_xlfn.XLOOKUP(AQ1121,Cadastros!$G$6:$G$90,Cadastros!$H$6:$H$90)*(1-0.18),_xlfn.XLOOKUP(AQ1121,Cadastros!$G$6:$G$90,Cadastros!$H$6:$H$90))))</f>
        <v/>
      </c>
      <c r="AT1121" s="168" t="str">
        <f t="shared" si="232"/>
        <v/>
      </c>
      <c r="AU1121" s="168" t="str">
        <f t="shared" si="233"/>
        <v/>
      </c>
      <c r="AV1121" s="227"/>
      <c r="AW1121" s="30"/>
      <c r="AX1121" s="267"/>
      <c r="AY1121" s="267"/>
      <c r="AZ1121" s="29"/>
      <c r="BA1121" s="30"/>
      <c r="BB1121" s="23" t="str" cm="1">
        <f t="array" ref="BB1121">_xlfn.IFS(AW1121="SIM",SUM(K1121,P1121,U1121,Z1121,AE1121,AJ1121,AO1121,AT1121,AX1121,AY1121),F1121&lt;&gt;"",SUM(K1121,P1121,U1121,Z1121,AE1121,AJ1121,,AO1121,AT1121),F1121="","")</f>
        <v/>
      </c>
      <c r="BC1121" s="211" t="str" cm="1">
        <f t="array" ref="BC1121">_xlfn.IFS(E1121="","",G1121&lt;=E1121,BB1121*(1-0.03),G1121&lt;(E1121+8),BB1121,AZ1121="Boleto",BB1121*(1+0.001)^DATEDIF(E1121,G1121,"D"),AZ1121="Cheque",BB1121,AZ1121="Dinheiro","Alterar forma pgto")</f>
        <v/>
      </c>
      <c r="BD1121" s="276" t="str" cm="1">
        <f t="array" ref="BD1121">IF(F1121=0," ",IF(BC1121&lt;BB1121,(_xlfn.IFS(AW1121="SIM",SUM(L1121,Q1121,V1121,AA1121,AF1121,AK1121,AP1121,AU1121)+AX1121/_xlfn.XLOOKUP(_xlfn.XLOOKUP($F1121,Clientes!$B$4:$B$39,Clientes!$C$4:$C$39),Cadastros!$L$6:$L$12,Cadastros!$M$6:$M$12)+IF($F1121="Bernardino Furlan",AY1121/2751.92,IF($F1121="Mauro José Salanti",AY1121/2751.92,AY1121/3356)),F1121&lt;&gt;0,SUM(L1121,Q1121,V1121,AA1121,AF1121,AK1121,AP1121,AU1121)))*(1-0.03),_xlfn.IFS(AW1121="SIM",SUM(L1121,Q1121,V1121,AA1121,AF1121,AK1121,AP1121,AU1121)+AX1121/_xlfn.XLOOKUP(_xlfn.XLOOKUP($F1121,Clientes!$B$4:$B$39,Clientes!$C$4:$C$39),Cadastros!$L$6:$L$12,Cadastros!$M$6:$M$12)+IF($F1121="Bernardino Furlan",AY1121/2751.92,IF($F1121="Mauro José Salanti",AY1121/2751.92,AY1121/3356)),F1121&lt;&gt;0,SUM(L1121,Q1121,V1121,AA1121,AF1121,AK1121,AP1121,AU1121))))</f>
        <v xml:space="preserve"> </v>
      </c>
      <c r="BE1121" s="120"/>
      <c r="BF1121" s="120"/>
      <c r="BG1121" s="120"/>
    </row>
    <row r="1122" spans="1:59" s="3" customFormat="1" x14ac:dyDescent="0.3">
      <c r="A1122" s="15" t="str">
        <f t="shared" si="221"/>
        <v/>
      </c>
      <c r="B1122" s="25"/>
      <c r="C1122" s="26"/>
      <c r="D1122" s="279"/>
      <c r="E1122" s="27"/>
      <c r="F1122" s="28"/>
      <c r="G1122" s="27"/>
      <c r="H1122" s="28"/>
      <c r="I1122" s="28"/>
      <c r="J1122" s="255" t="str">
        <f>IF(H1122="","",(_xlfn.XLOOKUP(H1122,Cadastros!$D$6:$D$90,Cadastros!$E$6:$E$90))*(1-_xlfn.XLOOKUP(_xlfn.XLOOKUP($F1122,Clientes!$B$4:$B$39,Clientes!$C$4:$C$39),Cadastros!$L$6:$L$12,Cadastros!$N$6:$N$12)))</f>
        <v/>
      </c>
      <c r="K1122" s="168" t="str">
        <f t="shared" si="222"/>
        <v/>
      </c>
      <c r="L1122" s="168" t="str">
        <f>IFERROR(K1122/_xlfn.XLOOKUP(_xlfn.XLOOKUP($F1122,Clientes!$B$4:$B$39,Clientes!$C$4:$C$39),Cadastros!$L$6:$L$12,Cadastros!$M$6:$M$12)," ")</f>
        <v xml:space="preserve"> </v>
      </c>
      <c r="M1122" s="28"/>
      <c r="N1122" s="28"/>
      <c r="O1122" s="255" t="str">
        <f>IF(M1122="","",(_xlfn.XLOOKUP(M1122,Cadastros!$D$6:$D$90,Cadastros!$E$6:$E$90))*(1-_xlfn.XLOOKUP(_xlfn.XLOOKUP($F1122,Clientes!$B$4:$B$39,Clientes!$C$4:$C$39),Cadastros!$L$6:$L$12,Cadastros!$N$6:$N$12)))</f>
        <v/>
      </c>
      <c r="P1122" s="168" t="str">
        <f t="shared" si="223"/>
        <v/>
      </c>
      <c r="Q1122" s="168" t="str">
        <f>IFERROR(P1122/_xlfn.XLOOKUP(_xlfn.XLOOKUP($F1122,Clientes!$B$4:$B$39,Clientes!$C$4:$C$39),Cadastros!$L$6:$L$12,Cadastros!$M$6:$M$12)," ")</f>
        <v xml:space="preserve"> </v>
      </c>
      <c r="R1122" s="28"/>
      <c r="S1122" s="28"/>
      <c r="T1122" s="255" t="str">
        <f>IF(R1122="","",(_xlfn.XLOOKUP(R1122,Cadastros!$D$6:$D$90,Cadastros!$E$6:$E$90))*(1-_xlfn.XLOOKUP(_xlfn.XLOOKUP($F1122,Clientes!$B$4:$B$39,Clientes!$C$4:$C$39),Cadastros!$L$6:$L$12,Cadastros!$N$6:$N$12)))</f>
        <v/>
      </c>
      <c r="U1122" s="168" t="str">
        <f t="shared" si="224"/>
        <v/>
      </c>
      <c r="V1122" s="168" t="str">
        <f>IFERROR(U1122/_xlfn.XLOOKUP(_xlfn.XLOOKUP($F1122,Clientes!$B$4:$B$39,Clientes!$C$4:$C$39),Cadastros!$L$6:$L$12,Cadastros!$M$6:$M$12)," ")</f>
        <v xml:space="preserve"> </v>
      </c>
      <c r="W1122" s="28"/>
      <c r="X1122" s="28"/>
      <c r="Y1122" s="255" t="str">
        <f>IF(W1122="","",(_xlfn.XLOOKUP(W1122,Cadastros!$D$6:$D$90,Cadastros!$E$6:$E$90))*(1-_xlfn.XLOOKUP(_xlfn.XLOOKUP($F1122,Clientes!$B$4:$B$39,Clientes!$C$4:$C$39),Cadastros!$L$6:$L$12,Cadastros!$N$6:$N$12)))</f>
        <v/>
      </c>
      <c r="Z1122" s="168" t="str">
        <f t="shared" si="225"/>
        <v/>
      </c>
      <c r="AA1122" s="168" t="str">
        <f>IFERROR(Z1122/_xlfn.XLOOKUP(_xlfn.XLOOKUP($F1122,Clientes!$B$4:$B$39,Clientes!$C$4:$C$39),Cadastros!$L$6:$L$12,Cadastros!$M$6:$M$12)," ")</f>
        <v xml:space="preserve"> </v>
      </c>
      <c r="AB1122" s="28"/>
      <c r="AC1122" s="28"/>
      <c r="AD1122" s="20" t="str">
        <f>IF(AB1122="","",IF($F1122="Bernardino Furlan",_xlfn.XLOOKUP(AB1122,Cadastros!$G$6:$G$90,Cadastros!$H$6:$H$90)*(1-0.18),IF($F1122="Mauro José Salanti",_xlfn.XLOOKUP(AB1122,Cadastros!$G$6:$G$90,Cadastros!$H$6:$H$90)*(1-0.18),_xlfn.XLOOKUP(AB1122,Cadastros!$G$6:$G$90,Cadastros!$H$6:$H$90))))</f>
        <v/>
      </c>
      <c r="AE1122" s="168" t="str">
        <f t="shared" si="226"/>
        <v/>
      </c>
      <c r="AF1122" s="168" t="str">
        <f t="shared" si="227"/>
        <v/>
      </c>
      <c r="AG1122" s="28"/>
      <c r="AH1122" s="28"/>
      <c r="AI1122" s="20" t="str">
        <f>IF(AG1122="","",IF($F1122="Bernardino Furlan",_xlfn.XLOOKUP(AG1122,Cadastros!$G$6:$G$90,Cadastros!$H$6:$H$90)*(1-0.18),IF($F1122="Mauro José Salanti",_xlfn.XLOOKUP(AG1122,Cadastros!$G$6:$G$90,Cadastros!$H$6:$H$90)*(1-0.18),_xlfn.XLOOKUP(AG1122,Cadastros!$G$6:$G$90,Cadastros!$H$6:$H$90))))</f>
        <v/>
      </c>
      <c r="AJ1122" s="168" t="str">
        <f t="shared" si="228"/>
        <v/>
      </c>
      <c r="AK1122" s="168" t="str">
        <f t="shared" si="229"/>
        <v/>
      </c>
      <c r="AL1122" s="28"/>
      <c r="AM1122" s="28"/>
      <c r="AN1122" s="20" t="str">
        <f>IF(AL1122="","",IF($F1122="Bernardino Furlan",_xlfn.XLOOKUP(AL1122,Cadastros!$G$6:$G$90,Cadastros!$H$6:$H$90)*(1-0.18),IF($F1122="Mauro José Salanti",_xlfn.XLOOKUP(AL1122,Cadastros!$G$6:$G$90,Cadastros!$H$6:$H$90)*(1-0.18),_xlfn.XLOOKUP(AL1122,Cadastros!$G$6:$G$90,Cadastros!$H$6:$H$90))))</f>
        <v/>
      </c>
      <c r="AO1122" s="168" t="str">
        <f t="shared" si="230"/>
        <v/>
      </c>
      <c r="AP1122" s="168" t="str">
        <f t="shared" si="231"/>
        <v/>
      </c>
      <c r="AQ1122" s="28"/>
      <c r="AR1122" s="28"/>
      <c r="AS1122" s="20" t="str">
        <f>IF(AQ1122="","",IF($F1122="Bernardino Furlan",_xlfn.XLOOKUP(AQ1122,Cadastros!$G$6:$G$90,Cadastros!$H$6:$H$90)*(1-0.18),IF($F1122="Mauro José Salanti",_xlfn.XLOOKUP(AQ1122,Cadastros!$G$6:$G$90,Cadastros!$H$6:$H$90)*(1-0.18),_xlfn.XLOOKUP(AQ1122,Cadastros!$G$6:$G$90,Cadastros!$H$6:$H$90))))</f>
        <v/>
      </c>
      <c r="AT1122" s="168" t="str">
        <f t="shared" si="232"/>
        <v/>
      </c>
      <c r="AU1122" s="168" t="str">
        <f t="shared" si="233"/>
        <v/>
      </c>
      <c r="AV1122" s="227"/>
      <c r="AW1122" s="30"/>
      <c r="AX1122" s="267"/>
      <c r="AY1122" s="267"/>
      <c r="AZ1122" s="29"/>
      <c r="BA1122" s="30"/>
      <c r="BB1122" s="23" t="str" cm="1">
        <f t="array" ref="BB1122">_xlfn.IFS(AW1122="SIM",SUM(K1122,P1122,U1122,Z1122,AE1122,AJ1122,AO1122,AT1122,AX1122,AY1122),F1122&lt;&gt;"",SUM(K1122,P1122,U1122,Z1122,AE1122,AJ1122,,AO1122,AT1122),F1122="","")</f>
        <v/>
      </c>
      <c r="BC1122" s="211" t="str" cm="1">
        <f t="array" ref="BC1122">_xlfn.IFS(E1122="","",G1122&lt;=E1122,BB1122*(1-0.03),G1122&lt;(E1122+8),BB1122,AZ1122="Boleto",BB1122*(1+0.001)^DATEDIF(E1122,G1122,"D"),AZ1122="Cheque",BB1122,AZ1122="Dinheiro","Alterar forma pgto")</f>
        <v/>
      </c>
      <c r="BD1122" s="276" t="str" cm="1">
        <f t="array" ref="BD1122">IF(F1122=0," ",IF(BC1122&lt;BB1122,(_xlfn.IFS(AW1122="SIM",SUM(L1122,Q1122,V1122,AA1122,AF1122,AK1122,AP1122,AU1122)+AX1122/_xlfn.XLOOKUP(_xlfn.XLOOKUP($F1122,Clientes!$B$4:$B$39,Clientes!$C$4:$C$39),Cadastros!$L$6:$L$12,Cadastros!$M$6:$M$12)+IF($F1122="Bernardino Furlan",AY1122/2751.92,IF($F1122="Mauro José Salanti",AY1122/2751.92,AY1122/3356)),F1122&lt;&gt;0,SUM(L1122,Q1122,V1122,AA1122,AF1122,AK1122,AP1122,AU1122)))*(1-0.03),_xlfn.IFS(AW1122="SIM",SUM(L1122,Q1122,V1122,AA1122,AF1122,AK1122,AP1122,AU1122)+AX1122/_xlfn.XLOOKUP(_xlfn.XLOOKUP($F1122,Clientes!$B$4:$B$39,Clientes!$C$4:$C$39),Cadastros!$L$6:$L$12,Cadastros!$M$6:$M$12)+IF($F1122="Bernardino Furlan",AY1122/2751.92,IF($F1122="Mauro José Salanti",AY1122/2751.92,AY1122/3356)),F1122&lt;&gt;0,SUM(L1122,Q1122,V1122,AA1122,AF1122,AK1122,AP1122,AU1122))))</f>
        <v xml:space="preserve"> </v>
      </c>
      <c r="BE1122" s="120"/>
      <c r="BF1122" s="120"/>
      <c r="BG1122" s="120"/>
    </row>
    <row r="1123" spans="1:59" s="3" customFormat="1" x14ac:dyDescent="0.3">
      <c r="A1123" s="15" t="str">
        <f t="shared" si="221"/>
        <v/>
      </c>
      <c r="B1123" s="25"/>
      <c r="C1123" s="26"/>
      <c r="D1123" s="279"/>
      <c r="E1123" s="27"/>
      <c r="F1123" s="28"/>
      <c r="G1123" s="27"/>
      <c r="H1123" s="28"/>
      <c r="I1123" s="28"/>
      <c r="J1123" s="255" t="str">
        <f>IF(H1123="","",(_xlfn.XLOOKUP(H1123,Cadastros!$D$6:$D$90,Cadastros!$E$6:$E$90))*(1-_xlfn.XLOOKUP(_xlfn.XLOOKUP($F1123,Clientes!$B$4:$B$39,Clientes!$C$4:$C$39),Cadastros!$L$6:$L$12,Cadastros!$N$6:$N$12)))</f>
        <v/>
      </c>
      <c r="K1123" s="168" t="str">
        <f t="shared" si="222"/>
        <v/>
      </c>
      <c r="L1123" s="168" t="str">
        <f>IFERROR(K1123/_xlfn.XLOOKUP(_xlfn.XLOOKUP($F1123,Clientes!$B$4:$B$39,Clientes!$C$4:$C$39),Cadastros!$L$6:$L$12,Cadastros!$M$6:$M$12)," ")</f>
        <v xml:space="preserve"> </v>
      </c>
      <c r="M1123" s="28"/>
      <c r="N1123" s="28"/>
      <c r="O1123" s="255" t="str">
        <f>IF(M1123="","",(_xlfn.XLOOKUP(M1123,Cadastros!$D$6:$D$90,Cadastros!$E$6:$E$90))*(1-_xlfn.XLOOKUP(_xlfn.XLOOKUP($F1123,Clientes!$B$4:$B$39,Clientes!$C$4:$C$39),Cadastros!$L$6:$L$12,Cadastros!$N$6:$N$12)))</f>
        <v/>
      </c>
      <c r="P1123" s="168" t="str">
        <f t="shared" si="223"/>
        <v/>
      </c>
      <c r="Q1123" s="168" t="str">
        <f>IFERROR(P1123/_xlfn.XLOOKUP(_xlfn.XLOOKUP($F1123,Clientes!$B$4:$B$39,Clientes!$C$4:$C$39),Cadastros!$L$6:$L$12,Cadastros!$M$6:$M$12)," ")</f>
        <v xml:space="preserve"> </v>
      </c>
      <c r="R1123" s="28"/>
      <c r="S1123" s="28"/>
      <c r="T1123" s="255" t="str">
        <f>IF(R1123="","",(_xlfn.XLOOKUP(R1123,Cadastros!$D$6:$D$90,Cadastros!$E$6:$E$90))*(1-_xlfn.XLOOKUP(_xlfn.XLOOKUP($F1123,Clientes!$B$4:$B$39,Clientes!$C$4:$C$39),Cadastros!$L$6:$L$12,Cadastros!$N$6:$N$12)))</f>
        <v/>
      </c>
      <c r="U1123" s="168" t="str">
        <f t="shared" si="224"/>
        <v/>
      </c>
      <c r="V1123" s="168" t="str">
        <f>IFERROR(U1123/_xlfn.XLOOKUP(_xlfn.XLOOKUP($F1123,Clientes!$B$4:$B$39,Clientes!$C$4:$C$39),Cadastros!$L$6:$L$12,Cadastros!$M$6:$M$12)," ")</f>
        <v xml:space="preserve"> </v>
      </c>
      <c r="W1123" s="28"/>
      <c r="X1123" s="28"/>
      <c r="Y1123" s="255" t="str">
        <f>IF(W1123="","",(_xlfn.XLOOKUP(W1123,Cadastros!$D$6:$D$90,Cadastros!$E$6:$E$90))*(1-_xlfn.XLOOKUP(_xlfn.XLOOKUP($F1123,Clientes!$B$4:$B$39,Clientes!$C$4:$C$39),Cadastros!$L$6:$L$12,Cadastros!$N$6:$N$12)))</f>
        <v/>
      </c>
      <c r="Z1123" s="168" t="str">
        <f t="shared" si="225"/>
        <v/>
      </c>
      <c r="AA1123" s="168" t="str">
        <f>IFERROR(Z1123/_xlfn.XLOOKUP(_xlfn.XLOOKUP($F1123,Clientes!$B$4:$B$39,Clientes!$C$4:$C$39),Cadastros!$L$6:$L$12,Cadastros!$M$6:$M$12)," ")</f>
        <v xml:space="preserve"> </v>
      </c>
      <c r="AB1123" s="28"/>
      <c r="AC1123" s="28"/>
      <c r="AD1123" s="20" t="str">
        <f>IF(AB1123="","",IF($F1123="Bernardino Furlan",_xlfn.XLOOKUP(AB1123,Cadastros!$G$6:$G$90,Cadastros!$H$6:$H$90)*(1-0.18),IF($F1123="Mauro José Salanti",_xlfn.XLOOKUP(AB1123,Cadastros!$G$6:$G$90,Cadastros!$H$6:$H$90)*(1-0.18),_xlfn.XLOOKUP(AB1123,Cadastros!$G$6:$G$90,Cadastros!$H$6:$H$90))))</f>
        <v/>
      </c>
      <c r="AE1123" s="168" t="str">
        <f t="shared" si="226"/>
        <v/>
      </c>
      <c r="AF1123" s="168" t="str">
        <f t="shared" si="227"/>
        <v/>
      </c>
      <c r="AG1123" s="28"/>
      <c r="AH1123" s="28"/>
      <c r="AI1123" s="20" t="str">
        <f>IF(AG1123="","",IF($F1123="Bernardino Furlan",_xlfn.XLOOKUP(AG1123,Cadastros!$G$6:$G$90,Cadastros!$H$6:$H$90)*(1-0.18),IF($F1123="Mauro José Salanti",_xlfn.XLOOKUP(AG1123,Cadastros!$G$6:$G$90,Cadastros!$H$6:$H$90)*(1-0.18),_xlfn.XLOOKUP(AG1123,Cadastros!$G$6:$G$90,Cadastros!$H$6:$H$90))))</f>
        <v/>
      </c>
      <c r="AJ1123" s="168" t="str">
        <f t="shared" si="228"/>
        <v/>
      </c>
      <c r="AK1123" s="168" t="str">
        <f t="shared" si="229"/>
        <v/>
      </c>
      <c r="AL1123" s="28"/>
      <c r="AM1123" s="28"/>
      <c r="AN1123" s="20" t="str">
        <f>IF(AL1123="","",IF($F1123="Bernardino Furlan",_xlfn.XLOOKUP(AL1123,Cadastros!$G$6:$G$90,Cadastros!$H$6:$H$90)*(1-0.18),IF($F1123="Mauro José Salanti",_xlfn.XLOOKUP(AL1123,Cadastros!$G$6:$G$90,Cadastros!$H$6:$H$90)*(1-0.18),_xlfn.XLOOKUP(AL1123,Cadastros!$G$6:$G$90,Cadastros!$H$6:$H$90))))</f>
        <v/>
      </c>
      <c r="AO1123" s="168" t="str">
        <f t="shared" si="230"/>
        <v/>
      </c>
      <c r="AP1123" s="168" t="str">
        <f t="shared" si="231"/>
        <v/>
      </c>
      <c r="AQ1123" s="28"/>
      <c r="AR1123" s="28"/>
      <c r="AS1123" s="20" t="str">
        <f>IF(AQ1123="","",IF($F1123="Bernardino Furlan",_xlfn.XLOOKUP(AQ1123,Cadastros!$G$6:$G$90,Cadastros!$H$6:$H$90)*(1-0.18),IF($F1123="Mauro José Salanti",_xlfn.XLOOKUP(AQ1123,Cadastros!$G$6:$G$90,Cadastros!$H$6:$H$90)*(1-0.18),_xlfn.XLOOKUP(AQ1123,Cadastros!$G$6:$G$90,Cadastros!$H$6:$H$90))))</f>
        <v/>
      </c>
      <c r="AT1123" s="168" t="str">
        <f t="shared" si="232"/>
        <v/>
      </c>
      <c r="AU1123" s="168" t="str">
        <f t="shared" si="233"/>
        <v/>
      </c>
      <c r="AV1123" s="227"/>
      <c r="AW1123" s="30"/>
      <c r="AX1123" s="267"/>
      <c r="AY1123" s="267"/>
      <c r="AZ1123" s="29"/>
      <c r="BA1123" s="30"/>
      <c r="BB1123" s="23" t="str" cm="1">
        <f t="array" ref="BB1123">_xlfn.IFS(AW1123="SIM",SUM(K1123,P1123,U1123,Z1123,AE1123,AJ1123,AO1123,AT1123,AX1123,AY1123),F1123&lt;&gt;"",SUM(K1123,P1123,U1123,Z1123,AE1123,AJ1123,,AO1123,AT1123),F1123="","")</f>
        <v/>
      </c>
      <c r="BC1123" s="211" t="str" cm="1">
        <f t="array" ref="BC1123">_xlfn.IFS(E1123="","",G1123&lt;=E1123,BB1123*(1-0.03),G1123&lt;(E1123+8),BB1123,AZ1123="Boleto",BB1123*(1+0.001)^DATEDIF(E1123,G1123,"D"),AZ1123="Cheque",BB1123,AZ1123="Dinheiro","Alterar forma pgto")</f>
        <v/>
      </c>
      <c r="BD1123" s="276" t="str" cm="1">
        <f t="array" ref="BD1123">IF(F1123=0," ",IF(BC1123&lt;BB1123,(_xlfn.IFS(AW1123="SIM",SUM(L1123,Q1123,V1123,AA1123,AF1123,AK1123,AP1123,AU1123)+AX1123/_xlfn.XLOOKUP(_xlfn.XLOOKUP($F1123,Clientes!$B$4:$B$39,Clientes!$C$4:$C$39),Cadastros!$L$6:$L$12,Cadastros!$M$6:$M$12)+IF($F1123="Bernardino Furlan",AY1123/2751.92,IF($F1123="Mauro José Salanti",AY1123/2751.92,AY1123/3356)),F1123&lt;&gt;0,SUM(L1123,Q1123,V1123,AA1123,AF1123,AK1123,AP1123,AU1123)))*(1-0.03),_xlfn.IFS(AW1123="SIM",SUM(L1123,Q1123,V1123,AA1123,AF1123,AK1123,AP1123,AU1123)+AX1123/_xlfn.XLOOKUP(_xlfn.XLOOKUP($F1123,Clientes!$B$4:$B$39,Clientes!$C$4:$C$39),Cadastros!$L$6:$L$12,Cadastros!$M$6:$M$12)+IF($F1123="Bernardino Furlan",AY1123/2751.92,IF($F1123="Mauro José Salanti",AY1123/2751.92,AY1123/3356)),F1123&lt;&gt;0,SUM(L1123,Q1123,V1123,AA1123,AF1123,AK1123,AP1123,AU1123))))</f>
        <v xml:space="preserve"> </v>
      </c>
      <c r="BE1123" s="120"/>
      <c r="BF1123" s="120"/>
      <c r="BG1123" s="120"/>
    </row>
    <row r="1124" spans="1:59" s="3" customFormat="1" x14ac:dyDescent="0.3">
      <c r="A1124" s="15" t="str">
        <f t="shared" si="221"/>
        <v/>
      </c>
      <c r="B1124" s="25"/>
      <c r="C1124" s="26"/>
      <c r="D1124" s="279"/>
      <c r="E1124" s="27"/>
      <c r="F1124" s="28"/>
      <c r="G1124" s="27"/>
      <c r="H1124" s="28"/>
      <c r="I1124" s="28"/>
      <c r="J1124" s="255" t="str">
        <f>IF(H1124="","",(_xlfn.XLOOKUP(H1124,Cadastros!$D$6:$D$90,Cadastros!$E$6:$E$90))*(1-_xlfn.XLOOKUP(_xlfn.XLOOKUP($F1124,Clientes!$B$4:$B$39,Clientes!$C$4:$C$39),Cadastros!$L$6:$L$12,Cadastros!$N$6:$N$12)))</f>
        <v/>
      </c>
      <c r="K1124" s="168" t="str">
        <f t="shared" si="222"/>
        <v/>
      </c>
      <c r="L1124" s="168" t="str">
        <f>IFERROR(K1124/_xlfn.XLOOKUP(_xlfn.XLOOKUP($F1124,Clientes!$B$4:$B$39,Clientes!$C$4:$C$39),Cadastros!$L$6:$L$12,Cadastros!$M$6:$M$12)," ")</f>
        <v xml:space="preserve"> </v>
      </c>
      <c r="M1124" s="28"/>
      <c r="N1124" s="28"/>
      <c r="O1124" s="255" t="str">
        <f>IF(M1124="","",(_xlfn.XLOOKUP(M1124,Cadastros!$D$6:$D$90,Cadastros!$E$6:$E$90))*(1-_xlfn.XLOOKUP(_xlfn.XLOOKUP($F1124,Clientes!$B$4:$B$39,Clientes!$C$4:$C$39),Cadastros!$L$6:$L$12,Cadastros!$N$6:$N$12)))</f>
        <v/>
      </c>
      <c r="P1124" s="168" t="str">
        <f t="shared" si="223"/>
        <v/>
      </c>
      <c r="Q1124" s="168" t="str">
        <f>IFERROR(P1124/_xlfn.XLOOKUP(_xlfn.XLOOKUP($F1124,Clientes!$B$4:$B$39,Clientes!$C$4:$C$39),Cadastros!$L$6:$L$12,Cadastros!$M$6:$M$12)," ")</f>
        <v xml:space="preserve"> </v>
      </c>
      <c r="R1124" s="28"/>
      <c r="S1124" s="28"/>
      <c r="T1124" s="255" t="str">
        <f>IF(R1124="","",(_xlfn.XLOOKUP(R1124,Cadastros!$D$6:$D$90,Cadastros!$E$6:$E$90))*(1-_xlfn.XLOOKUP(_xlfn.XLOOKUP($F1124,Clientes!$B$4:$B$39,Clientes!$C$4:$C$39),Cadastros!$L$6:$L$12,Cadastros!$N$6:$N$12)))</f>
        <v/>
      </c>
      <c r="U1124" s="168" t="str">
        <f t="shared" si="224"/>
        <v/>
      </c>
      <c r="V1124" s="168" t="str">
        <f>IFERROR(U1124/_xlfn.XLOOKUP(_xlfn.XLOOKUP($F1124,Clientes!$B$4:$B$39,Clientes!$C$4:$C$39),Cadastros!$L$6:$L$12,Cadastros!$M$6:$M$12)," ")</f>
        <v xml:space="preserve"> </v>
      </c>
      <c r="W1124" s="28"/>
      <c r="X1124" s="28"/>
      <c r="Y1124" s="255" t="str">
        <f>IF(W1124="","",(_xlfn.XLOOKUP(W1124,Cadastros!$D$6:$D$90,Cadastros!$E$6:$E$90))*(1-_xlfn.XLOOKUP(_xlfn.XLOOKUP($F1124,Clientes!$B$4:$B$39,Clientes!$C$4:$C$39),Cadastros!$L$6:$L$12,Cadastros!$N$6:$N$12)))</f>
        <v/>
      </c>
      <c r="Z1124" s="168" t="str">
        <f t="shared" si="225"/>
        <v/>
      </c>
      <c r="AA1124" s="168" t="str">
        <f>IFERROR(Z1124/_xlfn.XLOOKUP(_xlfn.XLOOKUP($F1124,Clientes!$B$4:$B$39,Clientes!$C$4:$C$39),Cadastros!$L$6:$L$12,Cadastros!$M$6:$M$12)," ")</f>
        <v xml:space="preserve"> </v>
      </c>
      <c r="AB1124" s="28"/>
      <c r="AC1124" s="28"/>
      <c r="AD1124" s="20" t="str">
        <f>IF(AB1124="","",IF($F1124="Bernardino Furlan",_xlfn.XLOOKUP(AB1124,Cadastros!$G$6:$G$90,Cadastros!$H$6:$H$90)*(1-0.18),IF($F1124="Mauro José Salanti",_xlfn.XLOOKUP(AB1124,Cadastros!$G$6:$G$90,Cadastros!$H$6:$H$90)*(1-0.18),_xlfn.XLOOKUP(AB1124,Cadastros!$G$6:$G$90,Cadastros!$H$6:$H$90))))</f>
        <v/>
      </c>
      <c r="AE1124" s="168" t="str">
        <f t="shared" si="226"/>
        <v/>
      </c>
      <c r="AF1124" s="168" t="str">
        <f t="shared" si="227"/>
        <v/>
      </c>
      <c r="AG1124" s="28"/>
      <c r="AH1124" s="28"/>
      <c r="AI1124" s="20" t="str">
        <f>IF(AG1124="","",IF($F1124="Bernardino Furlan",_xlfn.XLOOKUP(AG1124,Cadastros!$G$6:$G$90,Cadastros!$H$6:$H$90)*(1-0.18),IF($F1124="Mauro José Salanti",_xlfn.XLOOKUP(AG1124,Cadastros!$G$6:$G$90,Cadastros!$H$6:$H$90)*(1-0.18),_xlfn.XLOOKUP(AG1124,Cadastros!$G$6:$G$90,Cadastros!$H$6:$H$90))))</f>
        <v/>
      </c>
      <c r="AJ1124" s="168" t="str">
        <f t="shared" si="228"/>
        <v/>
      </c>
      <c r="AK1124" s="168" t="str">
        <f t="shared" si="229"/>
        <v/>
      </c>
      <c r="AL1124" s="28"/>
      <c r="AM1124" s="28"/>
      <c r="AN1124" s="20" t="str">
        <f>IF(AL1124="","",IF($F1124="Bernardino Furlan",_xlfn.XLOOKUP(AL1124,Cadastros!$G$6:$G$90,Cadastros!$H$6:$H$90)*(1-0.18),IF($F1124="Mauro José Salanti",_xlfn.XLOOKUP(AL1124,Cadastros!$G$6:$G$90,Cadastros!$H$6:$H$90)*(1-0.18),_xlfn.XLOOKUP(AL1124,Cadastros!$G$6:$G$90,Cadastros!$H$6:$H$90))))</f>
        <v/>
      </c>
      <c r="AO1124" s="168" t="str">
        <f t="shared" si="230"/>
        <v/>
      </c>
      <c r="AP1124" s="168" t="str">
        <f t="shared" si="231"/>
        <v/>
      </c>
      <c r="AQ1124" s="28"/>
      <c r="AR1124" s="28"/>
      <c r="AS1124" s="20" t="str">
        <f>IF(AQ1124="","",IF($F1124="Bernardino Furlan",_xlfn.XLOOKUP(AQ1124,Cadastros!$G$6:$G$90,Cadastros!$H$6:$H$90)*(1-0.18),IF($F1124="Mauro José Salanti",_xlfn.XLOOKUP(AQ1124,Cadastros!$G$6:$G$90,Cadastros!$H$6:$H$90)*(1-0.18),_xlfn.XLOOKUP(AQ1124,Cadastros!$G$6:$G$90,Cadastros!$H$6:$H$90))))</f>
        <v/>
      </c>
      <c r="AT1124" s="168" t="str">
        <f t="shared" si="232"/>
        <v/>
      </c>
      <c r="AU1124" s="168" t="str">
        <f t="shared" si="233"/>
        <v/>
      </c>
      <c r="AV1124" s="227"/>
      <c r="AW1124" s="30"/>
      <c r="AX1124" s="267"/>
      <c r="AY1124" s="267"/>
      <c r="AZ1124" s="29"/>
      <c r="BA1124" s="30"/>
      <c r="BB1124" s="23" t="str" cm="1">
        <f t="array" ref="BB1124">_xlfn.IFS(AW1124="SIM",SUM(K1124,P1124,U1124,Z1124,AE1124,AJ1124,AO1124,AT1124,AX1124,AY1124),F1124&lt;&gt;"",SUM(K1124,P1124,U1124,Z1124,AE1124,AJ1124,,AO1124,AT1124),F1124="","")</f>
        <v/>
      </c>
      <c r="BC1124" s="211" t="str" cm="1">
        <f t="array" ref="BC1124">_xlfn.IFS(E1124="","",G1124&lt;=E1124,BB1124*(1-0.03),G1124&lt;(E1124+8),BB1124,AZ1124="Boleto",BB1124*(1+0.001)^DATEDIF(E1124,G1124,"D"),AZ1124="Cheque",BB1124,AZ1124="Dinheiro","Alterar forma pgto")</f>
        <v/>
      </c>
      <c r="BD1124" s="276" t="str" cm="1">
        <f t="array" ref="BD1124">IF(F1124=0," ",IF(BC1124&lt;BB1124,(_xlfn.IFS(AW1124="SIM",SUM(L1124,Q1124,V1124,AA1124,AF1124,AK1124,AP1124,AU1124)+AX1124/_xlfn.XLOOKUP(_xlfn.XLOOKUP($F1124,Clientes!$B$4:$B$39,Clientes!$C$4:$C$39),Cadastros!$L$6:$L$12,Cadastros!$M$6:$M$12)+IF($F1124="Bernardino Furlan",AY1124/2751.92,IF($F1124="Mauro José Salanti",AY1124/2751.92,AY1124/3356)),F1124&lt;&gt;0,SUM(L1124,Q1124,V1124,AA1124,AF1124,AK1124,AP1124,AU1124)))*(1-0.03),_xlfn.IFS(AW1124="SIM",SUM(L1124,Q1124,V1124,AA1124,AF1124,AK1124,AP1124,AU1124)+AX1124/_xlfn.XLOOKUP(_xlfn.XLOOKUP($F1124,Clientes!$B$4:$B$39,Clientes!$C$4:$C$39),Cadastros!$L$6:$L$12,Cadastros!$M$6:$M$12)+IF($F1124="Bernardino Furlan",AY1124/2751.92,IF($F1124="Mauro José Salanti",AY1124/2751.92,AY1124/3356)),F1124&lt;&gt;0,SUM(L1124,Q1124,V1124,AA1124,AF1124,AK1124,AP1124,AU1124))))</f>
        <v xml:space="preserve"> </v>
      </c>
      <c r="BE1124" s="120"/>
      <c r="BF1124" s="120"/>
      <c r="BG1124" s="120"/>
    </row>
    <row r="1125" spans="1:59" s="3" customFormat="1" x14ac:dyDescent="0.3">
      <c r="A1125" s="15" t="str">
        <f t="shared" si="221"/>
        <v/>
      </c>
      <c r="B1125" s="25"/>
      <c r="C1125" s="26"/>
      <c r="D1125" s="279"/>
      <c r="E1125" s="27"/>
      <c r="F1125" s="28"/>
      <c r="G1125" s="27"/>
      <c r="H1125" s="28"/>
      <c r="I1125" s="28"/>
      <c r="J1125" s="255" t="str">
        <f>IF(H1125="","",(_xlfn.XLOOKUP(H1125,Cadastros!$D$6:$D$90,Cadastros!$E$6:$E$90))*(1-_xlfn.XLOOKUP(_xlfn.XLOOKUP($F1125,Clientes!$B$4:$B$39,Clientes!$C$4:$C$39),Cadastros!$L$6:$L$12,Cadastros!$N$6:$N$12)))</f>
        <v/>
      </c>
      <c r="K1125" s="168" t="str">
        <f t="shared" si="222"/>
        <v/>
      </c>
      <c r="L1125" s="168" t="str">
        <f>IFERROR(K1125/_xlfn.XLOOKUP(_xlfn.XLOOKUP($F1125,Clientes!$B$4:$B$39,Clientes!$C$4:$C$39),Cadastros!$L$6:$L$12,Cadastros!$M$6:$M$12)," ")</f>
        <v xml:space="preserve"> </v>
      </c>
      <c r="M1125" s="28"/>
      <c r="N1125" s="28"/>
      <c r="O1125" s="255" t="str">
        <f>IF(M1125="","",(_xlfn.XLOOKUP(M1125,Cadastros!$D$6:$D$90,Cadastros!$E$6:$E$90))*(1-_xlfn.XLOOKUP(_xlfn.XLOOKUP($F1125,Clientes!$B$4:$B$39,Clientes!$C$4:$C$39),Cadastros!$L$6:$L$12,Cadastros!$N$6:$N$12)))</f>
        <v/>
      </c>
      <c r="P1125" s="168" t="str">
        <f t="shared" si="223"/>
        <v/>
      </c>
      <c r="Q1125" s="168" t="str">
        <f>IFERROR(P1125/_xlfn.XLOOKUP(_xlfn.XLOOKUP($F1125,Clientes!$B$4:$B$39,Clientes!$C$4:$C$39),Cadastros!$L$6:$L$12,Cadastros!$M$6:$M$12)," ")</f>
        <v xml:space="preserve"> </v>
      </c>
      <c r="R1125" s="28"/>
      <c r="S1125" s="28"/>
      <c r="T1125" s="255" t="str">
        <f>IF(R1125="","",(_xlfn.XLOOKUP(R1125,Cadastros!$D$6:$D$90,Cadastros!$E$6:$E$90))*(1-_xlfn.XLOOKUP(_xlfn.XLOOKUP($F1125,Clientes!$B$4:$B$39,Clientes!$C$4:$C$39),Cadastros!$L$6:$L$12,Cadastros!$N$6:$N$12)))</f>
        <v/>
      </c>
      <c r="U1125" s="168" t="str">
        <f t="shared" si="224"/>
        <v/>
      </c>
      <c r="V1125" s="168" t="str">
        <f>IFERROR(U1125/_xlfn.XLOOKUP(_xlfn.XLOOKUP($F1125,Clientes!$B$4:$B$39,Clientes!$C$4:$C$39),Cadastros!$L$6:$L$12,Cadastros!$M$6:$M$12)," ")</f>
        <v xml:space="preserve"> </v>
      </c>
      <c r="W1125" s="28"/>
      <c r="X1125" s="28"/>
      <c r="Y1125" s="255" t="str">
        <f>IF(W1125="","",(_xlfn.XLOOKUP(W1125,Cadastros!$D$6:$D$90,Cadastros!$E$6:$E$90))*(1-_xlfn.XLOOKUP(_xlfn.XLOOKUP($F1125,Clientes!$B$4:$B$39,Clientes!$C$4:$C$39),Cadastros!$L$6:$L$12,Cadastros!$N$6:$N$12)))</f>
        <v/>
      </c>
      <c r="Z1125" s="168" t="str">
        <f t="shared" si="225"/>
        <v/>
      </c>
      <c r="AA1125" s="168" t="str">
        <f>IFERROR(Z1125/_xlfn.XLOOKUP(_xlfn.XLOOKUP($F1125,Clientes!$B$4:$B$39,Clientes!$C$4:$C$39),Cadastros!$L$6:$L$12,Cadastros!$M$6:$M$12)," ")</f>
        <v xml:space="preserve"> </v>
      </c>
      <c r="AB1125" s="28"/>
      <c r="AC1125" s="28"/>
      <c r="AD1125" s="20" t="str">
        <f>IF(AB1125="","",IF($F1125="Bernardino Furlan",_xlfn.XLOOKUP(AB1125,Cadastros!$G$6:$G$90,Cadastros!$H$6:$H$90)*(1-0.18),IF($F1125="Mauro José Salanti",_xlfn.XLOOKUP(AB1125,Cadastros!$G$6:$G$90,Cadastros!$H$6:$H$90)*(1-0.18),_xlfn.XLOOKUP(AB1125,Cadastros!$G$6:$G$90,Cadastros!$H$6:$H$90))))</f>
        <v/>
      </c>
      <c r="AE1125" s="168" t="str">
        <f t="shared" si="226"/>
        <v/>
      </c>
      <c r="AF1125" s="168" t="str">
        <f t="shared" si="227"/>
        <v/>
      </c>
      <c r="AG1125" s="28"/>
      <c r="AH1125" s="28"/>
      <c r="AI1125" s="20" t="str">
        <f>IF(AG1125="","",IF($F1125="Bernardino Furlan",_xlfn.XLOOKUP(AG1125,Cadastros!$G$6:$G$90,Cadastros!$H$6:$H$90)*(1-0.18),IF($F1125="Mauro José Salanti",_xlfn.XLOOKUP(AG1125,Cadastros!$G$6:$G$90,Cadastros!$H$6:$H$90)*(1-0.18),_xlfn.XLOOKUP(AG1125,Cadastros!$G$6:$G$90,Cadastros!$H$6:$H$90))))</f>
        <v/>
      </c>
      <c r="AJ1125" s="168" t="str">
        <f t="shared" si="228"/>
        <v/>
      </c>
      <c r="AK1125" s="168" t="str">
        <f t="shared" si="229"/>
        <v/>
      </c>
      <c r="AL1125" s="28"/>
      <c r="AM1125" s="28"/>
      <c r="AN1125" s="20" t="str">
        <f>IF(AL1125="","",IF($F1125="Bernardino Furlan",_xlfn.XLOOKUP(AL1125,Cadastros!$G$6:$G$90,Cadastros!$H$6:$H$90)*(1-0.18),IF($F1125="Mauro José Salanti",_xlfn.XLOOKUP(AL1125,Cadastros!$G$6:$G$90,Cadastros!$H$6:$H$90)*(1-0.18),_xlfn.XLOOKUP(AL1125,Cadastros!$G$6:$G$90,Cadastros!$H$6:$H$90))))</f>
        <v/>
      </c>
      <c r="AO1125" s="168" t="str">
        <f t="shared" si="230"/>
        <v/>
      </c>
      <c r="AP1125" s="168" t="str">
        <f t="shared" si="231"/>
        <v/>
      </c>
      <c r="AQ1125" s="28"/>
      <c r="AR1125" s="28"/>
      <c r="AS1125" s="20" t="str">
        <f>IF(AQ1125="","",IF($F1125="Bernardino Furlan",_xlfn.XLOOKUP(AQ1125,Cadastros!$G$6:$G$90,Cadastros!$H$6:$H$90)*(1-0.18),IF($F1125="Mauro José Salanti",_xlfn.XLOOKUP(AQ1125,Cadastros!$G$6:$G$90,Cadastros!$H$6:$H$90)*(1-0.18),_xlfn.XLOOKUP(AQ1125,Cadastros!$G$6:$G$90,Cadastros!$H$6:$H$90))))</f>
        <v/>
      </c>
      <c r="AT1125" s="168" t="str">
        <f t="shared" si="232"/>
        <v/>
      </c>
      <c r="AU1125" s="168" t="str">
        <f t="shared" si="233"/>
        <v/>
      </c>
      <c r="AV1125" s="227"/>
      <c r="AW1125" s="30"/>
      <c r="AX1125" s="267"/>
      <c r="AY1125" s="267"/>
      <c r="AZ1125" s="29"/>
      <c r="BA1125" s="30"/>
      <c r="BB1125" s="23" t="str" cm="1">
        <f t="array" ref="BB1125">_xlfn.IFS(AW1125="SIM",SUM(K1125,P1125,U1125,Z1125,AE1125,AJ1125,AO1125,AT1125,AX1125,AY1125),F1125&lt;&gt;"",SUM(K1125,P1125,U1125,Z1125,AE1125,AJ1125,,AO1125,AT1125),F1125="","")</f>
        <v/>
      </c>
      <c r="BC1125" s="211" t="str" cm="1">
        <f t="array" ref="BC1125">_xlfn.IFS(E1125="","",G1125&lt;=E1125,BB1125*(1-0.03),G1125&lt;(E1125+8),BB1125,AZ1125="Boleto",BB1125*(1+0.001)^DATEDIF(E1125,G1125,"D"),AZ1125="Cheque",BB1125,AZ1125="Dinheiro","Alterar forma pgto")</f>
        <v/>
      </c>
      <c r="BD1125" s="276" t="str" cm="1">
        <f t="array" ref="BD1125">IF(F1125=0," ",IF(BC1125&lt;BB1125,(_xlfn.IFS(AW1125="SIM",SUM(L1125,Q1125,V1125,AA1125,AF1125,AK1125,AP1125,AU1125)+AX1125/_xlfn.XLOOKUP(_xlfn.XLOOKUP($F1125,Clientes!$B$4:$B$39,Clientes!$C$4:$C$39),Cadastros!$L$6:$L$12,Cadastros!$M$6:$M$12)+IF($F1125="Bernardino Furlan",AY1125/2751.92,IF($F1125="Mauro José Salanti",AY1125/2751.92,AY1125/3356)),F1125&lt;&gt;0,SUM(L1125,Q1125,V1125,AA1125,AF1125,AK1125,AP1125,AU1125)))*(1-0.03),_xlfn.IFS(AW1125="SIM",SUM(L1125,Q1125,V1125,AA1125,AF1125,AK1125,AP1125,AU1125)+AX1125/_xlfn.XLOOKUP(_xlfn.XLOOKUP($F1125,Clientes!$B$4:$B$39,Clientes!$C$4:$C$39),Cadastros!$L$6:$L$12,Cadastros!$M$6:$M$12)+IF($F1125="Bernardino Furlan",AY1125/2751.92,IF($F1125="Mauro José Salanti",AY1125/2751.92,AY1125/3356)),F1125&lt;&gt;0,SUM(L1125,Q1125,V1125,AA1125,AF1125,AK1125,AP1125,AU1125))))</f>
        <v xml:space="preserve"> </v>
      </c>
      <c r="BE1125" s="120"/>
      <c r="BF1125" s="120"/>
      <c r="BG1125" s="120"/>
    </row>
    <row r="1126" spans="1:59" s="3" customFormat="1" x14ac:dyDescent="0.3">
      <c r="A1126" s="15" t="str">
        <f t="shared" si="221"/>
        <v/>
      </c>
      <c r="B1126" s="25"/>
      <c r="C1126" s="26"/>
      <c r="D1126" s="279"/>
      <c r="E1126" s="27"/>
      <c r="F1126" s="28"/>
      <c r="G1126" s="27"/>
      <c r="H1126" s="28"/>
      <c r="I1126" s="28"/>
      <c r="J1126" s="255" t="str">
        <f>IF(H1126="","",(_xlfn.XLOOKUP(H1126,Cadastros!$D$6:$D$90,Cadastros!$E$6:$E$90))*(1-_xlfn.XLOOKUP(_xlfn.XLOOKUP($F1126,Clientes!$B$4:$B$39,Clientes!$C$4:$C$39),Cadastros!$L$6:$L$12,Cadastros!$N$6:$N$12)))</f>
        <v/>
      </c>
      <c r="K1126" s="168" t="str">
        <f t="shared" si="222"/>
        <v/>
      </c>
      <c r="L1126" s="168" t="str">
        <f>IFERROR(K1126/_xlfn.XLOOKUP(_xlfn.XLOOKUP($F1126,Clientes!$B$4:$B$39,Clientes!$C$4:$C$39),Cadastros!$L$6:$L$12,Cadastros!$M$6:$M$12)," ")</f>
        <v xml:space="preserve"> </v>
      </c>
      <c r="M1126" s="28"/>
      <c r="N1126" s="28"/>
      <c r="O1126" s="255" t="str">
        <f>IF(M1126="","",(_xlfn.XLOOKUP(M1126,Cadastros!$D$6:$D$90,Cadastros!$E$6:$E$90))*(1-_xlfn.XLOOKUP(_xlfn.XLOOKUP($F1126,Clientes!$B$4:$B$39,Clientes!$C$4:$C$39),Cadastros!$L$6:$L$12,Cadastros!$N$6:$N$12)))</f>
        <v/>
      </c>
      <c r="P1126" s="168" t="str">
        <f t="shared" si="223"/>
        <v/>
      </c>
      <c r="Q1126" s="168" t="str">
        <f>IFERROR(P1126/_xlfn.XLOOKUP(_xlfn.XLOOKUP($F1126,Clientes!$B$4:$B$39,Clientes!$C$4:$C$39),Cadastros!$L$6:$L$12,Cadastros!$M$6:$M$12)," ")</f>
        <v xml:space="preserve"> </v>
      </c>
      <c r="R1126" s="28"/>
      <c r="S1126" s="28"/>
      <c r="T1126" s="255" t="str">
        <f>IF(R1126="","",(_xlfn.XLOOKUP(R1126,Cadastros!$D$6:$D$90,Cadastros!$E$6:$E$90))*(1-_xlfn.XLOOKUP(_xlfn.XLOOKUP($F1126,Clientes!$B$4:$B$39,Clientes!$C$4:$C$39),Cadastros!$L$6:$L$12,Cadastros!$N$6:$N$12)))</f>
        <v/>
      </c>
      <c r="U1126" s="168" t="str">
        <f t="shared" si="224"/>
        <v/>
      </c>
      <c r="V1126" s="168" t="str">
        <f>IFERROR(U1126/_xlfn.XLOOKUP(_xlfn.XLOOKUP($F1126,Clientes!$B$4:$B$39,Clientes!$C$4:$C$39),Cadastros!$L$6:$L$12,Cadastros!$M$6:$M$12)," ")</f>
        <v xml:space="preserve"> </v>
      </c>
      <c r="W1126" s="28"/>
      <c r="X1126" s="28"/>
      <c r="Y1126" s="255" t="str">
        <f>IF(W1126="","",(_xlfn.XLOOKUP(W1126,Cadastros!$D$6:$D$90,Cadastros!$E$6:$E$90))*(1-_xlfn.XLOOKUP(_xlfn.XLOOKUP($F1126,Clientes!$B$4:$B$39,Clientes!$C$4:$C$39),Cadastros!$L$6:$L$12,Cadastros!$N$6:$N$12)))</f>
        <v/>
      </c>
      <c r="Z1126" s="168" t="str">
        <f t="shared" si="225"/>
        <v/>
      </c>
      <c r="AA1126" s="168" t="str">
        <f>IFERROR(Z1126/_xlfn.XLOOKUP(_xlfn.XLOOKUP($F1126,Clientes!$B$4:$B$39,Clientes!$C$4:$C$39),Cadastros!$L$6:$L$12,Cadastros!$M$6:$M$12)," ")</f>
        <v xml:space="preserve"> </v>
      </c>
      <c r="AB1126" s="28"/>
      <c r="AC1126" s="28"/>
      <c r="AD1126" s="20" t="str">
        <f>IF(AB1126="","",IF($F1126="Bernardino Furlan",_xlfn.XLOOKUP(AB1126,Cadastros!$G$6:$G$90,Cadastros!$H$6:$H$90)*(1-0.18),IF($F1126="Mauro José Salanti",_xlfn.XLOOKUP(AB1126,Cadastros!$G$6:$G$90,Cadastros!$H$6:$H$90)*(1-0.18),_xlfn.XLOOKUP(AB1126,Cadastros!$G$6:$G$90,Cadastros!$H$6:$H$90))))</f>
        <v/>
      </c>
      <c r="AE1126" s="168" t="str">
        <f t="shared" si="226"/>
        <v/>
      </c>
      <c r="AF1126" s="168" t="str">
        <f t="shared" si="227"/>
        <v/>
      </c>
      <c r="AG1126" s="28"/>
      <c r="AH1126" s="28"/>
      <c r="AI1126" s="20" t="str">
        <f>IF(AG1126="","",IF($F1126="Bernardino Furlan",_xlfn.XLOOKUP(AG1126,Cadastros!$G$6:$G$90,Cadastros!$H$6:$H$90)*(1-0.18),IF($F1126="Mauro José Salanti",_xlfn.XLOOKUP(AG1126,Cadastros!$G$6:$G$90,Cadastros!$H$6:$H$90)*(1-0.18),_xlfn.XLOOKUP(AG1126,Cadastros!$G$6:$G$90,Cadastros!$H$6:$H$90))))</f>
        <v/>
      </c>
      <c r="AJ1126" s="168" t="str">
        <f t="shared" si="228"/>
        <v/>
      </c>
      <c r="AK1126" s="168" t="str">
        <f t="shared" si="229"/>
        <v/>
      </c>
      <c r="AL1126" s="28"/>
      <c r="AM1126" s="28"/>
      <c r="AN1126" s="20" t="str">
        <f>IF(AL1126="","",IF($F1126="Bernardino Furlan",_xlfn.XLOOKUP(AL1126,Cadastros!$G$6:$G$90,Cadastros!$H$6:$H$90)*(1-0.18),IF($F1126="Mauro José Salanti",_xlfn.XLOOKUP(AL1126,Cadastros!$G$6:$G$90,Cadastros!$H$6:$H$90)*(1-0.18),_xlfn.XLOOKUP(AL1126,Cadastros!$G$6:$G$90,Cadastros!$H$6:$H$90))))</f>
        <v/>
      </c>
      <c r="AO1126" s="168" t="str">
        <f t="shared" si="230"/>
        <v/>
      </c>
      <c r="AP1126" s="168" t="str">
        <f t="shared" si="231"/>
        <v/>
      </c>
      <c r="AQ1126" s="28"/>
      <c r="AR1126" s="28"/>
      <c r="AS1126" s="20" t="str">
        <f>IF(AQ1126="","",IF($F1126="Bernardino Furlan",_xlfn.XLOOKUP(AQ1126,Cadastros!$G$6:$G$90,Cadastros!$H$6:$H$90)*(1-0.18),IF($F1126="Mauro José Salanti",_xlfn.XLOOKUP(AQ1126,Cadastros!$G$6:$G$90,Cadastros!$H$6:$H$90)*(1-0.18),_xlfn.XLOOKUP(AQ1126,Cadastros!$G$6:$G$90,Cadastros!$H$6:$H$90))))</f>
        <v/>
      </c>
      <c r="AT1126" s="168" t="str">
        <f t="shared" si="232"/>
        <v/>
      </c>
      <c r="AU1126" s="168" t="str">
        <f t="shared" si="233"/>
        <v/>
      </c>
      <c r="AV1126" s="227"/>
      <c r="AW1126" s="30"/>
      <c r="AX1126" s="267"/>
      <c r="AY1126" s="267"/>
      <c r="AZ1126" s="29"/>
      <c r="BA1126" s="30"/>
      <c r="BB1126" s="23" t="str" cm="1">
        <f t="array" ref="BB1126">_xlfn.IFS(AW1126="SIM",SUM(K1126,P1126,U1126,Z1126,AE1126,AJ1126,AO1126,AT1126,AX1126,AY1126),F1126&lt;&gt;"",SUM(K1126,P1126,U1126,Z1126,AE1126,AJ1126,,AO1126,AT1126),F1126="","")</f>
        <v/>
      </c>
      <c r="BC1126" s="211" t="str" cm="1">
        <f t="array" ref="BC1126">_xlfn.IFS(E1126="","",G1126&lt;=E1126,BB1126*(1-0.03),G1126&lt;(E1126+8),BB1126,AZ1126="Boleto",BB1126*(1+0.001)^DATEDIF(E1126,G1126,"D"),AZ1126="Cheque",BB1126,AZ1126="Dinheiro","Alterar forma pgto")</f>
        <v/>
      </c>
      <c r="BD1126" s="276" t="str" cm="1">
        <f t="array" ref="BD1126">IF(F1126=0," ",IF(BC1126&lt;BB1126,(_xlfn.IFS(AW1126="SIM",SUM(L1126,Q1126,V1126,AA1126,AF1126,AK1126,AP1126,AU1126)+AX1126/_xlfn.XLOOKUP(_xlfn.XLOOKUP($F1126,Clientes!$B$4:$B$39,Clientes!$C$4:$C$39),Cadastros!$L$6:$L$12,Cadastros!$M$6:$M$12)+IF($F1126="Bernardino Furlan",AY1126/2751.92,IF($F1126="Mauro José Salanti",AY1126/2751.92,AY1126/3356)),F1126&lt;&gt;0,SUM(L1126,Q1126,V1126,AA1126,AF1126,AK1126,AP1126,AU1126)))*(1-0.03),_xlfn.IFS(AW1126="SIM",SUM(L1126,Q1126,V1126,AA1126,AF1126,AK1126,AP1126,AU1126)+AX1126/_xlfn.XLOOKUP(_xlfn.XLOOKUP($F1126,Clientes!$B$4:$B$39,Clientes!$C$4:$C$39),Cadastros!$L$6:$L$12,Cadastros!$M$6:$M$12)+IF($F1126="Bernardino Furlan",AY1126/2751.92,IF($F1126="Mauro José Salanti",AY1126/2751.92,AY1126/3356)),F1126&lt;&gt;0,SUM(L1126,Q1126,V1126,AA1126,AF1126,AK1126,AP1126,AU1126))))</f>
        <v xml:space="preserve"> </v>
      </c>
      <c r="BE1126" s="120"/>
      <c r="BF1126" s="120"/>
      <c r="BG1126" s="120"/>
    </row>
    <row r="1127" spans="1:59" s="3" customFormat="1" x14ac:dyDescent="0.3">
      <c r="A1127" s="15" t="str">
        <f t="shared" si="221"/>
        <v/>
      </c>
      <c r="B1127" s="25"/>
      <c r="C1127" s="26"/>
      <c r="D1127" s="279"/>
      <c r="E1127" s="27"/>
      <c r="F1127" s="28"/>
      <c r="G1127" s="27"/>
      <c r="H1127" s="28"/>
      <c r="I1127" s="28"/>
      <c r="J1127" s="255" t="str">
        <f>IF(H1127="","",(_xlfn.XLOOKUP(H1127,Cadastros!$D$6:$D$90,Cadastros!$E$6:$E$90))*(1-_xlfn.XLOOKUP(_xlfn.XLOOKUP($F1127,Clientes!$B$4:$B$39,Clientes!$C$4:$C$39),Cadastros!$L$6:$L$12,Cadastros!$N$6:$N$12)))</f>
        <v/>
      </c>
      <c r="K1127" s="168" t="str">
        <f t="shared" si="222"/>
        <v/>
      </c>
      <c r="L1127" s="168" t="str">
        <f>IFERROR(K1127/_xlfn.XLOOKUP(_xlfn.XLOOKUP($F1127,Clientes!$B$4:$B$39,Clientes!$C$4:$C$39),Cadastros!$L$6:$L$12,Cadastros!$M$6:$M$12)," ")</f>
        <v xml:space="preserve"> </v>
      </c>
      <c r="M1127" s="28"/>
      <c r="N1127" s="28"/>
      <c r="O1127" s="255" t="str">
        <f>IF(M1127="","",(_xlfn.XLOOKUP(M1127,Cadastros!$D$6:$D$90,Cadastros!$E$6:$E$90))*(1-_xlfn.XLOOKUP(_xlfn.XLOOKUP($F1127,Clientes!$B$4:$B$39,Clientes!$C$4:$C$39),Cadastros!$L$6:$L$12,Cadastros!$N$6:$N$12)))</f>
        <v/>
      </c>
      <c r="P1127" s="168" t="str">
        <f t="shared" si="223"/>
        <v/>
      </c>
      <c r="Q1127" s="168" t="str">
        <f>IFERROR(P1127/_xlfn.XLOOKUP(_xlfn.XLOOKUP($F1127,Clientes!$B$4:$B$39,Clientes!$C$4:$C$39),Cadastros!$L$6:$L$12,Cadastros!$M$6:$M$12)," ")</f>
        <v xml:space="preserve"> </v>
      </c>
      <c r="R1127" s="28"/>
      <c r="S1127" s="28"/>
      <c r="T1127" s="255" t="str">
        <f>IF(R1127="","",(_xlfn.XLOOKUP(R1127,Cadastros!$D$6:$D$90,Cadastros!$E$6:$E$90))*(1-_xlfn.XLOOKUP(_xlfn.XLOOKUP($F1127,Clientes!$B$4:$B$39,Clientes!$C$4:$C$39),Cadastros!$L$6:$L$12,Cadastros!$N$6:$N$12)))</f>
        <v/>
      </c>
      <c r="U1127" s="168" t="str">
        <f t="shared" si="224"/>
        <v/>
      </c>
      <c r="V1127" s="168" t="str">
        <f>IFERROR(U1127/_xlfn.XLOOKUP(_xlfn.XLOOKUP($F1127,Clientes!$B$4:$B$39,Clientes!$C$4:$C$39),Cadastros!$L$6:$L$12,Cadastros!$M$6:$M$12)," ")</f>
        <v xml:space="preserve"> </v>
      </c>
      <c r="W1127" s="28"/>
      <c r="X1127" s="28"/>
      <c r="Y1127" s="255" t="str">
        <f>IF(W1127="","",(_xlfn.XLOOKUP(W1127,Cadastros!$D$6:$D$90,Cadastros!$E$6:$E$90))*(1-_xlfn.XLOOKUP(_xlfn.XLOOKUP($F1127,Clientes!$B$4:$B$39,Clientes!$C$4:$C$39),Cadastros!$L$6:$L$12,Cadastros!$N$6:$N$12)))</f>
        <v/>
      </c>
      <c r="Z1127" s="168" t="str">
        <f t="shared" si="225"/>
        <v/>
      </c>
      <c r="AA1127" s="168" t="str">
        <f>IFERROR(Z1127/_xlfn.XLOOKUP(_xlfn.XLOOKUP($F1127,Clientes!$B$4:$B$39,Clientes!$C$4:$C$39),Cadastros!$L$6:$L$12,Cadastros!$M$6:$M$12)," ")</f>
        <v xml:space="preserve"> </v>
      </c>
      <c r="AB1127" s="28"/>
      <c r="AC1127" s="28"/>
      <c r="AD1127" s="20" t="str">
        <f>IF(AB1127="","",IF($F1127="Bernardino Furlan",_xlfn.XLOOKUP(AB1127,Cadastros!$G$6:$G$90,Cadastros!$H$6:$H$90)*(1-0.18),IF($F1127="Mauro José Salanti",_xlfn.XLOOKUP(AB1127,Cadastros!$G$6:$G$90,Cadastros!$H$6:$H$90)*(1-0.18),_xlfn.XLOOKUP(AB1127,Cadastros!$G$6:$G$90,Cadastros!$H$6:$H$90))))</f>
        <v/>
      </c>
      <c r="AE1127" s="168" t="str">
        <f t="shared" si="226"/>
        <v/>
      </c>
      <c r="AF1127" s="168" t="str">
        <f t="shared" si="227"/>
        <v/>
      </c>
      <c r="AG1127" s="28"/>
      <c r="AH1127" s="28"/>
      <c r="AI1127" s="20" t="str">
        <f>IF(AG1127="","",IF($F1127="Bernardino Furlan",_xlfn.XLOOKUP(AG1127,Cadastros!$G$6:$G$90,Cadastros!$H$6:$H$90)*(1-0.18),IF($F1127="Mauro José Salanti",_xlfn.XLOOKUP(AG1127,Cadastros!$G$6:$G$90,Cadastros!$H$6:$H$90)*(1-0.18),_xlfn.XLOOKUP(AG1127,Cadastros!$G$6:$G$90,Cadastros!$H$6:$H$90))))</f>
        <v/>
      </c>
      <c r="AJ1127" s="168" t="str">
        <f t="shared" si="228"/>
        <v/>
      </c>
      <c r="AK1127" s="168" t="str">
        <f t="shared" si="229"/>
        <v/>
      </c>
      <c r="AL1127" s="28"/>
      <c r="AM1127" s="28"/>
      <c r="AN1127" s="20" t="str">
        <f>IF(AL1127="","",IF($F1127="Bernardino Furlan",_xlfn.XLOOKUP(AL1127,Cadastros!$G$6:$G$90,Cadastros!$H$6:$H$90)*(1-0.18),IF($F1127="Mauro José Salanti",_xlfn.XLOOKUP(AL1127,Cadastros!$G$6:$G$90,Cadastros!$H$6:$H$90)*(1-0.18),_xlfn.XLOOKUP(AL1127,Cadastros!$G$6:$G$90,Cadastros!$H$6:$H$90))))</f>
        <v/>
      </c>
      <c r="AO1127" s="168" t="str">
        <f t="shared" si="230"/>
        <v/>
      </c>
      <c r="AP1127" s="168" t="str">
        <f t="shared" si="231"/>
        <v/>
      </c>
      <c r="AQ1127" s="28"/>
      <c r="AR1127" s="28"/>
      <c r="AS1127" s="20" t="str">
        <f>IF(AQ1127="","",IF($F1127="Bernardino Furlan",_xlfn.XLOOKUP(AQ1127,Cadastros!$G$6:$G$90,Cadastros!$H$6:$H$90)*(1-0.18),IF($F1127="Mauro José Salanti",_xlfn.XLOOKUP(AQ1127,Cadastros!$G$6:$G$90,Cadastros!$H$6:$H$90)*(1-0.18),_xlfn.XLOOKUP(AQ1127,Cadastros!$G$6:$G$90,Cadastros!$H$6:$H$90))))</f>
        <v/>
      </c>
      <c r="AT1127" s="168" t="str">
        <f t="shared" si="232"/>
        <v/>
      </c>
      <c r="AU1127" s="168" t="str">
        <f t="shared" si="233"/>
        <v/>
      </c>
      <c r="AV1127" s="227"/>
      <c r="AW1127" s="30"/>
      <c r="AX1127" s="267"/>
      <c r="AY1127" s="267"/>
      <c r="AZ1127" s="29"/>
      <c r="BA1127" s="30"/>
      <c r="BB1127" s="23" t="str" cm="1">
        <f t="array" ref="BB1127">_xlfn.IFS(AW1127="SIM",SUM(K1127,P1127,U1127,Z1127,AE1127,AJ1127,AO1127,AT1127,AX1127,AY1127),F1127&lt;&gt;"",SUM(K1127,P1127,U1127,Z1127,AE1127,AJ1127,,AO1127,AT1127),F1127="","")</f>
        <v/>
      </c>
      <c r="BC1127" s="211" t="str" cm="1">
        <f t="array" ref="BC1127">_xlfn.IFS(E1127="","",G1127&lt;=E1127,BB1127*(1-0.03),G1127&lt;(E1127+8),BB1127,AZ1127="Boleto",BB1127*(1+0.001)^DATEDIF(E1127,G1127,"D"),AZ1127="Cheque",BB1127,AZ1127="Dinheiro","Alterar forma pgto")</f>
        <v/>
      </c>
      <c r="BD1127" s="276" t="str" cm="1">
        <f t="array" ref="BD1127">IF(F1127=0," ",IF(BC1127&lt;BB1127,(_xlfn.IFS(AW1127="SIM",SUM(L1127,Q1127,V1127,AA1127,AF1127,AK1127,AP1127,AU1127)+AX1127/_xlfn.XLOOKUP(_xlfn.XLOOKUP($F1127,Clientes!$B$4:$B$39,Clientes!$C$4:$C$39),Cadastros!$L$6:$L$12,Cadastros!$M$6:$M$12)+IF($F1127="Bernardino Furlan",AY1127/2751.92,IF($F1127="Mauro José Salanti",AY1127/2751.92,AY1127/3356)),F1127&lt;&gt;0,SUM(L1127,Q1127,V1127,AA1127,AF1127,AK1127,AP1127,AU1127)))*(1-0.03),_xlfn.IFS(AW1127="SIM",SUM(L1127,Q1127,V1127,AA1127,AF1127,AK1127,AP1127,AU1127)+AX1127/_xlfn.XLOOKUP(_xlfn.XLOOKUP($F1127,Clientes!$B$4:$B$39,Clientes!$C$4:$C$39),Cadastros!$L$6:$L$12,Cadastros!$M$6:$M$12)+IF($F1127="Bernardino Furlan",AY1127/2751.92,IF($F1127="Mauro José Salanti",AY1127/2751.92,AY1127/3356)),F1127&lt;&gt;0,SUM(L1127,Q1127,V1127,AA1127,AF1127,AK1127,AP1127,AU1127))))</f>
        <v xml:space="preserve"> </v>
      </c>
      <c r="BE1127" s="120"/>
      <c r="BF1127" s="120"/>
      <c r="BG1127" s="120"/>
    </row>
    <row r="1128" spans="1:59" s="3" customFormat="1" x14ac:dyDescent="0.3">
      <c r="A1128" s="15" t="str">
        <f t="shared" si="221"/>
        <v/>
      </c>
      <c r="B1128" s="25"/>
      <c r="C1128" s="26"/>
      <c r="D1128" s="279"/>
      <c r="E1128" s="27"/>
      <c r="F1128" s="28"/>
      <c r="G1128" s="27"/>
      <c r="H1128" s="28"/>
      <c r="I1128" s="28"/>
      <c r="J1128" s="255" t="str">
        <f>IF(H1128="","",(_xlfn.XLOOKUP(H1128,Cadastros!$D$6:$D$90,Cadastros!$E$6:$E$90))*(1-_xlfn.XLOOKUP(_xlfn.XLOOKUP($F1128,Clientes!$B$4:$B$39,Clientes!$C$4:$C$39),Cadastros!$L$6:$L$12,Cadastros!$N$6:$N$12)))</f>
        <v/>
      </c>
      <c r="K1128" s="168" t="str">
        <f t="shared" si="222"/>
        <v/>
      </c>
      <c r="L1128" s="168" t="str">
        <f>IFERROR(K1128/_xlfn.XLOOKUP(_xlfn.XLOOKUP($F1128,Clientes!$B$4:$B$39,Clientes!$C$4:$C$39),Cadastros!$L$6:$L$12,Cadastros!$M$6:$M$12)," ")</f>
        <v xml:space="preserve"> </v>
      </c>
      <c r="M1128" s="28"/>
      <c r="N1128" s="28"/>
      <c r="O1128" s="255" t="str">
        <f>IF(M1128="","",(_xlfn.XLOOKUP(M1128,Cadastros!$D$6:$D$90,Cadastros!$E$6:$E$90))*(1-_xlfn.XLOOKUP(_xlfn.XLOOKUP($F1128,Clientes!$B$4:$B$39,Clientes!$C$4:$C$39),Cadastros!$L$6:$L$12,Cadastros!$N$6:$N$12)))</f>
        <v/>
      </c>
      <c r="P1128" s="168" t="str">
        <f t="shared" si="223"/>
        <v/>
      </c>
      <c r="Q1128" s="168" t="str">
        <f>IFERROR(P1128/_xlfn.XLOOKUP(_xlfn.XLOOKUP($F1128,Clientes!$B$4:$B$39,Clientes!$C$4:$C$39),Cadastros!$L$6:$L$12,Cadastros!$M$6:$M$12)," ")</f>
        <v xml:space="preserve"> </v>
      </c>
      <c r="R1128" s="28"/>
      <c r="S1128" s="28"/>
      <c r="T1128" s="255" t="str">
        <f>IF(R1128="","",(_xlfn.XLOOKUP(R1128,Cadastros!$D$6:$D$90,Cadastros!$E$6:$E$90))*(1-_xlfn.XLOOKUP(_xlfn.XLOOKUP($F1128,Clientes!$B$4:$B$39,Clientes!$C$4:$C$39),Cadastros!$L$6:$L$12,Cadastros!$N$6:$N$12)))</f>
        <v/>
      </c>
      <c r="U1128" s="168" t="str">
        <f t="shared" si="224"/>
        <v/>
      </c>
      <c r="V1128" s="168" t="str">
        <f>IFERROR(U1128/_xlfn.XLOOKUP(_xlfn.XLOOKUP($F1128,Clientes!$B$4:$B$39,Clientes!$C$4:$C$39),Cadastros!$L$6:$L$12,Cadastros!$M$6:$M$12)," ")</f>
        <v xml:space="preserve"> </v>
      </c>
      <c r="W1128" s="28"/>
      <c r="X1128" s="28"/>
      <c r="Y1128" s="255" t="str">
        <f>IF(W1128="","",(_xlfn.XLOOKUP(W1128,Cadastros!$D$6:$D$90,Cadastros!$E$6:$E$90))*(1-_xlfn.XLOOKUP(_xlfn.XLOOKUP($F1128,Clientes!$B$4:$B$39,Clientes!$C$4:$C$39),Cadastros!$L$6:$L$12,Cadastros!$N$6:$N$12)))</f>
        <v/>
      </c>
      <c r="Z1128" s="168" t="str">
        <f t="shared" si="225"/>
        <v/>
      </c>
      <c r="AA1128" s="168" t="str">
        <f>IFERROR(Z1128/_xlfn.XLOOKUP(_xlfn.XLOOKUP($F1128,Clientes!$B$4:$B$39,Clientes!$C$4:$C$39),Cadastros!$L$6:$L$12,Cadastros!$M$6:$M$12)," ")</f>
        <v xml:space="preserve"> </v>
      </c>
      <c r="AB1128" s="28"/>
      <c r="AC1128" s="28"/>
      <c r="AD1128" s="20" t="str">
        <f>IF(AB1128="","",IF($F1128="Bernardino Furlan",_xlfn.XLOOKUP(AB1128,Cadastros!$G$6:$G$90,Cadastros!$H$6:$H$90)*(1-0.18),IF($F1128="Mauro José Salanti",_xlfn.XLOOKUP(AB1128,Cadastros!$G$6:$G$90,Cadastros!$H$6:$H$90)*(1-0.18),_xlfn.XLOOKUP(AB1128,Cadastros!$G$6:$G$90,Cadastros!$H$6:$H$90))))</f>
        <v/>
      </c>
      <c r="AE1128" s="168" t="str">
        <f t="shared" si="226"/>
        <v/>
      </c>
      <c r="AF1128" s="168" t="str">
        <f t="shared" si="227"/>
        <v/>
      </c>
      <c r="AG1128" s="28"/>
      <c r="AH1128" s="28"/>
      <c r="AI1128" s="20" t="str">
        <f>IF(AG1128="","",IF($F1128="Bernardino Furlan",_xlfn.XLOOKUP(AG1128,Cadastros!$G$6:$G$90,Cadastros!$H$6:$H$90)*(1-0.18),IF($F1128="Mauro José Salanti",_xlfn.XLOOKUP(AG1128,Cadastros!$G$6:$G$90,Cadastros!$H$6:$H$90)*(1-0.18),_xlfn.XLOOKUP(AG1128,Cadastros!$G$6:$G$90,Cadastros!$H$6:$H$90))))</f>
        <v/>
      </c>
      <c r="AJ1128" s="168" t="str">
        <f t="shared" si="228"/>
        <v/>
      </c>
      <c r="AK1128" s="168" t="str">
        <f t="shared" si="229"/>
        <v/>
      </c>
      <c r="AL1128" s="28"/>
      <c r="AM1128" s="28"/>
      <c r="AN1128" s="20" t="str">
        <f>IF(AL1128="","",IF($F1128="Bernardino Furlan",_xlfn.XLOOKUP(AL1128,Cadastros!$G$6:$G$90,Cadastros!$H$6:$H$90)*(1-0.18),IF($F1128="Mauro José Salanti",_xlfn.XLOOKUP(AL1128,Cadastros!$G$6:$G$90,Cadastros!$H$6:$H$90)*(1-0.18),_xlfn.XLOOKUP(AL1128,Cadastros!$G$6:$G$90,Cadastros!$H$6:$H$90))))</f>
        <v/>
      </c>
      <c r="AO1128" s="168" t="str">
        <f t="shared" si="230"/>
        <v/>
      </c>
      <c r="AP1128" s="168" t="str">
        <f t="shared" si="231"/>
        <v/>
      </c>
      <c r="AQ1128" s="28"/>
      <c r="AR1128" s="28"/>
      <c r="AS1128" s="20" t="str">
        <f>IF(AQ1128="","",IF($F1128="Bernardino Furlan",_xlfn.XLOOKUP(AQ1128,Cadastros!$G$6:$G$90,Cadastros!$H$6:$H$90)*(1-0.18),IF($F1128="Mauro José Salanti",_xlfn.XLOOKUP(AQ1128,Cadastros!$G$6:$G$90,Cadastros!$H$6:$H$90)*(1-0.18),_xlfn.XLOOKUP(AQ1128,Cadastros!$G$6:$G$90,Cadastros!$H$6:$H$90))))</f>
        <v/>
      </c>
      <c r="AT1128" s="168" t="str">
        <f t="shared" si="232"/>
        <v/>
      </c>
      <c r="AU1128" s="168" t="str">
        <f t="shared" si="233"/>
        <v/>
      </c>
      <c r="AV1128" s="227"/>
      <c r="AW1128" s="30"/>
      <c r="AX1128" s="267"/>
      <c r="AY1128" s="267"/>
      <c r="AZ1128" s="29"/>
      <c r="BA1128" s="30"/>
      <c r="BB1128" s="23" t="str" cm="1">
        <f t="array" ref="BB1128">_xlfn.IFS(AW1128="SIM",SUM(K1128,P1128,U1128,Z1128,AE1128,AJ1128,AO1128,AT1128,AX1128,AY1128),F1128&lt;&gt;"",SUM(K1128,P1128,U1128,Z1128,AE1128,AJ1128,,AO1128,AT1128),F1128="","")</f>
        <v/>
      </c>
      <c r="BC1128" s="211" t="str" cm="1">
        <f t="array" ref="BC1128">_xlfn.IFS(E1128="","",G1128&lt;=E1128,BB1128*(1-0.03),G1128&lt;(E1128+8),BB1128,AZ1128="Boleto",BB1128*(1+0.001)^DATEDIF(E1128,G1128,"D"),AZ1128="Cheque",BB1128,AZ1128="Dinheiro","Alterar forma pgto")</f>
        <v/>
      </c>
      <c r="BD1128" s="276" t="str" cm="1">
        <f t="array" ref="BD1128">IF(F1128=0," ",IF(BC1128&lt;BB1128,(_xlfn.IFS(AW1128="SIM",SUM(L1128,Q1128,V1128,AA1128,AF1128,AK1128,AP1128,AU1128)+AX1128/_xlfn.XLOOKUP(_xlfn.XLOOKUP($F1128,Clientes!$B$4:$B$39,Clientes!$C$4:$C$39),Cadastros!$L$6:$L$12,Cadastros!$M$6:$M$12)+IF($F1128="Bernardino Furlan",AY1128/2751.92,IF($F1128="Mauro José Salanti",AY1128/2751.92,AY1128/3356)),F1128&lt;&gt;0,SUM(L1128,Q1128,V1128,AA1128,AF1128,AK1128,AP1128,AU1128)))*(1-0.03),_xlfn.IFS(AW1128="SIM",SUM(L1128,Q1128,V1128,AA1128,AF1128,AK1128,AP1128,AU1128)+AX1128/_xlfn.XLOOKUP(_xlfn.XLOOKUP($F1128,Clientes!$B$4:$B$39,Clientes!$C$4:$C$39),Cadastros!$L$6:$L$12,Cadastros!$M$6:$M$12)+IF($F1128="Bernardino Furlan",AY1128/2751.92,IF($F1128="Mauro José Salanti",AY1128/2751.92,AY1128/3356)),F1128&lt;&gt;0,SUM(L1128,Q1128,V1128,AA1128,AF1128,AK1128,AP1128,AU1128))))</f>
        <v xml:space="preserve"> </v>
      </c>
      <c r="BE1128" s="120"/>
      <c r="BF1128" s="120"/>
      <c r="BG1128" s="120"/>
    </row>
    <row r="1129" spans="1:59" s="3" customFormat="1" x14ac:dyDescent="0.3">
      <c r="A1129" s="15" t="str">
        <f t="shared" si="221"/>
        <v/>
      </c>
      <c r="B1129" s="25"/>
      <c r="C1129" s="26"/>
      <c r="D1129" s="279"/>
      <c r="E1129" s="27"/>
      <c r="F1129" s="28"/>
      <c r="G1129" s="27"/>
      <c r="H1129" s="28"/>
      <c r="I1129" s="28"/>
      <c r="J1129" s="255" t="str">
        <f>IF(H1129="","",(_xlfn.XLOOKUP(H1129,Cadastros!$D$6:$D$90,Cadastros!$E$6:$E$90))*(1-_xlfn.XLOOKUP(_xlfn.XLOOKUP($F1129,Clientes!$B$4:$B$39,Clientes!$C$4:$C$39),Cadastros!$L$6:$L$12,Cadastros!$N$6:$N$12)))</f>
        <v/>
      </c>
      <c r="K1129" s="168" t="str">
        <f t="shared" si="222"/>
        <v/>
      </c>
      <c r="L1129" s="168" t="str">
        <f>IFERROR(K1129/_xlfn.XLOOKUP(_xlfn.XLOOKUP($F1129,Clientes!$B$4:$B$39,Clientes!$C$4:$C$39),Cadastros!$L$6:$L$12,Cadastros!$M$6:$M$12)," ")</f>
        <v xml:space="preserve"> </v>
      </c>
      <c r="M1129" s="28"/>
      <c r="N1129" s="28"/>
      <c r="O1129" s="255" t="str">
        <f>IF(M1129="","",(_xlfn.XLOOKUP(M1129,Cadastros!$D$6:$D$90,Cadastros!$E$6:$E$90))*(1-_xlfn.XLOOKUP(_xlfn.XLOOKUP($F1129,Clientes!$B$4:$B$39,Clientes!$C$4:$C$39),Cadastros!$L$6:$L$12,Cadastros!$N$6:$N$12)))</f>
        <v/>
      </c>
      <c r="P1129" s="168" t="str">
        <f t="shared" si="223"/>
        <v/>
      </c>
      <c r="Q1129" s="168" t="str">
        <f>IFERROR(P1129/_xlfn.XLOOKUP(_xlfn.XLOOKUP($F1129,Clientes!$B$4:$B$39,Clientes!$C$4:$C$39),Cadastros!$L$6:$L$12,Cadastros!$M$6:$M$12)," ")</f>
        <v xml:space="preserve"> </v>
      </c>
      <c r="R1129" s="28"/>
      <c r="S1129" s="28"/>
      <c r="T1129" s="255" t="str">
        <f>IF(R1129="","",(_xlfn.XLOOKUP(R1129,Cadastros!$D$6:$D$90,Cadastros!$E$6:$E$90))*(1-_xlfn.XLOOKUP(_xlfn.XLOOKUP($F1129,Clientes!$B$4:$B$39,Clientes!$C$4:$C$39),Cadastros!$L$6:$L$12,Cadastros!$N$6:$N$12)))</f>
        <v/>
      </c>
      <c r="U1129" s="168" t="str">
        <f t="shared" si="224"/>
        <v/>
      </c>
      <c r="V1129" s="168" t="str">
        <f>IFERROR(U1129/_xlfn.XLOOKUP(_xlfn.XLOOKUP($F1129,Clientes!$B$4:$B$39,Clientes!$C$4:$C$39),Cadastros!$L$6:$L$12,Cadastros!$M$6:$M$12)," ")</f>
        <v xml:space="preserve"> </v>
      </c>
      <c r="W1129" s="28"/>
      <c r="X1129" s="28"/>
      <c r="Y1129" s="255" t="str">
        <f>IF(W1129="","",(_xlfn.XLOOKUP(W1129,Cadastros!$D$6:$D$90,Cadastros!$E$6:$E$90))*(1-_xlfn.XLOOKUP(_xlfn.XLOOKUP($F1129,Clientes!$B$4:$B$39,Clientes!$C$4:$C$39),Cadastros!$L$6:$L$12,Cadastros!$N$6:$N$12)))</f>
        <v/>
      </c>
      <c r="Z1129" s="168" t="str">
        <f t="shared" si="225"/>
        <v/>
      </c>
      <c r="AA1129" s="168" t="str">
        <f>IFERROR(Z1129/_xlfn.XLOOKUP(_xlfn.XLOOKUP($F1129,Clientes!$B$4:$B$39,Clientes!$C$4:$C$39),Cadastros!$L$6:$L$12,Cadastros!$M$6:$M$12)," ")</f>
        <v xml:space="preserve"> </v>
      </c>
      <c r="AB1129" s="28"/>
      <c r="AC1129" s="28"/>
      <c r="AD1129" s="20" t="str">
        <f>IF(AB1129="","",IF($F1129="Bernardino Furlan",_xlfn.XLOOKUP(AB1129,Cadastros!$G$6:$G$90,Cadastros!$H$6:$H$90)*(1-0.18),IF($F1129="Mauro José Salanti",_xlfn.XLOOKUP(AB1129,Cadastros!$G$6:$G$90,Cadastros!$H$6:$H$90)*(1-0.18),_xlfn.XLOOKUP(AB1129,Cadastros!$G$6:$G$90,Cadastros!$H$6:$H$90))))</f>
        <v/>
      </c>
      <c r="AE1129" s="168" t="str">
        <f t="shared" si="226"/>
        <v/>
      </c>
      <c r="AF1129" s="168" t="str">
        <f t="shared" si="227"/>
        <v/>
      </c>
      <c r="AG1129" s="28"/>
      <c r="AH1129" s="28"/>
      <c r="AI1129" s="20" t="str">
        <f>IF(AG1129="","",IF($F1129="Bernardino Furlan",_xlfn.XLOOKUP(AG1129,Cadastros!$G$6:$G$90,Cadastros!$H$6:$H$90)*(1-0.18),IF($F1129="Mauro José Salanti",_xlfn.XLOOKUP(AG1129,Cadastros!$G$6:$G$90,Cadastros!$H$6:$H$90)*(1-0.18),_xlfn.XLOOKUP(AG1129,Cadastros!$G$6:$G$90,Cadastros!$H$6:$H$90))))</f>
        <v/>
      </c>
      <c r="AJ1129" s="168" t="str">
        <f t="shared" si="228"/>
        <v/>
      </c>
      <c r="AK1129" s="168" t="str">
        <f t="shared" si="229"/>
        <v/>
      </c>
      <c r="AL1129" s="28"/>
      <c r="AM1129" s="28"/>
      <c r="AN1129" s="20" t="str">
        <f>IF(AL1129="","",IF($F1129="Bernardino Furlan",_xlfn.XLOOKUP(AL1129,Cadastros!$G$6:$G$90,Cadastros!$H$6:$H$90)*(1-0.18),IF($F1129="Mauro José Salanti",_xlfn.XLOOKUP(AL1129,Cadastros!$G$6:$G$90,Cadastros!$H$6:$H$90)*(1-0.18),_xlfn.XLOOKUP(AL1129,Cadastros!$G$6:$G$90,Cadastros!$H$6:$H$90))))</f>
        <v/>
      </c>
      <c r="AO1129" s="168" t="str">
        <f t="shared" si="230"/>
        <v/>
      </c>
      <c r="AP1129" s="168" t="str">
        <f t="shared" si="231"/>
        <v/>
      </c>
      <c r="AQ1129" s="28"/>
      <c r="AR1129" s="28"/>
      <c r="AS1129" s="20" t="str">
        <f>IF(AQ1129="","",IF($F1129="Bernardino Furlan",_xlfn.XLOOKUP(AQ1129,Cadastros!$G$6:$G$90,Cadastros!$H$6:$H$90)*(1-0.18),IF($F1129="Mauro José Salanti",_xlfn.XLOOKUP(AQ1129,Cadastros!$G$6:$G$90,Cadastros!$H$6:$H$90)*(1-0.18),_xlfn.XLOOKUP(AQ1129,Cadastros!$G$6:$G$90,Cadastros!$H$6:$H$90))))</f>
        <v/>
      </c>
      <c r="AT1129" s="168" t="str">
        <f t="shared" si="232"/>
        <v/>
      </c>
      <c r="AU1129" s="168" t="str">
        <f t="shared" si="233"/>
        <v/>
      </c>
      <c r="AV1129" s="227"/>
      <c r="AW1129" s="30"/>
      <c r="AX1129" s="267"/>
      <c r="AY1129" s="267"/>
      <c r="AZ1129" s="29"/>
      <c r="BA1129" s="30"/>
      <c r="BB1129" s="23" t="str" cm="1">
        <f t="array" ref="BB1129">_xlfn.IFS(AW1129="SIM",SUM(K1129,P1129,U1129,Z1129,AE1129,AJ1129,AO1129,AT1129,AX1129,AY1129),F1129&lt;&gt;"",SUM(K1129,P1129,U1129,Z1129,AE1129,AJ1129,,AO1129,AT1129),F1129="","")</f>
        <v/>
      </c>
      <c r="BC1129" s="211" t="str" cm="1">
        <f t="array" ref="BC1129">_xlfn.IFS(E1129="","",G1129&lt;=E1129,BB1129*(1-0.03),G1129&lt;(E1129+8),BB1129,AZ1129="Boleto",BB1129*(1+0.001)^DATEDIF(E1129,G1129,"D"),AZ1129="Cheque",BB1129,AZ1129="Dinheiro","Alterar forma pgto")</f>
        <v/>
      </c>
      <c r="BD1129" s="276" t="str" cm="1">
        <f t="array" ref="BD1129">IF(F1129=0," ",IF(BC1129&lt;BB1129,(_xlfn.IFS(AW1129="SIM",SUM(L1129,Q1129,V1129,AA1129,AF1129,AK1129,AP1129,AU1129)+AX1129/_xlfn.XLOOKUP(_xlfn.XLOOKUP($F1129,Clientes!$B$4:$B$39,Clientes!$C$4:$C$39),Cadastros!$L$6:$L$12,Cadastros!$M$6:$M$12)+IF($F1129="Bernardino Furlan",AY1129/2751.92,IF($F1129="Mauro José Salanti",AY1129/2751.92,AY1129/3356)),F1129&lt;&gt;0,SUM(L1129,Q1129,V1129,AA1129,AF1129,AK1129,AP1129,AU1129)))*(1-0.03),_xlfn.IFS(AW1129="SIM",SUM(L1129,Q1129,V1129,AA1129,AF1129,AK1129,AP1129,AU1129)+AX1129/_xlfn.XLOOKUP(_xlfn.XLOOKUP($F1129,Clientes!$B$4:$B$39,Clientes!$C$4:$C$39),Cadastros!$L$6:$L$12,Cadastros!$M$6:$M$12)+IF($F1129="Bernardino Furlan",AY1129/2751.92,IF($F1129="Mauro José Salanti",AY1129/2751.92,AY1129/3356)),F1129&lt;&gt;0,SUM(L1129,Q1129,V1129,AA1129,AF1129,AK1129,AP1129,AU1129))))</f>
        <v xml:space="preserve"> </v>
      </c>
      <c r="BE1129" s="120"/>
      <c r="BF1129" s="120"/>
      <c r="BG1129" s="120"/>
    </row>
    <row r="1130" spans="1:59" s="3" customFormat="1" x14ac:dyDescent="0.3">
      <c r="A1130" s="15" t="str">
        <f t="shared" si="221"/>
        <v/>
      </c>
      <c r="B1130" s="25"/>
      <c r="C1130" s="26"/>
      <c r="D1130" s="279"/>
      <c r="E1130" s="27"/>
      <c r="F1130" s="28"/>
      <c r="G1130" s="27"/>
      <c r="H1130" s="28"/>
      <c r="I1130" s="28"/>
      <c r="J1130" s="255" t="str">
        <f>IF(H1130="","",(_xlfn.XLOOKUP(H1130,Cadastros!$D$6:$D$90,Cadastros!$E$6:$E$90))*(1-_xlfn.XLOOKUP(_xlfn.XLOOKUP($F1130,Clientes!$B$4:$B$39,Clientes!$C$4:$C$39),Cadastros!$L$6:$L$12,Cadastros!$N$6:$N$12)))</f>
        <v/>
      </c>
      <c r="K1130" s="168" t="str">
        <f t="shared" si="222"/>
        <v/>
      </c>
      <c r="L1130" s="168" t="str">
        <f>IFERROR(K1130/_xlfn.XLOOKUP(_xlfn.XLOOKUP($F1130,Clientes!$B$4:$B$39,Clientes!$C$4:$C$39),Cadastros!$L$6:$L$12,Cadastros!$M$6:$M$12)," ")</f>
        <v xml:space="preserve"> </v>
      </c>
      <c r="M1130" s="28"/>
      <c r="N1130" s="28"/>
      <c r="O1130" s="255" t="str">
        <f>IF(M1130="","",(_xlfn.XLOOKUP(M1130,Cadastros!$D$6:$D$90,Cadastros!$E$6:$E$90))*(1-_xlfn.XLOOKUP(_xlfn.XLOOKUP($F1130,Clientes!$B$4:$B$39,Clientes!$C$4:$C$39),Cadastros!$L$6:$L$12,Cadastros!$N$6:$N$12)))</f>
        <v/>
      </c>
      <c r="P1130" s="168" t="str">
        <f t="shared" si="223"/>
        <v/>
      </c>
      <c r="Q1130" s="168" t="str">
        <f>IFERROR(P1130/_xlfn.XLOOKUP(_xlfn.XLOOKUP($F1130,Clientes!$B$4:$B$39,Clientes!$C$4:$C$39),Cadastros!$L$6:$L$12,Cadastros!$M$6:$M$12)," ")</f>
        <v xml:space="preserve"> </v>
      </c>
      <c r="R1130" s="28"/>
      <c r="S1130" s="28"/>
      <c r="T1130" s="255" t="str">
        <f>IF(R1130="","",(_xlfn.XLOOKUP(R1130,Cadastros!$D$6:$D$90,Cadastros!$E$6:$E$90))*(1-_xlfn.XLOOKUP(_xlfn.XLOOKUP($F1130,Clientes!$B$4:$B$39,Clientes!$C$4:$C$39),Cadastros!$L$6:$L$12,Cadastros!$N$6:$N$12)))</f>
        <v/>
      </c>
      <c r="U1130" s="168" t="str">
        <f t="shared" si="224"/>
        <v/>
      </c>
      <c r="V1130" s="168" t="str">
        <f>IFERROR(U1130/_xlfn.XLOOKUP(_xlfn.XLOOKUP($F1130,Clientes!$B$4:$B$39,Clientes!$C$4:$C$39),Cadastros!$L$6:$L$12,Cadastros!$M$6:$M$12)," ")</f>
        <v xml:space="preserve"> </v>
      </c>
      <c r="W1130" s="28"/>
      <c r="X1130" s="28"/>
      <c r="Y1130" s="255" t="str">
        <f>IF(W1130="","",(_xlfn.XLOOKUP(W1130,Cadastros!$D$6:$D$90,Cadastros!$E$6:$E$90))*(1-_xlfn.XLOOKUP(_xlfn.XLOOKUP($F1130,Clientes!$B$4:$B$39,Clientes!$C$4:$C$39),Cadastros!$L$6:$L$12,Cadastros!$N$6:$N$12)))</f>
        <v/>
      </c>
      <c r="Z1130" s="168" t="str">
        <f t="shared" si="225"/>
        <v/>
      </c>
      <c r="AA1130" s="168" t="str">
        <f>IFERROR(Z1130/_xlfn.XLOOKUP(_xlfn.XLOOKUP($F1130,Clientes!$B$4:$B$39,Clientes!$C$4:$C$39),Cadastros!$L$6:$L$12,Cadastros!$M$6:$M$12)," ")</f>
        <v xml:space="preserve"> </v>
      </c>
      <c r="AB1130" s="28"/>
      <c r="AC1130" s="28"/>
      <c r="AD1130" s="20" t="str">
        <f>IF(AB1130="","",IF($F1130="Bernardino Furlan",_xlfn.XLOOKUP(AB1130,Cadastros!$G$6:$G$90,Cadastros!$H$6:$H$90)*(1-0.18),IF($F1130="Mauro José Salanti",_xlfn.XLOOKUP(AB1130,Cadastros!$G$6:$G$90,Cadastros!$H$6:$H$90)*(1-0.18),_xlfn.XLOOKUP(AB1130,Cadastros!$G$6:$G$90,Cadastros!$H$6:$H$90))))</f>
        <v/>
      </c>
      <c r="AE1130" s="168" t="str">
        <f t="shared" si="226"/>
        <v/>
      </c>
      <c r="AF1130" s="168" t="str">
        <f t="shared" si="227"/>
        <v/>
      </c>
      <c r="AG1130" s="28"/>
      <c r="AH1130" s="28"/>
      <c r="AI1130" s="20" t="str">
        <f>IF(AG1130="","",IF($F1130="Bernardino Furlan",_xlfn.XLOOKUP(AG1130,Cadastros!$G$6:$G$90,Cadastros!$H$6:$H$90)*(1-0.18),IF($F1130="Mauro José Salanti",_xlfn.XLOOKUP(AG1130,Cadastros!$G$6:$G$90,Cadastros!$H$6:$H$90)*(1-0.18),_xlfn.XLOOKUP(AG1130,Cadastros!$G$6:$G$90,Cadastros!$H$6:$H$90))))</f>
        <v/>
      </c>
      <c r="AJ1130" s="168" t="str">
        <f t="shared" si="228"/>
        <v/>
      </c>
      <c r="AK1130" s="168" t="str">
        <f t="shared" si="229"/>
        <v/>
      </c>
      <c r="AL1130" s="28"/>
      <c r="AM1130" s="28"/>
      <c r="AN1130" s="20" t="str">
        <f>IF(AL1130="","",IF($F1130="Bernardino Furlan",_xlfn.XLOOKUP(AL1130,Cadastros!$G$6:$G$90,Cadastros!$H$6:$H$90)*(1-0.18),IF($F1130="Mauro José Salanti",_xlfn.XLOOKUP(AL1130,Cadastros!$G$6:$G$90,Cadastros!$H$6:$H$90)*(1-0.18),_xlfn.XLOOKUP(AL1130,Cadastros!$G$6:$G$90,Cadastros!$H$6:$H$90))))</f>
        <v/>
      </c>
      <c r="AO1130" s="168" t="str">
        <f t="shared" si="230"/>
        <v/>
      </c>
      <c r="AP1130" s="168" t="str">
        <f t="shared" si="231"/>
        <v/>
      </c>
      <c r="AQ1130" s="28"/>
      <c r="AR1130" s="28"/>
      <c r="AS1130" s="20" t="str">
        <f>IF(AQ1130="","",IF($F1130="Bernardino Furlan",_xlfn.XLOOKUP(AQ1130,Cadastros!$G$6:$G$90,Cadastros!$H$6:$H$90)*(1-0.18),IF($F1130="Mauro José Salanti",_xlfn.XLOOKUP(AQ1130,Cadastros!$G$6:$G$90,Cadastros!$H$6:$H$90)*(1-0.18),_xlfn.XLOOKUP(AQ1130,Cadastros!$G$6:$G$90,Cadastros!$H$6:$H$90))))</f>
        <v/>
      </c>
      <c r="AT1130" s="168" t="str">
        <f t="shared" si="232"/>
        <v/>
      </c>
      <c r="AU1130" s="168" t="str">
        <f t="shared" si="233"/>
        <v/>
      </c>
      <c r="AV1130" s="227"/>
      <c r="AW1130" s="30"/>
      <c r="AX1130" s="267"/>
      <c r="AY1130" s="267"/>
      <c r="AZ1130" s="29"/>
      <c r="BA1130" s="30"/>
      <c r="BB1130" s="23" t="str" cm="1">
        <f t="array" ref="BB1130">_xlfn.IFS(AW1130="SIM",SUM(K1130,P1130,U1130,Z1130,AE1130,AJ1130,AO1130,AT1130,AX1130,AY1130),F1130&lt;&gt;"",SUM(K1130,P1130,U1130,Z1130,AE1130,AJ1130,,AO1130,AT1130),F1130="","")</f>
        <v/>
      </c>
      <c r="BC1130" s="211" t="str" cm="1">
        <f t="array" ref="BC1130">_xlfn.IFS(E1130="","",G1130&lt;=E1130,BB1130*(1-0.03),G1130&lt;(E1130+8),BB1130,AZ1130="Boleto",BB1130*(1+0.001)^DATEDIF(E1130,G1130,"D"),AZ1130="Cheque",BB1130,AZ1130="Dinheiro","Alterar forma pgto")</f>
        <v/>
      </c>
      <c r="BD1130" s="276" t="str" cm="1">
        <f t="array" ref="BD1130">IF(F1130=0," ",IF(BC1130&lt;BB1130,(_xlfn.IFS(AW1130="SIM",SUM(L1130,Q1130,V1130,AA1130,AF1130,AK1130,AP1130,AU1130)+AX1130/_xlfn.XLOOKUP(_xlfn.XLOOKUP($F1130,Clientes!$B$4:$B$39,Clientes!$C$4:$C$39),Cadastros!$L$6:$L$12,Cadastros!$M$6:$M$12)+IF($F1130="Bernardino Furlan",AY1130/2751.92,IF($F1130="Mauro José Salanti",AY1130/2751.92,AY1130/3356)),F1130&lt;&gt;0,SUM(L1130,Q1130,V1130,AA1130,AF1130,AK1130,AP1130,AU1130)))*(1-0.03),_xlfn.IFS(AW1130="SIM",SUM(L1130,Q1130,V1130,AA1130,AF1130,AK1130,AP1130,AU1130)+AX1130/_xlfn.XLOOKUP(_xlfn.XLOOKUP($F1130,Clientes!$B$4:$B$39,Clientes!$C$4:$C$39),Cadastros!$L$6:$L$12,Cadastros!$M$6:$M$12)+IF($F1130="Bernardino Furlan",AY1130/2751.92,IF($F1130="Mauro José Salanti",AY1130/2751.92,AY1130/3356)),F1130&lt;&gt;0,SUM(L1130,Q1130,V1130,AA1130,AF1130,AK1130,AP1130,AU1130))))</f>
        <v xml:space="preserve"> </v>
      </c>
      <c r="BE1130" s="120"/>
      <c r="BF1130" s="120"/>
      <c r="BG1130" s="120"/>
    </row>
    <row r="1131" spans="1:59" s="3" customFormat="1" x14ac:dyDescent="0.3">
      <c r="A1131" s="15" t="str">
        <f t="shared" si="221"/>
        <v/>
      </c>
      <c r="B1131" s="25"/>
      <c r="C1131" s="26"/>
      <c r="D1131" s="279"/>
      <c r="E1131" s="27"/>
      <c r="F1131" s="28"/>
      <c r="G1131" s="27"/>
      <c r="H1131" s="28"/>
      <c r="I1131" s="28"/>
      <c r="J1131" s="255" t="str">
        <f>IF(H1131="","",(_xlfn.XLOOKUP(H1131,Cadastros!$D$6:$D$90,Cadastros!$E$6:$E$90))*(1-_xlfn.XLOOKUP(_xlfn.XLOOKUP($F1131,Clientes!$B$4:$B$39,Clientes!$C$4:$C$39),Cadastros!$L$6:$L$12,Cadastros!$N$6:$N$12)))</f>
        <v/>
      </c>
      <c r="K1131" s="168" t="str">
        <f t="shared" si="222"/>
        <v/>
      </c>
      <c r="L1131" s="168" t="str">
        <f>IFERROR(K1131/_xlfn.XLOOKUP(_xlfn.XLOOKUP($F1131,Clientes!$B$4:$B$39,Clientes!$C$4:$C$39),Cadastros!$L$6:$L$12,Cadastros!$M$6:$M$12)," ")</f>
        <v xml:space="preserve"> </v>
      </c>
      <c r="M1131" s="28"/>
      <c r="N1131" s="28"/>
      <c r="O1131" s="255" t="str">
        <f>IF(M1131="","",(_xlfn.XLOOKUP(M1131,Cadastros!$D$6:$D$90,Cadastros!$E$6:$E$90))*(1-_xlfn.XLOOKUP(_xlfn.XLOOKUP($F1131,Clientes!$B$4:$B$39,Clientes!$C$4:$C$39),Cadastros!$L$6:$L$12,Cadastros!$N$6:$N$12)))</f>
        <v/>
      </c>
      <c r="P1131" s="168" t="str">
        <f t="shared" si="223"/>
        <v/>
      </c>
      <c r="Q1131" s="168" t="str">
        <f>IFERROR(P1131/_xlfn.XLOOKUP(_xlfn.XLOOKUP($F1131,Clientes!$B$4:$B$39,Clientes!$C$4:$C$39),Cadastros!$L$6:$L$12,Cadastros!$M$6:$M$12)," ")</f>
        <v xml:space="preserve"> </v>
      </c>
      <c r="R1131" s="28"/>
      <c r="S1131" s="28"/>
      <c r="T1131" s="255" t="str">
        <f>IF(R1131="","",(_xlfn.XLOOKUP(R1131,Cadastros!$D$6:$D$90,Cadastros!$E$6:$E$90))*(1-_xlfn.XLOOKUP(_xlfn.XLOOKUP($F1131,Clientes!$B$4:$B$39,Clientes!$C$4:$C$39),Cadastros!$L$6:$L$12,Cadastros!$N$6:$N$12)))</f>
        <v/>
      </c>
      <c r="U1131" s="168" t="str">
        <f t="shared" si="224"/>
        <v/>
      </c>
      <c r="V1131" s="168" t="str">
        <f>IFERROR(U1131/_xlfn.XLOOKUP(_xlfn.XLOOKUP($F1131,Clientes!$B$4:$B$39,Clientes!$C$4:$C$39),Cadastros!$L$6:$L$12,Cadastros!$M$6:$M$12)," ")</f>
        <v xml:space="preserve"> </v>
      </c>
      <c r="W1131" s="28"/>
      <c r="X1131" s="28"/>
      <c r="Y1131" s="255" t="str">
        <f>IF(W1131="","",(_xlfn.XLOOKUP(W1131,Cadastros!$D$6:$D$90,Cadastros!$E$6:$E$90))*(1-_xlfn.XLOOKUP(_xlfn.XLOOKUP($F1131,Clientes!$B$4:$B$39,Clientes!$C$4:$C$39),Cadastros!$L$6:$L$12,Cadastros!$N$6:$N$12)))</f>
        <v/>
      </c>
      <c r="Z1131" s="168" t="str">
        <f t="shared" si="225"/>
        <v/>
      </c>
      <c r="AA1131" s="168" t="str">
        <f>IFERROR(Z1131/_xlfn.XLOOKUP(_xlfn.XLOOKUP($F1131,Clientes!$B$4:$B$39,Clientes!$C$4:$C$39),Cadastros!$L$6:$L$12,Cadastros!$M$6:$M$12)," ")</f>
        <v xml:space="preserve"> </v>
      </c>
      <c r="AB1131" s="28"/>
      <c r="AC1131" s="28"/>
      <c r="AD1131" s="20" t="str">
        <f>IF(AB1131="","",IF($F1131="Bernardino Furlan",_xlfn.XLOOKUP(AB1131,Cadastros!$G$6:$G$90,Cadastros!$H$6:$H$90)*(1-0.18),IF($F1131="Mauro José Salanti",_xlfn.XLOOKUP(AB1131,Cadastros!$G$6:$G$90,Cadastros!$H$6:$H$90)*(1-0.18),_xlfn.XLOOKUP(AB1131,Cadastros!$G$6:$G$90,Cadastros!$H$6:$H$90))))</f>
        <v/>
      </c>
      <c r="AE1131" s="168" t="str">
        <f t="shared" si="226"/>
        <v/>
      </c>
      <c r="AF1131" s="168" t="str">
        <f t="shared" si="227"/>
        <v/>
      </c>
      <c r="AG1131" s="28"/>
      <c r="AH1131" s="28"/>
      <c r="AI1131" s="20" t="str">
        <f>IF(AG1131="","",IF($F1131="Bernardino Furlan",_xlfn.XLOOKUP(AG1131,Cadastros!$G$6:$G$90,Cadastros!$H$6:$H$90)*(1-0.18),IF($F1131="Mauro José Salanti",_xlfn.XLOOKUP(AG1131,Cadastros!$G$6:$G$90,Cadastros!$H$6:$H$90)*(1-0.18),_xlfn.XLOOKUP(AG1131,Cadastros!$G$6:$G$90,Cadastros!$H$6:$H$90))))</f>
        <v/>
      </c>
      <c r="AJ1131" s="168" t="str">
        <f t="shared" si="228"/>
        <v/>
      </c>
      <c r="AK1131" s="168" t="str">
        <f t="shared" si="229"/>
        <v/>
      </c>
      <c r="AL1131" s="28"/>
      <c r="AM1131" s="28"/>
      <c r="AN1131" s="20" t="str">
        <f>IF(AL1131="","",IF($F1131="Bernardino Furlan",_xlfn.XLOOKUP(AL1131,Cadastros!$G$6:$G$90,Cadastros!$H$6:$H$90)*(1-0.18),IF($F1131="Mauro José Salanti",_xlfn.XLOOKUP(AL1131,Cadastros!$G$6:$G$90,Cadastros!$H$6:$H$90)*(1-0.18),_xlfn.XLOOKUP(AL1131,Cadastros!$G$6:$G$90,Cadastros!$H$6:$H$90))))</f>
        <v/>
      </c>
      <c r="AO1131" s="168" t="str">
        <f t="shared" si="230"/>
        <v/>
      </c>
      <c r="AP1131" s="168" t="str">
        <f t="shared" si="231"/>
        <v/>
      </c>
      <c r="AQ1131" s="28"/>
      <c r="AR1131" s="28"/>
      <c r="AS1131" s="20" t="str">
        <f>IF(AQ1131="","",IF($F1131="Bernardino Furlan",_xlfn.XLOOKUP(AQ1131,Cadastros!$G$6:$G$90,Cadastros!$H$6:$H$90)*(1-0.18),IF($F1131="Mauro José Salanti",_xlfn.XLOOKUP(AQ1131,Cadastros!$G$6:$G$90,Cadastros!$H$6:$H$90)*(1-0.18),_xlfn.XLOOKUP(AQ1131,Cadastros!$G$6:$G$90,Cadastros!$H$6:$H$90))))</f>
        <v/>
      </c>
      <c r="AT1131" s="168" t="str">
        <f t="shared" si="232"/>
        <v/>
      </c>
      <c r="AU1131" s="168" t="str">
        <f t="shared" si="233"/>
        <v/>
      </c>
      <c r="AV1131" s="227"/>
      <c r="AW1131" s="30"/>
      <c r="AX1131" s="267"/>
      <c r="AY1131" s="267"/>
      <c r="AZ1131" s="29"/>
      <c r="BA1131" s="30"/>
      <c r="BB1131" s="23" t="str" cm="1">
        <f t="array" ref="BB1131">_xlfn.IFS(AW1131="SIM",SUM(K1131,P1131,U1131,Z1131,AE1131,AJ1131,AO1131,AT1131,AX1131,AY1131),F1131&lt;&gt;"",SUM(K1131,P1131,U1131,Z1131,AE1131,AJ1131,,AO1131,AT1131),F1131="","")</f>
        <v/>
      </c>
      <c r="BC1131" s="211" t="str" cm="1">
        <f t="array" ref="BC1131">_xlfn.IFS(E1131="","",G1131&lt;=E1131,BB1131*(1-0.03),G1131&lt;(E1131+8),BB1131,AZ1131="Boleto",BB1131*(1+0.001)^DATEDIF(E1131,G1131,"D"),AZ1131="Cheque",BB1131,AZ1131="Dinheiro","Alterar forma pgto")</f>
        <v/>
      </c>
      <c r="BD1131" s="276" t="str" cm="1">
        <f t="array" ref="BD1131">IF(F1131=0," ",IF(BC1131&lt;BB1131,(_xlfn.IFS(AW1131="SIM",SUM(L1131,Q1131,V1131,AA1131,AF1131,AK1131,AP1131,AU1131)+AX1131/_xlfn.XLOOKUP(_xlfn.XLOOKUP($F1131,Clientes!$B$4:$B$39,Clientes!$C$4:$C$39),Cadastros!$L$6:$L$12,Cadastros!$M$6:$M$12)+IF($F1131="Bernardino Furlan",AY1131/2751.92,IF($F1131="Mauro José Salanti",AY1131/2751.92,AY1131/3356)),F1131&lt;&gt;0,SUM(L1131,Q1131,V1131,AA1131,AF1131,AK1131,AP1131,AU1131)))*(1-0.03),_xlfn.IFS(AW1131="SIM",SUM(L1131,Q1131,V1131,AA1131,AF1131,AK1131,AP1131,AU1131)+AX1131/_xlfn.XLOOKUP(_xlfn.XLOOKUP($F1131,Clientes!$B$4:$B$39,Clientes!$C$4:$C$39),Cadastros!$L$6:$L$12,Cadastros!$M$6:$M$12)+IF($F1131="Bernardino Furlan",AY1131/2751.92,IF($F1131="Mauro José Salanti",AY1131/2751.92,AY1131/3356)),F1131&lt;&gt;0,SUM(L1131,Q1131,V1131,AA1131,AF1131,AK1131,AP1131,AU1131))))</f>
        <v xml:space="preserve"> </v>
      </c>
      <c r="BE1131" s="120"/>
      <c r="BF1131" s="120"/>
      <c r="BG1131" s="120"/>
    </row>
    <row r="1132" spans="1:59" s="3" customFormat="1" x14ac:dyDescent="0.3">
      <c r="A1132" s="15" t="str">
        <f t="shared" si="221"/>
        <v/>
      </c>
      <c r="B1132" s="25"/>
      <c r="C1132" s="26"/>
      <c r="D1132" s="279"/>
      <c r="E1132" s="27"/>
      <c r="F1132" s="28"/>
      <c r="G1132" s="27"/>
      <c r="H1132" s="28"/>
      <c r="I1132" s="28"/>
      <c r="J1132" s="255" t="str">
        <f>IF(H1132="","",(_xlfn.XLOOKUP(H1132,Cadastros!$D$6:$D$90,Cadastros!$E$6:$E$90))*(1-_xlfn.XLOOKUP(_xlfn.XLOOKUP($F1132,Clientes!$B$4:$B$39,Clientes!$C$4:$C$39),Cadastros!$L$6:$L$12,Cadastros!$N$6:$N$12)))</f>
        <v/>
      </c>
      <c r="K1132" s="168" t="str">
        <f t="shared" si="222"/>
        <v/>
      </c>
      <c r="L1132" s="168" t="str">
        <f>IFERROR(K1132/_xlfn.XLOOKUP(_xlfn.XLOOKUP($F1132,Clientes!$B$4:$B$39,Clientes!$C$4:$C$39),Cadastros!$L$6:$L$12,Cadastros!$M$6:$M$12)," ")</f>
        <v xml:space="preserve"> </v>
      </c>
      <c r="M1132" s="28"/>
      <c r="N1132" s="28"/>
      <c r="O1132" s="255" t="str">
        <f>IF(M1132="","",(_xlfn.XLOOKUP(M1132,Cadastros!$D$6:$D$90,Cadastros!$E$6:$E$90))*(1-_xlfn.XLOOKUP(_xlfn.XLOOKUP($F1132,Clientes!$B$4:$B$39,Clientes!$C$4:$C$39),Cadastros!$L$6:$L$12,Cadastros!$N$6:$N$12)))</f>
        <v/>
      </c>
      <c r="P1132" s="168" t="str">
        <f t="shared" si="223"/>
        <v/>
      </c>
      <c r="Q1132" s="168" t="str">
        <f>IFERROR(P1132/_xlfn.XLOOKUP(_xlfn.XLOOKUP($F1132,Clientes!$B$4:$B$39,Clientes!$C$4:$C$39),Cadastros!$L$6:$L$12,Cadastros!$M$6:$M$12)," ")</f>
        <v xml:space="preserve"> </v>
      </c>
      <c r="R1132" s="28"/>
      <c r="S1132" s="28"/>
      <c r="T1132" s="255" t="str">
        <f>IF(R1132="","",(_xlfn.XLOOKUP(R1132,Cadastros!$D$6:$D$90,Cadastros!$E$6:$E$90))*(1-_xlfn.XLOOKUP(_xlfn.XLOOKUP($F1132,Clientes!$B$4:$B$39,Clientes!$C$4:$C$39),Cadastros!$L$6:$L$12,Cadastros!$N$6:$N$12)))</f>
        <v/>
      </c>
      <c r="U1132" s="168" t="str">
        <f t="shared" si="224"/>
        <v/>
      </c>
      <c r="V1132" s="168" t="str">
        <f>IFERROR(U1132/_xlfn.XLOOKUP(_xlfn.XLOOKUP($F1132,Clientes!$B$4:$B$39,Clientes!$C$4:$C$39),Cadastros!$L$6:$L$12,Cadastros!$M$6:$M$12)," ")</f>
        <v xml:space="preserve"> </v>
      </c>
      <c r="W1132" s="28"/>
      <c r="X1132" s="28"/>
      <c r="Y1132" s="255" t="str">
        <f>IF(W1132="","",(_xlfn.XLOOKUP(W1132,Cadastros!$D$6:$D$90,Cadastros!$E$6:$E$90))*(1-_xlfn.XLOOKUP(_xlfn.XLOOKUP($F1132,Clientes!$B$4:$B$39,Clientes!$C$4:$C$39),Cadastros!$L$6:$L$12,Cadastros!$N$6:$N$12)))</f>
        <v/>
      </c>
      <c r="Z1132" s="168" t="str">
        <f t="shared" si="225"/>
        <v/>
      </c>
      <c r="AA1132" s="168" t="str">
        <f>IFERROR(Z1132/_xlfn.XLOOKUP(_xlfn.XLOOKUP($F1132,Clientes!$B$4:$B$39,Clientes!$C$4:$C$39),Cadastros!$L$6:$L$12,Cadastros!$M$6:$M$12)," ")</f>
        <v xml:space="preserve"> </v>
      </c>
      <c r="AB1132" s="28"/>
      <c r="AC1132" s="28"/>
      <c r="AD1132" s="20" t="str">
        <f>IF(AB1132="","",IF($F1132="Bernardino Furlan",_xlfn.XLOOKUP(AB1132,Cadastros!$G$6:$G$90,Cadastros!$H$6:$H$90)*(1-0.18),IF($F1132="Mauro José Salanti",_xlfn.XLOOKUP(AB1132,Cadastros!$G$6:$G$90,Cadastros!$H$6:$H$90)*(1-0.18),_xlfn.XLOOKUP(AB1132,Cadastros!$G$6:$G$90,Cadastros!$H$6:$H$90))))</f>
        <v/>
      </c>
      <c r="AE1132" s="168" t="str">
        <f t="shared" si="226"/>
        <v/>
      </c>
      <c r="AF1132" s="168" t="str">
        <f t="shared" si="227"/>
        <v/>
      </c>
      <c r="AG1132" s="28"/>
      <c r="AH1132" s="28"/>
      <c r="AI1132" s="20" t="str">
        <f>IF(AG1132="","",IF($F1132="Bernardino Furlan",_xlfn.XLOOKUP(AG1132,Cadastros!$G$6:$G$90,Cadastros!$H$6:$H$90)*(1-0.18),IF($F1132="Mauro José Salanti",_xlfn.XLOOKUP(AG1132,Cadastros!$G$6:$G$90,Cadastros!$H$6:$H$90)*(1-0.18),_xlfn.XLOOKUP(AG1132,Cadastros!$G$6:$G$90,Cadastros!$H$6:$H$90))))</f>
        <v/>
      </c>
      <c r="AJ1132" s="168" t="str">
        <f t="shared" si="228"/>
        <v/>
      </c>
      <c r="AK1132" s="168" t="str">
        <f t="shared" si="229"/>
        <v/>
      </c>
      <c r="AL1132" s="28"/>
      <c r="AM1132" s="28"/>
      <c r="AN1132" s="20" t="str">
        <f>IF(AL1132="","",IF($F1132="Bernardino Furlan",_xlfn.XLOOKUP(AL1132,Cadastros!$G$6:$G$90,Cadastros!$H$6:$H$90)*(1-0.18),IF($F1132="Mauro José Salanti",_xlfn.XLOOKUP(AL1132,Cadastros!$G$6:$G$90,Cadastros!$H$6:$H$90)*(1-0.18),_xlfn.XLOOKUP(AL1132,Cadastros!$G$6:$G$90,Cadastros!$H$6:$H$90))))</f>
        <v/>
      </c>
      <c r="AO1132" s="168" t="str">
        <f t="shared" si="230"/>
        <v/>
      </c>
      <c r="AP1132" s="168" t="str">
        <f t="shared" si="231"/>
        <v/>
      </c>
      <c r="AQ1132" s="28"/>
      <c r="AR1132" s="28"/>
      <c r="AS1132" s="20" t="str">
        <f>IF(AQ1132="","",IF($F1132="Bernardino Furlan",_xlfn.XLOOKUP(AQ1132,Cadastros!$G$6:$G$90,Cadastros!$H$6:$H$90)*(1-0.18),IF($F1132="Mauro José Salanti",_xlfn.XLOOKUP(AQ1132,Cadastros!$G$6:$G$90,Cadastros!$H$6:$H$90)*(1-0.18),_xlfn.XLOOKUP(AQ1132,Cadastros!$G$6:$G$90,Cadastros!$H$6:$H$90))))</f>
        <v/>
      </c>
      <c r="AT1132" s="168" t="str">
        <f t="shared" si="232"/>
        <v/>
      </c>
      <c r="AU1132" s="168" t="str">
        <f t="shared" si="233"/>
        <v/>
      </c>
      <c r="AV1132" s="227"/>
      <c r="AW1132" s="30"/>
      <c r="AX1132" s="267"/>
      <c r="AY1132" s="267"/>
      <c r="AZ1132" s="29"/>
      <c r="BA1132" s="30"/>
      <c r="BB1132" s="23" t="str" cm="1">
        <f t="array" ref="BB1132">_xlfn.IFS(AW1132="SIM",SUM(K1132,P1132,U1132,Z1132,AE1132,AJ1132,AO1132,AT1132,AX1132,AY1132),F1132&lt;&gt;"",SUM(K1132,P1132,U1132,Z1132,AE1132,AJ1132,,AO1132,AT1132),F1132="","")</f>
        <v/>
      </c>
      <c r="BC1132" s="211" t="str" cm="1">
        <f t="array" ref="BC1132">_xlfn.IFS(E1132="","",G1132&lt;=E1132,BB1132*(1-0.03),G1132&lt;(E1132+8),BB1132,AZ1132="Boleto",BB1132*(1+0.001)^DATEDIF(E1132,G1132,"D"),AZ1132="Cheque",BB1132,AZ1132="Dinheiro","Alterar forma pgto")</f>
        <v/>
      </c>
      <c r="BD1132" s="276" t="str" cm="1">
        <f t="array" ref="BD1132">IF(F1132=0," ",IF(BC1132&lt;BB1132,(_xlfn.IFS(AW1132="SIM",SUM(L1132,Q1132,V1132,AA1132,AF1132,AK1132,AP1132,AU1132)+AX1132/_xlfn.XLOOKUP(_xlfn.XLOOKUP($F1132,Clientes!$B$4:$B$39,Clientes!$C$4:$C$39),Cadastros!$L$6:$L$12,Cadastros!$M$6:$M$12)+IF($F1132="Bernardino Furlan",AY1132/2751.92,IF($F1132="Mauro José Salanti",AY1132/2751.92,AY1132/3356)),F1132&lt;&gt;0,SUM(L1132,Q1132,V1132,AA1132,AF1132,AK1132,AP1132,AU1132)))*(1-0.03),_xlfn.IFS(AW1132="SIM",SUM(L1132,Q1132,V1132,AA1132,AF1132,AK1132,AP1132,AU1132)+AX1132/_xlfn.XLOOKUP(_xlfn.XLOOKUP($F1132,Clientes!$B$4:$B$39,Clientes!$C$4:$C$39),Cadastros!$L$6:$L$12,Cadastros!$M$6:$M$12)+IF($F1132="Bernardino Furlan",AY1132/2751.92,IF($F1132="Mauro José Salanti",AY1132/2751.92,AY1132/3356)),F1132&lt;&gt;0,SUM(L1132,Q1132,V1132,AA1132,AF1132,AK1132,AP1132,AU1132))))</f>
        <v xml:space="preserve"> </v>
      </c>
      <c r="BE1132" s="120"/>
      <c r="BF1132" s="120"/>
      <c r="BG1132" s="120"/>
    </row>
    <row r="1133" spans="1:59" s="3" customFormat="1" x14ac:dyDescent="0.3">
      <c r="A1133" s="15" t="str">
        <f t="shared" si="221"/>
        <v/>
      </c>
      <c r="B1133" s="25"/>
      <c r="C1133" s="26"/>
      <c r="D1133" s="279"/>
      <c r="E1133" s="27"/>
      <c r="F1133" s="28"/>
      <c r="G1133" s="27"/>
      <c r="H1133" s="28"/>
      <c r="I1133" s="28"/>
      <c r="J1133" s="255" t="str">
        <f>IF(H1133="","",(_xlfn.XLOOKUP(H1133,Cadastros!$D$6:$D$90,Cadastros!$E$6:$E$90))*(1-_xlfn.XLOOKUP(_xlfn.XLOOKUP($F1133,Clientes!$B$4:$B$39,Clientes!$C$4:$C$39),Cadastros!$L$6:$L$12,Cadastros!$N$6:$N$12)))</f>
        <v/>
      </c>
      <c r="K1133" s="168" t="str">
        <f t="shared" si="222"/>
        <v/>
      </c>
      <c r="L1133" s="168" t="str">
        <f>IFERROR(K1133/_xlfn.XLOOKUP(_xlfn.XLOOKUP($F1133,Clientes!$B$4:$B$39,Clientes!$C$4:$C$39),Cadastros!$L$6:$L$12,Cadastros!$M$6:$M$12)," ")</f>
        <v xml:space="preserve"> </v>
      </c>
      <c r="M1133" s="28"/>
      <c r="N1133" s="28"/>
      <c r="O1133" s="255" t="str">
        <f>IF(M1133="","",(_xlfn.XLOOKUP(M1133,Cadastros!$D$6:$D$90,Cadastros!$E$6:$E$90))*(1-_xlfn.XLOOKUP(_xlfn.XLOOKUP($F1133,Clientes!$B$4:$B$39,Clientes!$C$4:$C$39),Cadastros!$L$6:$L$12,Cadastros!$N$6:$N$12)))</f>
        <v/>
      </c>
      <c r="P1133" s="168" t="str">
        <f t="shared" si="223"/>
        <v/>
      </c>
      <c r="Q1133" s="168" t="str">
        <f>IFERROR(P1133/_xlfn.XLOOKUP(_xlfn.XLOOKUP($F1133,Clientes!$B$4:$B$39,Clientes!$C$4:$C$39),Cadastros!$L$6:$L$12,Cadastros!$M$6:$M$12)," ")</f>
        <v xml:space="preserve"> </v>
      </c>
      <c r="R1133" s="28"/>
      <c r="S1133" s="28"/>
      <c r="T1133" s="255" t="str">
        <f>IF(R1133="","",(_xlfn.XLOOKUP(R1133,Cadastros!$D$6:$D$90,Cadastros!$E$6:$E$90))*(1-_xlfn.XLOOKUP(_xlfn.XLOOKUP($F1133,Clientes!$B$4:$B$39,Clientes!$C$4:$C$39),Cadastros!$L$6:$L$12,Cadastros!$N$6:$N$12)))</f>
        <v/>
      </c>
      <c r="U1133" s="168" t="str">
        <f t="shared" si="224"/>
        <v/>
      </c>
      <c r="V1133" s="168" t="str">
        <f>IFERROR(U1133/_xlfn.XLOOKUP(_xlfn.XLOOKUP($F1133,Clientes!$B$4:$B$39,Clientes!$C$4:$C$39),Cadastros!$L$6:$L$12,Cadastros!$M$6:$M$12)," ")</f>
        <v xml:space="preserve"> </v>
      </c>
      <c r="W1133" s="28"/>
      <c r="X1133" s="28"/>
      <c r="Y1133" s="255" t="str">
        <f>IF(W1133="","",(_xlfn.XLOOKUP(W1133,Cadastros!$D$6:$D$90,Cadastros!$E$6:$E$90))*(1-_xlfn.XLOOKUP(_xlfn.XLOOKUP($F1133,Clientes!$B$4:$B$39,Clientes!$C$4:$C$39),Cadastros!$L$6:$L$12,Cadastros!$N$6:$N$12)))</f>
        <v/>
      </c>
      <c r="Z1133" s="168" t="str">
        <f t="shared" si="225"/>
        <v/>
      </c>
      <c r="AA1133" s="168" t="str">
        <f>IFERROR(Z1133/_xlfn.XLOOKUP(_xlfn.XLOOKUP($F1133,Clientes!$B$4:$B$39,Clientes!$C$4:$C$39),Cadastros!$L$6:$L$12,Cadastros!$M$6:$M$12)," ")</f>
        <v xml:space="preserve"> </v>
      </c>
      <c r="AB1133" s="28"/>
      <c r="AC1133" s="28"/>
      <c r="AD1133" s="20" t="str">
        <f>IF(AB1133="","",IF($F1133="Bernardino Furlan",_xlfn.XLOOKUP(AB1133,Cadastros!$G$6:$G$90,Cadastros!$H$6:$H$90)*(1-0.18),IF($F1133="Mauro José Salanti",_xlfn.XLOOKUP(AB1133,Cadastros!$G$6:$G$90,Cadastros!$H$6:$H$90)*(1-0.18),_xlfn.XLOOKUP(AB1133,Cadastros!$G$6:$G$90,Cadastros!$H$6:$H$90))))</f>
        <v/>
      </c>
      <c r="AE1133" s="168" t="str">
        <f t="shared" si="226"/>
        <v/>
      </c>
      <c r="AF1133" s="168" t="str">
        <f t="shared" si="227"/>
        <v/>
      </c>
      <c r="AG1133" s="28"/>
      <c r="AH1133" s="28"/>
      <c r="AI1133" s="20" t="str">
        <f>IF(AG1133="","",IF($F1133="Bernardino Furlan",_xlfn.XLOOKUP(AG1133,Cadastros!$G$6:$G$90,Cadastros!$H$6:$H$90)*(1-0.18),IF($F1133="Mauro José Salanti",_xlfn.XLOOKUP(AG1133,Cadastros!$G$6:$G$90,Cadastros!$H$6:$H$90)*(1-0.18),_xlfn.XLOOKUP(AG1133,Cadastros!$G$6:$G$90,Cadastros!$H$6:$H$90))))</f>
        <v/>
      </c>
      <c r="AJ1133" s="168" t="str">
        <f t="shared" si="228"/>
        <v/>
      </c>
      <c r="AK1133" s="168" t="str">
        <f t="shared" si="229"/>
        <v/>
      </c>
      <c r="AL1133" s="28"/>
      <c r="AM1133" s="28"/>
      <c r="AN1133" s="20" t="str">
        <f>IF(AL1133="","",IF($F1133="Bernardino Furlan",_xlfn.XLOOKUP(AL1133,Cadastros!$G$6:$G$90,Cadastros!$H$6:$H$90)*(1-0.18),IF($F1133="Mauro José Salanti",_xlfn.XLOOKUP(AL1133,Cadastros!$G$6:$G$90,Cadastros!$H$6:$H$90)*(1-0.18),_xlfn.XLOOKUP(AL1133,Cadastros!$G$6:$G$90,Cadastros!$H$6:$H$90))))</f>
        <v/>
      </c>
      <c r="AO1133" s="168" t="str">
        <f t="shared" si="230"/>
        <v/>
      </c>
      <c r="AP1133" s="168" t="str">
        <f t="shared" si="231"/>
        <v/>
      </c>
      <c r="AQ1133" s="28"/>
      <c r="AR1133" s="28"/>
      <c r="AS1133" s="20" t="str">
        <f>IF(AQ1133="","",IF($F1133="Bernardino Furlan",_xlfn.XLOOKUP(AQ1133,Cadastros!$G$6:$G$90,Cadastros!$H$6:$H$90)*(1-0.18),IF($F1133="Mauro José Salanti",_xlfn.XLOOKUP(AQ1133,Cadastros!$G$6:$G$90,Cadastros!$H$6:$H$90)*(1-0.18),_xlfn.XLOOKUP(AQ1133,Cadastros!$G$6:$G$90,Cadastros!$H$6:$H$90))))</f>
        <v/>
      </c>
      <c r="AT1133" s="168" t="str">
        <f t="shared" si="232"/>
        <v/>
      </c>
      <c r="AU1133" s="168" t="str">
        <f t="shared" si="233"/>
        <v/>
      </c>
      <c r="AV1133" s="227"/>
      <c r="AW1133" s="30"/>
      <c r="AX1133" s="267"/>
      <c r="AY1133" s="267"/>
      <c r="AZ1133" s="29"/>
      <c r="BA1133" s="30"/>
      <c r="BB1133" s="23" t="str" cm="1">
        <f t="array" ref="BB1133">_xlfn.IFS(AW1133="SIM",SUM(K1133,P1133,U1133,Z1133,AE1133,AJ1133,AO1133,AT1133,AX1133,AY1133),F1133&lt;&gt;"",SUM(K1133,P1133,U1133,Z1133,AE1133,AJ1133,,AO1133,AT1133),F1133="","")</f>
        <v/>
      </c>
      <c r="BC1133" s="211" t="str" cm="1">
        <f t="array" ref="BC1133">_xlfn.IFS(E1133="","",G1133&lt;=E1133,BB1133*(1-0.03),G1133&lt;(E1133+8),BB1133,AZ1133="Boleto",BB1133*(1+0.001)^DATEDIF(E1133,G1133,"D"),AZ1133="Cheque",BB1133,AZ1133="Dinheiro","Alterar forma pgto")</f>
        <v/>
      </c>
      <c r="BD1133" s="276" t="str" cm="1">
        <f t="array" ref="BD1133">IF(F1133=0," ",IF(BC1133&lt;BB1133,(_xlfn.IFS(AW1133="SIM",SUM(L1133,Q1133,V1133,AA1133,AF1133,AK1133,AP1133,AU1133)+AX1133/_xlfn.XLOOKUP(_xlfn.XLOOKUP($F1133,Clientes!$B$4:$B$39,Clientes!$C$4:$C$39),Cadastros!$L$6:$L$12,Cadastros!$M$6:$M$12)+IF($F1133="Bernardino Furlan",AY1133/2751.92,IF($F1133="Mauro José Salanti",AY1133/2751.92,AY1133/3356)),F1133&lt;&gt;0,SUM(L1133,Q1133,V1133,AA1133,AF1133,AK1133,AP1133,AU1133)))*(1-0.03),_xlfn.IFS(AW1133="SIM",SUM(L1133,Q1133,V1133,AA1133,AF1133,AK1133,AP1133,AU1133)+AX1133/_xlfn.XLOOKUP(_xlfn.XLOOKUP($F1133,Clientes!$B$4:$B$39,Clientes!$C$4:$C$39),Cadastros!$L$6:$L$12,Cadastros!$M$6:$M$12)+IF($F1133="Bernardino Furlan",AY1133/2751.92,IF($F1133="Mauro José Salanti",AY1133/2751.92,AY1133/3356)),F1133&lt;&gt;0,SUM(L1133,Q1133,V1133,AA1133,AF1133,AK1133,AP1133,AU1133))))</f>
        <v xml:space="preserve"> </v>
      </c>
      <c r="BE1133" s="120"/>
      <c r="BF1133" s="120"/>
      <c r="BG1133" s="120"/>
    </row>
    <row r="1134" spans="1:59" s="3" customFormat="1" x14ac:dyDescent="0.3">
      <c r="A1134" s="15" t="str">
        <f t="shared" si="221"/>
        <v/>
      </c>
      <c r="B1134" s="25"/>
      <c r="C1134" s="26"/>
      <c r="D1134" s="279"/>
      <c r="E1134" s="27"/>
      <c r="F1134" s="28"/>
      <c r="G1134" s="27"/>
      <c r="H1134" s="28"/>
      <c r="I1134" s="28"/>
      <c r="J1134" s="255" t="str">
        <f>IF(H1134="","",(_xlfn.XLOOKUP(H1134,Cadastros!$D$6:$D$90,Cadastros!$E$6:$E$90))*(1-_xlfn.XLOOKUP(_xlfn.XLOOKUP($F1134,Clientes!$B$4:$B$39,Clientes!$C$4:$C$39),Cadastros!$L$6:$L$12,Cadastros!$N$6:$N$12)))</f>
        <v/>
      </c>
      <c r="K1134" s="168" t="str">
        <f t="shared" si="222"/>
        <v/>
      </c>
      <c r="L1134" s="168" t="str">
        <f>IFERROR(K1134/_xlfn.XLOOKUP(_xlfn.XLOOKUP($F1134,Clientes!$B$4:$B$39,Clientes!$C$4:$C$39),Cadastros!$L$6:$L$12,Cadastros!$M$6:$M$12)," ")</f>
        <v xml:space="preserve"> </v>
      </c>
      <c r="M1134" s="28"/>
      <c r="N1134" s="28"/>
      <c r="O1134" s="255" t="str">
        <f>IF(M1134="","",(_xlfn.XLOOKUP(M1134,Cadastros!$D$6:$D$90,Cadastros!$E$6:$E$90))*(1-_xlfn.XLOOKUP(_xlfn.XLOOKUP($F1134,Clientes!$B$4:$B$39,Clientes!$C$4:$C$39),Cadastros!$L$6:$L$12,Cadastros!$N$6:$N$12)))</f>
        <v/>
      </c>
      <c r="P1134" s="168" t="str">
        <f t="shared" si="223"/>
        <v/>
      </c>
      <c r="Q1134" s="168" t="str">
        <f>IFERROR(P1134/_xlfn.XLOOKUP(_xlfn.XLOOKUP($F1134,Clientes!$B$4:$B$39,Clientes!$C$4:$C$39),Cadastros!$L$6:$L$12,Cadastros!$M$6:$M$12)," ")</f>
        <v xml:space="preserve"> </v>
      </c>
      <c r="R1134" s="28"/>
      <c r="S1134" s="28"/>
      <c r="T1134" s="255" t="str">
        <f>IF(R1134="","",(_xlfn.XLOOKUP(R1134,Cadastros!$D$6:$D$90,Cadastros!$E$6:$E$90))*(1-_xlfn.XLOOKUP(_xlfn.XLOOKUP($F1134,Clientes!$B$4:$B$39,Clientes!$C$4:$C$39),Cadastros!$L$6:$L$12,Cadastros!$N$6:$N$12)))</f>
        <v/>
      </c>
      <c r="U1134" s="168" t="str">
        <f t="shared" si="224"/>
        <v/>
      </c>
      <c r="V1134" s="168" t="str">
        <f>IFERROR(U1134/_xlfn.XLOOKUP(_xlfn.XLOOKUP($F1134,Clientes!$B$4:$B$39,Clientes!$C$4:$C$39),Cadastros!$L$6:$L$12,Cadastros!$M$6:$M$12)," ")</f>
        <v xml:space="preserve"> </v>
      </c>
      <c r="W1134" s="28"/>
      <c r="X1134" s="28"/>
      <c r="Y1134" s="255" t="str">
        <f>IF(W1134="","",(_xlfn.XLOOKUP(W1134,Cadastros!$D$6:$D$90,Cadastros!$E$6:$E$90))*(1-_xlfn.XLOOKUP(_xlfn.XLOOKUP($F1134,Clientes!$B$4:$B$39,Clientes!$C$4:$C$39),Cadastros!$L$6:$L$12,Cadastros!$N$6:$N$12)))</f>
        <v/>
      </c>
      <c r="Z1134" s="168" t="str">
        <f t="shared" si="225"/>
        <v/>
      </c>
      <c r="AA1134" s="168" t="str">
        <f>IFERROR(Z1134/_xlfn.XLOOKUP(_xlfn.XLOOKUP($F1134,Clientes!$B$4:$B$39,Clientes!$C$4:$C$39),Cadastros!$L$6:$L$12,Cadastros!$M$6:$M$12)," ")</f>
        <v xml:space="preserve"> </v>
      </c>
      <c r="AB1134" s="28"/>
      <c r="AC1134" s="28"/>
      <c r="AD1134" s="20" t="str">
        <f>IF(AB1134="","",IF($F1134="Bernardino Furlan",_xlfn.XLOOKUP(AB1134,Cadastros!$G$6:$G$90,Cadastros!$H$6:$H$90)*(1-0.18),IF($F1134="Mauro José Salanti",_xlfn.XLOOKUP(AB1134,Cadastros!$G$6:$G$90,Cadastros!$H$6:$H$90)*(1-0.18),_xlfn.XLOOKUP(AB1134,Cadastros!$G$6:$G$90,Cadastros!$H$6:$H$90))))</f>
        <v/>
      </c>
      <c r="AE1134" s="168" t="str">
        <f t="shared" si="226"/>
        <v/>
      </c>
      <c r="AF1134" s="168" t="str">
        <f t="shared" si="227"/>
        <v/>
      </c>
      <c r="AG1134" s="28"/>
      <c r="AH1134" s="28"/>
      <c r="AI1134" s="20" t="str">
        <f>IF(AG1134="","",IF($F1134="Bernardino Furlan",_xlfn.XLOOKUP(AG1134,Cadastros!$G$6:$G$90,Cadastros!$H$6:$H$90)*(1-0.18),IF($F1134="Mauro José Salanti",_xlfn.XLOOKUP(AG1134,Cadastros!$G$6:$G$90,Cadastros!$H$6:$H$90)*(1-0.18),_xlfn.XLOOKUP(AG1134,Cadastros!$G$6:$G$90,Cadastros!$H$6:$H$90))))</f>
        <v/>
      </c>
      <c r="AJ1134" s="168" t="str">
        <f t="shared" si="228"/>
        <v/>
      </c>
      <c r="AK1134" s="168" t="str">
        <f t="shared" si="229"/>
        <v/>
      </c>
      <c r="AL1134" s="28"/>
      <c r="AM1134" s="28"/>
      <c r="AN1134" s="20" t="str">
        <f>IF(AL1134="","",IF($F1134="Bernardino Furlan",_xlfn.XLOOKUP(AL1134,Cadastros!$G$6:$G$90,Cadastros!$H$6:$H$90)*(1-0.18),IF($F1134="Mauro José Salanti",_xlfn.XLOOKUP(AL1134,Cadastros!$G$6:$G$90,Cadastros!$H$6:$H$90)*(1-0.18),_xlfn.XLOOKUP(AL1134,Cadastros!$G$6:$G$90,Cadastros!$H$6:$H$90))))</f>
        <v/>
      </c>
      <c r="AO1134" s="168" t="str">
        <f t="shared" si="230"/>
        <v/>
      </c>
      <c r="AP1134" s="168" t="str">
        <f t="shared" si="231"/>
        <v/>
      </c>
      <c r="AQ1134" s="28"/>
      <c r="AR1134" s="28"/>
      <c r="AS1134" s="20" t="str">
        <f>IF(AQ1134="","",IF($F1134="Bernardino Furlan",_xlfn.XLOOKUP(AQ1134,Cadastros!$G$6:$G$90,Cadastros!$H$6:$H$90)*(1-0.18),IF($F1134="Mauro José Salanti",_xlfn.XLOOKUP(AQ1134,Cadastros!$G$6:$G$90,Cadastros!$H$6:$H$90)*(1-0.18),_xlfn.XLOOKUP(AQ1134,Cadastros!$G$6:$G$90,Cadastros!$H$6:$H$90))))</f>
        <v/>
      </c>
      <c r="AT1134" s="168" t="str">
        <f t="shared" si="232"/>
        <v/>
      </c>
      <c r="AU1134" s="168" t="str">
        <f t="shared" si="233"/>
        <v/>
      </c>
      <c r="AV1134" s="227"/>
      <c r="AW1134" s="30"/>
      <c r="AX1134" s="267"/>
      <c r="AY1134" s="267"/>
      <c r="AZ1134" s="29"/>
      <c r="BA1134" s="30"/>
      <c r="BB1134" s="23" t="str" cm="1">
        <f t="array" ref="BB1134">_xlfn.IFS(AW1134="SIM",SUM(K1134,P1134,U1134,Z1134,AE1134,AJ1134,AO1134,AT1134,AX1134,AY1134),F1134&lt;&gt;"",SUM(K1134,P1134,U1134,Z1134,AE1134,AJ1134,,AO1134,AT1134),F1134="","")</f>
        <v/>
      </c>
      <c r="BC1134" s="211" t="str" cm="1">
        <f t="array" ref="BC1134">_xlfn.IFS(E1134="","",G1134&lt;=E1134,BB1134*(1-0.03),G1134&lt;(E1134+8),BB1134,AZ1134="Boleto",BB1134*(1+0.001)^DATEDIF(E1134,G1134,"D"),AZ1134="Cheque",BB1134,AZ1134="Dinheiro","Alterar forma pgto")</f>
        <v/>
      </c>
      <c r="BD1134" s="276" t="str" cm="1">
        <f t="array" ref="BD1134">IF(F1134=0," ",IF(BC1134&lt;BB1134,(_xlfn.IFS(AW1134="SIM",SUM(L1134,Q1134,V1134,AA1134,AF1134,AK1134,AP1134,AU1134)+AX1134/_xlfn.XLOOKUP(_xlfn.XLOOKUP($F1134,Clientes!$B$4:$B$39,Clientes!$C$4:$C$39),Cadastros!$L$6:$L$12,Cadastros!$M$6:$M$12)+IF($F1134="Bernardino Furlan",AY1134/2751.92,IF($F1134="Mauro José Salanti",AY1134/2751.92,AY1134/3356)),F1134&lt;&gt;0,SUM(L1134,Q1134,V1134,AA1134,AF1134,AK1134,AP1134,AU1134)))*(1-0.03),_xlfn.IFS(AW1134="SIM",SUM(L1134,Q1134,V1134,AA1134,AF1134,AK1134,AP1134,AU1134)+AX1134/_xlfn.XLOOKUP(_xlfn.XLOOKUP($F1134,Clientes!$B$4:$B$39,Clientes!$C$4:$C$39),Cadastros!$L$6:$L$12,Cadastros!$M$6:$M$12)+IF($F1134="Bernardino Furlan",AY1134/2751.92,IF($F1134="Mauro José Salanti",AY1134/2751.92,AY1134/3356)),F1134&lt;&gt;0,SUM(L1134,Q1134,V1134,AA1134,AF1134,AK1134,AP1134,AU1134))))</f>
        <v xml:space="preserve"> </v>
      </c>
      <c r="BE1134" s="120"/>
      <c r="BF1134" s="120"/>
      <c r="BG1134" s="120"/>
    </row>
    <row r="1135" spans="1:59" s="3" customFormat="1" x14ac:dyDescent="0.3">
      <c r="A1135" s="15" t="str">
        <f t="shared" si="221"/>
        <v/>
      </c>
      <c r="B1135" s="25"/>
      <c r="C1135" s="26"/>
      <c r="D1135" s="279"/>
      <c r="E1135" s="27"/>
      <c r="F1135" s="28"/>
      <c r="G1135" s="27"/>
      <c r="H1135" s="28"/>
      <c r="I1135" s="28"/>
      <c r="J1135" s="255" t="str">
        <f>IF(H1135="","",(_xlfn.XLOOKUP(H1135,Cadastros!$D$6:$D$90,Cadastros!$E$6:$E$90))*(1-_xlfn.XLOOKUP(_xlfn.XLOOKUP($F1135,Clientes!$B$4:$B$39,Clientes!$C$4:$C$39),Cadastros!$L$6:$L$12,Cadastros!$N$6:$N$12)))</f>
        <v/>
      </c>
      <c r="K1135" s="168" t="str">
        <f t="shared" si="222"/>
        <v/>
      </c>
      <c r="L1135" s="168" t="str">
        <f>IFERROR(K1135/_xlfn.XLOOKUP(_xlfn.XLOOKUP($F1135,Clientes!$B$4:$B$39,Clientes!$C$4:$C$39),Cadastros!$L$6:$L$12,Cadastros!$M$6:$M$12)," ")</f>
        <v xml:space="preserve"> </v>
      </c>
      <c r="M1135" s="28"/>
      <c r="N1135" s="28"/>
      <c r="O1135" s="255" t="str">
        <f>IF(M1135="","",(_xlfn.XLOOKUP(M1135,Cadastros!$D$6:$D$90,Cadastros!$E$6:$E$90))*(1-_xlfn.XLOOKUP(_xlfn.XLOOKUP($F1135,Clientes!$B$4:$B$39,Clientes!$C$4:$C$39),Cadastros!$L$6:$L$12,Cadastros!$N$6:$N$12)))</f>
        <v/>
      </c>
      <c r="P1135" s="168" t="str">
        <f t="shared" si="223"/>
        <v/>
      </c>
      <c r="Q1135" s="168" t="str">
        <f>IFERROR(P1135/_xlfn.XLOOKUP(_xlfn.XLOOKUP($F1135,Clientes!$B$4:$B$39,Clientes!$C$4:$C$39),Cadastros!$L$6:$L$12,Cadastros!$M$6:$M$12)," ")</f>
        <v xml:space="preserve"> </v>
      </c>
      <c r="R1135" s="28"/>
      <c r="S1135" s="28"/>
      <c r="T1135" s="255" t="str">
        <f>IF(R1135="","",(_xlfn.XLOOKUP(R1135,Cadastros!$D$6:$D$90,Cadastros!$E$6:$E$90))*(1-_xlfn.XLOOKUP(_xlfn.XLOOKUP($F1135,Clientes!$B$4:$B$39,Clientes!$C$4:$C$39),Cadastros!$L$6:$L$12,Cadastros!$N$6:$N$12)))</f>
        <v/>
      </c>
      <c r="U1135" s="168" t="str">
        <f t="shared" si="224"/>
        <v/>
      </c>
      <c r="V1135" s="168" t="str">
        <f>IFERROR(U1135/_xlfn.XLOOKUP(_xlfn.XLOOKUP($F1135,Clientes!$B$4:$B$39,Clientes!$C$4:$C$39),Cadastros!$L$6:$L$12,Cadastros!$M$6:$M$12)," ")</f>
        <v xml:space="preserve"> </v>
      </c>
      <c r="W1135" s="28"/>
      <c r="X1135" s="28"/>
      <c r="Y1135" s="255" t="str">
        <f>IF(W1135="","",(_xlfn.XLOOKUP(W1135,Cadastros!$D$6:$D$90,Cadastros!$E$6:$E$90))*(1-_xlfn.XLOOKUP(_xlfn.XLOOKUP($F1135,Clientes!$B$4:$B$39,Clientes!$C$4:$C$39),Cadastros!$L$6:$L$12,Cadastros!$N$6:$N$12)))</f>
        <v/>
      </c>
      <c r="Z1135" s="168" t="str">
        <f t="shared" si="225"/>
        <v/>
      </c>
      <c r="AA1135" s="168" t="str">
        <f>IFERROR(Z1135/_xlfn.XLOOKUP(_xlfn.XLOOKUP($F1135,Clientes!$B$4:$B$39,Clientes!$C$4:$C$39),Cadastros!$L$6:$L$12,Cadastros!$M$6:$M$12)," ")</f>
        <v xml:space="preserve"> </v>
      </c>
      <c r="AB1135" s="28"/>
      <c r="AC1135" s="28"/>
      <c r="AD1135" s="20" t="str">
        <f>IF(AB1135="","",IF($F1135="Bernardino Furlan",_xlfn.XLOOKUP(AB1135,Cadastros!$G$6:$G$90,Cadastros!$H$6:$H$90)*(1-0.18),IF($F1135="Mauro José Salanti",_xlfn.XLOOKUP(AB1135,Cadastros!$G$6:$G$90,Cadastros!$H$6:$H$90)*(1-0.18),_xlfn.XLOOKUP(AB1135,Cadastros!$G$6:$G$90,Cadastros!$H$6:$H$90))))</f>
        <v/>
      </c>
      <c r="AE1135" s="168" t="str">
        <f t="shared" si="226"/>
        <v/>
      </c>
      <c r="AF1135" s="168" t="str">
        <f t="shared" si="227"/>
        <v/>
      </c>
      <c r="AG1135" s="28"/>
      <c r="AH1135" s="28"/>
      <c r="AI1135" s="20" t="str">
        <f>IF(AG1135="","",IF($F1135="Bernardino Furlan",_xlfn.XLOOKUP(AG1135,Cadastros!$G$6:$G$90,Cadastros!$H$6:$H$90)*(1-0.18),IF($F1135="Mauro José Salanti",_xlfn.XLOOKUP(AG1135,Cadastros!$G$6:$G$90,Cadastros!$H$6:$H$90)*(1-0.18),_xlfn.XLOOKUP(AG1135,Cadastros!$G$6:$G$90,Cadastros!$H$6:$H$90))))</f>
        <v/>
      </c>
      <c r="AJ1135" s="168" t="str">
        <f t="shared" si="228"/>
        <v/>
      </c>
      <c r="AK1135" s="168" t="str">
        <f t="shared" si="229"/>
        <v/>
      </c>
      <c r="AL1135" s="28"/>
      <c r="AM1135" s="28"/>
      <c r="AN1135" s="20" t="str">
        <f>IF(AL1135="","",IF($F1135="Bernardino Furlan",_xlfn.XLOOKUP(AL1135,Cadastros!$G$6:$G$90,Cadastros!$H$6:$H$90)*(1-0.18),IF($F1135="Mauro José Salanti",_xlfn.XLOOKUP(AL1135,Cadastros!$G$6:$G$90,Cadastros!$H$6:$H$90)*(1-0.18),_xlfn.XLOOKUP(AL1135,Cadastros!$G$6:$G$90,Cadastros!$H$6:$H$90))))</f>
        <v/>
      </c>
      <c r="AO1135" s="168" t="str">
        <f t="shared" si="230"/>
        <v/>
      </c>
      <c r="AP1135" s="168" t="str">
        <f t="shared" si="231"/>
        <v/>
      </c>
      <c r="AQ1135" s="28"/>
      <c r="AR1135" s="28"/>
      <c r="AS1135" s="20" t="str">
        <f>IF(AQ1135="","",IF($F1135="Bernardino Furlan",_xlfn.XLOOKUP(AQ1135,Cadastros!$G$6:$G$90,Cadastros!$H$6:$H$90)*(1-0.18),IF($F1135="Mauro José Salanti",_xlfn.XLOOKUP(AQ1135,Cadastros!$G$6:$G$90,Cadastros!$H$6:$H$90)*(1-0.18),_xlfn.XLOOKUP(AQ1135,Cadastros!$G$6:$G$90,Cadastros!$H$6:$H$90))))</f>
        <v/>
      </c>
      <c r="AT1135" s="168" t="str">
        <f t="shared" si="232"/>
        <v/>
      </c>
      <c r="AU1135" s="168" t="str">
        <f t="shared" si="233"/>
        <v/>
      </c>
      <c r="AV1135" s="227"/>
      <c r="AW1135" s="30"/>
      <c r="AX1135" s="267"/>
      <c r="AY1135" s="267"/>
      <c r="AZ1135" s="29"/>
      <c r="BA1135" s="30"/>
      <c r="BB1135" s="23" t="str" cm="1">
        <f t="array" ref="BB1135">_xlfn.IFS(AW1135="SIM",SUM(K1135,P1135,U1135,Z1135,AE1135,AJ1135,AO1135,AT1135,AX1135,AY1135),F1135&lt;&gt;"",SUM(K1135,P1135,U1135,Z1135,AE1135,AJ1135,,AO1135,AT1135),F1135="","")</f>
        <v/>
      </c>
      <c r="BC1135" s="211" t="str" cm="1">
        <f t="array" ref="BC1135">_xlfn.IFS(E1135="","",G1135&lt;=E1135,BB1135*(1-0.03),G1135&lt;(E1135+8),BB1135,AZ1135="Boleto",BB1135*(1+0.001)^DATEDIF(E1135,G1135,"D"),AZ1135="Cheque",BB1135,AZ1135="Dinheiro","Alterar forma pgto")</f>
        <v/>
      </c>
      <c r="BD1135" s="276" t="str" cm="1">
        <f t="array" ref="BD1135">IF(F1135=0," ",IF(BC1135&lt;BB1135,(_xlfn.IFS(AW1135="SIM",SUM(L1135,Q1135,V1135,AA1135,AF1135,AK1135,AP1135,AU1135)+AX1135/_xlfn.XLOOKUP(_xlfn.XLOOKUP($F1135,Clientes!$B$4:$B$39,Clientes!$C$4:$C$39),Cadastros!$L$6:$L$12,Cadastros!$M$6:$M$12)+IF($F1135="Bernardino Furlan",AY1135/2751.92,IF($F1135="Mauro José Salanti",AY1135/2751.92,AY1135/3356)),F1135&lt;&gt;0,SUM(L1135,Q1135,V1135,AA1135,AF1135,AK1135,AP1135,AU1135)))*(1-0.03),_xlfn.IFS(AW1135="SIM",SUM(L1135,Q1135,V1135,AA1135,AF1135,AK1135,AP1135,AU1135)+AX1135/_xlfn.XLOOKUP(_xlfn.XLOOKUP($F1135,Clientes!$B$4:$B$39,Clientes!$C$4:$C$39),Cadastros!$L$6:$L$12,Cadastros!$M$6:$M$12)+IF($F1135="Bernardino Furlan",AY1135/2751.92,IF($F1135="Mauro José Salanti",AY1135/2751.92,AY1135/3356)),F1135&lt;&gt;0,SUM(L1135,Q1135,V1135,AA1135,AF1135,AK1135,AP1135,AU1135))))</f>
        <v xml:space="preserve"> </v>
      </c>
      <c r="BE1135" s="120"/>
      <c r="BF1135" s="120"/>
      <c r="BG1135" s="120"/>
    </row>
    <row r="1136" spans="1:59" s="3" customFormat="1" x14ac:dyDescent="0.3">
      <c r="A1136" s="15" t="str">
        <f t="shared" si="221"/>
        <v/>
      </c>
      <c r="B1136" s="25"/>
      <c r="C1136" s="26"/>
      <c r="D1136" s="279"/>
      <c r="E1136" s="27"/>
      <c r="F1136" s="28"/>
      <c r="G1136" s="27"/>
      <c r="H1136" s="28"/>
      <c r="I1136" s="28"/>
      <c r="J1136" s="255" t="str">
        <f>IF(H1136="","",(_xlfn.XLOOKUP(H1136,Cadastros!$D$6:$D$90,Cadastros!$E$6:$E$90))*(1-_xlfn.XLOOKUP(_xlfn.XLOOKUP($F1136,Clientes!$B$4:$B$39,Clientes!$C$4:$C$39),Cadastros!$L$6:$L$12,Cadastros!$N$6:$N$12)))</f>
        <v/>
      </c>
      <c r="K1136" s="168" t="str">
        <f t="shared" si="222"/>
        <v/>
      </c>
      <c r="L1136" s="168" t="str">
        <f>IFERROR(K1136/_xlfn.XLOOKUP(_xlfn.XLOOKUP($F1136,Clientes!$B$4:$B$39,Clientes!$C$4:$C$39),Cadastros!$L$6:$L$12,Cadastros!$M$6:$M$12)," ")</f>
        <v xml:space="preserve"> </v>
      </c>
      <c r="M1136" s="28"/>
      <c r="N1136" s="28"/>
      <c r="O1136" s="255" t="str">
        <f>IF(M1136="","",(_xlfn.XLOOKUP(M1136,Cadastros!$D$6:$D$90,Cadastros!$E$6:$E$90))*(1-_xlfn.XLOOKUP(_xlfn.XLOOKUP($F1136,Clientes!$B$4:$B$39,Clientes!$C$4:$C$39),Cadastros!$L$6:$L$12,Cadastros!$N$6:$N$12)))</f>
        <v/>
      </c>
      <c r="P1136" s="168" t="str">
        <f t="shared" si="223"/>
        <v/>
      </c>
      <c r="Q1136" s="168" t="str">
        <f>IFERROR(P1136/_xlfn.XLOOKUP(_xlfn.XLOOKUP($F1136,Clientes!$B$4:$B$39,Clientes!$C$4:$C$39),Cadastros!$L$6:$L$12,Cadastros!$M$6:$M$12)," ")</f>
        <v xml:space="preserve"> </v>
      </c>
      <c r="R1136" s="28"/>
      <c r="S1136" s="28"/>
      <c r="T1136" s="255" t="str">
        <f>IF(R1136="","",(_xlfn.XLOOKUP(R1136,Cadastros!$D$6:$D$90,Cadastros!$E$6:$E$90))*(1-_xlfn.XLOOKUP(_xlfn.XLOOKUP($F1136,Clientes!$B$4:$B$39,Clientes!$C$4:$C$39),Cadastros!$L$6:$L$12,Cadastros!$N$6:$N$12)))</f>
        <v/>
      </c>
      <c r="U1136" s="168" t="str">
        <f t="shared" si="224"/>
        <v/>
      </c>
      <c r="V1136" s="168" t="str">
        <f>IFERROR(U1136/_xlfn.XLOOKUP(_xlfn.XLOOKUP($F1136,Clientes!$B$4:$B$39,Clientes!$C$4:$C$39),Cadastros!$L$6:$L$12,Cadastros!$M$6:$M$12)," ")</f>
        <v xml:space="preserve"> </v>
      </c>
      <c r="W1136" s="28"/>
      <c r="X1136" s="28"/>
      <c r="Y1136" s="255" t="str">
        <f>IF(W1136="","",(_xlfn.XLOOKUP(W1136,Cadastros!$D$6:$D$90,Cadastros!$E$6:$E$90))*(1-_xlfn.XLOOKUP(_xlfn.XLOOKUP($F1136,Clientes!$B$4:$B$39,Clientes!$C$4:$C$39),Cadastros!$L$6:$L$12,Cadastros!$N$6:$N$12)))</f>
        <v/>
      </c>
      <c r="Z1136" s="168" t="str">
        <f t="shared" si="225"/>
        <v/>
      </c>
      <c r="AA1136" s="168" t="str">
        <f>IFERROR(Z1136/_xlfn.XLOOKUP(_xlfn.XLOOKUP($F1136,Clientes!$B$4:$B$39,Clientes!$C$4:$C$39),Cadastros!$L$6:$L$12,Cadastros!$M$6:$M$12)," ")</f>
        <v xml:space="preserve"> </v>
      </c>
      <c r="AB1136" s="28"/>
      <c r="AC1136" s="28"/>
      <c r="AD1136" s="20" t="str">
        <f>IF(AB1136="","",IF($F1136="Bernardino Furlan",_xlfn.XLOOKUP(AB1136,Cadastros!$G$6:$G$90,Cadastros!$H$6:$H$90)*(1-0.18),IF($F1136="Mauro José Salanti",_xlfn.XLOOKUP(AB1136,Cadastros!$G$6:$G$90,Cadastros!$H$6:$H$90)*(1-0.18),_xlfn.XLOOKUP(AB1136,Cadastros!$G$6:$G$90,Cadastros!$H$6:$H$90))))</f>
        <v/>
      </c>
      <c r="AE1136" s="168" t="str">
        <f t="shared" si="226"/>
        <v/>
      </c>
      <c r="AF1136" s="168" t="str">
        <f t="shared" si="227"/>
        <v/>
      </c>
      <c r="AG1136" s="28"/>
      <c r="AH1136" s="28"/>
      <c r="AI1136" s="20" t="str">
        <f>IF(AG1136="","",IF($F1136="Bernardino Furlan",_xlfn.XLOOKUP(AG1136,Cadastros!$G$6:$G$90,Cadastros!$H$6:$H$90)*(1-0.18),IF($F1136="Mauro José Salanti",_xlfn.XLOOKUP(AG1136,Cadastros!$G$6:$G$90,Cadastros!$H$6:$H$90)*(1-0.18),_xlfn.XLOOKUP(AG1136,Cadastros!$G$6:$G$90,Cadastros!$H$6:$H$90))))</f>
        <v/>
      </c>
      <c r="AJ1136" s="168" t="str">
        <f t="shared" si="228"/>
        <v/>
      </c>
      <c r="AK1136" s="168" t="str">
        <f t="shared" si="229"/>
        <v/>
      </c>
      <c r="AL1136" s="28"/>
      <c r="AM1136" s="28"/>
      <c r="AN1136" s="20" t="str">
        <f>IF(AL1136="","",IF($F1136="Bernardino Furlan",_xlfn.XLOOKUP(AL1136,Cadastros!$G$6:$G$90,Cadastros!$H$6:$H$90)*(1-0.18),IF($F1136="Mauro José Salanti",_xlfn.XLOOKUP(AL1136,Cadastros!$G$6:$G$90,Cadastros!$H$6:$H$90)*(1-0.18),_xlfn.XLOOKUP(AL1136,Cadastros!$G$6:$G$90,Cadastros!$H$6:$H$90))))</f>
        <v/>
      </c>
      <c r="AO1136" s="168" t="str">
        <f t="shared" si="230"/>
        <v/>
      </c>
      <c r="AP1136" s="168" t="str">
        <f t="shared" si="231"/>
        <v/>
      </c>
      <c r="AQ1136" s="28"/>
      <c r="AR1136" s="28"/>
      <c r="AS1136" s="20" t="str">
        <f>IF(AQ1136="","",IF($F1136="Bernardino Furlan",_xlfn.XLOOKUP(AQ1136,Cadastros!$G$6:$G$90,Cadastros!$H$6:$H$90)*(1-0.18),IF($F1136="Mauro José Salanti",_xlfn.XLOOKUP(AQ1136,Cadastros!$G$6:$G$90,Cadastros!$H$6:$H$90)*(1-0.18),_xlfn.XLOOKUP(AQ1136,Cadastros!$G$6:$G$90,Cadastros!$H$6:$H$90))))</f>
        <v/>
      </c>
      <c r="AT1136" s="168" t="str">
        <f t="shared" si="232"/>
        <v/>
      </c>
      <c r="AU1136" s="168" t="str">
        <f t="shared" si="233"/>
        <v/>
      </c>
      <c r="AV1136" s="227"/>
      <c r="AW1136" s="30"/>
      <c r="AX1136" s="267"/>
      <c r="AY1136" s="267"/>
      <c r="AZ1136" s="29"/>
      <c r="BA1136" s="30"/>
      <c r="BB1136" s="23" t="str" cm="1">
        <f t="array" ref="BB1136">_xlfn.IFS(AW1136="SIM",SUM(K1136,P1136,U1136,Z1136,AE1136,AJ1136,AO1136,AT1136,AX1136,AY1136),F1136&lt;&gt;"",SUM(K1136,P1136,U1136,Z1136,AE1136,AJ1136,,AO1136,AT1136),F1136="","")</f>
        <v/>
      </c>
      <c r="BC1136" s="211" t="str" cm="1">
        <f t="array" ref="BC1136">_xlfn.IFS(E1136="","",G1136&lt;=E1136,BB1136*(1-0.03),G1136&lt;(E1136+8),BB1136,AZ1136="Boleto",BB1136*(1+0.001)^DATEDIF(E1136,G1136,"D"),AZ1136="Cheque",BB1136,AZ1136="Dinheiro","Alterar forma pgto")</f>
        <v/>
      </c>
      <c r="BD1136" s="276" t="str" cm="1">
        <f t="array" ref="BD1136">IF(F1136=0," ",IF(BC1136&lt;BB1136,(_xlfn.IFS(AW1136="SIM",SUM(L1136,Q1136,V1136,AA1136,AF1136,AK1136,AP1136,AU1136)+AX1136/_xlfn.XLOOKUP(_xlfn.XLOOKUP($F1136,Clientes!$B$4:$B$39,Clientes!$C$4:$C$39),Cadastros!$L$6:$L$12,Cadastros!$M$6:$M$12)+IF($F1136="Bernardino Furlan",AY1136/2751.92,IF($F1136="Mauro José Salanti",AY1136/2751.92,AY1136/3356)),F1136&lt;&gt;0,SUM(L1136,Q1136,V1136,AA1136,AF1136,AK1136,AP1136,AU1136)))*(1-0.03),_xlfn.IFS(AW1136="SIM",SUM(L1136,Q1136,V1136,AA1136,AF1136,AK1136,AP1136,AU1136)+AX1136/_xlfn.XLOOKUP(_xlfn.XLOOKUP($F1136,Clientes!$B$4:$B$39,Clientes!$C$4:$C$39),Cadastros!$L$6:$L$12,Cadastros!$M$6:$M$12)+IF($F1136="Bernardino Furlan",AY1136/2751.92,IF($F1136="Mauro José Salanti",AY1136/2751.92,AY1136/3356)),F1136&lt;&gt;0,SUM(L1136,Q1136,V1136,AA1136,AF1136,AK1136,AP1136,AU1136))))</f>
        <v xml:space="preserve"> </v>
      </c>
      <c r="BE1136" s="120"/>
      <c r="BF1136" s="120"/>
      <c r="BG1136" s="120"/>
    </row>
    <row r="1137" spans="1:59" s="3" customFormat="1" x14ac:dyDescent="0.3">
      <c r="A1137" s="15" t="str">
        <f t="shared" si="221"/>
        <v/>
      </c>
      <c r="B1137" s="25"/>
      <c r="C1137" s="26"/>
      <c r="D1137" s="279"/>
      <c r="E1137" s="27"/>
      <c r="F1137" s="28"/>
      <c r="G1137" s="27"/>
      <c r="H1137" s="28"/>
      <c r="I1137" s="28"/>
      <c r="J1137" s="255" t="str">
        <f>IF(H1137="","",(_xlfn.XLOOKUP(H1137,Cadastros!$D$6:$D$90,Cadastros!$E$6:$E$90))*(1-_xlfn.XLOOKUP(_xlfn.XLOOKUP($F1137,Clientes!$B$4:$B$39,Clientes!$C$4:$C$39),Cadastros!$L$6:$L$12,Cadastros!$N$6:$N$12)))</f>
        <v/>
      </c>
      <c r="K1137" s="168" t="str">
        <f t="shared" si="222"/>
        <v/>
      </c>
      <c r="L1137" s="168" t="str">
        <f>IFERROR(K1137/_xlfn.XLOOKUP(_xlfn.XLOOKUP($F1137,Clientes!$B$4:$B$39,Clientes!$C$4:$C$39),Cadastros!$L$6:$L$12,Cadastros!$M$6:$M$12)," ")</f>
        <v xml:space="preserve"> </v>
      </c>
      <c r="M1137" s="28"/>
      <c r="N1137" s="28"/>
      <c r="O1137" s="255" t="str">
        <f>IF(M1137="","",(_xlfn.XLOOKUP(M1137,Cadastros!$D$6:$D$90,Cadastros!$E$6:$E$90))*(1-_xlfn.XLOOKUP(_xlfn.XLOOKUP($F1137,Clientes!$B$4:$B$39,Clientes!$C$4:$C$39),Cadastros!$L$6:$L$12,Cadastros!$N$6:$N$12)))</f>
        <v/>
      </c>
      <c r="P1137" s="168" t="str">
        <f t="shared" si="223"/>
        <v/>
      </c>
      <c r="Q1137" s="168" t="str">
        <f>IFERROR(P1137/_xlfn.XLOOKUP(_xlfn.XLOOKUP($F1137,Clientes!$B$4:$B$39,Clientes!$C$4:$C$39),Cadastros!$L$6:$L$12,Cadastros!$M$6:$M$12)," ")</f>
        <v xml:space="preserve"> </v>
      </c>
      <c r="R1137" s="28"/>
      <c r="S1137" s="28"/>
      <c r="T1137" s="255" t="str">
        <f>IF(R1137="","",(_xlfn.XLOOKUP(R1137,Cadastros!$D$6:$D$90,Cadastros!$E$6:$E$90))*(1-_xlfn.XLOOKUP(_xlfn.XLOOKUP($F1137,Clientes!$B$4:$B$39,Clientes!$C$4:$C$39),Cadastros!$L$6:$L$12,Cadastros!$N$6:$N$12)))</f>
        <v/>
      </c>
      <c r="U1137" s="168" t="str">
        <f t="shared" si="224"/>
        <v/>
      </c>
      <c r="V1137" s="168" t="str">
        <f>IFERROR(U1137/_xlfn.XLOOKUP(_xlfn.XLOOKUP($F1137,Clientes!$B$4:$B$39,Clientes!$C$4:$C$39),Cadastros!$L$6:$L$12,Cadastros!$M$6:$M$12)," ")</f>
        <v xml:space="preserve"> </v>
      </c>
      <c r="W1137" s="28"/>
      <c r="X1137" s="28"/>
      <c r="Y1137" s="255" t="str">
        <f>IF(W1137="","",(_xlfn.XLOOKUP(W1137,Cadastros!$D$6:$D$90,Cadastros!$E$6:$E$90))*(1-_xlfn.XLOOKUP(_xlfn.XLOOKUP($F1137,Clientes!$B$4:$B$39,Clientes!$C$4:$C$39),Cadastros!$L$6:$L$12,Cadastros!$N$6:$N$12)))</f>
        <v/>
      </c>
      <c r="Z1137" s="168" t="str">
        <f t="shared" si="225"/>
        <v/>
      </c>
      <c r="AA1137" s="168" t="str">
        <f>IFERROR(Z1137/_xlfn.XLOOKUP(_xlfn.XLOOKUP($F1137,Clientes!$B$4:$B$39,Clientes!$C$4:$C$39),Cadastros!$L$6:$L$12,Cadastros!$M$6:$M$12)," ")</f>
        <v xml:space="preserve"> </v>
      </c>
      <c r="AB1137" s="28"/>
      <c r="AC1137" s="28"/>
      <c r="AD1137" s="20" t="str">
        <f>IF(AB1137="","",IF($F1137="Bernardino Furlan",_xlfn.XLOOKUP(AB1137,Cadastros!$G$6:$G$90,Cadastros!$H$6:$H$90)*(1-0.18),IF($F1137="Mauro José Salanti",_xlfn.XLOOKUP(AB1137,Cadastros!$G$6:$G$90,Cadastros!$H$6:$H$90)*(1-0.18),_xlfn.XLOOKUP(AB1137,Cadastros!$G$6:$G$90,Cadastros!$H$6:$H$90))))</f>
        <v/>
      </c>
      <c r="AE1137" s="168" t="str">
        <f t="shared" si="226"/>
        <v/>
      </c>
      <c r="AF1137" s="168" t="str">
        <f t="shared" si="227"/>
        <v/>
      </c>
      <c r="AG1137" s="28"/>
      <c r="AH1137" s="28"/>
      <c r="AI1137" s="20" t="str">
        <f>IF(AG1137="","",IF($F1137="Bernardino Furlan",_xlfn.XLOOKUP(AG1137,Cadastros!$G$6:$G$90,Cadastros!$H$6:$H$90)*(1-0.18),IF($F1137="Mauro José Salanti",_xlfn.XLOOKUP(AG1137,Cadastros!$G$6:$G$90,Cadastros!$H$6:$H$90)*(1-0.18),_xlfn.XLOOKUP(AG1137,Cadastros!$G$6:$G$90,Cadastros!$H$6:$H$90))))</f>
        <v/>
      </c>
      <c r="AJ1137" s="168" t="str">
        <f t="shared" si="228"/>
        <v/>
      </c>
      <c r="AK1137" s="168" t="str">
        <f t="shared" si="229"/>
        <v/>
      </c>
      <c r="AL1137" s="28"/>
      <c r="AM1137" s="28"/>
      <c r="AN1137" s="20" t="str">
        <f>IF(AL1137="","",IF($F1137="Bernardino Furlan",_xlfn.XLOOKUP(AL1137,Cadastros!$G$6:$G$90,Cadastros!$H$6:$H$90)*(1-0.18),IF($F1137="Mauro José Salanti",_xlfn.XLOOKUP(AL1137,Cadastros!$G$6:$G$90,Cadastros!$H$6:$H$90)*(1-0.18),_xlfn.XLOOKUP(AL1137,Cadastros!$G$6:$G$90,Cadastros!$H$6:$H$90))))</f>
        <v/>
      </c>
      <c r="AO1137" s="168" t="str">
        <f t="shared" si="230"/>
        <v/>
      </c>
      <c r="AP1137" s="168" t="str">
        <f t="shared" si="231"/>
        <v/>
      </c>
      <c r="AQ1137" s="28"/>
      <c r="AR1137" s="28"/>
      <c r="AS1137" s="20" t="str">
        <f>IF(AQ1137="","",IF($F1137="Bernardino Furlan",_xlfn.XLOOKUP(AQ1137,Cadastros!$G$6:$G$90,Cadastros!$H$6:$H$90)*(1-0.18),IF($F1137="Mauro José Salanti",_xlfn.XLOOKUP(AQ1137,Cadastros!$G$6:$G$90,Cadastros!$H$6:$H$90)*(1-0.18),_xlfn.XLOOKUP(AQ1137,Cadastros!$G$6:$G$90,Cadastros!$H$6:$H$90))))</f>
        <v/>
      </c>
      <c r="AT1137" s="168" t="str">
        <f t="shared" si="232"/>
        <v/>
      </c>
      <c r="AU1137" s="168" t="str">
        <f t="shared" si="233"/>
        <v/>
      </c>
      <c r="AV1137" s="227"/>
      <c r="AW1137" s="30"/>
      <c r="AX1137" s="267"/>
      <c r="AY1137" s="267"/>
      <c r="AZ1137" s="29"/>
      <c r="BA1137" s="30"/>
      <c r="BB1137" s="23" t="str" cm="1">
        <f t="array" ref="BB1137">_xlfn.IFS(AW1137="SIM",SUM(K1137,P1137,U1137,Z1137,AE1137,AJ1137,AO1137,AT1137,AX1137,AY1137),F1137&lt;&gt;"",SUM(K1137,P1137,U1137,Z1137,AE1137,AJ1137,,AO1137,AT1137),F1137="","")</f>
        <v/>
      </c>
      <c r="BC1137" s="211" t="str" cm="1">
        <f t="array" ref="BC1137">_xlfn.IFS(E1137="","",G1137&lt;=E1137,BB1137*(1-0.03),G1137&lt;(E1137+8),BB1137,AZ1137="Boleto",BB1137*(1+0.001)^DATEDIF(E1137,G1137,"D"),AZ1137="Cheque",BB1137,AZ1137="Dinheiro","Alterar forma pgto")</f>
        <v/>
      </c>
      <c r="BD1137" s="276" t="str" cm="1">
        <f t="array" ref="BD1137">IF(F1137=0," ",IF(BC1137&lt;BB1137,(_xlfn.IFS(AW1137="SIM",SUM(L1137,Q1137,V1137,AA1137,AF1137,AK1137,AP1137,AU1137)+AX1137/_xlfn.XLOOKUP(_xlfn.XLOOKUP($F1137,Clientes!$B$4:$B$39,Clientes!$C$4:$C$39),Cadastros!$L$6:$L$12,Cadastros!$M$6:$M$12)+IF($F1137="Bernardino Furlan",AY1137/2751.92,IF($F1137="Mauro José Salanti",AY1137/2751.92,AY1137/3356)),F1137&lt;&gt;0,SUM(L1137,Q1137,V1137,AA1137,AF1137,AK1137,AP1137,AU1137)))*(1-0.03),_xlfn.IFS(AW1137="SIM",SUM(L1137,Q1137,V1137,AA1137,AF1137,AK1137,AP1137,AU1137)+AX1137/_xlfn.XLOOKUP(_xlfn.XLOOKUP($F1137,Clientes!$B$4:$B$39,Clientes!$C$4:$C$39),Cadastros!$L$6:$L$12,Cadastros!$M$6:$M$12)+IF($F1137="Bernardino Furlan",AY1137/2751.92,IF($F1137="Mauro José Salanti",AY1137/2751.92,AY1137/3356)),F1137&lt;&gt;0,SUM(L1137,Q1137,V1137,AA1137,AF1137,AK1137,AP1137,AU1137))))</f>
        <v xml:space="preserve"> </v>
      </c>
      <c r="BE1137" s="120"/>
      <c r="BF1137" s="120"/>
      <c r="BG1137" s="120"/>
    </row>
    <row r="1138" spans="1:59" s="3" customFormat="1" x14ac:dyDescent="0.3">
      <c r="A1138" s="15" t="str">
        <f t="shared" si="221"/>
        <v/>
      </c>
      <c r="B1138" s="25"/>
      <c r="C1138" s="26"/>
      <c r="D1138" s="279"/>
      <c r="E1138" s="27"/>
      <c r="F1138" s="28"/>
      <c r="G1138" s="27"/>
      <c r="H1138" s="28"/>
      <c r="I1138" s="28"/>
      <c r="J1138" s="255" t="str">
        <f>IF(H1138="","",(_xlfn.XLOOKUP(H1138,Cadastros!$D$6:$D$90,Cadastros!$E$6:$E$90))*(1-_xlfn.XLOOKUP(_xlfn.XLOOKUP($F1138,Clientes!$B$4:$B$39,Clientes!$C$4:$C$39),Cadastros!$L$6:$L$12,Cadastros!$N$6:$N$12)))</f>
        <v/>
      </c>
      <c r="K1138" s="168" t="str">
        <f t="shared" si="222"/>
        <v/>
      </c>
      <c r="L1138" s="168" t="str">
        <f>IFERROR(K1138/_xlfn.XLOOKUP(_xlfn.XLOOKUP($F1138,Clientes!$B$4:$B$39,Clientes!$C$4:$C$39),Cadastros!$L$6:$L$12,Cadastros!$M$6:$M$12)," ")</f>
        <v xml:space="preserve"> </v>
      </c>
      <c r="M1138" s="28"/>
      <c r="N1138" s="28"/>
      <c r="O1138" s="255" t="str">
        <f>IF(M1138="","",(_xlfn.XLOOKUP(M1138,Cadastros!$D$6:$D$90,Cadastros!$E$6:$E$90))*(1-_xlfn.XLOOKUP(_xlfn.XLOOKUP($F1138,Clientes!$B$4:$B$39,Clientes!$C$4:$C$39),Cadastros!$L$6:$L$12,Cadastros!$N$6:$N$12)))</f>
        <v/>
      </c>
      <c r="P1138" s="168" t="str">
        <f t="shared" si="223"/>
        <v/>
      </c>
      <c r="Q1138" s="168" t="str">
        <f>IFERROR(P1138/_xlfn.XLOOKUP(_xlfn.XLOOKUP($F1138,Clientes!$B$4:$B$39,Clientes!$C$4:$C$39),Cadastros!$L$6:$L$12,Cadastros!$M$6:$M$12)," ")</f>
        <v xml:space="preserve"> </v>
      </c>
      <c r="R1138" s="28"/>
      <c r="S1138" s="28"/>
      <c r="T1138" s="255" t="str">
        <f>IF(R1138="","",(_xlfn.XLOOKUP(R1138,Cadastros!$D$6:$D$90,Cadastros!$E$6:$E$90))*(1-_xlfn.XLOOKUP(_xlfn.XLOOKUP($F1138,Clientes!$B$4:$B$39,Clientes!$C$4:$C$39),Cadastros!$L$6:$L$12,Cadastros!$N$6:$N$12)))</f>
        <v/>
      </c>
      <c r="U1138" s="168" t="str">
        <f t="shared" si="224"/>
        <v/>
      </c>
      <c r="V1138" s="168" t="str">
        <f>IFERROR(U1138/_xlfn.XLOOKUP(_xlfn.XLOOKUP($F1138,Clientes!$B$4:$B$39,Clientes!$C$4:$C$39),Cadastros!$L$6:$L$12,Cadastros!$M$6:$M$12)," ")</f>
        <v xml:space="preserve"> </v>
      </c>
      <c r="W1138" s="28"/>
      <c r="X1138" s="28"/>
      <c r="Y1138" s="255" t="str">
        <f>IF(W1138="","",(_xlfn.XLOOKUP(W1138,Cadastros!$D$6:$D$90,Cadastros!$E$6:$E$90))*(1-_xlfn.XLOOKUP(_xlfn.XLOOKUP($F1138,Clientes!$B$4:$B$39,Clientes!$C$4:$C$39),Cadastros!$L$6:$L$12,Cadastros!$N$6:$N$12)))</f>
        <v/>
      </c>
      <c r="Z1138" s="168" t="str">
        <f t="shared" si="225"/>
        <v/>
      </c>
      <c r="AA1138" s="168" t="str">
        <f>IFERROR(Z1138/_xlfn.XLOOKUP(_xlfn.XLOOKUP($F1138,Clientes!$B$4:$B$39,Clientes!$C$4:$C$39),Cadastros!$L$6:$L$12,Cadastros!$M$6:$M$12)," ")</f>
        <v xml:space="preserve"> </v>
      </c>
      <c r="AB1138" s="28"/>
      <c r="AC1138" s="28"/>
      <c r="AD1138" s="20" t="str">
        <f>IF(AB1138="","",IF($F1138="Bernardino Furlan",_xlfn.XLOOKUP(AB1138,Cadastros!$G$6:$G$90,Cadastros!$H$6:$H$90)*(1-0.18),IF($F1138="Mauro José Salanti",_xlfn.XLOOKUP(AB1138,Cadastros!$G$6:$G$90,Cadastros!$H$6:$H$90)*(1-0.18),_xlfn.XLOOKUP(AB1138,Cadastros!$G$6:$G$90,Cadastros!$H$6:$H$90))))</f>
        <v/>
      </c>
      <c r="AE1138" s="168" t="str">
        <f t="shared" si="226"/>
        <v/>
      </c>
      <c r="AF1138" s="168" t="str">
        <f t="shared" si="227"/>
        <v/>
      </c>
      <c r="AG1138" s="28"/>
      <c r="AH1138" s="28"/>
      <c r="AI1138" s="20" t="str">
        <f>IF(AG1138="","",IF($F1138="Bernardino Furlan",_xlfn.XLOOKUP(AG1138,Cadastros!$G$6:$G$90,Cadastros!$H$6:$H$90)*(1-0.18),IF($F1138="Mauro José Salanti",_xlfn.XLOOKUP(AG1138,Cadastros!$G$6:$G$90,Cadastros!$H$6:$H$90)*(1-0.18),_xlfn.XLOOKUP(AG1138,Cadastros!$G$6:$G$90,Cadastros!$H$6:$H$90))))</f>
        <v/>
      </c>
      <c r="AJ1138" s="168" t="str">
        <f t="shared" si="228"/>
        <v/>
      </c>
      <c r="AK1138" s="168" t="str">
        <f t="shared" si="229"/>
        <v/>
      </c>
      <c r="AL1138" s="28"/>
      <c r="AM1138" s="28"/>
      <c r="AN1138" s="20" t="str">
        <f>IF(AL1138="","",IF($F1138="Bernardino Furlan",_xlfn.XLOOKUP(AL1138,Cadastros!$G$6:$G$90,Cadastros!$H$6:$H$90)*(1-0.18),IF($F1138="Mauro José Salanti",_xlfn.XLOOKUP(AL1138,Cadastros!$G$6:$G$90,Cadastros!$H$6:$H$90)*(1-0.18),_xlfn.XLOOKUP(AL1138,Cadastros!$G$6:$G$90,Cadastros!$H$6:$H$90))))</f>
        <v/>
      </c>
      <c r="AO1138" s="168" t="str">
        <f t="shared" si="230"/>
        <v/>
      </c>
      <c r="AP1138" s="168" t="str">
        <f t="shared" si="231"/>
        <v/>
      </c>
      <c r="AQ1138" s="28"/>
      <c r="AR1138" s="28"/>
      <c r="AS1138" s="20" t="str">
        <f>IF(AQ1138="","",IF($F1138="Bernardino Furlan",_xlfn.XLOOKUP(AQ1138,Cadastros!$G$6:$G$90,Cadastros!$H$6:$H$90)*(1-0.18),IF($F1138="Mauro José Salanti",_xlfn.XLOOKUP(AQ1138,Cadastros!$G$6:$G$90,Cadastros!$H$6:$H$90)*(1-0.18),_xlfn.XLOOKUP(AQ1138,Cadastros!$G$6:$G$90,Cadastros!$H$6:$H$90))))</f>
        <v/>
      </c>
      <c r="AT1138" s="168" t="str">
        <f t="shared" si="232"/>
        <v/>
      </c>
      <c r="AU1138" s="168" t="str">
        <f t="shared" si="233"/>
        <v/>
      </c>
      <c r="AV1138" s="227"/>
      <c r="AW1138" s="30"/>
      <c r="AX1138" s="267"/>
      <c r="AY1138" s="267"/>
      <c r="AZ1138" s="29"/>
      <c r="BA1138" s="30"/>
      <c r="BB1138" s="23" t="str" cm="1">
        <f t="array" ref="BB1138">_xlfn.IFS(AW1138="SIM",SUM(K1138,P1138,U1138,Z1138,AE1138,AJ1138,AO1138,AT1138,AX1138,AY1138),F1138&lt;&gt;"",SUM(K1138,P1138,U1138,Z1138,AE1138,AJ1138,,AO1138,AT1138),F1138="","")</f>
        <v/>
      </c>
      <c r="BC1138" s="211" t="str" cm="1">
        <f t="array" ref="BC1138">_xlfn.IFS(E1138="","",G1138&lt;=E1138,BB1138*(1-0.03),G1138&lt;(E1138+8),BB1138,AZ1138="Boleto",BB1138*(1+0.001)^DATEDIF(E1138,G1138,"D"),AZ1138="Cheque",BB1138,AZ1138="Dinheiro","Alterar forma pgto")</f>
        <v/>
      </c>
      <c r="BD1138" s="276" t="str" cm="1">
        <f t="array" ref="BD1138">IF(F1138=0," ",IF(BC1138&lt;BB1138,(_xlfn.IFS(AW1138="SIM",SUM(L1138,Q1138,V1138,AA1138,AF1138,AK1138,AP1138,AU1138)+AX1138/_xlfn.XLOOKUP(_xlfn.XLOOKUP($F1138,Clientes!$B$4:$B$39,Clientes!$C$4:$C$39),Cadastros!$L$6:$L$12,Cadastros!$M$6:$M$12)+IF($F1138="Bernardino Furlan",AY1138/2751.92,IF($F1138="Mauro José Salanti",AY1138/2751.92,AY1138/3356)),F1138&lt;&gt;0,SUM(L1138,Q1138,V1138,AA1138,AF1138,AK1138,AP1138,AU1138)))*(1-0.03),_xlfn.IFS(AW1138="SIM",SUM(L1138,Q1138,V1138,AA1138,AF1138,AK1138,AP1138,AU1138)+AX1138/_xlfn.XLOOKUP(_xlfn.XLOOKUP($F1138,Clientes!$B$4:$B$39,Clientes!$C$4:$C$39),Cadastros!$L$6:$L$12,Cadastros!$M$6:$M$12)+IF($F1138="Bernardino Furlan",AY1138/2751.92,IF($F1138="Mauro José Salanti",AY1138/2751.92,AY1138/3356)),F1138&lt;&gt;0,SUM(L1138,Q1138,V1138,AA1138,AF1138,AK1138,AP1138,AU1138))))</f>
        <v xml:space="preserve"> </v>
      </c>
      <c r="BE1138" s="120"/>
      <c r="BF1138" s="120"/>
      <c r="BG1138" s="120"/>
    </row>
    <row r="1139" spans="1:59" s="3" customFormat="1" x14ac:dyDescent="0.3">
      <c r="A1139" s="15" t="str">
        <f t="shared" si="221"/>
        <v/>
      </c>
      <c r="B1139" s="25"/>
      <c r="C1139" s="26"/>
      <c r="D1139" s="279"/>
      <c r="E1139" s="27"/>
      <c r="F1139" s="28"/>
      <c r="G1139" s="27"/>
      <c r="H1139" s="28"/>
      <c r="I1139" s="28"/>
      <c r="J1139" s="255" t="str">
        <f>IF(H1139="","",(_xlfn.XLOOKUP(H1139,Cadastros!$D$6:$D$90,Cadastros!$E$6:$E$90))*(1-_xlfn.XLOOKUP(_xlfn.XLOOKUP($F1139,Clientes!$B$4:$B$39,Clientes!$C$4:$C$39),Cadastros!$L$6:$L$12,Cadastros!$N$6:$N$12)))</f>
        <v/>
      </c>
      <c r="K1139" s="168" t="str">
        <f t="shared" si="222"/>
        <v/>
      </c>
      <c r="L1139" s="168" t="str">
        <f>IFERROR(K1139/_xlfn.XLOOKUP(_xlfn.XLOOKUP($F1139,Clientes!$B$4:$B$39,Clientes!$C$4:$C$39),Cadastros!$L$6:$L$12,Cadastros!$M$6:$M$12)," ")</f>
        <v xml:space="preserve"> </v>
      </c>
      <c r="M1139" s="28"/>
      <c r="N1139" s="28"/>
      <c r="O1139" s="255" t="str">
        <f>IF(M1139="","",(_xlfn.XLOOKUP(M1139,Cadastros!$D$6:$D$90,Cadastros!$E$6:$E$90))*(1-_xlfn.XLOOKUP(_xlfn.XLOOKUP($F1139,Clientes!$B$4:$B$39,Clientes!$C$4:$C$39),Cadastros!$L$6:$L$12,Cadastros!$N$6:$N$12)))</f>
        <v/>
      </c>
      <c r="P1139" s="168" t="str">
        <f t="shared" si="223"/>
        <v/>
      </c>
      <c r="Q1139" s="168" t="str">
        <f>IFERROR(P1139/_xlfn.XLOOKUP(_xlfn.XLOOKUP($F1139,Clientes!$B$4:$B$39,Clientes!$C$4:$C$39),Cadastros!$L$6:$L$12,Cadastros!$M$6:$M$12)," ")</f>
        <v xml:space="preserve"> </v>
      </c>
      <c r="R1139" s="28"/>
      <c r="S1139" s="28"/>
      <c r="T1139" s="255" t="str">
        <f>IF(R1139="","",(_xlfn.XLOOKUP(R1139,Cadastros!$D$6:$D$90,Cadastros!$E$6:$E$90))*(1-_xlfn.XLOOKUP(_xlfn.XLOOKUP($F1139,Clientes!$B$4:$B$39,Clientes!$C$4:$C$39),Cadastros!$L$6:$L$12,Cadastros!$N$6:$N$12)))</f>
        <v/>
      </c>
      <c r="U1139" s="168" t="str">
        <f t="shared" si="224"/>
        <v/>
      </c>
      <c r="V1139" s="168" t="str">
        <f>IFERROR(U1139/_xlfn.XLOOKUP(_xlfn.XLOOKUP($F1139,Clientes!$B$4:$B$39,Clientes!$C$4:$C$39),Cadastros!$L$6:$L$12,Cadastros!$M$6:$M$12)," ")</f>
        <v xml:space="preserve"> </v>
      </c>
      <c r="W1139" s="28"/>
      <c r="X1139" s="28"/>
      <c r="Y1139" s="255" t="str">
        <f>IF(W1139="","",(_xlfn.XLOOKUP(W1139,Cadastros!$D$6:$D$90,Cadastros!$E$6:$E$90))*(1-_xlfn.XLOOKUP(_xlfn.XLOOKUP($F1139,Clientes!$B$4:$B$39,Clientes!$C$4:$C$39),Cadastros!$L$6:$L$12,Cadastros!$N$6:$N$12)))</f>
        <v/>
      </c>
      <c r="Z1139" s="168" t="str">
        <f t="shared" si="225"/>
        <v/>
      </c>
      <c r="AA1139" s="168" t="str">
        <f>IFERROR(Z1139/_xlfn.XLOOKUP(_xlfn.XLOOKUP($F1139,Clientes!$B$4:$B$39,Clientes!$C$4:$C$39),Cadastros!$L$6:$L$12,Cadastros!$M$6:$M$12)," ")</f>
        <v xml:space="preserve"> </v>
      </c>
      <c r="AB1139" s="28"/>
      <c r="AC1139" s="28"/>
      <c r="AD1139" s="20" t="str">
        <f>IF(AB1139="","",IF($F1139="Bernardino Furlan",_xlfn.XLOOKUP(AB1139,Cadastros!$G$6:$G$90,Cadastros!$H$6:$H$90)*(1-0.18),IF($F1139="Mauro José Salanti",_xlfn.XLOOKUP(AB1139,Cadastros!$G$6:$G$90,Cadastros!$H$6:$H$90)*(1-0.18),_xlfn.XLOOKUP(AB1139,Cadastros!$G$6:$G$90,Cadastros!$H$6:$H$90))))</f>
        <v/>
      </c>
      <c r="AE1139" s="168" t="str">
        <f t="shared" si="226"/>
        <v/>
      </c>
      <c r="AF1139" s="168" t="str">
        <f t="shared" si="227"/>
        <v/>
      </c>
      <c r="AG1139" s="28"/>
      <c r="AH1139" s="28"/>
      <c r="AI1139" s="20" t="str">
        <f>IF(AG1139="","",IF($F1139="Bernardino Furlan",_xlfn.XLOOKUP(AG1139,Cadastros!$G$6:$G$90,Cadastros!$H$6:$H$90)*(1-0.18),IF($F1139="Mauro José Salanti",_xlfn.XLOOKUP(AG1139,Cadastros!$G$6:$G$90,Cadastros!$H$6:$H$90)*(1-0.18),_xlfn.XLOOKUP(AG1139,Cadastros!$G$6:$G$90,Cadastros!$H$6:$H$90))))</f>
        <v/>
      </c>
      <c r="AJ1139" s="168" t="str">
        <f t="shared" si="228"/>
        <v/>
      </c>
      <c r="AK1139" s="168" t="str">
        <f t="shared" si="229"/>
        <v/>
      </c>
      <c r="AL1139" s="28"/>
      <c r="AM1139" s="28"/>
      <c r="AN1139" s="20" t="str">
        <f>IF(AL1139="","",IF($F1139="Bernardino Furlan",_xlfn.XLOOKUP(AL1139,Cadastros!$G$6:$G$90,Cadastros!$H$6:$H$90)*(1-0.18),IF($F1139="Mauro José Salanti",_xlfn.XLOOKUP(AL1139,Cadastros!$G$6:$G$90,Cadastros!$H$6:$H$90)*(1-0.18),_xlfn.XLOOKUP(AL1139,Cadastros!$G$6:$G$90,Cadastros!$H$6:$H$90))))</f>
        <v/>
      </c>
      <c r="AO1139" s="168" t="str">
        <f t="shared" si="230"/>
        <v/>
      </c>
      <c r="AP1139" s="168" t="str">
        <f t="shared" si="231"/>
        <v/>
      </c>
      <c r="AQ1139" s="28"/>
      <c r="AR1139" s="28"/>
      <c r="AS1139" s="20" t="str">
        <f>IF(AQ1139="","",IF($F1139="Bernardino Furlan",_xlfn.XLOOKUP(AQ1139,Cadastros!$G$6:$G$90,Cadastros!$H$6:$H$90)*(1-0.18),IF($F1139="Mauro José Salanti",_xlfn.XLOOKUP(AQ1139,Cadastros!$G$6:$G$90,Cadastros!$H$6:$H$90)*(1-0.18),_xlfn.XLOOKUP(AQ1139,Cadastros!$G$6:$G$90,Cadastros!$H$6:$H$90))))</f>
        <v/>
      </c>
      <c r="AT1139" s="168" t="str">
        <f t="shared" si="232"/>
        <v/>
      </c>
      <c r="AU1139" s="168" t="str">
        <f t="shared" si="233"/>
        <v/>
      </c>
      <c r="AV1139" s="227"/>
      <c r="AW1139" s="30"/>
      <c r="AX1139" s="267"/>
      <c r="AY1139" s="267"/>
      <c r="AZ1139" s="29"/>
      <c r="BA1139" s="30"/>
      <c r="BB1139" s="23" t="str" cm="1">
        <f t="array" ref="BB1139">_xlfn.IFS(AW1139="SIM",SUM(K1139,P1139,U1139,Z1139,AE1139,AJ1139,AO1139,AT1139,AX1139,AY1139),F1139&lt;&gt;"",SUM(K1139,P1139,U1139,Z1139,AE1139,AJ1139,,AO1139,AT1139),F1139="","")</f>
        <v/>
      </c>
      <c r="BC1139" s="211" t="str" cm="1">
        <f t="array" ref="BC1139">_xlfn.IFS(E1139="","",G1139&lt;=E1139,BB1139*(1-0.03),G1139&lt;(E1139+8),BB1139,AZ1139="Boleto",BB1139*(1+0.001)^DATEDIF(E1139,G1139,"D"),AZ1139="Cheque",BB1139,AZ1139="Dinheiro","Alterar forma pgto")</f>
        <v/>
      </c>
      <c r="BD1139" s="276" t="str" cm="1">
        <f t="array" ref="BD1139">IF(F1139=0," ",IF(BC1139&lt;BB1139,(_xlfn.IFS(AW1139="SIM",SUM(L1139,Q1139,V1139,AA1139,AF1139,AK1139,AP1139,AU1139)+AX1139/_xlfn.XLOOKUP(_xlfn.XLOOKUP($F1139,Clientes!$B$4:$B$39,Clientes!$C$4:$C$39),Cadastros!$L$6:$L$12,Cadastros!$M$6:$M$12)+IF($F1139="Bernardino Furlan",AY1139/2751.92,IF($F1139="Mauro José Salanti",AY1139/2751.92,AY1139/3356)),F1139&lt;&gt;0,SUM(L1139,Q1139,V1139,AA1139,AF1139,AK1139,AP1139,AU1139)))*(1-0.03),_xlfn.IFS(AW1139="SIM",SUM(L1139,Q1139,V1139,AA1139,AF1139,AK1139,AP1139,AU1139)+AX1139/_xlfn.XLOOKUP(_xlfn.XLOOKUP($F1139,Clientes!$B$4:$B$39,Clientes!$C$4:$C$39),Cadastros!$L$6:$L$12,Cadastros!$M$6:$M$12)+IF($F1139="Bernardino Furlan",AY1139/2751.92,IF($F1139="Mauro José Salanti",AY1139/2751.92,AY1139/3356)),F1139&lt;&gt;0,SUM(L1139,Q1139,V1139,AA1139,AF1139,AK1139,AP1139,AU1139))))</f>
        <v xml:space="preserve"> </v>
      </c>
      <c r="BE1139" s="120"/>
      <c r="BF1139" s="120"/>
      <c r="BG1139" s="120"/>
    </row>
    <row r="1140" spans="1:59" s="3" customFormat="1" x14ac:dyDescent="0.3">
      <c r="A1140" s="15" t="str">
        <f t="shared" si="221"/>
        <v/>
      </c>
      <c r="B1140" s="25"/>
      <c r="C1140" s="26"/>
      <c r="D1140" s="279"/>
      <c r="E1140" s="27"/>
      <c r="F1140" s="28"/>
      <c r="G1140" s="27"/>
      <c r="H1140" s="28"/>
      <c r="I1140" s="28"/>
      <c r="J1140" s="255" t="str">
        <f>IF(H1140="","",(_xlfn.XLOOKUP(H1140,Cadastros!$D$6:$D$90,Cadastros!$E$6:$E$90))*(1-_xlfn.XLOOKUP(_xlfn.XLOOKUP($F1140,Clientes!$B$4:$B$39,Clientes!$C$4:$C$39),Cadastros!$L$6:$L$12,Cadastros!$N$6:$N$12)))</f>
        <v/>
      </c>
      <c r="K1140" s="168" t="str">
        <f t="shared" si="222"/>
        <v/>
      </c>
      <c r="L1140" s="168" t="str">
        <f>IFERROR(K1140/_xlfn.XLOOKUP(_xlfn.XLOOKUP($F1140,Clientes!$B$4:$B$39,Clientes!$C$4:$C$39),Cadastros!$L$6:$L$12,Cadastros!$M$6:$M$12)," ")</f>
        <v xml:space="preserve"> </v>
      </c>
      <c r="M1140" s="28"/>
      <c r="N1140" s="28"/>
      <c r="O1140" s="255" t="str">
        <f>IF(M1140="","",(_xlfn.XLOOKUP(M1140,Cadastros!$D$6:$D$90,Cadastros!$E$6:$E$90))*(1-_xlfn.XLOOKUP(_xlfn.XLOOKUP($F1140,Clientes!$B$4:$B$39,Clientes!$C$4:$C$39),Cadastros!$L$6:$L$12,Cadastros!$N$6:$N$12)))</f>
        <v/>
      </c>
      <c r="P1140" s="168" t="str">
        <f t="shared" si="223"/>
        <v/>
      </c>
      <c r="Q1140" s="168" t="str">
        <f>IFERROR(P1140/_xlfn.XLOOKUP(_xlfn.XLOOKUP($F1140,Clientes!$B$4:$B$39,Clientes!$C$4:$C$39),Cadastros!$L$6:$L$12,Cadastros!$M$6:$M$12)," ")</f>
        <v xml:space="preserve"> </v>
      </c>
      <c r="R1140" s="28"/>
      <c r="S1140" s="28"/>
      <c r="T1140" s="255" t="str">
        <f>IF(R1140="","",(_xlfn.XLOOKUP(R1140,Cadastros!$D$6:$D$90,Cadastros!$E$6:$E$90))*(1-_xlfn.XLOOKUP(_xlfn.XLOOKUP($F1140,Clientes!$B$4:$B$39,Clientes!$C$4:$C$39),Cadastros!$L$6:$L$12,Cadastros!$N$6:$N$12)))</f>
        <v/>
      </c>
      <c r="U1140" s="168" t="str">
        <f t="shared" si="224"/>
        <v/>
      </c>
      <c r="V1140" s="168" t="str">
        <f>IFERROR(U1140/_xlfn.XLOOKUP(_xlfn.XLOOKUP($F1140,Clientes!$B$4:$B$39,Clientes!$C$4:$C$39),Cadastros!$L$6:$L$12,Cadastros!$M$6:$M$12)," ")</f>
        <v xml:space="preserve"> </v>
      </c>
      <c r="W1140" s="28"/>
      <c r="X1140" s="28"/>
      <c r="Y1140" s="255" t="str">
        <f>IF(W1140="","",(_xlfn.XLOOKUP(W1140,Cadastros!$D$6:$D$90,Cadastros!$E$6:$E$90))*(1-_xlfn.XLOOKUP(_xlfn.XLOOKUP($F1140,Clientes!$B$4:$B$39,Clientes!$C$4:$C$39),Cadastros!$L$6:$L$12,Cadastros!$N$6:$N$12)))</f>
        <v/>
      </c>
      <c r="Z1140" s="168" t="str">
        <f t="shared" si="225"/>
        <v/>
      </c>
      <c r="AA1140" s="168" t="str">
        <f>IFERROR(Z1140/_xlfn.XLOOKUP(_xlfn.XLOOKUP($F1140,Clientes!$B$4:$B$39,Clientes!$C$4:$C$39),Cadastros!$L$6:$L$12,Cadastros!$M$6:$M$12)," ")</f>
        <v xml:space="preserve"> </v>
      </c>
      <c r="AB1140" s="28"/>
      <c r="AC1140" s="28"/>
      <c r="AD1140" s="20" t="str">
        <f>IF(AB1140="","",IF($F1140="Bernardino Furlan",_xlfn.XLOOKUP(AB1140,Cadastros!$G$6:$G$90,Cadastros!$H$6:$H$90)*(1-0.18),IF($F1140="Mauro José Salanti",_xlfn.XLOOKUP(AB1140,Cadastros!$G$6:$G$90,Cadastros!$H$6:$H$90)*(1-0.18),_xlfn.XLOOKUP(AB1140,Cadastros!$G$6:$G$90,Cadastros!$H$6:$H$90))))</f>
        <v/>
      </c>
      <c r="AE1140" s="168" t="str">
        <f t="shared" si="226"/>
        <v/>
      </c>
      <c r="AF1140" s="168" t="str">
        <f t="shared" si="227"/>
        <v/>
      </c>
      <c r="AG1140" s="28"/>
      <c r="AH1140" s="28"/>
      <c r="AI1140" s="20" t="str">
        <f>IF(AG1140="","",IF($F1140="Bernardino Furlan",_xlfn.XLOOKUP(AG1140,Cadastros!$G$6:$G$90,Cadastros!$H$6:$H$90)*(1-0.18),IF($F1140="Mauro José Salanti",_xlfn.XLOOKUP(AG1140,Cadastros!$G$6:$G$90,Cadastros!$H$6:$H$90)*(1-0.18),_xlfn.XLOOKUP(AG1140,Cadastros!$G$6:$G$90,Cadastros!$H$6:$H$90))))</f>
        <v/>
      </c>
      <c r="AJ1140" s="168" t="str">
        <f t="shared" si="228"/>
        <v/>
      </c>
      <c r="AK1140" s="168" t="str">
        <f t="shared" si="229"/>
        <v/>
      </c>
      <c r="AL1140" s="28"/>
      <c r="AM1140" s="28"/>
      <c r="AN1140" s="20" t="str">
        <f>IF(AL1140="","",IF($F1140="Bernardino Furlan",_xlfn.XLOOKUP(AL1140,Cadastros!$G$6:$G$90,Cadastros!$H$6:$H$90)*(1-0.18),IF($F1140="Mauro José Salanti",_xlfn.XLOOKUP(AL1140,Cadastros!$G$6:$G$90,Cadastros!$H$6:$H$90)*(1-0.18),_xlfn.XLOOKUP(AL1140,Cadastros!$G$6:$G$90,Cadastros!$H$6:$H$90))))</f>
        <v/>
      </c>
      <c r="AO1140" s="168" t="str">
        <f t="shared" si="230"/>
        <v/>
      </c>
      <c r="AP1140" s="168" t="str">
        <f t="shared" si="231"/>
        <v/>
      </c>
      <c r="AQ1140" s="28"/>
      <c r="AR1140" s="28"/>
      <c r="AS1140" s="20" t="str">
        <f>IF(AQ1140="","",IF($F1140="Bernardino Furlan",_xlfn.XLOOKUP(AQ1140,Cadastros!$G$6:$G$90,Cadastros!$H$6:$H$90)*(1-0.18),IF($F1140="Mauro José Salanti",_xlfn.XLOOKUP(AQ1140,Cadastros!$G$6:$G$90,Cadastros!$H$6:$H$90)*(1-0.18),_xlfn.XLOOKUP(AQ1140,Cadastros!$G$6:$G$90,Cadastros!$H$6:$H$90))))</f>
        <v/>
      </c>
      <c r="AT1140" s="168" t="str">
        <f t="shared" si="232"/>
        <v/>
      </c>
      <c r="AU1140" s="168" t="str">
        <f t="shared" si="233"/>
        <v/>
      </c>
      <c r="AV1140" s="227"/>
      <c r="AW1140" s="30"/>
      <c r="AX1140" s="267"/>
      <c r="AY1140" s="267"/>
      <c r="AZ1140" s="29"/>
      <c r="BA1140" s="30"/>
      <c r="BB1140" s="23" t="str" cm="1">
        <f t="array" ref="BB1140">_xlfn.IFS(AW1140="SIM",SUM(K1140,P1140,U1140,Z1140,AE1140,AJ1140,AO1140,AT1140,AX1140,AY1140),F1140&lt;&gt;"",SUM(K1140,P1140,U1140,Z1140,AE1140,AJ1140,,AO1140,AT1140),F1140="","")</f>
        <v/>
      </c>
      <c r="BC1140" s="211" t="str" cm="1">
        <f t="array" ref="BC1140">_xlfn.IFS(E1140="","",G1140&lt;=E1140,BB1140*(1-0.03),G1140&lt;(E1140+8),BB1140,AZ1140="Boleto",BB1140*(1+0.001)^DATEDIF(E1140,G1140,"D"),AZ1140="Cheque",BB1140,AZ1140="Dinheiro","Alterar forma pgto")</f>
        <v/>
      </c>
      <c r="BD1140" s="276" t="str" cm="1">
        <f t="array" ref="BD1140">IF(F1140=0," ",IF(BC1140&lt;BB1140,(_xlfn.IFS(AW1140="SIM",SUM(L1140,Q1140,V1140,AA1140,AF1140,AK1140,AP1140,AU1140)+AX1140/_xlfn.XLOOKUP(_xlfn.XLOOKUP($F1140,Clientes!$B$4:$B$39,Clientes!$C$4:$C$39),Cadastros!$L$6:$L$12,Cadastros!$M$6:$M$12)+IF($F1140="Bernardino Furlan",AY1140/2751.92,IF($F1140="Mauro José Salanti",AY1140/2751.92,AY1140/3356)),F1140&lt;&gt;0,SUM(L1140,Q1140,V1140,AA1140,AF1140,AK1140,AP1140,AU1140)))*(1-0.03),_xlfn.IFS(AW1140="SIM",SUM(L1140,Q1140,V1140,AA1140,AF1140,AK1140,AP1140,AU1140)+AX1140/_xlfn.XLOOKUP(_xlfn.XLOOKUP($F1140,Clientes!$B$4:$B$39,Clientes!$C$4:$C$39),Cadastros!$L$6:$L$12,Cadastros!$M$6:$M$12)+IF($F1140="Bernardino Furlan",AY1140/2751.92,IF($F1140="Mauro José Salanti",AY1140/2751.92,AY1140/3356)),F1140&lt;&gt;0,SUM(L1140,Q1140,V1140,AA1140,AF1140,AK1140,AP1140,AU1140))))</f>
        <v xml:space="preserve"> </v>
      </c>
      <c r="BE1140" s="120"/>
      <c r="BF1140" s="120"/>
      <c r="BG1140" s="120"/>
    </row>
    <row r="1141" spans="1:59" s="3" customFormat="1" x14ac:dyDescent="0.3">
      <c r="A1141" s="15" t="str">
        <f t="shared" si="221"/>
        <v/>
      </c>
      <c r="B1141" s="25"/>
      <c r="C1141" s="26"/>
      <c r="D1141" s="279"/>
      <c r="E1141" s="27"/>
      <c r="F1141" s="28"/>
      <c r="G1141" s="27"/>
      <c r="H1141" s="28"/>
      <c r="I1141" s="28"/>
      <c r="J1141" s="255" t="str">
        <f>IF(H1141="","",(_xlfn.XLOOKUP(H1141,Cadastros!$D$6:$D$90,Cadastros!$E$6:$E$90))*(1-_xlfn.XLOOKUP(_xlfn.XLOOKUP($F1141,Clientes!$B$4:$B$39,Clientes!$C$4:$C$39),Cadastros!$L$6:$L$12,Cadastros!$N$6:$N$12)))</f>
        <v/>
      </c>
      <c r="K1141" s="168" t="str">
        <f t="shared" si="222"/>
        <v/>
      </c>
      <c r="L1141" s="168" t="str">
        <f>IFERROR(K1141/_xlfn.XLOOKUP(_xlfn.XLOOKUP($F1141,Clientes!$B$4:$B$39,Clientes!$C$4:$C$39),Cadastros!$L$6:$L$12,Cadastros!$M$6:$M$12)," ")</f>
        <v xml:space="preserve"> </v>
      </c>
      <c r="M1141" s="28"/>
      <c r="N1141" s="28"/>
      <c r="O1141" s="255" t="str">
        <f>IF(M1141="","",(_xlfn.XLOOKUP(M1141,Cadastros!$D$6:$D$90,Cadastros!$E$6:$E$90))*(1-_xlfn.XLOOKUP(_xlfn.XLOOKUP($F1141,Clientes!$B$4:$B$39,Clientes!$C$4:$C$39),Cadastros!$L$6:$L$12,Cadastros!$N$6:$N$12)))</f>
        <v/>
      </c>
      <c r="P1141" s="168" t="str">
        <f t="shared" si="223"/>
        <v/>
      </c>
      <c r="Q1141" s="168" t="str">
        <f>IFERROR(P1141/_xlfn.XLOOKUP(_xlfn.XLOOKUP($F1141,Clientes!$B$4:$B$39,Clientes!$C$4:$C$39),Cadastros!$L$6:$L$12,Cadastros!$M$6:$M$12)," ")</f>
        <v xml:space="preserve"> </v>
      </c>
      <c r="R1141" s="28"/>
      <c r="S1141" s="28"/>
      <c r="T1141" s="255" t="str">
        <f>IF(R1141="","",(_xlfn.XLOOKUP(R1141,Cadastros!$D$6:$D$90,Cadastros!$E$6:$E$90))*(1-_xlfn.XLOOKUP(_xlfn.XLOOKUP($F1141,Clientes!$B$4:$B$39,Clientes!$C$4:$C$39),Cadastros!$L$6:$L$12,Cadastros!$N$6:$N$12)))</f>
        <v/>
      </c>
      <c r="U1141" s="168" t="str">
        <f t="shared" si="224"/>
        <v/>
      </c>
      <c r="V1141" s="168" t="str">
        <f>IFERROR(U1141/_xlfn.XLOOKUP(_xlfn.XLOOKUP($F1141,Clientes!$B$4:$B$39,Clientes!$C$4:$C$39),Cadastros!$L$6:$L$12,Cadastros!$M$6:$M$12)," ")</f>
        <v xml:space="preserve"> </v>
      </c>
      <c r="W1141" s="28"/>
      <c r="X1141" s="28"/>
      <c r="Y1141" s="255" t="str">
        <f>IF(W1141="","",(_xlfn.XLOOKUP(W1141,Cadastros!$D$6:$D$90,Cadastros!$E$6:$E$90))*(1-_xlfn.XLOOKUP(_xlfn.XLOOKUP($F1141,Clientes!$B$4:$B$39,Clientes!$C$4:$C$39),Cadastros!$L$6:$L$12,Cadastros!$N$6:$N$12)))</f>
        <v/>
      </c>
      <c r="Z1141" s="168" t="str">
        <f t="shared" si="225"/>
        <v/>
      </c>
      <c r="AA1141" s="168" t="str">
        <f>IFERROR(Z1141/_xlfn.XLOOKUP(_xlfn.XLOOKUP($F1141,Clientes!$B$4:$B$39,Clientes!$C$4:$C$39),Cadastros!$L$6:$L$12,Cadastros!$M$6:$M$12)," ")</f>
        <v xml:space="preserve"> </v>
      </c>
      <c r="AB1141" s="28"/>
      <c r="AC1141" s="28"/>
      <c r="AD1141" s="20" t="str">
        <f>IF(AB1141="","",IF($F1141="Bernardino Furlan",_xlfn.XLOOKUP(AB1141,Cadastros!$G$6:$G$90,Cadastros!$H$6:$H$90)*(1-0.18),IF($F1141="Mauro José Salanti",_xlfn.XLOOKUP(AB1141,Cadastros!$G$6:$G$90,Cadastros!$H$6:$H$90)*(1-0.18),_xlfn.XLOOKUP(AB1141,Cadastros!$G$6:$G$90,Cadastros!$H$6:$H$90))))</f>
        <v/>
      </c>
      <c r="AE1141" s="168" t="str">
        <f t="shared" si="226"/>
        <v/>
      </c>
      <c r="AF1141" s="168" t="str">
        <f t="shared" si="227"/>
        <v/>
      </c>
      <c r="AG1141" s="28"/>
      <c r="AH1141" s="28"/>
      <c r="AI1141" s="20" t="str">
        <f>IF(AG1141="","",IF($F1141="Bernardino Furlan",_xlfn.XLOOKUP(AG1141,Cadastros!$G$6:$G$90,Cadastros!$H$6:$H$90)*(1-0.18),IF($F1141="Mauro José Salanti",_xlfn.XLOOKUP(AG1141,Cadastros!$G$6:$G$90,Cadastros!$H$6:$H$90)*(1-0.18),_xlfn.XLOOKUP(AG1141,Cadastros!$G$6:$G$90,Cadastros!$H$6:$H$90))))</f>
        <v/>
      </c>
      <c r="AJ1141" s="168" t="str">
        <f t="shared" si="228"/>
        <v/>
      </c>
      <c r="AK1141" s="168" t="str">
        <f t="shared" si="229"/>
        <v/>
      </c>
      <c r="AL1141" s="28"/>
      <c r="AM1141" s="28"/>
      <c r="AN1141" s="20" t="str">
        <f>IF(AL1141="","",IF($F1141="Bernardino Furlan",_xlfn.XLOOKUP(AL1141,Cadastros!$G$6:$G$90,Cadastros!$H$6:$H$90)*(1-0.18),IF($F1141="Mauro José Salanti",_xlfn.XLOOKUP(AL1141,Cadastros!$G$6:$G$90,Cadastros!$H$6:$H$90)*(1-0.18),_xlfn.XLOOKUP(AL1141,Cadastros!$G$6:$G$90,Cadastros!$H$6:$H$90))))</f>
        <v/>
      </c>
      <c r="AO1141" s="168" t="str">
        <f t="shared" si="230"/>
        <v/>
      </c>
      <c r="AP1141" s="168" t="str">
        <f t="shared" si="231"/>
        <v/>
      </c>
      <c r="AQ1141" s="28"/>
      <c r="AR1141" s="28"/>
      <c r="AS1141" s="20" t="str">
        <f>IF(AQ1141="","",IF($F1141="Bernardino Furlan",_xlfn.XLOOKUP(AQ1141,Cadastros!$G$6:$G$90,Cadastros!$H$6:$H$90)*(1-0.18),IF($F1141="Mauro José Salanti",_xlfn.XLOOKUP(AQ1141,Cadastros!$G$6:$G$90,Cadastros!$H$6:$H$90)*(1-0.18),_xlfn.XLOOKUP(AQ1141,Cadastros!$G$6:$G$90,Cadastros!$H$6:$H$90))))</f>
        <v/>
      </c>
      <c r="AT1141" s="168" t="str">
        <f t="shared" si="232"/>
        <v/>
      </c>
      <c r="AU1141" s="168" t="str">
        <f t="shared" si="233"/>
        <v/>
      </c>
      <c r="AV1141" s="227"/>
      <c r="AW1141" s="30"/>
      <c r="AX1141" s="267"/>
      <c r="AY1141" s="267"/>
      <c r="AZ1141" s="29"/>
      <c r="BA1141" s="30"/>
      <c r="BB1141" s="23" t="str" cm="1">
        <f t="array" ref="BB1141">_xlfn.IFS(AW1141="SIM",SUM(K1141,P1141,U1141,Z1141,AE1141,AJ1141,AO1141,AT1141,AX1141,AY1141),F1141&lt;&gt;"",SUM(K1141,P1141,U1141,Z1141,AE1141,AJ1141,,AO1141,AT1141),F1141="","")</f>
        <v/>
      </c>
      <c r="BC1141" s="211" t="str" cm="1">
        <f t="array" ref="BC1141">_xlfn.IFS(E1141="","",G1141&lt;=E1141,BB1141*(1-0.03),G1141&lt;(E1141+8),BB1141,AZ1141="Boleto",BB1141*(1+0.001)^DATEDIF(E1141,G1141,"D"),AZ1141="Cheque",BB1141,AZ1141="Dinheiro","Alterar forma pgto")</f>
        <v/>
      </c>
      <c r="BD1141" s="276" t="str" cm="1">
        <f t="array" ref="BD1141">IF(F1141=0," ",IF(BC1141&lt;BB1141,(_xlfn.IFS(AW1141="SIM",SUM(L1141,Q1141,V1141,AA1141,AF1141,AK1141,AP1141,AU1141)+AX1141/_xlfn.XLOOKUP(_xlfn.XLOOKUP($F1141,Clientes!$B$4:$B$39,Clientes!$C$4:$C$39),Cadastros!$L$6:$L$12,Cadastros!$M$6:$M$12)+IF($F1141="Bernardino Furlan",AY1141/2751.92,IF($F1141="Mauro José Salanti",AY1141/2751.92,AY1141/3356)),F1141&lt;&gt;0,SUM(L1141,Q1141,V1141,AA1141,AF1141,AK1141,AP1141,AU1141)))*(1-0.03),_xlfn.IFS(AW1141="SIM",SUM(L1141,Q1141,V1141,AA1141,AF1141,AK1141,AP1141,AU1141)+AX1141/_xlfn.XLOOKUP(_xlfn.XLOOKUP($F1141,Clientes!$B$4:$B$39,Clientes!$C$4:$C$39),Cadastros!$L$6:$L$12,Cadastros!$M$6:$M$12)+IF($F1141="Bernardino Furlan",AY1141/2751.92,IF($F1141="Mauro José Salanti",AY1141/2751.92,AY1141/3356)),F1141&lt;&gt;0,SUM(L1141,Q1141,V1141,AA1141,AF1141,AK1141,AP1141,AU1141))))</f>
        <v xml:space="preserve"> </v>
      </c>
      <c r="BE1141" s="120"/>
      <c r="BF1141" s="120"/>
      <c r="BG1141" s="120"/>
    </row>
    <row r="1142" spans="1:59" s="3" customFormat="1" x14ac:dyDescent="0.3">
      <c r="A1142" s="15" t="str">
        <f t="shared" si="221"/>
        <v/>
      </c>
      <c r="B1142" s="25"/>
      <c r="C1142" s="26"/>
      <c r="D1142" s="279"/>
      <c r="E1142" s="27"/>
      <c r="F1142" s="28"/>
      <c r="G1142" s="27"/>
      <c r="H1142" s="28"/>
      <c r="I1142" s="28"/>
      <c r="J1142" s="255" t="str">
        <f>IF(H1142="","",(_xlfn.XLOOKUP(H1142,Cadastros!$D$6:$D$90,Cadastros!$E$6:$E$90))*(1-_xlfn.XLOOKUP(_xlfn.XLOOKUP($F1142,Clientes!$B$4:$B$39,Clientes!$C$4:$C$39),Cadastros!$L$6:$L$12,Cadastros!$N$6:$N$12)))</f>
        <v/>
      </c>
      <c r="K1142" s="168" t="str">
        <f t="shared" si="222"/>
        <v/>
      </c>
      <c r="L1142" s="168" t="str">
        <f>IFERROR(K1142/_xlfn.XLOOKUP(_xlfn.XLOOKUP($F1142,Clientes!$B$4:$B$39,Clientes!$C$4:$C$39),Cadastros!$L$6:$L$12,Cadastros!$M$6:$M$12)," ")</f>
        <v xml:space="preserve"> </v>
      </c>
      <c r="M1142" s="28"/>
      <c r="N1142" s="28"/>
      <c r="O1142" s="255" t="str">
        <f>IF(M1142="","",(_xlfn.XLOOKUP(M1142,Cadastros!$D$6:$D$90,Cadastros!$E$6:$E$90))*(1-_xlfn.XLOOKUP(_xlfn.XLOOKUP($F1142,Clientes!$B$4:$B$39,Clientes!$C$4:$C$39),Cadastros!$L$6:$L$12,Cadastros!$N$6:$N$12)))</f>
        <v/>
      </c>
      <c r="P1142" s="168" t="str">
        <f t="shared" si="223"/>
        <v/>
      </c>
      <c r="Q1142" s="168" t="str">
        <f>IFERROR(P1142/_xlfn.XLOOKUP(_xlfn.XLOOKUP($F1142,Clientes!$B$4:$B$39,Clientes!$C$4:$C$39),Cadastros!$L$6:$L$12,Cadastros!$M$6:$M$12)," ")</f>
        <v xml:space="preserve"> </v>
      </c>
      <c r="R1142" s="28"/>
      <c r="S1142" s="28"/>
      <c r="T1142" s="255" t="str">
        <f>IF(R1142="","",(_xlfn.XLOOKUP(R1142,Cadastros!$D$6:$D$90,Cadastros!$E$6:$E$90))*(1-_xlfn.XLOOKUP(_xlfn.XLOOKUP($F1142,Clientes!$B$4:$B$39,Clientes!$C$4:$C$39),Cadastros!$L$6:$L$12,Cadastros!$N$6:$N$12)))</f>
        <v/>
      </c>
      <c r="U1142" s="168" t="str">
        <f t="shared" si="224"/>
        <v/>
      </c>
      <c r="V1142" s="168" t="str">
        <f>IFERROR(U1142/_xlfn.XLOOKUP(_xlfn.XLOOKUP($F1142,Clientes!$B$4:$B$39,Clientes!$C$4:$C$39),Cadastros!$L$6:$L$12,Cadastros!$M$6:$M$12)," ")</f>
        <v xml:space="preserve"> </v>
      </c>
      <c r="W1142" s="28"/>
      <c r="X1142" s="28"/>
      <c r="Y1142" s="255" t="str">
        <f>IF(W1142="","",(_xlfn.XLOOKUP(W1142,Cadastros!$D$6:$D$90,Cadastros!$E$6:$E$90))*(1-_xlfn.XLOOKUP(_xlfn.XLOOKUP($F1142,Clientes!$B$4:$B$39,Clientes!$C$4:$C$39),Cadastros!$L$6:$L$12,Cadastros!$N$6:$N$12)))</f>
        <v/>
      </c>
      <c r="Z1142" s="168" t="str">
        <f t="shared" si="225"/>
        <v/>
      </c>
      <c r="AA1142" s="168" t="str">
        <f>IFERROR(Z1142/_xlfn.XLOOKUP(_xlfn.XLOOKUP($F1142,Clientes!$B$4:$B$39,Clientes!$C$4:$C$39),Cadastros!$L$6:$L$12,Cadastros!$M$6:$M$12)," ")</f>
        <v xml:space="preserve"> </v>
      </c>
      <c r="AB1142" s="28"/>
      <c r="AC1142" s="28"/>
      <c r="AD1142" s="20" t="str">
        <f>IF(AB1142="","",IF($F1142="Bernardino Furlan",_xlfn.XLOOKUP(AB1142,Cadastros!$G$6:$G$90,Cadastros!$H$6:$H$90)*(1-0.18),IF($F1142="Mauro José Salanti",_xlfn.XLOOKUP(AB1142,Cadastros!$G$6:$G$90,Cadastros!$H$6:$H$90)*(1-0.18),_xlfn.XLOOKUP(AB1142,Cadastros!$G$6:$G$90,Cadastros!$H$6:$H$90))))</f>
        <v/>
      </c>
      <c r="AE1142" s="168" t="str">
        <f t="shared" si="226"/>
        <v/>
      </c>
      <c r="AF1142" s="168" t="str">
        <f t="shared" si="227"/>
        <v/>
      </c>
      <c r="AG1142" s="28"/>
      <c r="AH1142" s="28"/>
      <c r="AI1142" s="20" t="str">
        <f>IF(AG1142="","",IF($F1142="Bernardino Furlan",_xlfn.XLOOKUP(AG1142,Cadastros!$G$6:$G$90,Cadastros!$H$6:$H$90)*(1-0.18),IF($F1142="Mauro José Salanti",_xlfn.XLOOKUP(AG1142,Cadastros!$G$6:$G$90,Cadastros!$H$6:$H$90)*(1-0.18),_xlfn.XLOOKUP(AG1142,Cadastros!$G$6:$G$90,Cadastros!$H$6:$H$90))))</f>
        <v/>
      </c>
      <c r="AJ1142" s="168" t="str">
        <f t="shared" si="228"/>
        <v/>
      </c>
      <c r="AK1142" s="168" t="str">
        <f t="shared" si="229"/>
        <v/>
      </c>
      <c r="AL1142" s="28"/>
      <c r="AM1142" s="28"/>
      <c r="AN1142" s="20" t="str">
        <f>IF(AL1142="","",IF($F1142="Bernardino Furlan",_xlfn.XLOOKUP(AL1142,Cadastros!$G$6:$G$90,Cadastros!$H$6:$H$90)*(1-0.18),IF($F1142="Mauro José Salanti",_xlfn.XLOOKUP(AL1142,Cadastros!$G$6:$G$90,Cadastros!$H$6:$H$90)*(1-0.18),_xlfn.XLOOKUP(AL1142,Cadastros!$G$6:$G$90,Cadastros!$H$6:$H$90))))</f>
        <v/>
      </c>
      <c r="AO1142" s="168" t="str">
        <f t="shared" si="230"/>
        <v/>
      </c>
      <c r="AP1142" s="168" t="str">
        <f t="shared" si="231"/>
        <v/>
      </c>
      <c r="AQ1142" s="28"/>
      <c r="AR1142" s="28"/>
      <c r="AS1142" s="20" t="str">
        <f>IF(AQ1142="","",IF($F1142="Bernardino Furlan",_xlfn.XLOOKUP(AQ1142,Cadastros!$G$6:$G$90,Cadastros!$H$6:$H$90)*(1-0.18),IF($F1142="Mauro José Salanti",_xlfn.XLOOKUP(AQ1142,Cadastros!$G$6:$G$90,Cadastros!$H$6:$H$90)*(1-0.18),_xlfn.XLOOKUP(AQ1142,Cadastros!$G$6:$G$90,Cadastros!$H$6:$H$90))))</f>
        <v/>
      </c>
      <c r="AT1142" s="168" t="str">
        <f t="shared" si="232"/>
        <v/>
      </c>
      <c r="AU1142" s="168" t="str">
        <f t="shared" si="233"/>
        <v/>
      </c>
      <c r="AV1142" s="227"/>
      <c r="AW1142" s="30"/>
      <c r="AX1142" s="267"/>
      <c r="AY1142" s="267"/>
      <c r="AZ1142" s="29"/>
      <c r="BA1142" s="30"/>
      <c r="BB1142" s="23" t="str" cm="1">
        <f t="array" ref="BB1142">_xlfn.IFS(AW1142="SIM",SUM(K1142,P1142,U1142,Z1142,AE1142,AJ1142,AO1142,AT1142,AX1142,AY1142),F1142&lt;&gt;"",SUM(K1142,P1142,U1142,Z1142,AE1142,AJ1142,,AO1142,AT1142),F1142="","")</f>
        <v/>
      </c>
      <c r="BC1142" s="211" t="str" cm="1">
        <f t="array" ref="BC1142">_xlfn.IFS(E1142="","",G1142&lt;=E1142,BB1142*(1-0.03),G1142&lt;(E1142+8),BB1142,AZ1142="Boleto",BB1142*(1+0.001)^DATEDIF(E1142,G1142,"D"),AZ1142="Cheque",BB1142,AZ1142="Dinheiro","Alterar forma pgto")</f>
        <v/>
      </c>
      <c r="BD1142" s="276" t="str" cm="1">
        <f t="array" ref="BD1142">IF(F1142=0," ",IF(BC1142&lt;BB1142,(_xlfn.IFS(AW1142="SIM",SUM(L1142,Q1142,V1142,AA1142,AF1142,AK1142,AP1142,AU1142)+AX1142/_xlfn.XLOOKUP(_xlfn.XLOOKUP($F1142,Clientes!$B$4:$B$39,Clientes!$C$4:$C$39),Cadastros!$L$6:$L$12,Cadastros!$M$6:$M$12)+IF($F1142="Bernardino Furlan",AY1142/2751.92,IF($F1142="Mauro José Salanti",AY1142/2751.92,AY1142/3356)),F1142&lt;&gt;0,SUM(L1142,Q1142,V1142,AA1142,AF1142,AK1142,AP1142,AU1142)))*(1-0.03),_xlfn.IFS(AW1142="SIM",SUM(L1142,Q1142,V1142,AA1142,AF1142,AK1142,AP1142,AU1142)+AX1142/_xlfn.XLOOKUP(_xlfn.XLOOKUP($F1142,Clientes!$B$4:$B$39,Clientes!$C$4:$C$39),Cadastros!$L$6:$L$12,Cadastros!$M$6:$M$12)+IF($F1142="Bernardino Furlan",AY1142/2751.92,IF($F1142="Mauro José Salanti",AY1142/2751.92,AY1142/3356)),F1142&lt;&gt;0,SUM(L1142,Q1142,V1142,AA1142,AF1142,AK1142,AP1142,AU1142))))</f>
        <v xml:space="preserve"> </v>
      </c>
      <c r="BE1142" s="120"/>
      <c r="BF1142" s="120"/>
      <c r="BG1142" s="120"/>
    </row>
    <row r="1143" spans="1:59" s="3" customFormat="1" x14ac:dyDescent="0.3">
      <c r="A1143" s="15" t="str">
        <f t="shared" si="221"/>
        <v/>
      </c>
      <c r="B1143" s="25"/>
      <c r="C1143" s="26"/>
      <c r="D1143" s="279"/>
      <c r="E1143" s="27"/>
      <c r="F1143" s="28"/>
      <c r="G1143" s="27"/>
      <c r="H1143" s="28"/>
      <c r="I1143" s="28"/>
      <c r="J1143" s="255" t="str">
        <f>IF(H1143="","",(_xlfn.XLOOKUP(H1143,Cadastros!$D$6:$D$90,Cadastros!$E$6:$E$90))*(1-_xlfn.XLOOKUP(_xlfn.XLOOKUP($F1143,Clientes!$B$4:$B$39,Clientes!$C$4:$C$39),Cadastros!$L$6:$L$12,Cadastros!$N$6:$N$12)))</f>
        <v/>
      </c>
      <c r="K1143" s="168" t="str">
        <f t="shared" si="222"/>
        <v/>
      </c>
      <c r="L1143" s="168" t="str">
        <f>IFERROR(K1143/_xlfn.XLOOKUP(_xlfn.XLOOKUP($F1143,Clientes!$B$4:$B$39,Clientes!$C$4:$C$39),Cadastros!$L$6:$L$12,Cadastros!$M$6:$M$12)," ")</f>
        <v xml:space="preserve"> </v>
      </c>
      <c r="M1143" s="28"/>
      <c r="N1143" s="28"/>
      <c r="O1143" s="255" t="str">
        <f>IF(M1143="","",(_xlfn.XLOOKUP(M1143,Cadastros!$D$6:$D$90,Cadastros!$E$6:$E$90))*(1-_xlfn.XLOOKUP(_xlfn.XLOOKUP($F1143,Clientes!$B$4:$B$39,Clientes!$C$4:$C$39),Cadastros!$L$6:$L$12,Cadastros!$N$6:$N$12)))</f>
        <v/>
      </c>
      <c r="P1143" s="168" t="str">
        <f t="shared" si="223"/>
        <v/>
      </c>
      <c r="Q1143" s="168" t="str">
        <f>IFERROR(P1143/_xlfn.XLOOKUP(_xlfn.XLOOKUP($F1143,Clientes!$B$4:$B$39,Clientes!$C$4:$C$39),Cadastros!$L$6:$L$12,Cadastros!$M$6:$M$12)," ")</f>
        <v xml:space="preserve"> </v>
      </c>
      <c r="R1143" s="28"/>
      <c r="S1143" s="28"/>
      <c r="T1143" s="255" t="str">
        <f>IF(R1143="","",(_xlfn.XLOOKUP(R1143,Cadastros!$D$6:$D$90,Cadastros!$E$6:$E$90))*(1-_xlfn.XLOOKUP(_xlfn.XLOOKUP($F1143,Clientes!$B$4:$B$39,Clientes!$C$4:$C$39),Cadastros!$L$6:$L$12,Cadastros!$N$6:$N$12)))</f>
        <v/>
      </c>
      <c r="U1143" s="168" t="str">
        <f t="shared" si="224"/>
        <v/>
      </c>
      <c r="V1143" s="168" t="str">
        <f>IFERROR(U1143/_xlfn.XLOOKUP(_xlfn.XLOOKUP($F1143,Clientes!$B$4:$B$39,Clientes!$C$4:$C$39),Cadastros!$L$6:$L$12,Cadastros!$M$6:$M$12)," ")</f>
        <v xml:space="preserve"> </v>
      </c>
      <c r="W1143" s="28"/>
      <c r="X1143" s="28"/>
      <c r="Y1143" s="255" t="str">
        <f>IF(W1143="","",(_xlfn.XLOOKUP(W1143,Cadastros!$D$6:$D$90,Cadastros!$E$6:$E$90))*(1-_xlfn.XLOOKUP(_xlfn.XLOOKUP($F1143,Clientes!$B$4:$B$39,Clientes!$C$4:$C$39),Cadastros!$L$6:$L$12,Cadastros!$N$6:$N$12)))</f>
        <v/>
      </c>
      <c r="Z1143" s="168" t="str">
        <f t="shared" si="225"/>
        <v/>
      </c>
      <c r="AA1143" s="168" t="str">
        <f>IFERROR(Z1143/_xlfn.XLOOKUP(_xlfn.XLOOKUP($F1143,Clientes!$B$4:$B$39,Clientes!$C$4:$C$39),Cadastros!$L$6:$L$12,Cadastros!$M$6:$M$12)," ")</f>
        <v xml:space="preserve"> </v>
      </c>
      <c r="AB1143" s="28"/>
      <c r="AC1143" s="28"/>
      <c r="AD1143" s="20" t="str">
        <f>IF(AB1143="","",IF($F1143="Bernardino Furlan",_xlfn.XLOOKUP(AB1143,Cadastros!$G$6:$G$90,Cadastros!$H$6:$H$90)*(1-0.18),IF($F1143="Mauro José Salanti",_xlfn.XLOOKUP(AB1143,Cadastros!$G$6:$G$90,Cadastros!$H$6:$H$90)*(1-0.18),_xlfn.XLOOKUP(AB1143,Cadastros!$G$6:$G$90,Cadastros!$H$6:$H$90))))</f>
        <v/>
      </c>
      <c r="AE1143" s="168" t="str">
        <f t="shared" si="226"/>
        <v/>
      </c>
      <c r="AF1143" s="168" t="str">
        <f t="shared" si="227"/>
        <v/>
      </c>
      <c r="AG1143" s="28"/>
      <c r="AH1143" s="28"/>
      <c r="AI1143" s="20" t="str">
        <f>IF(AG1143="","",IF($F1143="Bernardino Furlan",_xlfn.XLOOKUP(AG1143,Cadastros!$G$6:$G$90,Cadastros!$H$6:$H$90)*(1-0.18),IF($F1143="Mauro José Salanti",_xlfn.XLOOKUP(AG1143,Cadastros!$G$6:$G$90,Cadastros!$H$6:$H$90)*(1-0.18),_xlfn.XLOOKUP(AG1143,Cadastros!$G$6:$G$90,Cadastros!$H$6:$H$90))))</f>
        <v/>
      </c>
      <c r="AJ1143" s="168" t="str">
        <f t="shared" si="228"/>
        <v/>
      </c>
      <c r="AK1143" s="168" t="str">
        <f t="shared" si="229"/>
        <v/>
      </c>
      <c r="AL1143" s="28"/>
      <c r="AM1143" s="28"/>
      <c r="AN1143" s="20" t="str">
        <f>IF(AL1143="","",IF($F1143="Bernardino Furlan",_xlfn.XLOOKUP(AL1143,Cadastros!$G$6:$G$90,Cadastros!$H$6:$H$90)*(1-0.18),IF($F1143="Mauro José Salanti",_xlfn.XLOOKUP(AL1143,Cadastros!$G$6:$G$90,Cadastros!$H$6:$H$90)*(1-0.18),_xlfn.XLOOKUP(AL1143,Cadastros!$G$6:$G$90,Cadastros!$H$6:$H$90))))</f>
        <v/>
      </c>
      <c r="AO1143" s="168" t="str">
        <f t="shared" si="230"/>
        <v/>
      </c>
      <c r="AP1143" s="168" t="str">
        <f t="shared" si="231"/>
        <v/>
      </c>
      <c r="AQ1143" s="28"/>
      <c r="AR1143" s="28"/>
      <c r="AS1143" s="20" t="str">
        <f>IF(AQ1143="","",IF($F1143="Bernardino Furlan",_xlfn.XLOOKUP(AQ1143,Cadastros!$G$6:$G$90,Cadastros!$H$6:$H$90)*(1-0.18),IF($F1143="Mauro José Salanti",_xlfn.XLOOKUP(AQ1143,Cadastros!$G$6:$G$90,Cadastros!$H$6:$H$90)*(1-0.18),_xlfn.XLOOKUP(AQ1143,Cadastros!$G$6:$G$90,Cadastros!$H$6:$H$90))))</f>
        <v/>
      </c>
      <c r="AT1143" s="168" t="str">
        <f t="shared" si="232"/>
        <v/>
      </c>
      <c r="AU1143" s="168" t="str">
        <f t="shared" si="233"/>
        <v/>
      </c>
      <c r="AV1143" s="227"/>
      <c r="AW1143" s="30"/>
      <c r="AX1143" s="267"/>
      <c r="AY1143" s="267"/>
      <c r="AZ1143" s="29"/>
      <c r="BA1143" s="30"/>
      <c r="BB1143" s="23" t="str" cm="1">
        <f t="array" ref="BB1143">_xlfn.IFS(AW1143="SIM",SUM(K1143,P1143,U1143,Z1143,AE1143,AJ1143,AO1143,AT1143,AX1143,AY1143),F1143&lt;&gt;"",SUM(K1143,P1143,U1143,Z1143,AE1143,AJ1143,,AO1143,AT1143),F1143="","")</f>
        <v/>
      </c>
      <c r="BC1143" s="211" t="str" cm="1">
        <f t="array" ref="BC1143">_xlfn.IFS(E1143="","",G1143&lt;=E1143,BB1143*(1-0.03),G1143&lt;(E1143+8),BB1143,AZ1143="Boleto",BB1143*(1+0.001)^DATEDIF(E1143,G1143,"D"),AZ1143="Cheque",BB1143,AZ1143="Dinheiro","Alterar forma pgto")</f>
        <v/>
      </c>
      <c r="BD1143" s="276" t="str" cm="1">
        <f t="array" ref="BD1143">IF(F1143=0," ",IF(BC1143&lt;BB1143,(_xlfn.IFS(AW1143="SIM",SUM(L1143,Q1143,V1143,AA1143,AF1143,AK1143,AP1143,AU1143)+AX1143/_xlfn.XLOOKUP(_xlfn.XLOOKUP($F1143,Clientes!$B$4:$B$39,Clientes!$C$4:$C$39),Cadastros!$L$6:$L$12,Cadastros!$M$6:$M$12)+IF($F1143="Bernardino Furlan",AY1143/2751.92,IF($F1143="Mauro José Salanti",AY1143/2751.92,AY1143/3356)),F1143&lt;&gt;0,SUM(L1143,Q1143,V1143,AA1143,AF1143,AK1143,AP1143,AU1143)))*(1-0.03),_xlfn.IFS(AW1143="SIM",SUM(L1143,Q1143,V1143,AA1143,AF1143,AK1143,AP1143,AU1143)+AX1143/_xlfn.XLOOKUP(_xlfn.XLOOKUP($F1143,Clientes!$B$4:$B$39,Clientes!$C$4:$C$39),Cadastros!$L$6:$L$12,Cadastros!$M$6:$M$12)+IF($F1143="Bernardino Furlan",AY1143/2751.92,IF($F1143="Mauro José Salanti",AY1143/2751.92,AY1143/3356)),F1143&lt;&gt;0,SUM(L1143,Q1143,V1143,AA1143,AF1143,AK1143,AP1143,AU1143))))</f>
        <v xml:space="preserve"> </v>
      </c>
      <c r="BE1143" s="120"/>
      <c r="BF1143" s="120"/>
      <c r="BG1143" s="120"/>
    </row>
    <row r="1144" spans="1:59" s="3" customFormat="1" x14ac:dyDescent="0.3">
      <c r="A1144" s="15" t="str">
        <f t="shared" si="221"/>
        <v/>
      </c>
      <c r="B1144" s="25"/>
      <c r="C1144" s="26"/>
      <c r="D1144" s="279"/>
      <c r="E1144" s="27"/>
      <c r="F1144" s="28"/>
      <c r="G1144" s="27"/>
      <c r="H1144" s="28"/>
      <c r="I1144" s="28"/>
      <c r="J1144" s="255" t="str">
        <f>IF(H1144="","",(_xlfn.XLOOKUP(H1144,Cadastros!$D$6:$D$90,Cadastros!$E$6:$E$90))*(1-_xlfn.XLOOKUP(_xlfn.XLOOKUP($F1144,Clientes!$B$4:$B$39,Clientes!$C$4:$C$39),Cadastros!$L$6:$L$12,Cadastros!$N$6:$N$12)))</f>
        <v/>
      </c>
      <c r="K1144" s="168" t="str">
        <f t="shared" si="222"/>
        <v/>
      </c>
      <c r="L1144" s="168" t="str">
        <f>IFERROR(K1144/_xlfn.XLOOKUP(_xlfn.XLOOKUP($F1144,Clientes!$B$4:$B$39,Clientes!$C$4:$C$39),Cadastros!$L$6:$L$12,Cadastros!$M$6:$M$12)," ")</f>
        <v xml:space="preserve"> </v>
      </c>
      <c r="M1144" s="28"/>
      <c r="N1144" s="28"/>
      <c r="O1144" s="255" t="str">
        <f>IF(M1144="","",(_xlfn.XLOOKUP(M1144,Cadastros!$D$6:$D$90,Cadastros!$E$6:$E$90))*(1-_xlfn.XLOOKUP(_xlfn.XLOOKUP($F1144,Clientes!$B$4:$B$39,Clientes!$C$4:$C$39),Cadastros!$L$6:$L$12,Cadastros!$N$6:$N$12)))</f>
        <v/>
      </c>
      <c r="P1144" s="168" t="str">
        <f t="shared" si="223"/>
        <v/>
      </c>
      <c r="Q1144" s="168" t="str">
        <f>IFERROR(P1144/_xlfn.XLOOKUP(_xlfn.XLOOKUP($F1144,Clientes!$B$4:$B$39,Clientes!$C$4:$C$39),Cadastros!$L$6:$L$12,Cadastros!$M$6:$M$12)," ")</f>
        <v xml:space="preserve"> </v>
      </c>
      <c r="R1144" s="28"/>
      <c r="S1144" s="28"/>
      <c r="T1144" s="255" t="str">
        <f>IF(R1144="","",(_xlfn.XLOOKUP(R1144,Cadastros!$D$6:$D$90,Cadastros!$E$6:$E$90))*(1-_xlfn.XLOOKUP(_xlfn.XLOOKUP($F1144,Clientes!$B$4:$B$39,Clientes!$C$4:$C$39),Cadastros!$L$6:$L$12,Cadastros!$N$6:$N$12)))</f>
        <v/>
      </c>
      <c r="U1144" s="168" t="str">
        <f t="shared" si="224"/>
        <v/>
      </c>
      <c r="V1144" s="168" t="str">
        <f>IFERROR(U1144/_xlfn.XLOOKUP(_xlfn.XLOOKUP($F1144,Clientes!$B$4:$B$39,Clientes!$C$4:$C$39),Cadastros!$L$6:$L$12,Cadastros!$M$6:$M$12)," ")</f>
        <v xml:space="preserve"> </v>
      </c>
      <c r="W1144" s="28"/>
      <c r="X1144" s="28"/>
      <c r="Y1144" s="255" t="str">
        <f>IF(W1144="","",(_xlfn.XLOOKUP(W1144,Cadastros!$D$6:$D$90,Cadastros!$E$6:$E$90))*(1-_xlfn.XLOOKUP(_xlfn.XLOOKUP($F1144,Clientes!$B$4:$B$39,Clientes!$C$4:$C$39),Cadastros!$L$6:$L$12,Cadastros!$N$6:$N$12)))</f>
        <v/>
      </c>
      <c r="Z1144" s="168" t="str">
        <f t="shared" si="225"/>
        <v/>
      </c>
      <c r="AA1144" s="168" t="str">
        <f>IFERROR(Z1144/_xlfn.XLOOKUP(_xlfn.XLOOKUP($F1144,Clientes!$B$4:$B$39,Clientes!$C$4:$C$39),Cadastros!$L$6:$L$12,Cadastros!$M$6:$M$12)," ")</f>
        <v xml:space="preserve"> </v>
      </c>
      <c r="AB1144" s="28"/>
      <c r="AC1144" s="28"/>
      <c r="AD1144" s="20" t="str">
        <f>IF(AB1144="","",IF($F1144="Bernardino Furlan",_xlfn.XLOOKUP(AB1144,Cadastros!$G$6:$G$90,Cadastros!$H$6:$H$90)*(1-0.18),IF($F1144="Mauro José Salanti",_xlfn.XLOOKUP(AB1144,Cadastros!$G$6:$G$90,Cadastros!$H$6:$H$90)*(1-0.18),_xlfn.XLOOKUP(AB1144,Cadastros!$G$6:$G$90,Cadastros!$H$6:$H$90))))</f>
        <v/>
      </c>
      <c r="AE1144" s="168" t="str">
        <f t="shared" si="226"/>
        <v/>
      </c>
      <c r="AF1144" s="168" t="str">
        <f t="shared" si="227"/>
        <v/>
      </c>
      <c r="AG1144" s="28"/>
      <c r="AH1144" s="28"/>
      <c r="AI1144" s="20" t="str">
        <f>IF(AG1144="","",IF($F1144="Bernardino Furlan",_xlfn.XLOOKUP(AG1144,Cadastros!$G$6:$G$90,Cadastros!$H$6:$H$90)*(1-0.18),IF($F1144="Mauro José Salanti",_xlfn.XLOOKUP(AG1144,Cadastros!$G$6:$G$90,Cadastros!$H$6:$H$90)*(1-0.18),_xlfn.XLOOKUP(AG1144,Cadastros!$G$6:$G$90,Cadastros!$H$6:$H$90))))</f>
        <v/>
      </c>
      <c r="AJ1144" s="168" t="str">
        <f t="shared" si="228"/>
        <v/>
      </c>
      <c r="AK1144" s="168" t="str">
        <f t="shared" si="229"/>
        <v/>
      </c>
      <c r="AL1144" s="28"/>
      <c r="AM1144" s="28"/>
      <c r="AN1144" s="20" t="str">
        <f>IF(AL1144="","",IF($F1144="Bernardino Furlan",_xlfn.XLOOKUP(AL1144,Cadastros!$G$6:$G$90,Cadastros!$H$6:$H$90)*(1-0.18),IF($F1144="Mauro José Salanti",_xlfn.XLOOKUP(AL1144,Cadastros!$G$6:$G$90,Cadastros!$H$6:$H$90)*(1-0.18),_xlfn.XLOOKUP(AL1144,Cadastros!$G$6:$G$90,Cadastros!$H$6:$H$90))))</f>
        <v/>
      </c>
      <c r="AO1144" s="168" t="str">
        <f t="shared" si="230"/>
        <v/>
      </c>
      <c r="AP1144" s="168" t="str">
        <f t="shared" si="231"/>
        <v/>
      </c>
      <c r="AQ1144" s="28"/>
      <c r="AR1144" s="28"/>
      <c r="AS1144" s="20" t="str">
        <f>IF(AQ1144="","",IF($F1144="Bernardino Furlan",_xlfn.XLOOKUP(AQ1144,Cadastros!$G$6:$G$90,Cadastros!$H$6:$H$90)*(1-0.18),IF($F1144="Mauro José Salanti",_xlfn.XLOOKUP(AQ1144,Cadastros!$G$6:$G$90,Cadastros!$H$6:$H$90)*(1-0.18),_xlfn.XLOOKUP(AQ1144,Cadastros!$G$6:$G$90,Cadastros!$H$6:$H$90))))</f>
        <v/>
      </c>
      <c r="AT1144" s="168" t="str">
        <f t="shared" si="232"/>
        <v/>
      </c>
      <c r="AU1144" s="168" t="str">
        <f t="shared" si="233"/>
        <v/>
      </c>
      <c r="AV1144" s="227"/>
      <c r="AW1144" s="30"/>
      <c r="AX1144" s="267"/>
      <c r="AY1144" s="267"/>
      <c r="AZ1144" s="29"/>
      <c r="BA1144" s="30"/>
      <c r="BB1144" s="23" t="str" cm="1">
        <f t="array" ref="BB1144">_xlfn.IFS(AW1144="SIM",SUM(K1144,P1144,U1144,Z1144,AE1144,AJ1144,AO1144,AT1144,AX1144,AY1144),F1144&lt;&gt;"",SUM(K1144,P1144,U1144,Z1144,AE1144,AJ1144,,AO1144,AT1144),F1144="","")</f>
        <v/>
      </c>
      <c r="BC1144" s="211" t="str" cm="1">
        <f t="array" ref="BC1144">_xlfn.IFS(E1144="","",G1144&lt;=E1144,BB1144*(1-0.03),G1144&lt;(E1144+8),BB1144,AZ1144="Boleto",BB1144*(1+0.001)^DATEDIF(E1144,G1144,"D"),AZ1144="Cheque",BB1144,AZ1144="Dinheiro","Alterar forma pgto")</f>
        <v/>
      </c>
      <c r="BD1144" s="276" t="str" cm="1">
        <f t="array" ref="BD1144">IF(F1144=0," ",IF(BC1144&lt;BB1144,(_xlfn.IFS(AW1144="SIM",SUM(L1144,Q1144,V1144,AA1144,AF1144,AK1144,AP1144,AU1144)+AX1144/_xlfn.XLOOKUP(_xlfn.XLOOKUP($F1144,Clientes!$B$4:$B$39,Clientes!$C$4:$C$39),Cadastros!$L$6:$L$12,Cadastros!$M$6:$M$12)+IF($F1144="Bernardino Furlan",AY1144/2751.92,IF($F1144="Mauro José Salanti",AY1144/2751.92,AY1144/3356)),F1144&lt;&gt;0,SUM(L1144,Q1144,V1144,AA1144,AF1144,AK1144,AP1144,AU1144)))*(1-0.03),_xlfn.IFS(AW1144="SIM",SUM(L1144,Q1144,V1144,AA1144,AF1144,AK1144,AP1144,AU1144)+AX1144/_xlfn.XLOOKUP(_xlfn.XLOOKUP($F1144,Clientes!$B$4:$B$39,Clientes!$C$4:$C$39),Cadastros!$L$6:$L$12,Cadastros!$M$6:$M$12)+IF($F1144="Bernardino Furlan",AY1144/2751.92,IF($F1144="Mauro José Salanti",AY1144/2751.92,AY1144/3356)),F1144&lt;&gt;0,SUM(L1144,Q1144,V1144,AA1144,AF1144,AK1144,AP1144,AU1144))))</f>
        <v xml:space="preserve"> </v>
      </c>
      <c r="BE1144" s="120"/>
      <c r="BF1144" s="120"/>
      <c r="BG1144" s="120"/>
    </row>
    <row r="1145" spans="1:59" s="3" customFormat="1" x14ac:dyDescent="0.3">
      <c r="A1145" s="15" t="str">
        <f t="shared" si="221"/>
        <v/>
      </c>
      <c r="B1145" s="25"/>
      <c r="C1145" s="26"/>
      <c r="D1145" s="279"/>
      <c r="E1145" s="27"/>
      <c r="F1145" s="28"/>
      <c r="G1145" s="27"/>
      <c r="H1145" s="28"/>
      <c r="I1145" s="28"/>
      <c r="J1145" s="255" t="str">
        <f>IF(H1145="","",(_xlfn.XLOOKUP(H1145,Cadastros!$D$6:$D$90,Cadastros!$E$6:$E$90))*(1-_xlfn.XLOOKUP(_xlfn.XLOOKUP($F1145,Clientes!$B$4:$B$39,Clientes!$C$4:$C$39),Cadastros!$L$6:$L$12,Cadastros!$N$6:$N$12)))</f>
        <v/>
      </c>
      <c r="K1145" s="168" t="str">
        <f t="shared" si="222"/>
        <v/>
      </c>
      <c r="L1145" s="168" t="str">
        <f>IFERROR(K1145/_xlfn.XLOOKUP(_xlfn.XLOOKUP($F1145,Clientes!$B$4:$B$39,Clientes!$C$4:$C$39),Cadastros!$L$6:$L$12,Cadastros!$M$6:$M$12)," ")</f>
        <v xml:space="preserve"> </v>
      </c>
      <c r="M1145" s="28"/>
      <c r="N1145" s="28"/>
      <c r="O1145" s="255" t="str">
        <f>IF(M1145="","",(_xlfn.XLOOKUP(M1145,Cadastros!$D$6:$D$90,Cadastros!$E$6:$E$90))*(1-_xlfn.XLOOKUP(_xlfn.XLOOKUP($F1145,Clientes!$B$4:$B$39,Clientes!$C$4:$C$39),Cadastros!$L$6:$L$12,Cadastros!$N$6:$N$12)))</f>
        <v/>
      </c>
      <c r="P1145" s="168" t="str">
        <f t="shared" si="223"/>
        <v/>
      </c>
      <c r="Q1145" s="168" t="str">
        <f>IFERROR(P1145/_xlfn.XLOOKUP(_xlfn.XLOOKUP($F1145,Clientes!$B$4:$B$39,Clientes!$C$4:$C$39),Cadastros!$L$6:$L$12,Cadastros!$M$6:$M$12)," ")</f>
        <v xml:space="preserve"> </v>
      </c>
      <c r="R1145" s="28"/>
      <c r="S1145" s="28"/>
      <c r="T1145" s="255" t="str">
        <f>IF(R1145="","",(_xlfn.XLOOKUP(R1145,Cadastros!$D$6:$D$90,Cadastros!$E$6:$E$90))*(1-_xlfn.XLOOKUP(_xlfn.XLOOKUP($F1145,Clientes!$B$4:$B$39,Clientes!$C$4:$C$39),Cadastros!$L$6:$L$12,Cadastros!$N$6:$N$12)))</f>
        <v/>
      </c>
      <c r="U1145" s="168" t="str">
        <f t="shared" si="224"/>
        <v/>
      </c>
      <c r="V1145" s="168" t="str">
        <f>IFERROR(U1145/_xlfn.XLOOKUP(_xlfn.XLOOKUP($F1145,Clientes!$B$4:$B$39,Clientes!$C$4:$C$39),Cadastros!$L$6:$L$12,Cadastros!$M$6:$M$12)," ")</f>
        <v xml:space="preserve"> </v>
      </c>
      <c r="W1145" s="28"/>
      <c r="X1145" s="28"/>
      <c r="Y1145" s="255" t="str">
        <f>IF(W1145="","",(_xlfn.XLOOKUP(W1145,Cadastros!$D$6:$D$90,Cadastros!$E$6:$E$90))*(1-_xlfn.XLOOKUP(_xlfn.XLOOKUP($F1145,Clientes!$B$4:$B$39,Clientes!$C$4:$C$39),Cadastros!$L$6:$L$12,Cadastros!$N$6:$N$12)))</f>
        <v/>
      </c>
      <c r="Z1145" s="168" t="str">
        <f t="shared" si="225"/>
        <v/>
      </c>
      <c r="AA1145" s="168" t="str">
        <f>IFERROR(Z1145/_xlfn.XLOOKUP(_xlfn.XLOOKUP($F1145,Clientes!$B$4:$B$39,Clientes!$C$4:$C$39),Cadastros!$L$6:$L$12,Cadastros!$M$6:$M$12)," ")</f>
        <v xml:space="preserve"> </v>
      </c>
      <c r="AB1145" s="28"/>
      <c r="AC1145" s="28"/>
      <c r="AD1145" s="20" t="str">
        <f>IF(AB1145="","",IF($F1145="Bernardino Furlan",_xlfn.XLOOKUP(AB1145,Cadastros!$G$6:$G$90,Cadastros!$H$6:$H$90)*(1-0.18),IF($F1145="Mauro José Salanti",_xlfn.XLOOKUP(AB1145,Cadastros!$G$6:$G$90,Cadastros!$H$6:$H$90)*(1-0.18),_xlfn.XLOOKUP(AB1145,Cadastros!$G$6:$G$90,Cadastros!$H$6:$H$90))))</f>
        <v/>
      </c>
      <c r="AE1145" s="168" t="str">
        <f t="shared" si="226"/>
        <v/>
      </c>
      <c r="AF1145" s="168" t="str">
        <f t="shared" si="227"/>
        <v/>
      </c>
      <c r="AG1145" s="28"/>
      <c r="AH1145" s="28"/>
      <c r="AI1145" s="20" t="str">
        <f>IF(AG1145="","",IF($F1145="Bernardino Furlan",_xlfn.XLOOKUP(AG1145,Cadastros!$G$6:$G$90,Cadastros!$H$6:$H$90)*(1-0.18),IF($F1145="Mauro José Salanti",_xlfn.XLOOKUP(AG1145,Cadastros!$G$6:$G$90,Cadastros!$H$6:$H$90)*(1-0.18),_xlfn.XLOOKUP(AG1145,Cadastros!$G$6:$G$90,Cadastros!$H$6:$H$90))))</f>
        <v/>
      </c>
      <c r="AJ1145" s="168" t="str">
        <f t="shared" si="228"/>
        <v/>
      </c>
      <c r="AK1145" s="168" t="str">
        <f t="shared" si="229"/>
        <v/>
      </c>
      <c r="AL1145" s="28"/>
      <c r="AM1145" s="28"/>
      <c r="AN1145" s="20" t="str">
        <f>IF(AL1145="","",IF($F1145="Bernardino Furlan",_xlfn.XLOOKUP(AL1145,Cadastros!$G$6:$G$90,Cadastros!$H$6:$H$90)*(1-0.18),IF($F1145="Mauro José Salanti",_xlfn.XLOOKUP(AL1145,Cadastros!$G$6:$G$90,Cadastros!$H$6:$H$90)*(1-0.18),_xlfn.XLOOKUP(AL1145,Cadastros!$G$6:$G$90,Cadastros!$H$6:$H$90))))</f>
        <v/>
      </c>
      <c r="AO1145" s="168" t="str">
        <f t="shared" si="230"/>
        <v/>
      </c>
      <c r="AP1145" s="168" t="str">
        <f t="shared" si="231"/>
        <v/>
      </c>
      <c r="AQ1145" s="28"/>
      <c r="AR1145" s="28"/>
      <c r="AS1145" s="20" t="str">
        <f>IF(AQ1145="","",IF($F1145="Bernardino Furlan",_xlfn.XLOOKUP(AQ1145,Cadastros!$G$6:$G$90,Cadastros!$H$6:$H$90)*(1-0.18),IF($F1145="Mauro José Salanti",_xlfn.XLOOKUP(AQ1145,Cadastros!$G$6:$G$90,Cadastros!$H$6:$H$90)*(1-0.18),_xlfn.XLOOKUP(AQ1145,Cadastros!$G$6:$G$90,Cadastros!$H$6:$H$90))))</f>
        <v/>
      </c>
      <c r="AT1145" s="168" t="str">
        <f t="shared" si="232"/>
        <v/>
      </c>
      <c r="AU1145" s="168" t="str">
        <f t="shared" si="233"/>
        <v/>
      </c>
      <c r="AV1145" s="227"/>
      <c r="AW1145" s="30"/>
      <c r="AX1145" s="267"/>
      <c r="AY1145" s="267"/>
      <c r="AZ1145" s="29"/>
      <c r="BA1145" s="30"/>
      <c r="BB1145" s="23" t="str" cm="1">
        <f t="array" ref="BB1145">_xlfn.IFS(AW1145="SIM",SUM(K1145,P1145,U1145,Z1145,AE1145,AJ1145,AO1145,AT1145,AX1145,AY1145),F1145&lt;&gt;"",SUM(K1145,P1145,U1145,Z1145,AE1145,AJ1145,,AO1145,AT1145),F1145="","")</f>
        <v/>
      </c>
      <c r="BC1145" s="211" t="str" cm="1">
        <f t="array" ref="BC1145">_xlfn.IFS(E1145="","",G1145&lt;=E1145,BB1145*(1-0.03),G1145&lt;(E1145+8),BB1145,AZ1145="Boleto",BB1145*(1+0.001)^DATEDIF(E1145,G1145,"D"),AZ1145="Cheque",BB1145,AZ1145="Dinheiro","Alterar forma pgto")</f>
        <v/>
      </c>
      <c r="BD1145" s="276" t="str" cm="1">
        <f t="array" ref="BD1145">IF(F1145=0," ",IF(BC1145&lt;BB1145,(_xlfn.IFS(AW1145="SIM",SUM(L1145,Q1145,V1145,AA1145,AF1145,AK1145,AP1145,AU1145)+AX1145/_xlfn.XLOOKUP(_xlfn.XLOOKUP($F1145,Clientes!$B$4:$B$39,Clientes!$C$4:$C$39),Cadastros!$L$6:$L$12,Cadastros!$M$6:$M$12)+IF($F1145="Bernardino Furlan",AY1145/2751.92,IF($F1145="Mauro José Salanti",AY1145/2751.92,AY1145/3356)),F1145&lt;&gt;0,SUM(L1145,Q1145,V1145,AA1145,AF1145,AK1145,AP1145,AU1145)))*(1-0.03),_xlfn.IFS(AW1145="SIM",SUM(L1145,Q1145,V1145,AA1145,AF1145,AK1145,AP1145,AU1145)+AX1145/_xlfn.XLOOKUP(_xlfn.XLOOKUP($F1145,Clientes!$B$4:$B$39,Clientes!$C$4:$C$39),Cadastros!$L$6:$L$12,Cadastros!$M$6:$M$12)+IF($F1145="Bernardino Furlan",AY1145/2751.92,IF($F1145="Mauro José Salanti",AY1145/2751.92,AY1145/3356)),F1145&lt;&gt;0,SUM(L1145,Q1145,V1145,AA1145,AF1145,AK1145,AP1145,AU1145))))</f>
        <v xml:space="preserve"> </v>
      </c>
      <c r="BE1145" s="120"/>
      <c r="BF1145" s="120"/>
      <c r="BG1145" s="120"/>
    </row>
    <row r="1146" spans="1:59" s="3" customFormat="1" x14ac:dyDescent="0.3">
      <c r="A1146" s="15" t="str">
        <f t="shared" si="221"/>
        <v/>
      </c>
      <c r="B1146" s="25"/>
      <c r="C1146" s="26"/>
      <c r="D1146" s="279"/>
      <c r="E1146" s="27"/>
      <c r="F1146" s="28"/>
      <c r="G1146" s="27"/>
      <c r="H1146" s="28"/>
      <c r="I1146" s="28"/>
      <c r="J1146" s="255" t="str">
        <f>IF(H1146="","",(_xlfn.XLOOKUP(H1146,Cadastros!$D$6:$D$90,Cadastros!$E$6:$E$90))*(1-_xlfn.XLOOKUP(_xlfn.XLOOKUP($F1146,Clientes!$B$4:$B$39,Clientes!$C$4:$C$39),Cadastros!$L$6:$L$12,Cadastros!$N$6:$N$12)))</f>
        <v/>
      </c>
      <c r="K1146" s="168" t="str">
        <f t="shared" si="222"/>
        <v/>
      </c>
      <c r="L1146" s="168" t="str">
        <f>IFERROR(K1146/_xlfn.XLOOKUP(_xlfn.XLOOKUP($F1146,Clientes!$B$4:$B$39,Clientes!$C$4:$C$39),Cadastros!$L$6:$L$12,Cadastros!$M$6:$M$12)," ")</f>
        <v xml:space="preserve"> </v>
      </c>
      <c r="M1146" s="28"/>
      <c r="N1146" s="28"/>
      <c r="O1146" s="255" t="str">
        <f>IF(M1146="","",(_xlfn.XLOOKUP(M1146,Cadastros!$D$6:$D$90,Cadastros!$E$6:$E$90))*(1-_xlfn.XLOOKUP(_xlfn.XLOOKUP($F1146,Clientes!$B$4:$B$39,Clientes!$C$4:$C$39),Cadastros!$L$6:$L$12,Cadastros!$N$6:$N$12)))</f>
        <v/>
      </c>
      <c r="P1146" s="168" t="str">
        <f t="shared" si="223"/>
        <v/>
      </c>
      <c r="Q1146" s="168" t="str">
        <f>IFERROR(P1146/_xlfn.XLOOKUP(_xlfn.XLOOKUP($F1146,Clientes!$B$4:$B$39,Clientes!$C$4:$C$39),Cadastros!$L$6:$L$12,Cadastros!$M$6:$M$12)," ")</f>
        <v xml:space="preserve"> </v>
      </c>
      <c r="R1146" s="28"/>
      <c r="S1146" s="28"/>
      <c r="T1146" s="255" t="str">
        <f>IF(R1146="","",(_xlfn.XLOOKUP(R1146,Cadastros!$D$6:$D$90,Cadastros!$E$6:$E$90))*(1-_xlfn.XLOOKUP(_xlfn.XLOOKUP($F1146,Clientes!$B$4:$B$39,Clientes!$C$4:$C$39),Cadastros!$L$6:$L$12,Cadastros!$N$6:$N$12)))</f>
        <v/>
      </c>
      <c r="U1146" s="168" t="str">
        <f t="shared" si="224"/>
        <v/>
      </c>
      <c r="V1146" s="168" t="str">
        <f>IFERROR(U1146/_xlfn.XLOOKUP(_xlfn.XLOOKUP($F1146,Clientes!$B$4:$B$39,Clientes!$C$4:$C$39),Cadastros!$L$6:$L$12,Cadastros!$M$6:$M$12)," ")</f>
        <v xml:space="preserve"> </v>
      </c>
      <c r="W1146" s="28"/>
      <c r="X1146" s="28"/>
      <c r="Y1146" s="255" t="str">
        <f>IF(W1146="","",(_xlfn.XLOOKUP(W1146,Cadastros!$D$6:$D$90,Cadastros!$E$6:$E$90))*(1-_xlfn.XLOOKUP(_xlfn.XLOOKUP($F1146,Clientes!$B$4:$B$39,Clientes!$C$4:$C$39),Cadastros!$L$6:$L$12,Cadastros!$N$6:$N$12)))</f>
        <v/>
      </c>
      <c r="Z1146" s="168" t="str">
        <f t="shared" si="225"/>
        <v/>
      </c>
      <c r="AA1146" s="168" t="str">
        <f>IFERROR(Z1146/_xlfn.XLOOKUP(_xlfn.XLOOKUP($F1146,Clientes!$B$4:$B$39,Clientes!$C$4:$C$39),Cadastros!$L$6:$L$12,Cadastros!$M$6:$M$12)," ")</f>
        <v xml:space="preserve"> </v>
      </c>
      <c r="AB1146" s="28"/>
      <c r="AC1146" s="28"/>
      <c r="AD1146" s="20" t="str">
        <f>IF(AB1146="","",IF($F1146="Bernardino Furlan",_xlfn.XLOOKUP(AB1146,Cadastros!$G$6:$G$90,Cadastros!$H$6:$H$90)*(1-0.18),IF($F1146="Mauro José Salanti",_xlfn.XLOOKUP(AB1146,Cadastros!$G$6:$G$90,Cadastros!$H$6:$H$90)*(1-0.18),_xlfn.XLOOKUP(AB1146,Cadastros!$G$6:$G$90,Cadastros!$H$6:$H$90))))</f>
        <v/>
      </c>
      <c r="AE1146" s="168" t="str">
        <f t="shared" si="226"/>
        <v/>
      </c>
      <c r="AF1146" s="168" t="str">
        <f t="shared" si="227"/>
        <v/>
      </c>
      <c r="AG1146" s="28"/>
      <c r="AH1146" s="28"/>
      <c r="AI1146" s="20" t="str">
        <f>IF(AG1146="","",IF($F1146="Bernardino Furlan",_xlfn.XLOOKUP(AG1146,Cadastros!$G$6:$G$90,Cadastros!$H$6:$H$90)*(1-0.18),IF($F1146="Mauro José Salanti",_xlfn.XLOOKUP(AG1146,Cadastros!$G$6:$G$90,Cadastros!$H$6:$H$90)*(1-0.18),_xlfn.XLOOKUP(AG1146,Cadastros!$G$6:$G$90,Cadastros!$H$6:$H$90))))</f>
        <v/>
      </c>
      <c r="AJ1146" s="168" t="str">
        <f t="shared" si="228"/>
        <v/>
      </c>
      <c r="AK1146" s="168" t="str">
        <f t="shared" si="229"/>
        <v/>
      </c>
      <c r="AL1146" s="28"/>
      <c r="AM1146" s="28"/>
      <c r="AN1146" s="20" t="str">
        <f>IF(AL1146="","",IF($F1146="Bernardino Furlan",_xlfn.XLOOKUP(AL1146,Cadastros!$G$6:$G$90,Cadastros!$H$6:$H$90)*(1-0.18),IF($F1146="Mauro José Salanti",_xlfn.XLOOKUP(AL1146,Cadastros!$G$6:$G$90,Cadastros!$H$6:$H$90)*(1-0.18),_xlfn.XLOOKUP(AL1146,Cadastros!$G$6:$G$90,Cadastros!$H$6:$H$90))))</f>
        <v/>
      </c>
      <c r="AO1146" s="168" t="str">
        <f t="shared" si="230"/>
        <v/>
      </c>
      <c r="AP1146" s="168" t="str">
        <f t="shared" si="231"/>
        <v/>
      </c>
      <c r="AQ1146" s="28"/>
      <c r="AR1146" s="28"/>
      <c r="AS1146" s="20" t="str">
        <f>IF(AQ1146="","",IF($F1146="Bernardino Furlan",_xlfn.XLOOKUP(AQ1146,Cadastros!$G$6:$G$90,Cadastros!$H$6:$H$90)*(1-0.18),IF($F1146="Mauro José Salanti",_xlfn.XLOOKUP(AQ1146,Cadastros!$G$6:$G$90,Cadastros!$H$6:$H$90)*(1-0.18),_xlfn.XLOOKUP(AQ1146,Cadastros!$G$6:$G$90,Cadastros!$H$6:$H$90))))</f>
        <v/>
      </c>
      <c r="AT1146" s="168" t="str">
        <f t="shared" si="232"/>
        <v/>
      </c>
      <c r="AU1146" s="168" t="str">
        <f t="shared" si="233"/>
        <v/>
      </c>
      <c r="AV1146" s="227"/>
      <c r="AW1146" s="30"/>
      <c r="AX1146" s="267"/>
      <c r="AY1146" s="267"/>
      <c r="AZ1146" s="29"/>
      <c r="BA1146" s="30"/>
      <c r="BB1146" s="23" t="str" cm="1">
        <f t="array" ref="BB1146">_xlfn.IFS(AW1146="SIM",SUM(K1146,P1146,U1146,Z1146,AE1146,AJ1146,AO1146,AT1146,AX1146,AY1146),F1146&lt;&gt;"",SUM(K1146,P1146,U1146,Z1146,AE1146,AJ1146,,AO1146,AT1146),F1146="","")</f>
        <v/>
      </c>
      <c r="BC1146" s="211" t="str" cm="1">
        <f t="array" ref="BC1146">_xlfn.IFS(E1146="","",G1146&lt;=E1146,BB1146*(1-0.03),G1146&lt;(E1146+8),BB1146,AZ1146="Boleto",BB1146*(1+0.001)^DATEDIF(E1146,G1146,"D"),AZ1146="Cheque",BB1146,AZ1146="Dinheiro","Alterar forma pgto")</f>
        <v/>
      </c>
      <c r="BD1146" s="276" t="str" cm="1">
        <f t="array" ref="BD1146">IF(F1146=0," ",IF(BC1146&lt;BB1146,(_xlfn.IFS(AW1146="SIM",SUM(L1146,Q1146,V1146,AA1146,AF1146,AK1146,AP1146,AU1146)+AX1146/_xlfn.XLOOKUP(_xlfn.XLOOKUP($F1146,Clientes!$B$4:$B$39,Clientes!$C$4:$C$39),Cadastros!$L$6:$L$12,Cadastros!$M$6:$M$12)+IF($F1146="Bernardino Furlan",AY1146/2751.92,IF($F1146="Mauro José Salanti",AY1146/2751.92,AY1146/3356)),F1146&lt;&gt;0,SUM(L1146,Q1146,V1146,AA1146,AF1146,AK1146,AP1146,AU1146)))*(1-0.03),_xlfn.IFS(AW1146="SIM",SUM(L1146,Q1146,V1146,AA1146,AF1146,AK1146,AP1146,AU1146)+AX1146/_xlfn.XLOOKUP(_xlfn.XLOOKUP($F1146,Clientes!$B$4:$B$39,Clientes!$C$4:$C$39),Cadastros!$L$6:$L$12,Cadastros!$M$6:$M$12)+IF($F1146="Bernardino Furlan",AY1146/2751.92,IF($F1146="Mauro José Salanti",AY1146/2751.92,AY1146/3356)),F1146&lt;&gt;0,SUM(L1146,Q1146,V1146,AA1146,AF1146,AK1146,AP1146,AU1146))))</f>
        <v xml:space="preserve"> </v>
      </c>
      <c r="BE1146" s="120"/>
      <c r="BF1146" s="120"/>
      <c r="BG1146" s="120"/>
    </row>
    <row r="1147" spans="1:59" s="3" customFormat="1" x14ac:dyDescent="0.3">
      <c r="A1147" s="15" t="str">
        <f t="shared" si="221"/>
        <v/>
      </c>
      <c r="B1147" s="25"/>
      <c r="C1147" s="26"/>
      <c r="D1147" s="279"/>
      <c r="E1147" s="27"/>
      <c r="F1147" s="28"/>
      <c r="G1147" s="27"/>
      <c r="H1147" s="28"/>
      <c r="I1147" s="28"/>
      <c r="J1147" s="255" t="str">
        <f>IF(H1147="","",(_xlfn.XLOOKUP(H1147,Cadastros!$D$6:$D$90,Cadastros!$E$6:$E$90))*(1-_xlfn.XLOOKUP(_xlfn.XLOOKUP($F1147,Clientes!$B$4:$B$39,Clientes!$C$4:$C$39),Cadastros!$L$6:$L$12,Cadastros!$N$6:$N$12)))</f>
        <v/>
      </c>
      <c r="K1147" s="168" t="str">
        <f t="shared" si="222"/>
        <v/>
      </c>
      <c r="L1147" s="168" t="str">
        <f>IFERROR(K1147/_xlfn.XLOOKUP(_xlfn.XLOOKUP($F1147,Clientes!$B$4:$B$39,Clientes!$C$4:$C$39),Cadastros!$L$6:$L$12,Cadastros!$M$6:$M$12)," ")</f>
        <v xml:space="preserve"> </v>
      </c>
      <c r="M1147" s="28"/>
      <c r="N1147" s="28"/>
      <c r="O1147" s="255" t="str">
        <f>IF(M1147="","",(_xlfn.XLOOKUP(M1147,Cadastros!$D$6:$D$90,Cadastros!$E$6:$E$90))*(1-_xlfn.XLOOKUP(_xlfn.XLOOKUP($F1147,Clientes!$B$4:$B$39,Clientes!$C$4:$C$39),Cadastros!$L$6:$L$12,Cadastros!$N$6:$N$12)))</f>
        <v/>
      </c>
      <c r="P1147" s="168" t="str">
        <f t="shared" si="223"/>
        <v/>
      </c>
      <c r="Q1147" s="168" t="str">
        <f>IFERROR(P1147/_xlfn.XLOOKUP(_xlfn.XLOOKUP($F1147,Clientes!$B$4:$B$39,Clientes!$C$4:$C$39),Cadastros!$L$6:$L$12,Cadastros!$M$6:$M$12)," ")</f>
        <v xml:space="preserve"> </v>
      </c>
      <c r="R1147" s="28"/>
      <c r="S1147" s="28"/>
      <c r="T1147" s="255" t="str">
        <f>IF(R1147="","",(_xlfn.XLOOKUP(R1147,Cadastros!$D$6:$D$90,Cadastros!$E$6:$E$90))*(1-_xlfn.XLOOKUP(_xlfn.XLOOKUP($F1147,Clientes!$B$4:$B$39,Clientes!$C$4:$C$39),Cadastros!$L$6:$L$12,Cadastros!$N$6:$N$12)))</f>
        <v/>
      </c>
      <c r="U1147" s="168" t="str">
        <f t="shared" si="224"/>
        <v/>
      </c>
      <c r="V1147" s="168" t="str">
        <f>IFERROR(U1147/_xlfn.XLOOKUP(_xlfn.XLOOKUP($F1147,Clientes!$B$4:$B$39,Clientes!$C$4:$C$39),Cadastros!$L$6:$L$12,Cadastros!$M$6:$M$12)," ")</f>
        <v xml:space="preserve"> </v>
      </c>
      <c r="W1147" s="28"/>
      <c r="X1147" s="28"/>
      <c r="Y1147" s="255" t="str">
        <f>IF(W1147="","",(_xlfn.XLOOKUP(W1147,Cadastros!$D$6:$D$90,Cadastros!$E$6:$E$90))*(1-_xlfn.XLOOKUP(_xlfn.XLOOKUP($F1147,Clientes!$B$4:$B$39,Clientes!$C$4:$C$39),Cadastros!$L$6:$L$12,Cadastros!$N$6:$N$12)))</f>
        <v/>
      </c>
      <c r="Z1147" s="168" t="str">
        <f t="shared" si="225"/>
        <v/>
      </c>
      <c r="AA1147" s="168" t="str">
        <f>IFERROR(Z1147/_xlfn.XLOOKUP(_xlfn.XLOOKUP($F1147,Clientes!$B$4:$B$39,Clientes!$C$4:$C$39),Cadastros!$L$6:$L$12,Cadastros!$M$6:$M$12)," ")</f>
        <v xml:space="preserve"> </v>
      </c>
      <c r="AB1147" s="28"/>
      <c r="AC1147" s="28"/>
      <c r="AD1147" s="20" t="str">
        <f>IF(AB1147="","",IF($F1147="Bernardino Furlan",_xlfn.XLOOKUP(AB1147,Cadastros!$G$6:$G$90,Cadastros!$H$6:$H$90)*(1-0.18),IF($F1147="Mauro José Salanti",_xlfn.XLOOKUP(AB1147,Cadastros!$G$6:$G$90,Cadastros!$H$6:$H$90)*(1-0.18),_xlfn.XLOOKUP(AB1147,Cadastros!$G$6:$G$90,Cadastros!$H$6:$H$90))))</f>
        <v/>
      </c>
      <c r="AE1147" s="168" t="str">
        <f t="shared" si="226"/>
        <v/>
      </c>
      <c r="AF1147" s="168" t="str">
        <f t="shared" si="227"/>
        <v/>
      </c>
      <c r="AG1147" s="28"/>
      <c r="AH1147" s="28"/>
      <c r="AI1147" s="20" t="str">
        <f>IF(AG1147="","",IF($F1147="Bernardino Furlan",_xlfn.XLOOKUP(AG1147,Cadastros!$G$6:$G$90,Cadastros!$H$6:$H$90)*(1-0.18),IF($F1147="Mauro José Salanti",_xlfn.XLOOKUP(AG1147,Cadastros!$G$6:$G$90,Cadastros!$H$6:$H$90)*(1-0.18),_xlfn.XLOOKUP(AG1147,Cadastros!$G$6:$G$90,Cadastros!$H$6:$H$90))))</f>
        <v/>
      </c>
      <c r="AJ1147" s="168" t="str">
        <f t="shared" si="228"/>
        <v/>
      </c>
      <c r="AK1147" s="168" t="str">
        <f t="shared" si="229"/>
        <v/>
      </c>
      <c r="AL1147" s="28"/>
      <c r="AM1147" s="28"/>
      <c r="AN1147" s="20" t="str">
        <f>IF(AL1147="","",IF($F1147="Bernardino Furlan",_xlfn.XLOOKUP(AL1147,Cadastros!$G$6:$G$90,Cadastros!$H$6:$H$90)*(1-0.18),IF($F1147="Mauro José Salanti",_xlfn.XLOOKUP(AL1147,Cadastros!$G$6:$G$90,Cadastros!$H$6:$H$90)*(1-0.18),_xlfn.XLOOKUP(AL1147,Cadastros!$G$6:$G$90,Cadastros!$H$6:$H$90))))</f>
        <v/>
      </c>
      <c r="AO1147" s="168" t="str">
        <f t="shared" si="230"/>
        <v/>
      </c>
      <c r="AP1147" s="168" t="str">
        <f t="shared" si="231"/>
        <v/>
      </c>
      <c r="AQ1147" s="28"/>
      <c r="AR1147" s="28"/>
      <c r="AS1147" s="20" t="str">
        <f>IF(AQ1147="","",IF($F1147="Bernardino Furlan",_xlfn.XLOOKUP(AQ1147,Cadastros!$G$6:$G$90,Cadastros!$H$6:$H$90)*(1-0.18),IF($F1147="Mauro José Salanti",_xlfn.XLOOKUP(AQ1147,Cadastros!$G$6:$G$90,Cadastros!$H$6:$H$90)*(1-0.18),_xlfn.XLOOKUP(AQ1147,Cadastros!$G$6:$G$90,Cadastros!$H$6:$H$90))))</f>
        <v/>
      </c>
      <c r="AT1147" s="168" t="str">
        <f t="shared" si="232"/>
        <v/>
      </c>
      <c r="AU1147" s="168" t="str">
        <f t="shared" si="233"/>
        <v/>
      </c>
      <c r="AV1147" s="227"/>
      <c r="AW1147" s="30"/>
      <c r="AX1147" s="267"/>
      <c r="AY1147" s="267"/>
      <c r="AZ1147" s="29"/>
      <c r="BA1147" s="30"/>
      <c r="BB1147" s="23" t="str" cm="1">
        <f t="array" ref="BB1147">_xlfn.IFS(AW1147="SIM",SUM(K1147,P1147,U1147,Z1147,AE1147,AJ1147,AO1147,AT1147,AX1147,AY1147),F1147&lt;&gt;"",SUM(K1147,P1147,U1147,Z1147,AE1147,AJ1147,,AO1147,AT1147),F1147="","")</f>
        <v/>
      </c>
      <c r="BC1147" s="211" t="str" cm="1">
        <f t="array" ref="BC1147">_xlfn.IFS(E1147="","",G1147&lt;=E1147,BB1147*(1-0.03),G1147&lt;(E1147+8),BB1147,AZ1147="Boleto",BB1147*(1+0.001)^DATEDIF(E1147,G1147,"D"),AZ1147="Cheque",BB1147,AZ1147="Dinheiro","Alterar forma pgto")</f>
        <v/>
      </c>
      <c r="BD1147" s="276" t="str" cm="1">
        <f t="array" ref="BD1147">IF(F1147=0," ",IF(BC1147&lt;BB1147,(_xlfn.IFS(AW1147="SIM",SUM(L1147,Q1147,V1147,AA1147,AF1147,AK1147,AP1147,AU1147)+AX1147/_xlfn.XLOOKUP(_xlfn.XLOOKUP($F1147,Clientes!$B$4:$B$39,Clientes!$C$4:$C$39),Cadastros!$L$6:$L$12,Cadastros!$M$6:$M$12)+IF($F1147="Bernardino Furlan",AY1147/2751.92,IF($F1147="Mauro José Salanti",AY1147/2751.92,AY1147/3356)),F1147&lt;&gt;0,SUM(L1147,Q1147,V1147,AA1147,AF1147,AK1147,AP1147,AU1147)))*(1-0.03),_xlfn.IFS(AW1147="SIM",SUM(L1147,Q1147,V1147,AA1147,AF1147,AK1147,AP1147,AU1147)+AX1147/_xlfn.XLOOKUP(_xlfn.XLOOKUP($F1147,Clientes!$B$4:$B$39,Clientes!$C$4:$C$39),Cadastros!$L$6:$L$12,Cadastros!$M$6:$M$12)+IF($F1147="Bernardino Furlan",AY1147/2751.92,IF($F1147="Mauro José Salanti",AY1147/2751.92,AY1147/3356)),F1147&lt;&gt;0,SUM(L1147,Q1147,V1147,AA1147,AF1147,AK1147,AP1147,AU1147))))</f>
        <v xml:space="preserve"> </v>
      </c>
      <c r="BE1147" s="120"/>
      <c r="BF1147" s="120"/>
      <c r="BG1147" s="120"/>
    </row>
    <row r="1148" spans="1:59" s="3" customFormat="1" x14ac:dyDescent="0.3">
      <c r="A1148" s="15" t="str">
        <f t="shared" si="221"/>
        <v/>
      </c>
      <c r="B1148" s="25"/>
      <c r="C1148" s="26"/>
      <c r="D1148" s="279"/>
      <c r="E1148" s="27"/>
      <c r="F1148" s="28"/>
      <c r="G1148" s="27"/>
      <c r="H1148" s="28"/>
      <c r="I1148" s="28"/>
      <c r="J1148" s="255" t="str">
        <f>IF(H1148="","",(_xlfn.XLOOKUP(H1148,Cadastros!$D$6:$D$90,Cadastros!$E$6:$E$90))*(1-_xlfn.XLOOKUP(_xlfn.XLOOKUP($F1148,Clientes!$B$4:$B$39,Clientes!$C$4:$C$39),Cadastros!$L$6:$L$12,Cadastros!$N$6:$N$12)))</f>
        <v/>
      </c>
      <c r="K1148" s="168" t="str">
        <f t="shared" si="222"/>
        <v/>
      </c>
      <c r="L1148" s="168" t="str">
        <f>IFERROR(K1148/_xlfn.XLOOKUP(_xlfn.XLOOKUP($F1148,Clientes!$B$4:$B$39,Clientes!$C$4:$C$39),Cadastros!$L$6:$L$12,Cadastros!$M$6:$M$12)," ")</f>
        <v xml:space="preserve"> </v>
      </c>
      <c r="M1148" s="28"/>
      <c r="N1148" s="28"/>
      <c r="O1148" s="255" t="str">
        <f>IF(M1148="","",(_xlfn.XLOOKUP(M1148,Cadastros!$D$6:$D$90,Cadastros!$E$6:$E$90))*(1-_xlfn.XLOOKUP(_xlfn.XLOOKUP($F1148,Clientes!$B$4:$B$39,Clientes!$C$4:$C$39),Cadastros!$L$6:$L$12,Cadastros!$N$6:$N$12)))</f>
        <v/>
      </c>
      <c r="P1148" s="168" t="str">
        <f t="shared" si="223"/>
        <v/>
      </c>
      <c r="Q1148" s="168" t="str">
        <f>IFERROR(P1148/_xlfn.XLOOKUP(_xlfn.XLOOKUP($F1148,Clientes!$B$4:$B$39,Clientes!$C$4:$C$39),Cadastros!$L$6:$L$12,Cadastros!$M$6:$M$12)," ")</f>
        <v xml:space="preserve"> </v>
      </c>
      <c r="R1148" s="28"/>
      <c r="S1148" s="28"/>
      <c r="T1148" s="255" t="str">
        <f>IF(R1148="","",(_xlfn.XLOOKUP(R1148,Cadastros!$D$6:$D$90,Cadastros!$E$6:$E$90))*(1-_xlfn.XLOOKUP(_xlfn.XLOOKUP($F1148,Clientes!$B$4:$B$39,Clientes!$C$4:$C$39),Cadastros!$L$6:$L$12,Cadastros!$N$6:$N$12)))</f>
        <v/>
      </c>
      <c r="U1148" s="168" t="str">
        <f t="shared" si="224"/>
        <v/>
      </c>
      <c r="V1148" s="168" t="str">
        <f>IFERROR(U1148/_xlfn.XLOOKUP(_xlfn.XLOOKUP($F1148,Clientes!$B$4:$B$39,Clientes!$C$4:$C$39),Cadastros!$L$6:$L$12,Cadastros!$M$6:$M$12)," ")</f>
        <v xml:space="preserve"> </v>
      </c>
      <c r="W1148" s="28"/>
      <c r="X1148" s="28"/>
      <c r="Y1148" s="255" t="str">
        <f>IF(W1148="","",(_xlfn.XLOOKUP(W1148,Cadastros!$D$6:$D$90,Cadastros!$E$6:$E$90))*(1-_xlfn.XLOOKUP(_xlfn.XLOOKUP($F1148,Clientes!$B$4:$B$39,Clientes!$C$4:$C$39),Cadastros!$L$6:$L$12,Cadastros!$N$6:$N$12)))</f>
        <v/>
      </c>
      <c r="Z1148" s="168" t="str">
        <f t="shared" si="225"/>
        <v/>
      </c>
      <c r="AA1148" s="168" t="str">
        <f>IFERROR(Z1148/_xlfn.XLOOKUP(_xlfn.XLOOKUP($F1148,Clientes!$B$4:$B$39,Clientes!$C$4:$C$39),Cadastros!$L$6:$L$12,Cadastros!$M$6:$M$12)," ")</f>
        <v xml:space="preserve"> </v>
      </c>
      <c r="AB1148" s="28"/>
      <c r="AC1148" s="28"/>
      <c r="AD1148" s="20" t="str">
        <f>IF(AB1148="","",IF($F1148="Bernardino Furlan",_xlfn.XLOOKUP(AB1148,Cadastros!$G$6:$G$90,Cadastros!$H$6:$H$90)*(1-0.18),IF($F1148="Mauro José Salanti",_xlfn.XLOOKUP(AB1148,Cadastros!$G$6:$G$90,Cadastros!$H$6:$H$90)*(1-0.18),_xlfn.XLOOKUP(AB1148,Cadastros!$G$6:$G$90,Cadastros!$H$6:$H$90))))</f>
        <v/>
      </c>
      <c r="AE1148" s="168" t="str">
        <f t="shared" si="226"/>
        <v/>
      </c>
      <c r="AF1148" s="168" t="str">
        <f t="shared" si="227"/>
        <v/>
      </c>
      <c r="AG1148" s="28"/>
      <c r="AH1148" s="28"/>
      <c r="AI1148" s="20" t="str">
        <f>IF(AG1148="","",IF($F1148="Bernardino Furlan",_xlfn.XLOOKUP(AG1148,Cadastros!$G$6:$G$90,Cadastros!$H$6:$H$90)*(1-0.18),IF($F1148="Mauro José Salanti",_xlfn.XLOOKUP(AG1148,Cadastros!$G$6:$G$90,Cadastros!$H$6:$H$90)*(1-0.18),_xlfn.XLOOKUP(AG1148,Cadastros!$G$6:$G$90,Cadastros!$H$6:$H$90))))</f>
        <v/>
      </c>
      <c r="AJ1148" s="168" t="str">
        <f t="shared" si="228"/>
        <v/>
      </c>
      <c r="AK1148" s="168" t="str">
        <f t="shared" si="229"/>
        <v/>
      </c>
      <c r="AL1148" s="28"/>
      <c r="AM1148" s="28"/>
      <c r="AN1148" s="20" t="str">
        <f>IF(AL1148="","",IF($F1148="Bernardino Furlan",_xlfn.XLOOKUP(AL1148,Cadastros!$G$6:$G$90,Cadastros!$H$6:$H$90)*(1-0.18),IF($F1148="Mauro José Salanti",_xlfn.XLOOKUP(AL1148,Cadastros!$G$6:$G$90,Cadastros!$H$6:$H$90)*(1-0.18),_xlfn.XLOOKUP(AL1148,Cadastros!$G$6:$G$90,Cadastros!$H$6:$H$90))))</f>
        <v/>
      </c>
      <c r="AO1148" s="168" t="str">
        <f t="shared" si="230"/>
        <v/>
      </c>
      <c r="AP1148" s="168" t="str">
        <f t="shared" si="231"/>
        <v/>
      </c>
      <c r="AQ1148" s="28"/>
      <c r="AR1148" s="28"/>
      <c r="AS1148" s="20" t="str">
        <f>IF(AQ1148="","",IF($F1148="Bernardino Furlan",_xlfn.XLOOKUP(AQ1148,Cadastros!$G$6:$G$90,Cadastros!$H$6:$H$90)*(1-0.18),IF($F1148="Mauro José Salanti",_xlfn.XLOOKUP(AQ1148,Cadastros!$G$6:$G$90,Cadastros!$H$6:$H$90)*(1-0.18),_xlfn.XLOOKUP(AQ1148,Cadastros!$G$6:$G$90,Cadastros!$H$6:$H$90))))</f>
        <v/>
      </c>
      <c r="AT1148" s="168" t="str">
        <f t="shared" si="232"/>
        <v/>
      </c>
      <c r="AU1148" s="168" t="str">
        <f t="shared" si="233"/>
        <v/>
      </c>
      <c r="AV1148" s="227"/>
      <c r="AW1148" s="30"/>
      <c r="AX1148" s="267"/>
      <c r="AY1148" s="267"/>
      <c r="AZ1148" s="29"/>
      <c r="BA1148" s="30"/>
      <c r="BB1148" s="23" t="str" cm="1">
        <f t="array" ref="BB1148">_xlfn.IFS(AW1148="SIM",SUM(K1148,P1148,U1148,Z1148,AE1148,AJ1148,AO1148,AT1148,AX1148,AY1148),F1148&lt;&gt;"",SUM(K1148,P1148,U1148,Z1148,AE1148,AJ1148,,AO1148,AT1148),F1148="","")</f>
        <v/>
      </c>
      <c r="BC1148" s="211" t="str" cm="1">
        <f t="array" ref="BC1148">_xlfn.IFS(E1148="","",G1148&lt;=E1148,BB1148*(1-0.03),G1148&lt;(E1148+8),BB1148,AZ1148="Boleto",BB1148*(1+0.001)^DATEDIF(E1148,G1148,"D"),AZ1148="Cheque",BB1148,AZ1148="Dinheiro","Alterar forma pgto")</f>
        <v/>
      </c>
      <c r="BD1148" s="276" t="str" cm="1">
        <f t="array" ref="BD1148">IF(F1148=0," ",IF(BC1148&lt;BB1148,(_xlfn.IFS(AW1148="SIM",SUM(L1148,Q1148,V1148,AA1148,AF1148,AK1148,AP1148,AU1148)+AX1148/_xlfn.XLOOKUP(_xlfn.XLOOKUP($F1148,Clientes!$B$4:$B$39,Clientes!$C$4:$C$39),Cadastros!$L$6:$L$12,Cadastros!$M$6:$M$12)+IF($F1148="Bernardino Furlan",AY1148/2751.92,IF($F1148="Mauro José Salanti",AY1148/2751.92,AY1148/3356)),F1148&lt;&gt;0,SUM(L1148,Q1148,V1148,AA1148,AF1148,AK1148,AP1148,AU1148)))*(1-0.03),_xlfn.IFS(AW1148="SIM",SUM(L1148,Q1148,V1148,AA1148,AF1148,AK1148,AP1148,AU1148)+AX1148/_xlfn.XLOOKUP(_xlfn.XLOOKUP($F1148,Clientes!$B$4:$B$39,Clientes!$C$4:$C$39),Cadastros!$L$6:$L$12,Cadastros!$M$6:$M$12)+IF($F1148="Bernardino Furlan",AY1148/2751.92,IF($F1148="Mauro José Salanti",AY1148/2751.92,AY1148/3356)),F1148&lt;&gt;0,SUM(L1148,Q1148,V1148,AA1148,AF1148,AK1148,AP1148,AU1148))))</f>
        <v xml:space="preserve"> </v>
      </c>
      <c r="BE1148" s="120"/>
      <c r="BF1148" s="120"/>
      <c r="BG1148" s="120"/>
    </row>
    <row r="1149" spans="1:59" s="3" customFormat="1" x14ac:dyDescent="0.3">
      <c r="A1149" s="15" t="str">
        <f t="shared" si="221"/>
        <v/>
      </c>
      <c r="B1149" s="25"/>
      <c r="C1149" s="26"/>
      <c r="D1149" s="279"/>
      <c r="E1149" s="27"/>
      <c r="F1149" s="28"/>
      <c r="G1149" s="27"/>
      <c r="H1149" s="28"/>
      <c r="I1149" s="28"/>
      <c r="J1149" s="255" t="str">
        <f>IF(H1149="","",(_xlfn.XLOOKUP(H1149,Cadastros!$D$6:$D$90,Cadastros!$E$6:$E$90))*(1-_xlfn.XLOOKUP(_xlfn.XLOOKUP($F1149,Clientes!$B$4:$B$39,Clientes!$C$4:$C$39),Cadastros!$L$6:$L$12,Cadastros!$N$6:$N$12)))</f>
        <v/>
      </c>
      <c r="K1149" s="168" t="str">
        <f t="shared" si="222"/>
        <v/>
      </c>
      <c r="L1149" s="168" t="str">
        <f>IFERROR(K1149/_xlfn.XLOOKUP(_xlfn.XLOOKUP($F1149,Clientes!$B$4:$B$39,Clientes!$C$4:$C$39),Cadastros!$L$6:$L$12,Cadastros!$M$6:$M$12)," ")</f>
        <v xml:space="preserve"> </v>
      </c>
      <c r="M1149" s="28"/>
      <c r="N1149" s="28"/>
      <c r="O1149" s="255" t="str">
        <f>IF(M1149="","",(_xlfn.XLOOKUP(M1149,Cadastros!$D$6:$D$90,Cadastros!$E$6:$E$90))*(1-_xlfn.XLOOKUP(_xlfn.XLOOKUP($F1149,Clientes!$B$4:$B$39,Clientes!$C$4:$C$39),Cadastros!$L$6:$L$12,Cadastros!$N$6:$N$12)))</f>
        <v/>
      </c>
      <c r="P1149" s="168" t="str">
        <f t="shared" si="223"/>
        <v/>
      </c>
      <c r="Q1149" s="168" t="str">
        <f>IFERROR(P1149/_xlfn.XLOOKUP(_xlfn.XLOOKUP($F1149,Clientes!$B$4:$B$39,Clientes!$C$4:$C$39),Cadastros!$L$6:$L$12,Cadastros!$M$6:$M$12)," ")</f>
        <v xml:space="preserve"> </v>
      </c>
      <c r="R1149" s="28"/>
      <c r="S1149" s="28"/>
      <c r="T1149" s="255" t="str">
        <f>IF(R1149="","",(_xlfn.XLOOKUP(R1149,Cadastros!$D$6:$D$90,Cadastros!$E$6:$E$90))*(1-_xlfn.XLOOKUP(_xlfn.XLOOKUP($F1149,Clientes!$B$4:$B$39,Clientes!$C$4:$C$39),Cadastros!$L$6:$L$12,Cadastros!$N$6:$N$12)))</f>
        <v/>
      </c>
      <c r="U1149" s="168" t="str">
        <f t="shared" si="224"/>
        <v/>
      </c>
      <c r="V1149" s="168" t="str">
        <f>IFERROR(U1149/_xlfn.XLOOKUP(_xlfn.XLOOKUP($F1149,Clientes!$B$4:$B$39,Clientes!$C$4:$C$39),Cadastros!$L$6:$L$12,Cadastros!$M$6:$M$12)," ")</f>
        <v xml:space="preserve"> </v>
      </c>
      <c r="W1149" s="28"/>
      <c r="X1149" s="28"/>
      <c r="Y1149" s="255" t="str">
        <f>IF(W1149="","",(_xlfn.XLOOKUP(W1149,Cadastros!$D$6:$D$90,Cadastros!$E$6:$E$90))*(1-_xlfn.XLOOKUP(_xlfn.XLOOKUP($F1149,Clientes!$B$4:$B$39,Clientes!$C$4:$C$39),Cadastros!$L$6:$L$12,Cadastros!$N$6:$N$12)))</f>
        <v/>
      </c>
      <c r="Z1149" s="168" t="str">
        <f t="shared" si="225"/>
        <v/>
      </c>
      <c r="AA1149" s="168" t="str">
        <f>IFERROR(Z1149/_xlfn.XLOOKUP(_xlfn.XLOOKUP($F1149,Clientes!$B$4:$B$39,Clientes!$C$4:$C$39),Cadastros!$L$6:$L$12,Cadastros!$M$6:$M$12)," ")</f>
        <v xml:space="preserve"> </v>
      </c>
      <c r="AB1149" s="28"/>
      <c r="AC1149" s="28"/>
      <c r="AD1149" s="20" t="str">
        <f>IF(AB1149="","",IF($F1149="Bernardino Furlan",_xlfn.XLOOKUP(AB1149,Cadastros!$G$6:$G$90,Cadastros!$H$6:$H$90)*(1-0.18),IF($F1149="Mauro José Salanti",_xlfn.XLOOKUP(AB1149,Cadastros!$G$6:$G$90,Cadastros!$H$6:$H$90)*(1-0.18),_xlfn.XLOOKUP(AB1149,Cadastros!$G$6:$G$90,Cadastros!$H$6:$H$90))))</f>
        <v/>
      </c>
      <c r="AE1149" s="168" t="str">
        <f t="shared" si="226"/>
        <v/>
      </c>
      <c r="AF1149" s="168" t="str">
        <f t="shared" si="227"/>
        <v/>
      </c>
      <c r="AG1149" s="28"/>
      <c r="AH1149" s="28"/>
      <c r="AI1149" s="20" t="str">
        <f>IF(AG1149="","",IF($F1149="Bernardino Furlan",_xlfn.XLOOKUP(AG1149,Cadastros!$G$6:$G$90,Cadastros!$H$6:$H$90)*(1-0.18),IF($F1149="Mauro José Salanti",_xlfn.XLOOKUP(AG1149,Cadastros!$G$6:$G$90,Cadastros!$H$6:$H$90)*(1-0.18),_xlfn.XLOOKUP(AG1149,Cadastros!$G$6:$G$90,Cadastros!$H$6:$H$90))))</f>
        <v/>
      </c>
      <c r="AJ1149" s="168" t="str">
        <f t="shared" si="228"/>
        <v/>
      </c>
      <c r="AK1149" s="168" t="str">
        <f t="shared" si="229"/>
        <v/>
      </c>
      <c r="AL1149" s="28"/>
      <c r="AM1149" s="28"/>
      <c r="AN1149" s="20" t="str">
        <f>IF(AL1149="","",IF($F1149="Bernardino Furlan",_xlfn.XLOOKUP(AL1149,Cadastros!$G$6:$G$90,Cadastros!$H$6:$H$90)*(1-0.18),IF($F1149="Mauro José Salanti",_xlfn.XLOOKUP(AL1149,Cadastros!$G$6:$G$90,Cadastros!$H$6:$H$90)*(1-0.18),_xlfn.XLOOKUP(AL1149,Cadastros!$G$6:$G$90,Cadastros!$H$6:$H$90))))</f>
        <v/>
      </c>
      <c r="AO1149" s="168" t="str">
        <f t="shared" si="230"/>
        <v/>
      </c>
      <c r="AP1149" s="168" t="str">
        <f t="shared" si="231"/>
        <v/>
      </c>
      <c r="AQ1149" s="28"/>
      <c r="AR1149" s="28"/>
      <c r="AS1149" s="20" t="str">
        <f>IF(AQ1149="","",IF($F1149="Bernardino Furlan",_xlfn.XLOOKUP(AQ1149,Cadastros!$G$6:$G$90,Cadastros!$H$6:$H$90)*(1-0.18),IF($F1149="Mauro José Salanti",_xlfn.XLOOKUP(AQ1149,Cadastros!$G$6:$G$90,Cadastros!$H$6:$H$90)*(1-0.18),_xlfn.XLOOKUP(AQ1149,Cadastros!$G$6:$G$90,Cadastros!$H$6:$H$90))))</f>
        <v/>
      </c>
      <c r="AT1149" s="168" t="str">
        <f t="shared" si="232"/>
        <v/>
      </c>
      <c r="AU1149" s="168" t="str">
        <f t="shared" si="233"/>
        <v/>
      </c>
      <c r="AV1149" s="227"/>
      <c r="AW1149" s="30"/>
      <c r="AX1149" s="267"/>
      <c r="AY1149" s="267"/>
      <c r="AZ1149" s="29"/>
      <c r="BA1149" s="30"/>
      <c r="BB1149" s="23" t="str" cm="1">
        <f t="array" ref="BB1149">_xlfn.IFS(AW1149="SIM",SUM(K1149,P1149,U1149,Z1149,AE1149,AJ1149,AO1149,AT1149,AX1149,AY1149),F1149&lt;&gt;"",SUM(K1149,P1149,U1149,Z1149,AE1149,AJ1149,,AO1149,AT1149),F1149="","")</f>
        <v/>
      </c>
      <c r="BC1149" s="211" t="str" cm="1">
        <f t="array" ref="BC1149">_xlfn.IFS(E1149="","",G1149&lt;=E1149,BB1149*(1-0.03),G1149&lt;(E1149+8),BB1149,AZ1149="Boleto",BB1149*(1+0.001)^DATEDIF(E1149,G1149,"D"),AZ1149="Cheque",BB1149,AZ1149="Dinheiro","Alterar forma pgto")</f>
        <v/>
      </c>
      <c r="BD1149" s="276" t="str" cm="1">
        <f t="array" ref="BD1149">IF(F1149=0," ",IF(BC1149&lt;BB1149,(_xlfn.IFS(AW1149="SIM",SUM(L1149,Q1149,V1149,AA1149,AF1149,AK1149,AP1149,AU1149)+AX1149/_xlfn.XLOOKUP(_xlfn.XLOOKUP($F1149,Clientes!$B$4:$B$39,Clientes!$C$4:$C$39),Cadastros!$L$6:$L$12,Cadastros!$M$6:$M$12)+IF($F1149="Bernardino Furlan",AY1149/2751.92,IF($F1149="Mauro José Salanti",AY1149/2751.92,AY1149/3356)),F1149&lt;&gt;0,SUM(L1149,Q1149,V1149,AA1149,AF1149,AK1149,AP1149,AU1149)))*(1-0.03),_xlfn.IFS(AW1149="SIM",SUM(L1149,Q1149,V1149,AA1149,AF1149,AK1149,AP1149,AU1149)+AX1149/_xlfn.XLOOKUP(_xlfn.XLOOKUP($F1149,Clientes!$B$4:$B$39,Clientes!$C$4:$C$39),Cadastros!$L$6:$L$12,Cadastros!$M$6:$M$12)+IF($F1149="Bernardino Furlan",AY1149/2751.92,IF($F1149="Mauro José Salanti",AY1149/2751.92,AY1149/3356)),F1149&lt;&gt;0,SUM(L1149,Q1149,V1149,AA1149,AF1149,AK1149,AP1149,AU1149))))</f>
        <v xml:space="preserve"> </v>
      </c>
      <c r="BE1149" s="120"/>
      <c r="BF1149" s="120"/>
      <c r="BG1149" s="120"/>
    </row>
    <row r="1150" spans="1:59" s="3" customFormat="1" x14ac:dyDescent="0.3">
      <c r="A1150" s="15" t="str">
        <f t="shared" si="221"/>
        <v/>
      </c>
      <c r="B1150" s="25"/>
      <c r="C1150" s="26"/>
      <c r="D1150" s="279"/>
      <c r="E1150" s="27"/>
      <c r="F1150" s="28"/>
      <c r="G1150" s="27"/>
      <c r="H1150" s="28"/>
      <c r="I1150" s="28"/>
      <c r="J1150" s="255" t="str">
        <f>IF(H1150="","",(_xlfn.XLOOKUP(H1150,Cadastros!$D$6:$D$90,Cadastros!$E$6:$E$90))*(1-_xlfn.XLOOKUP(_xlfn.XLOOKUP($F1150,Clientes!$B$4:$B$39,Clientes!$C$4:$C$39),Cadastros!$L$6:$L$12,Cadastros!$N$6:$N$12)))</f>
        <v/>
      </c>
      <c r="K1150" s="168" t="str">
        <f t="shared" si="222"/>
        <v/>
      </c>
      <c r="L1150" s="168" t="str">
        <f>IFERROR(K1150/_xlfn.XLOOKUP(_xlfn.XLOOKUP($F1150,Clientes!$B$4:$B$39,Clientes!$C$4:$C$39),Cadastros!$L$6:$L$12,Cadastros!$M$6:$M$12)," ")</f>
        <v xml:space="preserve"> </v>
      </c>
      <c r="M1150" s="28"/>
      <c r="N1150" s="28"/>
      <c r="O1150" s="255" t="str">
        <f>IF(M1150="","",(_xlfn.XLOOKUP(M1150,Cadastros!$D$6:$D$90,Cadastros!$E$6:$E$90))*(1-_xlfn.XLOOKUP(_xlfn.XLOOKUP($F1150,Clientes!$B$4:$B$39,Clientes!$C$4:$C$39),Cadastros!$L$6:$L$12,Cadastros!$N$6:$N$12)))</f>
        <v/>
      </c>
      <c r="P1150" s="168" t="str">
        <f t="shared" si="223"/>
        <v/>
      </c>
      <c r="Q1150" s="168" t="str">
        <f>IFERROR(P1150/_xlfn.XLOOKUP(_xlfn.XLOOKUP($F1150,Clientes!$B$4:$B$39,Clientes!$C$4:$C$39),Cadastros!$L$6:$L$12,Cadastros!$M$6:$M$12)," ")</f>
        <v xml:space="preserve"> </v>
      </c>
      <c r="R1150" s="28"/>
      <c r="S1150" s="28"/>
      <c r="T1150" s="255" t="str">
        <f>IF(R1150="","",(_xlfn.XLOOKUP(R1150,Cadastros!$D$6:$D$90,Cadastros!$E$6:$E$90))*(1-_xlfn.XLOOKUP(_xlfn.XLOOKUP($F1150,Clientes!$B$4:$B$39,Clientes!$C$4:$C$39),Cadastros!$L$6:$L$12,Cadastros!$N$6:$N$12)))</f>
        <v/>
      </c>
      <c r="U1150" s="168" t="str">
        <f t="shared" si="224"/>
        <v/>
      </c>
      <c r="V1150" s="168" t="str">
        <f>IFERROR(U1150/_xlfn.XLOOKUP(_xlfn.XLOOKUP($F1150,Clientes!$B$4:$B$39,Clientes!$C$4:$C$39),Cadastros!$L$6:$L$12,Cadastros!$M$6:$M$12)," ")</f>
        <v xml:space="preserve"> </v>
      </c>
      <c r="W1150" s="28"/>
      <c r="X1150" s="28"/>
      <c r="Y1150" s="255" t="str">
        <f>IF(W1150="","",(_xlfn.XLOOKUP(W1150,Cadastros!$D$6:$D$90,Cadastros!$E$6:$E$90))*(1-_xlfn.XLOOKUP(_xlfn.XLOOKUP($F1150,Clientes!$B$4:$B$39,Clientes!$C$4:$C$39),Cadastros!$L$6:$L$12,Cadastros!$N$6:$N$12)))</f>
        <v/>
      </c>
      <c r="Z1150" s="168" t="str">
        <f t="shared" si="225"/>
        <v/>
      </c>
      <c r="AA1150" s="168" t="str">
        <f>IFERROR(Z1150/_xlfn.XLOOKUP(_xlfn.XLOOKUP($F1150,Clientes!$B$4:$B$39,Clientes!$C$4:$C$39),Cadastros!$L$6:$L$12,Cadastros!$M$6:$M$12)," ")</f>
        <v xml:space="preserve"> </v>
      </c>
      <c r="AB1150" s="28"/>
      <c r="AC1150" s="28"/>
      <c r="AD1150" s="20" t="str">
        <f>IF(AB1150="","",IF($F1150="Bernardino Furlan",_xlfn.XLOOKUP(AB1150,Cadastros!$G$6:$G$90,Cadastros!$H$6:$H$90)*(1-0.18),IF($F1150="Mauro José Salanti",_xlfn.XLOOKUP(AB1150,Cadastros!$G$6:$G$90,Cadastros!$H$6:$H$90)*(1-0.18),_xlfn.XLOOKUP(AB1150,Cadastros!$G$6:$G$90,Cadastros!$H$6:$H$90))))</f>
        <v/>
      </c>
      <c r="AE1150" s="168" t="str">
        <f t="shared" si="226"/>
        <v/>
      </c>
      <c r="AF1150" s="168" t="str">
        <f t="shared" si="227"/>
        <v/>
      </c>
      <c r="AG1150" s="28"/>
      <c r="AH1150" s="28"/>
      <c r="AI1150" s="20" t="str">
        <f>IF(AG1150="","",IF($F1150="Bernardino Furlan",_xlfn.XLOOKUP(AG1150,Cadastros!$G$6:$G$90,Cadastros!$H$6:$H$90)*(1-0.18),IF($F1150="Mauro José Salanti",_xlfn.XLOOKUP(AG1150,Cadastros!$G$6:$G$90,Cadastros!$H$6:$H$90)*(1-0.18),_xlfn.XLOOKUP(AG1150,Cadastros!$G$6:$G$90,Cadastros!$H$6:$H$90))))</f>
        <v/>
      </c>
      <c r="AJ1150" s="168" t="str">
        <f t="shared" si="228"/>
        <v/>
      </c>
      <c r="AK1150" s="168" t="str">
        <f t="shared" si="229"/>
        <v/>
      </c>
      <c r="AL1150" s="28"/>
      <c r="AM1150" s="28"/>
      <c r="AN1150" s="20" t="str">
        <f>IF(AL1150="","",IF($F1150="Bernardino Furlan",_xlfn.XLOOKUP(AL1150,Cadastros!$G$6:$G$90,Cadastros!$H$6:$H$90)*(1-0.18),IF($F1150="Mauro José Salanti",_xlfn.XLOOKUP(AL1150,Cadastros!$G$6:$G$90,Cadastros!$H$6:$H$90)*(1-0.18),_xlfn.XLOOKUP(AL1150,Cadastros!$G$6:$G$90,Cadastros!$H$6:$H$90))))</f>
        <v/>
      </c>
      <c r="AO1150" s="168" t="str">
        <f t="shared" si="230"/>
        <v/>
      </c>
      <c r="AP1150" s="168" t="str">
        <f t="shared" si="231"/>
        <v/>
      </c>
      <c r="AQ1150" s="28"/>
      <c r="AR1150" s="28"/>
      <c r="AS1150" s="20" t="str">
        <f>IF(AQ1150="","",IF($F1150="Bernardino Furlan",_xlfn.XLOOKUP(AQ1150,Cadastros!$G$6:$G$90,Cadastros!$H$6:$H$90)*(1-0.18),IF($F1150="Mauro José Salanti",_xlfn.XLOOKUP(AQ1150,Cadastros!$G$6:$G$90,Cadastros!$H$6:$H$90)*(1-0.18),_xlfn.XLOOKUP(AQ1150,Cadastros!$G$6:$G$90,Cadastros!$H$6:$H$90))))</f>
        <v/>
      </c>
      <c r="AT1150" s="168" t="str">
        <f t="shared" si="232"/>
        <v/>
      </c>
      <c r="AU1150" s="168" t="str">
        <f t="shared" si="233"/>
        <v/>
      </c>
      <c r="AV1150" s="227"/>
      <c r="AW1150" s="30"/>
      <c r="AX1150" s="267"/>
      <c r="AY1150" s="267"/>
      <c r="AZ1150" s="29"/>
      <c r="BA1150" s="30"/>
      <c r="BB1150" s="23" t="str" cm="1">
        <f t="array" ref="BB1150">_xlfn.IFS(AW1150="SIM",SUM(K1150,P1150,U1150,Z1150,AE1150,AJ1150,AO1150,AT1150,AX1150,AY1150),F1150&lt;&gt;"",SUM(K1150,P1150,U1150,Z1150,AE1150,AJ1150,,AO1150,AT1150),F1150="","")</f>
        <v/>
      </c>
      <c r="BC1150" s="211" t="str" cm="1">
        <f t="array" ref="BC1150">_xlfn.IFS(E1150="","",G1150&lt;=E1150,BB1150*(1-0.03),G1150&lt;(E1150+8),BB1150,AZ1150="Boleto",BB1150*(1+0.001)^DATEDIF(E1150,G1150,"D"),AZ1150="Cheque",BB1150,AZ1150="Dinheiro","Alterar forma pgto")</f>
        <v/>
      </c>
      <c r="BD1150" s="276" t="str" cm="1">
        <f t="array" ref="BD1150">IF(F1150=0," ",IF(BC1150&lt;BB1150,(_xlfn.IFS(AW1150="SIM",SUM(L1150,Q1150,V1150,AA1150,AF1150,AK1150,AP1150,AU1150)+AX1150/_xlfn.XLOOKUP(_xlfn.XLOOKUP($F1150,Clientes!$B$4:$B$39,Clientes!$C$4:$C$39),Cadastros!$L$6:$L$12,Cadastros!$M$6:$M$12)+IF($F1150="Bernardino Furlan",AY1150/2751.92,IF($F1150="Mauro José Salanti",AY1150/2751.92,AY1150/3356)),F1150&lt;&gt;0,SUM(L1150,Q1150,V1150,AA1150,AF1150,AK1150,AP1150,AU1150)))*(1-0.03),_xlfn.IFS(AW1150="SIM",SUM(L1150,Q1150,V1150,AA1150,AF1150,AK1150,AP1150,AU1150)+AX1150/_xlfn.XLOOKUP(_xlfn.XLOOKUP($F1150,Clientes!$B$4:$B$39,Clientes!$C$4:$C$39),Cadastros!$L$6:$L$12,Cadastros!$M$6:$M$12)+IF($F1150="Bernardino Furlan",AY1150/2751.92,IF($F1150="Mauro José Salanti",AY1150/2751.92,AY1150/3356)),F1150&lt;&gt;0,SUM(L1150,Q1150,V1150,AA1150,AF1150,AK1150,AP1150,AU1150))))</f>
        <v xml:space="preserve"> </v>
      </c>
      <c r="BE1150" s="120"/>
      <c r="BF1150" s="120"/>
      <c r="BG1150" s="120"/>
    </row>
    <row r="1151" spans="1:59" s="3" customFormat="1" x14ac:dyDescent="0.3">
      <c r="A1151" s="15" t="str">
        <f t="shared" si="221"/>
        <v/>
      </c>
      <c r="B1151" s="25"/>
      <c r="C1151" s="26"/>
      <c r="D1151" s="279"/>
      <c r="E1151" s="27"/>
      <c r="F1151" s="28"/>
      <c r="G1151" s="27"/>
      <c r="H1151" s="28"/>
      <c r="I1151" s="28"/>
      <c r="J1151" s="255" t="str">
        <f>IF(H1151="","",(_xlfn.XLOOKUP(H1151,Cadastros!$D$6:$D$90,Cadastros!$E$6:$E$90))*(1-_xlfn.XLOOKUP(_xlfn.XLOOKUP($F1151,Clientes!$B$4:$B$39,Clientes!$C$4:$C$39),Cadastros!$L$6:$L$12,Cadastros!$N$6:$N$12)))</f>
        <v/>
      </c>
      <c r="K1151" s="168" t="str">
        <f t="shared" si="222"/>
        <v/>
      </c>
      <c r="L1151" s="168" t="str">
        <f>IFERROR(K1151/_xlfn.XLOOKUP(_xlfn.XLOOKUP($F1151,Clientes!$B$4:$B$39,Clientes!$C$4:$C$39),Cadastros!$L$6:$L$12,Cadastros!$M$6:$M$12)," ")</f>
        <v xml:space="preserve"> </v>
      </c>
      <c r="M1151" s="28"/>
      <c r="N1151" s="28"/>
      <c r="O1151" s="255" t="str">
        <f>IF(M1151="","",(_xlfn.XLOOKUP(M1151,Cadastros!$D$6:$D$90,Cadastros!$E$6:$E$90))*(1-_xlfn.XLOOKUP(_xlfn.XLOOKUP($F1151,Clientes!$B$4:$B$39,Clientes!$C$4:$C$39),Cadastros!$L$6:$L$12,Cadastros!$N$6:$N$12)))</f>
        <v/>
      </c>
      <c r="P1151" s="168" t="str">
        <f t="shared" si="223"/>
        <v/>
      </c>
      <c r="Q1151" s="168" t="str">
        <f>IFERROR(P1151/_xlfn.XLOOKUP(_xlfn.XLOOKUP($F1151,Clientes!$B$4:$B$39,Clientes!$C$4:$C$39),Cadastros!$L$6:$L$12,Cadastros!$M$6:$M$12)," ")</f>
        <v xml:space="preserve"> </v>
      </c>
      <c r="R1151" s="28"/>
      <c r="S1151" s="28"/>
      <c r="T1151" s="255" t="str">
        <f>IF(R1151="","",(_xlfn.XLOOKUP(R1151,Cadastros!$D$6:$D$90,Cadastros!$E$6:$E$90))*(1-_xlfn.XLOOKUP(_xlfn.XLOOKUP($F1151,Clientes!$B$4:$B$39,Clientes!$C$4:$C$39),Cadastros!$L$6:$L$12,Cadastros!$N$6:$N$12)))</f>
        <v/>
      </c>
      <c r="U1151" s="168" t="str">
        <f t="shared" si="224"/>
        <v/>
      </c>
      <c r="V1151" s="168" t="str">
        <f>IFERROR(U1151/_xlfn.XLOOKUP(_xlfn.XLOOKUP($F1151,Clientes!$B$4:$B$39,Clientes!$C$4:$C$39),Cadastros!$L$6:$L$12,Cadastros!$M$6:$M$12)," ")</f>
        <v xml:space="preserve"> </v>
      </c>
      <c r="W1151" s="28"/>
      <c r="X1151" s="28"/>
      <c r="Y1151" s="255" t="str">
        <f>IF(W1151="","",(_xlfn.XLOOKUP(W1151,Cadastros!$D$6:$D$90,Cadastros!$E$6:$E$90))*(1-_xlfn.XLOOKUP(_xlfn.XLOOKUP($F1151,Clientes!$B$4:$B$39,Clientes!$C$4:$C$39),Cadastros!$L$6:$L$12,Cadastros!$N$6:$N$12)))</f>
        <v/>
      </c>
      <c r="Z1151" s="168" t="str">
        <f t="shared" si="225"/>
        <v/>
      </c>
      <c r="AA1151" s="168" t="str">
        <f>IFERROR(Z1151/_xlfn.XLOOKUP(_xlfn.XLOOKUP($F1151,Clientes!$B$4:$B$39,Clientes!$C$4:$C$39),Cadastros!$L$6:$L$12,Cadastros!$M$6:$M$12)," ")</f>
        <v xml:space="preserve"> </v>
      </c>
      <c r="AB1151" s="28"/>
      <c r="AC1151" s="28"/>
      <c r="AD1151" s="20" t="str">
        <f>IF(AB1151="","",IF($F1151="Bernardino Furlan",_xlfn.XLOOKUP(AB1151,Cadastros!$G$6:$G$90,Cadastros!$H$6:$H$90)*(1-0.18),IF($F1151="Mauro José Salanti",_xlfn.XLOOKUP(AB1151,Cadastros!$G$6:$G$90,Cadastros!$H$6:$H$90)*(1-0.18),_xlfn.XLOOKUP(AB1151,Cadastros!$G$6:$G$90,Cadastros!$H$6:$H$90))))</f>
        <v/>
      </c>
      <c r="AE1151" s="168" t="str">
        <f t="shared" si="226"/>
        <v/>
      </c>
      <c r="AF1151" s="168" t="str">
        <f t="shared" si="227"/>
        <v/>
      </c>
      <c r="AG1151" s="28"/>
      <c r="AH1151" s="28"/>
      <c r="AI1151" s="20" t="str">
        <f>IF(AG1151="","",IF($F1151="Bernardino Furlan",_xlfn.XLOOKUP(AG1151,Cadastros!$G$6:$G$90,Cadastros!$H$6:$H$90)*(1-0.18),IF($F1151="Mauro José Salanti",_xlfn.XLOOKUP(AG1151,Cadastros!$G$6:$G$90,Cadastros!$H$6:$H$90)*(1-0.18),_xlfn.XLOOKUP(AG1151,Cadastros!$G$6:$G$90,Cadastros!$H$6:$H$90))))</f>
        <v/>
      </c>
      <c r="AJ1151" s="168" t="str">
        <f t="shared" si="228"/>
        <v/>
      </c>
      <c r="AK1151" s="168" t="str">
        <f t="shared" si="229"/>
        <v/>
      </c>
      <c r="AL1151" s="28"/>
      <c r="AM1151" s="28"/>
      <c r="AN1151" s="20" t="str">
        <f>IF(AL1151="","",IF($F1151="Bernardino Furlan",_xlfn.XLOOKUP(AL1151,Cadastros!$G$6:$G$90,Cadastros!$H$6:$H$90)*(1-0.18),IF($F1151="Mauro José Salanti",_xlfn.XLOOKUP(AL1151,Cadastros!$G$6:$G$90,Cadastros!$H$6:$H$90)*(1-0.18),_xlfn.XLOOKUP(AL1151,Cadastros!$G$6:$G$90,Cadastros!$H$6:$H$90))))</f>
        <v/>
      </c>
      <c r="AO1151" s="168" t="str">
        <f t="shared" si="230"/>
        <v/>
      </c>
      <c r="AP1151" s="168" t="str">
        <f t="shared" si="231"/>
        <v/>
      </c>
      <c r="AQ1151" s="28"/>
      <c r="AR1151" s="28"/>
      <c r="AS1151" s="20" t="str">
        <f>IF(AQ1151="","",IF($F1151="Bernardino Furlan",_xlfn.XLOOKUP(AQ1151,Cadastros!$G$6:$G$90,Cadastros!$H$6:$H$90)*(1-0.18),IF($F1151="Mauro José Salanti",_xlfn.XLOOKUP(AQ1151,Cadastros!$G$6:$G$90,Cadastros!$H$6:$H$90)*(1-0.18),_xlfn.XLOOKUP(AQ1151,Cadastros!$G$6:$G$90,Cadastros!$H$6:$H$90))))</f>
        <v/>
      </c>
      <c r="AT1151" s="168" t="str">
        <f t="shared" si="232"/>
        <v/>
      </c>
      <c r="AU1151" s="168" t="str">
        <f t="shared" si="233"/>
        <v/>
      </c>
      <c r="AV1151" s="227"/>
      <c r="AW1151" s="30"/>
      <c r="AX1151" s="267"/>
      <c r="AY1151" s="267"/>
      <c r="AZ1151" s="29"/>
      <c r="BA1151" s="30"/>
      <c r="BB1151" s="23" t="str" cm="1">
        <f t="array" ref="BB1151">_xlfn.IFS(AW1151="SIM",SUM(K1151,P1151,U1151,Z1151,AE1151,AJ1151,AO1151,AT1151,AX1151,AY1151),F1151&lt;&gt;"",SUM(K1151,P1151,U1151,Z1151,AE1151,AJ1151,,AO1151,AT1151),F1151="","")</f>
        <v/>
      </c>
      <c r="BC1151" s="211" t="str" cm="1">
        <f t="array" ref="BC1151">_xlfn.IFS(E1151="","",G1151&lt;=E1151,BB1151*(1-0.03),G1151&lt;(E1151+8),BB1151,AZ1151="Boleto",BB1151*(1+0.001)^DATEDIF(E1151,G1151,"D"),AZ1151="Cheque",BB1151,AZ1151="Dinheiro","Alterar forma pgto")</f>
        <v/>
      </c>
      <c r="BD1151" s="276" t="str" cm="1">
        <f t="array" ref="BD1151">IF(F1151=0," ",IF(BC1151&lt;BB1151,(_xlfn.IFS(AW1151="SIM",SUM(L1151,Q1151,V1151,AA1151,AF1151,AK1151,AP1151,AU1151)+AX1151/_xlfn.XLOOKUP(_xlfn.XLOOKUP($F1151,Clientes!$B$4:$B$39,Clientes!$C$4:$C$39),Cadastros!$L$6:$L$12,Cadastros!$M$6:$M$12)+IF($F1151="Bernardino Furlan",AY1151/2751.92,IF($F1151="Mauro José Salanti",AY1151/2751.92,AY1151/3356)),F1151&lt;&gt;0,SUM(L1151,Q1151,V1151,AA1151,AF1151,AK1151,AP1151,AU1151)))*(1-0.03),_xlfn.IFS(AW1151="SIM",SUM(L1151,Q1151,V1151,AA1151,AF1151,AK1151,AP1151,AU1151)+AX1151/_xlfn.XLOOKUP(_xlfn.XLOOKUP($F1151,Clientes!$B$4:$B$39,Clientes!$C$4:$C$39),Cadastros!$L$6:$L$12,Cadastros!$M$6:$M$12)+IF($F1151="Bernardino Furlan",AY1151/2751.92,IF($F1151="Mauro José Salanti",AY1151/2751.92,AY1151/3356)),F1151&lt;&gt;0,SUM(L1151,Q1151,V1151,AA1151,AF1151,AK1151,AP1151,AU1151))))</f>
        <v xml:space="preserve"> </v>
      </c>
      <c r="BE1151" s="120"/>
      <c r="BF1151" s="120"/>
      <c r="BG1151" s="120"/>
    </row>
    <row r="1152" spans="1:59" s="3" customFormat="1" x14ac:dyDescent="0.3">
      <c r="A1152" s="15" t="str">
        <f t="shared" si="221"/>
        <v/>
      </c>
      <c r="B1152" s="25"/>
      <c r="C1152" s="26"/>
      <c r="D1152" s="279"/>
      <c r="E1152" s="27"/>
      <c r="F1152" s="28"/>
      <c r="G1152" s="27"/>
      <c r="H1152" s="28"/>
      <c r="I1152" s="28"/>
      <c r="J1152" s="255" t="str">
        <f>IF(H1152="","",(_xlfn.XLOOKUP(H1152,Cadastros!$D$6:$D$90,Cadastros!$E$6:$E$90))*(1-_xlfn.XLOOKUP(_xlfn.XLOOKUP($F1152,Clientes!$B$4:$B$39,Clientes!$C$4:$C$39),Cadastros!$L$6:$L$12,Cadastros!$N$6:$N$12)))</f>
        <v/>
      </c>
      <c r="K1152" s="168" t="str">
        <f t="shared" si="222"/>
        <v/>
      </c>
      <c r="L1152" s="168" t="str">
        <f>IFERROR(K1152/_xlfn.XLOOKUP(_xlfn.XLOOKUP($F1152,Clientes!$B$4:$B$39,Clientes!$C$4:$C$39),Cadastros!$L$6:$L$12,Cadastros!$M$6:$M$12)," ")</f>
        <v xml:space="preserve"> </v>
      </c>
      <c r="M1152" s="28"/>
      <c r="N1152" s="28"/>
      <c r="O1152" s="255" t="str">
        <f>IF(M1152="","",(_xlfn.XLOOKUP(M1152,Cadastros!$D$6:$D$90,Cadastros!$E$6:$E$90))*(1-_xlfn.XLOOKUP(_xlfn.XLOOKUP($F1152,Clientes!$B$4:$B$39,Clientes!$C$4:$C$39),Cadastros!$L$6:$L$12,Cadastros!$N$6:$N$12)))</f>
        <v/>
      </c>
      <c r="P1152" s="168" t="str">
        <f t="shared" si="223"/>
        <v/>
      </c>
      <c r="Q1152" s="168" t="str">
        <f>IFERROR(P1152/_xlfn.XLOOKUP(_xlfn.XLOOKUP($F1152,Clientes!$B$4:$B$39,Clientes!$C$4:$C$39),Cadastros!$L$6:$L$12,Cadastros!$M$6:$M$12)," ")</f>
        <v xml:space="preserve"> </v>
      </c>
      <c r="R1152" s="28"/>
      <c r="S1152" s="28"/>
      <c r="T1152" s="255" t="str">
        <f>IF(R1152="","",(_xlfn.XLOOKUP(R1152,Cadastros!$D$6:$D$90,Cadastros!$E$6:$E$90))*(1-_xlfn.XLOOKUP(_xlfn.XLOOKUP($F1152,Clientes!$B$4:$B$39,Clientes!$C$4:$C$39),Cadastros!$L$6:$L$12,Cadastros!$N$6:$N$12)))</f>
        <v/>
      </c>
      <c r="U1152" s="168" t="str">
        <f t="shared" si="224"/>
        <v/>
      </c>
      <c r="V1152" s="168" t="str">
        <f>IFERROR(U1152/_xlfn.XLOOKUP(_xlfn.XLOOKUP($F1152,Clientes!$B$4:$B$39,Clientes!$C$4:$C$39),Cadastros!$L$6:$L$12,Cadastros!$M$6:$M$12)," ")</f>
        <v xml:space="preserve"> </v>
      </c>
      <c r="W1152" s="28"/>
      <c r="X1152" s="28"/>
      <c r="Y1152" s="255" t="str">
        <f>IF(W1152="","",(_xlfn.XLOOKUP(W1152,Cadastros!$D$6:$D$90,Cadastros!$E$6:$E$90))*(1-_xlfn.XLOOKUP(_xlfn.XLOOKUP($F1152,Clientes!$B$4:$B$39,Clientes!$C$4:$C$39),Cadastros!$L$6:$L$12,Cadastros!$N$6:$N$12)))</f>
        <v/>
      </c>
      <c r="Z1152" s="168" t="str">
        <f t="shared" si="225"/>
        <v/>
      </c>
      <c r="AA1152" s="168" t="str">
        <f>IFERROR(Z1152/_xlfn.XLOOKUP(_xlfn.XLOOKUP($F1152,Clientes!$B$4:$B$39,Clientes!$C$4:$C$39),Cadastros!$L$6:$L$12,Cadastros!$M$6:$M$12)," ")</f>
        <v xml:space="preserve"> </v>
      </c>
      <c r="AB1152" s="28"/>
      <c r="AC1152" s="28"/>
      <c r="AD1152" s="20" t="str">
        <f>IF(AB1152="","",IF($F1152="Bernardino Furlan",_xlfn.XLOOKUP(AB1152,Cadastros!$G$6:$G$90,Cadastros!$H$6:$H$90)*(1-0.18),IF($F1152="Mauro José Salanti",_xlfn.XLOOKUP(AB1152,Cadastros!$G$6:$G$90,Cadastros!$H$6:$H$90)*(1-0.18),_xlfn.XLOOKUP(AB1152,Cadastros!$G$6:$G$90,Cadastros!$H$6:$H$90))))</f>
        <v/>
      </c>
      <c r="AE1152" s="168" t="str">
        <f t="shared" si="226"/>
        <v/>
      </c>
      <c r="AF1152" s="168" t="str">
        <f t="shared" si="227"/>
        <v/>
      </c>
      <c r="AG1152" s="28"/>
      <c r="AH1152" s="28"/>
      <c r="AI1152" s="20" t="str">
        <f>IF(AG1152="","",IF($F1152="Bernardino Furlan",_xlfn.XLOOKUP(AG1152,Cadastros!$G$6:$G$90,Cadastros!$H$6:$H$90)*(1-0.18),IF($F1152="Mauro José Salanti",_xlfn.XLOOKUP(AG1152,Cadastros!$G$6:$G$90,Cadastros!$H$6:$H$90)*(1-0.18),_xlfn.XLOOKUP(AG1152,Cadastros!$G$6:$G$90,Cadastros!$H$6:$H$90))))</f>
        <v/>
      </c>
      <c r="AJ1152" s="168" t="str">
        <f t="shared" si="228"/>
        <v/>
      </c>
      <c r="AK1152" s="168" t="str">
        <f t="shared" si="229"/>
        <v/>
      </c>
      <c r="AL1152" s="28"/>
      <c r="AM1152" s="28"/>
      <c r="AN1152" s="20" t="str">
        <f>IF(AL1152="","",IF($F1152="Bernardino Furlan",_xlfn.XLOOKUP(AL1152,Cadastros!$G$6:$G$90,Cadastros!$H$6:$H$90)*(1-0.18),IF($F1152="Mauro José Salanti",_xlfn.XLOOKUP(AL1152,Cadastros!$G$6:$G$90,Cadastros!$H$6:$H$90)*(1-0.18),_xlfn.XLOOKUP(AL1152,Cadastros!$G$6:$G$90,Cadastros!$H$6:$H$90))))</f>
        <v/>
      </c>
      <c r="AO1152" s="168" t="str">
        <f t="shared" si="230"/>
        <v/>
      </c>
      <c r="AP1152" s="168" t="str">
        <f t="shared" si="231"/>
        <v/>
      </c>
      <c r="AQ1152" s="28"/>
      <c r="AR1152" s="28"/>
      <c r="AS1152" s="20" t="str">
        <f>IF(AQ1152="","",IF($F1152="Bernardino Furlan",_xlfn.XLOOKUP(AQ1152,Cadastros!$G$6:$G$90,Cadastros!$H$6:$H$90)*(1-0.18),IF($F1152="Mauro José Salanti",_xlfn.XLOOKUP(AQ1152,Cadastros!$G$6:$G$90,Cadastros!$H$6:$H$90)*(1-0.18),_xlfn.XLOOKUP(AQ1152,Cadastros!$G$6:$G$90,Cadastros!$H$6:$H$90))))</f>
        <v/>
      </c>
      <c r="AT1152" s="168" t="str">
        <f t="shared" si="232"/>
        <v/>
      </c>
      <c r="AU1152" s="168" t="str">
        <f t="shared" si="233"/>
        <v/>
      </c>
      <c r="AV1152" s="227"/>
      <c r="AW1152" s="30"/>
      <c r="AX1152" s="267"/>
      <c r="AY1152" s="267"/>
      <c r="AZ1152" s="29"/>
      <c r="BA1152" s="30"/>
      <c r="BB1152" s="23" t="str" cm="1">
        <f t="array" ref="BB1152">_xlfn.IFS(AW1152="SIM",SUM(K1152,P1152,U1152,Z1152,AE1152,AJ1152,AO1152,AT1152,AX1152,AY1152),F1152&lt;&gt;"",SUM(K1152,P1152,U1152,Z1152,AE1152,AJ1152,,AO1152,AT1152),F1152="","")</f>
        <v/>
      </c>
      <c r="BC1152" s="211" t="str" cm="1">
        <f t="array" ref="BC1152">_xlfn.IFS(E1152="","",G1152&lt;=E1152,BB1152*(1-0.03),G1152&lt;(E1152+8),BB1152,AZ1152="Boleto",BB1152*(1+0.001)^DATEDIF(E1152,G1152,"D"),AZ1152="Cheque",BB1152,AZ1152="Dinheiro","Alterar forma pgto")</f>
        <v/>
      </c>
      <c r="BD1152" s="276" t="str" cm="1">
        <f t="array" ref="BD1152">IF(F1152=0," ",IF(BC1152&lt;BB1152,(_xlfn.IFS(AW1152="SIM",SUM(L1152,Q1152,V1152,AA1152,AF1152,AK1152,AP1152,AU1152)+AX1152/_xlfn.XLOOKUP(_xlfn.XLOOKUP($F1152,Clientes!$B$4:$B$39,Clientes!$C$4:$C$39),Cadastros!$L$6:$L$12,Cadastros!$M$6:$M$12)+IF($F1152="Bernardino Furlan",AY1152/2751.92,IF($F1152="Mauro José Salanti",AY1152/2751.92,AY1152/3356)),F1152&lt;&gt;0,SUM(L1152,Q1152,V1152,AA1152,AF1152,AK1152,AP1152,AU1152)))*(1-0.03),_xlfn.IFS(AW1152="SIM",SUM(L1152,Q1152,V1152,AA1152,AF1152,AK1152,AP1152,AU1152)+AX1152/_xlfn.XLOOKUP(_xlfn.XLOOKUP($F1152,Clientes!$B$4:$B$39,Clientes!$C$4:$C$39),Cadastros!$L$6:$L$12,Cadastros!$M$6:$M$12)+IF($F1152="Bernardino Furlan",AY1152/2751.92,IF($F1152="Mauro José Salanti",AY1152/2751.92,AY1152/3356)),F1152&lt;&gt;0,SUM(L1152,Q1152,V1152,AA1152,AF1152,AK1152,AP1152,AU1152))))</f>
        <v xml:space="preserve"> </v>
      </c>
      <c r="BE1152" s="120"/>
      <c r="BF1152" s="120"/>
      <c r="BG1152" s="120"/>
    </row>
    <row r="1153" spans="1:59" s="3" customFormat="1" x14ac:dyDescent="0.3">
      <c r="A1153" s="15" t="str">
        <f t="shared" si="221"/>
        <v/>
      </c>
      <c r="B1153" s="25"/>
      <c r="C1153" s="26"/>
      <c r="D1153" s="279"/>
      <c r="E1153" s="27"/>
      <c r="F1153" s="28"/>
      <c r="G1153" s="27"/>
      <c r="H1153" s="28"/>
      <c r="I1153" s="28"/>
      <c r="J1153" s="255" t="str">
        <f>IF(H1153="","",(_xlfn.XLOOKUP(H1153,Cadastros!$D$6:$D$90,Cadastros!$E$6:$E$90))*(1-_xlfn.XLOOKUP(_xlfn.XLOOKUP($F1153,Clientes!$B$4:$B$39,Clientes!$C$4:$C$39),Cadastros!$L$6:$L$12,Cadastros!$N$6:$N$12)))</f>
        <v/>
      </c>
      <c r="K1153" s="168" t="str">
        <f t="shared" si="222"/>
        <v/>
      </c>
      <c r="L1153" s="168" t="str">
        <f>IFERROR(K1153/_xlfn.XLOOKUP(_xlfn.XLOOKUP($F1153,Clientes!$B$4:$B$39,Clientes!$C$4:$C$39),Cadastros!$L$6:$L$12,Cadastros!$M$6:$M$12)," ")</f>
        <v xml:space="preserve"> </v>
      </c>
      <c r="M1153" s="28"/>
      <c r="N1153" s="28"/>
      <c r="O1153" s="255" t="str">
        <f>IF(M1153="","",(_xlfn.XLOOKUP(M1153,Cadastros!$D$6:$D$90,Cadastros!$E$6:$E$90))*(1-_xlfn.XLOOKUP(_xlfn.XLOOKUP($F1153,Clientes!$B$4:$B$39,Clientes!$C$4:$C$39),Cadastros!$L$6:$L$12,Cadastros!$N$6:$N$12)))</f>
        <v/>
      </c>
      <c r="P1153" s="168" t="str">
        <f t="shared" si="223"/>
        <v/>
      </c>
      <c r="Q1153" s="168" t="str">
        <f>IFERROR(P1153/_xlfn.XLOOKUP(_xlfn.XLOOKUP($F1153,Clientes!$B$4:$B$39,Clientes!$C$4:$C$39),Cadastros!$L$6:$L$12,Cadastros!$M$6:$M$12)," ")</f>
        <v xml:space="preserve"> </v>
      </c>
      <c r="R1153" s="28"/>
      <c r="S1153" s="28"/>
      <c r="T1153" s="255" t="str">
        <f>IF(R1153="","",(_xlfn.XLOOKUP(R1153,Cadastros!$D$6:$D$90,Cadastros!$E$6:$E$90))*(1-_xlfn.XLOOKUP(_xlfn.XLOOKUP($F1153,Clientes!$B$4:$B$39,Clientes!$C$4:$C$39),Cadastros!$L$6:$L$12,Cadastros!$N$6:$N$12)))</f>
        <v/>
      </c>
      <c r="U1153" s="168" t="str">
        <f t="shared" si="224"/>
        <v/>
      </c>
      <c r="V1153" s="168" t="str">
        <f>IFERROR(U1153/_xlfn.XLOOKUP(_xlfn.XLOOKUP($F1153,Clientes!$B$4:$B$39,Clientes!$C$4:$C$39),Cadastros!$L$6:$L$12,Cadastros!$M$6:$M$12)," ")</f>
        <v xml:space="preserve"> </v>
      </c>
      <c r="W1153" s="28"/>
      <c r="X1153" s="28"/>
      <c r="Y1153" s="255" t="str">
        <f>IF(W1153="","",(_xlfn.XLOOKUP(W1153,Cadastros!$D$6:$D$90,Cadastros!$E$6:$E$90))*(1-_xlfn.XLOOKUP(_xlfn.XLOOKUP($F1153,Clientes!$B$4:$B$39,Clientes!$C$4:$C$39),Cadastros!$L$6:$L$12,Cadastros!$N$6:$N$12)))</f>
        <v/>
      </c>
      <c r="Z1153" s="168" t="str">
        <f t="shared" si="225"/>
        <v/>
      </c>
      <c r="AA1153" s="168" t="str">
        <f>IFERROR(Z1153/_xlfn.XLOOKUP(_xlfn.XLOOKUP($F1153,Clientes!$B$4:$B$39,Clientes!$C$4:$C$39),Cadastros!$L$6:$L$12,Cadastros!$M$6:$M$12)," ")</f>
        <v xml:space="preserve"> </v>
      </c>
      <c r="AB1153" s="28"/>
      <c r="AC1153" s="28"/>
      <c r="AD1153" s="20" t="str">
        <f>IF(AB1153="","",IF($F1153="Bernardino Furlan",_xlfn.XLOOKUP(AB1153,Cadastros!$G$6:$G$90,Cadastros!$H$6:$H$90)*(1-0.18),IF($F1153="Mauro José Salanti",_xlfn.XLOOKUP(AB1153,Cadastros!$G$6:$G$90,Cadastros!$H$6:$H$90)*(1-0.18),_xlfn.XLOOKUP(AB1153,Cadastros!$G$6:$G$90,Cadastros!$H$6:$H$90))))</f>
        <v/>
      </c>
      <c r="AE1153" s="168" t="str">
        <f t="shared" si="226"/>
        <v/>
      </c>
      <c r="AF1153" s="168" t="str">
        <f t="shared" si="227"/>
        <v/>
      </c>
      <c r="AG1153" s="28"/>
      <c r="AH1153" s="28"/>
      <c r="AI1153" s="20" t="str">
        <f>IF(AG1153="","",IF($F1153="Bernardino Furlan",_xlfn.XLOOKUP(AG1153,Cadastros!$G$6:$G$90,Cadastros!$H$6:$H$90)*(1-0.18),IF($F1153="Mauro José Salanti",_xlfn.XLOOKUP(AG1153,Cadastros!$G$6:$G$90,Cadastros!$H$6:$H$90)*(1-0.18),_xlfn.XLOOKUP(AG1153,Cadastros!$G$6:$G$90,Cadastros!$H$6:$H$90))))</f>
        <v/>
      </c>
      <c r="AJ1153" s="168" t="str">
        <f t="shared" si="228"/>
        <v/>
      </c>
      <c r="AK1153" s="168" t="str">
        <f t="shared" si="229"/>
        <v/>
      </c>
      <c r="AL1153" s="28"/>
      <c r="AM1153" s="28"/>
      <c r="AN1153" s="20" t="str">
        <f>IF(AL1153="","",IF($F1153="Bernardino Furlan",_xlfn.XLOOKUP(AL1153,Cadastros!$G$6:$G$90,Cadastros!$H$6:$H$90)*(1-0.18),IF($F1153="Mauro José Salanti",_xlfn.XLOOKUP(AL1153,Cadastros!$G$6:$G$90,Cadastros!$H$6:$H$90)*(1-0.18),_xlfn.XLOOKUP(AL1153,Cadastros!$G$6:$G$90,Cadastros!$H$6:$H$90))))</f>
        <v/>
      </c>
      <c r="AO1153" s="168" t="str">
        <f t="shared" si="230"/>
        <v/>
      </c>
      <c r="AP1153" s="168" t="str">
        <f t="shared" si="231"/>
        <v/>
      </c>
      <c r="AQ1153" s="28"/>
      <c r="AR1153" s="28"/>
      <c r="AS1153" s="20" t="str">
        <f>IF(AQ1153="","",IF($F1153="Bernardino Furlan",_xlfn.XLOOKUP(AQ1153,Cadastros!$G$6:$G$90,Cadastros!$H$6:$H$90)*(1-0.18),IF($F1153="Mauro José Salanti",_xlfn.XLOOKUP(AQ1153,Cadastros!$G$6:$G$90,Cadastros!$H$6:$H$90)*(1-0.18),_xlfn.XLOOKUP(AQ1153,Cadastros!$G$6:$G$90,Cadastros!$H$6:$H$90))))</f>
        <v/>
      </c>
      <c r="AT1153" s="168" t="str">
        <f t="shared" si="232"/>
        <v/>
      </c>
      <c r="AU1153" s="168" t="str">
        <f t="shared" si="233"/>
        <v/>
      </c>
      <c r="AV1153" s="227"/>
      <c r="AW1153" s="30"/>
      <c r="AX1153" s="267"/>
      <c r="AY1153" s="267"/>
      <c r="AZ1153" s="29"/>
      <c r="BA1153" s="30"/>
      <c r="BB1153" s="23" t="str" cm="1">
        <f t="array" ref="BB1153">_xlfn.IFS(AW1153="SIM",SUM(K1153,P1153,U1153,Z1153,AE1153,AJ1153,AO1153,AT1153,AX1153,AY1153),F1153&lt;&gt;"",SUM(K1153,P1153,U1153,Z1153,AE1153,AJ1153,,AO1153,AT1153),F1153="","")</f>
        <v/>
      </c>
      <c r="BC1153" s="211" t="str" cm="1">
        <f t="array" ref="BC1153">_xlfn.IFS(E1153="","",G1153&lt;=E1153,BB1153*(1-0.03),G1153&lt;(E1153+8),BB1153,AZ1153="Boleto",BB1153*(1+0.001)^DATEDIF(E1153,G1153,"D"),AZ1153="Cheque",BB1153,AZ1153="Dinheiro","Alterar forma pgto")</f>
        <v/>
      </c>
      <c r="BD1153" s="276" t="str" cm="1">
        <f t="array" ref="BD1153">IF(F1153=0," ",IF(BC1153&lt;BB1153,(_xlfn.IFS(AW1153="SIM",SUM(L1153,Q1153,V1153,AA1153,AF1153,AK1153,AP1153,AU1153)+AX1153/_xlfn.XLOOKUP(_xlfn.XLOOKUP($F1153,Clientes!$B$4:$B$39,Clientes!$C$4:$C$39),Cadastros!$L$6:$L$12,Cadastros!$M$6:$M$12)+IF($F1153="Bernardino Furlan",AY1153/2751.92,IF($F1153="Mauro José Salanti",AY1153/2751.92,AY1153/3356)),F1153&lt;&gt;0,SUM(L1153,Q1153,V1153,AA1153,AF1153,AK1153,AP1153,AU1153)))*(1-0.03),_xlfn.IFS(AW1153="SIM",SUM(L1153,Q1153,V1153,AA1153,AF1153,AK1153,AP1153,AU1153)+AX1153/_xlfn.XLOOKUP(_xlfn.XLOOKUP($F1153,Clientes!$B$4:$B$39,Clientes!$C$4:$C$39),Cadastros!$L$6:$L$12,Cadastros!$M$6:$M$12)+IF($F1153="Bernardino Furlan",AY1153/2751.92,IF($F1153="Mauro José Salanti",AY1153/2751.92,AY1153/3356)),F1153&lt;&gt;0,SUM(L1153,Q1153,V1153,AA1153,AF1153,AK1153,AP1153,AU1153))))</f>
        <v xml:space="preserve"> </v>
      </c>
      <c r="BE1153" s="120"/>
      <c r="BF1153" s="120"/>
      <c r="BG1153" s="120"/>
    </row>
    <row r="1154" spans="1:59" s="3" customFormat="1" x14ac:dyDescent="0.3">
      <c r="A1154" s="15" t="str">
        <f t="shared" si="221"/>
        <v/>
      </c>
      <c r="B1154" s="25"/>
      <c r="C1154" s="26"/>
      <c r="D1154" s="279"/>
      <c r="E1154" s="27"/>
      <c r="F1154" s="28"/>
      <c r="G1154" s="27"/>
      <c r="H1154" s="28"/>
      <c r="I1154" s="28"/>
      <c r="J1154" s="255" t="str">
        <f>IF(H1154="","",(_xlfn.XLOOKUP(H1154,Cadastros!$D$6:$D$90,Cadastros!$E$6:$E$90))*(1-_xlfn.XLOOKUP(_xlfn.XLOOKUP($F1154,Clientes!$B$4:$B$39,Clientes!$C$4:$C$39),Cadastros!$L$6:$L$12,Cadastros!$N$6:$N$12)))</f>
        <v/>
      </c>
      <c r="K1154" s="168" t="str">
        <f t="shared" si="222"/>
        <v/>
      </c>
      <c r="L1154" s="168" t="str">
        <f>IFERROR(K1154/_xlfn.XLOOKUP(_xlfn.XLOOKUP($F1154,Clientes!$B$4:$B$39,Clientes!$C$4:$C$39),Cadastros!$L$6:$L$12,Cadastros!$M$6:$M$12)," ")</f>
        <v xml:space="preserve"> </v>
      </c>
      <c r="M1154" s="28"/>
      <c r="N1154" s="28"/>
      <c r="O1154" s="255" t="str">
        <f>IF(M1154="","",(_xlfn.XLOOKUP(M1154,Cadastros!$D$6:$D$90,Cadastros!$E$6:$E$90))*(1-_xlfn.XLOOKUP(_xlfn.XLOOKUP($F1154,Clientes!$B$4:$B$39,Clientes!$C$4:$C$39),Cadastros!$L$6:$L$12,Cadastros!$N$6:$N$12)))</f>
        <v/>
      </c>
      <c r="P1154" s="168" t="str">
        <f t="shared" si="223"/>
        <v/>
      </c>
      <c r="Q1154" s="168" t="str">
        <f>IFERROR(P1154/_xlfn.XLOOKUP(_xlfn.XLOOKUP($F1154,Clientes!$B$4:$B$39,Clientes!$C$4:$C$39),Cadastros!$L$6:$L$12,Cadastros!$M$6:$M$12)," ")</f>
        <v xml:space="preserve"> </v>
      </c>
      <c r="R1154" s="28"/>
      <c r="S1154" s="28"/>
      <c r="T1154" s="255" t="str">
        <f>IF(R1154="","",(_xlfn.XLOOKUP(R1154,Cadastros!$D$6:$D$90,Cadastros!$E$6:$E$90))*(1-_xlfn.XLOOKUP(_xlfn.XLOOKUP($F1154,Clientes!$B$4:$B$39,Clientes!$C$4:$C$39),Cadastros!$L$6:$L$12,Cadastros!$N$6:$N$12)))</f>
        <v/>
      </c>
      <c r="U1154" s="168" t="str">
        <f t="shared" si="224"/>
        <v/>
      </c>
      <c r="V1154" s="168" t="str">
        <f>IFERROR(U1154/_xlfn.XLOOKUP(_xlfn.XLOOKUP($F1154,Clientes!$B$4:$B$39,Clientes!$C$4:$C$39),Cadastros!$L$6:$L$12,Cadastros!$M$6:$M$12)," ")</f>
        <v xml:space="preserve"> </v>
      </c>
      <c r="W1154" s="28"/>
      <c r="X1154" s="28"/>
      <c r="Y1154" s="255" t="str">
        <f>IF(W1154="","",(_xlfn.XLOOKUP(W1154,Cadastros!$D$6:$D$90,Cadastros!$E$6:$E$90))*(1-_xlfn.XLOOKUP(_xlfn.XLOOKUP($F1154,Clientes!$B$4:$B$39,Clientes!$C$4:$C$39),Cadastros!$L$6:$L$12,Cadastros!$N$6:$N$12)))</f>
        <v/>
      </c>
      <c r="Z1154" s="168" t="str">
        <f t="shared" si="225"/>
        <v/>
      </c>
      <c r="AA1154" s="168" t="str">
        <f>IFERROR(Z1154/_xlfn.XLOOKUP(_xlfn.XLOOKUP($F1154,Clientes!$B$4:$B$39,Clientes!$C$4:$C$39),Cadastros!$L$6:$L$12,Cadastros!$M$6:$M$12)," ")</f>
        <v xml:space="preserve"> </v>
      </c>
      <c r="AB1154" s="28"/>
      <c r="AC1154" s="28"/>
      <c r="AD1154" s="20" t="str">
        <f>IF(AB1154="","",IF($F1154="Bernardino Furlan",_xlfn.XLOOKUP(AB1154,Cadastros!$G$6:$G$90,Cadastros!$H$6:$H$90)*(1-0.18),IF($F1154="Mauro José Salanti",_xlfn.XLOOKUP(AB1154,Cadastros!$G$6:$G$90,Cadastros!$H$6:$H$90)*(1-0.18),_xlfn.XLOOKUP(AB1154,Cadastros!$G$6:$G$90,Cadastros!$H$6:$H$90))))</f>
        <v/>
      </c>
      <c r="AE1154" s="168" t="str">
        <f t="shared" si="226"/>
        <v/>
      </c>
      <c r="AF1154" s="168" t="str">
        <f t="shared" si="227"/>
        <v/>
      </c>
      <c r="AG1154" s="28"/>
      <c r="AH1154" s="28"/>
      <c r="AI1154" s="20" t="str">
        <f>IF(AG1154="","",IF($F1154="Bernardino Furlan",_xlfn.XLOOKUP(AG1154,Cadastros!$G$6:$G$90,Cadastros!$H$6:$H$90)*(1-0.18),IF($F1154="Mauro José Salanti",_xlfn.XLOOKUP(AG1154,Cadastros!$G$6:$G$90,Cadastros!$H$6:$H$90)*(1-0.18),_xlfn.XLOOKUP(AG1154,Cadastros!$G$6:$G$90,Cadastros!$H$6:$H$90))))</f>
        <v/>
      </c>
      <c r="AJ1154" s="168" t="str">
        <f t="shared" si="228"/>
        <v/>
      </c>
      <c r="AK1154" s="168" t="str">
        <f t="shared" si="229"/>
        <v/>
      </c>
      <c r="AL1154" s="28"/>
      <c r="AM1154" s="28"/>
      <c r="AN1154" s="20" t="str">
        <f>IF(AL1154="","",IF($F1154="Bernardino Furlan",_xlfn.XLOOKUP(AL1154,Cadastros!$G$6:$G$90,Cadastros!$H$6:$H$90)*(1-0.18),IF($F1154="Mauro José Salanti",_xlfn.XLOOKUP(AL1154,Cadastros!$G$6:$G$90,Cadastros!$H$6:$H$90)*(1-0.18),_xlfn.XLOOKUP(AL1154,Cadastros!$G$6:$G$90,Cadastros!$H$6:$H$90))))</f>
        <v/>
      </c>
      <c r="AO1154" s="168" t="str">
        <f t="shared" si="230"/>
        <v/>
      </c>
      <c r="AP1154" s="168" t="str">
        <f t="shared" si="231"/>
        <v/>
      </c>
      <c r="AQ1154" s="28"/>
      <c r="AR1154" s="28"/>
      <c r="AS1154" s="20" t="str">
        <f>IF(AQ1154="","",IF($F1154="Bernardino Furlan",_xlfn.XLOOKUP(AQ1154,Cadastros!$G$6:$G$90,Cadastros!$H$6:$H$90)*(1-0.18),IF($F1154="Mauro José Salanti",_xlfn.XLOOKUP(AQ1154,Cadastros!$G$6:$G$90,Cadastros!$H$6:$H$90)*(1-0.18),_xlfn.XLOOKUP(AQ1154,Cadastros!$G$6:$G$90,Cadastros!$H$6:$H$90))))</f>
        <v/>
      </c>
      <c r="AT1154" s="168" t="str">
        <f t="shared" si="232"/>
        <v/>
      </c>
      <c r="AU1154" s="168" t="str">
        <f t="shared" si="233"/>
        <v/>
      </c>
      <c r="AV1154" s="227"/>
      <c r="AW1154" s="30"/>
      <c r="AX1154" s="267"/>
      <c r="AY1154" s="267"/>
      <c r="AZ1154" s="29"/>
      <c r="BA1154" s="30"/>
      <c r="BB1154" s="23" t="str" cm="1">
        <f t="array" ref="BB1154">_xlfn.IFS(AW1154="SIM",SUM(K1154,P1154,U1154,Z1154,AE1154,AJ1154,AO1154,AT1154,AX1154,AY1154),F1154&lt;&gt;"",SUM(K1154,P1154,U1154,Z1154,AE1154,AJ1154,,AO1154,AT1154),F1154="","")</f>
        <v/>
      </c>
      <c r="BC1154" s="211" t="str" cm="1">
        <f t="array" ref="BC1154">_xlfn.IFS(E1154="","",G1154&lt;=E1154,BB1154*(1-0.03),G1154&lt;(E1154+8),BB1154,AZ1154="Boleto",BB1154*(1+0.001)^DATEDIF(E1154,G1154,"D"),AZ1154="Cheque",BB1154,AZ1154="Dinheiro","Alterar forma pgto")</f>
        <v/>
      </c>
      <c r="BD1154" s="276" t="str" cm="1">
        <f t="array" ref="BD1154">IF(F1154=0," ",IF(BC1154&lt;BB1154,(_xlfn.IFS(AW1154="SIM",SUM(L1154,Q1154,V1154,AA1154,AF1154,AK1154,AP1154,AU1154)+AX1154/_xlfn.XLOOKUP(_xlfn.XLOOKUP($F1154,Clientes!$B$4:$B$39,Clientes!$C$4:$C$39),Cadastros!$L$6:$L$12,Cadastros!$M$6:$M$12)+IF($F1154="Bernardino Furlan",AY1154/2751.92,IF($F1154="Mauro José Salanti",AY1154/2751.92,AY1154/3356)),F1154&lt;&gt;0,SUM(L1154,Q1154,V1154,AA1154,AF1154,AK1154,AP1154,AU1154)))*(1-0.03),_xlfn.IFS(AW1154="SIM",SUM(L1154,Q1154,V1154,AA1154,AF1154,AK1154,AP1154,AU1154)+AX1154/_xlfn.XLOOKUP(_xlfn.XLOOKUP($F1154,Clientes!$B$4:$B$39,Clientes!$C$4:$C$39),Cadastros!$L$6:$L$12,Cadastros!$M$6:$M$12)+IF($F1154="Bernardino Furlan",AY1154/2751.92,IF($F1154="Mauro José Salanti",AY1154/2751.92,AY1154/3356)),F1154&lt;&gt;0,SUM(L1154,Q1154,V1154,AA1154,AF1154,AK1154,AP1154,AU1154))))</f>
        <v xml:space="preserve"> </v>
      </c>
      <c r="BE1154" s="120"/>
      <c r="BF1154" s="120"/>
      <c r="BG1154" s="120"/>
    </row>
    <row r="1155" spans="1:59" s="3" customFormat="1" x14ac:dyDescent="0.3">
      <c r="A1155" s="15" t="str">
        <f t="shared" si="221"/>
        <v/>
      </c>
      <c r="B1155" s="25"/>
      <c r="C1155" s="26"/>
      <c r="D1155" s="279"/>
      <c r="E1155" s="27"/>
      <c r="F1155" s="28"/>
      <c r="G1155" s="27"/>
      <c r="H1155" s="28"/>
      <c r="I1155" s="28"/>
      <c r="J1155" s="255" t="str">
        <f>IF(H1155="","",(_xlfn.XLOOKUP(H1155,Cadastros!$D$6:$D$90,Cadastros!$E$6:$E$90))*(1-_xlfn.XLOOKUP(_xlfn.XLOOKUP($F1155,Clientes!$B$4:$B$39,Clientes!$C$4:$C$39),Cadastros!$L$6:$L$12,Cadastros!$N$6:$N$12)))</f>
        <v/>
      </c>
      <c r="K1155" s="168" t="str">
        <f t="shared" si="222"/>
        <v/>
      </c>
      <c r="L1155" s="168" t="str">
        <f>IFERROR(K1155/_xlfn.XLOOKUP(_xlfn.XLOOKUP($F1155,Clientes!$B$4:$B$39,Clientes!$C$4:$C$39),Cadastros!$L$6:$L$12,Cadastros!$M$6:$M$12)," ")</f>
        <v xml:space="preserve"> </v>
      </c>
      <c r="M1155" s="28"/>
      <c r="N1155" s="28"/>
      <c r="O1155" s="255" t="str">
        <f>IF(M1155="","",(_xlfn.XLOOKUP(M1155,Cadastros!$D$6:$D$90,Cadastros!$E$6:$E$90))*(1-_xlfn.XLOOKUP(_xlfn.XLOOKUP($F1155,Clientes!$B$4:$B$39,Clientes!$C$4:$C$39),Cadastros!$L$6:$L$12,Cadastros!$N$6:$N$12)))</f>
        <v/>
      </c>
      <c r="P1155" s="168" t="str">
        <f t="shared" si="223"/>
        <v/>
      </c>
      <c r="Q1155" s="168" t="str">
        <f>IFERROR(P1155/_xlfn.XLOOKUP(_xlfn.XLOOKUP($F1155,Clientes!$B$4:$B$39,Clientes!$C$4:$C$39),Cadastros!$L$6:$L$12,Cadastros!$M$6:$M$12)," ")</f>
        <v xml:space="preserve"> </v>
      </c>
      <c r="R1155" s="28"/>
      <c r="S1155" s="28"/>
      <c r="T1155" s="255" t="str">
        <f>IF(R1155="","",(_xlfn.XLOOKUP(R1155,Cadastros!$D$6:$D$90,Cadastros!$E$6:$E$90))*(1-_xlfn.XLOOKUP(_xlfn.XLOOKUP($F1155,Clientes!$B$4:$B$39,Clientes!$C$4:$C$39),Cadastros!$L$6:$L$12,Cadastros!$N$6:$N$12)))</f>
        <v/>
      </c>
      <c r="U1155" s="168" t="str">
        <f t="shared" si="224"/>
        <v/>
      </c>
      <c r="V1155" s="168" t="str">
        <f>IFERROR(U1155/_xlfn.XLOOKUP(_xlfn.XLOOKUP($F1155,Clientes!$B$4:$B$39,Clientes!$C$4:$C$39),Cadastros!$L$6:$L$12,Cadastros!$M$6:$M$12)," ")</f>
        <v xml:space="preserve"> </v>
      </c>
      <c r="W1155" s="28"/>
      <c r="X1155" s="28"/>
      <c r="Y1155" s="255" t="str">
        <f>IF(W1155="","",(_xlfn.XLOOKUP(W1155,Cadastros!$D$6:$D$90,Cadastros!$E$6:$E$90))*(1-_xlfn.XLOOKUP(_xlfn.XLOOKUP($F1155,Clientes!$B$4:$B$39,Clientes!$C$4:$C$39),Cadastros!$L$6:$L$12,Cadastros!$N$6:$N$12)))</f>
        <v/>
      </c>
      <c r="Z1155" s="168" t="str">
        <f t="shared" si="225"/>
        <v/>
      </c>
      <c r="AA1155" s="168" t="str">
        <f>IFERROR(Z1155/_xlfn.XLOOKUP(_xlfn.XLOOKUP($F1155,Clientes!$B$4:$B$39,Clientes!$C$4:$C$39),Cadastros!$L$6:$L$12,Cadastros!$M$6:$M$12)," ")</f>
        <v xml:space="preserve"> </v>
      </c>
      <c r="AB1155" s="28"/>
      <c r="AC1155" s="28"/>
      <c r="AD1155" s="20" t="str">
        <f>IF(AB1155="","",IF($F1155="Bernardino Furlan",_xlfn.XLOOKUP(AB1155,Cadastros!$G$6:$G$90,Cadastros!$H$6:$H$90)*(1-0.18),IF($F1155="Mauro José Salanti",_xlfn.XLOOKUP(AB1155,Cadastros!$G$6:$G$90,Cadastros!$H$6:$H$90)*(1-0.18),_xlfn.XLOOKUP(AB1155,Cadastros!$G$6:$G$90,Cadastros!$H$6:$H$90))))</f>
        <v/>
      </c>
      <c r="AE1155" s="168" t="str">
        <f t="shared" si="226"/>
        <v/>
      </c>
      <c r="AF1155" s="168" t="str">
        <f t="shared" si="227"/>
        <v/>
      </c>
      <c r="AG1155" s="28"/>
      <c r="AH1155" s="28"/>
      <c r="AI1155" s="20" t="str">
        <f>IF(AG1155="","",IF($F1155="Bernardino Furlan",_xlfn.XLOOKUP(AG1155,Cadastros!$G$6:$G$90,Cadastros!$H$6:$H$90)*(1-0.18),IF($F1155="Mauro José Salanti",_xlfn.XLOOKUP(AG1155,Cadastros!$G$6:$G$90,Cadastros!$H$6:$H$90)*(1-0.18),_xlfn.XLOOKUP(AG1155,Cadastros!$G$6:$G$90,Cadastros!$H$6:$H$90))))</f>
        <v/>
      </c>
      <c r="AJ1155" s="168" t="str">
        <f t="shared" si="228"/>
        <v/>
      </c>
      <c r="AK1155" s="168" t="str">
        <f t="shared" si="229"/>
        <v/>
      </c>
      <c r="AL1155" s="28"/>
      <c r="AM1155" s="28"/>
      <c r="AN1155" s="20" t="str">
        <f>IF(AL1155="","",IF($F1155="Bernardino Furlan",_xlfn.XLOOKUP(AL1155,Cadastros!$G$6:$G$90,Cadastros!$H$6:$H$90)*(1-0.18),IF($F1155="Mauro José Salanti",_xlfn.XLOOKUP(AL1155,Cadastros!$G$6:$G$90,Cadastros!$H$6:$H$90)*(1-0.18),_xlfn.XLOOKUP(AL1155,Cadastros!$G$6:$G$90,Cadastros!$H$6:$H$90))))</f>
        <v/>
      </c>
      <c r="AO1155" s="168" t="str">
        <f t="shared" si="230"/>
        <v/>
      </c>
      <c r="AP1155" s="168" t="str">
        <f t="shared" si="231"/>
        <v/>
      </c>
      <c r="AQ1155" s="28"/>
      <c r="AR1155" s="28"/>
      <c r="AS1155" s="20" t="str">
        <f>IF(AQ1155="","",IF($F1155="Bernardino Furlan",_xlfn.XLOOKUP(AQ1155,Cadastros!$G$6:$G$90,Cadastros!$H$6:$H$90)*(1-0.18),IF($F1155="Mauro José Salanti",_xlfn.XLOOKUP(AQ1155,Cadastros!$G$6:$G$90,Cadastros!$H$6:$H$90)*(1-0.18),_xlfn.XLOOKUP(AQ1155,Cadastros!$G$6:$G$90,Cadastros!$H$6:$H$90))))</f>
        <v/>
      </c>
      <c r="AT1155" s="168" t="str">
        <f t="shared" si="232"/>
        <v/>
      </c>
      <c r="AU1155" s="168" t="str">
        <f t="shared" si="233"/>
        <v/>
      </c>
      <c r="AV1155" s="227"/>
      <c r="AW1155" s="30"/>
      <c r="AX1155" s="267"/>
      <c r="AY1155" s="267"/>
      <c r="AZ1155" s="29"/>
      <c r="BA1155" s="30"/>
      <c r="BB1155" s="23" t="str" cm="1">
        <f t="array" ref="BB1155">_xlfn.IFS(AW1155="SIM",SUM(K1155,P1155,U1155,Z1155,AE1155,AJ1155,AO1155,AT1155,AX1155,AY1155),F1155&lt;&gt;"",SUM(K1155,P1155,U1155,Z1155,AE1155,AJ1155,,AO1155,AT1155),F1155="","")</f>
        <v/>
      </c>
      <c r="BC1155" s="211" t="str" cm="1">
        <f t="array" ref="BC1155">_xlfn.IFS(E1155="","",G1155&lt;=E1155,BB1155*(1-0.03),G1155&lt;(E1155+8),BB1155,AZ1155="Boleto",BB1155*(1+0.001)^DATEDIF(E1155,G1155,"D"),AZ1155="Cheque",BB1155,AZ1155="Dinheiro","Alterar forma pgto")</f>
        <v/>
      </c>
      <c r="BD1155" s="276" t="str" cm="1">
        <f t="array" ref="BD1155">IF(F1155=0," ",IF(BC1155&lt;BB1155,(_xlfn.IFS(AW1155="SIM",SUM(L1155,Q1155,V1155,AA1155,AF1155,AK1155,AP1155,AU1155)+AX1155/_xlfn.XLOOKUP(_xlfn.XLOOKUP($F1155,Clientes!$B$4:$B$39,Clientes!$C$4:$C$39),Cadastros!$L$6:$L$12,Cadastros!$M$6:$M$12)+IF($F1155="Bernardino Furlan",AY1155/2751.92,IF($F1155="Mauro José Salanti",AY1155/2751.92,AY1155/3356)),F1155&lt;&gt;0,SUM(L1155,Q1155,V1155,AA1155,AF1155,AK1155,AP1155,AU1155)))*(1-0.03),_xlfn.IFS(AW1155="SIM",SUM(L1155,Q1155,V1155,AA1155,AF1155,AK1155,AP1155,AU1155)+AX1155/_xlfn.XLOOKUP(_xlfn.XLOOKUP($F1155,Clientes!$B$4:$B$39,Clientes!$C$4:$C$39),Cadastros!$L$6:$L$12,Cadastros!$M$6:$M$12)+IF($F1155="Bernardino Furlan",AY1155/2751.92,IF($F1155="Mauro José Salanti",AY1155/2751.92,AY1155/3356)),F1155&lt;&gt;0,SUM(L1155,Q1155,V1155,AA1155,AF1155,AK1155,AP1155,AU1155))))</f>
        <v xml:space="preserve"> </v>
      </c>
      <c r="BE1155" s="120"/>
      <c r="BF1155" s="120"/>
      <c r="BG1155" s="120"/>
    </row>
    <row r="1156" spans="1:59" s="3" customFormat="1" x14ac:dyDescent="0.3">
      <c r="A1156" s="15" t="str">
        <f t="shared" si="221"/>
        <v/>
      </c>
      <c r="B1156" s="25"/>
      <c r="C1156" s="26"/>
      <c r="D1156" s="279"/>
      <c r="E1156" s="27"/>
      <c r="F1156" s="28"/>
      <c r="G1156" s="27"/>
      <c r="H1156" s="28"/>
      <c r="I1156" s="28"/>
      <c r="J1156" s="255" t="str">
        <f>IF(H1156="","",(_xlfn.XLOOKUP(H1156,Cadastros!$D$6:$D$90,Cadastros!$E$6:$E$90))*(1-_xlfn.XLOOKUP(_xlfn.XLOOKUP($F1156,Clientes!$B$4:$B$39,Clientes!$C$4:$C$39),Cadastros!$L$6:$L$12,Cadastros!$N$6:$N$12)))</f>
        <v/>
      </c>
      <c r="K1156" s="168" t="str">
        <f t="shared" si="222"/>
        <v/>
      </c>
      <c r="L1156" s="168" t="str">
        <f>IFERROR(K1156/_xlfn.XLOOKUP(_xlfn.XLOOKUP($F1156,Clientes!$B$4:$B$39,Clientes!$C$4:$C$39),Cadastros!$L$6:$L$12,Cadastros!$M$6:$M$12)," ")</f>
        <v xml:space="preserve"> </v>
      </c>
      <c r="M1156" s="28"/>
      <c r="N1156" s="28"/>
      <c r="O1156" s="255" t="str">
        <f>IF(M1156="","",(_xlfn.XLOOKUP(M1156,Cadastros!$D$6:$D$90,Cadastros!$E$6:$E$90))*(1-_xlfn.XLOOKUP(_xlfn.XLOOKUP($F1156,Clientes!$B$4:$B$39,Clientes!$C$4:$C$39),Cadastros!$L$6:$L$12,Cadastros!$N$6:$N$12)))</f>
        <v/>
      </c>
      <c r="P1156" s="168" t="str">
        <f t="shared" si="223"/>
        <v/>
      </c>
      <c r="Q1156" s="168" t="str">
        <f>IFERROR(P1156/_xlfn.XLOOKUP(_xlfn.XLOOKUP($F1156,Clientes!$B$4:$B$39,Clientes!$C$4:$C$39),Cadastros!$L$6:$L$12,Cadastros!$M$6:$M$12)," ")</f>
        <v xml:space="preserve"> </v>
      </c>
      <c r="R1156" s="28"/>
      <c r="S1156" s="28"/>
      <c r="T1156" s="255" t="str">
        <f>IF(R1156="","",(_xlfn.XLOOKUP(R1156,Cadastros!$D$6:$D$90,Cadastros!$E$6:$E$90))*(1-_xlfn.XLOOKUP(_xlfn.XLOOKUP($F1156,Clientes!$B$4:$B$39,Clientes!$C$4:$C$39),Cadastros!$L$6:$L$12,Cadastros!$N$6:$N$12)))</f>
        <v/>
      </c>
      <c r="U1156" s="168" t="str">
        <f t="shared" si="224"/>
        <v/>
      </c>
      <c r="V1156" s="168" t="str">
        <f>IFERROR(U1156/_xlfn.XLOOKUP(_xlfn.XLOOKUP($F1156,Clientes!$B$4:$B$39,Clientes!$C$4:$C$39),Cadastros!$L$6:$L$12,Cadastros!$M$6:$M$12)," ")</f>
        <v xml:space="preserve"> </v>
      </c>
      <c r="W1156" s="28"/>
      <c r="X1156" s="28"/>
      <c r="Y1156" s="255" t="str">
        <f>IF(W1156="","",(_xlfn.XLOOKUP(W1156,Cadastros!$D$6:$D$90,Cadastros!$E$6:$E$90))*(1-_xlfn.XLOOKUP(_xlfn.XLOOKUP($F1156,Clientes!$B$4:$B$39,Clientes!$C$4:$C$39),Cadastros!$L$6:$L$12,Cadastros!$N$6:$N$12)))</f>
        <v/>
      </c>
      <c r="Z1156" s="168" t="str">
        <f t="shared" si="225"/>
        <v/>
      </c>
      <c r="AA1156" s="168" t="str">
        <f>IFERROR(Z1156/_xlfn.XLOOKUP(_xlfn.XLOOKUP($F1156,Clientes!$B$4:$B$39,Clientes!$C$4:$C$39),Cadastros!$L$6:$L$12,Cadastros!$M$6:$M$12)," ")</f>
        <v xml:space="preserve"> </v>
      </c>
      <c r="AB1156" s="28"/>
      <c r="AC1156" s="28"/>
      <c r="AD1156" s="20" t="str">
        <f>IF(AB1156="","",IF($F1156="Bernardino Furlan",_xlfn.XLOOKUP(AB1156,Cadastros!$G$6:$G$90,Cadastros!$H$6:$H$90)*(1-0.18),IF($F1156="Mauro José Salanti",_xlfn.XLOOKUP(AB1156,Cadastros!$G$6:$G$90,Cadastros!$H$6:$H$90)*(1-0.18),_xlfn.XLOOKUP(AB1156,Cadastros!$G$6:$G$90,Cadastros!$H$6:$H$90))))</f>
        <v/>
      </c>
      <c r="AE1156" s="168" t="str">
        <f t="shared" si="226"/>
        <v/>
      </c>
      <c r="AF1156" s="168" t="str">
        <f t="shared" si="227"/>
        <v/>
      </c>
      <c r="AG1156" s="28"/>
      <c r="AH1156" s="28"/>
      <c r="AI1156" s="20" t="str">
        <f>IF(AG1156="","",IF($F1156="Bernardino Furlan",_xlfn.XLOOKUP(AG1156,Cadastros!$G$6:$G$90,Cadastros!$H$6:$H$90)*(1-0.18),IF($F1156="Mauro José Salanti",_xlfn.XLOOKUP(AG1156,Cadastros!$G$6:$G$90,Cadastros!$H$6:$H$90)*(1-0.18),_xlfn.XLOOKUP(AG1156,Cadastros!$G$6:$G$90,Cadastros!$H$6:$H$90))))</f>
        <v/>
      </c>
      <c r="AJ1156" s="168" t="str">
        <f t="shared" si="228"/>
        <v/>
      </c>
      <c r="AK1156" s="168" t="str">
        <f t="shared" si="229"/>
        <v/>
      </c>
      <c r="AL1156" s="28"/>
      <c r="AM1156" s="28"/>
      <c r="AN1156" s="20" t="str">
        <f>IF(AL1156="","",IF($F1156="Bernardino Furlan",_xlfn.XLOOKUP(AL1156,Cadastros!$G$6:$G$90,Cadastros!$H$6:$H$90)*(1-0.18),IF($F1156="Mauro José Salanti",_xlfn.XLOOKUP(AL1156,Cadastros!$G$6:$G$90,Cadastros!$H$6:$H$90)*(1-0.18),_xlfn.XLOOKUP(AL1156,Cadastros!$G$6:$G$90,Cadastros!$H$6:$H$90))))</f>
        <v/>
      </c>
      <c r="AO1156" s="168" t="str">
        <f t="shared" si="230"/>
        <v/>
      </c>
      <c r="AP1156" s="168" t="str">
        <f t="shared" si="231"/>
        <v/>
      </c>
      <c r="AQ1156" s="28"/>
      <c r="AR1156" s="28"/>
      <c r="AS1156" s="20" t="str">
        <f>IF(AQ1156="","",IF($F1156="Bernardino Furlan",_xlfn.XLOOKUP(AQ1156,Cadastros!$G$6:$G$90,Cadastros!$H$6:$H$90)*(1-0.18),IF($F1156="Mauro José Salanti",_xlfn.XLOOKUP(AQ1156,Cadastros!$G$6:$G$90,Cadastros!$H$6:$H$90)*(1-0.18),_xlfn.XLOOKUP(AQ1156,Cadastros!$G$6:$G$90,Cadastros!$H$6:$H$90))))</f>
        <v/>
      </c>
      <c r="AT1156" s="168" t="str">
        <f t="shared" si="232"/>
        <v/>
      </c>
      <c r="AU1156" s="168" t="str">
        <f t="shared" si="233"/>
        <v/>
      </c>
      <c r="AV1156" s="227"/>
      <c r="AW1156" s="30"/>
      <c r="AX1156" s="267"/>
      <c r="AY1156" s="267"/>
      <c r="AZ1156" s="29"/>
      <c r="BA1156" s="30"/>
      <c r="BB1156" s="23" t="str" cm="1">
        <f t="array" ref="BB1156">_xlfn.IFS(AW1156="SIM",SUM(K1156,P1156,U1156,Z1156,AE1156,AJ1156,AO1156,AT1156,AX1156,AY1156),F1156&lt;&gt;"",SUM(K1156,P1156,U1156,Z1156,AE1156,AJ1156,,AO1156,AT1156),F1156="","")</f>
        <v/>
      </c>
      <c r="BC1156" s="211" t="str" cm="1">
        <f t="array" ref="BC1156">_xlfn.IFS(E1156="","",G1156&lt;=E1156,BB1156*(1-0.03),G1156&lt;(E1156+8),BB1156,AZ1156="Boleto",BB1156*(1+0.001)^DATEDIF(E1156,G1156,"D"),AZ1156="Cheque",BB1156,AZ1156="Dinheiro","Alterar forma pgto")</f>
        <v/>
      </c>
      <c r="BD1156" s="276" t="str" cm="1">
        <f t="array" ref="BD1156">IF(F1156=0," ",IF(BC1156&lt;BB1156,(_xlfn.IFS(AW1156="SIM",SUM(L1156,Q1156,V1156,AA1156,AF1156,AK1156,AP1156,AU1156)+AX1156/_xlfn.XLOOKUP(_xlfn.XLOOKUP($F1156,Clientes!$B$4:$B$39,Clientes!$C$4:$C$39),Cadastros!$L$6:$L$12,Cadastros!$M$6:$M$12)+IF($F1156="Bernardino Furlan",AY1156/2751.92,IF($F1156="Mauro José Salanti",AY1156/2751.92,AY1156/3356)),F1156&lt;&gt;0,SUM(L1156,Q1156,V1156,AA1156,AF1156,AK1156,AP1156,AU1156)))*(1-0.03),_xlfn.IFS(AW1156="SIM",SUM(L1156,Q1156,V1156,AA1156,AF1156,AK1156,AP1156,AU1156)+AX1156/_xlfn.XLOOKUP(_xlfn.XLOOKUP($F1156,Clientes!$B$4:$B$39,Clientes!$C$4:$C$39),Cadastros!$L$6:$L$12,Cadastros!$M$6:$M$12)+IF($F1156="Bernardino Furlan",AY1156/2751.92,IF($F1156="Mauro José Salanti",AY1156/2751.92,AY1156/3356)),F1156&lt;&gt;0,SUM(L1156,Q1156,V1156,AA1156,AF1156,AK1156,AP1156,AU1156))))</f>
        <v xml:space="preserve"> </v>
      </c>
      <c r="BE1156" s="120"/>
      <c r="BF1156" s="120"/>
      <c r="BG1156" s="120"/>
    </row>
    <row r="1157" spans="1:59" s="3" customFormat="1" x14ac:dyDescent="0.3">
      <c r="A1157" s="15" t="str">
        <f t="shared" si="221"/>
        <v/>
      </c>
      <c r="B1157" s="25"/>
      <c r="C1157" s="26"/>
      <c r="D1157" s="279"/>
      <c r="E1157" s="27"/>
      <c r="F1157" s="28"/>
      <c r="G1157" s="27"/>
      <c r="H1157" s="28"/>
      <c r="I1157" s="28"/>
      <c r="J1157" s="255" t="str">
        <f>IF(H1157="","",(_xlfn.XLOOKUP(H1157,Cadastros!$D$6:$D$90,Cadastros!$E$6:$E$90))*(1-_xlfn.XLOOKUP(_xlfn.XLOOKUP($F1157,Clientes!$B$4:$B$39,Clientes!$C$4:$C$39),Cadastros!$L$6:$L$12,Cadastros!$N$6:$N$12)))</f>
        <v/>
      </c>
      <c r="K1157" s="168" t="str">
        <f t="shared" si="222"/>
        <v/>
      </c>
      <c r="L1157" s="168" t="str">
        <f>IFERROR(K1157/_xlfn.XLOOKUP(_xlfn.XLOOKUP($F1157,Clientes!$B$4:$B$39,Clientes!$C$4:$C$39),Cadastros!$L$6:$L$12,Cadastros!$M$6:$M$12)," ")</f>
        <v xml:space="preserve"> </v>
      </c>
      <c r="M1157" s="28"/>
      <c r="N1157" s="28"/>
      <c r="O1157" s="255" t="str">
        <f>IF(M1157="","",(_xlfn.XLOOKUP(M1157,Cadastros!$D$6:$D$90,Cadastros!$E$6:$E$90))*(1-_xlfn.XLOOKUP(_xlfn.XLOOKUP($F1157,Clientes!$B$4:$B$39,Clientes!$C$4:$C$39),Cadastros!$L$6:$L$12,Cadastros!$N$6:$N$12)))</f>
        <v/>
      </c>
      <c r="P1157" s="168" t="str">
        <f t="shared" si="223"/>
        <v/>
      </c>
      <c r="Q1157" s="168" t="str">
        <f>IFERROR(P1157/_xlfn.XLOOKUP(_xlfn.XLOOKUP($F1157,Clientes!$B$4:$B$39,Clientes!$C$4:$C$39),Cadastros!$L$6:$L$12,Cadastros!$M$6:$M$12)," ")</f>
        <v xml:space="preserve"> </v>
      </c>
      <c r="R1157" s="28"/>
      <c r="S1157" s="28"/>
      <c r="T1157" s="255" t="str">
        <f>IF(R1157="","",(_xlfn.XLOOKUP(R1157,Cadastros!$D$6:$D$90,Cadastros!$E$6:$E$90))*(1-_xlfn.XLOOKUP(_xlfn.XLOOKUP($F1157,Clientes!$B$4:$B$39,Clientes!$C$4:$C$39),Cadastros!$L$6:$L$12,Cadastros!$N$6:$N$12)))</f>
        <v/>
      </c>
      <c r="U1157" s="168" t="str">
        <f t="shared" si="224"/>
        <v/>
      </c>
      <c r="V1157" s="168" t="str">
        <f>IFERROR(U1157/_xlfn.XLOOKUP(_xlfn.XLOOKUP($F1157,Clientes!$B$4:$B$39,Clientes!$C$4:$C$39),Cadastros!$L$6:$L$12,Cadastros!$M$6:$M$12)," ")</f>
        <v xml:space="preserve"> </v>
      </c>
      <c r="W1157" s="28"/>
      <c r="X1157" s="28"/>
      <c r="Y1157" s="255" t="str">
        <f>IF(W1157="","",(_xlfn.XLOOKUP(W1157,Cadastros!$D$6:$D$90,Cadastros!$E$6:$E$90))*(1-_xlfn.XLOOKUP(_xlfn.XLOOKUP($F1157,Clientes!$B$4:$B$39,Clientes!$C$4:$C$39),Cadastros!$L$6:$L$12,Cadastros!$N$6:$N$12)))</f>
        <v/>
      </c>
      <c r="Z1157" s="168" t="str">
        <f t="shared" si="225"/>
        <v/>
      </c>
      <c r="AA1157" s="168" t="str">
        <f>IFERROR(Z1157/_xlfn.XLOOKUP(_xlfn.XLOOKUP($F1157,Clientes!$B$4:$B$39,Clientes!$C$4:$C$39),Cadastros!$L$6:$L$12,Cadastros!$M$6:$M$12)," ")</f>
        <v xml:space="preserve"> </v>
      </c>
      <c r="AB1157" s="28"/>
      <c r="AC1157" s="28"/>
      <c r="AD1157" s="20" t="str">
        <f>IF(AB1157="","",IF($F1157="Bernardino Furlan",_xlfn.XLOOKUP(AB1157,Cadastros!$G$6:$G$90,Cadastros!$H$6:$H$90)*(1-0.18),IF($F1157="Mauro José Salanti",_xlfn.XLOOKUP(AB1157,Cadastros!$G$6:$G$90,Cadastros!$H$6:$H$90)*(1-0.18),_xlfn.XLOOKUP(AB1157,Cadastros!$G$6:$G$90,Cadastros!$H$6:$H$90))))</f>
        <v/>
      </c>
      <c r="AE1157" s="168" t="str">
        <f t="shared" si="226"/>
        <v/>
      </c>
      <c r="AF1157" s="168" t="str">
        <f t="shared" si="227"/>
        <v/>
      </c>
      <c r="AG1157" s="28"/>
      <c r="AH1157" s="28"/>
      <c r="AI1157" s="20" t="str">
        <f>IF(AG1157="","",IF($F1157="Bernardino Furlan",_xlfn.XLOOKUP(AG1157,Cadastros!$G$6:$G$90,Cadastros!$H$6:$H$90)*(1-0.18),IF($F1157="Mauro José Salanti",_xlfn.XLOOKUP(AG1157,Cadastros!$G$6:$G$90,Cadastros!$H$6:$H$90)*(1-0.18),_xlfn.XLOOKUP(AG1157,Cadastros!$G$6:$G$90,Cadastros!$H$6:$H$90))))</f>
        <v/>
      </c>
      <c r="AJ1157" s="168" t="str">
        <f t="shared" si="228"/>
        <v/>
      </c>
      <c r="AK1157" s="168" t="str">
        <f t="shared" si="229"/>
        <v/>
      </c>
      <c r="AL1157" s="28"/>
      <c r="AM1157" s="28"/>
      <c r="AN1157" s="20" t="str">
        <f>IF(AL1157="","",IF($F1157="Bernardino Furlan",_xlfn.XLOOKUP(AL1157,Cadastros!$G$6:$G$90,Cadastros!$H$6:$H$90)*(1-0.18),IF($F1157="Mauro José Salanti",_xlfn.XLOOKUP(AL1157,Cadastros!$G$6:$G$90,Cadastros!$H$6:$H$90)*(1-0.18),_xlfn.XLOOKUP(AL1157,Cadastros!$G$6:$G$90,Cadastros!$H$6:$H$90))))</f>
        <v/>
      </c>
      <c r="AO1157" s="168" t="str">
        <f t="shared" si="230"/>
        <v/>
      </c>
      <c r="AP1157" s="168" t="str">
        <f t="shared" si="231"/>
        <v/>
      </c>
      <c r="AQ1157" s="28"/>
      <c r="AR1157" s="28"/>
      <c r="AS1157" s="20" t="str">
        <f>IF(AQ1157="","",IF($F1157="Bernardino Furlan",_xlfn.XLOOKUP(AQ1157,Cadastros!$G$6:$G$90,Cadastros!$H$6:$H$90)*(1-0.18),IF($F1157="Mauro José Salanti",_xlfn.XLOOKUP(AQ1157,Cadastros!$G$6:$G$90,Cadastros!$H$6:$H$90)*(1-0.18),_xlfn.XLOOKUP(AQ1157,Cadastros!$G$6:$G$90,Cadastros!$H$6:$H$90))))</f>
        <v/>
      </c>
      <c r="AT1157" s="168" t="str">
        <f t="shared" si="232"/>
        <v/>
      </c>
      <c r="AU1157" s="168" t="str">
        <f t="shared" si="233"/>
        <v/>
      </c>
      <c r="AV1157" s="227"/>
      <c r="AW1157" s="30"/>
      <c r="AX1157" s="267"/>
      <c r="AY1157" s="267"/>
      <c r="AZ1157" s="29"/>
      <c r="BA1157" s="30"/>
      <c r="BB1157" s="23" t="str" cm="1">
        <f t="array" ref="BB1157">_xlfn.IFS(AW1157="SIM",SUM(K1157,P1157,U1157,Z1157,AE1157,AJ1157,AO1157,AT1157,AX1157,AY1157),F1157&lt;&gt;"",SUM(K1157,P1157,U1157,Z1157,AE1157,AJ1157,,AO1157,AT1157),F1157="","")</f>
        <v/>
      </c>
      <c r="BC1157" s="211" t="str" cm="1">
        <f t="array" ref="BC1157">_xlfn.IFS(E1157="","",G1157&lt;=E1157,BB1157*(1-0.03),G1157&lt;(E1157+8),BB1157,AZ1157="Boleto",BB1157*(1+0.001)^DATEDIF(E1157,G1157,"D"),AZ1157="Cheque",BB1157,AZ1157="Dinheiro","Alterar forma pgto")</f>
        <v/>
      </c>
      <c r="BD1157" s="276" t="str" cm="1">
        <f t="array" ref="BD1157">IF(F1157=0," ",IF(BC1157&lt;BB1157,(_xlfn.IFS(AW1157="SIM",SUM(L1157,Q1157,V1157,AA1157,AF1157,AK1157,AP1157,AU1157)+AX1157/_xlfn.XLOOKUP(_xlfn.XLOOKUP($F1157,Clientes!$B$4:$B$39,Clientes!$C$4:$C$39),Cadastros!$L$6:$L$12,Cadastros!$M$6:$M$12)+IF($F1157="Bernardino Furlan",AY1157/2751.92,IF($F1157="Mauro José Salanti",AY1157/2751.92,AY1157/3356)),F1157&lt;&gt;0,SUM(L1157,Q1157,V1157,AA1157,AF1157,AK1157,AP1157,AU1157)))*(1-0.03),_xlfn.IFS(AW1157="SIM",SUM(L1157,Q1157,V1157,AA1157,AF1157,AK1157,AP1157,AU1157)+AX1157/_xlfn.XLOOKUP(_xlfn.XLOOKUP($F1157,Clientes!$B$4:$B$39,Clientes!$C$4:$C$39),Cadastros!$L$6:$L$12,Cadastros!$M$6:$M$12)+IF($F1157="Bernardino Furlan",AY1157/2751.92,IF($F1157="Mauro José Salanti",AY1157/2751.92,AY1157/3356)),F1157&lt;&gt;0,SUM(L1157,Q1157,V1157,AA1157,AF1157,AK1157,AP1157,AU1157))))</f>
        <v xml:space="preserve"> </v>
      </c>
      <c r="BE1157" s="120"/>
      <c r="BF1157" s="120"/>
      <c r="BG1157" s="120"/>
    </row>
    <row r="1158" spans="1:59" s="3" customFormat="1" x14ac:dyDescent="0.3">
      <c r="A1158" s="15" t="str">
        <f t="shared" si="221"/>
        <v/>
      </c>
      <c r="B1158" s="25"/>
      <c r="C1158" s="26"/>
      <c r="D1158" s="279"/>
      <c r="E1158" s="27"/>
      <c r="F1158" s="28"/>
      <c r="G1158" s="27"/>
      <c r="H1158" s="28"/>
      <c r="I1158" s="28"/>
      <c r="J1158" s="255" t="str">
        <f>IF(H1158="","",(_xlfn.XLOOKUP(H1158,Cadastros!$D$6:$D$90,Cadastros!$E$6:$E$90))*(1-_xlfn.XLOOKUP(_xlfn.XLOOKUP($F1158,Clientes!$B$4:$B$39,Clientes!$C$4:$C$39),Cadastros!$L$6:$L$12,Cadastros!$N$6:$N$12)))</f>
        <v/>
      </c>
      <c r="K1158" s="168" t="str">
        <f t="shared" si="222"/>
        <v/>
      </c>
      <c r="L1158" s="168" t="str">
        <f>IFERROR(K1158/_xlfn.XLOOKUP(_xlfn.XLOOKUP($F1158,Clientes!$B$4:$B$39,Clientes!$C$4:$C$39),Cadastros!$L$6:$L$12,Cadastros!$M$6:$M$12)," ")</f>
        <v xml:space="preserve"> </v>
      </c>
      <c r="M1158" s="28"/>
      <c r="N1158" s="28"/>
      <c r="O1158" s="255" t="str">
        <f>IF(M1158="","",(_xlfn.XLOOKUP(M1158,Cadastros!$D$6:$D$90,Cadastros!$E$6:$E$90))*(1-_xlfn.XLOOKUP(_xlfn.XLOOKUP($F1158,Clientes!$B$4:$B$39,Clientes!$C$4:$C$39),Cadastros!$L$6:$L$12,Cadastros!$N$6:$N$12)))</f>
        <v/>
      </c>
      <c r="P1158" s="168" t="str">
        <f t="shared" si="223"/>
        <v/>
      </c>
      <c r="Q1158" s="168" t="str">
        <f>IFERROR(P1158/_xlfn.XLOOKUP(_xlfn.XLOOKUP($F1158,Clientes!$B$4:$B$39,Clientes!$C$4:$C$39),Cadastros!$L$6:$L$12,Cadastros!$M$6:$M$12)," ")</f>
        <v xml:space="preserve"> </v>
      </c>
      <c r="R1158" s="28"/>
      <c r="S1158" s="28"/>
      <c r="T1158" s="255" t="str">
        <f>IF(R1158="","",(_xlfn.XLOOKUP(R1158,Cadastros!$D$6:$D$90,Cadastros!$E$6:$E$90))*(1-_xlfn.XLOOKUP(_xlfn.XLOOKUP($F1158,Clientes!$B$4:$B$39,Clientes!$C$4:$C$39),Cadastros!$L$6:$L$12,Cadastros!$N$6:$N$12)))</f>
        <v/>
      </c>
      <c r="U1158" s="168" t="str">
        <f t="shared" si="224"/>
        <v/>
      </c>
      <c r="V1158" s="168" t="str">
        <f>IFERROR(U1158/_xlfn.XLOOKUP(_xlfn.XLOOKUP($F1158,Clientes!$B$4:$B$39,Clientes!$C$4:$C$39),Cadastros!$L$6:$L$12,Cadastros!$M$6:$M$12)," ")</f>
        <v xml:space="preserve"> </v>
      </c>
      <c r="W1158" s="28"/>
      <c r="X1158" s="28"/>
      <c r="Y1158" s="255" t="str">
        <f>IF(W1158="","",(_xlfn.XLOOKUP(W1158,Cadastros!$D$6:$D$90,Cadastros!$E$6:$E$90))*(1-_xlfn.XLOOKUP(_xlfn.XLOOKUP($F1158,Clientes!$B$4:$B$39,Clientes!$C$4:$C$39),Cadastros!$L$6:$L$12,Cadastros!$N$6:$N$12)))</f>
        <v/>
      </c>
      <c r="Z1158" s="168" t="str">
        <f t="shared" si="225"/>
        <v/>
      </c>
      <c r="AA1158" s="168" t="str">
        <f>IFERROR(Z1158/_xlfn.XLOOKUP(_xlfn.XLOOKUP($F1158,Clientes!$B$4:$B$39,Clientes!$C$4:$C$39),Cadastros!$L$6:$L$12,Cadastros!$M$6:$M$12)," ")</f>
        <v xml:space="preserve"> </v>
      </c>
      <c r="AB1158" s="28"/>
      <c r="AC1158" s="28"/>
      <c r="AD1158" s="20" t="str">
        <f>IF(AB1158="","",IF($F1158="Bernardino Furlan",_xlfn.XLOOKUP(AB1158,Cadastros!$G$6:$G$90,Cadastros!$H$6:$H$90)*(1-0.18),IF($F1158="Mauro José Salanti",_xlfn.XLOOKUP(AB1158,Cadastros!$G$6:$G$90,Cadastros!$H$6:$H$90)*(1-0.18),_xlfn.XLOOKUP(AB1158,Cadastros!$G$6:$G$90,Cadastros!$H$6:$H$90))))</f>
        <v/>
      </c>
      <c r="AE1158" s="168" t="str">
        <f t="shared" si="226"/>
        <v/>
      </c>
      <c r="AF1158" s="168" t="str">
        <f t="shared" si="227"/>
        <v/>
      </c>
      <c r="AG1158" s="28"/>
      <c r="AH1158" s="28"/>
      <c r="AI1158" s="20" t="str">
        <f>IF(AG1158="","",IF($F1158="Bernardino Furlan",_xlfn.XLOOKUP(AG1158,Cadastros!$G$6:$G$90,Cadastros!$H$6:$H$90)*(1-0.18),IF($F1158="Mauro José Salanti",_xlfn.XLOOKUP(AG1158,Cadastros!$G$6:$G$90,Cadastros!$H$6:$H$90)*(1-0.18),_xlfn.XLOOKUP(AG1158,Cadastros!$G$6:$G$90,Cadastros!$H$6:$H$90))))</f>
        <v/>
      </c>
      <c r="AJ1158" s="168" t="str">
        <f t="shared" si="228"/>
        <v/>
      </c>
      <c r="AK1158" s="168" t="str">
        <f t="shared" si="229"/>
        <v/>
      </c>
      <c r="AL1158" s="28"/>
      <c r="AM1158" s="28"/>
      <c r="AN1158" s="20" t="str">
        <f>IF(AL1158="","",IF($F1158="Bernardino Furlan",_xlfn.XLOOKUP(AL1158,Cadastros!$G$6:$G$90,Cadastros!$H$6:$H$90)*(1-0.18),IF($F1158="Mauro José Salanti",_xlfn.XLOOKUP(AL1158,Cadastros!$G$6:$G$90,Cadastros!$H$6:$H$90)*(1-0.18),_xlfn.XLOOKUP(AL1158,Cadastros!$G$6:$G$90,Cadastros!$H$6:$H$90))))</f>
        <v/>
      </c>
      <c r="AO1158" s="168" t="str">
        <f t="shared" si="230"/>
        <v/>
      </c>
      <c r="AP1158" s="168" t="str">
        <f t="shared" si="231"/>
        <v/>
      </c>
      <c r="AQ1158" s="28"/>
      <c r="AR1158" s="28"/>
      <c r="AS1158" s="20" t="str">
        <f>IF(AQ1158="","",IF($F1158="Bernardino Furlan",_xlfn.XLOOKUP(AQ1158,Cadastros!$G$6:$G$90,Cadastros!$H$6:$H$90)*(1-0.18),IF($F1158="Mauro José Salanti",_xlfn.XLOOKUP(AQ1158,Cadastros!$G$6:$G$90,Cadastros!$H$6:$H$90)*(1-0.18),_xlfn.XLOOKUP(AQ1158,Cadastros!$G$6:$G$90,Cadastros!$H$6:$H$90))))</f>
        <v/>
      </c>
      <c r="AT1158" s="168" t="str">
        <f t="shared" si="232"/>
        <v/>
      </c>
      <c r="AU1158" s="168" t="str">
        <f t="shared" si="233"/>
        <v/>
      </c>
      <c r="AV1158" s="227"/>
      <c r="AW1158" s="30"/>
      <c r="AX1158" s="267"/>
      <c r="AY1158" s="267"/>
      <c r="AZ1158" s="29"/>
      <c r="BA1158" s="30"/>
      <c r="BB1158" s="23" t="str" cm="1">
        <f t="array" ref="BB1158">_xlfn.IFS(AW1158="SIM",SUM(K1158,P1158,U1158,Z1158,AE1158,AJ1158,AO1158,AT1158,AX1158,AY1158),F1158&lt;&gt;"",SUM(K1158,P1158,U1158,Z1158,AE1158,AJ1158,,AO1158,AT1158),F1158="","")</f>
        <v/>
      </c>
      <c r="BC1158" s="211" t="str" cm="1">
        <f t="array" ref="BC1158">_xlfn.IFS(E1158="","",G1158&lt;=E1158,BB1158*(1-0.03),G1158&lt;(E1158+8),BB1158,AZ1158="Boleto",BB1158*(1+0.001)^DATEDIF(E1158,G1158,"D"),AZ1158="Cheque",BB1158,AZ1158="Dinheiro","Alterar forma pgto")</f>
        <v/>
      </c>
      <c r="BD1158" s="276" t="str" cm="1">
        <f t="array" ref="BD1158">IF(F1158=0," ",IF(BC1158&lt;BB1158,(_xlfn.IFS(AW1158="SIM",SUM(L1158,Q1158,V1158,AA1158,AF1158,AK1158,AP1158,AU1158)+AX1158/_xlfn.XLOOKUP(_xlfn.XLOOKUP($F1158,Clientes!$B$4:$B$39,Clientes!$C$4:$C$39),Cadastros!$L$6:$L$12,Cadastros!$M$6:$M$12)+IF($F1158="Bernardino Furlan",AY1158/2751.92,IF($F1158="Mauro José Salanti",AY1158/2751.92,AY1158/3356)),F1158&lt;&gt;0,SUM(L1158,Q1158,V1158,AA1158,AF1158,AK1158,AP1158,AU1158)))*(1-0.03),_xlfn.IFS(AW1158="SIM",SUM(L1158,Q1158,V1158,AA1158,AF1158,AK1158,AP1158,AU1158)+AX1158/_xlfn.XLOOKUP(_xlfn.XLOOKUP($F1158,Clientes!$B$4:$B$39,Clientes!$C$4:$C$39),Cadastros!$L$6:$L$12,Cadastros!$M$6:$M$12)+IF($F1158="Bernardino Furlan",AY1158/2751.92,IF($F1158="Mauro José Salanti",AY1158/2751.92,AY1158/3356)),F1158&lt;&gt;0,SUM(L1158,Q1158,V1158,AA1158,AF1158,AK1158,AP1158,AU1158))))</f>
        <v xml:space="preserve"> </v>
      </c>
      <c r="BE1158" s="120"/>
      <c r="BF1158" s="120"/>
      <c r="BG1158" s="120"/>
    </row>
    <row r="1159" spans="1:59" s="3" customFormat="1" x14ac:dyDescent="0.3">
      <c r="A1159" s="15" t="str">
        <f t="shared" si="221"/>
        <v/>
      </c>
      <c r="B1159" s="25"/>
      <c r="C1159" s="26"/>
      <c r="D1159" s="279"/>
      <c r="E1159" s="27"/>
      <c r="F1159" s="28"/>
      <c r="G1159" s="27"/>
      <c r="H1159" s="28"/>
      <c r="I1159" s="28"/>
      <c r="J1159" s="255" t="str">
        <f>IF(H1159="","",(_xlfn.XLOOKUP(H1159,Cadastros!$D$6:$D$90,Cadastros!$E$6:$E$90))*(1-_xlfn.XLOOKUP(_xlfn.XLOOKUP($F1159,Clientes!$B$4:$B$39,Clientes!$C$4:$C$39),Cadastros!$L$6:$L$12,Cadastros!$N$6:$N$12)))</f>
        <v/>
      </c>
      <c r="K1159" s="168" t="str">
        <f t="shared" si="222"/>
        <v/>
      </c>
      <c r="L1159" s="168" t="str">
        <f>IFERROR(K1159/_xlfn.XLOOKUP(_xlfn.XLOOKUP($F1159,Clientes!$B$4:$B$39,Clientes!$C$4:$C$39),Cadastros!$L$6:$L$12,Cadastros!$M$6:$M$12)," ")</f>
        <v xml:space="preserve"> </v>
      </c>
      <c r="M1159" s="28"/>
      <c r="N1159" s="28"/>
      <c r="O1159" s="255" t="str">
        <f>IF(M1159="","",(_xlfn.XLOOKUP(M1159,Cadastros!$D$6:$D$90,Cadastros!$E$6:$E$90))*(1-_xlfn.XLOOKUP(_xlfn.XLOOKUP($F1159,Clientes!$B$4:$B$39,Clientes!$C$4:$C$39),Cadastros!$L$6:$L$12,Cadastros!$N$6:$N$12)))</f>
        <v/>
      </c>
      <c r="P1159" s="168" t="str">
        <f t="shared" si="223"/>
        <v/>
      </c>
      <c r="Q1159" s="168" t="str">
        <f>IFERROR(P1159/_xlfn.XLOOKUP(_xlfn.XLOOKUP($F1159,Clientes!$B$4:$B$39,Clientes!$C$4:$C$39),Cadastros!$L$6:$L$12,Cadastros!$M$6:$M$12)," ")</f>
        <v xml:space="preserve"> </v>
      </c>
      <c r="R1159" s="28"/>
      <c r="S1159" s="28"/>
      <c r="T1159" s="255" t="str">
        <f>IF(R1159="","",(_xlfn.XLOOKUP(R1159,Cadastros!$D$6:$D$90,Cadastros!$E$6:$E$90))*(1-_xlfn.XLOOKUP(_xlfn.XLOOKUP($F1159,Clientes!$B$4:$B$39,Clientes!$C$4:$C$39),Cadastros!$L$6:$L$12,Cadastros!$N$6:$N$12)))</f>
        <v/>
      </c>
      <c r="U1159" s="168" t="str">
        <f t="shared" si="224"/>
        <v/>
      </c>
      <c r="V1159" s="168" t="str">
        <f>IFERROR(U1159/_xlfn.XLOOKUP(_xlfn.XLOOKUP($F1159,Clientes!$B$4:$B$39,Clientes!$C$4:$C$39),Cadastros!$L$6:$L$12,Cadastros!$M$6:$M$12)," ")</f>
        <v xml:space="preserve"> </v>
      </c>
      <c r="W1159" s="28"/>
      <c r="X1159" s="28"/>
      <c r="Y1159" s="255" t="str">
        <f>IF(W1159="","",(_xlfn.XLOOKUP(W1159,Cadastros!$D$6:$D$90,Cadastros!$E$6:$E$90))*(1-_xlfn.XLOOKUP(_xlfn.XLOOKUP($F1159,Clientes!$B$4:$B$39,Clientes!$C$4:$C$39),Cadastros!$L$6:$L$12,Cadastros!$N$6:$N$12)))</f>
        <v/>
      </c>
      <c r="Z1159" s="168" t="str">
        <f t="shared" si="225"/>
        <v/>
      </c>
      <c r="AA1159" s="168" t="str">
        <f>IFERROR(Z1159/_xlfn.XLOOKUP(_xlfn.XLOOKUP($F1159,Clientes!$B$4:$B$39,Clientes!$C$4:$C$39),Cadastros!$L$6:$L$12,Cadastros!$M$6:$M$12)," ")</f>
        <v xml:space="preserve"> </v>
      </c>
      <c r="AB1159" s="28"/>
      <c r="AC1159" s="28"/>
      <c r="AD1159" s="20" t="str">
        <f>IF(AB1159="","",IF($F1159="Bernardino Furlan",_xlfn.XLOOKUP(AB1159,Cadastros!$G$6:$G$90,Cadastros!$H$6:$H$90)*(1-0.18),IF($F1159="Mauro José Salanti",_xlfn.XLOOKUP(AB1159,Cadastros!$G$6:$G$90,Cadastros!$H$6:$H$90)*(1-0.18),_xlfn.XLOOKUP(AB1159,Cadastros!$G$6:$G$90,Cadastros!$H$6:$H$90))))</f>
        <v/>
      </c>
      <c r="AE1159" s="168" t="str">
        <f t="shared" si="226"/>
        <v/>
      </c>
      <c r="AF1159" s="168" t="str">
        <f t="shared" si="227"/>
        <v/>
      </c>
      <c r="AG1159" s="28"/>
      <c r="AH1159" s="28"/>
      <c r="AI1159" s="20" t="str">
        <f>IF(AG1159="","",IF($F1159="Bernardino Furlan",_xlfn.XLOOKUP(AG1159,Cadastros!$G$6:$G$90,Cadastros!$H$6:$H$90)*(1-0.18),IF($F1159="Mauro José Salanti",_xlfn.XLOOKUP(AG1159,Cadastros!$G$6:$G$90,Cadastros!$H$6:$H$90)*(1-0.18),_xlfn.XLOOKUP(AG1159,Cadastros!$G$6:$G$90,Cadastros!$H$6:$H$90))))</f>
        <v/>
      </c>
      <c r="AJ1159" s="168" t="str">
        <f t="shared" si="228"/>
        <v/>
      </c>
      <c r="AK1159" s="168" t="str">
        <f t="shared" si="229"/>
        <v/>
      </c>
      <c r="AL1159" s="28"/>
      <c r="AM1159" s="28"/>
      <c r="AN1159" s="20" t="str">
        <f>IF(AL1159="","",IF($F1159="Bernardino Furlan",_xlfn.XLOOKUP(AL1159,Cadastros!$G$6:$G$90,Cadastros!$H$6:$H$90)*(1-0.18),IF($F1159="Mauro José Salanti",_xlfn.XLOOKUP(AL1159,Cadastros!$G$6:$G$90,Cadastros!$H$6:$H$90)*(1-0.18),_xlfn.XLOOKUP(AL1159,Cadastros!$G$6:$G$90,Cadastros!$H$6:$H$90))))</f>
        <v/>
      </c>
      <c r="AO1159" s="168" t="str">
        <f t="shared" si="230"/>
        <v/>
      </c>
      <c r="AP1159" s="168" t="str">
        <f t="shared" si="231"/>
        <v/>
      </c>
      <c r="AQ1159" s="28"/>
      <c r="AR1159" s="28"/>
      <c r="AS1159" s="20" t="str">
        <f>IF(AQ1159="","",IF($F1159="Bernardino Furlan",_xlfn.XLOOKUP(AQ1159,Cadastros!$G$6:$G$90,Cadastros!$H$6:$H$90)*(1-0.18),IF($F1159="Mauro José Salanti",_xlfn.XLOOKUP(AQ1159,Cadastros!$G$6:$G$90,Cadastros!$H$6:$H$90)*(1-0.18),_xlfn.XLOOKUP(AQ1159,Cadastros!$G$6:$G$90,Cadastros!$H$6:$H$90))))</f>
        <v/>
      </c>
      <c r="AT1159" s="168" t="str">
        <f t="shared" si="232"/>
        <v/>
      </c>
      <c r="AU1159" s="168" t="str">
        <f t="shared" si="233"/>
        <v/>
      </c>
      <c r="AV1159" s="227"/>
      <c r="AW1159" s="30"/>
      <c r="AX1159" s="267"/>
      <c r="AY1159" s="267"/>
      <c r="AZ1159" s="29"/>
      <c r="BA1159" s="30"/>
      <c r="BB1159" s="23" t="str" cm="1">
        <f t="array" ref="BB1159">_xlfn.IFS(AW1159="SIM",SUM(K1159,P1159,U1159,Z1159,AE1159,AJ1159,AO1159,AT1159,AX1159,AY1159),F1159&lt;&gt;"",SUM(K1159,P1159,U1159,Z1159,AE1159,AJ1159,,AO1159,AT1159),F1159="","")</f>
        <v/>
      </c>
      <c r="BC1159" s="211" t="str" cm="1">
        <f t="array" ref="BC1159">_xlfn.IFS(E1159="","",G1159&lt;=E1159,BB1159*(1-0.03),G1159&lt;(E1159+8),BB1159,AZ1159="Boleto",BB1159*(1+0.001)^DATEDIF(E1159,G1159,"D"),AZ1159="Cheque",BB1159,AZ1159="Dinheiro","Alterar forma pgto")</f>
        <v/>
      </c>
      <c r="BD1159" s="276" t="str" cm="1">
        <f t="array" ref="BD1159">IF(F1159=0," ",IF(BC1159&lt;BB1159,(_xlfn.IFS(AW1159="SIM",SUM(L1159,Q1159,V1159,AA1159,AF1159,AK1159,AP1159,AU1159)+AX1159/_xlfn.XLOOKUP(_xlfn.XLOOKUP($F1159,Clientes!$B$4:$B$39,Clientes!$C$4:$C$39),Cadastros!$L$6:$L$12,Cadastros!$M$6:$M$12)+IF($F1159="Bernardino Furlan",AY1159/2751.92,IF($F1159="Mauro José Salanti",AY1159/2751.92,AY1159/3356)),F1159&lt;&gt;0,SUM(L1159,Q1159,V1159,AA1159,AF1159,AK1159,AP1159,AU1159)))*(1-0.03),_xlfn.IFS(AW1159="SIM",SUM(L1159,Q1159,V1159,AA1159,AF1159,AK1159,AP1159,AU1159)+AX1159/_xlfn.XLOOKUP(_xlfn.XLOOKUP($F1159,Clientes!$B$4:$B$39,Clientes!$C$4:$C$39),Cadastros!$L$6:$L$12,Cadastros!$M$6:$M$12)+IF($F1159="Bernardino Furlan",AY1159/2751.92,IF($F1159="Mauro José Salanti",AY1159/2751.92,AY1159/3356)),F1159&lt;&gt;0,SUM(L1159,Q1159,V1159,AA1159,AF1159,AK1159,AP1159,AU1159))))</f>
        <v xml:space="preserve"> </v>
      </c>
      <c r="BE1159" s="120"/>
      <c r="BF1159" s="120"/>
      <c r="BG1159" s="120"/>
    </row>
    <row r="1160" spans="1:59" s="3" customFormat="1" x14ac:dyDescent="0.3">
      <c r="A1160" s="15" t="str">
        <f t="shared" ref="A1160:A1223" si="234">IF(C1160="orçamento",25%,IF(C1160="aprovado",50%,IF(C1160="entregue",100%,IF(C1160="não aceito",0%,""))))</f>
        <v/>
      </c>
      <c r="B1160" s="25"/>
      <c r="C1160" s="26"/>
      <c r="D1160" s="279"/>
      <c r="E1160" s="27"/>
      <c r="F1160" s="28"/>
      <c r="G1160" s="27"/>
      <c r="H1160" s="28"/>
      <c r="I1160" s="28"/>
      <c r="J1160" s="255" t="str">
        <f>IF(H1160="","",(_xlfn.XLOOKUP(H1160,Cadastros!$D$6:$D$90,Cadastros!$E$6:$E$90))*(1-_xlfn.XLOOKUP(_xlfn.XLOOKUP($F1160,Clientes!$B$4:$B$39,Clientes!$C$4:$C$39),Cadastros!$L$6:$L$12,Cadastros!$N$6:$N$12)))</f>
        <v/>
      </c>
      <c r="K1160" s="168" t="str">
        <f t="shared" ref="K1160:K1223" si="235">IF(J1160="","",I1160*J1160)</f>
        <v/>
      </c>
      <c r="L1160" s="168" t="str">
        <f>IFERROR(K1160/_xlfn.XLOOKUP(_xlfn.XLOOKUP($F1160,Clientes!$B$4:$B$39,Clientes!$C$4:$C$39),Cadastros!$L$6:$L$12,Cadastros!$M$6:$M$12)," ")</f>
        <v xml:space="preserve"> </v>
      </c>
      <c r="M1160" s="28"/>
      <c r="N1160" s="28"/>
      <c r="O1160" s="255" t="str">
        <f>IF(M1160="","",(_xlfn.XLOOKUP(M1160,Cadastros!$D$6:$D$90,Cadastros!$E$6:$E$90))*(1-_xlfn.XLOOKUP(_xlfn.XLOOKUP($F1160,Clientes!$B$4:$B$39,Clientes!$C$4:$C$39),Cadastros!$L$6:$L$12,Cadastros!$N$6:$N$12)))</f>
        <v/>
      </c>
      <c r="P1160" s="168" t="str">
        <f t="shared" ref="P1160:P1223" si="236">IF(O1160="","",N1160*O1160)</f>
        <v/>
      </c>
      <c r="Q1160" s="168" t="str">
        <f>IFERROR(P1160/_xlfn.XLOOKUP(_xlfn.XLOOKUP($F1160,Clientes!$B$4:$B$39,Clientes!$C$4:$C$39),Cadastros!$L$6:$L$12,Cadastros!$M$6:$M$12)," ")</f>
        <v xml:space="preserve"> </v>
      </c>
      <c r="R1160" s="28"/>
      <c r="S1160" s="28"/>
      <c r="T1160" s="255" t="str">
        <f>IF(R1160="","",(_xlfn.XLOOKUP(R1160,Cadastros!$D$6:$D$90,Cadastros!$E$6:$E$90))*(1-_xlfn.XLOOKUP(_xlfn.XLOOKUP($F1160,Clientes!$B$4:$B$39,Clientes!$C$4:$C$39),Cadastros!$L$6:$L$12,Cadastros!$N$6:$N$12)))</f>
        <v/>
      </c>
      <c r="U1160" s="168" t="str">
        <f t="shared" ref="U1160:U1223" si="237">IF(T1160="","",S1160*T1160)</f>
        <v/>
      </c>
      <c r="V1160" s="168" t="str">
        <f>IFERROR(U1160/_xlfn.XLOOKUP(_xlfn.XLOOKUP($F1160,Clientes!$B$4:$B$39,Clientes!$C$4:$C$39),Cadastros!$L$6:$L$12,Cadastros!$M$6:$M$12)," ")</f>
        <v xml:space="preserve"> </v>
      </c>
      <c r="W1160" s="28"/>
      <c r="X1160" s="28"/>
      <c r="Y1160" s="255" t="str">
        <f>IF(W1160="","",(_xlfn.XLOOKUP(W1160,Cadastros!$D$6:$D$90,Cadastros!$E$6:$E$90))*(1-_xlfn.XLOOKUP(_xlfn.XLOOKUP($F1160,Clientes!$B$4:$B$39,Clientes!$C$4:$C$39),Cadastros!$L$6:$L$12,Cadastros!$N$6:$N$12)))</f>
        <v/>
      </c>
      <c r="Z1160" s="168" t="str">
        <f t="shared" ref="Z1160:Z1223" si="238">IF(Y1160="","",X1160*Y1160)</f>
        <v/>
      </c>
      <c r="AA1160" s="168" t="str">
        <f>IFERROR(Z1160/_xlfn.XLOOKUP(_xlfn.XLOOKUP($F1160,Clientes!$B$4:$B$39,Clientes!$C$4:$C$39),Cadastros!$L$6:$L$12,Cadastros!$M$6:$M$12)," ")</f>
        <v xml:space="preserve"> </v>
      </c>
      <c r="AB1160" s="28"/>
      <c r="AC1160" s="28"/>
      <c r="AD1160" s="20" t="str">
        <f>IF(AB1160="","",IF($F1160="Bernardino Furlan",_xlfn.XLOOKUP(AB1160,Cadastros!$G$6:$G$90,Cadastros!$H$6:$H$90)*(1-0.18),IF($F1160="Mauro José Salanti",_xlfn.XLOOKUP(AB1160,Cadastros!$G$6:$G$90,Cadastros!$H$6:$H$90)*(1-0.18),_xlfn.XLOOKUP(AB1160,Cadastros!$G$6:$G$90,Cadastros!$H$6:$H$90))))</f>
        <v/>
      </c>
      <c r="AE1160" s="168" t="str">
        <f t="shared" ref="AE1160:AE1223" si="239">IF(AD1160="","",AC1160*AD1160)</f>
        <v/>
      </c>
      <c r="AF1160" s="168" t="str">
        <f t="shared" ref="AF1160:AF1223" si="240">IFERROR(IF($F1160="Bernardino Furlan",AE1160/2751.92,IF($F1160="Mauro José Salanti",AE1160/2751.92,AE1160/3356)),"")</f>
        <v/>
      </c>
      <c r="AG1160" s="28"/>
      <c r="AH1160" s="28"/>
      <c r="AI1160" s="20" t="str">
        <f>IF(AG1160="","",IF($F1160="Bernardino Furlan",_xlfn.XLOOKUP(AG1160,Cadastros!$G$6:$G$90,Cadastros!$H$6:$H$90)*(1-0.18),IF($F1160="Mauro José Salanti",_xlfn.XLOOKUP(AG1160,Cadastros!$G$6:$G$90,Cadastros!$H$6:$H$90)*(1-0.18),_xlfn.XLOOKUP(AG1160,Cadastros!$G$6:$G$90,Cadastros!$H$6:$H$90))))</f>
        <v/>
      </c>
      <c r="AJ1160" s="168" t="str">
        <f t="shared" ref="AJ1160:AJ1223" si="241">IF(AI1160="","",AH1160*AI1160)</f>
        <v/>
      </c>
      <c r="AK1160" s="168" t="str">
        <f t="shared" ref="AK1160:AK1223" si="242">IFERROR(IF($F1160="Bernardino Furlan",AJ1160/2751.92,IF($F1160="Mauro José Salanti",AJ1160/2751.92,AJ1160/3356)),"")</f>
        <v/>
      </c>
      <c r="AL1160" s="28"/>
      <c r="AM1160" s="28"/>
      <c r="AN1160" s="20" t="str">
        <f>IF(AL1160="","",IF($F1160="Bernardino Furlan",_xlfn.XLOOKUP(AL1160,Cadastros!$G$6:$G$90,Cadastros!$H$6:$H$90)*(1-0.18),IF($F1160="Mauro José Salanti",_xlfn.XLOOKUP(AL1160,Cadastros!$G$6:$G$90,Cadastros!$H$6:$H$90)*(1-0.18),_xlfn.XLOOKUP(AL1160,Cadastros!$G$6:$G$90,Cadastros!$H$6:$H$90))))</f>
        <v/>
      </c>
      <c r="AO1160" s="168" t="str">
        <f t="shared" ref="AO1160:AO1223" si="243">IF(AN1160="","",AM1160*AN1160)</f>
        <v/>
      </c>
      <c r="AP1160" s="168" t="str">
        <f t="shared" ref="AP1160:AP1223" si="244">IFERROR(IF($F1160="Bernardino Furlan",AO1160/2751.92,IF($F1160="Mauro José Salanti",AO1160/2751.92,AO1160/3356)),"")</f>
        <v/>
      </c>
      <c r="AQ1160" s="28"/>
      <c r="AR1160" s="28"/>
      <c r="AS1160" s="20" t="str">
        <f>IF(AQ1160="","",IF($F1160="Bernardino Furlan",_xlfn.XLOOKUP(AQ1160,Cadastros!$G$6:$G$90,Cadastros!$H$6:$H$90)*(1-0.18),IF($F1160="Mauro José Salanti",_xlfn.XLOOKUP(AQ1160,Cadastros!$G$6:$G$90,Cadastros!$H$6:$H$90)*(1-0.18),_xlfn.XLOOKUP(AQ1160,Cadastros!$G$6:$G$90,Cadastros!$H$6:$H$90))))</f>
        <v/>
      </c>
      <c r="AT1160" s="168" t="str">
        <f t="shared" ref="AT1160:AT1223" si="245">IF(AS1160="","",AR1160*AS1160)</f>
        <v/>
      </c>
      <c r="AU1160" s="168" t="str">
        <f t="shared" ref="AU1160:AU1223" si="246">IFERROR(IF($F1160="Bernardino Furlan",AT1160/2751.92,IF($F1160="Mauro José Salanti",AT1160/2751.92,AT1160/3356)),"")</f>
        <v/>
      </c>
      <c r="AV1160" s="227"/>
      <c r="AW1160" s="30"/>
      <c r="AX1160" s="267"/>
      <c r="AY1160" s="267"/>
      <c r="AZ1160" s="29"/>
      <c r="BA1160" s="30"/>
      <c r="BB1160" s="23" t="str" cm="1">
        <f t="array" ref="BB1160">_xlfn.IFS(AW1160="SIM",SUM(K1160,P1160,U1160,Z1160,AE1160,AJ1160,AO1160,AT1160,AX1160,AY1160),F1160&lt;&gt;"",SUM(K1160,P1160,U1160,Z1160,AE1160,AJ1160,,AO1160,AT1160),F1160="","")</f>
        <v/>
      </c>
      <c r="BC1160" s="211" t="str" cm="1">
        <f t="array" ref="BC1160">_xlfn.IFS(E1160="","",G1160&lt;=E1160,BB1160*(1-0.03),G1160&lt;(E1160+8),BB1160,AZ1160="Boleto",BB1160*(1+0.001)^DATEDIF(E1160,G1160,"D"),AZ1160="Cheque",BB1160,AZ1160="Dinheiro","Alterar forma pgto")</f>
        <v/>
      </c>
      <c r="BD1160" s="276" t="str" cm="1">
        <f t="array" ref="BD1160">IF(F1160=0," ",IF(BC1160&lt;BB1160,(_xlfn.IFS(AW1160="SIM",SUM(L1160,Q1160,V1160,AA1160,AF1160,AK1160,AP1160,AU1160)+AX1160/_xlfn.XLOOKUP(_xlfn.XLOOKUP($F1160,Clientes!$B$4:$B$39,Clientes!$C$4:$C$39),Cadastros!$L$6:$L$12,Cadastros!$M$6:$M$12)+IF($F1160="Bernardino Furlan",AY1160/2751.92,IF($F1160="Mauro José Salanti",AY1160/2751.92,AY1160/3356)),F1160&lt;&gt;0,SUM(L1160,Q1160,V1160,AA1160,AF1160,AK1160,AP1160,AU1160)))*(1-0.03),_xlfn.IFS(AW1160="SIM",SUM(L1160,Q1160,V1160,AA1160,AF1160,AK1160,AP1160,AU1160)+AX1160/_xlfn.XLOOKUP(_xlfn.XLOOKUP($F1160,Clientes!$B$4:$B$39,Clientes!$C$4:$C$39),Cadastros!$L$6:$L$12,Cadastros!$M$6:$M$12)+IF($F1160="Bernardino Furlan",AY1160/2751.92,IF($F1160="Mauro José Salanti",AY1160/2751.92,AY1160/3356)),F1160&lt;&gt;0,SUM(L1160,Q1160,V1160,AA1160,AF1160,AK1160,AP1160,AU1160))))</f>
        <v xml:space="preserve"> </v>
      </c>
      <c r="BE1160" s="120"/>
      <c r="BF1160" s="120"/>
      <c r="BG1160" s="120"/>
    </row>
    <row r="1161" spans="1:59" s="3" customFormat="1" x14ac:dyDescent="0.3">
      <c r="A1161" s="15" t="str">
        <f t="shared" si="234"/>
        <v/>
      </c>
      <c r="B1161" s="25"/>
      <c r="C1161" s="26"/>
      <c r="D1161" s="279"/>
      <c r="E1161" s="27"/>
      <c r="F1161" s="28"/>
      <c r="G1161" s="27"/>
      <c r="H1161" s="28"/>
      <c r="I1161" s="28"/>
      <c r="J1161" s="255" t="str">
        <f>IF(H1161="","",(_xlfn.XLOOKUP(H1161,Cadastros!$D$6:$D$90,Cadastros!$E$6:$E$90))*(1-_xlfn.XLOOKUP(_xlfn.XLOOKUP($F1161,Clientes!$B$4:$B$39,Clientes!$C$4:$C$39),Cadastros!$L$6:$L$12,Cadastros!$N$6:$N$12)))</f>
        <v/>
      </c>
      <c r="K1161" s="168" t="str">
        <f t="shared" si="235"/>
        <v/>
      </c>
      <c r="L1161" s="168" t="str">
        <f>IFERROR(K1161/_xlfn.XLOOKUP(_xlfn.XLOOKUP($F1161,Clientes!$B$4:$B$39,Clientes!$C$4:$C$39),Cadastros!$L$6:$L$12,Cadastros!$M$6:$M$12)," ")</f>
        <v xml:space="preserve"> </v>
      </c>
      <c r="M1161" s="28"/>
      <c r="N1161" s="28"/>
      <c r="O1161" s="255" t="str">
        <f>IF(M1161="","",(_xlfn.XLOOKUP(M1161,Cadastros!$D$6:$D$90,Cadastros!$E$6:$E$90))*(1-_xlfn.XLOOKUP(_xlfn.XLOOKUP($F1161,Clientes!$B$4:$B$39,Clientes!$C$4:$C$39),Cadastros!$L$6:$L$12,Cadastros!$N$6:$N$12)))</f>
        <v/>
      </c>
      <c r="P1161" s="168" t="str">
        <f t="shared" si="236"/>
        <v/>
      </c>
      <c r="Q1161" s="168" t="str">
        <f>IFERROR(P1161/_xlfn.XLOOKUP(_xlfn.XLOOKUP($F1161,Clientes!$B$4:$B$39,Clientes!$C$4:$C$39),Cadastros!$L$6:$L$12,Cadastros!$M$6:$M$12)," ")</f>
        <v xml:space="preserve"> </v>
      </c>
      <c r="R1161" s="28"/>
      <c r="S1161" s="28"/>
      <c r="T1161" s="255" t="str">
        <f>IF(R1161="","",(_xlfn.XLOOKUP(R1161,Cadastros!$D$6:$D$90,Cadastros!$E$6:$E$90))*(1-_xlfn.XLOOKUP(_xlfn.XLOOKUP($F1161,Clientes!$B$4:$B$39,Clientes!$C$4:$C$39),Cadastros!$L$6:$L$12,Cadastros!$N$6:$N$12)))</f>
        <v/>
      </c>
      <c r="U1161" s="168" t="str">
        <f t="shared" si="237"/>
        <v/>
      </c>
      <c r="V1161" s="168" t="str">
        <f>IFERROR(U1161/_xlfn.XLOOKUP(_xlfn.XLOOKUP($F1161,Clientes!$B$4:$B$39,Clientes!$C$4:$C$39),Cadastros!$L$6:$L$12,Cadastros!$M$6:$M$12)," ")</f>
        <v xml:space="preserve"> </v>
      </c>
      <c r="W1161" s="28"/>
      <c r="X1161" s="28"/>
      <c r="Y1161" s="255" t="str">
        <f>IF(W1161="","",(_xlfn.XLOOKUP(W1161,Cadastros!$D$6:$D$90,Cadastros!$E$6:$E$90))*(1-_xlfn.XLOOKUP(_xlfn.XLOOKUP($F1161,Clientes!$B$4:$B$39,Clientes!$C$4:$C$39),Cadastros!$L$6:$L$12,Cadastros!$N$6:$N$12)))</f>
        <v/>
      </c>
      <c r="Z1161" s="168" t="str">
        <f t="shared" si="238"/>
        <v/>
      </c>
      <c r="AA1161" s="168" t="str">
        <f>IFERROR(Z1161/_xlfn.XLOOKUP(_xlfn.XLOOKUP($F1161,Clientes!$B$4:$B$39,Clientes!$C$4:$C$39),Cadastros!$L$6:$L$12,Cadastros!$M$6:$M$12)," ")</f>
        <v xml:space="preserve"> </v>
      </c>
      <c r="AB1161" s="28"/>
      <c r="AC1161" s="28"/>
      <c r="AD1161" s="20" t="str">
        <f>IF(AB1161="","",IF($F1161="Bernardino Furlan",_xlfn.XLOOKUP(AB1161,Cadastros!$G$6:$G$90,Cadastros!$H$6:$H$90)*(1-0.18),IF($F1161="Mauro José Salanti",_xlfn.XLOOKUP(AB1161,Cadastros!$G$6:$G$90,Cadastros!$H$6:$H$90)*(1-0.18),_xlfn.XLOOKUP(AB1161,Cadastros!$G$6:$G$90,Cadastros!$H$6:$H$90))))</f>
        <v/>
      </c>
      <c r="AE1161" s="168" t="str">
        <f t="shared" si="239"/>
        <v/>
      </c>
      <c r="AF1161" s="168" t="str">
        <f t="shared" si="240"/>
        <v/>
      </c>
      <c r="AG1161" s="28"/>
      <c r="AH1161" s="28"/>
      <c r="AI1161" s="20" t="str">
        <f>IF(AG1161="","",IF($F1161="Bernardino Furlan",_xlfn.XLOOKUP(AG1161,Cadastros!$G$6:$G$90,Cadastros!$H$6:$H$90)*(1-0.18),IF($F1161="Mauro José Salanti",_xlfn.XLOOKUP(AG1161,Cadastros!$G$6:$G$90,Cadastros!$H$6:$H$90)*(1-0.18),_xlfn.XLOOKUP(AG1161,Cadastros!$G$6:$G$90,Cadastros!$H$6:$H$90))))</f>
        <v/>
      </c>
      <c r="AJ1161" s="168" t="str">
        <f t="shared" si="241"/>
        <v/>
      </c>
      <c r="AK1161" s="168" t="str">
        <f t="shared" si="242"/>
        <v/>
      </c>
      <c r="AL1161" s="28"/>
      <c r="AM1161" s="28"/>
      <c r="AN1161" s="20" t="str">
        <f>IF(AL1161="","",IF($F1161="Bernardino Furlan",_xlfn.XLOOKUP(AL1161,Cadastros!$G$6:$G$90,Cadastros!$H$6:$H$90)*(1-0.18),IF($F1161="Mauro José Salanti",_xlfn.XLOOKUP(AL1161,Cadastros!$G$6:$G$90,Cadastros!$H$6:$H$90)*(1-0.18),_xlfn.XLOOKUP(AL1161,Cadastros!$G$6:$G$90,Cadastros!$H$6:$H$90))))</f>
        <v/>
      </c>
      <c r="AO1161" s="168" t="str">
        <f t="shared" si="243"/>
        <v/>
      </c>
      <c r="AP1161" s="168" t="str">
        <f t="shared" si="244"/>
        <v/>
      </c>
      <c r="AQ1161" s="28"/>
      <c r="AR1161" s="28"/>
      <c r="AS1161" s="20" t="str">
        <f>IF(AQ1161="","",IF($F1161="Bernardino Furlan",_xlfn.XLOOKUP(AQ1161,Cadastros!$G$6:$G$90,Cadastros!$H$6:$H$90)*(1-0.18),IF($F1161="Mauro José Salanti",_xlfn.XLOOKUP(AQ1161,Cadastros!$G$6:$G$90,Cadastros!$H$6:$H$90)*(1-0.18),_xlfn.XLOOKUP(AQ1161,Cadastros!$G$6:$G$90,Cadastros!$H$6:$H$90))))</f>
        <v/>
      </c>
      <c r="AT1161" s="168" t="str">
        <f t="shared" si="245"/>
        <v/>
      </c>
      <c r="AU1161" s="168" t="str">
        <f t="shared" si="246"/>
        <v/>
      </c>
      <c r="AV1161" s="227"/>
      <c r="AW1161" s="30"/>
      <c r="AX1161" s="267"/>
      <c r="AY1161" s="267"/>
      <c r="AZ1161" s="29"/>
      <c r="BA1161" s="30"/>
      <c r="BB1161" s="23" t="str" cm="1">
        <f t="array" ref="BB1161">_xlfn.IFS(AW1161="SIM",SUM(K1161,P1161,U1161,Z1161,AE1161,AJ1161,AO1161,AT1161,AX1161,AY1161),F1161&lt;&gt;"",SUM(K1161,P1161,U1161,Z1161,AE1161,AJ1161,,AO1161,AT1161),F1161="","")</f>
        <v/>
      </c>
      <c r="BC1161" s="211" t="str" cm="1">
        <f t="array" ref="BC1161">_xlfn.IFS(E1161="","",G1161&lt;=E1161,BB1161*(1-0.03),G1161&lt;(E1161+8),BB1161,AZ1161="Boleto",BB1161*(1+0.001)^DATEDIF(E1161,G1161,"D"),AZ1161="Cheque",BB1161,AZ1161="Dinheiro","Alterar forma pgto")</f>
        <v/>
      </c>
      <c r="BD1161" s="276" t="str" cm="1">
        <f t="array" ref="BD1161">IF(F1161=0," ",IF(BC1161&lt;BB1161,(_xlfn.IFS(AW1161="SIM",SUM(L1161,Q1161,V1161,AA1161,AF1161,AK1161,AP1161,AU1161)+AX1161/_xlfn.XLOOKUP(_xlfn.XLOOKUP($F1161,Clientes!$B$4:$B$39,Clientes!$C$4:$C$39),Cadastros!$L$6:$L$12,Cadastros!$M$6:$M$12)+IF($F1161="Bernardino Furlan",AY1161/2751.92,IF($F1161="Mauro José Salanti",AY1161/2751.92,AY1161/3356)),F1161&lt;&gt;0,SUM(L1161,Q1161,V1161,AA1161,AF1161,AK1161,AP1161,AU1161)))*(1-0.03),_xlfn.IFS(AW1161="SIM",SUM(L1161,Q1161,V1161,AA1161,AF1161,AK1161,AP1161,AU1161)+AX1161/_xlfn.XLOOKUP(_xlfn.XLOOKUP($F1161,Clientes!$B$4:$B$39,Clientes!$C$4:$C$39),Cadastros!$L$6:$L$12,Cadastros!$M$6:$M$12)+IF($F1161="Bernardino Furlan",AY1161/2751.92,IF($F1161="Mauro José Salanti",AY1161/2751.92,AY1161/3356)),F1161&lt;&gt;0,SUM(L1161,Q1161,V1161,AA1161,AF1161,AK1161,AP1161,AU1161))))</f>
        <v xml:space="preserve"> </v>
      </c>
      <c r="BE1161" s="120"/>
      <c r="BF1161" s="120"/>
      <c r="BG1161" s="120"/>
    </row>
    <row r="1162" spans="1:59" s="3" customFormat="1" x14ac:dyDescent="0.3">
      <c r="A1162" s="15" t="str">
        <f t="shared" si="234"/>
        <v/>
      </c>
      <c r="B1162" s="25"/>
      <c r="C1162" s="26"/>
      <c r="D1162" s="279"/>
      <c r="E1162" s="27"/>
      <c r="F1162" s="28"/>
      <c r="G1162" s="27"/>
      <c r="H1162" s="28"/>
      <c r="I1162" s="28"/>
      <c r="J1162" s="255" t="str">
        <f>IF(H1162="","",(_xlfn.XLOOKUP(H1162,Cadastros!$D$6:$D$90,Cadastros!$E$6:$E$90))*(1-_xlfn.XLOOKUP(_xlfn.XLOOKUP($F1162,Clientes!$B$4:$B$39,Clientes!$C$4:$C$39),Cadastros!$L$6:$L$12,Cadastros!$N$6:$N$12)))</f>
        <v/>
      </c>
      <c r="K1162" s="168" t="str">
        <f t="shared" si="235"/>
        <v/>
      </c>
      <c r="L1162" s="168" t="str">
        <f>IFERROR(K1162/_xlfn.XLOOKUP(_xlfn.XLOOKUP($F1162,Clientes!$B$4:$B$39,Clientes!$C$4:$C$39),Cadastros!$L$6:$L$12,Cadastros!$M$6:$M$12)," ")</f>
        <v xml:space="preserve"> </v>
      </c>
      <c r="M1162" s="28"/>
      <c r="N1162" s="28"/>
      <c r="O1162" s="255" t="str">
        <f>IF(M1162="","",(_xlfn.XLOOKUP(M1162,Cadastros!$D$6:$D$90,Cadastros!$E$6:$E$90))*(1-_xlfn.XLOOKUP(_xlfn.XLOOKUP($F1162,Clientes!$B$4:$B$39,Clientes!$C$4:$C$39),Cadastros!$L$6:$L$12,Cadastros!$N$6:$N$12)))</f>
        <v/>
      </c>
      <c r="P1162" s="168" t="str">
        <f t="shared" si="236"/>
        <v/>
      </c>
      <c r="Q1162" s="168" t="str">
        <f>IFERROR(P1162/_xlfn.XLOOKUP(_xlfn.XLOOKUP($F1162,Clientes!$B$4:$B$39,Clientes!$C$4:$C$39),Cadastros!$L$6:$L$12,Cadastros!$M$6:$M$12)," ")</f>
        <v xml:space="preserve"> </v>
      </c>
      <c r="R1162" s="28"/>
      <c r="S1162" s="28"/>
      <c r="T1162" s="255" t="str">
        <f>IF(R1162="","",(_xlfn.XLOOKUP(R1162,Cadastros!$D$6:$D$90,Cadastros!$E$6:$E$90))*(1-_xlfn.XLOOKUP(_xlfn.XLOOKUP($F1162,Clientes!$B$4:$B$39,Clientes!$C$4:$C$39),Cadastros!$L$6:$L$12,Cadastros!$N$6:$N$12)))</f>
        <v/>
      </c>
      <c r="U1162" s="168" t="str">
        <f t="shared" si="237"/>
        <v/>
      </c>
      <c r="V1162" s="168" t="str">
        <f>IFERROR(U1162/_xlfn.XLOOKUP(_xlfn.XLOOKUP($F1162,Clientes!$B$4:$B$39,Clientes!$C$4:$C$39),Cadastros!$L$6:$L$12,Cadastros!$M$6:$M$12)," ")</f>
        <v xml:space="preserve"> </v>
      </c>
      <c r="W1162" s="28"/>
      <c r="X1162" s="28"/>
      <c r="Y1162" s="255" t="str">
        <f>IF(W1162="","",(_xlfn.XLOOKUP(W1162,Cadastros!$D$6:$D$90,Cadastros!$E$6:$E$90))*(1-_xlfn.XLOOKUP(_xlfn.XLOOKUP($F1162,Clientes!$B$4:$B$39,Clientes!$C$4:$C$39),Cadastros!$L$6:$L$12,Cadastros!$N$6:$N$12)))</f>
        <v/>
      </c>
      <c r="Z1162" s="168" t="str">
        <f t="shared" si="238"/>
        <v/>
      </c>
      <c r="AA1162" s="168" t="str">
        <f>IFERROR(Z1162/_xlfn.XLOOKUP(_xlfn.XLOOKUP($F1162,Clientes!$B$4:$B$39,Clientes!$C$4:$C$39),Cadastros!$L$6:$L$12,Cadastros!$M$6:$M$12)," ")</f>
        <v xml:space="preserve"> </v>
      </c>
      <c r="AB1162" s="28"/>
      <c r="AC1162" s="28"/>
      <c r="AD1162" s="20" t="str">
        <f>IF(AB1162="","",IF($F1162="Bernardino Furlan",_xlfn.XLOOKUP(AB1162,Cadastros!$G$6:$G$90,Cadastros!$H$6:$H$90)*(1-0.18),IF($F1162="Mauro José Salanti",_xlfn.XLOOKUP(AB1162,Cadastros!$G$6:$G$90,Cadastros!$H$6:$H$90)*(1-0.18),_xlfn.XLOOKUP(AB1162,Cadastros!$G$6:$G$90,Cadastros!$H$6:$H$90))))</f>
        <v/>
      </c>
      <c r="AE1162" s="168" t="str">
        <f t="shared" si="239"/>
        <v/>
      </c>
      <c r="AF1162" s="168" t="str">
        <f t="shared" si="240"/>
        <v/>
      </c>
      <c r="AG1162" s="28"/>
      <c r="AH1162" s="28"/>
      <c r="AI1162" s="20" t="str">
        <f>IF(AG1162="","",IF($F1162="Bernardino Furlan",_xlfn.XLOOKUP(AG1162,Cadastros!$G$6:$G$90,Cadastros!$H$6:$H$90)*(1-0.18),IF($F1162="Mauro José Salanti",_xlfn.XLOOKUP(AG1162,Cadastros!$G$6:$G$90,Cadastros!$H$6:$H$90)*(1-0.18),_xlfn.XLOOKUP(AG1162,Cadastros!$G$6:$G$90,Cadastros!$H$6:$H$90))))</f>
        <v/>
      </c>
      <c r="AJ1162" s="168" t="str">
        <f t="shared" si="241"/>
        <v/>
      </c>
      <c r="AK1162" s="168" t="str">
        <f t="shared" si="242"/>
        <v/>
      </c>
      <c r="AL1162" s="28"/>
      <c r="AM1162" s="28"/>
      <c r="AN1162" s="20" t="str">
        <f>IF(AL1162="","",IF($F1162="Bernardino Furlan",_xlfn.XLOOKUP(AL1162,Cadastros!$G$6:$G$90,Cadastros!$H$6:$H$90)*(1-0.18),IF($F1162="Mauro José Salanti",_xlfn.XLOOKUP(AL1162,Cadastros!$G$6:$G$90,Cadastros!$H$6:$H$90)*(1-0.18),_xlfn.XLOOKUP(AL1162,Cadastros!$G$6:$G$90,Cadastros!$H$6:$H$90))))</f>
        <v/>
      </c>
      <c r="AO1162" s="168" t="str">
        <f t="shared" si="243"/>
        <v/>
      </c>
      <c r="AP1162" s="168" t="str">
        <f t="shared" si="244"/>
        <v/>
      </c>
      <c r="AQ1162" s="28"/>
      <c r="AR1162" s="28"/>
      <c r="AS1162" s="20" t="str">
        <f>IF(AQ1162="","",IF($F1162="Bernardino Furlan",_xlfn.XLOOKUP(AQ1162,Cadastros!$G$6:$G$90,Cadastros!$H$6:$H$90)*(1-0.18),IF($F1162="Mauro José Salanti",_xlfn.XLOOKUP(AQ1162,Cadastros!$G$6:$G$90,Cadastros!$H$6:$H$90)*(1-0.18),_xlfn.XLOOKUP(AQ1162,Cadastros!$G$6:$G$90,Cadastros!$H$6:$H$90))))</f>
        <v/>
      </c>
      <c r="AT1162" s="168" t="str">
        <f t="shared" si="245"/>
        <v/>
      </c>
      <c r="AU1162" s="168" t="str">
        <f t="shared" si="246"/>
        <v/>
      </c>
      <c r="AV1162" s="227"/>
      <c r="AW1162" s="30"/>
      <c r="AX1162" s="267"/>
      <c r="AY1162" s="267"/>
      <c r="AZ1162" s="29"/>
      <c r="BA1162" s="30"/>
      <c r="BB1162" s="23" t="str" cm="1">
        <f t="array" ref="BB1162">_xlfn.IFS(AW1162="SIM",SUM(K1162,P1162,U1162,Z1162,AE1162,AJ1162,AO1162,AT1162,AX1162,AY1162),F1162&lt;&gt;"",SUM(K1162,P1162,U1162,Z1162,AE1162,AJ1162,,AO1162,AT1162),F1162="","")</f>
        <v/>
      </c>
      <c r="BC1162" s="211" t="str" cm="1">
        <f t="array" ref="BC1162">_xlfn.IFS(E1162="","",G1162&lt;=E1162,BB1162*(1-0.03),G1162&lt;(E1162+8),BB1162,AZ1162="Boleto",BB1162*(1+0.001)^DATEDIF(E1162,G1162,"D"),AZ1162="Cheque",BB1162,AZ1162="Dinheiro","Alterar forma pgto")</f>
        <v/>
      </c>
      <c r="BD1162" s="276" t="str" cm="1">
        <f t="array" ref="BD1162">IF(F1162=0," ",IF(BC1162&lt;BB1162,(_xlfn.IFS(AW1162="SIM",SUM(L1162,Q1162,V1162,AA1162,AF1162,AK1162,AP1162,AU1162)+AX1162/_xlfn.XLOOKUP(_xlfn.XLOOKUP($F1162,Clientes!$B$4:$B$39,Clientes!$C$4:$C$39),Cadastros!$L$6:$L$12,Cadastros!$M$6:$M$12)+IF($F1162="Bernardino Furlan",AY1162/2751.92,IF($F1162="Mauro José Salanti",AY1162/2751.92,AY1162/3356)),F1162&lt;&gt;0,SUM(L1162,Q1162,V1162,AA1162,AF1162,AK1162,AP1162,AU1162)))*(1-0.03),_xlfn.IFS(AW1162="SIM",SUM(L1162,Q1162,V1162,AA1162,AF1162,AK1162,AP1162,AU1162)+AX1162/_xlfn.XLOOKUP(_xlfn.XLOOKUP($F1162,Clientes!$B$4:$B$39,Clientes!$C$4:$C$39),Cadastros!$L$6:$L$12,Cadastros!$M$6:$M$12)+IF($F1162="Bernardino Furlan",AY1162/2751.92,IF($F1162="Mauro José Salanti",AY1162/2751.92,AY1162/3356)),F1162&lt;&gt;0,SUM(L1162,Q1162,V1162,AA1162,AF1162,AK1162,AP1162,AU1162))))</f>
        <v xml:space="preserve"> </v>
      </c>
      <c r="BE1162" s="120"/>
      <c r="BF1162" s="120"/>
      <c r="BG1162" s="120"/>
    </row>
    <row r="1163" spans="1:59" s="3" customFormat="1" x14ac:dyDescent="0.3">
      <c r="A1163" s="15" t="str">
        <f t="shared" si="234"/>
        <v/>
      </c>
      <c r="B1163" s="25"/>
      <c r="C1163" s="26"/>
      <c r="D1163" s="279"/>
      <c r="E1163" s="27"/>
      <c r="F1163" s="28"/>
      <c r="G1163" s="27"/>
      <c r="H1163" s="28"/>
      <c r="I1163" s="28"/>
      <c r="J1163" s="255" t="str">
        <f>IF(H1163="","",(_xlfn.XLOOKUP(H1163,Cadastros!$D$6:$D$90,Cadastros!$E$6:$E$90))*(1-_xlfn.XLOOKUP(_xlfn.XLOOKUP($F1163,Clientes!$B$4:$B$39,Clientes!$C$4:$C$39),Cadastros!$L$6:$L$12,Cadastros!$N$6:$N$12)))</f>
        <v/>
      </c>
      <c r="K1163" s="168" t="str">
        <f t="shared" si="235"/>
        <v/>
      </c>
      <c r="L1163" s="168" t="str">
        <f>IFERROR(K1163/_xlfn.XLOOKUP(_xlfn.XLOOKUP($F1163,Clientes!$B$4:$B$39,Clientes!$C$4:$C$39),Cadastros!$L$6:$L$12,Cadastros!$M$6:$M$12)," ")</f>
        <v xml:space="preserve"> </v>
      </c>
      <c r="M1163" s="28"/>
      <c r="N1163" s="28"/>
      <c r="O1163" s="255" t="str">
        <f>IF(M1163="","",(_xlfn.XLOOKUP(M1163,Cadastros!$D$6:$D$90,Cadastros!$E$6:$E$90))*(1-_xlfn.XLOOKUP(_xlfn.XLOOKUP($F1163,Clientes!$B$4:$B$39,Clientes!$C$4:$C$39),Cadastros!$L$6:$L$12,Cadastros!$N$6:$N$12)))</f>
        <v/>
      </c>
      <c r="P1163" s="168" t="str">
        <f t="shared" si="236"/>
        <v/>
      </c>
      <c r="Q1163" s="168" t="str">
        <f>IFERROR(P1163/_xlfn.XLOOKUP(_xlfn.XLOOKUP($F1163,Clientes!$B$4:$B$39,Clientes!$C$4:$C$39),Cadastros!$L$6:$L$12,Cadastros!$M$6:$M$12)," ")</f>
        <v xml:space="preserve"> </v>
      </c>
      <c r="R1163" s="28"/>
      <c r="S1163" s="28"/>
      <c r="T1163" s="255" t="str">
        <f>IF(R1163="","",(_xlfn.XLOOKUP(R1163,Cadastros!$D$6:$D$90,Cadastros!$E$6:$E$90))*(1-_xlfn.XLOOKUP(_xlfn.XLOOKUP($F1163,Clientes!$B$4:$B$39,Clientes!$C$4:$C$39),Cadastros!$L$6:$L$12,Cadastros!$N$6:$N$12)))</f>
        <v/>
      </c>
      <c r="U1163" s="168" t="str">
        <f t="shared" si="237"/>
        <v/>
      </c>
      <c r="V1163" s="168" t="str">
        <f>IFERROR(U1163/_xlfn.XLOOKUP(_xlfn.XLOOKUP($F1163,Clientes!$B$4:$B$39,Clientes!$C$4:$C$39),Cadastros!$L$6:$L$12,Cadastros!$M$6:$M$12)," ")</f>
        <v xml:space="preserve"> </v>
      </c>
      <c r="W1163" s="28"/>
      <c r="X1163" s="28"/>
      <c r="Y1163" s="255" t="str">
        <f>IF(W1163="","",(_xlfn.XLOOKUP(W1163,Cadastros!$D$6:$D$90,Cadastros!$E$6:$E$90))*(1-_xlfn.XLOOKUP(_xlfn.XLOOKUP($F1163,Clientes!$B$4:$B$39,Clientes!$C$4:$C$39),Cadastros!$L$6:$L$12,Cadastros!$N$6:$N$12)))</f>
        <v/>
      </c>
      <c r="Z1163" s="168" t="str">
        <f t="shared" si="238"/>
        <v/>
      </c>
      <c r="AA1163" s="168" t="str">
        <f>IFERROR(Z1163/_xlfn.XLOOKUP(_xlfn.XLOOKUP($F1163,Clientes!$B$4:$B$39,Clientes!$C$4:$C$39),Cadastros!$L$6:$L$12,Cadastros!$M$6:$M$12)," ")</f>
        <v xml:space="preserve"> </v>
      </c>
      <c r="AB1163" s="28"/>
      <c r="AC1163" s="28"/>
      <c r="AD1163" s="20" t="str">
        <f>IF(AB1163="","",IF($F1163="Bernardino Furlan",_xlfn.XLOOKUP(AB1163,Cadastros!$G$6:$G$90,Cadastros!$H$6:$H$90)*(1-0.18),IF($F1163="Mauro José Salanti",_xlfn.XLOOKUP(AB1163,Cadastros!$G$6:$G$90,Cadastros!$H$6:$H$90)*(1-0.18),_xlfn.XLOOKUP(AB1163,Cadastros!$G$6:$G$90,Cadastros!$H$6:$H$90))))</f>
        <v/>
      </c>
      <c r="AE1163" s="168" t="str">
        <f t="shared" si="239"/>
        <v/>
      </c>
      <c r="AF1163" s="168" t="str">
        <f t="shared" si="240"/>
        <v/>
      </c>
      <c r="AG1163" s="28"/>
      <c r="AH1163" s="28"/>
      <c r="AI1163" s="20" t="str">
        <f>IF(AG1163="","",IF($F1163="Bernardino Furlan",_xlfn.XLOOKUP(AG1163,Cadastros!$G$6:$G$90,Cadastros!$H$6:$H$90)*(1-0.18),IF($F1163="Mauro José Salanti",_xlfn.XLOOKUP(AG1163,Cadastros!$G$6:$G$90,Cadastros!$H$6:$H$90)*(1-0.18),_xlfn.XLOOKUP(AG1163,Cadastros!$G$6:$G$90,Cadastros!$H$6:$H$90))))</f>
        <v/>
      </c>
      <c r="AJ1163" s="168" t="str">
        <f t="shared" si="241"/>
        <v/>
      </c>
      <c r="AK1163" s="168" t="str">
        <f t="shared" si="242"/>
        <v/>
      </c>
      <c r="AL1163" s="28"/>
      <c r="AM1163" s="28"/>
      <c r="AN1163" s="20" t="str">
        <f>IF(AL1163="","",IF($F1163="Bernardino Furlan",_xlfn.XLOOKUP(AL1163,Cadastros!$G$6:$G$90,Cadastros!$H$6:$H$90)*(1-0.18),IF($F1163="Mauro José Salanti",_xlfn.XLOOKUP(AL1163,Cadastros!$G$6:$G$90,Cadastros!$H$6:$H$90)*(1-0.18),_xlfn.XLOOKUP(AL1163,Cadastros!$G$6:$G$90,Cadastros!$H$6:$H$90))))</f>
        <v/>
      </c>
      <c r="AO1163" s="168" t="str">
        <f t="shared" si="243"/>
        <v/>
      </c>
      <c r="AP1163" s="168" t="str">
        <f t="shared" si="244"/>
        <v/>
      </c>
      <c r="AQ1163" s="28"/>
      <c r="AR1163" s="28"/>
      <c r="AS1163" s="20" t="str">
        <f>IF(AQ1163="","",IF($F1163="Bernardino Furlan",_xlfn.XLOOKUP(AQ1163,Cadastros!$G$6:$G$90,Cadastros!$H$6:$H$90)*(1-0.18),IF($F1163="Mauro José Salanti",_xlfn.XLOOKUP(AQ1163,Cadastros!$G$6:$G$90,Cadastros!$H$6:$H$90)*(1-0.18),_xlfn.XLOOKUP(AQ1163,Cadastros!$G$6:$G$90,Cadastros!$H$6:$H$90))))</f>
        <v/>
      </c>
      <c r="AT1163" s="168" t="str">
        <f t="shared" si="245"/>
        <v/>
      </c>
      <c r="AU1163" s="168" t="str">
        <f t="shared" si="246"/>
        <v/>
      </c>
      <c r="AV1163" s="227"/>
      <c r="AW1163" s="30"/>
      <c r="AX1163" s="267"/>
      <c r="AY1163" s="267"/>
      <c r="AZ1163" s="29"/>
      <c r="BA1163" s="30"/>
      <c r="BB1163" s="23" t="str" cm="1">
        <f t="array" ref="BB1163">_xlfn.IFS(AW1163="SIM",SUM(K1163,P1163,U1163,Z1163,AE1163,AJ1163,AO1163,AT1163,AX1163,AY1163),F1163&lt;&gt;"",SUM(K1163,P1163,U1163,Z1163,AE1163,AJ1163,,AO1163,AT1163),F1163="","")</f>
        <v/>
      </c>
      <c r="BC1163" s="211" t="str" cm="1">
        <f t="array" ref="BC1163">_xlfn.IFS(E1163="","",G1163&lt;=E1163,BB1163*(1-0.03),G1163&lt;(E1163+8),BB1163,AZ1163="Boleto",BB1163*(1+0.001)^DATEDIF(E1163,G1163,"D"),AZ1163="Cheque",BB1163,AZ1163="Dinheiro","Alterar forma pgto")</f>
        <v/>
      </c>
      <c r="BD1163" s="276" t="str" cm="1">
        <f t="array" ref="BD1163">IF(F1163=0," ",IF(BC1163&lt;BB1163,(_xlfn.IFS(AW1163="SIM",SUM(L1163,Q1163,V1163,AA1163,AF1163,AK1163,AP1163,AU1163)+AX1163/_xlfn.XLOOKUP(_xlfn.XLOOKUP($F1163,Clientes!$B$4:$B$39,Clientes!$C$4:$C$39),Cadastros!$L$6:$L$12,Cadastros!$M$6:$M$12)+IF($F1163="Bernardino Furlan",AY1163/2751.92,IF($F1163="Mauro José Salanti",AY1163/2751.92,AY1163/3356)),F1163&lt;&gt;0,SUM(L1163,Q1163,V1163,AA1163,AF1163,AK1163,AP1163,AU1163)))*(1-0.03),_xlfn.IFS(AW1163="SIM",SUM(L1163,Q1163,V1163,AA1163,AF1163,AK1163,AP1163,AU1163)+AX1163/_xlfn.XLOOKUP(_xlfn.XLOOKUP($F1163,Clientes!$B$4:$B$39,Clientes!$C$4:$C$39),Cadastros!$L$6:$L$12,Cadastros!$M$6:$M$12)+IF($F1163="Bernardino Furlan",AY1163/2751.92,IF($F1163="Mauro José Salanti",AY1163/2751.92,AY1163/3356)),F1163&lt;&gt;0,SUM(L1163,Q1163,V1163,AA1163,AF1163,AK1163,AP1163,AU1163))))</f>
        <v xml:space="preserve"> </v>
      </c>
      <c r="BE1163" s="120"/>
      <c r="BF1163" s="120"/>
      <c r="BG1163" s="120"/>
    </row>
    <row r="1164" spans="1:59" s="3" customFormat="1" x14ac:dyDescent="0.3">
      <c r="A1164" s="15" t="str">
        <f t="shared" si="234"/>
        <v/>
      </c>
      <c r="B1164" s="25"/>
      <c r="C1164" s="26"/>
      <c r="D1164" s="279"/>
      <c r="E1164" s="27"/>
      <c r="F1164" s="28"/>
      <c r="G1164" s="27"/>
      <c r="H1164" s="28"/>
      <c r="I1164" s="28"/>
      <c r="J1164" s="255" t="str">
        <f>IF(H1164="","",(_xlfn.XLOOKUP(H1164,Cadastros!$D$6:$D$90,Cadastros!$E$6:$E$90))*(1-_xlfn.XLOOKUP(_xlfn.XLOOKUP($F1164,Clientes!$B$4:$B$39,Clientes!$C$4:$C$39),Cadastros!$L$6:$L$12,Cadastros!$N$6:$N$12)))</f>
        <v/>
      </c>
      <c r="K1164" s="168" t="str">
        <f t="shared" si="235"/>
        <v/>
      </c>
      <c r="L1164" s="168" t="str">
        <f>IFERROR(K1164/_xlfn.XLOOKUP(_xlfn.XLOOKUP($F1164,Clientes!$B$4:$B$39,Clientes!$C$4:$C$39),Cadastros!$L$6:$L$12,Cadastros!$M$6:$M$12)," ")</f>
        <v xml:space="preserve"> </v>
      </c>
      <c r="M1164" s="28"/>
      <c r="N1164" s="28"/>
      <c r="O1164" s="255" t="str">
        <f>IF(M1164="","",(_xlfn.XLOOKUP(M1164,Cadastros!$D$6:$D$90,Cadastros!$E$6:$E$90))*(1-_xlfn.XLOOKUP(_xlfn.XLOOKUP($F1164,Clientes!$B$4:$B$39,Clientes!$C$4:$C$39),Cadastros!$L$6:$L$12,Cadastros!$N$6:$N$12)))</f>
        <v/>
      </c>
      <c r="P1164" s="168" t="str">
        <f t="shared" si="236"/>
        <v/>
      </c>
      <c r="Q1164" s="168" t="str">
        <f>IFERROR(P1164/_xlfn.XLOOKUP(_xlfn.XLOOKUP($F1164,Clientes!$B$4:$B$39,Clientes!$C$4:$C$39),Cadastros!$L$6:$L$12,Cadastros!$M$6:$M$12)," ")</f>
        <v xml:space="preserve"> </v>
      </c>
      <c r="R1164" s="28"/>
      <c r="S1164" s="28"/>
      <c r="T1164" s="255" t="str">
        <f>IF(R1164="","",(_xlfn.XLOOKUP(R1164,Cadastros!$D$6:$D$90,Cadastros!$E$6:$E$90))*(1-_xlfn.XLOOKUP(_xlfn.XLOOKUP($F1164,Clientes!$B$4:$B$39,Clientes!$C$4:$C$39),Cadastros!$L$6:$L$12,Cadastros!$N$6:$N$12)))</f>
        <v/>
      </c>
      <c r="U1164" s="168" t="str">
        <f t="shared" si="237"/>
        <v/>
      </c>
      <c r="V1164" s="168" t="str">
        <f>IFERROR(U1164/_xlfn.XLOOKUP(_xlfn.XLOOKUP($F1164,Clientes!$B$4:$B$39,Clientes!$C$4:$C$39),Cadastros!$L$6:$L$12,Cadastros!$M$6:$M$12)," ")</f>
        <v xml:space="preserve"> </v>
      </c>
      <c r="W1164" s="28"/>
      <c r="X1164" s="28"/>
      <c r="Y1164" s="255" t="str">
        <f>IF(W1164="","",(_xlfn.XLOOKUP(W1164,Cadastros!$D$6:$D$90,Cadastros!$E$6:$E$90))*(1-_xlfn.XLOOKUP(_xlfn.XLOOKUP($F1164,Clientes!$B$4:$B$39,Clientes!$C$4:$C$39),Cadastros!$L$6:$L$12,Cadastros!$N$6:$N$12)))</f>
        <v/>
      </c>
      <c r="Z1164" s="168" t="str">
        <f t="shared" si="238"/>
        <v/>
      </c>
      <c r="AA1164" s="168" t="str">
        <f>IFERROR(Z1164/_xlfn.XLOOKUP(_xlfn.XLOOKUP($F1164,Clientes!$B$4:$B$39,Clientes!$C$4:$C$39),Cadastros!$L$6:$L$12,Cadastros!$M$6:$M$12)," ")</f>
        <v xml:space="preserve"> </v>
      </c>
      <c r="AB1164" s="28"/>
      <c r="AC1164" s="28"/>
      <c r="AD1164" s="20" t="str">
        <f>IF(AB1164="","",IF($F1164="Bernardino Furlan",_xlfn.XLOOKUP(AB1164,Cadastros!$G$6:$G$90,Cadastros!$H$6:$H$90)*(1-0.18),IF($F1164="Mauro José Salanti",_xlfn.XLOOKUP(AB1164,Cadastros!$G$6:$G$90,Cadastros!$H$6:$H$90)*(1-0.18),_xlfn.XLOOKUP(AB1164,Cadastros!$G$6:$G$90,Cadastros!$H$6:$H$90))))</f>
        <v/>
      </c>
      <c r="AE1164" s="168" t="str">
        <f t="shared" si="239"/>
        <v/>
      </c>
      <c r="AF1164" s="168" t="str">
        <f t="shared" si="240"/>
        <v/>
      </c>
      <c r="AG1164" s="28"/>
      <c r="AH1164" s="28"/>
      <c r="AI1164" s="20" t="str">
        <f>IF(AG1164="","",IF($F1164="Bernardino Furlan",_xlfn.XLOOKUP(AG1164,Cadastros!$G$6:$G$90,Cadastros!$H$6:$H$90)*(1-0.18),IF($F1164="Mauro José Salanti",_xlfn.XLOOKUP(AG1164,Cadastros!$G$6:$G$90,Cadastros!$H$6:$H$90)*(1-0.18),_xlfn.XLOOKUP(AG1164,Cadastros!$G$6:$G$90,Cadastros!$H$6:$H$90))))</f>
        <v/>
      </c>
      <c r="AJ1164" s="168" t="str">
        <f t="shared" si="241"/>
        <v/>
      </c>
      <c r="AK1164" s="168" t="str">
        <f t="shared" si="242"/>
        <v/>
      </c>
      <c r="AL1164" s="28"/>
      <c r="AM1164" s="28"/>
      <c r="AN1164" s="20" t="str">
        <f>IF(AL1164="","",IF($F1164="Bernardino Furlan",_xlfn.XLOOKUP(AL1164,Cadastros!$G$6:$G$90,Cadastros!$H$6:$H$90)*(1-0.18),IF($F1164="Mauro José Salanti",_xlfn.XLOOKUP(AL1164,Cadastros!$G$6:$G$90,Cadastros!$H$6:$H$90)*(1-0.18),_xlfn.XLOOKUP(AL1164,Cadastros!$G$6:$G$90,Cadastros!$H$6:$H$90))))</f>
        <v/>
      </c>
      <c r="AO1164" s="168" t="str">
        <f t="shared" si="243"/>
        <v/>
      </c>
      <c r="AP1164" s="168" t="str">
        <f t="shared" si="244"/>
        <v/>
      </c>
      <c r="AQ1164" s="28"/>
      <c r="AR1164" s="28"/>
      <c r="AS1164" s="20" t="str">
        <f>IF(AQ1164="","",IF($F1164="Bernardino Furlan",_xlfn.XLOOKUP(AQ1164,Cadastros!$G$6:$G$90,Cadastros!$H$6:$H$90)*(1-0.18),IF($F1164="Mauro José Salanti",_xlfn.XLOOKUP(AQ1164,Cadastros!$G$6:$G$90,Cadastros!$H$6:$H$90)*(1-0.18),_xlfn.XLOOKUP(AQ1164,Cadastros!$G$6:$G$90,Cadastros!$H$6:$H$90))))</f>
        <v/>
      </c>
      <c r="AT1164" s="168" t="str">
        <f t="shared" si="245"/>
        <v/>
      </c>
      <c r="AU1164" s="168" t="str">
        <f t="shared" si="246"/>
        <v/>
      </c>
      <c r="AV1164" s="227"/>
      <c r="AW1164" s="30"/>
      <c r="AX1164" s="267"/>
      <c r="AY1164" s="267"/>
      <c r="AZ1164" s="29"/>
      <c r="BA1164" s="30"/>
      <c r="BB1164" s="23" t="str" cm="1">
        <f t="array" ref="BB1164">_xlfn.IFS(AW1164="SIM",SUM(K1164,P1164,U1164,Z1164,AE1164,AJ1164,AO1164,AT1164,AX1164,AY1164),F1164&lt;&gt;"",SUM(K1164,P1164,U1164,Z1164,AE1164,AJ1164,,AO1164,AT1164),F1164="","")</f>
        <v/>
      </c>
      <c r="BC1164" s="211" t="str" cm="1">
        <f t="array" ref="BC1164">_xlfn.IFS(E1164="","",G1164&lt;=E1164,BB1164*(1-0.03),G1164&lt;(E1164+8),BB1164,AZ1164="Boleto",BB1164*(1+0.001)^DATEDIF(E1164,G1164,"D"),AZ1164="Cheque",BB1164,AZ1164="Dinheiro","Alterar forma pgto")</f>
        <v/>
      </c>
      <c r="BD1164" s="276" t="str" cm="1">
        <f t="array" ref="BD1164">IF(F1164=0," ",IF(BC1164&lt;BB1164,(_xlfn.IFS(AW1164="SIM",SUM(L1164,Q1164,V1164,AA1164,AF1164,AK1164,AP1164,AU1164)+AX1164/_xlfn.XLOOKUP(_xlfn.XLOOKUP($F1164,Clientes!$B$4:$B$39,Clientes!$C$4:$C$39),Cadastros!$L$6:$L$12,Cadastros!$M$6:$M$12)+IF($F1164="Bernardino Furlan",AY1164/2751.92,IF($F1164="Mauro José Salanti",AY1164/2751.92,AY1164/3356)),F1164&lt;&gt;0,SUM(L1164,Q1164,V1164,AA1164,AF1164,AK1164,AP1164,AU1164)))*(1-0.03),_xlfn.IFS(AW1164="SIM",SUM(L1164,Q1164,V1164,AA1164,AF1164,AK1164,AP1164,AU1164)+AX1164/_xlfn.XLOOKUP(_xlfn.XLOOKUP($F1164,Clientes!$B$4:$B$39,Clientes!$C$4:$C$39),Cadastros!$L$6:$L$12,Cadastros!$M$6:$M$12)+IF($F1164="Bernardino Furlan",AY1164/2751.92,IF($F1164="Mauro José Salanti",AY1164/2751.92,AY1164/3356)),F1164&lt;&gt;0,SUM(L1164,Q1164,V1164,AA1164,AF1164,AK1164,AP1164,AU1164))))</f>
        <v xml:space="preserve"> </v>
      </c>
      <c r="BE1164" s="120"/>
      <c r="BF1164" s="120"/>
      <c r="BG1164" s="120"/>
    </row>
    <row r="1165" spans="1:59" s="3" customFormat="1" x14ac:dyDescent="0.3">
      <c r="A1165" s="15" t="str">
        <f t="shared" si="234"/>
        <v/>
      </c>
      <c r="B1165" s="25"/>
      <c r="C1165" s="26"/>
      <c r="D1165" s="279"/>
      <c r="E1165" s="27"/>
      <c r="F1165" s="28"/>
      <c r="G1165" s="27"/>
      <c r="H1165" s="28"/>
      <c r="I1165" s="28"/>
      <c r="J1165" s="255" t="str">
        <f>IF(H1165="","",(_xlfn.XLOOKUP(H1165,Cadastros!$D$6:$D$90,Cadastros!$E$6:$E$90))*(1-_xlfn.XLOOKUP(_xlfn.XLOOKUP($F1165,Clientes!$B$4:$B$39,Clientes!$C$4:$C$39),Cadastros!$L$6:$L$12,Cadastros!$N$6:$N$12)))</f>
        <v/>
      </c>
      <c r="K1165" s="168" t="str">
        <f t="shared" si="235"/>
        <v/>
      </c>
      <c r="L1165" s="168" t="str">
        <f>IFERROR(K1165/_xlfn.XLOOKUP(_xlfn.XLOOKUP($F1165,Clientes!$B$4:$B$39,Clientes!$C$4:$C$39),Cadastros!$L$6:$L$12,Cadastros!$M$6:$M$12)," ")</f>
        <v xml:space="preserve"> </v>
      </c>
      <c r="M1165" s="28"/>
      <c r="N1165" s="28"/>
      <c r="O1165" s="255" t="str">
        <f>IF(M1165="","",(_xlfn.XLOOKUP(M1165,Cadastros!$D$6:$D$90,Cadastros!$E$6:$E$90))*(1-_xlfn.XLOOKUP(_xlfn.XLOOKUP($F1165,Clientes!$B$4:$B$39,Clientes!$C$4:$C$39),Cadastros!$L$6:$L$12,Cadastros!$N$6:$N$12)))</f>
        <v/>
      </c>
      <c r="P1165" s="168" t="str">
        <f t="shared" si="236"/>
        <v/>
      </c>
      <c r="Q1165" s="168" t="str">
        <f>IFERROR(P1165/_xlfn.XLOOKUP(_xlfn.XLOOKUP($F1165,Clientes!$B$4:$B$39,Clientes!$C$4:$C$39),Cadastros!$L$6:$L$12,Cadastros!$M$6:$M$12)," ")</f>
        <v xml:space="preserve"> </v>
      </c>
      <c r="R1165" s="28"/>
      <c r="S1165" s="28"/>
      <c r="T1165" s="255" t="str">
        <f>IF(R1165="","",(_xlfn.XLOOKUP(R1165,Cadastros!$D$6:$D$90,Cadastros!$E$6:$E$90))*(1-_xlfn.XLOOKUP(_xlfn.XLOOKUP($F1165,Clientes!$B$4:$B$39,Clientes!$C$4:$C$39),Cadastros!$L$6:$L$12,Cadastros!$N$6:$N$12)))</f>
        <v/>
      </c>
      <c r="U1165" s="168" t="str">
        <f t="shared" si="237"/>
        <v/>
      </c>
      <c r="V1165" s="168" t="str">
        <f>IFERROR(U1165/_xlfn.XLOOKUP(_xlfn.XLOOKUP($F1165,Clientes!$B$4:$B$39,Clientes!$C$4:$C$39),Cadastros!$L$6:$L$12,Cadastros!$M$6:$M$12)," ")</f>
        <v xml:space="preserve"> </v>
      </c>
      <c r="W1165" s="28"/>
      <c r="X1165" s="28"/>
      <c r="Y1165" s="255" t="str">
        <f>IF(W1165="","",(_xlfn.XLOOKUP(W1165,Cadastros!$D$6:$D$90,Cadastros!$E$6:$E$90))*(1-_xlfn.XLOOKUP(_xlfn.XLOOKUP($F1165,Clientes!$B$4:$B$39,Clientes!$C$4:$C$39),Cadastros!$L$6:$L$12,Cadastros!$N$6:$N$12)))</f>
        <v/>
      </c>
      <c r="Z1165" s="168" t="str">
        <f t="shared" si="238"/>
        <v/>
      </c>
      <c r="AA1165" s="168" t="str">
        <f>IFERROR(Z1165/_xlfn.XLOOKUP(_xlfn.XLOOKUP($F1165,Clientes!$B$4:$B$39,Clientes!$C$4:$C$39),Cadastros!$L$6:$L$12,Cadastros!$M$6:$M$12)," ")</f>
        <v xml:space="preserve"> </v>
      </c>
      <c r="AB1165" s="28"/>
      <c r="AC1165" s="28"/>
      <c r="AD1165" s="20" t="str">
        <f>IF(AB1165="","",IF($F1165="Bernardino Furlan",_xlfn.XLOOKUP(AB1165,Cadastros!$G$6:$G$90,Cadastros!$H$6:$H$90)*(1-0.18),IF($F1165="Mauro José Salanti",_xlfn.XLOOKUP(AB1165,Cadastros!$G$6:$G$90,Cadastros!$H$6:$H$90)*(1-0.18),_xlfn.XLOOKUP(AB1165,Cadastros!$G$6:$G$90,Cadastros!$H$6:$H$90))))</f>
        <v/>
      </c>
      <c r="AE1165" s="168" t="str">
        <f t="shared" si="239"/>
        <v/>
      </c>
      <c r="AF1165" s="168" t="str">
        <f t="shared" si="240"/>
        <v/>
      </c>
      <c r="AG1165" s="28"/>
      <c r="AH1165" s="28"/>
      <c r="AI1165" s="20" t="str">
        <f>IF(AG1165="","",IF($F1165="Bernardino Furlan",_xlfn.XLOOKUP(AG1165,Cadastros!$G$6:$G$90,Cadastros!$H$6:$H$90)*(1-0.18),IF($F1165="Mauro José Salanti",_xlfn.XLOOKUP(AG1165,Cadastros!$G$6:$G$90,Cadastros!$H$6:$H$90)*(1-0.18),_xlfn.XLOOKUP(AG1165,Cadastros!$G$6:$G$90,Cadastros!$H$6:$H$90))))</f>
        <v/>
      </c>
      <c r="AJ1165" s="168" t="str">
        <f t="shared" si="241"/>
        <v/>
      </c>
      <c r="AK1165" s="168" t="str">
        <f t="shared" si="242"/>
        <v/>
      </c>
      <c r="AL1165" s="28"/>
      <c r="AM1165" s="28"/>
      <c r="AN1165" s="20" t="str">
        <f>IF(AL1165="","",IF($F1165="Bernardino Furlan",_xlfn.XLOOKUP(AL1165,Cadastros!$G$6:$G$90,Cadastros!$H$6:$H$90)*(1-0.18),IF($F1165="Mauro José Salanti",_xlfn.XLOOKUP(AL1165,Cadastros!$G$6:$G$90,Cadastros!$H$6:$H$90)*(1-0.18),_xlfn.XLOOKUP(AL1165,Cadastros!$G$6:$G$90,Cadastros!$H$6:$H$90))))</f>
        <v/>
      </c>
      <c r="AO1165" s="168" t="str">
        <f t="shared" si="243"/>
        <v/>
      </c>
      <c r="AP1165" s="168" t="str">
        <f t="shared" si="244"/>
        <v/>
      </c>
      <c r="AQ1165" s="28"/>
      <c r="AR1165" s="28"/>
      <c r="AS1165" s="20" t="str">
        <f>IF(AQ1165="","",IF($F1165="Bernardino Furlan",_xlfn.XLOOKUP(AQ1165,Cadastros!$G$6:$G$90,Cadastros!$H$6:$H$90)*(1-0.18),IF($F1165="Mauro José Salanti",_xlfn.XLOOKUP(AQ1165,Cadastros!$G$6:$G$90,Cadastros!$H$6:$H$90)*(1-0.18),_xlfn.XLOOKUP(AQ1165,Cadastros!$G$6:$G$90,Cadastros!$H$6:$H$90))))</f>
        <v/>
      </c>
      <c r="AT1165" s="168" t="str">
        <f t="shared" si="245"/>
        <v/>
      </c>
      <c r="AU1165" s="168" t="str">
        <f t="shared" si="246"/>
        <v/>
      </c>
      <c r="AV1165" s="227"/>
      <c r="AW1165" s="30"/>
      <c r="AX1165" s="267"/>
      <c r="AY1165" s="267"/>
      <c r="AZ1165" s="29"/>
      <c r="BA1165" s="30"/>
      <c r="BB1165" s="23" t="str" cm="1">
        <f t="array" ref="BB1165">_xlfn.IFS(AW1165="SIM",SUM(K1165,P1165,U1165,Z1165,AE1165,AJ1165,AO1165,AT1165,AX1165,AY1165),F1165&lt;&gt;"",SUM(K1165,P1165,U1165,Z1165,AE1165,AJ1165,,AO1165,AT1165),F1165="","")</f>
        <v/>
      </c>
      <c r="BC1165" s="211" t="str" cm="1">
        <f t="array" ref="BC1165">_xlfn.IFS(E1165="","",G1165&lt;=E1165,BB1165*(1-0.03),G1165&lt;(E1165+8),BB1165,AZ1165="Boleto",BB1165*(1+0.001)^DATEDIF(E1165,G1165,"D"),AZ1165="Cheque",BB1165,AZ1165="Dinheiro","Alterar forma pgto")</f>
        <v/>
      </c>
      <c r="BD1165" s="276" t="str" cm="1">
        <f t="array" ref="BD1165">IF(F1165=0," ",IF(BC1165&lt;BB1165,(_xlfn.IFS(AW1165="SIM",SUM(L1165,Q1165,V1165,AA1165,AF1165,AK1165,AP1165,AU1165)+AX1165/_xlfn.XLOOKUP(_xlfn.XLOOKUP($F1165,Clientes!$B$4:$B$39,Clientes!$C$4:$C$39),Cadastros!$L$6:$L$12,Cadastros!$M$6:$M$12)+IF($F1165="Bernardino Furlan",AY1165/2751.92,IF($F1165="Mauro José Salanti",AY1165/2751.92,AY1165/3356)),F1165&lt;&gt;0,SUM(L1165,Q1165,V1165,AA1165,AF1165,AK1165,AP1165,AU1165)))*(1-0.03),_xlfn.IFS(AW1165="SIM",SUM(L1165,Q1165,V1165,AA1165,AF1165,AK1165,AP1165,AU1165)+AX1165/_xlfn.XLOOKUP(_xlfn.XLOOKUP($F1165,Clientes!$B$4:$B$39,Clientes!$C$4:$C$39),Cadastros!$L$6:$L$12,Cadastros!$M$6:$M$12)+IF($F1165="Bernardino Furlan",AY1165/2751.92,IF($F1165="Mauro José Salanti",AY1165/2751.92,AY1165/3356)),F1165&lt;&gt;0,SUM(L1165,Q1165,V1165,AA1165,AF1165,AK1165,AP1165,AU1165))))</f>
        <v xml:space="preserve"> </v>
      </c>
      <c r="BE1165" s="120"/>
      <c r="BF1165" s="120"/>
      <c r="BG1165" s="120"/>
    </row>
    <row r="1166" spans="1:59" s="3" customFormat="1" x14ac:dyDescent="0.3">
      <c r="A1166" s="15" t="str">
        <f t="shared" si="234"/>
        <v/>
      </c>
      <c r="B1166" s="25"/>
      <c r="C1166" s="26"/>
      <c r="D1166" s="279"/>
      <c r="E1166" s="27"/>
      <c r="F1166" s="28"/>
      <c r="G1166" s="27"/>
      <c r="H1166" s="28"/>
      <c r="I1166" s="28"/>
      <c r="J1166" s="255" t="str">
        <f>IF(H1166="","",(_xlfn.XLOOKUP(H1166,Cadastros!$D$6:$D$90,Cadastros!$E$6:$E$90))*(1-_xlfn.XLOOKUP(_xlfn.XLOOKUP($F1166,Clientes!$B$4:$B$39,Clientes!$C$4:$C$39),Cadastros!$L$6:$L$12,Cadastros!$N$6:$N$12)))</f>
        <v/>
      </c>
      <c r="K1166" s="168" t="str">
        <f t="shared" si="235"/>
        <v/>
      </c>
      <c r="L1166" s="168" t="str">
        <f>IFERROR(K1166/_xlfn.XLOOKUP(_xlfn.XLOOKUP($F1166,Clientes!$B$4:$B$39,Clientes!$C$4:$C$39),Cadastros!$L$6:$L$12,Cadastros!$M$6:$M$12)," ")</f>
        <v xml:space="preserve"> </v>
      </c>
      <c r="M1166" s="28"/>
      <c r="N1166" s="28"/>
      <c r="O1166" s="255" t="str">
        <f>IF(M1166="","",(_xlfn.XLOOKUP(M1166,Cadastros!$D$6:$D$90,Cadastros!$E$6:$E$90))*(1-_xlfn.XLOOKUP(_xlfn.XLOOKUP($F1166,Clientes!$B$4:$B$39,Clientes!$C$4:$C$39),Cadastros!$L$6:$L$12,Cadastros!$N$6:$N$12)))</f>
        <v/>
      </c>
      <c r="P1166" s="168" t="str">
        <f t="shared" si="236"/>
        <v/>
      </c>
      <c r="Q1166" s="168" t="str">
        <f>IFERROR(P1166/_xlfn.XLOOKUP(_xlfn.XLOOKUP($F1166,Clientes!$B$4:$B$39,Clientes!$C$4:$C$39),Cadastros!$L$6:$L$12,Cadastros!$M$6:$M$12)," ")</f>
        <v xml:space="preserve"> </v>
      </c>
      <c r="R1166" s="28"/>
      <c r="S1166" s="28"/>
      <c r="T1166" s="255" t="str">
        <f>IF(R1166="","",(_xlfn.XLOOKUP(R1166,Cadastros!$D$6:$D$90,Cadastros!$E$6:$E$90))*(1-_xlfn.XLOOKUP(_xlfn.XLOOKUP($F1166,Clientes!$B$4:$B$39,Clientes!$C$4:$C$39),Cadastros!$L$6:$L$12,Cadastros!$N$6:$N$12)))</f>
        <v/>
      </c>
      <c r="U1166" s="168" t="str">
        <f t="shared" si="237"/>
        <v/>
      </c>
      <c r="V1166" s="168" t="str">
        <f>IFERROR(U1166/_xlfn.XLOOKUP(_xlfn.XLOOKUP($F1166,Clientes!$B$4:$B$39,Clientes!$C$4:$C$39),Cadastros!$L$6:$L$12,Cadastros!$M$6:$M$12)," ")</f>
        <v xml:space="preserve"> </v>
      </c>
      <c r="W1166" s="28"/>
      <c r="X1166" s="28"/>
      <c r="Y1166" s="255" t="str">
        <f>IF(W1166="","",(_xlfn.XLOOKUP(W1166,Cadastros!$D$6:$D$90,Cadastros!$E$6:$E$90))*(1-_xlfn.XLOOKUP(_xlfn.XLOOKUP($F1166,Clientes!$B$4:$B$39,Clientes!$C$4:$C$39),Cadastros!$L$6:$L$12,Cadastros!$N$6:$N$12)))</f>
        <v/>
      </c>
      <c r="Z1166" s="168" t="str">
        <f t="shared" si="238"/>
        <v/>
      </c>
      <c r="AA1166" s="168" t="str">
        <f>IFERROR(Z1166/_xlfn.XLOOKUP(_xlfn.XLOOKUP($F1166,Clientes!$B$4:$B$39,Clientes!$C$4:$C$39),Cadastros!$L$6:$L$12,Cadastros!$M$6:$M$12)," ")</f>
        <v xml:space="preserve"> </v>
      </c>
      <c r="AB1166" s="28"/>
      <c r="AC1166" s="28"/>
      <c r="AD1166" s="20" t="str">
        <f>IF(AB1166="","",IF($F1166="Bernardino Furlan",_xlfn.XLOOKUP(AB1166,Cadastros!$G$6:$G$90,Cadastros!$H$6:$H$90)*(1-0.18),IF($F1166="Mauro José Salanti",_xlfn.XLOOKUP(AB1166,Cadastros!$G$6:$G$90,Cadastros!$H$6:$H$90)*(1-0.18),_xlfn.XLOOKUP(AB1166,Cadastros!$G$6:$G$90,Cadastros!$H$6:$H$90))))</f>
        <v/>
      </c>
      <c r="AE1166" s="168" t="str">
        <f t="shared" si="239"/>
        <v/>
      </c>
      <c r="AF1166" s="168" t="str">
        <f t="shared" si="240"/>
        <v/>
      </c>
      <c r="AG1166" s="28"/>
      <c r="AH1166" s="28"/>
      <c r="AI1166" s="20" t="str">
        <f>IF(AG1166="","",IF($F1166="Bernardino Furlan",_xlfn.XLOOKUP(AG1166,Cadastros!$G$6:$G$90,Cadastros!$H$6:$H$90)*(1-0.18),IF($F1166="Mauro José Salanti",_xlfn.XLOOKUP(AG1166,Cadastros!$G$6:$G$90,Cadastros!$H$6:$H$90)*(1-0.18),_xlfn.XLOOKUP(AG1166,Cadastros!$G$6:$G$90,Cadastros!$H$6:$H$90))))</f>
        <v/>
      </c>
      <c r="AJ1166" s="168" t="str">
        <f t="shared" si="241"/>
        <v/>
      </c>
      <c r="AK1166" s="168" t="str">
        <f t="shared" si="242"/>
        <v/>
      </c>
      <c r="AL1166" s="28"/>
      <c r="AM1166" s="28"/>
      <c r="AN1166" s="20" t="str">
        <f>IF(AL1166="","",IF($F1166="Bernardino Furlan",_xlfn.XLOOKUP(AL1166,Cadastros!$G$6:$G$90,Cadastros!$H$6:$H$90)*(1-0.18),IF($F1166="Mauro José Salanti",_xlfn.XLOOKUP(AL1166,Cadastros!$G$6:$G$90,Cadastros!$H$6:$H$90)*(1-0.18),_xlfn.XLOOKUP(AL1166,Cadastros!$G$6:$G$90,Cadastros!$H$6:$H$90))))</f>
        <v/>
      </c>
      <c r="AO1166" s="168" t="str">
        <f t="shared" si="243"/>
        <v/>
      </c>
      <c r="AP1166" s="168" t="str">
        <f t="shared" si="244"/>
        <v/>
      </c>
      <c r="AQ1166" s="28"/>
      <c r="AR1166" s="28"/>
      <c r="AS1166" s="20" t="str">
        <f>IF(AQ1166="","",IF($F1166="Bernardino Furlan",_xlfn.XLOOKUP(AQ1166,Cadastros!$G$6:$G$90,Cadastros!$H$6:$H$90)*(1-0.18),IF($F1166="Mauro José Salanti",_xlfn.XLOOKUP(AQ1166,Cadastros!$G$6:$G$90,Cadastros!$H$6:$H$90)*(1-0.18),_xlfn.XLOOKUP(AQ1166,Cadastros!$G$6:$G$90,Cadastros!$H$6:$H$90))))</f>
        <v/>
      </c>
      <c r="AT1166" s="168" t="str">
        <f t="shared" si="245"/>
        <v/>
      </c>
      <c r="AU1166" s="168" t="str">
        <f t="shared" si="246"/>
        <v/>
      </c>
      <c r="AV1166" s="227"/>
      <c r="AW1166" s="30"/>
      <c r="AX1166" s="267"/>
      <c r="AY1166" s="267"/>
      <c r="AZ1166" s="29"/>
      <c r="BA1166" s="30"/>
      <c r="BB1166" s="23" t="str" cm="1">
        <f t="array" ref="BB1166">_xlfn.IFS(AW1166="SIM",SUM(K1166,P1166,U1166,Z1166,AE1166,AJ1166,AO1166,AT1166,AX1166,AY1166),F1166&lt;&gt;"",SUM(K1166,P1166,U1166,Z1166,AE1166,AJ1166,,AO1166,AT1166),F1166="","")</f>
        <v/>
      </c>
      <c r="BC1166" s="211" t="str" cm="1">
        <f t="array" ref="BC1166">_xlfn.IFS(E1166="","",G1166&lt;=E1166,BB1166*(1-0.03),G1166&lt;(E1166+8),BB1166,AZ1166="Boleto",BB1166*(1+0.001)^DATEDIF(E1166,G1166,"D"),AZ1166="Cheque",BB1166,AZ1166="Dinheiro","Alterar forma pgto")</f>
        <v/>
      </c>
      <c r="BD1166" s="276" t="str" cm="1">
        <f t="array" ref="BD1166">IF(F1166=0," ",IF(BC1166&lt;BB1166,(_xlfn.IFS(AW1166="SIM",SUM(L1166,Q1166,V1166,AA1166,AF1166,AK1166,AP1166,AU1166)+AX1166/_xlfn.XLOOKUP(_xlfn.XLOOKUP($F1166,Clientes!$B$4:$B$39,Clientes!$C$4:$C$39),Cadastros!$L$6:$L$12,Cadastros!$M$6:$M$12)+IF($F1166="Bernardino Furlan",AY1166/2751.92,IF($F1166="Mauro José Salanti",AY1166/2751.92,AY1166/3356)),F1166&lt;&gt;0,SUM(L1166,Q1166,V1166,AA1166,AF1166,AK1166,AP1166,AU1166)))*(1-0.03),_xlfn.IFS(AW1166="SIM",SUM(L1166,Q1166,V1166,AA1166,AF1166,AK1166,AP1166,AU1166)+AX1166/_xlfn.XLOOKUP(_xlfn.XLOOKUP($F1166,Clientes!$B$4:$B$39,Clientes!$C$4:$C$39),Cadastros!$L$6:$L$12,Cadastros!$M$6:$M$12)+IF($F1166="Bernardino Furlan",AY1166/2751.92,IF($F1166="Mauro José Salanti",AY1166/2751.92,AY1166/3356)),F1166&lt;&gt;0,SUM(L1166,Q1166,V1166,AA1166,AF1166,AK1166,AP1166,AU1166))))</f>
        <v xml:space="preserve"> </v>
      </c>
      <c r="BE1166" s="120"/>
      <c r="BF1166" s="120"/>
      <c r="BG1166" s="120"/>
    </row>
    <row r="1167" spans="1:59" s="3" customFormat="1" x14ac:dyDescent="0.3">
      <c r="A1167" s="15" t="str">
        <f t="shared" si="234"/>
        <v/>
      </c>
      <c r="B1167" s="25"/>
      <c r="C1167" s="26"/>
      <c r="D1167" s="279"/>
      <c r="E1167" s="27"/>
      <c r="F1167" s="28"/>
      <c r="G1167" s="27"/>
      <c r="H1167" s="28"/>
      <c r="I1167" s="28"/>
      <c r="J1167" s="255" t="str">
        <f>IF(H1167="","",(_xlfn.XLOOKUP(H1167,Cadastros!$D$6:$D$90,Cadastros!$E$6:$E$90))*(1-_xlfn.XLOOKUP(_xlfn.XLOOKUP($F1167,Clientes!$B$4:$B$39,Clientes!$C$4:$C$39),Cadastros!$L$6:$L$12,Cadastros!$N$6:$N$12)))</f>
        <v/>
      </c>
      <c r="K1167" s="168" t="str">
        <f t="shared" si="235"/>
        <v/>
      </c>
      <c r="L1167" s="168" t="str">
        <f>IFERROR(K1167/_xlfn.XLOOKUP(_xlfn.XLOOKUP($F1167,Clientes!$B$4:$B$39,Clientes!$C$4:$C$39),Cadastros!$L$6:$L$12,Cadastros!$M$6:$M$12)," ")</f>
        <v xml:space="preserve"> </v>
      </c>
      <c r="M1167" s="28"/>
      <c r="N1167" s="28"/>
      <c r="O1167" s="255" t="str">
        <f>IF(M1167="","",(_xlfn.XLOOKUP(M1167,Cadastros!$D$6:$D$90,Cadastros!$E$6:$E$90))*(1-_xlfn.XLOOKUP(_xlfn.XLOOKUP($F1167,Clientes!$B$4:$B$39,Clientes!$C$4:$C$39),Cadastros!$L$6:$L$12,Cadastros!$N$6:$N$12)))</f>
        <v/>
      </c>
      <c r="P1167" s="168" t="str">
        <f t="shared" si="236"/>
        <v/>
      </c>
      <c r="Q1167" s="168" t="str">
        <f>IFERROR(P1167/_xlfn.XLOOKUP(_xlfn.XLOOKUP($F1167,Clientes!$B$4:$B$39,Clientes!$C$4:$C$39),Cadastros!$L$6:$L$12,Cadastros!$M$6:$M$12)," ")</f>
        <v xml:space="preserve"> </v>
      </c>
      <c r="R1167" s="28"/>
      <c r="S1167" s="28"/>
      <c r="T1167" s="255" t="str">
        <f>IF(R1167="","",(_xlfn.XLOOKUP(R1167,Cadastros!$D$6:$D$90,Cadastros!$E$6:$E$90))*(1-_xlfn.XLOOKUP(_xlfn.XLOOKUP($F1167,Clientes!$B$4:$B$39,Clientes!$C$4:$C$39),Cadastros!$L$6:$L$12,Cadastros!$N$6:$N$12)))</f>
        <v/>
      </c>
      <c r="U1167" s="168" t="str">
        <f t="shared" si="237"/>
        <v/>
      </c>
      <c r="V1167" s="168" t="str">
        <f>IFERROR(U1167/_xlfn.XLOOKUP(_xlfn.XLOOKUP($F1167,Clientes!$B$4:$B$39,Clientes!$C$4:$C$39),Cadastros!$L$6:$L$12,Cadastros!$M$6:$M$12)," ")</f>
        <v xml:space="preserve"> </v>
      </c>
      <c r="W1167" s="28"/>
      <c r="X1167" s="28"/>
      <c r="Y1167" s="255" t="str">
        <f>IF(W1167="","",(_xlfn.XLOOKUP(W1167,Cadastros!$D$6:$D$90,Cadastros!$E$6:$E$90))*(1-_xlfn.XLOOKUP(_xlfn.XLOOKUP($F1167,Clientes!$B$4:$B$39,Clientes!$C$4:$C$39),Cadastros!$L$6:$L$12,Cadastros!$N$6:$N$12)))</f>
        <v/>
      </c>
      <c r="Z1167" s="168" t="str">
        <f t="shared" si="238"/>
        <v/>
      </c>
      <c r="AA1167" s="168" t="str">
        <f>IFERROR(Z1167/_xlfn.XLOOKUP(_xlfn.XLOOKUP($F1167,Clientes!$B$4:$B$39,Clientes!$C$4:$C$39),Cadastros!$L$6:$L$12,Cadastros!$M$6:$M$12)," ")</f>
        <v xml:space="preserve"> </v>
      </c>
      <c r="AB1167" s="28"/>
      <c r="AC1167" s="28"/>
      <c r="AD1167" s="20" t="str">
        <f>IF(AB1167="","",IF($F1167="Bernardino Furlan",_xlfn.XLOOKUP(AB1167,Cadastros!$G$6:$G$90,Cadastros!$H$6:$H$90)*(1-0.18),IF($F1167="Mauro José Salanti",_xlfn.XLOOKUP(AB1167,Cadastros!$G$6:$G$90,Cadastros!$H$6:$H$90)*(1-0.18),_xlfn.XLOOKUP(AB1167,Cadastros!$G$6:$G$90,Cadastros!$H$6:$H$90))))</f>
        <v/>
      </c>
      <c r="AE1167" s="168" t="str">
        <f t="shared" si="239"/>
        <v/>
      </c>
      <c r="AF1167" s="168" t="str">
        <f t="shared" si="240"/>
        <v/>
      </c>
      <c r="AG1167" s="28"/>
      <c r="AH1167" s="28"/>
      <c r="AI1167" s="20" t="str">
        <f>IF(AG1167="","",IF($F1167="Bernardino Furlan",_xlfn.XLOOKUP(AG1167,Cadastros!$G$6:$G$90,Cadastros!$H$6:$H$90)*(1-0.18),IF($F1167="Mauro José Salanti",_xlfn.XLOOKUP(AG1167,Cadastros!$G$6:$G$90,Cadastros!$H$6:$H$90)*(1-0.18),_xlfn.XLOOKUP(AG1167,Cadastros!$G$6:$G$90,Cadastros!$H$6:$H$90))))</f>
        <v/>
      </c>
      <c r="AJ1167" s="168" t="str">
        <f t="shared" si="241"/>
        <v/>
      </c>
      <c r="AK1167" s="168" t="str">
        <f t="shared" si="242"/>
        <v/>
      </c>
      <c r="AL1167" s="28"/>
      <c r="AM1167" s="28"/>
      <c r="AN1167" s="20" t="str">
        <f>IF(AL1167="","",IF($F1167="Bernardino Furlan",_xlfn.XLOOKUP(AL1167,Cadastros!$G$6:$G$90,Cadastros!$H$6:$H$90)*(1-0.18),IF($F1167="Mauro José Salanti",_xlfn.XLOOKUP(AL1167,Cadastros!$G$6:$G$90,Cadastros!$H$6:$H$90)*(1-0.18),_xlfn.XLOOKUP(AL1167,Cadastros!$G$6:$G$90,Cadastros!$H$6:$H$90))))</f>
        <v/>
      </c>
      <c r="AO1167" s="168" t="str">
        <f t="shared" si="243"/>
        <v/>
      </c>
      <c r="AP1167" s="168" t="str">
        <f t="shared" si="244"/>
        <v/>
      </c>
      <c r="AQ1167" s="28"/>
      <c r="AR1167" s="28"/>
      <c r="AS1167" s="20" t="str">
        <f>IF(AQ1167="","",IF($F1167="Bernardino Furlan",_xlfn.XLOOKUP(AQ1167,Cadastros!$G$6:$G$90,Cadastros!$H$6:$H$90)*(1-0.18),IF($F1167="Mauro José Salanti",_xlfn.XLOOKUP(AQ1167,Cadastros!$G$6:$G$90,Cadastros!$H$6:$H$90)*(1-0.18),_xlfn.XLOOKUP(AQ1167,Cadastros!$G$6:$G$90,Cadastros!$H$6:$H$90))))</f>
        <v/>
      </c>
      <c r="AT1167" s="168" t="str">
        <f t="shared" si="245"/>
        <v/>
      </c>
      <c r="AU1167" s="168" t="str">
        <f t="shared" si="246"/>
        <v/>
      </c>
      <c r="AV1167" s="227"/>
      <c r="AW1167" s="30"/>
      <c r="AX1167" s="267"/>
      <c r="AY1167" s="267"/>
      <c r="AZ1167" s="29"/>
      <c r="BA1167" s="30"/>
      <c r="BB1167" s="23" t="str" cm="1">
        <f t="array" ref="BB1167">_xlfn.IFS(AW1167="SIM",SUM(K1167,P1167,U1167,Z1167,AE1167,AJ1167,AO1167,AT1167,AX1167,AY1167),F1167&lt;&gt;"",SUM(K1167,P1167,U1167,Z1167,AE1167,AJ1167,,AO1167,AT1167),F1167="","")</f>
        <v/>
      </c>
      <c r="BC1167" s="211" t="str" cm="1">
        <f t="array" ref="BC1167">_xlfn.IFS(E1167="","",G1167&lt;=E1167,BB1167*(1-0.03),G1167&lt;(E1167+8),BB1167,AZ1167="Boleto",BB1167*(1+0.001)^DATEDIF(E1167,G1167,"D"),AZ1167="Cheque",BB1167,AZ1167="Dinheiro","Alterar forma pgto")</f>
        <v/>
      </c>
      <c r="BD1167" s="276" t="str" cm="1">
        <f t="array" ref="BD1167">IF(F1167=0," ",IF(BC1167&lt;BB1167,(_xlfn.IFS(AW1167="SIM",SUM(L1167,Q1167,V1167,AA1167,AF1167,AK1167,AP1167,AU1167)+AX1167/_xlfn.XLOOKUP(_xlfn.XLOOKUP($F1167,Clientes!$B$4:$B$39,Clientes!$C$4:$C$39),Cadastros!$L$6:$L$12,Cadastros!$M$6:$M$12)+IF($F1167="Bernardino Furlan",AY1167/2751.92,IF($F1167="Mauro José Salanti",AY1167/2751.92,AY1167/3356)),F1167&lt;&gt;0,SUM(L1167,Q1167,V1167,AA1167,AF1167,AK1167,AP1167,AU1167)))*(1-0.03),_xlfn.IFS(AW1167="SIM",SUM(L1167,Q1167,V1167,AA1167,AF1167,AK1167,AP1167,AU1167)+AX1167/_xlfn.XLOOKUP(_xlfn.XLOOKUP($F1167,Clientes!$B$4:$B$39,Clientes!$C$4:$C$39),Cadastros!$L$6:$L$12,Cadastros!$M$6:$M$12)+IF($F1167="Bernardino Furlan",AY1167/2751.92,IF($F1167="Mauro José Salanti",AY1167/2751.92,AY1167/3356)),F1167&lt;&gt;0,SUM(L1167,Q1167,V1167,AA1167,AF1167,AK1167,AP1167,AU1167))))</f>
        <v xml:space="preserve"> </v>
      </c>
      <c r="BE1167" s="120"/>
      <c r="BF1167" s="120"/>
      <c r="BG1167" s="120"/>
    </row>
    <row r="1168" spans="1:59" s="3" customFormat="1" x14ac:dyDescent="0.3">
      <c r="A1168" s="15" t="str">
        <f t="shared" si="234"/>
        <v/>
      </c>
      <c r="B1168" s="25"/>
      <c r="C1168" s="26"/>
      <c r="D1168" s="279"/>
      <c r="E1168" s="27"/>
      <c r="F1168" s="28"/>
      <c r="G1168" s="27"/>
      <c r="H1168" s="28"/>
      <c r="I1168" s="28"/>
      <c r="J1168" s="255" t="str">
        <f>IF(H1168="","",(_xlfn.XLOOKUP(H1168,Cadastros!$D$6:$D$90,Cadastros!$E$6:$E$90))*(1-_xlfn.XLOOKUP(_xlfn.XLOOKUP($F1168,Clientes!$B$4:$B$39,Clientes!$C$4:$C$39),Cadastros!$L$6:$L$12,Cadastros!$N$6:$N$12)))</f>
        <v/>
      </c>
      <c r="K1168" s="168" t="str">
        <f t="shared" si="235"/>
        <v/>
      </c>
      <c r="L1168" s="168" t="str">
        <f>IFERROR(K1168/_xlfn.XLOOKUP(_xlfn.XLOOKUP($F1168,Clientes!$B$4:$B$39,Clientes!$C$4:$C$39),Cadastros!$L$6:$L$12,Cadastros!$M$6:$M$12)," ")</f>
        <v xml:space="preserve"> </v>
      </c>
      <c r="M1168" s="28"/>
      <c r="N1168" s="28"/>
      <c r="O1168" s="255" t="str">
        <f>IF(M1168="","",(_xlfn.XLOOKUP(M1168,Cadastros!$D$6:$D$90,Cadastros!$E$6:$E$90))*(1-_xlfn.XLOOKUP(_xlfn.XLOOKUP($F1168,Clientes!$B$4:$B$39,Clientes!$C$4:$C$39),Cadastros!$L$6:$L$12,Cadastros!$N$6:$N$12)))</f>
        <v/>
      </c>
      <c r="P1168" s="168" t="str">
        <f t="shared" si="236"/>
        <v/>
      </c>
      <c r="Q1168" s="168" t="str">
        <f>IFERROR(P1168/_xlfn.XLOOKUP(_xlfn.XLOOKUP($F1168,Clientes!$B$4:$B$39,Clientes!$C$4:$C$39),Cadastros!$L$6:$L$12,Cadastros!$M$6:$M$12)," ")</f>
        <v xml:space="preserve"> </v>
      </c>
      <c r="R1168" s="28"/>
      <c r="S1168" s="28"/>
      <c r="T1168" s="255" t="str">
        <f>IF(R1168="","",(_xlfn.XLOOKUP(R1168,Cadastros!$D$6:$D$90,Cadastros!$E$6:$E$90))*(1-_xlfn.XLOOKUP(_xlfn.XLOOKUP($F1168,Clientes!$B$4:$B$39,Clientes!$C$4:$C$39),Cadastros!$L$6:$L$12,Cadastros!$N$6:$N$12)))</f>
        <v/>
      </c>
      <c r="U1168" s="168" t="str">
        <f t="shared" si="237"/>
        <v/>
      </c>
      <c r="V1168" s="168" t="str">
        <f>IFERROR(U1168/_xlfn.XLOOKUP(_xlfn.XLOOKUP($F1168,Clientes!$B$4:$B$39,Clientes!$C$4:$C$39),Cadastros!$L$6:$L$12,Cadastros!$M$6:$M$12)," ")</f>
        <v xml:space="preserve"> </v>
      </c>
      <c r="W1168" s="28"/>
      <c r="X1168" s="28"/>
      <c r="Y1168" s="255" t="str">
        <f>IF(W1168="","",(_xlfn.XLOOKUP(W1168,Cadastros!$D$6:$D$90,Cadastros!$E$6:$E$90))*(1-_xlfn.XLOOKUP(_xlfn.XLOOKUP($F1168,Clientes!$B$4:$B$39,Clientes!$C$4:$C$39),Cadastros!$L$6:$L$12,Cadastros!$N$6:$N$12)))</f>
        <v/>
      </c>
      <c r="Z1168" s="168" t="str">
        <f t="shared" si="238"/>
        <v/>
      </c>
      <c r="AA1168" s="168" t="str">
        <f>IFERROR(Z1168/_xlfn.XLOOKUP(_xlfn.XLOOKUP($F1168,Clientes!$B$4:$B$39,Clientes!$C$4:$C$39),Cadastros!$L$6:$L$12,Cadastros!$M$6:$M$12)," ")</f>
        <v xml:space="preserve"> </v>
      </c>
      <c r="AB1168" s="28"/>
      <c r="AC1168" s="28"/>
      <c r="AD1168" s="20" t="str">
        <f>IF(AB1168="","",IF($F1168="Bernardino Furlan",_xlfn.XLOOKUP(AB1168,Cadastros!$G$6:$G$90,Cadastros!$H$6:$H$90)*(1-0.18),IF($F1168="Mauro José Salanti",_xlfn.XLOOKUP(AB1168,Cadastros!$G$6:$G$90,Cadastros!$H$6:$H$90)*(1-0.18),_xlfn.XLOOKUP(AB1168,Cadastros!$G$6:$G$90,Cadastros!$H$6:$H$90))))</f>
        <v/>
      </c>
      <c r="AE1168" s="168" t="str">
        <f t="shared" si="239"/>
        <v/>
      </c>
      <c r="AF1168" s="168" t="str">
        <f t="shared" si="240"/>
        <v/>
      </c>
      <c r="AG1168" s="28"/>
      <c r="AH1168" s="28"/>
      <c r="AI1168" s="20" t="str">
        <f>IF(AG1168="","",IF($F1168="Bernardino Furlan",_xlfn.XLOOKUP(AG1168,Cadastros!$G$6:$G$90,Cadastros!$H$6:$H$90)*(1-0.18),IF($F1168="Mauro José Salanti",_xlfn.XLOOKUP(AG1168,Cadastros!$G$6:$G$90,Cadastros!$H$6:$H$90)*(1-0.18),_xlfn.XLOOKUP(AG1168,Cadastros!$G$6:$G$90,Cadastros!$H$6:$H$90))))</f>
        <v/>
      </c>
      <c r="AJ1168" s="168" t="str">
        <f t="shared" si="241"/>
        <v/>
      </c>
      <c r="AK1168" s="168" t="str">
        <f t="shared" si="242"/>
        <v/>
      </c>
      <c r="AL1168" s="28"/>
      <c r="AM1168" s="28"/>
      <c r="AN1168" s="20" t="str">
        <f>IF(AL1168="","",IF($F1168="Bernardino Furlan",_xlfn.XLOOKUP(AL1168,Cadastros!$G$6:$G$90,Cadastros!$H$6:$H$90)*(1-0.18),IF($F1168="Mauro José Salanti",_xlfn.XLOOKUP(AL1168,Cadastros!$G$6:$G$90,Cadastros!$H$6:$H$90)*(1-0.18),_xlfn.XLOOKUP(AL1168,Cadastros!$G$6:$G$90,Cadastros!$H$6:$H$90))))</f>
        <v/>
      </c>
      <c r="AO1168" s="168" t="str">
        <f t="shared" si="243"/>
        <v/>
      </c>
      <c r="AP1168" s="168" t="str">
        <f t="shared" si="244"/>
        <v/>
      </c>
      <c r="AQ1168" s="28"/>
      <c r="AR1168" s="28"/>
      <c r="AS1168" s="20" t="str">
        <f>IF(AQ1168="","",IF($F1168="Bernardino Furlan",_xlfn.XLOOKUP(AQ1168,Cadastros!$G$6:$G$90,Cadastros!$H$6:$H$90)*(1-0.18),IF($F1168="Mauro José Salanti",_xlfn.XLOOKUP(AQ1168,Cadastros!$G$6:$G$90,Cadastros!$H$6:$H$90)*(1-0.18),_xlfn.XLOOKUP(AQ1168,Cadastros!$G$6:$G$90,Cadastros!$H$6:$H$90))))</f>
        <v/>
      </c>
      <c r="AT1168" s="168" t="str">
        <f t="shared" si="245"/>
        <v/>
      </c>
      <c r="AU1168" s="168" t="str">
        <f t="shared" si="246"/>
        <v/>
      </c>
      <c r="AV1168" s="227"/>
      <c r="AW1168" s="30"/>
      <c r="AX1168" s="267"/>
      <c r="AY1168" s="267"/>
      <c r="AZ1168" s="29"/>
      <c r="BA1168" s="30"/>
      <c r="BB1168" s="23" t="str" cm="1">
        <f t="array" ref="BB1168">_xlfn.IFS(AW1168="SIM",SUM(K1168,P1168,U1168,Z1168,AE1168,AJ1168,AO1168,AT1168,AX1168,AY1168),F1168&lt;&gt;"",SUM(K1168,P1168,U1168,Z1168,AE1168,AJ1168,,AO1168,AT1168),F1168="","")</f>
        <v/>
      </c>
      <c r="BC1168" s="211" t="str" cm="1">
        <f t="array" ref="BC1168">_xlfn.IFS(E1168="","",G1168&lt;=E1168,BB1168*(1-0.03),G1168&lt;(E1168+8),BB1168,AZ1168="Boleto",BB1168*(1+0.001)^DATEDIF(E1168,G1168,"D"),AZ1168="Cheque",BB1168,AZ1168="Dinheiro","Alterar forma pgto")</f>
        <v/>
      </c>
      <c r="BD1168" s="276" t="str" cm="1">
        <f t="array" ref="BD1168">IF(F1168=0," ",IF(BC1168&lt;BB1168,(_xlfn.IFS(AW1168="SIM",SUM(L1168,Q1168,V1168,AA1168,AF1168,AK1168,AP1168,AU1168)+AX1168/_xlfn.XLOOKUP(_xlfn.XLOOKUP($F1168,Clientes!$B$4:$B$39,Clientes!$C$4:$C$39),Cadastros!$L$6:$L$12,Cadastros!$M$6:$M$12)+IF($F1168="Bernardino Furlan",AY1168/2751.92,IF($F1168="Mauro José Salanti",AY1168/2751.92,AY1168/3356)),F1168&lt;&gt;0,SUM(L1168,Q1168,V1168,AA1168,AF1168,AK1168,AP1168,AU1168)))*(1-0.03),_xlfn.IFS(AW1168="SIM",SUM(L1168,Q1168,V1168,AA1168,AF1168,AK1168,AP1168,AU1168)+AX1168/_xlfn.XLOOKUP(_xlfn.XLOOKUP($F1168,Clientes!$B$4:$B$39,Clientes!$C$4:$C$39),Cadastros!$L$6:$L$12,Cadastros!$M$6:$M$12)+IF($F1168="Bernardino Furlan",AY1168/2751.92,IF($F1168="Mauro José Salanti",AY1168/2751.92,AY1168/3356)),F1168&lt;&gt;0,SUM(L1168,Q1168,V1168,AA1168,AF1168,AK1168,AP1168,AU1168))))</f>
        <v xml:space="preserve"> </v>
      </c>
      <c r="BE1168" s="120"/>
      <c r="BF1168" s="120"/>
      <c r="BG1168" s="120"/>
    </row>
    <row r="1169" spans="1:59" s="3" customFormat="1" x14ac:dyDescent="0.3">
      <c r="A1169" s="15" t="str">
        <f t="shared" si="234"/>
        <v/>
      </c>
      <c r="B1169" s="25"/>
      <c r="C1169" s="26"/>
      <c r="D1169" s="279"/>
      <c r="E1169" s="27"/>
      <c r="F1169" s="28"/>
      <c r="G1169" s="27"/>
      <c r="H1169" s="28"/>
      <c r="I1169" s="28"/>
      <c r="J1169" s="255" t="str">
        <f>IF(H1169="","",(_xlfn.XLOOKUP(H1169,Cadastros!$D$6:$D$90,Cadastros!$E$6:$E$90))*(1-_xlfn.XLOOKUP(_xlfn.XLOOKUP($F1169,Clientes!$B$4:$B$39,Clientes!$C$4:$C$39),Cadastros!$L$6:$L$12,Cadastros!$N$6:$N$12)))</f>
        <v/>
      </c>
      <c r="K1169" s="168" t="str">
        <f t="shared" si="235"/>
        <v/>
      </c>
      <c r="L1169" s="168" t="str">
        <f>IFERROR(K1169/_xlfn.XLOOKUP(_xlfn.XLOOKUP($F1169,Clientes!$B$4:$B$39,Clientes!$C$4:$C$39),Cadastros!$L$6:$L$12,Cadastros!$M$6:$M$12)," ")</f>
        <v xml:space="preserve"> </v>
      </c>
      <c r="M1169" s="28"/>
      <c r="N1169" s="28"/>
      <c r="O1169" s="255" t="str">
        <f>IF(M1169="","",(_xlfn.XLOOKUP(M1169,Cadastros!$D$6:$D$90,Cadastros!$E$6:$E$90))*(1-_xlfn.XLOOKUP(_xlfn.XLOOKUP($F1169,Clientes!$B$4:$B$39,Clientes!$C$4:$C$39),Cadastros!$L$6:$L$12,Cadastros!$N$6:$N$12)))</f>
        <v/>
      </c>
      <c r="P1169" s="168" t="str">
        <f t="shared" si="236"/>
        <v/>
      </c>
      <c r="Q1169" s="168" t="str">
        <f>IFERROR(P1169/_xlfn.XLOOKUP(_xlfn.XLOOKUP($F1169,Clientes!$B$4:$B$39,Clientes!$C$4:$C$39),Cadastros!$L$6:$L$12,Cadastros!$M$6:$M$12)," ")</f>
        <v xml:space="preserve"> </v>
      </c>
      <c r="R1169" s="28"/>
      <c r="S1169" s="28"/>
      <c r="T1169" s="255" t="str">
        <f>IF(R1169="","",(_xlfn.XLOOKUP(R1169,Cadastros!$D$6:$D$90,Cadastros!$E$6:$E$90))*(1-_xlfn.XLOOKUP(_xlfn.XLOOKUP($F1169,Clientes!$B$4:$B$39,Clientes!$C$4:$C$39),Cadastros!$L$6:$L$12,Cadastros!$N$6:$N$12)))</f>
        <v/>
      </c>
      <c r="U1169" s="168" t="str">
        <f t="shared" si="237"/>
        <v/>
      </c>
      <c r="V1169" s="168" t="str">
        <f>IFERROR(U1169/_xlfn.XLOOKUP(_xlfn.XLOOKUP($F1169,Clientes!$B$4:$B$39,Clientes!$C$4:$C$39),Cadastros!$L$6:$L$12,Cadastros!$M$6:$M$12)," ")</f>
        <v xml:space="preserve"> </v>
      </c>
      <c r="W1169" s="28"/>
      <c r="X1169" s="28"/>
      <c r="Y1169" s="255" t="str">
        <f>IF(W1169="","",(_xlfn.XLOOKUP(W1169,Cadastros!$D$6:$D$90,Cadastros!$E$6:$E$90))*(1-_xlfn.XLOOKUP(_xlfn.XLOOKUP($F1169,Clientes!$B$4:$B$39,Clientes!$C$4:$C$39),Cadastros!$L$6:$L$12,Cadastros!$N$6:$N$12)))</f>
        <v/>
      </c>
      <c r="Z1169" s="168" t="str">
        <f t="shared" si="238"/>
        <v/>
      </c>
      <c r="AA1169" s="168" t="str">
        <f>IFERROR(Z1169/_xlfn.XLOOKUP(_xlfn.XLOOKUP($F1169,Clientes!$B$4:$B$39,Clientes!$C$4:$C$39),Cadastros!$L$6:$L$12,Cadastros!$M$6:$M$12)," ")</f>
        <v xml:space="preserve"> </v>
      </c>
      <c r="AB1169" s="28"/>
      <c r="AC1169" s="28"/>
      <c r="AD1169" s="20" t="str">
        <f>IF(AB1169="","",IF($F1169="Bernardino Furlan",_xlfn.XLOOKUP(AB1169,Cadastros!$G$6:$G$90,Cadastros!$H$6:$H$90)*(1-0.18),IF($F1169="Mauro José Salanti",_xlfn.XLOOKUP(AB1169,Cadastros!$G$6:$G$90,Cadastros!$H$6:$H$90)*(1-0.18),_xlfn.XLOOKUP(AB1169,Cadastros!$G$6:$G$90,Cadastros!$H$6:$H$90))))</f>
        <v/>
      </c>
      <c r="AE1169" s="168" t="str">
        <f t="shared" si="239"/>
        <v/>
      </c>
      <c r="AF1169" s="168" t="str">
        <f t="shared" si="240"/>
        <v/>
      </c>
      <c r="AG1169" s="28"/>
      <c r="AH1169" s="28"/>
      <c r="AI1169" s="20" t="str">
        <f>IF(AG1169="","",IF($F1169="Bernardino Furlan",_xlfn.XLOOKUP(AG1169,Cadastros!$G$6:$G$90,Cadastros!$H$6:$H$90)*(1-0.18),IF($F1169="Mauro José Salanti",_xlfn.XLOOKUP(AG1169,Cadastros!$G$6:$G$90,Cadastros!$H$6:$H$90)*(1-0.18),_xlfn.XLOOKUP(AG1169,Cadastros!$G$6:$G$90,Cadastros!$H$6:$H$90))))</f>
        <v/>
      </c>
      <c r="AJ1169" s="168" t="str">
        <f t="shared" si="241"/>
        <v/>
      </c>
      <c r="AK1169" s="168" t="str">
        <f t="shared" si="242"/>
        <v/>
      </c>
      <c r="AL1169" s="28"/>
      <c r="AM1169" s="28"/>
      <c r="AN1169" s="20" t="str">
        <f>IF(AL1169="","",IF($F1169="Bernardino Furlan",_xlfn.XLOOKUP(AL1169,Cadastros!$G$6:$G$90,Cadastros!$H$6:$H$90)*(1-0.18),IF($F1169="Mauro José Salanti",_xlfn.XLOOKUP(AL1169,Cadastros!$G$6:$G$90,Cadastros!$H$6:$H$90)*(1-0.18),_xlfn.XLOOKUP(AL1169,Cadastros!$G$6:$G$90,Cadastros!$H$6:$H$90))))</f>
        <v/>
      </c>
      <c r="AO1169" s="168" t="str">
        <f t="shared" si="243"/>
        <v/>
      </c>
      <c r="AP1169" s="168" t="str">
        <f t="shared" si="244"/>
        <v/>
      </c>
      <c r="AQ1169" s="28"/>
      <c r="AR1169" s="28"/>
      <c r="AS1169" s="20" t="str">
        <f>IF(AQ1169="","",IF($F1169="Bernardino Furlan",_xlfn.XLOOKUP(AQ1169,Cadastros!$G$6:$G$90,Cadastros!$H$6:$H$90)*(1-0.18),IF($F1169="Mauro José Salanti",_xlfn.XLOOKUP(AQ1169,Cadastros!$G$6:$G$90,Cadastros!$H$6:$H$90)*(1-0.18),_xlfn.XLOOKUP(AQ1169,Cadastros!$G$6:$G$90,Cadastros!$H$6:$H$90))))</f>
        <v/>
      </c>
      <c r="AT1169" s="168" t="str">
        <f t="shared" si="245"/>
        <v/>
      </c>
      <c r="AU1169" s="168" t="str">
        <f t="shared" si="246"/>
        <v/>
      </c>
      <c r="AV1169" s="227"/>
      <c r="AW1169" s="30"/>
      <c r="AX1169" s="267"/>
      <c r="AY1169" s="267"/>
      <c r="AZ1169" s="29"/>
      <c r="BA1169" s="30"/>
      <c r="BB1169" s="23" t="str" cm="1">
        <f t="array" ref="BB1169">_xlfn.IFS(AW1169="SIM",SUM(K1169,P1169,U1169,Z1169,AE1169,AJ1169,AO1169,AT1169,AX1169,AY1169),F1169&lt;&gt;"",SUM(K1169,P1169,U1169,Z1169,AE1169,AJ1169,,AO1169,AT1169),F1169="","")</f>
        <v/>
      </c>
      <c r="BC1169" s="211" t="str" cm="1">
        <f t="array" ref="BC1169">_xlfn.IFS(E1169="","",G1169&lt;=E1169,BB1169*(1-0.03),G1169&lt;(E1169+8),BB1169,AZ1169="Boleto",BB1169*(1+0.001)^DATEDIF(E1169,G1169,"D"),AZ1169="Cheque",BB1169,AZ1169="Dinheiro","Alterar forma pgto")</f>
        <v/>
      </c>
      <c r="BD1169" s="276" t="str" cm="1">
        <f t="array" ref="BD1169">IF(F1169=0," ",IF(BC1169&lt;BB1169,(_xlfn.IFS(AW1169="SIM",SUM(L1169,Q1169,V1169,AA1169,AF1169,AK1169,AP1169,AU1169)+AX1169/_xlfn.XLOOKUP(_xlfn.XLOOKUP($F1169,Clientes!$B$4:$B$39,Clientes!$C$4:$C$39),Cadastros!$L$6:$L$12,Cadastros!$M$6:$M$12)+IF($F1169="Bernardino Furlan",AY1169/2751.92,IF($F1169="Mauro José Salanti",AY1169/2751.92,AY1169/3356)),F1169&lt;&gt;0,SUM(L1169,Q1169,V1169,AA1169,AF1169,AK1169,AP1169,AU1169)))*(1-0.03),_xlfn.IFS(AW1169="SIM",SUM(L1169,Q1169,V1169,AA1169,AF1169,AK1169,AP1169,AU1169)+AX1169/_xlfn.XLOOKUP(_xlfn.XLOOKUP($F1169,Clientes!$B$4:$B$39,Clientes!$C$4:$C$39),Cadastros!$L$6:$L$12,Cadastros!$M$6:$M$12)+IF($F1169="Bernardino Furlan",AY1169/2751.92,IF($F1169="Mauro José Salanti",AY1169/2751.92,AY1169/3356)),F1169&lt;&gt;0,SUM(L1169,Q1169,V1169,AA1169,AF1169,AK1169,AP1169,AU1169))))</f>
        <v xml:space="preserve"> </v>
      </c>
      <c r="BE1169" s="120"/>
      <c r="BF1169" s="120"/>
      <c r="BG1169" s="120"/>
    </row>
    <row r="1170" spans="1:59" s="3" customFormat="1" x14ac:dyDescent="0.3">
      <c r="A1170" s="15" t="str">
        <f t="shared" si="234"/>
        <v/>
      </c>
      <c r="B1170" s="25"/>
      <c r="C1170" s="26"/>
      <c r="D1170" s="279"/>
      <c r="E1170" s="27"/>
      <c r="F1170" s="28"/>
      <c r="G1170" s="27"/>
      <c r="H1170" s="28"/>
      <c r="I1170" s="28"/>
      <c r="J1170" s="255" t="str">
        <f>IF(H1170="","",(_xlfn.XLOOKUP(H1170,Cadastros!$D$6:$D$90,Cadastros!$E$6:$E$90))*(1-_xlfn.XLOOKUP(_xlfn.XLOOKUP($F1170,Clientes!$B$4:$B$39,Clientes!$C$4:$C$39),Cadastros!$L$6:$L$12,Cadastros!$N$6:$N$12)))</f>
        <v/>
      </c>
      <c r="K1170" s="168" t="str">
        <f t="shared" si="235"/>
        <v/>
      </c>
      <c r="L1170" s="168" t="str">
        <f>IFERROR(K1170/_xlfn.XLOOKUP(_xlfn.XLOOKUP($F1170,Clientes!$B$4:$B$39,Clientes!$C$4:$C$39),Cadastros!$L$6:$L$12,Cadastros!$M$6:$M$12)," ")</f>
        <v xml:space="preserve"> </v>
      </c>
      <c r="M1170" s="28"/>
      <c r="N1170" s="28"/>
      <c r="O1170" s="255" t="str">
        <f>IF(M1170="","",(_xlfn.XLOOKUP(M1170,Cadastros!$D$6:$D$90,Cadastros!$E$6:$E$90))*(1-_xlfn.XLOOKUP(_xlfn.XLOOKUP($F1170,Clientes!$B$4:$B$39,Clientes!$C$4:$C$39),Cadastros!$L$6:$L$12,Cadastros!$N$6:$N$12)))</f>
        <v/>
      </c>
      <c r="P1170" s="168" t="str">
        <f t="shared" si="236"/>
        <v/>
      </c>
      <c r="Q1170" s="168" t="str">
        <f>IFERROR(P1170/_xlfn.XLOOKUP(_xlfn.XLOOKUP($F1170,Clientes!$B$4:$B$39,Clientes!$C$4:$C$39),Cadastros!$L$6:$L$12,Cadastros!$M$6:$M$12)," ")</f>
        <v xml:space="preserve"> </v>
      </c>
      <c r="R1170" s="28"/>
      <c r="S1170" s="28"/>
      <c r="T1170" s="255" t="str">
        <f>IF(R1170="","",(_xlfn.XLOOKUP(R1170,Cadastros!$D$6:$D$90,Cadastros!$E$6:$E$90))*(1-_xlfn.XLOOKUP(_xlfn.XLOOKUP($F1170,Clientes!$B$4:$B$39,Clientes!$C$4:$C$39),Cadastros!$L$6:$L$12,Cadastros!$N$6:$N$12)))</f>
        <v/>
      </c>
      <c r="U1170" s="168" t="str">
        <f t="shared" si="237"/>
        <v/>
      </c>
      <c r="V1170" s="168" t="str">
        <f>IFERROR(U1170/_xlfn.XLOOKUP(_xlfn.XLOOKUP($F1170,Clientes!$B$4:$B$39,Clientes!$C$4:$C$39),Cadastros!$L$6:$L$12,Cadastros!$M$6:$M$12)," ")</f>
        <v xml:space="preserve"> </v>
      </c>
      <c r="W1170" s="28"/>
      <c r="X1170" s="28"/>
      <c r="Y1170" s="255" t="str">
        <f>IF(W1170="","",(_xlfn.XLOOKUP(W1170,Cadastros!$D$6:$D$90,Cadastros!$E$6:$E$90))*(1-_xlfn.XLOOKUP(_xlfn.XLOOKUP($F1170,Clientes!$B$4:$B$39,Clientes!$C$4:$C$39),Cadastros!$L$6:$L$12,Cadastros!$N$6:$N$12)))</f>
        <v/>
      </c>
      <c r="Z1170" s="168" t="str">
        <f t="shared" si="238"/>
        <v/>
      </c>
      <c r="AA1170" s="168" t="str">
        <f>IFERROR(Z1170/_xlfn.XLOOKUP(_xlfn.XLOOKUP($F1170,Clientes!$B$4:$B$39,Clientes!$C$4:$C$39),Cadastros!$L$6:$L$12,Cadastros!$M$6:$M$12)," ")</f>
        <v xml:space="preserve"> </v>
      </c>
      <c r="AB1170" s="28"/>
      <c r="AC1170" s="28"/>
      <c r="AD1170" s="20" t="str">
        <f>IF(AB1170="","",IF($F1170="Bernardino Furlan",_xlfn.XLOOKUP(AB1170,Cadastros!$G$6:$G$90,Cadastros!$H$6:$H$90)*(1-0.18),IF($F1170="Mauro José Salanti",_xlfn.XLOOKUP(AB1170,Cadastros!$G$6:$G$90,Cadastros!$H$6:$H$90)*(1-0.18),_xlfn.XLOOKUP(AB1170,Cadastros!$G$6:$G$90,Cadastros!$H$6:$H$90))))</f>
        <v/>
      </c>
      <c r="AE1170" s="168" t="str">
        <f t="shared" si="239"/>
        <v/>
      </c>
      <c r="AF1170" s="168" t="str">
        <f t="shared" si="240"/>
        <v/>
      </c>
      <c r="AG1170" s="28"/>
      <c r="AH1170" s="28"/>
      <c r="AI1170" s="20" t="str">
        <f>IF(AG1170="","",IF($F1170="Bernardino Furlan",_xlfn.XLOOKUP(AG1170,Cadastros!$G$6:$G$90,Cadastros!$H$6:$H$90)*(1-0.18),IF($F1170="Mauro José Salanti",_xlfn.XLOOKUP(AG1170,Cadastros!$G$6:$G$90,Cadastros!$H$6:$H$90)*(1-0.18),_xlfn.XLOOKUP(AG1170,Cadastros!$G$6:$G$90,Cadastros!$H$6:$H$90))))</f>
        <v/>
      </c>
      <c r="AJ1170" s="168" t="str">
        <f t="shared" si="241"/>
        <v/>
      </c>
      <c r="AK1170" s="168" t="str">
        <f t="shared" si="242"/>
        <v/>
      </c>
      <c r="AL1170" s="28"/>
      <c r="AM1170" s="28"/>
      <c r="AN1170" s="20" t="str">
        <f>IF(AL1170="","",IF($F1170="Bernardino Furlan",_xlfn.XLOOKUP(AL1170,Cadastros!$G$6:$G$90,Cadastros!$H$6:$H$90)*(1-0.18),IF($F1170="Mauro José Salanti",_xlfn.XLOOKUP(AL1170,Cadastros!$G$6:$G$90,Cadastros!$H$6:$H$90)*(1-0.18),_xlfn.XLOOKUP(AL1170,Cadastros!$G$6:$G$90,Cadastros!$H$6:$H$90))))</f>
        <v/>
      </c>
      <c r="AO1170" s="168" t="str">
        <f t="shared" si="243"/>
        <v/>
      </c>
      <c r="AP1170" s="168" t="str">
        <f t="shared" si="244"/>
        <v/>
      </c>
      <c r="AQ1170" s="28"/>
      <c r="AR1170" s="28"/>
      <c r="AS1170" s="20" t="str">
        <f>IF(AQ1170="","",IF($F1170="Bernardino Furlan",_xlfn.XLOOKUP(AQ1170,Cadastros!$G$6:$G$90,Cadastros!$H$6:$H$90)*(1-0.18),IF($F1170="Mauro José Salanti",_xlfn.XLOOKUP(AQ1170,Cadastros!$G$6:$G$90,Cadastros!$H$6:$H$90)*(1-0.18),_xlfn.XLOOKUP(AQ1170,Cadastros!$G$6:$G$90,Cadastros!$H$6:$H$90))))</f>
        <v/>
      </c>
      <c r="AT1170" s="168" t="str">
        <f t="shared" si="245"/>
        <v/>
      </c>
      <c r="AU1170" s="168" t="str">
        <f t="shared" si="246"/>
        <v/>
      </c>
      <c r="AV1170" s="227"/>
      <c r="AW1170" s="30"/>
      <c r="AX1170" s="267"/>
      <c r="AY1170" s="267"/>
      <c r="AZ1170" s="29"/>
      <c r="BA1170" s="30"/>
      <c r="BB1170" s="23" t="str" cm="1">
        <f t="array" ref="BB1170">_xlfn.IFS(AW1170="SIM",SUM(K1170,P1170,U1170,Z1170,AE1170,AJ1170,AO1170,AT1170,AX1170,AY1170),F1170&lt;&gt;"",SUM(K1170,P1170,U1170,Z1170,AE1170,AJ1170,,AO1170,AT1170),F1170="","")</f>
        <v/>
      </c>
      <c r="BC1170" s="211" t="str" cm="1">
        <f t="array" ref="BC1170">_xlfn.IFS(E1170="","",G1170&lt;=E1170,BB1170*(1-0.03),G1170&lt;(E1170+8),BB1170,AZ1170="Boleto",BB1170*(1+0.001)^DATEDIF(E1170,G1170,"D"),AZ1170="Cheque",BB1170,AZ1170="Dinheiro","Alterar forma pgto")</f>
        <v/>
      </c>
      <c r="BD1170" s="276" t="str" cm="1">
        <f t="array" ref="BD1170">IF(F1170=0," ",IF(BC1170&lt;BB1170,(_xlfn.IFS(AW1170="SIM",SUM(L1170,Q1170,V1170,AA1170,AF1170,AK1170,AP1170,AU1170)+AX1170/_xlfn.XLOOKUP(_xlfn.XLOOKUP($F1170,Clientes!$B$4:$B$39,Clientes!$C$4:$C$39),Cadastros!$L$6:$L$12,Cadastros!$M$6:$M$12)+IF($F1170="Bernardino Furlan",AY1170/2751.92,IF($F1170="Mauro José Salanti",AY1170/2751.92,AY1170/3356)),F1170&lt;&gt;0,SUM(L1170,Q1170,V1170,AA1170,AF1170,AK1170,AP1170,AU1170)))*(1-0.03),_xlfn.IFS(AW1170="SIM",SUM(L1170,Q1170,V1170,AA1170,AF1170,AK1170,AP1170,AU1170)+AX1170/_xlfn.XLOOKUP(_xlfn.XLOOKUP($F1170,Clientes!$B$4:$B$39,Clientes!$C$4:$C$39),Cadastros!$L$6:$L$12,Cadastros!$M$6:$M$12)+IF($F1170="Bernardino Furlan",AY1170/2751.92,IF($F1170="Mauro José Salanti",AY1170/2751.92,AY1170/3356)),F1170&lt;&gt;0,SUM(L1170,Q1170,V1170,AA1170,AF1170,AK1170,AP1170,AU1170))))</f>
        <v xml:space="preserve"> </v>
      </c>
      <c r="BE1170" s="120"/>
      <c r="BF1170" s="120"/>
      <c r="BG1170" s="120"/>
    </row>
    <row r="1171" spans="1:59" s="3" customFormat="1" x14ac:dyDescent="0.3">
      <c r="A1171" s="15" t="str">
        <f t="shared" si="234"/>
        <v/>
      </c>
      <c r="B1171" s="25"/>
      <c r="C1171" s="26"/>
      <c r="D1171" s="279"/>
      <c r="E1171" s="27"/>
      <c r="F1171" s="28"/>
      <c r="G1171" s="27"/>
      <c r="H1171" s="28"/>
      <c r="I1171" s="28"/>
      <c r="J1171" s="255" t="str">
        <f>IF(H1171="","",(_xlfn.XLOOKUP(H1171,Cadastros!$D$6:$D$90,Cadastros!$E$6:$E$90))*(1-_xlfn.XLOOKUP(_xlfn.XLOOKUP($F1171,Clientes!$B$4:$B$39,Clientes!$C$4:$C$39),Cadastros!$L$6:$L$12,Cadastros!$N$6:$N$12)))</f>
        <v/>
      </c>
      <c r="K1171" s="168" t="str">
        <f t="shared" si="235"/>
        <v/>
      </c>
      <c r="L1171" s="168" t="str">
        <f>IFERROR(K1171/_xlfn.XLOOKUP(_xlfn.XLOOKUP($F1171,Clientes!$B$4:$B$39,Clientes!$C$4:$C$39),Cadastros!$L$6:$L$12,Cadastros!$M$6:$M$12)," ")</f>
        <v xml:space="preserve"> </v>
      </c>
      <c r="M1171" s="28"/>
      <c r="N1171" s="28"/>
      <c r="O1171" s="255" t="str">
        <f>IF(M1171="","",(_xlfn.XLOOKUP(M1171,Cadastros!$D$6:$D$90,Cadastros!$E$6:$E$90))*(1-_xlfn.XLOOKUP(_xlfn.XLOOKUP($F1171,Clientes!$B$4:$B$39,Clientes!$C$4:$C$39),Cadastros!$L$6:$L$12,Cadastros!$N$6:$N$12)))</f>
        <v/>
      </c>
      <c r="P1171" s="168" t="str">
        <f t="shared" si="236"/>
        <v/>
      </c>
      <c r="Q1171" s="168" t="str">
        <f>IFERROR(P1171/_xlfn.XLOOKUP(_xlfn.XLOOKUP($F1171,Clientes!$B$4:$B$39,Clientes!$C$4:$C$39),Cadastros!$L$6:$L$12,Cadastros!$M$6:$M$12)," ")</f>
        <v xml:space="preserve"> </v>
      </c>
      <c r="R1171" s="28"/>
      <c r="S1171" s="28"/>
      <c r="T1171" s="255" t="str">
        <f>IF(R1171="","",(_xlfn.XLOOKUP(R1171,Cadastros!$D$6:$D$90,Cadastros!$E$6:$E$90))*(1-_xlfn.XLOOKUP(_xlfn.XLOOKUP($F1171,Clientes!$B$4:$B$39,Clientes!$C$4:$C$39),Cadastros!$L$6:$L$12,Cadastros!$N$6:$N$12)))</f>
        <v/>
      </c>
      <c r="U1171" s="168" t="str">
        <f t="shared" si="237"/>
        <v/>
      </c>
      <c r="V1171" s="168" t="str">
        <f>IFERROR(U1171/_xlfn.XLOOKUP(_xlfn.XLOOKUP($F1171,Clientes!$B$4:$B$39,Clientes!$C$4:$C$39),Cadastros!$L$6:$L$12,Cadastros!$M$6:$M$12)," ")</f>
        <v xml:space="preserve"> </v>
      </c>
      <c r="W1171" s="28"/>
      <c r="X1171" s="28"/>
      <c r="Y1171" s="255" t="str">
        <f>IF(W1171="","",(_xlfn.XLOOKUP(W1171,Cadastros!$D$6:$D$90,Cadastros!$E$6:$E$90))*(1-_xlfn.XLOOKUP(_xlfn.XLOOKUP($F1171,Clientes!$B$4:$B$39,Clientes!$C$4:$C$39),Cadastros!$L$6:$L$12,Cadastros!$N$6:$N$12)))</f>
        <v/>
      </c>
      <c r="Z1171" s="168" t="str">
        <f t="shared" si="238"/>
        <v/>
      </c>
      <c r="AA1171" s="168" t="str">
        <f>IFERROR(Z1171/_xlfn.XLOOKUP(_xlfn.XLOOKUP($F1171,Clientes!$B$4:$B$39,Clientes!$C$4:$C$39),Cadastros!$L$6:$L$12,Cadastros!$M$6:$M$12)," ")</f>
        <v xml:space="preserve"> </v>
      </c>
      <c r="AB1171" s="28"/>
      <c r="AC1171" s="28"/>
      <c r="AD1171" s="20" t="str">
        <f>IF(AB1171="","",IF($F1171="Bernardino Furlan",_xlfn.XLOOKUP(AB1171,Cadastros!$G$6:$G$90,Cadastros!$H$6:$H$90)*(1-0.18),IF($F1171="Mauro José Salanti",_xlfn.XLOOKUP(AB1171,Cadastros!$G$6:$G$90,Cadastros!$H$6:$H$90)*(1-0.18),_xlfn.XLOOKUP(AB1171,Cadastros!$G$6:$G$90,Cadastros!$H$6:$H$90))))</f>
        <v/>
      </c>
      <c r="AE1171" s="168" t="str">
        <f t="shared" si="239"/>
        <v/>
      </c>
      <c r="AF1171" s="168" t="str">
        <f t="shared" si="240"/>
        <v/>
      </c>
      <c r="AG1171" s="28"/>
      <c r="AH1171" s="28"/>
      <c r="AI1171" s="20" t="str">
        <f>IF(AG1171="","",IF($F1171="Bernardino Furlan",_xlfn.XLOOKUP(AG1171,Cadastros!$G$6:$G$90,Cadastros!$H$6:$H$90)*(1-0.18),IF($F1171="Mauro José Salanti",_xlfn.XLOOKUP(AG1171,Cadastros!$G$6:$G$90,Cadastros!$H$6:$H$90)*(1-0.18),_xlfn.XLOOKUP(AG1171,Cadastros!$G$6:$G$90,Cadastros!$H$6:$H$90))))</f>
        <v/>
      </c>
      <c r="AJ1171" s="168" t="str">
        <f t="shared" si="241"/>
        <v/>
      </c>
      <c r="AK1171" s="168" t="str">
        <f t="shared" si="242"/>
        <v/>
      </c>
      <c r="AL1171" s="28"/>
      <c r="AM1171" s="28"/>
      <c r="AN1171" s="20" t="str">
        <f>IF(AL1171="","",IF($F1171="Bernardino Furlan",_xlfn.XLOOKUP(AL1171,Cadastros!$G$6:$G$90,Cadastros!$H$6:$H$90)*(1-0.18),IF($F1171="Mauro José Salanti",_xlfn.XLOOKUP(AL1171,Cadastros!$G$6:$G$90,Cadastros!$H$6:$H$90)*(1-0.18),_xlfn.XLOOKUP(AL1171,Cadastros!$G$6:$G$90,Cadastros!$H$6:$H$90))))</f>
        <v/>
      </c>
      <c r="AO1171" s="168" t="str">
        <f t="shared" si="243"/>
        <v/>
      </c>
      <c r="AP1171" s="168" t="str">
        <f t="shared" si="244"/>
        <v/>
      </c>
      <c r="AQ1171" s="28"/>
      <c r="AR1171" s="28"/>
      <c r="AS1171" s="20" t="str">
        <f>IF(AQ1171="","",IF($F1171="Bernardino Furlan",_xlfn.XLOOKUP(AQ1171,Cadastros!$G$6:$G$90,Cadastros!$H$6:$H$90)*(1-0.18),IF($F1171="Mauro José Salanti",_xlfn.XLOOKUP(AQ1171,Cadastros!$G$6:$G$90,Cadastros!$H$6:$H$90)*(1-0.18),_xlfn.XLOOKUP(AQ1171,Cadastros!$G$6:$G$90,Cadastros!$H$6:$H$90))))</f>
        <v/>
      </c>
      <c r="AT1171" s="168" t="str">
        <f t="shared" si="245"/>
        <v/>
      </c>
      <c r="AU1171" s="168" t="str">
        <f t="shared" si="246"/>
        <v/>
      </c>
      <c r="AV1171" s="227"/>
      <c r="AW1171" s="30"/>
      <c r="AX1171" s="267"/>
      <c r="AY1171" s="267"/>
      <c r="AZ1171" s="29"/>
      <c r="BA1171" s="30"/>
      <c r="BB1171" s="23" t="str" cm="1">
        <f t="array" ref="BB1171">_xlfn.IFS(AW1171="SIM",SUM(K1171,P1171,U1171,Z1171,AE1171,AJ1171,AO1171,AT1171,AX1171,AY1171),F1171&lt;&gt;"",SUM(K1171,P1171,U1171,Z1171,AE1171,AJ1171,,AO1171,AT1171),F1171="","")</f>
        <v/>
      </c>
      <c r="BC1171" s="211" t="str" cm="1">
        <f t="array" ref="BC1171">_xlfn.IFS(E1171="","",G1171&lt;=E1171,BB1171*(1-0.03),G1171&lt;(E1171+8),BB1171,AZ1171="Boleto",BB1171*(1+0.001)^DATEDIF(E1171,G1171,"D"),AZ1171="Cheque",BB1171,AZ1171="Dinheiro","Alterar forma pgto")</f>
        <v/>
      </c>
      <c r="BD1171" s="276" t="str" cm="1">
        <f t="array" ref="BD1171">IF(F1171=0," ",IF(BC1171&lt;BB1171,(_xlfn.IFS(AW1171="SIM",SUM(L1171,Q1171,V1171,AA1171,AF1171,AK1171,AP1171,AU1171)+AX1171/_xlfn.XLOOKUP(_xlfn.XLOOKUP($F1171,Clientes!$B$4:$B$39,Clientes!$C$4:$C$39),Cadastros!$L$6:$L$12,Cadastros!$M$6:$M$12)+IF($F1171="Bernardino Furlan",AY1171/2751.92,IF($F1171="Mauro José Salanti",AY1171/2751.92,AY1171/3356)),F1171&lt;&gt;0,SUM(L1171,Q1171,V1171,AA1171,AF1171,AK1171,AP1171,AU1171)))*(1-0.03),_xlfn.IFS(AW1171="SIM",SUM(L1171,Q1171,V1171,AA1171,AF1171,AK1171,AP1171,AU1171)+AX1171/_xlfn.XLOOKUP(_xlfn.XLOOKUP($F1171,Clientes!$B$4:$B$39,Clientes!$C$4:$C$39),Cadastros!$L$6:$L$12,Cadastros!$M$6:$M$12)+IF($F1171="Bernardino Furlan",AY1171/2751.92,IF($F1171="Mauro José Salanti",AY1171/2751.92,AY1171/3356)),F1171&lt;&gt;0,SUM(L1171,Q1171,V1171,AA1171,AF1171,AK1171,AP1171,AU1171))))</f>
        <v xml:space="preserve"> </v>
      </c>
      <c r="BE1171" s="120"/>
      <c r="BF1171" s="120"/>
      <c r="BG1171" s="120"/>
    </row>
    <row r="1172" spans="1:59" s="3" customFormat="1" x14ac:dyDescent="0.3">
      <c r="A1172" s="15" t="str">
        <f t="shared" si="234"/>
        <v/>
      </c>
      <c r="B1172" s="25"/>
      <c r="C1172" s="26"/>
      <c r="D1172" s="279"/>
      <c r="E1172" s="27"/>
      <c r="F1172" s="28"/>
      <c r="G1172" s="27"/>
      <c r="H1172" s="28"/>
      <c r="I1172" s="28"/>
      <c r="J1172" s="255" t="str">
        <f>IF(H1172="","",(_xlfn.XLOOKUP(H1172,Cadastros!$D$6:$D$90,Cadastros!$E$6:$E$90))*(1-_xlfn.XLOOKUP(_xlfn.XLOOKUP($F1172,Clientes!$B$4:$B$39,Clientes!$C$4:$C$39),Cadastros!$L$6:$L$12,Cadastros!$N$6:$N$12)))</f>
        <v/>
      </c>
      <c r="K1172" s="168" t="str">
        <f t="shared" si="235"/>
        <v/>
      </c>
      <c r="L1172" s="168" t="str">
        <f>IFERROR(K1172/_xlfn.XLOOKUP(_xlfn.XLOOKUP($F1172,Clientes!$B$4:$B$39,Clientes!$C$4:$C$39),Cadastros!$L$6:$L$12,Cadastros!$M$6:$M$12)," ")</f>
        <v xml:space="preserve"> </v>
      </c>
      <c r="M1172" s="28"/>
      <c r="N1172" s="28"/>
      <c r="O1172" s="255" t="str">
        <f>IF(M1172="","",(_xlfn.XLOOKUP(M1172,Cadastros!$D$6:$D$90,Cadastros!$E$6:$E$90))*(1-_xlfn.XLOOKUP(_xlfn.XLOOKUP($F1172,Clientes!$B$4:$B$39,Clientes!$C$4:$C$39),Cadastros!$L$6:$L$12,Cadastros!$N$6:$N$12)))</f>
        <v/>
      </c>
      <c r="P1172" s="168" t="str">
        <f t="shared" si="236"/>
        <v/>
      </c>
      <c r="Q1172" s="168" t="str">
        <f>IFERROR(P1172/_xlfn.XLOOKUP(_xlfn.XLOOKUP($F1172,Clientes!$B$4:$B$39,Clientes!$C$4:$C$39),Cadastros!$L$6:$L$12,Cadastros!$M$6:$M$12)," ")</f>
        <v xml:space="preserve"> </v>
      </c>
      <c r="R1172" s="28"/>
      <c r="S1172" s="28"/>
      <c r="T1172" s="255" t="str">
        <f>IF(R1172="","",(_xlfn.XLOOKUP(R1172,Cadastros!$D$6:$D$90,Cadastros!$E$6:$E$90))*(1-_xlfn.XLOOKUP(_xlfn.XLOOKUP($F1172,Clientes!$B$4:$B$39,Clientes!$C$4:$C$39),Cadastros!$L$6:$L$12,Cadastros!$N$6:$N$12)))</f>
        <v/>
      </c>
      <c r="U1172" s="168" t="str">
        <f t="shared" si="237"/>
        <v/>
      </c>
      <c r="V1172" s="168" t="str">
        <f>IFERROR(U1172/_xlfn.XLOOKUP(_xlfn.XLOOKUP($F1172,Clientes!$B$4:$B$39,Clientes!$C$4:$C$39),Cadastros!$L$6:$L$12,Cadastros!$M$6:$M$12)," ")</f>
        <v xml:space="preserve"> </v>
      </c>
      <c r="W1172" s="28"/>
      <c r="X1172" s="28"/>
      <c r="Y1172" s="255" t="str">
        <f>IF(W1172="","",(_xlfn.XLOOKUP(W1172,Cadastros!$D$6:$D$90,Cadastros!$E$6:$E$90))*(1-_xlfn.XLOOKUP(_xlfn.XLOOKUP($F1172,Clientes!$B$4:$B$39,Clientes!$C$4:$C$39),Cadastros!$L$6:$L$12,Cadastros!$N$6:$N$12)))</f>
        <v/>
      </c>
      <c r="Z1172" s="168" t="str">
        <f t="shared" si="238"/>
        <v/>
      </c>
      <c r="AA1172" s="168" t="str">
        <f>IFERROR(Z1172/_xlfn.XLOOKUP(_xlfn.XLOOKUP($F1172,Clientes!$B$4:$B$39,Clientes!$C$4:$C$39),Cadastros!$L$6:$L$12,Cadastros!$M$6:$M$12)," ")</f>
        <v xml:space="preserve"> </v>
      </c>
      <c r="AB1172" s="28"/>
      <c r="AC1172" s="28"/>
      <c r="AD1172" s="20" t="str">
        <f>IF(AB1172="","",IF($F1172="Bernardino Furlan",_xlfn.XLOOKUP(AB1172,Cadastros!$G$6:$G$90,Cadastros!$H$6:$H$90)*(1-0.18),IF($F1172="Mauro José Salanti",_xlfn.XLOOKUP(AB1172,Cadastros!$G$6:$G$90,Cadastros!$H$6:$H$90)*(1-0.18),_xlfn.XLOOKUP(AB1172,Cadastros!$G$6:$G$90,Cadastros!$H$6:$H$90))))</f>
        <v/>
      </c>
      <c r="AE1172" s="168" t="str">
        <f t="shared" si="239"/>
        <v/>
      </c>
      <c r="AF1172" s="168" t="str">
        <f t="shared" si="240"/>
        <v/>
      </c>
      <c r="AG1172" s="28"/>
      <c r="AH1172" s="28"/>
      <c r="AI1172" s="20" t="str">
        <f>IF(AG1172="","",IF($F1172="Bernardino Furlan",_xlfn.XLOOKUP(AG1172,Cadastros!$G$6:$G$90,Cadastros!$H$6:$H$90)*(1-0.18),IF($F1172="Mauro José Salanti",_xlfn.XLOOKUP(AG1172,Cadastros!$G$6:$G$90,Cadastros!$H$6:$H$90)*(1-0.18),_xlfn.XLOOKUP(AG1172,Cadastros!$G$6:$G$90,Cadastros!$H$6:$H$90))))</f>
        <v/>
      </c>
      <c r="AJ1172" s="168" t="str">
        <f t="shared" si="241"/>
        <v/>
      </c>
      <c r="AK1172" s="168" t="str">
        <f t="shared" si="242"/>
        <v/>
      </c>
      <c r="AL1172" s="28"/>
      <c r="AM1172" s="28"/>
      <c r="AN1172" s="20" t="str">
        <f>IF(AL1172="","",IF($F1172="Bernardino Furlan",_xlfn.XLOOKUP(AL1172,Cadastros!$G$6:$G$90,Cadastros!$H$6:$H$90)*(1-0.18),IF($F1172="Mauro José Salanti",_xlfn.XLOOKUP(AL1172,Cadastros!$G$6:$G$90,Cadastros!$H$6:$H$90)*(1-0.18),_xlfn.XLOOKUP(AL1172,Cadastros!$G$6:$G$90,Cadastros!$H$6:$H$90))))</f>
        <v/>
      </c>
      <c r="AO1172" s="168" t="str">
        <f t="shared" si="243"/>
        <v/>
      </c>
      <c r="AP1172" s="168" t="str">
        <f t="shared" si="244"/>
        <v/>
      </c>
      <c r="AQ1172" s="28"/>
      <c r="AR1172" s="28"/>
      <c r="AS1172" s="20" t="str">
        <f>IF(AQ1172="","",IF($F1172="Bernardino Furlan",_xlfn.XLOOKUP(AQ1172,Cadastros!$G$6:$G$90,Cadastros!$H$6:$H$90)*(1-0.18),IF($F1172="Mauro José Salanti",_xlfn.XLOOKUP(AQ1172,Cadastros!$G$6:$G$90,Cadastros!$H$6:$H$90)*(1-0.18),_xlfn.XLOOKUP(AQ1172,Cadastros!$G$6:$G$90,Cadastros!$H$6:$H$90))))</f>
        <v/>
      </c>
      <c r="AT1172" s="168" t="str">
        <f t="shared" si="245"/>
        <v/>
      </c>
      <c r="AU1172" s="168" t="str">
        <f t="shared" si="246"/>
        <v/>
      </c>
      <c r="AV1172" s="227"/>
      <c r="AW1172" s="30"/>
      <c r="AX1172" s="267"/>
      <c r="AY1172" s="267"/>
      <c r="AZ1172" s="29"/>
      <c r="BA1172" s="30"/>
      <c r="BB1172" s="23" t="str" cm="1">
        <f t="array" ref="BB1172">_xlfn.IFS(AW1172="SIM",SUM(K1172,P1172,U1172,Z1172,AE1172,AJ1172,AO1172,AT1172,AX1172,AY1172),F1172&lt;&gt;"",SUM(K1172,P1172,U1172,Z1172,AE1172,AJ1172,,AO1172,AT1172),F1172="","")</f>
        <v/>
      </c>
      <c r="BC1172" s="211" t="str" cm="1">
        <f t="array" ref="BC1172">_xlfn.IFS(E1172="","",G1172&lt;=E1172,BB1172*(1-0.03),G1172&lt;(E1172+8),BB1172,AZ1172="Boleto",BB1172*(1+0.001)^DATEDIF(E1172,G1172,"D"),AZ1172="Cheque",BB1172,AZ1172="Dinheiro","Alterar forma pgto")</f>
        <v/>
      </c>
      <c r="BD1172" s="276" t="str" cm="1">
        <f t="array" ref="BD1172">IF(F1172=0," ",IF(BC1172&lt;BB1172,(_xlfn.IFS(AW1172="SIM",SUM(L1172,Q1172,V1172,AA1172,AF1172,AK1172,AP1172,AU1172)+AX1172/_xlfn.XLOOKUP(_xlfn.XLOOKUP($F1172,Clientes!$B$4:$B$39,Clientes!$C$4:$C$39),Cadastros!$L$6:$L$12,Cadastros!$M$6:$M$12)+IF($F1172="Bernardino Furlan",AY1172/2751.92,IF($F1172="Mauro José Salanti",AY1172/2751.92,AY1172/3356)),F1172&lt;&gt;0,SUM(L1172,Q1172,V1172,AA1172,AF1172,AK1172,AP1172,AU1172)))*(1-0.03),_xlfn.IFS(AW1172="SIM",SUM(L1172,Q1172,V1172,AA1172,AF1172,AK1172,AP1172,AU1172)+AX1172/_xlfn.XLOOKUP(_xlfn.XLOOKUP($F1172,Clientes!$B$4:$B$39,Clientes!$C$4:$C$39),Cadastros!$L$6:$L$12,Cadastros!$M$6:$M$12)+IF($F1172="Bernardino Furlan",AY1172/2751.92,IF($F1172="Mauro José Salanti",AY1172/2751.92,AY1172/3356)),F1172&lt;&gt;0,SUM(L1172,Q1172,V1172,AA1172,AF1172,AK1172,AP1172,AU1172))))</f>
        <v xml:space="preserve"> </v>
      </c>
      <c r="BE1172" s="120"/>
      <c r="BF1172" s="120"/>
      <c r="BG1172" s="120"/>
    </row>
    <row r="1173" spans="1:59" s="3" customFormat="1" x14ac:dyDescent="0.3">
      <c r="A1173" s="15" t="str">
        <f t="shared" si="234"/>
        <v/>
      </c>
      <c r="B1173" s="25"/>
      <c r="C1173" s="26"/>
      <c r="D1173" s="279"/>
      <c r="E1173" s="27"/>
      <c r="F1173" s="28"/>
      <c r="G1173" s="27"/>
      <c r="H1173" s="28"/>
      <c r="I1173" s="28"/>
      <c r="J1173" s="255" t="str">
        <f>IF(H1173="","",(_xlfn.XLOOKUP(H1173,Cadastros!$D$6:$D$90,Cadastros!$E$6:$E$90))*(1-_xlfn.XLOOKUP(_xlfn.XLOOKUP($F1173,Clientes!$B$4:$B$39,Clientes!$C$4:$C$39),Cadastros!$L$6:$L$12,Cadastros!$N$6:$N$12)))</f>
        <v/>
      </c>
      <c r="K1173" s="168" t="str">
        <f t="shared" si="235"/>
        <v/>
      </c>
      <c r="L1173" s="168" t="str">
        <f>IFERROR(K1173/_xlfn.XLOOKUP(_xlfn.XLOOKUP($F1173,Clientes!$B$4:$B$39,Clientes!$C$4:$C$39),Cadastros!$L$6:$L$12,Cadastros!$M$6:$M$12)," ")</f>
        <v xml:space="preserve"> </v>
      </c>
      <c r="M1173" s="28"/>
      <c r="N1173" s="28"/>
      <c r="O1173" s="255" t="str">
        <f>IF(M1173="","",(_xlfn.XLOOKUP(M1173,Cadastros!$D$6:$D$90,Cadastros!$E$6:$E$90))*(1-_xlfn.XLOOKUP(_xlfn.XLOOKUP($F1173,Clientes!$B$4:$B$39,Clientes!$C$4:$C$39),Cadastros!$L$6:$L$12,Cadastros!$N$6:$N$12)))</f>
        <v/>
      </c>
      <c r="P1173" s="168" t="str">
        <f t="shared" si="236"/>
        <v/>
      </c>
      <c r="Q1173" s="168" t="str">
        <f>IFERROR(P1173/_xlfn.XLOOKUP(_xlfn.XLOOKUP($F1173,Clientes!$B$4:$B$39,Clientes!$C$4:$C$39),Cadastros!$L$6:$L$12,Cadastros!$M$6:$M$12)," ")</f>
        <v xml:space="preserve"> </v>
      </c>
      <c r="R1173" s="28"/>
      <c r="S1173" s="28"/>
      <c r="T1173" s="255" t="str">
        <f>IF(R1173="","",(_xlfn.XLOOKUP(R1173,Cadastros!$D$6:$D$90,Cadastros!$E$6:$E$90))*(1-_xlfn.XLOOKUP(_xlfn.XLOOKUP($F1173,Clientes!$B$4:$B$39,Clientes!$C$4:$C$39),Cadastros!$L$6:$L$12,Cadastros!$N$6:$N$12)))</f>
        <v/>
      </c>
      <c r="U1173" s="168" t="str">
        <f t="shared" si="237"/>
        <v/>
      </c>
      <c r="V1173" s="168" t="str">
        <f>IFERROR(U1173/_xlfn.XLOOKUP(_xlfn.XLOOKUP($F1173,Clientes!$B$4:$B$39,Clientes!$C$4:$C$39),Cadastros!$L$6:$L$12,Cadastros!$M$6:$M$12)," ")</f>
        <v xml:space="preserve"> </v>
      </c>
      <c r="W1173" s="28"/>
      <c r="X1173" s="28"/>
      <c r="Y1173" s="255" t="str">
        <f>IF(W1173="","",(_xlfn.XLOOKUP(W1173,Cadastros!$D$6:$D$90,Cadastros!$E$6:$E$90))*(1-_xlfn.XLOOKUP(_xlfn.XLOOKUP($F1173,Clientes!$B$4:$B$39,Clientes!$C$4:$C$39),Cadastros!$L$6:$L$12,Cadastros!$N$6:$N$12)))</f>
        <v/>
      </c>
      <c r="Z1173" s="168" t="str">
        <f t="shared" si="238"/>
        <v/>
      </c>
      <c r="AA1173" s="168" t="str">
        <f>IFERROR(Z1173/_xlfn.XLOOKUP(_xlfn.XLOOKUP($F1173,Clientes!$B$4:$B$39,Clientes!$C$4:$C$39),Cadastros!$L$6:$L$12,Cadastros!$M$6:$M$12)," ")</f>
        <v xml:space="preserve"> </v>
      </c>
      <c r="AB1173" s="28"/>
      <c r="AC1173" s="28"/>
      <c r="AD1173" s="20" t="str">
        <f>IF(AB1173="","",IF($F1173="Bernardino Furlan",_xlfn.XLOOKUP(AB1173,Cadastros!$G$6:$G$90,Cadastros!$H$6:$H$90)*(1-0.18),IF($F1173="Mauro José Salanti",_xlfn.XLOOKUP(AB1173,Cadastros!$G$6:$G$90,Cadastros!$H$6:$H$90)*(1-0.18),_xlfn.XLOOKUP(AB1173,Cadastros!$G$6:$G$90,Cadastros!$H$6:$H$90))))</f>
        <v/>
      </c>
      <c r="AE1173" s="168" t="str">
        <f t="shared" si="239"/>
        <v/>
      </c>
      <c r="AF1173" s="168" t="str">
        <f t="shared" si="240"/>
        <v/>
      </c>
      <c r="AG1173" s="28"/>
      <c r="AH1173" s="28"/>
      <c r="AI1173" s="20" t="str">
        <f>IF(AG1173="","",IF($F1173="Bernardino Furlan",_xlfn.XLOOKUP(AG1173,Cadastros!$G$6:$G$90,Cadastros!$H$6:$H$90)*(1-0.18),IF($F1173="Mauro José Salanti",_xlfn.XLOOKUP(AG1173,Cadastros!$G$6:$G$90,Cadastros!$H$6:$H$90)*(1-0.18),_xlfn.XLOOKUP(AG1173,Cadastros!$G$6:$G$90,Cadastros!$H$6:$H$90))))</f>
        <v/>
      </c>
      <c r="AJ1173" s="168" t="str">
        <f t="shared" si="241"/>
        <v/>
      </c>
      <c r="AK1173" s="168" t="str">
        <f t="shared" si="242"/>
        <v/>
      </c>
      <c r="AL1173" s="28"/>
      <c r="AM1173" s="28"/>
      <c r="AN1173" s="20" t="str">
        <f>IF(AL1173="","",IF($F1173="Bernardino Furlan",_xlfn.XLOOKUP(AL1173,Cadastros!$G$6:$G$90,Cadastros!$H$6:$H$90)*(1-0.18),IF($F1173="Mauro José Salanti",_xlfn.XLOOKUP(AL1173,Cadastros!$G$6:$G$90,Cadastros!$H$6:$H$90)*(1-0.18),_xlfn.XLOOKUP(AL1173,Cadastros!$G$6:$G$90,Cadastros!$H$6:$H$90))))</f>
        <v/>
      </c>
      <c r="AO1173" s="168" t="str">
        <f t="shared" si="243"/>
        <v/>
      </c>
      <c r="AP1173" s="168" t="str">
        <f t="shared" si="244"/>
        <v/>
      </c>
      <c r="AQ1173" s="28"/>
      <c r="AR1173" s="28"/>
      <c r="AS1173" s="20" t="str">
        <f>IF(AQ1173="","",IF($F1173="Bernardino Furlan",_xlfn.XLOOKUP(AQ1173,Cadastros!$G$6:$G$90,Cadastros!$H$6:$H$90)*(1-0.18),IF($F1173="Mauro José Salanti",_xlfn.XLOOKUP(AQ1173,Cadastros!$G$6:$G$90,Cadastros!$H$6:$H$90)*(1-0.18),_xlfn.XLOOKUP(AQ1173,Cadastros!$G$6:$G$90,Cadastros!$H$6:$H$90))))</f>
        <v/>
      </c>
      <c r="AT1173" s="168" t="str">
        <f t="shared" si="245"/>
        <v/>
      </c>
      <c r="AU1173" s="168" t="str">
        <f t="shared" si="246"/>
        <v/>
      </c>
      <c r="AV1173" s="227"/>
      <c r="AW1173" s="30"/>
      <c r="AX1173" s="267"/>
      <c r="AY1173" s="267"/>
      <c r="AZ1173" s="29"/>
      <c r="BA1173" s="30"/>
      <c r="BB1173" s="23" t="str" cm="1">
        <f t="array" ref="BB1173">_xlfn.IFS(AW1173="SIM",SUM(K1173,P1173,U1173,Z1173,AE1173,AJ1173,AO1173,AT1173,AX1173,AY1173),F1173&lt;&gt;"",SUM(K1173,P1173,U1173,Z1173,AE1173,AJ1173,,AO1173,AT1173),F1173="","")</f>
        <v/>
      </c>
      <c r="BC1173" s="211" t="str" cm="1">
        <f t="array" ref="BC1173">_xlfn.IFS(E1173="","",G1173&lt;=E1173,BB1173*(1-0.03),G1173&lt;(E1173+8),BB1173,AZ1173="Boleto",BB1173*(1+0.001)^DATEDIF(E1173,G1173,"D"),AZ1173="Cheque",BB1173,AZ1173="Dinheiro","Alterar forma pgto")</f>
        <v/>
      </c>
      <c r="BD1173" s="276" t="str" cm="1">
        <f t="array" ref="BD1173">IF(F1173=0," ",IF(BC1173&lt;BB1173,(_xlfn.IFS(AW1173="SIM",SUM(L1173,Q1173,V1173,AA1173,AF1173,AK1173,AP1173,AU1173)+AX1173/_xlfn.XLOOKUP(_xlfn.XLOOKUP($F1173,Clientes!$B$4:$B$39,Clientes!$C$4:$C$39),Cadastros!$L$6:$L$12,Cadastros!$M$6:$M$12)+IF($F1173="Bernardino Furlan",AY1173/2751.92,IF($F1173="Mauro José Salanti",AY1173/2751.92,AY1173/3356)),F1173&lt;&gt;0,SUM(L1173,Q1173,V1173,AA1173,AF1173,AK1173,AP1173,AU1173)))*(1-0.03),_xlfn.IFS(AW1173="SIM",SUM(L1173,Q1173,V1173,AA1173,AF1173,AK1173,AP1173,AU1173)+AX1173/_xlfn.XLOOKUP(_xlfn.XLOOKUP($F1173,Clientes!$B$4:$B$39,Clientes!$C$4:$C$39),Cadastros!$L$6:$L$12,Cadastros!$M$6:$M$12)+IF($F1173="Bernardino Furlan",AY1173/2751.92,IF($F1173="Mauro José Salanti",AY1173/2751.92,AY1173/3356)),F1173&lt;&gt;0,SUM(L1173,Q1173,V1173,AA1173,AF1173,AK1173,AP1173,AU1173))))</f>
        <v xml:space="preserve"> </v>
      </c>
      <c r="BE1173" s="120"/>
      <c r="BF1173" s="120"/>
      <c r="BG1173" s="120"/>
    </row>
    <row r="1174" spans="1:59" s="3" customFormat="1" x14ac:dyDescent="0.3">
      <c r="A1174" s="15" t="str">
        <f t="shared" si="234"/>
        <v/>
      </c>
      <c r="B1174" s="25"/>
      <c r="C1174" s="26"/>
      <c r="D1174" s="279"/>
      <c r="E1174" s="27"/>
      <c r="F1174" s="28"/>
      <c r="G1174" s="27"/>
      <c r="H1174" s="28"/>
      <c r="I1174" s="28"/>
      <c r="J1174" s="255" t="str">
        <f>IF(H1174="","",(_xlfn.XLOOKUP(H1174,Cadastros!$D$6:$D$90,Cadastros!$E$6:$E$90))*(1-_xlfn.XLOOKUP(_xlfn.XLOOKUP($F1174,Clientes!$B$4:$B$39,Clientes!$C$4:$C$39),Cadastros!$L$6:$L$12,Cadastros!$N$6:$N$12)))</f>
        <v/>
      </c>
      <c r="K1174" s="168" t="str">
        <f t="shared" si="235"/>
        <v/>
      </c>
      <c r="L1174" s="168" t="str">
        <f>IFERROR(K1174/_xlfn.XLOOKUP(_xlfn.XLOOKUP($F1174,Clientes!$B$4:$B$39,Clientes!$C$4:$C$39),Cadastros!$L$6:$L$12,Cadastros!$M$6:$M$12)," ")</f>
        <v xml:space="preserve"> </v>
      </c>
      <c r="M1174" s="28"/>
      <c r="N1174" s="28"/>
      <c r="O1174" s="255" t="str">
        <f>IF(M1174="","",(_xlfn.XLOOKUP(M1174,Cadastros!$D$6:$D$90,Cadastros!$E$6:$E$90))*(1-_xlfn.XLOOKUP(_xlfn.XLOOKUP($F1174,Clientes!$B$4:$B$39,Clientes!$C$4:$C$39),Cadastros!$L$6:$L$12,Cadastros!$N$6:$N$12)))</f>
        <v/>
      </c>
      <c r="P1174" s="168" t="str">
        <f t="shared" si="236"/>
        <v/>
      </c>
      <c r="Q1174" s="168" t="str">
        <f>IFERROR(P1174/_xlfn.XLOOKUP(_xlfn.XLOOKUP($F1174,Clientes!$B$4:$B$39,Clientes!$C$4:$C$39),Cadastros!$L$6:$L$12,Cadastros!$M$6:$M$12)," ")</f>
        <v xml:space="preserve"> </v>
      </c>
      <c r="R1174" s="28"/>
      <c r="S1174" s="28"/>
      <c r="T1174" s="255" t="str">
        <f>IF(R1174="","",(_xlfn.XLOOKUP(R1174,Cadastros!$D$6:$D$90,Cadastros!$E$6:$E$90))*(1-_xlfn.XLOOKUP(_xlfn.XLOOKUP($F1174,Clientes!$B$4:$B$39,Clientes!$C$4:$C$39),Cadastros!$L$6:$L$12,Cadastros!$N$6:$N$12)))</f>
        <v/>
      </c>
      <c r="U1174" s="168" t="str">
        <f t="shared" si="237"/>
        <v/>
      </c>
      <c r="V1174" s="168" t="str">
        <f>IFERROR(U1174/_xlfn.XLOOKUP(_xlfn.XLOOKUP($F1174,Clientes!$B$4:$B$39,Clientes!$C$4:$C$39),Cadastros!$L$6:$L$12,Cadastros!$M$6:$M$12)," ")</f>
        <v xml:space="preserve"> </v>
      </c>
      <c r="W1174" s="28"/>
      <c r="X1174" s="28"/>
      <c r="Y1174" s="255" t="str">
        <f>IF(W1174="","",(_xlfn.XLOOKUP(W1174,Cadastros!$D$6:$D$90,Cadastros!$E$6:$E$90))*(1-_xlfn.XLOOKUP(_xlfn.XLOOKUP($F1174,Clientes!$B$4:$B$39,Clientes!$C$4:$C$39),Cadastros!$L$6:$L$12,Cadastros!$N$6:$N$12)))</f>
        <v/>
      </c>
      <c r="Z1174" s="168" t="str">
        <f t="shared" si="238"/>
        <v/>
      </c>
      <c r="AA1174" s="168" t="str">
        <f>IFERROR(Z1174/_xlfn.XLOOKUP(_xlfn.XLOOKUP($F1174,Clientes!$B$4:$B$39,Clientes!$C$4:$C$39),Cadastros!$L$6:$L$12,Cadastros!$M$6:$M$12)," ")</f>
        <v xml:space="preserve"> </v>
      </c>
      <c r="AB1174" s="28"/>
      <c r="AC1174" s="28"/>
      <c r="AD1174" s="20" t="str">
        <f>IF(AB1174="","",IF($F1174="Bernardino Furlan",_xlfn.XLOOKUP(AB1174,Cadastros!$G$6:$G$90,Cadastros!$H$6:$H$90)*(1-0.18),IF($F1174="Mauro José Salanti",_xlfn.XLOOKUP(AB1174,Cadastros!$G$6:$G$90,Cadastros!$H$6:$H$90)*(1-0.18),_xlfn.XLOOKUP(AB1174,Cadastros!$G$6:$G$90,Cadastros!$H$6:$H$90))))</f>
        <v/>
      </c>
      <c r="AE1174" s="168" t="str">
        <f t="shared" si="239"/>
        <v/>
      </c>
      <c r="AF1174" s="168" t="str">
        <f t="shared" si="240"/>
        <v/>
      </c>
      <c r="AG1174" s="28"/>
      <c r="AH1174" s="28"/>
      <c r="AI1174" s="20" t="str">
        <f>IF(AG1174="","",IF($F1174="Bernardino Furlan",_xlfn.XLOOKUP(AG1174,Cadastros!$G$6:$G$90,Cadastros!$H$6:$H$90)*(1-0.18),IF($F1174="Mauro José Salanti",_xlfn.XLOOKUP(AG1174,Cadastros!$G$6:$G$90,Cadastros!$H$6:$H$90)*(1-0.18),_xlfn.XLOOKUP(AG1174,Cadastros!$G$6:$G$90,Cadastros!$H$6:$H$90))))</f>
        <v/>
      </c>
      <c r="AJ1174" s="168" t="str">
        <f t="shared" si="241"/>
        <v/>
      </c>
      <c r="AK1174" s="168" t="str">
        <f t="shared" si="242"/>
        <v/>
      </c>
      <c r="AL1174" s="28"/>
      <c r="AM1174" s="28"/>
      <c r="AN1174" s="20" t="str">
        <f>IF(AL1174="","",IF($F1174="Bernardino Furlan",_xlfn.XLOOKUP(AL1174,Cadastros!$G$6:$G$90,Cadastros!$H$6:$H$90)*(1-0.18),IF($F1174="Mauro José Salanti",_xlfn.XLOOKUP(AL1174,Cadastros!$G$6:$G$90,Cadastros!$H$6:$H$90)*(1-0.18),_xlfn.XLOOKUP(AL1174,Cadastros!$G$6:$G$90,Cadastros!$H$6:$H$90))))</f>
        <v/>
      </c>
      <c r="AO1174" s="168" t="str">
        <f t="shared" si="243"/>
        <v/>
      </c>
      <c r="AP1174" s="168" t="str">
        <f t="shared" si="244"/>
        <v/>
      </c>
      <c r="AQ1174" s="28"/>
      <c r="AR1174" s="28"/>
      <c r="AS1174" s="20" t="str">
        <f>IF(AQ1174="","",IF($F1174="Bernardino Furlan",_xlfn.XLOOKUP(AQ1174,Cadastros!$G$6:$G$90,Cadastros!$H$6:$H$90)*(1-0.18),IF($F1174="Mauro José Salanti",_xlfn.XLOOKUP(AQ1174,Cadastros!$G$6:$G$90,Cadastros!$H$6:$H$90)*(1-0.18),_xlfn.XLOOKUP(AQ1174,Cadastros!$G$6:$G$90,Cadastros!$H$6:$H$90))))</f>
        <v/>
      </c>
      <c r="AT1174" s="168" t="str">
        <f t="shared" si="245"/>
        <v/>
      </c>
      <c r="AU1174" s="168" t="str">
        <f t="shared" si="246"/>
        <v/>
      </c>
      <c r="AV1174" s="227"/>
      <c r="AW1174" s="30"/>
      <c r="AX1174" s="267"/>
      <c r="AY1174" s="267"/>
      <c r="AZ1174" s="29"/>
      <c r="BA1174" s="30"/>
      <c r="BB1174" s="23" t="str" cm="1">
        <f t="array" ref="BB1174">_xlfn.IFS(AW1174="SIM",SUM(K1174,P1174,U1174,Z1174,AE1174,AJ1174,AO1174,AT1174,AX1174,AY1174),F1174&lt;&gt;"",SUM(K1174,P1174,U1174,Z1174,AE1174,AJ1174,,AO1174,AT1174),F1174="","")</f>
        <v/>
      </c>
      <c r="BC1174" s="211" t="str" cm="1">
        <f t="array" ref="BC1174">_xlfn.IFS(E1174="","",G1174&lt;=E1174,BB1174*(1-0.03),G1174&lt;(E1174+8),BB1174,AZ1174="Boleto",BB1174*(1+0.001)^DATEDIF(E1174,G1174,"D"),AZ1174="Cheque",BB1174,AZ1174="Dinheiro","Alterar forma pgto")</f>
        <v/>
      </c>
      <c r="BD1174" s="276" t="str" cm="1">
        <f t="array" ref="BD1174">IF(F1174=0," ",IF(BC1174&lt;BB1174,(_xlfn.IFS(AW1174="SIM",SUM(L1174,Q1174,V1174,AA1174,AF1174,AK1174,AP1174,AU1174)+AX1174/_xlfn.XLOOKUP(_xlfn.XLOOKUP($F1174,Clientes!$B$4:$B$39,Clientes!$C$4:$C$39),Cadastros!$L$6:$L$12,Cadastros!$M$6:$M$12)+IF($F1174="Bernardino Furlan",AY1174/2751.92,IF($F1174="Mauro José Salanti",AY1174/2751.92,AY1174/3356)),F1174&lt;&gt;0,SUM(L1174,Q1174,V1174,AA1174,AF1174,AK1174,AP1174,AU1174)))*(1-0.03),_xlfn.IFS(AW1174="SIM",SUM(L1174,Q1174,V1174,AA1174,AF1174,AK1174,AP1174,AU1174)+AX1174/_xlfn.XLOOKUP(_xlfn.XLOOKUP($F1174,Clientes!$B$4:$B$39,Clientes!$C$4:$C$39),Cadastros!$L$6:$L$12,Cadastros!$M$6:$M$12)+IF($F1174="Bernardino Furlan",AY1174/2751.92,IF($F1174="Mauro José Salanti",AY1174/2751.92,AY1174/3356)),F1174&lt;&gt;0,SUM(L1174,Q1174,V1174,AA1174,AF1174,AK1174,AP1174,AU1174))))</f>
        <v xml:space="preserve"> </v>
      </c>
      <c r="BE1174" s="120"/>
      <c r="BF1174" s="120"/>
      <c r="BG1174" s="120"/>
    </row>
    <row r="1175" spans="1:59" s="3" customFormat="1" x14ac:dyDescent="0.3">
      <c r="A1175" s="15" t="str">
        <f t="shared" si="234"/>
        <v/>
      </c>
      <c r="B1175" s="25"/>
      <c r="C1175" s="26"/>
      <c r="D1175" s="279"/>
      <c r="E1175" s="27"/>
      <c r="F1175" s="28"/>
      <c r="G1175" s="27"/>
      <c r="H1175" s="28"/>
      <c r="I1175" s="28"/>
      <c r="J1175" s="255" t="str">
        <f>IF(H1175="","",(_xlfn.XLOOKUP(H1175,Cadastros!$D$6:$D$90,Cadastros!$E$6:$E$90))*(1-_xlfn.XLOOKUP(_xlfn.XLOOKUP($F1175,Clientes!$B$4:$B$39,Clientes!$C$4:$C$39),Cadastros!$L$6:$L$12,Cadastros!$N$6:$N$12)))</f>
        <v/>
      </c>
      <c r="K1175" s="168" t="str">
        <f t="shared" si="235"/>
        <v/>
      </c>
      <c r="L1175" s="168" t="str">
        <f>IFERROR(K1175/_xlfn.XLOOKUP(_xlfn.XLOOKUP($F1175,Clientes!$B$4:$B$39,Clientes!$C$4:$C$39),Cadastros!$L$6:$L$12,Cadastros!$M$6:$M$12)," ")</f>
        <v xml:space="preserve"> </v>
      </c>
      <c r="M1175" s="28"/>
      <c r="N1175" s="28"/>
      <c r="O1175" s="255" t="str">
        <f>IF(M1175="","",(_xlfn.XLOOKUP(M1175,Cadastros!$D$6:$D$90,Cadastros!$E$6:$E$90))*(1-_xlfn.XLOOKUP(_xlfn.XLOOKUP($F1175,Clientes!$B$4:$B$39,Clientes!$C$4:$C$39),Cadastros!$L$6:$L$12,Cadastros!$N$6:$N$12)))</f>
        <v/>
      </c>
      <c r="P1175" s="168" t="str">
        <f t="shared" si="236"/>
        <v/>
      </c>
      <c r="Q1175" s="168" t="str">
        <f>IFERROR(P1175/_xlfn.XLOOKUP(_xlfn.XLOOKUP($F1175,Clientes!$B$4:$B$39,Clientes!$C$4:$C$39),Cadastros!$L$6:$L$12,Cadastros!$M$6:$M$12)," ")</f>
        <v xml:space="preserve"> </v>
      </c>
      <c r="R1175" s="28"/>
      <c r="S1175" s="28"/>
      <c r="T1175" s="255" t="str">
        <f>IF(R1175="","",(_xlfn.XLOOKUP(R1175,Cadastros!$D$6:$D$90,Cadastros!$E$6:$E$90))*(1-_xlfn.XLOOKUP(_xlfn.XLOOKUP($F1175,Clientes!$B$4:$B$39,Clientes!$C$4:$C$39),Cadastros!$L$6:$L$12,Cadastros!$N$6:$N$12)))</f>
        <v/>
      </c>
      <c r="U1175" s="168" t="str">
        <f t="shared" si="237"/>
        <v/>
      </c>
      <c r="V1175" s="168" t="str">
        <f>IFERROR(U1175/_xlfn.XLOOKUP(_xlfn.XLOOKUP($F1175,Clientes!$B$4:$B$39,Clientes!$C$4:$C$39),Cadastros!$L$6:$L$12,Cadastros!$M$6:$M$12)," ")</f>
        <v xml:space="preserve"> </v>
      </c>
      <c r="W1175" s="28"/>
      <c r="X1175" s="28"/>
      <c r="Y1175" s="255" t="str">
        <f>IF(W1175="","",(_xlfn.XLOOKUP(W1175,Cadastros!$D$6:$D$90,Cadastros!$E$6:$E$90))*(1-_xlfn.XLOOKUP(_xlfn.XLOOKUP($F1175,Clientes!$B$4:$B$39,Clientes!$C$4:$C$39),Cadastros!$L$6:$L$12,Cadastros!$N$6:$N$12)))</f>
        <v/>
      </c>
      <c r="Z1175" s="168" t="str">
        <f t="shared" si="238"/>
        <v/>
      </c>
      <c r="AA1175" s="168" t="str">
        <f>IFERROR(Z1175/_xlfn.XLOOKUP(_xlfn.XLOOKUP($F1175,Clientes!$B$4:$B$39,Clientes!$C$4:$C$39),Cadastros!$L$6:$L$12,Cadastros!$M$6:$M$12)," ")</f>
        <v xml:space="preserve"> </v>
      </c>
      <c r="AB1175" s="28"/>
      <c r="AC1175" s="28"/>
      <c r="AD1175" s="20" t="str">
        <f>IF(AB1175="","",IF($F1175="Bernardino Furlan",_xlfn.XLOOKUP(AB1175,Cadastros!$G$6:$G$90,Cadastros!$H$6:$H$90)*(1-0.18),IF($F1175="Mauro José Salanti",_xlfn.XLOOKUP(AB1175,Cadastros!$G$6:$G$90,Cadastros!$H$6:$H$90)*(1-0.18),_xlfn.XLOOKUP(AB1175,Cadastros!$G$6:$G$90,Cadastros!$H$6:$H$90))))</f>
        <v/>
      </c>
      <c r="AE1175" s="168" t="str">
        <f t="shared" si="239"/>
        <v/>
      </c>
      <c r="AF1175" s="168" t="str">
        <f t="shared" si="240"/>
        <v/>
      </c>
      <c r="AG1175" s="28"/>
      <c r="AH1175" s="28"/>
      <c r="AI1175" s="20" t="str">
        <f>IF(AG1175="","",IF($F1175="Bernardino Furlan",_xlfn.XLOOKUP(AG1175,Cadastros!$G$6:$G$90,Cadastros!$H$6:$H$90)*(1-0.18),IF($F1175="Mauro José Salanti",_xlfn.XLOOKUP(AG1175,Cadastros!$G$6:$G$90,Cadastros!$H$6:$H$90)*(1-0.18),_xlfn.XLOOKUP(AG1175,Cadastros!$G$6:$G$90,Cadastros!$H$6:$H$90))))</f>
        <v/>
      </c>
      <c r="AJ1175" s="168" t="str">
        <f t="shared" si="241"/>
        <v/>
      </c>
      <c r="AK1175" s="168" t="str">
        <f t="shared" si="242"/>
        <v/>
      </c>
      <c r="AL1175" s="28"/>
      <c r="AM1175" s="28"/>
      <c r="AN1175" s="20" t="str">
        <f>IF(AL1175="","",IF($F1175="Bernardino Furlan",_xlfn.XLOOKUP(AL1175,Cadastros!$G$6:$G$90,Cadastros!$H$6:$H$90)*(1-0.18),IF($F1175="Mauro José Salanti",_xlfn.XLOOKUP(AL1175,Cadastros!$G$6:$G$90,Cadastros!$H$6:$H$90)*(1-0.18),_xlfn.XLOOKUP(AL1175,Cadastros!$G$6:$G$90,Cadastros!$H$6:$H$90))))</f>
        <v/>
      </c>
      <c r="AO1175" s="168" t="str">
        <f t="shared" si="243"/>
        <v/>
      </c>
      <c r="AP1175" s="168" t="str">
        <f t="shared" si="244"/>
        <v/>
      </c>
      <c r="AQ1175" s="28"/>
      <c r="AR1175" s="28"/>
      <c r="AS1175" s="20" t="str">
        <f>IF(AQ1175="","",IF($F1175="Bernardino Furlan",_xlfn.XLOOKUP(AQ1175,Cadastros!$G$6:$G$90,Cadastros!$H$6:$H$90)*(1-0.18),IF($F1175="Mauro José Salanti",_xlfn.XLOOKUP(AQ1175,Cadastros!$G$6:$G$90,Cadastros!$H$6:$H$90)*(1-0.18),_xlfn.XLOOKUP(AQ1175,Cadastros!$G$6:$G$90,Cadastros!$H$6:$H$90))))</f>
        <v/>
      </c>
      <c r="AT1175" s="168" t="str">
        <f t="shared" si="245"/>
        <v/>
      </c>
      <c r="AU1175" s="168" t="str">
        <f t="shared" si="246"/>
        <v/>
      </c>
      <c r="AV1175" s="227"/>
      <c r="AW1175" s="30"/>
      <c r="AX1175" s="267"/>
      <c r="AY1175" s="267"/>
      <c r="AZ1175" s="29"/>
      <c r="BA1175" s="30"/>
      <c r="BB1175" s="23" t="str" cm="1">
        <f t="array" ref="BB1175">_xlfn.IFS(AW1175="SIM",SUM(K1175,P1175,U1175,Z1175,AE1175,AJ1175,AO1175,AT1175,AX1175,AY1175),F1175&lt;&gt;"",SUM(K1175,P1175,U1175,Z1175,AE1175,AJ1175,,AO1175,AT1175),F1175="","")</f>
        <v/>
      </c>
      <c r="BC1175" s="211" t="str" cm="1">
        <f t="array" ref="BC1175">_xlfn.IFS(E1175="","",G1175&lt;=E1175,BB1175*(1-0.03),G1175&lt;(E1175+8),BB1175,AZ1175="Boleto",BB1175*(1+0.001)^DATEDIF(E1175,G1175,"D"),AZ1175="Cheque",BB1175,AZ1175="Dinheiro","Alterar forma pgto")</f>
        <v/>
      </c>
      <c r="BD1175" s="276" t="str" cm="1">
        <f t="array" ref="BD1175">IF(F1175=0," ",IF(BC1175&lt;BB1175,(_xlfn.IFS(AW1175="SIM",SUM(L1175,Q1175,V1175,AA1175,AF1175,AK1175,AP1175,AU1175)+AX1175/_xlfn.XLOOKUP(_xlfn.XLOOKUP($F1175,Clientes!$B$4:$B$39,Clientes!$C$4:$C$39),Cadastros!$L$6:$L$12,Cadastros!$M$6:$M$12)+IF($F1175="Bernardino Furlan",AY1175/2751.92,IF($F1175="Mauro José Salanti",AY1175/2751.92,AY1175/3356)),F1175&lt;&gt;0,SUM(L1175,Q1175,V1175,AA1175,AF1175,AK1175,AP1175,AU1175)))*(1-0.03),_xlfn.IFS(AW1175="SIM",SUM(L1175,Q1175,V1175,AA1175,AF1175,AK1175,AP1175,AU1175)+AX1175/_xlfn.XLOOKUP(_xlfn.XLOOKUP($F1175,Clientes!$B$4:$B$39,Clientes!$C$4:$C$39),Cadastros!$L$6:$L$12,Cadastros!$M$6:$M$12)+IF($F1175="Bernardino Furlan",AY1175/2751.92,IF($F1175="Mauro José Salanti",AY1175/2751.92,AY1175/3356)),F1175&lt;&gt;0,SUM(L1175,Q1175,V1175,AA1175,AF1175,AK1175,AP1175,AU1175))))</f>
        <v xml:space="preserve"> </v>
      </c>
      <c r="BE1175" s="120"/>
      <c r="BF1175" s="120"/>
      <c r="BG1175" s="120"/>
    </row>
    <row r="1176" spans="1:59" s="3" customFormat="1" x14ac:dyDescent="0.3">
      <c r="A1176" s="15" t="str">
        <f t="shared" si="234"/>
        <v/>
      </c>
      <c r="B1176" s="25"/>
      <c r="C1176" s="26"/>
      <c r="D1176" s="279"/>
      <c r="E1176" s="27"/>
      <c r="F1176" s="28"/>
      <c r="G1176" s="27"/>
      <c r="H1176" s="28"/>
      <c r="I1176" s="28"/>
      <c r="J1176" s="255" t="str">
        <f>IF(H1176="","",(_xlfn.XLOOKUP(H1176,Cadastros!$D$6:$D$90,Cadastros!$E$6:$E$90))*(1-_xlfn.XLOOKUP(_xlfn.XLOOKUP($F1176,Clientes!$B$4:$B$39,Clientes!$C$4:$C$39),Cadastros!$L$6:$L$12,Cadastros!$N$6:$N$12)))</f>
        <v/>
      </c>
      <c r="K1176" s="168" t="str">
        <f t="shared" si="235"/>
        <v/>
      </c>
      <c r="L1176" s="168" t="str">
        <f>IFERROR(K1176/_xlfn.XLOOKUP(_xlfn.XLOOKUP($F1176,Clientes!$B$4:$B$39,Clientes!$C$4:$C$39),Cadastros!$L$6:$L$12,Cadastros!$M$6:$M$12)," ")</f>
        <v xml:space="preserve"> </v>
      </c>
      <c r="M1176" s="28"/>
      <c r="N1176" s="28"/>
      <c r="O1176" s="255" t="str">
        <f>IF(M1176="","",(_xlfn.XLOOKUP(M1176,Cadastros!$D$6:$D$90,Cadastros!$E$6:$E$90))*(1-_xlfn.XLOOKUP(_xlfn.XLOOKUP($F1176,Clientes!$B$4:$B$39,Clientes!$C$4:$C$39),Cadastros!$L$6:$L$12,Cadastros!$N$6:$N$12)))</f>
        <v/>
      </c>
      <c r="P1176" s="168" t="str">
        <f t="shared" si="236"/>
        <v/>
      </c>
      <c r="Q1176" s="168" t="str">
        <f>IFERROR(P1176/_xlfn.XLOOKUP(_xlfn.XLOOKUP($F1176,Clientes!$B$4:$B$39,Clientes!$C$4:$C$39),Cadastros!$L$6:$L$12,Cadastros!$M$6:$M$12)," ")</f>
        <v xml:space="preserve"> </v>
      </c>
      <c r="R1176" s="28"/>
      <c r="S1176" s="28"/>
      <c r="T1176" s="255" t="str">
        <f>IF(R1176="","",(_xlfn.XLOOKUP(R1176,Cadastros!$D$6:$D$90,Cadastros!$E$6:$E$90))*(1-_xlfn.XLOOKUP(_xlfn.XLOOKUP($F1176,Clientes!$B$4:$B$39,Clientes!$C$4:$C$39),Cadastros!$L$6:$L$12,Cadastros!$N$6:$N$12)))</f>
        <v/>
      </c>
      <c r="U1176" s="168" t="str">
        <f t="shared" si="237"/>
        <v/>
      </c>
      <c r="V1176" s="168" t="str">
        <f>IFERROR(U1176/_xlfn.XLOOKUP(_xlfn.XLOOKUP($F1176,Clientes!$B$4:$B$39,Clientes!$C$4:$C$39),Cadastros!$L$6:$L$12,Cadastros!$M$6:$M$12)," ")</f>
        <v xml:space="preserve"> </v>
      </c>
      <c r="W1176" s="28"/>
      <c r="X1176" s="28"/>
      <c r="Y1176" s="255" t="str">
        <f>IF(W1176="","",(_xlfn.XLOOKUP(W1176,Cadastros!$D$6:$D$90,Cadastros!$E$6:$E$90))*(1-_xlfn.XLOOKUP(_xlfn.XLOOKUP($F1176,Clientes!$B$4:$B$39,Clientes!$C$4:$C$39),Cadastros!$L$6:$L$12,Cadastros!$N$6:$N$12)))</f>
        <v/>
      </c>
      <c r="Z1176" s="168" t="str">
        <f t="shared" si="238"/>
        <v/>
      </c>
      <c r="AA1176" s="168" t="str">
        <f>IFERROR(Z1176/_xlfn.XLOOKUP(_xlfn.XLOOKUP($F1176,Clientes!$B$4:$B$39,Clientes!$C$4:$C$39),Cadastros!$L$6:$L$12,Cadastros!$M$6:$M$12)," ")</f>
        <v xml:space="preserve"> </v>
      </c>
      <c r="AB1176" s="28"/>
      <c r="AC1176" s="28"/>
      <c r="AD1176" s="20" t="str">
        <f>IF(AB1176="","",IF($F1176="Bernardino Furlan",_xlfn.XLOOKUP(AB1176,Cadastros!$G$6:$G$90,Cadastros!$H$6:$H$90)*(1-0.18),IF($F1176="Mauro José Salanti",_xlfn.XLOOKUP(AB1176,Cadastros!$G$6:$G$90,Cadastros!$H$6:$H$90)*(1-0.18),_xlfn.XLOOKUP(AB1176,Cadastros!$G$6:$G$90,Cadastros!$H$6:$H$90))))</f>
        <v/>
      </c>
      <c r="AE1176" s="168" t="str">
        <f t="shared" si="239"/>
        <v/>
      </c>
      <c r="AF1176" s="168" t="str">
        <f t="shared" si="240"/>
        <v/>
      </c>
      <c r="AG1176" s="28"/>
      <c r="AH1176" s="28"/>
      <c r="AI1176" s="20" t="str">
        <f>IF(AG1176="","",IF($F1176="Bernardino Furlan",_xlfn.XLOOKUP(AG1176,Cadastros!$G$6:$G$90,Cadastros!$H$6:$H$90)*(1-0.18),IF($F1176="Mauro José Salanti",_xlfn.XLOOKUP(AG1176,Cadastros!$G$6:$G$90,Cadastros!$H$6:$H$90)*(1-0.18),_xlfn.XLOOKUP(AG1176,Cadastros!$G$6:$G$90,Cadastros!$H$6:$H$90))))</f>
        <v/>
      </c>
      <c r="AJ1176" s="168" t="str">
        <f t="shared" si="241"/>
        <v/>
      </c>
      <c r="AK1176" s="168" t="str">
        <f t="shared" si="242"/>
        <v/>
      </c>
      <c r="AL1176" s="28"/>
      <c r="AM1176" s="28"/>
      <c r="AN1176" s="20" t="str">
        <f>IF(AL1176="","",IF($F1176="Bernardino Furlan",_xlfn.XLOOKUP(AL1176,Cadastros!$G$6:$G$90,Cadastros!$H$6:$H$90)*(1-0.18),IF($F1176="Mauro José Salanti",_xlfn.XLOOKUP(AL1176,Cadastros!$G$6:$G$90,Cadastros!$H$6:$H$90)*(1-0.18),_xlfn.XLOOKUP(AL1176,Cadastros!$G$6:$G$90,Cadastros!$H$6:$H$90))))</f>
        <v/>
      </c>
      <c r="AO1176" s="168" t="str">
        <f t="shared" si="243"/>
        <v/>
      </c>
      <c r="AP1176" s="168" t="str">
        <f t="shared" si="244"/>
        <v/>
      </c>
      <c r="AQ1176" s="28"/>
      <c r="AR1176" s="28"/>
      <c r="AS1176" s="20" t="str">
        <f>IF(AQ1176="","",IF($F1176="Bernardino Furlan",_xlfn.XLOOKUP(AQ1176,Cadastros!$G$6:$G$90,Cadastros!$H$6:$H$90)*(1-0.18),IF($F1176="Mauro José Salanti",_xlfn.XLOOKUP(AQ1176,Cadastros!$G$6:$G$90,Cadastros!$H$6:$H$90)*(1-0.18),_xlfn.XLOOKUP(AQ1176,Cadastros!$G$6:$G$90,Cadastros!$H$6:$H$90))))</f>
        <v/>
      </c>
      <c r="AT1176" s="168" t="str">
        <f t="shared" si="245"/>
        <v/>
      </c>
      <c r="AU1176" s="168" t="str">
        <f t="shared" si="246"/>
        <v/>
      </c>
      <c r="AV1176" s="227"/>
      <c r="AW1176" s="30"/>
      <c r="AX1176" s="267"/>
      <c r="AY1176" s="267"/>
      <c r="AZ1176" s="29"/>
      <c r="BA1176" s="30"/>
      <c r="BB1176" s="23" t="str" cm="1">
        <f t="array" ref="BB1176">_xlfn.IFS(AW1176="SIM",SUM(K1176,P1176,U1176,Z1176,AE1176,AJ1176,AO1176,AT1176,AX1176,AY1176),F1176&lt;&gt;"",SUM(K1176,P1176,U1176,Z1176,AE1176,AJ1176,,AO1176,AT1176),F1176="","")</f>
        <v/>
      </c>
      <c r="BC1176" s="211" t="str" cm="1">
        <f t="array" ref="BC1176">_xlfn.IFS(E1176="","",G1176&lt;=E1176,BB1176*(1-0.03),G1176&lt;(E1176+8),BB1176,AZ1176="Boleto",BB1176*(1+0.001)^DATEDIF(E1176,G1176,"D"),AZ1176="Cheque",BB1176,AZ1176="Dinheiro","Alterar forma pgto")</f>
        <v/>
      </c>
      <c r="BD1176" s="276" t="str" cm="1">
        <f t="array" ref="BD1176">IF(F1176=0," ",IF(BC1176&lt;BB1176,(_xlfn.IFS(AW1176="SIM",SUM(L1176,Q1176,V1176,AA1176,AF1176,AK1176,AP1176,AU1176)+AX1176/_xlfn.XLOOKUP(_xlfn.XLOOKUP($F1176,Clientes!$B$4:$B$39,Clientes!$C$4:$C$39),Cadastros!$L$6:$L$12,Cadastros!$M$6:$M$12)+IF($F1176="Bernardino Furlan",AY1176/2751.92,IF($F1176="Mauro José Salanti",AY1176/2751.92,AY1176/3356)),F1176&lt;&gt;0,SUM(L1176,Q1176,V1176,AA1176,AF1176,AK1176,AP1176,AU1176)))*(1-0.03),_xlfn.IFS(AW1176="SIM",SUM(L1176,Q1176,V1176,AA1176,AF1176,AK1176,AP1176,AU1176)+AX1176/_xlfn.XLOOKUP(_xlfn.XLOOKUP($F1176,Clientes!$B$4:$B$39,Clientes!$C$4:$C$39),Cadastros!$L$6:$L$12,Cadastros!$M$6:$M$12)+IF($F1176="Bernardino Furlan",AY1176/2751.92,IF($F1176="Mauro José Salanti",AY1176/2751.92,AY1176/3356)),F1176&lt;&gt;0,SUM(L1176,Q1176,V1176,AA1176,AF1176,AK1176,AP1176,AU1176))))</f>
        <v xml:space="preserve"> </v>
      </c>
      <c r="BE1176" s="120"/>
      <c r="BF1176" s="120"/>
      <c r="BG1176" s="120"/>
    </row>
    <row r="1177" spans="1:59" s="3" customFormat="1" x14ac:dyDescent="0.3">
      <c r="A1177" s="15" t="str">
        <f t="shared" si="234"/>
        <v/>
      </c>
      <c r="B1177" s="25"/>
      <c r="C1177" s="26"/>
      <c r="D1177" s="279"/>
      <c r="E1177" s="27"/>
      <c r="F1177" s="28"/>
      <c r="G1177" s="27"/>
      <c r="H1177" s="28"/>
      <c r="I1177" s="28"/>
      <c r="J1177" s="255" t="str">
        <f>IF(H1177="","",(_xlfn.XLOOKUP(H1177,Cadastros!$D$6:$D$90,Cadastros!$E$6:$E$90))*(1-_xlfn.XLOOKUP(_xlfn.XLOOKUP($F1177,Clientes!$B$4:$B$39,Clientes!$C$4:$C$39),Cadastros!$L$6:$L$12,Cadastros!$N$6:$N$12)))</f>
        <v/>
      </c>
      <c r="K1177" s="168" t="str">
        <f t="shared" si="235"/>
        <v/>
      </c>
      <c r="L1177" s="168" t="str">
        <f>IFERROR(K1177/_xlfn.XLOOKUP(_xlfn.XLOOKUP($F1177,Clientes!$B$4:$B$39,Clientes!$C$4:$C$39),Cadastros!$L$6:$L$12,Cadastros!$M$6:$M$12)," ")</f>
        <v xml:space="preserve"> </v>
      </c>
      <c r="M1177" s="28"/>
      <c r="N1177" s="28"/>
      <c r="O1177" s="255" t="str">
        <f>IF(M1177="","",(_xlfn.XLOOKUP(M1177,Cadastros!$D$6:$D$90,Cadastros!$E$6:$E$90))*(1-_xlfn.XLOOKUP(_xlfn.XLOOKUP($F1177,Clientes!$B$4:$B$39,Clientes!$C$4:$C$39),Cadastros!$L$6:$L$12,Cadastros!$N$6:$N$12)))</f>
        <v/>
      </c>
      <c r="P1177" s="168" t="str">
        <f t="shared" si="236"/>
        <v/>
      </c>
      <c r="Q1177" s="168" t="str">
        <f>IFERROR(P1177/_xlfn.XLOOKUP(_xlfn.XLOOKUP($F1177,Clientes!$B$4:$B$39,Clientes!$C$4:$C$39),Cadastros!$L$6:$L$12,Cadastros!$M$6:$M$12)," ")</f>
        <v xml:space="preserve"> </v>
      </c>
      <c r="R1177" s="28"/>
      <c r="S1177" s="28"/>
      <c r="T1177" s="255" t="str">
        <f>IF(R1177="","",(_xlfn.XLOOKUP(R1177,Cadastros!$D$6:$D$90,Cadastros!$E$6:$E$90))*(1-_xlfn.XLOOKUP(_xlfn.XLOOKUP($F1177,Clientes!$B$4:$B$39,Clientes!$C$4:$C$39),Cadastros!$L$6:$L$12,Cadastros!$N$6:$N$12)))</f>
        <v/>
      </c>
      <c r="U1177" s="168" t="str">
        <f t="shared" si="237"/>
        <v/>
      </c>
      <c r="V1177" s="168" t="str">
        <f>IFERROR(U1177/_xlfn.XLOOKUP(_xlfn.XLOOKUP($F1177,Clientes!$B$4:$B$39,Clientes!$C$4:$C$39),Cadastros!$L$6:$L$12,Cadastros!$M$6:$M$12)," ")</f>
        <v xml:space="preserve"> </v>
      </c>
      <c r="W1177" s="28"/>
      <c r="X1177" s="28"/>
      <c r="Y1177" s="255" t="str">
        <f>IF(W1177="","",(_xlfn.XLOOKUP(W1177,Cadastros!$D$6:$D$90,Cadastros!$E$6:$E$90))*(1-_xlfn.XLOOKUP(_xlfn.XLOOKUP($F1177,Clientes!$B$4:$B$39,Clientes!$C$4:$C$39),Cadastros!$L$6:$L$12,Cadastros!$N$6:$N$12)))</f>
        <v/>
      </c>
      <c r="Z1177" s="168" t="str">
        <f t="shared" si="238"/>
        <v/>
      </c>
      <c r="AA1177" s="168" t="str">
        <f>IFERROR(Z1177/_xlfn.XLOOKUP(_xlfn.XLOOKUP($F1177,Clientes!$B$4:$B$39,Clientes!$C$4:$C$39),Cadastros!$L$6:$L$12,Cadastros!$M$6:$M$12)," ")</f>
        <v xml:space="preserve"> </v>
      </c>
      <c r="AB1177" s="28"/>
      <c r="AC1177" s="28"/>
      <c r="AD1177" s="20" t="str">
        <f>IF(AB1177="","",IF($F1177="Bernardino Furlan",_xlfn.XLOOKUP(AB1177,Cadastros!$G$6:$G$90,Cadastros!$H$6:$H$90)*(1-0.18),IF($F1177="Mauro José Salanti",_xlfn.XLOOKUP(AB1177,Cadastros!$G$6:$G$90,Cadastros!$H$6:$H$90)*(1-0.18),_xlfn.XLOOKUP(AB1177,Cadastros!$G$6:$G$90,Cadastros!$H$6:$H$90))))</f>
        <v/>
      </c>
      <c r="AE1177" s="168" t="str">
        <f t="shared" si="239"/>
        <v/>
      </c>
      <c r="AF1177" s="168" t="str">
        <f t="shared" si="240"/>
        <v/>
      </c>
      <c r="AG1177" s="28"/>
      <c r="AH1177" s="28"/>
      <c r="AI1177" s="20" t="str">
        <f>IF(AG1177="","",IF($F1177="Bernardino Furlan",_xlfn.XLOOKUP(AG1177,Cadastros!$G$6:$G$90,Cadastros!$H$6:$H$90)*(1-0.18),IF($F1177="Mauro José Salanti",_xlfn.XLOOKUP(AG1177,Cadastros!$G$6:$G$90,Cadastros!$H$6:$H$90)*(1-0.18),_xlfn.XLOOKUP(AG1177,Cadastros!$G$6:$G$90,Cadastros!$H$6:$H$90))))</f>
        <v/>
      </c>
      <c r="AJ1177" s="168" t="str">
        <f t="shared" si="241"/>
        <v/>
      </c>
      <c r="AK1177" s="168" t="str">
        <f t="shared" si="242"/>
        <v/>
      </c>
      <c r="AL1177" s="28"/>
      <c r="AM1177" s="28"/>
      <c r="AN1177" s="20" t="str">
        <f>IF(AL1177="","",IF($F1177="Bernardino Furlan",_xlfn.XLOOKUP(AL1177,Cadastros!$G$6:$G$90,Cadastros!$H$6:$H$90)*(1-0.18),IF($F1177="Mauro José Salanti",_xlfn.XLOOKUP(AL1177,Cadastros!$G$6:$G$90,Cadastros!$H$6:$H$90)*(1-0.18),_xlfn.XLOOKUP(AL1177,Cadastros!$G$6:$G$90,Cadastros!$H$6:$H$90))))</f>
        <v/>
      </c>
      <c r="AO1177" s="168" t="str">
        <f t="shared" si="243"/>
        <v/>
      </c>
      <c r="AP1177" s="168" t="str">
        <f t="shared" si="244"/>
        <v/>
      </c>
      <c r="AQ1177" s="28"/>
      <c r="AR1177" s="28"/>
      <c r="AS1177" s="20" t="str">
        <f>IF(AQ1177="","",IF($F1177="Bernardino Furlan",_xlfn.XLOOKUP(AQ1177,Cadastros!$G$6:$G$90,Cadastros!$H$6:$H$90)*(1-0.18),IF($F1177="Mauro José Salanti",_xlfn.XLOOKUP(AQ1177,Cadastros!$G$6:$G$90,Cadastros!$H$6:$H$90)*(1-0.18),_xlfn.XLOOKUP(AQ1177,Cadastros!$G$6:$G$90,Cadastros!$H$6:$H$90))))</f>
        <v/>
      </c>
      <c r="AT1177" s="168" t="str">
        <f t="shared" si="245"/>
        <v/>
      </c>
      <c r="AU1177" s="168" t="str">
        <f t="shared" si="246"/>
        <v/>
      </c>
      <c r="AV1177" s="227"/>
      <c r="AW1177" s="30"/>
      <c r="AX1177" s="267"/>
      <c r="AY1177" s="267"/>
      <c r="AZ1177" s="29"/>
      <c r="BA1177" s="30"/>
      <c r="BB1177" s="23" t="str" cm="1">
        <f t="array" ref="BB1177">_xlfn.IFS(AW1177="SIM",SUM(K1177,P1177,U1177,Z1177,AE1177,AJ1177,AO1177,AT1177,AX1177,AY1177),F1177&lt;&gt;"",SUM(K1177,P1177,U1177,Z1177,AE1177,AJ1177,,AO1177,AT1177),F1177="","")</f>
        <v/>
      </c>
      <c r="BC1177" s="211" t="str" cm="1">
        <f t="array" ref="BC1177">_xlfn.IFS(E1177="","",G1177&lt;=E1177,BB1177*(1-0.03),G1177&lt;(E1177+8),BB1177,AZ1177="Boleto",BB1177*(1+0.001)^DATEDIF(E1177,G1177,"D"),AZ1177="Cheque",BB1177,AZ1177="Dinheiro","Alterar forma pgto")</f>
        <v/>
      </c>
      <c r="BD1177" s="276" t="str" cm="1">
        <f t="array" ref="BD1177">IF(F1177=0," ",IF(BC1177&lt;BB1177,(_xlfn.IFS(AW1177="SIM",SUM(L1177,Q1177,V1177,AA1177,AF1177,AK1177,AP1177,AU1177)+AX1177/_xlfn.XLOOKUP(_xlfn.XLOOKUP($F1177,Clientes!$B$4:$B$39,Clientes!$C$4:$C$39),Cadastros!$L$6:$L$12,Cadastros!$M$6:$M$12)+IF($F1177="Bernardino Furlan",AY1177/2751.92,IF($F1177="Mauro José Salanti",AY1177/2751.92,AY1177/3356)),F1177&lt;&gt;0,SUM(L1177,Q1177,V1177,AA1177,AF1177,AK1177,AP1177,AU1177)))*(1-0.03),_xlfn.IFS(AW1177="SIM",SUM(L1177,Q1177,V1177,AA1177,AF1177,AK1177,AP1177,AU1177)+AX1177/_xlfn.XLOOKUP(_xlfn.XLOOKUP($F1177,Clientes!$B$4:$B$39,Clientes!$C$4:$C$39),Cadastros!$L$6:$L$12,Cadastros!$M$6:$M$12)+IF($F1177="Bernardino Furlan",AY1177/2751.92,IF($F1177="Mauro José Salanti",AY1177/2751.92,AY1177/3356)),F1177&lt;&gt;0,SUM(L1177,Q1177,V1177,AA1177,AF1177,AK1177,AP1177,AU1177))))</f>
        <v xml:space="preserve"> </v>
      </c>
      <c r="BE1177" s="120"/>
      <c r="BF1177" s="120"/>
      <c r="BG1177" s="120"/>
    </row>
    <row r="1178" spans="1:59" s="3" customFormat="1" x14ac:dyDescent="0.3">
      <c r="A1178" s="15" t="str">
        <f t="shared" si="234"/>
        <v/>
      </c>
      <c r="B1178" s="25"/>
      <c r="C1178" s="26"/>
      <c r="D1178" s="279"/>
      <c r="E1178" s="27"/>
      <c r="F1178" s="28"/>
      <c r="G1178" s="27"/>
      <c r="H1178" s="28"/>
      <c r="I1178" s="28"/>
      <c r="J1178" s="255" t="str">
        <f>IF(H1178="","",(_xlfn.XLOOKUP(H1178,Cadastros!$D$6:$D$90,Cadastros!$E$6:$E$90))*(1-_xlfn.XLOOKUP(_xlfn.XLOOKUP($F1178,Clientes!$B$4:$B$39,Clientes!$C$4:$C$39),Cadastros!$L$6:$L$12,Cadastros!$N$6:$N$12)))</f>
        <v/>
      </c>
      <c r="K1178" s="168" t="str">
        <f t="shared" si="235"/>
        <v/>
      </c>
      <c r="L1178" s="168" t="str">
        <f>IFERROR(K1178/_xlfn.XLOOKUP(_xlfn.XLOOKUP($F1178,Clientes!$B$4:$B$39,Clientes!$C$4:$C$39),Cadastros!$L$6:$L$12,Cadastros!$M$6:$M$12)," ")</f>
        <v xml:space="preserve"> </v>
      </c>
      <c r="M1178" s="28"/>
      <c r="N1178" s="28"/>
      <c r="O1178" s="255" t="str">
        <f>IF(M1178="","",(_xlfn.XLOOKUP(M1178,Cadastros!$D$6:$D$90,Cadastros!$E$6:$E$90))*(1-_xlfn.XLOOKUP(_xlfn.XLOOKUP($F1178,Clientes!$B$4:$B$39,Clientes!$C$4:$C$39),Cadastros!$L$6:$L$12,Cadastros!$N$6:$N$12)))</f>
        <v/>
      </c>
      <c r="P1178" s="168" t="str">
        <f t="shared" si="236"/>
        <v/>
      </c>
      <c r="Q1178" s="168" t="str">
        <f>IFERROR(P1178/_xlfn.XLOOKUP(_xlfn.XLOOKUP($F1178,Clientes!$B$4:$B$39,Clientes!$C$4:$C$39),Cadastros!$L$6:$L$12,Cadastros!$M$6:$M$12)," ")</f>
        <v xml:space="preserve"> </v>
      </c>
      <c r="R1178" s="28"/>
      <c r="S1178" s="28"/>
      <c r="T1178" s="255" t="str">
        <f>IF(R1178="","",(_xlfn.XLOOKUP(R1178,Cadastros!$D$6:$D$90,Cadastros!$E$6:$E$90))*(1-_xlfn.XLOOKUP(_xlfn.XLOOKUP($F1178,Clientes!$B$4:$B$39,Clientes!$C$4:$C$39),Cadastros!$L$6:$L$12,Cadastros!$N$6:$N$12)))</f>
        <v/>
      </c>
      <c r="U1178" s="168" t="str">
        <f t="shared" si="237"/>
        <v/>
      </c>
      <c r="V1178" s="168" t="str">
        <f>IFERROR(U1178/_xlfn.XLOOKUP(_xlfn.XLOOKUP($F1178,Clientes!$B$4:$B$39,Clientes!$C$4:$C$39),Cadastros!$L$6:$L$12,Cadastros!$M$6:$M$12)," ")</f>
        <v xml:space="preserve"> </v>
      </c>
      <c r="W1178" s="28"/>
      <c r="X1178" s="28"/>
      <c r="Y1178" s="255" t="str">
        <f>IF(W1178="","",(_xlfn.XLOOKUP(W1178,Cadastros!$D$6:$D$90,Cadastros!$E$6:$E$90))*(1-_xlfn.XLOOKUP(_xlfn.XLOOKUP($F1178,Clientes!$B$4:$B$39,Clientes!$C$4:$C$39),Cadastros!$L$6:$L$12,Cadastros!$N$6:$N$12)))</f>
        <v/>
      </c>
      <c r="Z1178" s="168" t="str">
        <f t="shared" si="238"/>
        <v/>
      </c>
      <c r="AA1178" s="168" t="str">
        <f>IFERROR(Z1178/_xlfn.XLOOKUP(_xlfn.XLOOKUP($F1178,Clientes!$B$4:$B$39,Clientes!$C$4:$C$39),Cadastros!$L$6:$L$12,Cadastros!$M$6:$M$12)," ")</f>
        <v xml:space="preserve"> </v>
      </c>
      <c r="AB1178" s="28"/>
      <c r="AC1178" s="28"/>
      <c r="AD1178" s="20" t="str">
        <f>IF(AB1178="","",IF($F1178="Bernardino Furlan",_xlfn.XLOOKUP(AB1178,Cadastros!$G$6:$G$90,Cadastros!$H$6:$H$90)*(1-0.18),IF($F1178="Mauro José Salanti",_xlfn.XLOOKUP(AB1178,Cadastros!$G$6:$G$90,Cadastros!$H$6:$H$90)*(1-0.18),_xlfn.XLOOKUP(AB1178,Cadastros!$G$6:$G$90,Cadastros!$H$6:$H$90))))</f>
        <v/>
      </c>
      <c r="AE1178" s="168" t="str">
        <f t="shared" si="239"/>
        <v/>
      </c>
      <c r="AF1178" s="168" t="str">
        <f t="shared" si="240"/>
        <v/>
      </c>
      <c r="AG1178" s="28"/>
      <c r="AH1178" s="28"/>
      <c r="AI1178" s="20" t="str">
        <f>IF(AG1178="","",IF($F1178="Bernardino Furlan",_xlfn.XLOOKUP(AG1178,Cadastros!$G$6:$G$90,Cadastros!$H$6:$H$90)*(1-0.18),IF($F1178="Mauro José Salanti",_xlfn.XLOOKUP(AG1178,Cadastros!$G$6:$G$90,Cadastros!$H$6:$H$90)*(1-0.18),_xlfn.XLOOKUP(AG1178,Cadastros!$G$6:$G$90,Cadastros!$H$6:$H$90))))</f>
        <v/>
      </c>
      <c r="AJ1178" s="168" t="str">
        <f t="shared" si="241"/>
        <v/>
      </c>
      <c r="AK1178" s="168" t="str">
        <f t="shared" si="242"/>
        <v/>
      </c>
      <c r="AL1178" s="28"/>
      <c r="AM1178" s="28"/>
      <c r="AN1178" s="20" t="str">
        <f>IF(AL1178="","",IF($F1178="Bernardino Furlan",_xlfn.XLOOKUP(AL1178,Cadastros!$G$6:$G$90,Cadastros!$H$6:$H$90)*(1-0.18),IF($F1178="Mauro José Salanti",_xlfn.XLOOKUP(AL1178,Cadastros!$G$6:$G$90,Cadastros!$H$6:$H$90)*(1-0.18),_xlfn.XLOOKUP(AL1178,Cadastros!$G$6:$G$90,Cadastros!$H$6:$H$90))))</f>
        <v/>
      </c>
      <c r="AO1178" s="168" t="str">
        <f t="shared" si="243"/>
        <v/>
      </c>
      <c r="AP1178" s="168" t="str">
        <f t="shared" si="244"/>
        <v/>
      </c>
      <c r="AQ1178" s="28"/>
      <c r="AR1178" s="28"/>
      <c r="AS1178" s="20" t="str">
        <f>IF(AQ1178="","",IF($F1178="Bernardino Furlan",_xlfn.XLOOKUP(AQ1178,Cadastros!$G$6:$G$90,Cadastros!$H$6:$H$90)*(1-0.18),IF($F1178="Mauro José Salanti",_xlfn.XLOOKUP(AQ1178,Cadastros!$G$6:$G$90,Cadastros!$H$6:$H$90)*(1-0.18),_xlfn.XLOOKUP(AQ1178,Cadastros!$G$6:$G$90,Cadastros!$H$6:$H$90))))</f>
        <v/>
      </c>
      <c r="AT1178" s="168" t="str">
        <f t="shared" si="245"/>
        <v/>
      </c>
      <c r="AU1178" s="168" t="str">
        <f t="shared" si="246"/>
        <v/>
      </c>
      <c r="AV1178" s="227"/>
      <c r="AW1178" s="30"/>
      <c r="AX1178" s="267"/>
      <c r="AY1178" s="267"/>
      <c r="AZ1178" s="29"/>
      <c r="BA1178" s="30"/>
      <c r="BB1178" s="23" t="str" cm="1">
        <f t="array" ref="BB1178">_xlfn.IFS(AW1178="SIM",SUM(K1178,P1178,U1178,Z1178,AE1178,AJ1178,AO1178,AT1178,AX1178,AY1178),F1178&lt;&gt;"",SUM(K1178,P1178,U1178,Z1178,AE1178,AJ1178,,AO1178,AT1178),F1178="","")</f>
        <v/>
      </c>
      <c r="BC1178" s="211" t="str" cm="1">
        <f t="array" ref="BC1178">_xlfn.IFS(E1178="","",G1178&lt;=E1178,BB1178*(1-0.03),G1178&lt;(E1178+8),BB1178,AZ1178="Boleto",BB1178*(1+0.001)^DATEDIF(E1178,G1178,"D"),AZ1178="Cheque",BB1178,AZ1178="Dinheiro","Alterar forma pgto")</f>
        <v/>
      </c>
      <c r="BD1178" s="276" t="str" cm="1">
        <f t="array" ref="BD1178">IF(F1178=0," ",IF(BC1178&lt;BB1178,(_xlfn.IFS(AW1178="SIM",SUM(L1178,Q1178,V1178,AA1178,AF1178,AK1178,AP1178,AU1178)+AX1178/_xlfn.XLOOKUP(_xlfn.XLOOKUP($F1178,Clientes!$B$4:$B$39,Clientes!$C$4:$C$39),Cadastros!$L$6:$L$12,Cadastros!$M$6:$M$12)+IF($F1178="Bernardino Furlan",AY1178/2751.92,IF($F1178="Mauro José Salanti",AY1178/2751.92,AY1178/3356)),F1178&lt;&gt;0,SUM(L1178,Q1178,V1178,AA1178,AF1178,AK1178,AP1178,AU1178)))*(1-0.03),_xlfn.IFS(AW1178="SIM",SUM(L1178,Q1178,V1178,AA1178,AF1178,AK1178,AP1178,AU1178)+AX1178/_xlfn.XLOOKUP(_xlfn.XLOOKUP($F1178,Clientes!$B$4:$B$39,Clientes!$C$4:$C$39),Cadastros!$L$6:$L$12,Cadastros!$M$6:$M$12)+IF($F1178="Bernardino Furlan",AY1178/2751.92,IF($F1178="Mauro José Salanti",AY1178/2751.92,AY1178/3356)),F1178&lt;&gt;0,SUM(L1178,Q1178,V1178,AA1178,AF1178,AK1178,AP1178,AU1178))))</f>
        <v xml:space="preserve"> </v>
      </c>
      <c r="BE1178" s="120"/>
      <c r="BF1178" s="120"/>
      <c r="BG1178" s="120"/>
    </row>
    <row r="1179" spans="1:59" s="3" customFormat="1" x14ac:dyDescent="0.3">
      <c r="A1179" s="15" t="str">
        <f t="shared" si="234"/>
        <v/>
      </c>
      <c r="B1179" s="25"/>
      <c r="C1179" s="26"/>
      <c r="D1179" s="279"/>
      <c r="E1179" s="27"/>
      <c r="F1179" s="28"/>
      <c r="G1179" s="27"/>
      <c r="H1179" s="28"/>
      <c r="I1179" s="28"/>
      <c r="J1179" s="255" t="str">
        <f>IF(H1179="","",(_xlfn.XLOOKUP(H1179,Cadastros!$D$6:$D$90,Cadastros!$E$6:$E$90))*(1-_xlfn.XLOOKUP(_xlfn.XLOOKUP($F1179,Clientes!$B$4:$B$39,Clientes!$C$4:$C$39),Cadastros!$L$6:$L$12,Cadastros!$N$6:$N$12)))</f>
        <v/>
      </c>
      <c r="K1179" s="168" t="str">
        <f t="shared" si="235"/>
        <v/>
      </c>
      <c r="L1179" s="168" t="str">
        <f>IFERROR(K1179/_xlfn.XLOOKUP(_xlfn.XLOOKUP($F1179,Clientes!$B$4:$B$39,Clientes!$C$4:$C$39),Cadastros!$L$6:$L$12,Cadastros!$M$6:$M$12)," ")</f>
        <v xml:space="preserve"> </v>
      </c>
      <c r="M1179" s="28"/>
      <c r="N1179" s="28"/>
      <c r="O1179" s="255" t="str">
        <f>IF(M1179="","",(_xlfn.XLOOKUP(M1179,Cadastros!$D$6:$D$90,Cadastros!$E$6:$E$90))*(1-_xlfn.XLOOKUP(_xlfn.XLOOKUP($F1179,Clientes!$B$4:$B$39,Clientes!$C$4:$C$39),Cadastros!$L$6:$L$12,Cadastros!$N$6:$N$12)))</f>
        <v/>
      </c>
      <c r="P1179" s="168" t="str">
        <f t="shared" si="236"/>
        <v/>
      </c>
      <c r="Q1179" s="168" t="str">
        <f>IFERROR(P1179/_xlfn.XLOOKUP(_xlfn.XLOOKUP($F1179,Clientes!$B$4:$B$39,Clientes!$C$4:$C$39),Cadastros!$L$6:$L$12,Cadastros!$M$6:$M$12)," ")</f>
        <v xml:space="preserve"> </v>
      </c>
      <c r="R1179" s="28"/>
      <c r="S1179" s="28"/>
      <c r="T1179" s="255" t="str">
        <f>IF(R1179="","",(_xlfn.XLOOKUP(R1179,Cadastros!$D$6:$D$90,Cadastros!$E$6:$E$90))*(1-_xlfn.XLOOKUP(_xlfn.XLOOKUP($F1179,Clientes!$B$4:$B$39,Clientes!$C$4:$C$39),Cadastros!$L$6:$L$12,Cadastros!$N$6:$N$12)))</f>
        <v/>
      </c>
      <c r="U1179" s="168" t="str">
        <f t="shared" si="237"/>
        <v/>
      </c>
      <c r="V1179" s="168" t="str">
        <f>IFERROR(U1179/_xlfn.XLOOKUP(_xlfn.XLOOKUP($F1179,Clientes!$B$4:$B$39,Clientes!$C$4:$C$39),Cadastros!$L$6:$L$12,Cadastros!$M$6:$M$12)," ")</f>
        <v xml:space="preserve"> </v>
      </c>
      <c r="W1179" s="28"/>
      <c r="X1179" s="28"/>
      <c r="Y1179" s="255" t="str">
        <f>IF(W1179="","",(_xlfn.XLOOKUP(W1179,Cadastros!$D$6:$D$90,Cadastros!$E$6:$E$90))*(1-_xlfn.XLOOKUP(_xlfn.XLOOKUP($F1179,Clientes!$B$4:$B$39,Clientes!$C$4:$C$39),Cadastros!$L$6:$L$12,Cadastros!$N$6:$N$12)))</f>
        <v/>
      </c>
      <c r="Z1179" s="168" t="str">
        <f t="shared" si="238"/>
        <v/>
      </c>
      <c r="AA1179" s="168" t="str">
        <f>IFERROR(Z1179/_xlfn.XLOOKUP(_xlfn.XLOOKUP($F1179,Clientes!$B$4:$B$39,Clientes!$C$4:$C$39),Cadastros!$L$6:$L$12,Cadastros!$M$6:$M$12)," ")</f>
        <v xml:space="preserve"> </v>
      </c>
      <c r="AB1179" s="28"/>
      <c r="AC1179" s="28"/>
      <c r="AD1179" s="20" t="str">
        <f>IF(AB1179="","",IF($F1179="Bernardino Furlan",_xlfn.XLOOKUP(AB1179,Cadastros!$G$6:$G$90,Cadastros!$H$6:$H$90)*(1-0.18),IF($F1179="Mauro José Salanti",_xlfn.XLOOKUP(AB1179,Cadastros!$G$6:$G$90,Cadastros!$H$6:$H$90)*(1-0.18),_xlfn.XLOOKUP(AB1179,Cadastros!$G$6:$G$90,Cadastros!$H$6:$H$90))))</f>
        <v/>
      </c>
      <c r="AE1179" s="168" t="str">
        <f t="shared" si="239"/>
        <v/>
      </c>
      <c r="AF1179" s="168" t="str">
        <f t="shared" si="240"/>
        <v/>
      </c>
      <c r="AG1179" s="28"/>
      <c r="AH1179" s="28"/>
      <c r="AI1179" s="20" t="str">
        <f>IF(AG1179="","",IF($F1179="Bernardino Furlan",_xlfn.XLOOKUP(AG1179,Cadastros!$G$6:$G$90,Cadastros!$H$6:$H$90)*(1-0.18),IF($F1179="Mauro José Salanti",_xlfn.XLOOKUP(AG1179,Cadastros!$G$6:$G$90,Cadastros!$H$6:$H$90)*(1-0.18),_xlfn.XLOOKUP(AG1179,Cadastros!$G$6:$G$90,Cadastros!$H$6:$H$90))))</f>
        <v/>
      </c>
      <c r="AJ1179" s="168" t="str">
        <f t="shared" si="241"/>
        <v/>
      </c>
      <c r="AK1179" s="168" t="str">
        <f t="shared" si="242"/>
        <v/>
      </c>
      <c r="AL1179" s="28"/>
      <c r="AM1179" s="28"/>
      <c r="AN1179" s="20" t="str">
        <f>IF(AL1179="","",IF($F1179="Bernardino Furlan",_xlfn.XLOOKUP(AL1179,Cadastros!$G$6:$G$90,Cadastros!$H$6:$H$90)*(1-0.18),IF($F1179="Mauro José Salanti",_xlfn.XLOOKUP(AL1179,Cadastros!$G$6:$G$90,Cadastros!$H$6:$H$90)*(1-0.18),_xlfn.XLOOKUP(AL1179,Cadastros!$G$6:$G$90,Cadastros!$H$6:$H$90))))</f>
        <v/>
      </c>
      <c r="AO1179" s="168" t="str">
        <f t="shared" si="243"/>
        <v/>
      </c>
      <c r="AP1179" s="168" t="str">
        <f t="shared" si="244"/>
        <v/>
      </c>
      <c r="AQ1179" s="28"/>
      <c r="AR1179" s="28"/>
      <c r="AS1179" s="20" t="str">
        <f>IF(AQ1179="","",IF($F1179="Bernardino Furlan",_xlfn.XLOOKUP(AQ1179,Cadastros!$G$6:$G$90,Cadastros!$H$6:$H$90)*(1-0.18),IF($F1179="Mauro José Salanti",_xlfn.XLOOKUP(AQ1179,Cadastros!$G$6:$G$90,Cadastros!$H$6:$H$90)*(1-0.18),_xlfn.XLOOKUP(AQ1179,Cadastros!$G$6:$G$90,Cadastros!$H$6:$H$90))))</f>
        <v/>
      </c>
      <c r="AT1179" s="168" t="str">
        <f t="shared" si="245"/>
        <v/>
      </c>
      <c r="AU1179" s="168" t="str">
        <f t="shared" si="246"/>
        <v/>
      </c>
      <c r="AV1179" s="227"/>
      <c r="AW1179" s="30"/>
      <c r="AX1179" s="267"/>
      <c r="AY1179" s="267"/>
      <c r="AZ1179" s="29"/>
      <c r="BA1179" s="30"/>
      <c r="BB1179" s="23" t="str" cm="1">
        <f t="array" ref="BB1179">_xlfn.IFS(AW1179="SIM",SUM(K1179,P1179,U1179,Z1179,AE1179,AJ1179,AO1179,AT1179,AX1179,AY1179),F1179&lt;&gt;"",SUM(K1179,P1179,U1179,Z1179,AE1179,AJ1179,,AO1179,AT1179),F1179="","")</f>
        <v/>
      </c>
      <c r="BC1179" s="211" t="str" cm="1">
        <f t="array" ref="BC1179">_xlfn.IFS(E1179="","",G1179&lt;=E1179,BB1179*(1-0.03),G1179&lt;(E1179+8),BB1179,AZ1179="Boleto",BB1179*(1+0.001)^DATEDIF(E1179,G1179,"D"),AZ1179="Cheque",BB1179,AZ1179="Dinheiro","Alterar forma pgto")</f>
        <v/>
      </c>
      <c r="BD1179" s="276" t="str" cm="1">
        <f t="array" ref="BD1179">IF(F1179=0," ",IF(BC1179&lt;BB1179,(_xlfn.IFS(AW1179="SIM",SUM(L1179,Q1179,V1179,AA1179,AF1179,AK1179,AP1179,AU1179)+AX1179/_xlfn.XLOOKUP(_xlfn.XLOOKUP($F1179,Clientes!$B$4:$B$39,Clientes!$C$4:$C$39),Cadastros!$L$6:$L$12,Cadastros!$M$6:$M$12)+IF($F1179="Bernardino Furlan",AY1179/2751.92,IF($F1179="Mauro José Salanti",AY1179/2751.92,AY1179/3356)),F1179&lt;&gt;0,SUM(L1179,Q1179,V1179,AA1179,AF1179,AK1179,AP1179,AU1179)))*(1-0.03),_xlfn.IFS(AW1179="SIM",SUM(L1179,Q1179,V1179,AA1179,AF1179,AK1179,AP1179,AU1179)+AX1179/_xlfn.XLOOKUP(_xlfn.XLOOKUP($F1179,Clientes!$B$4:$B$39,Clientes!$C$4:$C$39),Cadastros!$L$6:$L$12,Cadastros!$M$6:$M$12)+IF($F1179="Bernardino Furlan",AY1179/2751.92,IF($F1179="Mauro José Salanti",AY1179/2751.92,AY1179/3356)),F1179&lt;&gt;0,SUM(L1179,Q1179,V1179,AA1179,AF1179,AK1179,AP1179,AU1179))))</f>
        <v xml:space="preserve"> </v>
      </c>
      <c r="BE1179" s="120"/>
      <c r="BF1179" s="120"/>
      <c r="BG1179" s="120"/>
    </row>
    <row r="1180" spans="1:59" s="3" customFormat="1" x14ac:dyDescent="0.3">
      <c r="A1180" s="15" t="str">
        <f t="shared" si="234"/>
        <v/>
      </c>
      <c r="B1180" s="25"/>
      <c r="C1180" s="26"/>
      <c r="D1180" s="279"/>
      <c r="E1180" s="27"/>
      <c r="F1180" s="28"/>
      <c r="G1180" s="27"/>
      <c r="H1180" s="28"/>
      <c r="I1180" s="28"/>
      <c r="J1180" s="255" t="str">
        <f>IF(H1180="","",(_xlfn.XLOOKUP(H1180,Cadastros!$D$6:$D$90,Cadastros!$E$6:$E$90))*(1-_xlfn.XLOOKUP(_xlfn.XLOOKUP($F1180,Clientes!$B$4:$B$39,Clientes!$C$4:$C$39),Cadastros!$L$6:$L$12,Cadastros!$N$6:$N$12)))</f>
        <v/>
      </c>
      <c r="K1180" s="168" t="str">
        <f t="shared" si="235"/>
        <v/>
      </c>
      <c r="L1180" s="168" t="str">
        <f>IFERROR(K1180/_xlfn.XLOOKUP(_xlfn.XLOOKUP($F1180,Clientes!$B$4:$B$39,Clientes!$C$4:$C$39),Cadastros!$L$6:$L$12,Cadastros!$M$6:$M$12)," ")</f>
        <v xml:space="preserve"> </v>
      </c>
      <c r="M1180" s="28"/>
      <c r="N1180" s="28"/>
      <c r="O1180" s="255" t="str">
        <f>IF(M1180="","",(_xlfn.XLOOKUP(M1180,Cadastros!$D$6:$D$90,Cadastros!$E$6:$E$90))*(1-_xlfn.XLOOKUP(_xlfn.XLOOKUP($F1180,Clientes!$B$4:$B$39,Clientes!$C$4:$C$39),Cadastros!$L$6:$L$12,Cadastros!$N$6:$N$12)))</f>
        <v/>
      </c>
      <c r="P1180" s="168" t="str">
        <f t="shared" si="236"/>
        <v/>
      </c>
      <c r="Q1180" s="168" t="str">
        <f>IFERROR(P1180/_xlfn.XLOOKUP(_xlfn.XLOOKUP($F1180,Clientes!$B$4:$B$39,Clientes!$C$4:$C$39),Cadastros!$L$6:$L$12,Cadastros!$M$6:$M$12)," ")</f>
        <v xml:space="preserve"> </v>
      </c>
      <c r="R1180" s="28"/>
      <c r="S1180" s="28"/>
      <c r="T1180" s="255" t="str">
        <f>IF(R1180="","",(_xlfn.XLOOKUP(R1180,Cadastros!$D$6:$D$90,Cadastros!$E$6:$E$90))*(1-_xlfn.XLOOKUP(_xlfn.XLOOKUP($F1180,Clientes!$B$4:$B$39,Clientes!$C$4:$C$39),Cadastros!$L$6:$L$12,Cadastros!$N$6:$N$12)))</f>
        <v/>
      </c>
      <c r="U1180" s="168" t="str">
        <f t="shared" si="237"/>
        <v/>
      </c>
      <c r="V1180" s="168" t="str">
        <f>IFERROR(U1180/_xlfn.XLOOKUP(_xlfn.XLOOKUP($F1180,Clientes!$B$4:$B$39,Clientes!$C$4:$C$39),Cadastros!$L$6:$L$12,Cadastros!$M$6:$M$12)," ")</f>
        <v xml:space="preserve"> </v>
      </c>
      <c r="W1180" s="28"/>
      <c r="X1180" s="28"/>
      <c r="Y1180" s="255" t="str">
        <f>IF(W1180="","",(_xlfn.XLOOKUP(W1180,Cadastros!$D$6:$D$90,Cadastros!$E$6:$E$90))*(1-_xlfn.XLOOKUP(_xlfn.XLOOKUP($F1180,Clientes!$B$4:$B$39,Clientes!$C$4:$C$39),Cadastros!$L$6:$L$12,Cadastros!$N$6:$N$12)))</f>
        <v/>
      </c>
      <c r="Z1180" s="168" t="str">
        <f t="shared" si="238"/>
        <v/>
      </c>
      <c r="AA1180" s="168" t="str">
        <f>IFERROR(Z1180/_xlfn.XLOOKUP(_xlfn.XLOOKUP($F1180,Clientes!$B$4:$B$39,Clientes!$C$4:$C$39),Cadastros!$L$6:$L$12,Cadastros!$M$6:$M$12)," ")</f>
        <v xml:space="preserve"> </v>
      </c>
      <c r="AB1180" s="28"/>
      <c r="AC1180" s="28"/>
      <c r="AD1180" s="20" t="str">
        <f>IF(AB1180="","",IF($F1180="Bernardino Furlan",_xlfn.XLOOKUP(AB1180,Cadastros!$G$6:$G$90,Cadastros!$H$6:$H$90)*(1-0.18),IF($F1180="Mauro José Salanti",_xlfn.XLOOKUP(AB1180,Cadastros!$G$6:$G$90,Cadastros!$H$6:$H$90)*(1-0.18),_xlfn.XLOOKUP(AB1180,Cadastros!$G$6:$G$90,Cadastros!$H$6:$H$90))))</f>
        <v/>
      </c>
      <c r="AE1180" s="168" t="str">
        <f t="shared" si="239"/>
        <v/>
      </c>
      <c r="AF1180" s="168" t="str">
        <f t="shared" si="240"/>
        <v/>
      </c>
      <c r="AG1180" s="28"/>
      <c r="AH1180" s="28"/>
      <c r="AI1180" s="20" t="str">
        <f>IF(AG1180="","",IF($F1180="Bernardino Furlan",_xlfn.XLOOKUP(AG1180,Cadastros!$G$6:$G$90,Cadastros!$H$6:$H$90)*(1-0.18),IF($F1180="Mauro José Salanti",_xlfn.XLOOKUP(AG1180,Cadastros!$G$6:$G$90,Cadastros!$H$6:$H$90)*(1-0.18),_xlfn.XLOOKUP(AG1180,Cadastros!$G$6:$G$90,Cadastros!$H$6:$H$90))))</f>
        <v/>
      </c>
      <c r="AJ1180" s="168" t="str">
        <f t="shared" si="241"/>
        <v/>
      </c>
      <c r="AK1180" s="168" t="str">
        <f t="shared" si="242"/>
        <v/>
      </c>
      <c r="AL1180" s="28"/>
      <c r="AM1180" s="28"/>
      <c r="AN1180" s="20" t="str">
        <f>IF(AL1180="","",IF($F1180="Bernardino Furlan",_xlfn.XLOOKUP(AL1180,Cadastros!$G$6:$G$90,Cadastros!$H$6:$H$90)*(1-0.18),IF($F1180="Mauro José Salanti",_xlfn.XLOOKUP(AL1180,Cadastros!$G$6:$G$90,Cadastros!$H$6:$H$90)*(1-0.18),_xlfn.XLOOKUP(AL1180,Cadastros!$G$6:$G$90,Cadastros!$H$6:$H$90))))</f>
        <v/>
      </c>
      <c r="AO1180" s="168" t="str">
        <f t="shared" si="243"/>
        <v/>
      </c>
      <c r="AP1180" s="168" t="str">
        <f t="shared" si="244"/>
        <v/>
      </c>
      <c r="AQ1180" s="28"/>
      <c r="AR1180" s="28"/>
      <c r="AS1180" s="20" t="str">
        <f>IF(AQ1180="","",IF($F1180="Bernardino Furlan",_xlfn.XLOOKUP(AQ1180,Cadastros!$G$6:$G$90,Cadastros!$H$6:$H$90)*(1-0.18),IF($F1180="Mauro José Salanti",_xlfn.XLOOKUP(AQ1180,Cadastros!$G$6:$G$90,Cadastros!$H$6:$H$90)*(1-0.18),_xlfn.XLOOKUP(AQ1180,Cadastros!$G$6:$G$90,Cadastros!$H$6:$H$90))))</f>
        <v/>
      </c>
      <c r="AT1180" s="168" t="str">
        <f t="shared" si="245"/>
        <v/>
      </c>
      <c r="AU1180" s="168" t="str">
        <f t="shared" si="246"/>
        <v/>
      </c>
      <c r="AV1180" s="227"/>
      <c r="AW1180" s="30"/>
      <c r="AX1180" s="267"/>
      <c r="AY1180" s="267"/>
      <c r="AZ1180" s="29"/>
      <c r="BA1180" s="30"/>
      <c r="BB1180" s="23" t="str" cm="1">
        <f t="array" ref="BB1180">_xlfn.IFS(AW1180="SIM",SUM(K1180,P1180,U1180,Z1180,AE1180,AJ1180,AO1180,AT1180,AX1180,AY1180),F1180&lt;&gt;"",SUM(K1180,P1180,U1180,Z1180,AE1180,AJ1180,,AO1180,AT1180),F1180="","")</f>
        <v/>
      </c>
      <c r="BC1180" s="211" t="str" cm="1">
        <f t="array" ref="BC1180">_xlfn.IFS(E1180="","",G1180&lt;=E1180,BB1180*(1-0.03),G1180&lt;(E1180+8),BB1180,AZ1180="Boleto",BB1180*(1+0.001)^DATEDIF(E1180,G1180,"D"),AZ1180="Cheque",BB1180,AZ1180="Dinheiro","Alterar forma pgto")</f>
        <v/>
      </c>
      <c r="BD1180" s="276" t="str" cm="1">
        <f t="array" ref="BD1180">IF(F1180=0," ",IF(BC1180&lt;BB1180,(_xlfn.IFS(AW1180="SIM",SUM(L1180,Q1180,V1180,AA1180,AF1180,AK1180,AP1180,AU1180)+AX1180/_xlfn.XLOOKUP(_xlfn.XLOOKUP($F1180,Clientes!$B$4:$B$39,Clientes!$C$4:$C$39),Cadastros!$L$6:$L$12,Cadastros!$M$6:$M$12)+IF($F1180="Bernardino Furlan",AY1180/2751.92,IF($F1180="Mauro José Salanti",AY1180/2751.92,AY1180/3356)),F1180&lt;&gt;0,SUM(L1180,Q1180,V1180,AA1180,AF1180,AK1180,AP1180,AU1180)))*(1-0.03),_xlfn.IFS(AW1180="SIM",SUM(L1180,Q1180,V1180,AA1180,AF1180,AK1180,AP1180,AU1180)+AX1180/_xlfn.XLOOKUP(_xlfn.XLOOKUP($F1180,Clientes!$B$4:$B$39,Clientes!$C$4:$C$39),Cadastros!$L$6:$L$12,Cadastros!$M$6:$M$12)+IF($F1180="Bernardino Furlan",AY1180/2751.92,IF($F1180="Mauro José Salanti",AY1180/2751.92,AY1180/3356)),F1180&lt;&gt;0,SUM(L1180,Q1180,V1180,AA1180,AF1180,AK1180,AP1180,AU1180))))</f>
        <v xml:space="preserve"> </v>
      </c>
      <c r="BE1180" s="120"/>
      <c r="BF1180" s="120"/>
      <c r="BG1180" s="120"/>
    </row>
    <row r="1181" spans="1:59" s="3" customFormat="1" x14ac:dyDescent="0.3">
      <c r="A1181" s="15" t="str">
        <f t="shared" si="234"/>
        <v/>
      </c>
      <c r="B1181" s="25"/>
      <c r="C1181" s="26"/>
      <c r="D1181" s="279"/>
      <c r="E1181" s="27"/>
      <c r="F1181" s="28"/>
      <c r="G1181" s="27"/>
      <c r="H1181" s="28"/>
      <c r="I1181" s="28"/>
      <c r="J1181" s="255" t="str">
        <f>IF(H1181="","",(_xlfn.XLOOKUP(H1181,Cadastros!$D$6:$D$90,Cadastros!$E$6:$E$90))*(1-_xlfn.XLOOKUP(_xlfn.XLOOKUP($F1181,Clientes!$B$4:$B$39,Clientes!$C$4:$C$39),Cadastros!$L$6:$L$12,Cadastros!$N$6:$N$12)))</f>
        <v/>
      </c>
      <c r="K1181" s="168" t="str">
        <f t="shared" si="235"/>
        <v/>
      </c>
      <c r="L1181" s="168" t="str">
        <f>IFERROR(K1181/_xlfn.XLOOKUP(_xlfn.XLOOKUP($F1181,Clientes!$B$4:$B$39,Clientes!$C$4:$C$39),Cadastros!$L$6:$L$12,Cadastros!$M$6:$M$12)," ")</f>
        <v xml:space="preserve"> </v>
      </c>
      <c r="M1181" s="28"/>
      <c r="N1181" s="28"/>
      <c r="O1181" s="255" t="str">
        <f>IF(M1181="","",(_xlfn.XLOOKUP(M1181,Cadastros!$D$6:$D$90,Cadastros!$E$6:$E$90))*(1-_xlfn.XLOOKUP(_xlfn.XLOOKUP($F1181,Clientes!$B$4:$B$39,Clientes!$C$4:$C$39),Cadastros!$L$6:$L$12,Cadastros!$N$6:$N$12)))</f>
        <v/>
      </c>
      <c r="P1181" s="168" t="str">
        <f t="shared" si="236"/>
        <v/>
      </c>
      <c r="Q1181" s="168" t="str">
        <f>IFERROR(P1181/_xlfn.XLOOKUP(_xlfn.XLOOKUP($F1181,Clientes!$B$4:$B$39,Clientes!$C$4:$C$39),Cadastros!$L$6:$L$12,Cadastros!$M$6:$M$12)," ")</f>
        <v xml:space="preserve"> </v>
      </c>
      <c r="R1181" s="28"/>
      <c r="S1181" s="28"/>
      <c r="T1181" s="255" t="str">
        <f>IF(R1181="","",(_xlfn.XLOOKUP(R1181,Cadastros!$D$6:$D$90,Cadastros!$E$6:$E$90))*(1-_xlfn.XLOOKUP(_xlfn.XLOOKUP($F1181,Clientes!$B$4:$B$39,Clientes!$C$4:$C$39),Cadastros!$L$6:$L$12,Cadastros!$N$6:$N$12)))</f>
        <v/>
      </c>
      <c r="U1181" s="168" t="str">
        <f t="shared" si="237"/>
        <v/>
      </c>
      <c r="V1181" s="168" t="str">
        <f>IFERROR(U1181/_xlfn.XLOOKUP(_xlfn.XLOOKUP($F1181,Clientes!$B$4:$B$39,Clientes!$C$4:$C$39),Cadastros!$L$6:$L$12,Cadastros!$M$6:$M$12)," ")</f>
        <v xml:space="preserve"> </v>
      </c>
      <c r="W1181" s="28"/>
      <c r="X1181" s="28"/>
      <c r="Y1181" s="255" t="str">
        <f>IF(W1181="","",(_xlfn.XLOOKUP(W1181,Cadastros!$D$6:$D$90,Cadastros!$E$6:$E$90))*(1-_xlfn.XLOOKUP(_xlfn.XLOOKUP($F1181,Clientes!$B$4:$B$39,Clientes!$C$4:$C$39),Cadastros!$L$6:$L$12,Cadastros!$N$6:$N$12)))</f>
        <v/>
      </c>
      <c r="Z1181" s="168" t="str">
        <f t="shared" si="238"/>
        <v/>
      </c>
      <c r="AA1181" s="168" t="str">
        <f>IFERROR(Z1181/_xlfn.XLOOKUP(_xlfn.XLOOKUP($F1181,Clientes!$B$4:$B$39,Clientes!$C$4:$C$39),Cadastros!$L$6:$L$12,Cadastros!$M$6:$M$12)," ")</f>
        <v xml:space="preserve"> </v>
      </c>
      <c r="AB1181" s="28"/>
      <c r="AC1181" s="28"/>
      <c r="AD1181" s="20" t="str">
        <f>IF(AB1181="","",IF($F1181="Bernardino Furlan",_xlfn.XLOOKUP(AB1181,Cadastros!$G$6:$G$90,Cadastros!$H$6:$H$90)*(1-0.18),IF($F1181="Mauro José Salanti",_xlfn.XLOOKUP(AB1181,Cadastros!$G$6:$G$90,Cadastros!$H$6:$H$90)*(1-0.18),_xlfn.XLOOKUP(AB1181,Cadastros!$G$6:$G$90,Cadastros!$H$6:$H$90))))</f>
        <v/>
      </c>
      <c r="AE1181" s="168" t="str">
        <f t="shared" si="239"/>
        <v/>
      </c>
      <c r="AF1181" s="168" t="str">
        <f t="shared" si="240"/>
        <v/>
      </c>
      <c r="AG1181" s="28"/>
      <c r="AH1181" s="28"/>
      <c r="AI1181" s="20" t="str">
        <f>IF(AG1181="","",IF($F1181="Bernardino Furlan",_xlfn.XLOOKUP(AG1181,Cadastros!$G$6:$G$90,Cadastros!$H$6:$H$90)*(1-0.18),IF($F1181="Mauro José Salanti",_xlfn.XLOOKUP(AG1181,Cadastros!$G$6:$G$90,Cadastros!$H$6:$H$90)*(1-0.18),_xlfn.XLOOKUP(AG1181,Cadastros!$G$6:$G$90,Cadastros!$H$6:$H$90))))</f>
        <v/>
      </c>
      <c r="AJ1181" s="168" t="str">
        <f t="shared" si="241"/>
        <v/>
      </c>
      <c r="AK1181" s="168" t="str">
        <f t="shared" si="242"/>
        <v/>
      </c>
      <c r="AL1181" s="28"/>
      <c r="AM1181" s="28"/>
      <c r="AN1181" s="20" t="str">
        <f>IF(AL1181="","",IF($F1181="Bernardino Furlan",_xlfn.XLOOKUP(AL1181,Cadastros!$G$6:$G$90,Cadastros!$H$6:$H$90)*(1-0.18),IF($F1181="Mauro José Salanti",_xlfn.XLOOKUP(AL1181,Cadastros!$G$6:$G$90,Cadastros!$H$6:$H$90)*(1-0.18),_xlfn.XLOOKUP(AL1181,Cadastros!$G$6:$G$90,Cadastros!$H$6:$H$90))))</f>
        <v/>
      </c>
      <c r="AO1181" s="168" t="str">
        <f t="shared" si="243"/>
        <v/>
      </c>
      <c r="AP1181" s="168" t="str">
        <f t="shared" si="244"/>
        <v/>
      </c>
      <c r="AQ1181" s="28"/>
      <c r="AR1181" s="28"/>
      <c r="AS1181" s="20" t="str">
        <f>IF(AQ1181="","",IF($F1181="Bernardino Furlan",_xlfn.XLOOKUP(AQ1181,Cadastros!$G$6:$G$90,Cadastros!$H$6:$H$90)*(1-0.18),IF($F1181="Mauro José Salanti",_xlfn.XLOOKUP(AQ1181,Cadastros!$G$6:$G$90,Cadastros!$H$6:$H$90)*(1-0.18),_xlfn.XLOOKUP(AQ1181,Cadastros!$G$6:$G$90,Cadastros!$H$6:$H$90))))</f>
        <v/>
      </c>
      <c r="AT1181" s="168" t="str">
        <f t="shared" si="245"/>
        <v/>
      </c>
      <c r="AU1181" s="168" t="str">
        <f t="shared" si="246"/>
        <v/>
      </c>
      <c r="AV1181" s="227"/>
      <c r="AW1181" s="30"/>
      <c r="AX1181" s="267"/>
      <c r="AY1181" s="267"/>
      <c r="AZ1181" s="29"/>
      <c r="BA1181" s="30"/>
      <c r="BB1181" s="23" t="str" cm="1">
        <f t="array" ref="BB1181">_xlfn.IFS(AW1181="SIM",SUM(K1181,P1181,U1181,Z1181,AE1181,AJ1181,AO1181,AT1181,AX1181,AY1181),F1181&lt;&gt;"",SUM(K1181,P1181,U1181,Z1181,AE1181,AJ1181,,AO1181,AT1181),F1181="","")</f>
        <v/>
      </c>
      <c r="BC1181" s="211" t="str" cm="1">
        <f t="array" ref="BC1181">_xlfn.IFS(E1181="","",G1181&lt;=E1181,BB1181*(1-0.03),G1181&lt;(E1181+8),BB1181,AZ1181="Boleto",BB1181*(1+0.001)^DATEDIF(E1181,G1181,"D"),AZ1181="Cheque",BB1181,AZ1181="Dinheiro","Alterar forma pgto")</f>
        <v/>
      </c>
      <c r="BD1181" s="276" t="str" cm="1">
        <f t="array" ref="BD1181">IF(F1181=0," ",IF(BC1181&lt;BB1181,(_xlfn.IFS(AW1181="SIM",SUM(L1181,Q1181,V1181,AA1181,AF1181,AK1181,AP1181,AU1181)+AX1181/_xlfn.XLOOKUP(_xlfn.XLOOKUP($F1181,Clientes!$B$4:$B$39,Clientes!$C$4:$C$39),Cadastros!$L$6:$L$12,Cadastros!$M$6:$M$12)+IF($F1181="Bernardino Furlan",AY1181/2751.92,IF($F1181="Mauro José Salanti",AY1181/2751.92,AY1181/3356)),F1181&lt;&gt;0,SUM(L1181,Q1181,V1181,AA1181,AF1181,AK1181,AP1181,AU1181)))*(1-0.03),_xlfn.IFS(AW1181="SIM",SUM(L1181,Q1181,V1181,AA1181,AF1181,AK1181,AP1181,AU1181)+AX1181/_xlfn.XLOOKUP(_xlfn.XLOOKUP($F1181,Clientes!$B$4:$B$39,Clientes!$C$4:$C$39),Cadastros!$L$6:$L$12,Cadastros!$M$6:$M$12)+IF($F1181="Bernardino Furlan",AY1181/2751.92,IF($F1181="Mauro José Salanti",AY1181/2751.92,AY1181/3356)),F1181&lt;&gt;0,SUM(L1181,Q1181,V1181,AA1181,AF1181,AK1181,AP1181,AU1181))))</f>
        <v xml:space="preserve"> </v>
      </c>
      <c r="BE1181" s="120"/>
      <c r="BF1181" s="120"/>
      <c r="BG1181" s="120"/>
    </row>
    <row r="1182" spans="1:59" s="3" customFormat="1" x14ac:dyDescent="0.3">
      <c r="A1182" s="15" t="str">
        <f t="shared" si="234"/>
        <v/>
      </c>
      <c r="B1182" s="25"/>
      <c r="C1182" s="26"/>
      <c r="D1182" s="279"/>
      <c r="E1182" s="27"/>
      <c r="F1182" s="28"/>
      <c r="G1182" s="27"/>
      <c r="H1182" s="28"/>
      <c r="I1182" s="28"/>
      <c r="J1182" s="255" t="str">
        <f>IF(H1182="","",(_xlfn.XLOOKUP(H1182,Cadastros!$D$6:$D$90,Cadastros!$E$6:$E$90))*(1-_xlfn.XLOOKUP(_xlfn.XLOOKUP($F1182,Clientes!$B$4:$B$39,Clientes!$C$4:$C$39),Cadastros!$L$6:$L$12,Cadastros!$N$6:$N$12)))</f>
        <v/>
      </c>
      <c r="K1182" s="168" t="str">
        <f t="shared" si="235"/>
        <v/>
      </c>
      <c r="L1182" s="168" t="str">
        <f>IFERROR(K1182/_xlfn.XLOOKUP(_xlfn.XLOOKUP($F1182,Clientes!$B$4:$B$39,Clientes!$C$4:$C$39),Cadastros!$L$6:$L$12,Cadastros!$M$6:$M$12)," ")</f>
        <v xml:space="preserve"> </v>
      </c>
      <c r="M1182" s="28"/>
      <c r="N1182" s="28"/>
      <c r="O1182" s="255" t="str">
        <f>IF(M1182="","",(_xlfn.XLOOKUP(M1182,Cadastros!$D$6:$D$90,Cadastros!$E$6:$E$90))*(1-_xlfn.XLOOKUP(_xlfn.XLOOKUP($F1182,Clientes!$B$4:$B$39,Clientes!$C$4:$C$39),Cadastros!$L$6:$L$12,Cadastros!$N$6:$N$12)))</f>
        <v/>
      </c>
      <c r="P1182" s="168" t="str">
        <f t="shared" si="236"/>
        <v/>
      </c>
      <c r="Q1182" s="168" t="str">
        <f>IFERROR(P1182/_xlfn.XLOOKUP(_xlfn.XLOOKUP($F1182,Clientes!$B$4:$B$39,Clientes!$C$4:$C$39),Cadastros!$L$6:$L$12,Cadastros!$M$6:$M$12)," ")</f>
        <v xml:space="preserve"> </v>
      </c>
      <c r="R1182" s="28"/>
      <c r="S1182" s="28"/>
      <c r="T1182" s="255" t="str">
        <f>IF(R1182="","",(_xlfn.XLOOKUP(R1182,Cadastros!$D$6:$D$90,Cadastros!$E$6:$E$90))*(1-_xlfn.XLOOKUP(_xlfn.XLOOKUP($F1182,Clientes!$B$4:$B$39,Clientes!$C$4:$C$39),Cadastros!$L$6:$L$12,Cadastros!$N$6:$N$12)))</f>
        <v/>
      </c>
      <c r="U1182" s="168" t="str">
        <f t="shared" si="237"/>
        <v/>
      </c>
      <c r="V1182" s="168" t="str">
        <f>IFERROR(U1182/_xlfn.XLOOKUP(_xlfn.XLOOKUP($F1182,Clientes!$B$4:$B$39,Clientes!$C$4:$C$39),Cadastros!$L$6:$L$12,Cadastros!$M$6:$M$12)," ")</f>
        <v xml:space="preserve"> </v>
      </c>
      <c r="W1182" s="28"/>
      <c r="X1182" s="28"/>
      <c r="Y1182" s="255" t="str">
        <f>IF(W1182="","",(_xlfn.XLOOKUP(W1182,Cadastros!$D$6:$D$90,Cadastros!$E$6:$E$90))*(1-_xlfn.XLOOKUP(_xlfn.XLOOKUP($F1182,Clientes!$B$4:$B$39,Clientes!$C$4:$C$39),Cadastros!$L$6:$L$12,Cadastros!$N$6:$N$12)))</f>
        <v/>
      </c>
      <c r="Z1182" s="168" t="str">
        <f t="shared" si="238"/>
        <v/>
      </c>
      <c r="AA1182" s="168" t="str">
        <f>IFERROR(Z1182/_xlfn.XLOOKUP(_xlfn.XLOOKUP($F1182,Clientes!$B$4:$B$39,Clientes!$C$4:$C$39),Cadastros!$L$6:$L$12,Cadastros!$M$6:$M$12)," ")</f>
        <v xml:space="preserve"> </v>
      </c>
      <c r="AB1182" s="28"/>
      <c r="AC1182" s="28"/>
      <c r="AD1182" s="20" t="str">
        <f>IF(AB1182="","",IF($F1182="Bernardino Furlan",_xlfn.XLOOKUP(AB1182,Cadastros!$G$6:$G$90,Cadastros!$H$6:$H$90)*(1-0.18),IF($F1182="Mauro José Salanti",_xlfn.XLOOKUP(AB1182,Cadastros!$G$6:$G$90,Cadastros!$H$6:$H$90)*(1-0.18),_xlfn.XLOOKUP(AB1182,Cadastros!$G$6:$G$90,Cadastros!$H$6:$H$90))))</f>
        <v/>
      </c>
      <c r="AE1182" s="168" t="str">
        <f t="shared" si="239"/>
        <v/>
      </c>
      <c r="AF1182" s="168" t="str">
        <f t="shared" si="240"/>
        <v/>
      </c>
      <c r="AG1182" s="28"/>
      <c r="AH1182" s="28"/>
      <c r="AI1182" s="20" t="str">
        <f>IF(AG1182="","",IF($F1182="Bernardino Furlan",_xlfn.XLOOKUP(AG1182,Cadastros!$G$6:$G$90,Cadastros!$H$6:$H$90)*(1-0.18),IF($F1182="Mauro José Salanti",_xlfn.XLOOKUP(AG1182,Cadastros!$G$6:$G$90,Cadastros!$H$6:$H$90)*(1-0.18),_xlfn.XLOOKUP(AG1182,Cadastros!$G$6:$G$90,Cadastros!$H$6:$H$90))))</f>
        <v/>
      </c>
      <c r="AJ1182" s="168" t="str">
        <f t="shared" si="241"/>
        <v/>
      </c>
      <c r="AK1182" s="168" t="str">
        <f t="shared" si="242"/>
        <v/>
      </c>
      <c r="AL1182" s="28"/>
      <c r="AM1182" s="28"/>
      <c r="AN1182" s="20" t="str">
        <f>IF(AL1182="","",IF($F1182="Bernardino Furlan",_xlfn.XLOOKUP(AL1182,Cadastros!$G$6:$G$90,Cadastros!$H$6:$H$90)*(1-0.18),IF($F1182="Mauro José Salanti",_xlfn.XLOOKUP(AL1182,Cadastros!$G$6:$G$90,Cadastros!$H$6:$H$90)*(1-0.18),_xlfn.XLOOKUP(AL1182,Cadastros!$G$6:$G$90,Cadastros!$H$6:$H$90))))</f>
        <v/>
      </c>
      <c r="AO1182" s="168" t="str">
        <f t="shared" si="243"/>
        <v/>
      </c>
      <c r="AP1182" s="168" t="str">
        <f t="shared" si="244"/>
        <v/>
      </c>
      <c r="AQ1182" s="28"/>
      <c r="AR1182" s="28"/>
      <c r="AS1182" s="20" t="str">
        <f>IF(AQ1182="","",IF($F1182="Bernardino Furlan",_xlfn.XLOOKUP(AQ1182,Cadastros!$G$6:$G$90,Cadastros!$H$6:$H$90)*(1-0.18),IF($F1182="Mauro José Salanti",_xlfn.XLOOKUP(AQ1182,Cadastros!$G$6:$G$90,Cadastros!$H$6:$H$90)*(1-0.18),_xlfn.XLOOKUP(AQ1182,Cadastros!$G$6:$G$90,Cadastros!$H$6:$H$90))))</f>
        <v/>
      </c>
      <c r="AT1182" s="168" t="str">
        <f t="shared" si="245"/>
        <v/>
      </c>
      <c r="AU1182" s="168" t="str">
        <f t="shared" si="246"/>
        <v/>
      </c>
      <c r="AV1182" s="227"/>
      <c r="AW1182" s="30"/>
      <c r="AX1182" s="267"/>
      <c r="AY1182" s="267"/>
      <c r="AZ1182" s="29"/>
      <c r="BA1182" s="30"/>
      <c r="BB1182" s="23" t="str" cm="1">
        <f t="array" ref="BB1182">_xlfn.IFS(AW1182="SIM",SUM(K1182,P1182,U1182,Z1182,AE1182,AJ1182,AO1182,AT1182,AX1182,AY1182),F1182&lt;&gt;"",SUM(K1182,P1182,U1182,Z1182,AE1182,AJ1182,,AO1182,AT1182),F1182="","")</f>
        <v/>
      </c>
      <c r="BC1182" s="211" t="str" cm="1">
        <f t="array" ref="BC1182">_xlfn.IFS(E1182="","",G1182&lt;=E1182,BB1182*(1-0.03),G1182&lt;(E1182+8),BB1182,AZ1182="Boleto",BB1182*(1+0.001)^DATEDIF(E1182,G1182,"D"),AZ1182="Cheque",BB1182,AZ1182="Dinheiro","Alterar forma pgto")</f>
        <v/>
      </c>
      <c r="BD1182" s="276" t="str" cm="1">
        <f t="array" ref="BD1182">IF(F1182=0," ",IF(BC1182&lt;BB1182,(_xlfn.IFS(AW1182="SIM",SUM(L1182,Q1182,V1182,AA1182,AF1182,AK1182,AP1182,AU1182)+AX1182/_xlfn.XLOOKUP(_xlfn.XLOOKUP($F1182,Clientes!$B$4:$B$39,Clientes!$C$4:$C$39),Cadastros!$L$6:$L$12,Cadastros!$M$6:$M$12)+IF($F1182="Bernardino Furlan",AY1182/2751.92,IF($F1182="Mauro José Salanti",AY1182/2751.92,AY1182/3356)),F1182&lt;&gt;0,SUM(L1182,Q1182,V1182,AA1182,AF1182,AK1182,AP1182,AU1182)))*(1-0.03),_xlfn.IFS(AW1182="SIM",SUM(L1182,Q1182,V1182,AA1182,AF1182,AK1182,AP1182,AU1182)+AX1182/_xlfn.XLOOKUP(_xlfn.XLOOKUP($F1182,Clientes!$B$4:$B$39,Clientes!$C$4:$C$39),Cadastros!$L$6:$L$12,Cadastros!$M$6:$M$12)+IF($F1182="Bernardino Furlan",AY1182/2751.92,IF($F1182="Mauro José Salanti",AY1182/2751.92,AY1182/3356)),F1182&lt;&gt;0,SUM(L1182,Q1182,V1182,AA1182,AF1182,AK1182,AP1182,AU1182))))</f>
        <v xml:space="preserve"> </v>
      </c>
      <c r="BE1182" s="120"/>
      <c r="BF1182" s="120"/>
      <c r="BG1182" s="120"/>
    </row>
    <row r="1183" spans="1:59" s="3" customFormat="1" x14ac:dyDescent="0.3">
      <c r="A1183" s="15" t="str">
        <f t="shared" si="234"/>
        <v/>
      </c>
      <c r="B1183" s="25"/>
      <c r="C1183" s="26"/>
      <c r="D1183" s="279"/>
      <c r="E1183" s="27"/>
      <c r="F1183" s="28"/>
      <c r="G1183" s="27"/>
      <c r="H1183" s="28"/>
      <c r="I1183" s="28"/>
      <c r="J1183" s="255" t="str">
        <f>IF(H1183="","",(_xlfn.XLOOKUP(H1183,Cadastros!$D$6:$D$90,Cadastros!$E$6:$E$90))*(1-_xlfn.XLOOKUP(_xlfn.XLOOKUP($F1183,Clientes!$B$4:$B$39,Clientes!$C$4:$C$39),Cadastros!$L$6:$L$12,Cadastros!$N$6:$N$12)))</f>
        <v/>
      </c>
      <c r="K1183" s="168" t="str">
        <f t="shared" si="235"/>
        <v/>
      </c>
      <c r="L1183" s="168" t="str">
        <f>IFERROR(K1183/_xlfn.XLOOKUP(_xlfn.XLOOKUP($F1183,Clientes!$B$4:$B$39,Clientes!$C$4:$C$39),Cadastros!$L$6:$L$12,Cadastros!$M$6:$M$12)," ")</f>
        <v xml:space="preserve"> </v>
      </c>
      <c r="M1183" s="28"/>
      <c r="N1183" s="28"/>
      <c r="O1183" s="255" t="str">
        <f>IF(M1183="","",(_xlfn.XLOOKUP(M1183,Cadastros!$D$6:$D$90,Cadastros!$E$6:$E$90))*(1-_xlfn.XLOOKUP(_xlfn.XLOOKUP($F1183,Clientes!$B$4:$B$39,Clientes!$C$4:$C$39),Cadastros!$L$6:$L$12,Cadastros!$N$6:$N$12)))</f>
        <v/>
      </c>
      <c r="P1183" s="168" t="str">
        <f t="shared" si="236"/>
        <v/>
      </c>
      <c r="Q1183" s="168" t="str">
        <f>IFERROR(P1183/_xlfn.XLOOKUP(_xlfn.XLOOKUP($F1183,Clientes!$B$4:$B$39,Clientes!$C$4:$C$39),Cadastros!$L$6:$L$12,Cadastros!$M$6:$M$12)," ")</f>
        <v xml:space="preserve"> </v>
      </c>
      <c r="R1183" s="28"/>
      <c r="S1183" s="28"/>
      <c r="T1183" s="255" t="str">
        <f>IF(R1183="","",(_xlfn.XLOOKUP(R1183,Cadastros!$D$6:$D$90,Cadastros!$E$6:$E$90))*(1-_xlfn.XLOOKUP(_xlfn.XLOOKUP($F1183,Clientes!$B$4:$B$39,Clientes!$C$4:$C$39),Cadastros!$L$6:$L$12,Cadastros!$N$6:$N$12)))</f>
        <v/>
      </c>
      <c r="U1183" s="168" t="str">
        <f t="shared" si="237"/>
        <v/>
      </c>
      <c r="V1183" s="168" t="str">
        <f>IFERROR(U1183/_xlfn.XLOOKUP(_xlfn.XLOOKUP($F1183,Clientes!$B$4:$B$39,Clientes!$C$4:$C$39),Cadastros!$L$6:$L$12,Cadastros!$M$6:$M$12)," ")</f>
        <v xml:space="preserve"> </v>
      </c>
      <c r="W1183" s="28"/>
      <c r="X1183" s="28"/>
      <c r="Y1183" s="255" t="str">
        <f>IF(W1183="","",(_xlfn.XLOOKUP(W1183,Cadastros!$D$6:$D$90,Cadastros!$E$6:$E$90))*(1-_xlfn.XLOOKUP(_xlfn.XLOOKUP($F1183,Clientes!$B$4:$B$39,Clientes!$C$4:$C$39),Cadastros!$L$6:$L$12,Cadastros!$N$6:$N$12)))</f>
        <v/>
      </c>
      <c r="Z1183" s="168" t="str">
        <f t="shared" si="238"/>
        <v/>
      </c>
      <c r="AA1183" s="168" t="str">
        <f>IFERROR(Z1183/_xlfn.XLOOKUP(_xlfn.XLOOKUP($F1183,Clientes!$B$4:$B$39,Clientes!$C$4:$C$39),Cadastros!$L$6:$L$12,Cadastros!$M$6:$M$12)," ")</f>
        <v xml:space="preserve"> </v>
      </c>
      <c r="AB1183" s="28"/>
      <c r="AC1183" s="28"/>
      <c r="AD1183" s="20" t="str">
        <f>IF(AB1183="","",IF($F1183="Bernardino Furlan",_xlfn.XLOOKUP(AB1183,Cadastros!$G$6:$G$90,Cadastros!$H$6:$H$90)*(1-0.18),IF($F1183="Mauro José Salanti",_xlfn.XLOOKUP(AB1183,Cadastros!$G$6:$G$90,Cadastros!$H$6:$H$90)*(1-0.18),_xlfn.XLOOKUP(AB1183,Cadastros!$G$6:$G$90,Cadastros!$H$6:$H$90))))</f>
        <v/>
      </c>
      <c r="AE1183" s="168" t="str">
        <f t="shared" si="239"/>
        <v/>
      </c>
      <c r="AF1183" s="168" t="str">
        <f t="shared" si="240"/>
        <v/>
      </c>
      <c r="AG1183" s="28"/>
      <c r="AH1183" s="28"/>
      <c r="AI1183" s="20" t="str">
        <f>IF(AG1183="","",IF($F1183="Bernardino Furlan",_xlfn.XLOOKUP(AG1183,Cadastros!$G$6:$G$90,Cadastros!$H$6:$H$90)*(1-0.18),IF($F1183="Mauro José Salanti",_xlfn.XLOOKUP(AG1183,Cadastros!$G$6:$G$90,Cadastros!$H$6:$H$90)*(1-0.18),_xlfn.XLOOKUP(AG1183,Cadastros!$G$6:$G$90,Cadastros!$H$6:$H$90))))</f>
        <v/>
      </c>
      <c r="AJ1183" s="168" t="str">
        <f t="shared" si="241"/>
        <v/>
      </c>
      <c r="AK1183" s="168" t="str">
        <f t="shared" si="242"/>
        <v/>
      </c>
      <c r="AL1183" s="28"/>
      <c r="AM1183" s="28"/>
      <c r="AN1183" s="20" t="str">
        <f>IF(AL1183="","",IF($F1183="Bernardino Furlan",_xlfn.XLOOKUP(AL1183,Cadastros!$G$6:$G$90,Cadastros!$H$6:$H$90)*(1-0.18),IF($F1183="Mauro José Salanti",_xlfn.XLOOKUP(AL1183,Cadastros!$G$6:$G$90,Cadastros!$H$6:$H$90)*(1-0.18),_xlfn.XLOOKUP(AL1183,Cadastros!$G$6:$G$90,Cadastros!$H$6:$H$90))))</f>
        <v/>
      </c>
      <c r="AO1183" s="168" t="str">
        <f t="shared" si="243"/>
        <v/>
      </c>
      <c r="AP1183" s="168" t="str">
        <f t="shared" si="244"/>
        <v/>
      </c>
      <c r="AQ1183" s="28"/>
      <c r="AR1183" s="28"/>
      <c r="AS1183" s="20" t="str">
        <f>IF(AQ1183="","",IF($F1183="Bernardino Furlan",_xlfn.XLOOKUP(AQ1183,Cadastros!$G$6:$G$90,Cadastros!$H$6:$H$90)*(1-0.18),IF($F1183="Mauro José Salanti",_xlfn.XLOOKUP(AQ1183,Cadastros!$G$6:$G$90,Cadastros!$H$6:$H$90)*(1-0.18),_xlfn.XLOOKUP(AQ1183,Cadastros!$G$6:$G$90,Cadastros!$H$6:$H$90))))</f>
        <v/>
      </c>
      <c r="AT1183" s="168" t="str">
        <f t="shared" si="245"/>
        <v/>
      </c>
      <c r="AU1183" s="168" t="str">
        <f t="shared" si="246"/>
        <v/>
      </c>
      <c r="AV1183" s="227"/>
      <c r="AW1183" s="30"/>
      <c r="AX1183" s="267"/>
      <c r="AY1183" s="267"/>
      <c r="AZ1183" s="29"/>
      <c r="BA1183" s="30"/>
      <c r="BB1183" s="23" t="str" cm="1">
        <f t="array" ref="BB1183">_xlfn.IFS(AW1183="SIM",SUM(K1183,P1183,U1183,Z1183,AE1183,AJ1183,AO1183,AT1183,AX1183,AY1183),F1183&lt;&gt;"",SUM(K1183,P1183,U1183,Z1183,AE1183,AJ1183,,AO1183,AT1183),F1183="","")</f>
        <v/>
      </c>
      <c r="BC1183" s="211" t="str" cm="1">
        <f t="array" ref="BC1183">_xlfn.IFS(E1183="","",G1183&lt;=E1183,BB1183*(1-0.03),G1183&lt;(E1183+8),BB1183,AZ1183="Boleto",BB1183*(1+0.001)^DATEDIF(E1183,G1183,"D"),AZ1183="Cheque",BB1183,AZ1183="Dinheiro","Alterar forma pgto")</f>
        <v/>
      </c>
      <c r="BD1183" s="276" t="str" cm="1">
        <f t="array" ref="BD1183">IF(F1183=0," ",IF(BC1183&lt;BB1183,(_xlfn.IFS(AW1183="SIM",SUM(L1183,Q1183,V1183,AA1183,AF1183,AK1183,AP1183,AU1183)+AX1183/_xlfn.XLOOKUP(_xlfn.XLOOKUP($F1183,Clientes!$B$4:$B$39,Clientes!$C$4:$C$39),Cadastros!$L$6:$L$12,Cadastros!$M$6:$M$12)+IF($F1183="Bernardino Furlan",AY1183/2751.92,IF($F1183="Mauro José Salanti",AY1183/2751.92,AY1183/3356)),F1183&lt;&gt;0,SUM(L1183,Q1183,V1183,AA1183,AF1183,AK1183,AP1183,AU1183)))*(1-0.03),_xlfn.IFS(AW1183="SIM",SUM(L1183,Q1183,V1183,AA1183,AF1183,AK1183,AP1183,AU1183)+AX1183/_xlfn.XLOOKUP(_xlfn.XLOOKUP($F1183,Clientes!$B$4:$B$39,Clientes!$C$4:$C$39),Cadastros!$L$6:$L$12,Cadastros!$M$6:$M$12)+IF($F1183="Bernardino Furlan",AY1183/2751.92,IF($F1183="Mauro José Salanti",AY1183/2751.92,AY1183/3356)),F1183&lt;&gt;0,SUM(L1183,Q1183,V1183,AA1183,AF1183,AK1183,AP1183,AU1183))))</f>
        <v xml:space="preserve"> </v>
      </c>
      <c r="BE1183" s="120"/>
      <c r="BF1183" s="120"/>
      <c r="BG1183" s="120"/>
    </row>
    <row r="1184" spans="1:59" s="3" customFormat="1" x14ac:dyDescent="0.3">
      <c r="A1184" s="15" t="str">
        <f t="shared" si="234"/>
        <v/>
      </c>
      <c r="B1184" s="25"/>
      <c r="C1184" s="26"/>
      <c r="D1184" s="279"/>
      <c r="E1184" s="27"/>
      <c r="F1184" s="28"/>
      <c r="G1184" s="27"/>
      <c r="H1184" s="28"/>
      <c r="I1184" s="28"/>
      <c r="J1184" s="255" t="str">
        <f>IF(H1184="","",(_xlfn.XLOOKUP(H1184,Cadastros!$D$6:$D$90,Cadastros!$E$6:$E$90))*(1-_xlfn.XLOOKUP(_xlfn.XLOOKUP($F1184,Clientes!$B$4:$B$39,Clientes!$C$4:$C$39),Cadastros!$L$6:$L$12,Cadastros!$N$6:$N$12)))</f>
        <v/>
      </c>
      <c r="K1184" s="168" t="str">
        <f t="shared" si="235"/>
        <v/>
      </c>
      <c r="L1184" s="168" t="str">
        <f>IFERROR(K1184/_xlfn.XLOOKUP(_xlfn.XLOOKUP($F1184,Clientes!$B$4:$B$39,Clientes!$C$4:$C$39),Cadastros!$L$6:$L$12,Cadastros!$M$6:$M$12)," ")</f>
        <v xml:space="preserve"> </v>
      </c>
      <c r="M1184" s="28"/>
      <c r="N1184" s="28"/>
      <c r="O1184" s="255" t="str">
        <f>IF(M1184="","",(_xlfn.XLOOKUP(M1184,Cadastros!$D$6:$D$90,Cadastros!$E$6:$E$90))*(1-_xlfn.XLOOKUP(_xlfn.XLOOKUP($F1184,Clientes!$B$4:$B$39,Clientes!$C$4:$C$39),Cadastros!$L$6:$L$12,Cadastros!$N$6:$N$12)))</f>
        <v/>
      </c>
      <c r="P1184" s="168" t="str">
        <f t="shared" si="236"/>
        <v/>
      </c>
      <c r="Q1184" s="168" t="str">
        <f>IFERROR(P1184/_xlfn.XLOOKUP(_xlfn.XLOOKUP($F1184,Clientes!$B$4:$B$39,Clientes!$C$4:$C$39),Cadastros!$L$6:$L$12,Cadastros!$M$6:$M$12)," ")</f>
        <v xml:space="preserve"> </v>
      </c>
      <c r="R1184" s="28"/>
      <c r="S1184" s="28"/>
      <c r="T1184" s="255" t="str">
        <f>IF(R1184="","",(_xlfn.XLOOKUP(R1184,Cadastros!$D$6:$D$90,Cadastros!$E$6:$E$90))*(1-_xlfn.XLOOKUP(_xlfn.XLOOKUP($F1184,Clientes!$B$4:$B$39,Clientes!$C$4:$C$39),Cadastros!$L$6:$L$12,Cadastros!$N$6:$N$12)))</f>
        <v/>
      </c>
      <c r="U1184" s="168" t="str">
        <f t="shared" si="237"/>
        <v/>
      </c>
      <c r="V1184" s="168" t="str">
        <f>IFERROR(U1184/_xlfn.XLOOKUP(_xlfn.XLOOKUP($F1184,Clientes!$B$4:$B$39,Clientes!$C$4:$C$39),Cadastros!$L$6:$L$12,Cadastros!$M$6:$M$12)," ")</f>
        <v xml:space="preserve"> </v>
      </c>
      <c r="W1184" s="28"/>
      <c r="X1184" s="28"/>
      <c r="Y1184" s="255" t="str">
        <f>IF(W1184="","",(_xlfn.XLOOKUP(W1184,Cadastros!$D$6:$D$90,Cadastros!$E$6:$E$90))*(1-_xlfn.XLOOKUP(_xlfn.XLOOKUP($F1184,Clientes!$B$4:$B$39,Clientes!$C$4:$C$39),Cadastros!$L$6:$L$12,Cadastros!$N$6:$N$12)))</f>
        <v/>
      </c>
      <c r="Z1184" s="168" t="str">
        <f t="shared" si="238"/>
        <v/>
      </c>
      <c r="AA1184" s="168" t="str">
        <f>IFERROR(Z1184/_xlfn.XLOOKUP(_xlfn.XLOOKUP($F1184,Clientes!$B$4:$B$39,Clientes!$C$4:$C$39),Cadastros!$L$6:$L$12,Cadastros!$M$6:$M$12)," ")</f>
        <v xml:space="preserve"> </v>
      </c>
      <c r="AB1184" s="28"/>
      <c r="AC1184" s="28"/>
      <c r="AD1184" s="20" t="str">
        <f>IF(AB1184="","",IF($F1184="Bernardino Furlan",_xlfn.XLOOKUP(AB1184,Cadastros!$G$6:$G$90,Cadastros!$H$6:$H$90)*(1-0.18),IF($F1184="Mauro José Salanti",_xlfn.XLOOKUP(AB1184,Cadastros!$G$6:$G$90,Cadastros!$H$6:$H$90)*(1-0.18),_xlfn.XLOOKUP(AB1184,Cadastros!$G$6:$G$90,Cadastros!$H$6:$H$90))))</f>
        <v/>
      </c>
      <c r="AE1184" s="168" t="str">
        <f t="shared" si="239"/>
        <v/>
      </c>
      <c r="AF1184" s="168" t="str">
        <f t="shared" si="240"/>
        <v/>
      </c>
      <c r="AG1184" s="28"/>
      <c r="AH1184" s="28"/>
      <c r="AI1184" s="20" t="str">
        <f>IF(AG1184="","",IF($F1184="Bernardino Furlan",_xlfn.XLOOKUP(AG1184,Cadastros!$G$6:$G$90,Cadastros!$H$6:$H$90)*(1-0.18),IF($F1184="Mauro José Salanti",_xlfn.XLOOKUP(AG1184,Cadastros!$G$6:$G$90,Cadastros!$H$6:$H$90)*(1-0.18),_xlfn.XLOOKUP(AG1184,Cadastros!$G$6:$G$90,Cadastros!$H$6:$H$90))))</f>
        <v/>
      </c>
      <c r="AJ1184" s="168" t="str">
        <f t="shared" si="241"/>
        <v/>
      </c>
      <c r="AK1184" s="168" t="str">
        <f t="shared" si="242"/>
        <v/>
      </c>
      <c r="AL1184" s="28"/>
      <c r="AM1184" s="28"/>
      <c r="AN1184" s="20" t="str">
        <f>IF(AL1184="","",IF($F1184="Bernardino Furlan",_xlfn.XLOOKUP(AL1184,Cadastros!$G$6:$G$90,Cadastros!$H$6:$H$90)*(1-0.18),IF($F1184="Mauro José Salanti",_xlfn.XLOOKUP(AL1184,Cadastros!$G$6:$G$90,Cadastros!$H$6:$H$90)*(1-0.18),_xlfn.XLOOKUP(AL1184,Cadastros!$G$6:$G$90,Cadastros!$H$6:$H$90))))</f>
        <v/>
      </c>
      <c r="AO1184" s="168" t="str">
        <f t="shared" si="243"/>
        <v/>
      </c>
      <c r="AP1184" s="168" t="str">
        <f t="shared" si="244"/>
        <v/>
      </c>
      <c r="AQ1184" s="28"/>
      <c r="AR1184" s="28"/>
      <c r="AS1184" s="20" t="str">
        <f>IF(AQ1184="","",IF($F1184="Bernardino Furlan",_xlfn.XLOOKUP(AQ1184,Cadastros!$G$6:$G$90,Cadastros!$H$6:$H$90)*(1-0.18),IF($F1184="Mauro José Salanti",_xlfn.XLOOKUP(AQ1184,Cadastros!$G$6:$G$90,Cadastros!$H$6:$H$90)*(1-0.18),_xlfn.XLOOKUP(AQ1184,Cadastros!$G$6:$G$90,Cadastros!$H$6:$H$90))))</f>
        <v/>
      </c>
      <c r="AT1184" s="168" t="str">
        <f t="shared" si="245"/>
        <v/>
      </c>
      <c r="AU1184" s="168" t="str">
        <f t="shared" si="246"/>
        <v/>
      </c>
      <c r="AV1184" s="227"/>
      <c r="AW1184" s="30"/>
      <c r="AX1184" s="267"/>
      <c r="AY1184" s="267"/>
      <c r="AZ1184" s="29"/>
      <c r="BA1184" s="30"/>
      <c r="BB1184" s="23" t="str" cm="1">
        <f t="array" ref="BB1184">_xlfn.IFS(AW1184="SIM",SUM(K1184,P1184,U1184,Z1184,AE1184,AJ1184,AO1184,AT1184,AX1184,AY1184),F1184&lt;&gt;"",SUM(K1184,P1184,U1184,Z1184,AE1184,AJ1184,,AO1184,AT1184),F1184="","")</f>
        <v/>
      </c>
      <c r="BC1184" s="211" t="str" cm="1">
        <f t="array" ref="BC1184">_xlfn.IFS(E1184="","",G1184&lt;=E1184,BB1184*(1-0.03),G1184&lt;(E1184+8),BB1184,AZ1184="Boleto",BB1184*(1+0.001)^DATEDIF(E1184,G1184,"D"),AZ1184="Cheque",BB1184,AZ1184="Dinheiro","Alterar forma pgto")</f>
        <v/>
      </c>
      <c r="BD1184" s="276" t="str" cm="1">
        <f t="array" ref="BD1184">IF(F1184=0," ",IF(BC1184&lt;BB1184,(_xlfn.IFS(AW1184="SIM",SUM(L1184,Q1184,V1184,AA1184,AF1184,AK1184,AP1184,AU1184)+AX1184/_xlfn.XLOOKUP(_xlfn.XLOOKUP($F1184,Clientes!$B$4:$B$39,Clientes!$C$4:$C$39),Cadastros!$L$6:$L$12,Cadastros!$M$6:$M$12)+IF($F1184="Bernardino Furlan",AY1184/2751.92,IF($F1184="Mauro José Salanti",AY1184/2751.92,AY1184/3356)),F1184&lt;&gt;0,SUM(L1184,Q1184,V1184,AA1184,AF1184,AK1184,AP1184,AU1184)))*(1-0.03),_xlfn.IFS(AW1184="SIM",SUM(L1184,Q1184,V1184,AA1184,AF1184,AK1184,AP1184,AU1184)+AX1184/_xlfn.XLOOKUP(_xlfn.XLOOKUP($F1184,Clientes!$B$4:$B$39,Clientes!$C$4:$C$39),Cadastros!$L$6:$L$12,Cadastros!$M$6:$M$12)+IF($F1184="Bernardino Furlan",AY1184/2751.92,IF($F1184="Mauro José Salanti",AY1184/2751.92,AY1184/3356)),F1184&lt;&gt;0,SUM(L1184,Q1184,V1184,AA1184,AF1184,AK1184,AP1184,AU1184))))</f>
        <v xml:space="preserve"> </v>
      </c>
      <c r="BE1184" s="120"/>
      <c r="BF1184" s="120"/>
      <c r="BG1184" s="120"/>
    </row>
    <row r="1185" spans="1:59" s="3" customFormat="1" x14ac:dyDescent="0.3">
      <c r="A1185" s="15" t="str">
        <f t="shared" si="234"/>
        <v/>
      </c>
      <c r="B1185" s="25"/>
      <c r="C1185" s="26"/>
      <c r="D1185" s="279"/>
      <c r="E1185" s="27"/>
      <c r="F1185" s="28"/>
      <c r="G1185" s="27"/>
      <c r="H1185" s="28"/>
      <c r="I1185" s="28"/>
      <c r="J1185" s="255" t="str">
        <f>IF(H1185="","",(_xlfn.XLOOKUP(H1185,Cadastros!$D$6:$D$90,Cadastros!$E$6:$E$90))*(1-_xlfn.XLOOKUP(_xlfn.XLOOKUP($F1185,Clientes!$B$4:$B$39,Clientes!$C$4:$C$39),Cadastros!$L$6:$L$12,Cadastros!$N$6:$N$12)))</f>
        <v/>
      </c>
      <c r="K1185" s="168" t="str">
        <f t="shared" si="235"/>
        <v/>
      </c>
      <c r="L1185" s="168" t="str">
        <f>IFERROR(K1185/_xlfn.XLOOKUP(_xlfn.XLOOKUP($F1185,Clientes!$B$4:$B$39,Clientes!$C$4:$C$39),Cadastros!$L$6:$L$12,Cadastros!$M$6:$M$12)," ")</f>
        <v xml:space="preserve"> </v>
      </c>
      <c r="M1185" s="28"/>
      <c r="N1185" s="28"/>
      <c r="O1185" s="255" t="str">
        <f>IF(M1185="","",(_xlfn.XLOOKUP(M1185,Cadastros!$D$6:$D$90,Cadastros!$E$6:$E$90))*(1-_xlfn.XLOOKUP(_xlfn.XLOOKUP($F1185,Clientes!$B$4:$B$39,Clientes!$C$4:$C$39),Cadastros!$L$6:$L$12,Cadastros!$N$6:$N$12)))</f>
        <v/>
      </c>
      <c r="P1185" s="168" t="str">
        <f t="shared" si="236"/>
        <v/>
      </c>
      <c r="Q1185" s="168" t="str">
        <f>IFERROR(P1185/_xlfn.XLOOKUP(_xlfn.XLOOKUP($F1185,Clientes!$B$4:$B$39,Clientes!$C$4:$C$39),Cadastros!$L$6:$L$12,Cadastros!$M$6:$M$12)," ")</f>
        <v xml:space="preserve"> </v>
      </c>
      <c r="R1185" s="28"/>
      <c r="S1185" s="28"/>
      <c r="T1185" s="255" t="str">
        <f>IF(R1185="","",(_xlfn.XLOOKUP(R1185,Cadastros!$D$6:$D$90,Cadastros!$E$6:$E$90))*(1-_xlfn.XLOOKUP(_xlfn.XLOOKUP($F1185,Clientes!$B$4:$B$39,Clientes!$C$4:$C$39),Cadastros!$L$6:$L$12,Cadastros!$N$6:$N$12)))</f>
        <v/>
      </c>
      <c r="U1185" s="168" t="str">
        <f t="shared" si="237"/>
        <v/>
      </c>
      <c r="V1185" s="168" t="str">
        <f>IFERROR(U1185/_xlfn.XLOOKUP(_xlfn.XLOOKUP($F1185,Clientes!$B$4:$B$39,Clientes!$C$4:$C$39),Cadastros!$L$6:$L$12,Cadastros!$M$6:$M$12)," ")</f>
        <v xml:space="preserve"> </v>
      </c>
      <c r="W1185" s="28"/>
      <c r="X1185" s="28"/>
      <c r="Y1185" s="255" t="str">
        <f>IF(W1185="","",(_xlfn.XLOOKUP(W1185,Cadastros!$D$6:$D$90,Cadastros!$E$6:$E$90))*(1-_xlfn.XLOOKUP(_xlfn.XLOOKUP($F1185,Clientes!$B$4:$B$39,Clientes!$C$4:$C$39),Cadastros!$L$6:$L$12,Cadastros!$N$6:$N$12)))</f>
        <v/>
      </c>
      <c r="Z1185" s="168" t="str">
        <f t="shared" si="238"/>
        <v/>
      </c>
      <c r="AA1185" s="168" t="str">
        <f>IFERROR(Z1185/_xlfn.XLOOKUP(_xlfn.XLOOKUP($F1185,Clientes!$B$4:$B$39,Clientes!$C$4:$C$39),Cadastros!$L$6:$L$12,Cadastros!$M$6:$M$12)," ")</f>
        <v xml:space="preserve"> </v>
      </c>
      <c r="AB1185" s="28"/>
      <c r="AC1185" s="28"/>
      <c r="AD1185" s="20" t="str">
        <f>IF(AB1185="","",IF($F1185="Bernardino Furlan",_xlfn.XLOOKUP(AB1185,Cadastros!$G$6:$G$90,Cadastros!$H$6:$H$90)*(1-0.18),IF($F1185="Mauro José Salanti",_xlfn.XLOOKUP(AB1185,Cadastros!$G$6:$G$90,Cadastros!$H$6:$H$90)*(1-0.18),_xlfn.XLOOKUP(AB1185,Cadastros!$G$6:$G$90,Cadastros!$H$6:$H$90))))</f>
        <v/>
      </c>
      <c r="AE1185" s="168" t="str">
        <f t="shared" si="239"/>
        <v/>
      </c>
      <c r="AF1185" s="168" t="str">
        <f t="shared" si="240"/>
        <v/>
      </c>
      <c r="AG1185" s="28"/>
      <c r="AH1185" s="28"/>
      <c r="AI1185" s="20" t="str">
        <f>IF(AG1185="","",IF($F1185="Bernardino Furlan",_xlfn.XLOOKUP(AG1185,Cadastros!$G$6:$G$90,Cadastros!$H$6:$H$90)*(1-0.18),IF($F1185="Mauro José Salanti",_xlfn.XLOOKUP(AG1185,Cadastros!$G$6:$G$90,Cadastros!$H$6:$H$90)*(1-0.18),_xlfn.XLOOKUP(AG1185,Cadastros!$G$6:$G$90,Cadastros!$H$6:$H$90))))</f>
        <v/>
      </c>
      <c r="AJ1185" s="168" t="str">
        <f t="shared" si="241"/>
        <v/>
      </c>
      <c r="AK1185" s="168" t="str">
        <f t="shared" si="242"/>
        <v/>
      </c>
      <c r="AL1185" s="28"/>
      <c r="AM1185" s="28"/>
      <c r="AN1185" s="20" t="str">
        <f>IF(AL1185="","",IF($F1185="Bernardino Furlan",_xlfn.XLOOKUP(AL1185,Cadastros!$G$6:$G$90,Cadastros!$H$6:$H$90)*(1-0.18),IF($F1185="Mauro José Salanti",_xlfn.XLOOKUP(AL1185,Cadastros!$G$6:$G$90,Cadastros!$H$6:$H$90)*(1-0.18),_xlfn.XLOOKUP(AL1185,Cadastros!$G$6:$G$90,Cadastros!$H$6:$H$90))))</f>
        <v/>
      </c>
      <c r="AO1185" s="168" t="str">
        <f t="shared" si="243"/>
        <v/>
      </c>
      <c r="AP1185" s="168" t="str">
        <f t="shared" si="244"/>
        <v/>
      </c>
      <c r="AQ1185" s="28"/>
      <c r="AR1185" s="28"/>
      <c r="AS1185" s="20" t="str">
        <f>IF(AQ1185="","",IF($F1185="Bernardino Furlan",_xlfn.XLOOKUP(AQ1185,Cadastros!$G$6:$G$90,Cadastros!$H$6:$H$90)*(1-0.18),IF($F1185="Mauro José Salanti",_xlfn.XLOOKUP(AQ1185,Cadastros!$G$6:$G$90,Cadastros!$H$6:$H$90)*(1-0.18),_xlfn.XLOOKUP(AQ1185,Cadastros!$G$6:$G$90,Cadastros!$H$6:$H$90))))</f>
        <v/>
      </c>
      <c r="AT1185" s="168" t="str">
        <f t="shared" si="245"/>
        <v/>
      </c>
      <c r="AU1185" s="168" t="str">
        <f t="shared" si="246"/>
        <v/>
      </c>
      <c r="AV1185" s="227"/>
      <c r="AW1185" s="30"/>
      <c r="AX1185" s="267"/>
      <c r="AY1185" s="267"/>
      <c r="AZ1185" s="29"/>
      <c r="BA1185" s="30"/>
      <c r="BB1185" s="23" t="str" cm="1">
        <f t="array" ref="BB1185">_xlfn.IFS(AW1185="SIM",SUM(K1185,P1185,U1185,Z1185,AE1185,AJ1185,AO1185,AT1185,AX1185,AY1185),F1185&lt;&gt;"",SUM(K1185,P1185,U1185,Z1185,AE1185,AJ1185,,AO1185,AT1185),F1185="","")</f>
        <v/>
      </c>
      <c r="BC1185" s="211" t="str" cm="1">
        <f t="array" ref="BC1185">_xlfn.IFS(E1185="","",G1185&lt;=E1185,BB1185*(1-0.03),G1185&lt;(E1185+8),BB1185,AZ1185="Boleto",BB1185*(1+0.001)^DATEDIF(E1185,G1185,"D"),AZ1185="Cheque",BB1185,AZ1185="Dinheiro","Alterar forma pgto")</f>
        <v/>
      </c>
      <c r="BD1185" s="276" t="str" cm="1">
        <f t="array" ref="BD1185">IF(F1185=0," ",IF(BC1185&lt;BB1185,(_xlfn.IFS(AW1185="SIM",SUM(L1185,Q1185,V1185,AA1185,AF1185,AK1185,AP1185,AU1185)+AX1185/_xlfn.XLOOKUP(_xlfn.XLOOKUP($F1185,Clientes!$B$4:$B$39,Clientes!$C$4:$C$39),Cadastros!$L$6:$L$12,Cadastros!$M$6:$M$12)+IF($F1185="Bernardino Furlan",AY1185/2751.92,IF($F1185="Mauro José Salanti",AY1185/2751.92,AY1185/3356)),F1185&lt;&gt;0,SUM(L1185,Q1185,V1185,AA1185,AF1185,AK1185,AP1185,AU1185)))*(1-0.03),_xlfn.IFS(AW1185="SIM",SUM(L1185,Q1185,V1185,AA1185,AF1185,AK1185,AP1185,AU1185)+AX1185/_xlfn.XLOOKUP(_xlfn.XLOOKUP($F1185,Clientes!$B$4:$B$39,Clientes!$C$4:$C$39),Cadastros!$L$6:$L$12,Cadastros!$M$6:$M$12)+IF($F1185="Bernardino Furlan",AY1185/2751.92,IF($F1185="Mauro José Salanti",AY1185/2751.92,AY1185/3356)),F1185&lt;&gt;0,SUM(L1185,Q1185,V1185,AA1185,AF1185,AK1185,AP1185,AU1185))))</f>
        <v xml:space="preserve"> </v>
      </c>
      <c r="BE1185" s="120"/>
      <c r="BF1185" s="120"/>
      <c r="BG1185" s="120"/>
    </row>
    <row r="1186" spans="1:59" s="3" customFormat="1" x14ac:dyDescent="0.3">
      <c r="A1186" s="15" t="str">
        <f t="shared" si="234"/>
        <v/>
      </c>
      <c r="B1186" s="25"/>
      <c r="C1186" s="26"/>
      <c r="D1186" s="279"/>
      <c r="E1186" s="27"/>
      <c r="F1186" s="28"/>
      <c r="G1186" s="27"/>
      <c r="H1186" s="28"/>
      <c r="I1186" s="28"/>
      <c r="J1186" s="255" t="str">
        <f>IF(H1186="","",(_xlfn.XLOOKUP(H1186,Cadastros!$D$6:$D$90,Cadastros!$E$6:$E$90))*(1-_xlfn.XLOOKUP(_xlfn.XLOOKUP($F1186,Clientes!$B$4:$B$39,Clientes!$C$4:$C$39),Cadastros!$L$6:$L$12,Cadastros!$N$6:$N$12)))</f>
        <v/>
      </c>
      <c r="K1186" s="168" t="str">
        <f t="shared" si="235"/>
        <v/>
      </c>
      <c r="L1186" s="168" t="str">
        <f>IFERROR(K1186/_xlfn.XLOOKUP(_xlfn.XLOOKUP($F1186,Clientes!$B$4:$B$39,Clientes!$C$4:$C$39),Cadastros!$L$6:$L$12,Cadastros!$M$6:$M$12)," ")</f>
        <v xml:space="preserve"> </v>
      </c>
      <c r="M1186" s="28"/>
      <c r="N1186" s="28"/>
      <c r="O1186" s="255" t="str">
        <f>IF(M1186="","",(_xlfn.XLOOKUP(M1186,Cadastros!$D$6:$D$90,Cadastros!$E$6:$E$90))*(1-_xlfn.XLOOKUP(_xlfn.XLOOKUP($F1186,Clientes!$B$4:$B$39,Clientes!$C$4:$C$39),Cadastros!$L$6:$L$12,Cadastros!$N$6:$N$12)))</f>
        <v/>
      </c>
      <c r="P1186" s="168" t="str">
        <f t="shared" si="236"/>
        <v/>
      </c>
      <c r="Q1186" s="168" t="str">
        <f>IFERROR(P1186/_xlfn.XLOOKUP(_xlfn.XLOOKUP($F1186,Clientes!$B$4:$B$39,Clientes!$C$4:$C$39),Cadastros!$L$6:$L$12,Cadastros!$M$6:$M$12)," ")</f>
        <v xml:space="preserve"> </v>
      </c>
      <c r="R1186" s="28"/>
      <c r="S1186" s="28"/>
      <c r="T1186" s="255" t="str">
        <f>IF(R1186="","",(_xlfn.XLOOKUP(R1186,Cadastros!$D$6:$D$90,Cadastros!$E$6:$E$90))*(1-_xlfn.XLOOKUP(_xlfn.XLOOKUP($F1186,Clientes!$B$4:$B$39,Clientes!$C$4:$C$39),Cadastros!$L$6:$L$12,Cadastros!$N$6:$N$12)))</f>
        <v/>
      </c>
      <c r="U1186" s="168" t="str">
        <f t="shared" si="237"/>
        <v/>
      </c>
      <c r="V1186" s="168" t="str">
        <f>IFERROR(U1186/_xlfn.XLOOKUP(_xlfn.XLOOKUP($F1186,Clientes!$B$4:$B$39,Clientes!$C$4:$C$39),Cadastros!$L$6:$L$12,Cadastros!$M$6:$M$12)," ")</f>
        <v xml:space="preserve"> </v>
      </c>
      <c r="W1186" s="28"/>
      <c r="X1186" s="28"/>
      <c r="Y1186" s="255" t="str">
        <f>IF(W1186="","",(_xlfn.XLOOKUP(W1186,Cadastros!$D$6:$D$90,Cadastros!$E$6:$E$90))*(1-_xlfn.XLOOKUP(_xlfn.XLOOKUP($F1186,Clientes!$B$4:$B$39,Clientes!$C$4:$C$39),Cadastros!$L$6:$L$12,Cadastros!$N$6:$N$12)))</f>
        <v/>
      </c>
      <c r="Z1186" s="168" t="str">
        <f t="shared" si="238"/>
        <v/>
      </c>
      <c r="AA1186" s="168" t="str">
        <f>IFERROR(Z1186/_xlfn.XLOOKUP(_xlfn.XLOOKUP($F1186,Clientes!$B$4:$B$39,Clientes!$C$4:$C$39),Cadastros!$L$6:$L$12,Cadastros!$M$6:$M$12)," ")</f>
        <v xml:space="preserve"> </v>
      </c>
      <c r="AB1186" s="28"/>
      <c r="AC1186" s="28"/>
      <c r="AD1186" s="20" t="str">
        <f>IF(AB1186="","",IF($F1186="Bernardino Furlan",_xlfn.XLOOKUP(AB1186,Cadastros!$G$6:$G$90,Cadastros!$H$6:$H$90)*(1-0.18),IF($F1186="Mauro José Salanti",_xlfn.XLOOKUP(AB1186,Cadastros!$G$6:$G$90,Cadastros!$H$6:$H$90)*(1-0.18),_xlfn.XLOOKUP(AB1186,Cadastros!$G$6:$G$90,Cadastros!$H$6:$H$90))))</f>
        <v/>
      </c>
      <c r="AE1186" s="168" t="str">
        <f t="shared" si="239"/>
        <v/>
      </c>
      <c r="AF1186" s="168" t="str">
        <f t="shared" si="240"/>
        <v/>
      </c>
      <c r="AG1186" s="28"/>
      <c r="AH1186" s="28"/>
      <c r="AI1186" s="20" t="str">
        <f>IF(AG1186="","",IF($F1186="Bernardino Furlan",_xlfn.XLOOKUP(AG1186,Cadastros!$G$6:$G$90,Cadastros!$H$6:$H$90)*(1-0.18),IF($F1186="Mauro José Salanti",_xlfn.XLOOKUP(AG1186,Cadastros!$G$6:$G$90,Cadastros!$H$6:$H$90)*(1-0.18),_xlfn.XLOOKUP(AG1186,Cadastros!$G$6:$G$90,Cadastros!$H$6:$H$90))))</f>
        <v/>
      </c>
      <c r="AJ1186" s="168" t="str">
        <f t="shared" si="241"/>
        <v/>
      </c>
      <c r="AK1186" s="168" t="str">
        <f t="shared" si="242"/>
        <v/>
      </c>
      <c r="AL1186" s="28"/>
      <c r="AM1186" s="28"/>
      <c r="AN1186" s="20" t="str">
        <f>IF(AL1186="","",IF($F1186="Bernardino Furlan",_xlfn.XLOOKUP(AL1186,Cadastros!$G$6:$G$90,Cadastros!$H$6:$H$90)*(1-0.18),IF($F1186="Mauro José Salanti",_xlfn.XLOOKUP(AL1186,Cadastros!$G$6:$G$90,Cadastros!$H$6:$H$90)*(1-0.18),_xlfn.XLOOKUP(AL1186,Cadastros!$G$6:$G$90,Cadastros!$H$6:$H$90))))</f>
        <v/>
      </c>
      <c r="AO1186" s="168" t="str">
        <f t="shared" si="243"/>
        <v/>
      </c>
      <c r="AP1186" s="168" t="str">
        <f t="shared" si="244"/>
        <v/>
      </c>
      <c r="AQ1186" s="28"/>
      <c r="AR1186" s="28"/>
      <c r="AS1186" s="20" t="str">
        <f>IF(AQ1186="","",IF($F1186="Bernardino Furlan",_xlfn.XLOOKUP(AQ1186,Cadastros!$G$6:$G$90,Cadastros!$H$6:$H$90)*(1-0.18),IF($F1186="Mauro José Salanti",_xlfn.XLOOKUP(AQ1186,Cadastros!$G$6:$G$90,Cadastros!$H$6:$H$90)*(1-0.18),_xlfn.XLOOKUP(AQ1186,Cadastros!$G$6:$G$90,Cadastros!$H$6:$H$90))))</f>
        <v/>
      </c>
      <c r="AT1186" s="168" t="str">
        <f t="shared" si="245"/>
        <v/>
      </c>
      <c r="AU1186" s="168" t="str">
        <f t="shared" si="246"/>
        <v/>
      </c>
      <c r="AV1186" s="227"/>
      <c r="AW1186" s="30"/>
      <c r="AX1186" s="267"/>
      <c r="AY1186" s="267"/>
      <c r="AZ1186" s="29"/>
      <c r="BA1186" s="30"/>
      <c r="BB1186" s="23" t="str" cm="1">
        <f t="array" ref="BB1186">_xlfn.IFS(AW1186="SIM",SUM(K1186,P1186,U1186,Z1186,AE1186,AJ1186,AO1186,AT1186,AX1186,AY1186),F1186&lt;&gt;"",SUM(K1186,P1186,U1186,Z1186,AE1186,AJ1186,,AO1186,AT1186),F1186="","")</f>
        <v/>
      </c>
      <c r="BC1186" s="211" t="str" cm="1">
        <f t="array" ref="BC1186">_xlfn.IFS(E1186="","",G1186&lt;=E1186,BB1186*(1-0.03),G1186&lt;(E1186+8),BB1186,AZ1186="Boleto",BB1186*(1+0.001)^DATEDIF(E1186,G1186,"D"),AZ1186="Cheque",BB1186,AZ1186="Dinheiro","Alterar forma pgto")</f>
        <v/>
      </c>
      <c r="BD1186" s="276" t="str" cm="1">
        <f t="array" ref="BD1186">IF(F1186=0," ",IF(BC1186&lt;BB1186,(_xlfn.IFS(AW1186="SIM",SUM(L1186,Q1186,V1186,AA1186,AF1186,AK1186,AP1186,AU1186)+AX1186/_xlfn.XLOOKUP(_xlfn.XLOOKUP($F1186,Clientes!$B$4:$B$39,Clientes!$C$4:$C$39),Cadastros!$L$6:$L$12,Cadastros!$M$6:$M$12)+IF($F1186="Bernardino Furlan",AY1186/2751.92,IF($F1186="Mauro José Salanti",AY1186/2751.92,AY1186/3356)),F1186&lt;&gt;0,SUM(L1186,Q1186,V1186,AA1186,AF1186,AK1186,AP1186,AU1186)))*(1-0.03),_xlfn.IFS(AW1186="SIM",SUM(L1186,Q1186,V1186,AA1186,AF1186,AK1186,AP1186,AU1186)+AX1186/_xlfn.XLOOKUP(_xlfn.XLOOKUP($F1186,Clientes!$B$4:$B$39,Clientes!$C$4:$C$39),Cadastros!$L$6:$L$12,Cadastros!$M$6:$M$12)+IF($F1186="Bernardino Furlan",AY1186/2751.92,IF($F1186="Mauro José Salanti",AY1186/2751.92,AY1186/3356)),F1186&lt;&gt;0,SUM(L1186,Q1186,V1186,AA1186,AF1186,AK1186,AP1186,AU1186))))</f>
        <v xml:space="preserve"> </v>
      </c>
      <c r="BE1186" s="120"/>
      <c r="BF1186" s="120"/>
      <c r="BG1186" s="120"/>
    </row>
    <row r="1187" spans="1:59" s="3" customFormat="1" x14ac:dyDescent="0.3">
      <c r="A1187" s="15" t="str">
        <f t="shared" si="234"/>
        <v/>
      </c>
      <c r="B1187" s="25"/>
      <c r="C1187" s="26"/>
      <c r="D1187" s="279"/>
      <c r="E1187" s="27"/>
      <c r="F1187" s="28"/>
      <c r="G1187" s="27"/>
      <c r="H1187" s="28"/>
      <c r="I1187" s="28"/>
      <c r="J1187" s="255" t="str">
        <f>IF(H1187="","",(_xlfn.XLOOKUP(H1187,Cadastros!$D$6:$D$90,Cadastros!$E$6:$E$90))*(1-_xlfn.XLOOKUP(_xlfn.XLOOKUP($F1187,Clientes!$B$4:$B$39,Clientes!$C$4:$C$39),Cadastros!$L$6:$L$12,Cadastros!$N$6:$N$12)))</f>
        <v/>
      </c>
      <c r="K1187" s="168" t="str">
        <f t="shared" si="235"/>
        <v/>
      </c>
      <c r="L1187" s="168" t="str">
        <f>IFERROR(K1187/_xlfn.XLOOKUP(_xlfn.XLOOKUP($F1187,Clientes!$B$4:$B$39,Clientes!$C$4:$C$39),Cadastros!$L$6:$L$12,Cadastros!$M$6:$M$12)," ")</f>
        <v xml:space="preserve"> </v>
      </c>
      <c r="M1187" s="28"/>
      <c r="N1187" s="28"/>
      <c r="O1187" s="255" t="str">
        <f>IF(M1187="","",(_xlfn.XLOOKUP(M1187,Cadastros!$D$6:$D$90,Cadastros!$E$6:$E$90))*(1-_xlfn.XLOOKUP(_xlfn.XLOOKUP($F1187,Clientes!$B$4:$B$39,Clientes!$C$4:$C$39),Cadastros!$L$6:$L$12,Cadastros!$N$6:$N$12)))</f>
        <v/>
      </c>
      <c r="P1187" s="168" t="str">
        <f t="shared" si="236"/>
        <v/>
      </c>
      <c r="Q1187" s="168" t="str">
        <f>IFERROR(P1187/_xlfn.XLOOKUP(_xlfn.XLOOKUP($F1187,Clientes!$B$4:$B$39,Clientes!$C$4:$C$39),Cadastros!$L$6:$L$12,Cadastros!$M$6:$M$12)," ")</f>
        <v xml:space="preserve"> </v>
      </c>
      <c r="R1187" s="28"/>
      <c r="S1187" s="28"/>
      <c r="T1187" s="255" t="str">
        <f>IF(R1187="","",(_xlfn.XLOOKUP(R1187,Cadastros!$D$6:$D$90,Cadastros!$E$6:$E$90))*(1-_xlfn.XLOOKUP(_xlfn.XLOOKUP($F1187,Clientes!$B$4:$B$39,Clientes!$C$4:$C$39),Cadastros!$L$6:$L$12,Cadastros!$N$6:$N$12)))</f>
        <v/>
      </c>
      <c r="U1187" s="168" t="str">
        <f t="shared" si="237"/>
        <v/>
      </c>
      <c r="V1187" s="168" t="str">
        <f>IFERROR(U1187/_xlfn.XLOOKUP(_xlfn.XLOOKUP($F1187,Clientes!$B$4:$B$39,Clientes!$C$4:$C$39),Cadastros!$L$6:$L$12,Cadastros!$M$6:$M$12)," ")</f>
        <v xml:space="preserve"> </v>
      </c>
      <c r="W1187" s="28"/>
      <c r="X1187" s="28"/>
      <c r="Y1187" s="255" t="str">
        <f>IF(W1187="","",(_xlfn.XLOOKUP(W1187,Cadastros!$D$6:$D$90,Cadastros!$E$6:$E$90))*(1-_xlfn.XLOOKUP(_xlfn.XLOOKUP($F1187,Clientes!$B$4:$B$39,Clientes!$C$4:$C$39),Cadastros!$L$6:$L$12,Cadastros!$N$6:$N$12)))</f>
        <v/>
      </c>
      <c r="Z1187" s="168" t="str">
        <f t="shared" si="238"/>
        <v/>
      </c>
      <c r="AA1187" s="168" t="str">
        <f>IFERROR(Z1187/_xlfn.XLOOKUP(_xlfn.XLOOKUP($F1187,Clientes!$B$4:$B$39,Clientes!$C$4:$C$39),Cadastros!$L$6:$L$12,Cadastros!$M$6:$M$12)," ")</f>
        <v xml:space="preserve"> </v>
      </c>
      <c r="AB1187" s="28"/>
      <c r="AC1187" s="28"/>
      <c r="AD1187" s="20" t="str">
        <f>IF(AB1187="","",IF($F1187="Bernardino Furlan",_xlfn.XLOOKUP(AB1187,Cadastros!$G$6:$G$90,Cadastros!$H$6:$H$90)*(1-0.18),IF($F1187="Mauro José Salanti",_xlfn.XLOOKUP(AB1187,Cadastros!$G$6:$G$90,Cadastros!$H$6:$H$90)*(1-0.18),_xlfn.XLOOKUP(AB1187,Cadastros!$G$6:$G$90,Cadastros!$H$6:$H$90))))</f>
        <v/>
      </c>
      <c r="AE1187" s="168" t="str">
        <f t="shared" si="239"/>
        <v/>
      </c>
      <c r="AF1187" s="168" t="str">
        <f t="shared" si="240"/>
        <v/>
      </c>
      <c r="AG1187" s="28"/>
      <c r="AH1187" s="28"/>
      <c r="AI1187" s="20" t="str">
        <f>IF(AG1187="","",IF($F1187="Bernardino Furlan",_xlfn.XLOOKUP(AG1187,Cadastros!$G$6:$G$90,Cadastros!$H$6:$H$90)*(1-0.18),IF($F1187="Mauro José Salanti",_xlfn.XLOOKUP(AG1187,Cadastros!$G$6:$G$90,Cadastros!$H$6:$H$90)*(1-0.18),_xlfn.XLOOKUP(AG1187,Cadastros!$G$6:$G$90,Cadastros!$H$6:$H$90))))</f>
        <v/>
      </c>
      <c r="AJ1187" s="168" t="str">
        <f t="shared" si="241"/>
        <v/>
      </c>
      <c r="AK1187" s="168" t="str">
        <f t="shared" si="242"/>
        <v/>
      </c>
      <c r="AL1187" s="28"/>
      <c r="AM1187" s="28"/>
      <c r="AN1187" s="20" t="str">
        <f>IF(AL1187="","",IF($F1187="Bernardino Furlan",_xlfn.XLOOKUP(AL1187,Cadastros!$G$6:$G$90,Cadastros!$H$6:$H$90)*(1-0.18),IF($F1187="Mauro José Salanti",_xlfn.XLOOKUP(AL1187,Cadastros!$G$6:$G$90,Cadastros!$H$6:$H$90)*(1-0.18),_xlfn.XLOOKUP(AL1187,Cadastros!$G$6:$G$90,Cadastros!$H$6:$H$90))))</f>
        <v/>
      </c>
      <c r="AO1187" s="168" t="str">
        <f t="shared" si="243"/>
        <v/>
      </c>
      <c r="AP1187" s="168" t="str">
        <f t="shared" si="244"/>
        <v/>
      </c>
      <c r="AQ1187" s="28"/>
      <c r="AR1187" s="28"/>
      <c r="AS1187" s="20" t="str">
        <f>IF(AQ1187="","",IF($F1187="Bernardino Furlan",_xlfn.XLOOKUP(AQ1187,Cadastros!$G$6:$G$90,Cadastros!$H$6:$H$90)*(1-0.18),IF($F1187="Mauro José Salanti",_xlfn.XLOOKUP(AQ1187,Cadastros!$G$6:$G$90,Cadastros!$H$6:$H$90)*(1-0.18),_xlfn.XLOOKUP(AQ1187,Cadastros!$G$6:$G$90,Cadastros!$H$6:$H$90))))</f>
        <v/>
      </c>
      <c r="AT1187" s="168" t="str">
        <f t="shared" si="245"/>
        <v/>
      </c>
      <c r="AU1187" s="168" t="str">
        <f t="shared" si="246"/>
        <v/>
      </c>
      <c r="AV1187" s="227"/>
      <c r="AW1187" s="30"/>
      <c r="AX1187" s="267"/>
      <c r="AY1187" s="267"/>
      <c r="AZ1187" s="29"/>
      <c r="BA1187" s="30"/>
      <c r="BB1187" s="23" t="str" cm="1">
        <f t="array" ref="BB1187">_xlfn.IFS(AW1187="SIM",SUM(K1187,P1187,U1187,Z1187,AE1187,AJ1187,AO1187,AT1187,AX1187,AY1187),F1187&lt;&gt;"",SUM(K1187,P1187,U1187,Z1187,AE1187,AJ1187,,AO1187,AT1187),F1187="","")</f>
        <v/>
      </c>
      <c r="BC1187" s="211" t="str" cm="1">
        <f t="array" ref="BC1187">_xlfn.IFS(E1187="","",G1187&lt;=E1187,BB1187*(1-0.03),G1187&lt;(E1187+8),BB1187,AZ1187="Boleto",BB1187*(1+0.001)^DATEDIF(E1187,G1187,"D"),AZ1187="Cheque",BB1187,AZ1187="Dinheiro","Alterar forma pgto")</f>
        <v/>
      </c>
      <c r="BD1187" s="276" t="str" cm="1">
        <f t="array" ref="BD1187">IF(F1187=0," ",IF(BC1187&lt;BB1187,(_xlfn.IFS(AW1187="SIM",SUM(L1187,Q1187,V1187,AA1187,AF1187,AK1187,AP1187,AU1187)+AX1187/_xlfn.XLOOKUP(_xlfn.XLOOKUP($F1187,Clientes!$B$4:$B$39,Clientes!$C$4:$C$39),Cadastros!$L$6:$L$12,Cadastros!$M$6:$M$12)+IF($F1187="Bernardino Furlan",AY1187/2751.92,IF($F1187="Mauro José Salanti",AY1187/2751.92,AY1187/3356)),F1187&lt;&gt;0,SUM(L1187,Q1187,V1187,AA1187,AF1187,AK1187,AP1187,AU1187)))*(1-0.03),_xlfn.IFS(AW1187="SIM",SUM(L1187,Q1187,V1187,AA1187,AF1187,AK1187,AP1187,AU1187)+AX1187/_xlfn.XLOOKUP(_xlfn.XLOOKUP($F1187,Clientes!$B$4:$B$39,Clientes!$C$4:$C$39),Cadastros!$L$6:$L$12,Cadastros!$M$6:$M$12)+IF($F1187="Bernardino Furlan",AY1187/2751.92,IF($F1187="Mauro José Salanti",AY1187/2751.92,AY1187/3356)),F1187&lt;&gt;0,SUM(L1187,Q1187,V1187,AA1187,AF1187,AK1187,AP1187,AU1187))))</f>
        <v xml:space="preserve"> </v>
      </c>
      <c r="BE1187" s="120"/>
      <c r="BF1187" s="120"/>
      <c r="BG1187" s="120"/>
    </row>
    <row r="1188" spans="1:59" s="3" customFormat="1" x14ac:dyDescent="0.3">
      <c r="A1188" s="15" t="str">
        <f t="shared" si="234"/>
        <v/>
      </c>
      <c r="B1188" s="25"/>
      <c r="C1188" s="26"/>
      <c r="D1188" s="279"/>
      <c r="E1188" s="27"/>
      <c r="F1188" s="28"/>
      <c r="G1188" s="27"/>
      <c r="H1188" s="28"/>
      <c r="I1188" s="28"/>
      <c r="J1188" s="255" t="str">
        <f>IF(H1188="","",(_xlfn.XLOOKUP(H1188,Cadastros!$D$6:$D$90,Cadastros!$E$6:$E$90))*(1-_xlfn.XLOOKUP(_xlfn.XLOOKUP($F1188,Clientes!$B$4:$B$39,Clientes!$C$4:$C$39),Cadastros!$L$6:$L$12,Cadastros!$N$6:$N$12)))</f>
        <v/>
      </c>
      <c r="K1188" s="168" t="str">
        <f t="shared" si="235"/>
        <v/>
      </c>
      <c r="L1188" s="168" t="str">
        <f>IFERROR(K1188/_xlfn.XLOOKUP(_xlfn.XLOOKUP($F1188,Clientes!$B$4:$B$39,Clientes!$C$4:$C$39),Cadastros!$L$6:$L$12,Cadastros!$M$6:$M$12)," ")</f>
        <v xml:space="preserve"> </v>
      </c>
      <c r="M1188" s="28"/>
      <c r="N1188" s="28"/>
      <c r="O1188" s="255" t="str">
        <f>IF(M1188="","",(_xlfn.XLOOKUP(M1188,Cadastros!$D$6:$D$90,Cadastros!$E$6:$E$90))*(1-_xlfn.XLOOKUP(_xlfn.XLOOKUP($F1188,Clientes!$B$4:$B$39,Clientes!$C$4:$C$39),Cadastros!$L$6:$L$12,Cadastros!$N$6:$N$12)))</f>
        <v/>
      </c>
      <c r="P1188" s="168" t="str">
        <f t="shared" si="236"/>
        <v/>
      </c>
      <c r="Q1188" s="168" t="str">
        <f>IFERROR(P1188/_xlfn.XLOOKUP(_xlfn.XLOOKUP($F1188,Clientes!$B$4:$B$39,Clientes!$C$4:$C$39),Cadastros!$L$6:$L$12,Cadastros!$M$6:$M$12)," ")</f>
        <v xml:space="preserve"> </v>
      </c>
      <c r="R1188" s="28"/>
      <c r="S1188" s="28"/>
      <c r="T1188" s="255" t="str">
        <f>IF(R1188="","",(_xlfn.XLOOKUP(R1188,Cadastros!$D$6:$D$90,Cadastros!$E$6:$E$90))*(1-_xlfn.XLOOKUP(_xlfn.XLOOKUP($F1188,Clientes!$B$4:$B$39,Clientes!$C$4:$C$39),Cadastros!$L$6:$L$12,Cadastros!$N$6:$N$12)))</f>
        <v/>
      </c>
      <c r="U1188" s="168" t="str">
        <f t="shared" si="237"/>
        <v/>
      </c>
      <c r="V1188" s="168" t="str">
        <f>IFERROR(U1188/_xlfn.XLOOKUP(_xlfn.XLOOKUP($F1188,Clientes!$B$4:$B$39,Clientes!$C$4:$C$39),Cadastros!$L$6:$L$12,Cadastros!$M$6:$M$12)," ")</f>
        <v xml:space="preserve"> </v>
      </c>
      <c r="W1188" s="28"/>
      <c r="X1188" s="28"/>
      <c r="Y1188" s="255" t="str">
        <f>IF(W1188="","",(_xlfn.XLOOKUP(W1188,Cadastros!$D$6:$D$90,Cadastros!$E$6:$E$90))*(1-_xlfn.XLOOKUP(_xlfn.XLOOKUP($F1188,Clientes!$B$4:$B$39,Clientes!$C$4:$C$39),Cadastros!$L$6:$L$12,Cadastros!$N$6:$N$12)))</f>
        <v/>
      </c>
      <c r="Z1188" s="168" t="str">
        <f t="shared" si="238"/>
        <v/>
      </c>
      <c r="AA1188" s="168" t="str">
        <f>IFERROR(Z1188/_xlfn.XLOOKUP(_xlfn.XLOOKUP($F1188,Clientes!$B$4:$B$39,Clientes!$C$4:$C$39),Cadastros!$L$6:$L$12,Cadastros!$M$6:$M$12)," ")</f>
        <v xml:space="preserve"> </v>
      </c>
      <c r="AB1188" s="28"/>
      <c r="AC1188" s="28"/>
      <c r="AD1188" s="20" t="str">
        <f>IF(AB1188="","",IF($F1188="Bernardino Furlan",_xlfn.XLOOKUP(AB1188,Cadastros!$G$6:$G$90,Cadastros!$H$6:$H$90)*(1-0.18),IF($F1188="Mauro José Salanti",_xlfn.XLOOKUP(AB1188,Cadastros!$G$6:$G$90,Cadastros!$H$6:$H$90)*(1-0.18),_xlfn.XLOOKUP(AB1188,Cadastros!$G$6:$G$90,Cadastros!$H$6:$H$90))))</f>
        <v/>
      </c>
      <c r="AE1188" s="168" t="str">
        <f t="shared" si="239"/>
        <v/>
      </c>
      <c r="AF1188" s="168" t="str">
        <f t="shared" si="240"/>
        <v/>
      </c>
      <c r="AG1188" s="28"/>
      <c r="AH1188" s="28"/>
      <c r="AI1188" s="20" t="str">
        <f>IF(AG1188="","",IF($F1188="Bernardino Furlan",_xlfn.XLOOKUP(AG1188,Cadastros!$G$6:$G$90,Cadastros!$H$6:$H$90)*(1-0.18),IF($F1188="Mauro José Salanti",_xlfn.XLOOKUP(AG1188,Cadastros!$G$6:$G$90,Cadastros!$H$6:$H$90)*(1-0.18),_xlfn.XLOOKUP(AG1188,Cadastros!$G$6:$G$90,Cadastros!$H$6:$H$90))))</f>
        <v/>
      </c>
      <c r="AJ1188" s="168" t="str">
        <f t="shared" si="241"/>
        <v/>
      </c>
      <c r="AK1188" s="168" t="str">
        <f t="shared" si="242"/>
        <v/>
      </c>
      <c r="AL1188" s="28"/>
      <c r="AM1188" s="28"/>
      <c r="AN1188" s="20" t="str">
        <f>IF(AL1188="","",IF($F1188="Bernardino Furlan",_xlfn.XLOOKUP(AL1188,Cadastros!$G$6:$G$90,Cadastros!$H$6:$H$90)*(1-0.18),IF($F1188="Mauro José Salanti",_xlfn.XLOOKUP(AL1188,Cadastros!$G$6:$G$90,Cadastros!$H$6:$H$90)*(1-0.18),_xlfn.XLOOKUP(AL1188,Cadastros!$G$6:$G$90,Cadastros!$H$6:$H$90))))</f>
        <v/>
      </c>
      <c r="AO1188" s="168" t="str">
        <f t="shared" si="243"/>
        <v/>
      </c>
      <c r="AP1188" s="168" t="str">
        <f t="shared" si="244"/>
        <v/>
      </c>
      <c r="AQ1188" s="28"/>
      <c r="AR1188" s="28"/>
      <c r="AS1188" s="20" t="str">
        <f>IF(AQ1188="","",IF($F1188="Bernardino Furlan",_xlfn.XLOOKUP(AQ1188,Cadastros!$G$6:$G$90,Cadastros!$H$6:$H$90)*(1-0.18),IF($F1188="Mauro José Salanti",_xlfn.XLOOKUP(AQ1188,Cadastros!$G$6:$G$90,Cadastros!$H$6:$H$90)*(1-0.18),_xlfn.XLOOKUP(AQ1188,Cadastros!$G$6:$G$90,Cadastros!$H$6:$H$90))))</f>
        <v/>
      </c>
      <c r="AT1188" s="168" t="str">
        <f t="shared" si="245"/>
        <v/>
      </c>
      <c r="AU1188" s="168" t="str">
        <f t="shared" si="246"/>
        <v/>
      </c>
      <c r="AV1188" s="227"/>
      <c r="AW1188" s="30"/>
      <c r="AX1188" s="267"/>
      <c r="AY1188" s="267"/>
      <c r="AZ1188" s="29"/>
      <c r="BA1188" s="30"/>
      <c r="BB1188" s="23" t="str" cm="1">
        <f t="array" ref="BB1188">_xlfn.IFS(AW1188="SIM",SUM(K1188,P1188,U1188,Z1188,AE1188,AJ1188,AO1188,AT1188,AX1188,AY1188),F1188&lt;&gt;"",SUM(K1188,P1188,U1188,Z1188,AE1188,AJ1188,,AO1188,AT1188),F1188="","")</f>
        <v/>
      </c>
      <c r="BC1188" s="211" t="str" cm="1">
        <f t="array" ref="BC1188">_xlfn.IFS(E1188="","",G1188&lt;=E1188,BB1188*(1-0.03),G1188&lt;(E1188+8),BB1188,AZ1188="Boleto",BB1188*(1+0.001)^DATEDIF(E1188,G1188,"D"),AZ1188="Cheque",BB1188,AZ1188="Dinheiro","Alterar forma pgto")</f>
        <v/>
      </c>
      <c r="BD1188" s="276" t="str" cm="1">
        <f t="array" ref="BD1188">IF(F1188=0," ",IF(BC1188&lt;BB1188,(_xlfn.IFS(AW1188="SIM",SUM(L1188,Q1188,V1188,AA1188,AF1188,AK1188,AP1188,AU1188)+AX1188/_xlfn.XLOOKUP(_xlfn.XLOOKUP($F1188,Clientes!$B$4:$B$39,Clientes!$C$4:$C$39),Cadastros!$L$6:$L$12,Cadastros!$M$6:$M$12)+IF($F1188="Bernardino Furlan",AY1188/2751.92,IF($F1188="Mauro José Salanti",AY1188/2751.92,AY1188/3356)),F1188&lt;&gt;0,SUM(L1188,Q1188,V1188,AA1188,AF1188,AK1188,AP1188,AU1188)))*(1-0.03),_xlfn.IFS(AW1188="SIM",SUM(L1188,Q1188,V1188,AA1188,AF1188,AK1188,AP1188,AU1188)+AX1188/_xlfn.XLOOKUP(_xlfn.XLOOKUP($F1188,Clientes!$B$4:$B$39,Clientes!$C$4:$C$39),Cadastros!$L$6:$L$12,Cadastros!$M$6:$M$12)+IF($F1188="Bernardino Furlan",AY1188/2751.92,IF($F1188="Mauro José Salanti",AY1188/2751.92,AY1188/3356)),F1188&lt;&gt;0,SUM(L1188,Q1188,V1188,AA1188,AF1188,AK1188,AP1188,AU1188))))</f>
        <v xml:space="preserve"> </v>
      </c>
      <c r="BE1188" s="120"/>
      <c r="BF1188" s="120"/>
      <c r="BG1188" s="120"/>
    </row>
    <row r="1189" spans="1:59" s="3" customFormat="1" x14ac:dyDescent="0.3">
      <c r="A1189" s="15" t="str">
        <f t="shared" si="234"/>
        <v/>
      </c>
      <c r="B1189" s="25"/>
      <c r="C1189" s="26"/>
      <c r="D1189" s="279"/>
      <c r="E1189" s="27"/>
      <c r="F1189" s="28"/>
      <c r="G1189" s="27"/>
      <c r="H1189" s="28"/>
      <c r="I1189" s="28"/>
      <c r="J1189" s="255" t="str">
        <f>IF(H1189="","",(_xlfn.XLOOKUP(H1189,Cadastros!$D$6:$D$90,Cadastros!$E$6:$E$90))*(1-_xlfn.XLOOKUP(_xlfn.XLOOKUP($F1189,Clientes!$B$4:$B$39,Clientes!$C$4:$C$39),Cadastros!$L$6:$L$12,Cadastros!$N$6:$N$12)))</f>
        <v/>
      </c>
      <c r="K1189" s="168" t="str">
        <f t="shared" si="235"/>
        <v/>
      </c>
      <c r="L1189" s="168" t="str">
        <f>IFERROR(K1189/_xlfn.XLOOKUP(_xlfn.XLOOKUP($F1189,Clientes!$B$4:$B$39,Clientes!$C$4:$C$39),Cadastros!$L$6:$L$12,Cadastros!$M$6:$M$12)," ")</f>
        <v xml:space="preserve"> </v>
      </c>
      <c r="M1189" s="28"/>
      <c r="N1189" s="28"/>
      <c r="O1189" s="255" t="str">
        <f>IF(M1189="","",(_xlfn.XLOOKUP(M1189,Cadastros!$D$6:$D$90,Cadastros!$E$6:$E$90))*(1-_xlfn.XLOOKUP(_xlfn.XLOOKUP($F1189,Clientes!$B$4:$B$39,Clientes!$C$4:$C$39),Cadastros!$L$6:$L$12,Cadastros!$N$6:$N$12)))</f>
        <v/>
      </c>
      <c r="P1189" s="168" t="str">
        <f t="shared" si="236"/>
        <v/>
      </c>
      <c r="Q1189" s="168" t="str">
        <f>IFERROR(P1189/_xlfn.XLOOKUP(_xlfn.XLOOKUP($F1189,Clientes!$B$4:$B$39,Clientes!$C$4:$C$39),Cadastros!$L$6:$L$12,Cadastros!$M$6:$M$12)," ")</f>
        <v xml:space="preserve"> </v>
      </c>
      <c r="R1189" s="28"/>
      <c r="S1189" s="28"/>
      <c r="T1189" s="255" t="str">
        <f>IF(R1189="","",(_xlfn.XLOOKUP(R1189,Cadastros!$D$6:$D$90,Cadastros!$E$6:$E$90))*(1-_xlfn.XLOOKUP(_xlfn.XLOOKUP($F1189,Clientes!$B$4:$B$39,Clientes!$C$4:$C$39),Cadastros!$L$6:$L$12,Cadastros!$N$6:$N$12)))</f>
        <v/>
      </c>
      <c r="U1189" s="168" t="str">
        <f t="shared" si="237"/>
        <v/>
      </c>
      <c r="V1189" s="168" t="str">
        <f>IFERROR(U1189/_xlfn.XLOOKUP(_xlfn.XLOOKUP($F1189,Clientes!$B$4:$B$39,Clientes!$C$4:$C$39),Cadastros!$L$6:$L$12,Cadastros!$M$6:$M$12)," ")</f>
        <v xml:space="preserve"> </v>
      </c>
      <c r="W1189" s="28"/>
      <c r="X1189" s="28"/>
      <c r="Y1189" s="255" t="str">
        <f>IF(W1189="","",(_xlfn.XLOOKUP(W1189,Cadastros!$D$6:$D$90,Cadastros!$E$6:$E$90))*(1-_xlfn.XLOOKUP(_xlfn.XLOOKUP($F1189,Clientes!$B$4:$B$39,Clientes!$C$4:$C$39),Cadastros!$L$6:$L$12,Cadastros!$N$6:$N$12)))</f>
        <v/>
      </c>
      <c r="Z1189" s="168" t="str">
        <f t="shared" si="238"/>
        <v/>
      </c>
      <c r="AA1189" s="168" t="str">
        <f>IFERROR(Z1189/_xlfn.XLOOKUP(_xlfn.XLOOKUP($F1189,Clientes!$B$4:$B$39,Clientes!$C$4:$C$39),Cadastros!$L$6:$L$12,Cadastros!$M$6:$M$12)," ")</f>
        <v xml:space="preserve"> </v>
      </c>
      <c r="AB1189" s="28"/>
      <c r="AC1189" s="28"/>
      <c r="AD1189" s="20" t="str">
        <f>IF(AB1189="","",IF($F1189="Bernardino Furlan",_xlfn.XLOOKUP(AB1189,Cadastros!$G$6:$G$90,Cadastros!$H$6:$H$90)*(1-0.18),IF($F1189="Mauro José Salanti",_xlfn.XLOOKUP(AB1189,Cadastros!$G$6:$G$90,Cadastros!$H$6:$H$90)*(1-0.18),_xlfn.XLOOKUP(AB1189,Cadastros!$G$6:$G$90,Cadastros!$H$6:$H$90))))</f>
        <v/>
      </c>
      <c r="AE1189" s="168" t="str">
        <f t="shared" si="239"/>
        <v/>
      </c>
      <c r="AF1189" s="168" t="str">
        <f t="shared" si="240"/>
        <v/>
      </c>
      <c r="AG1189" s="28"/>
      <c r="AH1189" s="28"/>
      <c r="AI1189" s="20" t="str">
        <f>IF(AG1189="","",IF($F1189="Bernardino Furlan",_xlfn.XLOOKUP(AG1189,Cadastros!$G$6:$G$90,Cadastros!$H$6:$H$90)*(1-0.18),IF($F1189="Mauro José Salanti",_xlfn.XLOOKUP(AG1189,Cadastros!$G$6:$G$90,Cadastros!$H$6:$H$90)*(1-0.18),_xlfn.XLOOKUP(AG1189,Cadastros!$G$6:$G$90,Cadastros!$H$6:$H$90))))</f>
        <v/>
      </c>
      <c r="AJ1189" s="168" t="str">
        <f t="shared" si="241"/>
        <v/>
      </c>
      <c r="AK1189" s="168" t="str">
        <f t="shared" si="242"/>
        <v/>
      </c>
      <c r="AL1189" s="28"/>
      <c r="AM1189" s="28"/>
      <c r="AN1189" s="20" t="str">
        <f>IF(AL1189="","",IF($F1189="Bernardino Furlan",_xlfn.XLOOKUP(AL1189,Cadastros!$G$6:$G$90,Cadastros!$H$6:$H$90)*(1-0.18),IF($F1189="Mauro José Salanti",_xlfn.XLOOKUP(AL1189,Cadastros!$G$6:$G$90,Cadastros!$H$6:$H$90)*(1-0.18),_xlfn.XLOOKUP(AL1189,Cadastros!$G$6:$G$90,Cadastros!$H$6:$H$90))))</f>
        <v/>
      </c>
      <c r="AO1189" s="168" t="str">
        <f t="shared" si="243"/>
        <v/>
      </c>
      <c r="AP1189" s="168" t="str">
        <f t="shared" si="244"/>
        <v/>
      </c>
      <c r="AQ1189" s="28"/>
      <c r="AR1189" s="28"/>
      <c r="AS1189" s="20" t="str">
        <f>IF(AQ1189="","",IF($F1189="Bernardino Furlan",_xlfn.XLOOKUP(AQ1189,Cadastros!$G$6:$G$90,Cadastros!$H$6:$H$90)*(1-0.18),IF($F1189="Mauro José Salanti",_xlfn.XLOOKUP(AQ1189,Cadastros!$G$6:$G$90,Cadastros!$H$6:$H$90)*(1-0.18),_xlfn.XLOOKUP(AQ1189,Cadastros!$G$6:$G$90,Cadastros!$H$6:$H$90))))</f>
        <v/>
      </c>
      <c r="AT1189" s="168" t="str">
        <f t="shared" si="245"/>
        <v/>
      </c>
      <c r="AU1189" s="168" t="str">
        <f t="shared" si="246"/>
        <v/>
      </c>
      <c r="AV1189" s="227"/>
      <c r="AW1189" s="30"/>
      <c r="AX1189" s="267"/>
      <c r="AY1189" s="267"/>
      <c r="AZ1189" s="29"/>
      <c r="BA1189" s="30"/>
      <c r="BB1189" s="23" t="str" cm="1">
        <f t="array" ref="BB1189">_xlfn.IFS(AW1189="SIM",SUM(K1189,P1189,U1189,Z1189,AE1189,AJ1189,AO1189,AT1189,AX1189,AY1189),F1189&lt;&gt;"",SUM(K1189,P1189,U1189,Z1189,AE1189,AJ1189,,AO1189,AT1189),F1189="","")</f>
        <v/>
      </c>
      <c r="BC1189" s="211" t="str" cm="1">
        <f t="array" ref="BC1189">_xlfn.IFS(E1189="","",G1189&lt;=E1189,BB1189*(1-0.03),G1189&lt;(E1189+8),BB1189,AZ1189="Boleto",BB1189*(1+0.001)^DATEDIF(E1189,G1189,"D"),AZ1189="Cheque",BB1189,AZ1189="Dinheiro","Alterar forma pgto")</f>
        <v/>
      </c>
      <c r="BD1189" s="276" t="str" cm="1">
        <f t="array" ref="BD1189">IF(F1189=0," ",IF(BC1189&lt;BB1189,(_xlfn.IFS(AW1189="SIM",SUM(L1189,Q1189,V1189,AA1189,AF1189,AK1189,AP1189,AU1189)+AX1189/_xlfn.XLOOKUP(_xlfn.XLOOKUP($F1189,Clientes!$B$4:$B$39,Clientes!$C$4:$C$39),Cadastros!$L$6:$L$12,Cadastros!$M$6:$M$12)+IF($F1189="Bernardino Furlan",AY1189/2751.92,IF($F1189="Mauro José Salanti",AY1189/2751.92,AY1189/3356)),F1189&lt;&gt;0,SUM(L1189,Q1189,V1189,AA1189,AF1189,AK1189,AP1189,AU1189)))*(1-0.03),_xlfn.IFS(AW1189="SIM",SUM(L1189,Q1189,V1189,AA1189,AF1189,AK1189,AP1189,AU1189)+AX1189/_xlfn.XLOOKUP(_xlfn.XLOOKUP($F1189,Clientes!$B$4:$B$39,Clientes!$C$4:$C$39),Cadastros!$L$6:$L$12,Cadastros!$M$6:$M$12)+IF($F1189="Bernardino Furlan",AY1189/2751.92,IF($F1189="Mauro José Salanti",AY1189/2751.92,AY1189/3356)),F1189&lt;&gt;0,SUM(L1189,Q1189,V1189,AA1189,AF1189,AK1189,AP1189,AU1189))))</f>
        <v xml:space="preserve"> </v>
      </c>
      <c r="BE1189" s="120"/>
      <c r="BF1189" s="120"/>
      <c r="BG1189" s="120"/>
    </row>
    <row r="1190" spans="1:59" s="3" customFormat="1" x14ac:dyDescent="0.3">
      <c r="A1190" s="15" t="str">
        <f t="shared" si="234"/>
        <v/>
      </c>
      <c r="B1190" s="25"/>
      <c r="C1190" s="26"/>
      <c r="D1190" s="279"/>
      <c r="E1190" s="27"/>
      <c r="F1190" s="28"/>
      <c r="G1190" s="27"/>
      <c r="H1190" s="28"/>
      <c r="I1190" s="28"/>
      <c r="J1190" s="255" t="str">
        <f>IF(H1190="","",(_xlfn.XLOOKUP(H1190,Cadastros!$D$6:$D$90,Cadastros!$E$6:$E$90))*(1-_xlfn.XLOOKUP(_xlfn.XLOOKUP($F1190,Clientes!$B$4:$B$39,Clientes!$C$4:$C$39),Cadastros!$L$6:$L$12,Cadastros!$N$6:$N$12)))</f>
        <v/>
      </c>
      <c r="K1190" s="168" t="str">
        <f t="shared" si="235"/>
        <v/>
      </c>
      <c r="L1190" s="168" t="str">
        <f>IFERROR(K1190/_xlfn.XLOOKUP(_xlfn.XLOOKUP($F1190,Clientes!$B$4:$B$39,Clientes!$C$4:$C$39),Cadastros!$L$6:$L$12,Cadastros!$M$6:$M$12)," ")</f>
        <v xml:space="preserve"> </v>
      </c>
      <c r="M1190" s="28"/>
      <c r="N1190" s="28"/>
      <c r="O1190" s="255" t="str">
        <f>IF(M1190="","",(_xlfn.XLOOKUP(M1190,Cadastros!$D$6:$D$90,Cadastros!$E$6:$E$90))*(1-_xlfn.XLOOKUP(_xlfn.XLOOKUP($F1190,Clientes!$B$4:$B$39,Clientes!$C$4:$C$39),Cadastros!$L$6:$L$12,Cadastros!$N$6:$N$12)))</f>
        <v/>
      </c>
      <c r="P1190" s="168" t="str">
        <f t="shared" si="236"/>
        <v/>
      </c>
      <c r="Q1190" s="168" t="str">
        <f>IFERROR(P1190/_xlfn.XLOOKUP(_xlfn.XLOOKUP($F1190,Clientes!$B$4:$B$39,Clientes!$C$4:$C$39),Cadastros!$L$6:$L$12,Cadastros!$M$6:$M$12)," ")</f>
        <v xml:space="preserve"> </v>
      </c>
      <c r="R1190" s="28"/>
      <c r="S1190" s="28"/>
      <c r="T1190" s="255" t="str">
        <f>IF(R1190="","",(_xlfn.XLOOKUP(R1190,Cadastros!$D$6:$D$90,Cadastros!$E$6:$E$90))*(1-_xlfn.XLOOKUP(_xlfn.XLOOKUP($F1190,Clientes!$B$4:$B$39,Clientes!$C$4:$C$39),Cadastros!$L$6:$L$12,Cadastros!$N$6:$N$12)))</f>
        <v/>
      </c>
      <c r="U1190" s="168" t="str">
        <f t="shared" si="237"/>
        <v/>
      </c>
      <c r="V1190" s="168" t="str">
        <f>IFERROR(U1190/_xlfn.XLOOKUP(_xlfn.XLOOKUP($F1190,Clientes!$B$4:$B$39,Clientes!$C$4:$C$39),Cadastros!$L$6:$L$12,Cadastros!$M$6:$M$12)," ")</f>
        <v xml:space="preserve"> </v>
      </c>
      <c r="W1190" s="28"/>
      <c r="X1190" s="28"/>
      <c r="Y1190" s="255" t="str">
        <f>IF(W1190="","",(_xlfn.XLOOKUP(W1190,Cadastros!$D$6:$D$90,Cadastros!$E$6:$E$90))*(1-_xlfn.XLOOKUP(_xlfn.XLOOKUP($F1190,Clientes!$B$4:$B$39,Clientes!$C$4:$C$39),Cadastros!$L$6:$L$12,Cadastros!$N$6:$N$12)))</f>
        <v/>
      </c>
      <c r="Z1190" s="168" t="str">
        <f t="shared" si="238"/>
        <v/>
      </c>
      <c r="AA1190" s="168" t="str">
        <f>IFERROR(Z1190/_xlfn.XLOOKUP(_xlfn.XLOOKUP($F1190,Clientes!$B$4:$B$39,Clientes!$C$4:$C$39),Cadastros!$L$6:$L$12,Cadastros!$M$6:$M$12)," ")</f>
        <v xml:space="preserve"> </v>
      </c>
      <c r="AB1190" s="28"/>
      <c r="AC1190" s="28"/>
      <c r="AD1190" s="20" t="str">
        <f>IF(AB1190="","",IF($F1190="Bernardino Furlan",_xlfn.XLOOKUP(AB1190,Cadastros!$G$6:$G$90,Cadastros!$H$6:$H$90)*(1-0.18),IF($F1190="Mauro José Salanti",_xlfn.XLOOKUP(AB1190,Cadastros!$G$6:$G$90,Cadastros!$H$6:$H$90)*(1-0.18),_xlfn.XLOOKUP(AB1190,Cadastros!$G$6:$G$90,Cadastros!$H$6:$H$90))))</f>
        <v/>
      </c>
      <c r="AE1190" s="168" t="str">
        <f t="shared" si="239"/>
        <v/>
      </c>
      <c r="AF1190" s="168" t="str">
        <f t="shared" si="240"/>
        <v/>
      </c>
      <c r="AG1190" s="28"/>
      <c r="AH1190" s="28"/>
      <c r="AI1190" s="20" t="str">
        <f>IF(AG1190="","",IF($F1190="Bernardino Furlan",_xlfn.XLOOKUP(AG1190,Cadastros!$G$6:$G$90,Cadastros!$H$6:$H$90)*(1-0.18),IF($F1190="Mauro José Salanti",_xlfn.XLOOKUP(AG1190,Cadastros!$G$6:$G$90,Cadastros!$H$6:$H$90)*(1-0.18),_xlfn.XLOOKUP(AG1190,Cadastros!$G$6:$G$90,Cadastros!$H$6:$H$90))))</f>
        <v/>
      </c>
      <c r="AJ1190" s="168" t="str">
        <f t="shared" si="241"/>
        <v/>
      </c>
      <c r="AK1190" s="168" t="str">
        <f t="shared" si="242"/>
        <v/>
      </c>
      <c r="AL1190" s="28"/>
      <c r="AM1190" s="28"/>
      <c r="AN1190" s="20" t="str">
        <f>IF(AL1190="","",IF($F1190="Bernardino Furlan",_xlfn.XLOOKUP(AL1190,Cadastros!$G$6:$G$90,Cadastros!$H$6:$H$90)*(1-0.18),IF($F1190="Mauro José Salanti",_xlfn.XLOOKUP(AL1190,Cadastros!$G$6:$G$90,Cadastros!$H$6:$H$90)*(1-0.18),_xlfn.XLOOKUP(AL1190,Cadastros!$G$6:$G$90,Cadastros!$H$6:$H$90))))</f>
        <v/>
      </c>
      <c r="AO1190" s="168" t="str">
        <f t="shared" si="243"/>
        <v/>
      </c>
      <c r="AP1190" s="168" t="str">
        <f t="shared" si="244"/>
        <v/>
      </c>
      <c r="AQ1190" s="28"/>
      <c r="AR1190" s="28"/>
      <c r="AS1190" s="20" t="str">
        <f>IF(AQ1190="","",IF($F1190="Bernardino Furlan",_xlfn.XLOOKUP(AQ1190,Cadastros!$G$6:$G$90,Cadastros!$H$6:$H$90)*(1-0.18),IF($F1190="Mauro José Salanti",_xlfn.XLOOKUP(AQ1190,Cadastros!$G$6:$G$90,Cadastros!$H$6:$H$90)*(1-0.18),_xlfn.XLOOKUP(AQ1190,Cadastros!$G$6:$G$90,Cadastros!$H$6:$H$90))))</f>
        <v/>
      </c>
      <c r="AT1190" s="168" t="str">
        <f t="shared" si="245"/>
        <v/>
      </c>
      <c r="AU1190" s="168" t="str">
        <f t="shared" si="246"/>
        <v/>
      </c>
      <c r="AV1190" s="227"/>
      <c r="AW1190" s="30"/>
      <c r="AX1190" s="267"/>
      <c r="AY1190" s="267"/>
      <c r="AZ1190" s="29"/>
      <c r="BA1190" s="30"/>
      <c r="BB1190" s="23" t="str" cm="1">
        <f t="array" ref="BB1190">_xlfn.IFS(AW1190="SIM",SUM(K1190,P1190,U1190,Z1190,AE1190,AJ1190,AO1190,AT1190,AX1190,AY1190),F1190&lt;&gt;"",SUM(K1190,P1190,U1190,Z1190,AE1190,AJ1190,,AO1190,AT1190),F1190="","")</f>
        <v/>
      </c>
      <c r="BC1190" s="211" t="str" cm="1">
        <f t="array" ref="BC1190">_xlfn.IFS(E1190="","",G1190&lt;=E1190,BB1190*(1-0.03),G1190&lt;(E1190+8),BB1190,AZ1190="Boleto",BB1190*(1+0.001)^DATEDIF(E1190,G1190,"D"),AZ1190="Cheque",BB1190,AZ1190="Dinheiro","Alterar forma pgto")</f>
        <v/>
      </c>
      <c r="BD1190" s="276" t="str" cm="1">
        <f t="array" ref="BD1190">IF(F1190=0," ",IF(BC1190&lt;BB1190,(_xlfn.IFS(AW1190="SIM",SUM(L1190,Q1190,V1190,AA1190,AF1190,AK1190,AP1190,AU1190)+AX1190/_xlfn.XLOOKUP(_xlfn.XLOOKUP($F1190,Clientes!$B$4:$B$39,Clientes!$C$4:$C$39),Cadastros!$L$6:$L$12,Cadastros!$M$6:$M$12)+IF($F1190="Bernardino Furlan",AY1190/2751.92,IF($F1190="Mauro José Salanti",AY1190/2751.92,AY1190/3356)),F1190&lt;&gt;0,SUM(L1190,Q1190,V1190,AA1190,AF1190,AK1190,AP1190,AU1190)))*(1-0.03),_xlfn.IFS(AW1190="SIM",SUM(L1190,Q1190,V1190,AA1190,AF1190,AK1190,AP1190,AU1190)+AX1190/_xlfn.XLOOKUP(_xlfn.XLOOKUP($F1190,Clientes!$B$4:$B$39,Clientes!$C$4:$C$39),Cadastros!$L$6:$L$12,Cadastros!$M$6:$M$12)+IF($F1190="Bernardino Furlan",AY1190/2751.92,IF($F1190="Mauro José Salanti",AY1190/2751.92,AY1190/3356)),F1190&lt;&gt;0,SUM(L1190,Q1190,V1190,AA1190,AF1190,AK1190,AP1190,AU1190))))</f>
        <v xml:space="preserve"> </v>
      </c>
      <c r="BE1190" s="120"/>
      <c r="BF1190" s="120"/>
      <c r="BG1190" s="120"/>
    </row>
    <row r="1191" spans="1:59" s="3" customFormat="1" x14ac:dyDescent="0.3">
      <c r="A1191" s="15" t="str">
        <f t="shared" si="234"/>
        <v/>
      </c>
      <c r="B1191" s="25"/>
      <c r="C1191" s="26"/>
      <c r="D1191" s="279"/>
      <c r="E1191" s="27"/>
      <c r="F1191" s="28"/>
      <c r="G1191" s="27"/>
      <c r="H1191" s="28"/>
      <c r="I1191" s="28"/>
      <c r="J1191" s="255" t="str">
        <f>IF(H1191="","",(_xlfn.XLOOKUP(H1191,Cadastros!$D$6:$D$90,Cadastros!$E$6:$E$90))*(1-_xlfn.XLOOKUP(_xlfn.XLOOKUP($F1191,Clientes!$B$4:$B$39,Clientes!$C$4:$C$39),Cadastros!$L$6:$L$12,Cadastros!$N$6:$N$12)))</f>
        <v/>
      </c>
      <c r="K1191" s="168" t="str">
        <f t="shared" si="235"/>
        <v/>
      </c>
      <c r="L1191" s="168" t="str">
        <f>IFERROR(K1191/_xlfn.XLOOKUP(_xlfn.XLOOKUP($F1191,Clientes!$B$4:$B$39,Clientes!$C$4:$C$39),Cadastros!$L$6:$L$12,Cadastros!$M$6:$M$12)," ")</f>
        <v xml:space="preserve"> </v>
      </c>
      <c r="M1191" s="28"/>
      <c r="N1191" s="28"/>
      <c r="O1191" s="255" t="str">
        <f>IF(M1191="","",(_xlfn.XLOOKUP(M1191,Cadastros!$D$6:$D$90,Cadastros!$E$6:$E$90))*(1-_xlfn.XLOOKUP(_xlfn.XLOOKUP($F1191,Clientes!$B$4:$B$39,Clientes!$C$4:$C$39),Cadastros!$L$6:$L$12,Cadastros!$N$6:$N$12)))</f>
        <v/>
      </c>
      <c r="P1191" s="168" t="str">
        <f t="shared" si="236"/>
        <v/>
      </c>
      <c r="Q1191" s="168" t="str">
        <f>IFERROR(P1191/_xlfn.XLOOKUP(_xlfn.XLOOKUP($F1191,Clientes!$B$4:$B$39,Clientes!$C$4:$C$39),Cadastros!$L$6:$L$12,Cadastros!$M$6:$M$12)," ")</f>
        <v xml:space="preserve"> </v>
      </c>
      <c r="R1191" s="28"/>
      <c r="S1191" s="28"/>
      <c r="T1191" s="255" t="str">
        <f>IF(R1191="","",(_xlfn.XLOOKUP(R1191,Cadastros!$D$6:$D$90,Cadastros!$E$6:$E$90))*(1-_xlfn.XLOOKUP(_xlfn.XLOOKUP($F1191,Clientes!$B$4:$B$39,Clientes!$C$4:$C$39),Cadastros!$L$6:$L$12,Cadastros!$N$6:$N$12)))</f>
        <v/>
      </c>
      <c r="U1191" s="168" t="str">
        <f t="shared" si="237"/>
        <v/>
      </c>
      <c r="V1191" s="168" t="str">
        <f>IFERROR(U1191/_xlfn.XLOOKUP(_xlfn.XLOOKUP($F1191,Clientes!$B$4:$B$39,Clientes!$C$4:$C$39),Cadastros!$L$6:$L$12,Cadastros!$M$6:$M$12)," ")</f>
        <v xml:space="preserve"> </v>
      </c>
      <c r="W1191" s="28"/>
      <c r="X1191" s="28"/>
      <c r="Y1191" s="255" t="str">
        <f>IF(W1191="","",(_xlfn.XLOOKUP(W1191,Cadastros!$D$6:$D$90,Cadastros!$E$6:$E$90))*(1-_xlfn.XLOOKUP(_xlfn.XLOOKUP($F1191,Clientes!$B$4:$B$39,Clientes!$C$4:$C$39),Cadastros!$L$6:$L$12,Cadastros!$N$6:$N$12)))</f>
        <v/>
      </c>
      <c r="Z1191" s="168" t="str">
        <f t="shared" si="238"/>
        <v/>
      </c>
      <c r="AA1191" s="168" t="str">
        <f>IFERROR(Z1191/_xlfn.XLOOKUP(_xlfn.XLOOKUP($F1191,Clientes!$B$4:$B$39,Clientes!$C$4:$C$39),Cadastros!$L$6:$L$12,Cadastros!$M$6:$M$12)," ")</f>
        <v xml:space="preserve"> </v>
      </c>
      <c r="AB1191" s="28"/>
      <c r="AC1191" s="28"/>
      <c r="AD1191" s="20" t="str">
        <f>IF(AB1191="","",IF($F1191="Bernardino Furlan",_xlfn.XLOOKUP(AB1191,Cadastros!$G$6:$G$90,Cadastros!$H$6:$H$90)*(1-0.18),IF($F1191="Mauro José Salanti",_xlfn.XLOOKUP(AB1191,Cadastros!$G$6:$G$90,Cadastros!$H$6:$H$90)*(1-0.18),_xlfn.XLOOKUP(AB1191,Cadastros!$G$6:$G$90,Cadastros!$H$6:$H$90))))</f>
        <v/>
      </c>
      <c r="AE1191" s="168" t="str">
        <f t="shared" si="239"/>
        <v/>
      </c>
      <c r="AF1191" s="168" t="str">
        <f t="shared" si="240"/>
        <v/>
      </c>
      <c r="AG1191" s="28"/>
      <c r="AH1191" s="28"/>
      <c r="AI1191" s="20" t="str">
        <f>IF(AG1191="","",IF($F1191="Bernardino Furlan",_xlfn.XLOOKUP(AG1191,Cadastros!$G$6:$G$90,Cadastros!$H$6:$H$90)*(1-0.18),IF($F1191="Mauro José Salanti",_xlfn.XLOOKUP(AG1191,Cadastros!$G$6:$G$90,Cadastros!$H$6:$H$90)*(1-0.18),_xlfn.XLOOKUP(AG1191,Cadastros!$G$6:$G$90,Cadastros!$H$6:$H$90))))</f>
        <v/>
      </c>
      <c r="AJ1191" s="168" t="str">
        <f t="shared" si="241"/>
        <v/>
      </c>
      <c r="AK1191" s="168" t="str">
        <f t="shared" si="242"/>
        <v/>
      </c>
      <c r="AL1191" s="28"/>
      <c r="AM1191" s="28"/>
      <c r="AN1191" s="20" t="str">
        <f>IF(AL1191="","",IF($F1191="Bernardino Furlan",_xlfn.XLOOKUP(AL1191,Cadastros!$G$6:$G$90,Cadastros!$H$6:$H$90)*(1-0.18),IF($F1191="Mauro José Salanti",_xlfn.XLOOKUP(AL1191,Cadastros!$G$6:$G$90,Cadastros!$H$6:$H$90)*(1-0.18),_xlfn.XLOOKUP(AL1191,Cadastros!$G$6:$G$90,Cadastros!$H$6:$H$90))))</f>
        <v/>
      </c>
      <c r="AO1191" s="168" t="str">
        <f t="shared" si="243"/>
        <v/>
      </c>
      <c r="AP1191" s="168" t="str">
        <f t="shared" si="244"/>
        <v/>
      </c>
      <c r="AQ1191" s="28"/>
      <c r="AR1191" s="28"/>
      <c r="AS1191" s="20" t="str">
        <f>IF(AQ1191="","",IF($F1191="Bernardino Furlan",_xlfn.XLOOKUP(AQ1191,Cadastros!$G$6:$G$90,Cadastros!$H$6:$H$90)*(1-0.18),IF($F1191="Mauro José Salanti",_xlfn.XLOOKUP(AQ1191,Cadastros!$G$6:$G$90,Cadastros!$H$6:$H$90)*(1-0.18),_xlfn.XLOOKUP(AQ1191,Cadastros!$G$6:$G$90,Cadastros!$H$6:$H$90))))</f>
        <v/>
      </c>
      <c r="AT1191" s="168" t="str">
        <f t="shared" si="245"/>
        <v/>
      </c>
      <c r="AU1191" s="168" t="str">
        <f t="shared" si="246"/>
        <v/>
      </c>
      <c r="AV1191" s="227"/>
      <c r="AW1191" s="30"/>
      <c r="AX1191" s="267"/>
      <c r="AY1191" s="267"/>
      <c r="AZ1191" s="29"/>
      <c r="BA1191" s="30"/>
      <c r="BB1191" s="23" t="str" cm="1">
        <f t="array" ref="BB1191">_xlfn.IFS(AW1191="SIM",SUM(K1191,P1191,U1191,Z1191,AE1191,AJ1191,AO1191,AT1191,AX1191,AY1191),F1191&lt;&gt;"",SUM(K1191,P1191,U1191,Z1191,AE1191,AJ1191,,AO1191,AT1191),F1191="","")</f>
        <v/>
      </c>
      <c r="BC1191" s="211" t="str" cm="1">
        <f t="array" ref="BC1191">_xlfn.IFS(E1191="","",G1191&lt;=E1191,BB1191*(1-0.03),G1191&lt;(E1191+8),BB1191,AZ1191="Boleto",BB1191*(1+0.001)^DATEDIF(E1191,G1191,"D"),AZ1191="Cheque",BB1191,AZ1191="Dinheiro","Alterar forma pgto")</f>
        <v/>
      </c>
      <c r="BD1191" s="276" t="str" cm="1">
        <f t="array" ref="BD1191">IF(F1191=0," ",IF(BC1191&lt;BB1191,(_xlfn.IFS(AW1191="SIM",SUM(L1191,Q1191,V1191,AA1191,AF1191,AK1191,AP1191,AU1191)+AX1191/_xlfn.XLOOKUP(_xlfn.XLOOKUP($F1191,Clientes!$B$4:$B$39,Clientes!$C$4:$C$39),Cadastros!$L$6:$L$12,Cadastros!$M$6:$M$12)+IF($F1191="Bernardino Furlan",AY1191/2751.92,IF($F1191="Mauro José Salanti",AY1191/2751.92,AY1191/3356)),F1191&lt;&gt;0,SUM(L1191,Q1191,V1191,AA1191,AF1191,AK1191,AP1191,AU1191)))*(1-0.03),_xlfn.IFS(AW1191="SIM",SUM(L1191,Q1191,V1191,AA1191,AF1191,AK1191,AP1191,AU1191)+AX1191/_xlfn.XLOOKUP(_xlfn.XLOOKUP($F1191,Clientes!$B$4:$B$39,Clientes!$C$4:$C$39),Cadastros!$L$6:$L$12,Cadastros!$M$6:$M$12)+IF($F1191="Bernardino Furlan",AY1191/2751.92,IF($F1191="Mauro José Salanti",AY1191/2751.92,AY1191/3356)),F1191&lt;&gt;0,SUM(L1191,Q1191,V1191,AA1191,AF1191,AK1191,AP1191,AU1191))))</f>
        <v xml:space="preserve"> </v>
      </c>
      <c r="BE1191" s="120"/>
      <c r="BF1191" s="120"/>
      <c r="BG1191" s="120"/>
    </row>
    <row r="1192" spans="1:59" s="3" customFormat="1" x14ac:dyDescent="0.3">
      <c r="A1192" s="15" t="str">
        <f t="shared" si="234"/>
        <v/>
      </c>
      <c r="B1192" s="25"/>
      <c r="C1192" s="26"/>
      <c r="D1192" s="279"/>
      <c r="E1192" s="27"/>
      <c r="F1192" s="28"/>
      <c r="G1192" s="27"/>
      <c r="H1192" s="28"/>
      <c r="I1192" s="28"/>
      <c r="J1192" s="255" t="str">
        <f>IF(H1192="","",(_xlfn.XLOOKUP(H1192,Cadastros!$D$6:$D$90,Cadastros!$E$6:$E$90))*(1-_xlfn.XLOOKUP(_xlfn.XLOOKUP($F1192,Clientes!$B$4:$B$39,Clientes!$C$4:$C$39),Cadastros!$L$6:$L$12,Cadastros!$N$6:$N$12)))</f>
        <v/>
      </c>
      <c r="K1192" s="168" t="str">
        <f t="shared" si="235"/>
        <v/>
      </c>
      <c r="L1192" s="168" t="str">
        <f>IFERROR(K1192/_xlfn.XLOOKUP(_xlfn.XLOOKUP($F1192,Clientes!$B$4:$B$39,Clientes!$C$4:$C$39),Cadastros!$L$6:$L$12,Cadastros!$M$6:$M$12)," ")</f>
        <v xml:space="preserve"> </v>
      </c>
      <c r="M1192" s="28"/>
      <c r="N1192" s="28"/>
      <c r="O1192" s="255" t="str">
        <f>IF(M1192="","",(_xlfn.XLOOKUP(M1192,Cadastros!$D$6:$D$90,Cadastros!$E$6:$E$90))*(1-_xlfn.XLOOKUP(_xlfn.XLOOKUP($F1192,Clientes!$B$4:$B$39,Clientes!$C$4:$C$39),Cadastros!$L$6:$L$12,Cadastros!$N$6:$N$12)))</f>
        <v/>
      </c>
      <c r="P1192" s="168" t="str">
        <f t="shared" si="236"/>
        <v/>
      </c>
      <c r="Q1192" s="168" t="str">
        <f>IFERROR(P1192/_xlfn.XLOOKUP(_xlfn.XLOOKUP($F1192,Clientes!$B$4:$B$39,Clientes!$C$4:$C$39),Cadastros!$L$6:$L$12,Cadastros!$M$6:$M$12)," ")</f>
        <v xml:space="preserve"> </v>
      </c>
      <c r="R1192" s="28"/>
      <c r="S1192" s="28"/>
      <c r="T1192" s="255" t="str">
        <f>IF(R1192="","",(_xlfn.XLOOKUP(R1192,Cadastros!$D$6:$D$90,Cadastros!$E$6:$E$90))*(1-_xlfn.XLOOKUP(_xlfn.XLOOKUP($F1192,Clientes!$B$4:$B$39,Clientes!$C$4:$C$39),Cadastros!$L$6:$L$12,Cadastros!$N$6:$N$12)))</f>
        <v/>
      </c>
      <c r="U1192" s="168" t="str">
        <f t="shared" si="237"/>
        <v/>
      </c>
      <c r="V1192" s="168" t="str">
        <f>IFERROR(U1192/_xlfn.XLOOKUP(_xlfn.XLOOKUP($F1192,Clientes!$B$4:$B$39,Clientes!$C$4:$C$39),Cadastros!$L$6:$L$12,Cadastros!$M$6:$M$12)," ")</f>
        <v xml:space="preserve"> </v>
      </c>
      <c r="W1192" s="28"/>
      <c r="X1192" s="28"/>
      <c r="Y1192" s="255" t="str">
        <f>IF(W1192="","",(_xlfn.XLOOKUP(W1192,Cadastros!$D$6:$D$90,Cadastros!$E$6:$E$90))*(1-_xlfn.XLOOKUP(_xlfn.XLOOKUP($F1192,Clientes!$B$4:$B$39,Clientes!$C$4:$C$39),Cadastros!$L$6:$L$12,Cadastros!$N$6:$N$12)))</f>
        <v/>
      </c>
      <c r="Z1192" s="168" t="str">
        <f t="shared" si="238"/>
        <v/>
      </c>
      <c r="AA1192" s="168" t="str">
        <f>IFERROR(Z1192/_xlfn.XLOOKUP(_xlfn.XLOOKUP($F1192,Clientes!$B$4:$B$39,Clientes!$C$4:$C$39),Cadastros!$L$6:$L$12,Cadastros!$M$6:$M$12)," ")</f>
        <v xml:space="preserve"> </v>
      </c>
      <c r="AB1192" s="28"/>
      <c r="AC1192" s="28"/>
      <c r="AD1192" s="20" t="str">
        <f>IF(AB1192="","",IF($F1192="Bernardino Furlan",_xlfn.XLOOKUP(AB1192,Cadastros!$G$6:$G$90,Cadastros!$H$6:$H$90)*(1-0.18),IF($F1192="Mauro José Salanti",_xlfn.XLOOKUP(AB1192,Cadastros!$G$6:$G$90,Cadastros!$H$6:$H$90)*(1-0.18),_xlfn.XLOOKUP(AB1192,Cadastros!$G$6:$G$90,Cadastros!$H$6:$H$90))))</f>
        <v/>
      </c>
      <c r="AE1192" s="168" t="str">
        <f t="shared" si="239"/>
        <v/>
      </c>
      <c r="AF1192" s="168" t="str">
        <f t="shared" si="240"/>
        <v/>
      </c>
      <c r="AG1192" s="28"/>
      <c r="AH1192" s="28"/>
      <c r="AI1192" s="20" t="str">
        <f>IF(AG1192="","",IF($F1192="Bernardino Furlan",_xlfn.XLOOKUP(AG1192,Cadastros!$G$6:$G$90,Cadastros!$H$6:$H$90)*(1-0.18),IF($F1192="Mauro José Salanti",_xlfn.XLOOKUP(AG1192,Cadastros!$G$6:$G$90,Cadastros!$H$6:$H$90)*(1-0.18),_xlfn.XLOOKUP(AG1192,Cadastros!$G$6:$G$90,Cadastros!$H$6:$H$90))))</f>
        <v/>
      </c>
      <c r="AJ1192" s="168" t="str">
        <f t="shared" si="241"/>
        <v/>
      </c>
      <c r="AK1192" s="168" t="str">
        <f t="shared" si="242"/>
        <v/>
      </c>
      <c r="AL1192" s="28"/>
      <c r="AM1192" s="28"/>
      <c r="AN1192" s="20" t="str">
        <f>IF(AL1192="","",IF($F1192="Bernardino Furlan",_xlfn.XLOOKUP(AL1192,Cadastros!$G$6:$G$90,Cadastros!$H$6:$H$90)*(1-0.18),IF($F1192="Mauro José Salanti",_xlfn.XLOOKUP(AL1192,Cadastros!$G$6:$G$90,Cadastros!$H$6:$H$90)*(1-0.18),_xlfn.XLOOKUP(AL1192,Cadastros!$G$6:$G$90,Cadastros!$H$6:$H$90))))</f>
        <v/>
      </c>
      <c r="AO1192" s="168" t="str">
        <f t="shared" si="243"/>
        <v/>
      </c>
      <c r="AP1192" s="168" t="str">
        <f t="shared" si="244"/>
        <v/>
      </c>
      <c r="AQ1192" s="28"/>
      <c r="AR1192" s="28"/>
      <c r="AS1192" s="20" t="str">
        <f>IF(AQ1192="","",IF($F1192="Bernardino Furlan",_xlfn.XLOOKUP(AQ1192,Cadastros!$G$6:$G$90,Cadastros!$H$6:$H$90)*(1-0.18),IF($F1192="Mauro José Salanti",_xlfn.XLOOKUP(AQ1192,Cadastros!$G$6:$G$90,Cadastros!$H$6:$H$90)*(1-0.18),_xlfn.XLOOKUP(AQ1192,Cadastros!$G$6:$G$90,Cadastros!$H$6:$H$90))))</f>
        <v/>
      </c>
      <c r="AT1192" s="168" t="str">
        <f t="shared" si="245"/>
        <v/>
      </c>
      <c r="AU1192" s="168" t="str">
        <f t="shared" si="246"/>
        <v/>
      </c>
      <c r="AV1192" s="227"/>
      <c r="AW1192" s="30"/>
      <c r="AX1192" s="267"/>
      <c r="AY1192" s="267"/>
      <c r="AZ1192" s="29"/>
      <c r="BA1192" s="30"/>
      <c r="BB1192" s="23" t="str" cm="1">
        <f t="array" ref="BB1192">_xlfn.IFS(AW1192="SIM",SUM(K1192,P1192,U1192,Z1192,AE1192,AJ1192,AO1192,AT1192,AX1192,AY1192),F1192&lt;&gt;"",SUM(K1192,P1192,U1192,Z1192,AE1192,AJ1192,,AO1192,AT1192),F1192="","")</f>
        <v/>
      </c>
      <c r="BC1192" s="211" t="str" cm="1">
        <f t="array" ref="BC1192">_xlfn.IFS(E1192="","",G1192&lt;=E1192,BB1192*(1-0.03),G1192&lt;(E1192+8),BB1192,AZ1192="Boleto",BB1192*(1+0.001)^DATEDIF(E1192,G1192,"D"),AZ1192="Cheque",BB1192,AZ1192="Dinheiro","Alterar forma pgto")</f>
        <v/>
      </c>
      <c r="BD1192" s="276" t="str" cm="1">
        <f t="array" ref="BD1192">IF(F1192=0," ",IF(BC1192&lt;BB1192,(_xlfn.IFS(AW1192="SIM",SUM(L1192,Q1192,V1192,AA1192,AF1192,AK1192,AP1192,AU1192)+AX1192/_xlfn.XLOOKUP(_xlfn.XLOOKUP($F1192,Clientes!$B$4:$B$39,Clientes!$C$4:$C$39),Cadastros!$L$6:$L$12,Cadastros!$M$6:$M$12)+IF($F1192="Bernardino Furlan",AY1192/2751.92,IF($F1192="Mauro José Salanti",AY1192/2751.92,AY1192/3356)),F1192&lt;&gt;0,SUM(L1192,Q1192,V1192,AA1192,AF1192,AK1192,AP1192,AU1192)))*(1-0.03),_xlfn.IFS(AW1192="SIM",SUM(L1192,Q1192,V1192,AA1192,AF1192,AK1192,AP1192,AU1192)+AX1192/_xlfn.XLOOKUP(_xlfn.XLOOKUP($F1192,Clientes!$B$4:$B$39,Clientes!$C$4:$C$39),Cadastros!$L$6:$L$12,Cadastros!$M$6:$M$12)+IF($F1192="Bernardino Furlan",AY1192/2751.92,IF($F1192="Mauro José Salanti",AY1192/2751.92,AY1192/3356)),F1192&lt;&gt;0,SUM(L1192,Q1192,V1192,AA1192,AF1192,AK1192,AP1192,AU1192))))</f>
        <v xml:space="preserve"> </v>
      </c>
      <c r="BE1192" s="120"/>
      <c r="BF1192" s="120"/>
      <c r="BG1192" s="120"/>
    </row>
    <row r="1193" spans="1:59" s="3" customFormat="1" x14ac:dyDescent="0.3">
      <c r="A1193" s="15" t="str">
        <f t="shared" si="234"/>
        <v/>
      </c>
      <c r="B1193" s="25"/>
      <c r="C1193" s="26"/>
      <c r="D1193" s="279"/>
      <c r="E1193" s="27"/>
      <c r="F1193" s="28"/>
      <c r="G1193" s="27"/>
      <c r="H1193" s="28"/>
      <c r="I1193" s="28"/>
      <c r="J1193" s="255" t="str">
        <f>IF(H1193="","",(_xlfn.XLOOKUP(H1193,Cadastros!$D$6:$D$90,Cadastros!$E$6:$E$90))*(1-_xlfn.XLOOKUP(_xlfn.XLOOKUP($F1193,Clientes!$B$4:$B$39,Clientes!$C$4:$C$39),Cadastros!$L$6:$L$12,Cadastros!$N$6:$N$12)))</f>
        <v/>
      </c>
      <c r="K1193" s="168" t="str">
        <f t="shared" si="235"/>
        <v/>
      </c>
      <c r="L1193" s="168" t="str">
        <f>IFERROR(K1193/_xlfn.XLOOKUP(_xlfn.XLOOKUP($F1193,Clientes!$B$4:$B$39,Clientes!$C$4:$C$39),Cadastros!$L$6:$L$12,Cadastros!$M$6:$M$12)," ")</f>
        <v xml:space="preserve"> </v>
      </c>
      <c r="M1193" s="28"/>
      <c r="N1193" s="28"/>
      <c r="O1193" s="255" t="str">
        <f>IF(M1193="","",(_xlfn.XLOOKUP(M1193,Cadastros!$D$6:$D$90,Cadastros!$E$6:$E$90))*(1-_xlfn.XLOOKUP(_xlfn.XLOOKUP($F1193,Clientes!$B$4:$B$39,Clientes!$C$4:$C$39),Cadastros!$L$6:$L$12,Cadastros!$N$6:$N$12)))</f>
        <v/>
      </c>
      <c r="P1193" s="168" t="str">
        <f t="shared" si="236"/>
        <v/>
      </c>
      <c r="Q1193" s="168" t="str">
        <f>IFERROR(P1193/_xlfn.XLOOKUP(_xlfn.XLOOKUP($F1193,Clientes!$B$4:$B$39,Clientes!$C$4:$C$39),Cadastros!$L$6:$L$12,Cadastros!$M$6:$M$12)," ")</f>
        <v xml:space="preserve"> </v>
      </c>
      <c r="R1193" s="28"/>
      <c r="S1193" s="28"/>
      <c r="T1193" s="255" t="str">
        <f>IF(R1193="","",(_xlfn.XLOOKUP(R1193,Cadastros!$D$6:$D$90,Cadastros!$E$6:$E$90))*(1-_xlfn.XLOOKUP(_xlfn.XLOOKUP($F1193,Clientes!$B$4:$B$39,Clientes!$C$4:$C$39),Cadastros!$L$6:$L$12,Cadastros!$N$6:$N$12)))</f>
        <v/>
      </c>
      <c r="U1193" s="168" t="str">
        <f t="shared" si="237"/>
        <v/>
      </c>
      <c r="V1193" s="168" t="str">
        <f>IFERROR(U1193/_xlfn.XLOOKUP(_xlfn.XLOOKUP($F1193,Clientes!$B$4:$B$39,Clientes!$C$4:$C$39),Cadastros!$L$6:$L$12,Cadastros!$M$6:$M$12)," ")</f>
        <v xml:space="preserve"> </v>
      </c>
      <c r="W1193" s="28"/>
      <c r="X1193" s="28"/>
      <c r="Y1193" s="255" t="str">
        <f>IF(W1193="","",(_xlfn.XLOOKUP(W1193,Cadastros!$D$6:$D$90,Cadastros!$E$6:$E$90))*(1-_xlfn.XLOOKUP(_xlfn.XLOOKUP($F1193,Clientes!$B$4:$B$39,Clientes!$C$4:$C$39),Cadastros!$L$6:$L$12,Cadastros!$N$6:$N$12)))</f>
        <v/>
      </c>
      <c r="Z1193" s="168" t="str">
        <f t="shared" si="238"/>
        <v/>
      </c>
      <c r="AA1193" s="168" t="str">
        <f>IFERROR(Z1193/_xlfn.XLOOKUP(_xlfn.XLOOKUP($F1193,Clientes!$B$4:$B$39,Clientes!$C$4:$C$39),Cadastros!$L$6:$L$12,Cadastros!$M$6:$M$12)," ")</f>
        <v xml:space="preserve"> </v>
      </c>
      <c r="AB1193" s="28"/>
      <c r="AC1193" s="28"/>
      <c r="AD1193" s="20" t="str">
        <f>IF(AB1193="","",IF($F1193="Bernardino Furlan",_xlfn.XLOOKUP(AB1193,Cadastros!$G$6:$G$90,Cadastros!$H$6:$H$90)*(1-0.18),IF($F1193="Mauro José Salanti",_xlfn.XLOOKUP(AB1193,Cadastros!$G$6:$G$90,Cadastros!$H$6:$H$90)*(1-0.18),_xlfn.XLOOKUP(AB1193,Cadastros!$G$6:$G$90,Cadastros!$H$6:$H$90))))</f>
        <v/>
      </c>
      <c r="AE1193" s="168" t="str">
        <f t="shared" si="239"/>
        <v/>
      </c>
      <c r="AF1193" s="168" t="str">
        <f t="shared" si="240"/>
        <v/>
      </c>
      <c r="AG1193" s="28"/>
      <c r="AH1193" s="28"/>
      <c r="AI1193" s="20" t="str">
        <f>IF(AG1193="","",IF($F1193="Bernardino Furlan",_xlfn.XLOOKUP(AG1193,Cadastros!$G$6:$G$90,Cadastros!$H$6:$H$90)*(1-0.18),IF($F1193="Mauro José Salanti",_xlfn.XLOOKUP(AG1193,Cadastros!$G$6:$G$90,Cadastros!$H$6:$H$90)*(1-0.18),_xlfn.XLOOKUP(AG1193,Cadastros!$G$6:$G$90,Cadastros!$H$6:$H$90))))</f>
        <v/>
      </c>
      <c r="AJ1193" s="168" t="str">
        <f t="shared" si="241"/>
        <v/>
      </c>
      <c r="AK1193" s="168" t="str">
        <f t="shared" si="242"/>
        <v/>
      </c>
      <c r="AL1193" s="28"/>
      <c r="AM1193" s="28"/>
      <c r="AN1193" s="20" t="str">
        <f>IF(AL1193="","",IF($F1193="Bernardino Furlan",_xlfn.XLOOKUP(AL1193,Cadastros!$G$6:$G$90,Cadastros!$H$6:$H$90)*(1-0.18),IF($F1193="Mauro José Salanti",_xlfn.XLOOKUP(AL1193,Cadastros!$G$6:$G$90,Cadastros!$H$6:$H$90)*(1-0.18),_xlfn.XLOOKUP(AL1193,Cadastros!$G$6:$G$90,Cadastros!$H$6:$H$90))))</f>
        <v/>
      </c>
      <c r="AO1193" s="168" t="str">
        <f t="shared" si="243"/>
        <v/>
      </c>
      <c r="AP1193" s="168" t="str">
        <f t="shared" si="244"/>
        <v/>
      </c>
      <c r="AQ1193" s="28"/>
      <c r="AR1193" s="28"/>
      <c r="AS1193" s="20" t="str">
        <f>IF(AQ1193="","",IF($F1193="Bernardino Furlan",_xlfn.XLOOKUP(AQ1193,Cadastros!$G$6:$G$90,Cadastros!$H$6:$H$90)*(1-0.18),IF($F1193="Mauro José Salanti",_xlfn.XLOOKUP(AQ1193,Cadastros!$G$6:$G$90,Cadastros!$H$6:$H$90)*(1-0.18),_xlfn.XLOOKUP(AQ1193,Cadastros!$G$6:$G$90,Cadastros!$H$6:$H$90))))</f>
        <v/>
      </c>
      <c r="AT1193" s="168" t="str">
        <f t="shared" si="245"/>
        <v/>
      </c>
      <c r="AU1193" s="168" t="str">
        <f t="shared" si="246"/>
        <v/>
      </c>
      <c r="AV1193" s="227"/>
      <c r="AW1193" s="30"/>
      <c r="AX1193" s="267"/>
      <c r="AY1193" s="267"/>
      <c r="AZ1193" s="29"/>
      <c r="BA1193" s="30"/>
      <c r="BB1193" s="23" t="str" cm="1">
        <f t="array" ref="BB1193">_xlfn.IFS(AW1193="SIM",SUM(K1193,P1193,U1193,Z1193,AE1193,AJ1193,AO1193,AT1193,AX1193,AY1193),F1193&lt;&gt;"",SUM(K1193,P1193,U1193,Z1193,AE1193,AJ1193,,AO1193,AT1193),F1193="","")</f>
        <v/>
      </c>
      <c r="BC1193" s="211" t="str" cm="1">
        <f t="array" ref="BC1193">_xlfn.IFS(E1193="","",G1193&lt;=E1193,BB1193*(1-0.03),G1193&lt;(E1193+8),BB1193,AZ1193="Boleto",BB1193*(1+0.001)^DATEDIF(E1193,G1193,"D"),AZ1193="Cheque",BB1193,AZ1193="Dinheiro","Alterar forma pgto")</f>
        <v/>
      </c>
      <c r="BD1193" s="276" t="str" cm="1">
        <f t="array" ref="BD1193">IF(F1193=0," ",IF(BC1193&lt;BB1193,(_xlfn.IFS(AW1193="SIM",SUM(L1193,Q1193,V1193,AA1193,AF1193,AK1193,AP1193,AU1193)+AX1193/_xlfn.XLOOKUP(_xlfn.XLOOKUP($F1193,Clientes!$B$4:$B$39,Clientes!$C$4:$C$39),Cadastros!$L$6:$L$12,Cadastros!$M$6:$M$12)+IF($F1193="Bernardino Furlan",AY1193/2751.92,IF($F1193="Mauro José Salanti",AY1193/2751.92,AY1193/3356)),F1193&lt;&gt;0,SUM(L1193,Q1193,V1193,AA1193,AF1193,AK1193,AP1193,AU1193)))*(1-0.03),_xlfn.IFS(AW1193="SIM",SUM(L1193,Q1193,V1193,AA1193,AF1193,AK1193,AP1193,AU1193)+AX1193/_xlfn.XLOOKUP(_xlfn.XLOOKUP($F1193,Clientes!$B$4:$B$39,Clientes!$C$4:$C$39),Cadastros!$L$6:$L$12,Cadastros!$M$6:$M$12)+IF($F1193="Bernardino Furlan",AY1193/2751.92,IF($F1193="Mauro José Salanti",AY1193/2751.92,AY1193/3356)),F1193&lt;&gt;0,SUM(L1193,Q1193,V1193,AA1193,AF1193,AK1193,AP1193,AU1193))))</f>
        <v xml:space="preserve"> </v>
      </c>
      <c r="BE1193" s="120"/>
      <c r="BF1193" s="120"/>
      <c r="BG1193" s="120"/>
    </row>
    <row r="1194" spans="1:59" s="3" customFormat="1" x14ac:dyDescent="0.3">
      <c r="A1194" s="15" t="str">
        <f t="shared" si="234"/>
        <v/>
      </c>
      <c r="B1194" s="25"/>
      <c r="C1194" s="26"/>
      <c r="D1194" s="279"/>
      <c r="E1194" s="27"/>
      <c r="F1194" s="28"/>
      <c r="G1194" s="27"/>
      <c r="H1194" s="28"/>
      <c r="I1194" s="28"/>
      <c r="J1194" s="255" t="str">
        <f>IF(H1194="","",(_xlfn.XLOOKUP(H1194,Cadastros!$D$6:$D$90,Cadastros!$E$6:$E$90))*(1-_xlfn.XLOOKUP(_xlfn.XLOOKUP($F1194,Clientes!$B$4:$B$39,Clientes!$C$4:$C$39),Cadastros!$L$6:$L$12,Cadastros!$N$6:$N$12)))</f>
        <v/>
      </c>
      <c r="K1194" s="168" t="str">
        <f t="shared" si="235"/>
        <v/>
      </c>
      <c r="L1194" s="168" t="str">
        <f>IFERROR(K1194/_xlfn.XLOOKUP(_xlfn.XLOOKUP($F1194,Clientes!$B$4:$B$39,Clientes!$C$4:$C$39),Cadastros!$L$6:$L$12,Cadastros!$M$6:$M$12)," ")</f>
        <v xml:space="preserve"> </v>
      </c>
      <c r="M1194" s="28"/>
      <c r="N1194" s="28"/>
      <c r="O1194" s="255" t="str">
        <f>IF(M1194="","",(_xlfn.XLOOKUP(M1194,Cadastros!$D$6:$D$90,Cadastros!$E$6:$E$90))*(1-_xlfn.XLOOKUP(_xlfn.XLOOKUP($F1194,Clientes!$B$4:$B$39,Clientes!$C$4:$C$39),Cadastros!$L$6:$L$12,Cadastros!$N$6:$N$12)))</f>
        <v/>
      </c>
      <c r="P1194" s="168" t="str">
        <f t="shared" si="236"/>
        <v/>
      </c>
      <c r="Q1194" s="168" t="str">
        <f>IFERROR(P1194/_xlfn.XLOOKUP(_xlfn.XLOOKUP($F1194,Clientes!$B$4:$B$39,Clientes!$C$4:$C$39),Cadastros!$L$6:$L$12,Cadastros!$M$6:$M$12)," ")</f>
        <v xml:space="preserve"> </v>
      </c>
      <c r="R1194" s="28"/>
      <c r="S1194" s="28"/>
      <c r="T1194" s="255" t="str">
        <f>IF(R1194="","",(_xlfn.XLOOKUP(R1194,Cadastros!$D$6:$D$90,Cadastros!$E$6:$E$90))*(1-_xlfn.XLOOKUP(_xlfn.XLOOKUP($F1194,Clientes!$B$4:$B$39,Clientes!$C$4:$C$39),Cadastros!$L$6:$L$12,Cadastros!$N$6:$N$12)))</f>
        <v/>
      </c>
      <c r="U1194" s="168" t="str">
        <f t="shared" si="237"/>
        <v/>
      </c>
      <c r="V1194" s="168" t="str">
        <f>IFERROR(U1194/_xlfn.XLOOKUP(_xlfn.XLOOKUP($F1194,Clientes!$B$4:$B$39,Clientes!$C$4:$C$39),Cadastros!$L$6:$L$12,Cadastros!$M$6:$M$12)," ")</f>
        <v xml:space="preserve"> </v>
      </c>
      <c r="W1194" s="28"/>
      <c r="X1194" s="28"/>
      <c r="Y1194" s="255" t="str">
        <f>IF(W1194="","",(_xlfn.XLOOKUP(W1194,Cadastros!$D$6:$D$90,Cadastros!$E$6:$E$90))*(1-_xlfn.XLOOKUP(_xlfn.XLOOKUP($F1194,Clientes!$B$4:$B$39,Clientes!$C$4:$C$39),Cadastros!$L$6:$L$12,Cadastros!$N$6:$N$12)))</f>
        <v/>
      </c>
      <c r="Z1194" s="168" t="str">
        <f t="shared" si="238"/>
        <v/>
      </c>
      <c r="AA1194" s="168" t="str">
        <f>IFERROR(Z1194/_xlfn.XLOOKUP(_xlfn.XLOOKUP($F1194,Clientes!$B$4:$B$39,Clientes!$C$4:$C$39),Cadastros!$L$6:$L$12,Cadastros!$M$6:$M$12)," ")</f>
        <v xml:space="preserve"> </v>
      </c>
      <c r="AB1194" s="28"/>
      <c r="AC1194" s="28"/>
      <c r="AD1194" s="20" t="str">
        <f>IF(AB1194="","",IF($F1194="Bernardino Furlan",_xlfn.XLOOKUP(AB1194,Cadastros!$G$6:$G$90,Cadastros!$H$6:$H$90)*(1-0.18),IF($F1194="Mauro José Salanti",_xlfn.XLOOKUP(AB1194,Cadastros!$G$6:$G$90,Cadastros!$H$6:$H$90)*(1-0.18),_xlfn.XLOOKUP(AB1194,Cadastros!$G$6:$G$90,Cadastros!$H$6:$H$90))))</f>
        <v/>
      </c>
      <c r="AE1194" s="168" t="str">
        <f t="shared" si="239"/>
        <v/>
      </c>
      <c r="AF1194" s="168" t="str">
        <f t="shared" si="240"/>
        <v/>
      </c>
      <c r="AG1194" s="28"/>
      <c r="AH1194" s="28"/>
      <c r="AI1194" s="20" t="str">
        <f>IF(AG1194="","",IF($F1194="Bernardino Furlan",_xlfn.XLOOKUP(AG1194,Cadastros!$G$6:$G$90,Cadastros!$H$6:$H$90)*(1-0.18),IF($F1194="Mauro José Salanti",_xlfn.XLOOKUP(AG1194,Cadastros!$G$6:$G$90,Cadastros!$H$6:$H$90)*(1-0.18),_xlfn.XLOOKUP(AG1194,Cadastros!$G$6:$G$90,Cadastros!$H$6:$H$90))))</f>
        <v/>
      </c>
      <c r="AJ1194" s="168" t="str">
        <f t="shared" si="241"/>
        <v/>
      </c>
      <c r="AK1194" s="168" t="str">
        <f t="shared" si="242"/>
        <v/>
      </c>
      <c r="AL1194" s="28"/>
      <c r="AM1194" s="28"/>
      <c r="AN1194" s="20" t="str">
        <f>IF(AL1194="","",IF($F1194="Bernardino Furlan",_xlfn.XLOOKUP(AL1194,Cadastros!$G$6:$G$90,Cadastros!$H$6:$H$90)*(1-0.18),IF($F1194="Mauro José Salanti",_xlfn.XLOOKUP(AL1194,Cadastros!$G$6:$G$90,Cadastros!$H$6:$H$90)*(1-0.18),_xlfn.XLOOKUP(AL1194,Cadastros!$G$6:$G$90,Cadastros!$H$6:$H$90))))</f>
        <v/>
      </c>
      <c r="AO1194" s="168" t="str">
        <f t="shared" si="243"/>
        <v/>
      </c>
      <c r="AP1194" s="168" t="str">
        <f t="shared" si="244"/>
        <v/>
      </c>
      <c r="AQ1194" s="28"/>
      <c r="AR1194" s="28"/>
      <c r="AS1194" s="20" t="str">
        <f>IF(AQ1194="","",IF($F1194="Bernardino Furlan",_xlfn.XLOOKUP(AQ1194,Cadastros!$G$6:$G$90,Cadastros!$H$6:$H$90)*(1-0.18),IF($F1194="Mauro José Salanti",_xlfn.XLOOKUP(AQ1194,Cadastros!$G$6:$G$90,Cadastros!$H$6:$H$90)*(1-0.18),_xlfn.XLOOKUP(AQ1194,Cadastros!$G$6:$G$90,Cadastros!$H$6:$H$90))))</f>
        <v/>
      </c>
      <c r="AT1194" s="168" t="str">
        <f t="shared" si="245"/>
        <v/>
      </c>
      <c r="AU1194" s="168" t="str">
        <f t="shared" si="246"/>
        <v/>
      </c>
      <c r="AV1194" s="227"/>
      <c r="AW1194" s="30"/>
      <c r="AX1194" s="267"/>
      <c r="AY1194" s="267"/>
      <c r="AZ1194" s="29"/>
      <c r="BA1194" s="30"/>
      <c r="BB1194" s="23" t="str" cm="1">
        <f t="array" ref="BB1194">_xlfn.IFS(AW1194="SIM",SUM(K1194,P1194,U1194,Z1194,AE1194,AJ1194,AO1194,AT1194,AX1194,AY1194),F1194&lt;&gt;"",SUM(K1194,P1194,U1194,Z1194,AE1194,AJ1194,,AO1194,AT1194),F1194="","")</f>
        <v/>
      </c>
      <c r="BC1194" s="211" t="str" cm="1">
        <f t="array" ref="BC1194">_xlfn.IFS(E1194="","",G1194&lt;=E1194,BB1194*(1-0.03),G1194&lt;(E1194+8),BB1194,AZ1194="Boleto",BB1194*(1+0.001)^DATEDIF(E1194,G1194,"D"),AZ1194="Cheque",BB1194,AZ1194="Dinheiro","Alterar forma pgto")</f>
        <v/>
      </c>
      <c r="BD1194" s="276" t="str" cm="1">
        <f t="array" ref="BD1194">IF(F1194=0," ",IF(BC1194&lt;BB1194,(_xlfn.IFS(AW1194="SIM",SUM(L1194,Q1194,V1194,AA1194,AF1194,AK1194,AP1194,AU1194)+AX1194/_xlfn.XLOOKUP(_xlfn.XLOOKUP($F1194,Clientes!$B$4:$B$39,Clientes!$C$4:$C$39),Cadastros!$L$6:$L$12,Cadastros!$M$6:$M$12)+IF($F1194="Bernardino Furlan",AY1194/2751.92,IF($F1194="Mauro José Salanti",AY1194/2751.92,AY1194/3356)),F1194&lt;&gt;0,SUM(L1194,Q1194,V1194,AA1194,AF1194,AK1194,AP1194,AU1194)))*(1-0.03),_xlfn.IFS(AW1194="SIM",SUM(L1194,Q1194,V1194,AA1194,AF1194,AK1194,AP1194,AU1194)+AX1194/_xlfn.XLOOKUP(_xlfn.XLOOKUP($F1194,Clientes!$B$4:$B$39,Clientes!$C$4:$C$39),Cadastros!$L$6:$L$12,Cadastros!$M$6:$M$12)+IF($F1194="Bernardino Furlan",AY1194/2751.92,IF($F1194="Mauro José Salanti",AY1194/2751.92,AY1194/3356)),F1194&lt;&gt;0,SUM(L1194,Q1194,V1194,AA1194,AF1194,AK1194,AP1194,AU1194))))</f>
        <v xml:space="preserve"> </v>
      </c>
      <c r="BE1194" s="120"/>
      <c r="BF1194" s="120"/>
      <c r="BG1194" s="120"/>
    </row>
    <row r="1195" spans="1:59" s="3" customFormat="1" x14ac:dyDescent="0.3">
      <c r="A1195" s="15" t="str">
        <f t="shared" si="234"/>
        <v/>
      </c>
      <c r="B1195" s="25"/>
      <c r="C1195" s="26"/>
      <c r="D1195" s="279"/>
      <c r="E1195" s="27"/>
      <c r="F1195" s="28"/>
      <c r="G1195" s="27"/>
      <c r="H1195" s="28"/>
      <c r="I1195" s="28"/>
      <c r="J1195" s="255" t="str">
        <f>IF(H1195="","",(_xlfn.XLOOKUP(H1195,Cadastros!$D$6:$D$90,Cadastros!$E$6:$E$90))*(1-_xlfn.XLOOKUP(_xlfn.XLOOKUP($F1195,Clientes!$B$4:$B$39,Clientes!$C$4:$C$39),Cadastros!$L$6:$L$12,Cadastros!$N$6:$N$12)))</f>
        <v/>
      </c>
      <c r="K1195" s="168" t="str">
        <f t="shared" si="235"/>
        <v/>
      </c>
      <c r="L1195" s="168" t="str">
        <f>IFERROR(K1195/_xlfn.XLOOKUP(_xlfn.XLOOKUP($F1195,Clientes!$B$4:$B$39,Clientes!$C$4:$C$39),Cadastros!$L$6:$L$12,Cadastros!$M$6:$M$12)," ")</f>
        <v xml:space="preserve"> </v>
      </c>
      <c r="M1195" s="28"/>
      <c r="N1195" s="28"/>
      <c r="O1195" s="255" t="str">
        <f>IF(M1195="","",(_xlfn.XLOOKUP(M1195,Cadastros!$D$6:$D$90,Cadastros!$E$6:$E$90))*(1-_xlfn.XLOOKUP(_xlfn.XLOOKUP($F1195,Clientes!$B$4:$B$39,Clientes!$C$4:$C$39),Cadastros!$L$6:$L$12,Cadastros!$N$6:$N$12)))</f>
        <v/>
      </c>
      <c r="P1195" s="168" t="str">
        <f t="shared" si="236"/>
        <v/>
      </c>
      <c r="Q1195" s="168" t="str">
        <f>IFERROR(P1195/_xlfn.XLOOKUP(_xlfn.XLOOKUP($F1195,Clientes!$B$4:$B$39,Clientes!$C$4:$C$39),Cadastros!$L$6:$L$12,Cadastros!$M$6:$M$12)," ")</f>
        <v xml:space="preserve"> </v>
      </c>
      <c r="R1195" s="28"/>
      <c r="S1195" s="28"/>
      <c r="T1195" s="255" t="str">
        <f>IF(R1195="","",(_xlfn.XLOOKUP(R1195,Cadastros!$D$6:$D$90,Cadastros!$E$6:$E$90))*(1-_xlfn.XLOOKUP(_xlfn.XLOOKUP($F1195,Clientes!$B$4:$B$39,Clientes!$C$4:$C$39),Cadastros!$L$6:$L$12,Cadastros!$N$6:$N$12)))</f>
        <v/>
      </c>
      <c r="U1195" s="168" t="str">
        <f t="shared" si="237"/>
        <v/>
      </c>
      <c r="V1195" s="168" t="str">
        <f>IFERROR(U1195/_xlfn.XLOOKUP(_xlfn.XLOOKUP($F1195,Clientes!$B$4:$B$39,Clientes!$C$4:$C$39),Cadastros!$L$6:$L$12,Cadastros!$M$6:$M$12)," ")</f>
        <v xml:space="preserve"> </v>
      </c>
      <c r="W1195" s="28"/>
      <c r="X1195" s="28"/>
      <c r="Y1195" s="255" t="str">
        <f>IF(W1195="","",(_xlfn.XLOOKUP(W1195,Cadastros!$D$6:$D$90,Cadastros!$E$6:$E$90))*(1-_xlfn.XLOOKUP(_xlfn.XLOOKUP($F1195,Clientes!$B$4:$B$39,Clientes!$C$4:$C$39),Cadastros!$L$6:$L$12,Cadastros!$N$6:$N$12)))</f>
        <v/>
      </c>
      <c r="Z1195" s="168" t="str">
        <f t="shared" si="238"/>
        <v/>
      </c>
      <c r="AA1195" s="168" t="str">
        <f>IFERROR(Z1195/_xlfn.XLOOKUP(_xlfn.XLOOKUP($F1195,Clientes!$B$4:$B$39,Clientes!$C$4:$C$39),Cadastros!$L$6:$L$12,Cadastros!$M$6:$M$12)," ")</f>
        <v xml:space="preserve"> </v>
      </c>
      <c r="AB1195" s="28"/>
      <c r="AC1195" s="28"/>
      <c r="AD1195" s="20" t="str">
        <f>IF(AB1195="","",IF($F1195="Bernardino Furlan",_xlfn.XLOOKUP(AB1195,Cadastros!$G$6:$G$90,Cadastros!$H$6:$H$90)*(1-0.18),IF($F1195="Mauro José Salanti",_xlfn.XLOOKUP(AB1195,Cadastros!$G$6:$G$90,Cadastros!$H$6:$H$90)*(1-0.18),_xlfn.XLOOKUP(AB1195,Cadastros!$G$6:$G$90,Cadastros!$H$6:$H$90))))</f>
        <v/>
      </c>
      <c r="AE1195" s="168" t="str">
        <f t="shared" si="239"/>
        <v/>
      </c>
      <c r="AF1195" s="168" t="str">
        <f t="shared" si="240"/>
        <v/>
      </c>
      <c r="AG1195" s="28"/>
      <c r="AH1195" s="28"/>
      <c r="AI1195" s="20" t="str">
        <f>IF(AG1195="","",IF($F1195="Bernardino Furlan",_xlfn.XLOOKUP(AG1195,Cadastros!$G$6:$G$90,Cadastros!$H$6:$H$90)*(1-0.18),IF($F1195="Mauro José Salanti",_xlfn.XLOOKUP(AG1195,Cadastros!$G$6:$G$90,Cadastros!$H$6:$H$90)*(1-0.18),_xlfn.XLOOKUP(AG1195,Cadastros!$G$6:$G$90,Cadastros!$H$6:$H$90))))</f>
        <v/>
      </c>
      <c r="AJ1195" s="168" t="str">
        <f t="shared" si="241"/>
        <v/>
      </c>
      <c r="AK1195" s="168" t="str">
        <f t="shared" si="242"/>
        <v/>
      </c>
      <c r="AL1195" s="28"/>
      <c r="AM1195" s="28"/>
      <c r="AN1195" s="20" t="str">
        <f>IF(AL1195="","",IF($F1195="Bernardino Furlan",_xlfn.XLOOKUP(AL1195,Cadastros!$G$6:$G$90,Cadastros!$H$6:$H$90)*(1-0.18),IF($F1195="Mauro José Salanti",_xlfn.XLOOKUP(AL1195,Cadastros!$G$6:$G$90,Cadastros!$H$6:$H$90)*(1-0.18),_xlfn.XLOOKUP(AL1195,Cadastros!$G$6:$G$90,Cadastros!$H$6:$H$90))))</f>
        <v/>
      </c>
      <c r="AO1195" s="168" t="str">
        <f t="shared" si="243"/>
        <v/>
      </c>
      <c r="AP1195" s="168" t="str">
        <f t="shared" si="244"/>
        <v/>
      </c>
      <c r="AQ1195" s="28"/>
      <c r="AR1195" s="28"/>
      <c r="AS1195" s="20" t="str">
        <f>IF(AQ1195="","",IF($F1195="Bernardino Furlan",_xlfn.XLOOKUP(AQ1195,Cadastros!$G$6:$G$90,Cadastros!$H$6:$H$90)*(1-0.18),IF($F1195="Mauro José Salanti",_xlfn.XLOOKUP(AQ1195,Cadastros!$G$6:$G$90,Cadastros!$H$6:$H$90)*(1-0.18),_xlfn.XLOOKUP(AQ1195,Cadastros!$G$6:$G$90,Cadastros!$H$6:$H$90))))</f>
        <v/>
      </c>
      <c r="AT1195" s="168" t="str">
        <f t="shared" si="245"/>
        <v/>
      </c>
      <c r="AU1195" s="168" t="str">
        <f t="shared" si="246"/>
        <v/>
      </c>
      <c r="AV1195" s="227"/>
      <c r="AW1195" s="30"/>
      <c r="AX1195" s="267"/>
      <c r="AY1195" s="267"/>
      <c r="AZ1195" s="29"/>
      <c r="BA1195" s="30"/>
      <c r="BB1195" s="23" t="str" cm="1">
        <f t="array" ref="BB1195">_xlfn.IFS(AW1195="SIM",SUM(K1195,P1195,U1195,Z1195,AE1195,AJ1195,AO1195,AT1195,AX1195,AY1195),F1195&lt;&gt;"",SUM(K1195,P1195,U1195,Z1195,AE1195,AJ1195,,AO1195,AT1195),F1195="","")</f>
        <v/>
      </c>
      <c r="BC1195" s="211" t="str" cm="1">
        <f t="array" ref="BC1195">_xlfn.IFS(E1195="","",G1195&lt;=E1195,BB1195*(1-0.03),G1195&lt;(E1195+8),BB1195,AZ1195="Boleto",BB1195*(1+0.001)^DATEDIF(E1195,G1195,"D"),AZ1195="Cheque",BB1195,AZ1195="Dinheiro","Alterar forma pgto")</f>
        <v/>
      </c>
      <c r="BD1195" s="276" t="str" cm="1">
        <f t="array" ref="BD1195">IF(F1195=0," ",IF(BC1195&lt;BB1195,(_xlfn.IFS(AW1195="SIM",SUM(L1195,Q1195,V1195,AA1195,AF1195,AK1195,AP1195,AU1195)+AX1195/_xlfn.XLOOKUP(_xlfn.XLOOKUP($F1195,Clientes!$B$4:$B$39,Clientes!$C$4:$C$39),Cadastros!$L$6:$L$12,Cadastros!$M$6:$M$12)+IF($F1195="Bernardino Furlan",AY1195/2751.92,IF($F1195="Mauro José Salanti",AY1195/2751.92,AY1195/3356)),F1195&lt;&gt;0,SUM(L1195,Q1195,V1195,AA1195,AF1195,AK1195,AP1195,AU1195)))*(1-0.03),_xlfn.IFS(AW1195="SIM",SUM(L1195,Q1195,V1195,AA1195,AF1195,AK1195,AP1195,AU1195)+AX1195/_xlfn.XLOOKUP(_xlfn.XLOOKUP($F1195,Clientes!$B$4:$B$39,Clientes!$C$4:$C$39),Cadastros!$L$6:$L$12,Cadastros!$M$6:$M$12)+IF($F1195="Bernardino Furlan",AY1195/2751.92,IF($F1195="Mauro José Salanti",AY1195/2751.92,AY1195/3356)),F1195&lt;&gt;0,SUM(L1195,Q1195,V1195,AA1195,AF1195,AK1195,AP1195,AU1195))))</f>
        <v xml:space="preserve"> </v>
      </c>
      <c r="BE1195" s="120"/>
      <c r="BF1195" s="120"/>
      <c r="BG1195" s="120"/>
    </row>
    <row r="1196" spans="1:59" s="3" customFormat="1" x14ac:dyDescent="0.3">
      <c r="A1196" s="15" t="str">
        <f t="shared" si="234"/>
        <v/>
      </c>
      <c r="B1196" s="25"/>
      <c r="C1196" s="26"/>
      <c r="D1196" s="279"/>
      <c r="E1196" s="27"/>
      <c r="F1196" s="28"/>
      <c r="G1196" s="27"/>
      <c r="H1196" s="28"/>
      <c r="I1196" s="28"/>
      <c r="J1196" s="255" t="str">
        <f>IF(H1196="","",(_xlfn.XLOOKUP(H1196,Cadastros!$D$6:$D$90,Cadastros!$E$6:$E$90))*(1-_xlfn.XLOOKUP(_xlfn.XLOOKUP($F1196,Clientes!$B$4:$B$39,Clientes!$C$4:$C$39),Cadastros!$L$6:$L$12,Cadastros!$N$6:$N$12)))</f>
        <v/>
      </c>
      <c r="K1196" s="168" t="str">
        <f t="shared" si="235"/>
        <v/>
      </c>
      <c r="L1196" s="168" t="str">
        <f>IFERROR(K1196/_xlfn.XLOOKUP(_xlfn.XLOOKUP($F1196,Clientes!$B$4:$B$39,Clientes!$C$4:$C$39),Cadastros!$L$6:$L$12,Cadastros!$M$6:$M$12)," ")</f>
        <v xml:space="preserve"> </v>
      </c>
      <c r="M1196" s="28"/>
      <c r="N1196" s="28"/>
      <c r="O1196" s="255" t="str">
        <f>IF(M1196="","",(_xlfn.XLOOKUP(M1196,Cadastros!$D$6:$D$90,Cadastros!$E$6:$E$90))*(1-_xlfn.XLOOKUP(_xlfn.XLOOKUP($F1196,Clientes!$B$4:$B$39,Clientes!$C$4:$C$39),Cadastros!$L$6:$L$12,Cadastros!$N$6:$N$12)))</f>
        <v/>
      </c>
      <c r="P1196" s="168" t="str">
        <f t="shared" si="236"/>
        <v/>
      </c>
      <c r="Q1196" s="168" t="str">
        <f>IFERROR(P1196/_xlfn.XLOOKUP(_xlfn.XLOOKUP($F1196,Clientes!$B$4:$B$39,Clientes!$C$4:$C$39),Cadastros!$L$6:$L$12,Cadastros!$M$6:$M$12)," ")</f>
        <v xml:space="preserve"> </v>
      </c>
      <c r="R1196" s="28"/>
      <c r="S1196" s="28"/>
      <c r="T1196" s="255" t="str">
        <f>IF(R1196="","",(_xlfn.XLOOKUP(R1196,Cadastros!$D$6:$D$90,Cadastros!$E$6:$E$90))*(1-_xlfn.XLOOKUP(_xlfn.XLOOKUP($F1196,Clientes!$B$4:$B$39,Clientes!$C$4:$C$39),Cadastros!$L$6:$L$12,Cadastros!$N$6:$N$12)))</f>
        <v/>
      </c>
      <c r="U1196" s="168" t="str">
        <f t="shared" si="237"/>
        <v/>
      </c>
      <c r="V1196" s="168" t="str">
        <f>IFERROR(U1196/_xlfn.XLOOKUP(_xlfn.XLOOKUP($F1196,Clientes!$B$4:$B$39,Clientes!$C$4:$C$39),Cadastros!$L$6:$L$12,Cadastros!$M$6:$M$12)," ")</f>
        <v xml:space="preserve"> </v>
      </c>
      <c r="W1196" s="28"/>
      <c r="X1196" s="28"/>
      <c r="Y1196" s="255" t="str">
        <f>IF(W1196="","",(_xlfn.XLOOKUP(W1196,Cadastros!$D$6:$D$90,Cadastros!$E$6:$E$90))*(1-_xlfn.XLOOKUP(_xlfn.XLOOKUP($F1196,Clientes!$B$4:$B$39,Clientes!$C$4:$C$39),Cadastros!$L$6:$L$12,Cadastros!$N$6:$N$12)))</f>
        <v/>
      </c>
      <c r="Z1196" s="168" t="str">
        <f t="shared" si="238"/>
        <v/>
      </c>
      <c r="AA1196" s="168" t="str">
        <f>IFERROR(Z1196/_xlfn.XLOOKUP(_xlfn.XLOOKUP($F1196,Clientes!$B$4:$B$39,Clientes!$C$4:$C$39),Cadastros!$L$6:$L$12,Cadastros!$M$6:$M$12)," ")</f>
        <v xml:space="preserve"> </v>
      </c>
      <c r="AB1196" s="28"/>
      <c r="AC1196" s="28"/>
      <c r="AD1196" s="20" t="str">
        <f>IF(AB1196="","",IF($F1196="Bernardino Furlan",_xlfn.XLOOKUP(AB1196,Cadastros!$G$6:$G$90,Cadastros!$H$6:$H$90)*(1-0.18),IF($F1196="Mauro José Salanti",_xlfn.XLOOKUP(AB1196,Cadastros!$G$6:$G$90,Cadastros!$H$6:$H$90)*(1-0.18),_xlfn.XLOOKUP(AB1196,Cadastros!$G$6:$G$90,Cadastros!$H$6:$H$90))))</f>
        <v/>
      </c>
      <c r="AE1196" s="168" t="str">
        <f t="shared" si="239"/>
        <v/>
      </c>
      <c r="AF1196" s="168" t="str">
        <f t="shared" si="240"/>
        <v/>
      </c>
      <c r="AG1196" s="28"/>
      <c r="AH1196" s="28"/>
      <c r="AI1196" s="20" t="str">
        <f>IF(AG1196="","",IF($F1196="Bernardino Furlan",_xlfn.XLOOKUP(AG1196,Cadastros!$G$6:$G$90,Cadastros!$H$6:$H$90)*(1-0.18),IF($F1196="Mauro José Salanti",_xlfn.XLOOKUP(AG1196,Cadastros!$G$6:$G$90,Cadastros!$H$6:$H$90)*(1-0.18),_xlfn.XLOOKUP(AG1196,Cadastros!$G$6:$G$90,Cadastros!$H$6:$H$90))))</f>
        <v/>
      </c>
      <c r="AJ1196" s="168" t="str">
        <f t="shared" si="241"/>
        <v/>
      </c>
      <c r="AK1196" s="168" t="str">
        <f t="shared" si="242"/>
        <v/>
      </c>
      <c r="AL1196" s="28"/>
      <c r="AM1196" s="28"/>
      <c r="AN1196" s="20" t="str">
        <f>IF(AL1196="","",IF($F1196="Bernardino Furlan",_xlfn.XLOOKUP(AL1196,Cadastros!$G$6:$G$90,Cadastros!$H$6:$H$90)*(1-0.18),IF($F1196="Mauro José Salanti",_xlfn.XLOOKUP(AL1196,Cadastros!$G$6:$G$90,Cadastros!$H$6:$H$90)*(1-0.18),_xlfn.XLOOKUP(AL1196,Cadastros!$G$6:$G$90,Cadastros!$H$6:$H$90))))</f>
        <v/>
      </c>
      <c r="AO1196" s="168" t="str">
        <f t="shared" si="243"/>
        <v/>
      </c>
      <c r="AP1196" s="168" t="str">
        <f t="shared" si="244"/>
        <v/>
      </c>
      <c r="AQ1196" s="28"/>
      <c r="AR1196" s="28"/>
      <c r="AS1196" s="20" t="str">
        <f>IF(AQ1196="","",IF($F1196="Bernardino Furlan",_xlfn.XLOOKUP(AQ1196,Cadastros!$G$6:$G$90,Cadastros!$H$6:$H$90)*(1-0.18),IF($F1196="Mauro José Salanti",_xlfn.XLOOKUP(AQ1196,Cadastros!$G$6:$G$90,Cadastros!$H$6:$H$90)*(1-0.18),_xlfn.XLOOKUP(AQ1196,Cadastros!$G$6:$G$90,Cadastros!$H$6:$H$90))))</f>
        <v/>
      </c>
      <c r="AT1196" s="168" t="str">
        <f t="shared" si="245"/>
        <v/>
      </c>
      <c r="AU1196" s="168" t="str">
        <f t="shared" si="246"/>
        <v/>
      </c>
      <c r="AV1196" s="227"/>
      <c r="AW1196" s="30"/>
      <c r="AX1196" s="267"/>
      <c r="AY1196" s="267"/>
      <c r="AZ1196" s="29"/>
      <c r="BA1196" s="30"/>
      <c r="BB1196" s="23" t="str" cm="1">
        <f t="array" ref="BB1196">_xlfn.IFS(AW1196="SIM",SUM(K1196,P1196,U1196,Z1196,AE1196,AJ1196,AO1196,AT1196,AX1196,AY1196),F1196&lt;&gt;"",SUM(K1196,P1196,U1196,Z1196,AE1196,AJ1196,,AO1196,AT1196),F1196="","")</f>
        <v/>
      </c>
      <c r="BC1196" s="211" t="str" cm="1">
        <f t="array" ref="BC1196">_xlfn.IFS(E1196="","",G1196&lt;=E1196,BB1196*(1-0.03),G1196&lt;(E1196+8),BB1196,AZ1196="Boleto",BB1196*(1+0.001)^DATEDIF(E1196,G1196,"D"),AZ1196="Cheque",BB1196,AZ1196="Dinheiro","Alterar forma pgto")</f>
        <v/>
      </c>
      <c r="BD1196" s="276" t="str" cm="1">
        <f t="array" ref="BD1196">IF(F1196=0," ",IF(BC1196&lt;BB1196,(_xlfn.IFS(AW1196="SIM",SUM(L1196,Q1196,V1196,AA1196,AF1196,AK1196,AP1196,AU1196)+AX1196/_xlfn.XLOOKUP(_xlfn.XLOOKUP($F1196,Clientes!$B$4:$B$39,Clientes!$C$4:$C$39),Cadastros!$L$6:$L$12,Cadastros!$M$6:$M$12)+IF($F1196="Bernardino Furlan",AY1196/2751.92,IF($F1196="Mauro José Salanti",AY1196/2751.92,AY1196/3356)),F1196&lt;&gt;0,SUM(L1196,Q1196,V1196,AA1196,AF1196,AK1196,AP1196,AU1196)))*(1-0.03),_xlfn.IFS(AW1196="SIM",SUM(L1196,Q1196,V1196,AA1196,AF1196,AK1196,AP1196,AU1196)+AX1196/_xlfn.XLOOKUP(_xlfn.XLOOKUP($F1196,Clientes!$B$4:$B$39,Clientes!$C$4:$C$39),Cadastros!$L$6:$L$12,Cadastros!$M$6:$M$12)+IF($F1196="Bernardino Furlan",AY1196/2751.92,IF($F1196="Mauro José Salanti",AY1196/2751.92,AY1196/3356)),F1196&lt;&gt;0,SUM(L1196,Q1196,V1196,AA1196,AF1196,AK1196,AP1196,AU1196))))</f>
        <v xml:space="preserve"> </v>
      </c>
      <c r="BE1196" s="120"/>
      <c r="BF1196" s="120"/>
      <c r="BG1196" s="120"/>
    </row>
    <row r="1197" spans="1:59" s="3" customFormat="1" x14ac:dyDescent="0.3">
      <c r="A1197" s="15" t="str">
        <f t="shared" si="234"/>
        <v/>
      </c>
      <c r="B1197" s="25"/>
      <c r="C1197" s="26"/>
      <c r="D1197" s="279"/>
      <c r="E1197" s="27"/>
      <c r="F1197" s="28"/>
      <c r="G1197" s="27"/>
      <c r="H1197" s="28"/>
      <c r="I1197" s="28"/>
      <c r="J1197" s="255" t="str">
        <f>IF(H1197="","",(_xlfn.XLOOKUP(H1197,Cadastros!$D$6:$D$90,Cadastros!$E$6:$E$90))*(1-_xlfn.XLOOKUP(_xlfn.XLOOKUP($F1197,Clientes!$B$4:$B$39,Clientes!$C$4:$C$39),Cadastros!$L$6:$L$12,Cadastros!$N$6:$N$12)))</f>
        <v/>
      </c>
      <c r="K1197" s="168" t="str">
        <f t="shared" si="235"/>
        <v/>
      </c>
      <c r="L1197" s="168" t="str">
        <f>IFERROR(K1197/_xlfn.XLOOKUP(_xlfn.XLOOKUP($F1197,Clientes!$B$4:$B$39,Clientes!$C$4:$C$39),Cadastros!$L$6:$L$12,Cadastros!$M$6:$M$12)," ")</f>
        <v xml:space="preserve"> </v>
      </c>
      <c r="M1197" s="28"/>
      <c r="N1197" s="28"/>
      <c r="O1197" s="255" t="str">
        <f>IF(M1197="","",(_xlfn.XLOOKUP(M1197,Cadastros!$D$6:$D$90,Cadastros!$E$6:$E$90))*(1-_xlfn.XLOOKUP(_xlfn.XLOOKUP($F1197,Clientes!$B$4:$B$39,Clientes!$C$4:$C$39),Cadastros!$L$6:$L$12,Cadastros!$N$6:$N$12)))</f>
        <v/>
      </c>
      <c r="P1197" s="168" t="str">
        <f t="shared" si="236"/>
        <v/>
      </c>
      <c r="Q1197" s="168" t="str">
        <f>IFERROR(P1197/_xlfn.XLOOKUP(_xlfn.XLOOKUP($F1197,Clientes!$B$4:$B$39,Clientes!$C$4:$C$39),Cadastros!$L$6:$L$12,Cadastros!$M$6:$M$12)," ")</f>
        <v xml:space="preserve"> </v>
      </c>
      <c r="R1197" s="28"/>
      <c r="S1197" s="28"/>
      <c r="T1197" s="255" t="str">
        <f>IF(R1197="","",(_xlfn.XLOOKUP(R1197,Cadastros!$D$6:$D$90,Cadastros!$E$6:$E$90))*(1-_xlfn.XLOOKUP(_xlfn.XLOOKUP($F1197,Clientes!$B$4:$B$39,Clientes!$C$4:$C$39),Cadastros!$L$6:$L$12,Cadastros!$N$6:$N$12)))</f>
        <v/>
      </c>
      <c r="U1197" s="168" t="str">
        <f t="shared" si="237"/>
        <v/>
      </c>
      <c r="V1197" s="168" t="str">
        <f>IFERROR(U1197/_xlfn.XLOOKUP(_xlfn.XLOOKUP($F1197,Clientes!$B$4:$B$39,Clientes!$C$4:$C$39),Cadastros!$L$6:$L$12,Cadastros!$M$6:$M$12)," ")</f>
        <v xml:space="preserve"> </v>
      </c>
      <c r="W1197" s="28"/>
      <c r="X1197" s="28"/>
      <c r="Y1197" s="255" t="str">
        <f>IF(W1197="","",(_xlfn.XLOOKUP(W1197,Cadastros!$D$6:$D$90,Cadastros!$E$6:$E$90))*(1-_xlfn.XLOOKUP(_xlfn.XLOOKUP($F1197,Clientes!$B$4:$B$39,Clientes!$C$4:$C$39),Cadastros!$L$6:$L$12,Cadastros!$N$6:$N$12)))</f>
        <v/>
      </c>
      <c r="Z1197" s="168" t="str">
        <f t="shared" si="238"/>
        <v/>
      </c>
      <c r="AA1197" s="168" t="str">
        <f>IFERROR(Z1197/_xlfn.XLOOKUP(_xlfn.XLOOKUP($F1197,Clientes!$B$4:$B$39,Clientes!$C$4:$C$39),Cadastros!$L$6:$L$12,Cadastros!$M$6:$M$12)," ")</f>
        <v xml:space="preserve"> </v>
      </c>
      <c r="AB1197" s="28"/>
      <c r="AC1197" s="28"/>
      <c r="AD1197" s="20" t="str">
        <f>IF(AB1197="","",IF($F1197="Bernardino Furlan",_xlfn.XLOOKUP(AB1197,Cadastros!$G$6:$G$90,Cadastros!$H$6:$H$90)*(1-0.18),IF($F1197="Mauro José Salanti",_xlfn.XLOOKUP(AB1197,Cadastros!$G$6:$G$90,Cadastros!$H$6:$H$90)*(1-0.18),_xlfn.XLOOKUP(AB1197,Cadastros!$G$6:$G$90,Cadastros!$H$6:$H$90))))</f>
        <v/>
      </c>
      <c r="AE1197" s="168" t="str">
        <f t="shared" si="239"/>
        <v/>
      </c>
      <c r="AF1197" s="168" t="str">
        <f t="shared" si="240"/>
        <v/>
      </c>
      <c r="AG1197" s="28"/>
      <c r="AH1197" s="28"/>
      <c r="AI1197" s="20" t="str">
        <f>IF(AG1197="","",IF($F1197="Bernardino Furlan",_xlfn.XLOOKUP(AG1197,Cadastros!$G$6:$G$90,Cadastros!$H$6:$H$90)*(1-0.18),IF($F1197="Mauro José Salanti",_xlfn.XLOOKUP(AG1197,Cadastros!$G$6:$G$90,Cadastros!$H$6:$H$90)*(1-0.18),_xlfn.XLOOKUP(AG1197,Cadastros!$G$6:$G$90,Cadastros!$H$6:$H$90))))</f>
        <v/>
      </c>
      <c r="AJ1197" s="168" t="str">
        <f t="shared" si="241"/>
        <v/>
      </c>
      <c r="AK1197" s="168" t="str">
        <f t="shared" si="242"/>
        <v/>
      </c>
      <c r="AL1197" s="28"/>
      <c r="AM1197" s="28"/>
      <c r="AN1197" s="20" t="str">
        <f>IF(AL1197="","",IF($F1197="Bernardino Furlan",_xlfn.XLOOKUP(AL1197,Cadastros!$G$6:$G$90,Cadastros!$H$6:$H$90)*(1-0.18),IF($F1197="Mauro José Salanti",_xlfn.XLOOKUP(AL1197,Cadastros!$G$6:$G$90,Cadastros!$H$6:$H$90)*(1-0.18),_xlfn.XLOOKUP(AL1197,Cadastros!$G$6:$G$90,Cadastros!$H$6:$H$90))))</f>
        <v/>
      </c>
      <c r="AO1197" s="168" t="str">
        <f t="shared" si="243"/>
        <v/>
      </c>
      <c r="AP1197" s="168" t="str">
        <f t="shared" si="244"/>
        <v/>
      </c>
      <c r="AQ1197" s="28"/>
      <c r="AR1197" s="28"/>
      <c r="AS1197" s="20" t="str">
        <f>IF(AQ1197="","",IF($F1197="Bernardino Furlan",_xlfn.XLOOKUP(AQ1197,Cadastros!$G$6:$G$90,Cadastros!$H$6:$H$90)*(1-0.18),IF($F1197="Mauro José Salanti",_xlfn.XLOOKUP(AQ1197,Cadastros!$G$6:$G$90,Cadastros!$H$6:$H$90)*(1-0.18),_xlfn.XLOOKUP(AQ1197,Cadastros!$G$6:$G$90,Cadastros!$H$6:$H$90))))</f>
        <v/>
      </c>
      <c r="AT1197" s="168" t="str">
        <f t="shared" si="245"/>
        <v/>
      </c>
      <c r="AU1197" s="168" t="str">
        <f t="shared" si="246"/>
        <v/>
      </c>
      <c r="AV1197" s="227"/>
      <c r="AW1197" s="30"/>
      <c r="AX1197" s="267"/>
      <c r="AY1197" s="267"/>
      <c r="AZ1197" s="29"/>
      <c r="BA1197" s="30"/>
      <c r="BB1197" s="23" t="str" cm="1">
        <f t="array" ref="BB1197">_xlfn.IFS(AW1197="SIM",SUM(K1197,P1197,U1197,Z1197,AE1197,AJ1197,AO1197,AT1197,AX1197,AY1197),F1197&lt;&gt;"",SUM(K1197,P1197,U1197,Z1197,AE1197,AJ1197,,AO1197,AT1197),F1197="","")</f>
        <v/>
      </c>
      <c r="BC1197" s="211" t="str" cm="1">
        <f t="array" ref="BC1197">_xlfn.IFS(E1197="","",G1197&lt;=E1197,BB1197*(1-0.03),G1197&lt;(E1197+8),BB1197,AZ1197="Boleto",BB1197*(1+0.001)^DATEDIF(E1197,G1197,"D"),AZ1197="Cheque",BB1197,AZ1197="Dinheiro","Alterar forma pgto")</f>
        <v/>
      </c>
      <c r="BD1197" s="276" t="str" cm="1">
        <f t="array" ref="BD1197">IF(F1197=0," ",IF(BC1197&lt;BB1197,(_xlfn.IFS(AW1197="SIM",SUM(L1197,Q1197,V1197,AA1197,AF1197,AK1197,AP1197,AU1197)+AX1197/_xlfn.XLOOKUP(_xlfn.XLOOKUP($F1197,Clientes!$B$4:$B$39,Clientes!$C$4:$C$39),Cadastros!$L$6:$L$12,Cadastros!$M$6:$M$12)+IF($F1197="Bernardino Furlan",AY1197/2751.92,IF($F1197="Mauro José Salanti",AY1197/2751.92,AY1197/3356)),F1197&lt;&gt;0,SUM(L1197,Q1197,V1197,AA1197,AF1197,AK1197,AP1197,AU1197)))*(1-0.03),_xlfn.IFS(AW1197="SIM",SUM(L1197,Q1197,V1197,AA1197,AF1197,AK1197,AP1197,AU1197)+AX1197/_xlfn.XLOOKUP(_xlfn.XLOOKUP($F1197,Clientes!$B$4:$B$39,Clientes!$C$4:$C$39),Cadastros!$L$6:$L$12,Cadastros!$M$6:$M$12)+IF($F1197="Bernardino Furlan",AY1197/2751.92,IF($F1197="Mauro José Salanti",AY1197/2751.92,AY1197/3356)),F1197&lt;&gt;0,SUM(L1197,Q1197,V1197,AA1197,AF1197,AK1197,AP1197,AU1197))))</f>
        <v xml:space="preserve"> </v>
      </c>
      <c r="BE1197" s="120"/>
      <c r="BF1197" s="120"/>
      <c r="BG1197" s="120"/>
    </row>
    <row r="1198" spans="1:59" s="3" customFormat="1" x14ac:dyDescent="0.3">
      <c r="A1198" s="15" t="str">
        <f t="shared" si="234"/>
        <v/>
      </c>
      <c r="B1198" s="25"/>
      <c r="C1198" s="26"/>
      <c r="D1198" s="279"/>
      <c r="E1198" s="27"/>
      <c r="F1198" s="28"/>
      <c r="G1198" s="27"/>
      <c r="H1198" s="28"/>
      <c r="I1198" s="28"/>
      <c r="J1198" s="255" t="str">
        <f>IF(H1198="","",(_xlfn.XLOOKUP(H1198,Cadastros!$D$6:$D$90,Cadastros!$E$6:$E$90))*(1-_xlfn.XLOOKUP(_xlfn.XLOOKUP($F1198,Clientes!$B$4:$B$39,Clientes!$C$4:$C$39),Cadastros!$L$6:$L$12,Cadastros!$N$6:$N$12)))</f>
        <v/>
      </c>
      <c r="K1198" s="168" t="str">
        <f t="shared" si="235"/>
        <v/>
      </c>
      <c r="L1198" s="168" t="str">
        <f>IFERROR(K1198/_xlfn.XLOOKUP(_xlfn.XLOOKUP($F1198,Clientes!$B$4:$B$39,Clientes!$C$4:$C$39),Cadastros!$L$6:$L$12,Cadastros!$M$6:$M$12)," ")</f>
        <v xml:space="preserve"> </v>
      </c>
      <c r="M1198" s="28"/>
      <c r="N1198" s="28"/>
      <c r="O1198" s="255" t="str">
        <f>IF(M1198="","",(_xlfn.XLOOKUP(M1198,Cadastros!$D$6:$D$90,Cadastros!$E$6:$E$90))*(1-_xlfn.XLOOKUP(_xlfn.XLOOKUP($F1198,Clientes!$B$4:$B$39,Clientes!$C$4:$C$39),Cadastros!$L$6:$L$12,Cadastros!$N$6:$N$12)))</f>
        <v/>
      </c>
      <c r="P1198" s="168" t="str">
        <f t="shared" si="236"/>
        <v/>
      </c>
      <c r="Q1198" s="168" t="str">
        <f>IFERROR(P1198/_xlfn.XLOOKUP(_xlfn.XLOOKUP($F1198,Clientes!$B$4:$B$39,Clientes!$C$4:$C$39),Cadastros!$L$6:$L$12,Cadastros!$M$6:$M$12)," ")</f>
        <v xml:space="preserve"> </v>
      </c>
      <c r="R1198" s="28"/>
      <c r="S1198" s="28"/>
      <c r="T1198" s="255" t="str">
        <f>IF(R1198="","",(_xlfn.XLOOKUP(R1198,Cadastros!$D$6:$D$90,Cadastros!$E$6:$E$90))*(1-_xlfn.XLOOKUP(_xlfn.XLOOKUP($F1198,Clientes!$B$4:$B$39,Clientes!$C$4:$C$39),Cadastros!$L$6:$L$12,Cadastros!$N$6:$N$12)))</f>
        <v/>
      </c>
      <c r="U1198" s="168" t="str">
        <f t="shared" si="237"/>
        <v/>
      </c>
      <c r="V1198" s="168" t="str">
        <f>IFERROR(U1198/_xlfn.XLOOKUP(_xlfn.XLOOKUP($F1198,Clientes!$B$4:$B$39,Clientes!$C$4:$C$39),Cadastros!$L$6:$L$12,Cadastros!$M$6:$M$12)," ")</f>
        <v xml:space="preserve"> </v>
      </c>
      <c r="W1198" s="28"/>
      <c r="X1198" s="28"/>
      <c r="Y1198" s="255" t="str">
        <f>IF(W1198="","",(_xlfn.XLOOKUP(W1198,Cadastros!$D$6:$D$90,Cadastros!$E$6:$E$90))*(1-_xlfn.XLOOKUP(_xlfn.XLOOKUP($F1198,Clientes!$B$4:$B$39,Clientes!$C$4:$C$39),Cadastros!$L$6:$L$12,Cadastros!$N$6:$N$12)))</f>
        <v/>
      </c>
      <c r="Z1198" s="168" t="str">
        <f t="shared" si="238"/>
        <v/>
      </c>
      <c r="AA1198" s="168" t="str">
        <f>IFERROR(Z1198/_xlfn.XLOOKUP(_xlfn.XLOOKUP($F1198,Clientes!$B$4:$B$39,Clientes!$C$4:$C$39),Cadastros!$L$6:$L$12,Cadastros!$M$6:$M$12)," ")</f>
        <v xml:space="preserve"> </v>
      </c>
      <c r="AB1198" s="28"/>
      <c r="AC1198" s="28"/>
      <c r="AD1198" s="20" t="str">
        <f>IF(AB1198="","",IF($F1198="Bernardino Furlan",_xlfn.XLOOKUP(AB1198,Cadastros!$G$6:$G$90,Cadastros!$H$6:$H$90)*(1-0.18),IF($F1198="Mauro José Salanti",_xlfn.XLOOKUP(AB1198,Cadastros!$G$6:$G$90,Cadastros!$H$6:$H$90)*(1-0.18),_xlfn.XLOOKUP(AB1198,Cadastros!$G$6:$G$90,Cadastros!$H$6:$H$90))))</f>
        <v/>
      </c>
      <c r="AE1198" s="168" t="str">
        <f t="shared" si="239"/>
        <v/>
      </c>
      <c r="AF1198" s="168" t="str">
        <f t="shared" si="240"/>
        <v/>
      </c>
      <c r="AG1198" s="28"/>
      <c r="AH1198" s="28"/>
      <c r="AI1198" s="20" t="str">
        <f>IF(AG1198="","",IF($F1198="Bernardino Furlan",_xlfn.XLOOKUP(AG1198,Cadastros!$G$6:$G$90,Cadastros!$H$6:$H$90)*(1-0.18),IF($F1198="Mauro José Salanti",_xlfn.XLOOKUP(AG1198,Cadastros!$G$6:$G$90,Cadastros!$H$6:$H$90)*(1-0.18),_xlfn.XLOOKUP(AG1198,Cadastros!$G$6:$G$90,Cadastros!$H$6:$H$90))))</f>
        <v/>
      </c>
      <c r="AJ1198" s="168" t="str">
        <f t="shared" si="241"/>
        <v/>
      </c>
      <c r="AK1198" s="168" t="str">
        <f t="shared" si="242"/>
        <v/>
      </c>
      <c r="AL1198" s="28"/>
      <c r="AM1198" s="28"/>
      <c r="AN1198" s="20" t="str">
        <f>IF(AL1198="","",IF($F1198="Bernardino Furlan",_xlfn.XLOOKUP(AL1198,Cadastros!$G$6:$G$90,Cadastros!$H$6:$H$90)*(1-0.18),IF($F1198="Mauro José Salanti",_xlfn.XLOOKUP(AL1198,Cadastros!$G$6:$G$90,Cadastros!$H$6:$H$90)*(1-0.18),_xlfn.XLOOKUP(AL1198,Cadastros!$G$6:$G$90,Cadastros!$H$6:$H$90))))</f>
        <v/>
      </c>
      <c r="AO1198" s="168" t="str">
        <f t="shared" si="243"/>
        <v/>
      </c>
      <c r="AP1198" s="168" t="str">
        <f t="shared" si="244"/>
        <v/>
      </c>
      <c r="AQ1198" s="28"/>
      <c r="AR1198" s="28"/>
      <c r="AS1198" s="20" t="str">
        <f>IF(AQ1198="","",IF($F1198="Bernardino Furlan",_xlfn.XLOOKUP(AQ1198,Cadastros!$G$6:$G$90,Cadastros!$H$6:$H$90)*(1-0.18),IF($F1198="Mauro José Salanti",_xlfn.XLOOKUP(AQ1198,Cadastros!$G$6:$G$90,Cadastros!$H$6:$H$90)*(1-0.18),_xlfn.XLOOKUP(AQ1198,Cadastros!$G$6:$G$90,Cadastros!$H$6:$H$90))))</f>
        <v/>
      </c>
      <c r="AT1198" s="168" t="str">
        <f t="shared" si="245"/>
        <v/>
      </c>
      <c r="AU1198" s="168" t="str">
        <f t="shared" si="246"/>
        <v/>
      </c>
      <c r="AV1198" s="227"/>
      <c r="AW1198" s="30"/>
      <c r="AX1198" s="267"/>
      <c r="AY1198" s="267"/>
      <c r="AZ1198" s="29"/>
      <c r="BA1198" s="30"/>
      <c r="BB1198" s="23" t="str" cm="1">
        <f t="array" ref="BB1198">_xlfn.IFS(AW1198="SIM",SUM(K1198,P1198,U1198,Z1198,AE1198,AJ1198,AO1198,AT1198,AX1198,AY1198),F1198&lt;&gt;"",SUM(K1198,P1198,U1198,Z1198,AE1198,AJ1198,,AO1198,AT1198),F1198="","")</f>
        <v/>
      </c>
      <c r="BC1198" s="211" t="str" cm="1">
        <f t="array" ref="BC1198">_xlfn.IFS(E1198="","",G1198&lt;=E1198,BB1198*(1-0.03),G1198&lt;(E1198+8),BB1198,AZ1198="Boleto",BB1198*(1+0.001)^DATEDIF(E1198,G1198,"D"),AZ1198="Cheque",BB1198,AZ1198="Dinheiro","Alterar forma pgto")</f>
        <v/>
      </c>
      <c r="BD1198" s="276" t="str" cm="1">
        <f t="array" ref="BD1198">IF(F1198=0," ",IF(BC1198&lt;BB1198,(_xlfn.IFS(AW1198="SIM",SUM(L1198,Q1198,V1198,AA1198,AF1198,AK1198,AP1198,AU1198)+AX1198/_xlfn.XLOOKUP(_xlfn.XLOOKUP($F1198,Clientes!$B$4:$B$39,Clientes!$C$4:$C$39),Cadastros!$L$6:$L$12,Cadastros!$M$6:$M$12)+IF($F1198="Bernardino Furlan",AY1198/2751.92,IF($F1198="Mauro José Salanti",AY1198/2751.92,AY1198/3356)),F1198&lt;&gt;0,SUM(L1198,Q1198,V1198,AA1198,AF1198,AK1198,AP1198,AU1198)))*(1-0.03),_xlfn.IFS(AW1198="SIM",SUM(L1198,Q1198,V1198,AA1198,AF1198,AK1198,AP1198,AU1198)+AX1198/_xlfn.XLOOKUP(_xlfn.XLOOKUP($F1198,Clientes!$B$4:$B$39,Clientes!$C$4:$C$39),Cadastros!$L$6:$L$12,Cadastros!$M$6:$M$12)+IF($F1198="Bernardino Furlan",AY1198/2751.92,IF($F1198="Mauro José Salanti",AY1198/2751.92,AY1198/3356)),F1198&lt;&gt;0,SUM(L1198,Q1198,V1198,AA1198,AF1198,AK1198,AP1198,AU1198))))</f>
        <v xml:space="preserve"> </v>
      </c>
      <c r="BE1198" s="120"/>
      <c r="BF1198" s="120"/>
      <c r="BG1198" s="120"/>
    </row>
    <row r="1199" spans="1:59" s="3" customFormat="1" x14ac:dyDescent="0.3">
      <c r="A1199" s="15" t="str">
        <f t="shared" si="234"/>
        <v/>
      </c>
      <c r="B1199" s="25"/>
      <c r="C1199" s="26"/>
      <c r="D1199" s="279"/>
      <c r="E1199" s="27"/>
      <c r="F1199" s="28"/>
      <c r="G1199" s="27"/>
      <c r="H1199" s="28"/>
      <c r="I1199" s="28"/>
      <c r="J1199" s="255" t="str">
        <f>IF(H1199="","",(_xlfn.XLOOKUP(H1199,Cadastros!$D$6:$D$90,Cadastros!$E$6:$E$90))*(1-_xlfn.XLOOKUP(_xlfn.XLOOKUP($F1199,Clientes!$B$4:$B$39,Clientes!$C$4:$C$39),Cadastros!$L$6:$L$12,Cadastros!$N$6:$N$12)))</f>
        <v/>
      </c>
      <c r="K1199" s="168" t="str">
        <f t="shared" si="235"/>
        <v/>
      </c>
      <c r="L1199" s="168" t="str">
        <f>IFERROR(K1199/_xlfn.XLOOKUP(_xlfn.XLOOKUP($F1199,Clientes!$B$4:$B$39,Clientes!$C$4:$C$39),Cadastros!$L$6:$L$12,Cadastros!$M$6:$M$12)," ")</f>
        <v xml:space="preserve"> </v>
      </c>
      <c r="M1199" s="28"/>
      <c r="N1199" s="28"/>
      <c r="O1199" s="255" t="str">
        <f>IF(M1199="","",(_xlfn.XLOOKUP(M1199,Cadastros!$D$6:$D$90,Cadastros!$E$6:$E$90))*(1-_xlfn.XLOOKUP(_xlfn.XLOOKUP($F1199,Clientes!$B$4:$B$39,Clientes!$C$4:$C$39),Cadastros!$L$6:$L$12,Cadastros!$N$6:$N$12)))</f>
        <v/>
      </c>
      <c r="P1199" s="168" t="str">
        <f t="shared" si="236"/>
        <v/>
      </c>
      <c r="Q1199" s="168" t="str">
        <f>IFERROR(P1199/_xlfn.XLOOKUP(_xlfn.XLOOKUP($F1199,Clientes!$B$4:$B$39,Clientes!$C$4:$C$39),Cadastros!$L$6:$L$12,Cadastros!$M$6:$M$12)," ")</f>
        <v xml:space="preserve"> </v>
      </c>
      <c r="R1199" s="28"/>
      <c r="S1199" s="28"/>
      <c r="T1199" s="255" t="str">
        <f>IF(R1199="","",(_xlfn.XLOOKUP(R1199,Cadastros!$D$6:$D$90,Cadastros!$E$6:$E$90))*(1-_xlfn.XLOOKUP(_xlfn.XLOOKUP($F1199,Clientes!$B$4:$B$39,Clientes!$C$4:$C$39),Cadastros!$L$6:$L$12,Cadastros!$N$6:$N$12)))</f>
        <v/>
      </c>
      <c r="U1199" s="168" t="str">
        <f t="shared" si="237"/>
        <v/>
      </c>
      <c r="V1199" s="168" t="str">
        <f>IFERROR(U1199/_xlfn.XLOOKUP(_xlfn.XLOOKUP($F1199,Clientes!$B$4:$B$39,Clientes!$C$4:$C$39),Cadastros!$L$6:$L$12,Cadastros!$M$6:$M$12)," ")</f>
        <v xml:space="preserve"> </v>
      </c>
      <c r="W1199" s="28"/>
      <c r="X1199" s="28"/>
      <c r="Y1199" s="255" t="str">
        <f>IF(W1199="","",(_xlfn.XLOOKUP(W1199,Cadastros!$D$6:$D$90,Cadastros!$E$6:$E$90))*(1-_xlfn.XLOOKUP(_xlfn.XLOOKUP($F1199,Clientes!$B$4:$B$39,Clientes!$C$4:$C$39),Cadastros!$L$6:$L$12,Cadastros!$N$6:$N$12)))</f>
        <v/>
      </c>
      <c r="Z1199" s="168" t="str">
        <f t="shared" si="238"/>
        <v/>
      </c>
      <c r="AA1199" s="168" t="str">
        <f>IFERROR(Z1199/_xlfn.XLOOKUP(_xlfn.XLOOKUP($F1199,Clientes!$B$4:$B$39,Clientes!$C$4:$C$39),Cadastros!$L$6:$L$12,Cadastros!$M$6:$M$12)," ")</f>
        <v xml:space="preserve"> </v>
      </c>
      <c r="AB1199" s="28"/>
      <c r="AC1199" s="28"/>
      <c r="AD1199" s="20" t="str">
        <f>IF(AB1199="","",IF($F1199="Bernardino Furlan",_xlfn.XLOOKUP(AB1199,Cadastros!$G$6:$G$90,Cadastros!$H$6:$H$90)*(1-0.18),IF($F1199="Mauro José Salanti",_xlfn.XLOOKUP(AB1199,Cadastros!$G$6:$G$90,Cadastros!$H$6:$H$90)*(1-0.18),_xlfn.XLOOKUP(AB1199,Cadastros!$G$6:$G$90,Cadastros!$H$6:$H$90))))</f>
        <v/>
      </c>
      <c r="AE1199" s="168" t="str">
        <f t="shared" si="239"/>
        <v/>
      </c>
      <c r="AF1199" s="168" t="str">
        <f t="shared" si="240"/>
        <v/>
      </c>
      <c r="AG1199" s="28"/>
      <c r="AH1199" s="28"/>
      <c r="AI1199" s="20" t="str">
        <f>IF(AG1199="","",IF($F1199="Bernardino Furlan",_xlfn.XLOOKUP(AG1199,Cadastros!$G$6:$G$90,Cadastros!$H$6:$H$90)*(1-0.18),IF($F1199="Mauro José Salanti",_xlfn.XLOOKUP(AG1199,Cadastros!$G$6:$G$90,Cadastros!$H$6:$H$90)*(1-0.18),_xlfn.XLOOKUP(AG1199,Cadastros!$G$6:$G$90,Cadastros!$H$6:$H$90))))</f>
        <v/>
      </c>
      <c r="AJ1199" s="168" t="str">
        <f t="shared" si="241"/>
        <v/>
      </c>
      <c r="AK1199" s="168" t="str">
        <f t="shared" si="242"/>
        <v/>
      </c>
      <c r="AL1199" s="28"/>
      <c r="AM1199" s="28"/>
      <c r="AN1199" s="20" t="str">
        <f>IF(AL1199="","",IF($F1199="Bernardino Furlan",_xlfn.XLOOKUP(AL1199,Cadastros!$G$6:$G$90,Cadastros!$H$6:$H$90)*(1-0.18),IF($F1199="Mauro José Salanti",_xlfn.XLOOKUP(AL1199,Cadastros!$G$6:$G$90,Cadastros!$H$6:$H$90)*(1-0.18),_xlfn.XLOOKUP(AL1199,Cadastros!$G$6:$G$90,Cadastros!$H$6:$H$90))))</f>
        <v/>
      </c>
      <c r="AO1199" s="168" t="str">
        <f t="shared" si="243"/>
        <v/>
      </c>
      <c r="AP1199" s="168" t="str">
        <f t="shared" si="244"/>
        <v/>
      </c>
      <c r="AQ1199" s="28"/>
      <c r="AR1199" s="28"/>
      <c r="AS1199" s="20" t="str">
        <f>IF(AQ1199="","",IF($F1199="Bernardino Furlan",_xlfn.XLOOKUP(AQ1199,Cadastros!$G$6:$G$90,Cadastros!$H$6:$H$90)*(1-0.18),IF($F1199="Mauro José Salanti",_xlfn.XLOOKUP(AQ1199,Cadastros!$G$6:$G$90,Cadastros!$H$6:$H$90)*(1-0.18),_xlfn.XLOOKUP(AQ1199,Cadastros!$G$6:$G$90,Cadastros!$H$6:$H$90))))</f>
        <v/>
      </c>
      <c r="AT1199" s="168" t="str">
        <f t="shared" si="245"/>
        <v/>
      </c>
      <c r="AU1199" s="168" t="str">
        <f t="shared" si="246"/>
        <v/>
      </c>
      <c r="AV1199" s="227"/>
      <c r="AW1199" s="30"/>
      <c r="AX1199" s="267"/>
      <c r="AY1199" s="267"/>
      <c r="AZ1199" s="29"/>
      <c r="BA1199" s="30"/>
      <c r="BB1199" s="23" t="str" cm="1">
        <f t="array" ref="BB1199">_xlfn.IFS(AW1199="SIM",SUM(K1199,P1199,U1199,Z1199,AE1199,AJ1199,AO1199,AT1199,AX1199,AY1199),F1199&lt;&gt;"",SUM(K1199,P1199,U1199,Z1199,AE1199,AJ1199,,AO1199,AT1199),F1199="","")</f>
        <v/>
      </c>
      <c r="BC1199" s="211" t="str" cm="1">
        <f t="array" ref="BC1199">_xlfn.IFS(E1199="","",G1199&lt;=E1199,BB1199*(1-0.03),G1199&lt;(E1199+8),BB1199,AZ1199="Boleto",BB1199*(1+0.001)^DATEDIF(E1199,G1199,"D"),AZ1199="Cheque",BB1199,AZ1199="Dinheiro","Alterar forma pgto")</f>
        <v/>
      </c>
      <c r="BD1199" s="276" t="str" cm="1">
        <f t="array" ref="BD1199">IF(F1199=0," ",IF(BC1199&lt;BB1199,(_xlfn.IFS(AW1199="SIM",SUM(L1199,Q1199,V1199,AA1199,AF1199,AK1199,AP1199,AU1199)+AX1199/_xlfn.XLOOKUP(_xlfn.XLOOKUP($F1199,Clientes!$B$4:$B$39,Clientes!$C$4:$C$39),Cadastros!$L$6:$L$12,Cadastros!$M$6:$M$12)+IF($F1199="Bernardino Furlan",AY1199/2751.92,IF($F1199="Mauro José Salanti",AY1199/2751.92,AY1199/3356)),F1199&lt;&gt;0,SUM(L1199,Q1199,V1199,AA1199,AF1199,AK1199,AP1199,AU1199)))*(1-0.03),_xlfn.IFS(AW1199="SIM",SUM(L1199,Q1199,V1199,AA1199,AF1199,AK1199,AP1199,AU1199)+AX1199/_xlfn.XLOOKUP(_xlfn.XLOOKUP($F1199,Clientes!$B$4:$B$39,Clientes!$C$4:$C$39),Cadastros!$L$6:$L$12,Cadastros!$M$6:$M$12)+IF($F1199="Bernardino Furlan",AY1199/2751.92,IF($F1199="Mauro José Salanti",AY1199/2751.92,AY1199/3356)),F1199&lt;&gt;0,SUM(L1199,Q1199,V1199,AA1199,AF1199,AK1199,AP1199,AU1199))))</f>
        <v xml:space="preserve"> </v>
      </c>
      <c r="BE1199" s="120"/>
      <c r="BF1199" s="120"/>
      <c r="BG1199" s="120"/>
    </row>
    <row r="1200" spans="1:59" s="3" customFormat="1" x14ac:dyDescent="0.3">
      <c r="A1200" s="15" t="str">
        <f t="shared" si="234"/>
        <v/>
      </c>
      <c r="B1200" s="25"/>
      <c r="C1200" s="26"/>
      <c r="D1200" s="279"/>
      <c r="E1200" s="27"/>
      <c r="F1200" s="28"/>
      <c r="G1200" s="27"/>
      <c r="H1200" s="28"/>
      <c r="I1200" s="28"/>
      <c r="J1200" s="255" t="str">
        <f>IF(H1200="","",(_xlfn.XLOOKUP(H1200,Cadastros!$D$6:$D$90,Cadastros!$E$6:$E$90))*(1-_xlfn.XLOOKUP(_xlfn.XLOOKUP($F1200,Clientes!$B$4:$B$39,Clientes!$C$4:$C$39),Cadastros!$L$6:$L$12,Cadastros!$N$6:$N$12)))</f>
        <v/>
      </c>
      <c r="K1200" s="168" t="str">
        <f t="shared" si="235"/>
        <v/>
      </c>
      <c r="L1200" s="168" t="str">
        <f>IFERROR(K1200/_xlfn.XLOOKUP(_xlfn.XLOOKUP($F1200,Clientes!$B$4:$B$39,Clientes!$C$4:$C$39),Cadastros!$L$6:$L$12,Cadastros!$M$6:$M$12)," ")</f>
        <v xml:space="preserve"> </v>
      </c>
      <c r="M1200" s="28"/>
      <c r="N1200" s="28"/>
      <c r="O1200" s="255" t="str">
        <f>IF(M1200="","",(_xlfn.XLOOKUP(M1200,Cadastros!$D$6:$D$90,Cadastros!$E$6:$E$90))*(1-_xlfn.XLOOKUP(_xlfn.XLOOKUP($F1200,Clientes!$B$4:$B$39,Clientes!$C$4:$C$39),Cadastros!$L$6:$L$12,Cadastros!$N$6:$N$12)))</f>
        <v/>
      </c>
      <c r="P1200" s="168" t="str">
        <f t="shared" si="236"/>
        <v/>
      </c>
      <c r="Q1200" s="168" t="str">
        <f>IFERROR(P1200/_xlfn.XLOOKUP(_xlfn.XLOOKUP($F1200,Clientes!$B$4:$B$39,Clientes!$C$4:$C$39),Cadastros!$L$6:$L$12,Cadastros!$M$6:$M$12)," ")</f>
        <v xml:space="preserve"> </v>
      </c>
      <c r="R1200" s="28"/>
      <c r="S1200" s="28"/>
      <c r="T1200" s="255" t="str">
        <f>IF(R1200="","",(_xlfn.XLOOKUP(R1200,Cadastros!$D$6:$D$90,Cadastros!$E$6:$E$90))*(1-_xlfn.XLOOKUP(_xlfn.XLOOKUP($F1200,Clientes!$B$4:$B$39,Clientes!$C$4:$C$39),Cadastros!$L$6:$L$12,Cadastros!$N$6:$N$12)))</f>
        <v/>
      </c>
      <c r="U1200" s="168" t="str">
        <f t="shared" si="237"/>
        <v/>
      </c>
      <c r="V1200" s="168" t="str">
        <f>IFERROR(U1200/_xlfn.XLOOKUP(_xlfn.XLOOKUP($F1200,Clientes!$B$4:$B$39,Clientes!$C$4:$C$39),Cadastros!$L$6:$L$12,Cadastros!$M$6:$M$12)," ")</f>
        <v xml:space="preserve"> </v>
      </c>
      <c r="W1200" s="28"/>
      <c r="X1200" s="28"/>
      <c r="Y1200" s="255" t="str">
        <f>IF(W1200="","",(_xlfn.XLOOKUP(W1200,Cadastros!$D$6:$D$90,Cadastros!$E$6:$E$90))*(1-_xlfn.XLOOKUP(_xlfn.XLOOKUP($F1200,Clientes!$B$4:$B$39,Clientes!$C$4:$C$39),Cadastros!$L$6:$L$12,Cadastros!$N$6:$N$12)))</f>
        <v/>
      </c>
      <c r="Z1200" s="168" t="str">
        <f t="shared" si="238"/>
        <v/>
      </c>
      <c r="AA1200" s="168" t="str">
        <f>IFERROR(Z1200/_xlfn.XLOOKUP(_xlfn.XLOOKUP($F1200,Clientes!$B$4:$B$39,Clientes!$C$4:$C$39),Cadastros!$L$6:$L$12,Cadastros!$M$6:$M$12)," ")</f>
        <v xml:space="preserve"> </v>
      </c>
      <c r="AB1200" s="28"/>
      <c r="AC1200" s="28"/>
      <c r="AD1200" s="20" t="str">
        <f>IF(AB1200="","",IF($F1200="Bernardino Furlan",_xlfn.XLOOKUP(AB1200,Cadastros!$G$6:$G$90,Cadastros!$H$6:$H$90)*(1-0.18),IF($F1200="Mauro José Salanti",_xlfn.XLOOKUP(AB1200,Cadastros!$G$6:$G$90,Cadastros!$H$6:$H$90)*(1-0.18),_xlfn.XLOOKUP(AB1200,Cadastros!$G$6:$G$90,Cadastros!$H$6:$H$90))))</f>
        <v/>
      </c>
      <c r="AE1200" s="168" t="str">
        <f t="shared" si="239"/>
        <v/>
      </c>
      <c r="AF1200" s="168" t="str">
        <f t="shared" si="240"/>
        <v/>
      </c>
      <c r="AG1200" s="28"/>
      <c r="AH1200" s="28"/>
      <c r="AI1200" s="20" t="str">
        <f>IF(AG1200="","",IF($F1200="Bernardino Furlan",_xlfn.XLOOKUP(AG1200,Cadastros!$G$6:$G$90,Cadastros!$H$6:$H$90)*(1-0.18),IF($F1200="Mauro José Salanti",_xlfn.XLOOKUP(AG1200,Cadastros!$G$6:$G$90,Cadastros!$H$6:$H$90)*(1-0.18),_xlfn.XLOOKUP(AG1200,Cadastros!$G$6:$G$90,Cadastros!$H$6:$H$90))))</f>
        <v/>
      </c>
      <c r="AJ1200" s="168" t="str">
        <f t="shared" si="241"/>
        <v/>
      </c>
      <c r="AK1200" s="168" t="str">
        <f t="shared" si="242"/>
        <v/>
      </c>
      <c r="AL1200" s="28"/>
      <c r="AM1200" s="28"/>
      <c r="AN1200" s="20" t="str">
        <f>IF(AL1200="","",IF($F1200="Bernardino Furlan",_xlfn.XLOOKUP(AL1200,Cadastros!$G$6:$G$90,Cadastros!$H$6:$H$90)*(1-0.18),IF($F1200="Mauro José Salanti",_xlfn.XLOOKUP(AL1200,Cadastros!$G$6:$G$90,Cadastros!$H$6:$H$90)*(1-0.18),_xlfn.XLOOKUP(AL1200,Cadastros!$G$6:$G$90,Cadastros!$H$6:$H$90))))</f>
        <v/>
      </c>
      <c r="AO1200" s="168" t="str">
        <f t="shared" si="243"/>
        <v/>
      </c>
      <c r="AP1200" s="168" t="str">
        <f t="shared" si="244"/>
        <v/>
      </c>
      <c r="AQ1200" s="28"/>
      <c r="AR1200" s="28"/>
      <c r="AS1200" s="20" t="str">
        <f>IF(AQ1200="","",IF($F1200="Bernardino Furlan",_xlfn.XLOOKUP(AQ1200,Cadastros!$G$6:$G$90,Cadastros!$H$6:$H$90)*(1-0.18),IF($F1200="Mauro José Salanti",_xlfn.XLOOKUP(AQ1200,Cadastros!$G$6:$G$90,Cadastros!$H$6:$H$90)*(1-0.18),_xlfn.XLOOKUP(AQ1200,Cadastros!$G$6:$G$90,Cadastros!$H$6:$H$90))))</f>
        <v/>
      </c>
      <c r="AT1200" s="168" t="str">
        <f t="shared" si="245"/>
        <v/>
      </c>
      <c r="AU1200" s="168" t="str">
        <f t="shared" si="246"/>
        <v/>
      </c>
      <c r="AV1200" s="227"/>
      <c r="AW1200" s="30"/>
      <c r="AX1200" s="267"/>
      <c r="AY1200" s="267"/>
      <c r="AZ1200" s="29"/>
      <c r="BA1200" s="30"/>
      <c r="BB1200" s="23" t="str" cm="1">
        <f t="array" ref="BB1200">_xlfn.IFS(AW1200="SIM",SUM(K1200,P1200,U1200,Z1200,AE1200,AJ1200,AO1200,AT1200,AX1200,AY1200),F1200&lt;&gt;"",SUM(K1200,P1200,U1200,Z1200,AE1200,AJ1200,,AO1200,AT1200),F1200="","")</f>
        <v/>
      </c>
      <c r="BC1200" s="211" t="str" cm="1">
        <f t="array" ref="BC1200">_xlfn.IFS(E1200="","",G1200&lt;=E1200,BB1200*(1-0.03),G1200&lt;(E1200+8),BB1200,AZ1200="Boleto",BB1200*(1+0.001)^DATEDIF(E1200,G1200,"D"),AZ1200="Cheque",BB1200,AZ1200="Dinheiro","Alterar forma pgto")</f>
        <v/>
      </c>
      <c r="BD1200" s="276" t="str" cm="1">
        <f t="array" ref="BD1200">IF(F1200=0," ",IF(BC1200&lt;BB1200,(_xlfn.IFS(AW1200="SIM",SUM(L1200,Q1200,V1200,AA1200,AF1200,AK1200,AP1200,AU1200)+AX1200/_xlfn.XLOOKUP(_xlfn.XLOOKUP($F1200,Clientes!$B$4:$B$39,Clientes!$C$4:$C$39),Cadastros!$L$6:$L$12,Cadastros!$M$6:$M$12)+IF($F1200="Bernardino Furlan",AY1200/2751.92,IF($F1200="Mauro José Salanti",AY1200/2751.92,AY1200/3356)),F1200&lt;&gt;0,SUM(L1200,Q1200,V1200,AA1200,AF1200,AK1200,AP1200,AU1200)))*(1-0.03),_xlfn.IFS(AW1200="SIM",SUM(L1200,Q1200,V1200,AA1200,AF1200,AK1200,AP1200,AU1200)+AX1200/_xlfn.XLOOKUP(_xlfn.XLOOKUP($F1200,Clientes!$B$4:$B$39,Clientes!$C$4:$C$39),Cadastros!$L$6:$L$12,Cadastros!$M$6:$M$12)+IF($F1200="Bernardino Furlan",AY1200/2751.92,IF($F1200="Mauro José Salanti",AY1200/2751.92,AY1200/3356)),F1200&lt;&gt;0,SUM(L1200,Q1200,V1200,AA1200,AF1200,AK1200,AP1200,AU1200))))</f>
        <v xml:space="preserve"> </v>
      </c>
      <c r="BE1200" s="120"/>
      <c r="BF1200" s="120"/>
      <c r="BG1200" s="120"/>
    </row>
    <row r="1201" spans="1:59" s="3" customFormat="1" x14ac:dyDescent="0.3">
      <c r="A1201" s="15" t="str">
        <f t="shared" si="234"/>
        <v/>
      </c>
      <c r="B1201" s="25"/>
      <c r="C1201" s="26"/>
      <c r="D1201" s="279"/>
      <c r="E1201" s="27"/>
      <c r="F1201" s="28"/>
      <c r="G1201" s="27"/>
      <c r="H1201" s="28"/>
      <c r="I1201" s="28"/>
      <c r="J1201" s="255" t="str">
        <f>IF(H1201="","",(_xlfn.XLOOKUP(H1201,Cadastros!$D$6:$D$90,Cadastros!$E$6:$E$90))*(1-_xlfn.XLOOKUP(_xlfn.XLOOKUP($F1201,Clientes!$B$4:$B$39,Clientes!$C$4:$C$39),Cadastros!$L$6:$L$12,Cadastros!$N$6:$N$12)))</f>
        <v/>
      </c>
      <c r="K1201" s="168" t="str">
        <f t="shared" si="235"/>
        <v/>
      </c>
      <c r="L1201" s="168" t="str">
        <f>IFERROR(K1201/_xlfn.XLOOKUP(_xlfn.XLOOKUP($F1201,Clientes!$B$4:$B$39,Clientes!$C$4:$C$39),Cadastros!$L$6:$L$12,Cadastros!$M$6:$M$12)," ")</f>
        <v xml:space="preserve"> </v>
      </c>
      <c r="M1201" s="28"/>
      <c r="N1201" s="28"/>
      <c r="O1201" s="255" t="str">
        <f>IF(M1201="","",(_xlfn.XLOOKUP(M1201,Cadastros!$D$6:$D$90,Cadastros!$E$6:$E$90))*(1-_xlfn.XLOOKUP(_xlfn.XLOOKUP($F1201,Clientes!$B$4:$B$39,Clientes!$C$4:$C$39),Cadastros!$L$6:$L$12,Cadastros!$N$6:$N$12)))</f>
        <v/>
      </c>
      <c r="P1201" s="168" t="str">
        <f t="shared" si="236"/>
        <v/>
      </c>
      <c r="Q1201" s="168" t="str">
        <f>IFERROR(P1201/_xlfn.XLOOKUP(_xlfn.XLOOKUP($F1201,Clientes!$B$4:$B$39,Clientes!$C$4:$C$39),Cadastros!$L$6:$L$12,Cadastros!$M$6:$M$12)," ")</f>
        <v xml:space="preserve"> </v>
      </c>
      <c r="R1201" s="28"/>
      <c r="S1201" s="28"/>
      <c r="T1201" s="255" t="str">
        <f>IF(R1201="","",(_xlfn.XLOOKUP(R1201,Cadastros!$D$6:$D$90,Cadastros!$E$6:$E$90))*(1-_xlfn.XLOOKUP(_xlfn.XLOOKUP($F1201,Clientes!$B$4:$B$39,Clientes!$C$4:$C$39),Cadastros!$L$6:$L$12,Cadastros!$N$6:$N$12)))</f>
        <v/>
      </c>
      <c r="U1201" s="168" t="str">
        <f t="shared" si="237"/>
        <v/>
      </c>
      <c r="V1201" s="168" t="str">
        <f>IFERROR(U1201/_xlfn.XLOOKUP(_xlfn.XLOOKUP($F1201,Clientes!$B$4:$B$39,Clientes!$C$4:$C$39),Cadastros!$L$6:$L$12,Cadastros!$M$6:$M$12)," ")</f>
        <v xml:space="preserve"> </v>
      </c>
      <c r="W1201" s="28"/>
      <c r="X1201" s="28"/>
      <c r="Y1201" s="255" t="str">
        <f>IF(W1201="","",(_xlfn.XLOOKUP(W1201,Cadastros!$D$6:$D$90,Cadastros!$E$6:$E$90))*(1-_xlfn.XLOOKUP(_xlfn.XLOOKUP($F1201,Clientes!$B$4:$B$39,Clientes!$C$4:$C$39),Cadastros!$L$6:$L$12,Cadastros!$N$6:$N$12)))</f>
        <v/>
      </c>
      <c r="Z1201" s="168" t="str">
        <f t="shared" si="238"/>
        <v/>
      </c>
      <c r="AA1201" s="168" t="str">
        <f>IFERROR(Z1201/_xlfn.XLOOKUP(_xlfn.XLOOKUP($F1201,Clientes!$B$4:$B$39,Clientes!$C$4:$C$39),Cadastros!$L$6:$L$12,Cadastros!$M$6:$M$12)," ")</f>
        <v xml:space="preserve"> </v>
      </c>
      <c r="AB1201" s="28"/>
      <c r="AC1201" s="28"/>
      <c r="AD1201" s="20" t="str">
        <f>IF(AB1201="","",IF($F1201="Bernardino Furlan",_xlfn.XLOOKUP(AB1201,Cadastros!$G$6:$G$90,Cadastros!$H$6:$H$90)*(1-0.18),IF($F1201="Mauro José Salanti",_xlfn.XLOOKUP(AB1201,Cadastros!$G$6:$G$90,Cadastros!$H$6:$H$90)*(1-0.18),_xlfn.XLOOKUP(AB1201,Cadastros!$G$6:$G$90,Cadastros!$H$6:$H$90))))</f>
        <v/>
      </c>
      <c r="AE1201" s="168" t="str">
        <f t="shared" si="239"/>
        <v/>
      </c>
      <c r="AF1201" s="168" t="str">
        <f t="shared" si="240"/>
        <v/>
      </c>
      <c r="AG1201" s="28"/>
      <c r="AH1201" s="28"/>
      <c r="AI1201" s="20" t="str">
        <f>IF(AG1201="","",IF($F1201="Bernardino Furlan",_xlfn.XLOOKUP(AG1201,Cadastros!$G$6:$G$90,Cadastros!$H$6:$H$90)*(1-0.18),IF($F1201="Mauro José Salanti",_xlfn.XLOOKUP(AG1201,Cadastros!$G$6:$G$90,Cadastros!$H$6:$H$90)*(1-0.18),_xlfn.XLOOKUP(AG1201,Cadastros!$G$6:$G$90,Cadastros!$H$6:$H$90))))</f>
        <v/>
      </c>
      <c r="AJ1201" s="168" t="str">
        <f t="shared" si="241"/>
        <v/>
      </c>
      <c r="AK1201" s="168" t="str">
        <f t="shared" si="242"/>
        <v/>
      </c>
      <c r="AL1201" s="28"/>
      <c r="AM1201" s="28"/>
      <c r="AN1201" s="20" t="str">
        <f>IF(AL1201="","",IF($F1201="Bernardino Furlan",_xlfn.XLOOKUP(AL1201,Cadastros!$G$6:$G$90,Cadastros!$H$6:$H$90)*(1-0.18),IF($F1201="Mauro José Salanti",_xlfn.XLOOKUP(AL1201,Cadastros!$G$6:$G$90,Cadastros!$H$6:$H$90)*(1-0.18),_xlfn.XLOOKUP(AL1201,Cadastros!$G$6:$G$90,Cadastros!$H$6:$H$90))))</f>
        <v/>
      </c>
      <c r="AO1201" s="168" t="str">
        <f t="shared" si="243"/>
        <v/>
      </c>
      <c r="AP1201" s="168" t="str">
        <f t="shared" si="244"/>
        <v/>
      </c>
      <c r="AQ1201" s="28"/>
      <c r="AR1201" s="28"/>
      <c r="AS1201" s="20" t="str">
        <f>IF(AQ1201="","",IF($F1201="Bernardino Furlan",_xlfn.XLOOKUP(AQ1201,Cadastros!$G$6:$G$90,Cadastros!$H$6:$H$90)*(1-0.18),IF($F1201="Mauro José Salanti",_xlfn.XLOOKUP(AQ1201,Cadastros!$G$6:$G$90,Cadastros!$H$6:$H$90)*(1-0.18),_xlfn.XLOOKUP(AQ1201,Cadastros!$G$6:$G$90,Cadastros!$H$6:$H$90))))</f>
        <v/>
      </c>
      <c r="AT1201" s="168" t="str">
        <f t="shared" si="245"/>
        <v/>
      </c>
      <c r="AU1201" s="168" t="str">
        <f t="shared" si="246"/>
        <v/>
      </c>
      <c r="AV1201" s="227"/>
      <c r="AW1201" s="30"/>
      <c r="AX1201" s="267"/>
      <c r="AY1201" s="267"/>
      <c r="AZ1201" s="29"/>
      <c r="BA1201" s="30"/>
      <c r="BB1201" s="23" t="str" cm="1">
        <f t="array" ref="BB1201">_xlfn.IFS(AW1201="SIM",SUM(K1201,P1201,U1201,Z1201,AE1201,AJ1201,AO1201,AT1201,AX1201,AY1201),F1201&lt;&gt;"",SUM(K1201,P1201,U1201,Z1201,AE1201,AJ1201,,AO1201,AT1201),F1201="","")</f>
        <v/>
      </c>
      <c r="BC1201" s="211" t="str" cm="1">
        <f t="array" ref="BC1201">_xlfn.IFS(E1201="","",G1201&lt;=E1201,BB1201*(1-0.03),G1201&lt;(E1201+8),BB1201,AZ1201="Boleto",BB1201*(1+0.001)^DATEDIF(E1201,G1201,"D"),AZ1201="Cheque",BB1201,AZ1201="Dinheiro","Alterar forma pgto")</f>
        <v/>
      </c>
      <c r="BD1201" s="276" t="str" cm="1">
        <f t="array" ref="BD1201">IF(F1201=0," ",IF(BC1201&lt;BB1201,(_xlfn.IFS(AW1201="SIM",SUM(L1201,Q1201,V1201,AA1201,AF1201,AK1201,AP1201,AU1201)+AX1201/_xlfn.XLOOKUP(_xlfn.XLOOKUP($F1201,Clientes!$B$4:$B$39,Clientes!$C$4:$C$39),Cadastros!$L$6:$L$12,Cadastros!$M$6:$M$12)+IF($F1201="Bernardino Furlan",AY1201/2751.92,IF($F1201="Mauro José Salanti",AY1201/2751.92,AY1201/3356)),F1201&lt;&gt;0,SUM(L1201,Q1201,V1201,AA1201,AF1201,AK1201,AP1201,AU1201)))*(1-0.03),_xlfn.IFS(AW1201="SIM",SUM(L1201,Q1201,V1201,AA1201,AF1201,AK1201,AP1201,AU1201)+AX1201/_xlfn.XLOOKUP(_xlfn.XLOOKUP($F1201,Clientes!$B$4:$B$39,Clientes!$C$4:$C$39),Cadastros!$L$6:$L$12,Cadastros!$M$6:$M$12)+IF($F1201="Bernardino Furlan",AY1201/2751.92,IF($F1201="Mauro José Salanti",AY1201/2751.92,AY1201/3356)),F1201&lt;&gt;0,SUM(L1201,Q1201,V1201,AA1201,AF1201,AK1201,AP1201,AU1201))))</f>
        <v xml:space="preserve"> </v>
      </c>
      <c r="BE1201" s="120"/>
      <c r="BF1201" s="120"/>
      <c r="BG1201" s="120"/>
    </row>
    <row r="1202" spans="1:59" s="3" customFormat="1" x14ac:dyDescent="0.3">
      <c r="A1202" s="15" t="str">
        <f t="shared" si="234"/>
        <v/>
      </c>
      <c r="B1202" s="25"/>
      <c r="C1202" s="26"/>
      <c r="D1202" s="279"/>
      <c r="E1202" s="27"/>
      <c r="F1202" s="28"/>
      <c r="G1202" s="27"/>
      <c r="H1202" s="28"/>
      <c r="I1202" s="28"/>
      <c r="J1202" s="255" t="str">
        <f>IF(H1202="","",(_xlfn.XLOOKUP(H1202,Cadastros!$D$6:$D$90,Cadastros!$E$6:$E$90))*(1-_xlfn.XLOOKUP(_xlfn.XLOOKUP($F1202,Clientes!$B$4:$B$39,Clientes!$C$4:$C$39),Cadastros!$L$6:$L$12,Cadastros!$N$6:$N$12)))</f>
        <v/>
      </c>
      <c r="K1202" s="168" t="str">
        <f t="shared" si="235"/>
        <v/>
      </c>
      <c r="L1202" s="168" t="str">
        <f>IFERROR(K1202/_xlfn.XLOOKUP(_xlfn.XLOOKUP($F1202,Clientes!$B$4:$B$39,Clientes!$C$4:$C$39),Cadastros!$L$6:$L$12,Cadastros!$M$6:$M$12)," ")</f>
        <v xml:space="preserve"> </v>
      </c>
      <c r="M1202" s="28"/>
      <c r="N1202" s="28"/>
      <c r="O1202" s="255" t="str">
        <f>IF(M1202="","",(_xlfn.XLOOKUP(M1202,Cadastros!$D$6:$D$90,Cadastros!$E$6:$E$90))*(1-_xlfn.XLOOKUP(_xlfn.XLOOKUP($F1202,Clientes!$B$4:$B$39,Clientes!$C$4:$C$39),Cadastros!$L$6:$L$12,Cadastros!$N$6:$N$12)))</f>
        <v/>
      </c>
      <c r="P1202" s="168" t="str">
        <f t="shared" si="236"/>
        <v/>
      </c>
      <c r="Q1202" s="168" t="str">
        <f>IFERROR(P1202/_xlfn.XLOOKUP(_xlfn.XLOOKUP($F1202,Clientes!$B$4:$B$39,Clientes!$C$4:$C$39),Cadastros!$L$6:$L$12,Cadastros!$M$6:$M$12)," ")</f>
        <v xml:space="preserve"> </v>
      </c>
      <c r="R1202" s="28"/>
      <c r="S1202" s="28"/>
      <c r="T1202" s="255" t="str">
        <f>IF(R1202="","",(_xlfn.XLOOKUP(R1202,Cadastros!$D$6:$D$90,Cadastros!$E$6:$E$90))*(1-_xlfn.XLOOKUP(_xlfn.XLOOKUP($F1202,Clientes!$B$4:$B$39,Clientes!$C$4:$C$39),Cadastros!$L$6:$L$12,Cadastros!$N$6:$N$12)))</f>
        <v/>
      </c>
      <c r="U1202" s="168" t="str">
        <f t="shared" si="237"/>
        <v/>
      </c>
      <c r="V1202" s="168" t="str">
        <f>IFERROR(U1202/_xlfn.XLOOKUP(_xlfn.XLOOKUP($F1202,Clientes!$B$4:$B$39,Clientes!$C$4:$C$39),Cadastros!$L$6:$L$12,Cadastros!$M$6:$M$12)," ")</f>
        <v xml:space="preserve"> </v>
      </c>
      <c r="W1202" s="28"/>
      <c r="X1202" s="28"/>
      <c r="Y1202" s="255" t="str">
        <f>IF(W1202="","",(_xlfn.XLOOKUP(W1202,Cadastros!$D$6:$D$90,Cadastros!$E$6:$E$90))*(1-_xlfn.XLOOKUP(_xlfn.XLOOKUP($F1202,Clientes!$B$4:$B$39,Clientes!$C$4:$C$39),Cadastros!$L$6:$L$12,Cadastros!$N$6:$N$12)))</f>
        <v/>
      </c>
      <c r="Z1202" s="168" t="str">
        <f t="shared" si="238"/>
        <v/>
      </c>
      <c r="AA1202" s="168" t="str">
        <f>IFERROR(Z1202/_xlfn.XLOOKUP(_xlfn.XLOOKUP($F1202,Clientes!$B$4:$B$39,Clientes!$C$4:$C$39),Cadastros!$L$6:$L$12,Cadastros!$M$6:$M$12)," ")</f>
        <v xml:space="preserve"> </v>
      </c>
      <c r="AB1202" s="28"/>
      <c r="AC1202" s="28"/>
      <c r="AD1202" s="20" t="str">
        <f>IF(AB1202="","",IF($F1202="Bernardino Furlan",_xlfn.XLOOKUP(AB1202,Cadastros!$G$6:$G$90,Cadastros!$H$6:$H$90)*(1-0.18),IF($F1202="Mauro José Salanti",_xlfn.XLOOKUP(AB1202,Cadastros!$G$6:$G$90,Cadastros!$H$6:$H$90)*(1-0.18),_xlfn.XLOOKUP(AB1202,Cadastros!$G$6:$G$90,Cadastros!$H$6:$H$90))))</f>
        <v/>
      </c>
      <c r="AE1202" s="168" t="str">
        <f t="shared" si="239"/>
        <v/>
      </c>
      <c r="AF1202" s="168" t="str">
        <f t="shared" si="240"/>
        <v/>
      </c>
      <c r="AG1202" s="28"/>
      <c r="AH1202" s="28"/>
      <c r="AI1202" s="20" t="str">
        <f>IF(AG1202="","",IF($F1202="Bernardino Furlan",_xlfn.XLOOKUP(AG1202,Cadastros!$G$6:$G$90,Cadastros!$H$6:$H$90)*(1-0.18),IF($F1202="Mauro José Salanti",_xlfn.XLOOKUP(AG1202,Cadastros!$G$6:$G$90,Cadastros!$H$6:$H$90)*(1-0.18),_xlfn.XLOOKUP(AG1202,Cadastros!$G$6:$G$90,Cadastros!$H$6:$H$90))))</f>
        <v/>
      </c>
      <c r="AJ1202" s="168" t="str">
        <f t="shared" si="241"/>
        <v/>
      </c>
      <c r="AK1202" s="168" t="str">
        <f t="shared" si="242"/>
        <v/>
      </c>
      <c r="AL1202" s="28"/>
      <c r="AM1202" s="28"/>
      <c r="AN1202" s="20" t="str">
        <f>IF(AL1202="","",IF($F1202="Bernardino Furlan",_xlfn.XLOOKUP(AL1202,Cadastros!$G$6:$G$90,Cadastros!$H$6:$H$90)*(1-0.18),IF($F1202="Mauro José Salanti",_xlfn.XLOOKUP(AL1202,Cadastros!$G$6:$G$90,Cadastros!$H$6:$H$90)*(1-0.18),_xlfn.XLOOKUP(AL1202,Cadastros!$G$6:$G$90,Cadastros!$H$6:$H$90))))</f>
        <v/>
      </c>
      <c r="AO1202" s="168" t="str">
        <f t="shared" si="243"/>
        <v/>
      </c>
      <c r="AP1202" s="168" t="str">
        <f t="shared" si="244"/>
        <v/>
      </c>
      <c r="AQ1202" s="28"/>
      <c r="AR1202" s="28"/>
      <c r="AS1202" s="20" t="str">
        <f>IF(AQ1202="","",IF($F1202="Bernardino Furlan",_xlfn.XLOOKUP(AQ1202,Cadastros!$G$6:$G$90,Cadastros!$H$6:$H$90)*(1-0.18),IF($F1202="Mauro José Salanti",_xlfn.XLOOKUP(AQ1202,Cadastros!$G$6:$G$90,Cadastros!$H$6:$H$90)*(1-0.18),_xlfn.XLOOKUP(AQ1202,Cadastros!$G$6:$G$90,Cadastros!$H$6:$H$90))))</f>
        <v/>
      </c>
      <c r="AT1202" s="168" t="str">
        <f t="shared" si="245"/>
        <v/>
      </c>
      <c r="AU1202" s="168" t="str">
        <f t="shared" si="246"/>
        <v/>
      </c>
      <c r="AV1202" s="227"/>
      <c r="AW1202" s="30"/>
      <c r="AX1202" s="267"/>
      <c r="AY1202" s="267"/>
      <c r="AZ1202" s="29"/>
      <c r="BA1202" s="30"/>
      <c r="BB1202" s="23" t="str" cm="1">
        <f t="array" ref="BB1202">_xlfn.IFS(AW1202="SIM",SUM(K1202,P1202,U1202,Z1202,AE1202,AJ1202,AO1202,AT1202,AX1202,AY1202),F1202&lt;&gt;"",SUM(K1202,P1202,U1202,Z1202,AE1202,AJ1202,,AO1202,AT1202),F1202="","")</f>
        <v/>
      </c>
      <c r="BC1202" s="211" t="str" cm="1">
        <f t="array" ref="BC1202">_xlfn.IFS(E1202="","",G1202&lt;=E1202,BB1202*(1-0.03),G1202&lt;(E1202+8),BB1202,AZ1202="Boleto",BB1202*(1+0.001)^DATEDIF(E1202,G1202,"D"),AZ1202="Cheque",BB1202,AZ1202="Dinheiro","Alterar forma pgto")</f>
        <v/>
      </c>
      <c r="BD1202" s="276" t="str" cm="1">
        <f t="array" ref="BD1202">IF(F1202=0," ",IF(BC1202&lt;BB1202,(_xlfn.IFS(AW1202="SIM",SUM(L1202,Q1202,V1202,AA1202,AF1202,AK1202,AP1202,AU1202)+AX1202/_xlfn.XLOOKUP(_xlfn.XLOOKUP($F1202,Clientes!$B$4:$B$39,Clientes!$C$4:$C$39),Cadastros!$L$6:$L$12,Cadastros!$M$6:$M$12)+IF($F1202="Bernardino Furlan",AY1202/2751.92,IF($F1202="Mauro José Salanti",AY1202/2751.92,AY1202/3356)),F1202&lt;&gt;0,SUM(L1202,Q1202,V1202,AA1202,AF1202,AK1202,AP1202,AU1202)))*(1-0.03),_xlfn.IFS(AW1202="SIM",SUM(L1202,Q1202,V1202,AA1202,AF1202,AK1202,AP1202,AU1202)+AX1202/_xlfn.XLOOKUP(_xlfn.XLOOKUP($F1202,Clientes!$B$4:$B$39,Clientes!$C$4:$C$39),Cadastros!$L$6:$L$12,Cadastros!$M$6:$M$12)+IF($F1202="Bernardino Furlan",AY1202/2751.92,IF($F1202="Mauro José Salanti",AY1202/2751.92,AY1202/3356)),F1202&lt;&gt;0,SUM(L1202,Q1202,V1202,AA1202,AF1202,AK1202,AP1202,AU1202))))</f>
        <v xml:space="preserve"> </v>
      </c>
      <c r="BE1202" s="120"/>
      <c r="BF1202" s="120"/>
      <c r="BG1202" s="120"/>
    </row>
    <row r="1203" spans="1:59" s="3" customFormat="1" x14ac:dyDescent="0.3">
      <c r="A1203" s="15" t="str">
        <f t="shared" si="234"/>
        <v/>
      </c>
      <c r="B1203" s="25"/>
      <c r="C1203" s="26"/>
      <c r="D1203" s="279"/>
      <c r="E1203" s="27"/>
      <c r="F1203" s="28"/>
      <c r="G1203" s="27"/>
      <c r="H1203" s="28"/>
      <c r="I1203" s="28"/>
      <c r="J1203" s="255" t="str">
        <f>IF(H1203="","",(_xlfn.XLOOKUP(H1203,Cadastros!$D$6:$D$90,Cadastros!$E$6:$E$90))*(1-_xlfn.XLOOKUP(_xlfn.XLOOKUP($F1203,Clientes!$B$4:$B$39,Clientes!$C$4:$C$39),Cadastros!$L$6:$L$12,Cadastros!$N$6:$N$12)))</f>
        <v/>
      </c>
      <c r="K1203" s="168" t="str">
        <f t="shared" si="235"/>
        <v/>
      </c>
      <c r="L1203" s="168" t="str">
        <f>IFERROR(K1203/_xlfn.XLOOKUP(_xlfn.XLOOKUP($F1203,Clientes!$B$4:$B$39,Clientes!$C$4:$C$39),Cadastros!$L$6:$L$12,Cadastros!$M$6:$M$12)," ")</f>
        <v xml:space="preserve"> </v>
      </c>
      <c r="M1203" s="28"/>
      <c r="N1203" s="28"/>
      <c r="O1203" s="255" t="str">
        <f>IF(M1203="","",(_xlfn.XLOOKUP(M1203,Cadastros!$D$6:$D$90,Cadastros!$E$6:$E$90))*(1-_xlfn.XLOOKUP(_xlfn.XLOOKUP($F1203,Clientes!$B$4:$B$39,Clientes!$C$4:$C$39),Cadastros!$L$6:$L$12,Cadastros!$N$6:$N$12)))</f>
        <v/>
      </c>
      <c r="P1203" s="168" t="str">
        <f t="shared" si="236"/>
        <v/>
      </c>
      <c r="Q1203" s="168" t="str">
        <f>IFERROR(P1203/_xlfn.XLOOKUP(_xlfn.XLOOKUP($F1203,Clientes!$B$4:$B$39,Clientes!$C$4:$C$39),Cadastros!$L$6:$L$12,Cadastros!$M$6:$M$12)," ")</f>
        <v xml:space="preserve"> </v>
      </c>
      <c r="R1203" s="28"/>
      <c r="S1203" s="28"/>
      <c r="T1203" s="255" t="str">
        <f>IF(R1203="","",(_xlfn.XLOOKUP(R1203,Cadastros!$D$6:$D$90,Cadastros!$E$6:$E$90))*(1-_xlfn.XLOOKUP(_xlfn.XLOOKUP($F1203,Clientes!$B$4:$B$39,Clientes!$C$4:$C$39),Cadastros!$L$6:$L$12,Cadastros!$N$6:$N$12)))</f>
        <v/>
      </c>
      <c r="U1203" s="168" t="str">
        <f t="shared" si="237"/>
        <v/>
      </c>
      <c r="V1203" s="168" t="str">
        <f>IFERROR(U1203/_xlfn.XLOOKUP(_xlfn.XLOOKUP($F1203,Clientes!$B$4:$B$39,Clientes!$C$4:$C$39),Cadastros!$L$6:$L$12,Cadastros!$M$6:$M$12)," ")</f>
        <v xml:space="preserve"> </v>
      </c>
      <c r="W1203" s="28"/>
      <c r="X1203" s="28"/>
      <c r="Y1203" s="255" t="str">
        <f>IF(W1203="","",(_xlfn.XLOOKUP(W1203,Cadastros!$D$6:$D$90,Cadastros!$E$6:$E$90))*(1-_xlfn.XLOOKUP(_xlfn.XLOOKUP($F1203,Clientes!$B$4:$B$39,Clientes!$C$4:$C$39),Cadastros!$L$6:$L$12,Cadastros!$N$6:$N$12)))</f>
        <v/>
      </c>
      <c r="Z1203" s="168" t="str">
        <f t="shared" si="238"/>
        <v/>
      </c>
      <c r="AA1203" s="168" t="str">
        <f>IFERROR(Z1203/_xlfn.XLOOKUP(_xlfn.XLOOKUP($F1203,Clientes!$B$4:$B$39,Clientes!$C$4:$C$39),Cadastros!$L$6:$L$12,Cadastros!$M$6:$M$12)," ")</f>
        <v xml:space="preserve"> </v>
      </c>
      <c r="AB1203" s="28"/>
      <c r="AC1203" s="28"/>
      <c r="AD1203" s="20" t="str">
        <f>IF(AB1203="","",IF($F1203="Bernardino Furlan",_xlfn.XLOOKUP(AB1203,Cadastros!$G$6:$G$90,Cadastros!$H$6:$H$90)*(1-0.18),IF($F1203="Mauro José Salanti",_xlfn.XLOOKUP(AB1203,Cadastros!$G$6:$G$90,Cadastros!$H$6:$H$90)*(1-0.18),_xlfn.XLOOKUP(AB1203,Cadastros!$G$6:$G$90,Cadastros!$H$6:$H$90))))</f>
        <v/>
      </c>
      <c r="AE1203" s="168" t="str">
        <f t="shared" si="239"/>
        <v/>
      </c>
      <c r="AF1203" s="168" t="str">
        <f t="shared" si="240"/>
        <v/>
      </c>
      <c r="AG1203" s="28"/>
      <c r="AH1203" s="28"/>
      <c r="AI1203" s="20" t="str">
        <f>IF(AG1203="","",IF($F1203="Bernardino Furlan",_xlfn.XLOOKUP(AG1203,Cadastros!$G$6:$G$90,Cadastros!$H$6:$H$90)*(1-0.18),IF($F1203="Mauro José Salanti",_xlfn.XLOOKUP(AG1203,Cadastros!$G$6:$G$90,Cadastros!$H$6:$H$90)*(1-0.18),_xlfn.XLOOKUP(AG1203,Cadastros!$G$6:$G$90,Cadastros!$H$6:$H$90))))</f>
        <v/>
      </c>
      <c r="AJ1203" s="168" t="str">
        <f t="shared" si="241"/>
        <v/>
      </c>
      <c r="AK1203" s="168" t="str">
        <f t="shared" si="242"/>
        <v/>
      </c>
      <c r="AL1203" s="28"/>
      <c r="AM1203" s="28"/>
      <c r="AN1203" s="20" t="str">
        <f>IF(AL1203="","",IF($F1203="Bernardino Furlan",_xlfn.XLOOKUP(AL1203,Cadastros!$G$6:$G$90,Cadastros!$H$6:$H$90)*(1-0.18),IF($F1203="Mauro José Salanti",_xlfn.XLOOKUP(AL1203,Cadastros!$G$6:$G$90,Cadastros!$H$6:$H$90)*(1-0.18),_xlfn.XLOOKUP(AL1203,Cadastros!$G$6:$G$90,Cadastros!$H$6:$H$90))))</f>
        <v/>
      </c>
      <c r="AO1203" s="168" t="str">
        <f t="shared" si="243"/>
        <v/>
      </c>
      <c r="AP1203" s="168" t="str">
        <f t="shared" si="244"/>
        <v/>
      </c>
      <c r="AQ1203" s="28"/>
      <c r="AR1203" s="28"/>
      <c r="AS1203" s="20" t="str">
        <f>IF(AQ1203="","",IF($F1203="Bernardino Furlan",_xlfn.XLOOKUP(AQ1203,Cadastros!$G$6:$G$90,Cadastros!$H$6:$H$90)*(1-0.18),IF($F1203="Mauro José Salanti",_xlfn.XLOOKUP(AQ1203,Cadastros!$G$6:$G$90,Cadastros!$H$6:$H$90)*(1-0.18),_xlfn.XLOOKUP(AQ1203,Cadastros!$G$6:$G$90,Cadastros!$H$6:$H$90))))</f>
        <v/>
      </c>
      <c r="AT1203" s="168" t="str">
        <f t="shared" si="245"/>
        <v/>
      </c>
      <c r="AU1203" s="168" t="str">
        <f t="shared" si="246"/>
        <v/>
      </c>
      <c r="AV1203" s="227"/>
      <c r="AW1203" s="30"/>
      <c r="AX1203" s="267"/>
      <c r="AY1203" s="267"/>
      <c r="AZ1203" s="29"/>
      <c r="BA1203" s="30"/>
      <c r="BB1203" s="23" t="str" cm="1">
        <f t="array" ref="BB1203">_xlfn.IFS(AW1203="SIM",SUM(K1203,P1203,U1203,Z1203,AE1203,AJ1203,AO1203,AT1203,AX1203,AY1203),F1203&lt;&gt;"",SUM(K1203,P1203,U1203,Z1203,AE1203,AJ1203,,AO1203,AT1203),F1203="","")</f>
        <v/>
      </c>
      <c r="BC1203" s="211" t="str" cm="1">
        <f t="array" ref="BC1203">_xlfn.IFS(E1203="","",G1203&lt;=E1203,BB1203*(1-0.03),G1203&lt;(E1203+8),BB1203,AZ1203="Boleto",BB1203*(1+0.001)^DATEDIF(E1203,G1203,"D"),AZ1203="Cheque",BB1203,AZ1203="Dinheiro","Alterar forma pgto")</f>
        <v/>
      </c>
      <c r="BD1203" s="276" t="str" cm="1">
        <f t="array" ref="BD1203">IF(F1203=0," ",IF(BC1203&lt;BB1203,(_xlfn.IFS(AW1203="SIM",SUM(L1203,Q1203,V1203,AA1203,AF1203,AK1203,AP1203,AU1203)+AX1203/_xlfn.XLOOKUP(_xlfn.XLOOKUP($F1203,Clientes!$B$4:$B$39,Clientes!$C$4:$C$39),Cadastros!$L$6:$L$12,Cadastros!$M$6:$M$12)+IF($F1203="Bernardino Furlan",AY1203/2751.92,IF($F1203="Mauro José Salanti",AY1203/2751.92,AY1203/3356)),F1203&lt;&gt;0,SUM(L1203,Q1203,V1203,AA1203,AF1203,AK1203,AP1203,AU1203)))*(1-0.03),_xlfn.IFS(AW1203="SIM",SUM(L1203,Q1203,V1203,AA1203,AF1203,AK1203,AP1203,AU1203)+AX1203/_xlfn.XLOOKUP(_xlfn.XLOOKUP($F1203,Clientes!$B$4:$B$39,Clientes!$C$4:$C$39),Cadastros!$L$6:$L$12,Cadastros!$M$6:$M$12)+IF($F1203="Bernardino Furlan",AY1203/2751.92,IF($F1203="Mauro José Salanti",AY1203/2751.92,AY1203/3356)),F1203&lt;&gt;0,SUM(L1203,Q1203,V1203,AA1203,AF1203,AK1203,AP1203,AU1203))))</f>
        <v xml:space="preserve"> </v>
      </c>
      <c r="BE1203" s="120"/>
      <c r="BF1203" s="120"/>
      <c r="BG1203" s="120"/>
    </row>
    <row r="1204" spans="1:59" s="3" customFormat="1" x14ac:dyDescent="0.3">
      <c r="A1204" s="15" t="str">
        <f t="shared" si="234"/>
        <v/>
      </c>
      <c r="B1204" s="25"/>
      <c r="C1204" s="26"/>
      <c r="D1204" s="279"/>
      <c r="E1204" s="27"/>
      <c r="F1204" s="28"/>
      <c r="G1204" s="27"/>
      <c r="H1204" s="28"/>
      <c r="I1204" s="28"/>
      <c r="J1204" s="255" t="str">
        <f>IF(H1204="","",(_xlfn.XLOOKUP(H1204,Cadastros!$D$6:$D$90,Cadastros!$E$6:$E$90))*(1-_xlfn.XLOOKUP(_xlfn.XLOOKUP($F1204,Clientes!$B$4:$B$39,Clientes!$C$4:$C$39),Cadastros!$L$6:$L$12,Cadastros!$N$6:$N$12)))</f>
        <v/>
      </c>
      <c r="K1204" s="168" t="str">
        <f t="shared" si="235"/>
        <v/>
      </c>
      <c r="L1204" s="168" t="str">
        <f>IFERROR(K1204/_xlfn.XLOOKUP(_xlfn.XLOOKUP($F1204,Clientes!$B$4:$B$39,Clientes!$C$4:$C$39),Cadastros!$L$6:$L$12,Cadastros!$M$6:$M$12)," ")</f>
        <v xml:space="preserve"> </v>
      </c>
      <c r="M1204" s="28"/>
      <c r="N1204" s="28"/>
      <c r="O1204" s="255" t="str">
        <f>IF(M1204="","",(_xlfn.XLOOKUP(M1204,Cadastros!$D$6:$D$90,Cadastros!$E$6:$E$90))*(1-_xlfn.XLOOKUP(_xlfn.XLOOKUP($F1204,Clientes!$B$4:$B$39,Clientes!$C$4:$C$39),Cadastros!$L$6:$L$12,Cadastros!$N$6:$N$12)))</f>
        <v/>
      </c>
      <c r="P1204" s="168" t="str">
        <f t="shared" si="236"/>
        <v/>
      </c>
      <c r="Q1204" s="168" t="str">
        <f>IFERROR(P1204/_xlfn.XLOOKUP(_xlfn.XLOOKUP($F1204,Clientes!$B$4:$B$39,Clientes!$C$4:$C$39),Cadastros!$L$6:$L$12,Cadastros!$M$6:$M$12)," ")</f>
        <v xml:space="preserve"> </v>
      </c>
      <c r="R1204" s="28"/>
      <c r="S1204" s="28"/>
      <c r="T1204" s="255" t="str">
        <f>IF(R1204="","",(_xlfn.XLOOKUP(R1204,Cadastros!$D$6:$D$90,Cadastros!$E$6:$E$90))*(1-_xlfn.XLOOKUP(_xlfn.XLOOKUP($F1204,Clientes!$B$4:$B$39,Clientes!$C$4:$C$39),Cadastros!$L$6:$L$12,Cadastros!$N$6:$N$12)))</f>
        <v/>
      </c>
      <c r="U1204" s="168" t="str">
        <f t="shared" si="237"/>
        <v/>
      </c>
      <c r="V1204" s="168" t="str">
        <f>IFERROR(U1204/_xlfn.XLOOKUP(_xlfn.XLOOKUP($F1204,Clientes!$B$4:$B$39,Clientes!$C$4:$C$39),Cadastros!$L$6:$L$12,Cadastros!$M$6:$M$12)," ")</f>
        <v xml:space="preserve"> </v>
      </c>
      <c r="W1204" s="28"/>
      <c r="X1204" s="28"/>
      <c r="Y1204" s="255" t="str">
        <f>IF(W1204="","",(_xlfn.XLOOKUP(W1204,Cadastros!$D$6:$D$90,Cadastros!$E$6:$E$90))*(1-_xlfn.XLOOKUP(_xlfn.XLOOKUP($F1204,Clientes!$B$4:$B$39,Clientes!$C$4:$C$39),Cadastros!$L$6:$L$12,Cadastros!$N$6:$N$12)))</f>
        <v/>
      </c>
      <c r="Z1204" s="168" t="str">
        <f t="shared" si="238"/>
        <v/>
      </c>
      <c r="AA1204" s="168" t="str">
        <f>IFERROR(Z1204/_xlfn.XLOOKUP(_xlfn.XLOOKUP($F1204,Clientes!$B$4:$B$39,Clientes!$C$4:$C$39),Cadastros!$L$6:$L$12,Cadastros!$M$6:$M$12)," ")</f>
        <v xml:space="preserve"> </v>
      </c>
      <c r="AB1204" s="28"/>
      <c r="AC1204" s="28"/>
      <c r="AD1204" s="20" t="str">
        <f>IF(AB1204="","",IF($F1204="Bernardino Furlan",_xlfn.XLOOKUP(AB1204,Cadastros!$G$6:$G$90,Cadastros!$H$6:$H$90)*(1-0.18),IF($F1204="Mauro José Salanti",_xlfn.XLOOKUP(AB1204,Cadastros!$G$6:$G$90,Cadastros!$H$6:$H$90)*(1-0.18),_xlfn.XLOOKUP(AB1204,Cadastros!$G$6:$G$90,Cadastros!$H$6:$H$90))))</f>
        <v/>
      </c>
      <c r="AE1204" s="168" t="str">
        <f t="shared" si="239"/>
        <v/>
      </c>
      <c r="AF1204" s="168" t="str">
        <f t="shared" si="240"/>
        <v/>
      </c>
      <c r="AG1204" s="28"/>
      <c r="AH1204" s="28"/>
      <c r="AI1204" s="20" t="str">
        <f>IF(AG1204="","",IF($F1204="Bernardino Furlan",_xlfn.XLOOKUP(AG1204,Cadastros!$G$6:$G$90,Cadastros!$H$6:$H$90)*(1-0.18),IF($F1204="Mauro José Salanti",_xlfn.XLOOKUP(AG1204,Cadastros!$G$6:$G$90,Cadastros!$H$6:$H$90)*(1-0.18),_xlfn.XLOOKUP(AG1204,Cadastros!$G$6:$G$90,Cadastros!$H$6:$H$90))))</f>
        <v/>
      </c>
      <c r="AJ1204" s="168" t="str">
        <f t="shared" si="241"/>
        <v/>
      </c>
      <c r="AK1204" s="168" t="str">
        <f t="shared" si="242"/>
        <v/>
      </c>
      <c r="AL1204" s="28"/>
      <c r="AM1204" s="28"/>
      <c r="AN1204" s="20" t="str">
        <f>IF(AL1204="","",IF($F1204="Bernardino Furlan",_xlfn.XLOOKUP(AL1204,Cadastros!$G$6:$G$90,Cadastros!$H$6:$H$90)*(1-0.18),IF($F1204="Mauro José Salanti",_xlfn.XLOOKUP(AL1204,Cadastros!$G$6:$G$90,Cadastros!$H$6:$H$90)*(1-0.18),_xlfn.XLOOKUP(AL1204,Cadastros!$G$6:$G$90,Cadastros!$H$6:$H$90))))</f>
        <v/>
      </c>
      <c r="AO1204" s="168" t="str">
        <f t="shared" si="243"/>
        <v/>
      </c>
      <c r="AP1204" s="168" t="str">
        <f t="shared" si="244"/>
        <v/>
      </c>
      <c r="AQ1204" s="28"/>
      <c r="AR1204" s="28"/>
      <c r="AS1204" s="20" t="str">
        <f>IF(AQ1204="","",IF($F1204="Bernardino Furlan",_xlfn.XLOOKUP(AQ1204,Cadastros!$G$6:$G$90,Cadastros!$H$6:$H$90)*(1-0.18),IF($F1204="Mauro José Salanti",_xlfn.XLOOKUP(AQ1204,Cadastros!$G$6:$G$90,Cadastros!$H$6:$H$90)*(1-0.18),_xlfn.XLOOKUP(AQ1204,Cadastros!$G$6:$G$90,Cadastros!$H$6:$H$90))))</f>
        <v/>
      </c>
      <c r="AT1204" s="168" t="str">
        <f t="shared" si="245"/>
        <v/>
      </c>
      <c r="AU1204" s="168" t="str">
        <f t="shared" si="246"/>
        <v/>
      </c>
      <c r="AV1204" s="227"/>
      <c r="AW1204" s="30"/>
      <c r="AX1204" s="267"/>
      <c r="AY1204" s="267"/>
      <c r="AZ1204" s="29"/>
      <c r="BA1204" s="30"/>
      <c r="BB1204" s="23" t="str" cm="1">
        <f t="array" ref="BB1204">_xlfn.IFS(AW1204="SIM",SUM(K1204,P1204,U1204,Z1204,AE1204,AJ1204,AO1204,AT1204,AX1204,AY1204),F1204&lt;&gt;"",SUM(K1204,P1204,U1204,Z1204,AE1204,AJ1204,,AO1204,AT1204),F1204="","")</f>
        <v/>
      </c>
      <c r="BC1204" s="211" t="str" cm="1">
        <f t="array" ref="BC1204">_xlfn.IFS(E1204="","",G1204&lt;=E1204,BB1204*(1-0.03),G1204&lt;(E1204+8),BB1204,AZ1204="Boleto",BB1204*(1+0.001)^DATEDIF(E1204,G1204,"D"),AZ1204="Cheque",BB1204,AZ1204="Dinheiro","Alterar forma pgto")</f>
        <v/>
      </c>
      <c r="BD1204" s="276" t="str" cm="1">
        <f t="array" ref="BD1204">IF(F1204=0," ",IF(BC1204&lt;BB1204,(_xlfn.IFS(AW1204="SIM",SUM(L1204,Q1204,V1204,AA1204,AF1204,AK1204,AP1204,AU1204)+AX1204/_xlfn.XLOOKUP(_xlfn.XLOOKUP($F1204,Clientes!$B$4:$B$39,Clientes!$C$4:$C$39),Cadastros!$L$6:$L$12,Cadastros!$M$6:$M$12)+IF($F1204="Bernardino Furlan",AY1204/2751.92,IF($F1204="Mauro José Salanti",AY1204/2751.92,AY1204/3356)),F1204&lt;&gt;0,SUM(L1204,Q1204,V1204,AA1204,AF1204,AK1204,AP1204,AU1204)))*(1-0.03),_xlfn.IFS(AW1204="SIM",SUM(L1204,Q1204,V1204,AA1204,AF1204,AK1204,AP1204,AU1204)+AX1204/_xlfn.XLOOKUP(_xlfn.XLOOKUP($F1204,Clientes!$B$4:$B$39,Clientes!$C$4:$C$39),Cadastros!$L$6:$L$12,Cadastros!$M$6:$M$12)+IF($F1204="Bernardino Furlan",AY1204/2751.92,IF($F1204="Mauro José Salanti",AY1204/2751.92,AY1204/3356)),F1204&lt;&gt;0,SUM(L1204,Q1204,V1204,AA1204,AF1204,AK1204,AP1204,AU1204))))</f>
        <v xml:space="preserve"> </v>
      </c>
      <c r="BE1204" s="120"/>
      <c r="BF1204" s="120"/>
      <c r="BG1204" s="120"/>
    </row>
    <row r="1205" spans="1:59" s="3" customFormat="1" x14ac:dyDescent="0.3">
      <c r="A1205" s="15" t="str">
        <f t="shared" si="234"/>
        <v/>
      </c>
      <c r="B1205" s="25"/>
      <c r="C1205" s="26"/>
      <c r="D1205" s="279"/>
      <c r="E1205" s="27"/>
      <c r="F1205" s="28"/>
      <c r="G1205" s="27"/>
      <c r="H1205" s="28"/>
      <c r="I1205" s="28"/>
      <c r="J1205" s="255" t="str">
        <f>IF(H1205="","",(_xlfn.XLOOKUP(H1205,Cadastros!$D$6:$D$90,Cadastros!$E$6:$E$90))*(1-_xlfn.XLOOKUP(_xlfn.XLOOKUP($F1205,Clientes!$B$4:$B$39,Clientes!$C$4:$C$39),Cadastros!$L$6:$L$12,Cadastros!$N$6:$N$12)))</f>
        <v/>
      </c>
      <c r="K1205" s="168" t="str">
        <f t="shared" si="235"/>
        <v/>
      </c>
      <c r="L1205" s="168" t="str">
        <f>IFERROR(K1205/_xlfn.XLOOKUP(_xlfn.XLOOKUP($F1205,Clientes!$B$4:$B$39,Clientes!$C$4:$C$39),Cadastros!$L$6:$L$12,Cadastros!$M$6:$M$12)," ")</f>
        <v xml:space="preserve"> </v>
      </c>
      <c r="M1205" s="28"/>
      <c r="N1205" s="28"/>
      <c r="O1205" s="255" t="str">
        <f>IF(M1205="","",(_xlfn.XLOOKUP(M1205,Cadastros!$D$6:$D$90,Cadastros!$E$6:$E$90))*(1-_xlfn.XLOOKUP(_xlfn.XLOOKUP($F1205,Clientes!$B$4:$B$39,Clientes!$C$4:$C$39),Cadastros!$L$6:$L$12,Cadastros!$N$6:$N$12)))</f>
        <v/>
      </c>
      <c r="P1205" s="168" t="str">
        <f t="shared" si="236"/>
        <v/>
      </c>
      <c r="Q1205" s="168" t="str">
        <f>IFERROR(P1205/_xlfn.XLOOKUP(_xlfn.XLOOKUP($F1205,Clientes!$B$4:$B$39,Clientes!$C$4:$C$39),Cadastros!$L$6:$L$12,Cadastros!$M$6:$M$12)," ")</f>
        <v xml:space="preserve"> </v>
      </c>
      <c r="R1205" s="28"/>
      <c r="S1205" s="28"/>
      <c r="T1205" s="255" t="str">
        <f>IF(R1205="","",(_xlfn.XLOOKUP(R1205,Cadastros!$D$6:$D$90,Cadastros!$E$6:$E$90))*(1-_xlfn.XLOOKUP(_xlfn.XLOOKUP($F1205,Clientes!$B$4:$B$39,Clientes!$C$4:$C$39),Cadastros!$L$6:$L$12,Cadastros!$N$6:$N$12)))</f>
        <v/>
      </c>
      <c r="U1205" s="168" t="str">
        <f t="shared" si="237"/>
        <v/>
      </c>
      <c r="V1205" s="168" t="str">
        <f>IFERROR(U1205/_xlfn.XLOOKUP(_xlfn.XLOOKUP($F1205,Clientes!$B$4:$B$39,Clientes!$C$4:$C$39),Cadastros!$L$6:$L$12,Cadastros!$M$6:$M$12)," ")</f>
        <v xml:space="preserve"> </v>
      </c>
      <c r="W1205" s="28"/>
      <c r="X1205" s="28"/>
      <c r="Y1205" s="255" t="str">
        <f>IF(W1205="","",(_xlfn.XLOOKUP(W1205,Cadastros!$D$6:$D$90,Cadastros!$E$6:$E$90))*(1-_xlfn.XLOOKUP(_xlfn.XLOOKUP($F1205,Clientes!$B$4:$B$39,Clientes!$C$4:$C$39),Cadastros!$L$6:$L$12,Cadastros!$N$6:$N$12)))</f>
        <v/>
      </c>
      <c r="Z1205" s="168" t="str">
        <f t="shared" si="238"/>
        <v/>
      </c>
      <c r="AA1205" s="168" t="str">
        <f>IFERROR(Z1205/_xlfn.XLOOKUP(_xlfn.XLOOKUP($F1205,Clientes!$B$4:$B$39,Clientes!$C$4:$C$39),Cadastros!$L$6:$L$12,Cadastros!$M$6:$M$12)," ")</f>
        <v xml:space="preserve"> </v>
      </c>
      <c r="AB1205" s="28"/>
      <c r="AC1205" s="28"/>
      <c r="AD1205" s="20" t="str">
        <f>IF(AB1205="","",IF($F1205="Bernardino Furlan",_xlfn.XLOOKUP(AB1205,Cadastros!$G$6:$G$90,Cadastros!$H$6:$H$90)*(1-0.18),IF($F1205="Mauro José Salanti",_xlfn.XLOOKUP(AB1205,Cadastros!$G$6:$G$90,Cadastros!$H$6:$H$90)*(1-0.18),_xlfn.XLOOKUP(AB1205,Cadastros!$G$6:$G$90,Cadastros!$H$6:$H$90))))</f>
        <v/>
      </c>
      <c r="AE1205" s="168" t="str">
        <f t="shared" si="239"/>
        <v/>
      </c>
      <c r="AF1205" s="168" t="str">
        <f t="shared" si="240"/>
        <v/>
      </c>
      <c r="AG1205" s="28"/>
      <c r="AH1205" s="28"/>
      <c r="AI1205" s="20" t="str">
        <f>IF(AG1205="","",IF($F1205="Bernardino Furlan",_xlfn.XLOOKUP(AG1205,Cadastros!$G$6:$G$90,Cadastros!$H$6:$H$90)*(1-0.18),IF($F1205="Mauro José Salanti",_xlfn.XLOOKUP(AG1205,Cadastros!$G$6:$G$90,Cadastros!$H$6:$H$90)*(1-0.18),_xlfn.XLOOKUP(AG1205,Cadastros!$G$6:$G$90,Cadastros!$H$6:$H$90))))</f>
        <v/>
      </c>
      <c r="AJ1205" s="168" t="str">
        <f t="shared" si="241"/>
        <v/>
      </c>
      <c r="AK1205" s="168" t="str">
        <f t="shared" si="242"/>
        <v/>
      </c>
      <c r="AL1205" s="28"/>
      <c r="AM1205" s="28"/>
      <c r="AN1205" s="20" t="str">
        <f>IF(AL1205="","",IF($F1205="Bernardino Furlan",_xlfn.XLOOKUP(AL1205,Cadastros!$G$6:$G$90,Cadastros!$H$6:$H$90)*(1-0.18),IF($F1205="Mauro José Salanti",_xlfn.XLOOKUP(AL1205,Cadastros!$G$6:$G$90,Cadastros!$H$6:$H$90)*(1-0.18),_xlfn.XLOOKUP(AL1205,Cadastros!$G$6:$G$90,Cadastros!$H$6:$H$90))))</f>
        <v/>
      </c>
      <c r="AO1205" s="168" t="str">
        <f t="shared" si="243"/>
        <v/>
      </c>
      <c r="AP1205" s="168" t="str">
        <f t="shared" si="244"/>
        <v/>
      </c>
      <c r="AQ1205" s="28"/>
      <c r="AR1205" s="28"/>
      <c r="AS1205" s="20" t="str">
        <f>IF(AQ1205="","",IF($F1205="Bernardino Furlan",_xlfn.XLOOKUP(AQ1205,Cadastros!$G$6:$G$90,Cadastros!$H$6:$H$90)*(1-0.18),IF($F1205="Mauro José Salanti",_xlfn.XLOOKUP(AQ1205,Cadastros!$G$6:$G$90,Cadastros!$H$6:$H$90)*(1-0.18),_xlfn.XLOOKUP(AQ1205,Cadastros!$G$6:$G$90,Cadastros!$H$6:$H$90))))</f>
        <v/>
      </c>
      <c r="AT1205" s="168" t="str">
        <f t="shared" si="245"/>
        <v/>
      </c>
      <c r="AU1205" s="168" t="str">
        <f t="shared" si="246"/>
        <v/>
      </c>
      <c r="AV1205" s="227"/>
      <c r="AW1205" s="30"/>
      <c r="AX1205" s="267"/>
      <c r="AY1205" s="267"/>
      <c r="AZ1205" s="29"/>
      <c r="BA1205" s="30"/>
      <c r="BB1205" s="23" t="str" cm="1">
        <f t="array" ref="BB1205">_xlfn.IFS(AW1205="SIM",SUM(K1205,P1205,U1205,Z1205,AE1205,AJ1205,AO1205,AT1205,AX1205,AY1205),F1205&lt;&gt;"",SUM(K1205,P1205,U1205,Z1205,AE1205,AJ1205,,AO1205,AT1205),F1205="","")</f>
        <v/>
      </c>
      <c r="BC1205" s="211" t="str" cm="1">
        <f t="array" ref="BC1205">_xlfn.IFS(E1205="","",G1205&lt;=E1205,BB1205*(1-0.03),G1205&lt;(E1205+8),BB1205,AZ1205="Boleto",BB1205*(1+0.001)^DATEDIF(E1205,G1205,"D"),AZ1205="Cheque",BB1205,AZ1205="Dinheiro","Alterar forma pgto")</f>
        <v/>
      </c>
      <c r="BD1205" s="276" t="str" cm="1">
        <f t="array" ref="BD1205">IF(F1205=0," ",IF(BC1205&lt;BB1205,(_xlfn.IFS(AW1205="SIM",SUM(L1205,Q1205,V1205,AA1205,AF1205,AK1205,AP1205,AU1205)+AX1205/_xlfn.XLOOKUP(_xlfn.XLOOKUP($F1205,Clientes!$B$4:$B$39,Clientes!$C$4:$C$39),Cadastros!$L$6:$L$12,Cadastros!$M$6:$M$12)+IF($F1205="Bernardino Furlan",AY1205/2751.92,IF($F1205="Mauro José Salanti",AY1205/2751.92,AY1205/3356)),F1205&lt;&gt;0,SUM(L1205,Q1205,V1205,AA1205,AF1205,AK1205,AP1205,AU1205)))*(1-0.03),_xlfn.IFS(AW1205="SIM",SUM(L1205,Q1205,V1205,AA1205,AF1205,AK1205,AP1205,AU1205)+AX1205/_xlfn.XLOOKUP(_xlfn.XLOOKUP($F1205,Clientes!$B$4:$B$39,Clientes!$C$4:$C$39),Cadastros!$L$6:$L$12,Cadastros!$M$6:$M$12)+IF($F1205="Bernardino Furlan",AY1205/2751.92,IF($F1205="Mauro José Salanti",AY1205/2751.92,AY1205/3356)),F1205&lt;&gt;0,SUM(L1205,Q1205,V1205,AA1205,AF1205,AK1205,AP1205,AU1205))))</f>
        <v xml:space="preserve"> </v>
      </c>
      <c r="BE1205" s="120"/>
      <c r="BF1205" s="120"/>
      <c r="BG1205" s="120"/>
    </row>
    <row r="1206" spans="1:59" s="3" customFormat="1" x14ac:dyDescent="0.3">
      <c r="A1206" s="15" t="str">
        <f t="shared" si="234"/>
        <v/>
      </c>
      <c r="B1206" s="25"/>
      <c r="C1206" s="26"/>
      <c r="D1206" s="279"/>
      <c r="E1206" s="27"/>
      <c r="F1206" s="28"/>
      <c r="G1206" s="27"/>
      <c r="H1206" s="28"/>
      <c r="I1206" s="28"/>
      <c r="J1206" s="255" t="str">
        <f>IF(H1206="","",(_xlfn.XLOOKUP(H1206,Cadastros!$D$6:$D$90,Cadastros!$E$6:$E$90))*(1-_xlfn.XLOOKUP(_xlfn.XLOOKUP($F1206,Clientes!$B$4:$B$39,Clientes!$C$4:$C$39),Cadastros!$L$6:$L$12,Cadastros!$N$6:$N$12)))</f>
        <v/>
      </c>
      <c r="K1206" s="168" t="str">
        <f t="shared" si="235"/>
        <v/>
      </c>
      <c r="L1206" s="168" t="str">
        <f>IFERROR(K1206/_xlfn.XLOOKUP(_xlfn.XLOOKUP($F1206,Clientes!$B$4:$B$39,Clientes!$C$4:$C$39),Cadastros!$L$6:$L$12,Cadastros!$M$6:$M$12)," ")</f>
        <v xml:space="preserve"> </v>
      </c>
      <c r="M1206" s="28"/>
      <c r="N1206" s="28"/>
      <c r="O1206" s="255" t="str">
        <f>IF(M1206="","",(_xlfn.XLOOKUP(M1206,Cadastros!$D$6:$D$90,Cadastros!$E$6:$E$90))*(1-_xlfn.XLOOKUP(_xlfn.XLOOKUP($F1206,Clientes!$B$4:$B$39,Clientes!$C$4:$C$39),Cadastros!$L$6:$L$12,Cadastros!$N$6:$N$12)))</f>
        <v/>
      </c>
      <c r="P1206" s="168" t="str">
        <f t="shared" si="236"/>
        <v/>
      </c>
      <c r="Q1206" s="168" t="str">
        <f>IFERROR(P1206/_xlfn.XLOOKUP(_xlfn.XLOOKUP($F1206,Clientes!$B$4:$B$39,Clientes!$C$4:$C$39),Cadastros!$L$6:$L$12,Cadastros!$M$6:$M$12)," ")</f>
        <v xml:space="preserve"> </v>
      </c>
      <c r="R1206" s="28"/>
      <c r="S1206" s="28"/>
      <c r="T1206" s="255" t="str">
        <f>IF(R1206="","",(_xlfn.XLOOKUP(R1206,Cadastros!$D$6:$D$90,Cadastros!$E$6:$E$90))*(1-_xlfn.XLOOKUP(_xlfn.XLOOKUP($F1206,Clientes!$B$4:$B$39,Clientes!$C$4:$C$39),Cadastros!$L$6:$L$12,Cadastros!$N$6:$N$12)))</f>
        <v/>
      </c>
      <c r="U1206" s="168" t="str">
        <f t="shared" si="237"/>
        <v/>
      </c>
      <c r="V1206" s="168" t="str">
        <f>IFERROR(U1206/_xlfn.XLOOKUP(_xlfn.XLOOKUP($F1206,Clientes!$B$4:$B$39,Clientes!$C$4:$C$39),Cadastros!$L$6:$L$12,Cadastros!$M$6:$M$12)," ")</f>
        <v xml:space="preserve"> </v>
      </c>
      <c r="W1206" s="28"/>
      <c r="X1206" s="28"/>
      <c r="Y1206" s="255" t="str">
        <f>IF(W1206="","",(_xlfn.XLOOKUP(W1206,Cadastros!$D$6:$D$90,Cadastros!$E$6:$E$90))*(1-_xlfn.XLOOKUP(_xlfn.XLOOKUP($F1206,Clientes!$B$4:$B$39,Clientes!$C$4:$C$39),Cadastros!$L$6:$L$12,Cadastros!$N$6:$N$12)))</f>
        <v/>
      </c>
      <c r="Z1206" s="168" t="str">
        <f t="shared" si="238"/>
        <v/>
      </c>
      <c r="AA1206" s="168" t="str">
        <f>IFERROR(Z1206/_xlfn.XLOOKUP(_xlfn.XLOOKUP($F1206,Clientes!$B$4:$B$39,Clientes!$C$4:$C$39),Cadastros!$L$6:$L$12,Cadastros!$M$6:$M$12)," ")</f>
        <v xml:space="preserve"> </v>
      </c>
      <c r="AB1206" s="28"/>
      <c r="AC1206" s="28"/>
      <c r="AD1206" s="20" t="str">
        <f>IF(AB1206="","",IF($F1206="Bernardino Furlan",_xlfn.XLOOKUP(AB1206,Cadastros!$G$6:$G$90,Cadastros!$H$6:$H$90)*(1-0.18),IF($F1206="Mauro José Salanti",_xlfn.XLOOKUP(AB1206,Cadastros!$G$6:$G$90,Cadastros!$H$6:$H$90)*(1-0.18),_xlfn.XLOOKUP(AB1206,Cadastros!$G$6:$G$90,Cadastros!$H$6:$H$90))))</f>
        <v/>
      </c>
      <c r="AE1206" s="168" t="str">
        <f t="shared" si="239"/>
        <v/>
      </c>
      <c r="AF1206" s="168" t="str">
        <f t="shared" si="240"/>
        <v/>
      </c>
      <c r="AG1206" s="28"/>
      <c r="AH1206" s="28"/>
      <c r="AI1206" s="20" t="str">
        <f>IF(AG1206="","",IF($F1206="Bernardino Furlan",_xlfn.XLOOKUP(AG1206,Cadastros!$G$6:$G$90,Cadastros!$H$6:$H$90)*(1-0.18),IF($F1206="Mauro José Salanti",_xlfn.XLOOKUP(AG1206,Cadastros!$G$6:$G$90,Cadastros!$H$6:$H$90)*(1-0.18),_xlfn.XLOOKUP(AG1206,Cadastros!$G$6:$G$90,Cadastros!$H$6:$H$90))))</f>
        <v/>
      </c>
      <c r="AJ1206" s="168" t="str">
        <f t="shared" si="241"/>
        <v/>
      </c>
      <c r="AK1206" s="168" t="str">
        <f t="shared" si="242"/>
        <v/>
      </c>
      <c r="AL1206" s="28"/>
      <c r="AM1206" s="28"/>
      <c r="AN1206" s="20" t="str">
        <f>IF(AL1206="","",IF($F1206="Bernardino Furlan",_xlfn.XLOOKUP(AL1206,Cadastros!$G$6:$G$90,Cadastros!$H$6:$H$90)*(1-0.18),IF($F1206="Mauro José Salanti",_xlfn.XLOOKUP(AL1206,Cadastros!$G$6:$G$90,Cadastros!$H$6:$H$90)*(1-0.18),_xlfn.XLOOKUP(AL1206,Cadastros!$G$6:$G$90,Cadastros!$H$6:$H$90))))</f>
        <v/>
      </c>
      <c r="AO1206" s="168" t="str">
        <f t="shared" si="243"/>
        <v/>
      </c>
      <c r="AP1206" s="168" t="str">
        <f t="shared" si="244"/>
        <v/>
      </c>
      <c r="AQ1206" s="28"/>
      <c r="AR1206" s="28"/>
      <c r="AS1206" s="20" t="str">
        <f>IF(AQ1206="","",IF($F1206="Bernardino Furlan",_xlfn.XLOOKUP(AQ1206,Cadastros!$G$6:$G$90,Cadastros!$H$6:$H$90)*(1-0.18),IF($F1206="Mauro José Salanti",_xlfn.XLOOKUP(AQ1206,Cadastros!$G$6:$G$90,Cadastros!$H$6:$H$90)*(1-0.18),_xlfn.XLOOKUP(AQ1206,Cadastros!$G$6:$G$90,Cadastros!$H$6:$H$90))))</f>
        <v/>
      </c>
      <c r="AT1206" s="168" t="str">
        <f t="shared" si="245"/>
        <v/>
      </c>
      <c r="AU1206" s="168" t="str">
        <f t="shared" si="246"/>
        <v/>
      </c>
      <c r="AV1206" s="227"/>
      <c r="AW1206" s="30"/>
      <c r="AX1206" s="267"/>
      <c r="AY1206" s="267"/>
      <c r="AZ1206" s="29"/>
      <c r="BA1206" s="30"/>
      <c r="BB1206" s="23" t="str" cm="1">
        <f t="array" ref="BB1206">_xlfn.IFS(AW1206="SIM",SUM(K1206,P1206,U1206,Z1206,AE1206,AJ1206,AO1206,AT1206,AX1206,AY1206),F1206&lt;&gt;"",SUM(K1206,P1206,U1206,Z1206,AE1206,AJ1206,,AO1206,AT1206),F1206="","")</f>
        <v/>
      </c>
      <c r="BC1206" s="211" t="str" cm="1">
        <f t="array" ref="BC1206">_xlfn.IFS(E1206="","",G1206&lt;=E1206,BB1206*(1-0.03),G1206&lt;(E1206+8),BB1206,AZ1206="Boleto",BB1206*(1+0.001)^DATEDIF(E1206,G1206,"D"),AZ1206="Cheque",BB1206,AZ1206="Dinheiro","Alterar forma pgto")</f>
        <v/>
      </c>
      <c r="BD1206" s="276" t="str" cm="1">
        <f t="array" ref="BD1206">IF(F1206=0," ",IF(BC1206&lt;BB1206,(_xlfn.IFS(AW1206="SIM",SUM(L1206,Q1206,V1206,AA1206,AF1206,AK1206,AP1206,AU1206)+AX1206/_xlfn.XLOOKUP(_xlfn.XLOOKUP($F1206,Clientes!$B$4:$B$39,Clientes!$C$4:$C$39),Cadastros!$L$6:$L$12,Cadastros!$M$6:$M$12)+IF($F1206="Bernardino Furlan",AY1206/2751.92,IF($F1206="Mauro José Salanti",AY1206/2751.92,AY1206/3356)),F1206&lt;&gt;0,SUM(L1206,Q1206,V1206,AA1206,AF1206,AK1206,AP1206,AU1206)))*(1-0.03),_xlfn.IFS(AW1206="SIM",SUM(L1206,Q1206,V1206,AA1206,AF1206,AK1206,AP1206,AU1206)+AX1206/_xlfn.XLOOKUP(_xlfn.XLOOKUP($F1206,Clientes!$B$4:$B$39,Clientes!$C$4:$C$39),Cadastros!$L$6:$L$12,Cadastros!$M$6:$M$12)+IF($F1206="Bernardino Furlan",AY1206/2751.92,IF($F1206="Mauro José Salanti",AY1206/2751.92,AY1206/3356)),F1206&lt;&gt;0,SUM(L1206,Q1206,V1206,AA1206,AF1206,AK1206,AP1206,AU1206))))</f>
        <v xml:space="preserve"> </v>
      </c>
      <c r="BE1206" s="120"/>
      <c r="BF1206" s="120"/>
      <c r="BG1206" s="120"/>
    </row>
    <row r="1207" spans="1:59" s="3" customFormat="1" x14ac:dyDescent="0.3">
      <c r="A1207" s="15" t="str">
        <f t="shared" si="234"/>
        <v/>
      </c>
      <c r="B1207" s="25"/>
      <c r="C1207" s="26"/>
      <c r="D1207" s="279"/>
      <c r="E1207" s="27"/>
      <c r="F1207" s="28"/>
      <c r="G1207" s="27"/>
      <c r="H1207" s="28"/>
      <c r="I1207" s="28"/>
      <c r="J1207" s="255" t="str">
        <f>IF(H1207="","",(_xlfn.XLOOKUP(H1207,Cadastros!$D$6:$D$90,Cadastros!$E$6:$E$90))*(1-_xlfn.XLOOKUP(_xlfn.XLOOKUP($F1207,Clientes!$B$4:$B$39,Clientes!$C$4:$C$39),Cadastros!$L$6:$L$12,Cadastros!$N$6:$N$12)))</f>
        <v/>
      </c>
      <c r="K1207" s="168" t="str">
        <f t="shared" si="235"/>
        <v/>
      </c>
      <c r="L1207" s="168" t="str">
        <f>IFERROR(K1207/_xlfn.XLOOKUP(_xlfn.XLOOKUP($F1207,Clientes!$B$4:$B$39,Clientes!$C$4:$C$39),Cadastros!$L$6:$L$12,Cadastros!$M$6:$M$12)," ")</f>
        <v xml:space="preserve"> </v>
      </c>
      <c r="M1207" s="28"/>
      <c r="N1207" s="28"/>
      <c r="O1207" s="255" t="str">
        <f>IF(M1207="","",(_xlfn.XLOOKUP(M1207,Cadastros!$D$6:$D$90,Cadastros!$E$6:$E$90))*(1-_xlfn.XLOOKUP(_xlfn.XLOOKUP($F1207,Clientes!$B$4:$B$39,Clientes!$C$4:$C$39),Cadastros!$L$6:$L$12,Cadastros!$N$6:$N$12)))</f>
        <v/>
      </c>
      <c r="P1207" s="168" t="str">
        <f t="shared" si="236"/>
        <v/>
      </c>
      <c r="Q1207" s="168" t="str">
        <f>IFERROR(P1207/_xlfn.XLOOKUP(_xlfn.XLOOKUP($F1207,Clientes!$B$4:$B$39,Clientes!$C$4:$C$39),Cadastros!$L$6:$L$12,Cadastros!$M$6:$M$12)," ")</f>
        <v xml:space="preserve"> </v>
      </c>
      <c r="R1207" s="28"/>
      <c r="S1207" s="28"/>
      <c r="T1207" s="255" t="str">
        <f>IF(R1207="","",(_xlfn.XLOOKUP(R1207,Cadastros!$D$6:$D$90,Cadastros!$E$6:$E$90))*(1-_xlfn.XLOOKUP(_xlfn.XLOOKUP($F1207,Clientes!$B$4:$B$39,Clientes!$C$4:$C$39),Cadastros!$L$6:$L$12,Cadastros!$N$6:$N$12)))</f>
        <v/>
      </c>
      <c r="U1207" s="168" t="str">
        <f t="shared" si="237"/>
        <v/>
      </c>
      <c r="V1207" s="168" t="str">
        <f>IFERROR(U1207/_xlfn.XLOOKUP(_xlfn.XLOOKUP($F1207,Clientes!$B$4:$B$39,Clientes!$C$4:$C$39),Cadastros!$L$6:$L$12,Cadastros!$M$6:$M$12)," ")</f>
        <v xml:space="preserve"> </v>
      </c>
      <c r="W1207" s="28"/>
      <c r="X1207" s="28"/>
      <c r="Y1207" s="255" t="str">
        <f>IF(W1207="","",(_xlfn.XLOOKUP(W1207,Cadastros!$D$6:$D$90,Cadastros!$E$6:$E$90))*(1-_xlfn.XLOOKUP(_xlfn.XLOOKUP($F1207,Clientes!$B$4:$B$39,Clientes!$C$4:$C$39),Cadastros!$L$6:$L$12,Cadastros!$N$6:$N$12)))</f>
        <v/>
      </c>
      <c r="Z1207" s="168" t="str">
        <f t="shared" si="238"/>
        <v/>
      </c>
      <c r="AA1207" s="168" t="str">
        <f>IFERROR(Z1207/_xlfn.XLOOKUP(_xlfn.XLOOKUP($F1207,Clientes!$B$4:$B$39,Clientes!$C$4:$C$39),Cadastros!$L$6:$L$12,Cadastros!$M$6:$M$12)," ")</f>
        <v xml:space="preserve"> </v>
      </c>
      <c r="AB1207" s="28"/>
      <c r="AC1207" s="28"/>
      <c r="AD1207" s="20" t="str">
        <f>IF(AB1207="","",IF($F1207="Bernardino Furlan",_xlfn.XLOOKUP(AB1207,Cadastros!$G$6:$G$90,Cadastros!$H$6:$H$90)*(1-0.18),IF($F1207="Mauro José Salanti",_xlfn.XLOOKUP(AB1207,Cadastros!$G$6:$G$90,Cadastros!$H$6:$H$90)*(1-0.18),_xlfn.XLOOKUP(AB1207,Cadastros!$G$6:$G$90,Cadastros!$H$6:$H$90))))</f>
        <v/>
      </c>
      <c r="AE1207" s="168" t="str">
        <f t="shared" si="239"/>
        <v/>
      </c>
      <c r="AF1207" s="168" t="str">
        <f t="shared" si="240"/>
        <v/>
      </c>
      <c r="AG1207" s="28"/>
      <c r="AH1207" s="28"/>
      <c r="AI1207" s="20" t="str">
        <f>IF(AG1207="","",IF($F1207="Bernardino Furlan",_xlfn.XLOOKUP(AG1207,Cadastros!$G$6:$G$90,Cadastros!$H$6:$H$90)*(1-0.18),IF($F1207="Mauro José Salanti",_xlfn.XLOOKUP(AG1207,Cadastros!$G$6:$G$90,Cadastros!$H$6:$H$90)*(1-0.18),_xlfn.XLOOKUP(AG1207,Cadastros!$G$6:$G$90,Cadastros!$H$6:$H$90))))</f>
        <v/>
      </c>
      <c r="AJ1207" s="168" t="str">
        <f t="shared" si="241"/>
        <v/>
      </c>
      <c r="AK1207" s="168" t="str">
        <f t="shared" si="242"/>
        <v/>
      </c>
      <c r="AL1207" s="28"/>
      <c r="AM1207" s="28"/>
      <c r="AN1207" s="20" t="str">
        <f>IF(AL1207="","",IF($F1207="Bernardino Furlan",_xlfn.XLOOKUP(AL1207,Cadastros!$G$6:$G$90,Cadastros!$H$6:$H$90)*(1-0.18),IF($F1207="Mauro José Salanti",_xlfn.XLOOKUP(AL1207,Cadastros!$G$6:$G$90,Cadastros!$H$6:$H$90)*(1-0.18),_xlfn.XLOOKUP(AL1207,Cadastros!$G$6:$G$90,Cadastros!$H$6:$H$90))))</f>
        <v/>
      </c>
      <c r="AO1207" s="168" t="str">
        <f t="shared" si="243"/>
        <v/>
      </c>
      <c r="AP1207" s="168" t="str">
        <f t="shared" si="244"/>
        <v/>
      </c>
      <c r="AQ1207" s="28"/>
      <c r="AR1207" s="28"/>
      <c r="AS1207" s="20" t="str">
        <f>IF(AQ1207="","",IF($F1207="Bernardino Furlan",_xlfn.XLOOKUP(AQ1207,Cadastros!$G$6:$G$90,Cadastros!$H$6:$H$90)*(1-0.18),IF($F1207="Mauro José Salanti",_xlfn.XLOOKUP(AQ1207,Cadastros!$G$6:$G$90,Cadastros!$H$6:$H$90)*(1-0.18),_xlfn.XLOOKUP(AQ1207,Cadastros!$G$6:$G$90,Cadastros!$H$6:$H$90))))</f>
        <v/>
      </c>
      <c r="AT1207" s="168" t="str">
        <f t="shared" si="245"/>
        <v/>
      </c>
      <c r="AU1207" s="168" t="str">
        <f t="shared" si="246"/>
        <v/>
      </c>
      <c r="AV1207" s="227"/>
      <c r="AW1207" s="30"/>
      <c r="AX1207" s="267"/>
      <c r="AY1207" s="267"/>
      <c r="AZ1207" s="29"/>
      <c r="BA1207" s="30"/>
      <c r="BB1207" s="23" t="str" cm="1">
        <f t="array" ref="BB1207">_xlfn.IFS(AW1207="SIM",SUM(K1207,P1207,U1207,Z1207,AE1207,AJ1207,AO1207,AT1207,AX1207,AY1207),F1207&lt;&gt;"",SUM(K1207,P1207,U1207,Z1207,AE1207,AJ1207,,AO1207,AT1207),F1207="","")</f>
        <v/>
      </c>
      <c r="BC1207" s="211" t="str" cm="1">
        <f t="array" ref="BC1207">_xlfn.IFS(E1207="","",G1207&lt;=E1207,BB1207*(1-0.03),G1207&lt;(E1207+8),BB1207,AZ1207="Boleto",BB1207*(1+0.001)^DATEDIF(E1207,G1207,"D"),AZ1207="Cheque",BB1207,AZ1207="Dinheiro","Alterar forma pgto")</f>
        <v/>
      </c>
      <c r="BD1207" s="276" t="str" cm="1">
        <f t="array" ref="BD1207">IF(F1207=0," ",IF(BC1207&lt;BB1207,(_xlfn.IFS(AW1207="SIM",SUM(L1207,Q1207,V1207,AA1207,AF1207,AK1207,AP1207,AU1207)+AX1207/_xlfn.XLOOKUP(_xlfn.XLOOKUP($F1207,Clientes!$B$4:$B$39,Clientes!$C$4:$C$39),Cadastros!$L$6:$L$12,Cadastros!$M$6:$M$12)+IF($F1207="Bernardino Furlan",AY1207/2751.92,IF($F1207="Mauro José Salanti",AY1207/2751.92,AY1207/3356)),F1207&lt;&gt;0,SUM(L1207,Q1207,V1207,AA1207,AF1207,AK1207,AP1207,AU1207)))*(1-0.03),_xlfn.IFS(AW1207="SIM",SUM(L1207,Q1207,V1207,AA1207,AF1207,AK1207,AP1207,AU1207)+AX1207/_xlfn.XLOOKUP(_xlfn.XLOOKUP($F1207,Clientes!$B$4:$B$39,Clientes!$C$4:$C$39),Cadastros!$L$6:$L$12,Cadastros!$M$6:$M$12)+IF($F1207="Bernardino Furlan",AY1207/2751.92,IF($F1207="Mauro José Salanti",AY1207/2751.92,AY1207/3356)),F1207&lt;&gt;0,SUM(L1207,Q1207,V1207,AA1207,AF1207,AK1207,AP1207,AU1207))))</f>
        <v xml:space="preserve"> </v>
      </c>
      <c r="BE1207" s="120"/>
      <c r="BF1207" s="120"/>
      <c r="BG1207" s="120"/>
    </row>
    <row r="1208" spans="1:59" s="3" customFormat="1" x14ac:dyDescent="0.3">
      <c r="A1208" s="15" t="str">
        <f t="shared" si="234"/>
        <v/>
      </c>
      <c r="B1208" s="25"/>
      <c r="C1208" s="26"/>
      <c r="D1208" s="279"/>
      <c r="E1208" s="27"/>
      <c r="F1208" s="28"/>
      <c r="G1208" s="27"/>
      <c r="H1208" s="28"/>
      <c r="I1208" s="28"/>
      <c r="J1208" s="255" t="str">
        <f>IF(H1208="","",(_xlfn.XLOOKUP(H1208,Cadastros!$D$6:$D$90,Cadastros!$E$6:$E$90))*(1-_xlfn.XLOOKUP(_xlfn.XLOOKUP($F1208,Clientes!$B$4:$B$39,Clientes!$C$4:$C$39),Cadastros!$L$6:$L$12,Cadastros!$N$6:$N$12)))</f>
        <v/>
      </c>
      <c r="K1208" s="168" t="str">
        <f t="shared" si="235"/>
        <v/>
      </c>
      <c r="L1208" s="168" t="str">
        <f>IFERROR(K1208/_xlfn.XLOOKUP(_xlfn.XLOOKUP($F1208,Clientes!$B$4:$B$39,Clientes!$C$4:$C$39),Cadastros!$L$6:$L$12,Cadastros!$M$6:$M$12)," ")</f>
        <v xml:space="preserve"> </v>
      </c>
      <c r="M1208" s="28"/>
      <c r="N1208" s="28"/>
      <c r="O1208" s="255" t="str">
        <f>IF(M1208="","",(_xlfn.XLOOKUP(M1208,Cadastros!$D$6:$D$90,Cadastros!$E$6:$E$90))*(1-_xlfn.XLOOKUP(_xlfn.XLOOKUP($F1208,Clientes!$B$4:$B$39,Clientes!$C$4:$C$39),Cadastros!$L$6:$L$12,Cadastros!$N$6:$N$12)))</f>
        <v/>
      </c>
      <c r="P1208" s="168" t="str">
        <f t="shared" si="236"/>
        <v/>
      </c>
      <c r="Q1208" s="168" t="str">
        <f>IFERROR(P1208/_xlfn.XLOOKUP(_xlfn.XLOOKUP($F1208,Clientes!$B$4:$B$39,Clientes!$C$4:$C$39),Cadastros!$L$6:$L$12,Cadastros!$M$6:$M$12)," ")</f>
        <v xml:space="preserve"> </v>
      </c>
      <c r="R1208" s="28"/>
      <c r="S1208" s="28"/>
      <c r="T1208" s="255" t="str">
        <f>IF(R1208="","",(_xlfn.XLOOKUP(R1208,Cadastros!$D$6:$D$90,Cadastros!$E$6:$E$90))*(1-_xlfn.XLOOKUP(_xlfn.XLOOKUP($F1208,Clientes!$B$4:$B$39,Clientes!$C$4:$C$39),Cadastros!$L$6:$L$12,Cadastros!$N$6:$N$12)))</f>
        <v/>
      </c>
      <c r="U1208" s="168" t="str">
        <f t="shared" si="237"/>
        <v/>
      </c>
      <c r="V1208" s="168" t="str">
        <f>IFERROR(U1208/_xlfn.XLOOKUP(_xlfn.XLOOKUP($F1208,Clientes!$B$4:$B$39,Clientes!$C$4:$C$39),Cadastros!$L$6:$L$12,Cadastros!$M$6:$M$12)," ")</f>
        <v xml:space="preserve"> </v>
      </c>
      <c r="W1208" s="28"/>
      <c r="X1208" s="28"/>
      <c r="Y1208" s="255" t="str">
        <f>IF(W1208="","",(_xlfn.XLOOKUP(W1208,Cadastros!$D$6:$D$90,Cadastros!$E$6:$E$90))*(1-_xlfn.XLOOKUP(_xlfn.XLOOKUP($F1208,Clientes!$B$4:$B$39,Clientes!$C$4:$C$39),Cadastros!$L$6:$L$12,Cadastros!$N$6:$N$12)))</f>
        <v/>
      </c>
      <c r="Z1208" s="168" t="str">
        <f t="shared" si="238"/>
        <v/>
      </c>
      <c r="AA1208" s="168" t="str">
        <f>IFERROR(Z1208/_xlfn.XLOOKUP(_xlfn.XLOOKUP($F1208,Clientes!$B$4:$B$39,Clientes!$C$4:$C$39),Cadastros!$L$6:$L$12,Cadastros!$M$6:$M$12)," ")</f>
        <v xml:space="preserve"> </v>
      </c>
      <c r="AB1208" s="28"/>
      <c r="AC1208" s="28"/>
      <c r="AD1208" s="20" t="str">
        <f>IF(AB1208="","",IF($F1208="Bernardino Furlan",_xlfn.XLOOKUP(AB1208,Cadastros!$G$6:$G$90,Cadastros!$H$6:$H$90)*(1-0.18),IF($F1208="Mauro José Salanti",_xlfn.XLOOKUP(AB1208,Cadastros!$G$6:$G$90,Cadastros!$H$6:$H$90)*(1-0.18),_xlfn.XLOOKUP(AB1208,Cadastros!$G$6:$G$90,Cadastros!$H$6:$H$90))))</f>
        <v/>
      </c>
      <c r="AE1208" s="168" t="str">
        <f t="shared" si="239"/>
        <v/>
      </c>
      <c r="AF1208" s="168" t="str">
        <f t="shared" si="240"/>
        <v/>
      </c>
      <c r="AG1208" s="28"/>
      <c r="AH1208" s="28"/>
      <c r="AI1208" s="20" t="str">
        <f>IF(AG1208="","",IF($F1208="Bernardino Furlan",_xlfn.XLOOKUP(AG1208,Cadastros!$G$6:$G$90,Cadastros!$H$6:$H$90)*(1-0.18),IF($F1208="Mauro José Salanti",_xlfn.XLOOKUP(AG1208,Cadastros!$G$6:$G$90,Cadastros!$H$6:$H$90)*(1-0.18),_xlfn.XLOOKUP(AG1208,Cadastros!$G$6:$G$90,Cadastros!$H$6:$H$90))))</f>
        <v/>
      </c>
      <c r="AJ1208" s="168" t="str">
        <f t="shared" si="241"/>
        <v/>
      </c>
      <c r="AK1208" s="168" t="str">
        <f t="shared" si="242"/>
        <v/>
      </c>
      <c r="AL1208" s="28"/>
      <c r="AM1208" s="28"/>
      <c r="AN1208" s="20" t="str">
        <f>IF(AL1208="","",IF($F1208="Bernardino Furlan",_xlfn.XLOOKUP(AL1208,Cadastros!$G$6:$G$90,Cadastros!$H$6:$H$90)*(1-0.18),IF($F1208="Mauro José Salanti",_xlfn.XLOOKUP(AL1208,Cadastros!$G$6:$G$90,Cadastros!$H$6:$H$90)*(1-0.18),_xlfn.XLOOKUP(AL1208,Cadastros!$G$6:$G$90,Cadastros!$H$6:$H$90))))</f>
        <v/>
      </c>
      <c r="AO1208" s="168" t="str">
        <f t="shared" si="243"/>
        <v/>
      </c>
      <c r="AP1208" s="168" t="str">
        <f t="shared" si="244"/>
        <v/>
      </c>
      <c r="AQ1208" s="28"/>
      <c r="AR1208" s="28"/>
      <c r="AS1208" s="20" t="str">
        <f>IF(AQ1208="","",IF($F1208="Bernardino Furlan",_xlfn.XLOOKUP(AQ1208,Cadastros!$G$6:$G$90,Cadastros!$H$6:$H$90)*(1-0.18),IF($F1208="Mauro José Salanti",_xlfn.XLOOKUP(AQ1208,Cadastros!$G$6:$G$90,Cadastros!$H$6:$H$90)*(1-0.18),_xlfn.XLOOKUP(AQ1208,Cadastros!$G$6:$G$90,Cadastros!$H$6:$H$90))))</f>
        <v/>
      </c>
      <c r="AT1208" s="168" t="str">
        <f t="shared" si="245"/>
        <v/>
      </c>
      <c r="AU1208" s="168" t="str">
        <f t="shared" si="246"/>
        <v/>
      </c>
      <c r="AV1208" s="227"/>
      <c r="AW1208" s="30"/>
      <c r="AX1208" s="267"/>
      <c r="AY1208" s="267"/>
      <c r="AZ1208" s="29"/>
      <c r="BA1208" s="30"/>
      <c r="BB1208" s="23" t="str" cm="1">
        <f t="array" ref="BB1208">_xlfn.IFS(AW1208="SIM",SUM(K1208,P1208,U1208,Z1208,AE1208,AJ1208,AO1208,AT1208,AX1208,AY1208),F1208&lt;&gt;"",SUM(K1208,P1208,U1208,Z1208,AE1208,AJ1208,,AO1208,AT1208),F1208="","")</f>
        <v/>
      </c>
      <c r="BC1208" s="211" t="str" cm="1">
        <f t="array" ref="BC1208">_xlfn.IFS(E1208="","",G1208&lt;=E1208,BB1208*(1-0.03),G1208&lt;(E1208+8),BB1208,AZ1208="Boleto",BB1208*(1+0.001)^DATEDIF(E1208,G1208,"D"),AZ1208="Cheque",BB1208,AZ1208="Dinheiro","Alterar forma pgto")</f>
        <v/>
      </c>
      <c r="BD1208" s="276" t="str" cm="1">
        <f t="array" ref="BD1208">IF(F1208=0," ",IF(BC1208&lt;BB1208,(_xlfn.IFS(AW1208="SIM",SUM(L1208,Q1208,V1208,AA1208,AF1208,AK1208,AP1208,AU1208)+AX1208/_xlfn.XLOOKUP(_xlfn.XLOOKUP($F1208,Clientes!$B$4:$B$39,Clientes!$C$4:$C$39),Cadastros!$L$6:$L$12,Cadastros!$M$6:$M$12)+IF($F1208="Bernardino Furlan",AY1208/2751.92,IF($F1208="Mauro José Salanti",AY1208/2751.92,AY1208/3356)),F1208&lt;&gt;0,SUM(L1208,Q1208,V1208,AA1208,AF1208,AK1208,AP1208,AU1208)))*(1-0.03),_xlfn.IFS(AW1208="SIM",SUM(L1208,Q1208,V1208,AA1208,AF1208,AK1208,AP1208,AU1208)+AX1208/_xlfn.XLOOKUP(_xlfn.XLOOKUP($F1208,Clientes!$B$4:$B$39,Clientes!$C$4:$C$39),Cadastros!$L$6:$L$12,Cadastros!$M$6:$M$12)+IF($F1208="Bernardino Furlan",AY1208/2751.92,IF($F1208="Mauro José Salanti",AY1208/2751.92,AY1208/3356)),F1208&lt;&gt;0,SUM(L1208,Q1208,V1208,AA1208,AF1208,AK1208,AP1208,AU1208))))</f>
        <v xml:space="preserve"> </v>
      </c>
      <c r="BE1208" s="120"/>
      <c r="BF1208" s="120"/>
      <c r="BG1208" s="120"/>
    </row>
    <row r="1209" spans="1:59" s="3" customFormat="1" x14ac:dyDescent="0.3">
      <c r="A1209" s="15" t="str">
        <f t="shared" si="234"/>
        <v/>
      </c>
      <c r="B1209" s="25"/>
      <c r="C1209" s="26"/>
      <c r="D1209" s="279"/>
      <c r="E1209" s="27"/>
      <c r="F1209" s="28"/>
      <c r="G1209" s="27"/>
      <c r="H1209" s="28"/>
      <c r="I1209" s="28"/>
      <c r="J1209" s="255" t="str">
        <f>IF(H1209="","",(_xlfn.XLOOKUP(H1209,Cadastros!$D$6:$D$90,Cadastros!$E$6:$E$90))*(1-_xlfn.XLOOKUP(_xlfn.XLOOKUP($F1209,Clientes!$B$4:$B$39,Clientes!$C$4:$C$39),Cadastros!$L$6:$L$12,Cadastros!$N$6:$N$12)))</f>
        <v/>
      </c>
      <c r="K1209" s="168" t="str">
        <f t="shared" si="235"/>
        <v/>
      </c>
      <c r="L1209" s="168" t="str">
        <f>IFERROR(K1209/_xlfn.XLOOKUP(_xlfn.XLOOKUP($F1209,Clientes!$B$4:$B$39,Clientes!$C$4:$C$39),Cadastros!$L$6:$L$12,Cadastros!$M$6:$M$12)," ")</f>
        <v xml:space="preserve"> </v>
      </c>
      <c r="M1209" s="28"/>
      <c r="N1209" s="28"/>
      <c r="O1209" s="255" t="str">
        <f>IF(M1209="","",(_xlfn.XLOOKUP(M1209,Cadastros!$D$6:$D$90,Cadastros!$E$6:$E$90))*(1-_xlfn.XLOOKUP(_xlfn.XLOOKUP($F1209,Clientes!$B$4:$B$39,Clientes!$C$4:$C$39),Cadastros!$L$6:$L$12,Cadastros!$N$6:$N$12)))</f>
        <v/>
      </c>
      <c r="P1209" s="168" t="str">
        <f t="shared" si="236"/>
        <v/>
      </c>
      <c r="Q1209" s="168" t="str">
        <f>IFERROR(P1209/_xlfn.XLOOKUP(_xlfn.XLOOKUP($F1209,Clientes!$B$4:$B$39,Clientes!$C$4:$C$39),Cadastros!$L$6:$L$12,Cadastros!$M$6:$M$12)," ")</f>
        <v xml:space="preserve"> </v>
      </c>
      <c r="R1209" s="28"/>
      <c r="S1209" s="28"/>
      <c r="T1209" s="255" t="str">
        <f>IF(R1209="","",(_xlfn.XLOOKUP(R1209,Cadastros!$D$6:$D$90,Cadastros!$E$6:$E$90))*(1-_xlfn.XLOOKUP(_xlfn.XLOOKUP($F1209,Clientes!$B$4:$B$39,Clientes!$C$4:$C$39),Cadastros!$L$6:$L$12,Cadastros!$N$6:$N$12)))</f>
        <v/>
      </c>
      <c r="U1209" s="168" t="str">
        <f t="shared" si="237"/>
        <v/>
      </c>
      <c r="V1209" s="168" t="str">
        <f>IFERROR(U1209/_xlfn.XLOOKUP(_xlfn.XLOOKUP($F1209,Clientes!$B$4:$B$39,Clientes!$C$4:$C$39),Cadastros!$L$6:$L$12,Cadastros!$M$6:$M$12)," ")</f>
        <v xml:space="preserve"> </v>
      </c>
      <c r="W1209" s="28"/>
      <c r="X1209" s="28"/>
      <c r="Y1209" s="255" t="str">
        <f>IF(W1209="","",(_xlfn.XLOOKUP(W1209,Cadastros!$D$6:$D$90,Cadastros!$E$6:$E$90))*(1-_xlfn.XLOOKUP(_xlfn.XLOOKUP($F1209,Clientes!$B$4:$B$39,Clientes!$C$4:$C$39),Cadastros!$L$6:$L$12,Cadastros!$N$6:$N$12)))</f>
        <v/>
      </c>
      <c r="Z1209" s="168" t="str">
        <f t="shared" si="238"/>
        <v/>
      </c>
      <c r="AA1209" s="168" t="str">
        <f>IFERROR(Z1209/_xlfn.XLOOKUP(_xlfn.XLOOKUP($F1209,Clientes!$B$4:$B$39,Clientes!$C$4:$C$39),Cadastros!$L$6:$L$12,Cadastros!$M$6:$M$12)," ")</f>
        <v xml:space="preserve"> </v>
      </c>
      <c r="AB1209" s="28"/>
      <c r="AC1209" s="28"/>
      <c r="AD1209" s="20" t="str">
        <f>IF(AB1209="","",IF($F1209="Bernardino Furlan",_xlfn.XLOOKUP(AB1209,Cadastros!$G$6:$G$90,Cadastros!$H$6:$H$90)*(1-0.18),IF($F1209="Mauro José Salanti",_xlfn.XLOOKUP(AB1209,Cadastros!$G$6:$G$90,Cadastros!$H$6:$H$90)*(1-0.18),_xlfn.XLOOKUP(AB1209,Cadastros!$G$6:$G$90,Cadastros!$H$6:$H$90))))</f>
        <v/>
      </c>
      <c r="AE1209" s="168" t="str">
        <f t="shared" si="239"/>
        <v/>
      </c>
      <c r="AF1209" s="168" t="str">
        <f t="shared" si="240"/>
        <v/>
      </c>
      <c r="AG1209" s="28"/>
      <c r="AH1209" s="28"/>
      <c r="AI1209" s="20" t="str">
        <f>IF(AG1209="","",IF($F1209="Bernardino Furlan",_xlfn.XLOOKUP(AG1209,Cadastros!$G$6:$G$90,Cadastros!$H$6:$H$90)*(1-0.18),IF($F1209="Mauro José Salanti",_xlfn.XLOOKUP(AG1209,Cadastros!$G$6:$G$90,Cadastros!$H$6:$H$90)*(1-0.18),_xlfn.XLOOKUP(AG1209,Cadastros!$G$6:$G$90,Cadastros!$H$6:$H$90))))</f>
        <v/>
      </c>
      <c r="AJ1209" s="168" t="str">
        <f t="shared" si="241"/>
        <v/>
      </c>
      <c r="AK1209" s="168" t="str">
        <f t="shared" si="242"/>
        <v/>
      </c>
      <c r="AL1209" s="28"/>
      <c r="AM1209" s="28"/>
      <c r="AN1209" s="20" t="str">
        <f>IF(AL1209="","",IF($F1209="Bernardino Furlan",_xlfn.XLOOKUP(AL1209,Cadastros!$G$6:$G$90,Cadastros!$H$6:$H$90)*(1-0.18),IF($F1209="Mauro José Salanti",_xlfn.XLOOKUP(AL1209,Cadastros!$G$6:$G$90,Cadastros!$H$6:$H$90)*(1-0.18),_xlfn.XLOOKUP(AL1209,Cadastros!$G$6:$G$90,Cadastros!$H$6:$H$90))))</f>
        <v/>
      </c>
      <c r="AO1209" s="168" t="str">
        <f t="shared" si="243"/>
        <v/>
      </c>
      <c r="AP1209" s="168" t="str">
        <f t="shared" si="244"/>
        <v/>
      </c>
      <c r="AQ1209" s="28"/>
      <c r="AR1209" s="28"/>
      <c r="AS1209" s="20" t="str">
        <f>IF(AQ1209="","",IF($F1209="Bernardino Furlan",_xlfn.XLOOKUP(AQ1209,Cadastros!$G$6:$G$90,Cadastros!$H$6:$H$90)*(1-0.18),IF($F1209="Mauro José Salanti",_xlfn.XLOOKUP(AQ1209,Cadastros!$G$6:$G$90,Cadastros!$H$6:$H$90)*(1-0.18),_xlfn.XLOOKUP(AQ1209,Cadastros!$G$6:$G$90,Cadastros!$H$6:$H$90))))</f>
        <v/>
      </c>
      <c r="AT1209" s="168" t="str">
        <f t="shared" si="245"/>
        <v/>
      </c>
      <c r="AU1209" s="168" t="str">
        <f t="shared" si="246"/>
        <v/>
      </c>
      <c r="AV1209" s="227"/>
      <c r="AW1209" s="30"/>
      <c r="AX1209" s="267"/>
      <c r="AY1209" s="267"/>
      <c r="AZ1209" s="29"/>
      <c r="BA1209" s="30"/>
      <c r="BB1209" s="23" t="str" cm="1">
        <f t="array" ref="BB1209">_xlfn.IFS(AW1209="SIM",SUM(K1209,P1209,U1209,Z1209,AE1209,AJ1209,AO1209,AT1209,AX1209,AY1209),F1209&lt;&gt;"",SUM(K1209,P1209,U1209,Z1209,AE1209,AJ1209,,AO1209,AT1209),F1209="","")</f>
        <v/>
      </c>
      <c r="BC1209" s="211" t="str" cm="1">
        <f t="array" ref="BC1209">_xlfn.IFS(E1209="","",G1209&lt;=E1209,BB1209*(1-0.03),G1209&lt;(E1209+8),BB1209,AZ1209="Boleto",BB1209*(1+0.001)^DATEDIF(E1209,G1209,"D"),AZ1209="Cheque",BB1209,AZ1209="Dinheiro","Alterar forma pgto")</f>
        <v/>
      </c>
      <c r="BD1209" s="276" t="str" cm="1">
        <f t="array" ref="BD1209">IF(F1209=0," ",IF(BC1209&lt;BB1209,(_xlfn.IFS(AW1209="SIM",SUM(L1209,Q1209,V1209,AA1209,AF1209,AK1209,AP1209,AU1209)+AX1209/_xlfn.XLOOKUP(_xlfn.XLOOKUP($F1209,Clientes!$B$4:$B$39,Clientes!$C$4:$C$39),Cadastros!$L$6:$L$12,Cadastros!$M$6:$M$12)+IF($F1209="Bernardino Furlan",AY1209/2751.92,IF($F1209="Mauro José Salanti",AY1209/2751.92,AY1209/3356)),F1209&lt;&gt;0,SUM(L1209,Q1209,V1209,AA1209,AF1209,AK1209,AP1209,AU1209)))*(1-0.03),_xlfn.IFS(AW1209="SIM",SUM(L1209,Q1209,V1209,AA1209,AF1209,AK1209,AP1209,AU1209)+AX1209/_xlfn.XLOOKUP(_xlfn.XLOOKUP($F1209,Clientes!$B$4:$B$39,Clientes!$C$4:$C$39),Cadastros!$L$6:$L$12,Cadastros!$M$6:$M$12)+IF($F1209="Bernardino Furlan",AY1209/2751.92,IF($F1209="Mauro José Salanti",AY1209/2751.92,AY1209/3356)),F1209&lt;&gt;0,SUM(L1209,Q1209,V1209,AA1209,AF1209,AK1209,AP1209,AU1209))))</f>
        <v xml:space="preserve"> </v>
      </c>
      <c r="BE1209" s="120"/>
      <c r="BF1209" s="120"/>
      <c r="BG1209" s="120"/>
    </row>
    <row r="1210" spans="1:59" s="3" customFormat="1" x14ac:dyDescent="0.3">
      <c r="A1210" s="15" t="str">
        <f t="shared" si="234"/>
        <v/>
      </c>
      <c r="B1210" s="25"/>
      <c r="C1210" s="26"/>
      <c r="D1210" s="279"/>
      <c r="E1210" s="27"/>
      <c r="F1210" s="28"/>
      <c r="G1210" s="27"/>
      <c r="H1210" s="28"/>
      <c r="I1210" s="28"/>
      <c r="J1210" s="255" t="str">
        <f>IF(H1210="","",(_xlfn.XLOOKUP(H1210,Cadastros!$D$6:$D$90,Cadastros!$E$6:$E$90))*(1-_xlfn.XLOOKUP(_xlfn.XLOOKUP($F1210,Clientes!$B$4:$B$39,Clientes!$C$4:$C$39),Cadastros!$L$6:$L$12,Cadastros!$N$6:$N$12)))</f>
        <v/>
      </c>
      <c r="K1210" s="168" t="str">
        <f t="shared" si="235"/>
        <v/>
      </c>
      <c r="L1210" s="168" t="str">
        <f>IFERROR(K1210/_xlfn.XLOOKUP(_xlfn.XLOOKUP($F1210,Clientes!$B$4:$B$39,Clientes!$C$4:$C$39),Cadastros!$L$6:$L$12,Cadastros!$M$6:$M$12)," ")</f>
        <v xml:space="preserve"> </v>
      </c>
      <c r="M1210" s="28"/>
      <c r="N1210" s="28"/>
      <c r="O1210" s="255" t="str">
        <f>IF(M1210="","",(_xlfn.XLOOKUP(M1210,Cadastros!$D$6:$D$90,Cadastros!$E$6:$E$90))*(1-_xlfn.XLOOKUP(_xlfn.XLOOKUP($F1210,Clientes!$B$4:$B$39,Clientes!$C$4:$C$39),Cadastros!$L$6:$L$12,Cadastros!$N$6:$N$12)))</f>
        <v/>
      </c>
      <c r="P1210" s="168" t="str">
        <f t="shared" si="236"/>
        <v/>
      </c>
      <c r="Q1210" s="168" t="str">
        <f>IFERROR(P1210/_xlfn.XLOOKUP(_xlfn.XLOOKUP($F1210,Clientes!$B$4:$B$39,Clientes!$C$4:$C$39),Cadastros!$L$6:$L$12,Cadastros!$M$6:$M$12)," ")</f>
        <v xml:space="preserve"> </v>
      </c>
      <c r="R1210" s="28"/>
      <c r="S1210" s="28"/>
      <c r="T1210" s="255" t="str">
        <f>IF(R1210="","",(_xlfn.XLOOKUP(R1210,Cadastros!$D$6:$D$90,Cadastros!$E$6:$E$90))*(1-_xlfn.XLOOKUP(_xlfn.XLOOKUP($F1210,Clientes!$B$4:$B$39,Clientes!$C$4:$C$39),Cadastros!$L$6:$L$12,Cadastros!$N$6:$N$12)))</f>
        <v/>
      </c>
      <c r="U1210" s="168" t="str">
        <f t="shared" si="237"/>
        <v/>
      </c>
      <c r="V1210" s="168" t="str">
        <f>IFERROR(U1210/_xlfn.XLOOKUP(_xlfn.XLOOKUP($F1210,Clientes!$B$4:$B$39,Clientes!$C$4:$C$39),Cadastros!$L$6:$L$12,Cadastros!$M$6:$M$12)," ")</f>
        <v xml:space="preserve"> </v>
      </c>
      <c r="W1210" s="28"/>
      <c r="X1210" s="28"/>
      <c r="Y1210" s="255" t="str">
        <f>IF(W1210="","",(_xlfn.XLOOKUP(W1210,Cadastros!$D$6:$D$90,Cadastros!$E$6:$E$90))*(1-_xlfn.XLOOKUP(_xlfn.XLOOKUP($F1210,Clientes!$B$4:$B$39,Clientes!$C$4:$C$39),Cadastros!$L$6:$L$12,Cadastros!$N$6:$N$12)))</f>
        <v/>
      </c>
      <c r="Z1210" s="168" t="str">
        <f t="shared" si="238"/>
        <v/>
      </c>
      <c r="AA1210" s="168" t="str">
        <f>IFERROR(Z1210/_xlfn.XLOOKUP(_xlfn.XLOOKUP($F1210,Clientes!$B$4:$B$39,Clientes!$C$4:$C$39),Cadastros!$L$6:$L$12,Cadastros!$M$6:$M$12)," ")</f>
        <v xml:space="preserve"> </v>
      </c>
      <c r="AB1210" s="28"/>
      <c r="AC1210" s="28"/>
      <c r="AD1210" s="20" t="str">
        <f>IF(AB1210="","",IF($F1210="Bernardino Furlan",_xlfn.XLOOKUP(AB1210,Cadastros!$G$6:$G$90,Cadastros!$H$6:$H$90)*(1-0.18),IF($F1210="Mauro José Salanti",_xlfn.XLOOKUP(AB1210,Cadastros!$G$6:$G$90,Cadastros!$H$6:$H$90)*(1-0.18),_xlfn.XLOOKUP(AB1210,Cadastros!$G$6:$G$90,Cadastros!$H$6:$H$90))))</f>
        <v/>
      </c>
      <c r="AE1210" s="168" t="str">
        <f t="shared" si="239"/>
        <v/>
      </c>
      <c r="AF1210" s="168" t="str">
        <f t="shared" si="240"/>
        <v/>
      </c>
      <c r="AG1210" s="28"/>
      <c r="AH1210" s="28"/>
      <c r="AI1210" s="20" t="str">
        <f>IF(AG1210="","",IF($F1210="Bernardino Furlan",_xlfn.XLOOKUP(AG1210,Cadastros!$G$6:$G$90,Cadastros!$H$6:$H$90)*(1-0.18),IF($F1210="Mauro José Salanti",_xlfn.XLOOKUP(AG1210,Cadastros!$G$6:$G$90,Cadastros!$H$6:$H$90)*(1-0.18),_xlfn.XLOOKUP(AG1210,Cadastros!$G$6:$G$90,Cadastros!$H$6:$H$90))))</f>
        <v/>
      </c>
      <c r="AJ1210" s="168" t="str">
        <f t="shared" si="241"/>
        <v/>
      </c>
      <c r="AK1210" s="168" t="str">
        <f t="shared" si="242"/>
        <v/>
      </c>
      <c r="AL1210" s="28"/>
      <c r="AM1210" s="28"/>
      <c r="AN1210" s="20" t="str">
        <f>IF(AL1210="","",IF($F1210="Bernardino Furlan",_xlfn.XLOOKUP(AL1210,Cadastros!$G$6:$G$90,Cadastros!$H$6:$H$90)*(1-0.18),IF($F1210="Mauro José Salanti",_xlfn.XLOOKUP(AL1210,Cadastros!$G$6:$G$90,Cadastros!$H$6:$H$90)*(1-0.18),_xlfn.XLOOKUP(AL1210,Cadastros!$G$6:$G$90,Cadastros!$H$6:$H$90))))</f>
        <v/>
      </c>
      <c r="AO1210" s="168" t="str">
        <f t="shared" si="243"/>
        <v/>
      </c>
      <c r="AP1210" s="168" t="str">
        <f t="shared" si="244"/>
        <v/>
      </c>
      <c r="AQ1210" s="28"/>
      <c r="AR1210" s="28"/>
      <c r="AS1210" s="20" t="str">
        <f>IF(AQ1210="","",IF($F1210="Bernardino Furlan",_xlfn.XLOOKUP(AQ1210,Cadastros!$G$6:$G$90,Cadastros!$H$6:$H$90)*(1-0.18),IF($F1210="Mauro José Salanti",_xlfn.XLOOKUP(AQ1210,Cadastros!$G$6:$G$90,Cadastros!$H$6:$H$90)*(1-0.18),_xlfn.XLOOKUP(AQ1210,Cadastros!$G$6:$G$90,Cadastros!$H$6:$H$90))))</f>
        <v/>
      </c>
      <c r="AT1210" s="168" t="str">
        <f t="shared" si="245"/>
        <v/>
      </c>
      <c r="AU1210" s="168" t="str">
        <f t="shared" si="246"/>
        <v/>
      </c>
      <c r="AV1210" s="227"/>
      <c r="AW1210" s="30"/>
      <c r="AX1210" s="267"/>
      <c r="AY1210" s="267"/>
      <c r="AZ1210" s="29"/>
      <c r="BA1210" s="30"/>
      <c r="BB1210" s="23" t="str" cm="1">
        <f t="array" ref="BB1210">_xlfn.IFS(AW1210="SIM",SUM(K1210,P1210,U1210,Z1210,AE1210,AJ1210,AO1210,AT1210,AX1210,AY1210),F1210&lt;&gt;"",SUM(K1210,P1210,U1210,Z1210,AE1210,AJ1210,,AO1210,AT1210),F1210="","")</f>
        <v/>
      </c>
      <c r="BC1210" s="211" t="str" cm="1">
        <f t="array" ref="BC1210">_xlfn.IFS(E1210="","",G1210&lt;=E1210,BB1210*(1-0.03),G1210&lt;(E1210+8),BB1210,AZ1210="Boleto",BB1210*(1+0.001)^DATEDIF(E1210,G1210,"D"),AZ1210="Cheque",BB1210,AZ1210="Dinheiro","Alterar forma pgto")</f>
        <v/>
      </c>
      <c r="BD1210" s="276" t="str" cm="1">
        <f t="array" ref="BD1210">IF(F1210=0," ",IF(BC1210&lt;BB1210,(_xlfn.IFS(AW1210="SIM",SUM(L1210,Q1210,V1210,AA1210,AF1210,AK1210,AP1210,AU1210)+AX1210/_xlfn.XLOOKUP(_xlfn.XLOOKUP($F1210,Clientes!$B$4:$B$39,Clientes!$C$4:$C$39),Cadastros!$L$6:$L$12,Cadastros!$M$6:$M$12)+IF($F1210="Bernardino Furlan",AY1210/2751.92,IF($F1210="Mauro José Salanti",AY1210/2751.92,AY1210/3356)),F1210&lt;&gt;0,SUM(L1210,Q1210,V1210,AA1210,AF1210,AK1210,AP1210,AU1210)))*(1-0.03),_xlfn.IFS(AW1210="SIM",SUM(L1210,Q1210,V1210,AA1210,AF1210,AK1210,AP1210,AU1210)+AX1210/_xlfn.XLOOKUP(_xlfn.XLOOKUP($F1210,Clientes!$B$4:$B$39,Clientes!$C$4:$C$39),Cadastros!$L$6:$L$12,Cadastros!$M$6:$M$12)+IF($F1210="Bernardino Furlan",AY1210/2751.92,IF($F1210="Mauro José Salanti",AY1210/2751.92,AY1210/3356)),F1210&lt;&gt;0,SUM(L1210,Q1210,V1210,AA1210,AF1210,AK1210,AP1210,AU1210))))</f>
        <v xml:space="preserve"> </v>
      </c>
      <c r="BE1210" s="120"/>
      <c r="BF1210" s="120"/>
      <c r="BG1210" s="120"/>
    </row>
    <row r="1211" spans="1:59" s="3" customFormat="1" x14ac:dyDescent="0.3">
      <c r="A1211" s="15" t="str">
        <f t="shared" si="234"/>
        <v/>
      </c>
      <c r="B1211" s="25"/>
      <c r="C1211" s="26"/>
      <c r="D1211" s="279"/>
      <c r="E1211" s="27"/>
      <c r="F1211" s="28"/>
      <c r="G1211" s="27"/>
      <c r="H1211" s="28"/>
      <c r="I1211" s="28"/>
      <c r="J1211" s="255" t="str">
        <f>IF(H1211="","",(_xlfn.XLOOKUP(H1211,Cadastros!$D$6:$D$90,Cadastros!$E$6:$E$90))*(1-_xlfn.XLOOKUP(_xlfn.XLOOKUP($F1211,Clientes!$B$4:$B$39,Clientes!$C$4:$C$39),Cadastros!$L$6:$L$12,Cadastros!$N$6:$N$12)))</f>
        <v/>
      </c>
      <c r="K1211" s="168" t="str">
        <f t="shared" si="235"/>
        <v/>
      </c>
      <c r="L1211" s="168" t="str">
        <f>IFERROR(K1211/_xlfn.XLOOKUP(_xlfn.XLOOKUP($F1211,Clientes!$B$4:$B$39,Clientes!$C$4:$C$39),Cadastros!$L$6:$L$12,Cadastros!$M$6:$M$12)," ")</f>
        <v xml:space="preserve"> </v>
      </c>
      <c r="M1211" s="28"/>
      <c r="N1211" s="28"/>
      <c r="O1211" s="255" t="str">
        <f>IF(M1211="","",(_xlfn.XLOOKUP(M1211,Cadastros!$D$6:$D$90,Cadastros!$E$6:$E$90))*(1-_xlfn.XLOOKUP(_xlfn.XLOOKUP($F1211,Clientes!$B$4:$B$39,Clientes!$C$4:$C$39),Cadastros!$L$6:$L$12,Cadastros!$N$6:$N$12)))</f>
        <v/>
      </c>
      <c r="P1211" s="168" t="str">
        <f t="shared" si="236"/>
        <v/>
      </c>
      <c r="Q1211" s="168" t="str">
        <f>IFERROR(P1211/_xlfn.XLOOKUP(_xlfn.XLOOKUP($F1211,Clientes!$B$4:$B$39,Clientes!$C$4:$C$39),Cadastros!$L$6:$L$12,Cadastros!$M$6:$M$12)," ")</f>
        <v xml:space="preserve"> </v>
      </c>
      <c r="R1211" s="28"/>
      <c r="S1211" s="28"/>
      <c r="T1211" s="255" t="str">
        <f>IF(R1211="","",(_xlfn.XLOOKUP(R1211,Cadastros!$D$6:$D$90,Cadastros!$E$6:$E$90))*(1-_xlfn.XLOOKUP(_xlfn.XLOOKUP($F1211,Clientes!$B$4:$B$39,Clientes!$C$4:$C$39),Cadastros!$L$6:$L$12,Cadastros!$N$6:$N$12)))</f>
        <v/>
      </c>
      <c r="U1211" s="168" t="str">
        <f t="shared" si="237"/>
        <v/>
      </c>
      <c r="V1211" s="168" t="str">
        <f>IFERROR(U1211/_xlfn.XLOOKUP(_xlfn.XLOOKUP($F1211,Clientes!$B$4:$B$39,Clientes!$C$4:$C$39),Cadastros!$L$6:$L$12,Cadastros!$M$6:$M$12)," ")</f>
        <v xml:space="preserve"> </v>
      </c>
      <c r="W1211" s="28"/>
      <c r="X1211" s="28"/>
      <c r="Y1211" s="255" t="str">
        <f>IF(W1211="","",(_xlfn.XLOOKUP(W1211,Cadastros!$D$6:$D$90,Cadastros!$E$6:$E$90))*(1-_xlfn.XLOOKUP(_xlfn.XLOOKUP($F1211,Clientes!$B$4:$B$39,Clientes!$C$4:$C$39),Cadastros!$L$6:$L$12,Cadastros!$N$6:$N$12)))</f>
        <v/>
      </c>
      <c r="Z1211" s="168" t="str">
        <f t="shared" si="238"/>
        <v/>
      </c>
      <c r="AA1211" s="168" t="str">
        <f>IFERROR(Z1211/_xlfn.XLOOKUP(_xlfn.XLOOKUP($F1211,Clientes!$B$4:$B$39,Clientes!$C$4:$C$39),Cadastros!$L$6:$L$12,Cadastros!$M$6:$M$12)," ")</f>
        <v xml:space="preserve"> </v>
      </c>
      <c r="AB1211" s="28"/>
      <c r="AC1211" s="28"/>
      <c r="AD1211" s="20" t="str">
        <f>IF(AB1211="","",IF($F1211="Bernardino Furlan",_xlfn.XLOOKUP(AB1211,Cadastros!$G$6:$G$90,Cadastros!$H$6:$H$90)*(1-0.18),IF($F1211="Mauro José Salanti",_xlfn.XLOOKUP(AB1211,Cadastros!$G$6:$G$90,Cadastros!$H$6:$H$90)*(1-0.18),_xlfn.XLOOKUP(AB1211,Cadastros!$G$6:$G$90,Cadastros!$H$6:$H$90))))</f>
        <v/>
      </c>
      <c r="AE1211" s="168" t="str">
        <f t="shared" si="239"/>
        <v/>
      </c>
      <c r="AF1211" s="168" t="str">
        <f t="shared" si="240"/>
        <v/>
      </c>
      <c r="AG1211" s="28"/>
      <c r="AH1211" s="28"/>
      <c r="AI1211" s="20" t="str">
        <f>IF(AG1211="","",IF($F1211="Bernardino Furlan",_xlfn.XLOOKUP(AG1211,Cadastros!$G$6:$G$90,Cadastros!$H$6:$H$90)*(1-0.18),IF($F1211="Mauro José Salanti",_xlfn.XLOOKUP(AG1211,Cadastros!$G$6:$G$90,Cadastros!$H$6:$H$90)*(1-0.18),_xlfn.XLOOKUP(AG1211,Cadastros!$G$6:$G$90,Cadastros!$H$6:$H$90))))</f>
        <v/>
      </c>
      <c r="AJ1211" s="168" t="str">
        <f t="shared" si="241"/>
        <v/>
      </c>
      <c r="AK1211" s="168" t="str">
        <f t="shared" si="242"/>
        <v/>
      </c>
      <c r="AL1211" s="28"/>
      <c r="AM1211" s="28"/>
      <c r="AN1211" s="20" t="str">
        <f>IF(AL1211="","",IF($F1211="Bernardino Furlan",_xlfn.XLOOKUP(AL1211,Cadastros!$G$6:$G$90,Cadastros!$H$6:$H$90)*(1-0.18),IF($F1211="Mauro José Salanti",_xlfn.XLOOKUP(AL1211,Cadastros!$G$6:$G$90,Cadastros!$H$6:$H$90)*(1-0.18),_xlfn.XLOOKUP(AL1211,Cadastros!$G$6:$G$90,Cadastros!$H$6:$H$90))))</f>
        <v/>
      </c>
      <c r="AO1211" s="168" t="str">
        <f t="shared" si="243"/>
        <v/>
      </c>
      <c r="AP1211" s="168" t="str">
        <f t="shared" si="244"/>
        <v/>
      </c>
      <c r="AQ1211" s="28"/>
      <c r="AR1211" s="28"/>
      <c r="AS1211" s="20" t="str">
        <f>IF(AQ1211="","",IF($F1211="Bernardino Furlan",_xlfn.XLOOKUP(AQ1211,Cadastros!$G$6:$G$90,Cadastros!$H$6:$H$90)*(1-0.18),IF($F1211="Mauro José Salanti",_xlfn.XLOOKUP(AQ1211,Cadastros!$G$6:$G$90,Cadastros!$H$6:$H$90)*(1-0.18),_xlfn.XLOOKUP(AQ1211,Cadastros!$G$6:$G$90,Cadastros!$H$6:$H$90))))</f>
        <v/>
      </c>
      <c r="AT1211" s="168" t="str">
        <f t="shared" si="245"/>
        <v/>
      </c>
      <c r="AU1211" s="168" t="str">
        <f t="shared" si="246"/>
        <v/>
      </c>
      <c r="AV1211" s="227"/>
      <c r="AW1211" s="30"/>
      <c r="AX1211" s="267"/>
      <c r="AY1211" s="267"/>
      <c r="AZ1211" s="29"/>
      <c r="BA1211" s="30"/>
      <c r="BB1211" s="23" t="str" cm="1">
        <f t="array" ref="BB1211">_xlfn.IFS(AW1211="SIM",SUM(K1211,P1211,U1211,Z1211,AE1211,AJ1211,AO1211,AT1211,AX1211,AY1211),F1211&lt;&gt;"",SUM(K1211,P1211,U1211,Z1211,AE1211,AJ1211,,AO1211,AT1211),F1211="","")</f>
        <v/>
      </c>
      <c r="BC1211" s="211" t="str" cm="1">
        <f t="array" ref="BC1211">_xlfn.IFS(E1211="","",G1211&lt;=E1211,BB1211*(1-0.03),G1211&lt;(E1211+8),BB1211,AZ1211="Boleto",BB1211*(1+0.001)^DATEDIF(E1211,G1211,"D"),AZ1211="Cheque",BB1211,AZ1211="Dinheiro","Alterar forma pgto")</f>
        <v/>
      </c>
      <c r="BD1211" s="276" t="str" cm="1">
        <f t="array" ref="BD1211">IF(F1211=0," ",IF(BC1211&lt;BB1211,(_xlfn.IFS(AW1211="SIM",SUM(L1211,Q1211,V1211,AA1211,AF1211,AK1211,AP1211,AU1211)+AX1211/_xlfn.XLOOKUP(_xlfn.XLOOKUP($F1211,Clientes!$B$4:$B$39,Clientes!$C$4:$C$39),Cadastros!$L$6:$L$12,Cadastros!$M$6:$M$12)+IF($F1211="Bernardino Furlan",AY1211/2751.92,IF($F1211="Mauro José Salanti",AY1211/2751.92,AY1211/3356)),F1211&lt;&gt;0,SUM(L1211,Q1211,V1211,AA1211,AF1211,AK1211,AP1211,AU1211)))*(1-0.03),_xlfn.IFS(AW1211="SIM",SUM(L1211,Q1211,V1211,AA1211,AF1211,AK1211,AP1211,AU1211)+AX1211/_xlfn.XLOOKUP(_xlfn.XLOOKUP($F1211,Clientes!$B$4:$B$39,Clientes!$C$4:$C$39),Cadastros!$L$6:$L$12,Cadastros!$M$6:$M$12)+IF($F1211="Bernardino Furlan",AY1211/2751.92,IF($F1211="Mauro José Salanti",AY1211/2751.92,AY1211/3356)),F1211&lt;&gt;0,SUM(L1211,Q1211,V1211,AA1211,AF1211,AK1211,AP1211,AU1211))))</f>
        <v xml:space="preserve"> </v>
      </c>
      <c r="BE1211" s="120"/>
      <c r="BF1211" s="120"/>
      <c r="BG1211" s="120"/>
    </row>
    <row r="1212" spans="1:59" s="3" customFormat="1" x14ac:dyDescent="0.3">
      <c r="A1212" s="15" t="str">
        <f t="shared" si="234"/>
        <v/>
      </c>
      <c r="B1212" s="25"/>
      <c r="C1212" s="26"/>
      <c r="D1212" s="279"/>
      <c r="E1212" s="27"/>
      <c r="F1212" s="28"/>
      <c r="G1212" s="27"/>
      <c r="H1212" s="28"/>
      <c r="I1212" s="28"/>
      <c r="J1212" s="255" t="str">
        <f>IF(H1212="","",(_xlfn.XLOOKUP(H1212,Cadastros!$D$6:$D$90,Cadastros!$E$6:$E$90))*(1-_xlfn.XLOOKUP(_xlfn.XLOOKUP($F1212,Clientes!$B$4:$B$39,Clientes!$C$4:$C$39),Cadastros!$L$6:$L$12,Cadastros!$N$6:$N$12)))</f>
        <v/>
      </c>
      <c r="K1212" s="168" t="str">
        <f t="shared" si="235"/>
        <v/>
      </c>
      <c r="L1212" s="168" t="str">
        <f>IFERROR(K1212/_xlfn.XLOOKUP(_xlfn.XLOOKUP($F1212,Clientes!$B$4:$B$39,Clientes!$C$4:$C$39),Cadastros!$L$6:$L$12,Cadastros!$M$6:$M$12)," ")</f>
        <v xml:space="preserve"> </v>
      </c>
      <c r="M1212" s="28"/>
      <c r="N1212" s="28"/>
      <c r="O1212" s="255" t="str">
        <f>IF(M1212="","",(_xlfn.XLOOKUP(M1212,Cadastros!$D$6:$D$90,Cadastros!$E$6:$E$90))*(1-_xlfn.XLOOKUP(_xlfn.XLOOKUP($F1212,Clientes!$B$4:$B$39,Clientes!$C$4:$C$39),Cadastros!$L$6:$L$12,Cadastros!$N$6:$N$12)))</f>
        <v/>
      </c>
      <c r="P1212" s="168" t="str">
        <f t="shared" si="236"/>
        <v/>
      </c>
      <c r="Q1212" s="168" t="str">
        <f>IFERROR(P1212/_xlfn.XLOOKUP(_xlfn.XLOOKUP($F1212,Clientes!$B$4:$B$39,Clientes!$C$4:$C$39),Cadastros!$L$6:$L$12,Cadastros!$M$6:$M$12)," ")</f>
        <v xml:space="preserve"> </v>
      </c>
      <c r="R1212" s="28"/>
      <c r="S1212" s="28"/>
      <c r="T1212" s="255" t="str">
        <f>IF(R1212="","",(_xlfn.XLOOKUP(R1212,Cadastros!$D$6:$D$90,Cadastros!$E$6:$E$90))*(1-_xlfn.XLOOKUP(_xlfn.XLOOKUP($F1212,Clientes!$B$4:$B$39,Clientes!$C$4:$C$39),Cadastros!$L$6:$L$12,Cadastros!$N$6:$N$12)))</f>
        <v/>
      </c>
      <c r="U1212" s="168" t="str">
        <f t="shared" si="237"/>
        <v/>
      </c>
      <c r="V1212" s="168" t="str">
        <f>IFERROR(U1212/_xlfn.XLOOKUP(_xlfn.XLOOKUP($F1212,Clientes!$B$4:$B$39,Clientes!$C$4:$C$39),Cadastros!$L$6:$L$12,Cadastros!$M$6:$M$12)," ")</f>
        <v xml:space="preserve"> </v>
      </c>
      <c r="W1212" s="28"/>
      <c r="X1212" s="28"/>
      <c r="Y1212" s="255" t="str">
        <f>IF(W1212="","",(_xlfn.XLOOKUP(W1212,Cadastros!$D$6:$D$90,Cadastros!$E$6:$E$90))*(1-_xlfn.XLOOKUP(_xlfn.XLOOKUP($F1212,Clientes!$B$4:$B$39,Clientes!$C$4:$C$39),Cadastros!$L$6:$L$12,Cadastros!$N$6:$N$12)))</f>
        <v/>
      </c>
      <c r="Z1212" s="168" t="str">
        <f t="shared" si="238"/>
        <v/>
      </c>
      <c r="AA1212" s="168" t="str">
        <f>IFERROR(Z1212/_xlfn.XLOOKUP(_xlfn.XLOOKUP($F1212,Clientes!$B$4:$B$39,Clientes!$C$4:$C$39),Cadastros!$L$6:$L$12,Cadastros!$M$6:$M$12)," ")</f>
        <v xml:space="preserve"> </v>
      </c>
      <c r="AB1212" s="28"/>
      <c r="AC1212" s="28"/>
      <c r="AD1212" s="20" t="str">
        <f>IF(AB1212="","",IF($F1212="Bernardino Furlan",_xlfn.XLOOKUP(AB1212,Cadastros!$G$6:$G$90,Cadastros!$H$6:$H$90)*(1-0.18),IF($F1212="Mauro José Salanti",_xlfn.XLOOKUP(AB1212,Cadastros!$G$6:$G$90,Cadastros!$H$6:$H$90)*(1-0.18),_xlfn.XLOOKUP(AB1212,Cadastros!$G$6:$G$90,Cadastros!$H$6:$H$90))))</f>
        <v/>
      </c>
      <c r="AE1212" s="168" t="str">
        <f t="shared" si="239"/>
        <v/>
      </c>
      <c r="AF1212" s="168" t="str">
        <f t="shared" si="240"/>
        <v/>
      </c>
      <c r="AG1212" s="28"/>
      <c r="AH1212" s="28"/>
      <c r="AI1212" s="20" t="str">
        <f>IF(AG1212="","",IF($F1212="Bernardino Furlan",_xlfn.XLOOKUP(AG1212,Cadastros!$G$6:$G$90,Cadastros!$H$6:$H$90)*(1-0.18),IF($F1212="Mauro José Salanti",_xlfn.XLOOKUP(AG1212,Cadastros!$G$6:$G$90,Cadastros!$H$6:$H$90)*(1-0.18),_xlfn.XLOOKUP(AG1212,Cadastros!$G$6:$G$90,Cadastros!$H$6:$H$90))))</f>
        <v/>
      </c>
      <c r="AJ1212" s="168" t="str">
        <f t="shared" si="241"/>
        <v/>
      </c>
      <c r="AK1212" s="168" t="str">
        <f t="shared" si="242"/>
        <v/>
      </c>
      <c r="AL1212" s="28"/>
      <c r="AM1212" s="28"/>
      <c r="AN1212" s="20" t="str">
        <f>IF(AL1212="","",IF($F1212="Bernardino Furlan",_xlfn.XLOOKUP(AL1212,Cadastros!$G$6:$G$90,Cadastros!$H$6:$H$90)*(1-0.18),IF($F1212="Mauro José Salanti",_xlfn.XLOOKUP(AL1212,Cadastros!$G$6:$G$90,Cadastros!$H$6:$H$90)*(1-0.18),_xlfn.XLOOKUP(AL1212,Cadastros!$G$6:$G$90,Cadastros!$H$6:$H$90))))</f>
        <v/>
      </c>
      <c r="AO1212" s="168" t="str">
        <f t="shared" si="243"/>
        <v/>
      </c>
      <c r="AP1212" s="168" t="str">
        <f t="shared" si="244"/>
        <v/>
      </c>
      <c r="AQ1212" s="28"/>
      <c r="AR1212" s="28"/>
      <c r="AS1212" s="20" t="str">
        <f>IF(AQ1212="","",IF($F1212="Bernardino Furlan",_xlfn.XLOOKUP(AQ1212,Cadastros!$G$6:$G$90,Cadastros!$H$6:$H$90)*(1-0.18),IF($F1212="Mauro José Salanti",_xlfn.XLOOKUP(AQ1212,Cadastros!$G$6:$G$90,Cadastros!$H$6:$H$90)*(1-0.18),_xlfn.XLOOKUP(AQ1212,Cadastros!$G$6:$G$90,Cadastros!$H$6:$H$90))))</f>
        <v/>
      </c>
      <c r="AT1212" s="168" t="str">
        <f t="shared" si="245"/>
        <v/>
      </c>
      <c r="AU1212" s="168" t="str">
        <f t="shared" si="246"/>
        <v/>
      </c>
      <c r="AV1212" s="227"/>
      <c r="AW1212" s="30"/>
      <c r="AX1212" s="267"/>
      <c r="AY1212" s="267"/>
      <c r="AZ1212" s="29"/>
      <c r="BA1212" s="30"/>
      <c r="BB1212" s="23" t="str" cm="1">
        <f t="array" ref="BB1212">_xlfn.IFS(AW1212="SIM",SUM(K1212,P1212,U1212,Z1212,AE1212,AJ1212,AO1212,AT1212,AX1212,AY1212),F1212&lt;&gt;"",SUM(K1212,P1212,U1212,Z1212,AE1212,AJ1212,,AO1212,AT1212),F1212="","")</f>
        <v/>
      </c>
      <c r="BC1212" s="211" t="str" cm="1">
        <f t="array" ref="BC1212">_xlfn.IFS(E1212="","",G1212&lt;=E1212,BB1212*(1-0.03),G1212&lt;(E1212+8),BB1212,AZ1212="Boleto",BB1212*(1+0.001)^DATEDIF(E1212,G1212,"D"),AZ1212="Cheque",BB1212,AZ1212="Dinheiro","Alterar forma pgto")</f>
        <v/>
      </c>
      <c r="BD1212" s="276" t="str" cm="1">
        <f t="array" ref="BD1212">IF(F1212=0," ",IF(BC1212&lt;BB1212,(_xlfn.IFS(AW1212="SIM",SUM(L1212,Q1212,V1212,AA1212,AF1212,AK1212,AP1212,AU1212)+AX1212/_xlfn.XLOOKUP(_xlfn.XLOOKUP($F1212,Clientes!$B$4:$B$39,Clientes!$C$4:$C$39),Cadastros!$L$6:$L$12,Cadastros!$M$6:$M$12)+IF($F1212="Bernardino Furlan",AY1212/2751.92,IF($F1212="Mauro José Salanti",AY1212/2751.92,AY1212/3356)),F1212&lt;&gt;0,SUM(L1212,Q1212,V1212,AA1212,AF1212,AK1212,AP1212,AU1212)))*(1-0.03),_xlfn.IFS(AW1212="SIM",SUM(L1212,Q1212,V1212,AA1212,AF1212,AK1212,AP1212,AU1212)+AX1212/_xlfn.XLOOKUP(_xlfn.XLOOKUP($F1212,Clientes!$B$4:$B$39,Clientes!$C$4:$C$39),Cadastros!$L$6:$L$12,Cadastros!$M$6:$M$12)+IF($F1212="Bernardino Furlan",AY1212/2751.92,IF($F1212="Mauro José Salanti",AY1212/2751.92,AY1212/3356)),F1212&lt;&gt;0,SUM(L1212,Q1212,V1212,AA1212,AF1212,AK1212,AP1212,AU1212))))</f>
        <v xml:space="preserve"> </v>
      </c>
      <c r="BE1212" s="120"/>
      <c r="BF1212" s="120"/>
      <c r="BG1212" s="120"/>
    </row>
    <row r="1213" spans="1:59" s="3" customFormat="1" x14ac:dyDescent="0.3">
      <c r="A1213" s="15" t="str">
        <f t="shared" si="234"/>
        <v/>
      </c>
      <c r="B1213" s="25"/>
      <c r="C1213" s="26"/>
      <c r="D1213" s="279"/>
      <c r="E1213" s="27"/>
      <c r="F1213" s="28"/>
      <c r="G1213" s="27"/>
      <c r="H1213" s="28"/>
      <c r="I1213" s="28"/>
      <c r="J1213" s="255" t="str">
        <f>IF(H1213="","",(_xlfn.XLOOKUP(H1213,Cadastros!$D$6:$D$90,Cadastros!$E$6:$E$90))*(1-_xlfn.XLOOKUP(_xlfn.XLOOKUP($F1213,Clientes!$B$4:$B$39,Clientes!$C$4:$C$39),Cadastros!$L$6:$L$12,Cadastros!$N$6:$N$12)))</f>
        <v/>
      </c>
      <c r="K1213" s="168" t="str">
        <f t="shared" si="235"/>
        <v/>
      </c>
      <c r="L1213" s="168" t="str">
        <f>IFERROR(K1213/_xlfn.XLOOKUP(_xlfn.XLOOKUP($F1213,Clientes!$B$4:$B$39,Clientes!$C$4:$C$39),Cadastros!$L$6:$L$12,Cadastros!$M$6:$M$12)," ")</f>
        <v xml:space="preserve"> </v>
      </c>
      <c r="M1213" s="28"/>
      <c r="N1213" s="28"/>
      <c r="O1213" s="255" t="str">
        <f>IF(M1213="","",(_xlfn.XLOOKUP(M1213,Cadastros!$D$6:$D$90,Cadastros!$E$6:$E$90))*(1-_xlfn.XLOOKUP(_xlfn.XLOOKUP($F1213,Clientes!$B$4:$B$39,Clientes!$C$4:$C$39),Cadastros!$L$6:$L$12,Cadastros!$N$6:$N$12)))</f>
        <v/>
      </c>
      <c r="P1213" s="168" t="str">
        <f t="shared" si="236"/>
        <v/>
      </c>
      <c r="Q1213" s="168" t="str">
        <f>IFERROR(P1213/_xlfn.XLOOKUP(_xlfn.XLOOKUP($F1213,Clientes!$B$4:$B$39,Clientes!$C$4:$C$39),Cadastros!$L$6:$L$12,Cadastros!$M$6:$M$12)," ")</f>
        <v xml:space="preserve"> </v>
      </c>
      <c r="R1213" s="28"/>
      <c r="S1213" s="28"/>
      <c r="T1213" s="255" t="str">
        <f>IF(R1213="","",(_xlfn.XLOOKUP(R1213,Cadastros!$D$6:$D$90,Cadastros!$E$6:$E$90))*(1-_xlfn.XLOOKUP(_xlfn.XLOOKUP($F1213,Clientes!$B$4:$B$39,Clientes!$C$4:$C$39),Cadastros!$L$6:$L$12,Cadastros!$N$6:$N$12)))</f>
        <v/>
      </c>
      <c r="U1213" s="168" t="str">
        <f t="shared" si="237"/>
        <v/>
      </c>
      <c r="V1213" s="168" t="str">
        <f>IFERROR(U1213/_xlfn.XLOOKUP(_xlfn.XLOOKUP($F1213,Clientes!$B$4:$B$39,Clientes!$C$4:$C$39),Cadastros!$L$6:$L$12,Cadastros!$M$6:$M$12)," ")</f>
        <v xml:space="preserve"> </v>
      </c>
      <c r="W1213" s="28"/>
      <c r="X1213" s="28"/>
      <c r="Y1213" s="255" t="str">
        <f>IF(W1213="","",(_xlfn.XLOOKUP(W1213,Cadastros!$D$6:$D$90,Cadastros!$E$6:$E$90))*(1-_xlfn.XLOOKUP(_xlfn.XLOOKUP($F1213,Clientes!$B$4:$B$39,Clientes!$C$4:$C$39),Cadastros!$L$6:$L$12,Cadastros!$N$6:$N$12)))</f>
        <v/>
      </c>
      <c r="Z1213" s="168" t="str">
        <f t="shared" si="238"/>
        <v/>
      </c>
      <c r="AA1213" s="168" t="str">
        <f>IFERROR(Z1213/_xlfn.XLOOKUP(_xlfn.XLOOKUP($F1213,Clientes!$B$4:$B$39,Clientes!$C$4:$C$39),Cadastros!$L$6:$L$12,Cadastros!$M$6:$M$12)," ")</f>
        <v xml:space="preserve"> </v>
      </c>
      <c r="AB1213" s="28"/>
      <c r="AC1213" s="28"/>
      <c r="AD1213" s="20" t="str">
        <f>IF(AB1213="","",IF($F1213="Bernardino Furlan",_xlfn.XLOOKUP(AB1213,Cadastros!$G$6:$G$90,Cadastros!$H$6:$H$90)*(1-0.18),IF($F1213="Mauro José Salanti",_xlfn.XLOOKUP(AB1213,Cadastros!$G$6:$G$90,Cadastros!$H$6:$H$90)*(1-0.18),_xlfn.XLOOKUP(AB1213,Cadastros!$G$6:$G$90,Cadastros!$H$6:$H$90))))</f>
        <v/>
      </c>
      <c r="AE1213" s="168" t="str">
        <f t="shared" si="239"/>
        <v/>
      </c>
      <c r="AF1213" s="168" t="str">
        <f t="shared" si="240"/>
        <v/>
      </c>
      <c r="AG1213" s="28"/>
      <c r="AH1213" s="28"/>
      <c r="AI1213" s="20" t="str">
        <f>IF(AG1213="","",IF($F1213="Bernardino Furlan",_xlfn.XLOOKUP(AG1213,Cadastros!$G$6:$G$90,Cadastros!$H$6:$H$90)*(1-0.18),IF($F1213="Mauro José Salanti",_xlfn.XLOOKUP(AG1213,Cadastros!$G$6:$G$90,Cadastros!$H$6:$H$90)*(1-0.18),_xlfn.XLOOKUP(AG1213,Cadastros!$G$6:$G$90,Cadastros!$H$6:$H$90))))</f>
        <v/>
      </c>
      <c r="AJ1213" s="168" t="str">
        <f t="shared" si="241"/>
        <v/>
      </c>
      <c r="AK1213" s="168" t="str">
        <f t="shared" si="242"/>
        <v/>
      </c>
      <c r="AL1213" s="28"/>
      <c r="AM1213" s="28"/>
      <c r="AN1213" s="20" t="str">
        <f>IF(AL1213="","",IF($F1213="Bernardino Furlan",_xlfn.XLOOKUP(AL1213,Cadastros!$G$6:$G$90,Cadastros!$H$6:$H$90)*(1-0.18),IF($F1213="Mauro José Salanti",_xlfn.XLOOKUP(AL1213,Cadastros!$G$6:$G$90,Cadastros!$H$6:$H$90)*(1-0.18),_xlfn.XLOOKUP(AL1213,Cadastros!$G$6:$G$90,Cadastros!$H$6:$H$90))))</f>
        <v/>
      </c>
      <c r="AO1213" s="168" t="str">
        <f t="shared" si="243"/>
        <v/>
      </c>
      <c r="AP1213" s="168" t="str">
        <f t="shared" si="244"/>
        <v/>
      </c>
      <c r="AQ1213" s="28"/>
      <c r="AR1213" s="28"/>
      <c r="AS1213" s="20" t="str">
        <f>IF(AQ1213="","",IF($F1213="Bernardino Furlan",_xlfn.XLOOKUP(AQ1213,Cadastros!$G$6:$G$90,Cadastros!$H$6:$H$90)*(1-0.18),IF($F1213="Mauro José Salanti",_xlfn.XLOOKUP(AQ1213,Cadastros!$G$6:$G$90,Cadastros!$H$6:$H$90)*(1-0.18),_xlfn.XLOOKUP(AQ1213,Cadastros!$G$6:$G$90,Cadastros!$H$6:$H$90))))</f>
        <v/>
      </c>
      <c r="AT1213" s="168" t="str">
        <f t="shared" si="245"/>
        <v/>
      </c>
      <c r="AU1213" s="168" t="str">
        <f t="shared" si="246"/>
        <v/>
      </c>
      <c r="AV1213" s="227"/>
      <c r="AW1213" s="30"/>
      <c r="AX1213" s="267"/>
      <c r="AY1213" s="267"/>
      <c r="AZ1213" s="29"/>
      <c r="BA1213" s="30"/>
      <c r="BB1213" s="23" t="str" cm="1">
        <f t="array" ref="BB1213">_xlfn.IFS(AW1213="SIM",SUM(K1213,P1213,U1213,Z1213,AE1213,AJ1213,AO1213,AT1213,AX1213,AY1213),F1213&lt;&gt;"",SUM(K1213,P1213,U1213,Z1213,AE1213,AJ1213,,AO1213,AT1213),F1213="","")</f>
        <v/>
      </c>
      <c r="BC1213" s="211" t="str" cm="1">
        <f t="array" ref="BC1213">_xlfn.IFS(E1213="","",G1213&lt;=E1213,BB1213*(1-0.03),G1213&lt;(E1213+8),BB1213,AZ1213="Boleto",BB1213*(1+0.001)^DATEDIF(E1213,G1213,"D"),AZ1213="Cheque",BB1213,AZ1213="Dinheiro","Alterar forma pgto")</f>
        <v/>
      </c>
      <c r="BD1213" s="276" t="str" cm="1">
        <f t="array" ref="BD1213">IF(F1213=0," ",IF(BC1213&lt;BB1213,(_xlfn.IFS(AW1213="SIM",SUM(L1213,Q1213,V1213,AA1213,AF1213,AK1213,AP1213,AU1213)+AX1213/_xlfn.XLOOKUP(_xlfn.XLOOKUP($F1213,Clientes!$B$4:$B$39,Clientes!$C$4:$C$39),Cadastros!$L$6:$L$12,Cadastros!$M$6:$M$12)+IF($F1213="Bernardino Furlan",AY1213/2751.92,IF($F1213="Mauro José Salanti",AY1213/2751.92,AY1213/3356)),F1213&lt;&gt;0,SUM(L1213,Q1213,V1213,AA1213,AF1213,AK1213,AP1213,AU1213)))*(1-0.03),_xlfn.IFS(AW1213="SIM",SUM(L1213,Q1213,V1213,AA1213,AF1213,AK1213,AP1213,AU1213)+AX1213/_xlfn.XLOOKUP(_xlfn.XLOOKUP($F1213,Clientes!$B$4:$B$39,Clientes!$C$4:$C$39),Cadastros!$L$6:$L$12,Cadastros!$M$6:$M$12)+IF($F1213="Bernardino Furlan",AY1213/2751.92,IF($F1213="Mauro José Salanti",AY1213/2751.92,AY1213/3356)),F1213&lt;&gt;0,SUM(L1213,Q1213,V1213,AA1213,AF1213,AK1213,AP1213,AU1213))))</f>
        <v xml:space="preserve"> </v>
      </c>
      <c r="BE1213" s="120"/>
      <c r="BF1213" s="120"/>
      <c r="BG1213" s="120"/>
    </row>
    <row r="1214" spans="1:59" s="3" customFormat="1" x14ac:dyDescent="0.3">
      <c r="A1214" s="15" t="str">
        <f t="shared" si="234"/>
        <v/>
      </c>
      <c r="B1214" s="25"/>
      <c r="C1214" s="26"/>
      <c r="D1214" s="279"/>
      <c r="E1214" s="27"/>
      <c r="F1214" s="28"/>
      <c r="G1214" s="27"/>
      <c r="H1214" s="28"/>
      <c r="I1214" s="28"/>
      <c r="J1214" s="255" t="str">
        <f>IF(H1214="","",(_xlfn.XLOOKUP(H1214,Cadastros!$D$6:$D$90,Cadastros!$E$6:$E$90))*(1-_xlfn.XLOOKUP(_xlfn.XLOOKUP($F1214,Clientes!$B$4:$B$39,Clientes!$C$4:$C$39),Cadastros!$L$6:$L$12,Cadastros!$N$6:$N$12)))</f>
        <v/>
      </c>
      <c r="K1214" s="168" t="str">
        <f t="shared" si="235"/>
        <v/>
      </c>
      <c r="L1214" s="168" t="str">
        <f>IFERROR(K1214/_xlfn.XLOOKUP(_xlfn.XLOOKUP($F1214,Clientes!$B$4:$B$39,Clientes!$C$4:$C$39),Cadastros!$L$6:$L$12,Cadastros!$M$6:$M$12)," ")</f>
        <v xml:space="preserve"> </v>
      </c>
      <c r="M1214" s="28"/>
      <c r="N1214" s="28"/>
      <c r="O1214" s="255" t="str">
        <f>IF(M1214="","",(_xlfn.XLOOKUP(M1214,Cadastros!$D$6:$D$90,Cadastros!$E$6:$E$90))*(1-_xlfn.XLOOKUP(_xlfn.XLOOKUP($F1214,Clientes!$B$4:$B$39,Clientes!$C$4:$C$39),Cadastros!$L$6:$L$12,Cadastros!$N$6:$N$12)))</f>
        <v/>
      </c>
      <c r="P1214" s="168" t="str">
        <f t="shared" si="236"/>
        <v/>
      </c>
      <c r="Q1214" s="168" t="str">
        <f>IFERROR(P1214/_xlfn.XLOOKUP(_xlfn.XLOOKUP($F1214,Clientes!$B$4:$B$39,Clientes!$C$4:$C$39),Cadastros!$L$6:$L$12,Cadastros!$M$6:$M$12)," ")</f>
        <v xml:space="preserve"> </v>
      </c>
      <c r="R1214" s="28"/>
      <c r="S1214" s="28"/>
      <c r="T1214" s="255" t="str">
        <f>IF(R1214="","",(_xlfn.XLOOKUP(R1214,Cadastros!$D$6:$D$90,Cadastros!$E$6:$E$90))*(1-_xlfn.XLOOKUP(_xlfn.XLOOKUP($F1214,Clientes!$B$4:$B$39,Clientes!$C$4:$C$39),Cadastros!$L$6:$L$12,Cadastros!$N$6:$N$12)))</f>
        <v/>
      </c>
      <c r="U1214" s="168" t="str">
        <f t="shared" si="237"/>
        <v/>
      </c>
      <c r="V1214" s="168" t="str">
        <f>IFERROR(U1214/_xlfn.XLOOKUP(_xlfn.XLOOKUP($F1214,Clientes!$B$4:$B$39,Clientes!$C$4:$C$39),Cadastros!$L$6:$L$12,Cadastros!$M$6:$M$12)," ")</f>
        <v xml:space="preserve"> </v>
      </c>
      <c r="W1214" s="28"/>
      <c r="X1214" s="28"/>
      <c r="Y1214" s="255" t="str">
        <f>IF(W1214="","",(_xlfn.XLOOKUP(W1214,Cadastros!$D$6:$D$90,Cadastros!$E$6:$E$90))*(1-_xlfn.XLOOKUP(_xlfn.XLOOKUP($F1214,Clientes!$B$4:$B$39,Clientes!$C$4:$C$39),Cadastros!$L$6:$L$12,Cadastros!$N$6:$N$12)))</f>
        <v/>
      </c>
      <c r="Z1214" s="168" t="str">
        <f t="shared" si="238"/>
        <v/>
      </c>
      <c r="AA1214" s="168" t="str">
        <f>IFERROR(Z1214/_xlfn.XLOOKUP(_xlfn.XLOOKUP($F1214,Clientes!$B$4:$B$39,Clientes!$C$4:$C$39),Cadastros!$L$6:$L$12,Cadastros!$M$6:$M$12)," ")</f>
        <v xml:space="preserve"> </v>
      </c>
      <c r="AB1214" s="28"/>
      <c r="AC1214" s="28"/>
      <c r="AD1214" s="20" t="str">
        <f>IF(AB1214="","",IF($F1214="Bernardino Furlan",_xlfn.XLOOKUP(AB1214,Cadastros!$G$6:$G$90,Cadastros!$H$6:$H$90)*(1-0.18),IF($F1214="Mauro José Salanti",_xlfn.XLOOKUP(AB1214,Cadastros!$G$6:$G$90,Cadastros!$H$6:$H$90)*(1-0.18),_xlfn.XLOOKUP(AB1214,Cadastros!$G$6:$G$90,Cadastros!$H$6:$H$90))))</f>
        <v/>
      </c>
      <c r="AE1214" s="168" t="str">
        <f t="shared" si="239"/>
        <v/>
      </c>
      <c r="AF1214" s="168" t="str">
        <f t="shared" si="240"/>
        <v/>
      </c>
      <c r="AG1214" s="28"/>
      <c r="AH1214" s="28"/>
      <c r="AI1214" s="20" t="str">
        <f>IF(AG1214="","",IF($F1214="Bernardino Furlan",_xlfn.XLOOKUP(AG1214,Cadastros!$G$6:$G$90,Cadastros!$H$6:$H$90)*(1-0.18),IF($F1214="Mauro José Salanti",_xlfn.XLOOKUP(AG1214,Cadastros!$G$6:$G$90,Cadastros!$H$6:$H$90)*(1-0.18),_xlfn.XLOOKUP(AG1214,Cadastros!$G$6:$G$90,Cadastros!$H$6:$H$90))))</f>
        <v/>
      </c>
      <c r="AJ1214" s="168" t="str">
        <f t="shared" si="241"/>
        <v/>
      </c>
      <c r="AK1214" s="168" t="str">
        <f t="shared" si="242"/>
        <v/>
      </c>
      <c r="AL1214" s="28"/>
      <c r="AM1214" s="28"/>
      <c r="AN1214" s="20" t="str">
        <f>IF(AL1214="","",IF($F1214="Bernardino Furlan",_xlfn.XLOOKUP(AL1214,Cadastros!$G$6:$G$90,Cadastros!$H$6:$H$90)*(1-0.18),IF($F1214="Mauro José Salanti",_xlfn.XLOOKUP(AL1214,Cadastros!$G$6:$G$90,Cadastros!$H$6:$H$90)*(1-0.18),_xlfn.XLOOKUP(AL1214,Cadastros!$G$6:$G$90,Cadastros!$H$6:$H$90))))</f>
        <v/>
      </c>
      <c r="AO1214" s="168" t="str">
        <f t="shared" si="243"/>
        <v/>
      </c>
      <c r="AP1214" s="168" t="str">
        <f t="shared" si="244"/>
        <v/>
      </c>
      <c r="AQ1214" s="28"/>
      <c r="AR1214" s="28"/>
      <c r="AS1214" s="20" t="str">
        <f>IF(AQ1214="","",IF($F1214="Bernardino Furlan",_xlfn.XLOOKUP(AQ1214,Cadastros!$G$6:$G$90,Cadastros!$H$6:$H$90)*(1-0.18),IF($F1214="Mauro José Salanti",_xlfn.XLOOKUP(AQ1214,Cadastros!$G$6:$G$90,Cadastros!$H$6:$H$90)*(1-0.18),_xlfn.XLOOKUP(AQ1214,Cadastros!$G$6:$G$90,Cadastros!$H$6:$H$90))))</f>
        <v/>
      </c>
      <c r="AT1214" s="168" t="str">
        <f t="shared" si="245"/>
        <v/>
      </c>
      <c r="AU1214" s="168" t="str">
        <f t="shared" si="246"/>
        <v/>
      </c>
      <c r="AV1214" s="227"/>
      <c r="AW1214" s="30"/>
      <c r="AX1214" s="267"/>
      <c r="AY1214" s="267"/>
      <c r="AZ1214" s="29"/>
      <c r="BA1214" s="30"/>
      <c r="BB1214" s="23" t="str" cm="1">
        <f t="array" ref="BB1214">_xlfn.IFS(AW1214="SIM",SUM(K1214,P1214,U1214,Z1214,AE1214,AJ1214,AO1214,AT1214,AX1214,AY1214),F1214&lt;&gt;"",SUM(K1214,P1214,U1214,Z1214,AE1214,AJ1214,,AO1214,AT1214),F1214="","")</f>
        <v/>
      </c>
      <c r="BC1214" s="211" t="str" cm="1">
        <f t="array" ref="BC1214">_xlfn.IFS(E1214="","",G1214&lt;=E1214,BB1214*(1-0.03),G1214&lt;(E1214+8),BB1214,AZ1214="Boleto",BB1214*(1+0.001)^DATEDIF(E1214,G1214,"D"),AZ1214="Cheque",BB1214,AZ1214="Dinheiro","Alterar forma pgto")</f>
        <v/>
      </c>
      <c r="BD1214" s="276" t="str" cm="1">
        <f t="array" ref="BD1214">IF(F1214=0," ",IF(BC1214&lt;BB1214,(_xlfn.IFS(AW1214="SIM",SUM(L1214,Q1214,V1214,AA1214,AF1214,AK1214,AP1214,AU1214)+AX1214/_xlfn.XLOOKUP(_xlfn.XLOOKUP($F1214,Clientes!$B$4:$B$39,Clientes!$C$4:$C$39),Cadastros!$L$6:$L$12,Cadastros!$M$6:$M$12)+IF($F1214="Bernardino Furlan",AY1214/2751.92,IF($F1214="Mauro José Salanti",AY1214/2751.92,AY1214/3356)),F1214&lt;&gt;0,SUM(L1214,Q1214,V1214,AA1214,AF1214,AK1214,AP1214,AU1214)))*(1-0.03),_xlfn.IFS(AW1214="SIM",SUM(L1214,Q1214,V1214,AA1214,AF1214,AK1214,AP1214,AU1214)+AX1214/_xlfn.XLOOKUP(_xlfn.XLOOKUP($F1214,Clientes!$B$4:$B$39,Clientes!$C$4:$C$39),Cadastros!$L$6:$L$12,Cadastros!$M$6:$M$12)+IF($F1214="Bernardino Furlan",AY1214/2751.92,IF($F1214="Mauro José Salanti",AY1214/2751.92,AY1214/3356)),F1214&lt;&gt;0,SUM(L1214,Q1214,V1214,AA1214,AF1214,AK1214,AP1214,AU1214))))</f>
        <v xml:space="preserve"> </v>
      </c>
      <c r="BE1214" s="120"/>
      <c r="BF1214" s="120"/>
      <c r="BG1214" s="120"/>
    </row>
    <row r="1215" spans="1:59" s="3" customFormat="1" x14ac:dyDescent="0.3">
      <c r="A1215" s="15" t="str">
        <f t="shared" si="234"/>
        <v/>
      </c>
      <c r="B1215" s="25"/>
      <c r="C1215" s="26"/>
      <c r="D1215" s="279"/>
      <c r="E1215" s="27"/>
      <c r="F1215" s="28"/>
      <c r="G1215" s="27"/>
      <c r="H1215" s="28"/>
      <c r="I1215" s="28"/>
      <c r="J1215" s="255" t="str">
        <f>IF(H1215="","",(_xlfn.XLOOKUP(H1215,Cadastros!$D$6:$D$90,Cadastros!$E$6:$E$90))*(1-_xlfn.XLOOKUP(_xlfn.XLOOKUP($F1215,Clientes!$B$4:$B$39,Clientes!$C$4:$C$39),Cadastros!$L$6:$L$12,Cadastros!$N$6:$N$12)))</f>
        <v/>
      </c>
      <c r="K1215" s="168" t="str">
        <f t="shared" si="235"/>
        <v/>
      </c>
      <c r="L1215" s="168" t="str">
        <f>IFERROR(K1215/_xlfn.XLOOKUP(_xlfn.XLOOKUP($F1215,Clientes!$B$4:$B$39,Clientes!$C$4:$C$39),Cadastros!$L$6:$L$12,Cadastros!$M$6:$M$12)," ")</f>
        <v xml:space="preserve"> </v>
      </c>
      <c r="M1215" s="28"/>
      <c r="N1215" s="28"/>
      <c r="O1215" s="255" t="str">
        <f>IF(M1215="","",(_xlfn.XLOOKUP(M1215,Cadastros!$D$6:$D$90,Cadastros!$E$6:$E$90))*(1-_xlfn.XLOOKUP(_xlfn.XLOOKUP($F1215,Clientes!$B$4:$B$39,Clientes!$C$4:$C$39),Cadastros!$L$6:$L$12,Cadastros!$N$6:$N$12)))</f>
        <v/>
      </c>
      <c r="P1215" s="168" t="str">
        <f t="shared" si="236"/>
        <v/>
      </c>
      <c r="Q1215" s="168" t="str">
        <f>IFERROR(P1215/_xlfn.XLOOKUP(_xlfn.XLOOKUP($F1215,Clientes!$B$4:$B$39,Clientes!$C$4:$C$39),Cadastros!$L$6:$L$12,Cadastros!$M$6:$M$12)," ")</f>
        <v xml:space="preserve"> </v>
      </c>
      <c r="R1215" s="28"/>
      <c r="S1215" s="28"/>
      <c r="T1215" s="255" t="str">
        <f>IF(R1215="","",(_xlfn.XLOOKUP(R1215,Cadastros!$D$6:$D$90,Cadastros!$E$6:$E$90))*(1-_xlfn.XLOOKUP(_xlfn.XLOOKUP($F1215,Clientes!$B$4:$B$39,Clientes!$C$4:$C$39),Cadastros!$L$6:$L$12,Cadastros!$N$6:$N$12)))</f>
        <v/>
      </c>
      <c r="U1215" s="168" t="str">
        <f t="shared" si="237"/>
        <v/>
      </c>
      <c r="V1215" s="168" t="str">
        <f>IFERROR(U1215/_xlfn.XLOOKUP(_xlfn.XLOOKUP($F1215,Clientes!$B$4:$B$39,Clientes!$C$4:$C$39),Cadastros!$L$6:$L$12,Cadastros!$M$6:$M$12)," ")</f>
        <v xml:space="preserve"> </v>
      </c>
      <c r="W1215" s="28"/>
      <c r="X1215" s="28"/>
      <c r="Y1215" s="255" t="str">
        <f>IF(W1215="","",(_xlfn.XLOOKUP(W1215,Cadastros!$D$6:$D$90,Cadastros!$E$6:$E$90))*(1-_xlfn.XLOOKUP(_xlfn.XLOOKUP($F1215,Clientes!$B$4:$B$39,Clientes!$C$4:$C$39),Cadastros!$L$6:$L$12,Cadastros!$N$6:$N$12)))</f>
        <v/>
      </c>
      <c r="Z1215" s="168" t="str">
        <f t="shared" si="238"/>
        <v/>
      </c>
      <c r="AA1215" s="168" t="str">
        <f>IFERROR(Z1215/_xlfn.XLOOKUP(_xlfn.XLOOKUP($F1215,Clientes!$B$4:$B$39,Clientes!$C$4:$C$39),Cadastros!$L$6:$L$12,Cadastros!$M$6:$M$12)," ")</f>
        <v xml:space="preserve"> </v>
      </c>
      <c r="AB1215" s="28"/>
      <c r="AC1215" s="28"/>
      <c r="AD1215" s="20" t="str">
        <f>IF(AB1215="","",IF($F1215="Bernardino Furlan",_xlfn.XLOOKUP(AB1215,Cadastros!$G$6:$G$90,Cadastros!$H$6:$H$90)*(1-0.18),IF($F1215="Mauro José Salanti",_xlfn.XLOOKUP(AB1215,Cadastros!$G$6:$G$90,Cadastros!$H$6:$H$90)*(1-0.18),_xlfn.XLOOKUP(AB1215,Cadastros!$G$6:$G$90,Cadastros!$H$6:$H$90))))</f>
        <v/>
      </c>
      <c r="AE1215" s="168" t="str">
        <f t="shared" si="239"/>
        <v/>
      </c>
      <c r="AF1215" s="168" t="str">
        <f t="shared" si="240"/>
        <v/>
      </c>
      <c r="AG1215" s="28"/>
      <c r="AH1215" s="28"/>
      <c r="AI1215" s="20" t="str">
        <f>IF(AG1215="","",IF($F1215="Bernardino Furlan",_xlfn.XLOOKUP(AG1215,Cadastros!$G$6:$G$90,Cadastros!$H$6:$H$90)*(1-0.18),IF($F1215="Mauro José Salanti",_xlfn.XLOOKUP(AG1215,Cadastros!$G$6:$G$90,Cadastros!$H$6:$H$90)*(1-0.18),_xlfn.XLOOKUP(AG1215,Cadastros!$G$6:$G$90,Cadastros!$H$6:$H$90))))</f>
        <v/>
      </c>
      <c r="AJ1215" s="168" t="str">
        <f t="shared" si="241"/>
        <v/>
      </c>
      <c r="AK1215" s="168" t="str">
        <f t="shared" si="242"/>
        <v/>
      </c>
      <c r="AL1215" s="28"/>
      <c r="AM1215" s="28"/>
      <c r="AN1215" s="20" t="str">
        <f>IF(AL1215="","",IF($F1215="Bernardino Furlan",_xlfn.XLOOKUP(AL1215,Cadastros!$G$6:$G$90,Cadastros!$H$6:$H$90)*(1-0.18),IF($F1215="Mauro José Salanti",_xlfn.XLOOKUP(AL1215,Cadastros!$G$6:$G$90,Cadastros!$H$6:$H$90)*(1-0.18),_xlfn.XLOOKUP(AL1215,Cadastros!$G$6:$G$90,Cadastros!$H$6:$H$90))))</f>
        <v/>
      </c>
      <c r="AO1215" s="168" t="str">
        <f t="shared" si="243"/>
        <v/>
      </c>
      <c r="AP1215" s="168" t="str">
        <f t="shared" si="244"/>
        <v/>
      </c>
      <c r="AQ1215" s="28"/>
      <c r="AR1215" s="28"/>
      <c r="AS1215" s="20" t="str">
        <f>IF(AQ1215="","",IF($F1215="Bernardino Furlan",_xlfn.XLOOKUP(AQ1215,Cadastros!$G$6:$G$90,Cadastros!$H$6:$H$90)*(1-0.18),IF($F1215="Mauro José Salanti",_xlfn.XLOOKUP(AQ1215,Cadastros!$G$6:$G$90,Cadastros!$H$6:$H$90)*(1-0.18),_xlfn.XLOOKUP(AQ1215,Cadastros!$G$6:$G$90,Cadastros!$H$6:$H$90))))</f>
        <v/>
      </c>
      <c r="AT1215" s="168" t="str">
        <f t="shared" si="245"/>
        <v/>
      </c>
      <c r="AU1215" s="168" t="str">
        <f t="shared" si="246"/>
        <v/>
      </c>
      <c r="AV1215" s="227"/>
      <c r="AW1215" s="30"/>
      <c r="AX1215" s="267"/>
      <c r="AY1215" s="267"/>
      <c r="AZ1215" s="29"/>
      <c r="BA1215" s="30"/>
      <c r="BB1215" s="23" t="str" cm="1">
        <f t="array" ref="BB1215">_xlfn.IFS(AW1215="SIM",SUM(K1215,P1215,U1215,Z1215,AE1215,AJ1215,AO1215,AT1215,AX1215,AY1215),F1215&lt;&gt;"",SUM(K1215,P1215,U1215,Z1215,AE1215,AJ1215,,AO1215,AT1215),F1215="","")</f>
        <v/>
      </c>
      <c r="BC1215" s="211" t="str" cm="1">
        <f t="array" ref="BC1215">_xlfn.IFS(E1215="","",G1215&lt;=E1215,BB1215*(1-0.03),G1215&lt;(E1215+8),BB1215,AZ1215="Boleto",BB1215*(1+0.001)^DATEDIF(E1215,G1215,"D"),AZ1215="Cheque",BB1215,AZ1215="Dinheiro","Alterar forma pgto")</f>
        <v/>
      </c>
      <c r="BD1215" s="276" t="str" cm="1">
        <f t="array" ref="BD1215">IF(F1215=0," ",IF(BC1215&lt;BB1215,(_xlfn.IFS(AW1215="SIM",SUM(L1215,Q1215,V1215,AA1215,AF1215,AK1215,AP1215,AU1215)+AX1215/_xlfn.XLOOKUP(_xlfn.XLOOKUP($F1215,Clientes!$B$4:$B$39,Clientes!$C$4:$C$39),Cadastros!$L$6:$L$12,Cadastros!$M$6:$M$12)+IF($F1215="Bernardino Furlan",AY1215/2751.92,IF($F1215="Mauro José Salanti",AY1215/2751.92,AY1215/3356)),F1215&lt;&gt;0,SUM(L1215,Q1215,V1215,AA1215,AF1215,AK1215,AP1215,AU1215)))*(1-0.03),_xlfn.IFS(AW1215="SIM",SUM(L1215,Q1215,V1215,AA1215,AF1215,AK1215,AP1215,AU1215)+AX1215/_xlfn.XLOOKUP(_xlfn.XLOOKUP($F1215,Clientes!$B$4:$B$39,Clientes!$C$4:$C$39),Cadastros!$L$6:$L$12,Cadastros!$M$6:$M$12)+IF($F1215="Bernardino Furlan",AY1215/2751.92,IF($F1215="Mauro José Salanti",AY1215/2751.92,AY1215/3356)),F1215&lt;&gt;0,SUM(L1215,Q1215,V1215,AA1215,AF1215,AK1215,AP1215,AU1215))))</f>
        <v xml:space="preserve"> </v>
      </c>
      <c r="BE1215" s="120"/>
      <c r="BF1215" s="120"/>
      <c r="BG1215" s="120"/>
    </row>
    <row r="1216" spans="1:59" s="3" customFormat="1" x14ac:dyDescent="0.3">
      <c r="A1216" s="15" t="str">
        <f t="shared" si="234"/>
        <v/>
      </c>
      <c r="B1216" s="25"/>
      <c r="C1216" s="26"/>
      <c r="D1216" s="279"/>
      <c r="E1216" s="27"/>
      <c r="F1216" s="28"/>
      <c r="G1216" s="27"/>
      <c r="H1216" s="28"/>
      <c r="I1216" s="28"/>
      <c r="J1216" s="255" t="str">
        <f>IF(H1216="","",(_xlfn.XLOOKUP(H1216,Cadastros!$D$6:$D$90,Cadastros!$E$6:$E$90))*(1-_xlfn.XLOOKUP(_xlfn.XLOOKUP($F1216,Clientes!$B$4:$B$39,Clientes!$C$4:$C$39),Cadastros!$L$6:$L$12,Cadastros!$N$6:$N$12)))</f>
        <v/>
      </c>
      <c r="K1216" s="168" t="str">
        <f t="shared" si="235"/>
        <v/>
      </c>
      <c r="L1216" s="168" t="str">
        <f>IFERROR(K1216/_xlfn.XLOOKUP(_xlfn.XLOOKUP($F1216,Clientes!$B$4:$B$39,Clientes!$C$4:$C$39),Cadastros!$L$6:$L$12,Cadastros!$M$6:$M$12)," ")</f>
        <v xml:space="preserve"> </v>
      </c>
      <c r="M1216" s="28"/>
      <c r="N1216" s="28"/>
      <c r="O1216" s="255" t="str">
        <f>IF(M1216="","",(_xlfn.XLOOKUP(M1216,Cadastros!$D$6:$D$90,Cadastros!$E$6:$E$90))*(1-_xlfn.XLOOKUP(_xlfn.XLOOKUP($F1216,Clientes!$B$4:$B$39,Clientes!$C$4:$C$39),Cadastros!$L$6:$L$12,Cadastros!$N$6:$N$12)))</f>
        <v/>
      </c>
      <c r="P1216" s="168" t="str">
        <f t="shared" si="236"/>
        <v/>
      </c>
      <c r="Q1216" s="168" t="str">
        <f>IFERROR(P1216/_xlfn.XLOOKUP(_xlfn.XLOOKUP($F1216,Clientes!$B$4:$B$39,Clientes!$C$4:$C$39),Cadastros!$L$6:$L$12,Cadastros!$M$6:$M$12)," ")</f>
        <v xml:space="preserve"> </v>
      </c>
      <c r="R1216" s="28"/>
      <c r="S1216" s="28"/>
      <c r="T1216" s="255" t="str">
        <f>IF(R1216="","",(_xlfn.XLOOKUP(R1216,Cadastros!$D$6:$D$90,Cadastros!$E$6:$E$90))*(1-_xlfn.XLOOKUP(_xlfn.XLOOKUP($F1216,Clientes!$B$4:$B$39,Clientes!$C$4:$C$39),Cadastros!$L$6:$L$12,Cadastros!$N$6:$N$12)))</f>
        <v/>
      </c>
      <c r="U1216" s="168" t="str">
        <f t="shared" si="237"/>
        <v/>
      </c>
      <c r="V1216" s="168" t="str">
        <f>IFERROR(U1216/_xlfn.XLOOKUP(_xlfn.XLOOKUP($F1216,Clientes!$B$4:$B$39,Clientes!$C$4:$C$39),Cadastros!$L$6:$L$12,Cadastros!$M$6:$M$12)," ")</f>
        <v xml:space="preserve"> </v>
      </c>
      <c r="W1216" s="28"/>
      <c r="X1216" s="28"/>
      <c r="Y1216" s="255" t="str">
        <f>IF(W1216="","",(_xlfn.XLOOKUP(W1216,Cadastros!$D$6:$D$90,Cadastros!$E$6:$E$90))*(1-_xlfn.XLOOKUP(_xlfn.XLOOKUP($F1216,Clientes!$B$4:$B$39,Clientes!$C$4:$C$39),Cadastros!$L$6:$L$12,Cadastros!$N$6:$N$12)))</f>
        <v/>
      </c>
      <c r="Z1216" s="168" t="str">
        <f t="shared" si="238"/>
        <v/>
      </c>
      <c r="AA1216" s="168" t="str">
        <f>IFERROR(Z1216/_xlfn.XLOOKUP(_xlfn.XLOOKUP($F1216,Clientes!$B$4:$B$39,Clientes!$C$4:$C$39),Cadastros!$L$6:$L$12,Cadastros!$M$6:$M$12)," ")</f>
        <v xml:space="preserve"> </v>
      </c>
      <c r="AB1216" s="28"/>
      <c r="AC1216" s="28"/>
      <c r="AD1216" s="20" t="str">
        <f>IF(AB1216="","",IF($F1216="Bernardino Furlan",_xlfn.XLOOKUP(AB1216,Cadastros!$G$6:$G$90,Cadastros!$H$6:$H$90)*(1-0.18),IF($F1216="Mauro José Salanti",_xlfn.XLOOKUP(AB1216,Cadastros!$G$6:$G$90,Cadastros!$H$6:$H$90)*(1-0.18),_xlfn.XLOOKUP(AB1216,Cadastros!$G$6:$G$90,Cadastros!$H$6:$H$90))))</f>
        <v/>
      </c>
      <c r="AE1216" s="168" t="str">
        <f t="shared" si="239"/>
        <v/>
      </c>
      <c r="AF1216" s="168" t="str">
        <f t="shared" si="240"/>
        <v/>
      </c>
      <c r="AG1216" s="28"/>
      <c r="AH1216" s="28"/>
      <c r="AI1216" s="20" t="str">
        <f>IF(AG1216="","",IF($F1216="Bernardino Furlan",_xlfn.XLOOKUP(AG1216,Cadastros!$G$6:$G$90,Cadastros!$H$6:$H$90)*(1-0.18),IF($F1216="Mauro José Salanti",_xlfn.XLOOKUP(AG1216,Cadastros!$G$6:$G$90,Cadastros!$H$6:$H$90)*(1-0.18),_xlfn.XLOOKUP(AG1216,Cadastros!$G$6:$G$90,Cadastros!$H$6:$H$90))))</f>
        <v/>
      </c>
      <c r="AJ1216" s="168" t="str">
        <f t="shared" si="241"/>
        <v/>
      </c>
      <c r="AK1216" s="168" t="str">
        <f t="shared" si="242"/>
        <v/>
      </c>
      <c r="AL1216" s="28"/>
      <c r="AM1216" s="28"/>
      <c r="AN1216" s="20" t="str">
        <f>IF(AL1216="","",IF($F1216="Bernardino Furlan",_xlfn.XLOOKUP(AL1216,Cadastros!$G$6:$G$90,Cadastros!$H$6:$H$90)*(1-0.18),IF($F1216="Mauro José Salanti",_xlfn.XLOOKUP(AL1216,Cadastros!$G$6:$G$90,Cadastros!$H$6:$H$90)*(1-0.18),_xlfn.XLOOKUP(AL1216,Cadastros!$G$6:$G$90,Cadastros!$H$6:$H$90))))</f>
        <v/>
      </c>
      <c r="AO1216" s="168" t="str">
        <f t="shared" si="243"/>
        <v/>
      </c>
      <c r="AP1216" s="168" t="str">
        <f t="shared" si="244"/>
        <v/>
      </c>
      <c r="AQ1216" s="28"/>
      <c r="AR1216" s="28"/>
      <c r="AS1216" s="20" t="str">
        <f>IF(AQ1216="","",IF($F1216="Bernardino Furlan",_xlfn.XLOOKUP(AQ1216,Cadastros!$G$6:$G$90,Cadastros!$H$6:$H$90)*(1-0.18),IF($F1216="Mauro José Salanti",_xlfn.XLOOKUP(AQ1216,Cadastros!$G$6:$G$90,Cadastros!$H$6:$H$90)*(1-0.18),_xlfn.XLOOKUP(AQ1216,Cadastros!$G$6:$G$90,Cadastros!$H$6:$H$90))))</f>
        <v/>
      </c>
      <c r="AT1216" s="168" t="str">
        <f t="shared" si="245"/>
        <v/>
      </c>
      <c r="AU1216" s="168" t="str">
        <f t="shared" si="246"/>
        <v/>
      </c>
      <c r="AV1216" s="227"/>
      <c r="AW1216" s="30"/>
      <c r="AX1216" s="267"/>
      <c r="AY1216" s="267"/>
      <c r="AZ1216" s="29"/>
      <c r="BA1216" s="30"/>
      <c r="BB1216" s="23" t="str" cm="1">
        <f t="array" ref="BB1216">_xlfn.IFS(AW1216="SIM",SUM(K1216,P1216,U1216,Z1216,AE1216,AJ1216,AO1216,AT1216,AX1216,AY1216),F1216&lt;&gt;"",SUM(K1216,P1216,U1216,Z1216,AE1216,AJ1216,,AO1216,AT1216),F1216="","")</f>
        <v/>
      </c>
      <c r="BC1216" s="211" t="str" cm="1">
        <f t="array" ref="BC1216">_xlfn.IFS(E1216="","",G1216&lt;=E1216,BB1216*(1-0.03),G1216&lt;(E1216+8),BB1216,AZ1216="Boleto",BB1216*(1+0.001)^DATEDIF(E1216,G1216,"D"),AZ1216="Cheque",BB1216,AZ1216="Dinheiro","Alterar forma pgto")</f>
        <v/>
      </c>
      <c r="BD1216" s="276" t="str" cm="1">
        <f t="array" ref="BD1216">IF(F1216=0," ",IF(BC1216&lt;BB1216,(_xlfn.IFS(AW1216="SIM",SUM(L1216,Q1216,V1216,AA1216,AF1216,AK1216,AP1216,AU1216)+AX1216/_xlfn.XLOOKUP(_xlfn.XLOOKUP($F1216,Clientes!$B$4:$B$39,Clientes!$C$4:$C$39),Cadastros!$L$6:$L$12,Cadastros!$M$6:$M$12)+IF($F1216="Bernardino Furlan",AY1216/2751.92,IF($F1216="Mauro José Salanti",AY1216/2751.92,AY1216/3356)),F1216&lt;&gt;0,SUM(L1216,Q1216,V1216,AA1216,AF1216,AK1216,AP1216,AU1216)))*(1-0.03),_xlfn.IFS(AW1216="SIM",SUM(L1216,Q1216,V1216,AA1216,AF1216,AK1216,AP1216,AU1216)+AX1216/_xlfn.XLOOKUP(_xlfn.XLOOKUP($F1216,Clientes!$B$4:$B$39,Clientes!$C$4:$C$39),Cadastros!$L$6:$L$12,Cadastros!$M$6:$M$12)+IF($F1216="Bernardino Furlan",AY1216/2751.92,IF($F1216="Mauro José Salanti",AY1216/2751.92,AY1216/3356)),F1216&lt;&gt;0,SUM(L1216,Q1216,V1216,AA1216,AF1216,AK1216,AP1216,AU1216))))</f>
        <v xml:space="preserve"> </v>
      </c>
      <c r="BE1216" s="120"/>
      <c r="BF1216" s="120"/>
      <c r="BG1216" s="120"/>
    </row>
    <row r="1217" spans="1:59" s="3" customFormat="1" x14ac:dyDescent="0.3">
      <c r="A1217" s="15" t="str">
        <f t="shared" si="234"/>
        <v/>
      </c>
      <c r="B1217" s="25"/>
      <c r="C1217" s="26"/>
      <c r="D1217" s="279"/>
      <c r="E1217" s="27"/>
      <c r="F1217" s="28"/>
      <c r="G1217" s="27"/>
      <c r="H1217" s="28"/>
      <c r="I1217" s="28"/>
      <c r="J1217" s="255" t="str">
        <f>IF(H1217="","",(_xlfn.XLOOKUP(H1217,Cadastros!$D$6:$D$90,Cadastros!$E$6:$E$90))*(1-_xlfn.XLOOKUP(_xlfn.XLOOKUP($F1217,Clientes!$B$4:$B$39,Clientes!$C$4:$C$39),Cadastros!$L$6:$L$12,Cadastros!$N$6:$N$12)))</f>
        <v/>
      </c>
      <c r="K1217" s="168" t="str">
        <f t="shared" si="235"/>
        <v/>
      </c>
      <c r="L1217" s="168" t="str">
        <f>IFERROR(K1217/_xlfn.XLOOKUP(_xlfn.XLOOKUP($F1217,Clientes!$B$4:$B$39,Clientes!$C$4:$C$39),Cadastros!$L$6:$L$12,Cadastros!$M$6:$M$12)," ")</f>
        <v xml:space="preserve"> </v>
      </c>
      <c r="M1217" s="28"/>
      <c r="N1217" s="28"/>
      <c r="O1217" s="255" t="str">
        <f>IF(M1217="","",(_xlfn.XLOOKUP(M1217,Cadastros!$D$6:$D$90,Cadastros!$E$6:$E$90))*(1-_xlfn.XLOOKUP(_xlfn.XLOOKUP($F1217,Clientes!$B$4:$B$39,Clientes!$C$4:$C$39),Cadastros!$L$6:$L$12,Cadastros!$N$6:$N$12)))</f>
        <v/>
      </c>
      <c r="P1217" s="168" t="str">
        <f t="shared" si="236"/>
        <v/>
      </c>
      <c r="Q1217" s="168" t="str">
        <f>IFERROR(P1217/_xlfn.XLOOKUP(_xlfn.XLOOKUP($F1217,Clientes!$B$4:$B$39,Clientes!$C$4:$C$39),Cadastros!$L$6:$L$12,Cadastros!$M$6:$M$12)," ")</f>
        <v xml:space="preserve"> </v>
      </c>
      <c r="R1217" s="28"/>
      <c r="S1217" s="28"/>
      <c r="T1217" s="255" t="str">
        <f>IF(R1217="","",(_xlfn.XLOOKUP(R1217,Cadastros!$D$6:$D$90,Cadastros!$E$6:$E$90))*(1-_xlfn.XLOOKUP(_xlfn.XLOOKUP($F1217,Clientes!$B$4:$B$39,Clientes!$C$4:$C$39),Cadastros!$L$6:$L$12,Cadastros!$N$6:$N$12)))</f>
        <v/>
      </c>
      <c r="U1217" s="168" t="str">
        <f t="shared" si="237"/>
        <v/>
      </c>
      <c r="V1217" s="168" t="str">
        <f>IFERROR(U1217/_xlfn.XLOOKUP(_xlfn.XLOOKUP($F1217,Clientes!$B$4:$B$39,Clientes!$C$4:$C$39),Cadastros!$L$6:$L$12,Cadastros!$M$6:$M$12)," ")</f>
        <v xml:space="preserve"> </v>
      </c>
      <c r="W1217" s="28"/>
      <c r="X1217" s="28"/>
      <c r="Y1217" s="255" t="str">
        <f>IF(W1217="","",(_xlfn.XLOOKUP(W1217,Cadastros!$D$6:$D$90,Cadastros!$E$6:$E$90))*(1-_xlfn.XLOOKUP(_xlfn.XLOOKUP($F1217,Clientes!$B$4:$B$39,Clientes!$C$4:$C$39),Cadastros!$L$6:$L$12,Cadastros!$N$6:$N$12)))</f>
        <v/>
      </c>
      <c r="Z1217" s="168" t="str">
        <f t="shared" si="238"/>
        <v/>
      </c>
      <c r="AA1217" s="168" t="str">
        <f>IFERROR(Z1217/_xlfn.XLOOKUP(_xlfn.XLOOKUP($F1217,Clientes!$B$4:$B$39,Clientes!$C$4:$C$39),Cadastros!$L$6:$L$12,Cadastros!$M$6:$M$12)," ")</f>
        <v xml:space="preserve"> </v>
      </c>
      <c r="AB1217" s="28"/>
      <c r="AC1217" s="28"/>
      <c r="AD1217" s="20" t="str">
        <f>IF(AB1217="","",IF($F1217="Bernardino Furlan",_xlfn.XLOOKUP(AB1217,Cadastros!$G$6:$G$90,Cadastros!$H$6:$H$90)*(1-0.18),IF($F1217="Mauro José Salanti",_xlfn.XLOOKUP(AB1217,Cadastros!$G$6:$G$90,Cadastros!$H$6:$H$90)*(1-0.18),_xlfn.XLOOKUP(AB1217,Cadastros!$G$6:$G$90,Cadastros!$H$6:$H$90))))</f>
        <v/>
      </c>
      <c r="AE1217" s="168" t="str">
        <f t="shared" si="239"/>
        <v/>
      </c>
      <c r="AF1217" s="168" t="str">
        <f t="shared" si="240"/>
        <v/>
      </c>
      <c r="AG1217" s="28"/>
      <c r="AH1217" s="28"/>
      <c r="AI1217" s="20" t="str">
        <f>IF(AG1217="","",IF($F1217="Bernardino Furlan",_xlfn.XLOOKUP(AG1217,Cadastros!$G$6:$G$90,Cadastros!$H$6:$H$90)*(1-0.18),IF($F1217="Mauro José Salanti",_xlfn.XLOOKUP(AG1217,Cadastros!$G$6:$G$90,Cadastros!$H$6:$H$90)*(1-0.18),_xlfn.XLOOKUP(AG1217,Cadastros!$G$6:$G$90,Cadastros!$H$6:$H$90))))</f>
        <v/>
      </c>
      <c r="AJ1217" s="168" t="str">
        <f t="shared" si="241"/>
        <v/>
      </c>
      <c r="AK1217" s="168" t="str">
        <f t="shared" si="242"/>
        <v/>
      </c>
      <c r="AL1217" s="28"/>
      <c r="AM1217" s="28"/>
      <c r="AN1217" s="20" t="str">
        <f>IF(AL1217="","",IF($F1217="Bernardino Furlan",_xlfn.XLOOKUP(AL1217,Cadastros!$G$6:$G$90,Cadastros!$H$6:$H$90)*(1-0.18),IF($F1217="Mauro José Salanti",_xlfn.XLOOKUP(AL1217,Cadastros!$G$6:$G$90,Cadastros!$H$6:$H$90)*(1-0.18),_xlfn.XLOOKUP(AL1217,Cadastros!$G$6:$G$90,Cadastros!$H$6:$H$90))))</f>
        <v/>
      </c>
      <c r="AO1217" s="168" t="str">
        <f t="shared" si="243"/>
        <v/>
      </c>
      <c r="AP1217" s="168" t="str">
        <f t="shared" si="244"/>
        <v/>
      </c>
      <c r="AQ1217" s="28"/>
      <c r="AR1217" s="28"/>
      <c r="AS1217" s="20" t="str">
        <f>IF(AQ1217="","",IF($F1217="Bernardino Furlan",_xlfn.XLOOKUP(AQ1217,Cadastros!$G$6:$G$90,Cadastros!$H$6:$H$90)*(1-0.18),IF($F1217="Mauro José Salanti",_xlfn.XLOOKUP(AQ1217,Cadastros!$G$6:$G$90,Cadastros!$H$6:$H$90)*(1-0.18),_xlfn.XLOOKUP(AQ1217,Cadastros!$G$6:$G$90,Cadastros!$H$6:$H$90))))</f>
        <v/>
      </c>
      <c r="AT1217" s="168" t="str">
        <f t="shared" si="245"/>
        <v/>
      </c>
      <c r="AU1217" s="168" t="str">
        <f t="shared" si="246"/>
        <v/>
      </c>
      <c r="AV1217" s="227"/>
      <c r="AW1217" s="30"/>
      <c r="AX1217" s="267"/>
      <c r="AY1217" s="267"/>
      <c r="AZ1217" s="29"/>
      <c r="BA1217" s="30"/>
      <c r="BB1217" s="23" t="str" cm="1">
        <f t="array" ref="BB1217">_xlfn.IFS(AW1217="SIM",SUM(K1217,P1217,U1217,Z1217,AE1217,AJ1217,AO1217,AT1217,AX1217,AY1217),F1217&lt;&gt;"",SUM(K1217,P1217,U1217,Z1217,AE1217,AJ1217,,AO1217,AT1217),F1217="","")</f>
        <v/>
      </c>
      <c r="BC1217" s="211" t="str" cm="1">
        <f t="array" ref="BC1217">_xlfn.IFS(E1217="","",G1217&lt;=E1217,BB1217*(1-0.03),G1217&lt;(E1217+8),BB1217,AZ1217="Boleto",BB1217*(1+0.001)^DATEDIF(E1217,G1217,"D"),AZ1217="Cheque",BB1217,AZ1217="Dinheiro","Alterar forma pgto")</f>
        <v/>
      </c>
      <c r="BD1217" s="276" t="str" cm="1">
        <f t="array" ref="BD1217">IF(F1217=0," ",IF(BC1217&lt;BB1217,(_xlfn.IFS(AW1217="SIM",SUM(L1217,Q1217,V1217,AA1217,AF1217,AK1217,AP1217,AU1217)+AX1217/_xlfn.XLOOKUP(_xlfn.XLOOKUP($F1217,Clientes!$B$4:$B$39,Clientes!$C$4:$C$39),Cadastros!$L$6:$L$12,Cadastros!$M$6:$M$12)+IF($F1217="Bernardino Furlan",AY1217/2751.92,IF($F1217="Mauro José Salanti",AY1217/2751.92,AY1217/3356)),F1217&lt;&gt;0,SUM(L1217,Q1217,V1217,AA1217,AF1217,AK1217,AP1217,AU1217)))*(1-0.03),_xlfn.IFS(AW1217="SIM",SUM(L1217,Q1217,V1217,AA1217,AF1217,AK1217,AP1217,AU1217)+AX1217/_xlfn.XLOOKUP(_xlfn.XLOOKUP($F1217,Clientes!$B$4:$B$39,Clientes!$C$4:$C$39),Cadastros!$L$6:$L$12,Cadastros!$M$6:$M$12)+IF($F1217="Bernardino Furlan",AY1217/2751.92,IF($F1217="Mauro José Salanti",AY1217/2751.92,AY1217/3356)),F1217&lt;&gt;0,SUM(L1217,Q1217,V1217,AA1217,AF1217,AK1217,AP1217,AU1217))))</f>
        <v xml:space="preserve"> </v>
      </c>
      <c r="BE1217" s="120"/>
      <c r="BF1217" s="120"/>
      <c r="BG1217" s="120"/>
    </row>
    <row r="1218" spans="1:59" s="3" customFormat="1" x14ac:dyDescent="0.3">
      <c r="A1218" s="15" t="str">
        <f t="shared" si="234"/>
        <v/>
      </c>
      <c r="B1218" s="25"/>
      <c r="C1218" s="26"/>
      <c r="D1218" s="279"/>
      <c r="E1218" s="27"/>
      <c r="F1218" s="28"/>
      <c r="G1218" s="27"/>
      <c r="H1218" s="28"/>
      <c r="I1218" s="28"/>
      <c r="J1218" s="255" t="str">
        <f>IF(H1218="","",(_xlfn.XLOOKUP(H1218,Cadastros!$D$6:$D$90,Cadastros!$E$6:$E$90))*(1-_xlfn.XLOOKUP(_xlfn.XLOOKUP($F1218,Clientes!$B$4:$B$39,Clientes!$C$4:$C$39),Cadastros!$L$6:$L$12,Cadastros!$N$6:$N$12)))</f>
        <v/>
      </c>
      <c r="K1218" s="168" t="str">
        <f t="shared" si="235"/>
        <v/>
      </c>
      <c r="L1218" s="168" t="str">
        <f>IFERROR(K1218/_xlfn.XLOOKUP(_xlfn.XLOOKUP($F1218,Clientes!$B$4:$B$39,Clientes!$C$4:$C$39),Cadastros!$L$6:$L$12,Cadastros!$M$6:$M$12)," ")</f>
        <v xml:space="preserve"> </v>
      </c>
      <c r="M1218" s="28"/>
      <c r="N1218" s="28"/>
      <c r="O1218" s="255" t="str">
        <f>IF(M1218="","",(_xlfn.XLOOKUP(M1218,Cadastros!$D$6:$D$90,Cadastros!$E$6:$E$90))*(1-_xlfn.XLOOKUP(_xlfn.XLOOKUP($F1218,Clientes!$B$4:$B$39,Clientes!$C$4:$C$39),Cadastros!$L$6:$L$12,Cadastros!$N$6:$N$12)))</f>
        <v/>
      </c>
      <c r="P1218" s="168" t="str">
        <f t="shared" si="236"/>
        <v/>
      </c>
      <c r="Q1218" s="168" t="str">
        <f>IFERROR(P1218/_xlfn.XLOOKUP(_xlfn.XLOOKUP($F1218,Clientes!$B$4:$B$39,Clientes!$C$4:$C$39),Cadastros!$L$6:$L$12,Cadastros!$M$6:$M$12)," ")</f>
        <v xml:space="preserve"> </v>
      </c>
      <c r="R1218" s="28"/>
      <c r="S1218" s="28"/>
      <c r="T1218" s="255" t="str">
        <f>IF(R1218="","",(_xlfn.XLOOKUP(R1218,Cadastros!$D$6:$D$90,Cadastros!$E$6:$E$90))*(1-_xlfn.XLOOKUP(_xlfn.XLOOKUP($F1218,Clientes!$B$4:$B$39,Clientes!$C$4:$C$39),Cadastros!$L$6:$L$12,Cadastros!$N$6:$N$12)))</f>
        <v/>
      </c>
      <c r="U1218" s="168" t="str">
        <f t="shared" si="237"/>
        <v/>
      </c>
      <c r="V1218" s="168" t="str">
        <f>IFERROR(U1218/_xlfn.XLOOKUP(_xlfn.XLOOKUP($F1218,Clientes!$B$4:$B$39,Clientes!$C$4:$C$39),Cadastros!$L$6:$L$12,Cadastros!$M$6:$M$12)," ")</f>
        <v xml:space="preserve"> </v>
      </c>
      <c r="W1218" s="28"/>
      <c r="X1218" s="28"/>
      <c r="Y1218" s="255" t="str">
        <f>IF(W1218="","",(_xlfn.XLOOKUP(W1218,Cadastros!$D$6:$D$90,Cadastros!$E$6:$E$90))*(1-_xlfn.XLOOKUP(_xlfn.XLOOKUP($F1218,Clientes!$B$4:$B$39,Clientes!$C$4:$C$39),Cadastros!$L$6:$L$12,Cadastros!$N$6:$N$12)))</f>
        <v/>
      </c>
      <c r="Z1218" s="168" t="str">
        <f t="shared" si="238"/>
        <v/>
      </c>
      <c r="AA1218" s="168" t="str">
        <f>IFERROR(Z1218/_xlfn.XLOOKUP(_xlfn.XLOOKUP($F1218,Clientes!$B$4:$B$39,Clientes!$C$4:$C$39),Cadastros!$L$6:$L$12,Cadastros!$M$6:$M$12)," ")</f>
        <v xml:space="preserve"> </v>
      </c>
      <c r="AB1218" s="28"/>
      <c r="AC1218" s="28"/>
      <c r="AD1218" s="20" t="str">
        <f>IF(AB1218="","",IF($F1218="Bernardino Furlan",_xlfn.XLOOKUP(AB1218,Cadastros!$G$6:$G$90,Cadastros!$H$6:$H$90)*(1-0.18),IF($F1218="Mauro José Salanti",_xlfn.XLOOKUP(AB1218,Cadastros!$G$6:$G$90,Cadastros!$H$6:$H$90)*(1-0.18),_xlfn.XLOOKUP(AB1218,Cadastros!$G$6:$G$90,Cadastros!$H$6:$H$90))))</f>
        <v/>
      </c>
      <c r="AE1218" s="168" t="str">
        <f t="shared" si="239"/>
        <v/>
      </c>
      <c r="AF1218" s="168" t="str">
        <f t="shared" si="240"/>
        <v/>
      </c>
      <c r="AG1218" s="28"/>
      <c r="AH1218" s="28"/>
      <c r="AI1218" s="20" t="str">
        <f>IF(AG1218="","",IF($F1218="Bernardino Furlan",_xlfn.XLOOKUP(AG1218,Cadastros!$G$6:$G$90,Cadastros!$H$6:$H$90)*(1-0.18),IF($F1218="Mauro José Salanti",_xlfn.XLOOKUP(AG1218,Cadastros!$G$6:$G$90,Cadastros!$H$6:$H$90)*(1-0.18),_xlfn.XLOOKUP(AG1218,Cadastros!$G$6:$G$90,Cadastros!$H$6:$H$90))))</f>
        <v/>
      </c>
      <c r="AJ1218" s="168" t="str">
        <f t="shared" si="241"/>
        <v/>
      </c>
      <c r="AK1218" s="168" t="str">
        <f t="shared" si="242"/>
        <v/>
      </c>
      <c r="AL1218" s="28"/>
      <c r="AM1218" s="28"/>
      <c r="AN1218" s="20" t="str">
        <f>IF(AL1218="","",IF($F1218="Bernardino Furlan",_xlfn.XLOOKUP(AL1218,Cadastros!$G$6:$G$90,Cadastros!$H$6:$H$90)*(1-0.18),IF($F1218="Mauro José Salanti",_xlfn.XLOOKUP(AL1218,Cadastros!$G$6:$G$90,Cadastros!$H$6:$H$90)*(1-0.18),_xlfn.XLOOKUP(AL1218,Cadastros!$G$6:$G$90,Cadastros!$H$6:$H$90))))</f>
        <v/>
      </c>
      <c r="AO1218" s="168" t="str">
        <f t="shared" si="243"/>
        <v/>
      </c>
      <c r="AP1218" s="168" t="str">
        <f t="shared" si="244"/>
        <v/>
      </c>
      <c r="AQ1218" s="28"/>
      <c r="AR1218" s="28"/>
      <c r="AS1218" s="20" t="str">
        <f>IF(AQ1218="","",IF($F1218="Bernardino Furlan",_xlfn.XLOOKUP(AQ1218,Cadastros!$G$6:$G$90,Cadastros!$H$6:$H$90)*(1-0.18),IF($F1218="Mauro José Salanti",_xlfn.XLOOKUP(AQ1218,Cadastros!$G$6:$G$90,Cadastros!$H$6:$H$90)*(1-0.18),_xlfn.XLOOKUP(AQ1218,Cadastros!$G$6:$G$90,Cadastros!$H$6:$H$90))))</f>
        <v/>
      </c>
      <c r="AT1218" s="168" t="str">
        <f t="shared" si="245"/>
        <v/>
      </c>
      <c r="AU1218" s="168" t="str">
        <f t="shared" si="246"/>
        <v/>
      </c>
      <c r="AV1218" s="227"/>
      <c r="AW1218" s="30"/>
      <c r="AX1218" s="267"/>
      <c r="AY1218" s="267"/>
      <c r="AZ1218" s="29"/>
      <c r="BA1218" s="30"/>
      <c r="BB1218" s="23" t="str" cm="1">
        <f t="array" ref="BB1218">_xlfn.IFS(AW1218="SIM",SUM(K1218,P1218,U1218,Z1218,AE1218,AJ1218,AO1218,AT1218,AX1218,AY1218),F1218&lt;&gt;"",SUM(K1218,P1218,U1218,Z1218,AE1218,AJ1218,,AO1218,AT1218),F1218="","")</f>
        <v/>
      </c>
      <c r="BC1218" s="211" t="str" cm="1">
        <f t="array" ref="BC1218">_xlfn.IFS(E1218="","",G1218&lt;=E1218,BB1218*(1-0.03),G1218&lt;(E1218+8),BB1218,AZ1218="Boleto",BB1218*(1+0.001)^DATEDIF(E1218,G1218,"D"),AZ1218="Cheque",BB1218,AZ1218="Dinheiro","Alterar forma pgto")</f>
        <v/>
      </c>
      <c r="BD1218" s="276" t="str" cm="1">
        <f t="array" ref="BD1218">IF(F1218=0," ",IF(BC1218&lt;BB1218,(_xlfn.IFS(AW1218="SIM",SUM(L1218,Q1218,V1218,AA1218,AF1218,AK1218,AP1218,AU1218)+AX1218/_xlfn.XLOOKUP(_xlfn.XLOOKUP($F1218,Clientes!$B$4:$B$39,Clientes!$C$4:$C$39),Cadastros!$L$6:$L$12,Cadastros!$M$6:$M$12)+IF($F1218="Bernardino Furlan",AY1218/2751.92,IF($F1218="Mauro José Salanti",AY1218/2751.92,AY1218/3356)),F1218&lt;&gt;0,SUM(L1218,Q1218,V1218,AA1218,AF1218,AK1218,AP1218,AU1218)))*(1-0.03),_xlfn.IFS(AW1218="SIM",SUM(L1218,Q1218,V1218,AA1218,AF1218,AK1218,AP1218,AU1218)+AX1218/_xlfn.XLOOKUP(_xlfn.XLOOKUP($F1218,Clientes!$B$4:$B$39,Clientes!$C$4:$C$39),Cadastros!$L$6:$L$12,Cadastros!$M$6:$M$12)+IF($F1218="Bernardino Furlan",AY1218/2751.92,IF($F1218="Mauro José Salanti",AY1218/2751.92,AY1218/3356)),F1218&lt;&gt;0,SUM(L1218,Q1218,V1218,AA1218,AF1218,AK1218,AP1218,AU1218))))</f>
        <v xml:space="preserve"> </v>
      </c>
      <c r="BE1218" s="120"/>
      <c r="BF1218" s="120"/>
      <c r="BG1218" s="120"/>
    </row>
    <row r="1219" spans="1:59" s="3" customFormat="1" x14ac:dyDescent="0.3">
      <c r="A1219" s="15" t="str">
        <f t="shared" si="234"/>
        <v/>
      </c>
      <c r="B1219" s="25"/>
      <c r="C1219" s="26"/>
      <c r="D1219" s="279"/>
      <c r="E1219" s="27"/>
      <c r="F1219" s="28"/>
      <c r="G1219" s="27"/>
      <c r="H1219" s="28"/>
      <c r="I1219" s="28"/>
      <c r="J1219" s="255" t="str">
        <f>IF(H1219="","",(_xlfn.XLOOKUP(H1219,Cadastros!$D$6:$D$90,Cadastros!$E$6:$E$90))*(1-_xlfn.XLOOKUP(_xlfn.XLOOKUP($F1219,Clientes!$B$4:$B$39,Clientes!$C$4:$C$39),Cadastros!$L$6:$L$12,Cadastros!$N$6:$N$12)))</f>
        <v/>
      </c>
      <c r="K1219" s="168" t="str">
        <f t="shared" si="235"/>
        <v/>
      </c>
      <c r="L1219" s="168" t="str">
        <f>IFERROR(K1219/_xlfn.XLOOKUP(_xlfn.XLOOKUP($F1219,Clientes!$B$4:$B$39,Clientes!$C$4:$C$39),Cadastros!$L$6:$L$12,Cadastros!$M$6:$M$12)," ")</f>
        <v xml:space="preserve"> </v>
      </c>
      <c r="M1219" s="28"/>
      <c r="N1219" s="28"/>
      <c r="O1219" s="255" t="str">
        <f>IF(M1219="","",(_xlfn.XLOOKUP(M1219,Cadastros!$D$6:$D$90,Cadastros!$E$6:$E$90))*(1-_xlfn.XLOOKUP(_xlfn.XLOOKUP($F1219,Clientes!$B$4:$B$39,Clientes!$C$4:$C$39),Cadastros!$L$6:$L$12,Cadastros!$N$6:$N$12)))</f>
        <v/>
      </c>
      <c r="P1219" s="168" t="str">
        <f t="shared" si="236"/>
        <v/>
      </c>
      <c r="Q1219" s="168" t="str">
        <f>IFERROR(P1219/_xlfn.XLOOKUP(_xlfn.XLOOKUP($F1219,Clientes!$B$4:$B$39,Clientes!$C$4:$C$39),Cadastros!$L$6:$L$12,Cadastros!$M$6:$M$12)," ")</f>
        <v xml:space="preserve"> </v>
      </c>
      <c r="R1219" s="28"/>
      <c r="S1219" s="28"/>
      <c r="T1219" s="255" t="str">
        <f>IF(R1219="","",(_xlfn.XLOOKUP(R1219,Cadastros!$D$6:$D$90,Cadastros!$E$6:$E$90))*(1-_xlfn.XLOOKUP(_xlfn.XLOOKUP($F1219,Clientes!$B$4:$B$39,Clientes!$C$4:$C$39),Cadastros!$L$6:$L$12,Cadastros!$N$6:$N$12)))</f>
        <v/>
      </c>
      <c r="U1219" s="168" t="str">
        <f t="shared" si="237"/>
        <v/>
      </c>
      <c r="V1219" s="168" t="str">
        <f>IFERROR(U1219/_xlfn.XLOOKUP(_xlfn.XLOOKUP($F1219,Clientes!$B$4:$B$39,Clientes!$C$4:$C$39),Cadastros!$L$6:$L$12,Cadastros!$M$6:$M$12)," ")</f>
        <v xml:space="preserve"> </v>
      </c>
      <c r="W1219" s="28"/>
      <c r="X1219" s="28"/>
      <c r="Y1219" s="255" t="str">
        <f>IF(W1219="","",(_xlfn.XLOOKUP(W1219,Cadastros!$D$6:$D$90,Cadastros!$E$6:$E$90))*(1-_xlfn.XLOOKUP(_xlfn.XLOOKUP($F1219,Clientes!$B$4:$B$39,Clientes!$C$4:$C$39),Cadastros!$L$6:$L$12,Cadastros!$N$6:$N$12)))</f>
        <v/>
      </c>
      <c r="Z1219" s="168" t="str">
        <f t="shared" si="238"/>
        <v/>
      </c>
      <c r="AA1219" s="168" t="str">
        <f>IFERROR(Z1219/_xlfn.XLOOKUP(_xlfn.XLOOKUP($F1219,Clientes!$B$4:$B$39,Clientes!$C$4:$C$39),Cadastros!$L$6:$L$12,Cadastros!$M$6:$M$12)," ")</f>
        <v xml:space="preserve"> </v>
      </c>
      <c r="AB1219" s="28"/>
      <c r="AC1219" s="28"/>
      <c r="AD1219" s="20" t="str">
        <f>IF(AB1219="","",IF($F1219="Bernardino Furlan",_xlfn.XLOOKUP(AB1219,Cadastros!$G$6:$G$90,Cadastros!$H$6:$H$90)*(1-0.18),IF($F1219="Mauro José Salanti",_xlfn.XLOOKUP(AB1219,Cadastros!$G$6:$G$90,Cadastros!$H$6:$H$90)*(1-0.18),_xlfn.XLOOKUP(AB1219,Cadastros!$G$6:$G$90,Cadastros!$H$6:$H$90))))</f>
        <v/>
      </c>
      <c r="AE1219" s="168" t="str">
        <f t="shared" si="239"/>
        <v/>
      </c>
      <c r="AF1219" s="168" t="str">
        <f t="shared" si="240"/>
        <v/>
      </c>
      <c r="AG1219" s="28"/>
      <c r="AH1219" s="28"/>
      <c r="AI1219" s="20" t="str">
        <f>IF(AG1219="","",IF($F1219="Bernardino Furlan",_xlfn.XLOOKUP(AG1219,Cadastros!$G$6:$G$90,Cadastros!$H$6:$H$90)*(1-0.18),IF($F1219="Mauro José Salanti",_xlfn.XLOOKUP(AG1219,Cadastros!$G$6:$G$90,Cadastros!$H$6:$H$90)*(1-0.18),_xlfn.XLOOKUP(AG1219,Cadastros!$G$6:$G$90,Cadastros!$H$6:$H$90))))</f>
        <v/>
      </c>
      <c r="AJ1219" s="168" t="str">
        <f t="shared" si="241"/>
        <v/>
      </c>
      <c r="AK1219" s="168" t="str">
        <f t="shared" si="242"/>
        <v/>
      </c>
      <c r="AL1219" s="28"/>
      <c r="AM1219" s="28"/>
      <c r="AN1219" s="20" t="str">
        <f>IF(AL1219="","",IF($F1219="Bernardino Furlan",_xlfn.XLOOKUP(AL1219,Cadastros!$G$6:$G$90,Cadastros!$H$6:$H$90)*(1-0.18),IF($F1219="Mauro José Salanti",_xlfn.XLOOKUP(AL1219,Cadastros!$G$6:$G$90,Cadastros!$H$6:$H$90)*(1-0.18),_xlfn.XLOOKUP(AL1219,Cadastros!$G$6:$G$90,Cadastros!$H$6:$H$90))))</f>
        <v/>
      </c>
      <c r="AO1219" s="168" t="str">
        <f t="shared" si="243"/>
        <v/>
      </c>
      <c r="AP1219" s="168" t="str">
        <f t="shared" si="244"/>
        <v/>
      </c>
      <c r="AQ1219" s="28"/>
      <c r="AR1219" s="28"/>
      <c r="AS1219" s="20" t="str">
        <f>IF(AQ1219="","",IF($F1219="Bernardino Furlan",_xlfn.XLOOKUP(AQ1219,Cadastros!$G$6:$G$90,Cadastros!$H$6:$H$90)*(1-0.18),IF($F1219="Mauro José Salanti",_xlfn.XLOOKUP(AQ1219,Cadastros!$G$6:$G$90,Cadastros!$H$6:$H$90)*(1-0.18),_xlfn.XLOOKUP(AQ1219,Cadastros!$G$6:$G$90,Cadastros!$H$6:$H$90))))</f>
        <v/>
      </c>
      <c r="AT1219" s="168" t="str">
        <f t="shared" si="245"/>
        <v/>
      </c>
      <c r="AU1219" s="168" t="str">
        <f t="shared" si="246"/>
        <v/>
      </c>
      <c r="AV1219" s="227"/>
      <c r="AW1219" s="30"/>
      <c r="AX1219" s="267"/>
      <c r="AY1219" s="267"/>
      <c r="AZ1219" s="29"/>
      <c r="BA1219" s="30"/>
      <c r="BB1219" s="23" t="str" cm="1">
        <f t="array" ref="BB1219">_xlfn.IFS(AW1219="SIM",SUM(K1219,P1219,U1219,Z1219,AE1219,AJ1219,AO1219,AT1219,AX1219,AY1219),F1219&lt;&gt;"",SUM(K1219,P1219,U1219,Z1219,AE1219,AJ1219,,AO1219,AT1219),F1219="","")</f>
        <v/>
      </c>
      <c r="BC1219" s="211" t="str" cm="1">
        <f t="array" ref="BC1219">_xlfn.IFS(E1219="","",G1219&lt;=E1219,BB1219*(1-0.03),G1219&lt;(E1219+8),BB1219,AZ1219="Boleto",BB1219*(1+0.001)^DATEDIF(E1219,G1219,"D"),AZ1219="Cheque",BB1219,AZ1219="Dinheiro","Alterar forma pgto")</f>
        <v/>
      </c>
      <c r="BD1219" s="276" t="str" cm="1">
        <f t="array" ref="BD1219">IF(F1219=0," ",IF(BC1219&lt;BB1219,(_xlfn.IFS(AW1219="SIM",SUM(L1219,Q1219,V1219,AA1219,AF1219,AK1219,AP1219,AU1219)+AX1219/_xlfn.XLOOKUP(_xlfn.XLOOKUP($F1219,Clientes!$B$4:$B$39,Clientes!$C$4:$C$39),Cadastros!$L$6:$L$12,Cadastros!$M$6:$M$12)+IF($F1219="Bernardino Furlan",AY1219/2751.92,IF($F1219="Mauro José Salanti",AY1219/2751.92,AY1219/3356)),F1219&lt;&gt;0,SUM(L1219,Q1219,V1219,AA1219,AF1219,AK1219,AP1219,AU1219)))*(1-0.03),_xlfn.IFS(AW1219="SIM",SUM(L1219,Q1219,V1219,AA1219,AF1219,AK1219,AP1219,AU1219)+AX1219/_xlfn.XLOOKUP(_xlfn.XLOOKUP($F1219,Clientes!$B$4:$B$39,Clientes!$C$4:$C$39),Cadastros!$L$6:$L$12,Cadastros!$M$6:$M$12)+IF($F1219="Bernardino Furlan",AY1219/2751.92,IF($F1219="Mauro José Salanti",AY1219/2751.92,AY1219/3356)),F1219&lt;&gt;0,SUM(L1219,Q1219,V1219,AA1219,AF1219,AK1219,AP1219,AU1219))))</f>
        <v xml:space="preserve"> </v>
      </c>
      <c r="BE1219" s="120"/>
      <c r="BF1219" s="120"/>
      <c r="BG1219" s="120"/>
    </row>
    <row r="1220" spans="1:59" s="3" customFormat="1" x14ac:dyDescent="0.3">
      <c r="A1220" s="15" t="str">
        <f t="shared" si="234"/>
        <v/>
      </c>
      <c r="B1220" s="25"/>
      <c r="C1220" s="26"/>
      <c r="D1220" s="279"/>
      <c r="E1220" s="27"/>
      <c r="F1220" s="28"/>
      <c r="G1220" s="27"/>
      <c r="H1220" s="28"/>
      <c r="I1220" s="28"/>
      <c r="J1220" s="255" t="str">
        <f>IF(H1220="","",(_xlfn.XLOOKUP(H1220,Cadastros!$D$6:$D$90,Cadastros!$E$6:$E$90))*(1-_xlfn.XLOOKUP(_xlfn.XLOOKUP($F1220,Clientes!$B$4:$B$39,Clientes!$C$4:$C$39),Cadastros!$L$6:$L$12,Cadastros!$N$6:$N$12)))</f>
        <v/>
      </c>
      <c r="K1220" s="168" t="str">
        <f t="shared" si="235"/>
        <v/>
      </c>
      <c r="L1220" s="168" t="str">
        <f>IFERROR(K1220/_xlfn.XLOOKUP(_xlfn.XLOOKUP($F1220,Clientes!$B$4:$B$39,Clientes!$C$4:$C$39),Cadastros!$L$6:$L$12,Cadastros!$M$6:$M$12)," ")</f>
        <v xml:space="preserve"> </v>
      </c>
      <c r="M1220" s="28"/>
      <c r="N1220" s="28"/>
      <c r="O1220" s="255" t="str">
        <f>IF(M1220="","",(_xlfn.XLOOKUP(M1220,Cadastros!$D$6:$D$90,Cadastros!$E$6:$E$90))*(1-_xlfn.XLOOKUP(_xlfn.XLOOKUP($F1220,Clientes!$B$4:$B$39,Clientes!$C$4:$C$39),Cadastros!$L$6:$L$12,Cadastros!$N$6:$N$12)))</f>
        <v/>
      </c>
      <c r="P1220" s="168" t="str">
        <f t="shared" si="236"/>
        <v/>
      </c>
      <c r="Q1220" s="168" t="str">
        <f>IFERROR(P1220/_xlfn.XLOOKUP(_xlfn.XLOOKUP($F1220,Clientes!$B$4:$B$39,Clientes!$C$4:$C$39),Cadastros!$L$6:$L$12,Cadastros!$M$6:$M$12)," ")</f>
        <v xml:space="preserve"> </v>
      </c>
      <c r="R1220" s="28"/>
      <c r="S1220" s="28"/>
      <c r="T1220" s="255" t="str">
        <f>IF(R1220="","",(_xlfn.XLOOKUP(R1220,Cadastros!$D$6:$D$90,Cadastros!$E$6:$E$90))*(1-_xlfn.XLOOKUP(_xlfn.XLOOKUP($F1220,Clientes!$B$4:$B$39,Clientes!$C$4:$C$39),Cadastros!$L$6:$L$12,Cadastros!$N$6:$N$12)))</f>
        <v/>
      </c>
      <c r="U1220" s="168" t="str">
        <f t="shared" si="237"/>
        <v/>
      </c>
      <c r="V1220" s="168" t="str">
        <f>IFERROR(U1220/_xlfn.XLOOKUP(_xlfn.XLOOKUP($F1220,Clientes!$B$4:$B$39,Clientes!$C$4:$C$39),Cadastros!$L$6:$L$12,Cadastros!$M$6:$M$12)," ")</f>
        <v xml:space="preserve"> </v>
      </c>
      <c r="W1220" s="28"/>
      <c r="X1220" s="28"/>
      <c r="Y1220" s="255" t="str">
        <f>IF(W1220="","",(_xlfn.XLOOKUP(W1220,Cadastros!$D$6:$D$90,Cadastros!$E$6:$E$90))*(1-_xlfn.XLOOKUP(_xlfn.XLOOKUP($F1220,Clientes!$B$4:$B$39,Clientes!$C$4:$C$39),Cadastros!$L$6:$L$12,Cadastros!$N$6:$N$12)))</f>
        <v/>
      </c>
      <c r="Z1220" s="168" t="str">
        <f t="shared" si="238"/>
        <v/>
      </c>
      <c r="AA1220" s="168" t="str">
        <f>IFERROR(Z1220/_xlfn.XLOOKUP(_xlfn.XLOOKUP($F1220,Clientes!$B$4:$B$39,Clientes!$C$4:$C$39),Cadastros!$L$6:$L$12,Cadastros!$M$6:$M$12)," ")</f>
        <v xml:space="preserve"> </v>
      </c>
      <c r="AB1220" s="28"/>
      <c r="AC1220" s="28"/>
      <c r="AD1220" s="20" t="str">
        <f>IF(AB1220="","",IF($F1220="Bernardino Furlan",_xlfn.XLOOKUP(AB1220,Cadastros!$G$6:$G$90,Cadastros!$H$6:$H$90)*(1-0.18),IF($F1220="Mauro José Salanti",_xlfn.XLOOKUP(AB1220,Cadastros!$G$6:$G$90,Cadastros!$H$6:$H$90)*(1-0.18),_xlfn.XLOOKUP(AB1220,Cadastros!$G$6:$G$90,Cadastros!$H$6:$H$90))))</f>
        <v/>
      </c>
      <c r="AE1220" s="168" t="str">
        <f t="shared" si="239"/>
        <v/>
      </c>
      <c r="AF1220" s="168" t="str">
        <f t="shared" si="240"/>
        <v/>
      </c>
      <c r="AG1220" s="28"/>
      <c r="AH1220" s="28"/>
      <c r="AI1220" s="20" t="str">
        <f>IF(AG1220="","",IF($F1220="Bernardino Furlan",_xlfn.XLOOKUP(AG1220,Cadastros!$G$6:$G$90,Cadastros!$H$6:$H$90)*(1-0.18),IF($F1220="Mauro José Salanti",_xlfn.XLOOKUP(AG1220,Cadastros!$G$6:$G$90,Cadastros!$H$6:$H$90)*(1-0.18),_xlfn.XLOOKUP(AG1220,Cadastros!$G$6:$G$90,Cadastros!$H$6:$H$90))))</f>
        <v/>
      </c>
      <c r="AJ1220" s="168" t="str">
        <f t="shared" si="241"/>
        <v/>
      </c>
      <c r="AK1220" s="168" t="str">
        <f t="shared" si="242"/>
        <v/>
      </c>
      <c r="AL1220" s="28"/>
      <c r="AM1220" s="28"/>
      <c r="AN1220" s="20" t="str">
        <f>IF(AL1220="","",IF($F1220="Bernardino Furlan",_xlfn.XLOOKUP(AL1220,Cadastros!$G$6:$G$90,Cadastros!$H$6:$H$90)*(1-0.18),IF($F1220="Mauro José Salanti",_xlfn.XLOOKUP(AL1220,Cadastros!$G$6:$G$90,Cadastros!$H$6:$H$90)*(1-0.18),_xlfn.XLOOKUP(AL1220,Cadastros!$G$6:$G$90,Cadastros!$H$6:$H$90))))</f>
        <v/>
      </c>
      <c r="AO1220" s="168" t="str">
        <f t="shared" si="243"/>
        <v/>
      </c>
      <c r="AP1220" s="168" t="str">
        <f t="shared" si="244"/>
        <v/>
      </c>
      <c r="AQ1220" s="28"/>
      <c r="AR1220" s="28"/>
      <c r="AS1220" s="20" t="str">
        <f>IF(AQ1220="","",IF($F1220="Bernardino Furlan",_xlfn.XLOOKUP(AQ1220,Cadastros!$G$6:$G$90,Cadastros!$H$6:$H$90)*(1-0.18),IF($F1220="Mauro José Salanti",_xlfn.XLOOKUP(AQ1220,Cadastros!$G$6:$G$90,Cadastros!$H$6:$H$90)*(1-0.18),_xlfn.XLOOKUP(AQ1220,Cadastros!$G$6:$G$90,Cadastros!$H$6:$H$90))))</f>
        <v/>
      </c>
      <c r="AT1220" s="168" t="str">
        <f t="shared" si="245"/>
        <v/>
      </c>
      <c r="AU1220" s="168" t="str">
        <f t="shared" si="246"/>
        <v/>
      </c>
      <c r="AV1220" s="227"/>
      <c r="AW1220" s="30"/>
      <c r="AX1220" s="267"/>
      <c r="AY1220" s="267"/>
      <c r="AZ1220" s="29"/>
      <c r="BA1220" s="30"/>
      <c r="BB1220" s="23" t="str" cm="1">
        <f t="array" ref="BB1220">_xlfn.IFS(AW1220="SIM",SUM(K1220,P1220,U1220,Z1220,AE1220,AJ1220,AO1220,AT1220,AX1220,AY1220),F1220&lt;&gt;"",SUM(K1220,P1220,U1220,Z1220,AE1220,AJ1220,,AO1220,AT1220),F1220="","")</f>
        <v/>
      </c>
      <c r="BC1220" s="211" t="str" cm="1">
        <f t="array" ref="BC1220">_xlfn.IFS(E1220="","",G1220&lt;=E1220,BB1220*(1-0.03),G1220&lt;(E1220+8),BB1220,AZ1220="Boleto",BB1220*(1+0.001)^DATEDIF(E1220,G1220,"D"),AZ1220="Cheque",BB1220,AZ1220="Dinheiro","Alterar forma pgto")</f>
        <v/>
      </c>
      <c r="BD1220" s="276" t="str" cm="1">
        <f t="array" ref="BD1220">IF(F1220=0," ",IF(BC1220&lt;BB1220,(_xlfn.IFS(AW1220="SIM",SUM(L1220,Q1220,V1220,AA1220,AF1220,AK1220,AP1220,AU1220)+AX1220/_xlfn.XLOOKUP(_xlfn.XLOOKUP($F1220,Clientes!$B$4:$B$39,Clientes!$C$4:$C$39),Cadastros!$L$6:$L$12,Cadastros!$M$6:$M$12)+IF($F1220="Bernardino Furlan",AY1220/2751.92,IF($F1220="Mauro José Salanti",AY1220/2751.92,AY1220/3356)),F1220&lt;&gt;0,SUM(L1220,Q1220,V1220,AA1220,AF1220,AK1220,AP1220,AU1220)))*(1-0.03),_xlfn.IFS(AW1220="SIM",SUM(L1220,Q1220,V1220,AA1220,AF1220,AK1220,AP1220,AU1220)+AX1220/_xlfn.XLOOKUP(_xlfn.XLOOKUP($F1220,Clientes!$B$4:$B$39,Clientes!$C$4:$C$39),Cadastros!$L$6:$L$12,Cadastros!$M$6:$M$12)+IF($F1220="Bernardino Furlan",AY1220/2751.92,IF($F1220="Mauro José Salanti",AY1220/2751.92,AY1220/3356)),F1220&lt;&gt;0,SUM(L1220,Q1220,V1220,AA1220,AF1220,AK1220,AP1220,AU1220))))</f>
        <v xml:space="preserve"> </v>
      </c>
      <c r="BE1220" s="120"/>
      <c r="BF1220" s="120"/>
      <c r="BG1220" s="120"/>
    </row>
    <row r="1221" spans="1:59" s="3" customFormat="1" x14ac:dyDescent="0.3">
      <c r="A1221" s="15" t="str">
        <f t="shared" si="234"/>
        <v/>
      </c>
      <c r="B1221" s="25"/>
      <c r="C1221" s="26"/>
      <c r="D1221" s="279"/>
      <c r="E1221" s="27"/>
      <c r="F1221" s="28"/>
      <c r="G1221" s="27"/>
      <c r="H1221" s="28"/>
      <c r="I1221" s="28"/>
      <c r="J1221" s="255" t="str">
        <f>IF(H1221="","",(_xlfn.XLOOKUP(H1221,Cadastros!$D$6:$D$90,Cadastros!$E$6:$E$90))*(1-_xlfn.XLOOKUP(_xlfn.XLOOKUP($F1221,Clientes!$B$4:$B$39,Clientes!$C$4:$C$39),Cadastros!$L$6:$L$12,Cadastros!$N$6:$N$12)))</f>
        <v/>
      </c>
      <c r="K1221" s="168" t="str">
        <f t="shared" si="235"/>
        <v/>
      </c>
      <c r="L1221" s="168" t="str">
        <f>IFERROR(K1221/_xlfn.XLOOKUP(_xlfn.XLOOKUP($F1221,Clientes!$B$4:$B$39,Clientes!$C$4:$C$39),Cadastros!$L$6:$L$12,Cadastros!$M$6:$M$12)," ")</f>
        <v xml:space="preserve"> </v>
      </c>
      <c r="M1221" s="28"/>
      <c r="N1221" s="28"/>
      <c r="O1221" s="255" t="str">
        <f>IF(M1221="","",(_xlfn.XLOOKUP(M1221,Cadastros!$D$6:$D$90,Cadastros!$E$6:$E$90))*(1-_xlfn.XLOOKUP(_xlfn.XLOOKUP($F1221,Clientes!$B$4:$B$39,Clientes!$C$4:$C$39),Cadastros!$L$6:$L$12,Cadastros!$N$6:$N$12)))</f>
        <v/>
      </c>
      <c r="P1221" s="168" t="str">
        <f t="shared" si="236"/>
        <v/>
      </c>
      <c r="Q1221" s="168" t="str">
        <f>IFERROR(P1221/_xlfn.XLOOKUP(_xlfn.XLOOKUP($F1221,Clientes!$B$4:$B$39,Clientes!$C$4:$C$39),Cadastros!$L$6:$L$12,Cadastros!$M$6:$M$12)," ")</f>
        <v xml:space="preserve"> </v>
      </c>
      <c r="R1221" s="28"/>
      <c r="S1221" s="28"/>
      <c r="T1221" s="255" t="str">
        <f>IF(R1221="","",(_xlfn.XLOOKUP(R1221,Cadastros!$D$6:$D$90,Cadastros!$E$6:$E$90))*(1-_xlfn.XLOOKUP(_xlfn.XLOOKUP($F1221,Clientes!$B$4:$B$39,Clientes!$C$4:$C$39),Cadastros!$L$6:$L$12,Cadastros!$N$6:$N$12)))</f>
        <v/>
      </c>
      <c r="U1221" s="168" t="str">
        <f t="shared" si="237"/>
        <v/>
      </c>
      <c r="V1221" s="168" t="str">
        <f>IFERROR(U1221/_xlfn.XLOOKUP(_xlfn.XLOOKUP($F1221,Clientes!$B$4:$B$39,Clientes!$C$4:$C$39),Cadastros!$L$6:$L$12,Cadastros!$M$6:$M$12)," ")</f>
        <v xml:space="preserve"> </v>
      </c>
      <c r="W1221" s="28"/>
      <c r="X1221" s="28"/>
      <c r="Y1221" s="255" t="str">
        <f>IF(W1221="","",(_xlfn.XLOOKUP(W1221,Cadastros!$D$6:$D$90,Cadastros!$E$6:$E$90))*(1-_xlfn.XLOOKUP(_xlfn.XLOOKUP($F1221,Clientes!$B$4:$B$39,Clientes!$C$4:$C$39),Cadastros!$L$6:$L$12,Cadastros!$N$6:$N$12)))</f>
        <v/>
      </c>
      <c r="Z1221" s="168" t="str">
        <f t="shared" si="238"/>
        <v/>
      </c>
      <c r="AA1221" s="168" t="str">
        <f>IFERROR(Z1221/_xlfn.XLOOKUP(_xlfn.XLOOKUP($F1221,Clientes!$B$4:$B$39,Clientes!$C$4:$C$39),Cadastros!$L$6:$L$12,Cadastros!$M$6:$M$12)," ")</f>
        <v xml:space="preserve"> </v>
      </c>
      <c r="AB1221" s="28"/>
      <c r="AC1221" s="28"/>
      <c r="AD1221" s="20" t="str">
        <f>IF(AB1221="","",IF($F1221="Bernardino Furlan",_xlfn.XLOOKUP(AB1221,Cadastros!$G$6:$G$90,Cadastros!$H$6:$H$90)*(1-0.18),IF($F1221="Mauro José Salanti",_xlfn.XLOOKUP(AB1221,Cadastros!$G$6:$G$90,Cadastros!$H$6:$H$90)*(1-0.18),_xlfn.XLOOKUP(AB1221,Cadastros!$G$6:$G$90,Cadastros!$H$6:$H$90))))</f>
        <v/>
      </c>
      <c r="AE1221" s="168" t="str">
        <f t="shared" si="239"/>
        <v/>
      </c>
      <c r="AF1221" s="168" t="str">
        <f t="shared" si="240"/>
        <v/>
      </c>
      <c r="AG1221" s="28"/>
      <c r="AH1221" s="28"/>
      <c r="AI1221" s="20" t="str">
        <f>IF(AG1221="","",IF($F1221="Bernardino Furlan",_xlfn.XLOOKUP(AG1221,Cadastros!$G$6:$G$90,Cadastros!$H$6:$H$90)*(1-0.18),IF($F1221="Mauro José Salanti",_xlfn.XLOOKUP(AG1221,Cadastros!$G$6:$G$90,Cadastros!$H$6:$H$90)*(1-0.18),_xlfn.XLOOKUP(AG1221,Cadastros!$G$6:$G$90,Cadastros!$H$6:$H$90))))</f>
        <v/>
      </c>
      <c r="AJ1221" s="168" t="str">
        <f t="shared" si="241"/>
        <v/>
      </c>
      <c r="AK1221" s="168" t="str">
        <f t="shared" si="242"/>
        <v/>
      </c>
      <c r="AL1221" s="28"/>
      <c r="AM1221" s="28"/>
      <c r="AN1221" s="20" t="str">
        <f>IF(AL1221="","",IF($F1221="Bernardino Furlan",_xlfn.XLOOKUP(AL1221,Cadastros!$G$6:$G$90,Cadastros!$H$6:$H$90)*(1-0.18),IF($F1221="Mauro José Salanti",_xlfn.XLOOKUP(AL1221,Cadastros!$G$6:$G$90,Cadastros!$H$6:$H$90)*(1-0.18),_xlfn.XLOOKUP(AL1221,Cadastros!$G$6:$G$90,Cadastros!$H$6:$H$90))))</f>
        <v/>
      </c>
      <c r="AO1221" s="168" t="str">
        <f t="shared" si="243"/>
        <v/>
      </c>
      <c r="AP1221" s="168" t="str">
        <f t="shared" si="244"/>
        <v/>
      </c>
      <c r="AQ1221" s="28"/>
      <c r="AR1221" s="28"/>
      <c r="AS1221" s="20" t="str">
        <f>IF(AQ1221="","",IF($F1221="Bernardino Furlan",_xlfn.XLOOKUP(AQ1221,Cadastros!$G$6:$G$90,Cadastros!$H$6:$H$90)*(1-0.18),IF($F1221="Mauro José Salanti",_xlfn.XLOOKUP(AQ1221,Cadastros!$G$6:$G$90,Cadastros!$H$6:$H$90)*(1-0.18),_xlfn.XLOOKUP(AQ1221,Cadastros!$G$6:$G$90,Cadastros!$H$6:$H$90))))</f>
        <v/>
      </c>
      <c r="AT1221" s="168" t="str">
        <f t="shared" si="245"/>
        <v/>
      </c>
      <c r="AU1221" s="168" t="str">
        <f t="shared" si="246"/>
        <v/>
      </c>
      <c r="AV1221" s="227"/>
      <c r="AW1221" s="30"/>
      <c r="AX1221" s="267"/>
      <c r="AY1221" s="267"/>
      <c r="AZ1221" s="29"/>
      <c r="BA1221" s="30"/>
      <c r="BB1221" s="23" t="str" cm="1">
        <f t="array" ref="BB1221">_xlfn.IFS(AW1221="SIM",SUM(K1221,P1221,U1221,Z1221,AE1221,AJ1221,AO1221,AT1221,AX1221,AY1221),F1221&lt;&gt;"",SUM(K1221,P1221,U1221,Z1221,AE1221,AJ1221,,AO1221,AT1221),F1221="","")</f>
        <v/>
      </c>
      <c r="BC1221" s="211" t="str" cm="1">
        <f t="array" ref="BC1221">_xlfn.IFS(E1221="","",G1221&lt;=E1221,BB1221*(1-0.03),G1221&lt;(E1221+8),BB1221,AZ1221="Boleto",BB1221*(1+0.001)^DATEDIF(E1221,G1221,"D"),AZ1221="Cheque",BB1221,AZ1221="Dinheiro","Alterar forma pgto")</f>
        <v/>
      </c>
      <c r="BD1221" s="276" t="str" cm="1">
        <f t="array" ref="BD1221">IF(F1221=0," ",IF(BC1221&lt;BB1221,(_xlfn.IFS(AW1221="SIM",SUM(L1221,Q1221,V1221,AA1221,AF1221,AK1221,AP1221,AU1221)+AX1221/_xlfn.XLOOKUP(_xlfn.XLOOKUP($F1221,Clientes!$B$4:$B$39,Clientes!$C$4:$C$39),Cadastros!$L$6:$L$12,Cadastros!$M$6:$M$12)+IF($F1221="Bernardino Furlan",AY1221/2751.92,IF($F1221="Mauro José Salanti",AY1221/2751.92,AY1221/3356)),F1221&lt;&gt;0,SUM(L1221,Q1221,V1221,AA1221,AF1221,AK1221,AP1221,AU1221)))*(1-0.03),_xlfn.IFS(AW1221="SIM",SUM(L1221,Q1221,V1221,AA1221,AF1221,AK1221,AP1221,AU1221)+AX1221/_xlfn.XLOOKUP(_xlfn.XLOOKUP($F1221,Clientes!$B$4:$B$39,Clientes!$C$4:$C$39),Cadastros!$L$6:$L$12,Cadastros!$M$6:$M$12)+IF($F1221="Bernardino Furlan",AY1221/2751.92,IF($F1221="Mauro José Salanti",AY1221/2751.92,AY1221/3356)),F1221&lt;&gt;0,SUM(L1221,Q1221,V1221,AA1221,AF1221,AK1221,AP1221,AU1221))))</f>
        <v xml:space="preserve"> </v>
      </c>
      <c r="BE1221" s="120"/>
      <c r="BF1221" s="120"/>
      <c r="BG1221" s="120"/>
    </row>
    <row r="1222" spans="1:59" s="3" customFormat="1" x14ac:dyDescent="0.3">
      <c r="A1222" s="15" t="str">
        <f t="shared" si="234"/>
        <v/>
      </c>
      <c r="B1222" s="25"/>
      <c r="C1222" s="26"/>
      <c r="D1222" s="279"/>
      <c r="E1222" s="27"/>
      <c r="F1222" s="28"/>
      <c r="G1222" s="27"/>
      <c r="H1222" s="28"/>
      <c r="I1222" s="28"/>
      <c r="J1222" s="255" t="str">
        <f>IF(H1222="","",(_xlfn.XLOOKUP(H1222,Cadastros!$D$6:$D$90,Cadastros!$E$6:$E$90))*(1-_xlfn.XLOOKUP(_xlfn.XLOOKUP($F1222,Clientes!$B$4:$B$39,Clientes!$C$4:$C$39),Cadastros!$L$6:$L$12,Cadastros!$N$6:$N$12)))</f>
        <v/>
      </c>
      <c r="K1222" s="168" t="str">
        <f t="shared" si="235"/>
        <v/>
      </c>
      <c r="L1222" s="168" t="str">
        <f>IFERROR(K1222/_xlfn.XLOOKUP(_xlfn.XLOOKUP($F1222,Clientes!$B$4:$B$39,Clientes!$C$4:$C$39),Cadastros!$L$6:$L$12,Cadastros!$M$6:$M$12)," ")</f>
        <v xml:space="preserve"> </v>
      </c>
      <c r="M1222" s="28"/>
      <c r="N1222" s="28"/>
      <c r="O1222" s="255" t="str">
        <f>IF(M1222="","",(_xlfn.XLOOKUP(M1222,Cadastros!$D$6:$D$90,Cadastros!$E$6:$E$90))*(1-_xlfn.XLOOKUP(_xlfn.XLOOKUP($F1222,Clientes!$B$4:$B$39,Clientes!$C$4:$C$39),Cadastros!$L$6:$L$12,Cadastros!$N$6:$N$12)))</f>
        <v/>
      </c>
      <c r="P1222" s="168" t="str">
        <f t="shared" si="236"/>
        <v/>
      </c>
      <c r="Q1222" s="168" t="str">
        <f>IFERROR(P1222/_xlfn.XLOOKUP(_xlfn.XLOOKUP($F1222,Clientes!$B$4:$B$39,Clientes!$C$4:$C$39),Cadastros!$L$6:$L$12,Cadastros!$M$6:$M$12)," ")</f>
        <v xml:space="preserve"> </v>
      </c>
      <c r="R1222" s="28"/>
      <c r="S1222" s="28"/>
      <c r="T1222" s="255" t="str">
        <f>IF(R1222="","",(_xlfn.XLOOKUP(R1222,Cadastros!$D$6:$D$90,Cadastros!$E$6:$E$90))*(1-_xlfn.XLOOKUP(_xlfn.XLOOKUP($F1222,Clientes!$B$4:$B$39,Clientes!$C$4:$C$39),Cadastros!$L$6:$L$12,Cadastros!$N$6:$N$12)))</f>
        <v/>
      </c>
      <c r="U1222" s="168" t="str">
        <f t="shared" si="237"/>
        <v/>
      </c>
      <c r="V1222" s="168" t="str">
        <f>IFERROR(U1222/_xlfn.XLOOKUP(_xlfn.XLOOKUP($F1222,Clientes!$B$4:$B$39,Clientes!$C$4:$C$39),Cadastros!$L$6:$L$12,Cadastros!$M$6:$M$12)," ")</f>
        <v xml:space="preserve"> </v>
      </c>
      <c r="W1222" s="28"/>
      <c r="X1222" s="28"/>
      <c r="Y1222" s="255" t="str">
        <f>IF(W1222="","",(_xlfn.XLOOKUP(W1222,Cadastros!$D$6:$D$90,Cadastros!$E$6:$E$90))*(1-_xlfn.XLOOKUP(_xlfn.XLOOKUP($F1222,Clientes!$B$4:$B$39,Clientes!$C$4:$C$39),Cadastros!$L$6:$L$12,Cadastros!$N$6:$N$12)))</f>
        <v/>
      </c>
      <c r="Z1222" s="168" t="str">
        <f t="shared" si="238"/>
        <v/>
      </c>
      <c r="AA1222" s="168" t="str">
        <f>IFERROR(Z1222/_xlfn.XLOOKUP(_xlfn.XLOOKUP($F1222,Clientes!$B$4:$B$39,Clientes!$C$4:$C$39),Cadastros!$L$6:$L$12,Cadastros!$M$6:$M$12)," ")</f>
        <v xml:space="preserve"> </v>
      </c>
      <c r="AB1222" s="28"/>
      <c r="AC1222" s="28"/>
      <c r="AD1222" s="20" t="str">
        <f>IF(AB1222="","",IF($F1222="Bernardino Furlan",_xlfn.XLOOKUP(AB1222,Cadastros!$G$6:$G$90,Cadastros!$H$6:$H$90)*(1-0.18),IF($F1222="Mauro José Salanti",_xlfn.XLOOKUP(AB1222,Cadastros!$G$6:$G$90,Cadastros!$H$6:$H$90)*(1-0.18),_xlfn.XLOOKUP(AB1222,Cadastros!$G$6:$G$90,Cadastros!$H$6:$H$90))))</f>
        <v/>
      </c>
      <c r="AE1222" s="168" t="str">
        <f t="shared" si="239"/>
        <v/>
      </c>
      <c r="AF1222" s="168" t="str">
        <f t="shared" si="240"/>
        <v/>
      </c>
      <c r="AG1222" s="28"/>
      <c r="AH1222" s="28"/>
      <c r="AI1222" s="20" t="str">
        <f>IF(AG1222="","",IF($F1222="Bernardino Furlan",_xlfn.XLOOKUP(AG1222,Cadastros!$G$6:$G$90,Cadastros!$H$6:$H$90)*(1-0.18),IF($F1222="Mauro José Salanti",_xlfn.XLOOKUP(AG1222,Cadastros!$G$6:$G$90,Cadastros!$H$6:$H$90)*(1-0.18),_xlfn.XLOOKUP(AG1222,Cadastros!$G$6:$G$90,Cadastros!$H$6:$H$90))))</f>
        <v/>
      </c>
      <c r="AJ1222" s="168" t="str">
        <f t="shared" si="241"/>
        <v/>
      </c>
      <c r="AK1222" s="168" t="str">
        <f t="shared" si="242"/>
        <v/>
      </c>
      <c r="AL1222" s="28"/>
      <c r="AM1222" s="28"/>
      <c r="AN1222" s="20" t="str">
        <f>IF(AL1222="","",IF($F1222="Bernardino Furlan",_xlfn.XLOOKUP(AL1222,Cadastros!$G$6:$G$90,Cadastros!$H$6:$H$90)*(1-0.18),IF($F1222="Mauro José Salanti",_xlfn.XLOOKUP(AL1222,Cadastros!$G$6:$G$90,Cadastros!$H$6:$H$90)*(1-0.18),_xlfn.XLOOKUP(AL1222,Cadastros!$G$6:$G$90,Cadastros!$H$6:$H$90))))</f>
        <v/>
      </c>
      <c r="AO1222" s="168" t="str">
        <f t="shared" si="243"/>
        <v/>
      </c>
      <c r="AP1222" s="168" t="str">
        <f t="shared" si="244"/>
        <v/>
      </c>
      <c r="AQ1222" s="28"/>
      <c r="AR1222" s="28"/>
      <c r="AS1222" s="20" t="str">
        <f>IF(AQ1222="","",IF($F1222="Bernardino Furlan",_xlfn.XLOOKUP(AQ1222,Cadastros!$G$6:$G$90,Cadastros!$H$6:$H$90)*(1-0.18),IF($F1222="Mauro José Salanti",_xlfn.XLOOKUP(AQ1222,Cadastros!$G$6:$G$90,Cadastros!$H$6:$H$90)*(1-0.18),_xlfn.XLOOKUP(AQ1222,Cadastros!$G$6:$G$90,Cadastros!$H$6:$H$90))))</f>
        <v/>
      </c>
      <c r="AT1222" s="168" t="str">
        <f t="shared" si="245"/>
        <v/>
      </c>
      <c r="AU1222" s="168" t="str">
        <f t="shared" si="246"/>
        <v/>
      </c>
      <c r="AV1222" s="227"/>
      <c r="AW1222" s="30"/>
      <c r="AX1222" s="267"/>
      <c r="AY1222" s="267"/>
      <c r="AZ1222" s="29"/>
      <c r="BA1222" s="30"/>
      <c r="BB1222" s="23" t="str" cm="1">
        <f t="array" ref="BB1222">_xlfn.IFS(AW1222="SIM",SUM(K1222,P1222,U1222,Z1222,AE1222,AJ1222,AO1222,AT1222,AX1222,AY1222),F1222&lt;&gt;"",SUM(K1222,P1222,U1222,Z1222,AE1222,AJ1222,,AO1222,AT1222),F1222="","")</f>
        <v/>
      </c>
      <c r="BC1222" s="211" t="str" cm="1">
        <f t="array" ref="BC1222">_xlfn.IFS(E1222="","",G1222&lt;=E1222,BB1222*(1-0.03),G1222&lt;(E1222+8),BB1222,AZ1222="Boleto",BB1222*(1+0.001)^DATEDIF(E1222,G1222,"D"),AZ1222="Cheque",BB1222,AZ1222="Dinheiro","Alterar forma pgto")</f>
        <v/>
      </c>
      <c r="BD1222" s="276" t="str" cm="1">
        <f t="array" ref="BD1222">IF(F1222=0," ",IF(BC1222&lt;BB1222,(_xlfn.IFS(AW1222="SIM",SUM(L1222,Q1222,V1222,AA1222,AF1222,AK1222,AP1222,AU1222)+AX1222/_xlfn.XLOOKUP(_xlfn.XLOOKUP($F1222,Clientes!$B$4:$B$39,Clientes!$C$4:$C$39),Cadastros!$L$6:$L$12,Cadastros!$M$6:$M$12)+IF($F1222="Bernardino Furlan",AY1222/2751.92,IF($F1222="Mauro José Salanti",AY1222/2751.92,AY1222/3356)),F1222&lt;&gt;0,SUM(L1222,Q1222,V1222,AA1222,AF1222,AK1222,AP1222,AU1222)))*(1-0.03),_xlfn.IFS(AW1222="SIM",SUM(L1222,Q1222,V1222,AA1222,AF1222,AK1222,AP1222,AU1222)+AX1222/_xlfn.XLOOKUP(_xlfn.XLOOKUP($F1222,Clientes!$B$4:$B$39,Clientes!$C$4:$C$39),Cadastros!$L$6:$L$12,Cadastros!$M$6:$M$12)+IF($F1222="Bernardino Furlan",AY1222/2751.92,IF($F1222="Mauro José Salanti",AY1222/2751.92,AY1222/3356)),F1222&lt;&gt;0,SUM(L1222,Q1222,V1222,AA1222,AF1222,AK1222,AP1222,AU1222))))</f>
        <v xml:space="preserve"> </v>
      </c>
      <c r="BE1222" s="120"/>
      <c r="BF1222" s="120"/>
      <c r="BG1222" s="120"/>
    </row>
    <row r="1223" spans="1:59" s="3" customFormat="1" x14ac:dyDescent="0.3">
      <c r="A1223" s="15" t="str">
        <f t="shared" si="234"/>
        <v/>
      </c>
      <c r="B1223" s="25"/>
      <c r="C1223" s="26"/>
      <c r="D1223" s="279"/>
      <c r="E1223" s="27"/>
      <c r="F1223" s="28"/>
      <c r="G1223" s="27"/>
      <c r="H1223" s="28"/>
      <c r="I1223" s="28"/>
      <c r="J1223" s="255" t="str">
        <f>IF(H1223="","",(_xlfn.XLOOKUP(H1223,Cadastros!$D$6:$D$90,Cadastros!$E$6:$E$90))*(1-_xlfn.XLOOKUP(_xlfn.XLOOKUP($F1223,Clientes!$B$4:$B$39,Clientes!$C$4:$C$39),Cadastros!$L$6:$L$12,Cadastros!$N$6:$N$12)))</f>
        <v/>
      </c>
      <c r="K1223" s="168" t="str">
        <f t="shared" si="235"/>
        <v/>
      </c>
      <c r="L1223" s="168" t="str">
        <f>IFERROR(K1223/_xlfn.XLOOKUP(_xlfn.XLOOKUP($F1223,Clientes!$B$4:$B$39,Clientes!$C$4:$C$39),Cadastros!$L$6:$L$12,Cadastros!$M$6:$M$12)," ")</f>
        <v xml:space="preserve"> </v>
      </c>
      <c r="M1223" s="28"/>
      <c r="N1223" s="28"/>
      <c r="O1223" s="255" t="str">
        <f>IF(M1223="","",(_xlfn.XLOOKUP(M1223,Cadastros!$D$6:$D$90,Cadastros!$E$6:$E$90))*(1-_xlfn.XLOOKUP(_xlfn.XLOOKUP($F1223,Clientes!$B$4:$B$39,Clientes!$C$4:$C$39),Cadastros!$L$6:$L$12,Cadastros!$N$6:$N$12)))</f>
        <v/>
      </c>
      <c r="P1223" s="168" t="str">
        <f t="shared" si="236"/>
        <v/>
      </c>
      <c r="Q1223" s="168" t="str">
        <f>IFERROR(P1223/_xlfn.XLOOKUP(_xlfn.XLOOKUP($F1223,Clientes!$B$4:$B$39,Clientes!$C$4:$C$39),Cadastros!$L$6:$L$12,Cadastros!$M$6:$M$12)," ")</f>
        <v xml:space="preserve"> </v>
      </c>
      <c r="R1223" s="28"/>
      <c r="S1223" s="28"/>
      <c r="T1223" s="255" t="str">
        <f>IF(R1223="","",(_xlfn.XLOOKUP(R1223,Cadastros!$D$6:$D$90,Cadastros!$E$6:$E$90))*(1-_xlfn.XLOOKUP(_xlfn.XLOOKUP($F1223,Clientes!$B$4:$B$39,Clientes!$C$4:$C$39),Cadastros!$L$6:$L$12,Cadastros!$N$6:$N$12)))</f>
        <v/>
      </c>
      <c r="U1223" s="168" t="str">
        <f t="shared" si="237"/>
        <v/>
      </c>
      <c r="V1223" s="168" t="str">
        <f>IFERROR(U1223/_xlfn.XLOOKUP(_xlfn.XLOOKUP($F1223,Clientes!$B$4:$B$39,Clientes!$C$4:$C$39),Cadastros!$L$6:$L$12,Cadastros!$M$6:$M$12)," ")</f>
        <v xml:space="preserve"> </v>
      </c>
      <c r="W1223" s="28"/>
      <c r="X1223" s="28"/>
      <c r="Y1223" s="255" t="str">
        <f>IF(W1223="","",(_xlfn.XLOOKUP(W1223,Cadastros!$D$6:$D$90,Cadastros!$E$6:$E$90))*(1-_xlfn.XLOOKUP(_xlfn.XLOOKUP($F1223,Clientes!$B$4:$B$39,Clientes!$C$4:$C$39),Cadastros!$L$6:$L$12,Cadastros!$N$6:$N$12)))</f>
        <v/>
      </c>
      <c r="Z1223" s="168" t="str">
        <f t="shared" si="238"/>
        <v/>
      </c>
      <c r="AA1223" s="168" t="str">
        <f>IFERROR(Z1223/_xlfn.XLOOKUP(_xlfn.XLOOKUP($F1223,Clientes!$B$4:$B$39,Clientes!$C$4:$C$39),Cadastros!$L$6:$L$12,Cadastros!$M$6:$M$12)," ")</f>
        <v xml:space="preserve"> </v>
      </c>
      <c r="AB1223" s="28"/>
      <c r="AC1223" s="28"/>
      <c r="AD1223" s="20" t="str">
        <f>IF(AB1223="","",IF($F1223="Bernardino Furlan",_xlfn.XLOOKUP(AB1223,Cadastros!$G$6:$G$90,Cadastros!$H$6:$H$90)*(1-0.18),IF($F1223="Mauro José Salanti",_xlfn.XLOOKUP(AB1223,Cadastros!$G$6:$G$90,Cadastros!$H$6:$H$90)*(1-0.18),_xlfn.XLOOKUP(AB1223,Cadastros!$G$6:$G$90,Cadastros!$H$6:$H$90))))</f>
        <v/>
      </c>
      <c r="AE1223" s="168" t="str">
        <f t="shared" si="239"/>
        <v/>
      </c>
      <c r="AF1223" s="168" t="str">
        <f t="shared" si="240"/>
        <v/>
      </c>
      <c r="AG1223" s="28"/>
      <c r="AH1223" s="28"/>
      <c r="AI1223" s="20" t="str">
        <f>IF(AG1223="","",IF($F1223="Bernardino Furlan",_xlfn.XLOOKUP(AG1223,Cadastros!$G$6:$G$90,Cadastros!$H$6:$H$90)*(1-0.18),IF($F1223="Mauro José Salanti",_xlfn.XLOOKUP(AG1223,Cadastros!$G$6:$G$90,Cadastros!$H$6:$H$90)*(1-0.18),_xlfn.XLOOKUP(AG1223,Cadastros!$G$6:$G$90,Cadastros!$H$6:$H$90))))</f>
        <v/>
      </c>
      <c r="AJ1223" s="168" t="str">
        <f t="shared" si="241"/>
        <v/>
      </c>
      <c r="AK1223" s="168" t="str">
        <f t="shared" si="242"/>
        <v/>
      </c>
      <c r="AL1223" s="28"/>
      <c r="AM1223" s="28"/>
      <c r="AN1223" s="20" t="str">
        <f>IF(AL1223="","",IF($F1223="Bernardino Furlan",_xlfn.XLOOKUP(AL1223,Cadastros!$G$6:$G$90,Cadastros!$H$6:$H$90)*(1-0.18),IF($F1223="Mauro José Salanti",_xlfn.XLOOKUP(AL1223,Cadastros!$G$6:$G$90,Cadastros!$H$6:$H$90)*(1-0.18),_xlfn.XLOOKUP(AL1223,Cadastros!$G$6:$G$90,Cadastros!$H$6:$H$90))))</f>
        <v/>
      </c>
      <c r="AO1223" s="168" t="str">
        <f t="shared" si="243"/>
        <v/>
      </c>
      <c r="AP1223" s="168" t="str">
        <f t="shared" si="244"/>
        <v/>
      </c>
      <c r="AQ1223" s="28"/>
      <c r="AR1223" s="28"/>
      <c r="AS1223" s="20" t="str">
        <f>IF(AQ1223="","",IF($F1223="Bernardino Furlan",_xlfn.XLOOKUP(AQ1223,Cadastros!$G$6:$G$90,Cadastros!$H$6:$H$90)*(1-0.18),IF($F1223="Mauro José Salanti",_xlfn.XLOOKUP(AQ1223,Cadastros!$G$6:$G$90,Cadastros!$H$6:$H$90)*(1-0.18),_xlfn.XLOOKUP(AQ1223,Cadastros!$G$6:$G$90,Cadastros!$H$6:$H$90))))</f>
        <v/>
      </c>
      <c r="AT1223" s="168" t="str">
        <f t="shared" si="245"/>
        <v/>
      </c>
      <c r="AU1223" s="168" t="str">
        <f t="shared" si="246"/>
        <v/>
      </c>
      <c r="AV1223" s="227"/>
      <c r="AW1223" s="30"/>
      <c r="AX1223" s="267"/>
      <c r="AY1223" s="267"/>
      <c r="AZ1223" s="29"/>
      <c r="BA1223" s="30"/>
      <c r="BB1223" s="23" t="str" cm="1">
        <f t="array" ref="BB1223">_xlfn.IFS(AW1223="SIM",SUM(K1223,P1223,U1223,Z1223,AE1223,AJ1223,AO1223,AT1223,AX1223,AY1223),F1223&lt;&gt;"",SUM(K1223,P1223,U1223,Z1223,AE1223,AJ1223,,AO1223,AT1223),F1223="","")</f>
        <v/>
      </c>
      <c r="BC1223" s="211" t="str" cm="1">
        <f t="array" ref="BC1223">_xlfn.IFS(E1223="","",G1223&lt;=E1223,BB1223*(1-0.03),G1223&lt;(E1223+8),BB1223,AZ1223="Boleto",BB1223*(1+0.001)^DATEDIF(E1223,G1223,"D"),AZ1223="Cheque",BB1223,AZ1223="Dinheiro","Alterar forma pgto")</f>
        <v/>
      </c>
      <c r="BD1223" s="276" t="str" cm="1">
        <f t="array" ref="BD1223">IF(F1223=0," ",IF(BC1223&lt;BB1223,(_xlfn.IFS(AW1223="SIM",SUM(L1223,Q1223,V1223,AA1223,AF1223,AK1223,AP1223,AU1223)+AX1223/_xlfn.XLOOKUP(_xlfn.XLOOKUP($F1223,Clientes!$B$4:$B$39,Clientes!$C$4:$C$39),Cadastros!$L$6:$L$12,Cadastros!$M$6:$M$12)+IF($F1223="Bernardino Furlan",AY1223/2751.92,IF($F1223="Mauro José Salanti",AY1223/2751.92,AY1223/3356)),F1223&lt;&gt;0,SUM(L1223,Q1223,V1223,AA1223,AF1223,AK1223,AP1223,AU1223)))*(1-0.03),_xlfn.IFS(AW1223="SIM",SUM(L1223,Q1223,V1223,AA1223,AF1223,AK1223,AP1223,AU1223)+AX1223/_xlfn.XLOOKUP(_xlfn.XLOOKUP($F1223,Clientes!$B$4:$B$39,Clientes!$C$4:$C$39),Cadastros!$L$6:$L$12,Cadastros!$M$6:$M$12)+IF($F1223="Bernardino Furlan",AY1223/2751.92,IF($F1223="Mauro José Salanti",AY1223/2751.92,AY1223/3356)),F1223&lt;&gt;0,SUM(L1223,Q1223,V1223,AA1223,AF1223,AK1223,AP1223,AU1223))))</f>
        <v xml:space="preserve"> </v>
      </c>
      <c r="BE1223" s="120"/>
      <c r="BF1223" s="120"/>
      <c r="BG1223" s="120"/>
    </row>
    <row r="1224" spans="1:59" s="3" customFormat="1" x14ac:dyDescent="0.3">
      <c r="A1224" s="15" t="str">
        <f t="shared" ref="A1224:A1287" si="247">IF(C1224="orçamento",25%,IF(C1224="aprovado",50%,IF(C1224="entregue",100%,IF(C1224="não aceito",0%,""))))</f>
        <v/>
      </c>
      <c r="B1224" s="25"/>
      <c r="C1224" s="26"/>
      <c r="D1224" s="279"/>
      <c r="E1224" s="27"/>
      <c r="F1224" s="28"/>
      <c r="G1224" s="27"/>
      <c r="H1224" s="28"/>
      <c r="I1224" s="28"/>
      <c r="J1224" s="255" t="str">
        <f>IF(H1224="","",(_xlfn.XLOOKUP(H1224,Cadastros!$D$6:$D$90,Cadastros!$E$6:$E$90))*(1-_xlfn.XLOOKUP(_xlfn.XLOOKUP($F1224,Clientes!$B$4:$B$39,Clientes!$C$4:$C$39),Cadastros!$L$6:$L$12,Cadastros!$N$6:$N$12)))</f>
        <v/>
      </c>
      <c r="K1224" s="168" t="str">
        <f t="shared" ref="K1224:K1287" si="248">IF(J1224="","",I1224*J1224)</f>
        <v/>
      </c>
      <c r="L1224" s="168" t="str">
        <f>IFERROR(K1224/_xlfn.XLOOKUP(_xlfn.XLOOKUP($F1224,Clientes!$B$4:$B$39,Clientes!$C$4:$C$39),Cadastros!$L$6:$L$12,Cadastros!$M$6:$M$12)," ")</f>
        <v xml:space="preserve"> </v>
      </c>
      <c r="M1224" s="28"/>
      <c r="N1224" s="28"/>
      <c r="O1224" s="255" t="str">
        <f>IF(M1224="","",(_xlfn.XLOOKUP(M1224,Cadastros!$D$6:$D$90,Cadastros!$E$6:$E$90))*(1-_xlfn.XLOOKUP(_xlfn.XLOOKUP($F1224,Clientes!$B$4:$B$39,Clientes!$C$4:$C$39),Cadastros!$L$6:$L$12,Cadastros!$N$6:$N$12)))</f>
        <v/>
      </c>
      <c r="P1224" s="168" t="str">
        <f t="shared" ref="P1224:P1287" si="249">IF(O1224="","",N1224*O1224)</f>
        <v/>
      </c>
      <c r="Q1224" s="168" t="str">
        <f>IFERROR(P1224/_xlfn.XLOOKUP(_xlfn.XLOOKUP($F1224,Clientes!$B$4:$B$39,Clientes!$C$4:$C$39),Cadastros!$L$6:$L$12,Cadastros!$M$6:$M$12)," ")</f>
        <v xml:space="preserve"> </v>
      </c>
      <c r="R1224" s="28"/>
      <c r="S1224" s="28"/>
      <c r="T1224" s="255" t="str">
        <f>IF(R1224="","",(_xlfn.XLOOKUP(R1224,Cadastros!$D$6:$D$90,Cadastros!$E$6:$E$90))*(1-_xlfn.XLOOKUP(_xlfn.XLOOKUP($F1224,Clientes!$B$4:$B$39,Clientes!$C$4:$C$39),Cadastros!$L$6:$L$12,Cadastros!$N$6:$N$12)))</f>
        <v/>
      </c>
      <c r="U1224" s="168" t="str">
        <f t="shared" ref="U1224:U1287" si="250">IF(T1224="","",S1224*T1224)</f>
        <v/>
      </c>
      <c r="V1224" s="168" t="str">
        <f>IFERROR(U1224/_xlfn.XLOOKUP(_xlfn.XLOOKUP($F1224,Clientes!$B$4:$B$39,Clientes!$C$4:$C$39),Cadastros!$L$6:$L$12,Cadastros!$M$6:$M$12)," ")</f>
        <v xml:space="preserve"> </v>
      </c>
      <c r="W1224" s="28"/>
      <c r="X1224" s="28"/>
      <c r="Y1224" s="255" t="str">
        <f>IF(W1224="","",(_xlfn.XLOOKUP(W1224,Cadastros!$D$6:$D$90,Cadastros!$E$6:$E$90))*(1-_xlfn.XLOOKUP(_xlfn.XLOOKUP($F1224,Clientes!$B$4:$B$39,Clientes!$C$4:$C$39),Cadastros!$L$6:$L$12,Cadastros!$N$6:$N$12)))</f>
        <v/>
      </c>
      <c r="Z1224" s="168" t="str">
        <f t="shared" ref="Z1224:Z1287" si="251">IF(Y1224="","",X1224*Y1224)</f>
        <v/>
      </c>
      <c r="AA1224" s="168" t="str">
        <f>IFERROR(Z1224/_xlfn.XLOOKUP(_xlfn.XLOOKUP($F1224,Clientes!$B$4:$B$39,Clientes!$C$4:$C$39),Cadastros!$L$6:$L$12,Cadastros!$M$6:$M$12)," ")</f>
        <v xml:space="preserve"> </v>
      </c>
      <c r="AB1224" s="28"/>
      <c r="AC1224" s="28"/>
      <c r="AD1224" s="20" t="str">
        <f>IF(AB1224="","",IF($F1224="Bernardino Furlan",_xlfn.XLOOKUP(AB1224,Cadastros!$G$6:$G$90,Cadastros!$H$6:$H$90)*(1-0.18),IF($F1224="Mauro José Salanti",_xlfn.XLOOKUP(AB1224,Cadastros!$G$6:$G$90,Cadastros!$H$6:$H$90)*(1-0.18),_xlfn.XLOOKUP(AB1224,Cadastros!$G$6:$G$90,Cadastros!$H$6:$H$90))))</f>
        <v/>
      </c>
      <c r="AE1224" s="168" t="str">
        <f t="shared" ref="AE1224:AE1287" si="252">IF(AD1224="","",AC1224*AD1224)</f>
        <v/>
      </c>
      <c r="AF1224" s="168" t="str">
        <f t="shared" ref="AF1224:AF1287" si="253">IFERROR(IF($F1224="Bernardino Furlan",AE1224/2751.92,IF($F1224="Mauro José Salanti",AE1224/2751.92,AE1224/3356)),"")</f>
        <v/>
      </c>
      <c r="AG1224" s="28"/>
      <c r="AH1224" s="28"/>
      <c r="AI1224" s="20" t="str">
        <f>IF(AG1224="","",IF($F1224="Bernardino Furlan",_xlfn.XLOOKUP(AG1224,Cadastros!$G$6:$G$90,Cadastros!$H$6:$H$90)*(1-0.18),IF($F1224="Mauro José Salanti",_xlfn.XLOOKUP(AG1224,Cadastros!$G$6:$G$90,Cadastros!$H$6:$H$90)*(1-0.18),_xlfn.XLOOKUP(AG1224,Cadastros!$G$6:$G$90,Cadastros!$H$6:$H$90))))</f>
        <v/>
      </c>
      <c r="AJ1224" s="168" t="str">
        <f t="shared" ref="AJ1224:AJ1287" si="254">IF(AI1224="","",AH1224*AI1224)</f>
        <v/>
      </c>
      <c r="AK1224" s="168" t="str">
        <f t="shared" ref="AK1224:AK1287" si="255">IFERROR(IF($F1224="Bernardino Furlan",AJ1224/2751.92,IF($F1224="Mauro José Salanti",AJ1224/2751.92,AJ1224/3356)),"")</f>
        <v/>
      </c>
      <c r="AL1224" s="28"/>
      <c r="AM1224" s="28"/>
      <c r="AN1224" s="20" t="str">
        <f>IF(AL1224="","",IF($F1224="Bernardino Furlan",_xlfn.XLOOKUP(AL1224,Cadastros!$G$6:$G$90,Cadastros!$H$6:$H$90)*(1-0.18),IF($F1224="Mauro José Salanti",_xlfn.XLOOKUP(AL1224,Cadastros!$G$6:$G$90,Cadastros!$H$6:$H$90)*(1-0.18),_xlfn.XLOOKUP(AL1224,Cadastros!$G$6:$G$90,Cadastros!$H$6:$H$90))))</f>
        <v/>
      </c>
      <c r="AO1224" s="168" t="str">
        <f t="shared" ref="AO1224:AO1287" si="256">IF(AN1224="","",AM1224*AN1224)</f>
        <v/>
      </c>
      <c r="AP1224" s="168" t="str">
        <f t="shared" ref="AP1224:AP1287" si="257">IFERROR(IF($F1224="Bernardino Furlan",AO1224/2751.92,IF($F1224="Mauro José Salanti",AO1224/2751.92,AO1224/3356)),"")</f>
        <v/>
      </c>
      <c r="AQ1224" s="28"/>
      <c r="AR1224" s="28"/>
      <c r="AS1224" s="20" t="str">
        <f>IF(AQ1224="","",IF($F1224="Bernardino Furlan",_xlfn.XLOOKUP(AQ1224,Cadastros!$G$6:$G$90,Cadastros!$H$6:$H$90)*(1-0.18),IF($F1224="Mauro José Salanti",_xlfn.XLOOKUP(AQ1224,Cadastros!$G$6:$G$90,Cadastros!$H$6:$H$90)*(1-0.18),_xlfn.XLOOKUP(AQ1224,Cadastros!$G$6:$G$90,Cadastros!$H$6:$H$90))))</f>
        <v/>
      </c>
      <c r="AT1224" s="168" t="str">
        <f t="shared" ref="AT1224:AT1287" si="258">IF(AS1224="","",AR1224*AS1224)</f>
        <v/>
      </c>
      <c r="AU1224" s="168" t="str">
        <f t="shared" ref="AU1224:AU1287" si="259">IFERROR(IF($F1224="Bernardino Furlan",AT1224/2751.92,IF($F1224="Mauro José Salanti",AT1224/2751.92,AT1224/3356)),"")</f>
        <v/>
      </c>
      <c r="AV1224" s="227"/>
      <c r="AW1224" s="30"/>
      <c r="AX1224" s="267"/>
      <c r="AY1224" s="267"/>
      <c r="AZ1224" s="29"/>
      <c r="BA1224" s="30"/>
      <c r="BB1224" s="23" t="str" cm="1">
        <f t="array" ref="BB1224">_xlfn.IFS(AW1224="SIM",SUM(K1224,P1224,U1224,Z1224,AE1224,AJ1224,AO1224,AT1224,AX1224,AY1224),F1224&lt;&gt;"",SUM(K1224,P1224,U1224,Z1224,AE1224,AJ1224,,AO1224,AT1224),F1224="","")</f>
        <v/>
      </c>
      <c r="BC1224" s="211" t="str" cm="1">
        <f t="array" ref="BC1224">_xlfn.IFS(E1224="","",G1224&lt;=E1224,BB1224*(1-0.03),G1224&lt;(E1224+8),BB1224,AZ1224="Boleto",BB1224*(1+0.001)^DATEDIF(E1224,G1224,"D"),AZ1224="Cheque",BB1224,AZ1224="Dinheiro","Alterar forma pgto")</f>
        <v/>
      </c>
      <c r="BD1224" s="276" t="str" cm="1">
        <f t="array" ref="BD1224">IF(F1224=0," ",IF(BC1224&lt;BB1224,(_xlfn.IFS(AW1224="SIM",SUM(L1224,Q1224,V1224,AA1224,AF1224,AK1224,AP1224,AU1224)+AX1224/_xlfn.XLOOKUP(_xlfn.XLOOKUP($F1224,Clientes!$B$4:$B$39,Clientes!$C$4:$C$39),Cadastros!$L$6:$L$12,Cadastros!$M$6:$M$12)+IF($F1224="Bernardino Furlan",AY1224/2751.92,IF($F1224="Mauro José Salanti",AY1224/2751.92,AY1224/3356)),F1224&lt;&gt;0,SUM(L1224,Q1224,V1224,AA1224,AF1224,AK1224,AP1224,AU1224)))*(1-0.03),_xlfn.IFS(AW1224="SIM",SUM(L1224,Q1224,V1224,AA1224,AF1224,AK1224,AP1224,AU1224)+AX1224/_xlfn.XLOOKUP(_xlfn.XLOOKUP($F1224,Clientes!$B$4:$B$39,Clientes!$C$4:$C$39),Cadastros!$L$6:$L$12,Cadastros!$M$6:$M$12)+IF($F1224="Bernardino Furlan",AY1224/2751.92,IF($F1224="Mauro José Salanti",AY1224/2751.92,AY1224/3356)),F1224&lt;&gt;0,SUM(L1224,Q1224,V1224,AA1224,AF1224,AK1224,AP1224,AU1224))))</f>
        <v xml:space="preserve"> </v>
      </c>
      <c r="BE1224" s="120"/>
      <c r="BF1224" s="120"/>
      <c r="BG1224" s="120"/>
    </row>
    <row r="1225" spans="1:59" s="3" customFormat="1" x14ac:dyDescent="0.3">
      <c r="A1225" s="15" t="str">
        <f t="shared" si="247"/>
        <v/>
      </c>
      <c r="B1225" s="25"/>
      <c r="C1225" s="26"/>
      <c r="D1225" s="279"/>
      <c r="E1225" s="27"/>
      <c r="F1225" s="28"/>
      <c r="G1225" s="27"/>
      <c r="H1225" s="28"/>
      <c r="I1225" s="28"/>
      <c r="J1225" s="255" t="str">
        <f>IF(H1225="","",(_xlfn.XLOOKUP(H1225,Cadastros!$D$6:$D$90,Cadastros!$E$6:$E$90))*(1-_xlfn.XLOOKUP(_xlfn.XLOOKUP($F1225,Clientes!$B$4:$B$39,Clientes!$C$4:$C$39),Cadastros!$L$6:$L$12,Cadastros!$N$6:$N$12)))</f>
        <v/>
      </c>
      <c r="K1225" s="168" t="str">
        <f t="shared" si="248"/>
        <v/>
      </c>
      <c r="L1225" s="168" t="str">
        <f>IFERROR(K1225/_xlfn.XLOOKUP(_xlfn.XLOOKUP($F1225,Clientes!$B$4:$B$39,Clientes!$C$4:$C$39),Cadastros!$L$6:$L$12,Cadastros!$M$6:$M$12)," ")</f>
        <v xml:space="preserve"> </v>
      </c>
      <c r="M1225" s="28"/>
      <c r="N1225" s="28"/>
      <c r="O1225" s="255" t="str">
        <f>IF(M1225="","",(_xlfn.XLOOKUP(M1225,Cadastros!$D$6:$D$90,Cadastros!$E$6:$E$90))*(1-_xlfn.XLOOKUP(_xlfn.XLOOKUP($F1225,Clientes!$B$4:$B$39,Clientes!$C$4:$C$39),Cadastros!$L$6:$L$12,Cadastros!$N$6:$N$12)))</f>
        <v/>
      </c>
      <c r="P1225" s="168" t="str">
        <f t="shared" si="249"/>
        <v/>
      </c>
      <c r="Q1225" s="168" t="str">
        <f>IFERROR(P1225/_xlfn.XLOOKUP(_xlfn.XLOOKUP($F1225,Clientes!$B$4:$B$39,Clientes!$C$4:$C$39),Cadastros!$L$6:$L$12,Cadastros!$M$6:$M$12)," ")</f>
        <v xml:space="preserve"> </v>
      </c>
      <c r="R1225" s="28"/>
      <c r="S1225" s="28"/>
      <c r="T1225" s="255" t="str">
        <f>IF(R1225="","",(_xlfn.XLOOKUP(R1225,Cadastros!$D$6:$D$90,Cadastros!$E$6:$E$90))*(1-_xlfn.XLOOKUP(_xlfn.XLOOKUP($F1225,Clientes!$B$4:$B$39,Clientes!$C$4:$C$39),Cadastros!$L$6:$L$12,Cadastros!$N$6:$N$12)))</f>
        <v/>
      </c>
      <c r="U1225" s="168" t="str">
        <f t="shared" si="250"/>
        <v/>
      </c>
      <c r="V1225" s="168" t="str">
        <f>IFERROR(U1225/_xlfn.XLOOKUP(_xlfn.XLOOKUP($F1225,Clientes!$B$4:$B$39,Clientes!$C$4:$C$39),Cadastros!$L$6:$L$12,Cadastros!$M$6:$M$12)," ")</f>
        <v xml:space="preserve"> </v>
      </c>
      <c r="W1225" s="28"/>
      <c r="X1225" s="28"/>
      <c r="Y1225" s="255" t="str">
        <f>IF(W1225="","",(_xlfn.XLOOKUP(W1225,Cadastros!$D$6:$D$90,Cadastros!$E$6:$E$90))*(1-_xlfn.XLOOKUP(_xlfn.XLOOKUP($F1225,Clientes!$B$4:$B$39,Clientes!$C$4:$C$39),Cadastros!$L$6:$L$12,Cadastros!$N$6:$N$12)))</f>
        <v/>
      </c>
      <c r="Z1225" s="168" t="str">
        <f t="shared" si="251"/>
        <v/>
      </c>
      <c r="AA1225" s="168" t="str">
        <f>IFERROR(Z1225/_xlfn.XLOOKUP(_xlfn.XLOOKUP($F1225,Clientes!$B$4:$B$39,Clientes!$C$4:$C$39),Cadastros!$L$6:$L$12,Cadastros!$M$6:$M$12)," ")</f>
        <v xml:space="preserve"> </v>
      </c>
      <c r="AB1225" s="28"/>
      <c r="AC1225" s="28"/>
      <c r="AD1225" s="20" t="str">
        <f>IF(AB1225="","",IF($F1225="Bernardino Furlan",_xlfn.XLOOKUP(AB1225,Cadastros!$G$6:$G$90,Cadastros!$H$6:$H$90)*(1-0.18),IF($F1225="Mauro José Salanti",_xlfn.XLOOKUP(AB1225,Cadastros!$G$6:$G$90,Cadastros!$H$6:$H$90)*(1-0.18),_xlfn.XLOOKUP(AB1225,Cadastros!$G$6:$G$90,Cadastros!$H$6:$H$90))))</f>
        <v/>
      </c>
      <c r="AE1225" s="168" t="str">
        <f t="shared" si="252"/>
        <v/>
      </c>
      <c r="AF1225" s="168" t="str">
        <f t="shared" si="253"/>
        <v/>
      </c>
      <c r="AG1225" s="28"/>
      <c r="AH1225" s="28"/>
      <c r="AI1225" s="20" t="str">
        <f>IF(AG1225="","",IF($F1225="Bernardino Furlan",_xlfn.XLOOKUP(AG1225,Cadastros!$G$6:$G$90,Cadastros!$H$6:$H$90)*(1-0.18),IF($F1225="Mauro José Salanti",_xlfn.XLOOKUP(AG1225,Cadastros!$G$6:$G$90,Cadastros!$H$6:$H$90)*(1-0.18),_xlfn.XLOOKUP(AG1225,Cadastros!$G$6:$G$90,Cadastros!$H$6:$H$90))))</f>
        <v/>
      </c>
      <c r="AJ1225" s="168" t="str">
        <f t="shared" si="254"/>
        <v/>
      </c>
      <c r="AK1225" s="168" t="str">
        <f t="shared" si="255"/>
        <v/>
      </c>
      <c r="AL1225" s="28"/>
      <c r="AM1225" s="28"/>
      <c r="AN1225" s="20" t="str">
        <f>IF(AL1225="","",IF($F1225="Bernardino Furlan",_xlfn.XLOOKUP(AL1225,Cadastros!$G$6:$G$90,Cadastros!$H$6:$H$90)*(1-0.18),IF($F1225="Mauro José Salanti",_xlfn.XLOOKUP(AL1225,Cadastros!$G$6:$G$90,Cadastros!$H$6:$H$90)*(1-0.18),_xlfn.XLOOKUP(AL1225,Cadastros!$G$6:$G$90,Cadastros!$H$6:$H$90))))</f>
        <v/>
      </c>
      <c r="AO1225" s="168" t="str">
        <f t="shared" si="256"/>
        <v/>
      </c>
      <c r="AP1225" s="168" t="str">
        <f t="shared" si="257"/>
        <v/>
      </c>
      <c r="AQ1225" s="28"/>
      <c r="AR1225" s="28"/>
      <c r="AS1225" s="20" t="str">
        <f>IF(AQ1225="","",IF($F1225="Bernardino Furlan",_xlfn.XLOOKUP(AQ1225,Cadastros!$G$6:$G$90,Cadastros!$H$6:$H$90)*(1-0.18),IF($F1225="Mauro José Salanti",_xlfn.XLOOKUP(AQ1225,Cadastros!$G$6:$G$90,Cadastros!$H$6:$H$90)*(1-0.18),_xlfn.XLOOKUP(AQ1225,Cadastros!$G$6:$G$90,Cadastros!$H$6:$H$90))))</f>
        <v/>
      </c>
      <c r="AT1225" s="168" t="str">
        <f t="shared" si="258"/>
        <v/>
      </c>
      <c r="AU1225" s="168" t="str">
        <f t="shared" si="259"/>
        <v/>
      </c>
      <c r="AV1225" s="227"/>
      <c r="AW1225" s="30"/>
      <c r="AX1225" s="267"/>
      <c r="AY1225" s="267"/>
      <c r="AZ1225" s="29"/>
      <c r="BA1225" s="30"/>
      <c r="BB1225" s="23" t="str" cm="1">
        <f t="array" ref="BB1225">_xlfn.IFS(AW1225="SIM",SUM(K1225,P1225,U1225,Z1225,AE1225,AJ1225,AO1225,AT1225,AX1225,AY1225),F1225&lt;&gt;"",SUM(K1225,P1225,U1225,Z1225,AE1225,AJ1225,,AO1225,AT1225),F1225="","")</f>
        <v/>
      </c>
      <c r="BC1225" s="211" t="str" cm="1">
        <f t="array" ref="BC1225">_xlfn.IFS(E1225="","",G1225&lt;=E1225,BB1225*(1-0.03),G1225&lt;(E1225+8),BB1225,AZ1225="Boleto",BB1225*(1+0.001)^DATEDIF(E1225,G1225,"D"),AZ1225="Cheque",BB1225,AZ1225="Dinheiro","Alterar forma pgto")</f>
        <v/>
      </c>
      <c r="BD1225" s="276" t="str" cm="1">
        <f t="array" ref="BD1225">IF(F1225=0," ",IF(BC1225&lt;BB1225,(_xlfn.IFS(AW1225="SIM",SUM(L1225,Q1225,V1225,AA1225,AF1225,AK1225,AP1225,AU1225)+AX1225/_xlfn.XLOOKUP(_xlfn.XLOOKUP($F1225,Clientes!$B$4:$B$39,Clientes!$C$4:$C$39),Cadastros!$L$6:$L$12,Cadastros!$M$6:$M$12)+IF($F1225="Bernardino Furlan",AY1225/2751.92,IF($F1225="Mauro José Salanti",AY1225/2751.92,AY1225/3356)),F1225&lt;&gt;0,SUM(L1225,Q1225,V1225,AA1225,AF1225,AK1225,AP1225,AU1225)))*(1-0.03),_xlfn.IFS(AW1225="SIM",SUM(L1225,Q1225,V1225,AA1225,AF1225,AK1225,AP1225,AU1225)+AX1225/_xlfn.XLOOKUP(_xlfn.XLOOKUP($F1225,Clientes!$B$4:$B$39,Clientes!$C$4:$C$39),Cadastros!$L$6:$L$12,Cadastros!$M$6:$M$12)+IF($F1225="Bernardino Furlan",AY1225/2751.92,IF($F1225="Mauro José Salanti",AY1225/2751.92,AY1225/3356)),F1225&lt;&gt;0,SUM(L1225,Q1225,V1225,AA1225,AF1225,AK1225,AP1225,AU1225))))</f>
        <v xml:space="preserve"> </v>
      </c>
      <c r="BE1225" s="120"/>
      <c r="BF1225" s="120"/>
      <c r="BG1225" s="120"/>
    </row>
    <row r="1226" spans="1:59" s="3" customFormat="1" x14ac:dyDescent="0.3">
      <c r="A1226" s="15" t="str">
        <f t="shared" si="247"/>
        <v/>
      </c>
      <c r="B1226" s="25"/>
      <c r="C1226" s="26"/>
      <c r="D1226" s="279"/>
      <c r="E1226" s="27"/>
      <c r="F1226" s="28"/>
      <c r="G1226" s="27"/>
      <c r="H1226" s="28"/>
      <c r="I1226" s="28"/>
      <c r="J1226" s="255" t="str">
        <f>IF(H1226="","",(_xlfn.XLOOKUP(H1226,Cadastros!$D$6:$D$90,Cadastros!$E$6:$E$90))*(1-_xlfn.XLOOKUP(_xlfn.XLOOKUP($F1226,Clientes!$B$4:$B$39,Clientes!$C$4:$C$39),Cadastros!$L$6:$L$12,Cadastros!$N$6:$N$12)))</f>
        <v/>
      </c>
      <c r="K1226" s="168" t="str">
        <f t="shared" si="248"/>
        <v/>
      </c>
      <c r="L1226" s="168" t="str">
        <f>IFERROR(K1226/_xlfn.XLOOKUP(_xlfn.XLOOKUP($F1226,Clientes!$B$4:$B$39,Clientes!$C$4:$C$39),Cadastros!$L$6:$L$12,Cadastros!$M$6:$M$12)," ")</f>
        <v xml:space="preserve"> </v>
      </c>
      <c r="M1226" s="28"/>
      <c r="N1226" s="28"/>
      <c r="O1226" s="255" t="str">
        <f>IF(M1226="","",(_xlfn.XLOOKUP(M1226,Cadastros!$D$6:$D$90,Cadastros!$E$6:$E$90))*(1-_xlfn.XLOOKUP(_xlfn.XLOOKUP($F1226,Clientes!$B$4:$B$39,Clientes!$C$4:$C$39),Cadastros!$L$6:$L$12,Cadastros!$N$6:$N$12)))</f>
        <v/>
      </c>
      <c r="P1226" s="168" t="str">
        <f t="shared" si="249"/>
        <v/>
      </c>
      <c r="Q1226" s="168" t="str">
        <f>IFERROR(P1226/_xlfn.XLOOKUP(_xlfn.XLOOKUP($F1226,Clientes!$B$4:$B$39,Clientes!$C$4:$C$39),Cadastros!$L$6:$L$12,Cadastros!$M$6:$M$12)," ")</f>
        <v xml:space="preserve"> </v>
      </c>
      <c r="R1226" s="28"/>
      <c r="S1226" s="28"/>
      <c r="T1226" s="255" t="str">
        <f>IF(R1226="","",(_xlfn.XLOOKUP(R1226,Cadastros!$D$6:$D$90,Cadastros!$E$6:$E$90))*(1-_xlfn.XLOOKUP(_xlfn.XLOOKUP($F1226,Clientes!$B$4:$B$39,Clientes!$C$4:$C$39),Cadastros!$L$6:$L$12,Cadastros!$N$6:$N$12)))</f>
        <v/>
      </c>
      <c r="U1226" s="168" t="str">
        <f t="shared" si="250"/>
        <v/>
      </c>
      <c r="V1226" s="168" t="str">
        <f>IFERROR(U1226/_xlfn.XLOOKUP(_xlfn.XLOOKUP($F1226,Clientes!$B$4:$B$39,Clientes!$C$4:$C$39),Cadastros!$L$6:$L$12,Cadastros!$M$6:$M$12)," ")</f>
        <v xml:space="preserve"> </v>
      </c>
      <c r="W1226" s="28"/>
      <c r="X1226" s="28"/>
      <c r="Y1226" s="255" t="str">
        <f>IF(W1226="","",(_xlfn.XLOOKUP(W1226,Cadastros!$D$6:$D$90,Cadastros!$E$6:$E$90))*(1-_xlfn.XLOOKUP(_xlfn.XLOOKUP($F1226,Clientes!$B$4:$B$39,Clientes!$C$4:$C$39),Cadastros!$L$6:$L$12,Cadastros!$N$6:$N$12)))</f>
        <v/>
      </c>
      <c r="Z1226" s="168" t="str">
        <f t="shared" si="251"/>
        <v/>
      </c>
      <c r="AA1226" s="168" t="str">
        <f>IFERROR(Z1226/_xlfn.XLOOKUP(_xlfn.XLOOKUP($F1226,Clientes!$B$4:$B$39,Clientes!$C$4:$C$39),Cadastros!$L$6:$L$12,Cadastros!$M$6:$M$12)," ")</f>
        <v xml:space="preserve"> </v>
      </c>
      <c r="AB1226" s="28"/>
      <c r="AC1226" s="28"/>
      <c r="AD1226" s="20" t="str">
        <f>IF(AB1226="","",IF($F1226="Bernardino Furlan",_xlfn.XLOOKUP(AB1226,Cadastros!$G$6:$G$90,Cadastros!$H$6:$H$90)*(1-0.18),IF($F1226="Mauro José Salanti",_xlfn.XLOOKUP(AB1226,Cadastros!$G$6:$G$90,Cadastros!$H$6:$H$90)*(1-0.18),_xlfn.XLOOKUP(AB1226,Cadastros!$G$6:$G$90,Cadastros!$H$6:$H$90))))</f>
        <v/>
      </c>
      <c r="AE1226" s="168" t="str">
        <f t="shared" si="252"/>
        <v/>
      </c>
      <c r="AF1226" s="168" t="str">
        <f t="shared" si="253"/>
        <v/>
      </c>
      <c r="AG1226" s="28"/>
      <c r="AH1226" s="28"/>
      <c r="AI1226" s="20" t="str">
        <f>IF(AG1226="","",IF($F1226="Bernardino Furlan",_xlfn.XLOOKUP(AG1226,Cadastros!$G$6:$G$90,Cadastros!$H$6:$H$90)*(1-0.18),IF($F1226="Mauro José Salanti",_xlfn.XLOOKUP(AG1226,Cadastros!$G$6:$G$90,Cadastros!$H$6:$H$90)*(1-0.18),_xlfn.XLOOKUP(AG1226,Cadastros!$G$6:$G$90,Cadastros!$H$6:$H$90))))</f>
        <v/>
      </c>
      <c r="AJ1226" s="168" t="str">
        <f t="shared" si="254"/>
        <v/>
      </c>
      <c r="AK1226" s="168" t="str">
        <f t="shared" si="255"/>
        <v/>
      </c>
      <c r="AL1226" s="28"/>
      <c r="AM1226" s="28"/>
      <c r="AN1226" s="20" t="str">
        <f>IF(AL1226="","",IF($F1226="Bernardino Furlan",_xlfn.XLOOKUP(AL1226,Cadastros!$G$6:$G$90,Cadastros!$H$6:$H$90)*(1-0.18),IF($F1226="Mauro José Salanti",_xlfn.XLOOKUP(AL1226,Cadastros!$G$6:$G$90,Cadastros!$H$6:$H$90)*(1-0.18),_xlfn.XLOOKUP(AL1226,Cadastros!$G$6:$G$90,Cadastros!$H$6:$H$90))))</f>
        <v/>
      </c>
      <c r="AO1226" s="168" t="str">
        <f t="shared" si="256"/>
        <v/>
      </c>
      <c r="AP1226" s="168" t="str">
        <f t="shared" si="257"/>
        <v/>
      </c>
      <c r="AQ1226" s="28"/>
      <c r="AR1226" s="28"/>
      <c r="AS1226" s="20" t="str">
        <f>IF(AQ1226="","",IF($F1226="Bernardino Furlan",_xlfn.XLOOKUP(AQ1226,Cadastros!$G$6:$G$90,Cadastros!$H$6:$H$90)*(1-0.18),IF($F1226="Mauro José Salanti",_xlfn.XLOOKUP(AQ1226,Cadastros!$G$6:$G$90,Cadastros!$H$6:$H$90)*(1-0.18),_xlfn.XLOOKUP(AQ1226,Cadastros!$G$6:$G$90,Cadastros!$H$6:$H$90))))</f>
        <v/>
      </c>
      <c r="AT1226" s="168" t="str">
        <f t="shared" si="258"/>
        <v/>
      </c>
      <c r="AU1226" s="168" t="str">
        <f t="shared" si="259"/>
        <v/>
      </c>
      <c r="AV1226" s="227"/>
      <c r="AW1226" s="30"/>
      <c r="AX1226" s="267"/>
      <c r="AY1226" s="267"/>
      <c r="AZ1226" s="29"/>
      <c r="BA1226" s="30"/>
      <c r="BB1226" s="23" t="str" cm="1">
        <f t="array" ref="BB1226">_xlfn.IFS(AW1226="SIM",SUM(K1226,P1226,U1226,Z1226,AE1226,AJ1226,AO1226,AT1226,AX1226,AY1226),F1226&lt;&gt;"",SUM(K1226,P1226,U1226,Z1226,AE1226,AJ1226,,AO1226,AT1226),F1226="","")</f>
        <v/>
      </c>
      <c r="BC1226" s="211" t="str" cm="1">
        <f t="array" ref="BC1226">_xlfn.IFS(E1226="","",G1226&lt;=E1226,BB1226*(1-0.03),G1226&lt;(E1226+8),BB1226,AZ1226="Boleto",BB1226*(1+0.001)^DATEDIF(E1226,G1226,"D"),AZ1226="Cheque",BB1226,AZ1226="Dinheiro","Alterar forma pgto")</f>
        <v/>
      </c>
      <c r="BD1226" s="276" t="str" cm="1">
        <f t="array" ref="BD1226">IF(F1226=0," ",IF(BC1226&lt;BB1226,(_xlfn.IFS(AW1226="SIM",SUM(L1226,Q1226,V1226,AA1226,AF1226,AK1226,AP1226,AU1226)+AX1226/_xlfn.XLOOKUP(_xlfn.XLOOKUP($F1226,Clientes!$B$4:$B$39,Clientes!$C$4:$C$39),Cadastros!$L$6:$L$12,Cadastros!$M$6:$M$12)+IF($F1226="Bernardino Furlan",AY1226/2751.92,IF($F1226="Mauro José Salanti",AY1226/2751.92,AY1226/3356)),F1226&lt;&gt;0,SUM(L1226,Q1226,V1226,AA1226,AF1226,AK1226,AP1226,AU1226)))*(1-0.03),_xlfn.IFS(AW1226="SIM",SUM(L1226,Q1226,V1226,AA1226,AF1226,AK1226,AP1226,AU1226)+AX1226/_xlfn.XLOOKUP(_xlfn.XLOOKUP($F1226,Clientes!$B$4:$B$39,Clientes!$C$4:$C$39),Cadastros!$L$6:$L$12,Cadastros!$M$6:$M$12)+IF($F1226="Bernardino Furlan",AY1226/2751.92,IF($F1226="Mauro José Salanti",AY1226/2751.92,AY1226/3356)),F1226&lt;&gt;0,SUM(L1226,Q1226,V1226,AA1226,AF1226,AK1226,AP1226,AU1226))))</f>
        <v xml:space="preserve"> </v>
      </c>
      <c r="BE1226" s="120"/>
      <c r="BF1226" s="120"/>
      <c r="BG1226" s="120"/>
    </row>
    <row r="1227" spans="1:59" s="3" customFormat="1" x14ac:dyDescent="0.3">
      <c r="A1227" s="15" t="str">
        <f t="shared" si="247"/>
        <v/>
      </c>
      <c r="B1227" s="25"/>
      <c r="C1227" s="26"/>
      <c r="D1227" s="279"/>
      <c r="E1227" s="27"/>
      <c r="F1227" s="28"/>
      <c r="G1227" s="27"/>
      <c r="H1227" s="28"/>
      <c r="I1227" s="28"/>
      <c r="J1227" s="255" t="str">
        <f>IF(H1227="","",(_xlfn.XLOOKUP(H1227,Cadastros!$D$6:$D$90,Cadastros!$E$6:$E$90))*(1-_xlfn.XLOOKUP(_xlfn.XLOOKUP($F1227,Clientes!$B$4:$B$39,Clientes!$C$4:$C$39),Cadastros!$L$6:$L$12,Cadastros!$N$6:$N$12)))</f>
        <v/>
      </c>
      <c r="K1227" s="168" t="str">
        <f t="shared" si="248"/>
        <v/>
      </c>
      <c r="L1227" s="168" t="str">
        <f>IFERROR(K1227/_xlfn.XLOOKUP(_xlfn.XLOOKUP($F1227,Clientes!$B$4:$B$39,Clientes!$C$4:$C$39),Cadastros!$L$6:$L$12,Cadastros!$M$6:$M$12)," ")</f>
        <v xml:space="preserve"> </v>
      </c>
      <c r="M1227" s="28"/>
      <c r="N1227" s="28"/>
      <c r="O1227" s="255" t="str">
        <f>IF(M1227="","",(_xlfn.XLOOKUP(M1227,Cadastros!$D$6:$D$90,Cadastros!$E$6:$E$90))*(1-_xlfn.XLOOKUP(_xlfn.XLOOKUP($F1227,Clientes!$B$4:$B$39,Clientes!$C$4:$C$39),Cadastros!$L$6:$L$12,Cadastros!$N$6:$N$12)))</f>
        <v/>
      </c>
      <c r="P1227" s="168" t="str">
        <f t="shared" si="249"/>
        <v/>
      </c>
      <c r="Q1227" s="168" t="str">
        <f>IFERROR(P1227/_xlfn.XLOOKUP(_xlfn.XLOOKUP($F1227,Clientes!$B$4:$B$39,Clientes!$C$4:$C$39),Cadastros!$L$6:$L$12,Cadastros!$M$6:$M$12)," ")</f>
        <v xml:space="preserve"> </v>
      </c>
      <c r="R1227" s="28"/>
      <c r="S1227" s="28"/>
      <c r="T1227" s="255" t="str">
        <f>IF(R1227="","",(_xlfn.XLOOKUP(R1227,Cadastros!$D$6:$D$90,Cadastros!$E$6:$E$90))*(1-_xlfn.XLOOKUP(_xlfn.XLOOKUP($F1227,Clientes!$B$4:$B$39,Clientes!$C$4:$C$39),Cadastros!$L$6:$L$12,Cadastros!$N$6:$N$12)))</f>
        <v/>
      </c>
      <c r="U1227" s="168" t="str">
        <f t="shared" si="250"/>
        <v/>
      </c>
      <c r="V1227" s="168" t="str">
        <f>IFERROR(U1227/_xlfn.XLOOKUP(_xlfn.XLOOKUP($F1227,Clientes!$B$4:$B$39,Clientes!$C$4:$C$39),Cadastros!$L$6:$L$12,Cadastros!$M$6:$M$12)," ")</f>
        <v xml:space="preserve"> </v>
      </c>
      <c r="W1227" s="28"/>
      <c r="X1227" s="28"/>
      <c r="Y1227" s="255" t="str">
        <f>IF(W1227="","",(_xlfn.XLOOKUP(W1227,Cadastros!$D$6:$D$90,Cadastros!$E$6:$E$90))*(1-_xlfn.XLOOKUP(_xlfn.XLOOKUP($F1227,Clientes!$B$4:$B$39,Clientes!$C$4:$C$39),Cadastros!$L$6:$L$12,Cadastros!$N$6:$N$12)))</f>
        <v/>
      </c>
      <c r="Z1227" s="168" t="str">
        <f t="shared" si="251"/>
        <v/>
      </c>
      <c r="AA1227" s="168" t="str">
        <f>IFERROR(Z1227/_xlfn.XLOOKUP(_xlfn.XLOOKUP($F1227,Clientes!$B$4:$B$39,Clientes!$C$4:$C$39),Cadastros!$L$6:$L$12,Cadastros!$M$6:$M$12)," ")</f>
        <v xml:space="preserve"> </v>
      </c>
      <c r="AB1227" s="28"/>
      <c r="AC1227" s="28"/>
      <c r="AD1227" s="20" t="str">
        <f>IF(AB1227="","",IF($F1227="Bernardino Furlan",_xlfn.XLOOKUP(AB1227,Cadastros!$G$6:$G$90,Cadastros!$H$6:$H$90)*(1-0.18),IF($F1227="Mauro José Salanti",_xlfn.XLOOKUP(AB1227,Cadastros!$G$6:$G$90,Cadastros!$H$6:$H$90)*(1-0.18),_xlfn.XLOOKUP(AB1227,Cadastros!$G$6:$G$90,Cadastros!$H$6:$H$90))))</f>
        <v/>
      </c>
      <c r="AE1227" s="168" t="str">
        <f t="shared" si="252"/>
        <v/>
      </c>
      <c r="AF1227" s="168" t="str">
        <f t="shared" si="253"/>
        <v/>
      </c>
      <c r="AG1227" s="28"/>
      <c r="AH1227" s="28"/>
      <c r="AI1227" s="20" t="str">
        <f>IF(AG1227="","",IF($F1227="Bernardino Furlan",_xlfn.XLOOKUP(AG1227,Cadastros!$G$6:$G$90,Cadastros!$H$6:$H$90)*(1-0.18),IF($F1227="Mauro José Salanti",_xlfn.XLOOKUP(AG1227,Cadastros!$G$6:$G$90,Cadastros!$H$6:$H$90)*(1-0.18),_xlfn.XLOOKUP(AG1227,Cadastros!$G$6:$G$90,Cadastros!$H$6:$H$90))))</f>
        <v/>
      </c>
      <c r="AJ1227" s="168" t="str">
        <f t="shared" si="254"/>
        <v/>
      </c>
      <c r="AK1227" s="168" t="str">
        <f t="shared" si="255"/>
        <v/>
      </c>
      <c r="AL1227" s="28"/>
      <c r="AM1227" s="28"/>
      <c r="AN1227" s="20" t="str">
        <f>IF(AL1227="","",IF($F1227="Bernardino Furlan",_xlfn.XLOOKUP(AL1227,Cadastros!$G$6:$G$90,Cadastros!$H$6:$H$90)*(1-0.18),IF($F1227="Mauro José Salanti",_xlfn.XLOOKUP(AL1227,Cadastros!$G$6:$G$90,Cadastros!$H$6:$H$90)*(1-0.18),_xlfn.XLOOKUP(AL1227,Cadastros!$G$6:$G$90,Cadastros!$H$6:$H$90))))</f>
        <v/>
      </c>
      <c r="AO1227" s="168" t="str">
        <f t="shared" si="256"/>
        <v/>
      </c>
      <c r="AP1227" s="168" t="str">
        <f t="shared" si="257"/>
        <v/>
      </c>
      <c r="AQ1227" s="28"/>
      <c r="AR1227" s="28"/>
      <c r="AS1227" s="20" t="str">
        <f>IF(AQ1227="","",IF($F1227="Bernardino Furlan",_xlfn.XLOOKUP(AQ1227,Cadastros!$G$6:$G$90,Cadastros!$H$6:$H$90)*(1-0.18),IF($F1227="Mauro José Salanti",_xlfn.XLOOKUP(AQ1227,Cadastros!$G$6:$G$90,Cadastros!$H$6:$H$90)*(1-0.18),_xlfn.XLOOKUP(AQ1227,Cadastros!$G$6:$G$90,Cadastros!$H$6:$H$90))))</f>
        <v/>
      </c>
      <c r="AT1227" s="168" t="str">
        <f t="shared" si="258"/>
        <v/>
      </c>
      <c r="AU1227" s="168" t="str">
        <f t="shared" si="259"/>
        <v/>
      </c>
      <c r="AV1227" s="227"/>
      <c r="AW1227" s="30"/>
      <c r="AX1227" s="267"/>
      <c r="AY1227" s="267"/>
      <c r="AZ1227" s="29"/>
      <c r="BA1227" s="30"/>
      <c r="BB1227" s="23" t="str" cm="1">
        <f t="array" ref="BB1227">_xlfn.IFS(AW1227="SIM",SUM(K1227,P1227,U1227,Z1227,AE1227,AJ1227,AO1227,AT1227,AX1227,AY1227),F1227&lt;&gt;"",SUM(K1227,P1227,U1227,Z1227,AE1227,AJ1227,,AO1227,AT1227),F1227="","")</f>
        <v/>
      </c>
      <c r="BC1227" s="211" t="str" cm="1">
        <f t="array" ref="BC1227">_xlfn.IFS(E1227="","",G1227&lt;=E1227,BB1227*(1-0.03),G1227&lt;(E1227+8),BB1227,AZ1227="Boleto",BB1227*(1+0.001)^DATEDIF(E1227,G1227,"D"),AZ1227="Cheque",BB1227,AZ1227="Dinheiro","Alterar forma pgto")</f>
        <v/>
      </c>
      <c r="BD1227" s="276" t="str" cm="1">
        <f t="array" ref="BD1227">IF(F1227=0," ",IF(BC1227&lt;BB1227,(_xlfn.IFS(AW1227="SIM",SUM(L1227,Q1227,V1227,AA1227,AF1227,AK1227,AP1227,AU1227)+AX1227/_xlfn.XLOOKUP(_xlfn.XLOOKUP($F1227,Clientes!$B$4:$B$39,Clientes!$C$4:$C$39),Cadastros!$L$6:$L$12,Cadastros!$M$6:$M$12)+IF($F1227="Bernardino Furlan",AY1227/2751.92,IF($F1227="Mauro José Salanti",AY1227/2751.92,AY1227/3356)),F1227&lt;&gt;0,SUM(L1227,Q1227,V1227,AA1227,AF1227,AK1227,AP1227,AU1227)))*(1-0.03),_xlfn.IFS(AW1227="SIM",SUM(L1227,Q1227,V1227,AA1227,AF1227,AK1227,AP1227,AU1227)+AX1227/_xlfn.XLOOKUP(_xlfn.XLOOKUP($F1227,Clientes!$B$4:$B$39,Clientes!$C$4:$C$39),Cadastros!$L$6:$L$12,Cadastros!$M$6:$M$12)+IF($F1227="Bernardino Furlan",AY1227/2751.92,IF($F1227="Mauro José Salanti",AY1227/2751.92,AY1227/3356)),F1227&lt;&gt;0,SUM(L1227,Q1227,V1227,AA1227,AF1227,AK1227,AP1227,AU1227))))</f>
        <v xml:space="preserve"> </v>
      </c>
      <c r="BE1227" s="120"/>
      <c r="BF1227" s="120"/>
      <c r="BG1227" s="120"/>
    </row>
    <row r="1228" spans="1:59" s="3" customFormat="1" x14ac:dyDescent="0.3">
      <c r="A1228" s="15" t="str">
        <f t="shared" si="247"/>
        <v/>
      </c>
      <c r="B1228" s="25"/>
      <c r="C1228" s="26"/>
      <c r="D1228" s="279"/>
      <c r="E1228" s="27"/>
      <c r="F1228" s="28"/>
      <c r="G1228" s="27"/>
      <c r="H1228" s="28"/>
      <c r="I1228" s="28"/>
      <c r="J1228" s="255" t="str">
        <f>IF(H1228="","",(_xlfn.XLOOKUP(H1228,Cadastros!$D$6:$D$90,Cadastros!$E$6:$E$90))*(1-_xlfn.XLOOKUP(_xlfn.XLOOKUP($F1228,Clientes!$B$4:$B$39,Clientes!$C$4:$C$39),Cadastros!$L$6:$L$12,Cadastros!$N$6:$N$12)))</f>
        <v/>
      </c>
      <c r="K1228" s="168" t="str">
        <f t="shared" si="248"/>
        <v/>
      </c>
      <c r="L1228" s="168" t="str">
        <f>IFERROR(K1228/_xlfn.XLOOKUP(_xlfn.XLOOKUP($F1228,Clientes!$B$4:$B$39,Clientes!$C$4:$C$39),Cadastros!$L$6:$L$12,Cadastros!$M$6:$M$12)," ")</f>
        <v xml:space="preserve"> </v>
      </c>
      <c r="M1228" s="28"/>
      <c r="N1228" s="28"/>
      <c r="O1228" s="255" t="str">
        <f>IF(M1228="","",(_xlfn.XLOOKUP(M1228,Cadastros!$D$6:$D$90,Cadastros!$E$6:$E$90))*(1-_xlfn.XLOOKUP(_xlfn.XLOOKUP($F1228,Clientes!$B$4:$B$39,Clientes!$C$4:$C$39),Cadastros!$L$6:$L$12,Cadastros!$N$6:$N$12)))</f>
        <v/>
      </c>
      <c r="P1228" s="168" t="str">
        <f t="shared" si="249"/>
        <v/>
      </c>
      <c r="Q1228" s="168" t="str">
        <f>IFERROR(P1228/_xlfn.XLOOKUP(_xlfn.XLOOKUP($F1228,Clientes!$B$4:$B$39,Clientes!$C$4:$C$39),Cadastros!$L$6:$L$12,Cadastros!$M$6:$M$12)," ")</f>
        <v xml:space="preserve"> </v>
      </c>
      <c r="R1228" s="28"/>
      <c r="S1228" s="28"/>
      <c r="T1228" s="255" t="str">
        <f>IF(R1228="","",(_xlfn.XLOOKUP(R1228,Cadastros!$D$6:$D$90,Cadastros!$E$6:$E$90))*(1-_xlfn.XLOOKUP(_xlfn.XLOOKUP($F1228,Clientes!$B$4:$B$39,Clientes!$C$4:$C$39),Cadastros!$L$6:$L$12,Cadastros!$N$6:$N$12)))</f>
        <v/>
      </c>
      <c r="U1228" s="168" t="str">
        <f t="shared" si="250"/>
        <v/>
      </c>
      <c r="V1228" s="168" t="str">
        <f>IFERROR(U1228/_xlfn.XLOOKUP(_xlfn.XLOOKUP($F1228,Clientes!$B$4:$B$39,Clientes!$C$4:$C$39),Cadastros!$L$6:$L$12,Cadastros!$M$6:$M$12)," ")</f>
        <v xml:space="preserve"> </v>
      </c>
      <c r="W1228" s="28"/>
      <c r="X1228" s="28"/>
      <c r="Y1228" s="255" t="str">
        <f>IF(W1228="","",(_xlfn.XLOOKUP(W1228,Cadastros!$D$6:$D$90,Cadastros!$E$6:$E$90))*(1-_xlfn.XLOOKUP(_xlfn.XLOOKUP($F1228,Clientes!$B$4:$B$39,Clientes!$C$4:$C$39),Cadastros!$L$6:$L$12,Cadastros!$N$6:$N$12)))</f>
        <v/>
      </c>
      <c r="Z1228" s="168" t="str">
        <f t="shared" si="251"/>
        <v/>
      </c>
      <c r="AA1228" s="168" t="str">
        <f>IFERROR(Z1228/_xlfn.XLOOKUP(_xlfn.XLOOKUP($F1228,Clientes!$B$4:$B$39,Clientes!$C$4:$C$39),Cadastros!$L$6:$L$12,Cadastros!$M$6:$M$12)," ")</f>
        <v xml:space="preserve"> </v>
      </c>
      <c r="AB1228" s="28"/>
      <c r="AC1228" s="28"/>
      <c r="AD1228" s="20" t="str">
        <f>IF(AB1228="","",IF($F1228="Bernardino Furlan",_xlfn.XLOOKUP(AB1228,Cadastros!$G$6:$G$90,Cadastros!$H$6:$H$90)*(1-0.18),IF($F1228="Mauro José Salanti",_xlfn.XLOOKUP(AB1228,Cadastros!$G$6:$G$90,Cadastros!$H$6:$H$90)*(1-0.18),_xlfn.XLOOKUP(AB1228,Cadastros!$G$6:$G$90,Cadastros!$H$6:$H$90))))</f>
        <v/>
      </c>
      <c r="AE1228" s="168" t="str">
        <f t="shared" si="252"/>
        <v/>
      </c>
      <c r="AF1228" s="168" t="str">
        <f t="shared" si="253"/>
        <v/>
      </c>
      <c r="AG1228" s="28"/>
      <c r="AH1228" s="28"/>
      <c r="AI1228" s="20" t="str">
        <f>IF(AG1228="","",IF($F1228="Bernardino Furlan",_xlfn.XLOOKUP(AG1228,Cadastros!$G$6:$G$90,Cadastros!$H$6:$H$90)*(1-0.18),IF($F1228="Mauro José Salanti",_xlfn.XLOOKUP(AG1228,Cadastros!$G$6:$G$90,Cadastros!$H$6:$H$90)*(1-0.18),_xlfn.XLOOKUP(AG1228,Cadastros!$G$6:$G$90,Cadastros!$H$6:$H$90))))</f>
        <v/>
      </c>
      <c r="AJ1228" s="168" t="str">
        <f t="shared" si="254"/>
        <v/>
      </c>
      <c r="AK1228" s="168" t="str">
        <f t="shared" si="255"/>
        <v/>
      </c>
      <c r="AL1228" s="28"/>
      <c r="AM1228" s="28"/>
      <c r="AN1228" s="20" t="str">
        <f>IF(AL1228="","",IF($F1228="Bernardino Furlan",_xlfn.XLOOKUP(AL1228,Cadastros!$G$6:$G$90,Cadastros!$H$6:$H$90)*(1-0.18),IF($F1228="Mauro José Salanti",_xlfn.XLOOKUP(AL1228,Cadastros!$G$6:$G$90,Cadastros!$H$6:$H$90)*(1-0.18),_xlfn.XLOOKUP(AL1228,Cadastros!$G$6:$G$90,Cadastros!$H$6:$H$90))))</f>
        <v/>
      </c>
      <c r="AO1228" s="168" t="str">
        <f t="shared" si="256"/>
        <v/>
      </c>
      <c r="AP1228" s="168" t="str">
        <f t="shared" si="257"/>
        <v/>
      </c>
      <c r="AQ1228" s="28"/>
      <c r="AR1228" s="28"/>
      <c r="AS1228" s="20" t="str">
        <f>IF(AQ1228="","",IF($F1228="Bernardino Furlan",_xlfn.XLOOKUP(AQ1228,Cadastros!$G$6:$G$90,Cadastros!$H$6:$H$90)*(1-0.18),IF($F1228="Mauro José Salanti",_xlfn.XLOOKUP(AQ1228,Cadastros!$G$6:$G$90,Cadastros!$H$6:$H$90)*(1-0.18),_xlfn.XLOOKUP(AQ1228,Cadastros!$G$6:$G$90,Cadastros!$H$6:$H$90))))</f>
        <v/>
      </c>
      <c r="AT1228" s="168" t="str">
        <f t="shared" si="258"/>
        <v/>
      </c>
      <c r="AU1228" s="168" t="str">
        <f t="shared" si="259"/>
        <v/>
      </c>
      <c r="AV1228" s="227"/>
      <c r="AW1228" s="30"/>
      <c r="AX1228" s="267"/>
      <c r="AY1228" s="267"/>
      <c r="AZ1228" s="29"/>
      <c r="BA1228" s="30"/>
      <c r="BB1228" s="23" t="str" cm="1">
        <f t="array" ref="BB1228">_xlfn.IFS(AW1228="SIM",SUM(K1228,P1228,U1228,Z1228,AE1228,AJ1228,AO1228,AT1228,AX1228,AY1228),F1228&lt;&gt;"",SUM(K1228,P1228,U1228,Z1228,AE1228,AJ1228,,AO1228,AT1228),F1228="","")</f>
        <v/>
      </c>
      <c r="BC1228" s="211" t="str" cm="1">
        <f t="array" ref="BC1228">_xlfn.IFS(E1228="","",G1228&lt;=E1228,BB1228*(1-0.03),G1228&lt;(E1228+8),BB1228,AZ1228="Boleto",BB1228*(1+0.001)^DATEDIF(E1228,G1228,"D"),AZ1228="Cheque",BB1228,AZ1228="Dinheiro","Alterar forma pgto")</f>
        <v/>
      </c>
      <c r="BD1228" s="276" t="str" cm="1">
        <f t="array" ref="BD1228">IF(F1228=0," ",IF(BC1228&lt;BB1228,(_xlfn.IFS(AW1228="SIM",SUM(L1228,Q1228,V1228,AA1228,AF1228,AK1228,AP1228,AU1228)+AX1228/_xlfn.XLOOKUP(_xlfn.XLOOKUP($F1228,Clientes!$B$4:$B$39,Clientes!$C$4:$C$39),Cadastros!$L$6:$L$12,Cadastros!$M$6:$M$12)+IF($F1228="Bernardino Furlan",AY1228/2751.92,IF($F1228="Mauro José Salanti",AY1228/2751.92,AY1228/3356)),F1228&lt;&gt;0,SUM(L1228,Q1228,V1228,AA1228,AF1228,AK1228,AP1228,AU1228)))*(1-0.03),_xlfn.IFS(AW1228="SIM",SUM(L1228,Q1228,V1228,AA1228,AF1228,AK1228,AP1228,AU1228)+AX1228/_xlfn.XLOOKUP(_xlfn.XLOOKUP($F1228,Clientes!$B$4:$B$39,Clientes!$C$4:$C$39),Cadastros!$L$6:$L$12,Cadastros!$M$6:$M$12)+IF($F1228="Bernardino Furlan",AY1228/2751.92,IF($F1228="Mauro José Salanti",AY1228/2751.92,AY1228/3356)),F1228&lt;&gt;0,SUM(L1228,Q1228,V1228,AA1228,AF1228,AK1228,AP1228,AU1228))))</f>
        <v xml:space="preserve"> </v>
      </c>
      <c r="BE1228" s="120"/>
      <c r="BF1228" s="120"/>
      <c r="BG1228" s="120"/>
    </row>
    <row r="1229" spans="1:59" s="3" customFormat="1" x14ac:dyDescent="0.3">
      <c r="A1229" s="15" t="str">
        <f t="shared" si="247"/>
        <v/>
      </c>
      <c r="B1229" s="25"/>
      <c r="C1229" s="26"/>
      <c r="D1229" s="279"/>
      <c r="E1229" s="27"/>
      <c r="F1229" s="28"/>
      <c r="G1229" s="27"/>
      <c r="H1229" s="28"/>
      <c r="I1229" s="28"/>
      <c r="J1229" s="255" t="str">
        <f>IF(H1229="","",(_xlfn.XLOOKUP(H1229,Cadastros!$D$6:$D$90,Cadastros!$E$6:$E$90))*(1-_xlfn.XLOOKUP(_xlfn.XLOOKUP($F1229,Clientes!$B$4:$B$39,Clientes!$C$4:$C$39),Cadastros!$L$6:$L$12,Cadastros!$N$6:$N$12)))</f>
        <v/>
      </c>
      <c r="K1229" s="168" t="str">
        <f t="shared" si="248"/>
        <v/>
      </c>
      <c r="L1229" s="168" t="str">
        <f>IFERROR(K1229/_xlfn.XLOOKUP(_xlfn.XLOOKUP($F1229,Clientes!$B$4:$B$39,Clientes!$C$4:$C$39),Cadastros!$L$6:$L$12,Cadastros!$M$6:$M$12)," ")</f>
        <v xml:space="preserve"> </v>
      </c>
      <c r="M1229" s="28"/>
      <c r="N1229" s="28"/>
      <c r="O1229" s="255" t="str">
        <f>IF(M1229="","",(_xlfn.XLOOKUP(M1229,Cadastros!$D$6:$D$90,Cadastros!$E$6:$E$90))*(1-_xlfn.XLOOKUP(_xlfn.XLOOKUP($F1229,Clientes!$B$4:$B$39,Clientes!$C$4:$C$39),Cadastros!$L$6:$L$12,Cadastros!$N$6:$N$12)))</f>
        <v/>
      </c>
      <c r="P1229" s="168" t="str">
        <f t="shared" si="249"/>
        <v/>
      </c>
      <c r="Q1229" s="168" t="str">
        <f>IFERROR(P1229/_xlfn.XLOOKUP(_xlfn.XLOOKUP($F1229,Clientes!$B$4:$B$39,Clientes!$C$4:$C$39),Cadastros!$L$6:$L$12,Cadastros!$M$6:$M$12)," ")</f>
        <v xml:space="preserve"> </v>
      </c>
      <c r="R1229" s="28"/>
      <c r="S1229" s="28"/>
      <c r="T1229" s="255" t="str">
        <f>IF(R1229="","",(_xlfn.XLOOKUP(R1229,Cadastros!$D$6:$D$90,Cadastros!$E$6:$E$90))*(1-_xlfn.XLOOKUP(_xlfn.XLOOKUP($F1229,Clientes!$B$4:$B$39,Clientes!$C$4:$C$39),Cadastros!$L$6:$L$12,Cadastros!$N$6:$N$12)))</f>
        <v/>
      </c>
      <c r="U1229" s="168" t="str">
        <f t="shared" si="250"/>
        <v/>
      </c>
      <c r="V1229" s="168" t="str">
        <f>IFERROR(U1229/_xlfn.XLOOKUP(_xlfn.XLOOKUP($F1229,Clientes!$B$4:$B$39,Clientes!$C$4:$C$39),Cadastros!$L$6:$L$12,Cadastros!$M$6:$M$12)," ")</f>
        <v xml:space="preserve"> </v>
      </c>
      <c r="W1229" s="28"/>
      <c r="X1229" s="28"/>
      <c r="Y1229" s="255" t="str">
        <f>IF(W1229="","",(_xlfn.XLOOKUP(W1229,Cadastros!$D$6:$D$90,Cadastros!$E$6:$E$90))*(1-_xlfn.XLOOKUP(_xlfn.XLOOKUP($F1229,Clientes!$B$4:$B$39,Clientes!$C$4:$C$39),Cadastros!$L$6:$L$12,Cadastros!$N$6:$N$12)))</f>
        <v/>
      </c>
      <c r="Z1229" s="168" t="str">
        <f t="shared" si="251"/>
        <v/>
      </c>
      <c r="AA1229" s="168" t="str">
        <f>IFERROR(Z1229/_xlfn.XLOOKUP(_xlfn.XLOOKUP($F1229,Clientes!$B$4:$B$39,Clientes!$C$4:$C$39),Cadastros!$L$6:$L$12,Cadastros!$M$6:$M$12)," ")</f>
        <v xml:space="preserve"> </v>
      </c>
      <c r="AB1229" s="28"/>
      <c r="AC1229" s="28"/>
      <c r="AD1229" s="20" t="str">
        <f>IF(AB1229="","",IF($F1229="Bernardino Furlan",_xlfn.XLOOKUP(AB1229,Cadastros!$G$6:$G$90,Cadastros!$H$6:$H$90)*(1-0.18),IF($F1229="Mauro José Salanti",_xlfn.XLOOKUP(AB1229,Cadastros!$G$6:$G$90,Cadastros!$H$6:$H$90)*(1-0.18),_xlfn.XLOOKUP(AB1229,Cadastros!$G$6:$G$90,Cadastros!$H$6:$H$90))))</f>
        <v/>
      </c>
      <c r="AE1229" s="168" t="str">
        <f t="shared" si="252"/>
        <v/>
      </c>
      <c r="AF1229" s="168" t="str">
        <f t="shared" si="253"/>
        <v/>
      </c>
      <c r="AG1229" s="28"/>
      <c r="AH1229" s="28"/>
      <c r="AI1229" s="20" t="str">
        <f>IF(AG1229="","",IF($F1229="Bernardino Furlan",_xlfn.XLOOKUP(AG1229,Cadastros!$G$6:$G$90,Cadastros!$H$6:$H$90)*(1-0.18),IF($F1229="Mauro José Salanti",_xlfn.XLOOKUP(AG1229,Cadastros!$G$6:$G$90,Cadastros!$H$6:$H$90)*(1-0.18),_xlfn.XLOOKUP(AG1229,Cadastros!$G$6:$G$90,Cadastros!$H$6:$H$90))))</f>
        <v/>
      </c>
      <c r="AJ1229" s="168" t="str">
        <f t="shared" si="254"/>
        <v/>
      </c>
      <c r="AK1229" s="168" t="str">
        <f t="shared" si="255"/>
        <v/>
      </c>
      <c r="AL1229" s="28"/>
      <c r="AM1229" s="28"/>
      <c r="AN1229" s="20" t="str">
        <f>IF(AL1229="","",IF($F1229="Bernardino Furlan",_xlfn.XLOOKUP(AL1229,Cadastros!$G$6:$G$90,Cadastros!$H$6:$H$90)*(1-0.18),IF($F1229="Mauro José Salanti",_xlfn.XLOOKUP(AL1229,Cadastros!$G$6:$G$90,Cadastros!$H$6:$H$90)*(1-0.18),_xlfn.XLOOKUP(AL1229,Cadastros!$G$6:$G$90,Cadastros!$H$6:$H$90))))</f>
        <v/>
      </c>
      <c r="AO1229" s="168" t="str">
        <f t="shared" si="256"/>
        <v/>
      </c>
      <c r="AP1229" s="168" t="str">
        <f t="shared" si="257"/>
        <v/>
      </c>
      <c r="AQ1229" s="28"/>
      <c r="AR1229" s="28"/>
      <c r="AS1229" s="20" t="str">
        <f>IF(AQ1229="","",IF($F1229="Bernardino Furlan",_xlfn.XLOOKUP(AQ1229,Cadastros!$G$6:$G$90,Cadastros!$H$6:$H$90)*(1-0.18),IF($F1229="Mauro José Salanti",_xlfn.XLOOKUP(AQ1229,Cadastros!$G$6:$G$90,Cadastros!$H$6:$H$90)*(1-0.18),_xlfn.XLOOKUP(AQ1229,Cadastros!$G$6:$G$90,Cadastros!$H$6:$H$90))))</f>
        <v/>
      </c>
      <c r="AT1229" s="168" t="str">
        <f t="shared" si="258"/>
        <v/>
      </c>
      <c r="AU1229" s="168" t="str">
        <f t="shared" si="259"/>
        <v/>
      </c>
      <c r="AV1229" s="227"/>
      <c r="AW1229" s="30"/>
      <c r="AX1229" s="267"/>
      <c r="AY1229" s="267"/>
      <c r="AZ1229" s="29"/>
      <c r="BA1229" s="30"/>
      <c r="BB1229" s="23" t="str" cm="1">
        <f t="array" ref="BB1229">_xlfn.IFS(AW1229="SIM",SUM(K1229,P1229,U1229,Z1229,AE1229,AJ1229,AO1229,AT1229,AX1229,AY1229),F1229&lt;&gt;"",SUM(K1229,P1229,U1229,Z1229,AE1229,AJ1229,,AO1229,AT1229),F1229="","")</f>
        <v/>
      </c>
      <c r="BC1229" s="211" t="str" cm="1">
        <f t="array" ref="BC1229">_xlfn.IFS(E1229="","",G1229&lt;=E1229,BB1229*(1-0.03),G1229&lt;(E1229+8),BB1229,AZ1229="Boleto",BB1229*(1+0.001)^DATEDIF(E1229,G1229,"D"),AZ1229="Cheque",BB1229,AZ1229="Dinheiro","Alterar forma pgto")</f>
        <v/>
      </c>
      <c r="BD1229" s="276" t="str" cm="1">
        <f t="array" ref="BD1229">IF(F1229=0," ",IF(BC1229&lt;BB1229,(_xlfn.IFS(AW1229="SIM",SUM(L1229,Q1229,V1229,AA1229,AF1229,AK1229,AP1229,AU1229)+AX1229/_xlfn.XLOOKUP(_xlfn.XLOOKUP($F1229,Clientes!$B$4:$B$39,Clientes!$C$4:$C$39),Cadastros!$L$6:$L$12,Cadastros!$M$6:$M$12)+IF($F1229="Bernardino Furlan",AY1229/2751.92,IF($F1229="Mauro José Salanti",AY1229/2751.92,AY1229/3356)),F1229&lt;&gt;0,SUM(L1229,Q1229,V1229,AA1229,AF1229,AK1229,AP1229,AU1229)))*(1-0.03),_xlfn.IFS(AW1229="SIM",SUM(L1229,Q1229,V1229,AA1229,AF1229,AK1229,AP1229,AU1229)+AX1229/_xlfn.XLOOKUP(_xlfn.XLOOKUP($F1229,Clientes!$B$4:$B$39,Clientes!$C$4:$C$39),Cadastros!$L$6:$L$12,Cadastros!$M$6:$M$12)+IF($F1229="Bernardino Furlan",AY1229/2751.92,IF($F1229="Mauro José Salanti",AY1229/2751.92,AY1229/3356)),F1229&lt;&gt;0,SUM(L1229,Q1229,V1229,AA1229,AF1229,AK1229,AP1229,AU1229))))</f>
        <v xml:space="preserve"> </v>
      </c>
      <c r="BE1229" s="120"/>
      <c r="BF1229" s="120"/>
      <c r="BG1229" s="120"/>
    </row>
    <row r="1230" spans="1:59" s="3" customFormat="1" x14ac:dyDescent="0.3">
      <c r="A1230" s="15" t="str">
        <f t="shared" si="247"/>
        <v/>
      </c>
      <c r="B1230" s="25"/>
      <c r="C1230" s="26"/>
      <c r="D1230" s="279"/>
      <c r="E1230" s="27"/>
      <c r="F1230" s="28"/>
      <c r="G1230" s="27"/>
      <c r="H1230" s="28"/>
      <c r="I1230" s="28"/>
      <c r="J1230" s="255" t="str">
        <f>IF(H1230="","",(_xlfn.XLOOKUP(H1230,Cadastros!$D$6:$D$90,Cadastros!$E$6:$E$90))*(1-_xlfn.XLOOKUP(_xlfn.XLOOKUP($F1230,Clientes!$B$4:$B$39,Clientes!$C$4:$C$39),Cadastros!$L$6:$L$12,Cadastros!$N$6:$N$12)))</f>
        <v/>
      </c>
      <c r="K1230" s="168" t="str">
        <f t="shared" si="248"/>
        <v/>
      </c>
      <c r="L1230" s="168" t="str">
        <f>IFERROR(K1230/_xlfn.XLOOKUP(_xlfn.XLOOKUP($F1230,Clientes!$B$4:$B$39,Clientes!$C$4:$C$39),Cadastros!$L$6:$L$12,Cadastros!$M$6:$M$12)," ")</f>
        <v xml:space="preserve"> </v>
      </c>
      <c r="M1230" s="28"/>
      <c r="N1230" s="28"/>
      <c r="O1230" s="255" t="str">
        <f>IF(M1230="","",(_xlfn.XLOOKUP(M1230,Cadastros!$D$6:$D$90,Cadastros!$E$6:$E$90))*(1-_xlfn.XLOOKUP(_xlfn.XLOOKUP($F1230,Clientes!$B$4:$B$39,Clientes!$C$4:$C$39),Cadastros!$L$6:$L$12,Cadastros!$N$6:$N$12)))</f>
        <v/>
      </c>
      <c r="P1230" s="168" t="str">
        <f t="shared" si="249"/>
        <v/>
      </c>
      <c r="Q1230" s="168" t="str">
        <f>IFERROR(P1230/_xlfn.XLOOKUP(_xlfn.XLOOKUP($F1230,Clientes!$B$4:$B$39,Clientes!$C$4:$C$39),Cadastros!$L$6:$L$12,Cadastros!$M$6:$M$12)," ")</f>
        <v xml:space="preserve"> </v>
      </c>
      <c r="R1230" s="28"/>
      <c r="S1230" s="28"/>
      <c r="T1230" s="255" t="str">
        <f>IF(R1230="","",(_xlfn.XLOOKUP(R1230,Cadastros!$D$6:$D$90,Cadastros!$E$6:$E$90))*(1-_xlfn.XLOOKUP(_xlfn.XLOOKUP($F1230,Clientes!$B$4:$B$39,Clientes!$C$4:$C$39),Cadastros!$L$6:$L$12,Cadastros!$N$6:$N$12)))</f>
        <v/>
      </c>
      <c r="U1230" s="168" t="str">
        <f t="shared" si="250"/>
        <v/>
      </c>
      <c r="V1230" s="168" t="str">
        <f>IFERROR(U1230/_xlfn.XLOOKUP(_xlfn.XLOOKUP($F1230,Clientes!$B$4:$B$39,Clientes!$C$4:$C$39),Cadastros!$L$6:$L$12,Cadastros!$M$6:$M$12)," ")</f>
        <v xml:space="preserve"> </v>
      </c>
      <c r="W1230" s="28"/>
      <c r="X1230" s="28"/>
      <c r="Y1230" s="255" t="str">
        <f>IF(W1230="","",(_xlfn.XLOOKUP(W1230,Cadastros!$D$6:$D$90,Cadastros!$E$6:$E$90))*(1-_xlfn.XLOOKUP(_xlfn.XLOOKUP($F1230,Clientes!$B$4:$B$39,Clientes!$C$4:$C$39),Cadastros!$L$6:$L$12,Cadastros!$N$6:$N$12)))</f>
        <v/>
      </c>
      <c r="Z1230" s="168" t="str">
        <f t="shared" si="251"/>
        <v/>
      </c>
      <c r="AA1230" s="168" t="str">
        <f>IFERROR(Z1230/_xlfn.XLOOKUP(_xlfn.XLOOKUP($F1230,Clientes!$B$4:$B$39,Clientes!$C$4:$C$39),Cadastros!$L$6:$L$12,Cadastros!$M$6:$M$12)," ")</f>
        <v xml:space="preserve"> </v>
      </c>
      <c r="AB1230" s="28"/>
      <c r="AC1230" s="28"/>
      <c r="AD1230" s="20" t="str">
        <f>IF(AB1230="","",IF($F1230="Bernardino Furlan",_xlfn.XLOOKUP(AB1230,Cadastros!$G$6:$G$90,Cadastros!$H$6:$H$90)*(1-0.18),IF($F1230="Mauro José Salanti",_xlfn.XLOOKUP(AB1230,Cadastros!$G$6:$G$90,Cadastros!$H$6:$H$90)*(1-0.18),_xlfn.XLOOKUP(AB1230,Cadastros!$G$6:$G$90,Cadastros!$H$6:$H$90))))</f>
        <v/>
      </c>
      <c r="AE1230" s="168" t="str">
        <f t="shared" si="252"/>
        <v/>
      </c>
      <c r="AF1230" s="168" t="str">
        <f t="shared" si="253"/>
        <v/>
      </c>
      <c r="AG1230" s="28"/>
      <c r="AH1230" s="28"/>
      <c r="AI1230" s="20" t="str">
        <f>IF(AG1230="","",IF($F1230="Bernardino Furlan",_xlfn.XLOOKUP(AG1230,Cadastros!$G$6:$G$90,Cadastros!$H$6:$H$90)*(1-0.18),IF($F1230="Mauro José Salanti",_xlfn.XLOOKUP(AG1230,Cadastros!$G$6:$G$90,Cadastros!$H$6:$H$90)*(1-0.18),_xlfn.XLOOKUP(AG1230,Cadastros!$G$6:$G$90,Cadastros!$H$6:$H$90))))</f>
        <v/>
      </c>
      <c r="AJ1230" s="168" t="str">
        <f t="shared" si="254"/>
        <v/>
      </c>
      <c r="AK1230" s="168" t="str">
        <f t="shared" si="255"/>
        <v/>
      </c>
      <c r="AL1230" s="28"/>
      <c r="AM1230" s="28"/>
      <c r="AN1230" s="20" t="str">
        <f>IF(AL1230="","",IF($F1230="Bernardino Furlan",_xlfn.XLOOKUP(AL1230,Cadastros!$G$6:$G$90,Cadastros!$H$6:$H$90)*(1-0.18),IF($F1230="Mauro José Salanti",_xlfn.XLOOKUP(AL1230,Cadastros!$G$6:$G$90,Cadastros!$H$6:$H$90)*(1-0.18),_xlfn.XLOOKUP(AL1230,Cadastros!$G$6:$G$90,Cadastros!$H$6:$H$90))))</f>
        <v/>
      </c>
      <c r="AO1230" s="168" t="str">
        <f t="shared" si="256"/>
        <v/>
      </c>
      <c r="AP1230" s="168" t="str">
        <f t="shared" si="257"/>
        <v/>
      </c>
      <c r="AQ1230" s="28"/>
      <c r="AR1230" s="28"/>
      <c r="AS1230" s="20" t="str">
        <f>IF(AQ1230="","",IF($F1230="Bernardino Furlan",_xlfn.XLOOKUP(AQ1230,Cadastros!$G$6:$G$90,Cadastros!$H$6:$H$90)*(1-0.18),IF($F1230="Mauro José Salanti",_xlfn.XLOOKUP(AQ1230,Cadastros!$G$6:$G$90,Cadastros!$H$6:$H$90)*(1-0.18),_xlfn.XLOOKUP(AQ1230,Cadastros!$G$6:$G$90,Cadastros!$H$6:$H$90))))</f>
        <v/>
      </c>
      <c r="AT1230" s="168" t="str">
        <f t="shared" si="258"/>
        <v/>
      </c>
      <c r="AU1230" s="168" t="str">
        <f t="shared" si="259"/>
        <v/>
      </c>
      <c r="AV1230" s="227"/>
      <c r="AW1230" s="30"/>
      <c r="AX1230" s="267"/>
      <c r="AY1230" s="267"/>
      <c r="AZ1230" s="29"/>
      <c r="BA1230" s="30"/>
      <c r="BB1230" s="23" t="str" cm="1">
        <f t="array" ref="BB1230">_xlfn.IFS(AW1230="SIM",SUM(K1230,P1230,U1230,Z1230,AE1230,AJ1230,AO1230,AT1230,AX1230,AY1230),F1230&lt;&gt;"",SUM(K1230,P1230,U1230,Z1230,AE1230,AJ1230,,AO1230,AT1230),F1230="","")</f>
        <v/>
      </c>
      <c r="BC1230" s="211" t="str" cm="1">
        <f t="array" ref="BC1230">_xlfn.IFS(E1230="","",G1230&lt;=E1230,BB1230*(1-0.03),G1230&lt;(E1230+8),BB1230,AZ1230="Boleto",BB1230*(1+0.001)^DATEDIF(E1230,G1230,"D"),AZ1230="Cheque",BB1230,AZ1230="Dinheiro","Alterar forma pgto")</f>
        <v/>
      </c>
      <c r="BD1230" s="276" t="str" cm="1">
        <f t="array" ref="BD1230">IF(F1230=0," ",IF(BC1230&lt;BB1230,(_xlfn.IFS(AW1230="SIM",SUM(L1230,Q1230,V1230,AA1230,AF1230,AK1230,AP1230,AU1230)+AX1230/_xlfn.XLOOKUP(_xlfn.XLOOKUP($F1230,Clientes!$B$4:$B$39,Clientes!$C$4:$C$39),Cadastros!$L$6:$L$12,Cadastros!$M$6:$M$12)+IF($F1230="Bernardino Furlan",AY1230/2751.92,IF($F1230="Mauro José Salanti",AY1230/2751.92,AY1230/3356)),F1230&lt;&gt;0,SUM(L1230,Q1230,V1230,AA1230,AF1230,AK1230,AP1230,AU1230)))*(1-0.03),_xlfn.IFS(AW1230="SIM",SUM(L1230,Q1230,V1230,AA1230,AF1230,AK1230,AP1230,AU1230)+AX1230/_xlfn.XLOOKUP(_xlfn.XLOOKUP($F1230,Clientes!$B$4:$B$39,Clientes!$C$4:$C$39),Cadastros!$L$6:$L$12,Cadastros!$M$6:$M$12)+IF($F1230="Bernardino Furlan",AY1230/2751.92,IF($F1230="Mauro José Salanti",AY1230/2751.92,AY1230/3356)),F1230&lt;&gt;0,SUM(L1230,Q1230,V1230,AA1230,AF1230,AK1230,AP1230,AU1230))))</f>
        <v xml:space="preserve"> </v>
      </c>
      <c r="BE1230" s="120"/>
      <c r="BF1230" s="120"/>
      <c r="BG1230" s="120"/>
    </row>
    <row r="1231" spans="1:59" s="3" customFormat="1" x14ac:dyDescent="0.3">
      <c r="A1231" s="15" t="str">
        <f t="shared" si="247"/>
        <v/>
      </c>
      <c r="B1231" s="25"/>
      <c r="C1231" s="26"/>
      <c r="D1231" s="279"/>
      <c r="E1231" s="27"/>
      <c r="F1231" s="28"/>
      <c r="G1231" s="27"/>
      <c r="H1231" s="28"/>
      <c r="I1231" s="28"/>
      <c r="J1231" s="255" t="str">
        <f>IF(H1231="","",(_xlfn.XLOOKUP(H1231,Cadastros!$D$6:$D$90,Cadastros!$E$6:$E$90))*(1-_xlfn.XLOOKUP(_xlfn.XLOOKUP($F1231,Clientes!$B$4:$B$39,Clientes!$C$4:$C$39),Cadastros!$L$6:$L$12,Cadastros!$N$6:$N$12)))</f>
        <v/>
      </c>
      <c r="K1231" s="168" t="str">
        <f t="shared" si="248"/>
        <v/>
      </c>
      <c r="L1231" s="168" t="str">
        <f>IFERROR(K1231/_xlfn.XLOOKUP(_xlfn.XLOOKUP($F1231,Clientes!$B$4:$B$39,Clientes!$C$4:$C$39),Cadastros!$L$6:$L$12,Cadastros!$M$6:$M$12)," ")</f>
        <v xml:space="preserve"> </v>
      </c>
      <c r="M1231" s="28"/>
      <c r="N1231" s="28"/>
      <c r="O1231" s="255" t="str">
        <f>IF(M1231="","",(_xlfn.XLOOKUP(M1231,Cadastros!$D$6:$D$90,Cadastros!$E$6:$E$90))*(1-_xlfn.XLOOKUP(_xlfn.XLOOKUP($F1231,Clientes!$B$4:$B$39,Clientes!$C$4:$C$39),Cadastros!$L$6:$L$12,Cadastros!$N$6:$N$12)))</f>
        <v/>
      </c>
      <c r="P1231" s="168" t="str">
        <f t="shared" si="249"/>
        <v/>
      </c>
      <c r="Q1231" s="168" t="str">
        <f>IFERROR(P1231/_xlfn.XLOOKUP(_xlfn.XLOOKUP($F1231,Clientes!$B$4:$B$39,Clientes!$C$4:$C$39),Cadastros!$L$6:$L$12,Cadastros!$M$6:$M$12)," ")</f>
        <v xml:space="preserve"> </v>
      </c>
      <c r="R1231" s="28"/>
      <c r="S1231" s="28"/>
      <c r="T1231" s="255" t="str">
        <f>IF(R1231="","",(_xlfn.XLOOKUP(R1231,Cadastros!$D$6:$D$90,Cadastros!$E$6:$E$90))*(1-_xlfn.XLOOKUP(_xlfn.XLOOKUP($F1231,Clientes!$B$4:$B$39,Clientes!$C$4:$C$39),Cadastros!$L$6:$L$12,Cadastros!$N$6:$N$12)))</f>
        <v/>
      </c>
      <c r="U1231" s="168" t="str">
        <f t="shared" si="250"/>
        <v/>
      </c>
      <c r="V1231" s="168" t="str">
        <f>IFERROR(U1231/_xlfn.XLOOKUP(_xlfn.XLOOKUP($F1231,Clientes!$B$4:$B$39,Clientes!$C$4:$C$39),Cadastros!$L$6:$L$12,Cadastros!$M$6:$M$12)," ")</f>
        <v xml:space="preserve"> </v>
      </c>
      <c r="W1231" s="28"/>
      <c r="X1231" s="28"/>
      <c r="Y1231" s="255" t="str">
        <f>IF(W1231="","",(_xlfn.XLOOKUP(W1231,Cadastros!$D$6:$D$90,Cadastros!$E$6:$E$90))*(1-_xlfn.XLOOKUP(_xlfn.XLOOKUP($F1231,Clientes!$B$4:$B$39,Clientes!$C$4:$C$39),Cadastros!$L$6:$L$12,Cadastros!$N$6:$N$12)))</f>
        <v/>
      </c>
      <c r="Z1231" s="168" t="str">
        <f t="shared" si="251"/>
        <v/>
      </c>
      <c r="AA1231" s="168" t="str">
        <f>IFERROR(Z1231/_xlfn.XLOOKUP(_xlfn.XLOOKUP($F1231,Clientes!$B$4:$B$39,Clientes!$C$4:$C$39),Cadastros!$L$6:$L$12,Cadastros!$M$6:$M$12)," ")</f>
        <v xml:space="preserve"> </v>
      </c>
      <c r="AB1231" s="28"/>
      <c r="AC1231" s="28"/>
      <c r="AD1231" s="20" t="str">
        <f>IF(AB1231="","",IF($F1231="Bernardino Furlan",_xlfn.XLOOKUP(AB1231,Cadastros!$G$6:$G$90,Cadastros!$H$6:$H$90)*(1-0.18),IF($F1231="Mauro José Salanti",_xlfn.XLOOKUP(AB1231,Cadastros!$G$6:$G$90,Cadastros!$H$6:$H$90)*(1-0.18),_xlfn.XLOOKUP(AB1231,Cadastros!$G$6:$G$90,Cadastros!$H$6:$H$90))))</f>
        <v/>
      </c>
      <c r="AE1231" s="168" t="str">
        <f t="shared" si="252"/>
        <v/>
      </c>
      <c r="AF1231" s="168" t="str">
        <f t="shared" si="253"/>
        <v/>
      </c>
      <c r="AG1231" s="28"/>
      <c r="AH1231" s="28"/>
      <c r="AI1231" s="20" t="str">
        <f>IF(AG1231="","",IF($F1231="Bernardino Furlan",_xlfn.XLOOKUP(AG1231,Cadastros!$G$6:$G$90,Cadastros!$H$6:$H$90)*(1-0.18),IF($F1231="Mauro José Salanti",_xlfn.XLOOKUP(AG1231,Cadastros!$G$6:$G$90,Cadastros!$H$6:$H$90)*(1-0.18),_xlfn.XLOOKUP(AG1231,Cadastros!$G$6:$G$90,Cadastros!$H$6:$H$90))))</f>
        <v/>
      </c>
      <c r="AJ1231" s="168" t="str">
        <f t="shared" si="254"/>
        <v/>
      </c>
      <c r="AK1231" s="168" t="str">
        <f t="shared" si="255"/>
        <v/>
      </c>
      <c r="AL1231" s="28"/>
      <c r="AM1231" s="28"/>
      <c r="AN1231" s="20" t="str">
        <f>IF(AL1231="","",IF($F1231="Bernardino Furlan",_xlfn.XLOOKUP(AL1231,Cadastros!$G$6:$G$90,Cadastros!$H$6:$H$90)*(1-0.18),IF($F1231="Mauro José Salanti",_xlfn.XLOOKUP(AL1231,Cadastros!$G$6:$G$90,Cadastros!$H$6:$H$90)*(1-0.18),_xlfn.XLOOKUP(AL1231,Cadastros!$G$6:$G$90,Cadastros!$H$6:$H$90))))</f>
        <v/>
      </c>
      <c r="AO1231" s="168" t="str">
        <f t="shared" si="256"/>
        <v/>
      </c>
      <c r="AP1231" s="168" t="str">
        <f t="shared" si="257"/>
        <v/>
      </c>
      <c r="AQ1231" s="28"/>
      <c r="AR1231" s="28"/>
      <c r="AS1231" s="20" t="str">
        <f>IF(AQ1231="","",IF($F1231="Bernardino Furlan",_xlfn.XLOOKUP(AQ1231,Cadastros!$G$6:$G$90,Cadastros!$H$6:$H$90)*(1-0.18),IF($F1231="Mauro José Salanti",_xlfn.XLOOKUP(AQ1231,Cadastros!$G$6:$G$90,Cadastros!$H$6:$H$90)*(1-0.18),_xlfn.XLOOKUP(AQ1231,Cadastros!$G$6:$G$90,Cadastros!$H$6:$H$90))))</f>
        <v/>
      </c>
      <c r="AT1231" s="168" t="str">
        <f t="shared" si="258"/>
        <v/>
      </c>
      <c r="AU1231" s="168" t="str">
        <f t="shared" si="259"/>
        <v/>
      </c>
      <c r="AV1231" s="227"/>
      <c r="AW1231" s="30"/>
      <c r="AX1231" s="267"/>
      <c r="AY1231" s="267"/>
      <c r="AZ1231" s="29"/>
      <c r="BA1231" s="30"/>
      <c r="BB1231" s="23" t="str" cm="1">
        <f t="array" ref="BB1231">_xlfn.IFS(AW1231="SIM",SUM(K1231,P1231,U1231,Z1231,AE1231,AJ1231,AO1231,AT1231,AX1231,AY1231),F1231&lt;&gt;"",SUM(K1231,P1231,U1231,Z1231,AE1231,AJ1231,,AO1231,AT1231),F1231="","")</f>
        <v/>
      </c>
      <c r="BC1231" s="211" t="str" cm="1">
        <f t="array" ref="BC1231">_xlfn.IFS(E1231="","",G1231&lt;=E1231,BB1231*(1-0.03),G1231&lt;(E1231+8),BB1231,AZ1231="Boleto",BB1231*(1+0.001)^DATEDIF(E1231,G1231,"D"),AZ1231="Cheque",BB1231,AZ1231="Dinheiro","Alterar forma pgto")</f>
        <v/>
      </c>
      <c r="BD1231" s="276" t="str" cm="1">
        <f t="array" ref="BD1231">IF(F1231=0," ",IF(BC1231&lt;BB1231,(_xlfn.IFS(AW1231="SIM",SUM(L1231,Q1231,V1231,AA1231,AF1231,AK1231,AP1231,AU1231)+AX1231/_xlfn.XLOOKUP(_xlfn.XLOOKUP($F1231,Clientes!$B$4:$B$39,Clientes!$C$4:$C$39),Cadastros!$L$6:$L$12,Cadastros!$M$6:$M$12)+IF($F1231="Bernardino Furlan",AY1231/2751.92,IF($F1231="Mauro José Salanti",AY1231/2751.92,AY1231/3356)),F1231&lt;&gt;0,SUM(L1231,Q1231,V1231,AA1231,AF1231,AK1231,AP1231,AU1231)))*(1-0.03),_xlfn.IFS(AW1231="SIM",SUM(L1231,Q1231,V1231,AA1231,AF1231,AK1231,AP1231,AU1231)+AX1231/_xlfn.XLOOKUP(_xlfn.XLOOKUP($F1231,Clientes!$B$4:$B$39,Clientes!$C$4:$C$39),Cadastros!$L$6:$L$12,Cadastros!$M$6:$M$12)+IF($F1231="Bernardino Furlan",AY1231/2751.92,IF($F1231="Mauro José Salanti",AY1231/2751.92,AY1231/3356)),F1231&lt;&gt;0,SUM(L1231,Q1231,V1231,AA1231,AF1231,AK1231,AP1231,AU1231))))</f>
        <v xml:space="preserve"> </v>
      </c>
      <c r="BE1231" s="120"/>
      <c r="BF1231" s="120"/>
      <c r="BG1231" s="120"/>
    </row>
    <row r="1232" spans="1:59" s="3" customFormat="1" x14ac:dyDescent="0.3">
      <c r="A1232" s="15" t="str">
        <f t="shared" si="247"/>
        <v/>
      </c>
      <c r="B1232" s="25"/>
      <c r="C1232" s="26"/>
      <c r="D1232" s="279"/>
      <c r="E1232" s="27"/>
      <c r="F1232" s="28"/>
      <c r="G1232" s="27"/>
      <c r="H1232" s="28"/>
      <c r="I1232" s="28"/>
      <c r="J1232" s="255" t="str">
        <f>IF(H1232="","",(_xlfn.XLOOKUP(H1232,Cadastros!$D$6:$D$90,Cadastros!$E$6:$E$90))*(1-_xlfn.XLOOKUP(_xlfn.XLOOKUP($F1232,Clientes!$B$4:$B$39,Clientes!$C$4:$C$39),Cadastros!$L$6:$L$12,Cadastros!$N$6:$N$12)))</f>
        <v/>
      </c>
      <c r="K1232" s="168" t="str">
        <f t="shared" si="248"/>
        <v/>
      </c>
      <c r="L1232" s="168" t="str">
        <f>IFERROR(K1232/_xlfn.XLOOKUP(_xlfn.XLOOKUP($F1232,Clientes!$B$4:$B$39,Clientes!$C$4:$C$39),Cadastros!$L$6:$L$12,Cadastros!$M$6:$M$12)," ")</f>
        <v xml:space="preserve"> </v>
      </c>
      <c r="M1232" s="28"/>
      <c r="N1232" s="28"/>
      <c r="O1232" s="255" t="str">
        <f>IF(M1232="","",(_xlfn.XLOOKUP(M1232,Cadastros!$D$6:$D$90,Cadastros!$E$6:$E$90))*(1-_xlfn.XLOOKUP(_xlfn.XLOOKUP($F1232,Clientes!$B$4:$B$39,Clientes!$C$4:$C$39),Cadastros!$L$6:$L$12,Cadastros!$N$6:$N$12)))</f>
        <v/>
      </c>
      <c r="P1232" s="168" t="str">
        <f t="shared" si="249"/>
        <v/>
      </c>
      <c r="Q1232" s="168" t="str">
        <f>IFERROR(P1232/_xlfn.XLOOKUP(_xlfn.XLOOKUP($F1232,Clientes!$B$4:$B$39,Clientes!$C$4:$C$39),Cadastros!$L$6:$L$12,Cadastros!$M$6:$M$12)," ")</f>
        <v xml:space="preserve"> </v>
      </c>
      <c r="R1232" s="28"/>
      <c r="S1232" s="28"/>
      <c r="T1232" s="255" t="str">
        <f>IF(R1232="","",(_xlfn.XLOOKUP(R1232,Cadastros!$D$6:$D$90,Cadastros!$E$6:$E$90))*(1-_xlfn.XLOOKUP(_xlfn.XLOOKUP($F1232,Clientes!$B$4:$B$39,Clientes!$C$4:$C$39),Cadastros!$L$6:$L$12,Cadastros!$N$6:$N$12)))</f>
        <v/>
      </c>
      <c r="U1232" s="168" t="str">
        <f t="shared" si="250"/>
        <v/>
      </c>
      <c r="V1232" s="168" t="str">
        <f>IFERROR(U1232/_xlfn.XLOOKUP(_xlfn.XLOOKUP($F1232,Clientes!$B$4:$B$39,Clientes!$C$4:$C$39),Cadastros!$L$6:$L$12,Cadastros!$M$6:$M$12)," ")</f>
        <v xml:space="preserve"> </v>
      </c>
      <c r="W1232" s="28"/>
      <c r="X1232" s="28"/>
      <c r="Y1232" s="255" t="str">
        <f>IF(W1232="","",(_xlfn.XLOOKUP(W1232,Cadastros!$D$6:$D$90,Cadastros!$E$6:$E$90))*(1-_xlfn.XLOOKUP(_xlfn.XLOOKUP($F1232,Clientes!$B$4:$B$39,Clientes!$C$4:$C$39),Cadastros!$L$6:$L$12,Cadastros!$N$6:$N$12)))</f>
        <v/>
      </c>
      <c r="Z1232" s="168" t="str">
        <f t="shared" si="251"/>
        <v/>
      </c>
      <c r="AA1232" s="168" t="str">
        <f>IFERROR(Z1232/_xlfn.XLOOKUP(_xlfn.XLOOKUP($F1232,Clientes!$B$4:$B$39,Clientes!$C$4:$C$39),Cadastros!$L$6:$L$12,Cadastros!$M$6:$M$12)," ")</f>
        <v xml:space="preserve"> </v>
      </c>
      <c r="AB1232" s="28"/>
      <c r="AC1232" s="28"/>
      <c r="AD1232" s="20" t="str">
        <f>IF(AB1232="","",IF($F1232="Bernardino Furlan",_xlfn.XLOOKUP(AB1232,Cadastros!$G$6:$G$90,Cadastros!$H$6:$H$90)*(1-0.18),IF($F1232="Mauro José Salanti",_xlfn.XLOOKUP(AB1232,Cadastros!$G$6:$G$90,Cadastros!$H$6:$H$90)*(1-0.18),_xlfn.XLOOKUP(AB1232,Cadastros!$G$6:$G$90,Cadastros!$H$6:$H$90))))</f>
        <v/>
      </c>
      <c r="AE1232" s="168" t="str">
        <f t="shared" si="252"/>
        <v/>
      </c>
      <c r="AF1232" s="168" t="str">
        <f t="shared" si="253"/>
        <v/>
      </c>
      <c r="AG1232" s="28"/>
      <c r="AH1232" s="28"/>
      <c r="AI1232" s="20" t="str">
        <f>IF(AG1232="","",IF($F1232="Bernardino Furlan",_xlfn.XLOOKUP(AG1232,Cadastros!$G$6:$G$90,Cadastros!$H$6:$H$90)*(1-0.18),IF($F1232="Mauro José Salanti",_xlfn.XLOOKUP(AG1232,Cadastros!$G$6:$G$90,Cadastros!$H$6:$H$90)*(1-0.18),_xlfn.XLOOKUP(AG1232,Cadastros!$G$6:$G$90,Cadastros!$H$6:$H$90))))</f>
        <v/>
      </c>
      <c r="AJ1232" s="168" t="str">
        <f t="shared" si="254"/>
        <v/>
      </c>
      <c r="AK1232" s="168" t="str">
        <f t="shared" si="255"/>
        <v/>
      </c>
      <c r="AL1232" s="28"/>
      <c r="AM1232" s="28"/>
      <c r="AN1232" s="20" t="str">
        <f>IF(AL1232="","",IF($F1232="Bernardino Furlan",_xlfn.XLOOKUP(AL1232,Cadastros!$G$6:$G$90,Cadastros!$H$6:$H$90)*(1-0.18),IF($F1232="Mauro José Salanti",_xlfn.XLOOKUP(AL1232,Cadastros!$G$6:$G$90,Cadastros!$H$6:$H$90)*(1-0.18),_xlfn.XLOOKUP(AL1232,Cadastros!$G$6:$G$90,Cadastros!$H$6:$H$90))))</f>
        <v/>
      </c>
      <c r="AO1232" s="168" t="str">
        <f t="shared" si="256"/>
        <v/>
      </c>
      <c r="AP1232" s="168" t="str">
        <f t="shared" si="257"/>
        <v/>
      </c>
      <c r="AQ1232" s="28"/>
      <c r="AR1232" s="28"/>
      <c r="AS1232" s="20" t="str">
        <f>IF(AQ1232="","",IF($F1232="Bernardino Furlan",_xlfn.XLOOKUP(AQ1232,Cadastros!$G$6:$G$90,Cadastros!$H$6:$H$90)*(1-0.18),IF($F1232="Mauro José Salanti",_xlfn.XLOOKUP(AQ1232,Cadastros!$G$6:$G$90,Cadastros!$H$6:$H$90)*(1-0.18),_xlfn.XLOOKUP(AQ1232,Cadastros!$G$6:$G$90,Cadastros!$H$6:$H$90))))</f>
        <v/>
      </c>
      <c r="AT1232" s="168" t="str">
        <f t="shared" si="258"/>
        <v/>
      </c>
      <c r="AU1232" s="168" t="str">
        <f t="shared" si="259"/>
        <v/>
      </c>
      <c r="AV1232" s="227"/>
      <c r="AW1232" s="30"/>
      <c r="AX1232" s="267"/>
      <c r="AY1232" s="267"/>
      <c r="AZ1232" s="29"/>
      <c r="BA1232" s="30"/>
      <c r="BB1232" s="23" t="str" cm="1">
        <f t="array" ref="BB1232">_xlfn.IFS(AW1232="SIM",SUM(K1232,P1232,U1232,Z1232,AE1232,AJ1232,AO1232,AT1232,AX1232,AY1232),F1232&lt;&gt;"",SUM(K1232,P1232,U1232,Z1232,AE1232,AJ1232,,AO1232,AT1232),F1232="","")</f>
        <v/>
      </c>
      <c r="BC1232" s="211" t="str" cm="1">
        <f t="array" ref="BC1232">_xlfn.IFS(E1232="","",G1232&lt;=E1232,BB1232*(1-0.03),G1232&lt;(E1232+8),BB1232,AZ1232="Boleto",BB1232*(1+0.001)^DATEDIF(E1232,G1232,"D"),AZ1232="Cheque",BB1232,AZ1232="Dinheiro","Alterar forma pgto")</f>
        <v/>
      </c>
      <c r="BD1232" s="276" t="str" cm="1">
        <f t="array" ref="BD1232">IF(F1232=0," ",IF(BC1232&lt;BB1232,(_xlfn.IFS(AW1232="SIM",SUM(L1232,Q1232,V1232,AA1232,AF1232,AK1232,AP1232,AU1232)+AX1232/_xlfn.XLOOKUP(_xlfn.XLOOKUP($F1232,Clientes!$B$4:$B$39,Clientes!$C$4:$C$39),Cadastros!$L$6:$L$12,Cadastros!$M$6:$M$12)+IF($F1232="Bernardino Furlan",AY1232/2751.92,IF($F1232="Mauro José Salanti",AY1232/2751.92,AY1232/3356)),F1232&lt;&gt;0,SUM(L1232,Q1232,V1232,AA1232,AF1232,AK1232,AP1232,AU1232)))*(1-0.03),_xlfn.IFS(AW1232="SIM",SUM(L1232,Q1232,V1232,AA1232,AF1232,AK1232,AP1232,AU1232)+AX1232/_xlfn.XLOOKUP(_xlfn.XLOOKUP($F1232,Clientes!$B$4:$B$39,Clientes!$C$4:$C$39),Cadastros!$L$6:$L$12,Cadastros!$M$6:$M$12)+IF($F1232="Bernardino Furlan",AY1232/2751.92,IF($F1232="Mauro José Salanti",AY1232/2751.92,AY1232/3356)),F1232&lt;&gt;0,SUM(L1232,Q1232,V1232,AA1232,AF1232,AK1232,AP1232,AU1232))))</f>
        <v xml:space="preserve"> </v>
      </c>
      <c r="BE1232" s="120"/>
      <c r="BF1232" s="120"/>
      <c r="BG1232" s="120"/>
    </row>
    <row r="1233" spans="1:59" s="3" customFormat="1" x14ac:dyDescent="0.3">
      <c r="A1233" s="15" t="str">
        <f t="shared" si="247"/>
        <v/>
      </c>
      <c r="B1233" s="25"/>
      <c r="C1233" s="26"/>
      <c r="D1233" s="279"/>
      <c r="E1233" s="27"/>
      <c r="F1233" s="28"/>
      <c r="G1233" s="27"/>
      <c r="H1233" s="28"/>
      <c r="I1233" s="28"/>
      <c r="J1233" s="255" t="str">
        <f>IF(H1233="","",(_xlfn.XLOOKUP(H1233,Cadastros!$D$6:$D$90,Cadastros!$E$6:$E$90))*(1-_xlfn.XLOOKUP(_xlfn.XLOOKUP($F1233,Clientes!$B$4:$B$39,Clientes!$C$4:$C$39),Cadastros!$L$6:$L$12,Cadastros!$N$6:$N$12)))</f>
        <v/>
      </c>
      <c r="K1233" s="168" t="str">
        <f t="shared" si="248"/>
        <v/>
      </c>
      <c r="L1233" s="168" t="str">
        <f>IFERROR(K1233/_xlfn.XLOOKUP(_xlfn.XLOOKUP($F1233,Clientes!$B$4:$B$39,Clientes!$C$4:$C$39),Cadastros!$L$6:$L$12,Cadastros!$M$6:$M$12)," ")</f>
        <v xml:space="preserve"> </v>
      </c>
      <c r="M1233" s="28"/>
      <c r="N1233" s="28"/>
      <c r="O1233" s="255" t="str">
        <f>IF(M1233="","",(_xlfn.XLOOKUP(M1233,Cadastros!$D$6:$D$90,Cadastros!$E$6:$E$90))*(1-_xlfn.XLOOKUP(_xlfn.XLOOKUP($F1233,Clientes!$B$4:$B$39,Clientes!$C$4:$C$39),Cadastros!$L$6:$L$12,Cadastros!$N$6:$N$12)))</f>
        <v/>
      </c>
      <c r="P1233" s="168" t="str">
        <f t="shared" si="249"/>
        <v/>
      </c>
      <c r="Q1233" s="168" t="str">
        <f>IFERROR(P1233/_xlfn.XLOOKUP(_xlfn.XLOOKUP($F1233,Clientes!$B$4:$B$39,Clientes!$C$4:$C$39),Cadastros!$L$6:$L$12,Cadastros!$M$6:$M$12)," ")</f>
        <v xml:space="preserve"> </v>
      </c>
      <c r="R1233" s="28"/>
      <c r="S1233" s="28"/>
      <c r="T1233" s="255" t="str">
        <f>IF(R1233="","",(_xlfn.XLOOKUP(R1233,Cadastros!$D$6:$D$90,Cadastros!$E$6:$E$90))*(1-_xlfn.XLOOKUP(_xlfn.XLOOKUP($F1233,Clientes!$B$4:$B$39,Clientes!$C$4:$C$39),Cadastros!$L$6:$L$12,Cadastros!$N$6:$N$12)))</f>
        <v/>
      </c>
      <c r="U1233" s="168" t="str">
        <f t="shared" si="250"/>
        <v/>
      </c>
      <c r="V1233" s="168" t="str">
        <f>IFERROR(U1233/_xlfn.XLOOKUP(_xlfn.XLOOKUP($F1233,Clientes!$B$4:$B$39,Clientes!$C$4:$C$39),Cadastros!$L$6:$L$12,Cadastros!$M$6:$M$12)," ")</f>
        <v xml:space="preserve"> </v>
      </c>
      <c r="W1233" s="28"/>
      <c r="X1233" s="28"/>
      <c r="Y1233" s="255" t="str">
        <f>IF(W1233="","",(_xlfn.XLOOKUP(W1233,Cadastros!$D$6:$D$90,Cadastros!$E$6:$E$90))*(1-_xlfn.XLOOKUP(_xlfn.XLOOKUP($F1233,Clientes!$B$4:$B$39,Clientes!$C$4:$C$39),Cadastros!$L$6:$L$12,Cadastros!$N$6:$N$12)))</f>
        <v/>
      </c>
      <c r="Z1233" s="168" t="str">
        <f t="shared" si="251"/>
        <v/>
      </c>
      <c r="AA1233" s="168" t="str">
        <f>IFERROR(Z1233/_xlfn.XLOOKUP(_xlfn.XLOOKUP($F1233,Clientes!$B$4:$B$39,Clientes!$C$4:$C$39),Cadastros!$L$6:$L$12,Cadastros!$M$6:$M$12)," ")</f>
        <v xml:space="preserve"> </v>
      </c>
      <c r="AB1233" s="28"/>
      <c r="AC1233" s="28"/>
      <c r="AD1233" s="20" t="str">
        <f>IF(AB1233="","",IF($F1233="Bernardino Furlan",_xlfn.XLOOKUP(AB1233,Cadastros!$G$6:$G$90,Cadastros!$H$6:$H$90)*(1-0.18),IF($F1233="Mauro José Salanti",_xlfn.XLOOKUP(AB1233,Cadastros!$G$6:$G$90,Cadastros!$H$6:$H$90)*(1-0.18),_xlfn.XLOOKUP(AB1233,Cadastros!$G$6:$G$90,Cadastros!$H$6:$H$90))))</f>
        <v/>
      </c>
      <c r="AE1233" s="168" t="str">
        <f t="shared" si="252"/>
        <v/>
      </c>
      <c r="AF1233" s="168" t="str">
        <f t="shared" si="253"/>
        <v/>
      </c>
      <c r="AG1233" s="28"/>
      <c r="AH1233" s="28"/>
      <c r="AI1233" s="20" t="str">
        <f>IF(AG1233="","",IF($F1233="Bernardino Furlan",_xlfn.XLOOKUP(AG1233,Cadastros!$G$6:$G$90,Cadastros!$H$6:$H$90)*(1-0.18),IF($F1233="Mauro José Salanti",_xlfn.XLOOKUP(AG1233,Cadastros!$G$6:$G$90,Cadastros!$H$6:$H$90)*(1-0.18),_xlfn.XLOOKUP(AG1233,Cadastros!$G$6:$G$90,Cadastros!$H$6:$H$90))))</f>
        <v/>
      </c>
      <c r="AJ1233" s="168" t="str">
        <f t="shared" si="254"/>
        <v/>
      </c>
      <c r="AK1233" s="168" t="str">
        <f t="shared" si="255"/>
        <v/>
      </c>
      <c r="AL1233" s="28"/>
      <c r="AM1233" s="28"/>
      <c r="AN1233" s="20" t="str">
        <f>IF(AL1233="","",IF($F1233="Bernardino Furlan",_xlfn.XLOOKUP(AL1233,Cadastros!$G$6:$G$90,Cadastros!$H$6:$H$90)*(1-0.18),IF($F1233="Mauro José Salanti",_xlfn.XLOOKUP(AL1233,Cadastros!$G$6:$G$90,Cadastros!$H$6:$H$90)*(1-0.18),_xlfn.XLOOKUP(AL1233,Cadastros!$G$6:$G$90,Cadastros!$H$6:$H$90))))</f>
        <v/>
      </c>
      <c r="AO1233" s="168" t="str">
        <f t="shared" si="256"/>
        <v/>
      </c>
      <c r="AP1233" s="168" t="str">
        <f t="shared" si="257"/>
        <v/>
      </c>
      <c r="AQ1233" s="28"/>
      <c r="AR1233" s="28"/>
      <c r="AS1233" s="20" t="str">
        <f>IF(AQ1233="","",IF($F1233="Bernardino Furlan",_xlfn.XLOOKUP(AQ1233,Cadastros!$G$6:$G$90,Cadastros!$H$6:$H$90)*(1-0.18),IF($F1233="Mauro José Salanti",_xlfn.XLOOKUP(AQ1233,Cadastros!$G$6:$G$90,Cadastros!$H$6:$H$90)*(1-0.18),_xlfn.XLOOKUP(AQ1233,Cadastros!$G$6:$G$90,Cadastros!$H$6:$H$90))))</f>
        <v/>
      </c>
      <c r="AT1233" s="168" t="str">
        <f t="shared" si="258"/>
        <v/>
      </c>
      <c r="AU1233" s="168" t="str">
        <f t="shared" si="259"/>
        <v/>
      </c>
      <c r="AV1233" s="227"/>
      <c r="AW1233" s="30"/>
      <c r="AX1233" s="267"/>
      <c r="AY1233" s="267"/>
      <c r="AZ1233" s="29"/>
      <c r="BA1233" s="30"/>
      <c r="BB1233" s="23" t="str" cm="1">
        <f t="array" ref="BB1233">_xlfn.IFS(AW1233="SIM",SUM(K1233,P1233,U1233,Z1233,AE1233,AJ1233,AO1233,AT1233,AX1233,AY1233),F1233&lt;&gt;"",SUM(K1233,P1233,U1233,Z1233,AE1233,AJ1233,,AO1233,AT1233),F1233="","")</f>
        <v/>
      </c>
      <c r="BC1233" s="211" t="str" cm="1">
        <f t="array" ref="BC1233">_xlfn.IFS(E1233="","",G1233&lt;=E1233,BB1233*(1-0.03),G1233&lt;(E1233+8),BB1233,AZ1233="Boleto",BB1233*(1+0.001)^DATEDIF(E1233,G1233,"D"),AZ1233="Cheque",BB1233,AZ1233="Dinheiro","Alterar forma pgto")</f>
        <v/>
      </c>
      <c r="BD1233" s="276" t="str" cm="1">
        <f t="array" ref="BD1233">IF(F1233=0," ",IF(BC1233&lt;BB1233,(_xlfn.IFS(AW1233="SIM",SUM(L1233,Q1233,V1233,AA1233,AF1233,AK1233,AP1233,AU1233)+AX1233/_xlfn.XLOOKUP(_xlfn.XLOOKUP($F1233,Clientes!$B$4:$B$39,Clientes!$C$4:$C$39),Cadastros!$L$6:$L$12,Cadastros!$M$6:$M$12)+IF($F1233="Bernardino Furlan",AY1233/2751.92,IF($F1233="Mauro José Salanti",AY1233/2751.92,AY1233/3356)),F1233&lt;&gt;0,SUM(L1233,Q1233,V1233,AA1233,AF1233,AK1233,AP1233,AU1233)))*(1-0.03),_xlfn.IFS(AW1233="SIM",SUM(L1233,Q1233,V1233,AA1233,AF1233,AK1233,AP1233,AU1233)+AX1233/_xlfn.XLOOKUP(_xlfn.XLOOKUP($F1233,Clientes!$B$4:$B$39,Clientes!$C$4:$C$39),Cadastros!$L$6:$L$12,Cadastros!$M$6:$M$12)+IF($F1233="Bernardino Furlan",AY1233/2751.92,IF($F1233="Mauro José Salanti",AY1233/2751.92,AY1233/3356)),F1233&lt;&gt;0,SUM(L1233,Q1233,V1233,AA1233,AF1233,AK1233,AP1233,AU1233))))</f>
        <v xml:space="preserve"> </v>
      </c>
      <c r="BE1233" s="120"/>
      <c r="BF1233" s="120"/>
      <c r="BG1233" s="120"/>
    </row>
    <row r="1234" spans="1:59" s="3" customFormat="1" x14ac:dyDescent="0.3">
      <c r="A1234" s="15" t="str">
        <f t="shared" si="247"/>
        <v/>
      </c>
      <c r="B1234" s="25"/>
      <c r="C1234" s="26"/>
      <c r="D1234" s="279"/>
      <c r="E1234" s="27"/>
      <c r="F1234" s="28"/>
      <c r="G1234" s="27"/>
      <c r="H1234" s="28"/>
      <c r="I1234" s="28"/>
      <c r="J1234" s="255" t="str">
        <f>IF(H1234="","",(_xlfn.XLOOKUP(H1234,Cadastros!$D$6:$D$90,Cadastros!$E$6:$E$90))*(1-_xlfn.XLOOKUP(_xlfn.XLOOKUP($F1234,Clientes!$B$4:$B$39,Clientes!$C$4:$C$39),Cadastros!$L$6:$L$12,Cadastros!$N$6:$N$12)))</f>
        <v/>
      </c>
      <c r="K1234" s="168" t="str">
        <f t="shared" si="248"/>
        <v/>
      </c>
      <c r="L1234" s="168" t="str">
        <f>IFERROR(K1234/_xlfn.XLOOKUP(_xlfn.XLOOKUP($F1234,Clientes!$B$4:$B$39,Clientes!$C$4:$C$39),Cadastros!$L$6:$L$12,Cadastros!$M$6:$M$12)," ")</f>
        <v xml:space="preserve"> </v>
      </c>
      <c r="M1234" s="28"/>
      <c r="N1234" s="28"/>
      <c r="O1234" s="255" t="str">
        <f>IF(M1234="","",(_xlfn.XLOOKUP(M1234,Cadastros!$D$6:$D$90,Cadastros!$E$6:$E$90))*(1-_xlfn.XLOOKUP(_xlfn.XLOOKUP($F1234,Clientes!$B$4:$B$39,Clientes!$C$4:$C$39),Cadastros!$L$6:$L$12,Cadastros!$N$6:$N$12)))</f>
        <v/>
      </c>
      <c r="P1234" s="168" t="str">
        <f t="shared" si="249"/>
        <v/>
      </c>
      <c r="Q1234" s="168" t="str">
        <f>IFERROR(P1234/_xlfn.XLOOKUP(_xlfn.XLOOKUP($F1234,Clientes!$B$4:$B$39,Clientes!$C$4:$C$39),Cadastros!$L$6:$L$12,Cadastros!$M$6:$M$12)," ")</f>
        <v xml:space="preserve"> </v>
      </c>
      <c r="R1234" s="28"/>
      <c r="S1234" s="28"/>
      <c r="T1234" s="255" t="str">
        <f>IF(R1234="","",(_xlfn.XLOOKUP(R1234,Cadastros!$D$6:$D$90,Cadastros!$E$6:$E$90))*(1-_xlfn.XLOOKUP(_xlfn.XLOOKUP($F1234,Clientes!$B$4:$B$39,Clientes!$C$4:$C$39),Cadastros!$L$6:$L$12,Cadastros!$N$6:$N$12)))</f>
        <v/>
      </c>
      <c r="U1234" s="168" t="str">
        <f t="shared" si="250"/>
        <v/>
      </c>
      <c r="V1234" s="168" t="str">
        <f>IFERROR(U1234/_xlfn.XLOOKUP(_xlfn.XLOOKUP($F1234,Clientes!$B$4:$B$39,Clientes!$C$4:$C$39),Cadastros!$L$6:$L$12,Cadastros!$M$6:$M$12)," ")</f>
        <v xml:space="preserve"> </v>
      </c>
      <c r="W1234" s="28"/>
      <c r="X1234" s="28"/>
      <c r="Y1234" s="255" t="str">
        <f>IF(W1234="","",(_xlfn.XLOOKUP(W1234,Cadastros!$D$6:$D$90,Cadastros!$E$6:$E$90))*(1-_xlfn.XLOOKUP(_xlfn.XLOOKUP($F1234,Clientes!$B$4:$B$39,Clientes!$C$4:$C$39),Cadastros!$L$6:$L$12,Cadastros!$N$6:$N$12)))</f>
        <v/>
      </c>
      <c r="Z1234" s="168" t="str">
        <f t="shared" si="251"/>
        <v/>
      </c>
      <c r="AA1234" s="168" t="str">
        <f>IFERROR(Z1234/_xlfn.XLOOKUP(_xlfn.XLOOKUP($F1234,Clientes!$B$4:$B$39,Clientes!$C$4:$C$39),Cadastros!$L$6:$L$12,Cadastros!$M$6:$M$12)," ")</f>
        <v xml:space="preserve"> </v>
      </c>
      <c r="AB1234" s="28"/>
      <c r="AC1234" s="28"/>
      <c r="AD1234" s="20" t="str">
        <f>IF(AB1234="","",IF($F1234="Bernardino Furlan",_xlfn.XLOOKUP(AB1234,Cadastros!$G$6:$G$90,Cadastros!$H$6:$H$90)*(1-0.18),IF($F1234="Mauro José Salanti",_xlfn.XLOOKUP(AB1234,Cadastros!$G$6:$G$90,Cadastros!$H$6:$H$90)*(1-0.18),_xlfn.XLOOKUP(AB1234,Cadastros!$G$6:$G$90,Cadastros!$H$6:$H$90))))</f>
        <v/>
      </c>
      <c r="AE1234" s="168" t="str">
        <f t="shared" si="252"/>
        <v/>
      </c>
      <c r="AF1234" s="168" t="str">
        <f t="shared" si="253"/>
        <v/>
      </c>
      <c r="AG1234" s="28"/>
      <c r="AH1234" s="28"/>
      <c r="AI1234" s="20" t="str">
        <f>IF(AG1234="","",IF($F1234="Bernardino Furlan",_xlfn.XLOOKUP(AG1234,Cadastros!$G$6:$G$90,Cadastros!$H$6:$H$90)*(1-0.18),IF($F1234="Mauro José Salanti",_xlfn.XLOOKUP(AG1234,Cadastros!$G$6:$G$90,Cadastros!$H$6:$H$90)*(1-0.18),_xlfn.XLOOKUP(AG1234,Cadastros!$G$6:$G$90,Cadastros!$H$6:$H$90))))</f>
        <v/>
      </c>
      <c r="AJ1234" s="168" t="str">
        <f t="shared" si="254"/>
        <v/>
      </c>
      <c r="AK1234" s="168" t="str">
        <f t="shared" si="255"/>
        <v/>
      </c>
      <c r="AL1234" s="28"/>
      <c r="AM1234" s="28"/>
      <c r="AN1234" s="20" t="str">
        <f>IF(AL1234="","",IF($F1234="Bernardino Furlan",_xlfn.XLOOKUP(AL1234,Cadastros!$G$6:$G$90,Cadastros!$H$6:$H$90)*(1-0.18),IF($F1234="Mauro José Salanti",_xlfn.XLOOKUP(AL1234,Cadastros!$G$6:$G$90,Cadastros!$H$6:$H$90)*(1-0.18),_xlfn.XLOOKUP(AL1234,Cadastros!$G$6:$G$90,Cadastros!$H$6:$H$90))))</f>
        <v/>
      </c>
      <c r="AO1234" s="168" t="str">
        <f t="shared" si="256"/>
        <v/>
      </c>
      <c r="AP1234" s="168" t="str">
        <f t="shared" si="257"/>
        <v/>
      </c>
      <c r="AQ1234" s="28"/>
      <c r="AR1234" s="28"/>
      <c r="AS1234" s="20" t="str">
        <f>IF(AQ1234="","",IF($F1234="Bernardino Furlan",_xlfn.XLOOKUP(AQ1234,Cadastros!$G$6:$G$90,Cadastros!$H$6:$H$90)*(1-0.18),IF($F1234="Mauro José Salanti",_xlfn.XLOOKUP(AQ1234,Cadastros!$G$6:$G$90,Cadastros!$H$6:$H$90)*(1-0.18),_xlfn.XLOOKUP(AQ1234,Cadastros!$G$6:$G$90,Cadastros!$H$6:$H$90))))</f>
        <v/>
      </c>
      <c r="AT1234" s="168" t="str">
        <f t="shared" si="258"/>
        <v/>
      </c>
      <c r="AU1234" s="168" t="str">
        <f t="shared" si="259"/>
        <v/>
      </c>
      <c r="AV1234" s="227"/>
      <c r="AW1234" s="30"/>
      <c r="AX1234" s="267"/>
      <c r="AY1234" s="267"/>
      <c r="AZ1234" s="29"/>
      <c r="BA1234" s="30"/>
      <c r="BB1234" s="23" t="str" cm="1">
        <f t="array" ref="BB1234">_xlfn.IFS(AW1234="SIM",SUM(K1234,P1234,U1234,Z1234,AE1234,AJ1234,AO1234,AT1234,AX1234,AY1234),F1234&lt;&gt;"",SUM(K1234,P1234,U1234,Z1234,AE1234,AJ1234,,AO1234,AT1234),F1234="","")</f>
        <v/>
      </c>
      <c r="BC1234" s="211" t="str" cm="1">
        <f t="array" ref="BC1234">_xlfn.IFS(E1234="","",G1234&lt;=E1234,BB1234*(1-0.03),G1234&lt;(E1234+8),BB1234,AZ1234="Boleto",BB1234*(1+0.001)^DATEDIF(E1234,G1234,"D"),AZ1234="Cheque",BB1234,AZ1234="Dinheiro","Alterar forma pgto")</f>
        <v/>
      </c>
      <c r="BD1234" s="276" t="str" cm="1">
        <f t="array" ref="BD1234">IF(F1234=0," ",IF(BC1234&lt;BB1234,(_xlfn.IFS(AW1234="SIM",SUM(L1234,Q1234,V1234,AA1234,AF1234,AK1234,AP1234,AU1234)+AX1234/_xlfn.XLOOKUP(_xlfn.XLOOKUP($F1234,Clientes!$B$4:$B$39,Clientes!$C$4:$C$39),Cadastros!$L$6:$L$12,Cadastros!$M$6:$M$12)+IF($F1234="Bernardino Furlan",AY1234/2751.92,IF($F1234="Mauro José Salanti",AY1234/2751.92,AY1234/3356)),F1234&lt;&gt;0,SUM(L1234,Q1234,V1234,AA1234,AF1234,AK1234,AP1234,AU1234)))*(1-0.03),_xlfn.IFS(AW1234="SIM",SUM(L1234,Q1234,V1234,AA1234,AF1234,AK1234,AP1234,AU1234)+AX1234/_xlfn.XLOOKUP(_xlfn.XLOOKUP($F1234,Clientes!$B$4:$B$39,Clientes!$C$4:$C$39),Cadastros!$L$6:$L$12,Cadastros!$M$6:$M$12)+IF($F1234="Bernardino Furlan",AY1234/2751.92,IF($F1234="Mauro José Salanti",AY1234/2751.92,AY1234/3356)),F1234&lt;&gt;0,SUM(L1234,Q1234,V1234,AA1234,AF1234,AK1234,AP1234,AU1234))))</f>
        <v xml:space="preserve"> </v>
      </c>
      <c r="BE1234" s="120"/>
      <c r="BF1234" s="120"/>
      <c r="BG1234" s="120"/>
    </row>
    <row r="1235" spans="1:59" s="3" customFormat="1" x14ac:dyDescent="0.3">
      <c r="A1235" s="15" t="str">
        <f t="shared" si="247"/>
        <v/>
      </c>
      <c r="B1235" s="25"/>
      <c r="C1235" s="26"/>
      <c r="D1235" s="279"/>
      <c r="E1235" s="27"/>
      <c r="F1235" s="28"/>
      <c r="G1235" s="27"/>
      <c r="H1235" s="28"/>
      <c r="I1235" s="28"/>
      <c r="J1235" s="255" t="str">
        <f>IF(H1235="","",(_xlfn.XLOOKUP(H1235,Cadastros!$D$6:$D$90,Cadastros!$E$6:$E$90))*(1-_xlfn.XLOOKUP(_xlfn.XLOOKUP($F1235,Clientes!$B$4:$B$39,Clientes!$C$4:$C$39),Cadastros!$L$6:$L$12,Cadastros!$N$6:$N$12)))</f>
        <v/>
      </c>
      <c r="K1235" s="168" t="str">
        <f t="shared" si="248"/>
        <v/>
      </c>
      <c r="L1235" s="168" t="str">
        <f>IFERROR(K1235/_xlfn.XLOOKUP(_xlfn.XLOOKUP($F1235,Clientes!$B$4:$B$39,Clientes!$C$4:$C$39),Cadastros!$L$6:$L$12,Cadastros!$M$6:$M$12)," ")</f>
        <v xml:space="preserve"> </v>
      </c>
      <c r="M1235" s="28"/>
      <c r="N1235" s="28"/>
      <c r="O1235" s="255" t="str">
        <f>IF(M1235="","",(_xlfn.XLOOKUP(M1235,Cadastros!$D$6:$D$90,Cadastros!$E$6:$E$90))*(1-_xlfn.XLOOKUP(_xlfn.XLOOKUP($F1235,Clientes!$B$4:$B$39,Clientes!$C$4:$C$39),Cadastros!$L$6:$L$12,Cadastros!$N$6:$N$12)))</f>
        <v/>
      </c>
      <c r="P1235" s="168" t="str">
        <f t="shared" si="249"/>
        <v/>
      </c>
      <c r="Q1235" s="168" t="str">
        <f>IFERROR(P1235/_xlfn.XLOOKUP(_xlfn.XLOOKUP($F1235,Clientes!$B$4:$B$39,Clientes!$C$4:$C$39),Cadastros!$L$6:$L$12,Cadastros!$M$6:$M$12)," ")</f>
        <v xml:space="preserve"> </v>
      </c>
      <c r="R1235" s="28"/>
      <c r="S1235" s="28"/>
      <c r="T1235" s="255" t="str">
        <f>IF(R1235="","",(_xlfn.XLOOKUP(R1235,Cadastros!$D$6:$D$90,Cadastros!$E$6:$E$90))*(1-_xlfn.XLOOKUP(_xlfn.XLOOKUP($F1235,Clientes!$B$4:$B$39,Clientes!$C$4:$C$39),Cadastros!$L$6:$L$12,Cadastros!$N$6:$N$12)))</f>
        <v/>
      </c>
      <c r="U1235" s="168" t="str">
        <f t="shared" si="250"/>
        <v/>
      </c>
      <c r="V1235" s="168" t="str">
        <f>IFERROR(U1235/_xlfn.XLOOKUP(_xlfn.XLOOKUP($F1235,Clientes!$B$4:$B$39,Clientes!$C$4:$C$39),Cadastros!$L$6:$L$12,Cadastros!$M$6:$M$12)," ")</f>
        <v xml:space="preserve"> </v>
      </c>
      <c r="W1235" s="28"/>
      <c r="X1235" s="28"/>
      <c r="Y1235" s="255" t="str">
        <f>IF(W1235="","",(_xlfn.XLOOKUP(W1235,Cadastros!$D$6:$D$90,Cadastros!$E$6:$E$90))*(1-_xlfn.XLOOKUP(_xlfn.XLOOKUP($F1235,Clientes!$B$4:$B$39,Clientes!$C$4:$C$39),Cadastros!$L$6:$L$12,Cadastros!$N$6:$N$12)))</f>
        <v/>
      </c>
      <c r="Z1235" s="168" t="str">
        <f t="shared" si="251"/>
        <v/>
      </c>
      <c r="AA1235" s="168" t="str">
        <f>IFERROR(Z1235/_xlfn.XLOOKUP(_xlfn.XLOOKUP($F1235,Clientes!$B$4:$B$39,Clientes!$C$4:$C$39),Cadastros!$L$6:$L$12,Cadastros!$M$6:$M$12)," ")</f>
        <v xml:space="preserve"> </v>
      </c>
      <c r="AB1235" s="28"/>
      <c r="AC1235" s="28"/>
      <c r="AD1235" s="20" t="str">
        <f>IF(AB1235="","",IF($F1235="Bernardino Furlan",_xlfn.XLOOKUP(AB1235,Cadastros!$G$6:$G$90,Cadastros!$H$6:$H$90)*(1-0.18),IF($F1235="Mauro José Salanti",_xlfn.XLOOKUP(AB1235,Cadastros!$G$6:$G$90,Cadastros!$H$6:$H$90)*(1-0.18),_xlfn.XLOOKUP(AB1235,Cadastros!$G$6:$G$90,Cadastros!$H$6:$H$90))))</f>
        <v/>
      </c>
      <c r="AE1235" s="168" t="str">
        <f t="shared" si="252"/>
        <v/>
      </c>
      <c r="AF1235" s="168" t="str">
        <f t="shared" si="253"/>
        <v/>
      </c>
      <c r="AG1235" s="28"/>
      <c r="AH1235" s="28"/>
      <c r="AI1235" s="20" t="str">
        <f>IF(AG1235="","",IF($F1235="Bernardino Furlan",_xlfn.XLOOKUP(AG1235,Cadastros!$G$6:$G$90,Cadastros!$H$6:$H$90)*(1-0.18),IF($F1235="Mauro José Salanti",_xlfn.XLOOKUP(AG1235,Cadastros!$G$6:$G$90,Cadastros!$H$6:$H$90)*(1-0.18),_xlfn.XLOOKUP(AG1235,Cadastros!$G$6:$G$90,Cadastros!$H$6:$H$90))))</f>
        <v/>
      </c>
      <c r="AJ1235" s="168" t="str">
        <f t="shared" si="254"/>
        <v/>
      </c>
      <c r="AK1235" s="168" t="str">
        <f t="shared" si="255"/>
        <v/>
      </c>
      <c r="AL1235" s="28"/>
      <c r="AM1235" s="28"/>
      <c r="AN1235" s="20" t="str">
        <f>IF(AL1235="","",IF($F1235="Bernardino Furlan",_xlfn.XLOOKUP(AL1235,Cadastros!$G$6:$G$90,Cadastros!$H$6:$H$90)*(1-0.18),IF($F1235="Mauro José Salanti",_xlfn.XLOOKUP(AL1235,Cadastros!$G$6:$G$90,Cadastros!$H$6:$H$90)*(1-0.18),_xlfn.XLOOKUP(AL1235,Cadastros!$G$6:$G$90,Cadastros!$H$6:$H$90))))</f>
        <v/>
      </c>
      <c r="AO1235" s="168" t="str">
        <f t="shared" si="256"/>
        <v/>
      </c>
      <c r="AP1235" s="168" t="str">
        <f t="shared" si="257"/>
        <v/>
      </c>
      <c r="AQ1235" s="28"/>
      <c r="AR1235" s="28"/>
      <c r="AS1235" s="20" t="str">
        <f>IF(AQ1235="","",IF($F1235="Bernardino Furlan",_xlfn.XLOOKUP(AQ1235,Cadastros!$G$6:$G$90,Cadastros!$H$6:$H$90)*(1-0.18),IF($F1235="Mauro José Salanti",_xlfn.XLOOKUP(AQ1235,Cadastros!$G$6:$G$90,Cadastros!$H$6:$H$90)*(1-0.18),_xlfn.XLOOKUP(AQ1235,Cadastros!$G$6:$G$90,Cadastros!$H$6:$H$90))))</f>
        <v/>
      </c>
      <c r="AT1235" s="168" t="str">
        <f t="shared" si="258"/>
        <v/>
      </c>
      <c r="AU1235" s="168" t="str">
        <f t="shared" si="259"/>
        <v/>
      </c>
      <c r="AV1235" s="227"/>
      <c r="AW1235" s="30"/>
      <c r="AX1235" s="267"/>
      <c r="AY1235" s="267"/>
      <c r="AZ1235" s="29"/>
      <c r="BA1235" s="30"/>
      <c r="BB1235" s="23" t="str" cm="1">
        <f t="array" ref="BB1235">_xlfn.IFS(AW1235="SIM",SUM(K1235,P1235,U1235,Z1235,AE1235,AJ1235,AO1235,AT1235,AX1235,AY1235),F1235&lt;&gt;"",SUM(K1235,P1235,U1235,Z1235,AE1235,AJ1235,,AO1235,AT1235),F1235="","")</f>
        <v/>
      </c>
      <c r="BC1235" s="211" t="str" cm="1">
        <f t="array" ref="BC1235">_xlfn.IFS(E1235="","",G1235&lt;=E1235,BB1235*(1-0.03),G1235&lt;(E1235+8),BB1235,AZ1235="Boleto",BB1235*(1+0.001)^DATEDIF(E1235,G1235,"D"),AZ1235="Cheque",BB1235,AZ1235="Dinheiro","Alterar forma pgto")</f>
        <v/>
      </c>
      <c r="BD1235" s="276" t="str" cm="1">
        <f t="array" ref="BD1235">IF(F1235=0," ",IF(BC1235&lt;BB1235,(_xlfn.IFS(AW1235="SIM",SUM(L1235,Q1235,V1235,AA1235,AF1235,AK1235,AP1235,AU1235)+AX1235/_xlfn.XLOOKUP(_xlfn.XLOOKUP($F1235,Clientes!$B$4:$B$39,Clientes!$C$4:$C$39),Cadastros!$L$6:$L$12,Cadastros!$M$6:$M$12)+IF($F1235="Bernardino Furlan",AY1235/2751.92,IF($F1235="Mauro José Salanti",AY1235/2751.92,AY1235/3356)),F1235&lt;&gt;0,SUM(L1235,Q1235,V1235,AA1235,AF1235,AK1235,AP1235,AU1235)))*(1-0.03),_xlfn.IFS(AW1235="SIM",SUM(L1235,Q1235,V1235,AA1235,AF1235,AK1235,AP1235,AU1235)+AX1235/_xlfn.XLOOKUP(_xlfn.XLOOKUP($F1235,Clientes!$B$4:$B$39,Clientes!$C$4:$C$39),Cadastros!$L$6:$L$12,Cadastros!$M$6:$M$12)+IF($F1235="Bernardino Furlan",AY1235/2751.92,IF($F1235="Mauro José Salanti",AY1235/2751.92,AY1235/3356)),F1235&lt;&gt;0,SUM(L1235,Q1235,V1235,AA1235,AF1235,AK1235,AP1235,AU1235))))</f>
        <v xml:space="preserve"> </v>
      </c>
      <c r="BE1235" s="120"/>
      <c r="BF1235" s="120"/>
      <c r="BG1235" s="120"/>
    </row>
    <row r="1236" spans="1:59" s="3" customFormat="1" x14ac:dyDescent="0.3">
      <c r="A1236" s="15" t="str">
        <f t="shared" si="247"/>
        <v/>
      </c>
      <c r="B1236" s="25"/>
      <c r="C1236" s="26"/>
      <c r="D1236" s="279"/>
      <c r="E1236" s="27"/>
      <c r="F1236" s="28"/>
      <c r="G1236" s="27"/>
      <c r="H1236" s="28"/>
      <c r="I1236" s="28"/>
      <c r="J1236" s="255" t="str">
        <f>IF(H1236="","",(_xlfn.XLOOKUP(H1236,Cadastros!$D$6:$D$90,Cadastros!$E$6:$E$90))*(1-_xlfn.XLOOKUP(_xlfn.XLOOKUP($F1236,Clientes!$B$4:$B$39,Clientes!$C$4:$C$39),Cadastros!$L$6:$L$12,Cadastros!$N$6:$N$12)))</f>
        <v/>
      </c>
      <c r="K1236" s="168" t="str">
        <f t="shared" si="248"/>
        <v/>
      </c>
      <c r="L1236" s="168" t="str">
        <f>IFERROR(K1236/_xlfn.XLOOKUP(_xlfn.XLOOKUP($F1236,Clientes!$B$4:$B$39,Clientes!$C$4:$C$39),Cadastros!$L$6:$L$12,Cadastros!$M$6:$M$12)," ")</f>
        <v xml:space="preserve"> </v>
      </c>
      <c r="M1236" s="28"/>
      <c r="N1236" s="28"/>
      <c r="O1236" s="255" t="str">
        <f>IF(M1236="","",(_xlfn.XLOOKUP(M1236,Cadastros!$D$6:$D$90,Cadastros!$E$6:$E$90))*(1-_xlfn.XLOOKUP(_xlfn.XLOOKUP($F1236,Clientes!$B$4:$B$39,Clientes!$C$4:$C$39),Cadastros!$L$6:$L$12,Cadastros!$N$6:$N$12)))</f>
        <v/>
      </c>
      <c r="P1236" s="168" t="str">
        <f t="shared" si="249"/>
        <v/>
      </c>
      <c r="Q1236" s="168" t="str">
        <f>IFERROR(P1236/_xlfn.XLOOKUP(_xlfn.XLOOKUP($F1236,Clientes!$B$4:$B$39,Clientes!$C$4:$C$39),Cadastros!$L$6:$L$12,Cadastros!$M$6:$M$12)," ")</f>
        <v xml:space="preserve"> </v>
      </c>
      <c r="R1236" s="28"/>
      <c r="S1236" s="28"/>
      <c r="T1236" s="255" t="str">
        <f>IF(R1236="","",(_xlfn.XLOOKUP(R1236,Cadastros!$D$6:$D$90,Cadastros!$E$6:$E$90))*(1-_xlfn.XLOOKUP(_xlfn.XLOOKUP($F1236,Clientes!$B$4:$B$39,Clientes!$C$4:$C$39),Cadastros!$L$6:$L$12,Cadastros!$N$6:$N$12)))</f>
        <v/>
      </c>
      <c r="U1236" s="168" t="str">
        <f t="shared" si="250"/>
        <v/>
      </c>
      <c r="V1236" s="168" t="str">
        <f>IFERROR(U1236/_xlfn.XLOOKUP(_xlfn.XLOOKUP($F1236,Clientes!$B$4:$B$39,Clientes!$C$4:$C$39),Cadastros!$L$6:$L$12,Cadastros!$M$6:$M$12)," ")</f>
        <v xml:space="preserve"> </v>
      </c>
      <c r="W1236" s="28"/>
      <c r="X1236" s="28"/>
      <c r="Y1236" s="255" t="str">
        <f>IF(W1236="","",(_xlfn.XLOOKUP(W1236,Cadastros!$D$6:$D$90,Cadastros!$E$6:$E$90))*(1-_xlfn.XLOOKUP(_xlfn.XLOOKUP($F1236,Clientes!$B$4:$B$39,Clientes!$C$4:$C$39),Cadastros!$L$6:$L$12,Cadastros!$N$6:$N$12)))</f>
        <v/>
      </c>
      <c r="Z1236" s="168" t="str">
        <f t="shared" si="251"/>
        <v/>
      </c>
      <c r="AA1236" s="168" t="str">
        <f>IFERROR(Z1236/_xlfn.XLOOKUP(_xlfn.XLOOKUP($F1236,Clientes!$B$4:$B$39,Clientes!$C$4:$C$39),Cadastros!$L$6:$L$12,Cadastros!$M$6:$M$12)," ")</f>
        <v xml:space="preserve"> </v>
      </c>
      <c r="AB1236" s="28"/>
      <c r="AC1236" s="28"/>
      <c r="AD1236" s="20" t="str">
        <f>IF(AB1236="","",IF($F1236="Bernardino Furlan",_xlfn.XLOOKUP(AB1236,Cadastros!$G$6:$G$90,Cadastros!$H$6:$H$90)*(1-0.18),IF($F1236="Mauro José Salanti",_xlfn.XLOOKUP(AB1236,Cadastros!$G$6:$G$90,Cadastros!$H$6:$H$90)*(1-0.18),_xlfn.XLOOKUP(AB1236,Cadastros!$G$6:$G$90,Cadastros!$H$6:$H$90))))</f>
        <v/>
      </c>
      <c r="AE1236" s="168" t="str">
        <f t="shared" si="252"/>
        <v/>
      </c>
      <c r="AF1236" s="168" t="str">
        <f t="shared" si="253"/>
        <v/>
      </c>
      <c r="AG1236" s="28"/>
      <c r="AH1236" s="28"/>
      <c r="AI1236" s="20" t="str">
        <f>IF(AG1236="","",IF($F1236="Bernardino Furlan",_xlfn.XLOOKUP(AG1236,Cadastros!$G$6:$G$90,Cadastros!$H$6:$H$90)*(1-0.18),IF($F1236="Mauro José Salanti",_xlfn.XLOOKUP(AG1236,Cadastros!$G$6:$G$90,Cadastros!$H$6:$H$90)*(1-0.18),_xlfn.XLOOKUP(AG1236,Cadastros!$G$6:$G$90,Cadastros!$H$6:$H$90))))</f>
        <v/>
      </c>
      <c r="AJ1236" s="168" t="str">
        <f t="shared" si="254"/>
        <v/>
      </c>
      <c r="AK1236" s="168" t="str">
        <f t="shared" si="255"/>
        <v/>
      </c>
      <c r="AL1236" s="28"/>
      <c r="AM1236" s="28"/>
      <c r="AN1236" s="20" t="str">
        <f>IF(AL1236="","",IF($F1236="Bernardino Furlan",_xlfn.XLOOKUP(AL1236,Cadastros!$G$6:$G$90,Cadastros!$H$6:$H$90)*(1-0.18),IF($F1236="Mauro José Salanti",_xlfn.XLOOKUP(AL1236,Cadastros!$G$6:$G$90,Cadastros!$H$6:$H$90)*(1-0.18),_xlfn.XLOOKUP(AL1236,Cadastros!$G$6:$G$90,Cadastros!$H$6:$H$90))))</f>
        <v/>
      </c>
      <c r="AO1236" s="168" t="str">
        <f t="shared" si="256"/>
        <v/>
      </c>
      <c r="AP1236" s="168" t="str">
        <f t="shared" si="257"/>
        <v/>
      </c>
      <c r="AQ1236" s="28"/>
      <c r="AR1236" s="28"/>
      <c r="AS1236" s="20" t="str">
        <f>IF(AQ1236="","",IF($F1236="Bernardino Furlan",_xlfn.XLOOKUP(AQ1236,Cadastros!$G$6:$G$90,Cadastros!$H$6:$H$90)*(1-0.18),IF($F1236="Mauro José Salanti",_xlfn.XLOOKUP(AQ1236,Cadastros!$G$6:$G$90,Cadastros!$H$6:$H$90)*(1-0.18),_xlfn.XLOOKUP(AQ1236,Cadastros!$G$6:$G$90,Cadastros!$H$6:$H$90))))</f>
        <v/>
      </c>
      <c r="AT1236" s="168" t="str">
        <f t="shared" si="258"/>
        <v/>
      </c>
      <c r="AU1236" s="168" t="str">
        <f t="shared" si="259"/>
        <v/>
      </c>
      <c r="AV1236" s="227"/>
      <c r="AW1236" s="30"/>
      <c r="AX1236" s="267"/>
      <c r="AY1236" s="267"/>
      <c r="AZ1236" s="29"/>
      <c r="BA1236" s="30"/>
      <c r="BB1236" s="23" t="str" cm="1">
        <f t="array" ref="BB1236">_xlfn.IFS(AW1236="SIM",SUM(K1236,P1236,U1236,Z1236,AE1236,AJ1236,AO1236,AT1236,AX1236,AY1236),F1236&lt;&gt;"",SUM(K1236,P1236,U1236,Z1236,AE1236,AJ1236,,AO1236,AT1236),F1236="","")</f>
        <v/>
      </c>
      <c r="BC1236" s="211" t="str" cm="1">
        <f t="array" ref="BC1236">_xlfn.IFS(E1236="","",G1236&lt;=E1236,BB1236*(1-0.03),G1236&lt;(E1236+8),BB1236,AZ1236="Boleto",BB1236*(1+0.001)^DATEDIF(E1236,G1236,"D"),AZ1236="Cheque",BB1236,AZ1236="Dinheiro","Alterar forma pgto")</f>
        <v/>
      </c>
      <c r="BD1236" s="276" t="str" cm="1">
        <f t="array" ref="BD1236">IF(F1236=0," ",IF(BC1236&lt;BB1236,(_xlfn.IFS(AW1236="SIM",SUM(L1236,Q1236,V1236,AA1236,AF1236,AK1236,AP1236,AU1236)+AX1236/_xlfn.XLOOKUP(_xlfn.XLOOKUP($F1236,Clientes!$B$4:$B$39,Clientes!$C$4:$C$39),Cadastros!$L$6:$L$12,Cadastros!$M$6:$M$12)+IF($F1236="Bernardino Furlan",AY1236/2751.92,IF($F1236="Mauro José Salanti",AY1236/2751.92,AY1236/3356)),F1236&lt;&gt;0,SUM(L1236,Q1236,V1236,AA1236,AF1236,AK1236,AP1236,AU1236)))*(1-0.03),_xlfn.IFS(AW1236="SIM",SUM(L1236,Q1236,V1236,AA1236,AF1236,AK1236,AP1236,AU1236)+AX1236/_xlfn.XLOOKUP(_xlfn.XLOOKUP($F1236,Clientes!$B$4:$B$39,Clientes!$C$4:$C$39),Cadastros!$L$6:$L$12,Cadastros!$M$6:$M$12)+IF($F1236="Bernardino Furlan",AY1236/2751.92,IF($F1236="Mauro José Salanti",AY1236/2751.92,AY1236/3356)),F1236&lt;&gt;0,SUM(L1236,Q1236,V1236,AA1236,AF1236,AK1236,AP1236,AU1236))))</f>
        <v xml:space="preserve"> </v>
      </c>
      <c r="BE1236" s="120"/>
      <c r="BF1236" s="120"/>
      <c r="BG1236" s="120"/>
    </row>
    <row r="1237" spans="1:59" s="3" customFormat="1" x14ac:dyDescent="0.3">
      <c r="A1237" s="15" t="str">
        <f t="shared" si="247"/>
        <v/>
      </c>
      <c r="B1237" s="25"/>
      <c r="C1237" s="26"/>
      <c r="D1237" s="279"/>
      <c r="E1237" s="27"/>
      <c r="F1237" s="28"/>
      <c r="G1237" s="27"/>
      <c r="H1237" s="28"/>
      <c r="I1237" s="28"/>
      <c r="J1237" s="255" t="str">
        <f>IF(H1237="","",(_xlfn.XLOOKUP(H1237,Cadastros!$D$6:$D$90,Cadastros!$E$6:$E$90))*(1-_xlfn.XLOOKUP(_xlfn.XLOOKUP($F1237,Clientes!$B$4:$B$39,Clientes!$C$4:$C$39),Cadastros!$L$6:$L$12,Cadastros!$N$6:$N$12)))</f>
        <v/>
      </c>
      <c r="K1237" s="168" t="str">
        <f t="shared" si="248"/>
        <v/>
      </c>
      <c r="L1237" s="168" t="str">
        <f>IFERROR(K1237/_xlfn.XLOOKUP(_xlfn.XLOOKUP($F1237,Clientes!$B$4:$B$39,Clientes!$C$4:$C$39),Cadastros!$L$6:$L$12,Cadastros!$M$6:$M$12)," ")</f>
        <v xml:space="preserve"> </v>
      </c>
      <c r="M1237" s="28"/>
      <c r="N1237" s="28"/>
      <c r="O1237" s="255" t="str">
        <f>IF(M1237="","",(_xlfn.XLOOKUP(M1237,Cadastros!$D$6:$D$90,Cadastros!$E$6:$E$90))*(1-_xlfn.XLOOKUP(_xlfn.XLOOKUP($F1237,Clientes!$B$4:$B$39,Clientes!$C$4:$C$39),Cadastros!$L$6:$L$12,Cadastros!$N$6:$N$12)))</f>
        <v/>
      </c>
      <c r="P1237" s="168" t="str">
        <f t="shared" si="249"/>
        <v/>
      </c>
      <c r="Q1237" s="168" t="str">
        <f>IFERROR(P1237/_xlfn.XLOOKUP(_xlfn.XLOOKUP($F1237,Clientes!$B$4:$B$39,Clientes!$C$4:$C$39),Cadastros!$L$6:$L$12,Cadastros!$M$6:$M$12)," ")</f>
        <v xml:space="preserve"> </v>
      </c>
      <c r="R1237" s="28"/>
      <c r="S1237" s="28"/>
      <c r="T1237" s="255" t="str">
        <f>IF(R1237="","",(_xlfn.XLOOKUP(R1237,Cadastros!$D$6:$D$90,Cadastros!$E$6:$E$90))*(1-_xlfn.XLOOKUP(_xlfn.XLOOKUP($F1237,Clientes!$B$4:$B$39,Clientes!$C$4:$C$39),Cadastros!$L$6:$L$12,Cadastros!$N$6:$N$12)))</f>
        <v/>
      </c>
      <c r="U1237" s="168" t="str">
        <f t="shared" si="250"/>
        <v/>
      </c>
      <c r="V1237" s="168" t="str">
        <f>IFERROR(U1237/_xlfn.XLOOKUP(_xlfn.XLOOKUP($F1237,Clientes!$B$4:$B$39,Clientes!$C$4:$C$39),Cadastros!$L$6:$L$12,Cadastros!$M$6:$M$12)," ")</f>
        <v xml:space="preserve"> </v>
      </c>
      <c r="W1237" s="28"/>
      <c r="X1237" s="28"/>
      <c r="Y1237" s="255" t="str">
        <f>IF(W1237="","",(_xlfn.XLOOKUP(W1237,Cadastros!$D$6:$D$90,Cadastros!$E$6:$E$90))*(1-_xlfn.XLOOKUP(_xlfn.XLOOKUP($F1237,Clientes!$B$4:$B$39,Clientes!$C$4:$C$39),Cadastros!$L$6:$L$12,Cadastros!$N$6:$N$12)))</f>
        <v/>
      </c>
      <c r="Z1237" s="168" t="str">
        <f t="shared" si="251"/>
        <v/>
      </c>
      <c r="AA1237" s="168" t="str">
        <f>IFERROR(Z1237/_xlfn.XLOOKUP(_xlfn.XLOOKUP($F1237,Clientes!$B$4:$B$39,Clientes!$C$4:$C$39),Cadastros!$L$6:$L$12,Cadastros!$M$6:$M$12)," ")</f>
        <v xml:space="preserve"> </v>
      </c>
      <c r="AB1237" s="28"/>
      <c r="AC1237" s="28"/>
      <c r="AD1237" s="20" t="str">
        <f>IF(AB1237="","",IF($F1237="Bernardino Furlan",_xlfn.XLOOKUP(AB1237,Cadastros!$G$6:$G$90,Cadastros!$H$6:$H$90)*(1-0.18),IF($F1237="Mauro José Salanti",_xlfn.XLOOKUP(AB1237,Cadastros!$G$6:$G$90,Cadastros!$H$6:$H$90)*(1-0.18),_xlfn.XLOOKUP(AB1237,Cadastros!$G$6:$G$90,Cadastros!$H$6:$H$90))))</f>
        <v/>
      </c>
      <c r="AE1237" s="168" t="str">
        <f t="shared" si="252"/>
        <v/>
      </c>
      <c r="AF1237" s="168" t="str">
        <f t="shared" si="253"/>
        <v/>
      </c>
      <c r="AG1237" s="28"/>
      <c r="AH1237" s="28"/>
      <c r="AI1237" s="20" t="str">
        <f>IF(AG1237="","",IF($F1237="Bernardino Furlan",_xlfn.XLOOKUP(AG1237,Cadastros!$G$6:$G$90,Cadastros!$H$6:$H$90)*(1-0.18),IF($F1237="Mauro José Salanti",_xlfn.XLOOKUP(AG1237,Cadastros!$G$6:$G$90,Cadastros!$H$6:$H$90)*(1-0.18),_xlfn.XLOOKUP(AG1237,Cadastros!$G$6:$G$90,Cadastros!$H$6:$H$90))))</f>
        <v/>
      </c>
      <c r="AJ1237" s="168" t="str">
        <f t="shared" si="254"/>
        <v/>
      </c>
      <c r="AK1237" s="168" t="str">
        <f t="shared" si="255"/>
        <v/>
      </c>
      <c r="AL1237" s="28"/>
      <c r="AM1237" s="28"/>
      <c r="AN1237" s="20" t="str">
        <f>IF(AL1237="","",IF($F1237="Bernardino Furlan",_xlfn.XLOOKUP(AL1237,Cadastros!$G$6:$G$90,Cadastros!$H$6:$H$90)*(1-0.18),IF($F1237="Mauro José Salanti",_xlfn.XLOOKUP(AL1237,Cadastros!$G$6:$G$90,Cadastros!$H$6:$H$90)*(1-0.18),_xlfn.XLOOKUP(AL1237,Cadastros!$G$6:$G$90,Cadastros!$H$6:$H$90))))</f>
        <v/>
      </c>
      <c r="AO1237" s="168" t="str">
        <f t="shared" si="256"/>
        <v/>
      </c>
      <c r="AP1237" s="168" t="str">
        <f t="shared" si="257"/>
        <v/>
      </c>
      <c r="AQ1237" s="28"/>
      <c r="AR1237" s="28"/>
      <c r="AS1237" s="20" t="str">
        <f>IF(AQ1237="","",IF($F1237="Bernardino Furlan",_xlfn.XLOOKUP(AQ1237,Cadastros!$G$6:$G$90,Cadastros!$H$6:$H$90)*(1-0.18),IF($F1237="Mauro José Salanti",_xlfn.XLOOKUP(AQ1237,Cadastros!$G$6:$G$90,Cadastros!$H$6:$H$90)*(1-0.18),_xlfn.XLOOKUP(AQ1237,Cadastros!$G$6:$G$90,Cadastros!$H$6:$H$90))))</f>
        <v/>
      </c>
      <c r="AT1237" s="168" t="str">
        <f t="shared" si="258"/>
        <v/>
      </c>
      <c r="AU1237" s="168" t="str">
        <f t="shared" si="259"/>
        <v/>
      </c>
      <c r="AV1237" s="227"/>
      <c r="AW1237" s="30"/>
      <c r="AX1237" s="267"/>
      <c r="AY1237" s="267"/>
      <c r="AZ1237" s="29"/>
      <c r="BA1237" s="30"/>
      <c r="BB1237" s="23" t="str" cm="1">
        <f t="array" ref="BB1237">_xlfn.IFS(AW1237="SIM",SUM(K1237,P1237,U1237,Z1237,AE1237,AJ1237,AO1237,AT1237,AX1237,AY1237),F1237&lt;&gt;"",SUM(K1237,P1237,U1237,Z1237,AE1237,AJ1237,,AO1237,AT1237),F1237="","")</f>
        <v/>
      </c>
      <c r="BC1237" s="211" t="str" cm="1">
        <f t="array" ref="BC1237">_xlfn.IFS(E1237="","",G1237&lt;=E1237,BB1237*(1-0.03),G1237&lt;(E1237+8),BB1237,AZ1237="Boleto",BB1237*(1+0.001)^DATEDIF(E1237,G1237,"D"),AZ1237="Cheque",BB1237,AZ1237="Dinheiro","Alterar forma pgto")</f>
        <v/>
      </c>
      <c r="BD1237" s="276" t="str" cm="1">
        <f t="array" ref="BD1237">IF(F1237=0," ",IF(BC1237&lt;BB1237,(_xlfn.IFS(AW1237="SIM",SUM(L1237,Q1237,V1237,AA1237,AF1237,AK1237,AP1237,AU1237)+AX1237/_xlfn.XLOOKUP(_xlfn.XLOOKUP($F1237,Clientes!$B$4:$B$39,Clientes!$C$4:$C$39),Cadastros!$L$6:$L$12,Cadastros!$M$6:$M$12)+IF($F1237="Bernardino Furlan",AY1237/2751.92,IF($F1237="Mauro José Salanti",AY1237/2751.92,AY1237/3356)),F1237&lt;&gt;0,SUM(L1237,Q1237,V1237,AA1237,AF1237,AK1237,AP1237,AU1237)))*(1-0.03),_xlfn.IFS(AW1237="SIM",SUM(L1237,Q1237,V1237,AA1237,AF1237,AK1237,AP1237,AU1237)+AX1237/_xlfn.XLOOKUP(_xlfn.XLOOKUP($F1237,Clientes!$B$4:$B$39,Clientes!$C$4:$C$39),Cadastros!$L$6:$L$12,Cadastros!$M$6:$M$12)+IF($F1237="Bernardino Furlan",AY1237/2751.92,IF($F1237="Mauro José Salanti",AY1237/2751.92,AY1237/3356)),F1237&lt;&gt;0,SUM(L1237,Q1237,V1237,AA1237,AF1237,AK1237,AP1237,AU1237))))</f>
        <v xml:space="preserve"> </v>
      </c>
      <c r="BE1237" s="120"/>
      <c r="BF1237" s="120"/>
      <c r="BG1237" s="120"/>
    </row>
    <row r="1238" spans="1:59" s="3" customFormat="1" x14ac:dyDescent="0.3">
      <c r="A1238" s="15" t="str">
        <f t="shared" si="247"/>
        <v/>
      </c>
      <c r="B1238" s="25"/>
      <c r="C1238" s="26"/>
      <c r="D1238" s="279"/>
      <c r="E1238" s="27"/>
      <c r="F1238" s="28"/>
      <c r="G1238" s="27"/>
      <c r="H1238" s="28"/>
      <c r="I1238" s="28"/>
      <c r="J1238" s="255" t="str">
        <f>IF(H1238="","",(_xlfn.XLOOKUP(H1238,Cadastros!$D$6:$D$90,Cadastros!$E$6:$E$90))*(1-_xlfn.XLOOKUP(_xlfn.XLOOKUP($F1238,Clientes!$B$4:$B$39,Clientes!$C$4:$C$39),Cadastros!$L$6:$L$12,Cadastros!$N$6:$N$12)))</f>
        <v/>
      </c>
      <c r="K1238" s="168" t="str">
        <f t="shared" si="248"/>
        <v/>
      </c>
      <c r="L1238" s="168" t="str">
        <f>IFERROR(K1238/_xlfn.XLOOKUP(_xlfn.XLOOKUP($F1238,Clientes!$B$4:$B$39,Clientes!$C$4:$C$39),Cadastros!$L$6:$L$12,Cadastros!$M$6:$M$12)," ")</f>
        <v xml:space="preserve"> </v>
      </c>
      <c r="M1238" s="28"/>
      <c r="N1238" s="28"/>
      <c r="O1238" s="255" t="str">
        <f>IF(M1238="","",(_xlfn.XLOOKUP(M1238,Cadastros!$D$6:$D$90,Cadastros!$E$6:$E$90))*(1-_xlfn.XLOOKUP(_xlfn.XLOOKUP($F1238,Clientes!$B$4:$B$39,Clientes!$C$4:$C$39),Cadastros!$L$6:$L$12,Cadastros!$N$6:$N$12)))</f>
        <v/>
      </c>
      <c r="P1238" s="168" t="str">
        <f t="shared" si="249"/>
        <v/>
      </c>
      <c r="Q1238" s="168" t="str">
        <f>IFERROR(P1238/_xlfn.XLOOKUP(_xlfn.XLOOKUP($F1238,Clientes!$B$4:$B$39,Clientes!$C$4:$C$39),Cadastros!$L$6:$L$12,Cadastros!$M$6:$M$12)," ")</f>
        <v xml:space="preserve"> </v>
      </c>
      <c r="R1238" s="28"/>
      <c r="S1238" s="28"/>
      <c r="T1238" s="255" t="str">
        <f>IF(R1238="","",(_xlfn.XLOOKUP(R1238,Cadastros!$D$6:$D$90,Cadastros!$E$6:$E$90))*(1-_xlfn.XLOOKUP(_xlfn.XLOOKUP($F1238,Clientes!$B$4:$B$39,Clientes!$C$4:$C$39),Cadastros!$L$6:$L$12,Cadastros!$N$6:$N$12)))</f>
        <v/>
      </c>
      <c r="U1238" s="168" t="str">
        <f t="shared" si="250"/>
        <v/>
      </c>
      <c r="V1238" s="168" t="str">
        <f>IFERROR(U1238/_xlfn.XLOOKUP(_xlfn.XLOOKUP($F1238,Clientes!$B$4:$B$39,Clientes!$C$4:$C$39),Cadastros!$L$6:$L$12,Cadastros!$M$6:$M$12)," ")</f>
        <v xml:space="preserve"> </v>
      </c>
      <c r="W1238" s="28"/>
      <c r="X1238" s="28"/>
      <c r="Y1238" s="255" t="str">
        <f>IF(W1238="","",(_xlfn.XLOOKUP(W1238,Cadastros!$D$6:$D$90,Cadastros!$E$6:$E$90))*(1-_xlfn.XLOOKUP(_xlfn.XLOOKUP($F1238,Clientes!$B$4:$B$39,Clientes!$C$4:$C$39),Cadastros!$L$6:$L$12,Cadastros!$N$6:$N$12)))</f>
        <v/>
      </c>
      <c r="Z1238" s="168" t="str">
        <f t="shared" si="251"/>
        <v/>
      </c>
      <c r="AA1238" s="168" t="str">
        <f>IFERROR(Z1238/_xlfn.XLOOKUP(_xlfn.XLOOKUP($F1238,Clientes!$B$4:$B$39,Clientes!$C$4:$C$39),Cadastros!$L$6:$L$12,Cadastros!$M$6:$M$12)," ")</f>
        <v xml:space="preserve"> </v>
      </c>
      <c r="AB1238" s="28"/>
      <c r="AC1238" s="28"/>
      <c r="AD1238" s="20" t="str">
        <f>IF(AB1238="","",IF($F1238="Bernardino Furlan",_xlfn.XLOOKUP(AB1238,Cadastros!$G$6:$G$90,Cadastros!$H$6:$H$90)*(1-0.18),IF($F1238="Mauro José Salanti",_xlfn.XLOOKUP(AB1238,Cadastros!$G$6:$G$90,Cadastros!$H$6:$H$90)*(1-0.18),_xlfn.XLOOKUP(AB1238,Cadastros!$G$6:$G$90,Cadastros!$H$6:$H$90))))</f>
        <v/>
      </c>
      <c r="AE1238" s="168" t="str">
        <f t="shared" si="252"/>
        <v/>
      </c>
      <c r="AF1238" s="168" t="str">
        <f t="shared" si="253"/>
        <v/>
      </c>
      <c r="AG1238" s="28"/>
      <c r="AH1238" s="28"/>
      <c r="AI1238" s="20" t="str">
        <f>IF(AG1238="","",IF($F1238="Bernardino Furlan",_xlfn.XLOOKUP(AG1238,Cadastros!$G$6:$G$90,Cadastros!$H$6:$H$90)*(1-0.18),IF($F1238="Mauro José Salanti",_xlfn.XLOOKUP(AG1238,Cadastros!$G$6:$G$90,Cadastros!$H$6:$H$90)*(1-0.18),_xlfn.XLOOKUP(AG1238,Cadastros!$G$6:$G$90,Cadastros!$H$6:$H$90))))</f>
        <v/>
      </c>
      <c r="AJ1238" s="168" t="str">
        <f t="shared" si="254"/>
        <v/>
      </c>
      <c r="AK1238" s="168" t="str">
        <f t="shared" si="255"/>
        <v/>
      </c>
      <c r="AL1238" s="28"/>
      <c r="AM1238" s="28"/>
      <c r="AN1238" s="20" t="str">
        <f>IF(AL1238="","",IF($F1238="Bernardino Furlan",_xlfn.XLOOKUP(AL1238,Cadastros!$G$6:$G$90,Cadastros!$H$6:$H$90)*(1-0.18),IF($F1238="Mauro José Salanti",_xlfn.XLOOKUP(AL1238,Cadastros!$G$6:$G$90,Cadastros!$H$6:$H$90)*(1-0.18),_xlfn.XLOOKUP(AL1238,Cadastros!$G$6:$G$90,Cadastros!$H$6:$H$90))))</f>
        <v/>
      </c>
      <c r="AO1238" s="168" t="str">
        <f t="shared" si="256"/>
        <v/>
      </c>
      <c r="AP1238" s="168" t="str">
        <f t="shared" si="257"/>
        <v/>
      </c>
      <c r="AQ1238" s="28"/>
      <c r="AR1238" s="28"/>
      <c r="AS1238" s="20" t="str">
        <f>IF(AQ1238="","",IF($F1238="Bernardino Furlan",_xlfn.XLOOKUP(AQ1238,Cadastros!$G$6:$G$90,Cadastros!$H$6:$H$90)*(1-0.18),IF($F1238="Mauro José Salanti",_xlfn.XLOOKUP(AQ1238,Cadastros!$G$6:$G$90,Cadastros!$H$6:$H$90)*(1-0.18),_xlfn.XLOOKUP(AQ1238,Cadastros!$G$6:$G$90,Cadastros!$H$6:$H$90))))</f>
        <v/>
      </c>
      <c r="AT1238" s="168" t="str">
        <f t="shared" si="258"/>
        <v/>
      </c>
      <c r="AU1238" s="168" t="str">
        <f t="shared" si="259"/>
        <v/>
      </c>
      <c r="AV1238" s="227"/>
      <c r="AW1238" s="30"/>
      <c r="AX1238" s="267"/>
      <c r="AY1238" s="267"/>
      <c r="AZ1238" s="29"/>
      <c r="BA1238" s="30"/>
      <c r="BB1238" s="23" t="str" cm="1">
        <f t="array" ref="BB1238">_xlfn.IFS(AW1238="SIM",SUM(K1238,P1238,U1238,Z1238,AE1238,AJ1238,AO1238,AT1238,AX1238,AY1238),F1238&lt;&gt;"",SUM(K1238,P1238,U1238,Z1238,AE1238,AJ1238,,AO1238,AT1238),F1238="","")</f>
        <v/>
      </c>
      <c r="BC1238" s="211" t="str" cm="1">
        <f t="array" ref="BC1238">_xlfn.IFS(E1238="","",G1238&lt;=E1238,BB1238*(1-0.03),G1238&lt;(E1238+8),BB1238,AZ1238="Boleto",BB1238*(1+0.001)^DATEDIF(E1238,G1238,"D"),AZ1238="Cheque",BB1238,AZ1238="Dinheiro","Alterar forma pgto")</f>
        <v/>
      </c>
      <c r="BD1238" s="276" t="str" cm="1">
        <f t="array" ref="BD1238">IF(F1238=0," ",IF(BC1238&lt;BB1238,(_xlfn.IFS(AW1238="SIM",SUM(L1238,Q1238,V1238,AA1238,AF1238,AK1238,AP1238,AU1238)+AX1238/_xlfn.XLOOKUP(_xlfn.XLOOKUP($F1238,Clientes!$B$4:$B$39,Clientes!$C$4:$C$39),Cadastros!$L$6:$L$12,Cadastros!$M$6:$M$12)+IF($F1238="Bernardino Furlan",AY1238/2751.92,IF($F1238="Mauro José Salanti",AY1238/2751.92,AY1238/3356)),F1238&lt;&gt;0,SUM(L1238,Q1238,V1238,AA1238,AF1238,AK1238,AP1238,AU1238)))*(1-0.03),_xlfn.IFS(AW1238="SIM",SUM(L1238,Q1238,V1238,AA1238,AF1238,AK1238,AP1238,AU1238)+AX1238/_xlfn.XLOOKUP(_xlfn.XLOOKUP($F1238,Clientes!$B$4:$B$39,Clientes!$C$4:$C$39),Cadastros!$L$6:$L$12,Cadastros!$M$6:$M$12)+IF($F1238="Bernardino Furlan",AY1238/2751.92,IF($F1238="Mauro José Salanti",AY1238/2751.92,AY1238/3356)),F1238&lt;&gt;0,SUM(L1238,Q1238,V1238,AA1238,AF1238,AK1238,AP1238,AU1238))))</f>
        <v xml:space="preserve"> </v>
      </c>
      <c r="BE1238" s="120"/>
      <c r="BF1238" s="120"/>
      <c r="BG1238" s="120"/>
    </row>
    <row r="1239" spans="1:59" s="3" customFormat="1" x14ac:dyDescent="0.3">
      <c r="A1239" s="15" t="str">
        <f t="shared" si="247"/>
        <v/>
      </c>
      <c r="B1239" s="25"/>
      <c r="C1239" s="26"/>
      <c r="D1239" s="279"/>
      <c r="E1239" s="27"/>
      <c r="F1239" s="28"/>
      <c r="G1239" s="27"/>
      <c r="H1239" s="28"/>
      <c r="I1239" s="28"/>
      <c r="J1239" s="255" t="str">
        <f>IF(H1239="","",(_xlfn.XLOOKUP(H1239,Cadastros!$D$6:$D$90,Cadastros!$E$6:$E$90))*(1-_xlfn.XLOOKUP(_xlfn.XLOOKUP($F1239,Clientes!$B$4:$B$39,Clientes!$C$4:$C$39),Cadastros!$L$6:$L$12,Cadastros!$N$6:$N$12)))</f>
        <v/>
      </c>
      <c r="K1239" s="168" t="str">
        <f t="shared" si="248"/>
        <v/>
      </c>
      <c r="L1239" s="168" t="str">
        <f>IFERROR(K1239/_xlfn.XLOOKUP(_xlfn.XLOOKUP($F1239,Clientes!$B$4:$B$39,Clientes!$C$4:$C$39),Cadastros!$L$6:$L$12,Cadastros!$M$6:$M$12)," ")</f>
        <v xml:space="preserve"> </v>
      </c>
      <c r="M1239" s="28"/>
      <c r="N1239" s="28"/>
      <c r="O1239" s="255" t="str">
        <f>IF(M1239="","",(_xlfn.XLOOKUP(M1239,Cadastros!$D$6:$D$90,Cadastros!$E$6:$E$90))*(1-_xlfn.XLOOKUP(_xlfn.XLOOKUP($F1239,Clientes!$B$4:$B$39,Clientes!$C$4:$C$39),Cadastros!$L$6:$L$12,Cadastros!$N$6:$N$12)))</f>
        <v/>
      </c>
      <c r="P1239" s="168" t="str">
        <f t="shared" si="249"/>
        <v/>
      </c>
      <c r="Q1239" s="168" t="str">
        <f>IFERROR(P1239/_xlfn.XLOOKUP(_xlfn.XLOOKUP($F1239,Clientes!$B$4:$B$39,Clientes!$C$4:$C$39),Cadastros!$L$6:$L$12,Cadastros!$M$6:$M$12)," ")</f>
        <v xml:space="preserve"> </v>
      </c>
      <c r="R1239" s="28"/>
      <c r="S1239" s="28"/>
      <c r="T1239" s="255" t="str">
        <f>IF(R1239="","",(_xlfn.XLOOKUP(R1239,Cadastros!$D$6:$D$90,Cadastros!$E$6:$E$90))*(1-_xlfn.XLOOKUP(_xlfn.XLOOKUP($F1239,Clientes!$B$4:$B$39,Clientes!$C$4:$C$39),Cadastros!$L$6:$L$12,Cadastros!$N$6:$N$12)))</f>
        <v/>
      </c>
      <c r="U1239" s="168" t="str">
        <f t="shared" si="250"/>
        <v/>
      </c>
      <c r="V1239" s="168" t="str">
        <f>IFERROR(U1239/_xlfn.XLOOKUP(_xlfn.XLOOKUP($F1239,Clientes!$B$4:$B$39,Clientes!$C$4:$C$39),Cadastros!$L$6:$L$12,Cadastros!$M$6:$M$12)," ")</f>
        <v xml:space="preserve"> </v>
      </c>
      <c r="W1239" s="28"/>
      <c r="X1239" s="28"/>
      <c r="Y1239" s="255" t="str">
        <f>IF(W1239="","",(_xlfn.XLOOKUP(W1239,Cadastros!$D$6:$D$90,Cadastros!$E$6:$E$90))*(1-_xlfn.XLOOKUP(_xlfn.XLOOKUP($F1239,Clientes!$B$4:$B$39,Clientes!$C$4:$C$39),Cadastros!$L$6:$L$12,Cadastros!$N$6:$N$12)))</f>
        <v/>
      </c>
      <c r="Z1239" s="168" t="str">
        <f t="shared" si="251"/>
        <v/>
      </c>
      <c r="AA1239" s="168" t="str">
        <f>IFERROR(Z1239/_xlfn.XLOOKUP(_xlfn.XLOOKUP($F1239,Clientes!$B$4:$B$39,Clientes!$C$4:$C$39),Cadastros!$L$6:$L$12,Cadastros!$M$6:$M$12)," ")</f>
        <v xml:space="preserve"> </v>
      </c>
      <c r="AB1239" s="28"/>
      <c r="AC1239" s="28"/>
      <c r="AD1239" s="20" t="str">
        <f>IF(AB1239="","",IF($F1239="Bernardino Furlan",_xlfn.XLOOKUP(AB1239,Cadastros!$G$6:$G$90,Cadastros!$H$6:$H$90)*(1-0.18),IF($F1239="Mauro José Salanti",_xlfn.XLOOKUP(AB1239,Cadastros!$G$6:$G$90,Cadastros!$H$6:$H$90)*(1-0.18),_xlfn.XLOOKUP(AB1239,Cadastros!$G$6:$G$90,Cadastros!$H$6:$H$90))))</f>
        <v/>
      </c>
      <c r="AE1239" s="168" t="str">
        <f t="shared" si="252"/>
        <v/>
      </c>
      <c r="AF1239" s="168" t="str">
        <f t="shared" si="253"/>
        <v/>
      </c>
      <c r="AG1239" s="28"/>
      <c r="AH1239" s="28"/>
      <c r="AI1239" s="20" t="str">
        <f>IF(AG1239="","",IF($F1239="Bernardino Furlan",_xlfn.XLOOKUP(AG1239,Cadastros!$G$6:$G$90,Cadastros!$H$6:$H$90)*(1-0.18),IF($F1239="Mauro José Salanti",_xlfn.XLOOKUP(AG1239,Cadastros!$G$6:$G$90,Cadastros!$H$6:$H$90)*(1-0.18),_xlfn.XLOOKUP(AG1239,Cadastros!$G$6:$G$90,Cadastros!$H$6:$H$90))))</f>
        <v/>
      </c>
      <c r="AJ1239" s="168" t="str">
        <f t="shared" si="254"/>
        <v/>
      </c>
      <c r="AK1239" s="168" t="str">
        <f t="shared" si="255"/>
        <v/>
      </c>
      <c r="AL1239" s="28"/>
      <c r="AM1239" s="28"/>
      <c r="AN1239" s="20" t="str">
        <f>IF(AL1239="","",IF($F1239="Bernardino Furlan",_xlfn.XLOOKUP(AL1239,Cadastros!$G$6:$G$90,Cadastros!$H$6:$H$90)*(1-0.18),IF($F1239="Mauro José Salanti",_xlfn.XLOOKUP(AL1239,Cadastros!$G$6:$G$90,Cadastros!$H$6:$H$90)*(1-0.18),_xlfn.XLOOKUP(AL1239,Cadastros!$G$6:$G$90,Cadastros!$H$6:$H$90))))</f>
        <v/>
      </c>
      <c r="AO1239" s="168" t="str">
        <f t="shared" si="256"/>
        <v/>
      </c>
      <c r="AP1239" s="168" t="str">
        <f t="shared" si="257"/>
        <v/>
      </c>
      <c r="AQ1239" s="28"/>
      <c r="AR1239" s="28"/>
      <c r="AS1239" s="20" t="str">
        <f>IF(AQ1239="","",IF($F1239="Bernardino Furlan",_xlfn.XLOOKUP(AQ1239,Cadastros!$G$6:$G$90,Cadastros!$H$6:$H$90)*(1-0.18),IF($F1239="Mauro José Salanti",_xlfn.XLOOKUP(AQ1239,Cadastros!$G$6:$G$90,Cadastros!$H$6:$H$90)*(1-0.18),_xlfn.XLOOKUP(AQ1239,Cadastros!$G$6:$G$90,Cadastros!$H$6:$H$90))))</f>
        <v/>
      </c>
      <c r="AT1239" s="168" t="str">
        <f t="shared" si="258"/>
        <v/>
      </c>
      <c r="AU1239" s="168" t="str">
        <f t="shared" si="259"/>
        <v/>
      </c>
      <c r="AV1239" s="227"/>
      <c r="AW1239" s="30"/>
      <c r="AX1239" s="267"/>
      <c r="AY1239" s="267"/>
      <c r="AZ1239" s="29"/>
      <c r="BA1239" s="30"/>
      <c r="BB1239" s="23" t="str" cm="1">
        <f t="array" ref="BB1239">_xlfn.IFS(AW1239="SIM",SUM(K1239,P1239,U1239,Z1239,AE1239,AJ1239,AO1239,AT1239,AX1239,AY1239),F1239&lt;&gt;"",SUM(K1239,P1239,U1239,Z1239,AE1239,AJ1239,,AO1239,AT1239),F1239="","")</f>
        <v/>
      </c>
      <c r="BC1239" s="211" t="str" cm="1">
        <f t="array" ref="BC1239">_xlfn.IFS(E1239="","",G1239&lt;=E1239,BB1239*(1-0.03),G1239&lt;(E1239+8),BB1239,AZ1239="Boleto",BB1239*(1+0.001)^DATEDIF(E1239,G1239,"D"),AZ1239="Cheque",BB1239,AZ1239="Dinheiro","Alterar forma pgto")</f>
        <v/>
      </c>
      <c r="BD1239" s="276" t="str" cm="1">
        <f t="array" ref="BD1239">IF(F1239=0," ",IF(BC1239&lt;BB1239,(_xlfn.IFS(AW1239="SIM",SUM(L1239,Q1239,V1239,AA1239,AF1239,AK1239,AP1239,AU1239)+AX1239/_xlfn.XLOOKUP(_xlfn.XLOOKUP($F1239,Clientes!$B$4:$B$39,Clientes!$C$4:$C$39),Cadastros!$L$6:$L$12,Cadastros!$M$6:$M$12)+IF($F1239="Bernardino Furlan",AY1239/2751.92,IF($F1239="Mauro José Salanti",AY1239/2751.92,AY1239/3356)),F1239&lt;&gt;0,SUM(L1239,Q1239,V1239,AA1239,AF1239,AK1239,AP1239,AU1239)))*(1-0.03),_xlfn.IFS(AW1239="SIM",SUM(L1239,Q1239,V1239,AA1239,AF1239,AK1239,AP1239,AU1239)+AX1239/_xlfn.XLOOKUP(_xlfn.XLOOKUP($F1239,Clientes!$B$4:$B$39,Clientes!$C$4:$C$39),Cadastros!$L$6:$L$12,Cadastros!$M$6:$M$12)+IF($F1239="Bernardino Furlan",AY1239/2751.92,IF($F1239="Mauro José Salanti",AY1239/2751.92,AY1239/3356)),F1239&lt;&gt;0,SUM(L1239,Q1239,V1239,AA1239,AF1239,AK1239,AP1239,AU1239))))</f>
        <v xml:space="preserve"> </v>
      </c>
      <c r="BE1239" s="120"/>
      <c r="BF1239" s="120"/>
      <c r="BG1239" s="120"/>
    </row>
    <row r="1240" spans="1:59" s="3" customFormat="1" x14ac:dyDescent="0.3">
      <c r="A1240" s="15" t="str">
        <f t="shared" si="247"/>
        <v/>
      </c>
      <c r="B1240" s="25"/>
      <c r="C1240" s="26"/>
      <c r="D1240" s="279"/>
      <c r="E1240" s="27"/>
      <c r="F1240" s="28"/>
      <c r="G1240" s="27"/>
      <c r="H1240" s="28"/>
      <c r="I1240" s="28"/>
      <c r="J1240" s="255" t="str">
        <f>IF(H1240="","",(_xlfn.XLOOKUP(H1240,Cadastros!$D$6:$D$90,Cadastros!$E$6:$E$90))*(1-_xlfn.XLOOKUP(_xlfn.XLOOKUP($F1240,Clientes!$B$4:$B$39,Clientes!$C$4:$C$39),Cadastros!$L$6:$L$12,Cadastros!$N$6:$N$12)))</f>
        <v/>
      </c>
      <c r="K1240" s="168" t="str">
        <f t="shared" si="248"/>
        <v/>
      </c>
      <c r="L1240" s="168" t="str">
        <f>IFERROR(K1240/_xlfn.XLOOKUP(_xlfn.XLOOKUP($F1240,Clientes!$B$4:$B$39,Clientes!$C$4:$C$39),Cadastros!$L$6:$L$12,Cadastros!$M$6:$M$12)," ")</f>
        <v xml:space="preserve"> </v>
      </c>
      <c r="M1240" s="28"/>
      <c r="N1240" s="28"/>
      <c r="O1240" s="255" t="str">
        <f>IF(M1240="","",(_xlfn.XLOOKUP(M1240,Cadastros!$D$6:$D$90,Cadastros!$E$6:$E$90))*(1-_xlfn.XLOOKUP(_xlfn.XLOOKUP($F1240,Clientes!$B$4:$B$39,Clientes!$C$4:$C$39),Cadastros!$L$6:$L$12,Cadastros!$N$6:$N$12)))</f>
        <v/>
      </c>
      <c r="P1240" s="168" t="str">
        <f t="shared" si="249"/>
        <v/>
      </c>
      <c r="Q1240" s="168" t="str">
        <f>IFERROR(P1240/_xlfn.XLOOKUP(_xlfn.XLOOKUP($F1240,Clientes!$B$4:$B$39,Clientes!$C$4:$C$39),Cadastros!$L$6:$L$12,Cadastros!$M$6:$M$12)," ")</f>
        <v xml:space="preserve"> </v>
      </c>
      <c r="R1240" s="28"/>
      <c r="S1240" s="28"/>
      <c r="T1240" s="255" t="str">
        <f>IF(R1240="","",(_xlfn.XLOOKUP(R1240,Cadastros!$D$6:$D$90,Cadastros!$E$6:$E$90))*(1-_xlfn.XLOOKUP(_xlfn.XLOOKUP($F1240,Clientes!$B$4:$B$39,Clientes!$C$4:$C$39),Cadastros!$L$6:$L$12,Cadastros!$N$6:$N$12)))</f>
        <v/>
      </c>
      <c r="U1240" s="168" t="str">
        <f t="shared" si="250"/>
        <v/>
      </c>
      <c r="V1240" s="168" t="str">
        <f>IFERROR(U1240/_xlfn.XLOOKUP(_xlfn.XLOOKUP($F1240,Clientes!$B$4:$B$39,Clientes!$C$4:$C$39),Cadastros!$L$6:$L$12,Cadastros!$M$6:$M$12)," ")</f>
        <v xml:space="preserve"> </v>
      </c>
      <c r="W1240" s="28"/>
      <c r="X1240" s="28"/>
      <c r="Y1240" s="255" t="str">
        <f>IF(W1240="","",(_xlfn.XLOOKUP(W1240,Cadastros!$D$6:$D$90,Cadastros!$E$6:$E$90))*(1-_xlfn.XLOOKUP(_xlfn.XLOOKUP($F1240,Clientes!$B$4:$B$39,Clientes!$C$4:$C$39),Cadastros!$L$6:$L$12,Cadastros!$N$6:$N$12)))</f>
        <v/>
      </c>
      <c r="Z1240" s="168" t="str">
        <f t="shared" si="251"/>
        <v/>
      </c>
      <c r="AA1240" s="168" t="str">
        <f>IFERROR(Z1240/_xlfn.XLOOKUP(_xlfn.XLOOKUP($F1240,Clientes!$B$4:$B$39,Clientes!$C$4:$C$39),Cadastros!$L$6:$L$12,Cadastros!$M$6:$M$12)," ")</f>
        <v xml:space="preserve"> </v>
      </c>
      <c r="AB1240" s="28"/>
      <c r="AC1240" s="28"/>
      <c r="AD1240" s="20" t="str">
        <f>IF(AB1240="","",IF($F1240="Bernardino Furlan",_xlfn.XLOOKUP(AB1240,Cadastros!$G$6:$G$90,Cadastros!$H$6:$H$90)*(1-0.18),IF($F1240="Mauro José Salanti",_xlfn.XLOOKUP(AB1240,Cadastros!$G$6:$G$90,Cadastros!$H$6:$H$90)*(1-0.18),_xlfn.XLOOKUP(AB1240,Cadastros!$G$6:$G$90,Cadastros!$H$6:$H$90))))</f>
        <v/>
      </c>
      <c r="AE1240" s="168" t="str">
        <f t="shared" si="252"/>
        <v/>
      </c>
      <c r="AF1240" s="168" t="str">
        <f t="shared" si="253"/>
        <v/>
      </c>
      <c r="AG1240" s="28"/>
      <c r="AH1240" s="28"/>
      <c r="AI1240" s="20" t="str">
        <f>IF(AG1240="","",IF($F1240="Bernardino Furlan",_xlfn.XLOOKUP(AG1240,Cadastros!$G$6:$G$90,Cadastros!$H$6:$H$90)*(1-0.18),IF($F1240="Mauro José Salanti",_xlfn.XLOOKUP(AG1240,Cadastros!$G$6:$G$90,Cadastros!$H$6:$H$90)*(1-0.18),_xlfn.XLOOKUP(AG1240,Cadastros!$G$6:$G$90,Cadastros!$H$6:$H$90))))</f>
        <v/>
      </c>
      <c r="AJ1240" s="168" t="str">
        <f t="shared" si="254"/>
        <v/>
      </c>
      <c r="AK1240" s="168" t="str">
        <f t="shared" si="255"/>
        <v/>
      </c>
      <c r="AL1240" s="28"/>
      <c r="AM1240" s="28"/>
      <c r="AN1240" s="20" t="str">
        <f>IF(AL1240="","",IF($F1240="Bernardino Furlan",_xlfn.XLOOKUP(AL1240,Cadastros!$G$6:$G$90,Cadastros!$H$6:$H$90)*(1-0.18),IF($F1240="Mauro José Salanti",_xlfn.XLOOKUP(AL1240,Cadastros!$G$6:$G$90,Cadastros!$H$6:$H$90)*(1-0.18),_xlfn.XLOOKUP(AL1240,Cadastros!$G$6:$G$90,Cadastros!$H$6:$H$90))))</f>
        <v/>
      </c>
      <c r="AO1240" s="168" t="str">
        <f t="shared" si="256"/>
        <v/>
      </c>
      <c r="AP1240" s="168" t="str">
        <f t="shared" si="257"/>
        <v/>
      </c>
      <c r="AQ1240" s="28"/>
      <c r="AR1240" s="28"/>
      <c r="AS1240" s="20" t="str">
        <f>IF(AQ1240="","",IF($F1240="Bernardino Furlan",_xlfn.XLOOKUP(AQ1240,Cadastros!$G$6:$G$90,Cadastros!$H$6:$H$90)*(1-0.18),IF($F1240="Mauro José Salanti",_xlfn.XLOOKUP(AQ1240,Cadastros!$G$6:$G$90,Cadastros!$H$6:$H$90)*(1-0.18),_xlfn.XLOOKUP(AQ1240,Cadastros!$G$6:$G$90,Cadastros!$H$6:$H$90))))</f>
        <v/>
      </c>
      <c r="AT1240" s="168" t="str">
        <f t="shared" si="258"/>
        <v/>
      </c>
      <c r="AU1240" s="168" t="str">
        <f t="shared" si="259"/>
        <v/>
      </c>
      <c r="AV1240" s="227"/>
      <c r="AW1240" s="30"/>
      <c r="AX1240" s="267"/>
      <c r="AY1240" s="267"/>
      <c r="AZ1240" s="29"/>
      <c r="BA1240" s="30"/>
      <c r="BB1240" s="23" t="str" cm="1">
        <f t="array" ref="BB1240">_xlfn.IFS(AW1240="SIM",SUM(K1240,P1240,U1240,Z1240,AE1240,AJ1240,AO1240,AT1240,AX1240,AY1240),F1240&lt;&gt;"",SUM(K1240,P1240,U1240,Z1240,AE1240,AJ1240,,AO1240,AT1240),F1240="","")</f>
        <v/>
      </c>
      <c r="BC1240" s="211" t="str" cm="1">
        <f t="array" ref="BC1240">_xlfn.IFS(E1240="","",G1240&lt;=E1240,BB1240*(1-0.03),G1240&lt;(E1240+8),BB1240,AZ1240="Boleto",BB1240*(1+0.001)^DATEDIF(E1240,G1240,"D"),AZ1240="Cheque",BB1240,AZ1240="Dinheiro","Alterar forma pgto")</f>
        <v/>
      </c>
      <c r="BD1240" s="276" t="str" cm="1">
        <f t="array" ref="BD1240">IF(F1240=0," ",IF(BC1240&lt;BB1240,(_xlfn.IFS(AW1240="SIM",SUM(L1240,Q1240,V1240,AA1240,AF1240,AK1240,AP1240,AU1240)+AX1240/_xlfn.XLOOKUP(_xlfn.XLOOKUP($F1240,Clientes!$B$4:$B$39,Clientes!$C$4:$C$39),Cadastros!$L$6:$L$12,Cadastros!$M$6:$M$12)+IF($F1240="Bernardino Furlan",AY1240/2751.92,IF($F1240="Mauro José Salanti",AY1240/2751.92,AY1240/3356)),F1240&lt;&gt;0,SUM(L1240,Q1240,V1240,AA1240,AF1240,AK1240,AP1240,AU1240)))*(1-0.03),_xlfn.IFS(AW1240="SIM",SUM(L1240,Q1240,V1240,AA1240,AF1240,AK1240,AP1240,AU1240)+AX1240/_xlfn.XLOOKUP(_xlfn.XLOOKUP($F1240,Clientes!$B$4:$B$39,Clientes!$C$4:$C$39),Cadastros!$L$6:$L$12,Cadastros!$M$6:$M$12)+IF($F1240="Bernardino Furlan",AY1240/2751.92,IF($F1240="Mauro José Salanti",AY1240/2751.92,AY1240/3356)),F1240&lt;&gt;0,SUM(L1240,Q1240,V1240,AA1240,AF1240,AK1240,AP1240,AU1240))))</f>
        <v xml:space="preserve"> </v>
      </c>
      <c r="BE1240" s="120"/>
      <c r="BF1240" s="120"/>
      <c r="BG1240" s="120"/>
    </row>
    <row r="1241" spans="1:59" s="3" customFormat="1" x14ac:dyDescent="0.3">
      <c r="A1241" s="15" t="str">
        <f t="shared" si="247"/>
        <v/>
      </c>
      <c r="B1241" s="25"/>
      <c r="C1241" s="26"/>
      <c r="D1241" s="279"/>
      <c r="E1241" s="27"/>
      <c r="F1241" s="28"/>
      <c r="G1241" s="27"/>
      <c r="H1241" s="28"/>
      <c r="I1241" s="28"/>
      <c r="J1241" s="255" t="str">
        <f>IF(H1241="","",(_xlfn.XLOOKUP(H1241,Cadastros!$D$6:$D$90,Cadastros!$E$6:$E$90))*(1-_xlfn.XLOOKUP(_xlfn.XLOOKUP($F1241,Clientes!$B$4:$B$39,Clientes!$C$4:$C$39),Cadastros!$L$6:$L$12,Cadastros!$N$6:$N$12)))</f>
        <v/>
      </c>
      <c r="K1241" s="168" t="str">
        <f t="shared" si="248"/>
        <v/>
      </c>
      <c r="L1241" s="168" t="str">
        <f>IFERROR(K1241/_xlfn.XLOOKUP(_xlfn.XLOOKUP($F1241,Clientes!$B$4:$B$39,Clientes!$C$4:$C$39),Cadastros!$L$6:$L$12,Cadastros!$M$6:$M$12)," ")</f>
        <v xml:space="preserve"> </v>
      </c>
      <c r="M1241" s="28"/>
      <c r="N1241" s="28"/>
      <c r="O1241" s="255" t="str">
        <f>IF(M1241="","",(_xlfn.XLOOKUP(M1241,Cadastros!$D$6:$D$90,Cadastros!$E$6:$E$90))*(1-_xlfn.XLOOKUP(_xlfn.XLOOKUP($F1241,Clientes!$B$4:$B$39,Clientes!$C$4:$C$39),Cadastros!$L$6:$L$12,Cadastros!$N$6:$N$12)))</f>
        <v/>
      </c>
      <c r="P1241" s="168" t="str">
        <f t="shared" si="249"/>
        <v/>
      </c>
      <c r="Q1241" s="168" t="str">
        <f>IFERROR(P1241/_xlfn.XLOOKUP(_xlfn.XLOOKUP($F1241,Clientes!$B$4:$B$39,Clientes!$C$4:$C$39),Cadastros!$L$6:$L$12,Cadastros!$M$6:$M$12)," ")</f>
        <v xml:space="preserve"> </v>
      </c>
      <c r="R1241" s="28"/>
      <c r="S1241" s="28"/>
      <c r="T1241" s="255" t="str">
        <f>IF(R1241="","",(_xlfn.XLOOKUP(R1241,Cadastros!$D$6:$D$90,Cadastros!$E$6:$E$90))*(1-_xlfn.XLOOKUP(_xlfn.XLOOKUP($F1241,Clientes!$B$4:$B$39,Clientes!$C$4:$C$39),Cadastros!$L$6:$L$12,Cadastros!$N$6:$N$12)))</f>
        <v/>
      </c>
      <c r="U1241" s="168" t="str">
        <f t="shared" si="250"/>
        <v/>
      </c>
      <c r="V1241" s="168" t="str">
        <f>IFERROR(U1241/_xlfn.XLOOKUP(_xlfn.XLOOKUP($F1241,Clientes!$B$4:$B$39,Clientes!$C$4:$C$39),Cadastros!$L$6:$L$12,Cadastros!$M$6:$M$12)," ")</f>
        <v xml:space="preserve"> </v>
      </c>
      <c r="W1241" s="28"/>
      <c r="X1241" s="28"/>
      <c r="Y1241" s="255" t="str">
        <f>IF(W1241="","",(_xlfn.XLOOKUP(W1241,Cadastros!$D$6:$D$90,Cadastros!$E$6:$E$90))*(1-_xlfn.XLOOKUP(_xlfn.XLOOKUP($F1241,Clientes!$B$4:$B$39,Clientes!$C$4:$C$39),Cadastros!$L$6:$L$12,Cadastros!$N$6:$N$12)))</f>
        <v/>
      </c>
      <c r="Z1241" s="168" t="str">
        <f t="shared" si="251"/>
        <v/>
      </c>
      <c r="AA1241" s="168" t="str">
        <f>IFERROR(Z1241/_xlfn.XLOOKUP(_xlfn.XLOOKUP($F1241,Clientes!$B$4:$B$39,Clientes!$C$4:$C$39),Cadastros!$L$6:$L$12,Cadastros!$M$6:$M$12)," ")</f>
        <v xml:space="preserve"> </v>
      </c>
      <c r="AB1241" s="28"/>
      <c r="AC1241" s="28"/>
      <c r="AD1241" s="20" t="str">
        <f>IF(AB1241="","",IF($F1241="Bernardino Furlan",_xlfn.XLOOKUP(AB1241,Cadastros!$G$6:$G$90,Cadastros!$H$6:$H$90)*(1-0.18),IF($F1241="Mauro José Salanti",_xlfn.XLOOKUP(AB1241,Cadastros!$G$6:$G$90,Cadastros!$H$6:$H$90)*(1-0.18),_xlfn.XLOOKUP(AB1241,Cadastros!$G$6:$G$90,Cadastros!$H$6:$H$90))))</f>
        <v/>
      </c>
      <c r="AE1241" s="168" t="str">
        <f t="shared" si="252"/>
        <v/>
      </c>
      <c r="AF1241" s="168" t="str">
        <f t="shared" si="253"/>
        <v/>
      </c>
      <c r="AG1241" s="28"/>
      <c r="AH1241" s="28"/>
      <c r="AI1241" s="20" t="str">
        <f>IF(AG1241="","",IF($F1241="Bernardino Furlan",_xlfn.XLOOKUP(AG1241,Cadastros!$G$6:$G$90,Cadastros!$H$6:$H$90)*(1-0.18),IF($F1241="Mauro José Salanti",_xlfn.XLOOKUP(AG1241,Cadastros!$G$6:$G$90,Cadastros!$H$6:$H$90)*(1-0.18),_xlfn.XLOOKUP(AG1241,Cadastros!$G$6:$G$90,Cadastros!$H$6:$H$90))))</f>
        <v/>
      </c>
      <c r="AJ1241" s="168" t="str">
        <f t="shared" si="254"/>
        <v/>
      </c>
      <c r="AK1241" s="168" t="str">
        <f t="shared" si="255"/>
        <v/>
      </c>
      <c r="AL1241" s="28"/>
      <c r="AM1241" s="28"/>
      <c r="AN1241" s="20" t="str">
        <f>IF(AL1241="","",IF($F1241="Bernardino Furlan",_xlfn.XLOOKUP(AL1241,Cadastros!$G$6:$G$90,Cadastros!$H$6:$H$90)*(1-0.18),IF($F1241="Mauro José Salanti",_xlfn.XLOOKUP(AL1241,Cadastros!$G$6:$G$90,Cadastros!$H$6:$H$90)*(1-0.18),_xlfn.XLOOKUP(AL1241,Cadastros!$G$6:$G$90,Cadastros!$H$6:$H$90))))</f>
        <v/>
      </c>
      <c r="AO1241" s="168" t="str">
        <f t="shared" si="256"/>
        <v/>
      </c>
      <c r="AP1241" s="168" t="str">
        <f t="shared" si="257"/>
        <v/>
      </c>
      <c r="AQ1241" s="28"/>
      <c r="AR1241" s="28"/>
      <c r="AS1241" s="20" t="str">
        <f>IF(AQ1241="","",IF($F1241="Bernardino Furlan",_xlfn.XLOOKUP(AQ1241,Cadastros!$G$6:$G$90,Cadastros!$H$6:$H$90)*(1-0.18),IF($F1241="Mauro José Salanti",_xlfn.XLOOKUP(AQ1241,Cadastros!$G$6:$G$90,Cadastros!$H$6:$H$90)*(1-0.18),_xlfn.XLOOKUP(AQ1241,Cadastros!$G$6:$G$90,Cadastros!$H$6:$H$90))))</f>
        <v/>
      </c>
      <c r="AT1241" s="168" t="str">
        <f t="shared" si="258"/>
        <v/>
      </c>
      <c r="AU1241" s="168" t="str">
        <f t="shared" si="259"/>
        <v/>
      </c>
      <c r="AV1241" s="227"/>
      <c r="AW1241" s="30"/>
      <c r="AX1241" s="267"/>
      <c r="AY1241" s="267"/>
      <c r="AZ1241" s="29"/>
      <c r="BA1241" s="30"/>
      <c r="BB1241" s="23" t="str" cm="1">
        <f t="array" ref="BB1241">_xlfn.IFS(AW1241="SIM",SUM(K1241,P1241,U1241,Z1241,AE1241,AJ1241,AO1241,AT1241,AX1241,AY1241),F1241&lt;&gt;"",SUM(K1241,P1241,U1241,Z1241,AE1241,AJ1241,,AO1241,AT1241),F1241="","")</f>
        <v/>
      </c>
      <c r="BC1241" s="211" t="str" cm="1">
        <f t="array" ref="BC1241">_xlfn.IFS(E1241="","",G1241&lt;=E1241,BB1241*(1-0.03),G1241&lt;(E1241+8),BB1241,AZ1241="Boleto",BB1241*(1+0.001)^DATEDIF(E1241,G1241,"D"),AZ1241="Cheque",BB1241,AZ1241="Dinheiro","Alterar forma pgto")</f>
        <v/>
      </c>
      <c r="BD1241" s="276" t="str" cm="1">
        <f t="array" ref="BD1241">IF(F1241=0," ",IF(BC1241&lt;BB1241,(_xlfn.IFS(AW1241="SIM",SUM(L1241,Q1241,V1241,AA1241,AF1241,AK1241,AP1241,AU1241)+AX1241/_xlfn.XLOOKUP(_xlfn.XLOOKUP($F1241,Clientes!$B$4:$B$39,Clientes!$C$4:$C$39),Cadastros!$L$6:$L$12,Cadastros!$M$6:$M$12)+IF($F1241="Bernardino Furlan",AY1241/2751.92,IF($F1241="Mauro José Salanti",AY1241/2751.92,AY1241/3356)),F1241&lt;&gt;0,SUM(L1241,Q1241,V1241,AA1241,AF1241,AK1241,AP1241,AU1241)))*(1-0.03),_xlfn.IFS(AW1241="SIM",SUM(L1241,Q1241,V1241,AA1241,AF1241,AK1241,AP1241,AU1241)+AX1241/_xlfn.XLOOKUP(_xlfn.XLOOKUP($F1241,Clientes!$B$4:$B$39,Clientes!$C$4:$C$39),Cadastros!$L$6:$L$12,Cadastros!$M$6:$M$12)+IF($F1241="Bernardino Furlan",AY1241/2751.92,IF($F1241="Mauro José Salanti",AY1241/2751.92,AY1241/3356)),F1241&lt;&gt;0,SUM(L1241,Q1241,V1241,AA1241,AF1241,AK1241,AP1241,AU1241))))</f>
        <v xml:space="preserve"> </v>
      </c>
      <c r="BE1241" s="120"/>
      <c r="BF1241" s="120"/>
      <c r="BG1241" s="120"/>
    </row>
    <row r="1242" spans="1:59" s="3" customFormat="1" x14ac:dyDescent="0.3">
      <c r="A1242" s="15" t="str">
        <f t="shared" si="247"/>
        <v/>
      </c>
      <c r="B1242" s="25"/>
      <c r="C1242" s="26"/>
      <c r="D1242" s="279"/>
      <c r="E1242" s="27"/>
      <c r="F1242" s="28"/>
      <c r="G1242" s="27"/>
      <c r="H1242" s="28"/>
      <c r="I1242" s="28"/>
      <c r="J1242" s="255" t="str">
        <f>IF(H1242="","",(_xlfn.XLOOKUP(H1242,Cadastros!$D$6:$D$90,Cadastros!$E$6:$E$90))*(1-_xlfn.XLOOKUP(_xlfn.XLOOKUP($F1242,Clientes!$B$4:$B$39,Clientes!$C$4:$C$39),Cadastros!$L$6:$L$12,Cadastros!$N$6:$N$12)))</f>
        <v/>
      </c>
      <c r="K1242" s="168" t="str">
        <f t="shared" si="248"/>
        <v/>
      </c>
      <c r="L1242" s="168" t="str">
        <f>IFERROR(K1242/_xlfn.XLOOKUP(_xlfn.XLOOKUP($F1242,Clientes!$B$4:$B$39,Clientes!$C$4:$C$39),Cadastros!$L$6:$L$12,Cadastros!$M$6:$M$12)," ")</f>
        <v xml:space="preserve"> </v>
      </c>
      <c r="M1242" s="28"/>
      <c r="N1242" s="28"/>
      <c r="O1242" s="255" t="str">
        <f>IF(M1242="","",(_xlfn.XLOOKUP(M1242,Cadastros!$D$6:$D$90,Cadastros!$E$6:$E$90))*(1-_xlfn.XLOOKUP(_xlfn.XLOOKUP($F1242,Clientes!$B$4:$B$39,Clientes!$C$4:$C$39),Cadastros!$L$6:$L$12,Cadastros!$N$6:$N$12)))</f>
        <v/>
      </c>
      <c r="P1242" s="168" t="str">
        <f t="shared" si="249"/>
        <v/>
      </c>
      <c r="Q1242" s="168" t="str">
        <f>IFERROR(P1242/_xlfn.XLOOKUP(_xlfn.XLOOKUP($F1242,Clientes!$B$4:$B$39,Clientes!$C$4:$C$39),Cadastros!$L$6:$L$12,Cadastros!$M$6:$M$12)," ")</f>
        <v xml:space="preserve"> </v>
      </c>
      <c r="R1242" s="28"/>
      <c r="S1242" s="28"/>
      <c r="T1242" s="255" t="str">
        <f>IF(R1242="","",(_xlfn.XLOOKUP(R1242,Cadastros!$D$6:$D$90,Cadastros!$E$6:$E$90))*(1-_xlfn.XLOOKUP(_xlfn.XLOOKUP($F1242,Clientes!$B$4:$B$39,Clientes!$C$4:$C$39),Cadastros!$L$6:$L$12,Cadastros!$N$6:$N$12)))</f>
        <v/>
      </c>
      <c r="U1242" s="168" t="str">
        <f t="shared" si="250"/>
        <v/>
      </c>
      <c r="V1242" s="168" t="str">
        <f>IFERROR(U1242/_xlfn.XLOOKUP(_xlfn.XLOOKUP($F1242,Clientes!$B$4:$B$39,Clientes!$C$4:$C$39),Cadastros!$L$6:$L$12,Cadastros!$M$6:$M$12)," ")</f>
        <v xml:space="preserve"> </v>
      </c>
      <c r="W1242" s="28"/>
      <c r="X1242" s="28"/>
      <c r="Y1242" s="255" t="str">
        <f>IF(W1242="","",(_xlfn.XLOOKUP(W1242,Cadastros!$D$6:$D$90,Cadastros!$E$6:$E$90))*(1-_xlfn.XLOOKUP(_xlfn.XLOOKUP($F1242,Clientes!$B$4:$B$39,Clientes!$C$4:$C$39),Cadastros!$L$6:$L$12,Cadastros!$N$6:$N$12)))</f>
        <v/>
      </c>
      <c r="Z1242" s="168" t="str">
        <f t="shared" si="251"/>
        <v/>
      </c>
      <c r="AA1242" s="168" t="str">
        <f>IFERROR(Z1242/_xlfn.XLOOKUP(_xlfn.XLOOKUP($F1242,Clientes!$B$4:$B$39,Clientes!$C$4:$C$39),Cadastros!$L$6:$L$12,Cadastros!$M$6:$M$12)," ")</f>
        <v xml:space="preserve"> </v>
      </c>
      <c r="AB1242" s="28"/>
      <c r="AC1242" s="28"/>
      <c r="AD1242" s="20" t="str">
        <f>IF(AB1242="","",IF($F1242="Bernardino Furlan",_xlfn.XLOOKUP(AB1242,Cadastros!$G$6:$G$90,Cadastros!$H$6:$H$90)*(1-0.18),IF($F1242="Mauro José Salanti",_xlfn.XLOOKUP(AB1242,Cadastros!$G$6:$G$90,Cadastros!$H$6:$H$90)*(1-0.18),_xlfn.XLOOKUP(AB1242,Cadastros!$G$6:$G$90,Cadastros!$H$6:$H$90))))</f>
        <v/>
      </c>
      <c r="AE1242" s="168" t="str">
        <f t="shared" si="252"/>
        <v/>
      </c>
      <c r="AF1242" s="168" t="str">
        <f t="shared" si="253"/>
        <v/>
      </c>
      <c r="AG1242" s="28"/>
      <c r="AH1242" s="28"/>
      <c r="AI1242" s="20" t="str">
        <f>IF(AG1242="","",IF($F1242="Bernardino Furlan",_xlfn.XLOOKUP(AG1242,Cadastros!$G$6:$G$90,Cadastros!$H$6:$H$90)*(1-0.18),IF($F1242="Mauro José Salanti",_xlfn.XLOOKUP(AG1242,Cadastros!$G$6:$G$90,Cadastros!$H$6:$H$90)*(1-0.18),_xlfn.XLOOKUP(AG1242,Cadastros!$G$6:$G$90,Cadastros!$H$6:$H$90))))</f>
        <v/>
      </c>
      <c r="AJ1242" s="168" t="str">
        <f t="shared" si="254"/>
        <v/>
      </c>
      <c r="AK1242" s="168" t="str">
        <f t="shared" si="255"/>
        <v/>
      </c>
      <c r="AL1242" s="28"/>
      <c r="AM1242" s="28"/>
      <c r="AN1242" s="20" t="str">
        <f>IF(AL1242="","",IF($F1242="Bernardino Furlan",_xlfn.XLOOKUP(AL1242,Cadastros!$G$6:$G$90,Cadastros!$H$6:$H$90)*(1-0.18),IF($F1242="Mauro José Salanti",_xlfn.XLOOKUP(AL1242,Cadastros!$G$6:$G$90,Cadastros!$H$6:$H$90)*(1-0.18),_xlfn.XLOOKUP(AL1242,Cadastros!$G$6:$G$90,Cadastros!$H$6:$H$90))))</f>
        <v/>
      </c>
      <c r="AO1242" s="168" t="str">
        <f t="shared" si="256"/>
        <v/>
      </c>
      <c r="AP1242" s="168" t="str">
        <f t="shared" si="257"/>
        <v/>
      </c>
      <c r="AQ1242" s="28"/>
      <c r="AR1242" s="28"/>
      <c r="AS1242" s="20" t="str">
        <f>IF(AQ1242="","",IF($F1242="Bernardino Furlan",_xlfn.XLOOKUP(AQ1242,Cadastros!$G$6:$G$90,Cadastros!$H$6:$H$90)*(1-0.18),IF($F1242="Mauro José Salanti",_xlfn.XLOOKUP(AQ1242,Cadastros!$G$6:$G$90,Cadastros!$H$6:$H$90)*(1-0.18),_xlfn.XLOOKUP(AQ1242,Cadastros!$G$6:$G$90,Cadastros!$H$6:$H$90))))</f>
        <v/>
      </c>
      <c r="AT1242" s="168" t="str">
        <f t="shared" si="258"/>
        <v/>
      </c>
      <c r="AU1242" s="168" t="str">
        <f t="shared" si="259"/>
        <v/>
      </c>
      <c r="AV1242" s="227"/>
      <c r="AW1242" s="30"/>
      <c r="AX1242" s="267"/>
      <c r="AY1242" s="267"/>
      <c r="AZ1242" s="29"/>
      <c r="BA1242" s="30"/>
      <c r="BB1242" s="23" t="str" cm="1">
        <f t="array" ref="BB1242">_xlfn.IFS(AW1242="SIM",SUM(K1242,P1242,U1242,Z1242,AE1242,AJ1242,AO1242,AT1242,AX1242,AY1242),F1242&lt;&gt;"",SUM(K1242,P1242,U1242,Z1242,AE1242,AJ1242,,AO1242,AT1242),F1242="","")</f>
        <v/>
      </c>
      <c r="BC1242" s="211" t="str" cm="1">
        <f t="array" ref="BC1242">_xlfn.IFS(E1242="","",G1242&lt;=E1242,BB1242*(1-0.03),G1242&lt;(E1242+8),BB1242,AZ1242="Boleto",BB1242*(1+0.001)^DATEDIF(E1242,G1242,"D"),AZ1242="Cheque",BB1242,AZ1242="Dinheiro","Alterar forma pgto")</f>
        <v/>
      </c>
      <c r="BD1242" s="276" t="str" cm="1">
        <f t="array" ref="BD1242">IF(F1242=0," ",IF(BC1242&lt;BB1242,(_xlfn.IFS(AW1242="SIM",SUM(L1242,Q1242,V1242,AA1242,AF1242,AK1242,AP1242,AU1242)+AX1242/_xlfn.XLOOKUP(_xlfn.XLOOKUP($F1242,Clientes!$B$4:$B$39,Clientes!$C$4:$C$39),Cadastros!$L$6:$L$12,Cadastros!$M$6:$M$12)+IF($F1242="Bernardino Furlan",AY1242/2751.92,IF($F1242="Mauro José Salanti",AY1242/2751.92,AY1242/3356)),F1242&lt;&gt;0,SUM(L1242,Q1242,V1242,AA1242,AF1242,AK1242,AP1242,AU1242)))*(1-0.03),_xlfn.IFS(AW1242="SIM",SUM(L1242,Q1242,V1242,AA1242,AF1242,AK1242,AP1242,AU1242)+AX1242/_xlfn.XLOOKUP(_xlfn.XLOOKUP($F1242,Clientes!$B$4:$B$39,Clientes!$C$4:$C$39),Cadastros!$L$6:$L$12,Cadastros!$M$6:$M$12)+IF($F1242="Bernardino Furlan",AY1242/2751.92,IF($F1242="Mauro José Salanti",AY1242/2751.92,AY1242/3356)),F1242&lt;&gt;0,SUM(L1242,Q1242,V1242,AA1242,AF1242,AK1242,AP1242,AU1242))))</f>
        <v xml:space="preserve"> </v>
      </c>
      <c r="BE1242" s="120"/>
      <c r="BF1242" s="120"/>
      <c r="BG1242" s="120"/>
    </row>
    <row r="1243" spans="1:59" s="3" customFormat="1" x14ac:dyDescent="0.3">
      <c r="A1243" s="15" t="str">
        <f t="shared" si="247"/>
        <v/>
      </c>
      <c r="B1243" s="25"/>
      <c r="C1243" s="26"/>
      <c r="D1243" s="279"/>
      <c r="E1243" s="27"/>
      <c r="F1243" s="28"/>
      <c r="G1243" s="27"/>
      <c r="H1243" s="28"/>
      <c r="I1243" s="28"/>
      <c r="J1243" s="255" t="str">
        <f>IF(H1243="","",(_xlfn.XLOOKUP(H1243,Cadastros!$D$6:$D$90,Cadastros!$E$6:$E$90))*(1-_xlfn.XLOOKUP(_xlfn.XLOOKUP($F1243,Clientes!$B$4:$B$39,Clientes!$C$4:$C$39),Cadastros!$L$6:$L$12,Cadastros!$N$6:$N$12)))</f>
        <v/>
      </c>
      <c r="K1243" s="168" t="str">
        <f t="shared" si="248"/>
        <v/>
      </c>
      <c r="L1243" s="168" t="str">
        <f>IFERROR(K1243/_xlfn.XLOOKUP(_xlfn.XLOOKUP($F1243,Clientes!$B$4:$B$39,Clientes!$C$4:$C$39),Cadastros!$L$6:$L$12,Cadastros!$M$6:$M$12)," ")</f>
        <v xml:space="preserve"> </v>
      </c>
      <c r="M1243" s="28"/>
      <c r="N1243" s="28"/>
      <c r="O1243" s="255" t="str">
        <f>IF(M1243="","",(_xlfn.XLOOKUP(M1243,Cadastros!$D$6:$D$90,Cadastros!$E$6:$E$90))*(1-_xlfn.XLOOKUP(_xlfn.XLOOKUP($F1243,Clientes!$B$4:$B$39,Clientes!$C$4:$C$39),Cadastros!$L$6:$L$12,Cadastros!$N$6:$N$12)))</f>
        <v/>
      </c>
      <c r="P1243" s="168" t="str">
        <f t="shared" si="249"/>
        <v/>
      </c>
      <c r="Q1243" s="168" t="str">
        <f>IFERROR(P1243/_xlfn.XLOOKUP(_xlfn.XLOOKUP($F1243,Clientes!$B$4:$B$39,Clientes!$C$4:$C$39),Cadastros!$L$6:$L$12,Cadastros!$M$6:$M$12)," ")</f>
        <v xml:space="preserve"> </v>
      </c>
      <c r="R1243" s="28"/>
      <c r="S1243" s="28"/>
      <c r="T1243" s="255" t="str">
        <f>IF(R1243="","",(_xlfn.XLOOKUP(R1243,Cadastros!$D$6:$D$90,Cadastros!$E$6:$E$90))*(1-_xlfn.XLOOKUP(_xlfn.XLOOKUP($F1243,Clientes!$B$4:$B$39,Clientes!$C$4:$C$39),Cadastros!$L$6:$L$12,Cadastros!$N$6:$N$12)))</f>
        <v/>
      </c>
      <c r="U1243" s="168" t="str">
        <f t="shared" si="250"/>
        <v/>
      </c>
      <c r="V1243" s="168" t="str">
        <f>IFERROR(U1243/_xlfn.XLOOKUP(_xlfn.XLOOKUP($F1243,Clientes!$B$4:$B$39,Clientes!$C$4:$C$39),Cadastros!$L$6:$L$12,Cadastros!$M$6:$M$12)," ")</f>
        <v xml:space="preserve"> </v>
      </c>
      <c r="W1243" s="28"/>
      <c r="X1243" s="28"/>
      <c r="Y1243" s="255" t="str">
        <f>IF(W1243="","",(_xlfn.XLOOKUP(W1243,Cadastros!$D$6:$D$90,Cadastros!$E$6:$E$90))*(1-_xlfn.XLOOKUP(_xlfn.XLOOKUP($F1243,Clientes!$B$4:$B$39,Clientes!$C$4:$C$39),Cadastros!$L$6:$L$12,Cadastros!$N$6:$N$12)))</f>
        <v/>
      </c>
      <c r="Z1243" s="168" t="str">
        <f t="shared" si="251"/>
        <v/>
      </c>
      <c r="AA1243" s="168" t="str">
        <f>IFERROR(Z1243/_xlfn.XLOOKUP(_xlfn.XLOOKUP($F1243,Clientes!$B$4:$B$39,Clientes!$C$4:$C$39),Cadastros!$L$6:$L$12,Cadastros!$M$6:$M$12)," ")</f>
        <v xml:space="preserve"> </v>
      </c>
      <c r="AB1243" s="28"/>
      <c r="AC1243" s="28"/>
      <c r="AD1243" s="20" t="str">
        <f>IF(AB1243="","",IF($F1243="Bernardino Furlan",_xlfn.XLOOKUP(AB1243,Cadastros!$G$6:$G$90,Cadastros!$H$6:$H$90)*(1-0.18),IF($F1243="Mauro José Salanti",_xlfn.XLOOKUP(AB1243,Cadastros!$G$6:$G$90,Cadastros!$H$6:$H$90)*(1-0.18),_xlfn.XLOOKUP(AB1243,Cadastros!$G$6:$G$90,Cadastros!$H$6:$H$90))))</f>
        <v/>
      </c>
      <c r="AE1243" s="168" t="str">
        <f t="shared" si="252"/>
        <v/>
      </c>
      <c r="AF1243" s="168" t="str">
        <f t="shared" si="253"/>
        <v/>
      </c>
      <c r="AG1243" s="28"/>
      <c r="AH1243" s="28"/>
      <c r="AI1243" s="20" t="str">
        <f>IF(AG1243="","",IF($F1243="Bernardino Furlan",_xlfn.XLOOKUP(AG1243,Cadastros!$G$6:$G$90,Cadastros!$H$6:$H$90)*(1-0.18),IF($F1243="Mauro José Salanti",_xlfn.XLOOKUP(AG1243,Cadastros!$G$6:$G$90,Cadastros!$H$6:$H$90)*(1-0.18),_xlfn.XLOOKUP(AG1243,Cadastros!$G$6:$G$90,Cadastros!$H$6:$H$90))))</f>
        <v/>
      </c>
      <c r="AJ1243" s="168" t="str">
        <f t="shared" si="254"/>
        <v/>
      </c>
      <c r="AK1243" s="168" t="str">
        <f t="shared" si="255"/>
        <v/>
      </c>
      <c r="AL1243" s="28"/>
      <c r="AM1243" s="28"/>
      <c r="AN1243" s="20" t="str">
        <f>IF(AL1243="","",IF($F1243="Bernardino Furlan",_xlfn.XLOOKUP(AL1243,Cadastros!$G$6:$G$90,Cadastros!$H$6:$H$90)*(1-0.18),IF($F1243="Mauro José Salanti",_xlfn.XLOOKUP(AL1243,Cadastros!$G$6:$G$90,Cadastros!$H$6:$H$90)*(1-0.18),_xlfn.XLOOKUP(AL1243,Cadastros!$G$6:$G$90,Cadastros!$H$6:$H$90))))</f>
        <v/>
      </c>
      <c r="AO1243" s="168" t="str">
        <f t="shared" si="256"/>
        <v/>
      </c>
      <c r="AP1243" s="168" t="str">
        <f t="shared" si="257"/>
        <v/>
      </c>
      <c r="AQ1243" s="28"/>
      <c r="AR1243" s="28"/>
      <c r="AS1243" s="20" t="str">
        <f>IF(AQ1243="","",IF($F1243="Bernardino Furlan",_xlfn.XLOOKUP(AQ1243,Cadastros!$G$6:$G$90,Cadastros!$H$6:$H$90)*(1-0.18),IF($F1243="Mauro José Salanti",_xlfn.XLOOKUP(AQ1243,Cadastros!$G$6:$G$90,Cadastros!$H$6:$H$90)*(1-0.18),_xlfn.XLOOKUP(AQ1243,Cadastros!$G$6:$G$90,Cadastros!$H$6:$H$90))))</f>
        <v/>
      </c>
      <c r="AT1243" s="168" t="str">
        <f t="shared" si="258"/>
        <v/>
      </c>
      <c r="AU1243" s="168" t="str">
        <f t="shared" si="259"/>
        <v/>
      </c>
      <c r="AV1243" s="227"/>
      <c r="AW1243" s="30"/>
      <c r="AX1243" s="267"/>
      <c r="AY1243" s="267"/>
      <c r="AZ1243" s="29"/>
      <c r="BA1243" s="30"/>
      <c r="BB1243" s="23" t="str" cm="1">
        <f t="array" ref="BB1243">_xlfn.IFS(AW1243="SIM",SUM(K1243,P1243,U1243,Z1243,AE1243,AJ1243,AO1243,AT1243,AX1243,AY1243),F1243&lt;&gt;"",SUM(K1243,P1243,U1243,Z1243,AE1243,AJ1243,,AO1243,AT1243),F1243="","")</f>
        <v/>
      </c>
      <c r="BC1243" s="211" t="str" cm="1">
        <f t="array" ref="BC1243">_xlfn.IFS(E1243="","",G1243&lt;=E1243,BB1243*(1-0.03),G1243&lt;(E1243+8),BB1243,AZ1243="Boleto",BB1243*(1+0.001)^DATEDIF(E1243,G1243,"D"),AZ1243="Cheque",BB1243,AZ1243="Dinheiro","Alterar forma pgto")</f>
        <v/>
      </c>
      <c r="BD1243" s="276" t="str" cm="1">
        <f t="array" ref="BD1243">IF(F1243=0," ",IF(BC1243&lt;BB1243,(_xlfn.IFS(AW1243="SIM",SUM(L1243,Q1243,V1243,AA1243,AF1243,AK1243,AP1243,AU1243)+AX1243/_xlfn.XLOOKUP(_xlfn.XLOOKUP($F1243,Clientes!$B$4:$B$39,Clientes!$C$4:$C$39),Cadastros!$L$6:$L$12,Cadastros!$M$6:$M$12)+IF($F1243="Bernardino Furlan",AY1243/2751.92,IF($F1243="Mauro José Salanti",AY1243/2751.92,AY1243/3356)),F1243&lt;&gt;0,SUM(L1243,Q1243,V1243,AA1243,AF1243,AK1243,AP1243,AU1243)))*(1-0.03),_xlfn.IFS(AW1243="SIM",SUM(L1243,Q1243,V1243,AA1243,AF1243,AK1243,AP1243,AU1243)+AX1243/_xlfn.XLOOKUP(_xlfn.XLOOKUP($F1243,Clientes!$B$4:$B$39,Clientes!$C$4:$C$39),Cadastros!$L$6:$L$12,Cadastros!$M$6:$M$12)+IF($F1243="Bernardino Furlan",AY1243/2751.92,IF($F1243="Mauro José Salanti",AY1243/2751.92,AY1243/3356)),F1243&lt;&gt;0,SUM(L1243,Q1243,V1243,AA1243,AF1243,AK1243,AP1243,AU1243))))</f>
        <v xml:space="preserve"> </v>
      </c>
      <c r="BE1243" s="120"/>
      <c r="BF1243" s="120"/>
      <c r="BG1243" s="120"/>
    </row>
    <row r="1244" spans="1:59" s="3" customFormat="1" x14ac:dyDescent="0.3">
      <c r="A1244" s="15" t="str">
        <f t="shared" si="247"/>
        <v/>
      </c>
      <c r="B1244" s="25"/>
      <c r="C1244" s="26"/>
      <c r="D1244" s="279"/>
      <c r="E1244" s="27"/>
      <c r="F1244" s="28"/>
      <c r="G1244" s="27"/>
      <c r="H1244" s="28"/>
      <c r="I1244" s="28"/>
      <c r="J1244" s="255" t="str">
        <f>IF(H1244="","",(_xlfn.XLOOKUP(H1244,Cadastros!$D$6:$D$90,Cadastros!$E$6:$E$90))*(1-_xlfn.XLOOKUP(_xlfn.XLOOKUP($F1244,Clientes!$B$4:$B$39,Clientes!$C$4:$C$39),Cadastros!$L$6:$L$12,Cadastros!$N$6:$N$12)))</f>
        <v/>
      </c>
      <c r="K1244" s="168" t="str">
        <f t="shared" si="248"/>
        <v/>
      </c>
      <c r="L1244" s="168" t="str">
        <f>IFERROR(K1244/_xlfn.XLOOKUP(_xlfn.XLOOKUP($F1244,Clientes!$B$4:$B$39,Clientes!$C$4:$C$39),Cadastros!$L$6:$L$12,Cadastros!$M$6:$M$12)," ")</f>
        <v xml:space="preserve"> </v>
      </c>
      <c r="M1244" s="28"/>
      <c r="N1244" s="28"/>
      <c r="O1244" s="255" t="str">
        <f>IF(M1244="","",(_xlfn.XLOOKUP(M1244,Cadastros!$D$6:$D$90,Cadastros!$E$6:$E$90))*(1-_xlfn.XLOOKUP(_xlfn.XLOOKUP($F1244,Clientes!$B$4:$B$39,Clientes!$C$4:$C$39),Cadastros!$L$6:$L$12,Cadastros!$N$6:$N$12)))</f>
        <v/>
      </c>
      <c r="P1244" s="168" t="str">
        <f t="shared" si="249"/>
        <v/>
      </c>
      <c r="Q1244" s="168" t="str">
        <f>IFERROR(P1244/_xlfn.XLOOKUP(_xlfn.XLOOKUP($F1244,Clientes!$B$4:$B$39,Clientes!$C$4:$C$39),Cadastros!$L$6:$L$12,Cadastros!$M$6:$M$12)," ")</f>
        <v xml:space="preserve"> </v>
      </c>
      <c r="R1244" s="28"/>
      <c r="S1244" s="28"/>
      <c r="T1244" s="255" t="str">
        <f>IF(R1244="","",(_xlfn.XLOOKUP(R1244,Cadastros!$D$6:$D$90,Cadastros!$E$6:$E$90))*(1-_xlfn.XLOOKUP(_xlfn.XLOOKUP($F1244,Clientes!$B$4:$B$39,Clientes!$C$4:$C$39),Cadastros!$L$6:$L$12,Cadastros!$N$6:$N$12)))</f>
        <v/>
      </c>
      <c r="U1244" s="168" t="str">
        <f t="shared" si="250"/>
        <v/>
      </c>
      <c r="V1244" s="168" t="str">
        <f>IFERROR(U1244/_xlfn.XLOOKUP(_xlfn.XLOOKUP($F1244,Clientes!$B$4:$B$39,Clientes!$C$4:$C$39),Cadastros!$L$6:$L$12,Cadastros!$M$6:$M$12)," ")</f>
        <v xml:space="preserve"> </v>
      </c>
      <c r="W1244" s="28"/>
      <c r="X1244" s="28"/>
      <c r="Y1244" s="255" t="str">
        <f>IF(W1244="","",(_xlfn.XLOOKUP(W1244,Cadastros!$D$6:$D$90,Cadastros!$E$6:$E$90))*(1-_xlfn.XLOOKUP(_xlfn.XLOOKUP($F1244,Clientes!$B$4:$B$39,Clientes!$C$4:$C$39),Cadastros!$L$6:$L$12,Cadastros!$N$6:$N$12)))</f>
        <v/>
      </c>
      <c r="Z1244" s="168" t="str">
        <f t="shared" si="251"/>
        <v/>
      </c>
      <c r="AA1244" s="168" t="str">
        <f>IFERROR(Z1244/_xlfn.XLOOKUP(_xlfn.XLOOKUP($F1244,Clientes!$B$4:$B$39,Clientes!$C$4:$C$39),Cadastros!$L$6:$L$12,Cadastros!$M$6:$M$12)," ")</f>
        <v xml:space="preserve"> </v>
      </c>
      <c r="AB1244" s="28"/>
      <c r="AC1244" s="28"/>
      <c r="AD1244" s="20" t="str">
        <f>IF(AB1244="","",IF($F1244="Bernardino Furlan",_xlfn.XLOOKUP(AB1244,Cadastros!$G$6:$G$90,Cadastros!$H$6:$H$90)*(1-0.18),IF($F1244="Mauro José Salanti",_xlfn.XLOOKUP(AB1244,Cadastros!$G$6:$G$90,Cadastros!$H$6:$H$90)*(1-0.18),_xlfn.XLOOKUP(AB1244,Cadastros!$G$6:$G$90,Cadastros!$H$6:$H$90))))</f>
        <v/>
      </c>
      <c r="AE1244" s="168" t="str">
        <f t="shared" si="252"/>
        <v/>
      </c>
      <c r="AF1244" s="168" t="str">
        <f t="shared" si="253"/>
        <v/>
      </c>
      <c r="AG1244" s="28"/>
      <c r="AH1244" s="28"/>
      <c r="AI1244" s="20" t="str">
        <f>IF(AG1244="","",IF($F1244="Bernardino Furlan",_xlfn.XLOOKUP(AG1244,Cadastros!$G$6:$G$90,Cadastros!$H$6:$H$90)*(1-0.18),IF($F1244="Mauro José Salanti",_xlfn.XLOOKUP(AG1244,Cadastros!$G$6:$G$90,Cadastros!$H$6:$H$90)*(1-0.18),_xlfn.XLOOKUP(AG1244,Cadastros!$G$6:$G$90,Cadastros!$H$6:$H$90))))</f>
        <v/>
      </c>
      <c r="AJ1244" s="168" t="str">
        <f t="shared" si="254"/>
        <v/>
      </c>
      <c r="AK1244" s="168" t="str">
        <f t="shared" si="255"/>
        <v/>
      </c>
      <c r="AL1244" s="28"/>
      <c r="AM1244" s="28"/>
      <c r="AN1244" s="20" t="str">
        <f>IF(AL1244="","",IF($F1244="Bernardino Furlan",_xlfn.XLOOKUP(AL1244,Cadastros!$G$6:$G$90,Cadastros!$H$6:$H$90)*(1-0.18),IF($F1244="Mauro José Salanti",_xlfn.XLOOKUP(AL1244,Cadastros!$G$6:$G$90,Cadastros!$H$6:$H$90)*(1-0.18),_xlfn.XLOOKUP(AL1244,Cadastros!$G$6:$G$90,Cadastros!$H$6:$H$90))))</f>
        <v/>
      </c>
      <c r="AO1244" s="168" t="str">
        <f t="shared" si="256"/>
        <v/>
      </c>
      <c r="AP1244" s="168" t="str">
        <f t="shared" si="257"/>
        <v/>
      </c>
      <c r="AQ1244" s="28"/>
      <c r="AR1244" s="28"/>
      <c r="AS1244" s="20" t="str">
        <f>IF(AQ1244="","",IF($F1244="Bernardino Furlan",_xlfn.XLOOKUP(AQ1244,Cadastros!$G$6:$G$90,Cadastros!$H$6:$H$90)*(1-0.18),IF($F1244="Mauro José Salanti",_xlfn.XLOOKUP(AQ1244,Cadastros!$G$6:$G$90,Cadastros!$H$6:$H$90)*(1-0.18),_xlfn.XLOOKUP(AQ1244,Cadastros!$G$6:$G$90,Cadastros!$H$6:$H$90))))</f>
        <v/>
      </c>
      <c r="AT1244" s="168" t="str">
        <f t="shared" si="258"/>
        <v/>
      </c>
      <c r="AU1244" s="168" t="str">
        <f t="shared" si="259"/>
        <v/>
      </c>
      <c r="AV1244" s="227"/>
      <c r="AW1244" s="30"/>
      <c r="AX1244" s="267"/>
      <c r="AY1244" s="267"/>
      <c r="AZ1244" s="29"/>
      <c r="BA1244" s="30"/>
      <c r="BB1244" s="23" t="str" cm="1">
        <f t="array" ref="BB1244">_xlfn.IFS(AW1244="SIM",SUM(K1244,P1244,U1244,Z1244,AE1244,AJ1244,AO1244,AT1244,AX1244,AY1244),F1244&lt;&gt;"",SUM(K1244,P1244,U1244,Z1244,AE1244,AJ1244,,AO1244,AT1244),F1244="","")</f>
        <v/>
      </c>
      <c r="BC1244" s="211" t="str" cm="1">
        <f t="array" ref="BC1244">_xlfn.IFS(E1244="","",G1244&lt;=E1244,BB1244*(1-0.03),G1244&lt;(E1244+8),BB1244,AZ1244="Boleto",BB1244*(1+0.001)^DATEDIF(E1244,G1244,"D"),AZ1244="Cheque",BB1244,AZ1244="Dinheiro","Alterar forma pgto")</f>
        <v/>
      </c>
      <c r="BD1244" s="276" t="str" cm="1">
        <f t="array" ref="BD1244">IF(F1244=0," ",IF(BC1244&lt;BB1244,(_xlfn.IFS(AW1244="SIM",SUM(L1244,Q1244,V1244,AA1244,AF1244,AK1244,AP1244,AU1244)+AX1244/_xlfn.XLOOKUP(_xlfn.XLOOKUP($F1244,Clientes!$B$4:$B$39,Clientes!$C$4:$C$39),Cadastros!$L$6:$L$12,Cadastros!$M$6:$M$12)+IF($F1244="Bernardino Furlan",AY1244/2751.92,IF($F1244="Mauro José Salanti",AY1244/2751.92,AY1244/3356)),F1244&lt;&gt;0,SUM(L1244,Q1244,V1244,AA1244,AF1244,AK1244,AP1244,AU1244)))*(1-0.03),_xlfn.IFS(AW1244="SIM",SUM(L1244,Q1244,V1244,AA1244,AF1244,AK1244,AP1244,AU1244)+AX1244/_xlfn.XLOOKUP(_xlfn.XLOOKUP($F1244,Clientes!$B$4:$B$39,Clientes!$C$4:$C$39),Cadastros!$L$6:$L$12,Cadastros!$M$6:$M$12)+IF($F1244="Bernardino Furlan",AY1244/2751.92,IF($F1244="Mauro José Salanti",AY1244/2751.92,AY1244/3356)),F1244&lt;&gt;0,SUM(L1244,Q1244,V1244,AA1244,AF1244,AK1244,AP1244,AU1244))))</f>
        <v xml:space="preserve"> </v>
      </c>
      <c r="BE1244" s="120"/>
      <c r="BF1244" s="120"/>
      <c r="BG1244" s="120"/>
    </row>
    <row r="1245" spans="1:59" s="3" customFormat="1" x14ac:dyDescent="0.3">
      <c r="A1245" s="15" t="str">
        <f t="shared" si="247"/>
        <v/>
      </c>
      <c r="B1245" s="25"/>
      <c r="C1245" s="26"/>
      <c r="D1245" s="279"/>
      <c r="E1245" s="27"/>
      <c r="F1245" s="28"/>
      <c r="G1245" s="27"/>
      <c r="H1245" s="28"/>
      <c r="I1245" s="28"/>
      <c r="J1245" s="255" t="str">
        <f>IF(H1245="","",(_xlfn.XLOOKUP(H1245,Cadastros!$D$6:$D$90,Cadastros!$E$6:$E$90))*(1-_xlfn.XLOOKUP(_xlfn.XLOOKUP($F1245,Clientes!$B$4:$B$39,Clientes!$C$4:$C$39),Cadastros!$L$6:$L$12,Cadastros!$N$6:$N$12)))</f>
        <v/>
      </c>
      <c r="K1245" s="168" t="str">
        <f t="shared" si="248"/>
        <v/>
      </c>
      <c r="L1245" s="168" t="str">
        <f>IFERROR(K1245/_xlfn.XLOOKUP(_xlfn.XLOOKUP($F1245,Clientes!$B$4:$B$39,Clientes!$C$4:$C$39),Cadastros!$L$6:$L$12,Cadastros!$M$6:$M$12)," ")</f>
        <v xml:space="preserve"> </v>
      </c>
      <c r="M1245" s="28"/>
      <c r="N1245" s="28"/>
      <c r="O1245" s="255" t="str">
        <f>IF(M1245="","",(_xlfn.XLOOKUP(M1245,Cadastros!$D$6:$D$90,Cadastros!$E$6:$E$90))*(1-_xlfn.XLOOKUP(_xlfn.XLOOKUP($F1245,Clientes!$B$4:$B$39,Clientes!$C$4:$C$39),Cadastros!$L$6:$L$12,Cadastros!$N$6:$N$12)))</f>
        <v/>
      </c>
      <c r="P1245" s="168" t="str">
        <f t="shared" si="249"/>
        <v/>
      </c>
      <c r="Q1245" s="168" t="str">
        <f>IFERROR(P1245/_xlfn.XLOOKUP(_xlfn.XLOOKUP($F1245,Clientes!$B$4:$B$39,Clientes!$C$4:$C$39),Cadastros!$L$6:$L$12,Cadastros!$M$6:$M$12)," ")</f>
        <v xml:space="preserve"> </v>
      </c>
      <c r="R1245" s="28"/>
      <c r="S1245" s="28"/>
      <c r="T1245" s="255" t="str">
        <f>IF(R1245="","",(_xlfn.XLOOKUP(R1245,Cadastros!$D$6:$D$90,Cadastros!$E$6:$E$90))*(1-_xlfn.XLOOKUP(_xlfn.XLOOKUP($F1245,Clientes!$B$4:$B$39,Clientes!$C$4:$C$39),Cadastros!$L$6:$L$12,Cadastros!$N$6:$N$12)))</f>
        <v/>
      </c>
      <c r="U1245" s="168" t="str">
        <f t="shared" si="250"/>
        <v/>
      </c>
      <c r="V1245" s="168" t="str">
        <f>IFERROR(U1245/_xlfn.XLOOKUP(_xlfn.XLOOKUP($F1245,Clientes!$B$4:$B$39,Clientes!$C$4:$C$39),Cadastros!$L$6:$L$12,Cadastros!$M$6:$M$12)," ")</f>
        <v xml:space="preserve"> </v>
      </c>
      <c r="W1245" s="28"/>
      <c r="X1245" s="28"/>
      <c r="Y1245" s="255" t="str">
        <f>IF(W1245="","",(_xlfn.XLOOKUP(W1245,Cadastros!$D$6:$D$90,Cadastros!$E$6:$E$90))*(1-_xlfn.XLOOKUP(_xlfn.XLOOKUP($F1245,Clientes!$B$4:$B$39,Clientes!$C$4:$C$39),Cadastros!$L$6:$L$12,Cadastros!$N$6:$N$12)))</f>
        <v/>
      </c>
      <c r="Z1245" s="168" t="str">
        <f t="shared" si="251"/>
        <v/>
      </c>
      <c r="AA1245" s="168" t="str">
        <f>IFERROR(Z1245/_xlfn.XLOOKUP(_xlfn.XLOOKUP($F1245,Clientes!$B$4:$B$39,Clientes!$C$4:$C$39),Cadastros!$L$6:$L$12,Cadastros!$M$6:$M$12)," ")</f>
        <v xml:space="preserve"> </v>
      </c>
      <c r="AB1245" s="28"/>
      <c r="AC1245" s="28"/>
      <c r="AD1245" s="20" t="str">
        <f>IF(AB1245="","",IF($F1245="Bernardino Furlan",_xlfn.XLOOKUP(AB1245,Cadastros!$G$6:$G$90,Cadastros!$H$6:$H$90)*(1-0.18),IF($F1245="Mauro José Salanti",_xlfn.XLOOKUP(AB1245,Cadastros!$G$6:$G$90,Cadastros!$H$6:$H$90)*(1-0.18),_xlfn.XLOOKUP(AB1245,Cadastros!$G$6:$G$90,Cadastros!$H$6:$H$90))))</f>
        <v/>
      </c>
      <c r="AE1245" s="168" t="str">
        <f t="shared" si="252"/>
        <v/>
      </c>
      <c r="AF1245" s="168" t="str">
        <f t="shared" si="253"/>
        <v/>
      </c>
      <c r="AG1245" s="28"/>
      <c r="AH1245" s="28"/>
      <c r="AI1245" s="20" t="str">
        <f>IF(AG1245="","",IF($F1245="Bernardino Furlan",_xlfn.XLOOKUP(AG1245,Cadastros!$G$6:$G$90,Cadastros!$H$6:$H$90)*(1-0.18),IF($F1245="Mauro José Salanti",_xlfn.XLOOKUP(AG1245,Cadastros!$G$6:$G$90,Cadastros!$H$6:$H$90)*(1-0.18),_xlfn.XLOOKUP(AG1245,Cadastros!$G$6:$G$90,Cadastros!$H$6:$H$90))))</f>
        <v/>
      </c>
      <c r="AJ1245" s="168" t="str">
        <f t="shared" si="254"/>
        <v/>
      </c>
      <c r="AK1245" s="168" t="str">
        <f t="shared" si="255"/>
        <v/>
      </c>
      <c r="AL1245" s="28"/>
      <c r="AM1245" s="28"/>
      <c r="AN1245" s="20" t="str">
        <f>IF(AL1245="","",IF($F1245="Bernardino Furlan",_xlfn.XLOOKUP(AL1245,Cadastros!$G$6:$G$90,Cadastros!$H$6:$H$90)*(1-0.18),IF($F1245="Mauro José Salanti",_xlfn.XLOOKUP(AL1245,Cadastros!$G$6:$G$90,Cadastros!$H$6:$H$90)*(1-0.18),_xlfn.XLOOKUP(AL1245,Cadastros!$G$6:$G$90,Cadastros!$H$6:$H$90))))</f>
        <v/>
      </c>
      <c r="AO1245" s="168" t="str">
        <f t="shared" si="256"/>
        <v/>
      </c>
      <c r="AP1245" s="168" t="str">
        <f t="shared" si="257"/>
        <v/>
      </c>
      <c r="AQ1245" s="28"/>
      <c r="AR1245" s="28"/>
      <c r="AS1245" s="20" t="str">
        <f>IF(AQ1245="","",IF($F1245="Bernardino Furlan",_xlfn.XLOOKUP(AQ1245,Cadastros!$G$6:$G$90,Cadastros!$H$6:$H$90)*(1-0.18),IF($F1245="Mauro José Salanti",_xlfn.XLOOKUP(AQ1245,Cadastros!$G$6:$G$90,Cadastros!$H$6:$H$90)*(1-0.18),_xlfn.XLOOKUP(AQ1245,Cadastros!$G$6:$G$90,Cadastros!$H$6:$H$90))))</f>
        <v/>
      </c>
      <c r="AT1245" s="168" t="str">
        <f t="shared" si="258"/>
        <v/>
      </c>
      <c r="AU1245" s="168" t="str">
        <f t="shared" si="259"/>
        <v/>
      </c>
      <c r="AV1245" s="227"/>
      <c r="AW1245" s="30"/>
      <c r="AX1245" s="267"/>
      <c r="AY1245" s="267"/>
      <c r="AZ1245" s="29"/>
      <c r="BA1245" s="30"/>
      <c r="BB1245" s="23" t="str" cm="1">
        <f t="array" ref="BB1245">_xlfn.IFS(AW1245="SIM",SUM(K1245,P1245,U1245,Z1245,AE1245,AJ1245,AO1245,AT1245,AX1245,AY1245),F1245&lt;&gt;"",SUM(K1245,P1245,U1245,Z1245,AE1245,AJ1245,,AO1245,AT1245),F1245="","")</f>
        <v/>
      </c>
      <c r="BC1245" s="211" t="str" cm="1">
        <f t="array" ref="BC1245">_xlfn.IFS(E1245="","",G1245&lt;=E1245,BB1245*(1-0.03),G1245&lt;(E1245+8),BB1245,AZ1245="Boleto",BB1245*(1+0.001)^DATEDIF(E1245,G1245,"D"),AZ1245="Cheque",BB1245,AZ1245="Dinheiro","Alterar forma pgto")</f>
        <v/>
      </c>
      <c r="BD1245" s="276" t="str" cm="1">
        <f t="array" ref="BD1245">IF(F1245=0," ",IF(BC1245&lt;BB1245,(_xlfn.IFS(AW1245="SIM",SUM(L1245,Q1245,V1245,AA1245,AF1245,AK1245,AP1245,AU1245)+AX1245/_xlfn.XLOOKUP(_xlfn.XLOOKUP($F1245,Clientes!$B$4:$B$39,Clientes!$C$4:$C$39),Cadastros!$L$6:$L$12,Cadastros!$M$6:$M$12)+IF($F1245="Bernardino Furlan",AY1245/2751.92,IF($F1245="Mauro José Salanti",AY1245/2751.92,AY1245/3356)),F1245&lt;&gt;0,SUM(L1245,Q1245,V1245,AA1245,AF1245,AK1245,AP1245,AU1245)))*(1-0.03),_xlfn.IFS(AW1245="SIM",SUM(L1245,Q1245,V1245,AA1245,AF1245,AK1245,AP1245,AU1245)+AX1245/_xlfn.XLOOKUP(_xlfn.XLOOKUP($F1245,Clientes!$B$4:$B$39,Clientes!$C$4:$C$39),Cadastros!$L$6:$L$12,Cadastros!$M$6:$M$12)+IF($F1245="Bernardino Furlan",AY1245/2751.92,IF($F1245="Mauro José Salanti",AY1245/2751.92,AY1245/3356)),F1245&lt;&gt;0,SUM(L1245,Q1245,V1245,AA1245,AF1245,AK1245,AP1245,AU1245))))</f>
        <v xml:space="preserve"> </v>
      </c>
      <c r="BE1245" s="120"/>
      <c r="BF1245" s="120"/>
      <c r="BG1245" s="120"/>
    </row>
    <row r="1246" spans="1:59" s="3" customFormat="1" x14ac:dyDescent="0.3">
      <c r="A1246" s="15" t="str">
        <f t="shared" si="247"/>
        <v/>
      </c>
      <c r="B1246" s="25"/>
      <c r="C1246" s="26"/>
      <c r="D1246" s="279"/>
      <c r="E1246" s="27"/>
      <c r="F1246" s="28"/>
      <c r="G1246" s="27"/>
      <c r="H1246" s="28"/>
      <c r="I1246" s="28"/>
      <c r="J1246" s="255" t="str">
        <f>IF(H1246="","",(_xlfn.XLOOKUP(H1246,Cadastros!$D$6:$D$90,Cadastros!$E$6:$E$90))*(1-_xlfn.XLOOKUP(_xlfn.XLOOKUP($F1246,Clientes!$B$4:$B$39,Clientes!$C$4:$C$39),Cadastros!$L$6:$L$12,Cadastros!$N$6:$N$12)))</f>
        <v/>
      </c>
      <c r="K1246" s="168" t="str">
        <f t="shared" si="248"/>
        <v/>
      </c>
      <c r="L1246" s="168" t="str">
        <f>IFERROR(K1246/_xlfn.XLOOKUP(_xlfn.XLOOKUP($F1246,Clientes!$B$4:$B$39,Clientes!$C$4:$C$39),Cadastros!$L$6:$L$12,Cadastros!$M$6:$M$12)," ")</f>
        <v xml:space="preserve"> </v>
      </c>
      <c r="M1246" s="28"/>
      <c r="N1246" s="28"/>
      <c r="O1246" s="255" t="str">
        <f>IF(M1246="","",(_xlfn.XLOOKUP(M1246,Cadastros!$D$6:$D$90,Cadastros!$E$6:$E$90))*(1-_xlfn.XLOOKUP(_xlfn.XLOOKUP($F1246,Clientes!$B$4:$B$39,Clientes!$C$4:$C$39),Cadastros!$L$6:$L$12,Cadastros!$N$6:$N$12)))</f>
        <v/>
      </c>
      <c r="P1246" s="168" t="str">
        <f t="shared" si="249"/>
        <v/>
      </c>
      <c r="Q1246" s="168" t="str">
        <f>IFERROR(P1246/_xlfn.XLOOKUP(_xlfn.XLOOKUP($F1246,Clientes!$B$4:$B$39,Clientes!$C$4:$C$39),Cadastros!$L$6:$L$12,Cadastros!$M$6:$M$12)," ")</f>
        <v xml:space="preserve"> </v>
      </c>
      <c r="R1246" s="28"/>
      <c r="S1246" s="28"/>
      <c r="T1246" s="255" t="str">
        <f>IF(R1246="","",(_xlfn.XLOOKUP(R1246,Cadastros!$D$6:$D$90,Cadastros!$E$6:$E$90))*(1-_xlfn.XLOOKUP(_xlfn.XLOOKUP($F1246,Clientes!$B$4:$B$39,Clientes!$C$4:$C$39),Cadastros!$L$6:$L$12,Cadastros!$N$6:$N$12)))</f>
        <v/>
      </c>
      <c r="U1246" s="168" t="str">
        <f t="shared" si="250"/>
        <v/>
      </c>
      <c r="V1246" s="168" t="str">
        <f>IFERROR(U1246/_xlfn.XLOOKUP(_xlfn.XLOOKUP($F1246,Clientes!$B$4:$B$39,Clientes!$C$4:$C$39),Cadastros!$L$6:$L$12,Cadastros!$M$6:$M$12)," ")</f>
        <v xml:space="preserve"> </v>
      </c>
      <c r="W1246" s="28"/>
      <c r="X1246" s="28"/>
      <c r="Y1246" s="255" t="str">
        <f>IF(W1246="","",(_xlfn.XLOOKUP(W1246,Cadastros!$D$6:$D$90,Cadastros!$E$6:$E$90))*(1-_xlfn.XLOOKUP(_xlfn.XLOOKUP($F1246,Clientes!$B$4:$B$39,Clientes!$C$4:$C$39),Cadastros!$L$6:$L$12,Cadastros!$N$6:$N$12)))</f>
        <v/>
      </c>
      <c r="Z1246" s="168" t="str">
        <f t="shared" si="251"/>
        <v/>
      </c>
      <c r="AA1246" s="168" t="str">
        <f>IFERROR(Z1246/_xlfn.XLOOKUP(_xlfn.XLOOKUP($F1246,Clientes!$B$4:$B$39,Clientes!$C$4:$C$39),Cadastros!$L$6:$L$12,Cadastros!$M$6:$M$12)," ")</f>
        <v xml:space="preserve"> </v>
      </c>
      <c r="AB1246" s="28"/>
      <c r="AC1246" s="28"/>
      <c r="AD1246" s="20" t="str">
        <f>IF(AB1246="","",IF($F1246="Bernardino Furlan",_xlfn.XLOOKUP(AB1246,Cadastros!$G$6:$G$90,Cadastros!$H$6:$H$90)*(1-0.18),IF($F1246="Mauro José Salanti",_xlfn.XLOOKUP(AB1246,Cadastros!$G$6:$G$90,Cadastros!$H$6:$H$90)*(1-0.18),_xlfn.XLOOKUP(AB1246,Cadastros!$G$6:$G$90,Cadastros!$H$6:$H$90))))</f>
        <v/>
      </c>
      <c r="AE1246" s="168" t="str">
        <f t="shared" si="252"/>
        <v/>
      </c>
      <c r="AF1246" s="168" t="str">
        <f t="shared" si="253"/>
        <v/>
      </c>
      <c r="AG1246" s="28"/>
      <c r="AH1246" s="28"/>
      <c r="AI1246" s="20" t="str">
        <f>IF(AG1246="","",IF($F1246="Bernardino Furlan",_xlfn.XLOOKUP(AG1246,Cadastros!$G$6:$G$90,Cadastros!$H$6:$H$90)*(1-0.18),IF($F1246="Mauro José Salanti",_xlfn.XLOOKUP(AG1246,Cadastros!$G$6:$G$90,Cadastros!$H$6:$H$90)*(1-0.18),_xlfn.XLOOKUP(AG1246,Cadastros!$G$6:$G$90,Cadastros!$H$6:$H$90))))</f>
        <v/>
      </c>
      <c r="AJ1246" s="168" t="str">
        <f t="shared" si="254"/>
        <v/>
      </c>
      <c r="AK1246" s="168" t="str">
        <f t="shared" si="255"/>
        <v/>
      </c>
      <c r="AL1246" s="28"/>
      <c r="AM1246" s="28"/>
      <c r="AN1246" s="20" t="str">
        <f>IF(AL1246="","",IF($F1246="Bernardino Furlan",_xlfn.XLOOKUP(AL1246,Cadastros!$G$6:$G$90,Cadastros!$H$6:$H$90)*(1-0.18),IF($F1246="Mauro José Salanti",_xlfn.XLOOKUP(AL1246,Cadastros!$G$6:$G$90,Cadastros!$H$6:$H$90)*(1-0.18),_xlfn.XLOOKUP(AL1246,Cadastros!$G$6:$G$90,Cadastros!$H$6:$H$90))))</f>
        <v/>
      </c>
      <c r="AO1246" s="168" t="str">
        <f t="shared" si="256"/>
        <v/>
      </c>
      <c r="AP1246" s="168" t="str">
        <f t="shared" si="257"/>
        <v/>
      </c>
      <c r="AQ1246" s="28"/>
      <c r="AR1246" s="28"/>
      <c r="AS1246" s="20" t="str">
        <f>IF(AQ1246="","",IF($F1246="Bernardino Furlan",_xlfn.XLOOKUP(AQ1246,Cadastros!$G$6:$G$90,Cadastros!$H$6:$H$90)*(1-0.18),IF($F1246="Mauro José Salanti",_xlfn.XLOOKUP(AQ1246,Cadastros!$G$6:$G$90,Cadastros!$H$6:$H$90)*(1-0.18),_xlfn.XLOOKUP(AQ1246,Cadastros!$G$6:$G$90,Cadastros!$H$6:$H$90))))</f>
        <v/>
      </c>
      <c r="AT1246" s="168" t="str">
        <f t="shared" si="258"/>
        <v/>
      </c>
      <c r="AU1246" s="168" t="str">
        <f t="shared" si="259"/>
        <v/>
      </c>
      <c r="AV1246" s="227"/>
      <c r="AW1246" s="30"/>
      <c r="AX1246" s="267"/>
      <c r="AY1246" s="267"/>
      <c r="AZ1246" s="29"/>
      <c r="BA1246" s="30"/>
      <c r="BB1246" s="23" t="str" cm="1">
        <f t="array" ref="BB1246">_xlfn.IFS(AW1246="SIM",SUM(K1246,P1246,U1246,Z1246,AE1246,AJ1246,AO1246,AT1246,AX1246,AY1246),F1246&lt;&gt;"",SUM(K1246,P1246,U1246,Z1246,AE1246,AJ1246,,AO1246,AT1246),F1246="","")</f>
        <v/>
      </c>
      <c r="BC1246" s="211" t="str" cm="1">
        <f t="array" ref="BC1246">_xlfn.IFS(E1246="","",G1246&lt;=E1246,BB1246*(1-0.03),G1246&lt;(E1246+8),BB1246,AZ1246="Boleto",BB1246*(1+0.001)^DATEDIF(E1246,G1246,"D"),AZ1246="Cheque",BB1246,AZ1246="Dinheiro","Alterar forma pgto")</f>
        <v/>
      </c>
      <c r="BD1246" s="276" t="str" cm="1">
        <f t="array" ref="BD1246">IF(F1246=0," ",IF(BC1246&lt;BB1246,(_xlfn.IFS(AW1246="SIM",SUM(L1246,Q1246,V1246,AA1246,AF1246,AK1246,AP1246,AU1246)+AX1246/_xlfn.XLOOKUP(_xlfn.XLOOKUP($F1246,Clientes!$B$4:$B$39,Clientes!$C$4:$C$39),Cadastros!$L$6:$L$12,Cadastros!$M$6:$M$12)+IF($F1246="Bernardino Furlan",AY1246/2751.92,IF($F1246="Mauro José Salanti",AY1246/2751.92,AY1246/3356)),F1246&lt;&gt;0,SUM(L1246,Q1246,V1246,AA1246,AF1246,AK1246,AP1246,AU1246)))*(1-0.03),_xlfn.IFS(AW1246="SIM",SUM(L1246,Q1246,V1246,AA1246,AF1246,AK1246,AP1246,AU1246)+AX1246/_xlfn.XLOOKUP(_xlfn.XLOOKUP($F1246,Clientes!$B$4:$B$39,Clientes!$C$4:$C$39),Cadastros!$L$6:$L$12,Cadastros!$M$6:$M$12)+IF($F1246="Bernardino Furlan",AY1246/2751.92,IF($F1246="Mauro José Salanti",AY1246/2751.92,AY1246/3356)),F1246&lt;&gt;0,SUM(L1246,Q1246,V1246,AA1246,AF1246,AK1246,AP1246,AU1246))))</f>
        <v xml:space="preserve"> </v>
      </c>
      <c r="BE1246" s="120"/>
      <c r="BF1246" s="120"/>
      <c r="BG1246" s="120"/>
    </row>
    <row r="1247" spans="1:59" s="3" customFormat="1" x14ac:dyDescent="0.3">
      <c r="A1247" s="15" t="str">
        <f t="shared" si="247"/>
        <v/>
      </c>
      <c r="B1247" s="25"/>
      <c r="C1247" s="26"/>
      <c r="D1247" s="279"/>
      <c r="E1247" s="27"/>
      <c r="F1247" s="28"/>
      <c r="G1247" s="27"/>
      <c r="H1247" s="28"/>
      <c r="I1247" s="28"/>
      <c r="J1247" s="255" t="str">
        <f>IF(H1247="","",(_xlfn.XLOOKUP(H1247,Cadastros!$D$6:$D$90,Cadastros!$E$6:$E$90))*(1-_xlfn.XLOOKUP(_xlfn.XLOOKUP($F1247,Clientes!$B$4:$B$39,Clientes!$C$4:$C$39),Cadastros!$L$6:$L$12,Cadastros!$N$6:$N$12)))</f>
        <v/>
      </c>
      <c r="K1247" s="168" t="str">
        <f t="shared" si="248"/>
        <v/>
      </c>
      <c r="L1247" s="168" t="str">
        <f>IFERROR(K1247/_xlfn.XLOOKUP(_xlfn.XLOOKUP($F1247,Clientes!$B$4:$B$39,Clientes!$C$4:$C$39),Cadastros!$L$6:$L$12,Cadastros!$M$6:$M$12)," ")</f>
        <v xml:space="preserve"> </v>
      </c>
      <c r="M1247" s="28"/>
      <c r="N1247" s="28"/>
      <c r="O1247" s="255" t="str">
        <f>IF(M1247="","",(_xlfn.XLOOKUP(M1247,Cadastros!$D$6:$D$90,Cadastros!$E$6:$E$90))*(1-_xlfn.XLOOKUP(_xlfn.XLOOKUP($F1247,Clientes!$B$4:$B$39,Clientes!$C$4:$C$39),Cadastros!$L$6:$L$12,Cadastros!$N$6:$N$12)))</f>
        <v/>
      </c>
      <c r="P1247" s="168" t="str">
        <f t="shared" si="249"/>
        <v/>
      </c>
      <c r="Q1247" s="168" t="str">
        <f>IFERROR(P1247/_xlfn.XLOOKUP(_xlfn.XLOOKUP($F1247,Clientes!$B$4:$B$39,Clientes!$C$4:$C$39),Cadastros!$L$6:$L$12,Cadastros!$M$6:$M$12)," ")</f>
        <v xml:space="preserve"> </v>
      </c>
      <c r="R1247" s="28"/>
      <c r="S1247" s="28"/>
      <c r="T1247" s="255" t="str">
        <f>IF(R1247="","",(_xlfn.XLOOKUP(R1247,Cadastros!$D$6:$D$90,Cadastros!$E$6:$E$90))*(1-_xlfn.XLOOKUP(_xlfn.XLOOKUP($F1247,Clientes!$B$4:$B$39,Clientes!$C$4:$C$39),Cadastros!$L$6:$L$12,Cadastros!$N$6:$N$12)))</f>
        <v/>
      </c>
      <c r="U1247" s="168" t="str">
        <f t="shared" si="250"/>
        <v/>
      </c>
      <c r="V1247" s="168" t="str">
        <f>IFERROR(U1247/_xlfn.XLOOKUP(_xlfn.XLOOKUP($F1247,Clientes!$B$4:$B$39,Clientes!$C$4:$C$39),Cadastros!$L$6:$L$12,Cadastros!$M$6:$M$12)," ")</f>
        <v xml:space="preserve"> </v>
      </c>
      <c r="W1247" s="28"/>
      <c r="X1247" s="28"/>
      <c r="Y1247" s="255" t="str">
        <f>IF(W1247="","",(_xlfn.XLOOKUP(W1247,Cadastros!$D$6:$D$90,Cadastros!$E$6:$E$90))*(1-_xlfn.XLOOKUP(_xlfn.XLOOKUP($F1247,Clientes!$B$4:$B$39,Clientes!$C$4:$C$39),Cadastros!$L$6:$L$12,Cadastros!$N$6:$N$12)))</f>
        <v/>
      </c>
      <c r="Z1247" s="168" t="str">
        <f t="shared" si="251"/>
        <v/>
      </c>
      <c r="AA1247" s="168" t="str">
        <f>IFERROR(Z1247/_xlfn.XLOOKUP(_xlfn.XLOOKUP($F1247,Clientes!$B$4:$B$39,Clientes!$C$4:$C$39),Cadastros!$L$6:$L$12,Cadastros!$M$6:$M$12)," ")</f>
        <v xml:space="preserve"> </v>
      </c>
      <c r="AB1247" s="28"/>
      <c r="AC1247" s="28"/>
      <c r="AD1247" s="20" t="str">
        <f>IF(AB1247="","",IF($F1247="Bernardino Furlan",_xlfn.XLOOKUP(AB1247,Cadastros!$G$6:$G$90,Cadastros!$H$6:$H$90)*(1-0.18),IF($F1247="Mauro José Salanti",_xlfn.XLOOKUP(AB1247,Cadastros!$G$6:$G$90,Cadastros!$H$6:$H$90)*(1-0.18),_xlfn.XLOOKUP(AB1247,Cadastros!$G$6:$G$90,Cadastros!$H$6:$H$90))))</f>
        <v/>
      </c>
      <c r="AE1247" s="168" t="str">
        <f t="shared" si="252"/>
        <v/>
      </c>
      <c r="AF1247" s="168" t="str">
        <f t="shared" si="253"/>
        <v/>
      </c>
      <c r="AG1247" s="28"/>
      <c r="AH1247" s="28"/>
      <c r="AI1247" s="20" t="str">
        <f>IF(AG1247="","",IF($F1247="Bernardino Furlan",_xlfn.XLOOKUP(AG1247,Cadastros!$G$6:$G$90,Cadastros!$H$6:$H$90)*(1-0.18),IF($F1247="Mauro José Salanti",_xlfn.XLOOKUP(AG1247,Cadastros!$G$6:$G$90,Cadastros!$H$6:$H$90)*(1-0.18),_xlfn.XLOOKUP(AG1247,Cadastros!$G$6:$G$90,Cadastros!$H$6:$H$90))))</f>
        <v/>
      </c>
      <c r="AJ1247" s="168" t="str">
        <f t="shared" si="254"/>
        <v/>
      </c>
      <c r="AK1247" s="168" t="str">
        <f t="shared" si="255"/>
        <v/>
      </c>
      <c r="AL1247" s="28"/>
      <c r="AM1247" s="28"/>
      <c r="AN1247" s="20" t="str">
        <f>IF(AL1247="","",IF($F1247="Bernardino Furlan",_xlfn.XLOOKUP(AL1247,Cadastros!$G$6:$G$90,Cadastros!$H$6:$H$90)*(1-0.18),IF($F1247="Mauro José Salanti",_xlfn.XLOOKUP(AL1247,Cadastros!$G$6:$G$90,Cadastros!$H$6:$H$90)*(1-0.18),_xlfn.XLOOKUP(AL1247,Cadastros!$G$6:$G$90,Cadastros!$H$6:$H$90))))</f>
        <v/>
      </c>
      <c r="AO1247" s="168" t="str">
        <f t="shared" si="256"/>
        <v/>
      </c>
      <c r="AP1247" s="168" t="str">
        <f t="shared" si="257"/>
        <v/>
      </c>
      <c r="AQ1247" s="28"/>
      <c r="AR1247" s="28"/>
      <c r="AS1247" s="20" t="str">
        <f>IF(AQ1247="","",IF($F1247="Bernardino Furlan",_xlfn.XLOOKUP(AQ1247,Cadastros!$G$6:$G$90,Cadastros!$H$6:$H$90)*(1-0.18),IF($F1247="Mauro José Salanti",_xlfn.XLOOKUP(AQ1247,Cadastros!$G$6:$G$90,Cadastros!$H$6:$H$90)*(1-0.18),_xlfn.XLOOKUP(AQ1247,Cadastros!$G$6:$G$90,Cadastros!$H$6:$H$90))))</f>
        <v/>
      </c>
      <c r="AT1247" s="168" t="str">
        <f t="shared" si="258"/>
        <v/>
      </c>
      <c r="AU1247" s="168" t="str">
        <f t="shared" si="259"/>
        <v/>
      </c>
      <c r="AV1247" s="227"/>
      <c r="AW1247" s="30"/>
      <c r="AX1247" s="267"/>
      <c r="AY1247" s="267"/>
      <c r="AZ1247" s="29"/>
      <c r="BA1247" s="30"/>
      <c r="BB1247" s="23" t="str" cm="1">
        <f t="array" ref="BB1247">_xlfn.IFS(AW1247="SIM",SUM(K1247,P1247,U1247,Z1247,AE1247,AJ1247,AO1247,AT1247,AX1247,AY1247),F1247&lt;&gt;"",SUM(K1247,P1247,U1247,Z1247,AE1247,AJ1247,,AO1247,AT1247),F1247="","")</f>
        <v/>
      </c>
      <c r="BC1247" s="211" t="str" cm="1">
        <f t="array" ref="BC1247">_xlfn.IFS(E1247="","",G1247&lt;=E1247,BB1247*(1-0.03),G1247&lt;(E1247+8),BB1247,AZ1247="Boleto",BB1247*(1+0.001)^DATEDIF(E1247,G1247,"D"),AZ1247="Cheque",BB1247,AZ1247="Dinheiro","Alterar forma pgto")</f>
        <v/>
      </c>
      <c r="BD1247" s="276" t="str" cm="1">
        <f t="array" ref="BD1247">IF(F1247=0," ",IF(BC1247&lt;BB1247,(_xlfn.IFS(AW1247="SIM",SUM(L1247,Q1247,V1247,AA1247,AF1247,AK1247,AP1247,AU1247)+AX1247/_xlfn.XLOOKUP(_xlfn.XLOOKUP($F1247,Clientes!$B$4:$B$39,Clientes!$C$4:$C$39),Cadastros!$L$6:$L$12,Cadastros!$M$6:$M$12)+IF($F1247="Bernardino Furlan",AY1247/2751.92,IF($F1247="Mauro José Salanti",AY1247/2751.92,AY1247/3356)),F1247&lt;&gt;0,SUM(L1247,Q1247,V1247,AA1247,AF1247,AK1247,AP1247,AU1247)))*(1-0.03),_xlfn.IFS(AW1247="SIM",SUM(L1247,Q1247,V1247,AA1247,AF1247,AK1247,AP1247,AU1247)+AX1247/_xlfn.XLOOKUP(_xlfn.XLOOKUP($F1247,Clientes!$B$4:$B$39,Clientes!$C$4:$C$39),Cadastros!$L$6:$L$12,Cadastros!$M$6:$M$12)+IF($F1247="Bernardino Furlan",AY1247/2751.92,IF($F1247="Mauro José Salanti",AY1247/2751.92,AY1247/3356)),F1247&lt;&gt;0,SUM(L1247,Q1247,V1247,AA1247,AF1247,AK1247,AP1247,AU1247))))</f>
        <v xml:space="preserve"> </v>
      </c>
      <c r="BE1247" s="120"/>
      <c r="BF1247" s="120"/>
      <c r="BG1247" s="120"/>
    </row>
    <row r="1248" spans="1:59" s="3" customFormat="1" x14ac:dyDescent="0.3">
      <c r="A1248" s="15" t="str">
        <f t="shared" si="247"/>
        <v/>
      </c>
      <c r="B1248" s="25"/>
      <c r="C1248" s="26"/>
      <c r="D1248" s="279"/>
      <c r="E1248" s="27"/>
      <c r="F1248" s="28"/>
      <c r="G1248" s="27"/>
      <c r="H1248" s="28"/>
      <c r="I1248" s="28"/>
      <c r="J1248" s="255" t="str">
        <f>IF(H1248="","",(_xlfn.XLOOKUP(H1248,Cadastros!$D$6:$D$90,Cadastros!$E$6:$E$90))*(1-_xlfn.XLOOKUP(_xlfn.XLOOKUP($F1248,Clientes!$B$4:$B$39,Clientes!$C$4:$C$39),Cadastros!$L$6:$L$12,Cadastros!$N$6:$N$12)))</f>
        <v/>
      </c>
      <c r="K1248" s="168" t="str">
        <f t="shared" si="248"/>
        <v/>
      </c>
      <c r="L1248" s="168" t="str">
        <f>IFERROR(K1248/_xlfn.XLOOKUP(_xlfn.XLOOKUP($F1248,Clientes!$B$4:$B$39,Clientes!$C$4:$C$39),Cadastros!$L$6:$L$12,Cadastros!$M$6:$M$12)," ")</f>
        <v xml:space="preserve"> </v>
      </c>
      <c r="M1248" s="28"/>
      <c r="N1248" s="28"/>
      <c r="O1248" s="255" t="str">
        <f>IF(M1248="","",(_xlfn.XLOOKUP(M1248,Cadastros!$D$6:$D$90,Cadastros!$E$6:$E$90))*(1-_xlfn.XLOOKUP(_xlfn.XLOOKUP($F1248,Clientes!$B$4:$B$39,Clientes!$C$4:$C$39),Cadastros!$L$6:$L$12,Cadastros!$N$6:$N$12)))</f>
        <v/>
      </c>
      <c r="P1248" s="168" t="str">
        <f t="shared" si="249"/>
        <v/>
      </c>
      <c r="Q1248" s="168" t="str">
        <f>IFERROR(P1248/_xlfn.XLOOKUP(_xlfn.XLOOKUP($F1248,Clientes!$B$4:$B$39,Clientes!$C$4:$C$39),Cadastros!$L$6:$L$12,Cadastros!$M$6:$M$12)," ")</f>
        <v xml:space="preserve"> </v>
      </c>
      <c r="R1248" s="28"/>
      <c r="S1248" s="28"/>
      <c r="T1248" s="255" t="str">
        <f>IF(R1248="","",(_xlfn.XLOOKUP(R1248,Cadastros!$D$6:$D$90,Cadastros!$E$6:$E$90))*(1-_xlfn.XLOOKUP(_xlfn.XLOOKUP($F1248,Clientes!$B$4:$B$39,Clientes!$C$4:$C$39),Cadastros!$L$6:$L$12,Cadastros!$N$6:$N$12)))</f>
        <v/>
      </c>
      <c r="U1248" s="168" t="str">
        <f t="shared" si="250"/>
        <v/>
      </c>
      <c r="V1248" s="168" t="str">
        <f>IFERROR(U1248/_xlfn.XLOOKUP(_xlfn.XLOOKUP($F1248,Clientes!$B$4:$B$39,Clientes!$C$4:$C$39),Cadastros!$L$6:$L$12,Cadastros!$M$6:$M$12)," ")</f>
        <v xml:space="preserve"> </v>
      </c>
      <c r="W1248" s="28"/>
      <c r="X1248" s="28"/>
      <c r="Y1248" s="255" t="str">
        <f>IF(W1248="","",(_xlfn.XLOOKUP(W1248,Cadastros!$D$6:$D$90,Cadastros!$E$6:$E$90))*(1-_xlfn.XLOOKUP(_xlfn.XLOOKUP($F1248,Clientes!$B$4:$B$39,Clientes!$C$4:$C$39),Cadastros!$L$6:$L$12,Cadastros!$N$6:$N$12)))</f>
        <v/>
      </c>
      <c r="Z1248" s="168" t="str">
        <f t="shared" si="251"/>
        <v/>
      </c>
      <c r="AA1248" s="168" t="str">
        <f>IFERROR(Z1248/_xlfn.XLOOKUP(_xlfn.XLOOKUP($F1248,Clientes!$B$4:$B$39,Clientes!$C$4:$C$39),Cadastros!$L$6:$L$12,Cadastros!$M$6:$M$12)," ")</f>
        <v xml:space="preserve"> </v>
      </c>
      <c r="AB1248" s="28"/>
      <c r="AC1248" s="28"/>
      <c r="AD1248" s="20" t="str">
        <f>IF(AB1248="","",IF($F1248="Bernardino Furlan",_xlfn.XLOOKUP(AB1248,Cadastros!$G$6:$G$90,Cadastros!$H$6:$H$90)*(1-0.18),IF($F1248="Mauro José Salanti",_xlfn.XLOOKUP(AB1248,Cadastros!$G$6:$G$90,Cadastros!$H$6:$H$90)*(1-0.18),_xlfn.XLOOKUP(AB1248,Cadastros!$G$6:$G$90,Cadastros!$H$6:$H$90))))</f>
        <v/>
      </c>
      <c r="AE1248" s="168" t="str">
        <f t="shared" si="252"/>
        <v/>
      </c>
      <c r="AF1248" s="168" t="str">
        <f t="shared" si="253"/>
        <v/>
      </c>
      <c r="AG1248" s="28"/>
      <c r="AH1248" s="28"/>
      <c r="AI1248" s="20" t="str">
        <f>IF(AG1248="","",IF($F1248="Bernardino Furlan",_xlfn.XLOOKUP(AG1248,Cadastros!$G$6:$G$90,Cadastros!$H$6:$H$90)*(1-0.18),IF($F1248="Mauro José Salanti",_xlfn.XLOOKUP(AG1248,Cadastros!$G$6:$G$90,Cadastros!$H$6:$H$90)*(1-0.18),_xlfn.XLOOKUP(AG1248,Cadastros!$G$6:$G$90,Cadastros!$H$6:$H$90))))</f>
        <v/>
      </c>
      <c r="AJ1248" s="168" t="str">
        <f t="shared" si="254"/>
        <v/>
      </c>
      <c r="AK1248" s="168" t="str">
        <f t="shared" si="255"/>
        <v/>
      </c>
      <c r="AL1248" s="28"/>
      <c r="AM1248" s="28"/>
      <c r="AN1248" s="20" t="str">
        <f>IF(AL1248="","",IF($F1248="Bernardino Furlan",_xlfn.XLOOKUP(AL1248,Cadastros!$G$6:$G$90,Cadastros!$H$6:$H$90)*(1-0.18),IF($F1248="Mauro José Salanti",_xlfn.XLOOKUP(AL1248,Cadastros!$G$6:$G$90,Cadastros!$H$6:$H$90)*(1-0.18),_xlfn.XLOOKUP(AL1248,Cadastros!$G$6:$G$90,Cadastros!$H$6:$H$90))))</f>
        <v/>
      </c>
      <c r="AO1248" s="168" t="str">
        <f t="shared" si="256"/>
        <v/>
      </c>
      <c r="AP1248" s="168" t="str">
        <f t="shared" si="257"/>
        <v/>
      </c>
      <c r="AQ1248" s="28"/>
      <c r="AR1248" s="28"/>
      <c r="AS1248" s="20" t="str">
        <f>IF(AQ1248="","",IF($F1248="Bernardino Furlan",_xlfn.XLOOKUP(AQ1248,Cadastros!$G$6:$G$90,Cadastros!$H$6:$H$90)*(1-0.18),IF($F1248="Mauro José Salanti",_xlfn.XLOOKUP(AQ1248,Cadastros!$G$6:$G$90,Cadastros!$H$6:$H$90)*(1-0.18),_xlfn.XLOOKUP(AQ1248,Cadastros!$G$6:$G$90,Cadastros!$H$6:$H$90))))</f>
        <v/>
      </c>
      <c r="AT1248" s="168" t="str">
        <f t="shared" si="258"/>
        <v/>
      </c>
      <c r="AU1248" s="168" t="str">
        <f t="shared" si="259"/>
        <v/>
      </c>
      <c r="AV1248" s="227"/>
      <c r="AW1248" s="30"/>
      <c r="AX1248" s="267"/>
      <c r="AY1248" s="267"/>
      <c r="AZ1248" s="29"/>
      <c r="BA1248" s="30"/>
      <c r="BB1248" s="23" t="str" cm="1">
        <f t="array" ref="BB1248">_xlfn.IFS(AW1248="SIM",SUM(K1248,P1248,U1248,Z1248,AE1248,AJ1248,AO1248,AT1248,AX1248,AY1248),F1248&lt;&gt;"",SUM(K1248,P1248,U1248,Z1248,AE1248,AJ1248,,AO1248,AT1248),F1248="","")</f>
        <v/>
      </c>
      <c r="BC1248" s="211" t="str" cm="1">
        <f t="array" ref="BC1248">_xlfn.IFS(E1248="","",G1248&lt;=E1248,BB1248*(1-0.03),G1248&lt;(E1248+8),BB1248,AZ1248="Boleto",BB1248*(1+0.001)^DATEDIF(E1248,G1248,"D"),AZ1248="Cheque",BB1248,AZ1248="Dinheiro","Alterar forma pgto")</f>
        <v/>
      </c>
      <c r="BD1248" s="276" t="str" cm="1">
        <f t="array" ref="BD1248">IF(F1248=0," ",IF(BC1248&lt;BB1248,(_xlfn.IFS(AW1248="SIM",SUM(L1248,Q1248,V1248,AA1248,AF1248,AK1248,AP1248,AU1248)+AX1248/_xlfn.XLOOKUP(_xlfn.XLOOKUP($F1248,Clientes!$B$4:$B$39,Clientes!$C$4:$C$39),Cadastros!$L$6:$L$12,Cadastros!$M$6:$M$12)+IF($F1248="Bernardino Furlan",AY1248/2751.92,IF($F1248="Mauro José Salanti",AY1248/2751.92,AY1248/3356)),F1248&lt;&gt;0,SUM(L1248,Q1248,V1248,AA1248,AF1248,AK1248,AP1248,AU1248)))*(1-0.03),_xlfn.IFS(AW1248="SIM",SUM(L1248,Q1248,V1248,AA1248,AF1248,AK1248,AP1248,AU1248)+AX1248/_xlfn.XLOOKUP(_xlfn.XLOOKUP($F1248,Clientes!$B$4:$B$39,Clientes!$C$4:$C$39),Cadastros!$L$6:$L$12,Cadastros!$M$6:$M$12)+IF($F1248="Bernardino Furlan",AY1248/2751.92,IF($F1248="Mauro José Salanti",AY1248/2751.92,AY1248/3356)),F1248&lt;&gt;0,SUM(L1248,Q1248,V1248,AA1248,AF1248,AK1248,AP1248,AU1248))))</f>
        <v xml:space="preserve"> </v>
      </c>
      <c r="BE1248" s="120"/>
      <c r="BF1248" s="120"/>
      <c r="BG1248" s="120"/>
    </row>
    <row r="1249" spans="1:59" s="3" customFormat="1" x14ac:dyDescent="0.3">
      <c r="A1249" s="15" t="str">
        <f t="shared" si="247"/>
        <v/>
      </c>
      <c r="B1249" s="25"/>
      <c r="C1249" s="26"/>
      <c r="D1249" s="279"/>
      <c r="E1249" s="27"/>
      <c r="F1249" s="28"/>
      <c r="G1249" s="27"/>
      <c r="H1249" s="28"/>
      <c r="I1249" s="28"/>
      <c r="J1249" s="255" t="str">
        <f>IF(H1249="","",(_xlfn.XLOOKUP(H1249,Cadastros!$D$6:$D$90,Cadastros!$E$6:$E$90))*(1-_xlfn.XLOOKUP(_xlfn.XLOOKUP($F1249,Clientes!$B$4:$B$39,Clientes!$C$4:$C$39),Cadastros!$L$6:$L$12,Cadastros!$N$6:$N$12)))</f>
        <v/>
      </c>
      <c r="K1249" s="168" t="str">
        <f t="shared" si="248"/>
        <v/>
      </c>
      <c r="L1249" s="168" t="str">
        <f>IFERROR(K1249/_xlfn.XLOOKUP(_xlfn.XLOOKUP($F1249,Clientes!$B$4:$B$39,Clientes!$C$4:$C$39),Cadastros!$L$6:$L$12,Cadastros!$M$6:$M$12)," ")</f>
        <v xml:space="preserve"> </v>
      </c>
      <c r="M1249" s="28"/>
      <c r="N1249" s="28"/>
      <c r="O1249" s="255" t="str">
        <f>IF(M1249="","",(_xlfn.XLOOKUP(M1249,Cadastros!$D$6:$D$90,Cadastros!$E$6:$E$90))*(1-_xlfn.XLOOKUP(_xlfn.XLOOKUP($F1249,Clientes!$B$4:$B$39,Clientes!$C$4:$C$39),Cadastros!$L$6:$L$12,Cadastros!$N$6:$N$12)))</f>
        <v/>
      </c>
      <c r="P1249" s="168" t="str">
        <f t="shared" si="249"/>
        <v/>
      </c>
      <c r="Q1249" s="168" t="str">
        <f>IFERROR(P1249/_xlfn.XLOOKUP(_xlfn.XLOOKUP($F1249,Clientes!$B$4:$B$39,Clientes!$C$4:$C$39),Cadastros!$L$6:$L$12,Cadastros!$M$6:$M$12)," ")</f>
        <v xml:space="preserve"> </v>
      </c>
      <c r="R1249" s="28"/>
      <c r="S1249" s="28"/>
      <c r="T1249" s="255" t="str">
        <f>IF(R1249="","",(_xlfn.XLOOKUP(R1249,Cadastros!$D$6:$D$90,Cadastros!$E$6:$E$90))*(1-_xlfn.XLOOKUP(_xlfn.XLOOKUP($F1249,Clientes!$B$4:$B$39,Clientes!$C$4:$C$39),Cadastros!$L$6:$L$12,Cadastros!$N$6:$N$12)))</f>
        <v/>
      </c>
      <c r="U1249" s="168" t="str">
        <f t="shared" si="250"/>
        <v/>
      </c>
      <c r="V1249" s="168" t="str">
        <f>IFERROR(U1249/_xlfn.XLOOKUP(_xlfn.XLOOKUP($F1249,Clientes!$B$4:$B$39,Clientes!$C$4:$C$39),Cadastros!$L$6:$L$12,Cadastros!$M$6:$M$12)," ")</f>
        <v xml:space="preserve"> </v>
      </c>
      <c r="W1249" s="28"/>
      <c r="X1249" s="28"/>
      <c r="Y1249" s="255" t="str">
        <f>IF(W1249="","",(_xlfn.XLOOKUP(W1249,Cadastros!$D$6:$D$90,Cadastros!$E$6:$E$90))*(1-_xlfn.XLOOKUP(_xlfn.XLOOKUP($F1249,Clientes!$B$4:$B$39,Clientes!$C$4:$C$39),Cadastros!$L$6:$L$12,Cadastros!$N$6:$N$12)))</f>
        <v/>
      </c>
      <c r="Z1249" s="168" t="str">
        <f t="shared" si="251"/>
        <v/>
      </c>
      <c r="AA1249" s="168" t="str">
        <f>IFERROR(Z1249/_xlfn.XLOOKUP(_xlfn.XLOOKUP($F1249,Clientes!$B$4:$B$39,Clientes!$C$4:$C$39),Cadastros!$L$6:$L$12,Cadastros!$M$6:$M$12)," ")</f>
        <v xml:space="preserve"> </v>
      </c>
      <c r="AB1249" s="28"/>
      <c r="AC1249" s="28"/>
      <c r="AD1249" s="20" t="str">
        <f>IF(AB1249="","",IF($F1249="Bernardino Furlan",_xlfn.XLOOKUP(AB1249,Cadastros!$G$6:$G$90,Cadastros!$H$6:$H$90)*(1-0.18),IF($F1249="Mauro José Salanti",_xlfn.XLOOKUP(AB1249,Cadastros!$G$6:$G$90,Cadastros!$H$6:$H$90)*(1-0.18),_xlfn.XLOOKUP(AB1249,Cadastros!$G$6:$G$90,Cadastros!$H$6:$H$90))))</f>
        <v/>
      </c>
      <c r="AE1249" s="168" t="str">
        <f t="shared" si="252"/>
        <v/>
      </c>
      <c r="AF1249" s="168" t="str">
        <f t="shared" si="253"/>
        <v/>
      </c>
      <c r="AG1249" s="28"/>
      <c r="AH1249" s="28"/>
      <c r="AI1249" s="20" t="str">
        <f>IF(AG1249="","",IF($F1249="Bernardino Furlan",_xlfn.XLOOKUP(AG1249,Cadastros!$G$6:$G$90,Cadastros!$H$6:$H$90)*(1-0.18),IF($F1249="Mauro José Salanti",_xlfn.XLOOKUP(AG1249,Cadastros!$G$6:$G$90,Cadastros!$H$6:$H$90)*(1-0.18),_xlfn.XLOOKUP(AG1249,Cadastros!$G$6:$G$90,Cadastros!$H$6:$H$90))))</f>
        <v/>
      </c>
      <c r="AJ1249" s="168" t="str">
        <f t="shared" si="254"/>
        <v/>
      </c>
      <c r="AK1249" s="168" t="str">
        <f t="shared" si="255"/>
        <v/>
      </c>
      <c r="AL1249" s="28"/>
      <c r="AM1249" s="28"/>
      <c r="AN1249" s="20" t="str">
        <f>IF(AL1249="","",IF($F1249="Bernardino Furlan",_xlfn.XLOOKUP(AL1249,Cadastros!$G$6:$G$90,Cadastros!$H$6:$H$90)*(1-0.18),IF($F1249="Mauro José Salanti",_xlfn.XLOOKUP(AL1249,Cadastros!$G$6:$G$90,Cadastros!$H$6:$H$90)*(1-0.18),_xlfn.XLOOKUP(AL1249,Cadastros!$G$6:$G$90,Cadastros!$H$6:$H$90))))</f>
        <v/>
      </c>
      <c r="AO1249" s="168" t="str">
        <f t="shared" si="256"/>
        <v/>
      </c>
      <c r="AP1249" s="168" t="str">
        <f t="shared" si="257"/>
        <v/>
      </c>
      <c r="AQ1249" s="28"/>
      <c r="AR1249" s="28"/>
      <c r="AS1249" s="20" t="str">
        <f>IF(AQ1249="","",IF($F1249="Bernardino Furlan",_xlfn.XLOOKUP(AQ1249,Cadastros!$G$6:$G$90,Cadastros!$H$6:$H$90)*(1-0.18),IF($F1249="Mauro José Salanti",_xlfn.XLOOKUP(AQ1249,Cadastros!$G$6:$G$90,Cadastros!$H$6:$H$90)*(1-0.18),_xlfn.XLOOKUP(AQ1249,Cadastros!$G$6:$G$90,Cadastros!$H$6:$H$90))))</f>
        <v/>
      </c>
      <c r="AT1249" s="168" t="str">
        <f t="shared" si="258"/>
        <v/>
      </c>
      <c r="AU1249" s="168" t="str">
        <f t="shared" si="259"/>
        <v/>
      </c>
      <c r="AV1249" s="227"/>
      <c r="AW1249" s="30"/>
      <c r="AX1249" s="267"/>
      <c r="AY1249" s="267"/>
      <c r="AZ1249" s="29"/>
      <c r="BA1249" s="30"/>
      <c r="BB1249" s="23" t="str" cm="1">
        <f t="array" ref="BB1249">_xlfn.IFS(AW1249="SIM",SUM(K1249,P1249,U1249,Z1249,AE1249,AJ1249,AO1249,AT1249,AX1249,AY1249),F1249&lt;&gt;"",SUM(K1249,P1249,U1249,Z1249,AE1249,AJ1249,,AO1249,AT1249),F1249="","")</f>
        <v/>
      </c>
      <c r="BC1249" s="211" t="str" cm="1">
        <f t="array" ref="BC1249">_xlfn.IFS(E1249="","",G1249&lt;=E1249,BB1249*(1-0.03),G1249&lt;(E1249+8),BB1249,AZ1249="Boleto",BB1249*(1+0.001)^DATEDIF(E1249,G1249,"D"),AZ1249="Cheque",BB1249,AZ1249="Dinheiro","Alterar forma pgto")</f>
        <v/>
      </c>
      <c r="BD1249" s="276" t="str" cm="1">
        <f t="array" ref="BD1249">IF(F1249=0," ",IF(BC1249&lt;BB1249,(_xlfn.IFS(AW1249="SIM",SUM(L1249,Q1249,V1249,AA1249,AF1249,AK1249,AP1249,AU1249)+AX1249/_xlfn.XLOOKUP(_xlfn.XLOOKUP($F1249,Clientes!$B$4:$B$39,Clientes!$C$4:$C$39),Cadastros!$L$6:$L$12,Cadastros!$M$6:$M$12)+IF($F1249="Bernardino Furlan",AY1249/2751.92,IF($F1249="Mauro José Salanti",AY1249/2751.92,AY1249/3356)),F1249&lt;&gt;0,SUM(L1249,Q1249,V1249,AA1249,AF1249,AK1249,AP1249,AU1249)))*(1-0.03),_xlfn.IFS(AW1249="SIM",SUM(L1249,Q1249,V1249,AA1249,AF1249,AK1249,AP1249,AU1249)+AX1249/_xlfn.XLOOKUP(_xlfn.XLOOKUP($F1249,Clientes!$B$4:$B$39,Clientes!$C$4:$C$39),Cadastros!$L$6:$L$12,Cadastros!$M$6:$M$12)+IF($F1249="Bernardino Furlan",AY1249/2751.92,IF($F1249="Mauro José Salanti",AY1249/2751.92,AY1249/3356)),F1249&lt;&gt;0,SUM(L1249,Q1249,V1249,AA1249,AF1249,AK1249,AP1249,AU1249))))</f>
        <v xml:space="preserve"> </v>
      </c>
      <c r="BE1249" s="120"/>
      <c r="BF1249" s="120"/>
      <c r="BG1249" s="120"/>
    </row>
    <row r="1250" spans="1:59" s="3" customFormat="1" x14ac:dyDescent="0.3">
      <c r="A1250" s="15" t="str">
        <f t="shared" si="247"/>
        <v/>
      </c>
      <c r="B1250" s="25"/>
      <c r="C1250" s="26"/>
      <c r="D1250" s="279"/>
      <c r="E1250" s="27"/>
      <c r="F1250" s="28"/>
      <c r="G1250" s="27"/>
      <c r="H1250" s="28"/>
      <c r="I1250" s="28"/>
      <c r="J1250" s="255" t="str">
        <f>IF(H1250="","",(_xlfn.XLOOKUP(H1250,Cadastros!$D$6:$D$90,Cadastros!$E$6:$E$90))*(1-_xlfn.XLOOKUP(_xlfn.XLOOKUP($F1250,Clientes!$B$4:$B$39,Clientes!$C$4:$C$39),Cadastros!$L$6:$L$12,Cadastros!$N$6:$N$12)))</f>
        <v/>
      </c>
      <c r="K1250" s="168" t="str">
        <f t="shared" si="248"/>
        <v/>
      </c>
      <c r="L1250" s="168" t="str">
        <f>IFERROR(K1250/_xlfn.XLOOKUP(_xlfn.XLOOKUP($F1250,Clientes!$B$4:$B$39,Clientes!$C$4:$C$39),Cadastros!$L$6:$L$12,Cadastros!$M$6:$M$12)," ")</f>
        <v xml:space="preserve"> </v>
      </c>
      <c r="M1250" s="28"/>
      <c r="N1250" s="28"/>
      <c r="O1250" s="255" t="str">
        <f>IF(M1250="","",(_xlfn.XLOOKUP(M1250,Cadastros!$D$6:$D$90,Cadastros!$E$6:$E$90))*(1-_xlfn.XLOOKUP(_xlfn.XLOOKUP($F1250,Clientes!$B$4:$B$39,Clientes!$C$4:$C$39),Cadastros!$L$6:$L$12,Cadastros!$N$6:$N$12)))</f>
        <v/>
      </c>
      <c r="P1250" s="168" t="str">
        <f t="shared" si="249"/>
        <v/>
      </c>
      <c r="Q1250" s="168" t="str">
        <f>IFERROR(P1250/_xlfn.XLOOKUP(_xlfn.XLOOKUP($F1250,Clientes!$B$4:$B$39,Clientes!$C$4:$C$39),Cadastros!$L$6:$L$12,Cadastros!$M$6:$M$12)," ")</f>
        <v xml:space="preserve"> </v>
      </c>
      <c r="R1250" s="28"/>
      <c r="S1250" s="28"/>
      <c r="T1250" s="255" t="str">
        <f>IF(R1250="","",(_xlfn.XLOOKUP(R1250,Cadastros!$D$6:$D$90,Cadastros!$E$6:$E$90))*(1-_xlfn.XLOOKUP(_xlfn.XLOOKUP($F1250,Clientes!$B$4:$B$39,Clientes!$C$4:$C$39),Cadastros!$L$6:$L$12,Cadastros!$N$6:$N$12)))</f>
        <v/>
      </c>
      <c r="U1250" s="168" t="str">
        <f t="shared" si="250"/>
        <v/>
      </c>
      <c r="V1250" s="168" t="str">
        <f>IFERROR(U1250/_xlfn.XLOOKUP(_xlfn.XLOOKUP($F1250,Clientes!$B$4:$B$39,Clientes!$C$4:$C$39),Cadastros!$L$6:$L$12,Cadastros!$M$6:$M$12)," ")</f>
        <v xml:space="preserve"> </v>
      </c>
      <c r="W1250" s="28"/>
      <c r="X1250" s="28"/>
      <c r="Y1250" s="255" t="str">
        <f>IF(W1250="","",(_xlfn.XLOOKUP(W1250,Cadastros!$D$6:$D$90,Cadastros!$E$6:$E$90))*(1-_xlfn.XLOOKUP(_xlfn.XLOOKUP($F1250,Clientes!$B$4:$B$39,Clientes!$C$4:$C$39),Cadastros!$L$6:$L$12,Cadastros!$N$6:$N$12)))</f>
        <v/>
      </c>
      <c r="Z1250" s="168" t="str">
        <f t="shared" si="251"/>
        <v/>
      </c>
      <c r="AA1250" s="168" t="str">
        <f>IFERROR(Z1250/_xlfn.XLOOKUP(_xlfn.XLOOKUP($F1250,Clientes!$B$4:$B$39,Clientes!$C$4:$C$39),Cadastros!$L$6:$L$12,Cadastros!$M$6:$M$12)," ")</f>
        <v xml:space="preserve"> </v>
      </c>
      <c r="AB1250" s="28"/>
      <c r="AC1250" s="28"/>
      <c r="AD1250" s="20" t="str">
        <f>IF(AB1250="","",IF($F1250="Bernardino Furlan",_xlfn.XLOOKUP(AB1250,Cadastros!$G$6:$G$90,Cadastros!$H$6:$H$90)*(1-0.18),IF($F1250="Mauro José Salanti",_xlfn.XLOOKUP(AB1250,Cadastros!$G$6:$G$90,Cadastros!$H$6:$H$90)*(1-0.18),_xlfn.XLOOKUP(AB1250,Cadastros!$G$6:$G$90,Cadastros!$H$6:$H$90))))</f>
        <v/>
      </c>
      <c r="AE1250" s="168" t="str">
        <f t="shared" si="252"/>
        <v/>
      </c>
      <c r="AF1250" s="168" t="str">
        <f t="shared" si="253"/>
        <v/>
      </c>
      <c r="AG1250" s="28"/>
      <c r="AH1250" s="28"/>
      <c r="AI1250" s="20" t="str">
        <f>IF(AG1250="","",IF($F1250="Bernardino Furlan",_xlfn.XLOOKUP(AG1250,Cadastros!$G$6:$G$90,Cadastros!$H$6:$H$90)*(1-0.18),IF($F1250="Mauro José Salanti",_xlfn.XLOOKUP(AG1250,Cadastros!$G$6:$G$90,Cadastros!$H$6:$H$90)*(1-0.18),_xlfn.XLOOKUP(AG1250,Cadastros!$G$6:$G$90,Cadastros!$H$6:$H$90))))</f>
        <v/>
      </c>
      <c r="AJ1250" s="168" t="str">
        <f t="shared" si="254"/>
        <v/>
      </c>
      <c r="AK1250" s="168" t="str">
        <f t="shared" si="255"/>
        <v/>
      </c>
      <c r="AL1250" s="28"/>
      <c r="AM1250" s="28"/>
      <c r="AN1250" s="20" t="str">
        <f>IF(AL1250="","",IF($F1250="Bernardino Furlan",_xlfn.XLOOKUP(AL1250,Cadastros!$G$6:$G$90,Cadastros!$H$6:$H$90)*(1-0.18),IF($F1250="Mauro José Salanti",_xlfn.XLOOKUP(AL1250,Cadastros!$G$6:$G$90,Cadastros!$H$6:$H$90)*(1-0.18),_xlfn.XLOOKUP(AL1250,Cadastros!$G$6:$G$90,Cadastros!$H$6:$H$90))))</f>
        <v/>
      </c>
      <c r="AO1250" s="168" t="str">
        <f t="shared" si="256"/>
        <v/>
      </c>
      <c r="AP1250" s="168" t="str">
        <f t="shared" si="257"/>
        <v/>
      </c>
      <c r="AQ1250" s="28"/>
      <c r="AR1250" s="28"/>
      <c r="AS1250" s="20" t="str">
        <f>IF(AQ1250="","",IF($F1250="Bernardino Furlan",_xlfn.XLOOKUP(AQ1250,Cadastros!$G$6:$G$90,Cadastros!$H$6:$H$90)*(1-0.18),IF($F1250="Mauro José Salanti",_xlfn.XLOOKUP(AQ1250,Cadastros!$G$6:$G$90,Cadastros!$H$6:$H$90)*(1-0.18),_xlfn.XLOOKUP(AQ1250,Cadastros!$G$6:$G$90,Cadastros!$H$6:$H$90))))</f>
        <v/>
      </c>
      <c r="AT1250" s="168" t="str">
        <f t="shared" si="258"/>
        <v/>
      </c>
      <c r="AU1250" s="168" t="str">
        <f t="shared" si="259"/>
        <v/>
      </c>
      <c r="AV1250" s="227"/>
      <c r="AW1250" s="30"/>
      <c r="AX1250" s="267"/>
      <c r="AY1250" s="267"/>
      <c r="AZ1250" s="29"/>
      <c r="BA1250" s="30"/>
      <c r="BB1250" s="23" t="str" cm="1">
        <f t="array" ref="BB1250">_xlfn.IFS(AW1250="SIM",SUM(K1250,P1250,U1250,Z1250,AE1250,AJ1250,AO1250,AT1250,AX1250,AY1250),F1250&lt;&gt;"",SUM(K1250,P1250,U1250,Z1250,AE1250,AJ1250,,AO1250,AT1250),F1250="","")</f>
        <v/>
      </c>
      <c r="BC1250" s="211" t="str" cm="1">
        <f t="array" ref="BC1250">_xlfn.IFS(E1250="","",G1250&lt;=E1250,BB1250*(1-0.03),G1250&lt;(E1250+8),BB1250,AZ1250="Boleto",BB1250*(1+0.001)^DATEDIF(E1250,G1250,"D"),AZ1250="Cheque",BB1250,AZ1250="Dinheiro","Alterar forma pgto")</f>
        <v/>
      </c>
      <c r="BD1250" s="276" t="str" cm="1">
        <f t="array" ref="BD1250">IF(F1250=0," ",IF(BC1250&lt;BB1250,(_xlfn.IFS(AW1250="SIM",SUM(L1250,Q1250,V1250,AA1250,AF1250,AK1250,AP1250,AU1250)+AX1250/_xlfn.XLOOKUP(_xlfn.XLOOKUP($F1250,Clientes!$B$4:$B$39,Clientes!$C$4:$C$39),Cadastros!$L$6:$L$12,Cadastros!$M$6:$M$12)+IF($F1250="Bernardino Furlan",AY1250/2751.92,IF($F1250="Mauro José Salanti",AY1250/2751.92,AY1250/3356)),F1250&lt;&gt;0,SUM(L1250,Q1250,V1250,AA1250,AF1250,AK1250,AP1250,AU1250)))*(1-0.03),_xlfn.IFS(AW1250="SIM",SUM(L1250,Q1250,V1250,AA1250,AF1250,AK1250,AP1250,AU1250)+AX1250/_xlfn.XLOOKUP(_xlfn.XLOOKUP($F1250,Clientes!$B$4:$B$39,Clientes!$C$4:$C$39),Cadastros!$L$6:$L$12,Cadastros!$M$6:$M$12)+IF($F1250="Bernardino Furlan",AY1250/2751.92,IF($F1250="Mauro José Salanti",AY1250/2751.92,AY1250/3356)),F1250&lt;&gt;0,SUM(L1250,Q1250,V1250,AA1250,AF1250,AK1250,AP1250,AU1250))))</f>
        <v xml:space="preserve"> </v>
      </c>
      <c r="BE1250" s="120"/>
      <c r="BF1250" s="120"/>
      <c r="BG1250" s="120"/>
    </row>
    <row r="1251" spans="1:59" s="3" customFormat="1" x14ac:dyDescent="0.3">
      <c r="A1251" s="15" t="str">
        <f t="shared" si="247"/>
        <v/>
      </c>
      <c r="B1251" s="25"/>
      <c r="C1251" s="26"/>
      <c r="D1251" s="279"/>
      <c r="E1251" s="27"/>
      <c r="F1251" s="28"/>
      <c r="G1251" s="27"/>
      <c r="H1251" s="28"/>
      <c r="I1251" s="28"/>
      <c r="J1251" s="255" t="str">
        <f>IF(H1251="","",(_xlfn.XLOOKUP(H1251,Cadastros!$D$6:$D$90,Cadastros!$E$6:$E$90))*(1-_xlfn.XLOOKUP(_xlfn.XLOOKUP($F1251,Clientes!$B$4:$B$39,Clientes!$C$4:$C$39),Cadastros!$L$6:$L$12,Cadastros!$N$6:$N$12)))</f>
        <v/>
      </c>
      <c r="K1251" s="168" t="str">
        <f t="shared" si="248"/>
        <v/>
      </c>
      <c r="L1251" s="168" t="str">
        <f>IFERROR(K1251/_xlfn.XLOOKUP(_xlfn.XLOOKUP($F1251,Clientes!$B$4:$B$39,Clientes!$C$4:$C$39),Cadastros!$L$6:$L$12,Cadastros!$M$6:$M$12)," ")</f>
        <v xml:space="preserve"> </v>
      </c>
      <c r="M1251" s="28"/>
      <c r="N1251" s="28"/>
      <c r="O1251" s="255" t="str">
        <f>IF(M1251="","",(_xlfn.XLOOKUP(M1251,Cadastros!$D$6:$D$90,Cadastros!$E$6:$E$90))*(1-_xlfn.XLOOKUP(_xlfn.XLOOKUP($F1251,Clientes!$B$4:$B$39,Clientes!$C$4:$C$39),Cadastros!$L$6:$L$12,Cadastros!$N$6:$N$12)))</f>
        <v/>
      </c>
      <c r="P1251" s="168" t="str">
        <f t="shared" si="249"/>
        <v/>
      </c>
      <c r="Q1251" s="168" t="str">
        <f>IFERROR(P1251/_xlfn.XLOOKUP(_xlfn.XLOOKUP($F1251,Clientes!$B$4:$B$39,Clientes!$C$4:$C$39),Cadastros!$L$6:$L$12,Cadastros!$M$6:$M$12)," ")</f>
        <v xml:space="preserve"> </v>
      </c>
      <c r="R1251" s="28"/>
      <c r="S1251" s="28"/>
      <c r="T1251" s="255" t="str">
        <f>IF(R1251="","",(_xlfn.XLOOKUP(R1251,Cadastros!$D$6:$D$90,Cadastros!$E$6:$E$90))*(1-_xlfn.XLOOKUP(_xlfn.XLOOKUP($F1251,Clientes!$B$4:$B$39,Clientes!$C$4:$C$39),Cadastros!$L$6:$L$12,Cadastros!$N$6:$N$12)))</f>
        <v/>
      </c>
      <c r="U1251" s="168" t="str">
        <f t="shared" si="250"/>
        <v/>
      </c>
      <c r="V1251" s="168" t="str">
        <f>IFERROR(U1251/_xlfn.XLOOKUP(_xlfn.XLOOKUP($F1251,Clientes!$B$4:$B$39,Clientes!$C$4:$C$39),Cadastros!$L$6:$L$12,Cadastros!$M$6:$M$12)," ")</f>
        <v xml:space="preserve"> </v>
      </c>
      <c r="W1251" s="28"/>
      <c r="X1251" s="28"/>
      <c r="Y1251" s="255" t="str">
        <f>IF(W1251="","",(_xlfn.XLOOKUP(W1251,Cadastros!$D$6:$D$90,Cadastros!$E$6:$E$90))*(1-_xlfn.XLOOKUP(_xlfn.XLOOKUP($F1251,Clientes!$B$4:$B$39,Clientes!$C$4:$C$39),Cadastros!$L$6:$L$12,Cadastros!$N$6:$N$12)))</f>
        <v/>
      </c>
      <c r="Z1251" s="168" t="str">
        <f t="shared" si="251"/>
        <v/>
      </c>
      <c r="AA1251" s="168" t="str">
        <f>IFERROR(Z1251/_xlfn.XLOOKUP(_xlfn.XLOOKUP($F1251,Clientes!$B$4:$B$39,Clientes!$C$4:$C$39),Cadastros!$L$6:$L$12,Cadastros!$M$6:$M$12)," ")</f>
        <v xml:space="preserve"> </v>
      </c>
      <c r="AB1251" s="28"/>
      <c r="AC1251" s="28"/>
      <c r="AD1251" s="20" t="str">
        <f>IF(AB1251="","",IF($F1251="Bernardino Furlan",_xlfn.XLOOKUP(AB1251,Cadastros!$G$6:$G$90,Cadastros!$H$6:$H$90)*(1-0.18),IF($F1251="Mauro José Salanti",_xlfn.XLOOKUP(AB1251,Cadastros!$G$6:$G$90,Cadastros!$H$6:$H$90)*(1-0.18),_xlfn.XLOOKUP(AB1251,Cadastros!$G$6:$G$90,Cadastros!$H$6:$H$90))))</f>
        <v/>
      </c>
      <c r="AE1251" s="168" t="str">
        <f t="shared" si="252"/>
        <v/>
      </c>
      <c r="AF1251" s="168" t="str">
        <f t="shared" si="253"/>
        <v/>
      </c>
      <c r="AG1251" s="28"/>
      <c r="AH1251" s="28"/>
      <c r="AI1251" s="20" t="str">
        <f>IF(AG1251="","",IF($F1251="Bernardino Furlan",_xlfn.XLOOKUP(AG1251,Cadastros!$G$6:$G$90,Cadastros!$H$6:$H$90)*(1-0.18),IF($F1251="Mauro José Salanti",_xlfn.XLOOKUP(AG1251,Cadastros!$G$6:$G$90,Cadastros!$H$6:$H$90)*(1-0.18),_xlfn.XLOOKUP(AG1251,Cadastros!$G$6:$G$90,Cadastros!$H$6:$H$90))))</f>
        <v/>
      </c>
      <c r="AJ1251" s="168" t="str">
        <f t="shared" si="254"/>
        <v/>
      </c>
      <c r="AK1251" s="168" t="str">
        <f t="shared" si="255"/>
        <v/>
      </c>
      <c r="AL1251" s="28"/>
      <c r="AM1251" s="28"/>
      <c r="AN1251" s="20" t="str">
        <f>IF(AL1251="","",IF($F1251="Bernardino Furlan",_xlfn.XLOOKUP(AL1251,Cadastros!$G$6:$G$90,Cadastros!$H$6:$H$90)*(1-0.18),IF($F1251="Mauro José Salanti",_xlfn.XLOOKUP(AL1251,Cadastros!$G$6:$G$90,Cadastros!$H$6:$H$90)*(1-0.18),_xlfn.XLOOKUP(AL1251,Cadastros!$G$6:$G$90,Cadastros!$H$6:$H$90))))</f>
        <v/>
      </c>
      <c r="AO1251" s="168" t="str">
        <f t="shared" si="256"/>
        <v/>
      </c>
      <c r="AP1251" s="168" t="str">
        <f t="shared" si="257"/>
        <v/>
      </c>
      <c r="AQ1251" s="28"/>
      <c r="AR1251" s="28"/>
      <c r="AS1251" s="20" t="str">
        <f>IF(AQ1251="","",IF($F1251="Bernardino Furlan",_xlfn.XLOOKUP(AQ1251,Cadastros!$G$6:$G$90,Cadastros!$H$6:$H$90)*(1-0.18),IF($F1251="Mauro José Salanti",_xlfn.XLOOKUP(AQ1251,Cadastros!$G$6:$G$90,Cadastros!$H$6:$H$90)*(1-0.18),_xlfn.XLOOKUP(AQ1251,Cadastros!$G$6:$G$90,Cadastros!$H$6:$H$90))))</f>
        <v/>
      </c>
      <c r="AT1251" s="168" t="str">
        <f t="shared" si="258"/>
        <v/>
      </c>
      <c r="AU1251" s="168" t="str">
        <f t="shared" si="259"/>
        <v/>
      </c>
      <c r="AV1251" s="227"/>
      <c r="AW1251" s="30"/>
      <c r="AX1251" s="267"/>
      <c r="AY1251" s="267"/>
      <c r="AZ1251" s="29"/>
      <c r="BA1251" s="30"/>
      <c r="BB1251" s="23" t="str" cm="1">
        <f t="array" ref="BB1251">_xlfn.IFS(AW1251="SIM",SUM(K1251,P1251,U1251,Z1251,AE1251,AJ1251,AO1251,AT1251,AX1251,AY1251),F1251&lt;&gt;"",SUM(K1251,P1251,U1251,Z1251,AE1251,AJ1251,,AO1251,AT1251),F1251="","")</f>
        <v/>
      </c>
      <c r="BC1251" s="211" t="str" cm="1">
        <f t="array" ref="BC1251">_xlfn.IFS(E1251="","",G1251&lt;=E1251,BB1251*(1-0.03),G1251&lt;(E1251+8),BB1251,AZ1251="Boleto",BB1251*(1+0.001)^DATEDIF(E1251,G1251,"D"),AZ1251="Cheque",BB1251,AZ1251="Dinheiro","Alterar forma pgto")</f>
        <v/>
      </c>
      <c r="BD1251" s="276" t="str" cm="1">
        <f t="array" ref="BD1251">IF(F1251=0," ",IF(BC1251&lt;BB1251,(_xlfn.IFS(AW1251="SIM",SUM(L1251,Q1251,V1251,AA1251,AF1251,AK1251,AP1251,AU1251)+AX1251/_xlfn.XLOOKUP(_xlfn.XLOOKUP($F1251,Clientes!$B$4:$B$39,Clientes!$C$4:$C$39),Cadastros!$L$6:$L$12,Cadastros!$M$6:$M$12)+IF($F1251="Bernardino Furlan",AY1251/2751.92,IF($F1251="Mauro José Salanti",AY1251/2751.92,AY1251/3356)),F1251&lt;&gt;0,SUM(L1251,Q1251,V1251,AA1251,AF1251,AK1251,AP1251,AU1251)))*(1-0.03),_xlfn.IFS(AW1251="SIM",SUM(L1251,Q1251,V1251,AA1251,AF1251,AK1251,AP1251,AU1251)+AX1251/_xlfn.XLOOKUP(_xlfn.XLOOKUP($F1251,Clientes!$B$4:$B$39,Clientes!$C$4:$C$39),Cadastros!$L$6:$L$12,Cadastros!$M$6:$M$12)+IF($F1251="Bernardino Furlan",AY1251/2751.92,IF($F1251="Mauro José Salanti",AY1251/2751.92,AY1251/3356)),F1251&lt;&gt;0,SUM(L1251,Q1251,V1251,AA1251,AF1251,AK1251,AP1251,AU1251))))</f>
        <v xml:space="preserve"> </v>
      </c>
      <c r="BE1251" s="120"/>
      <c r="BF1251" s="120"/>
      <c r="BG1251" s="120"/>
    </row>
    <row r="1252" spans="1:59" s="3" customFormat="1" x14ac:dyDescent="0.3">
      <c r="A1252" s="15" t="str">
        <f t="shared" si="247"/>
        <v/>
      </c>
      <c r="B1252" s="25"/>
      <c r="C1252" s="26"/>
      <c r="D1252" s="279"/>
      <c r="E1252" s="27"/>
      <c r="F1252" s="28"/>
      <c r="G1252" s="27"/>
      <c r="H1252" s="28"/>
      <c r="I1252" s="28"/>
      <c r="J1252" s="255" t="str">
        <f>IF(H1252="","",(_xlfn.XLOOKUP(H1252,Cadastros!$D$6:$D$90,Cadastros!$E$6:$E$90))*(1-_xlfn.XLOOKUP(_xlfn.XLOOKUP($F1252,Clientes!$B$4:$B$39,Clientes!$C$4:$C$39),Cadastros!$L$6:$L$12,Cadastros!$N$6:$N$12)))</f>
        <v/>
      </c>
      <c r="K1252" s="168" t="str">
        <f t="shared" si="248"/>
        <v/>
      </c>
      <c r="L1252" s="168" t="str">
        <f>IFERROR(K1252/_xlfn.XLOOKUP(_xlfn.XLOOKUP($F1252,Clientes!$B$4:$B$39,Clientes!$C$4:$C$39),Cadastros!$L$6:$L$12,Cadastros!$M$6:$M$12)," ")</f>
        <v xml:space="preserve"> </v>
      </c>
      <c r="M1252" s="28"/>
      <c r="N1252" s="28"/>
      <c r="O1252" s="255" t="str">
        <f>IF(M1252="","",(_xlfn.XLOOKUP(M1252,Cadastros!$D$6:$D$90,Cadastros!$E$6:$E$90))*(1-_xlfn.XLOOKUP(_xlfn.XLOOKUP($F1252,Clientes!$B$4:$B$39,Clientes!$C$4:$C$39),Cadastros!$L$6:$L$12,Cadastros!$N$6:$N$12)))</f>
        <v/>
      </c>
      <c r="P1252" s="168" t="str">
        <f t="shared" si="249"/>
        <v/>
      </c>
      <c r="Q1252" s="168" t="str">
        <f>IFERROR(P1252/_xlfn.XLOOKUP(_xlfn.XLOOKUP($F1252,Clientes!$B$4:$B$39,Clientes!$C$4:$C$39),Cadastros!$L$6:$L$12,Cadastros!$M$6:$M$12)," ")</f>
        <v xml:space="preserve"> </v>
      </c>
      <c r="R1252" s="28"/>
      <c r="S1252" s="28"/>
      <c r="T1252" s="255" t="str">
        <f>IF(R1252="","",(_xlfn.XLOOKUP(R1252,Cadastros!$D$6:$D$90,Cadastros!$E$6:$E$90))*(1-_xlfn.XLOOKUP(_xlfn.XLOOKUP($F1252,Clientes!$B$4:$B$39,Clientes!$C$4:$C$39),Cadastros!$L$6:$L$12,Cadastros!$N$6:$N$12)))</f>
        <v/>
      </c>
      <c r="U1252" s="168" t="str">
        <f t="shared" si="250"/>
        <v/>
      </c>
      <c r="V1252" s="168" t="str">
        <f>IFERROR(U1252/_xlfn.XLOOKUP(_xlfn.XLOOKUP($F1252,Clientes!$B$4:$B$39,Clientes!$C$4:$C$39),Cadastros!$L$6:$L$12,Cadastros!$M$6:$M$12)," ")</f>
        <v xml:space="preserve"> </v>
      </c>
      <c r="W1252" s="28"/>
      <c r="X1252" s="28"/>
      <c r="Y1252" s="255" t="str">
        <f>IF(W1252="","",(_xlfn.XLOOKUP(W1252,Cadastros!$D$6:$D$90,Cadastros!$E$6:$E$90))*(1-_xlfn.XLOOKUP(_xlfn.XLOOKUP($F1252,Clientes!$B$4:$B$39,Clientes!$C$4:$C$39),Cadastros!$L$6:$L$12,Cadastros!$N$6:$N$12)))</f>
        <v/>
      </c>
      <c r="Z1252" s="168" t="str">
        <f t="shared" si="251"/>
        <v/>
      </c>
      <c r="AA1252" s="168" t="str">
        <f>IFERROR(Z1252/_xlfn.XLOOKUP(_xlfn.XLOOKUP($F1252,Clientes!$B$4:$B$39,Clientes!$C$4:$C$39),Cadastros!$L$6:$L$12,Cadastros!$M$6:$M$12)," ")</f>
        <v xml:space="preserve"> </v>
      </c>
      <c r="AB1252" s="28"/>
      <c r="AC1252" s="28"/>
      <c r="AD1252" s="20" t="str">
        <f>IF(AB1252="","",IF($F1252="Bernardino Furlan",_xlfn.XLOOKUP(AB1252,Cadastros!$G$6:$G$90,Cadastros!$H$6:$H$90)*(1-0.18),IF($F1252="Mauro José Salanti",_xlfn.XLOOKUP(AB1252,Cadastros!$G$6:$G$90,Cadastros!$H$6:$H$90)*(1-0.18),_xlfn.XLOOKUP(AB1252,Cadastros!$G$6:$G$90,Cadastros!$H$6:$H$90))))</f>
        <v/>
      </c>
      <c r="AE1252" s="168" t="str">
        <f t="shared" si="252"/>
        <v/>
      </c>
      <c r="AF1252" s="168" t="str">
        <f t="shared" si="253"/>
        <v/>
      </c>
      <c r="AG1252" s="28"/>
      <c r="AH1252" s="28"/>
      <c r="AI1252" s="20" t="str">
        <f>IF(AG1252="","",IF($F1252="Bernardino Furlan",_xlfn.XLOOKUP(AG1252,Cadastros!$G$6:$G$90,Cadastros!$H$6:$H$90)*(1-0.18),IF($F1252="Mauro José Salanti",_xlfn.XLOOKUP(AG1252,Cadastros!$G$6:$G$90,Cadastros!$H$6:$H$90)*(1-0.18),_xlfn.XLOOKUP(AG1252,Cadastros!$G$6:$G$90,Cadastros!$H$6:$H$90))))</f>
        <v/>
      </c>
      <c r="AJ1252" s="168" t="str">
        <f t="shared" si="254"/>
        <v/>
      </c>
      <c r="AK1252" s="168" t="str">
        <f t="shared" si="255"/>
        <v/>
      </c>
      <c r="AL1252" s="28"/>
      <c r="AM1252" s="28"/>
      <c r="AN1252" s="20" t="str">
        <f>IF(AL1252="","",IF($F1252="Bernardino Furlan",_xlfn.XLOOKUP(AL1252,Cadastros!$G$6:$G$90,Cadastros!$H$6:$H$90)*(1-0.18),IF($F1252="Mauro José Salanti",_xlfn.XLOOKUP(AL1252,Cadastros!$G$6:$G$90,Cadastros!$H$6:$H$90)*(1-0.18),_xlfn.XLOOKUP(AL1252,Cadastros!$G$6:$G$90,Cadastros!$H$6:$H$90))))</f>
        <v/>
      </c>
      <c r="AO1252" s="168" t="str">
        <f t="shared" si="256"/>
        <v/>
      </c>
      <c r="AP1252" s="168" t="str">
        <f t="shared" si="257"/>
        <v/>
      </c>
      <c r="AQ1252" s="28"/>
      <c r="AR1252" s="28"/>
      <c r="AS1252" s="20" t="str">
        <f>IF(AQ1252="","",IF($F1252="Bernardino Furlan",_xlfn.XLOOKUP(AQ1252,Cadastros!$G$6:$G$90,Cadastros!$H$6:$H$90)*(1-0.18),IF($F1252="Mauro José Salanti",_xlfn.XLOOKUP(AQ1252,Cadastros!$G$6:$G$90,Cadastros!$H$6:$H$90)*(1-0.18),_xlfn.XLOOKUP(AQ1252,Cadastros!$G$6:$G$90,Cadastros!$H$6:$H$90))))</f>
        <v/>
      </c>
      <c r="AT1252" s="168" t="str">
        <f t="shared" si="258"/>
        <v/>
      </c>
      <c r="AU1252" s="168" t="str">
        <f t="shared" si="259"/>
        <v/>
      </c>
      <c r="AV1252" s="227"/>
      <c r="AW1252" s="30"/>
      <c r="AX1252" s="267"/>
      <c r="AY1252" s="267"/>
      <c r="AZ1252" s="29"/>
      <c r="BA1252" s="30"/>
      <c r="BB1252" s="23" t="str" cm="1">
        <f t="array" ref="BB1252">_xlfn.IFS(AW1252="SIM",SUM(K1252,P1252,U1252,Z1252,AE1252,AJ1252,AO1252,AT1252,AX1252,AY1252),F1252&lt;&gt;"",SUM(K1252,P1252,U1252,Z1252,AE1252,AJ1252,,AO1252,AT1252),F1252="","")</f>
        <v/>
      </c>
      <c r="BC1252" s="211" t="str" cm="1">
        <f t="array" ref="BC1252">_xlfn.IFS(E1252="","",G1252&lt;=E1252,BB1252*(1-0.03),G1252&lt;(E1252+8),BB1252,AZ1252="Boleto",BB1252*(1+0.001)^DATEDIF(E1252,G1252,"D"),AZ1252="Cheque",BB1252,AZ1252="Dinheiro","Alterar forma pgto")</f>
        <v/>
      </c>
      <c r="BD1252" s="276" t="str" cm="1">
        <f t="array" ref="BD1252">IF(F1252=0," ",IF(BC1252&lt;BB1252,(_xlfn.IFS(AW1252="SIM",SUM(L1252,Q1252,V1252,AA1252,AF1252,AK1252,AP1252,AU1252)+AX1252/_xlfn.XLOOKUP(_xlfn.XLOOKUP($F1252,Clientes!$B$4:$B$39,Clientes!$C$4:$C$39),Cadastros!$L$6:$L$12,Cadastros!$M$6:$M$12)+IF($F1252="Bernardino Furlan",AY1252/2751.92,IF($F1252="Mauro José Salanti",AY1252/2751.92,AY1252/3356)),F1252&lt;&gt;0,SUM(L1252,Q1252,V1252,AA1252,AF1252,AK1252,AP1252,AU1252)))*(1-0.03),_xlfn.IFS(AW1252="SIM",SUM(L1252,Q1252,V1252,AA1252,AF1252,AK1252,AP1252,AU1252)+AX1252/_xlfn.XLOOKUP(_xlfn.XLOOKUP($F1252,Clientes!$B$4:$B$39,Clientes!$C$4:$C$39),Cadastros!$L$6:$L$12,Cadastros!$M$6:$M$12)+IF($F1252="Bernardino Furlan",AY1252/2751.92,IF($F1252="Mauro José Salanti",AY1252/2751.92,AY1252/3356)),F1252&lt;&gt;0,SUM(L1252,Q1252,V1252,AA1252,AF1252,AK1252,AP1252,AU1252))))</f>
        <v xml:space="preserve"> </v>
      </c>
      <c r="BE1252" s="120"/>
      <c r="BF1252" s="120"/>
      <c r="BG1252" s="120"/>
    </row>
    <row r="1253" spans="1:59" s="3" customFormat="1" x14ac:dyDescent="0.3">
      <c r="A1253" s="15" t="str">
        <f t="shared" si="247"/>
        <v/>
      </c>
      <c r="B1253" s="25"/>
      <c r="C1253" s="26"/>
      <c r="D1253" s="279"/>
      <c r="E1253" s="27"/>
      <c r="F1253" s="28"/>
      <c r="G1253" s="27"/>
      <c r="H1253" s="28"/>
      <c r="I1253" s="28"/>
      <c r="J1253" s="255" t="str">
        <f>IF(H1253="","",(_xlfn.XLOOKUP(H1253,Cadastros!$D$6:$D$90,Cadastros!$E$6:$E$90))*(1-_xlfn.XLOOKUP(_xlfn.XLOOKUP($F1253,Clientes!$B$4:$B$39,Clientes!$C$4:$C$39),Cadastros!$L$6:$L$12,Cadastros!$N$6:$N$12)))</f>
        <v/>
      </c>
      <c r="K1253" s="168" t="str">
        <f t="shared" si="248"/>
        <v/>
      </c>
      <c r="L1253" s="168" t="str">
        <f>IFERROR(K1253/_xlfn.XLOOKUP(_xlfn.XLOOKUP($F1253,Clientes!$B$4:$B$39,Clientes!$C$4:$C$39),Cadastros!$L$6:$L$12,Cadastros!$M$6:$M$12)," ")</f>
        <v xml:space="preserve"> </v>
      </c>
      <c r="M1253" s="28"/>
      <c r="N1253" s="28"/>
      <c r="O1253" s="255" t="str">
        <f>IF(M1253="","",(_xlfn.XLOOKUP(M1253,Cadastros!$D$6:$D$90,Cadastros!$E$6:$E$90))*(1-_xlfn.XLOOKUP(_xlfn.XLOOKUP($F1253,Clientes!$B$4:$B$39,Clientes!$C$4:$C$39),Cadastros!$L$6:$L$12,Cadastros!$N$6:$N$12)))</f>
        <v/>
      </c>
      <c r="P1253" s="168" t="str">
        <f t="shared" si="249"/>
        <v/>
      </c>
      <c r="Q1253" s="168" t="str">
        <f>IFERROR(P1253/_xlfn.XLOOKUP(_xlfn.XLOOKUP($F1253,Clientes!$B$4:$B$39,Clientes!$C$4:$C$39),Cadastros!$L$6:$L$12,Cadastros!$M$6:$M$12)," ")</f>
        <v xml:space="preserve"> </v>
      </c>
      <c r="R1253" s="28"/>
      <c r="S1253" s="28"/>
      <c r="T1253" s="255" t="str">
        <f>IF(R1253="","",(_xlfn.XLOOKUP(R1253,Cadastros!$D$6:$D$90,Cadastros!$E$6:$E$90))*(1-_xlfn.XLOOKUP(_xlfn.XLOOKUP($F1253,Clientes!$B$4:$B$39,Clientes!$C$4:$C$39),Cadastros!$L$6:$L$12,Cadastros!$N$6:$N$12)))</f>
        <v/>
      </c>
      <c r="U1253" s="168" t="str">
        <f t="shared" si="250"/>
        <v/>
      </c>
      <c r="V1253" s="168" t="str">
        <f>IFERROR(U1253/_xlfn.XLOOKUP(_xlfn.XLOOKUP($F1253,Clientes!$B$4:$B$39,Clientes!$C$4:$C$39),Cadastros!$L$6:$L$12,Cadastros!$M$6:$M$12)," ")</f>
        <v xml:space="preserve"> </v>
      </c>
      <c r="W1253" s="28"/>
      <c r="X1253" s="28"/>
      <c r="Y1253" s="255" t="str">
        <f>IF(W1253="","",(_xlfn.XLOOKUP(W1253,Cadastros!$D$6:$D$90,Cadastros!$E$6:$E$90))*(1-_xlfn.XLOOKUP(_xlfn.XLOOKUP($F1253,Clientes!$B$4:$B$39,Clientes!$C$4:$C$39),Cadastros!$L$6:$L$12,Cadastros!$N$6:$N$12)))</f>
        <v/>
      </c>
      <c r="Z1253" s="168" t="str">
        <f t="shared" si="251"/>
        <v/>
      </c>
      <c r="AA1253" s="168" t="str">
        <f>IFERROR(Z1253/_xlfn.XLOOKUP(_xlfn.XLOOKUP($F1253,Clientes!$B$4:$B$39,Clientes!$C$4:$C$39),Cadastros!$L$6:$L$12,Cadastros!$M$6:$M$12)," ")</f>
        <v xml:space="preserve"> </v>
      </c>
      <c r="AB1253" s="28"/>
      <c r="AC1253" s="28"/>
      <c r="AD1253" s="20" t="str">
        <f>IF(AB1253="","",IF($F1253="Bernardino Furlan",_xlfn.XLOOKUP(AB1253,Cadastros!$G$6:$G$90,Cadastros!$H$6:$H$90)*(1-0.18),IF($F1253="Mauro José Salanti",_xlfn.XLOOKUP(AB1253,Cadastros!$G$6:$G$90,Cadastros!$H$6:$H$90)*(1-0.18),_xlfn.XLOOKUP(AB1253,Cadastros!$G$6:$G$90,Cadastros!$H$6:$H$90))))</f>
        <v/>
      </c>
      <c r="AE1253" s="168" t="str">
        <f t="shared" si="252"/>
        <v/>
      </c>
      <c r="AF1253" s="168" t="str">
        <f t="shared" si="253"/>
        <v/>
      </c>
      <c r="AG1253" s="28"/>
      <c r="AH1253" s="28"/>
      <c r="AI1253" s="20" t="str">
        <f>IF(AG1253="","",IF($F1253="Bernardino Furlan",_xlfn.XLOOKUP(AG1253,Cadastros!$G$6:$G$90,Cadastros!$H$6:$H$90)*(1-0.18),IF($F1253="Mauro José Salanti",_xlfn.XLOOKUP(AG1253,Cadastros!$G$6:$G$90,Cadastros!$H$6:$H$90)*(1-0.18),_xlfn.XLOOKUP(AG1253,Cadastros!$G$6:$G$90,Cadastros!$H$6:$H$90))))</f>
        <v/>
      </c>
      <c r="AJ1253" s="168" t="str">
        <f t="shared" si="254"/>
        <v/>
      </c>
      <c r="AK1253" s="168" t="str">
        <f t="shared" si="255"/>
        <v/>
      </c>
      <c r="AL1253" s="28"/>
      <c r="AM1253" s="28"/>
      <c r="AN1253" s="20" t="str">
        <f>IF(AL1253="","",IF($F1253="Bernardino Furlan",_xlfn.XLOOKUP(AL1253,Cadastros!$G$6:$G$90,Cadastros!$H$6:$H$90)*(1-0.18),IF($F1253="Mauro José Salanti",_xlfn.XLOOKUP(AL1253,Cadastros!$G$6:$G$90,Cadastros!$H$6:$H$90)*(1-0.18),_xlfn.XLOOKUP(AL1253,Cadastros!$G$6:$G$90,Cadastros!$H$6:$H$90))))</f>
        <v/>
      </c>
      <c r="AO1253" s="168" t="str">
        <f t="shared" si="256"/>
        <v/>
      </c>
      <c r="AP1253" s="168" t="str">
        <f t="shared" si="257"/>
        <v/>
      </c>
      <c r="AQ1253" s="28"/>
      <c r="AR1253" s="28"/>
      <c r="AS1253" s="20" t="str">
        <f>IF(AQ1253="","",IF($F1253="Bernardino Furlan",_xlfn.XLOOKUP(AQ1253,Cadastros!$G$6:$G$90,Cadastros!$H$6:$H$90)*(1-0.18),IF($F1253="Mauro José Salanti",_xlfn.XLOOKUP(AQ1253,Cadastros!$G$6:$G$90,Cadastros!$H$6:$H$90)*(1-0.18),_xlfn.XLOOKUP(AQ1253,Cadastros!$G$6:$G$90,Cadastros!$H$6:$H$90))))</f>
        <v/>
      </c>
      <c r="AT1253" s="168" t="str">
        <f t="shared" si="258"/>
        <v/>
      </c>
      <c r="AU1253" s="168" t="str">
        <f t="shared" si="259"/>
        <v/>
      </c>
      <c r="AV1253" s="227"/>
      <c r="AW1253" s="30"/>
      <c r="AX1253" s="267"/>
      <c r="AY1253" s="267"/>
      <c r="AZ1253" s="29"/>
      <c r="BA1253" s="30"/>
      <c r="BB1253" s="23" t="str" cm="1">
        <f t="array" ref="BB1253">_xlfn.IFS(AW1253="SIM",SUM(K1253,P1253,U1253,Z1253,AE1253,AJ1253,AO1253,AT1253,AX1253,AY1253),F1253&lt;&gt;"",SUM(K1253,P1253,U1253,Z1253,AE1253,AJ1253,,AO1253,AT1253),F1253="","")</f>
        <v/>
      </c>
      <c r="BC1253" s="211" t="str" cm="1">
        <f t="array" ref="BC1253">_xlfn.IFS(E1253="","",G1253&lt;=E1253,BB1253*(1-0.03),G1253&lt;(E1253+8),BB1253,AZ1253="Boleto",BB1253*(1+0.001)^DATEDIF(E1253,G1253,"D"),AZ1253="Cheque",BB1253,AZ1253="Dinheiro","Alterar forma pgto")</f>
        <v/>
      </c>
      <c r="BD1253" s="276" t="str" cm="1">
        <f t="array" ref="BD1253">IF(F1253=0," ",IF(BC1253&lt;BB1253,(_xlfn.IFS(AW1253="SIM",SUM(L1253,Q1253,V1253,AA1253,AF1253,AK1253,AP1253,AU1253)+AX1253/_xlfn.XLOOKUP(_xlfn.XLOOKUP($F1253,Clientes!$B$4:$B$39,Clientes!$C$4:$C$39),Cadastros!$L$6:$L$12,Cadastros!$M$6:$M$12)+IF($F1253="Bernardino Furlan",AY1253/2751.92,IF($F1253="Mauro José Salanti",AY1253/2751.92,AY1253/3356)),F1253&lt;&gt;0,SUM(L1253,Q1253,V1253,AA1253,AF1253,AK1253,AP1253,AU1253)))*(1-0.03),_xlfn.IFS(AW1253="SIM",SUM(L1253,Q1253,V1253,AA1253,AF1253,AK1253,AP1253,AU1253)+AX1253/_xlfn.XLOOKUP(_xlfn.XLOOKUP($F1253,Clientes!$B$4:$B$39,Clientes!$C$4:$C$39),Cadastros!$L$6:$L$12,Cadastros!$M$6:$M$12)+IF($F1253="Bernardino Furlan",AY1253/2751.92,IF($F1253="Mauro José Salanti",AY1253/2751.92,AY1253/3356)),F1253&lt;&gt;0,SUM(L1253,Q1253,V1253,AA1253,AF1253,AK1253,AP1253,AU1253))))</f>
        <v xml:space="preserve"> </v>
      </c>
      <c r="BE1253" s="120"/>
      <c r="BF1253" s="120"/>
      <c r="BG1253" s="120"/>
    </row>
    <row r="1254" spans="1:59" s="3" customFormat="1" x14ac:dyDescent="0.3">
      <c r="A1254" s="15" t="str">
        <f t="shared" si="247"/>
        <v/>
      </c>
      <c r="B1254" s="25"/>
      <c r="C1254" s="26"/>
      <c r="D1254" s="279"/>
      <c r="E1254" s="27"/>
      <c r="F1254" s="28"/>
      <c r="G1254" s="27"/>
      <c r="H1254" s="28"/>
      <c r="I1254" s="28"/>
      <c r="J1254" s="255" t="str">
        <f>IF(H1254="","",(_xlfn.XLOOKUP(H1254,Cadastros!$D$6:$D$90,Cadastros!$E$6:$E$90))*(1-_xlfn.XLOOKUP(_xlfn.XLOOKUP($F1254,Clientes!$B$4:$B$39,Clientes!$C$4:$C$39),Cadastros!$L$6:$L$12,Cadastros!$N$6:$N$12)))</f>
        <v/>
      </c>
      <c r="K1254" s="168" t="str">
        <f t="shared" si="248"/>
        <v/>
      </c>
      <c r="L1254" s="168" t="str">
        <f>IFERROR(K1254/_xlfn.XLOOKUP(_xlfn.XLOOKUP($F1254,Clientes!$B$4:$B$39,Clientes!$C$4:$C$39),Cadastros!$L$6:$L$12,Cadastros!$M$6:$M$12)," ")</f>
        <v xml:space="preserve"> </v>
      </c>
      <c r="M1254" s="28"/>
      <c r="N1254" s="28"/>
      <c r="O1254" s="255" t="str">
        <f>IF(M1254="","",(_xlfn.XLOOKUP(M1254,Cadastros!$D$6:$D$90,Cadastros!$E$6:$E$90))*(1-_xlfn.XLOOKUP(_xlfn.XLOOKUP($F1254,Clientes!$B$4:$B$39,Clientes!$C$4:$C$39),Cadastros!$L$6:$L$12,Cadastros!$N$6:$N$12)))</f>
        <v/>
      </c>
      <c r="P1254" s="168" t="str">
        <f t="shared" si="249"/>
        <v/>
      </c>
      <c r="Q1254" s="168" t="str">
        <f>IFERROR(P1254/_xlfn.XLOOKUP(_xlfn.XLOOKUP($F1254,Clientes!$B$4:$B$39,Clientes!$C$4:$C$39),Cadastros!$L$6:$L$12,Cadastros!$M$6:$M$12)," ")</f>
        <v xml:space="preserve"> </v>
      </c>
      <c r="R1254" s="28"/>
      <c r="S1254" s="28"/>
      <c r="T1254" s="255" t="str">
        <f>IF(R1254="","",(_xlfn.XLOOKUP(R1254,Cadastros!$D$6:$D$90,Cadastros!$E$6:$E$90))*(1-_xlfn.XLOOKUP(_xlfn.XLOOKUP($F1254,Clientes!$B$4:$B$39,Clientes!$C$4:$C$39),Cadastros!$L$6:$L$12,Cadastros!$N$6:$N$12)))</f>
        <v/>
      </c>
      <c r="U1254" s="168" t="str">
        <f t="shared" si="250"/>
        <v/>
      </c>
      <c r="V1254" s="168" t="str">
        <f>IFERROR(U1254/_xlfn.XLOOKUP(_xlfn.XLOOKUP($F1254,Clientes!$B$4:$B$39,Clientes!$C$4:$C$39),Cadastros!$L$6:$L$12,Cadastros!$M$6:$M$12)," ")</f>
        <v xml:space="preserve"> </v>
      </c>
      <c r="W1254" s="28"/>
      <c r="X1254" s="28"/>
      <c r="Y1254" s="255" t="str">
        <f>IF(W1254="","",(_xlfn.XLOOKUP(W1254,Cadastros!$D$6:$D$90,Cadastros!$E$6:$E$90))*(1-_xlfn.XLOOKUP(_xlfn.XLOOKUP($F1254,Clientes!$B$4:$B$39,Clientes!$C$4:$C$39),Cadastros!$L$6:$L$12,Cadastros!$N$6:$N$12)))</f>
        <v/>
      </c>
      <c r="Z1254" s="168" t="str">
        <f t="shared" si="251"/>
        <v/>
      </c>
      <c r="AA1254" s="168" t="str">
        <f>IFERROR(Z1254/_xlfn.XLOOKUP(_xlfn.XLOOKUP($F1254,Clientes!$B$4:$B$39,Clientes!$C$4:$C$39),Cadastros!$L$6:$L$12,Cadastros!$M$6:$M$12)," ")</f>
        <v xml:space="preserve"> </v>
      </c>
      <c r="AB1254" s="28"/>
      <c r="AC1254" s="28"/>
      <c r="AD1254" s="20" t="str">
        <f>IF(AB1254="","",IF($F1254="Bernardino Furlan",_xlfn.XLOOKUP(AB1254,Cadastros!$G$6:$G$90,Cadastros!$H$6:$H$90)*(1-0.18),IF($F1254="Mauro José Salanti",_xlfn.XLOOKUP(AB1254,Cadastros!$G$6:$G$90,Cadastros!$H$6:$H$90)*(1-0.18),_xlfn.XLOOKUP(AB1254,Cadastros!$G$6:$G$90,Cadastros!$H$6:$H$90))))</f>
        <v/>
      </c>
      <c r="AE1254" s="168" t="str">
        <f t="shared" si="252"/>
        <v/>
      </c>
      <c r="AF1254" s="168" t="str">
        <f t="shared" si="253"/>
        <v/>
      </c>
      <c r="AG1254" s="28"/>
      <c r="AH1254" s="28"/>
      <c r="AI1254" s="20" t="str">
        <f>IF(AG1254="","",IF($F1254="Bernardino Furlan",_xlfn.XLOOKUP(AG1254,Cadastros!$G$6:$G$90,Cadastros!$H$6:$H$90)*(1-0.18),IF($F1254="Mauro José Salanti",_xlfn.XLOOKUP(AG1254,Cadastros!$G$6:$G$90,Cadastros!$H$6:$H$90)*(1-0.18),_xlfn.XLOOKUP(AG1254,Cadastros!$G$6:$G$90,Cadastros!$H$6:$H$90))))</f>
        <v/>
      </c>
      <c r="AJ1254" s="168" t="str">
        <f t="shared" si="254"/>
        <v/>
      </c>
      <c r="AK1254" s="168" t="str">
        <f t="shared" si="255"/>
        <v/>
      </c>
      <c r="AL1254" s="28"/>
      <c r="AM1254" s="28"/>
      <c r="AN1254" s="20" t="str">
        <f>IF(AL1254="","",IF($F1254="Bernardino Furlan",_xlfn.XLOOKUP(AL1254,Cadastros!$G$6:$G$90,Cadastros!$H$6:$H$90)*(1-0.18),IF($F1254="Mauro José Salanti",_xlfn.XLOOKUP(AL1254,Cadastros!$G$6:$G$90,Cadastros!$H$6:$H$90)*(1-0.18),_xlfn.XLOOKUP(AL1254,Cadastros!$G$6:$G$90,Cadastros!$H$6:$H$90))))</f>
        <v/>
      </c>
      <c r="AO1254" s="168" t="str">
        <f t="shared" si="256"/>
        <v/>
      </c>
      <c r="AP1254" s="168" t="str">
        <f t="shared" si="257"/>
        <v/>
      </c>
      <c r="AQ1254" s="28"/>
      <c r="AR1254" s="28"/>
      <c r="AS1254" s="20" t="str">
        <f>IF(AQ1254="","",IF($F1254="Bernardino Furlan",_xlfn.XLOOKUP(AQ1254,Cadastros!$G$6:$G$90,Cadastros!$H$6:$H$90)*(1-0.18),IF($F1254="Mauro José Salanti",_xlfn.XLOOKUP(AQ1254,Cadastros!$G$6:$G$90,Cadastros!$H$6:$H$90)*(1-0.18),_xlfn.XLOOKUP(AQ1254,Cadastros!$G$6:$G$90,Cadastros!$H$6:$H$90))))</f>
        <v/>
      </c>
      <c r="AT1254" s="168" t="str">
        <f t="shared" si="258"/>
        <v/>
      </c>
      <c r="AU1254" s="168" t="str">
        <f t="shared" si="259"/>
        <v/>
      </c>
      <c r="AV1254" s="227"/>
      <c r="AW1254" s="30"/>
      <c r="AX1254" s="267"/>
      <c r="AY1254" s="267"/>
      <c r="AZ1254" s="29"/>
      <c r="BA1254" s="30"/>
      <c r="BB1254" s="23" t="str" cm="1">
        <f t="array" ref="BB1254">_xlfn.IFS(AW1254="SIM",SUM(K1254,P1254,U1254,Z1254,AE1254,AJ1254,AO1254,AT1254,AX1254,AY1254),F1254&lt;&gt;"",SUM(K1254,P1254,U1254,Z1254,AE1254,AJ1254,,AO1254,AT1254),F1254="","")</f>
        <v/>
      </c>
      <c r="BC1254" s="211" t="str" cm="1">
        <f t="array" ref="BC1254">_xlfn.IFS(E1254="","",G1254&lt;=E1254,BB1254*(1-0.03),G1254&lt;(E1254+8),BB1254,AZ1254="Boleto",BB1254*(1+0.001)^DATEDIF(E1254,G1254,"D"),AZ1254="Cheque",BB1254,AZ1254="Dinheiro","Alterar forma pgto")</f>
        <v/>
      </c>
      <c r="BD1254" s="276" t="str" cm="1">
        <f t="array" ref="BD1254">IF(F1254=0," ",IF(BC1254&lt;BB1254,(_xlfn.IFS(AW1254="SIM",SUM(L1254,Q1254,V1254,AA1254,AF1254,AK1254,AP1254,AU1254)+AX1254/_xlfn.XLOOKUP(_xlfn.XLOOKUP($F1254,Clientes!$B$4:$B$39,Clientes!$C$4:$C$39),Cadastros!$L$6:$L$12,Cadastros!$M$6:$M$12)+IF($F1254="Bernardino Furlan",AY1254/2751.92,IF($F1254="Mauro José Salanti",AY1254/2751.92,AY1254/3356)),F1254&lt;&gt;0,SUM(L1254,Q1254,V1254,AA1254,AF1254,AK1254,AP1254,AU1254)))*(1-0.03),_xlfn.IFS(AW1254="SIM",SUM(L1254,Q1254,V1254,AA1254,AF1254,AK1254,AP1254,AU1254)+AX1254/_xlfn.XLOOKUP(_xlfn.XLOOKUP($F1254,Clientes!$B$4:$B$39,Clientes!$C$4:$C$39),Cadastros!$L$6:$L$12,Cadastros!$M$6:$M$12)+IF($F1254="Bernardino Furlan",AY1254/2751.92,IF($F1254="Mauro José Salanti",AY1254/2751.92,AY1254/3356)),F1254&lt;&gt;0,SUM(L1254,Q1254,V1254,AA1254,AF1254,AK1254,AP1254,AU1254))))</f>
        <v xml:space="preserve"> </v>
      </c>
      <c r="BE1254" s="120"/>
      <c r="BF1254" s="120"/>
      <c r="BG1254" s="120"/>
    </row>
    <row r="1255" spans="1:59" s="3" customFormat="1" x14ac:dyDescent="0.3">
      <c r="A1255" s="15" t="str">
        <f t="shared" si="247"/>
        <v/>
      </c>
      <c r="B1255" s="25"/>
      <c r="C1255" s="26"/>
      <c r="D1255" s="279"/>
      <c r="E1255" s="27"/>
      <c r="F1255" s="28"/>
      <c r="G1255" s="27"/>
      <c r="H1255" s="28"/>
      <c r="I1255" s="28"/>
      <c r="J1255" s="255" t="str">
        <f>IF(H1255="","",(_xlfn.XLOOKUP(H1255,Cadastros!$D$6:$D$90,Cadastros!$E$6:$E$90))*(1-_xlfn.XLOOKUP(_xlfn.XLOOKUP($F1255,Clientes!$B$4:$B$39,Clientes!$C$4:$C$39),Cadastros!$L$6:$L$12,Cadastros!$N$6:$N$12)))</f>
        <v/>
      </c>
      <c r="K1255" s="168" t="str">
        <f t="shared" si="248"/>
        <v/>
      </c>
      <c r="L1255" s="168" t="str">
        <f>IFERROR(K1255/_xlfn.XLOOKUP(_xlfn.XLOOKUP($F1255,Clientes!$B$4:$B$39,Clientes!$C$4:$C$39),Cadastros!$L$6:$L$12,Cadastros!$M$6:$M$12)," ")</f>
        <v xml:space="preserve"> </v>
      </c>
      <c r="M1255" s="28"/>
      <c r="N1255" s="28"/>
      <c r="O1255" s="255" t="str">
        <f>IF(M1255="","",(_xlfn.XLOOKUP(M1255,Cadastros!$D$6:$D$90,Cadastros!$E$6:$E$90))*(1-_xlfn.XLOOKUP(_xlfn.XLOOKUP($F1255,Clientes!$B$4:$B$39,Clientes!$C$4:$C$39),Cadastros!$L$6:$L$12,Cadastros!$N$6:$N$12)))</f>
        <v/>
      </c>
      <c r="P1255" s="168" t="str">
        <f t="shared" si="249"/>
        <v/>
      </c>
      <c r="Q1255" s="168" t="str">
        <f>IFERROR(P1255/_xlfn.XLOOKUP(_xlfn.XLOOKUP($F1255,Clientes!$B$4:$B$39,Clientes!$C$4:$C$39),Cadastros!$L$6:$L$12,Cadastros!$M$6:$M$12)," ")</f>
        <v xml:space="preserve"> </v>
      </c>
      <c r="R1255" s="28"/>
      <c r="S1255" s="28"/>
      <c r="T1255" s="255" t="str">
        <f>IF(R1255="","",(_xlfn.XLOOKUP(R1255,Cadastros!$D$6:$D$90,Cadastros!$E$6:$E$90))*(1-_xlfn.XLOOKUP(_xlfn.XLOOKUP($F1255,Clientes!$B$4:$B$39,Clientes!$C$4:$C$39),Cadastros!$L$6:$L$12,Cadastros!$N$6:$N$12)))</f>
        <v/>
      </c>
      <c r="U1255" s="168" t="str">
        <f t="shared" si="250"/>
        <v/>
      </c>
      <c r="V1255" s="168" t="str">
        <f>IFERROR(U1255/_xlfn.XLOOKUP(_xlfn.XLOOKUP($F1255,Clientes!$B$4:$B$39,Clientes!$C$4:$C$39),Cadastros!$L$6:$L$12,Cadastros!$M$6:$M$12)," ")</f>
        <v xml:space="preserve"> </v>
      </c>
      <c r="W1255" s="28"/>
      <c r="X1255" s="28"/>
      <c r="Y1255" s="255" t="str">
        <f>IF(W1255="","",(_xlfn.XLOOKUP(W1255,Cadastros!$D$6:$D$90,Cadastros!$E$6:$E$90))*(1-_xlfn.XLOOKUP(_xlfn.XLOOKUP($F1255,Clientes!$B$4:$B$39,Clientes!$C$4:$C$39),Cadastros!$L$6:$L$12,Cadastros!$N$6:$N$12)))</f>
        <v/>
      </c>
      <c r="Z1255" s="168" t="str">
        <f t="shared" si="251"/>
        <v/>
      </c>
      <c r="AA1255" s="168" t="str">
        <f>IFERROR(Z1255/_xlfn.XLOOKUP(_xlfn.XLOOKUP($F1255,Clientes!$B$4:$B$39,Clientes!$C$4:$C$39),Cadastros!$L$6:$L$12,Cadastros!$M$6:$M$12)," ")</f>
        <v xml:space="preserve"> </v>
      </c>
      <c r="AB1255" s="28"/>
      <c r="AC1255" s="28"/>
      <c r="AD1255" s="20" t="str">
        <f>IF(AB1255="","",IF($F1255="Bernardino Furlan",_xlfn.XLOOKUP(AB1255,Cadastros!$G$6:$G$90,Cadastros!$H$6:$H$90)*(1-0.18),IF($F1255="Mauro José Salanti",_xlfn.XLOOKUP(AB1255,Cadastros!$G$6:$G$90,Cadastros!$H$6:$H$90)*(1-0.18),_xlfn.XLOOKUP(AB1255,Cadastros!$G$6:$G$90,Cadastros!$H$6:$H$90))))</f>
        <v/>
      </c>
      <c r="AE1255" s="168" t="str">
        <f t="shared" si="252"/>
        <v/>
      </c>
      <c r="AF1255" s="168" t="str">
        <f t="shared" si="253"/>
        <v/>
      </c>
      <c r="AG1255" s="28"/>
      <c r="AH1255" s="28"/>
      <c r="AI1255" s="20" t="str">
        <f>IF(AG1255="","",IF($F1255="Bernardino Furlan",_xlfn.XLOOKUP(AG1255,Cadastros!$G$6:$G$90,Cadastros!$H$6:$H$90)*(1-0.18),IF($F1255="Mauro José Salanti",_xlfn.XLOOKUP(AG1255,Cadastros!$G$6:$G$90,Cadastros!$H$6:$H$90)*(1-0.18),_xlfn.XLOOKUP(AG1255,Cadastros!$G$6:$G$90,Cadastros!$H$6:$H$90))))</f>
        <v/>
      </c>
      <c r="AJ1255" s="168" t="str">
        <f t="shared" si="254"/>
        <v/>
      </c>
      <c r="AK1255" s="168" t="str">
        <f t="shared" si="255"/>
        <v/>
      </c>
      <c r="AL1255" s="28"/>
      <c r="AM1255" s="28"/>
      <c r="AN1255" s="20" t="str">
        <f>IF(AL1255="","",IF($F1255="Bernardino Furlan",_xlfn.XLOOKUP(AL1255,Cadastros!$G$6:$G$90,Cadastros!$H$6:$H$90)*(1-0.18),IF($F1255="Mauro José Salanti",_xlfn.XLOOKUP(AL1255,Cadastros!$G$6:$G$90,Cadastros!$H$6:$H$90)*(1-0.18),_xlfn.XLOOKUP(AL1255,Cadastros!$G$6:$G$90,Cadastros!$H$6:$H$90))))</f>
        <v/>
      </c>
      <c r="AO1255" s="168" t="str">
        <f t="shared" si="256"/>
        <v/>
      </c>
      <c r="AP1255" s="168" t="str">
        <f t="shared" si="257"/>
        <v/>
      </c>
      <c r="AQ1255" s="28"/>
      <c r="AR1255" s="28"/>
      <c r="AS1255" s="20" t="str">
        <f>IF(AQ1255="","",IF($F1255="Bernardino Furlan",_xlfn.XLOOKUP(AQ1255,Cadastros!$G$6:$G$90,Cadastros!$H$6:$H$90)*(1-0.18),IF($F1255="Mauro José Salanti",_xlfn.XLOOKUP(AQ1255,Cadastros!$G$6:$G$90,Cadastros!$H$6:$H$90)*(1-0.18),_xlfn.XLOOKUP(AQ1255,Cadastros!$G$6:$G$90,Cadastros!$H$6:$H$90))))</f>
        <v/>
      </c>
      <c r="AT1255" s="168" t="str">
        <f t="shared" si="258"/>
        <v/>
      </c>
      <c r="AU1255" s="168" t="str">
        <f t="shared" si="259"/>
        <v/>
      </c>
      <c r="AV1255" s="227"/>
      <c r="AW1255" s="30"/>
      <c r="AX1255" s="267"/>
      <c r="AY1255" s="267"/>
      <c r="AZ1255" s="29"/>
      <c r="BA1255" s="30"/>
      <c r="BB1255" s="23" t="str" cm="1">
        <f t="array" ref="BB1255">_xlfn.IFS(AW1255="SIM",SUM(K1255,P1255,U1255,Z1255,AE1255,AJ1255,AO1255,AT1255,AX1255,AY1255),F1255&lt;&gt;"",SUM(K1255,P1255,U1255,Z1255,AE1255,AJ1255,,AO1255,AT1255),F1255="","")</f>
        <v/>
      </c>
      <c r="BC1255" s="211" t="str" cm="1">
        <f t="array" ref="BC1255">_xlfn.IFS(E1255="","",G1255&lt;=E1255,BB1255*(1-0.03),G1255&lt;(E1255+8),BB1255,AZ1255="Boleto",BB1255*(1+0.001)^DATEDIF(E1255,G1255,"D"),AZ1255="Cheque",BB1255,AZ1255="Dinheiro","Alterar forma pgto")</f>
        <v/>
      </c>
      <c r="BD1255" s="276" t="str" cm="1">
        <f t="array" ref="BD1255">IF(F1255=0," ",IF(BC1255&lt;BB1255,(_xlfn.IFS(AW1255="SIM",SUM(L1255,Q1255,V1255,AA1255,AF1255,AK1255,AP1255,AU1255)+AX1255/_xlfn.XLOOKUP(_xlfn.XLOOKUP($F1255,Clientes!$B$4:$B$39,Clientes!$C$4:$C$39),Cadastros!$L$6:$L$12,Cadastros!$M$6:$M$12)+IF($F1255="Bernardino Furlan",AY1255/2751.92,IF($F1255="Mauro José Salanti",AY1255/2751.92,AY1255/3356)),F1255&lt;&gt;0,SUM(L1255,Q1255,V1255,AA1255,AF1255,AK1255,AP1255,AU1255)))*(1-0.03),_xlfn.IFS(AW1255="SIM",SUM(L1255,Q1255,V1255,AA1255,AF1255,AK1255,AP1255,AU1255)+AX1255/_xlfn.XLOOKUP(_xlfn.XLOOKUP($F1255,Clientes!$B$4:$B$39,Clientes!$C$4:$C$39),Cadastros!$L$6:$L$12,Cadastros!$M$6:$M$12)+IF($F1255="Bernardino Furlan",AY1255/2751.92,IF($F1255="Mauro José Salanti",AY1255/2751.92,AY1255/3356)),F1255&lt;&gt;0,SUM(L1255,Q1255,V1255,AA1255,AF1255,AK1255,AP1255,AU1255))))</f>
        <v xml:space="preserve"> </v>
      </c>
      <c r="BE1255" s="120"/>
      <c r="BF1255" s="120"/>
      <c r="BG1255" s="120"/>
    </row>
    <row r="1256" spans="1:59" s="3" customFormat="1" x14ac:dyDescent="0.3">
      <c r="A1256" s="15" t="str">
        <f t="shared" si="247"/>
        <v/>
      </c>
      <c r="B1256" s="25"/>
      <c r="C1256" s="26"/>
      <c r="D1256" s="279"/>
      <c r="E1256" s="27"/>
      <c r="F1256" s="28"/>
      <c r="G1256" s="27"/>
      <c r="H1256" s="28"/>
      <c r="I1256" s="28"/>
      <c r="J1256" s="255" t="str">
        <f>IF(H1256="","",(_xlfn.XLOOKUP(H1256,Cadastros!$D$6:$D$90,Cadastros!$E$6:$E$90))*(1-_xlfn.XLOOKUP(_xlfn.XLOOKUP($F1256,Clientes!$B$4:$B$39,Clientes!$C$4:$C$39),Cadastros!$L$6:$L$12,Cadastros!$N$6:$N$12)))</f>
        <v/>
      </c>
      <c r="K1256" s="168" t="str">
        <f t="shared" si="248"/>
        <v/>
      </c>
      <c r="L1256" s="168" t="str">
        <f>IFERROR(K1256/_xlfn.XLOOKUP(_xlfn.XLOOKUP($F1256,Clientes!$B$4:$B$39,Clientes!$C$4:$C$39),Cadastros!$L$6:$L$12,Cadastros!$M$6:$M$12)," ")</f>
        <v xml:space="preserve"> </v>
      </c>
      <c r="M1256" s="28"/>
      <c r="N1256" s="28"/>
      <c r="O1256" s="255" t="str">
        <f>IF(M1256="","",(_xlfn.XLOOKUP(M1256,Cadastros!$D$6:$D$90,Cadastros!$E$6:$E$90))*(1-_xlfn.XLOOKUP(_xlfn.XLOOKUP($F1256,Clientes!$B$4:$B$39,Clientes!$C$4:$C$39),Cadastros!$L$6:$L$12,Cadastros!$N$6:$N$12)))</f>
        <v/>
      </c>
      <c r="P1256" s="168" t="str">
        <f t="shared" si="249"/>
        <v/>
      </c>
      <c r="Q1256" s="168" t="str">
        <f>IFERROR(P1256/_xlfn.XLOOKUP(_xlfn.XLOOKUP($F1256,Clientes!$B$4:$B$39,Clientes!$C$4:$C$39),Cadastros!$L$6:$L$12,Cadastros!$M$6:$M$12)," ")</f>
        <v xml:space="preserve"> </v>
      </c>
      <c r="R1256" s="28"/>
      <c r="S1256" s="28"/>
      <c r="T1256" s="255" t="str">
        <f>IF(R1256="","",(_xlfn.XLOOKUP(R1256,Cadastros!$D$6:$D$90,Cadastros!$E$6:$E$90))*(1-_xlfn.XLOOKUP(_xlfn.XLOOKUP($F1256,Clientes!$B$4:$B$39,Clientes!$C$4:$C$39),Cadastros!$L$6:$L$12,Cadastros!$N$6:$N$12)))</f>
        <v/>
      </c>
      <c r="U1256" s="168" t="str">
        <f t="shared" si="250"/>
        <v/>
      </c>
      <c r="V1256" s="168" t="str">
        <f>IFERROR(U1256/_xlfn.XLOOKUP(_xlfn.XLOOKUP($F1256,Clientes!$B$4:$B$39,Clientes!$C$4:$C$39),Cadastros!$L$6:$L$12,Cadastros!$M$6:$M$12)," ")</f>
        <v xml:space="preserve"> </v>
      </c>
      <c r="W1256" s="28"/>
      <c r="X1256" s="28"/>
      <c r="Y1256" s="255" t="str">
        <f>IF(W1256="","",(_xlfn.XLOOKUP(W1256,Cadastros!$D$6:$D$90,Cadastros!$E$6:$E$90))*(1-_xlfn.XLOOKUP(_xlfn.XLOOKUP($F1256,Clientes!$B$4:$B$39,Clientes!$C$4:$C$39),Cadastros!$L$6:$L$12,Cadastros!$N$6:$N$12)))</f>
        <v/>
      </c>
      <c r="Z1256" s="168" t="str">
        <f t="shared" si="251"/>
        <v/>
      </c>
      <c r="AA1256" s="168" t="str">
        <f>IFERROR(Z1256/_xlfn.XLOOKUP(_xlfn.XLOOKUP($F1256,Clientes!$B$4:$B$39,Clientes!$C$4:$C$39),Cadastros!$L$6:$L$12,Cadastros!$M$6:$M$12)," ")</f>
        <v xml:space="preserve"> </v>
      </c>
      <c r="AB1256" s="28"/>
      <c r="AC1256" s="28"/>
      <c r="AD1256" s="20" t="str">
        <f>IF(AB1256="","",IF($F1256="Bernardino Furlan",_xlfn.XLOOKUP(AB1256,Cadastros!$G$6:$G$90,Cadastros!$H$6:$H$90)*(1-0.18),IF($F1256="Mauro José Salanti",_xlfn.XLOOKUP(AB1256,Cadastros!$G$6:$G$90,Cadastros!$H$6:$H$90)*(1-0.18),_xlfn.XLOOKUP(AB1256,Cadastros!$G$6:$G$90,Cadastros!$H$6:$H$90))))</f>
        <v/>
      </c>
      <c r="AE1256" s="168" t="str">
        <f t="shared" si="252"/>
        <v/>
      </c>
      <c r="AF1256" s="168" t="str">
        <f t="shared" si="253"/>
        <v/>
      </c>
      <c r="AG1256" s="28"/>
      <c r="AH1256" s="28"/>
      <c r="AI1256" s="20" t="str">
        <f>IF(AG1256="","",IF($F1256="Bernardino Furlan",_xlfn.XLOOKUP(AG1256,Cadastros!$G$6:$G$90,Cadastros!$H$6:$H$90)*(1-0.18),IF($F1256="Mauro José Salanti",_xlfn.XLOOKUP(AG1256,Cadastros!$G$6:$G$90,Cadastros!$H$6:$H$90)*(1-0.18),_xlfn.XLOOKUP(AG1256,Cadastros!$G$6:$G$90,Cadastros!$H$6:$H$90))))</f>
        <v/>
      </c>
      <c r="AJ1256" s="168" t="str">
        <f t="shared" si="254"/>
        <v/>
      </c>
      <c r="AK1256" s="168" t="str">
        <f t="shared" si="255"/>
        <v/>
      </c>
      <c r="AL1256" s="28"/>
      <c r="AM1256" s="28"/>
      <c r="AN1256" s="20" t="str">
        <f>IF(AL1256="","",IF($F1256="Bernardino Furlan",_xlfn.XLOOKUP(AL1256,Cadastros!$G$6:$G$90,Cadastros!$H$6:$H$90)*(1-0.18),IF($F1256="Mauro José Salanti",_xlfn.XLOOKUP(AL1256,Cadastros!$G$6:$G$90,Cadastros!$H$6:$H$90)*(1-0.18),_xlfn.XLOOKUP(AL1256,Cadastros!$G$6:$G$90,Cadastros!$H$6:$H$90))))</f>
        <v/>
      </c>
      <c r="AO1256" s="168" t="str">
        <f t="shared" si="256"/>
        <v/>
      </c>
      <c r="AP1256" s="168" t="str">
        <f t="shared" si="257"/>
        <v/>
      </c>
      <c r="AQ1256" s="28"/>
      <c r="AR1256" s="28"/>
      <c r="AS1256" s="20" t="str">
        <f>IF(AQ1256="","",IF($F1256="Bernardino Furlan",_xlfn.XLOOKUP(AQ1256,Cadastros!$G$6:$G$90,Cadastros!$H$6:$H$90)*(1-0.18),IF($F1256="Mauro José Salanti",_xlfn.XLOOKUP(AQ1256,Cadastros!$G$6:$G$90,Cadastros!$H$6:$H$90)*(1-0.18),_xlfn.XLOOKUP(AQ1256,Cadastros!$G$6:$G$90,Cadastros!$H$6:$H$90))))</f>
        <v/>
      </c>
      <c r="AT1256" s="168" t="str">
        <f t="shared" si="258"/>
        <v/>
      </c>
      <c r="AU1256" s="168" t="str">
        <f t="shared" si="259"/>
        <v/>
      </c>
      <c r="AV1256" s="227"/>
      <c r="AW1256" s="30"/>
      <c r="AX1256" s="267"/>
      <c r="AY1256" s="267"/>
      <c r="AZ1256" s="29"/>
      <c r="BA1256" s="30"/>
      <c r="BB1256" s="23" t="str" cm="1">
        <f t="array" ref="BB1256">_xlfn.IFS(AW1256="SIM",SUM(K1256,P1256,U1256,Z1256,AE1256,AJ1256,AO1256,AT1256,AX1256,AY1256),F1256&lt;&gt;"",SUM(K1256,P1256,U1256,Z1256,AE1256,AJ1256,,AO1256,AT1256),F1256="","")</f>
        <v/>
      </c>
      <c r="BC1256" s="211" t="str" cm="1">
        <f t="array" ref="BC1256">_xlfn.IFS(E1256="","",G1256&lt;=E1256,BB1256*(1-0.03),G1256&lt;(E1256+8),BB1256,AZ1256="Boleto",BB1256*(1+0.001)^DATEDIF(E1256,G1256,"D"),AZ1256="Cheque",BB1256,AZ1256="Dinheiro","Alterar forma pgto")</f>
        <v/>
      </c>
      <c r="BD1256" s="276" t="str" cm="1">
        <f t="array" ref="BD1256">IF(F1256=0," ",IF(BC1256&lt;BB1256,(_xlfn.IFS(AW1256="SIM",SUM(L1256,Q1256,V1256,AA1256,AF1256,AK1256,AP1256,AU1256)+AX1256/_xlfn.XLOOKUP(_xlfn.XLOOKUP($F1256,Clientes!$B$4:$B$39,Clientes!$C$4:$C$39),Cadastros!$L$6:$L$12,Cadastros!$M$6:$M$12)+IF($F1256="Bernardino Furlan",AY1256/2751.92,IF($F1256="Mauro José Salanti",AY1256/2751.92,AY1256/3356)),F1256&lt;&gt;0,SUM(L1256,Q1256,V1256,AA1256,AF1256,AK1256,AP1256,AU1256)))*(1-0.03),_xlfn.IFS(AW1256="SIM",SUM(L1256,Q1256,V1256,AA1256,AF1256,AK1256,AP1256,AU1256)+AX1256/_xlfn.XLOOKUP(_xlfn.XLOOKUP($F1256,Clientes!$B$4:$B$39,Clientes!$C$4:$C$39),Cadastros!$L$6:$L$12,Cadastros!$M$6:$M$12)+IF($F1256="Bernardino Furlan",AY1256/2751.92,IF($F1256="Mauro José Salanti",AY1256/2751.92,AY1256/3356)),F1256&lt;&gt;0,SUM(L1256,Q1256,V1256,AA1256,AF1256,AK1256,AP1256,AU1256))))</f>
        <v xml:space="preserve"> </v>
      </c>
      <c r="BE1256" s="120"/>
      <c r="BF1256" s="120"/>
      <c r="BG1256" s="120"/>
    </row>
    <row r="1257" spans="1:59" s="3" customFormat="1" x14ac:dyDescent="0.3">
      <c r="A1257" s="15" t="str">
        <f t="shared" si="247"/>
        <v/>
      </c>
      <c r="B1257" s="25"/>
      <c r="C1257" s="26"/>
      <c r="D1257" s="279"/>
      <c r="E1257" s="27"/>
      <c r="F1257" s="28"/>
      <c r="G1257" s="27"/>
      <c r="H1257" s="28"/>
      <c r="I1257" s="28"/>
      <c r="J1257" s="255" t="str">
        <f>IF(H1257="","",(_xlfn.XLOOKUP(H1257,Cadastros!$D$6:$D$90,Cadastros!$E$6:$E$90))*(1-_xlfn.XLOOKUP(_xlfn.XLOOKUP($F1257,Clientes!$B$4:$B$39,Clientes!$C$4:$C$39),Cadastros!$L$6:$L$12,Cadastros!$N$6:$N$12)))</f>
        <v/>
      </c>
      <c r="K1257" s="168" t="str">
        <f t="shared" si="248"/>
        <v/>
      </c>
      <c r="L1257" s="168" t="str">
        <f>IFERROR(K1257/_xlfn.XLOOKUP(_xlfn.XLOOKUP($F1257,Clientes!$B$4:$B$39,Clientes!$C$4:$C$39),Cadastros!$L$6:$L$12,Cadastros!$M$6:$M$12)," ")</f>
        <v xml:space="preserve"> </v>
      </c>
      <c r="M1257" s="28"/>
      <c r="N1257" s="28"/>
      <c r="O1257" s="255" t="str">
        <f>IF(M1257="","",(_xlfn.XLOOKUP(M1257,Cadastros!$D$6:$D$90,Cadastros!$E$6:$E$90))*(1-_xlfn.XLOOKUP(_xlfn.XLOOKUP($F1257,Clientes!$B$4:$B$39,Clientes!$C$4:$C$39),Cadastros!$L$6:$L$12,Cadastros!$N$6:$N$12)))</f>
        <v/>
      </c>
      <c r="P1257" s="168" t="str">
        <f t="shared" si="249"/>
        <v/>
      </c>
      <c r="Q1257" s="168" t="str">
        <f>IFERROR(P1257/_xlfn.XLOOKUP(_xlfn.XLOOKUP($F1257,Clientes!$B$4:$B$39,Clientes!$C$4:$C$39),Cadastros!$L$6:$L$12,Cadastros!$M$6:$M$12)," ")</f>
        <v xml:space="preserve"> </v>
      </c>
      <c r="R1257" s="28"/>
      <c r="S1257" s="28"/>
      <c r="T1257" s="255" t="str">
        <f>IF(R1257="","",(_xlfn.XLOOKUP(R1257,Cadastros!$D$6:$D$90,Cadastros!$E$6:$E$90))*(1-_xlfn.XLOOKUP(_xlfn.XLOOKUP($F1257,Clientes!$B$4:$B$39,Clientes!$C$4:$C$39),Cadastros!$L$6:$L$12,Cadastros!$N$6:$N$12)))</f>
        <v/>
      </c>
      <c r="U1257" s="168" t="str">
        <f t="shared" si="250"/>
        <v/>
      </c>
      <c r="V1257" s="168" t="str">
        <f>IFERROR(U1257/_xlfn.XLOOKUP(_xlfn.XLOOKUP($F1257,Clientes!$B$4:$B$39,Clientes!$C$4:$C$39),Cadastros!$L$6:$L$12,Cadastros!$M$6:$M$12)," ")</f>
        <v xml:space="preserve"> </v>
      </c>
      <c r="W1257" s="28"/>
      <c r="X1257" s="28"/>
      <c r="Y1257" s="255" t="str">
        <f>IF(W1257="","",(_xlfn.XLOOKUP(W1257,Cadastros!$D$6:$D$90,Cadastros!$E$6:$E$90))*(1-_xlfn.XLOOKUP(_xlfn.XLOOKUP($F1257,Clientes!$B$4:$B$39,Clientes!$C$4:$C$39),Cadastros!$L$6:$L$12,Cadastros!$N$6:$N$12)))</f>
        <v/>
      </c>
      <c r="Z1257" s="168" t="str">
        <f t="shared" si="251"/>
        <v/>
      </c>
      <c r="AA1257" s="168" t="str">
        <f>IFERROR(Z1257/_xlfn.XLOOKUP(_xlfn.XLOOKUP($F1257,Clientes!$B$4:$B$39,Clientes!$C$4:$C$39),Cadastros!$L$6:$L$12,Cadastros!$M$6:$M$12)," ")</f>
        <v xml:space="preserve"> </v>
      </c>
      <c r="AB1257" s="28"/>
      <c r="AC1257" s="28"/>
      <c r="AD1257" s="20" t="str">
        <f>IF(AB1257="","",IF($F1257="Bernardino Furlan",_xlfn.XLOOKUP(AB1257,Cadastros!$G$6:$G$90,Cadastros!$H$6:$H$90)*(1-0.18),IF($F1257="Mauro José Salanti",_xlfn.XLOOKUP(AB1257,Cadastros!$G$6:$G$90,Cadastros!$H$6:$H$90)*(1-0.18),_xlfn.XLOOKUP(AB1257,Cadastros!$G$6:$G$90,Cadastros!$H$6:$H$90))))</f>
        <v/>
      </c>
      <c r="AE1257" s="168" t="str">
        <f t="shared" si="252"/>
        <v/>
      </c>
      <c r="AF1257" s="168" t="str">
        <f t="shared" si="253"/>
        <v/>
      </c>
      <c r="AG1257" s="28"/>
      <c r="AH1257" s="28"/>
      <c r="AI1257" s="20" t="str">
        <f>IF(AG1257="","",IF($F1257="Bernardino Furlan",_xlfn.XLOOKUP(AG1257,Cadastros!$G$6:$G$90,Cadastros!$H$6:$H$90)*(1-0.18),IF($F1257="Mauro José Salanti",_xlfn.XLOOKUP(AG1257,Cadastros!$G$6:$G$90,Cadastros!$H$6:$H$90)*(1-0.18),_xlfn.XLOOKUP(AG1257,Cadastros!$G$6:$G$90,Cadastros!$H$6:$H$90))))</f>
        <v/>
      </c>
      <c r="AJ1257" s="168" t="str">
        <f t="shared" si="254"/>
        <v/>
      </c>
      <c r="AK1257" s="168" t="str">
        <f t="shared" si="255"/>
        <v/>
      </c>
      <c r="AL1257" s="28"/>
      <c r="AM1257" s="28"/>
      <c r="AN1257" s="20" t="str">
        <f>IF(AL1257="","",IF($F1257="Bernardino Furlan",_xlfn.XLOOKUP(AL1257,Cadastros!$G$6:$G$90,Cadastros!$H$6:$H$90)*(1-0.18),IF($F1257="Mauro José Salanti",_xlfn.XLOOKUP(AL1257,Cadastros!$G$6:$G$90,Cadastros!$H$6:$H$90)*(1-0.18),_xlfn.XLOOKUP(AL1257,Cadastros!$G$6:$G$90,Cadastros!$H$6:$H$90))))</f>
        <v/>
      </c>
      <c r="AO1257" s="168" t="str">
        <f t="shared" si="256"/>
        <v/>
      </c>
      <c r="AP1257" s="168" t="str">
        <f t="shared" si="257"/>
        <v/>
      </c>
      <c r="AQ1257" s="28"/>
      <c r="AR1257" s="28"/>
      <c r="AS1257" s="20" t="str">
        <f>IF(AQ1257="","",IF($F1257="Bernardino Furlan",_xlfn.XLOOKUP(AQ1257,Cadastros!$G$6:$G$90,Cadastros!$H$6:$H$90)*(1-0.18),IF($F1257="Mauro José Salanti",_xlfn.XLOOKUP(AQ1257,Cadastros!$G$6:$G$90,Cadastros!$H$6:$H$90)*(1-0.18),_xlfn.XLOOKUP(AQ1257,Cadastros!$G$6:$G$90,Cadastros!$H$6:$H$90))))</f>
        <v/>
      </c>
      <c r="AT1257" s="168" t="str">
        <f t="shared" si="258"/>
        <v/>
      </c>
      <c r="AU1257" s="168" t="str">
        <f t="shared" si="259"/>
        <v/>
      </c>
      <c r="AV1257" s="227"/>
      <c r="AW1257" s="30"/>
      <c r="AX1257" s="267"/>
      <c r="AY1257" s="267"/>
      <c r="AZ1257" s="29"/>
      <c r="BA1257" s="30"/>
      <c r="BB1257" s="23" t="str" cm="1">
        <f t="array" ref="BB1257">_xlfn.IFS(AW1257="SIM",SUM(K1257,P1257,U1257,Z1257,AE1257,AJ1257,AO1257,AT1257,AX1257,AY1257),F1257&lt;&gt;"",SUM(K1257,P1257,U1257,Z1257,AE1257,AJ1257,,AO1257,AT1257),F1257="","")</f>
        <v/>
      </c>
      <c r="BC1257" s="211" t="str" cm="1">
        <f t="array" ref="BC1257">_xlfn.IFS(E1257="","",G1257&lt;=E1257,BB1257*(1-0.03),G1257&lt;(E1257+8),BB1257,AZ1257="Boleto",BB1257*(1+0.001)^DATEDIF(E1257,G1257,"D"),AZ1257="Cheque",BB1257,AZ1257="Dinheiro","Alterar forma pgto")</f>
        <v/>
      </c>
      <c r="BD1257" s="276" t="str" cm="1">
        <f t="array" ref="BD1257">IF(F1257=0," ",IF(BC1257&lt;BB1257,(_xlfn.IFS(AW1257="SIM",SUM(L1257,Q1257,V1257,AA1257,AF1257,AK1257,AP1257,AU1257)+AX1257/_xlfn.XLOOKUP(_xlfn.XLOOKUP($F1257,Clientes!$B$4:$B$39,Clientes!$C$4:$C$39),Cadastros!$L$6:$L$12,Cadastros!$M$6:$M$12)+IF($F1257="Bernardino Furlan",AY1257/2751.92,IF($F1257="Mauro José Salanti",AY1257/2751.92,AY1257/3356)),F1257&lt;&gt;0,SUM(L1257,Q1257,V1257,AA1257,AF1257,AK1257,AP1257,AU1257)))*(1-0.03),_xlfn.IFS(AW1257="SIM",SUM(L1257,Q1257,V1257,AA1257,AF1257,AK1257,AP1257,AU1257)+AX1257/_xlfn.XLOOKUP(_xlfn.XLOOKUP($F1257,Clientes!$B$4:$B$39,Clientes!$C$4:$C$39),Cadastros!$L$6:$L$12,Cadastros!$M$6:$M$12)+IF($F1257="Bernardino Furlan",AY1257/2751.92,IF($F1257="Mauro José Salanti",AY1257/2751.92,AY1257/3356)),F1257&lt;&gt;0,SUM(L1257,Q1257,V1257,AA1257,AF1257,AK1257,AP1257,AU1257))))</f>
        <v xml:space="preserve"> </v>
      </c>
      <c r="BE1257" s="120"/>
      <c r="BF1257" s="120"/>
      <c r="BG1257" s="120"/>
    </row>
    <row r="1258" spans="1:59" s="3" customFormat="1" x14ac:dyDescent="0.3">
      <c r="A1258" s="15" t="str">
        <f t="shared" si="247"/>
        <v/>
      </c>
      <c r="B1258" s="25"/>
      <c r="C1258" s="26"/>
      <c r="D1258" s="279"/>
      <c r="E1258" s="27"/>
      <c r="F1258" s="28"/>
      <c r="G1258" s="27"/>
      <c r="H1258" s="28"/>
      <c r="I1258" s="28"/>
      <c r="J1258" s="255" t="str">
        <f>IF(H1258="","",(_xlfn.XLOOKUP(H1258,Cadastros!$D$6:$D$90,Cadastros!$E$6:$E$90))*(1-_xlfn.XLOOKUP(_xlfn.XLOOKUP($F1258,Clientes!$B$4:$B$39,Clientes!$C$4:$C$39),Cadastros!$L$6:$L$12,Cadastros!$N$6:$N$12)))</f>
        <v/>
      </c>
      <c r="K1258" s="168" t="str">
        <f t="shared" si="248"/>
        <v/>
      </c>
      <c r="L1258" s="168" t="str">
        <f>IFERROR(K1258/_xlfn.XLOOKUP(_xlfn.XLOOKUP($F1258,Clientes!$B$4:$B$39,Clientes!$C$4:$C$39),Cadastros!$L$6:$L$12,Cadastros!$M$6:$M$12)," ")</f>
        <v xml:space="preserve"> </v>
      </c>
      <c r="M1258" s="28"/>
      <c r="N1258" s="28"/>
      <c r="O1258" s="255" t="str">
        <f>IF(M1258="","",(_xlfn.XLOOKUP(M1258,Cadastros!$D$6:$D$90,Cadastros!$E$6:$E$90))*(1-_xlfn.XLOOKUP(_xlfn.XLOOKUP($F1258,Clientes!$B$4:$B$39,Clientes!$C$4:$C$39),Cadastros!$L$6:$L$12,Cadastros!$N$6:$N$12)))</f>
        <v/>
      </c>
      <c r="P1258" s="168" t="str">
        <f t="shared" si="249"/>
        <v/>
      </c>
      <c r="Q1258" s="168" t="str">
        <f>IFERROR(P1258/_xlfn.XLOOKUP(_xlfn.XLOOKUP($F1258,Clientes!$B$4:$B$39,Clientes!$C$4:$C$39),Cadastros!$L$6:$L$12,Cadastros!$M$6:$M$12)," ")</f>
        <v xml:space="preserve"> </v>
      </c>
      <c r="R1258" s="28"/>
      <c r="S1258" s="28"/>
      <c r="T1258" s="255" t="str">
        <f>IF(R1258="","",(_xlfn.XLOOKUP(R1258,Cadastros!$D$6:$D$90,Cadastros!$E$6:$E$90))*(1-_xlfn.XLOOKUP(_xlfn.XLOOKUP($F1258,Clientes!$B$4:$B$39,Clientes!$C$4:$C$39),Cadastros!$L$6:$L$12,Cadastros!$N$6:$N$12)))</f>
        <v/>
      </c>
      <c r="U1258" s="168" t="str">
        <f t="shared" si="250"/>
        <v/>
      </c>
      <c r="V1258" s="168" t="str">
        <f>IFERROR(U1258/_xlfn.XLOOKUP(_xlfn.XLOOKUP($F1258,Clientes!$B$4:$B$39,Clientes!$C$4:$C$39),Cadastros!$L$6:$L$12,Cadastros!$M$6:$M$12)," ")</f>
        <v xml:space="preserve"> </v>
      </c>
      <c r="W1258" s="28"/>
      <c r="X1258" s="28"/>
      <c r="Y1258" s="255" t="str">
        <f>IF(W1258="","",(_xlfn.XLOOKUP(W1258,Cadastros!$D$6:$D$90,Cadastros!$E$6:$E$90))*(1-_xlfn.XLOOKUP(_xlfn.XLOOKUP($F1258,Clientes!$B$4:$B$39,Clientes!$C$4:$C$39),Cadastros!$L$6:$L$12,Cadastros!$N$6:$N$12)))</f>
        <v/>
      </c>
      <c r="Z1258" s="168" t="str">
        <f t="shared" si="251"/>
        <v/>
      </c>
      <c r="AA1258" s="168" t="str">
        <f>IFERROR(Z1258/_xlfn.XLOOKUP(_xlfn.XLOOKUP($F1258,Clientes!$B$4:$B$39,Clientes!$C$4:$C$39),Cadastros!$L$6:$L$12,Cadastros!$M$6:$M$12)," ")</f>
        <v xml:space="preserve"> </v>
      </c>
      <c r="AB1258" s="28"/>
      <c r="AC1258" s="28"/>
      <c r="AD1258" s="20" t="str">
        <f>IF(AB1258="","",IF($F1258="Bernardino Furlan",_xlfn.XLOOKUP(AB1258,Cadastros!$G$6:$G$90,Cadastros!$H$6:$H$90)*(1-0.18),IF($F1258="Mauro José Salanti",_xlfn.XLOOKUP(AB1258,Cadastros!$G$6:$G$90,Cadastros!$H$6:$H$90)*(1-0.18),_xlfn.XLOOKUP(AB1258,Cadastros!$G$6:$G$90,Cadastros!$H$6:$H$90))))</f>
        <v/>
      </c>
      <c r="AE1258" s="168" t="str">
        <f t="shared" si="252"/>
        <v/>
      </c>
      <c r="AF1258" s="168" t="str">
        <f t="shared" si="253"/>
        <v/>
      </c>
      <c r="AG1258" s="28"/>
      <c r="AH1258" s="28"/>
      <c r="AI1258" s="20" t="str">
        <f>IF(AG1258="","",IF($F1258="Bernardino Furlan",_xlfn.XLOOKUP(AG1258,Cadastros!$G$6:$G$90,Cadastros!$H$6:$H$90)*(1-0.18),IF($F1258="Mauro José Salanti",_xlfn.XLOOKUP(AG1258,Cadastros!$G$6:$G$90,Cadastros!$H$6:$H$90)*(1-0.18),_xlfn.XLOOKUP(AG1258,Cadastros!$G$6:$G$90,Cadastros!$H$6:$H$90))))</f>
        <v/>
      </c>
      <c r="AJ1258" s="168" t="str">
        <f t="shared" si="254"/>
        <v/>
      </c>
      <c r="AK1258" s="168" t="str">
        <f t="shared" si="255"/>
        <v/>
      </c>
      <c r="AL1258" s="28"/>
      <c r="AM1258" s="28"/>
      <c r="AN1258" s="20" t="str">
        <f>IF(AL1258="","",IF($F1258="Bernardino Furlan",_xlfn.XLOOKUP(AL1258,Cadastros!$G$6:$G$90,Cadastros!$H$6:$H$90)*(1-0.18),IF($F1258="Mauro José Salanti",_xlfn.XLOOKUP(AL1258,Cadastros!$G$6:$G$90,Cadastros!$H$6:$H$90)*(1-0.18),_xlfn.XLOOKUP(AL1258,Cadastros!$G$6:$G$90,Cadastros!$H$6:$H$90))))</f>
        <v/>
      </c>
      <c r="AO1258" s="168" t="str">
        <f t="shared" si="256"/>
        <v/>
      </c>
      <c r="AP1258" s="168" t="str">
        <f t="shared" si="257"/>
        <v/>
      </c>
      <c r="AQ1258" s="28"/>
      <c r="AR1258" s="28"/>
      <c r="AS1258" s="20" t="str">
        <f>IF(AQ1258="","",IF($F1258="Bernardino Furlan",_xlfn.XLOOKUP(AQ1258,Cadastros!$G$6:$G$90,Cadastros!$H$6:$H$90)*(1-0.18),IF($F1258="Mauro José Salanti",_xlfn.XLOOKUP(AQ1258,Cadastros!$G$6:$G$90,Cadastros!$H$6:$H$90)*(1-0.18),_xlfn.XLOOKUP(AQ1258,Cadastros!$G$6:$G$90,Cadastros!$H$6:$H$90))))</f>
        <v/>
      </c>
      <c r="AT1258" s="168" t="str">
        <f t="shared" si="258"/>
        <v/>
      </c>
      <c r="AU1258" s="168" t="str">
        <f t="shared" si="259"/>
        <v/>
      </c>
      <c r="AV1258" s="227"/>
      <c r="AW1258" s="30"/>
      <c r="AX1258" s="267"/>
      <c r="AY1258" s="267"/>
      <c r="AZ1258" s="29"/>
      <c r="BA1258" s="30"/>
      <c r="BB1258" s="23" t="str" cm="1">
        <f t="array" ref="BB1258">_xlfn.IFS(AW1258="SIM",SUM(K1258,P1258,U1258,Z1258,AE1258,AJ1258,AO1258,AT1258,AX1258,AY1258),F1258&lt;&gt;"",SUM(K1258,P1258,U1258,Z1258,AE1258,AJ1258,,AO1258,AT1258),F1258="","")</f>
        <v/>
      </c>
      <c r="BC1258" s="211" t="str" cm="1">
        <f t="array" ref="BC1258">_xlfn.IFS(E1258="","",G1258&lt;=E1258,BB1258*(1-0.03),G1258&lt;(E1258+8),BB1258,AZ1258="Boleto",BB1258*(1+0.001)^DATEDIF(E1258,G1258,"D"),AZ1258="Cheque",BB1258,AZ1258="Dinheiro","Alterar forma pgto")</f>
        <v/>
      </c>
      <c r="BD1258" s="276" t="str" cm="1">
        <f t="array" ref="BD1258">IF(F1258=0," ",IF(BC1258&lt;BB1258,(_xlfn.IFS(AW1258="SIM",SUM(L1258,Q1258,V1258,AA1258,AF1258,AK1258,AP1258,AU1258)+AX1258/_xlfn.XLOOKUP(_xlfn.XLOOKUP($F1258,Clientes!$B$4:$B$39,Clientes!$C$4:$C$39),Cadastros!$L$6:$L$12,Cadastros!$M$6:$M$12)+IF($F1258="Bernardino Furlan",AY1258/2751.92,IF($F1258="Mauro José Salanti",AY1258/2751.92,AY1258/3356)),F1258&lt;&gt;0,SUM(L1258,Q1258,V1258,AA1258,AF1258,AK1258,AP1258,AU1258)))*(1-0.03),_xlfn.IFS(AW1258="SIM",SUM(L1258,Q1258,V1258,AA1258,AF1258,AK1258,AP1258,AU1258)+AX1258/_xlfn.XLOOKUP(_xlfn.XLOOKUP($F1258,Clientes!$B$4:$B$39,Clientes!$C$4:$C$39),Cadastros!$L$6:$L$12,Cadastros!$M$6:$M$12)+IF($F1258="Bernardino Furlan",AY1258/2751.92,IF($F1258="Mauro José Salanti",AY1258/2751.92,AY1258/3356)),F1258&lt;&gt;0,SUM(L1258,Q1258,V1258,AA1258,AF1258,AK1258,AP1258,AU1258))))</f>
        <v xml:space="preserve"> </v>
      </c>
      <c r="BE1258" s="120"/>
      <c r="BF1258" s="120"/>
      <c r="BG1258" s="120"/>
    </row>
    <row r="1259" spans="1:59" s="3" customFormat="1" x14ac:dyDescent="0.3">
      <c r="A1259" s="15" t="str">
        <f t="shared" si="247"/>
        <v/>
      </c>
      <c r="B1259" s="25"/>
      <c r="C1259" s="26"/>
      <c r="D1259" s="279"/>
      <c r="E1259" s="27"/>
      <c r="F1259" s="28"/>
      <c r="G1259" s="27"/>
      <c r="H1259" s="28"/>
      <c r="I1259" s="28"/>
      <c r="J1259" s="255" t="str">
        <f>IF(H1259="","",(_xlfn.XLOOKUP(H1259,Cadastros!$D$6:$D$90,Cadastros!$E$6:$E$90))*(1-_xlfn.XLOOKUP(_xlfn.XLOOKUP($F1259,Clientes!$B$4:$B$39,Clientes!$C$4:$C$39),Cadastros!$L$6:$L$12,Cadastros!$N$6:$N$12)))</f>
        <v/>
      </c>
      <c r="K1259" s="168" t="str">
        <f t="shared" si="248"/>
        <v/>
      </c>
      <c r="L1259" s="168" t="str">
        <f>IFERROR(K1259/_xlfn.XLOOKUP(_xlfn.XLOOKUP($F1259,Clientes!$B$4:$B$39,Clientes!$C$4:$C$39),Cadastros!$L$6:$L$12,Cadastros!$M$6:$M$12)," ")</f>
        <v xml:space="preserve"> </v>
      </c>
      <c r="M1259" s="28"/>
      <c r="N1259" s="28"/>
      <c r="O1259" s="255" t="str">
        <f>IF(M1259="","",(_xlfn.XLOOKUP(M1259,Cadastros!$D$6:$D$90,Cadastros!$E$6:$E$90))*(1-_xlfn.XLOOKUP(_xlfn.XLOOKUP($F1259,Clientes!$B$4:$B$39,Clientes!$C$4:$C$39),Cadastros!$L$6:$L$12,Cadastros!$N$6:$N$12)))</f>
        <v/>
      </c>
      <c r="P1259" s="168" t="str">
        <f t="shared" si="249"/>
        <v/>
      </c>
      <c r="Q1259" s="168" t="str">
        <f>IFERROR(P1259/_xlfn.XLOOKUP(_xlfn.XLOOKUP($F1259,Clientes!$B$4:$B$39,Clientes!$C$4:$C$39),Cadastros!$L$6:$L$12,Cadastros!$M$6:$M$12)," ")</f>
        <v xml:space="preserve"> </v>
      </c>
      <c r="R1259" s="28"/>
      <c r="S1259" s="28"/>
      <c r="T1259" s="255" t="str">
        <f>IF(R1259="","",(_xlfn.XLOOKUP(R1259,Cadastros!$D$6:$D$90,Cadastros!$E$6:$E$90))*(1-_xlfn.XLOOKUP(_xlfn.XLOOKUP($F1259,Clientes!$B$4:$B$39,Clientes!$C$4:$C$39),Cadastros!$L$6:$L$12,Cadastros!$N$6:$N$12)))</f>
        <v/>
      </c>
      <c r="U1259" s="168" t="str">
        <f t="shared" si="250"/>
        <v/>
      </c>
      <c r="V1259" s="168" t="str">
        <f>IFERROR(U1259/_xlfn.XLOOKUP(_xlfn.XLOOKUP($F1259,Clientes!$B$4:$B$39,Clientes!$C$4:$C$39),Cadastros!$L$6:$L$12,Cadastros!$M$6:$M$12)," ")</f>
        <v xml:space="preserve"> </v>
      </c>
      <c r="W1259" s="28"/>
      <c r="X1259" s="28"/>
      <c r="Y1259" s="255" t="str">
        <f>IF(W1259="","",(_xlfn.XLOOKUP(W1259,Cadastros!$D$6:$D$90,Cadastros!$E$6:$E$90))*(1-_xlfn.XLOOKUP(_xlfn.XLOOKUP($F1259,Clientes!$B$4:$B$39,Clientes!$C$4:$C$39),Cadastros!$L$6:$L$12,Cadastros!$N$6:$N$12)))</f>
        <v/>
      </c>
      <c r="Z1259" s="168" t="str">
        <f t="shared" si="251"/>
        <v/>
      </c>
      <c r="AA1259" s="168" t="str">
        <f>IFERROR(Z1259/_xlfn.XLOOKUP(_xlfn.XLOOKUP($F1259,Clientes!$B$4:$B$39,Clientes!$C$4:$C$39),Cadastros!$L$6:$L$12,Cadastros!$M$6:$M$12)," ")</f>
        <v xml:space="preserve"> </v>
      </c>
      <c r="AB1259" s="28"/>
      <c r="AC1259" s="28"/>
      <c r="AD1259" s="20" t="str">
        <f>IF(AB1259="","",IF($F1259="Bernardino Furlan",_xlfn.XLOOKUP(AB1259,Cadastros!$G$6:$G$90,Cadastros!$H$6:$H$90)*(1-0.18),IF($F1259="Mauro José Salanti",_xlfn.XLOOKUP(AB1259,Cadastros!$G$6:$G$90,Cadastros!$H$6:$H$90)*(1-0.18),_xlfn.XLOOKUP(AB1259,Cadastros!$G$6:$G$90,Cadastros!$H$6:$H$90))))</f>
        <v/>
      </c>
      <c r="AE1259" s="168" t="str">
        <f t="shared" si="252"/>
        <v/>
      </c>
      <c r="AF1259" s="168" t="str">
        <f t="shared" si="253"/>
        <v/>
      </c>
      <c r="AG1259" s="28"/>
      <c r="AH1259" s="28"/>
      <c r="AI1259" s="20" t="str">
        <f>IF(AG1259="","",IF($F1259="Bernardino Furlan",_xlfn.XLOOKUP(AG1259,Cadastros!$G$6:$G$90,Cadastros!$H$6:$H$90)*(1-0.18),IF($F1259="Mauro José Salanti",_xlfn.XLOOKUP(AG1259,Cadastros!$G$6:$G$90,Cadastros!$H$6:$H$90)*(1-0.18),_xlfn.XLOOKUP(AG1259,Cadastros!$G$6:$G$90,Cadastros!$H$6:$H$90))))</f>
        <v/>
      </c>
      <c r="AJ1259" s="168" t="str">
        <f t="shared" si="254"/>
        <v/>
      </c>
      <c r="AK1259" s="168" t="str">
        <f t="shared" si="255"/>
        <v/>
      </c>
      <c r="AL1259" s="28"/>
      <c r="AM1259" s="28"/>
      <c r="AN1259" s="20" t="str">
        <f>IF(AL1259="","",IF($F1259="Bernardino Furlan",_xlfn.XLOOKUP(AL1259,Cadastros!$G$6:$G$90,Cadastros!$H$6:$H$90)*(1-0.18),IF($F1259="Mauro José Salanti",_xlfn.XLOOKUP(AL1259,Cadastros!$G$6:$G$90,Cadastros!$H$6:$H$90)*(1-0.18),_xlfn.XLOOKUP(AL1259,Cadastros!$G$6:$G$90,Cadastros!$H$6:$H$90))))</f>
        <v/>
      </c>
      <c r="AO1259" s="168" t="str">
        <f t="shared" si="256"/>
        <v/>
      </c>
      <c r="AP1259" s="168" t="str">
        <f t="shared" si="257"/>
        <v/>
      </c>
      <c r="AQ1259" s="28"/>
      <c r="AR1259" s="28"/>
      <c r="AS1259" s="20" t="str">
        <f>IF(AQ1259="","",IF($F1259="Bernardino Furlan",_xlfn.XLOOKUP(AQ1259,Cadastros!$G$6:$G$90,Cadastros!$H$6:$H$90)*(1-0.18),IF($F1259="Mauro José Salanti",_xlfn.XLOOKUP(AQ1259,Cadastros!$G$6:$G$90,Cadastros!$H$6:$H$90)*(1-0.18),_xlfn.XLOOKUP(AQ1259,Cadastros!$G$6:$G$90,Cadastros!$H$6:$H$90))))</f>
        <v/>
      </c>
      <c r="AT1259" s="168" t="str">
        <f t="shared" si="258"/>
        <v/>
      </c>
      <c r="AU1259" s="168" t="str">
        <f t="shared" si="259"/>
        <v/>
      </c>
      <c r="AV1259" s="227"/>
      <c r="AW1259" s="30"/>
      <c r="AX1259" s="267"/>
      <c r="AY1259" s="267"/>
      <c r="AZ1259" s="29"/>
      <c r="BA1259" s="30"/>
      <c r="BB1259" s="23" t="str" cm="1">
        <f t="array" ref="BB1259">_xlfn.IFS(AW1259="SIM",SUM(K1259,P1259,U1259,Z1259,AE1259,AJ1259,AO1259,AT1259,AX1259,AY1259),F1259&lt;&gt;"",SUM(K1259,P1259,U1259,Z1259,AE1259,AJ1259,,AO1259,AT1259),F1259="","")</f>
        <v/>
      </c>
      <c r="BC1259" s="211" t="str" cm="1">
        <f t="array" ref="BC1259">_xlfn.IFS(E1259="","",G1259&lt;=E1259,BB1259*(1-0.03),G1259&lt;(E1259+8),BB1259,AZ1259="Boleto",BB1259*(1+0.001)^DATEDIF(E1259,G1259,"D"),AZ1259="Cheque",BB1259,AZ1259="Dinheiro","Alterar forma pgto")</f>
        <v/>
      </c>
      <c r="BD1259" s="276" t="str" cm="1">
        <f t="array" ref="BD1259">IF(F1259=0," ",IF(BC1259&lt;BB1259,(_xlfn.IFS(AW1259="SIM",SUM(L1259,Q1259,V1259,AA1259,AF1259,AK1259,AP1259,AU1259)+AX1259/_xlfn.XLOOKUP(_xlfn.XLOOKUP($F1259,Clientes!$B$4:$B$39,Clientes!$C$4:$C$39),Cadastros!$L$6:$L$12,Cadastros!$M$6:$M$12)+IF($F1259="Bernardino Furlan",AY1259/2751.92,IF($F1259="Mauro José Salanti",AY1259/2751.92,AY1259/3356)),F1259&lt;&gt;0,SUM(L1259,Q1259,V1259,AA1259,AF1259,AK1259,AP1259,AU1259)))*(1-0.03),_xlfn.IFS(AW1259="SIM",SUM(L1259,Q1259,V1259,AA1259,AF1259,AK1259,AP1259,AU1259)+AX1259/_xlfn.XLOOKUP(_xlfn.XLOOKUP($F1259,Clientes!$B$4:$B$39,Clientes!$C$4:$C$39),Cadastros!$L$6:$L$12,Cadastros!$M$6:$M$12)+IF($F1259="Bernardino Furlan",AY1259/2751.92,IF($F1259="Mauro José Salanti",AY1259/2751.92,AY1259/3356)),F1259&lt;&gt;0,SUM(L1259,Q1259,V1259,AA1259,AF1259,AK1259,AP1259,AU1259))))</f>
        <v xml:space="preserve"> </v>
      </c>
      <c r="BE1259" s="120"/>
      <c r="BF1259" s="120"/>
      <c r="BG1259" s="120"/>
    </row>
    <row r="1260" spans="1:59" s="3" customFormat="1" x14ac:dyDescent="0.3">
      <c r="A1260" s="15" t="str">
        <f t="shared" si="247"/>
        <v/>
      </c>
      <c r="B1260" s="25"/>
      <c r="C1260" s="26"/>
      <c r="D1260" s="279"/>
      <c r="E1260" s="27"/>
      <c r="F1260" s="28"/>
      <c r="G1260" s="27"/>
      <c r="H1260" s="28"/>
      <c r="I1260" s="28"/>
      <c r="J1260" s="255" t="str">
        <f>IF(H1260="","",(_xlfn.XLOOKUP(H1260,Cadastros!$D$6:$D$90,Cadastros!$E$6:$E$90))*(1-_xlfn.XLOOKUP(_xlfn.XLOOKUP($F1260,Clientes!$B$4:$B$39,Clientes!$C$4:$C$39),Cadastros!$L$6:$L$12,Cadastros!$N$6:$N$12)))</f>
        <v/>
      </c>
      <c r="K1260" s="168" t="str">
        <f t="shared" si="248"/>
        <v/>
      </c>
      <c r="L1260" s="168" t="str">
        <f>IFERROR(K1260/_xlfn.XLOOKUP(_xlfn.XLOOKUP($F1260,Clientes!$B$4:$B$39,Clientes!$C$4:$C$39),Cadastros!$L$6:$L$12,Cadastros!$M$6:$M$12)," ")</f>
        <v xml:space="preserve"> </v>
      </c>
      <c r="M1260" s="28"/>
      <c r="N1260" s="28"/>
      <c r="O1260" s="255" t="str">
        <f>IF(M1260="","",(_xlfn.XLOOKUP(M1260,Cadastros!$D$6:$D$90,Cadastros!$E$6:$E$90))*(1-_xlfn.XLOOKUP(_xlfn.XLOOKUP($F1260,Clientes!$B$4:$B$39,Clientes!$C$4:$C$39),Cadastros!$L$6:$L$12,Cadastros!$N$6:$N$12)))</f>
        <v/>
      </c>
      <c r="P1260" s="168" t="str">
        <f t="shared" si="249"/>
        <v/>
      </c>
      <c r="Q1260" s="168" t="str">
        <f>IFERROR(P1260/_xlfn.XLOOKUP(_xlfn.XLOOKUP($F1260,Clientes!$B$4:$B$39,Clientes!$C$4:$C$39),Cadastros!$L$6:$L$12,Cadastros!$M$6:$M$12)," ")</f>
        <v xml:space="preserve"> </v>
      </c>
      <c r="R1260" s="28"/>
      <c r="S1260" s="28"/>
      <c r="T1260" s="255" t="str">
        <f>IF(R1260="","",(_xlfn.XLOOKUP(R1260,Cadastros!$D$6:$D$90,Cadastros!$E$6:$E$90))*(1-_xlfn.XLOOKUP(_xlfn.XLOOKUP($F1260,Clientes!$B$4:$B$39,Clientes!$C$4:$C$39),Cadastros!$L$6:$L$12,Cadastros!$N$6:$N$12)))</f>
        <v/>
      </c>
      <c r="U1260" s="168" t="str">
        <f t="shared" si="250"/>
        <v/>
      </c>
      <c r="V1260" s="168" t="str">
        <f>IFERROR(U1260/_xlfn.XLOOKUP(_xlfn.XLOOKUP($F1260,Clientes!$B$4:$B$39,Clientes!$C$4:$C$39),Cadastros!$L$6:$L$12,Cadastros!$M$6:$M$12)," ")</f>
        <v xml:space="preserve"> </v>
      </c>
      <c r="W1260" s="28"/>
      <c r="X1260" s="28"/>
      <c r="Y1260" s="255" t="str">
        <f>IF(W1260="","",(_xlfn.XLOOKUP(W1260,Cadastros!$D$6:$D$90,Cadastros!$E$6:$E$90))*(1-_xlfn.XLOOKUP(_xlfn.XLOOKUP($F1260,Clientes!$B$4:$B$39,Clientes!$C$4:$C$39),Cadastros!$L$6:$L$12,Cadastros!$N$6:$N$12)))</f>
        <v/>
      </c>
      <c r="Z1260" s="168" t="str">
        <f t="shared" si="251"/>
        <v/>
      </c>
      <c r="AA1260" s="168" t="str">
        <f>IFERROR(Z1260/_xlfn.XLOOKUP(_xlfn.XLOOKUP($F1260,Clientes!$B$4:$B$39,Clientes!$C$4:$C$39),Cadastros!$L$6:$L$12,Cadastros!$M$6:$M$12)," ")</f>
        <v xml:space="preserve"> </v>
      </c>
      <c r="AB1260" s="28"/>
      <c r="AC1260" s="28"/>
      <c r="AD1260" s="20" t="str">
        <f>IF(AB1260="","",IF($F1260="Bernardino Furlan",_xlfn.XLOOKUP(AB1260,Cadastros!$G$6:$G$90,Cadastros!$H$6:$H$90)*(1-0.18),IF($F1260="Mauro José Salanti",_xlfn.XLOOKUP(AB1260,Cadastros!$G$6:$G$90,Cadastros!$H$6:$H$90)*(1-0.18),_xlfn.XLOOKUP(AB1260,Cadastros!$G$6:$G$90,Cadastros!$H$6:$H$90))))</f>
        <v/>
      </c>
      <c r="AE1260" s="168" t="str">
        <f t="shared" si="252"/>
        <v/>
      </c>
      <c r="AF1260" s="168" t="str">
        <f t="shared" si="253"/>
        <v/>
      </c>
      <c r="AG1260" s="28"/>
      <c r="AH1260" s="28"/>
      <c r="AI1260" s="20" t="str">
        <f>IF(AG1260="","",IF($F1260="Bernardino Furlan",_xlfn.XLOOKUP(AG1260,Cadastros!$G$6:$G$90,Cadastros!$H$6:$H$90)*(1-0.18),IF($F1260="Mauro José Salanti",_xlfn.XLOOKUP(AG1260,Cadastros!$G$6:$G$90,Cadastros!$H$6:$H$90)*(1-0.18),_xlfn.XLOOKUP(AG1260,Cadastros!$G$6:$G$90,Cadastros!$H$6:$H$90))))</f>
        <v/>
      </c>
      <c r="AJ1260" s="168" t="str">
        <f t="shared" si="254"/>
        <v/>
      </c>
      <c r="AK1260" s="168" t="str">
        <f t="shared" si="255"/>
        <v/>
      </c>
      <c r="AL1260" s="28"/>
      <c r="AM1260" s="28"/>
      <c r="AN1260" s="20" t="str">
        <f>IF(AL1260="","",IF($F1260="Bernardino Furlan",_xlfn.XLOOKUP(AL1260,Cadastros!$G$6:$G$90,Cadastros!$H$6:$H$90)*(1-0.18),IF($F1260="Mauro José Salanti",_xlfn.XLOOKUP(AL1260,Cadastros!$G$6:$G$90,Cadastros!$H$6:$H$90)*(1-0.18),_xlfn.XLOOKUP(AL1260,Cadastros!$G$6:$G$90,Cadastros!$H$6:$H$90))))</f>
        <v/>
      </c>
      <c r="AO1260" s="168" t="str">
        <f t="shared" si="256"/>
        <v/>
      </c>
      <c r="AP1260" s="168" t="str">
        <f t="shared" si="257"/>
        <v/>
      </c>
      <c r="AQ1260" s="28"/>
      <c r="AR1260" s="28"/>
      <c r="AS1260" s="20" t="str">
        <f>IF(AQ1260="","",IF($F1260="Bernardino Furlan",_xlfn.XLOOKUP(AQ1260,Cadastros!$G$6:$G$90,Cadastros!$H$6:$H$90)*(1-0.18),IF($F1260="Mauro José Salanti",_xlfn.XLOOKUP(AQ1260,Cadastros!$G$6:$G$90,Cadastros!$H$6:$H$90)*(1-0.18),_xlfn.XLOOKUP(AQ1260,Cadastros!$G$6:$G$90,Cadastros!$H$6:$H$90))))</f>
        <v/>
      </c>
      <c r="AT1260" s="168" t="str">
        <f t="shared" si="258"/>
        <v/>
      </c>
      <c r="AU1260" s="168" t="str">
        <f t="shared" si="259"/>
        <v/>
      </c>
      <c r="AV1260" s="227"/>
      <c r="AW1260" s="30"/>
      <c r="AX1260" s="267"/>
      <c r="AY1260" s="267"/>
      <c r="AZ1260" s="29"/>
      <c r="BA1260" s="30"/>
      <c r="BB1260" s="23" t="str" cm="1">
        <f t="array" ref="BB1260">_xlfn.IFS(AW1260="SIM",SUM(K1260,P1260,U1260,Z1260,AE1260,AJ1260,AO1260,AT1260,AX1260,AY1260),F1260&lt;&gt;"",SUM(K1260,P1260,U1260,Z1260,AE1260,AJ1260,,AO1260,AT1260),F1260="","")</f>
        <v/>
      </c>
      <c r="BC1260" s="211" t="str" cm="1">
        <f t="array" ref="BC1260">_xlfn.IFS(E1260="","",G1260&lt;=E1260,BB1260*(1-0.03),G1260&lt;(E1260+8),BB1260,AZ1260="Boleto",BB1260*(1+0.001)^DATEDIF(E1260,G1260,"D"),AZ1260="Cheque",BB1260,AZ1260="Dinheiro","Alterar forma pgto")</f>
        <v/>
      </c>
      <c r="BD1260" s="276" t="str" cm="1">
        <f t="array" ref="BD1260">IF(F1260=0," ",IF(BC1260&lt;BB1260,(_xlfn.IFS(AW1260="SIM",SUM(L1260,Q1260,V1260,AA1260,AF1260,AK1260,AP1260,AU1260)+AX1260/_xlfn.XLOOKUP(_xlfn.XLOOKUP($F1260,Clientes!$B$4:$B$39,Clientes!$C$4:$C$39),Cadastros!$L$6:$L$12,Cadastros!$M$6:$M$12)+IF($F1260="Bernardino Furlan",AY1260/2751.92,IF($F1260="Mauro José Salanti",AY1260/2751.92,AY1260/3356)),F1260&lt;&gt;0,SUM(L1260,Q1260,V1260,AA1260,AF1260,AK1260,AP1260,AU1260)))*(1-0.03),_xlfn.IFS(AW1260="SIM",SUM(L1260,Q1260,V1260,AA1260,AF1260,AK1260,AP1260,AU1260)+AX1260/_xlfn.XLOOKUP(_xlfn.XLOOKUP($F1260,Clientes!$B$4:$B$39,Clientes!$C$4:$C$39),Cadastros!$L$6:$L$12,Cadastros!$M$6:$M$12)+IF($F1260="Bernardino Furlan",AY1260/2751.92,IF($F1260="Mauro José Salanti",AY1260/2751.92,AY1260/3356)),F1260&lt;&gt;0,SUM(L1260,Q1260,V1260,AA1260,AF1260,AK1260,AP1260,AU1260))))</f>
        <v xml:space="preserve"> </v>
      </c>
      <c r="BE1260" s="120"/>
      <c r="BF1260" s="120"/>
      <c r="BG1260" s="120"/>
    </row>
    <row r="1261" spans="1:59" s="3" customFormat="1" x14ac:dyDescent="0.3">
      <c r="A1261" s="15" t="str">
        <f t="shared" si="247"/>
        <v/>
      </c>
      <c r="B1261" s="25"/>
      <c r="C1261" s="26"/>
      <c r="D1261" s="279"/>
      <c r="E1261" s="27"/>
      <c r="F1261" s="28"/>
      <c r="G1261" s="27"/>
      <c r="H1261" s="28"/>
      <c r="I1261" s="28"/>
      <c r="J1261" s="255" t="str">
        <f>IF(H1261="","",(_xlfn.XLOOKUP(H1261,Cadastros!$D$6:$D$90,Cadastros!$E$6:$E$90))*(1-_xlfn.XLOOKUP(_xlfn.XLOOKUP($F1261,Clientes!$B$4:$B$39,Clientes!$C$4:$C$39),Cadastros!$L$6:$L$12,Cadastros!$N$6:$N$12)))</f>
        <v/>
      </c>
      <c r="K1261" s="168" t="str">
        <f t="shared" si="248"/>
        <v/>
      </c>
      <c r="L1261" s="168" t="str">
        <f>IFERROR(K1261/_xlfn.XLOOKUP(_xlfn.XLOOKUP($F1261,Clientes!$B$4:$B$39,Clientes!$C$4:$C$39),Cadastros!$L$6:$L$12,Cadastros!$M$6:$M$12)," ")</f>
        <v xml:space="preserve"> </v>
      </c>
      <c r="M1261" s="28"/>
      <c r="N1261" s="28"/>
      <c r="O1261" s="255" t="str">
        <f>IF(M1261="","",(_xlfn.XLOOKUP(M1261,Cadastros!$D$6:$D$90,Cadastros!$E$6:$E$90))*(1-_xlfn.XLOOKUP(_xlfn.XLOOKUP($F1261,Clientes!$B$4:$B$39,Clientes!$C$4:$C$39),Cadastros!$L$6:$L$12,Cadastros!$N$6:$N$12)))</f>
        <v/>
      </c>
      <c r="P1261" s="168" t="str">
        <f t="shared" si="249"/>
        <v/>
      </c>
      <c r="Q1261" s="168" t="str">
        <f>IFERROR(P1261/_xlfn.XLOOKUP(_xlfn.XLOOKUP($F1261,Clientes!$B$4:$B$39,Clientes!$C$4:$C$39),Cadastros!$L$6:$L$12,Cadastros!$M$6:$M$12)," ")</f>
        <v xml:space="preserve"> </v>
      </c>
      <c r="R1261" s="28"/>
      <c r="S1261" s="28"/>
      <c r="T1261" s="255" t="str">
        <f>IF(R1261="","",(_xlfn.XLOOKUP(R1261,Cadastros!$D$6:$D$90,Cadastros!$E$6:$E$90))*(1-_xlfn.XLOOKUP(_xlfn.XLOOKUP($F1261,Clientes!$B$4:$B$39,Clientes!$C$4:$C$39),Cadastros!$L$6:$L$12,Cadastros!$N$6:$N$12)))</f>
        <v/>
      </c>
      <c r="U1261" s="168" t="str">
        <f t="shared" si="250"/>
        <v/>
      </c>
      <c r="V1261" s="168" t="str">
        <f>IFERROR(U1261/_xlfn.XLOOKUP(_xlfn.XLOOKUP($F1261,Clientes!$B$4:$B$39,Clientes!$C$4:$C$39),Cadastros!$L$6:$L$12,Cadastros!$M$6:$M$12)," ")</f>
        <v xml:space="preserve"> </v>
      </c>
      <c r="W1261" s="28"/>
      <c r="X1261" s="28"/>
      <c r="Y1261" s="255" t="str">
        <f>IF(W1261="","",(_xlfn.XLOOKUP(W1261,Cadastros!$D$6:$D$90,Cadastros!$E$6:$E$90))*(1-_xlfn.XLOOKUP(_xlfn.XLOOKUP($F1261,Clientes!$B$4:$B$39,Clientes!$C$4:$C$39),Cadastros!$L$6:$L$12,Cadastros!$N$6:$N$12)))</f>
        <v/>
      </c>
      <c r="Z1261" s="168" t="str">
        <f t="shared" si="251"/>
        <v/>
      </c>
      <c r="AA1261" s="168" t="str">
        <f>IFERROR(Z1261/_xlfn.XLOOKUP(_xlfn.XLOOKUP($F1261,Clientes!$B$4:$B$39,Clientes!$C$4:$C$39),Cadastros!$L$6:$L$12,Cadastros!$M$6:$M$12)," ")</f>
        <v xml:space="preserve"> </v>
      </c>
      <c r="AB1261" s="28"/>
      <c r="AC1261" s="28"/>
      <c r="AD1261" s="20" t="str">
        <f>IF(AB1261="","",IF($F1261="Bernardino Furlan",_xlfn.XLOOKUP(AB1261,Cadastros!$G$6:$G$90,Cadastros!$H$6:$H$90)*(1-0.18),IF($F1261="Mauro José Salanti",_xlfn.XLOOKUP(AB1261,Cadastros!$G$6:$G$90,Cadastros!$H$6:$H$90)*(1-0.18),_xlfn.XLOOKUP(AB1261,Cadastros!$G$6:$G$90,Cadastros!$H$6:$H$90))))</f>
        <v/>
      </c>
      <c r="AE1261" s="168" t="str">
        <f t="shared" si="252"/>
        <v/>
      </c>
      <c r="AF1261" s="168" t="str">
        <f t="shared" si="253"/>
        <v/>
      </c>
      <c r="AG1261" s="28"/>
      <c r="AH1261" s="28"/>
      <c r="AI1261" s="20" t="str">
        <f>IF(AG1261="","",IF($F1261="Bernardino Furlan",_xlfn.XLOOKUP(AG1261,Cadastros!$G$6:$G$90,Cadastros!$H$6:$H$90)*(1-0.18),IF($F1261="Mauro José Salanti",_xlfn.XLOOKUP(AG1261,Cadastros!$G$6:$G$90,Cadastros!$H$6:$H$90)*(1-0.18),_xlfn.XLOOKUP(AG1261,Cadastros!$G$6:$G$90,Cadastros!$H$6:$H$90))))</f>
        <v/>
      </c>
      <c r="AJ1261" s="168" t="str">
        <f t="shared" si="254"/>
        <v/>
      </c>
      <c r="AK1261" s="168" t="str">
        <f t="shared" si="255"/>
        <v/>
      </c>
      <c r="AL1261" s="28"/>
      <c r="AM1261" s="28"/>
      <c r="AN1261" s="20" t="str">
        <f>IF(AL1261="","",IF($F1261="Bernardino Furlan",_xlfn.XLOOKUP(AL1261,Cadastros!$G$6:$G$90,Cadastros!$H$6:$H$90)*(1-0.18),IF($F1261="Mauro José Salanti",_xlfn.XLOOKUP(AL1261,Cadastros!$G$6:$G$90,Cadastros!$H$6:$H$90)*(1-0.18),_xlfn.XLOOKUP(AL1261,Cadastros!$G$6:$G$90,Cadastros!$H$6:$H$90))))</f>
        <v/>
      </c>
      <c r="AO1261" s="168" t="str">
        <f t="shared" si="256"/>
        <v/>
      </c>
      <c r="AP1261" s="168" t="str">
        <f t="shared" si="257"/>
        <v/>
      </c>
      <c r="AQ1261" s="28"/>
      <c r="AR1261" s="28"/>
      <c r="AS1261" s="20" t="str">
        <f>IF(AQ1261="","",IF($F1261="Bernardino Furlan",_xlfn.XLOOKUP(AQ1261,Cadastros!$G$6:$G$90,Cadastros!$H$6:$H$90)*(1-0.18),IF($F1261="Mauro José Salanti",_xlfn.XLOOKUP(AQ1261,Cadastros!$G$6:$G$90,Cadastros!$H$6:$H$90)*(1-0.18),_xlfn.XLOOKUP(AQ1261,Cadastros!$G$6:$G$90,Cadastros!$H$6:$H$90))))</f>
        <v/>
      </c>
      <c r="AT1261" s="168" t="str">
        <f t="shared" si="258"/>
        <v/>
      </c>
      <c r="AU1261" s="168" t="str">
        <f t="shared" si="259"/>
        <v/>
      </c>
      <c r="AV1261" s="227"/>
      <c r="AW1261" s="30"/>
      <c r="AX1261" s="267"/>
      <c r="AY1261" s="267"/>
      <c r="AZ1261" s="29"/>
      <c r="BA1261" s="30"/>
      <c r="BB1261" s="23" t="str" cm="1">
        <f t="array" ref="BB1261">_xlfn.IFS(AW1261="SIM",SUM(K1261,P1261,U1261,Z1261,AE1261,AJ1261,AO1261,AT1261,AX1261,AY1261),F1261&lt;&gt;"",SUM(K1261,P1261,U1261,Z1261,AE1261,AJ1261,,AO1261,AT1261),F1261="","")</f>
        <v/>
      </c>
      <c r="BC1261" s="211" t="str" cm="1">
        <f t="array" ref="BC1261">_xlfn.IFS(E1261="","",G1261&lt;=E1261,BB1261*(1-0.03),G1261&lt;(E1261+8),BB1261,AZ1261="Boleto",BB1261*(1+0.001)^DATEDIF(E1261,G1261,"D"),AZ1261="Cheque",BB1261,AZ1261="Dinheiro","Alterar forma pgto")</f>
        <v/>
      </c>
      <c r="BD1261" s="276" t="str" cm="1">
        <f t="array" ref="BD1261">IF(F1261=0," ",IF(BC1261&lt;BB1261,(_xlfn.IFS(AW1261="SIM",SUM(L1261,Q1261,V1261,AA1261,AF1261,AK1261,AP1261,AU1261)+AX1261/_xlfn.XLOOKUP(_xlfn.XLOOKUP($F1261,Clientes!$B$4:$B$39,Clientes!$C$4:$C$39),Cadastros!$L$6:$L$12,Cadastros!$M$6:$M$12)+IF($F1261="Bernardino Furlan",AY1261/2751.92,IF($F1261="Mauro José Salanti",AY1261/2751.92,AY1261/3356)),F1261&lt;&gt;0,SUM(L1261,Q1261,V1261,AA1261,AF1261,AK1261,AP1261,AU1261)))*(1-0.03),_xlfn.IFS(AW1261="SIM",SUM(L1261,Q1261,V1261,AA1261,AF1261,AK1261,AP1261,AU1261)+AX1261/_xlfn.XLOOKUP(_xlfn.XLOOKUP($F1261,Clientes!$B$4:$B$39,Clientes!$C$4:$C$39),Cadastros!$L$6:$L$12,Cadastros!$M$6:$M$12)+IF($F1261="Bernardino Furlan",AY1261/2751.92,IF($F1261="Mauro José Salanti",AY1261/2751.92,AY1261/3356)),F1261&lt;&gt;0,SUM(L1261,Q1261,V1261,AA1261,AF1261,AK1261,AP1261,AU1261))))</f>
        <v xml:space="preserve"> </v>
      </c>
      <c r="BE1261" s="120"/>
      <c r="BF1261" s="120"/>
      <c r="BG1261" s="120"/>
    </row>
    <row r="1262" spans="1:59" s="3" customFormat="1" x14ac:dyDescent="0.3">
      <c r="A1262" s="15" t="str">
        <f t="shared" si="247"/>
        <v/>
      </c>
      <c r="B1262" s="25"/>
      <c r="C1262" s="26"/>
      <c r="D1262" s="279"/>
      <c r="E1262" s="27"/>
      <c r="F1262" s="28"/>
      <c r="G1262" s="27"/>
      <c r="H1262" s="28"/>
      <c r="I1262" s="28"/>
      <c r="J1262" s="255" t="str">
        <f>IF(H1262="","",(_xlfn.XLOOKUP(H1262,Cadastros!$D$6:$D$90,Cadastros!$E$6:$E$90))*(1-_xlfn.XLOOKUP(_xlfn.XLOOKUP($F1262,Clientes!$B$4:$B$39,Clientes!$C$4:$C$39),Cadastros!$L$6:$L$12,Cadastros!$N$6:$N$12)))</f>
        <v/>
      </c>
      <c r="K1262" s="168" t="str">
        <f t="shared" si="248"/>
        <v/>
      </c>
      <c r="L1262" s="168" t="str">
        <f>IFERROR(K1262/_xlfn.XLOOKUP(_xlfn.XLOOKUP($F1262,Clientes!$B$4:$B$39,Clientes!$C$4:$C$39),Cadastros!$L$6:$L$12,Cadastros!$M$6:$M$12)," ")</f>
        <v xml:space="preserve"> </v>
      </c>
      <c r="M1262" s="28"/>
      <c r="N1262" s="28"/>
      <c r="O1262" s="255" t="str">
        <f>IF(M1262="","",(_xlfn.XLOOKUP(M1262,Cadastros!$D$6:$D$90,Cadastros!$E$6:$E$90))*(1-_xlfn.XLOOKUP(_xlfn.XLOOKUP($F1262,Clientes!$B$4:$B$39,Clientes!$C$4:$C$39),Cadastros!$L$6:$L$12,Cadastros!$N$6:$N$12)))</f>
        <v/>
      </c>
      <c r="P1262" s="168" t="str">
        <f t="shared" si="249"/>
        <v/>
      </c>
      <c r="Q1262" s="168" t="str">
        <f>IFERROR(P1262/_xlfn.XLOOKUP(_xlfn.XLOOKUP($F1262,Clientes!$B$4:$B$39,Clientes!$C$4:$C$39),Cadastros!$L$6:$L$12,Cadastros!$M$6:$M$12)," ")</f>
        <v xml:space="preserve"> </v>
      </c>
      <c r="R1262" s="28"/>
      <c r="S1262" s="28"/>
      <c r="T1262" s="255" t="str">
        <f>IF(R1262="","",(_xlfn.XLOOKUP(R1262,Cadastros!$D$6:$D$90,Cadastros!$E$6:$E$90))*(1-_xlfn.XLOOKUP(_xlfn.XLOOKUP($F1262,Clientes!$B$4:$B$39,Clientes!$C$4:$C$39),Cadastros!$L$6:$L$12,Cadastros!$N$6:$N$12)))</f>
        <v/>
      </c>
      <c r="U1262" s="168" t="str">
        <f t="shared" si="250"/>
        <v/>
      </c>
      <c r="V1262" s="168" t="str">
        <f>IFERROR(U1262/_xlfn.XLOOKUP(_xlfn.XLOOKUP($F1262,Clientes!$B$4:$B$39,Clientes!$C$4:$C$39),Cadastros!$L$6:$L$12,Cadastros!$M$6:$M$12)," ")</f>
        <v xml:space="preserve"> </v>
      </c>
      <c r="W1262" s="28"/>
      <c r="X1262" s="28"/>
      <c r="Y1262" s="255" t="str">
        <f>IF(W1262="","",(_xlfn.XLOOKUP(W1262,Cadastros!$D$6:$D$90,Cadastros!$E$6:$E$90))*(1-_xlfn.XLOOKUP(_xlfn.XLOOKUP($F1262,Clientes!$B$4:$B$39,Clientes!$C$4:$C$39),Cadastros!$L$6:$L$12,Cadastros!$N$6:$N$12)))</f>
        <v/>
      </c>
      <c r="Z1262" s="168" t="str">
        <f t="shared" si="251"/>
        <v/>
      </c>
      <c r="AA1262" s="168" t="str">
        <f>IFERROR(Z1262/_xlfn.XLOOKUP(_xlfn.XLOOKUP($F1262,Clientes!$B$4:$B$39,Clientes!$C$4:$C$39),Cadastros!$L$6:$L$12,Cadastros!$M$6:$M$12)," ")</f>
        <v xml:space="preserve"> </v>
      </c>
      <c r="AB1262" s="28"/>
      <c r="AC1262" s="28"/>
      <c r="AD1262" s="20" t="str">
        <f>IF(AB1262="","",IF($F1262="Bernardino Furlan",_xlfn.XLOOKUP(AB1262,Cadastros!$G$6:$G$90,Cadastros!$H$6:$H$90)*(1-0.18),IF($F1262="Mauro José Salanti",_xlfn.XLOOKUP(AB1262,Cadastros!$G$6:$G$90,Cadastros!$H$6:$H$90)*(1-0.18),_xlfn.XLOOKUP(AB1262,Cadastros!$G$6:$G$90,Cadastros!$H$6:$H$90))))</f>
        <v/>
      </c>
      <c r="AE1262" s="168" t="str">
        <f t="shared" si="252"/>
        <v/>
      </c>
      <c r="AF1262" s="168" t="str">
        <f t="shared" si="253"/>
        <v/>
      </c>
      <c r="AG1262" s="28"/>
      <c r="AH1262" s="28"/>
      <c r="AI1262" s="20" t="str">
        <f>IF(AG1262="","",IF($F1262="Bernardino Furlan",_xlfn.XLOOKUP(AG1262,Cadastros!$G$6:$G$90,Cadastros!$H$6:$H$90)*(1-0.18),IF($F1262="Mauro José Salanti",_xlfn.XLOOKUP(AG1262,Cadastros!$G$6:$G$90,Cadastros!$H$6:$H$90)*(1-0.18),_xlfn.XLOOKUP(AG1262,Cadastros!$G$6:$G$90,Cadastros!$H$6:$H$90))))</f>
        <v/>
      </c>
      <c r="AJ1262" s="168" t="str">
        <f t="shared" si="254"/>
        <v/>
      </c>
      <c r="AK1262" s="168" t="str">
        <f t="shared" si="255"/>
        <v/>
      </c>
      <c r="AL1262" s="28"/>
      <c r="AM1262" s="28"/>
      <c r="AN1262" s="20" t="str">
        <f>IF(AL1262="","",IF($F1262="Bernardino Furlan",_xlfn.XLOOKUP(AL1262,Cadastros!$G$6:$G$90,Cadastros!$H$6:$H$90)*(1-0.18),IF($F1262="Mauro José Salanti",_xlfn.XLOOKUP(AL1262,Cadastros!$G$6:$G$90,Cadastros!$H$6:$H$90)*(1-0.18),_xlfn.XLOOKUP(AL1262,Cadastros!$G$6:$G$90,Cadastros!$H$6:$H$90))))</f>
        <v/>
      </c>
      <c r="AO1262" s="168" t="str">
        <f t="shared" si="256"/>
        <v/>
      </c>
      <c r="AP1262" s="168" t="str">
        <f t="shared" si="257"/>
        <v/>
      </c>
      <c r="AQ1262" s="28"/>
      <c r="AR1262" s="28"/>
      <c r="AS1262" s="20" t="str">
        <f>IF(AQ1262="","",IF($F1262="Bernardino Furlan",_xlfn.XLOOKUP(AQ1262,Cadastros!$G$6:$G$90,Cadastros!$H$6:$H$90)*(1-0.18),IF($F1262="Mauro José Salanti",_xlfn.XLOOKUP(AQ1262,Cadastros!$G$6:$G$90,Cadastros!$H$6:$H$90)*(1-0.18),_xlfn.XLOOKUP(AQ1262,Cadastros!$G$6:$G$90,Cadastros!$H$6:$H$90))))</f>
        <v/>
      </c>
      <c r="AT1262" s="168" t="str">
        <f t="shared" si="258"/>
        <v/>
      </c>
      <c r="AU1262" s="168" t="str">
        <f t="shared" si="259"/>
        <v/>
      </c>
      <c r="AV1262" s="227"/>
      <c r="AW1262" s="30"/>
      <c r="AX1262" s="267"/>
      <c r="AY1262" s="267"/>
      <c r="AZ1262" s="29"/>
      <c r="BA1262" s="30"/>
      <c r="BB1262" s="23" t="str" cm="1">
        <f t="array" ref="BB1262">_xlfn.IFS(AW1262="SIM",SUM(K1262,P1262,U1262,Z1262,AE1262,AJ1262,AO1262,AT1262,AX1262,AY1262),F1262&lt;&gt;"",SUM(K1262,P1262,U1262,Z1262,AE1262,AJ1262,,AO1262,AT1262),F1262="","")</f>
        <v/>
      </c>
      <c r="BC1262" s="211" t="str" cm="1">
        <f t="array" ref="BC1262">_xlfn.IFS(E1262="","",G1262&lt;=E1262,BB1262*(1-0.03),G1262&lt;(E1262+8),BB1262,AZ1262="Boleto",BB1262*(1+0.001)^DATEDIF(E1262,G1262,"D"),AZ1262="Cheque",BB1262,AZ1262="Dinheiro","Alterar forma pgto")</f>
        <v/>
      </c>
      <c r="BD1262" s="276" t="str" cm="1">
        <f t="array" ref="BD1262">IF(F1262=0," ",IF(BC1262&lt;BB1262,(_xlfn.IFS(AW1262="SIM",SUM(L1262,Q1262,V1262,AA1262,AF1262,AK1262,AP1262,AU1262)+AX1262/_xlfn.XLOOKUP(_xlfn.XLOOKUP($F1262,Clientes!$B$4:$B$39,Clientes!$C$4:$C$39),Cadastros!$L$6:$L$12,Cadastros!$M$6:$M$12)+IF($F1262="Bernardino Furlan",AY1262/2751.92,IF($F1262="Mauro José Salanti",AY1262/2751.92,AY1262/3356)),F1262&lt;&gt;0,SUM(L1262,Q1262,V1262,AA1262,AF1262,AK1262,AP1262,AU1262)))*(1-0.03),_xlfn.IFS(AW1262="SIM",SUM(L1262,Q1262,V1262,AA1262,AF1262,AK1262,AP1262,AU1262)+AX1262/_xlfn.XLOOKUP(_xlfn.XLOOKUP($F1262,Clientes!$B$4:$B$39,Clientes!$C$4:$C$39),Cadastros!$L$6:$L$12,Cadastros!$M$6:$M$12)+IF($F1262="Bernardino Furlan",AY1262/2751.92,IF($F1262="Mauro José Salanti",AY1262/2751.92,AY1262/3356)),F1262&lt;&gt;0,SUM(L1262,Q1262,V1262,AA1262,AF1262,AK1262,AP1262,AU1262))))</f>
        <v xml:space="preserve"> </v>
      </c>
      <c r="BE1262" s="120"/>
      <c r="BF1262" s="120"/>
      <c r="BG1262" s="120"/>
    </row>
    <row r="1263" spans="1:59" s="3" customFormat="1" x14ac:dyDescent="0.3">
      <c r="A1263" s="15" t="str">
        <f t="shared" si="247"/>
        <v/>
      </c>
      <c r="B1263" s="25"/>
      <c r="C1263" s="26"/>
      <c r="D1263" s="279"/>
      <c r="E1263" s="27"/>
      <c r="F1263" s="28"/>
      <c r="G1263" s="27"/>
      <c r="H1263" s="28"/>
      <c r="I1263" s="28"/>
      <c r="J1263" s="255" t="str">
        <f>IF(H1263="","",(_xlfn.XLOOKUP(H1263,Cadastros!$D$6:$D$90,Cadastros!$E$6:$E$90))*(1-_xlfn.XLOOKUP(_xlfn.XLOOKUP($F1263,Clientes!$B$4:$B$39,Clientes!$C$4:$C$39),Cadastros!$L$6:$L$12,Cadastros!$N$6:$N$12)))</f>
        <v/>
      </c>
      <c r="K1263" s="168" t="str">
        <f t="shared" si="248"/>
        <v/>
      </c>
      <c r="L1263" s="168" t="str">
        <f>IFERROR(K1263/_xlfn.XLOOKUP(_xlfn.XLOOKUP($F1263,Clientes!$B$4:$B$39,Clientes!$C$4:$C$39),Cadastros!$L$6:$L$12,Cadastros!$M$6:$M$12)," ")</f>
        <v xml:space="preserve"> </v>
      </c>
      <c r="M1263" s="28"/>
      <c r="N1263" s="28"/>
      <c r="O1263" s="255" t="str">
        <f>IF(M1263="","",(_xlfn.XLOOKUP(M1263,Cadastros!$D$6:$D$90,Cadastros!$E$6:$E$90))*(1-_xlfn.XLOOKUP(_xlfn.XLOOKUP($F1263,Clientes!$B$4:$B$39,Clientes!$C$4:$C$39),Cadastros!$L$6:$L$12,Cadastros!$N$6:$N$12)))</f>
        <v/>
      </c>
      <c r="P1263" s="168" t="str">
        <f t="shared" si="249"/>
        <v/>
      </c>
      <c r="Q1263" s="168" t="str">
        <f>IFERROR(P1263/_xlfn.XLOOKUP(_xlfn.XLOOKUP($F1263,Clientes!$B$4:$B$39,Clientes!$C$4:$C$39),Cadastros!$L$6:$L$12,Cadastros!$M$6:$M$12)," ")</f>
        <v xml:space="preserve"> </v>
      </c>
      <c r="R1263" s="28"/>
      <c r="S1263" s="28"/>
      <c r="T1263" s="255" t="str">
        <f>IF(R1263="","",(_xlfn.XLOOKUP(R1263,Cadastros!$D$6:$D$90,Cadastros!$E$6:$E$90))*(1-_xlfn.XLOOKUP(_xlfn.XLOOKUP($F1263,Clientes!$B$4:$B$39,Clientes!$C$4:$C$39),Cadastros!$L$6:$L$12,Cadastros!$N$6:$N$12)))</f>
        <v/>
      </c>
      <c r="U1263" s="168" t="str">
        <f t="shared" si="250"/>
        <v/>
      </c>
      <c r="V1263" s="168" t="str">
        <f>IFERROR(U1263/_xlfn.XLOOKUP(_xlfn.XLOOKUP($F1263,Clientes!$B$4:$B$39,Clientes!$C$4:$C$39),Cadastros!$L$6:$L$12,Cadastros!$M$6:$M$12)," ")</f>
        <v xml:space="preserve"> </v>
      </c>
      <c r="W1263" s="28"/>
      <c r="X1263" s="28"/>
      <c r="Y1263" s="255" t="str">
        <f>IF(W1263="","",(_xlfn.XLOOKUP(W1263,Cadastros!$D$6:$D$90,Cadastros!$E$6:$E$90))*(1-_xlfn.XLOOKUP(_xlfn.XLOOKUP($F1263,Clientes!$B$4:$B$39,Clientes!$C$4:$C$39),Cadastros!$L$6:$L$12,Cadastros!$N$6:$N$12)))</f>
        <v/>
      </c>
      <c r="Z1263" s="168" t="str">
        <f t="shared" si="251"/>
        <v/>
      </c>
      <c r="AA1263" s="168" t="str">
        <f>IFERROR(Z1263/_xlfn.XLOOKUP(_xlfn.XLOOKUP($F1263,Clientes!$B$4:$B$39,Clientes!$C$4:$C$39),Cadastros!$L$6:$L$12,Cadastros!$M$6:$M$12)," ")</f>
        <v xml:space="preserve"> </v>
      </c>
      <c r="AB1263" s="28"/>
      <c r="AC1263" s="28"/>
      <c r="AD1263" s="20" t="str">
        <f>IF(AB1263="","",IF($F1263="Bernardino Furlan",_xlfn.XLOOKUP(AB1263,Cadastros!$G$6:$G$90,Cadastros!$H$6:$H$90)*(1-0.18),IF($F1263="Mauro José Salanti",_xlfn.XLOOKUP(AB1263,Cadastros!$G$6:$G$90,Cadastros!$H$6:$H$90)*(1-0.18),_xlfn.XLOOKUP(AB1263,Cadastros!$G$6:$G$90,Cadastros!$H$6:$H$90))))</f>
        <v/>
      </c>
      <c r="AE1263" s="168" t="str">
        <f t="shared" si="252"/>
        <v/>
      </c>
      <c r="AF1263" s="168" t="str">
        <f t="shared" si="253"/>
        <v/>
      </c>
      <c r="AG1263" s="28"/>
      <c r="AH1263" s="28"/>
      <c r="AI1263" s="20" t="str">
        <f>IF(AG1263="","",IF($F1263="Bernardino Furlan",_xlfn.XLOOKUP(AG1263,Cadastros!$G$6:$G$90,Cadastros!$H$6:$H$90)*(1-0.18),IF($F1263="Mauro José Salanti",_xlfn.XLOOKUP(AG1263,Cadastros!$G$6:$G$90,Cadastros!$H$6:$H$90)*(1-0.18),_xlfn.XLOOKUP(AG1263,Cadastros!$G$6:$G$90,Cadastros!$H$6:$H$90))))</f>
        <v/>
      </c>
      <c r="AJ1263" s="168" t="str">
        <f t="shared" si="254"/>
        <v/>
      </c>
      <c r="AK1263" s="168" t="str">
        <f t="shared" si="255"/>
        <v/>
      </c>
      <c r="AL1263" s="28"/>
      <c r="AM1263" s="28"/>
      <c r="AN1263" s="20" t="str">
        <f>IF(AL1263="","",IF($F1263="Bernardino Furlan",_xlfn.XLOOKUP(AL1263,Cadastros!$G$6:$G$90,Cadastros!$H$6:$H$90)*(1-0.18),IF($F1263="Mauro José Salanti",_xlfn.XLOOKUP(AL1263,Cadastros!$G$6:$G$90,Cadastros!$H$6:$H$90)*(1-0.18),_xlfn.XLOOKUP(AL1263,Cadastros!$G$6:$G$90,Cadastros!$H$6:$H$90))))</f>
        <v/>
      </c>
      <c r="AO1263" s="168" t="str">
        <f t="shared" si="256"/>
        <v/>
      </c>
      <c r="AP1263" s="168" t="str">
        <f t="shared" si="257"/>
        <v/>
      </c>
      <c r="AQ1263" s="28"/>
      <c r="AR1263" s="28"/>
      <c r="AS1263" s="20" t="str">
        <f>IF(AQ1263="","",IF($F1263="Bernardino Furlan",_xlfn.XLOOKUP(AQ1263,Cadastros!$G$6:$G$90,Cadastros!$H$6:$H$90)*(1-0.18),IF($F1263="Mauro José Salanti",_xlfn.XLOOKUP(AQ1263,Cadastros!$G$6:$G$90,Cadastros!$H$6:$H$90)*(1-0.18),_xlfn.XLOOKUP(AQ1263,Cadastros!$G$6:$G$90,Cadastros!$H$6:$H$90))))</f>
        <v/>
      </c>
      <c r="AT1263" s="168" t="str">
        <f t="shared" si="258"/>
        <v/>
      </c>
      <c r="AU1263" s="168" t="str">
        <f t="shared" si="259"/>
        <v/>
      </c>
      <c r="AV1263" s="227"/>
      <c r="AW1263" s="30"/>
      <c r="AX1263" s="267"/>
      <c r="AY1263" s="267"/>
      <c r="AZ1263" s="29"/>
      <c r="BA1263" s="30"/>
      <c r="BB1263" s="23" t="str" cm="1">
        <f t="array" ref="BB1263">_xlfn.IFS(AW1263="SIM",SUM(K1263,P1263,U1263,Z1263,AE1263,AJ1263,AO1263,AT1263,AX1263,AY1263),F1263&lt;&gt;"",SUM(K1263,P1263,U1263,Z1263,AE1263,AJ1263,,AO1263,AT1263),F1263="","")</f>
        <v/>
      </c>
      <c r="BC1263" s="211" t="str" cm="1">
        <f t="array" ref="BC1263">_xlfn.IFS(E1263="","",G1263&lt;=E1263,BB1263*(1-0.03),G1263&lt;(E1263+8),BB1263,AZ1263="Boleto",BB1263*(1+0.001)^DATEDIF(E1263,G1263,"D"),AZ1263="Cheque",BB1263,AZ1263="Dinheiro","Alterar forma pgto")</f>
        <v/>
      </c>
      <c r="BD1263" s="276" t="str" cm="1">
        <f t="array" ref="BD1263">IF(F1263=0," ",IF(BC1263&lt;BB1263,(_xlfn.IFS(AW1263="SIM",SUM(L1263,Q1263,V1263,AA1263,AF1263,AK1263,AP1263,AU1263)+AX1263/_xlfn.XLOOKUP(_xlfn.XLOOKUP($F1263,Clientes!$B$4:$B$39,Clientes!$C$4:$C$39),Cadastros!$L$6:$L$12,Cadastros!$M$6:$M$12)+IF($F1263="Bernardino Furlan",AY1263/2751.92,IF($F1263="Mauro José Salanti",AY1263/2751.92,AY1263/3356)),F1263&lt;&gt;0,SUM(L1263,Q1263,V1263,AA1263,AF1263,AK1263,AP1263,AU1263)))*(1-0.03),_xlfn.IFS(AW1263="SIM",SUM(L1263,Q1263,V1263,AA1263,AF1263,AK1263,AP1263,AU1263)+AX1263/_xlfn.XLOOKUP(_xlfn.XLOOKUP($F1263,Clientes!$B$4:$B$39,Clientes!$C$4:$C$39),Cadastros!$L$6:$L$12,Cadastros!$M$6:$M$12)+IF($F1263="Bernardino Furlan",AY1263/2751.92,IF($F1263="Mauro José Salanti",AY1263/2751.92,AY1263/3356)),F1263&lt;&gt;0,SUM(L1263,Q1263,V1263,AA1263,AF1263,AK1263,AP1263,AU1263))))</f>
        <v xml:space="preserve"> </v>
      </c>
      <c r="BE1263" s="120"/>
      <c r="BF1263" s="120"/>
      <c r="BG1263" s="120"/>
    </row>
    <row r="1264" spans="1:59" s="3" customFormat="1" x14ac:dyDescent="0.3">
      <c r="A1264" s="15" t="str">
        <f t="shared" si="247"/>
        <v/>
      </c>
      <c r="B1264" s="25"/>
      <c r="C1264" s="26"/>
      <c r="D1264" s="279"/>
      <c r="E1264" s="27"/>
      <c r="F1264" s="28"/>
      <c r="G1264" s="27"/>
      <c r="H1264" s="28"/>
      <c r="I1264" s="28"/>
      <c r="J1264" s="255" t="str">
        <f>IF(H1264="","",(_xlfn.XLOOKUP(H1264,Cadastros!$D$6:$D$90,Cadastros!$E$6:$E$90))*(1-_xlfn.XLOOKUP(_xlfn.XLOOKUP($F1264,Clientes!$B$4:$B$39,Clientes!$C$4:$C$39),Cadastros!$L$6:$L$12,Cadastros!$N$6:$N$12)))</f>
        <v/>
      </c>
      <c r="K1264" s="168" t="str">
        <f t="shared" si="248"/>
        <v/>
      </c>
      <c r="L1264" s="168" t="str">
        <f>IFERROR(K1264/_xlfn.XLOOKUP(_xlfn.XLOOKUP($F1264,Clientes!$B$4:$B$39,Clientes!$C$4:$C$39),Cadastros!$L$6:$L$12,Cadastros!$M$6:$M$12)," ")</f>
        <v xml:space="preserve"> </v>
      </c>
      <c r="M1264" s="28"/>
      <c r="N1264" s="28"/>
      <c r="O1264" s="255" t="str">
        <f>IF(M1264="","",(_xlfn.XLOOKUP(M1264,Cadastros!$D$6:$D$90,Cadastros!$E$6:$E$90))*(1-_xlfn.XLOOKUP(_xlfn.XLOOKUP($F1264,Clientes!$B$4:$B$39,Clientes!$C$4:$C$39),Cadastros!$L$6:$L$12,Cadastros!$N$6:$N$12)))</f>
        <v/>
      </c>
      <c r="P1264" s="168" t="str">
        <f t="shared" si="249"/>
        <v/>
      </c>
      <c r="Q1264" s="168" t="str">
        <f>IFERROR(P1264/_xlfn.XLOOKUP(_xlfn.XLOOKUP($F1264,Clientes!$B$4:$B$39,Clientes!$C$4:$C$39),Cadastros!$L$6:$L$12,Cadastros!$M$6:$M$12)," ")</f>
        <v xml:space="preserve"> </v>
      </c>
      <c r="R1264" s="28"/>
      <c r="S1264" s="28"/>
      <c r="T1264" s="255" t="str">
        <f>IF(R1264="","",(_xlfn.XLOOKUP(R1264,Cadastros!$D$6:$D$90,Cadastros!$E$6:$E$90))*(1-_xlfn.XLOOKUP(_xlfn.XLOOKUP($F1264,Clientes!$B$4:$B$39,Clientes!$C$4:$C$39),Cadastros!$L$6:$L$12,Cadastros!$N$6:$N$12)))</f>
        <v/>
      </c>
      <c r="U1264" s="168" t="str">
        <f t="shared" si="250"/>
        <v/>
      </c>
      <c r="V1264" s="168" t="str">
        <f>IFERROR(U1264/_xlfn.XLOOKUP(_xlfn.XLOOKUP($F1264,Clientes!$B$4:$B$39,Clientes!$C$4:$C$39),Cadastros!$L$6:$L$12,Cadastros!$M$6:$M$12)," ")</f>
        <v xml:space="preserve"> </v>
      </c>
      <c r="W1264" s="28"/>
      <c r="X1264" s="28"/>
      <c r="Y1264" s="255" t="str">
        <f>IF(W1264="","",(_xlfn.XLOOKUP(W1264,Cadastros!$D$6:$D$90,Cadastros!$E$6:$E$90))*(1-_xlfn.XLOOKUP(_xlfn.XLOOKUP($F1264,Clientes!$B$4:$B$39,Clientes!$C$4:$C$39),Cadastros!$L$6:$L$12,Cadastros!$N$6:$N$12)))</f>
        <v/>
      </c>
      <c r="Z1264" s="168" t="str">
        <f t="shared" si="251"/>
        <v/>
      </c>
      <c r="AA1264" s="168" t="str">
        <f>IFERROR(Z1264/_xlfn.XLOOKUP(_xlfn.XLOOKUP($F1264,Clientes!$B$4:$B$39,Clientes!$C$4:$C$39),Cadastros!$L$6:$L$12,Cadastros!$M$6:$M$12)," ")</f>
        <v xml:space="preserve"> </v>
      </c>
      <c r="AB1264" s="28"/>
      <c r="AC1264" s="28"/>
      <c r="AD1264" s="20" t="str">
        <f>IF(AB1264="","",IF($F1264="Bernardino Furlan",_xlfn.XLOOKUP(AB1264,Cadastros!$G$6:$G$90,Cadastros!$H$6:$H$90)*(1-0.18),IF($F1264="Mauro José Salanti",_xlfn.XLOOKUP(AB1264,Cadastros!$G$6:$G$90,Cadastros!$H$6:$H$90)*(1-0.18),_xlfn.XLOOKUP(AB1264,Cadastros!$G$6:$G$90,Cadastros!$H$6:$H$90))))</f>
        <v/>
      </c>
      <c r="AE1264" s="168" t="str">
        <f t="shared" si="252"/>
        <v/>
      </c>
      <c r="AF1264" s="168" t="str">
        <f t="shared" si="253"/>
        <v/>
      </c>
      <c r="AG1264" s="28"/>
      <c r="AH1264" s="28"/>
      <c r="AI1264" s="20" t="str">
        <f>IF(AG1264="","",IF($F1264="Bernardino Furlan",_xlfn.XLOOKUP(AG1264,Cadastros!$G$6:$G$90,Cadastros!$H$6:$H$90)*(1-0.18),IF($F1264="Mauro José Salanti",_xlfn.XLOOKUP(AG1264,Cadastros!$G$6:$G$90,Cadastros!$H$6:$H$90)*(1-0.18),_xlfn.XLOOKUP(AG1264,Cadastros!$G$6:$G$90,Cadastros!$H$6:$H$90))))</f>
        <v/>
      </c>
      <c r="AJ1264" s="168" t="str">
        <f t="shared" si="254"/>
        <v/>
      </c>
      <c r="AK1264" s="168" t="str">
        <f t="shared" si="255"/>
        <v/>
      </c>
      <c r="AL1264" s="28"/>
      <c r="AM1264" s="28"/>
      <c r="AN1264" s="20" t="str">
        <f>IF(AL1264="","",IF($F1264="Bernardino Furlan",_xlfn.XLOOKUP(AL1264,Cadastros!$G$6:$G$90,Cadastros!$H$6:$H$90)*(1-0.18),IF($F1264="Mauro José Salanti",_xlfn.XLOOKUP(AL1264,Cadastros!$G$6:$G$90,Cadastros!$H$6:$H$90)*(1-0.18),_xlfn.XLOOKUP(AL1264,Cadastros!$G$6:$G$90,Cadastros!$H$6:$H$90))))</f>
        <v/>
      </c>
      <c r="AO1264" s="168" t="str">
        <f t="shared" si="256"/>
        <v/>
      </c>
      <c r="AP1264" s="168" t="str">
        <f t="shared" si="257"/>
        <v/>
      </c>
      <c r="AQ1264" s="28"/>
      <c r="AR1264" s="28"/>
      <c r="AS1264" s="20" t="str">
        <f>IF(AQ1264="","",IF($F1264="Bernardino Furlan",_xlfn.XLOOKUP(AQ1264,Cadastros!$G$6:$G$90,Cadastros!$H$6:$H$90)*(1-0.18),IF($F1264="Mauro José Salanti",_xlfn.XLOOKUP(AQ1264,Cadastros!$G$6:$G$90,Cadastros!$H$6:$H$90)*(1-0.18),_xlfn.XLOOKUP(AQ1264,Cadastros!$G$6:$G$90,Cadastros!$H$6:$H$90))))</f>
        <v/>
      </c>
      <c r="AT1264" s="168" t="str">
        <f t="shared" si="258"/>
        <v/>
      </c>
      <c r="AU1264" s="168" t="str">
        <f t="shared" si="259"/>
        <v/>
      </c>
      <c r="AV1264" s="227"/>
      <c r="AW1264" s="30"/>
      <c r="AX1264" s="267"/>
      <c r="AY1264" s="267"/>
      <c r="AZ1264" s="29"/>
      <c r="BA1264" s="30"/>
      <c r="BB1264" s="23" t="str" cm="1">
        <f t="array" ref="BB1264">_xlfn.IFS(AW1264="SIM",SUM(K1264,P1264,U1264,Z1264,AE1264,AJ1264,AO1264,AT1264,AX1264,AY1264),F1264&lt;&gt;"",SUM(K1264,P1264,U1264,Z1264,AE1264,AJ1264,,AO1264,AT1264),F1264="","")</f>
        <v/>
      </c>
      <c r="BC1264" s="211" t="str" cm="1">
        <f t="array" ref="BC1264">_xlfn.IFS(E1264="","",G1264&lt;=E1264,BB1264*(1-0.03),G1264&lt;(E1264+8),BB1264,AZ1264="Boleto",BB1264*(1+0.001)^DATEDIF(E1264,G1264,"D"),AZ1264="Cheque",BB1264,AZ1264="Dinheiro","Alterar forma pgto")</f>
        <v/>
      </c>
      <c r="BD1264" s="276" t="str" cm="1">
        <f t="array" ref="BD1264">IF(F1264=0," ",IF(BC1264&lt;BB1264,(_xlfn.IFS(AW1264="SIM",SUM(L1264,Q1264,V1264,AA1264,AF1264,AK1264,AP1264,AU1264)+AX1264/_xlfn.XLOOKUP(_xlfn.XLOOKUP($F1264,Clientes!$B$4:$B$39,Clientes!$C$4:$C$39),Cadastros!$L$6:$L$12,Cadastros!$M$6:$M$12)+IF($F1264="Bernardino Furlan",AY1264/2751.92,IF($F1264="Mauro José Salanti",AY1264/2751.92,AY1264/3356)),F1264&lt;&gt;0,SUM(L1264,Q1264,V1264,AA1264,AF1264,AK1264,AP1264,AU1264)))*(1-0.03),_xlfn.IFS(AW1264="SIM",SUM(L1264,Q1264,V1264,AA1264,AF1264,AK1264,AP1264,AU1264)+AX1264/_xlfn.XLOOKUP(_xlfn.XLOOKUP($F1264,Clientes!$B$4:$B$39,Clientes!$C$4:$C$39),Cadastros!$L$6:$L$12,Cadastros!$M$6:$M$12)+IF($F1264="Bernardino Furlan",AY1264/2751.92,IF($F1264="Mauro José Salanti",AY1264/2751.92,AY1264/3356)),F1264&lt;&gt;0,SUM(L1264,Q1264,V1264,AA1264,AF1264,AK1264,AP1264,AU1264))))</f>
        <v xml:space="preserve"> </v>
      </c>
      <c r="BE1264" s="120"/>
      <c r="BF1264" s="120"/>
      <c r="BG1264" s="120"/>
    </row>
    <row r="1265" spans="1:59" s="3" customFormat="1" x14ac:dyDescent="0.3">
      <c r="A1265" s="15" t="str">
        <f t="shared" si="247"/>
        <v/>
      </c>
      <c r="B1265" s="25"/>
      <c r="C1265" s="26"/>
      <c r="D1265" s="279"/>
      <c r="E1265" s="27"/>
      <c r="F1265" s="28"/>
      <c r="G1265" s="27"/>
      <c r="H1265" s="28"/>
      <c r="I1265" s="28"/>
      <c r="J1265" s="255" t="str">
        <f>IF(H1265="","",(_xlfn.XLOOKUP(H1265,Cadastros!$D$6:$D$90,Cadastros!$E$6:$E$90))*(1-_xlfn.XLOOKUP(_xlfn.XLOOKUP($F1265,Clientes!$B$4:$B$39,Clientes!$C$4:$C$39),Cadastros!$L$6:$L$12,Cadastros!$N$6:$N$12)))</f>
        <v/>
      </c>
      <c r="K1265" s="168" t="str">
        <f t="shared" si="248"/>
        <v/>
      </c>
      <c r="L1265" s="168" t="str">
        <f>IFERROR(K1265/_xlfn.XLOOKUP(_xlfn.XLOOKUP($F1265,Clientes!$B$4:$B$39,Clientes!$C$4:$C$39),Cadastros!$L$6:$L$12,Cadastros!$M$6:$M$12)," ")</f>
        <v xml:space="preserve"> </v>
      </c>
      <c r="M1265" s="28"/>
      <c r="N1265" s="28"/>
      <c r="O1265" s="255" t="str">
        <f>IF(M1265="","",(_xlfn.XLOOKUP(M1265,Cadastros!$D$6:$D$90,Cadastros!$E$6:$E$90))*(1-_xlfn.XLOOKUP(_xlfn.XLOOKUP($F1265,Clientes!$B$4:$B$39,Clientes!$C$4:$C$39),Cadastros!$L$6:$L$12,Cadastros!$N$6:$N$12)))</f>
        <v/>
      </c>
      <c r="P1265" s="168" t="str">
        <f t="shared" si="249"/>
        <v/>
      </c>
      <c r="Q1265" s="168" t="str">
        <f>IFERROR(P1265/_xlfn.XLOOKUP(_xlfn.XLOOKUP($F1265,Clientes!$B$4:$B$39,Clientes!$C$4:$C$39),Cadastros!$L$6:$L$12,Cadastros!$M$6:$M$12)," ")</f>
        <v xml:space="preserve"> </v>
      </c>
      <c r="R1265" s="28"/>
      <c r="S1265" s="28"/>
      <c r="T1265" s="255" t="str">
        <f>IF(R1265="","",(_xlfn.XLOOKUP(R1265,Cadastros!$D$6:$D$90,Cadastros!$E$6:$E$90))*(1-_xlfn.XLOOKUP(_xlfn.XLOOKUP($F1265,Clientes!$B$4:$B$39,Clientes!$C$4:$C$39),Cadastros!$L$6:$L$12,Cadastros!$N$6:$N$12)))</f>
        <v/>
      </c>
      <c r="U1265" s="168" t="str">
        <f t="shared" si="250"/>
        <v/>
      </c>
      <c r="V1265" s="168" t="str">
        <f>IFERROR(U1265/_xlfn.XLOOKUP(_xlfn.XLOOKUP($F1265,Clientes!$B$4:$B$39,Clientes!$C$4:$C$39),Cadastros!$L$6:$L$12,Cadastros!$M$6:$M$12)," ")</f>
        <v xml:space="preserve"> </v>
      </c>
      <c r="W1265" s="28"/>
      <c r="X1265" s="28"/>
      <c r="Y1265" s="255" t="str">
        <f>IF(W1265="","",(_xlfn.XLOOKUP(W1265,Cadastros!$D$6:$D$90,Cadastros!$E$6:$E$90))*(1-_xlfn.XLOOKUP(_xlfn.XLOOKUP($F1265,Clientes!$B$4:$B$39,Clientes!$C$4:$C$39),Cadastros!$L$6:$L$12,Cadastros!$N$6:$N$12)))</f>
        <v/>
      </c>
      <c r="Z1265" s="168" t="str">
        <f t="shared" si="251"/>
        <v/>
      </c>
      <c r="AA1265" s="168" t="str">
        <f>IFERROR(Z1265/_xlfn.XLOOKUP(_xlfn.XLOOKUP($F1265,Clientes!$B$4:$B$39,Clientes!$C$4:$C$39),Cadastros!$L$6:$L$12,Cadastros!$M$6:$M$12)," ")</f>
        <v xml:space="preserve"> </v>
      </c>
      <c r="AB1265" s="28"/>
      <c r="AC1265" s="28"/>
      <c r="AD1265" s="20" t="str">
        <f>IF(AB1265="","",IF($F1265="Bernardino Furlan",_xlfn.XLOOKUP(AB1265,Cadastros!$G$6:$G$90,Cadastros!$H$6:$H$90)*(1-0.18),IF($F1265="Mauro José Salanti",_xlfn.XLOOKUP(AB1265,Cadastros!$G$6:$G$90,Cadastros!$H$6:$H$90)*(1-0.18),_xlfn.XLOOKUP(AB1265,Cadastros!$G$6:$G$90,Cadastros!$H$6:$H$90))))</f>
        <v/>
      </c>
      <c r="AE1265" s="168" t="str">
        <f t="shared" si="252"/>
        <v/>
      </c>
      <c r="AF1265" s="168" t="str">
        <f t="shared" si="253"/>
        <v/>
      </c>
      <c r="AG1265" s="28"/>
      <c r="AH1265" s="28"/>
      <c r="AI1265" s="20" t="str">
        <f>IF(AG1265="","",IF($F1265="Bernardino Furlan",_xlfn.XLOOKUP(AG1265,Cadastros!$G$6:$G$90,Cadastros!$H$6:$H$90)*(1-0.18),IF($F1265="Mauro José Salanti",_xlfn.XLOOKUP(AG1265,Cadastros!$G$6:$G$90,Cadastros!$H$6:$H$90)*(1-0.18),_xlfn.XLOOKUP(AG1265,Cadastros!$G$6:$G$90,Cadastros!$H$6:$H$90))))</f>
        <v/>
      </c>
      <c r="AJ1265" s="168" t="str">
        <f t="shared" si="254"/>
        <v/>
      </c>
      <c r="AK1265" s="168" t="str">
        <f t="shared" si="255"/>
        <v/>
      </c>
      <c r="AL1265" s="28"/>
      <c r="AM1265" s="28"/>
      <c r="AN1265" s="20" t="str">
        <f>IF(AL1265="","",IF($F1265="Bernardino Furlan",_xlfn.XLOOKUP(AL1265,Cadastros!$G$6:$G$90,Cadastros!$H$6:$H$90)*(1-0.18),IF($F1265="Mauro José Salanti",_xlfn.XLOOKUP(AL1265,Cadastros!$G$6:$G$90,Cadastros!$H$6:$H$90)*(1-0.18),_xlfn.XLOOKUP(AL1265,Cadastros!$G$6:$G$90,Cadastros!$H$6:$H$90))))</f>
        <v/>
      </c>
      <c r="AO1265" s="168" t="str">
        <f t="shared" si="256"/>
        <v/>
      </c>
      <c r="AP1265" s="168" t="str">
        <f t="shared" si="257"/>
        <v/>
      </c>
      <c r="AQ1265" s="28"/>
      <c r="AR1265" s="28"/>
      <c r="AS1265" s="20" t="str">
        <f>IF(AQ1265="","",IF($F1265="Bernardino Furlan",_xlfn.XLOOKUP(AQ1265,Cadastros!$G$6:$G$90,Cadastros!$H$6:$H$90)*(1-0.18),IF($F1265="Mauro José Salanti",_xlfn.XLOOKUP(AQ1265,Cadastros!$G$6:$G$90,Cadastros!$H$6:$H$90)*(1-0.18),_xlfn.XLOOKUP(AQ1265,Cadastros!$G$6:$G$90,Cadastros!$H$6:$H$90))))</f>
        <v/>
      </c>
      <c r="AT1265" s="168" t="str">
        <f t="shared" si="258"/>
        <v/>
      </c>
      <c r="AU1265" s="168" t="str">
        <f t="shared" si="259"/>
        <v/>
      </c>
      <c r="AV1265" s="227"/>
      <c r="AW1265" s="30"/>
      <c r="AX1265" s="267"/>
      <c r="AY1265" s="267"/>
      <c r="AZ1265" s="29"/>
      <c r="BA1265" s="30"/>
      <c r="BB1265" s="23" t="str" cm="1">
        <f t="array" ref="BB1265">_xlfn.IFS(AW1265="SIM",SUM(K1265,P1265,U1265,Z1265,AE1265,AJ1265,AO1265,AT1265,AX1265,AY1265),F1265&lt;&gt;"",SUM(K1265,P1265,U1265,Z1265,AE1265,AJ1265,,AO1265,AT1265),F1265="","")</f>
        <v/>
      </c>
      <c r="BC1265" s="211" t="str" cm="1">
        <f t="array" ref="BC1265">_xlfn.IFS(E1265="","",G1265&lt;=E1265,BB1265*(1-0.03),G1265&lt;(E1265+8),BB1265,AZ1265="Boleto",BB1265*(1+0.001)^DATEDIF(E1265,G1265,"D"),AZ1265="Cheque",BB1265,AZ1265="Dinheiro","Alterar forma pgto")</f>
        <v/>
      </c>
      <c r="BD1265" s="276" t="str" cm="1">
        <f t="array" ref="BD1265">IF(F1265=0," ",IF(BC1265&lt;BB1265,(_xlfn.IFS(AW1265="SIM",SUM(L1265,Q1265,V1265,AA1265,AF1265,AK1265,AP1265,AU1265)+AX1265/_xlfn.XLOOKUP(_xlfn.XLOOKUP($F1265,Clientes!$B$4:$B$39,Clientes!$C$4:$C$39),Cadastros!$L$6:$L$12,Cadastros!$M$6:$M$12)+IF($F1265="Bernardino Furlan",AY1265/2751.92,IF($F1265="Mauro José Salanti",AY1265/2751.92,AY1265/3356)),F1265&lt;&gt;0,SUM(L1265,Q1265,V1265,AA1265,AF1265,AK1265,AP1265,AU1265)))*(1-0.03),_xlfn.IFS(AW1265="SIM",SUM(L1265,Q1265,V1265,AA1265,AF1265,AK1265,AP1265,AU1265)+AX1265/_xlfn.XLOOKUP(_xlfn.XLOOKUP($F1265,Clientes!$B$4:$B$39,Clientes!$C$4:$C$39),Cadastros!$L$6:$L$12,Cadastros!$M$6:$M$12)+IF($F1265="Bernardino Furlan",AY1265/2751.92,IF($F1265="Mauro José Salanti",AY1265/2751.92,AY1265/3356)),F1265&lt;&gt;0,SUM(L1265,Q1265,V1265,AA1265,AF1265,AK1265,AP1265,AU1265))))</f>
        <v xml:space="preserve"> </v>
      </c>
      <c r="BE1265" s="120"/>
      <c r="BF1265" s="120"/>
      <c r="BG1265" s="120"/>
    </row>
    <row r="1266" spans="1:59" s="3" customFormat="1" x14ac:dyDescent="0.3">
      <c r="A1266" s="15" t="str">
        <f t="shared" si="247"/>
        <v/>
      </c>
      <c r="B1266" s="25"/>
      <c r="C1266" s="26"/>
      <c r="D1266" s="279"/>
      <c r="E1266" s="27"/>
      <c r="F1266" s="28"/>
      <c r="G1266" s="27"/>
      <c r="H1266" s="28"/>
      <c r="I1266" s="28"/>
      <c r="J1266" s="255" t="str">
        <f>IF(H1266="","",(_xlfn.XLOOKUP(H1266,Cadastros!$D$6:$D$90,Cadastros!$E$6:$E$90))*(1-_xlfn.XLOOKUP(_xlfn.XLOOKUP($F1266,Clientes!$B$4:$B$39,Clientes!$C$4:$C$39),Cadastros!$L$6:$L$12,Cadastros!$N$6:$N$12)))</f>
        <v/>
      </c>
      <c r="K1266" s="168" t="str">
        <f t="shared" si="248"/>
        <v/>
      </c>
      <c r="L1266" s="168" t="str">
        <f>IFERROR(K1266/_xlfn.XLOOKUP(_xlfn.XLOOKUP($F1266,Clientes!$B$4:$B$39,Clientes!$C$4:$C$39),Cadastros!$L$6:$L$12,Cadastros!$M$6:$M$12)," ")</f>
        <v xml:space="preserve"> </v>
      </c>
      <c r="M1266" s="28"/>
      <c r="N1266" s="28"/>
      <c r="O1266" s="255" t="str">
        <f>IF(M1266="","",(_xlfn.XLOOKUP(M1266,Cadastros!$D$6:$D$90,Cadastros!$E$6:$E$90))*(1-_xlfn.XLOOKUP(_xlfn.XLOOKUP($F1266,Clientes!$B$4:$B$39,Clientes!$C$4:$C$39),Cadastros!$L$6:$L$12,Cadastros!$N$6:$N$12)))</f>
        <v/>
      </c>
      <c r="P1266" s="168" t="str">
        <f t="shared" si="249"/>
        <v/>
      </c>
      <c r="Q1266" s="168" t="str">
        <f>IFERROR(P1266/_xlfn.XLOOKUP(_xlfn.XLOOKUP($F1266,Clientes!$B$4:$B$39,Clientes!$C$4:$C$39),Cadastros!$L$6:$L$12,Cadastros!$M$6:$M$12)," ")</f>
        <v xml:space="preserve"> </v>
      </c>
      <c r="R1266" s="28"/>
      <c r="S1266" s="28"/>
      <c r="T1266" s="255" t="str">
        <f>IF(R1266="","",(_xlfn.XLOOKUP(R1266,Cadastros!$D$6:$D$90,Cadastros!$E$6:$E$90))*(1-_xlfn.XLOOKUP(_xlfn.XLOOKUP($F1266,Clientes!$B$4:$B$39,Clientes!$C$4:$C$39),Cadastros!$L$6:$L$12,Cadastros!$N$6:$N$12)))</f>
        <v/>
      </c>
      <c r="U1266" s="168" t="str">
        <f t="shared" si="250"/>
        <v/>
      </c>
      <c r="V1266" s="168" t="str">
        <f>IFERROR(U1266/_xlfn.XLOOKUP(_xlfn.XLOOKUP($F1266,Clientes!$B$4:$B$39,Clientes!$C$4:$C$39),Cadastros!$L$6:$L$12,Cadastros!$M$6:$M$12)," ")</f>
        <v xml:space="preserve"> </v>
      </c>
      <c r="W1266" s="28"/>
      <c r="X1266" s="28"/>
      <c r="Y1266" s="255" t="str">
        <f>IF(W1266="","",(_xlfn.XLOOKUP(W1266,Cadastros!$D$6:$D$90,Cadastros!$E$6:$E$90))*(1-_xlfn.XLOOKUP(_xlfn.XLOOKUP($F1266,Clientes!$B$4:$B$39,Clientes!$C$4:$C$39),Cadastros!$L$6:$L$12,Cadastros!$N$6:$N$12)))</f>
        <v/>
      </c>
      <c r="Z1266" s="168" t="str">
        <f t="shared" si="251"/>
        <v/>
      </c>
      <c r="AA1266" s="168" t="str">
        <f>IFERROR(Z1266/_xlfn.XLOOKUP(_xlfn.XLOOKUP($F1266,Clientes!$B$4:$B$39,Clientes!$C$4:$C$39),Cadastros!$L$6:$L$12,Cadastros!$M$6:$M$12)," ")</f>
        <v xml:space="preserve"> </v>
      </c>
      <c r="AB1266" s="28"/>
      <c r="AC1266" s="28"/>
      <c r="AD1266" s="20" t="str">
        <f>IF(AB1266="","",IF($F1266="Bernardino Furlan",_xlfn.XLOOKUP(AB1266,Cadastros!$G$6:$G$90,Cadastros!$H$6:$H$90)*(1-0.18),IF($F1266="Mauro José Salanti",_xlfn.XLOOKUP(AB1266,Cadastros!$G$6:$G$90,Cadastros!$H$6:$H$90)*(1-0.18),_xlfn.XLOOKUP(AB1266,Cadastros!$G$6:$G$90,Cadastros!$H$6:$H$90))))</f>
        <v/>
      </c>
      <c r="AE1266" s="168" t="str">
        <f t="shared" si="252"/>
        <v/>
      </c>
      <c r="AF1266" s="168" t="str">
        <f t="shared" si="253"/>
        <v/>
      </c>
      <c r="AG1266" s="28"/>
      <c r="AH1266" s="28"/>
      <c r="AI1266" s="20" t="str">
        <f>IF(AG1266="","",IF($F1266="Bernardino Furlan",_xlfn.XLOOKUP(AG1266,Cadastros!$G$6:$G$90,Cadastros!$H$6:$H$90)*(1-0.18),IF($F1266="Mauro José Salanti",_xlfn.XLOOKUP(AG1266,Cadastros!$G$6:$G$90,Cadastros!$H$6:$H$90)*(1-0.18),_xlfn.XLOOKUP(AG1266,Cadastros!$G$6:$G$90,Cadastros!$H$6:$H$90))))</f>
        <v/>
      </c>
      <c r="AJ1266" s="168" t="str">
        <f t="shared" si="254"/>
        <v/>
      </c>
      <c r="AK1266" s="168" t="str">
        <f t="shared" si="255"/>
        <v/>
      </c>
      <c r="AL1266" s="28"/>
      <c r="AM1266" s="28"/>
      <c r="AN1266" s="20" t="str">
        <f>IF(AL1266="","",IF($F1266="Bernardino Furlan",_xlfn.XLOOKUP(AL1266,Cadastros!$G$6:$G$90,Cadastros!$H$6:$H$90)*(1-0.18),IF($F1266="Mauro José Salanti",_xlfn.XLOOKUP(AL1266,Cadastros!$G$6:$G$90,Cadastros!$H$6:$H$90)*(1-0.18),_xlfn.XLOOKUP(AL1266,Cadastros!$G$6:$G$90,Cadastros!$H$6:$H$90))))</f>
        <v/>
      </c>
      <c r="AO1266" s="168" t="str">
        <f t="shared" si="256"/>
        <v/>
      </c>
      <c r="AP1266" s="168" t="str">
        <f t="shared" si="257"/>
        <v/>
      </c>
      <c r="AQ1266" s="28"/>
      <c r="AR1266" s="28"/>
      <c r="AS1266" s="20" t="str">
        <f>IF(AQ1266="","",IF($F1266="Bernardino Furlan",_xlfn.XLOOKUP(AQ1266,Cadastros!$G$6:$G$90,Cadastros!$H$6:$H$90)*(1-0.18),IF($F1266="Mauro José Salanti",_xlfn.XLOOKUP(AQ1266,Cadastros!$G$6:$G$90,Cadastros!$H$6:$H$90)*(1-0.18),_xlfn.XLOOKUP(AQ1266,Cadastros!$G$6:$G$90,Cadastros!$H$6:$H$90))))</f>
        <v/>
      </c>
      <c r="AT1266" s="168" t="str">
        <f t="shared" si="258"/>
        <v/>
      </c>
      <c r="AU1266" s="168" t="str">
        <f t="shared" si="259"/>
        <v/>
      </c>
      <c r="AV1266" s="227"/>
      <c r="AW1266" s="30"/>
      <c r="AX1266" s="267"/>
      <c r="AY1266" s="267"/>
      <c r="AZ1266" s="29"/>
      <c r="BA1266" s="30"/>
      <c r="BB1266" s="23" t="str" cm="1">
        <f t="array" ref="BB1266">_xlfn.IFS(AW1266="SIM",SUM(K1266,P1266,U1266,Z1266,AE1266,AJ1266,AO1266,AT1266,AX1266,AY1266),F1266&lt;&gt;"",SUM(K1266,P1266,U1266,Z1266,AE1266,AJ1266,,AO1266,AT1266),F1266="","")</f>
        <v/>
      </c>
      <c r="BC1266" s="211" t="str" cm="1">
        <f t="array" ref="BC1266">_xlfn.IFS(E1266="","",G1266&lt;=E1266,BB1266*(1-0.03),G1266&lt;(E1266+8),BB1266,AZ1266="Boleto",BB1266*(1+0.001)^DATEDIF(E1266,G1266,"D"),AZ1266="Cheque",BB1266,AZ1266="Dinheiro","Alterar forma pgto")</f>
        <v/>
      </c>
      <c r="BD1266" s="276" t="str" cm="1">
        <f t="array" ref="BD1266">IF(F1266=0," ",IF(BC1266&lt;BB1266,(_xlfn.IFS(AW1266="SIM",SUM(L1266,Q1266,V1266,AA1266,AF1266,AK1266,AP1266,AU1266)+AX1266/_xlfn.XLOOKUP(_xlfn.XLOOKUP($F1266,Clientes!$B$4:$B$39,Clientes!$C$4:$C$39),Cadastros!$L$6:$L$12,Cadastros!$M$6:$M$12)+IF($F1266="Bernardino Furlan",AY1266/2751.92,IF($F1266="Mauro José Salanti",AY1266/2751.92,AY1266/3356)),F1266&lt;&gt;0,SUM(L1266,Q1266,V1266,AA1266,AF1266,AK1266,AP1266,AU1266)))*(1-0.03),_xlfn.IFS(AW1266="SIM",SUM(L1266,Q1266,V1266,AA1266,AF1266,AK1266,AP1266,AU1266)+AX1266/_xlfn.XLOOKUP(_xlfn.XLOOKUP($F1266,Clientes!$B$4:$B$39,Clientes!$C$4:$C$39),Cadastros!$L$6:$L$12,Cadastros!$M$6:$M$12)+IF($F1266="Bernardino Furlan",AY1266/2751.92,IF($F1266="Mauro José Salanti",AY1266/2751.92,AY1266/3356)),F1266&lt;&gt;0,SUM(L1266,Q1266,V1266,AA1266,AF1266,AK1266,AP1266,AU1266))))</f>
        <v xml:space="preserve"> </v>
      </c>
      <c r="BE1266" s="120"/>
      <c r="BF1266" s="120"/>
      <c r="BG1266" s="120"/>
    </row>
    <row r="1267" spans="1:59" s="3" customFormat="1" x14ac:dyDescent="0.3">
      <c r="A1267" s="15" t="str">
        <f t="shared" si="247"/>
        <v/>
      </c>
      <c r="B1267" s="25"/>
      <c r="C1267" s="26"/>
      <c r="D1267" s="279"/>
      <c r="E1267" s="27"/>
      <c r="F1267" s="28"/>
      <c r="G1267" s="27"/>
      <c r="H1267" s="28"/>
      <c r="I1267" s="28"/>
      <c r="J1267" s="255" t="str">
        <f>IF(H1267="","",(_xlfn.XLOOKUP(H1267,Cadastros!$D$6:$D$90,Cadastros!$E$6:$E$90))*(1-_xlfn.XLOOKUP(_xlfn.XLOOKUP($F1267,Clientes!$B$4:$B$39,Clientes!$C$4:$C$39),Cadastros!$L$6:$L$12,Cadastros!$N$6:$N$12)))</f>
        <v/>
      </c>
      <c r="K1267" s="168" t="str">
        <f t="shared" si="248"/>
        <v/>
      </c>
      <c r="L1267" s="168" t="str">
        <f>IFERROR(K1267/_xlfn.XLOOKUP(_xlfn.XLOOKUP($F1267,Clientes!$B$4:$B$39,Clientes!$C$4:$C$39),Cadastros!$L$6:$L$12,Cadastros!$M$6:$M$12)," ")</f>
        <v xml:space="preserve"> </v>
      </c>
      <c r="M1267" s="28"/>
      <c r="N1267" s="28"/>
      <c r="O1267" s="255" t="str">
        <f>IF(M1267="","",(_xlfn.XLOOKUP(M1267,Cadastros!$D$6:$D$90,Cadastros!$E$6:$E$90))*(1-_xlfn.XLOOKUP(_xlfn.XLOOKUP($F1267,Clientes!$B$4:$B$39,Clientes!$C$4:$C$39),Cadastros!$L$6:$L$12,Cadastros!$N$6:$N$12)))</f>
        <v/>
      </c>
      <c r="P1267" s="168" t="str">
        <f t="shared" si="249"/>
        <v/>
      </c>
      <c r="Q1267" s="168" t="str">
        <f>IFERROR(P1267/_xlfn.XLOOKUP(_xlfn.XLOOKUP($F1267,Clientes!$B$4:$B$39,Clientes!$C$4:$C$39),Cadastros!$L$6:$L$12,Cadastros!$M$6:$M$12)," ")</f>
        <v xml:space="preserve"> </v>
      </c>
      <c r="R1267" s="28"/>
      <c r="S1267" s="28"/>
      <c r="T1267" s="255" t="str">
        <f>IF(R1267="","",(_xlfn.XLOOKUP(R1267,Cadastros!$D$6:$D$90,Cadastros!$E$6:$E$90))*(1-_xlfn.XLOOKUP(_xlfn.XLOOKUP($F1267,Clientes!$B$4:$B$39,Clientes!$C$4:$C$39),Cadastros!$L$6:$L$12,Cadastros!$N$6:$N$12)))</f>
        <v/>
      </c>
      <c r="U1267" s="168" t="str">
        <f t="shared" si="250"/>
        <v/>
      </c>
      <c r="V1267" s="168" t="str">
        <f>IFERROR(U1267/_xlfn.XLOOKUP(_xlfn.XLOOKUP($F1267,Clientes!$B$4:$B$39,Clientes!$C$4:$C$39),Cadastros!$L$6:$L$12,Cadastros!$M$6:$M$12)," ")</f>
        <v xml:space="preserve"> </v>
      </c>
      <c r="W1267" s="28"/>
      <c r="X1267" s="28"/>
      <c r="Y1267" s="255" t="str">
        <f>IF(W1267="","",(_xlfn.XLOOKUP(W1267,Cadastros!$D$6:$D$90,Cadastros!$E$6:$E$90))*(1-_xlfn.XLOOKUP(_xlfn.XLOOKUP($F1267,Clientes!$B$4:$B$39,Clientes!$C$4:$C$39),Cadastros!$L$6:$L$12,Cadastros!$N$6:$N$12)))</f>
        <v/>
      </c>
      <c r="Z1267" s="168" t="str">
        <f t="shared" si="251"/>
        <v/>
      </c>
      <c r="AA1267" s="168" t="str">
        <f>IFERROR(Z1267/_xlfn.XLOOKUP(_xlfn.XLOOKUP($F1267,Clientes!$B$4:$B$39,Clientes!$C$4:$C$39),Cadastros!$L$6:$L$12,Cadastros!$M$6:$M$12)," ")</f>
        <v xml:space="preserve"> </v>
      </c>
      <c r="AB1267" s="28"/>
      <c r="AC1267" s="28"/>
      <c r="AD1267" s="20" t="str">
        <f>IF(AB1267="","",IF($F1267="Bernardino Furlan",_xlfn.XLOOKUP(AB1267,Cadastros!$G$6:$G$90,Cadastros!$H$6:$H$90)*(1-0.18),IF($F1267="Mauro José Salanti",_xlfn.XLOOKUP(AB1267,Cadastros!$G$6:$G$90,Cadastros!$H$6:$H$90)*(1-0.18),_xlfn.XLOOKUP(AB1267,Cadastros!$G$6:$G$90,Cadastros!$H$6:$H$90))))</f>
        <v/>
      </c>
      <c r="AE1267" s="168" t="str">
        <f t="shared" si="252"/>
        <v/>
      </c>
      <c r="AF1267" s="168" t="str">
        <f t="shared" si="253"/>
        <v/>
      </c>
      <c r="AG1267" s="28"/>
      <c r="AH1267" s="28"/>
      <c r="AI1267" s="20" t="str">
        <f>IF(AG1267="","",IF($F1267="Bernardino Furlan",_xlfn.XLOOKUP(AG1267,Cadastros!$G$6:$G$90,Cadastros!$H$6:$H$90)*(1-0.18),IF($F1267="Mauro José Salanti",_xlfn.XLOOKUP(AG1267,Cadastros!$G$6:$G$90,Cadastros!$H$6:$H$90)*(1-0.18),_xlfn.XLOOKUP(AG1267,Cadastros!$G$6:$G$90,Cadastros!$H$6:$H$90))))</f>
        <v/>
      </c>
      <c r="AJ1267" s="168" t="str">
        <f t="shared" si="254"/>
        <v/>
      </c>
      <c r="AK1267" s="168" t="str">
        <f t="shared" si="255"/>
        <v/>
      </c>
      <c r="AL1267" s="28"/>
      <c r="AM1267" s="28"/>
      <c r="AN1267" s="20" t="str">
        <f>IF(AL1267="","",IF($F1267="Bernardino Furlan",_xlfn.XLOOKUP(AL1267,Cadastros!$G$6:$G$90,Cadastros!$H$6:$H$90)*(1-0.18),IF($F1267="Mauro José Salanti",_xlfn.XLOOKUP(AL1267,Cadastros!$G$6:$G$90,Cadastros!$H$6:$H$90)*(1-0.18),_xlfn.XLOOKUP(AL1267,Cadastros!$G$6:$G$90,Cadastros!$H$6:$H$90))))</f>
        <v/>
      </c>
      <c r="AO1267" s="168" t="str">
        <f t="shared" si="256"/>
        <v/>
      </c>
      <c r="AP1267" s="168" t="str">
        <f t="shared" si="257"/>
        <v/>
      </c>
      <c r="AQ1267" s="28"/>
      <c r="AR1267" s="28"/>
      <c r="AS1267" s="20" t="str">
        <f>IF(AQ1267="","",IF($F1267="Bernardino Furlan",_xlfn.XLOOKUP(AQ1267,Cadastros!$G$6:$G$90,Cadastros!$H$6:$H$90)*(1-0.18),IF($F1267="Mauro José Salanti",_xlfn.XLOOKUP(AQ1267,Cadastros!$G$6:$G$90,Cadastros!$H$6:$H$90)*(1-0.18),_xlfn.XLOOKUP(AQ1267,Cadastros!$G$6:$G$90,Cadastros!$H$6:$H$90))))</f>
        <v/>
      </c>
      <c r="AT1267" s="168" t="str">
        <f t="shared" si="258"/>
        <v/>
      </c>
      <c r="AU1267" s="168" t="str">
        <f t="shared" si="259"/>
        <v/>
      </c>
      <c r="AV1267" s="227"/>
      <c r="AW1267" s="30"/>
      <c r="AX1267" s="267"/>
      <c r="AY1267" s="267"/>
      <c r="AZ1267" s="29"/>
      <c r="BA1267" s="30"/>
      <c r="BB1267" s="23" t="str" cm="1">
        <f t="array" ref="BB1267">_xlfn.IFS(AW1267="SIM",SUM(K1267,P1267,U1267,Z1267,AE1267,AJ1267,AO1267,AT1267,AX1267,AY1267),F1267&lt;&gt;"",SUM(K1267,P1267,U1267,Z1267,AE1267,AJ1267,,AO1267,AT1267),F1267="","")</f>
        <v/>
      </c>
      <c r="BC1267" s="211" t="str" cm="1">
        <f t="array" ref="BC1267">_xlfn.IFS(E1267="","",G1267&lt;=E1267,BB1267*(1-0.03),G1267&lt;(E1267+8),BB1267,AZ1267="Boleto",BB1267*(1+0.001)^DATEDIF(E1267,G1267,"D"),AZ1267="Cheque",BB1267,AZ1267="Dinheiro","Alterar forma pgto")</f>
        <v/>
      </c>
      <c r="BD1267" s="276" t="str" cm="1">
        <f t="array" ref="BD1267">IF(F1267=0," ",IF(BC1267&lt;BB1267,(_xlfn.IFS(AW1267="SIM",SUM(L1267,Q1267,V1267,AA1267,AF1267,AK1267,AP1267,AU1267)+AX1267/_xlfn.XLOOKUP(_xlfn.XLOOKUP($F1267,Clientes!$B$4:$B$39,Clientes!$C$4:$C$39),Cadastros!$L$6:$L$12,Cadastros!$M$6:$M$12)+IF($F1267="Bernardino Furlan",AY1267/2751.92,IF($F1267="Mauro José Salanti",AY1267/2751.92,AY1267/3356)),F1267&lt;&gt;0,SUM(L1267,Q1267,V1267,AA1267,AF1267,AK1267,AP1267,AU1267)))*(1-0.03),_xlfn.IFS(AW1267="SIM",SUM(L1267,Q1267,V1267,AA1267,AF1267,AK1267,AP1267,AU1267)+AX1267/_xlfn.XLOOKUP(_xlfn.XLOOKUP($F1267,Clientes!$B$4:$B$39,Clientes!$C$4:$C$39),Cadastros!$L$6:$L$12,Cadastros!$M$6:$M$12)+IF($F1267="Bernardino Furlan",AY1267/2751.92,IF($F1267="Mauro José Salanti",AY1267/2751.92,AY1267/3356)),F1267&lt;&gt;0,SUM(L1267,Q1267,V1267,AA1267,AF1267,AK1267,AP1267,AU1267))))</f>
        <v xml:space="preserve"> </v>
      </c>
      <c r="BE1267" s="120"/>
      <c r="BF1267" s="120"/>
      <c r="BG1267" s="120"/>
    </row>
    <row r="1268" spans="1:59" s="3" customFormat="1" x14ac:dyDescent="0.3">
      <c r="A1268" s="15" t="str">
        <f t="shared" si="247"/>
        <v/>
      </c>
      <c r="B1268" s="25"/>
      <c r="C1268" s="26"/>
      <c r="D1268" s="279"/>
      <c r="E1268" s="27"/>
      <c r="F1268" s="28"/>
      <c r="G1268" s="27"/>
      <c r="H1268" s="28"/>
      <c r="I1268" s="28"/>
      <c r="J1268" s="255" t="str">
        <f>IF(H1268="","",(_xlfn.XLOOKUP(H1268,Cadastros!$D$6:$D$90,Cadastros!$E$6:$E$90))*(1-_xlfn.XLOOKUP(_xlfn.XLOOKUP($F1268,Clientes!$B$4:$B$39,Clientes!$C$4:$C$39),Cadastros!$L$6:$L$12,Cadastros!$N$6:$N$12)))</f>
        <v/>
      </c>
      <c r="K1268" s="168" t="str">
        <f t="shared" si="248"/>
        <v/>
      </c>
      <c r="L1268" s="168" t="str">
        <f>IFERROR(K1268/_xlfn.XLOOKUP(_xlfn.XLOOKUP($F1268,Clientes!$B$4:$B$39,Clientes!$C$4:$C$39),Cadastros!$L$6:$L$12,Cadastros!$M$6:$M$12)," ")</f>
        <v xml:space="preserve"> </v>
      </c>
      <c r="M1268" s="28"/>
      <c r="N1268" s="28"/>
      <c r="O1268" s="255" t="str">
        <f>IF(M1268="","",(_xlfn.XLOOKUP(M1268,Cadastros!$D$6:$D$90,Cadastros!$E$6:$E$90))*(1-_xlfn.XLOOKUP(_xlfn.XLOOKUP($F1268,Clientes!$B$4:$B$39,Clientes!$C$4:$C$39),Cadastros!$L$6:$L$12,Cadastros!$N$6:$N$12)))</f>
        <v/>
      </c>
      <c r="P1268" s="168" t="str">
        <f t="shared" si="249"/>
        <v/>
      </c>
      <c r="Q1268" s="168" t="str">
        <f>IFERROR(P1268/_xlfn.XLOOKUP(_xlfn.XLOOKUP($F1268,Clientes!$B$4:$B$39,Clientes!$C$4:$C$39),Cadastros!$L$6:$L$12,Cadastros!$M$6:$M$12)," ")</f>
        <v xml:space="preserve"> </v>
      </c>
      <c r="R1268" s="28"/>
      <c r="S1268" s="28"/>
      <c r="T1268" s="255" t="str">
        <f>IF(R1268="","",(_xlfn.XLOOKUP(R1268,Cadastros!$D$6:$D$90,Cadastros!$E$6:$E$90))*(1-_xlfn.XLOOKUP(_xlfn.XLOOKUP($F1268,Clientes!$B$4:$B$39,Clientes!$C$4:$C$39),Cadastros!$L$6:$L$12,Cadastros!$N$6:$N$12)))</f>
        <v/>
      </c>
      <c r="U1268" s="168" t="str">
        <f t="shared" si="250"/>
        <v/>
      </c>
      <c r="V1268" s="168" t="str">
        <f>IFERROR(U1268/_xlfn.XLOOKUP(_xlfn.XLOOKUP($F1268,Clientes!$B$4:$B$39,Clientes!$C$4:$C$39),Cadastros!$L$6:$L$12,Cadastros!$M$6:$M$12)," ")</f>
        <v xml:space="preserve"> </v>
      </c>
      <c r="W1268" s="28"/>
      <c r="X1268" s="28"/>
      <c r="Y1268" s="255" t="str">
        <f>IF(W1268="","",(_xlfn.XLOOKUP(W1268,Cadastros!$D$6:$D$90,Cadastros!$E$6:$E$90))*(1-_xlfn.XLOOKUP(_xlfn.XLOOKUP($F1268,Clientes!$B$4:$B$39,Clientes!$C$4:$C$39),Cadastros!$L$6:$L$12,Cadastros!$N$6:$N$12)))</f>
        <v/>
      </c>
      <c r="Z1268" s="168" t="str">
        <f t="shared" si="251"/>
        <v/>
      </c>
      <c r="AA1268" s="168" t="str">
        <f>IFERROR(Z1268/_xlfn.XLOOKUP(_xlfn.XLOOKUP($F1268,Clientes!$B$4:$B$39,Clientes!$C$4:$C$39),Cadastros!$L$6:$L$12,Cadastros!$M$6:$M$12)," ")</f>
        <v xml:space="preserve"> </v>
      </c>
      <c r="AB1268" s="28"/>
      <c r="AC1268" s="28"/>
      <c r="AD1268" s="20" t="str">
        <f>IF(AB1268="","",IF($F1268="Bernardino Furlan",_xlfn.XLOOKUP(AB1268,Cadastros!$G$6:$G$90,Cadastros!$H$6:$H$90)*(1-0.18),IF($F1268="Mauro José Salanti",_xlfn.XLOOKUP(AB1268,Cadastros!$G$6:$G$90,Cadastros!$H$6:$H$90)*(1-0.18),_xlfn.XLOOKUP(AB1268,Cadastros!$G$6:$G$90,Cadastros!$H$6:$H$90))))</f>
        <v/>
      </c>
      <c r="AE1268" s="168" t="str">
        <f t="shared" si="252"/>
        <v/>
      </c>
      <c r="AF1268" s="168" t="str">
        <f t="shared" si="253"/>
        <v/>
      </c>
      <c r="AG1268" s="28"/>
      <c r="AH1268" s="28"/>
      <c r="AI1268" s="20" t="str">
        <f>IF(AG1268="","",IF($F1268="Bernardino Furlan",_xlfn.XLOOKUP(AG1268,Cadastros!$G$6:$G$90,Cadastros!$H$6:$H$90)*(1-0.18),IF($F1268="Mauro José Salanti",_xlfn.XLOOKUP(AG1268,Cadastros!$G$6:$G$90,Cadastros!$H$6:$H$90)*(1-0.18),_xlfn.XLOOKUP(AG1268,Cadastros!$G$6:$G$90,Cadastros!$H$6:$H$90))))</f>
        <v/>
      </c>
      <c r="AJ1268" s="168" t="str">
        <f t="shared" si="254"/>
        <v/>
      </c>
      <c r="AK1268" s="168" t="str">
        <f t="shared" si="255"/>
        <v/>
      </c>
      <c r="AL1268" s="28"/>
      <c r="AM1268" s="28"/>
      <c r="AN1268" s="20" t="str">
        <f>IF(AL1268="","",IF($F1268="Bernardino Furlan",_xlfn.XLOOKUP(AL1268,Cadastros!$G$6:$G$90,Cadastros!$H$6:$H$90)*(1-0.18),IF($F1268="Mauro José Salanti",_xlfn.XLOOKUP(AL1268,Cadastros!$G$6:$G$90,Cadastros!$H$6:$H$90)*(1-0.18),_xlfn.XLOOKUP(AL1268,Cadastros!$G$6:$G$90,Cadastros!$H$6:$H$90))))</f>
        <v/>
      </c>
      <c r="AO1268" s="168" t="str">
        <f t="shared" si="256"/>
        <v/>
      </c>
      <c r="AP1268" s="168" t="str">
        <f t="shared" si="257"/>
        <v/>
      </c>
      <c r="AQ1268" s="28"/>
      <c r="AR1268" s="28"/>
      <c r="AS1268" s="20" t="str">
        <f>IF(AQ1268="","",IF($F1268="Bernardino Furlan",_xlfn.XLOOKUP(AQ1268,Cadastros!$G$6:$G$90,Cadastros!$H$6:$H$90)*(1-0.18),IF($F1268="Mauro José Salanti",_xlfn.XLOOKUP(AQ1268,Cadastros!$G$6:$G$90,Cadastros!$H$6:$H$90)*(1-0.18),_xlfn.XLOOKUP(AQ1268,Cadastros!$G$6:$G$90,Cadastros!$H$6:$H$90))))</f>
        <v/>
      </c>
      <c r="AT1268" s="168" t="str">
        <f t="shared" si="258"/>
        <v/>
      </c>
      <c r="AU1268" s="168" t="str">
        <f t="shared" si="259"/>
        <v/>
      </c>
      <c r="AV1268" s="227"/>
      <c r="AW1268" s="30"/>
      <c r="AX1268" s="267"/>
      <c r="AY1268" s="267"/>
      <c r="AZ1268" s="29"/>
      <c r="BA1268" s="30"/>
      <c r="BB1268" s="23" t="str" cm="1">
        <f t="array" ref="BB1268">_xlfn.IFS(AW1268="SIM",SUM(K1268,P1268,U1268,Z1268,AE1268,AJ1268,AO1268,AT1268,AX1268,AY1268),F1268&lt;&gt;"",SUM(K1268,P1268,U1268,Z1268,AE1268,AJ1268,,AO1268,AT1268),F1268="","")</f>
        <v/>
      </c>
      <c r="BC1268" s="211" t="str" cm="1">
        <f t="array" ref="BC1268">_xlfn.IFS(E1268="","",G1268&lt;=E1268,BB1268*(1-0.03),G1268&lt;(E1268+8),BB1268,AZ1268="Boleto",BB1268*(1+0.001)^DATEDIF(E1268,G1268,"D"),AZ1268="Cheque",BB1268,AZ1268="Dinheiro","Alterar forma pgto")</f>
        <v/>
      </c>
      <c r="BD1268" s="276" t="str" cm="1">
        <f t="array" ref="BD1268">IF(F1268=0," ",IF(BC1268&lt;BB1268,(_xlfn.IFS(AW1268="SIM",SUM(L1268,Q1268,V1268,AA1268,AF1268,AK1268,AP1268,AU1268)+AX1268/_xlfn.XLOOKUP(_xlfn.XLOOKUP($F1268,Clientes!$B$4:$B$39,Clientes!$C$4:$C$39),Cadastros!$L$6:$L$12,Cadastros!$M$6:$M$12)+IF($F1268="Bernardino Furlan",AY1268/2751.92,IF($F1268="Mauro José Salanti",AY1268/2751.92,AY1268/3356)),F1268&lt;&gt;0,SUM(L1268,Q1268,V1268,AA1268,AF1268,AK1268,AP1268,AU1268)))*(1-0.03),_xlfn.IFS(AW1268="SIM",SUM(L1268,Q1268,V1268,AA1268,AF1268,AK1268,AP1268,AU1268)+AX1268/_xlfn.XLOOKUP(_xlfn.XLOOKUP($F1268,Clientes!$B$4:$B$39,Clientes!$C$4:$C$39),Cadastros!$L$6:$L$12,Cadastros!$M$6:$M$12)+IF($F1268="Bernardino Furlan",AY1268/2751.92,IF($F1268="Mauro José Salanti",AY1268/2751.92,AY1268/3356)),F1268&lt;&gt;0,SUM(L1268,Q1268,V1268,AA1268,AF1268,AK1268,AP1268,AU1268))))</f>
        <v xml:space="preserve"> </v>
      </c>
      <c r="BE1268" s="120"/>
      <c r="BF1268" s="120"/>
      <c r="BG1268" s="120"/>
    </row>
    <row r="1269" spans="1:59" s="3" customFormat="1" x14ac:dyDescent="0.3">
      <c r="A1269" s="15" t="str">
        <f t="shared" si="247"/>
        <v/>
      </c>
      <c r="B1269" s="25"/>
      <c r="C1269" s="26"/>
      <c r="D1269" s="279"/>
      <c r="E1269" s="27"/>
      <c r="F1269" s="28"/>
      <c r="G1269" s="27"/>
      <c r="H1269" s="28"/>
      <c r="I1269" s="28"/>
      <c r="J1269" s="255" t="str">
        <f>IF(H1269="","",(_xlfn.XLOOKUP(H1269,Cadastros!$D$6:$D$90,Cadastros!$E$6:$E$90))*(1-_xlfn.XLOOKUP(_xlfn.XLOOKUP($F1269,Clientes!$B$4:$B$39,Clientes!$C$4:$C$39),Cadastros!$L$6:$L$12,Cadastros!$N$6:$N$12)))</f>
        <v/>
      </c>
      <c r="K1269" s="168" t="str">
        <f t="shared" si="248"/>
        <v/>
      </c>
      <c r="L1269" s="168" t="str">
        <f>IFERROR(K1269/_xlfn.XLOOKUP(_xlfn.XLOOKUP($F1269,Clientes!$B$4:$B$39,Clientes!$C$4:$C$39),Cadastros!$L$6:$L$12,Cadastros!$M$6:$M$12)," ")</f>
        <v xml:space="preserve"> </v>
      </c>
      <c r="M1269" s="28"/>
      <c r="N1269" s="28"/>
      <c r="O1269" s="255" t="str">
        <f>IF(M1269="","",(_xlfn.XLOOKUP(M1269,Cadastros!$D$6:$D$90,Cadastros!$E$6:$E$90))*(1-_xlfn.XLOOKUP(_xlfn.XLOOKUP($F1269,Clientes!$B$4:$B$39,Clientes!$C$4:$C$39),Cadastros!$L$6:$L$12,Cadastros!$N$6:$N$12)))</f>
        <v/>
      </c>
      <c r="P1269" s="168" t="str">
        <f t="shared" si="249"/>
        <v/>
      </c>
      <c r="Q1269" s="168" t="str">
        <f>IFERROR(P1269/_xlfn.XLOOKUP(_xlfn.XLOOKUP($F1269,Clientes!$B$4:$B$39,Clientes!$C$4:$C$39),Cadastros!$L$6:$L$12,Cadastros!$M$6:$M$12)," ")</f>
        <v xml:space="preserve"> </v>
      </c>
      <c r="R1269" s="28"/>
      <c r="S1269" s="28"/>
      <c r="T1269" s="255" t="str">
        <f>IF(R1269="","",(_xlfn.XLOOKUP(R1269,Cadastros!$D$6:$D$90,Cadastros!$E$6:$E$90))*(1-_xlfn.XLOOKUP(_xlfn.XLOOKUP($F1269,Clientes!$B$4:$B$39,Clientes!$C$4:$C$39),Cadastros!$L$6:$L$12,Cadastros!$N$6:$N$12)))</f>
        <v/>
      </c>
      <c r="U1269" s="168" t="str">
        <f t="shared" si="250"/>
        <v/>
      </c>
      <c r="V1269" s="168" t="str">
        <f>IFERROR(U1269/_xlfn.XLOOKUP(_xlfn.XLOOKUP($F1269,Clientes!$B$4:$B$39,Clientes!$C$4:$C$39),Cadastros!$L$6:$L$12,Cadastros!$M$6:$M$12)," ")</f>
        <v xml:space="preserve"> </v>
      </c>
      <c r="W1269" s="28"/>
      <c r="X1269" s="28"/>
      <c r="Y1269" s="255" t="str">
        <f>IF(W1269="","",(_xlfn.XLOOKUP(W1269,Cadastros!$D$6:$D$90,Cadastros!$E$6:$E$90))*(1-_xlfn.XLOOKUP(_xlfn.XLOOKUP($F1269,Clientes!$B$4:$B$39,Clientes!$C$4:$C$39),Cadastros!$L$6:$L$12,Cadastros!$N$6:$N$12)))</f>
        <v/>
      </c>
      <c r="Z1269" s="168" t="str">
        <f t="shared" si="251"/>
        <v/>
      </c>
      <c r="AA1269" s="168" t="str">
        <f>IFERROR(Z1269/_xlfn.XLOOKUP(_xlfn.XLOOKUP($F1269,Clientes!$B$4:$B$39,Clientes!$C$4:$C$39),Cadastros!$L$6:$L$12,Cadastros!$M$6:$M$12)," ")</f>
        <v xml:space="preserve"> </v>
      </c>
      <c r="AB1269" s="28"/>
      <c r="AC1269" s="28"/>
      <c r="AD1269" s="20" t="str">
        <f>IF(AB1269="","",IF($F1269="Bernardino Furlan",_xlfn.XLOOKUP(AB1269,Cadastros!$G$6:$G$90,Cadastros!$H$6:$H$90)*(1-0.18),IF($F1269="Mauro José Salanti",_xlfn.XLOOKUP(AB1269,Cadastros!$G$6:$G$90,Cadastros!$H$6:$H$90)*(1-0.18),_xlfn.XLOOKUP(AB1269,Cadastros!$G$6:$G$90,Cadastros!$H$6:$H$90))))</f>
        <v/>
      </c>
      <c r="AE1269" s="168" t="str">
        <f t="shared" si="252"/>
        <v/>
      </c>
      <c r="AF1269" s="168" t="str">
        <f t="shared" si="253"/>
        <v/>
      </c>
      <c r="AG1269" s="28"/>
      <c r="AH1269" s="28"/>
      <c r="AI1269" s="20" t="str">
        <f>IF(AG1269="","",IF($F1269="Bernardino Furlan",_xlfn.XLOOKUP(AG1269,Cadastros!$G$6:$G$90,Cadastros!$H$6:$H$90)*(1-0.18),IF($F1269="Mauro José Salanti",_xlfn.XLOOKUP(AG1269,Cadastros!$G$6:$G$90,Cadastros!$H$6:$H$90)*(1-0.18),_xlfn.XLOOKUP(AG1269,Cadastros!$G$6:$G$90,Cadastros!$H$6:$H$90))))</f>
        <v/>
      </c>
      <c r="AJ1269" s="168" t="str">
        <f t="shared" si="254"/>
        <v/>
      </c>
      <c r="AK1269" s="168" t="str">
        <f t="shared" si="255"/>
        <v/>
      </c>
      <c r="AL1269" s="28"/>
      <c r="AM1269" s="28"/>
      <c r="AN1269" s="20" t="str">
        <f>IF(AL1269="","",IF($F1269="Bernardino Furlan",_xlfn.XLOOKUP(AL1269,Cadastros!$G$6:$G$90,Cadastros!$H$6:$H$90)*(1-0.18),IF($F1269="Mauro José Salanti",_xlfn.XLOOKUP(AL1269,Cadastros!$G$6:$G$90,Cadastros!$H$6:$H$90)*(1-0.18),_xlfn.XLOOKUP(AL1269,Cadastros!$G$6:$G$90,Cadastros!$H$6:$H$90))))</f>
        <v/>
      </c>
      <c r="AO1269" s="168" t="str">
        <f t="shared" si="256"/>
        <v/>
      </c>
      <c r="AP1269" s="168" t="str">
        <f t="shared" si="257"/>
        <v/>
      </c>
      <c r="AQ1269" s="28"/>
      <c r="AR1269" s="28"/>
      <c r="AS1269" s="20" t="str">
        <f>IF(AQ1269="","",IF($F1269="Bernardino Furlan",_xlfn.XLOOKUP(AQ1269,Cadastros!$G$6:$G$90,Cadastros!$H$6:$H$90)*(1-0.18),IF($F1269="Mauro José Salanti",_xlfn.XLOOKUP(AQ1269,Cadastros!$G$6:$G$90,Cadastros!$H$6:$H$90)*(1-0.18),_xlfn.XLOOKUP(AQ1269,Cadastros!$G$6:$G$90,Cadastros!$H$6:$H$90))))</f>
        <v/>
      </c>
      <c r="AT1269" s="168" t="str">
        <f t="shared" si="258"/>
        <v/>
      </c>
      <c r="AU1269" s="168" t="str">
        <f t="shared" si="259"/>
        <v/>
      </c>
      <c r="AV1269" s="227"/>
      <c r="AW1269" s="30"/>
      <c r="AX1269" s="267"/>
      <c r="AY1269" s="267"/>
      <c r="AZ1269" s="29"/>
      <c r="BA1269" s="30"/>
      <c r="BB1269" s="23" t="str" cm="1">
        <f t="array" ref="BB1269">_xlfn.IFS(AW1269="SIM",SUM(K1269,P1269,U1269,Z1269,AE1269,AJ1269,AO1269,AT1269,AX1269,AY1269),F1269&lt;&gt;"",SUM(K1269,P1269,U1269,Z1269,AE1269,AJ1269,,AO1269,AT1269),F1269="","")</f>
        <v/>
      </c>
      <c r="BC1269" s="211" t="str" cm="1">
        <f t="array" ref="BC1269">_xlfn.IFS(E1269="","",G1269&lt;=E1269,BB1269*(1-0.03),G1269&lt;(E1269+8),BB1269,AZ1269="Boleto",BB1269*(1+0.001)^DATEDIF(E1269,G1269,"D"),AZ1269="Cheque",BB1269,AZ1269="Dinheiro","Alterar forma pgto")</f>
        <v/>
      </c>
      <c r="BD1269" s="276" t="str" cm="1">
        <f t="array" ref="BD1269">IF(F1269=0," ",IF(BC1269&lt;BB1269,(_xlfn.IFS(AW1269="SIM",SUM(L1269,Q1269,V1269,AA1269,AF1269,AK1269,AP1269,AU1269)+AX1269/_xlfn.XLOOKUP(_xlfn.XLOOKUP($F1269,Clientes!$B$4:$B$39,Clientes!$C$4:$C$39),Cadastros!$L$6:$L$12,Cadastros!$M$6:$M$12)+IF($F1269="Bernardino Furlan",AY1269/2751.92,IF($F1269="Mauro José Salanti",AY1269/2751.92,AY1269/3356)),F1269&lt;&gt;0,SUM(L1269,Q1269,V1269,AA1269,AF1269,AK1269,AP1269,AU1269)))*(1-0.03),_xlfn.IFS(AW1269="SIM",SUM(L1269,Q1269,V1269,AA1269,AF1269,AK1269,AP1269,AU1269)+AX1269/_xlfn.XLOOKUP(_xlfn.XLOOKUP($F1269,Clientes!$B$4:$B$39,Clientes!$C$4:$C$39),Cadastros!$L$6:$L$12,Cadastros!$M$6:$M$12)+IF($F1269="Bernardino Furlan",AY1269/2751.92,IF($F1269="Mauro José Salanti",AY1269/2751.92,AY1269/3356)),F1269&lt;&gt;0,SUM(L1269,Q1269,V1269,AA1269,AF1269,AK1269,AP1269,AU1269))))</f>
        <v xml:space="preserve"> </v>
      </c>
      <c r="BE1269" s="120"/>
      <c r="BF1269" s="120"/>
      <c r="BG1269" s="120"/>
    </row>
    <row r="1270" spans="1:59" s="3" customFormat="1" x14ac:dyDescent="0.3">
      <c r="A1270" s="15" t="str">
        <f t="shared" si="247"/>
        <v/>
      </c>
      <c r="B1270" s="25"/>
      <c r="C1270" s="26"/>
      <c r="D1270" s="279"/>
      <c r="E1270" s="27"/>
      <c r="F1270" s="28"/>
      <c r="G1270" s="27"/>
      <c r="H1270" s="28"/>
      <c r="I1270" s="28"/>
      <c r="J1270" s="255" t="str">
        <f>IF(H1270="","",(_xlfn.XLOOKUP(H1270,Cadastros!$D$6:$D$90,Cadastros!$E$6:$E$90))*(1-_xlfn.XLOOKUP(_xlfn.XLOOKUP($F1270,Clientes!$B$4:$B$39,Clientes!$C$4:$C$39),Cadastros!$L$6:$L$12,Cadastros!$N$6:$N$12)))</f>
        <v/>
      </c>
      <c r="K1270" s="168" t="str">
        <f t="shared" si="248"/>
        <v/>
      </c>
      <c r="L1270" s="168" t="str">
        <f>IFERROR(K1270/_xlfn.XLOOKUP(_xlfn.XLOOKUP($F1270,Clientes!$B$4:$B$39,Clientes!$C$4:$C$39),Cadastros!$L$6:$L$12,Cadastros!$M$6:$M$12)," ")</f>
        <v xml:space="preserve"> </v>
      </c>
      <c r="M1270" s="28"/>
      <c r="N1270" s="28"/>
      <c r="O1270" s="255" t="str">
        <f>IF(M1270="","",(_xlfn.XLOOKUP(M1270,Cadastros!$D$6:$D$90,Cadastros!$E$6:$E$90))*(1-_xlfn.XLOOKUP(_xlfn.XLOOKUP($F1270,Clientes!$B$4:$B$39,Clientes!$C$4:$C$39),Cadastros!$L$6:$L$12,Cadastros!$N$6:$N$12)))</f>
        <v/>
      </c>
      <c r="P1270" s="168" t="str">
        <f t="shared" si="249"/>
        <v/>
      </c>
      <c r="Q1270" s="168" t="str">
        <f>IFERROR(P1270/_xlfn.XLOOKUP(_xlfn.XLOOKUP($F1270,Clientes!$B$4:$B$39,Clientes!$C$4:$C$39),Cadastros!$L$6:$L$12,Cadastros!$M$6:$M$12)," ")</f>
        <v xml:space="preserve"> </v>
      </c>
      <c r="R1270" s="28"/>
      <c r="S1270" s="28"/>
      <c r="T1270" s="255" t="str">
        <f>IF(R1270="","",(_xlfn.XLOOKUP(R1270,Cadastros!$D$6:$D$90,Cadastros!$E$6:$E$90))*(1-_xlfn.XLOOKUP(_xlfn.XLOOKUP($F1270,Clientes!$B$4:$B$39,Clientes!$C$4:$C$39),Cadastros!$L$6:$L$12,Cadastros!$N$6:$N$12)))</f>
        <v/>
      </c>
      <c r="U1270" s="168" t="str">
        <f t="shared" si="250"/>
        <v/>
      </c>
      <c r="V1270" s="168" t="str">
        <f>IFERROR(U1270/_xlfn.XLOOKUP(_xlfn.XLOOKUP($F1270,Clientes!$B$4:$B$39,Clientes!$C$4:$C$39),Cadastros!$L$6:$L$12,Cadastros!$M$6:$M$12)," ")</f>
        <v xml:space="preserve"> </v>
      </c>
      <c r="W1270" s="28"/>
      <c r="X1270" s="28"/>
      <c r="Y1270" s="255" t="str">
        <f>IF(W1270="","",(_xlfn.XLOOKUP(W1270,Cadastros!$D$6:$D$90,Cadastros!$E$6:$E$90))*(1-_xlfn.XLOOKUP(_xlfn.XLOOKUP($F1270,Clientes!$B$4:$B$39,Clientes!$C$4:$C$39),Cadastros!$L$6:$L$12,Cadastros!$N$6:$N$12)))</f>
        <v/>
      </c>
      <c r="Z1270" s="168" t="str">
        <f t="shared" si="251"/>
        <v/>
      </c>
      <c r="AA1270" s="168" t="str">
        <f>IFERROR(Z1270/_xlfn.XLOOKUP(_xlfn.XLOOKUP($F1270,Clientes!$B$4:$B$39,Clientes!$C$4:$C$39),Cadastros!$L$6:$L$12,Cadastros!$M$6:$M$12)," ")</f>
        <v xml:space="preserve"> </v>
      </c>
      <c r="AB1270" s="28"/>
      <c r="AC1270" s="28"/>
      <c r="AD1270" s="20" t="str">
        <f>IF(AB1270="","",IF($F1270="Bernardino Furlan",_xlfn.XLOOKUP(AB1270,Cadastros!$G$6:$G$90,Cadastros!$H$6:$H$90)*(1-0.18),IF($F1270="Mauro José Salanti",_xlfn.XLOOKUP(AB1270,Cadastros!$G$6:$G$90,Cadastros!$H$6:$H$90)*(1-0.18),_xlfn.XLOOKUP(AB1270,Cadastros!$G$6:$G$90,Cadastros!$H$6:$H$90))))</f>
        <v/>
      </c>
      <c r="AE1270" s="168" t="str">
        <f t="shared" si="252"/>
        <v/>
      </c>
      <c r="AF1270" s="168" t="str">
        <f t="shared" si="253"/>
        <v/>
      </c>
      <c r="AG1270" s="28"/>
      <c r="AH1270" s="28"/>
      <c r="AI1270" s="20" t="str">
        <f>IF(AG1270="","",IF($F1270="Bernardino Furlan",_xlfn.XLOOKUP(AG1270,Cadastros!$G$6:$G$90,Cadastros!$H$6:$H$90)*(1-0.18),IF($F1270="Mauro José Salanti",_xlfn.XLOOKUP(AG1270,Cadastros!$G$6:$G$90,Cadastros!$H$6:$H$90)*(1-0.18),_xlfn.XLOOKUP(AG1270,Cadastros!$G$6:$G$90,Cadastros!$H$6:$H$90))))</f>
        <v/>
      </c>
      <c r="AJ1270" s="168" t="str">
        <f t="shared" si="254"/>
        <v/>
      </c>
      <c r="AK1270" s="168" t="str">
        <f t="shared" si="255"/>
        <v/>
      </c>
      <c r="AL1270" s="28"/>
      <c r="AM1270" s="28"/>
      <c r="AN1270" s="20" t="str">
        <f>IF(AL1270="","",IF($F1270="Bernardino Furlan",_xlfn.XLOOKUP(AL1270,Cadastros!$G$6:$G$90,Cadastros!$H$6:$H$90)*(1-0.18),IF($F1270="Mauro José Salanti",_xlfn.XLOOKUP(AL1270,Cadastros!$G$6:$G$90,Cadastros!$H$6:$H$90)*(1-0.18),_xlfn.XLOOKUP(AL1270,Cadastros!$G$6:$G$90,Cadastros!$H$6:$H$90))))</f>
        <v/>
      </c>
      <c r="AO1270" s="168" t="str">
        <f t="shared" si="256"/>
        <v/>
      </c>
      <c r="AP1270" s="168" t="str">
        <f t="shared" si="257"/>
        <v/>
      </c>
      <c r="AQ1270" s="28"/>
      <c r="AR1270" s="28"/>
      <c r="AS1270" s="20" t="str">
        <f>IF(AQ1270="","",IF($F1270="Bernardino Furlan",_xlfn.XLOOKUP(AQ1270,Cadastros!$G$6:$G$90,Cadastros!$H$6:$H$90)*(1-0.18),IF($F1270="Mauro José Salanti",_xlfn.XLOOKUP(AQ1270,Cadastros!$G$6:$G$90,Cadastros!$H$6:$H$90)*(1-0.18),_xlfn.XLOOKUP(AQ1270,Cadastros!$G$6:$G$90,Cadastros!$H$6:$H$90))))</f>
        <v/>
      </c>
      <c r="AT1270" s="168" t="str">
        <f t="shared" si="258"/>
        <v/>
      </c>
      <c r="AU1270" s="168" t="str">
        <f t="shared" si="259"/>
        <v/>
      </c>
      <c r="AV1270" s="227"/>
      <c r="AW1270" s="30"/>
      <c r="AX1270" s="267"/>
      <c r="AY1270" s="267"/>
      <c r="AZ1270" s="29"/>
      <c r="BA1270" s="30"/>
      <c r="BB1270" s="23" t="str" cm="1">
        <f t="array" ref="BB1270">_xlfn.IFS(AW1270="SIM",SUM(K1270,P1270,U1270,Z1270,AE1270,AJ1270,AO1270,AT1270,AX1270,AY1270),F1270&lt;&gt;"",SUM(K1270,P1270,U1270,Z1270,AE1270,AJ1270,,AO1270,AT1270),F1270="","")</f>
        <v/>
      </c>
      <c r="BC1270" s="211" t="str" cm="1">
        <f t="array" ref="BC1270">_xlfn.IFS(E1270="","",G1270&lt;=E1270,BB1270*(1-0.03),G1270&lt;(E1270+8),BB1270,AZ1270="Boleto",BB1270*(1+0.001)^DATEDIF(E1270,G1270,"D"),AZ1270="Cheque",BB1270,AZ1270="Dinheiro","Alterar forma pgto")</f>
        <v/>
      </c>
      <c r="BD1270" s="276" t="str" cm="1">
        <f t="array" ref="BD1270">IF(F1270=0," ",IF(BC1270&lt;BB1270,(_xlfn.IFS(AW1270="SIM",SUM(L1270,Q1270,V1270,AA1270,AF1270,AK1270,AP1270,AU1270)+AX1270/_xlfn.XLOOKUP(_xlfn.XLOOKUP($F1270,Clientes!$B$4:$B$39,Clientes!$C$4:$C$39),Cadastros!$L$6:$L$12,Cadastros!$M$6:$M$12)+IF($F1270="Bernardino Furlan",AY1270/2751.92,IF($F1270="Mauro José Salanti",AY1270/2751.92,AY1270/3356)),F1270&lt;&gt;0,SUM(L1270,Q1270,V1270,AA1270,AF1270,AK1270,AP1270,AU1270)))*(1-0.03),_xlfn.IFS(AW1270="SIM",SUM(L1270,Q1270,V1270,AA1270,AF1270,AK1270,AP1270,AU1270)+AX1270/_xlfn.XLOOKUP(_xlfn.XLOOKUP($F1270,Clientes!$B$4:$B$39,Clientes!$C$4:$C$39),Cadastros!$L$6:$L$12,Cadastros!$M$6:$M$12)+IF($F1270="Bernardino Furlan",AY1270/2751.92,IF($F1270="Mauro José Salanti",AY1270/2751.92,AY1270/3356)),F1270&lt;&gt;0,SUM(L1270,Q1270,V1270,AA1270,AF1270,AK1270,AP1270,AU1270))))</f>
        <v xml:space="preserve"> </v>
      </c>
      <c r="BE1270" s="120"/>
      <c r="BF1270" s="120"/>
      <c r="BG1270" s="120"/>
    </row>
    <row r="1271" spans="1:59" s="3" customFormat="1" x14ac:dyDescent="0.3">
      <c r="A1271" s="15" t="str">
        <f t="shared" si="247"/>
        <v/>
      </c>
      <c r="B1271" s="25"/>
      <c r="C1271" s="26"/>
      <c r="D1271" s="279"/>
      <c r="E1271" s="27"/>
      <c r="F1271" s="28"/>
      <c r="G1271" s="27"/>
      <c r="H1271" s="28"/>
      <c r="I1271" s="28"/>
      <c r="J1271" s="255" t="str">
        <f>IF(H1271="","",(_xlfn.XLOOKUP(H1271,Cadastros!$D$6:$D$90,Cadastros!$E$6:$E$90))*(1-_xlfn.XLOOKUP(_xlfn.XLOOKUP($F1271,Clientes!$B$4:$B$39,Clientes!$C$4:$C$39),Cadastros!$L$6:$L$12,Cadastros!$N$6:$N$12)))</f>
        <v/>
      </c>
      <c r="K1271" s="168" t="str">
        <f t="shared" si="248"/>
        <v/>
      </c>
      <c r="L1271" s="168" t="str">
        <f>IFERROR(K1271/_xlfn.XLOOKUP(_xlfn.XLOOKUP($F1271,Clientes!$B$4:$B$39,Clientes!$C$4:$C$39),Cadastros!$L$6:$L$12,Cadastros!$M$6:$M$12)," ")</f>
        <v xml:space="preserve"> </v>
      </c>
      <c r="M1271" s="28"/>
      <c r="N1271" s="28"/>
      <c r="O1271" s="255" t="str">
        <f>IF(M1271="","",(_xlfn.XLOOKUP(M1271,Cadastros!$D$6:$D$90,Cadastros!$E$6:$E$90))*(1-_xlfn.XLOOKUP(_xlfn.XLOOKUP($F1271,Clientes!$B$4:$B$39,Clientes!$C$4:$C$39),Cadastros!$L$6:$L$12,Cadastros!$N$6:$N$12)))</f>
        <v/>
      </c>
      <c r="P1271" s="168" t="str">
        <f t="shared" si="249"/>
        <v/>
      </c>
      <c r="Q1271" s="168" t="str">
        <f>IFERROR(P1271/_xlfn.XLOOKUP(_xlfn.XLOOKUP($F1271,Clientes!$B$4:$B$39,Clientes!$C$4:$C$39),Cadastros!$L$6:$L$12,Cadastros!$M$6:$M$12)," ")</f>
        <v xml:space="preserve"> </v>
      </c>
      <c r="R1271" s="28"/>
      <c r="S1271" s="28"/>
      <c r="T1271" s="255" t="str">
        <f>IF(R1271="","",(_xlfn.XLOOKUP(R1271,Cadastros!$D$6:$D$90,Cadastros!$E$6:$E$90))*(1-_xlfn.XLOOKUP(_xlfn.XLOOKUP($F1271,Clientes!$B$4:$B$39,Clientes!$C$4:$C$39),Cadastros!$L$6:$L$12,Cadastros!$N$6:$N$12)))</f>
        <v/>
      </c>
      <c r="U1271" s="168" t="str">
        <f t="shared" si="250"/>
        <v/>
      </c>
      <c r="V1271" s="168" t="str">
        <f>IFERROR(U1271/_xlfn.XLOOKUP(_xlfn.XLOOKUP($F1271,Clientes!$B$4:$B$39,Clientes!$C$4:$C$39),Cadastros!$L$6:$L$12,Cadastros!$M$6:$M$12)," ")</f>
        <v xml:space="preserve"> </v>
      </c>
      <c r="W1271" s="28"/>
      <c r="X1271" s="28"/>
      <c r="Y1271" s="255" t="str">
        <f>IF(W1271="","",(_xlfn.XLOOKUP(W1271,Cadastros!$D$6:$D$90,Cadastros!$E$6:$E$90))*(1-_xlfn.XLOOKUP(_xlfn.XLOOKUP($F1271,Clientes!$B$4:$B$39,Clientes!$C$4:$C$39),Cadastros!$L$6:$L$12,Cadastros!$N$6:$N$12)))</f>
        <v/>
      </c>
      <c r="Z1271" s="168" t="str">
        <f t="shared" si="251"/>
        <v/>
      </c>
      <c r="AA1271" s="168" t="str">
        <f>IFERROR(Z1271/_xlfn.XLOOKUP(_xlfn.XLOOKUP($F1271,Clientes!$B$4:$B$39,Clientes!$C$4:$C$39),Cadastros!$L$6:$L$12,Cadastros!$M$6:$M$12)," ")</f>
        <v xml:space="preserve"> </v>
      </c>
      <c r="AB1271" s="28"/>
      <c r="AC1271" s="28"/>
      <c r="AD1271" s="20" t="str">
        <f>IF(AB1271="","",IF($F1271="Bernardino Furlan",_xlfn.XLOOKUP(AB1271,Cadastros!$G$6:$G$90,Cadastros!$H$6:$H$90)*(1-0.18),IF($F1271="Mauro José Salanti",_xlfn.XLOOKUP(AB1271,Cadastros!$G$6:$G$90,Cadastros!$H$6:$H$90)*(1-0.18),_xlfn.XLOOKUP(AB1271,Cadastros!$G$6:$G$90,Cadastros!$H$6:$H$90))))</f>
        <v/>
      </c>
      <c r="AE1271" s="168" t="str">
        <f t="shared" si="252"/>
        <v/>
      </c>
      <c r="AF1271" s="168" t="str">
        <f t="shared" si="253"/>
        <v/>
      </c>
      <c r="AG1271" s="28"/>
      <c r="AH1271" s="28"/>
      <c r="AI1271" s="20" t="str">
        <f>IF(AG1271="","",IF($F1271="Bernardino Furlan",_xlfn.XLOOKUP(AG1271,Cadastros!$G$6:$G$90,Cadastros!$H$6:$H$90)*(1-0.18),IF($F1271="Mauro José Salanti",_xlfn.XLOOKUP(AG1271,Cadastros!$G$6:$G$90,Cadastros!$H$6:$H$90)*(1-0.18),_xlfn.XLOOKUP(AG1271,Cadastros!$G$6:$G$90,Cadastros!$H$6:$H$90))))</f>
        <v/>
      </c>
      <c r="AJ1271" s="168" t="str">
        <f t="shared" si="254"/>
        <v/>
      </c>
      <c r="AK1271" s="168" t="str">
        <f t="shared" si="255"/>
        <v/>
      </c>
      <c r="AL1271" s="28"/>
      <c r="AM1271" s="28"/>
      <c r="AN1271" s="20" t="str">
        <f>IF(AL1271="","",IF($F1271="Bernardino Furlan",_xlfn.XLOOKUP(AL1271,Cadastros!$G$6:$G$90,Cadastros!$H$6:$H$90)*(1-0.18),IF($F1271="Mauro José Salanti",_xlfn.XLOOKUP(AL1271,Cadastros!$G$6:$G$90,Cadastros!$H$6:$H$90)*(1-0.18),_xlfn.XLOOKUP(AL1271,Cadastros!$G$6:$G$90,Cadastros!$H$6:$H$90))))</f>
        <v/>
      </c>
      <c r="AO1271" s="168" t="str">
        <f t="shared" si="256"/>
        <v/>
      </c>
      <c r="AP1271" s="168" t="str">
        <f t="shared" si="257"/>
        <v/>
      </c>
      <c r="AQ1271" s="28"/>
      <c r="AR1271" s="28"/>
      <c r="AS1271" s="20" t="str">
        <f>IF(AQ1271="","",IF($F1271="Bernardino Furlan",_xlfn.XLOOKUP(AQ1271,Cadastros!$G$6:$G$90,Cadastros!$H$6:$H$90)*(1-0.18),IF($F1271="Mauro José Salanti",_xlfn.XLOOKUP(AQ1271,Cadastros!$G$6:$G$90,Cadastros!$H$6:$H$90)*(1-0.18),_xlfn.XLOOKUP(AQ1271,Cadastros!$G$6:$G$90,Cadastros!$H$6:$H$90))))</f>
        <v/>
      </c>
      <c r="AT1271" s="168" t="str">
        <f t="shared" si="258"/>
        <v/>
      </c>
      <c r="AU1271" s="168" t="str">
        <f t="shared" si="259"/>
        <v/>
      </c>
      <c r="AV1271" s="227"/>
      <c r="AW1271" s="30"/>
      <c r="AX1271" s="267"/>
      <c r="AY1271" s="267"/>
      <c r="AZ1271" s="29"/>
      <c r="BA1271" s="30"/>
      <c r="BB1271" s="23" t="str" cm="1">
        <f t="array" ref="BB1271">_xlfn.IFS(AW1271="SIM",SUM(K1271,P1271,U1271,Z1271,AE1271,AJ1271,AO1271,AT1271,AX1271,AY1271),F1271&lt;&gt;"",SUM(K1271,P1271,U1271,Z1271,AE1271,AJ1271,,AO1271,AT1271),F1271="","")</f>
        <v/>
      </c>
      <c r="BC1271" s="211" t="str" cm="1">
        <f t="array" ref="BC1271">_xlfn.IFS(E1271="","",G1271&lt;=E1271,BB1271*(1-0.03),G1271&lt;(E1271+8),BB1271,AZ1271="Boleto",BB1271*(1+0.001)^DATEDIF(E1271,G1271,"D"),AZ1271="Cheque",BB1271,AZ1271="Dinheiro","Alterar forma pgto")</f>
        <v/>
      </c>
      <c r="BD1271" s="276" t="str" cm="1">
        <f t="array" ref="BD1271">IF(F1271=0," ",IF(BC1271&lt;BB1271,(_xlfn.IFS(AW1271="SIM",SUM(L1271,Q1271,V1271,AA1271,AF1271,AK1271,AP1271,AU1271)+AX1271/_xlfn.XLOOKUP(_xlfn.XLOOKUP($F1271,Clientes!$B$4:$B$39,Clientes!$C$4:$C$39),Cadastros!$L$6:$L$12,Cadastros!$M$6:$M$12)+IF($F1271="Bernardino Furlan",AY1271/2751.92,IF($F1271="Mauro José Salanti",AY1271/2751.92,AY1271/3356)),F1271&lt;&gt;0,SUM(L1271,Q1271,V1271,AA1271,AF1271,AK1271,AP1271,AU1271)))*(1-0.03),_xlfn.IFS(AW1271="SIM",SUM(L1271,Q1271,V1271,AA1271,AF1271,AK1271,AP1271,AU1271)+AX1271/_xlfn.XLOOKUP(_xlfn.XLOOKUP($F1271,Clientes!$B$4:$B$39,Clientes!$C$4:$C$39),Cadastros!$L$6:$L$12,Cadastros!$M$6:$M$12)+IF($F1271="Bernardino Furlan",AY1271/2751.92,IF($F1271="Mauro José Salanti",AY1271/2751.92,AY1271/3356)),F1271&lt;&gt;0,SUM(L1271,Q1271,V1271,AA1271,AF1271,AK1271,AP1271,AU1271))))</f>
        <v xml:space="preserve"> </v>
      </c>
      <c r="BE1271" s="120"/>
      <c r="BF1271" s="120"/>
      <c r="BG1271" s="120"/>
    </row>
    <row r="1272" spans="1:59" s="3" customFormat="1" x14ac:dyDescent="0.3">
      <c r="A1272" s="15" t="str">
        <f t="shared" si="247"/>
        <v/>
      </c>
      <c r="B1272" s="25"/>
      <c r="C1272" s="26"/>
      <c r="D1272" s="279"/>
      <c r="E1272" s="27"/>
      <c r="F1272" s="28"/>
      <c r="G1272" s="27"/>
      <c r="H1272" s="28"/>
      <c r="I1272" s="28"/>
      <c r="J1272" s="255" t="str">
        <f>IF(H1272="","",(_xlfn.XLOOKUP(H1272,Cadastros!$D$6:$D$90,Cadastros!$E$6:$E$90))*(1-_xlfn.XLOOKUP(_xlfn.XLOOKUP($F1272,Clientes!$B$4:$B$39,Clientes!$C$4:$C$39),Cadastros!$L$6:$L$12,Cadastros!$N$6:$N$12)))</f>
        <v/>
      </c>
      <c r="K1272" s="168" t="str">
        <f t="shared" si="248"/>
        <v/>
      </c>
      <c r="L1272" s="168" t="str">
        <f>IFERROR(K1272/_xlfn.XLOOKUP(_xlfn.XLOOKUP($F1272,Clientes!$B$4:$B$39,Clientes!$C$4:$C$39),Cadastros!$L$6:$L$12,Cadastros!$M$6:$M$12)," ")</f>
        <v xml:space="preserve"> </v>
      </c>
      <c r="M1272" s="28"/>
      <c r="N1272" s="28"/>
      <c r="O1272" s="255" t="str">
        <f>IF(M1272="","",(_xlfn.XLOOKUP(M1272,Cadastros!$D$6:$D$90,Cadastros!$E$6:$E$90))*(1-_xlfn.XLOOKUP(_xlfn.XLOOKUP($F1272,Clientes!$B$4:$B$39,Clientes!$C$4:$C$39),Cadastros!$L$6:$L$12,Cadastros!$N$6:$N$12)))</f>
        <v/>
      </c>
      <c r="P1272" s="168" t="str">
        <f t="shared" si="249"/>
        <v/>
      </c>
      <c r="Q1272" s="168" t="str">
        <f>IFERROR(P1272/_xlfn.XLOOKUP(_xlfn.XLOOKUP($F1272,Clientes!$B$4:$B$39,Clientes!$C$4:$C$39),Cadastros!$L$6:$L$12,Cadastros!$M$6:$M$12)," ")</f>
        <v xml:space="preserve"> </v>
      </c>
      <c r="R1272" s="28"/>
      <c r="S1272" s="28"/>
      <c r="T1272" s="255" t="str">
        <f>IF(R1272="","",(_xlfn.XLOOKUP(R1272,Cadastros!$D$6:$D$90,Cadastros!$E$6:$E$90))*(1-_xlfn.XLOOKUP(_xlfn.XLOOKUP($F1272,Clientes!$B$4:$B$39,Clientes!$C$4:$C$39),Cadastros!$L$6:$L$12,Cadastros!$N$6:$N$12)))</f>
        <v/>
      </c>
      <c r="U1272" s="168" t="str">
        <f t="shared" si="250"/>
        <v/>
      </c>
      <c r="V1272" s="168" t="str">
        <f>IFERROR(U1272/_xlfn.XLOOKUP(_xlfn.XLOOKUP($F1272,Clientes!$B$4:$B$39,Clientes!$C$4:$C$39),Cadastros!$L$6:$L$12,Cadastros!$M$6:$M$12)," ")</f>
        <v xml:space="preserve"> </v>
      </c>
      <c r="W1272" s="28"/>
      <c r="X1272" s="28"/>
      <c r="Y1272" s="255" t="str">
        <f>IF(W1272="","",(_xlfn.XLOOKUP(W1272,Cadastros!$D$6:$D$90,Cadastros!$E$6:$E$90))*(1-_xlfn.XLOOKUP(_xlfn.XLOOKUP($F1272,Clientes!$B$4:$B$39,Clientes!$C$4:$C$39),Cadastros!$L$6:$L$12,Cadastros!$N$6:$N$12)))</f>
        <v/>
      </c>
      <c r="Z1272" s="168" t="str">
        <f t="shared" si="251"/>
        <v/>
      </c>
      <c r="AA1272" s="168" t="str">
        <f>IFERROR(Z1272/_xlfn.XLOOKUP(_xlfn.XLOOKUP($F1272,Clientes!$B$4:$B$39,Clientes!$C$4:$C$39),Cadastros!$L$6:$L$12,Cadastros!$M$6:$M$12)," ")</f>
        <v xml:space="preserve"> </v>
      </c>
      <c r="AB1272" s="28"/>
      <c r="AC1272" s="28"/>
      <c r="AD1272" s="20" t="str">
        <f>IF(AB1272="","",IF($F1272="Bernardino Furlan",_xlfn.XLOOKUP(AB1272,Cadastros!$G$6:$G$90,Cadastros!$H$6:$H$90)*(1-0.18),IF($F1272="Mauro José Salanti",_xlfn.XLOOKUP(AB1272,Cadastros!$G$6:$G$90,Cadastros!$H$6:$H$90)*(1-0.18),_xlfn.XLOOKUP(AB1272,Cadastros!$G$6:$G$90,Cadastros!$H$6:$H$90))))</f>
        <v/>
      </c>
      <c r="AE1272" s="168" t="str">
        <f t="shared" si="252"/>
        <v/>
      </c>
      <c r="AF1272" s="168" t="str">
        <f t="shared" si="253"/>
        <v/>
      </c>
      <c r="AG1272" s="28"/>
      <c r="AH1272" s="28"/>
      <c r="AI1272" s="20" t="str">
        <f>IF(AG1272="","",IF($F1272="Bernardino Furlan",_xlfn.XLOOKUP(AG1272,Cadastros!$G$6:$G$90,Cadastros!$H$6:$H$90)*(1-0.18),IF($F1272="Mauro José Salanti",_xlfn.XLOOKUP(AG1272,Cadastros!$G$6:$G$90,Cadastros!$H$6:$H$90)*(1-0.18),_xlfn.XLOOKUP(AG1272,Cadastros!$G$6:$G$90,Cadastros!$H$6:$H$90))))</f>
        <v/>
      </c>
      <c r="AJ1272" s="168" t="str">
        <f t="shared" si="254"/>
        <v/>
      </c>
      <c r="AK1272" s="168" t="str">
        <f t="shared" si="255"/>
        <v/>
      </c>
      <c r="AL1272" s="28"/>
      <c r="AM1272" s="28"/>
      <c r="AN1272" s="20" t="str">
        <f>IF(AL1272="","",IF($F1272="Bernardino Furlan",_xlfn.XLOOKUP(AL1272,Cadastros!$G$6:$G$90,Cadastros!$H$6:$H$90)*(1-0.18),IF($F1272="Mauro José Salanti",_xlfn.XLOOKUP(AL1272,Cadastros!$G$6:$G$90,Cadastros!$H$6:$H$90)*(1-0.18),_xlfn.XLOOKUP(AL1272,Cadastros!$G$6:$G$90,Cadastros!$H$6:$H$90))))</f>
        <v/>
      </c>
      <c r="AO1272" s="168" t="str">
        <f t="shared" si="256"/>
        <v/>
      </c>
      <c r="AP1272" s="168" t="str">
        <f t="shared" si="257"/>
        <v/>
      </c>
      <c r="AQ1272" s="28"/>
      <c r="AR1272" s="28"/>
      <c r="AS1272" s="20" t="str">
        <f>IF(AQ1272="","",IF($F1272="Bernardino Furlan",_xlfn.XLOOKUP(AQ1272,Cadastros!$G$6:$G$90,Cadastros!$H$6:$H$90)*(1-0.18),IF($F1272="Mauro José Salanti",_xlfn.XLOOKUP(AQ1272,Cadastros!$G$6:$G$90,Cadastros!$H$6:$H$90)*(1-0.18),_xlfn.XLOOKUP(AQ1272,Cadastros!$G$6:$G$90,Cadastros!$H$6:$H$90))))</f>
        <v/>
      </c>
      <c r="AT1272" s="168" t="str">
        <f t="shared" si="258"/>
        <v/>
      </c>
      <c r="AU1272" s="168" t="str">
        <f t="shared" si="259"/>
        <v/>
      </c>
      <c r="AV1272" s="227"/>
      <c r="AW1272" s="30"/>
      <c r="AX1272" s="267"/>
      <c r="AY1272" s="267"/>
      <c r="AZ1272" s="29"/>
      <c r="BA1272" s="30"/>
      <c r="BB1272" s="23" t="str" cm="1">
        <f t="array" ref="BB1272">_xlfn.IFS(AW1272="SIM",SUM(K1272,P1272,U1272,Z1272,AE1272,AJ1272,AO1272,AT1272,AX1272,AY1272),F1272&lt;&gt;"",SUM(K1272,P1272,U1272,Z1272,AE1272,AJ1272,,AO1272,AT1272),F1272="","")</f>
        <v/>
      </c>
      <c r="BC1272" s="211" t="str" cm="1">
        <f t="array" ref="BC1272">_xlfn.IFS(E1272="","",G1272&lt;=E1272,BB1272*(1-0.03),G1272&lt;(E1272+8),BB1272,AZ1272="Boleto",BB1272*(1+0.001)^DATEDIF(E1272,G1272,"D"),AZ1272="Cheque",BB1272,AZ1272="Dinheiro","Alterar forma pgto")</f>
        <v/>
      </c>
      <c r="BD1272" s="276" t="str" cm="1">
        <f t="array" ref="BD1272">IF(F1272=0," ",IF(BC1272&lt;BB1272,(_xlfn.IFS(AW1272="SIM",SUM(L1272,Q1272,V1272,AA1272,AF1272,AK1272,AP1272,AU1272)+AX1272/_xlfn.XLOOKUP(_xlfn.XLOOKUP($F1272,Clientes!$B$4:$B$39,Clientes!$C$4:$C$39),Cadastros!$L$6:$L$12,Cadastros!$M$6:$M$12)+IF($F1272="Bernardino Furlan",AY1272/2751.92,IF($F1272="Mauro José Salanti",AY1272/2751.92,AY1272/3356)),F1272&lt;&gt;0,SUM(L1272,Q1272,V1272,AA1272,AF1272,AK1272,AP1272,AU1272)))*(1-0.03),_xlfn.IFS(AW1272="SIM",SUM(L1272,Q1272,V1272,AA1272,AF1272,AK1272,AP1272,AU1272)+AX1272/_xlfn.XLOOKUP(_xlfn.XLOOKUP($F1272,Clientes!$B$4:$B$39,Clientes!$C$4:$C$39),Cadastros!$L$6:$L$12,Cadastros!$M$6:$M$12)+IF($F1272="Bernardino Furlan",AY1272/2751.92,IF($F1272="Mauro José Salanti",AY1272/2751.92,AY1272/3356)),F1272&lt;&gt;0,SUM(L1272,Q1272,V1272,AA1272,AF1272,AK1272,AP1272,AU1272))))</f>
        <v xml:space="preserve"> </v>
      </c>
      <c r="BE1272" s="120"/>
      <c r="BF1272" s="120"/>
      <c r="BG1272" s="120"/>
    </row>
    <row r="1273" spans="1:59" s="3" customFormat="1" x14ac:dyDescent="0.3">
      <c r="A1273" s="15" t="str">
        <f t="shared" si="247"/>
        <v/>
      </c>
      <c r="B1273" s="25"/>
      <c r="C1273" s="26"/>
      <c r="D1273" s="279"/>
      <c r="E1273" s="27"/>
      <c r="F1273" s="28"/>
      <c r="G1273" s="27"/>
      <c r="H1273" s="28"/>
      <c r="I1273" s="28"/>
      <c r="J1273" s="255" t="str">
        <f>IF(H1273="","",(_xlfn.XLOOKUP(H1273,Cadastros!$D$6:$D$90,Cadastros!$E$6:$E$90))*(1-_xlfn.XLOOKUP(_xlfn.XLOOKUP($F1273,Clientes!$B$4:$B$39,Clientes!$C$4:$C$39),Cadastros!$L$6:$L$12,Cadastros!$N$6:$N$12)))</f>
        <v/>
      </c>
      <c r="K1273" s="168" t="str">
        <f t="shared" si="248"/>
        <v/>
      </c>
      <c r="L1273" s="168" t="str">
        <f>IFERROR(K1273/_xlfn.XLOOKUP(_xlfn.XLOOKUP($F1273,Clientes!$B$4:$B$39,Clientes!$C$4:$C$39),Cadastros!$L$6:$L$12,Cadastros!$M$6:$M$12)," ")</f>
        <v xml:space="preserve"> </v>
      </c>
      <c r="M1273" s="28"/>
      <c r="N1273" s="28"/>
      <c r="O1273" s="255" t="str">
        <f>IF(M1273="","",(_xlfn.XLOOKUP(M1273,Cadastros!$D$6:$D$90,Cadastros!$E$6:$E$90))*(1-_xlfn.XLOOKUP(_xlfn.XLOOKUP($F1273,Clientes!$B$4:$B$39,Clientes!$C$4:$C$39),Cadastros!$L$6:$L$12,Cadastros!$N$6:$N$12)))</f>
        <v/>
      </c>
      <c r="P1273" s="168" t="str">
        <f t="shared" si="249"/>
        <v/>
      </c>
      <c r="Q1273" s="168" t="str">
        <f>IFERROR(P1273/_xlfn.XLOOKUP(_xlfn.XLOOKUP($F1273,Clientes!$B$4:$B$39,Clientes!$C$4:$C$39),Cadastros!$L$6:$L$12,Cadastros!$M$6:$M$12)," ")</f>
        <v xml:space="preserve"> </v>
      </c>
      <c r="R1273" s="28"/>
      <c r="S1273" s="28"/>
      <c r="T1273" s="255" t="str">
        <f>IF(R1273="","",(_xlfn.XLOOKUP(R1273,Cadastros!$D$6:$D$90,Cadastros!$E$6:$E$90))*(1-_xlfn.XLOOKUP(_xlfn.XLOOKUP($F1273,Clientes!$B$4:$B$39,Clientes!$C$4:$C$39),Cadastros!$L$6:$L$12,Cadastros!$N$6:$N$12)))</f>
        <v/>
      </c>
      <c r="U1273" s="168" t="str">
        <f t="shared" si="250"/>
        <v/>
      </c>
      <c r="V1273" s="168" t="str">
        <f>IFERROR(U1273/_xlfn.XLOOKUP(_xlfn.XLOOKUP($F1273,Clientes!$B$4:$B$39,Clientes!$C$4:$C$39),Cadastros!$L$6:$L$12,Cadastros!$M$6:$M$12)," ")</f>
        <v xml:space="preserve"> </v>
      </c>
      <c r="W1273" s="28"/>
      <c r="X1273" s="28"/>
      <c r="Y1273" s="255" t="str">
        <f>IF(W1273="","",(_xlfn.XLOOKUP(W1273,Cadastros!$D$6:$D$90,Cadastros!$E$6:$E$90))*(1-_xlfn.XLOOKUP(_xlfn.XLOOKUP($F1273,Clientes!$B$4:$B$39,Clientes!$C$4:$C$39),Cadastros!$L$6:$L$12,Cadastros!$N$6:$N$12)))</f>
        <v/>
      </c>
      <c r="Z1273" s="168" t="str">
        <f t="shared" si="251"/>
        <v/>
      </c>
      <c r="AA1273" s="168" t="str">
        <f>IFERROR(Z1273/_xlfn.XLOOKUP(_xlfn.XLOOKUP($F1273,Clientes!$B$4:$B$39,Clientes!$C$4:$C$39),Cadastros!$L$6:$L$12,Cadastros!$M$6:$M$12)," ")</f>
        <v xml:space="preserve"> </v>
      </c>
      <c r="AB1273" s="28"/>
      <c r="AC1273" s="28"/>
      <c r="AD1273" s="20" t="str">
        <f>IF(AB1273="","",IF($F1273="Bernardino Furlan",_xlfn.XLOOKUP(AB1273,Cadastros!$G$6:$G$90,Cadastros!$H$6:$H$90)*(1-0.18),IF($F1273="Mauro José Salanti",_xlfn.XLOOKUP(AB1273,Cadastros!$G$6:$G$90,Cadastros!$H$6:$H$90)*(1-0.18),_xlfn.XLOOKUP(AB1273,Cadastros!$G$6:$G$90,Cadastros!$H$6:$H$90))))</f>
        <v/>
      </c>
      <c r="AE1273" s="168" t="str">
        <f t="shared" si="252"/>
        <v/>
      </c>
      <c r="AF1273" s="168" t="str">
        <f t="shared" si="253"/>
        <v/>
      </c>
      <c r="AG1273" s="28"/>
      <c r="AH1273" s="28"/>
      <c r="AI1273" s="20" t="str">
        <f>IF(AG1273="","",IF($F1273="Bernardino Furlan",_xlfn.XLOOKUP(AG1273,Cadastros!$G$6:$G$90,Cadastros!$H$6:$H$90)*(1-0.18),IF($F1273="Mauro José Salanti",_xlfn.XLOOKUP(AG1273,Cadastros!$G$6:$G$90,Cadastros!$H$6:$H$90)*(1-0.18),_xlfn.XLOOKUP(AG1273,Cadastros!$G$6:$G$90,Cadastros!$H$6:$H$90))))</f>
        <v/>
      </c>
      <c r="AJ1273" s="168" t="str">
        <f t="shared" si="254"/>
        <v/>
      </c>
      <c r="AK1273" s="168" t="str">
        <f t="shared" si="255"/>
        <v/>
      </c>
      <c r="AL1273" s="28"/>
      <c r="AM1273" s="28"/>
      <c r="AN1273" s="20" t="str">
        <f>IF(AL1273="","",IF($F1273="Bernardino Furlan",_xlfn.XLOOKUP(AL1273,Cadastros!$G$6:$G$90,Cadastros!$H$6:$H$90)*(1-0.18),IF($F1273="Mauro José Salanti",_xlfn.XLOOKUP(AL1273,Cadastros!$G$6:$G$90,Cadastros!$H$6:$H$90)*(1-0.18),_xlfn.XLOOKUP(AL1273,Cadastros!$G$6:$G$90,Cadastros!$H$6:$H$90))))</f>
        <v/>
      </c>
      <c r="AO1273" s="168" t="str">
        <f t="shared" si="256"/>
        <v/>
      </c>
      <c r="AP1273" s="168" t="str">
        <f t="shared" si="257"/>
        <v/>
      </c>
      <c r="AQ1273" s="28"/>
      <c r="AR1273" s="28"/>
      <c r="AS1273" s="20" t="str">
        <f>IF(AQ1273="","",IF($F1273="Bernardino Furlan",_xlfn.XLOOKUP(AQ1273,Cadastros!$G$6:$G$90,Cadastros!$H$6:$H$90)*(1-0.18),IF($F1273="Mauro José Salanti",_xlfn.XLOOKUP(AQ1273,Cadastros!$G$6:$G$90,Cadastros!$H$6:$H$90)*(1-0.18),_xlfn.XLOOKUP(AQ1273,Cadastros!$G$6:$G$90,Cadastros!$H$6:$H$90))))</f>
        <v/>
      </c>
      <c r="AT1273" s="168" t="str">
        <f t="shared" si="258"/>
        <v/>
      </c>
      <c r="AU1273" s="168" t="str">
        <f t="shared" si="259"/>
        <v/>
      </c>
      <c r="AV1273" s="227"/>
      <c r="AW1273" s="30"/>
      <c r="AX1273" s="267"/>
      <c r="AY1273" s="267"/>
      <c r="AZ1273" s="29"/>
      <c r="BA1273" s="30"/>
      <c r="BB1273" s="23" t="str" cm="1">
        <f t="array" ref="BB1273">_xlfn.IFS(AW1273="SIM",SUM(K1273,P1273,U1273,Z1273,AE1273,AJ1273,AO1273,AT1273,AX1273,AY1273),F1273&lt;&gt;"",SUM(K1273,P1273,U1273,Z1273,AE1273,AJ1273,,AO1273,AT1273),F1273="","")</f>
        <v/>
      </c>
      <c r="BC1273" s="211" t="str" cm="1">
        <f t="array" ref="BC1273">_xlfn.IFS(E1273="","",G1273&lt;=E1273,BB1273*(1-0.03),G1273&lt;(E1273+8),BB1273,AZ1273="Boleto",BB1273*(1+0.001)^DATEDIF(E1273,G1273,"D"),AZ1273="Cheque",BB1273,AZ1273="Dinheiro","Alterar forma pgto")</f>
        <v/>
      </c>
      <c r="BD1273" s="276" t="str" cm="1">
        <f t="array" ref="BD1273">IF(F1273=0," ",IF(BC1273&lt;BB1273,(_xlfn.IFS(AW1273="SIM",SUM(L1273,Q1273,V1273,AA1273,AF1273,AK1273,AP1273,AU1273)+AX1273/_xlfn.XLOOKUP(_xlfn.XLOOKUP($F1273,Clientes!$B$4:$B$39,Clientes!$C$4:$C$39),Cadastros!$L$6:$L$12,Cadastros!$M$6:$M$12)+IF($F1273="Bernardino Furlan",AY1273/2751.92,IF($F1273="Mauro José Salanti",AY1273/2751.92,AY1273/3356)),F1273&lt;&gt;0,SUM(L1273,Q1273,V1273,AA1273,AF1273,AK1273,AP1273,AU1273)))*(1-0.03),_xlfn.IFS(AW1273="SIM",SUM(L1273,Q1273,V1273,AA1273,AF1273,AK1273,AP1273,AU1273)+AX1273/_xlfn.XLOOKUP(_xlfn.XLOOKUP($F1273,Clientes!$B$4:$B$39,Clientes!$C$4:$C$39),Cadastros!$L$6:$L$12,Cadastros!$M$6:$M$12)+IF($F1273="Bernardino Furlan",AY1273/2751.92,IF($F1273="Mauro José Salanti",AY1273/2751.92,AY1273/3356)),F1273&lt;&gt;0,SUM(L1273,Q1273,V1273,AA1273,AF1273,AK1273,AP1273,AU1273))))</f>
        <v xml:space="preserve"> </v>
      </c>
      <c r="BE1273" s="120"/>
      <c r="BF1273" s="120"/>
      <c r="BG1273" s="120"/>
    </row>
    <row r="1274" spans="1:59" s="3" customFormat="1" x14ac:dyDescent="0.3">
      <c r="A1274" s="15" t="str">
        <f t="shared" si="247"/>
        <v/>
      </c>
      <c r="B1274" s="25"/>
      <c r="C1274" s="26"/>
      <c r="D1274" s="279"/>
      <c r="E1274" s="27"/>
      <c r="F1274" s="28"/>
      <c r="G1274" s="27"/>
      <c r="H1274" s="28"/>
      <c r="I1274" s="28"/>
      <c r="J1274" s="255" t="str">
        <f>IF(H1274="","",(_xlfn.XLOOKUP(H1274,Cadastros!$D$6:$D$90,Cadastros!$E$6:$E$90))*(1-_xlfn.XLOOKUP(_xlfn.XLOOKUP($F1274,Clientes!$B$4:$B$39,Clientes!$C$4:$C$39),Cadastros!$L$6:$L$12,Cadastros!$N$6:$N$12)))</f>
        <v/>
      </c>
      <c r="K1274" s="168" t="str">
        <f t="shared" si="248"/>
        <v/>
      </c>
      <c r="L1274" s="168" t="str">
        <f>IFERROR(K1274/_xlfn.XLOOKUP(_xlfn.XLOOKUP($F1274,Clientes!$B$4:$B$39,Clientes!$C$4:$C$39),Cadastros!$L$6:$L$12,Cadastros!$M$6:$M$12)," ")</f>
        <v xml:space="preserve"> </v>
      </c>
      <c r="M1274" s="28"/>
      <c r="N1274" s="28"/>
      <c r="O1274" s="255" t="str">
        <f>IF(M1274="","",(_xlfn.XLOOKUP(M1274,Cadastros!$D$6:$D$90,Cadastros!$E$6:$E$90))*(1-_xlfn.XLOOKUP(_xlfn.XLOOKUP($F1274,Clientes!$B$4:$B$39,Clientes!$C$4:$C$39),Cadastros!$L$6:$L$12,Cadastros!$N$6:$N$12)))</f>
        <v/>
      </c>
      <c r="P1274" s="168" t="str">
        <f t="shared" si="249"/>
        <v/>
      </c>
      <c r="Q1274" s="168" t="str">
        <f>IFERROR(P1274/_xlfn.XLOOKUP(_xlfn.XLOOKUP($F1274,Clientes!$B$4:$B$39,Clientes!$C$4:$C$39),Cadastros!$L$6:$L$12,Cadastros!$M$6:$M$12)," ")</f>
        <v xml:space="preserve"> </v>
      </c>
      <c r="R1274" s="28"/>
      <c r="S1274" s="28"/>
      <c r="T1274" s="255" t="str">
        <f>IF(R1274="","",(_xlfn.XLOOKUP(R1274,Cadastros!$D$6:$D$90,Cadastros!$E$6:$E$90))*(1-_xlfn.XLOOKUP(_xlfn.XLOOKUP($F1274,Clientes!$B$4:$B$39,Clientes!$C$4:$C$39),Cadastros!$L$6:$L$12,Cadastros!$N$6:$N$12)))</f>
        <v/>
      </c>
      <c r="U1274" s="168" t="str">
        <f t="shared" si="250"/>
        <v/>
      </c>
      <c r="V1274" s="168" t="str">
        <f>IFERROR(U1274/_xlfn.XLOOKUP(_xlfn.XLOOKUP($F1274,Clientes!$B$4:$B$39,Clientes!$C$4:$C$39),Cadastros!$L$6:$L$12,Cadastros!$M$6:$M$12)," ")</f>
        <v xml:space="preserve"> </v>
      </c>
      <c r="W1274" s="28"/>
      <c r="X1274" s="28"/>
      <c r="Y1274" s="255" t="str">
        <f>IF(W1274="","",(_xlfn.XLOOKUP(W1274,Cadastros!$D$6:$D$90,Cadastros!$E$6:$E$90))*(1-_xlfn.XLOOKUP(_xlfn.XLOOKUP($F1274,Clientes!$B$4:$B$39,Clientes!$C$4:$C$39),Cadastros!$L$6:$L$12,Cadastros!$N$6:$N$12)))</f>
        <v/>
      </c>
      <c r="Z1274" s="168" t="str">
        <f t="shared" si="251"/>
        <v/>
      </c>
      <c r="AA1274" s="168" t="str">
        <f>IFERROR(Z1274/_xlfn.XLOOKUP(_xlfn.XLOOKUP($F1274,Clientes!$B$4:$B$39,Clientes!$C$4:$C$39),Cadastros!$L$6:$L$12,Cadastros!$M$6:$M$12)," ")</f>
        <v xml:space="preserve"> </v>
      </c>
      <c r="AB1274" s="28"/>
      <c r="AC1274" s="28"/>
      <c r="AD1274" s="20" t="str">
        <f>IF(AB1274="","",IF($F1274="Bernardino Furlan",_xlfn.XLOOKUP(AB1274,Cadastros!$G$6:$G$90,Cadastros!$H$6:$H$90)*(1-0.18),IF($F1274="Mauro José Salanti",_xlfn.XLOOKUP(AB1274,Cadastros!$G$6:$G$90,Cadastros!$H$6:$H$90)*(1-0.18),_xlfn.XLOOKUP(AB1274,Cadastros!$G$6:$G$90,Cadastros!$H$6:$H$90))))</f>
        <v/>
      </c>
      <c r="AE1274" s="168" t="str">
        <f t="shared" si="252"/>
        <v/>
      </c>
      <c r="AF1274" s="168" t="str">
        <f t="shared" si="253"/>
        <v/>
      </c>
      <c r="AG1274" s="28"/>
      <c r="AH1274" s="28"/>
      <c r="AI1274" s="20" t="str">
        <f>IF(AG1274="","",IF($F1274="Bernardino Furlan",_xlfn.XLOOKUP(AG1274,Cadastros!$G$6:$G$90,Cadastros!$H$6:$H$90)*(1-0.18),IF($F1274="Mauro José Salanti",_xlfn.XLOOKUP(AG1274,Cadastros!$G$6:$G$90,Cadastros!$H$6:$H$90)*(1-0.18),_xlfn.XLOOKUP(AG1274,Cadastros!$G$6:$G$90,Cadastros!$H$6:$H$90))))</f>
        <v/>
      </c>
      <c r="AJ1274" s="168" t="str">
        <f t="shared" si="254"/>
        <v/>
      </c>
      <c r="AK1274" s="168" t="str">
        <f t="shared" si="255"/>
        <v/>
      </c>
      <c r="AL1274" s="28"/>
      <c r="AM1274" s="28"/>
      <c r="AN1274" s="20" t="str">
        <f>IF(AL1274="","",IF($F1274="Bernardino Furlan",_xlfn.XLOOKUP(AL1274,Cadastros!$G$6:$G$90,Cadastros!$H$6:$H$90)*(1-0.18),IF($F1274="Mauro José Salanti",_xlfn.XLOOKUP(AL1274,Cadastros!$G$6:$G$90,Cadastros!$H$6:$H$90)*(1-0.18),_xlfn.XLOOKUP(AL1274,Cadastros!$G$6:$G$90,Cadastros!$H$6:$H$90))))</f>
        <v/>
      </c>
      <c r="AO1274" s="168" t="str">
        <f t="shared" si="256"/>
        <v/>
      </c>
      <c r="AP1274" s="168" t="str">
        <f t="shared" si="257"/>
        <v/>
      </c>
      <c r="AQ1274" s="28"/>
      <c r="AR1274" s="28"/>
      <c r="AS1274" s="20" t="str">
        <f>IF(AQ1274="","",IF($F1274="Bernardino Furlan",_xlfn.XLOOKUP(AQ1274,Cadastros!$G$6:$G$90,Cadastros!$H$6:$H$90)*(1-0.18),IF($F1274="Mauro José Salanti",_xlfn.XLOOKUP(AQ1274,Cadastros!$G$6:$G$90,Cadastros!$H$6:$H$90)*(1-0.18),_xlfn.XLOOKUP(AQ1274,Cadastros!$G$6:$G$90,Cadastros!$H$6:$H$90))))</f>
        <v/>
      </c>
      <c r="AT1274" s="168" t="str">
        <f t="shared" si="258"/>
        <v/>
      </c>
      <c r="AU1274" s="168" t="str">
        <f t="shared" si="259"/>
        <v/>
      </c>
      <c r="AV1274" s="227"/>
      <c r="AW1274" s="30"/>
      <c r="AX1274" s="267"/>
      <c r="AY1274" s="267"/>
      <c r="AZ1274" s="29"/>
      <c r="BA1274" s="30"/>
      <c r="BB1274" s="23" t="str" cm="1">
        <f t="array" ref="BB1274">_xlfn.IFS(AW1274="SIM",SUM(K1274,P1274,U1274,Z1274,AE1274,AJ1274,AO1274,AT1274,AX1274,AY1274),F1274&lt;&gt;"",SUM(K1274,P1274,U1274,Z1274,AE1274,AJ1274,,AO1274,AT1274),F1274="","")</f>
        <v/>
      </c>
      <c r="BC1274" s="211" t="str" cm="1">
        <f t="array" ref="BC1274">_xlfn.IFS(E1274="","",G1274&lt;=E1274,BB1274*(1-0.03),G1274&lt;(E1274+8),BB1274,AZ1274="Boleto",BB1274*(1+0.001)^DATEDIF(E1274,G1274,"D"),AZ1274="Cheque",BB1274,AZ1274="Dinheiro","Alterar forma pgto")</f>
        <v/>
      </c>
      <c r="BD1274" s="276" t="str" cm="1">
        <f t="array" ref="BD1274">IF(F1274=0," ",IF(BC1274&lt;BB1274,(_xlfn.IFS(AW1274="SIM",SUM(L1274,Q1274,V1274,AA1274,AF1274,AK1274,AP1274,AU1274)+AX1274/_xlfn.XLOOKUP(_xlfn.XLOOKUP($F1274,Clientes!$B$4:$B$39,Clientes!$C$4:$C$39),Cadastros!$L$6:$L$12,Cadastros!$M$6:$M$12)+IF($F1274="Bernardino Furlan",AY1274/2751.92,IF($F1274="Mauro José Salanti",AY1274/2751.92,AY1274/3356)),F1274&lt;&gt;0,SUM(L1274,Q1274,V1274,AA1274,AF1274,AK1274,AP1274,AU1274)))*(1-0.03),_xlfn.IFS(AW1274="SIM",SUM(L1274,Q1274,V1274,AA1274,AF1274,AK1274,AP1274,AU1274)+AX1274/_xlfn.XLOOKUP(_xlfn.XLOOKUP($F1274,Clientes!$B$4:$B$39,Clientes!$C$4:$C$39),Cadastros!$L$6:$L$12,Cadastros!$M$6:$M$12)+IF($F1274="Bernardino Furlan",AY1274/2751.92,IF($F1274="Mauro José Salanti",AY1274/2751.92,AY1274/3356)),F1274&lt;&gt;0,SUM(L1274,Q1274,V1274,AA1274,AF1274,AK1274,AP1274,AU1274))))</f>
        <v xml:space="preserve"> </v>
      </c>
      <c r="BE1274" s="120"/>
      <c r="BF1274" s="120"/>
      <c r="BG1274" s="120"/>
    </row>
    <row r="1275" spans="1:59" s="3" customFormat="1" x14ac:dyDescent="0.3">
      <c r="A1275" s="15" t="str">
        <f t="shared" si="247"/>
        <v/>
      </c>
      <c r="B1275" s="25"/>
      <c r="C1275" s="26"/>
      <c r="D1275" s="279"/>
      <c r="E1275" s="27"/>
      <c r="F1275" s="28"/>
      <c r="G1275" s="27"/>
      <c r="H1275" s="28"/>
      <c r="I1275" s="28"/>
      <c r="J1275" s="255" t="str">
        <f>IF(H1275="","",(_xlfn.XLOOKUP(H1275,Cadastros!$D$6:$D$90,Cadastros!$E$6:$E$90))*(1-_xlfn.XLOOKUP(_xlfn.XLOOKUP($F1275,Clientes!$B$4:$B$39,Clientes!$C$4:$C$39),Cadastros!$L$6:$L$12,Cadastros!$N$6:$N$12)))</f>
        <v/>
      </c>
      <c r="K1275" s="168" t="str">
        <f t="shared" si="248"/>
        <v/>
      </c>
      <c r="L1275" s="168" t="str">
        <f>IFERROR(K1275/_xlfn.XLOOKUP(_xlfn.XLOOKUP($F1275,Clientes!$B$4:$B$39,Clientes!$C$4:$C$39),Cadastros!$L$6:$L$12,Cadastros!$M$6:$M$12)," ")</f>
        <v xml:space="preserve"> </v>
      </c>
      <c r="M1275" s="28"/>
      <c r="N1275" s="28"/>
      <c r="O1275" s="255" t="str">
        <f>IF(M1275="","",(_xlfn.XLOOKUP(M1275,Cadastros!$D$6:$D$90,Cadastros!$E$6:$E$90))*(1-_xlfn.XLOOKUP(_xlfn.XLOOKUP($F1275,Clientes!$B$4:$B$39,Clientes!$C$4:$C$39),Cadastros!$L$6:$L$12,Cadastros!$N$6:$N$12)))</f>
        <v/>
      </c>
      <c r="P1275" s="168" t="str">
        <f t="shared" si="249"/>
        <v/>
      </c>
      <c r="Q1275" s="168" t="str">
        <f>IFERROR(P1275/_xlfn.XLOOKUP(_xlfn.XLOOKUP($F1275,Clientes!$B$4:$B$39,Clientes!$C$4:$C$39),Cadastros!$L$6:$L$12,Cadastros!$M$6:$M$12)," ")</f>
        <v xml:space="preserve"> </v>
      </c>
      <c r="R1275" s="28"/>
      <c r="S1275" s="28"/>
      <c r="T1275" s="255" t="str">
        <f>IF(R1275="","",(_xlfn.XLOOKUP(R1275,Cadastros!$D$6:$D$90,Cadastros!$E$6:$E$90))*(1-_xlfn.XLOOKUP(_xlfn.XLOOKUP($F1275,Clientes!$B$4:$B$39,Clientes!$C$4:$C$39),Cadastros!$L$6:$L$12,Cadastros!$N$6:$N$12)))</f>
        <v/>
      </c>
      <c r="U1275" s="168" t="str">
        <f t="shared" si="250"/>
        <v/>
      </c>
      <c r="V1275" s="168" t="str">
        <f>IFERROR(U1275/_xlfn.XLOOKUP(_xlfn.XLOOKUP($F1275,Clientes!$B$4:$B$39,Clientes!$C$4:$C$39),Cadastros!$L$6:$L$12,Cadastros!$M$6:$M$12)," ")</f>
        <v xml:space="preserve"> </v>
      </c>
      <c r="W1275" s="28"/>
      <c r="X1275" s="28"/>
      <c r="Y1275" s="255" t="str">
        <f>IF(W1275="","",(_xlfn.XLOOKUP(W1275,Cadastros!$D$6:$D$90,Cadastros!$E$6:$E$90))*(1-_xlfn.XLOOKUP(_xlfn.XLOOKUP($F1275,Clientes!$B$4:$B$39,Clientes!$C$4:$C$39),Cadastros!$L$6:$L$12,Cadastros!$N$6:$N$12)))</f>
        <v/>
      </c>
      <c r="Z1275" s="168" t="str">
        <f t="shared" si="251"/>
        <v/>
      </c>
      <c r="AA1275" s="168" t="str">
        <f>IFERROR(Z1275/_xlfn.XLOOKUP(_xlfn.XLOOKUP($F1275,Clientes!$B$4:$B$39,Clientes!$C$4:$C$39),Cadastros!$L$6:$L$12,Cadastros!$M$6:$M$12)," ")</f>
        <v xml:space="preserve"> </v>
      </c>
      <c r="AB1275" s="28"/>
      <c r="AC1275" s="28"/>
      <c r="AD1275" s="20" t="str">
        <f>IF(AB1275="","",IF($F1275="Bernardino Furlan",_xlfn.XLOOKUP(AB1275,Cadastros!$G$6:$G$90,Cadastros!$H$6:$H$90)*(1-0.18),IF($F1275="Mauro José Salanti",_xlfn.XLOOKUP(AB1275,Cadastros!$G$6:$G$90,Cadastros!$H$6:$H$90)*(1-0.18),_xlfn.XLOOKUP(AB1275,Cadastros!$G$6:$G$90,Cadastros!$H$6:$H$90))))</f>
        <v/>
      </c>
      <c r="AE1275" s="168" t="str">
        <f t="shared" si="252"/>
        <v/>
      </c>
      <c r="AF1275" s="168" t="str">
        <f t="shared" si="253"/>
        <v/>
      </c>
      <c r="AG1275" s="28"/>
      <c r="AH1275" s="28"/>
      <c r="AI1275" s="20" t="str">
        <f>IF(AG1275="","",IF($F1275="Bernardino Furlan",_xlfn.XLOOKUP(AG1275,Cadastros!$G$6:$G$90,Cadastros!$H$6:$H$90)*(1-0.18),IF($F1275="Mauro José Salanti",_xlfn.XLOOKUP(AG1275,Cadastros!$G$6:$G$90,Cadastros!$H$6:$H$90)*(1-0.18),_xlfn.XLOOKUP(AG1275,Cadastros!$G$6:$G$90,Cadastros!$H$6:$H$90))))</f>
        <v/>
      </c>
      <c r="AJ1275" s="168" t="str">
        <f t="shared" si="254"/>
        <v/>
      </c>
      <c r="AK1275" s="168" t="str">
        <f t="shared" si="255"/>
        <v/>
      </c>
      <c r="AL1275" s="28"/>
      <c r="AM1275" s="28"/>
      <c r="AN1275" s="20" t="str">
        <f>IF(AL1275="","",IF($F1275="Bernardino Furlan",_xlfn.XLOOKUP(AL1275,Cadastros!$G$6:$G$90,Cadastros!$H$6:$H$90)*(1-0.18),IF($F1275="Mauro José Salanti",_xlfn.XLOOKUP(AL1275,Cadastros!$G$6:$G$90,Cadastros!$H$6:$H$90)*(1-0.18),_xlfn.XLOOKUP(AL1275,Cadastros!$G$6:$G$90,Cadastros!$H$6:$H$90))))</f>
        <v/>
      </c>
      <c r="AO1275" s="168" t="str">
        <f t="shared" si="256"/>
        <v/>
      </c>
      <c r="AP1275" s="168" t="str">
        <f t="shared" si="257"/>
        <v/>
      </c>
      <c r="AQ1275" s="28"/>
      <c r="AR1275" s="28"/>
      <c r="AS1275" s="20" t="str">
        <f>IF(AQ1275="","",IF($F1275="Bernardino Furlan",_xlfn.XLOOKUP(AQ1275,Cadastros!$G$6:$G$90,Cadastros!$H$6:$H$90)*(1-0.18),IF($F1275="Mauro José Salanti",_xlfn.XLOOKUP(AQ1275,Cadastros!$G$6:$G$90,Cadastros!$H$6:$H$90)*(1-0.18),_xlfn.XLOOKUP(AQ1275,Cadastros!$G$6:$G$90,Cadastros!$H$6:$H$90))))</f>
        <v/>
      </c>
      <c r="AT1275" s="168" t="str">
        <f t="shared" si="258"/>
        <v/>
      </c>
      <c r="AU1275" s="168" t="str">
        <f t="shared" si="259"/>
        <v/>
      </c>
      <c r="AV1275" s="227"/>
      <c r="AW1275" s="30"/>
      <c r="AX1275" s="267"/>
      <c r="AY1275" s="267"/>
      <c r="AZ1275" s="29"/>
      <c r="BA1275" s="30"/>
      <c r="BB1275" s="23" t="str" cm="1">
        <f t="array" ref="BB1275">_xlfn.IFS(AW1275="SIM",SUM(K1275,P1275,U1275,Z1275,AE1275,AJ1275,AO1275,AT1275,AX1275,AY1275),F1275&lt;&gt;"",SUM(K1275,P1275,U1275,Z1275,AE1275,AJ1275,,AO1275,AT1275),F1275="","")</f>
        <v/>
      </c>
      <c r="BC1275" s="211" t="str" cm="1">
        <f t="array" ref="BC1275">_xlfn.IFS(E1275="","",G1275&lt;=E1275,BB1275*(1-0.03),G1275&lt;(E1275+8),BB1275,AZ1275="Boleto",BB1275*(1+0.001)^DATEDIF(E1275,G1275,"D"),AZ1275="Cheque",BB1275,AZ1275="Dinheiro","Alterar forma pgto")</f>
        <v/>
      </c>
      <c r="BD1275" s="276" t="str" cm="1">
        <f t="array" ref="BD1275">IF(F1275=0," ",IF(BC1275&lt;BB1275,(_xlfn.IFS(AW1275="SIM",SUM(L1275,Q1275,V1275,AA1275,AF1275,AK1275,AP1275,AU1275)+AX1275/_xlfn.XLOOKUP(_xlfn.XLOOKUP($F1275,Clientes!$B$4:$B$39,Clientes!$C$4:$C$39),Cadastros!$L$6:$L$12,Cadastros!$M$6:$M$12)+IF($F1275="Bernardino Furlan",AY1275/2751.92,IF($F1275="Mauro José Salanti",AY1275/2751.92,AY1275/3356)),F1275&lt;&gt;0,SUM(L1275,Q1275,V1275,AA1275,AF1275,AK1275,AP1275,AU1275)))*(1-0.03),_xlfn.IFS(AW1275="SIM",SUM(L1275,Q1275,V1275,AA1275,AF1275,AK1275,AP1275,AU1275)+AX1275/_xlfn.XLOOKUP(_xlfn.XLOOKUP($F1275,Clientes!$B$4:$B$39,Clientes!$C$4:$C$39),Cadastros!$L$6:$L$12,Cadastros!$M$6:$M$12)+IF($F1275="Bernardino Furlan",AY1275/2751.92,IF($F1275="Mauro José Salanti",AY1275/2751.92,AY1275/3356)),F1275&lt;&gt;0,SUM(L1275,Q1275,V1275,AA1275,AF1275,AK1275,AP1275,AU1275))))</f>
        <v xml:space="preserve"> </v>
      </c>
      <c r="BE1275" s="120"/>
      <c r="BF1275" s="120"/>
      <c r="BG1275" s="120"/>
    </row>
    <row r="1276" spans="1:59" s="3" customFormat="1" x14ac:dyDescent="0.3">
      <c r="A1276" s="15" t="str">
        <f t="shared" si="247"/>
        <v/>
      </c>
      <c r="B1276" s="25"/>
      <c r="C1276" s="26"/>
      <c r="D1276" s="279"/>
      <c r="E1276" s="27"/>
      <c r="F1276" s="28"/>
      <c r="G1276" s="27"/>
      <c r="H1276" s="28"/>
      <c r="I1276" s="28"/>
      <c r="J1276" s="255" t="str">
        <f>IF(H1276="","",(_xlfn.XLOOKUP(H1276,Cadastros!$D$6:$D$90,Cadastros!$E$6:$E$90))*(1-_xlfn.XLOOKUP(_xlfn.XLOOKUP($F1276,Clientes!$B$4:$B$39,Clientes!$C$4:$C$39),Cadastros!$L$6:$L$12,Cadastros!$N$6:$N$12)))</f>
        <v/>
      </c>
      <c r="K1276" s="168" t="str">
        <f t="shared" si="248"/>
        <v/>
      </c>
      <c r="L1276" s="168" t="str">
        <f>IFERROR(K1276/_xlfn.XLOOKUP(_xlfn.XLOOKUP($F1276,Clientes!$B$4:$B$39,Clientes!$C$4:$C$39),Cadastros!$L$6:$L$12,Cadastros!$M$6:$M$12)," ")</f>
        <v xml:space="preserve"> </v>
      </c>
      <c r="M1276" s="28"/>
      <c r="N1276" s="28"/>
      <c r="O1276" s="255" t="str">
        <f>IF(M1276="","",(_xlfn.XLOOKUP(M1276,Cadastros!$D$6:$D$90,Cadastros!$E$6:$E$90))*(1-_xlfn.XLOOKUP(_xlfn.XLOOKUP($F1276,Clientes!$B$4:$B$39,Clientes!$C$4:$C$39),Cadastros!$L$6:$L$12,Cadastros!$N$6:$N$12)))</f>
        <v/>
      </c>
      <c r="P1276" s="168" t="str">
        <f t="shared" si="249"/>
        <v/>
      </c>
      <c r="Q1276" s="168" t="str">
        <f>IFERROR(P1276/_xlfn.XLOOKUP(_xlfn.XLOOKUP($F1276,Clientes!$B$4:$B$39,Clientes!$C$4:$C$39),Cadastros!$L$6:$L$12,Cadastros!$M$6:$M$12)," ")</f>
        <v xml:space="preserve"> </v>
      </c>
      <c r="R1276" s="28"/>
      <c r="S1276" s="28"/>
      <c r="T1276" s="255" t="str">
        <f>IF(R1276="","",(_xlfn.XLOOKUP(R1276,Cadastros!$D$6:$D$90,Cadastros!$E$6:$E$90))*(1-_xlfn.XLOOKUP(_xlfn.XLOOKUP($F1276,Clientes!$B$4:$B$39,Clientes!$C$4:$C$39),Cadastros!$L$6:$L$12,Cadastros!$N$6:$N$12)))</f>
        <v/>
      </c>
      <c r="U1276" s="168" t="str">
        <f t="shared" si="250"/>
        <v/>
      </c>
      <c r="V1276" s="168" t="str">
        <f>IFERROR(U1276/_xlfn.XLOOKUP(_xlfn.XLOOKUP($F1276,Clientes!$B$4:$B$39,Clientes!$C$4:$C$39),Cadastros!$L$6:$L$12,Cadastros!$M$6:$M$12)," ")</f>
        <v xml:space="preserve"> </v>
      </c>
      <c r="W1276" s="28"/>
      <c r="X1276" s="28"/>
      <c r="Y1276" s="255" t="str">
        <f>IF(W1276="","",(_xlfn.XLOOKUP(W1276,Cadastros!$D$6:$D$90,Cadastros!$E$6:$E$90))*(1-_xlfn.XLOOKUP(_xlfn.XLOOKUP($F1276,Clientes!$B$4:$B$39,Clientes!$C$4:$C$39),Cadastros!$L$6:$L$12,Cadastros!$N$6:$N$12)))</f>
        <v/>
      </c>
      <c r="Z1276" s="168" t="str">
        <f t="shared" si="251"/>
        <v/>
      </c>
      <c r="AA1276" s="168" t="str">
        <f>IFERROR(Z1276/_xlfn.XLOOKUP(_xlfn.XLOOKUP($F1276,Clientes!$B$4:$B$39,Clientes!$C$4:$C$39),Cadastros!$L$6:$L$12,Cadastros!$M$6:$M$12)," ")</f>
        <v xml:space="preserve"> </v>
      </c>
      <c r="AB1276" s="28"/>
      <c r="AC1276" s="28"/>
      <c r="AD1276" s="20" t="str">
        <f>IF(AB1276="","",IF($F1276="Bernardino Furlan",_xlfn.XLOOKUP(AB1276,Cadastros!$G$6:$G$90,Cadastros!$H$6:$H$90)*(1-0.18),IF($F1276="Mauro José Salanti",_xlfn.XLOOKUP(AB1276,Cadastros!$G$6:$G$90,Cadastros!$H$6:$H$90)*(1-0.18),_xlfn.XLOOKUP(AB1276,Cadastros!$G$6:$G$90,Cadastros!$H$6:$H$90))))</f>
        <v/>
      </c>
      <c r="AE1276" s="168" t="str">
        <f t="shared" si="252"/>
        <v/>
      </c>
      <c r="AF1276" s="168" t="str">
        <f t="shared" si="253"/>
        <v/>
      </c>
      <c r="AG1276" s="28"/>
      <c r="AH1276" s="28"/>
      <c r="AI1276" s="20" t="str">
        <f>IF(AG1276="","",IF($F1276="Bernardino Furlan",_xlfn.XLOOKUP(AG1276,Cadastros!$G$6:$G$90,Cadastros!$H$6:$H$90)*(1-0.18),IF($F1276="Mauro José Salanti",_xlfn.XLOOKUP(AG1276,Cadastros!$G$6:$G$90,Cadastros!$H$6:$H$90)*(1-0.18),_xlfn.XLOOKUP(AG1276,Cadastros!$G$6:$G$90,Cadastros!$H$6:$H$90))))</f>
        <v/>
      </c>
      <c r="AJ1276" s="168" t="str">
        <f t="shared" si="254"/>
        <v/>
      </c>
      <c r="AK1276" s="168" t="str">
        <f t="shared" si="255"/>
        <v/>
      </c>
      <c r="AL1276" s="28"/>
      <c r="AM1276" s="28"/>
      <c r="AN1276" s="20" t="str">
        <f>IF(AL1276="","",IF($F1276="Bernardino Furlan",_xlfn.XLOOKUP(AL1276,Cadastros!$G$6:$G$90,Cadastros!$H$6:$H$90)*(1-0.18),IF($F1276="Mauro José Salanti",_xlfn.XLOOKUP(AL1276,Cadastros!$G$6:$G$90,Cadastros!$H$6:$H$90)*(1-0.18),_xlfn.XLOOKUP(AL1276,Cadastros!$G$6:$G$90,Cadastros!$H$6:$H$90))))</f>
        <v/>
      </c>
      <c r="AO1276" s="168" t="str">
        <f t="shared" si="256"/>
        <v/>
      </c>
      <c r="AP1276" s="168" t="str">
        <f t="shared" si="257"/>
        <v/>
      </c>
      <c r="AQ1276" s="28"/>
      <c r="AR1276" s="28"/>
      <c r="AS1276" s="20" t="str">
        <f>IF(AQ1276="","",IF($F1276="Bernardino Furlan",_xlfn.XLOOKUP(AQ1276,Cadastros!$G$6:$G$90,Cadastros!$H$6:$H$90)*(1-0.18),IF($F1276="Mauro José Salanti",_xlfn.XLOOKUP(AQ1276,Cadastros!$G$6:$G$90,Cadastros!$H$6:$H$90)*(1-0.18),_xlfn.XLOOKUP(AQ1276,Cadastros!$G$6:$G$90,Cadastros!$H$6:$H$90))))</f>
        <v/>
      </c>
      <c r="AT1276" s="168" t="str">
        <f t="shared" si="258"/>
        <v/>
      </c>
      <c r="AU1276" s="168" t="str">
        <f t="shared" si="259"/>
        <v/>
      </c>
      <c r="AV1276" s="227"/>
      <c r="AW1276" s="30"/>
      <c r="AX1276" s="267"/>
      <c r="AY1276" s="267"/>
      <c r="AZ1276" s="29"/>
      <c r="BA1276" s="30"/>
      <c r="BB1276" s="23" t="str" cm="1">
        <f t="array" ref="BB1276">_xlfn.IFS(AW1276="SIM",SUM(K1276,P1276,U1276,Z1276,AE1276,AJ1276,AO1276,AT1276,AX1276,AY1276),F1276&lt;&gt;"",SUM(K1276,P1276,U1276,Z1276,AE1276,AJ1276,,AO1276,AT1276),F1276="","")</f>
        <v/>
      </c>
      <c r="BC1276" s="211" t="str" cm="1">
        <f t="array" ref="BC1276">_xlfn.IFS(E1276="","",G1276&lt;=E1276,BB1276*(1-0.03),G1276&lt;(E1276+8),BB1276,AZ1276="Boleto",BB1276*(1+0.001)^DATEDIF(E1276,G1276,"D"),AZ1276="Cheque",BB1276,AZ1276="Dinheiro","Alterar forma pgto")</f>
        <v/>
      </c>
      <c r="BD1276" s="276" t="str" cm="1">
        <f t="array" ref="BD1276">IF(F1276=0," ",IF(BC1276&lt;BB1276,(_xlfn.IFS(AW1276="SIM",SUM(L1276,Q1276,V1276,AA1276,AF1276,AK1276,AP1276,AU1276)+AX1276/_xlfn.XLOOKUP(_xlfn.XLOOKUP($F1276,Clientes!$B$4:$B$39,Clientes!$C$4:$C$39),Cadastros!$L$6:$L$12,Cadastros!$M$6:$M$12)+IF($F1276="Bernardino Furlan",AY1276/2751.92,IF($F1276="Mauro José Salanti",AY1276/2751.92,AY1276/3356)),F1276&lt;&gt;0,SUM(L1276,Q1276,V1276,AA1276,AF1276,AK1276,AP1276,AU1276)))*(1-0.03),_xlfn.IFS(AW1276="SIM",SUM(L1276,Q1276,V1276,AA1276,AF1276,AK1276,AP1276,AU1276)+AX1276/_xlfn.XLOOKUP(_xlfn.XLOOKUP($F1276,Clientes!$B$4:$B$39,Clientes!$C$4:$C$39),Cadastros!$L$6:$L$12,Cadastros!$M$6:$M$12)+IF($F1276="Bernardino Furlan",AY1276/2751.92,IF($F1276="Mauro José Salanti",AY1276/2751.92,AY1276/3356)),F1276&lt;&gt;0,SUM(L1276,Q1276,V1276,AA1276,AF1276,AK1276,AP1276,AU1276))))</f>
        <v xml:space="preserve"> </v>
      </c>
      <c r="BE1276" s="120"/>
      <c r="BF1276" s="120"/>
      <c r="BG1276" s="120"/>
    </row>
    <row r="1277" spans="1:59" s="3" customFormat="1" x14ac:dyDescent="0.3">
      <c r="A1277" s="15" t="str">
        <f t="shared" si="247"/>
        <v/>
      </c>
      <c r="B1277" s="25"/>
      <c r="C1277" s="26"/>
      <c r="D1277" s="279"/>
      <c r="E1277" s="27"/>
      <c r="F1277" s="28"/>
      <c r="G1277" s="27"/>
      <c r="H1277" s="28"/>
      <c r="I1277" s="28"/>
      <c r="J1277" s="255" t="str">
        <f>IF(H1277="","",(_xlfn.XLOOKUP(H1277,Cadastros!$D$6:$D$90,Cadastros!$E$6:$E$90))*(1-_xlfn.XLOOKUP(_xlfn.XLOOKUP($F1277,Clientes!$B$4:$B$39,Clientes!$C$4:$C$39),Cadastros!$L$6:$L$12,Cadastros!$N$6:$N$12)))</f>
        <v/>
      </c>
      <c r="K1277" s="168" t="str">
        <f t="shared" si="248"/>
        <v/>
      </c>
      <c r="L1277" s="168" t="str">
        <f>IFERROR(K1277/_xlfn.XLOOKUP(_xlfn.XLOOKUP($F1277,Clientes!$B$4:$B$39,Clientes!$C$4:$C$39),Cadastros!$L$6:$L$12,Cadastros!$M$6:$M$12)," ")</f>
        <v xml:space="preserve"> </v>
      </c>
      <c r="M1277" s="28"/>
      <c r="N1277" s="28"/>
      <c r="O1277" s="255" t="str">
        <f>IF(M1277="","",(_xlfn.XLOOKUP(M1277,Cadastros!$D$6:$D$90,Cadastros!$E$6:$E$90))*(1-_xlfn.XLOOKUP(_xlfn.XLOOKUP($F1277,Clientes!$B$4:$B$39,Clientes!$C$4:$C$39),Cadastros!$L$6:$L$12,Cadastros!$N$6:$N$12)))</f>
        <v/>
      </c>
      <c r="P1277" s="168" t="str">
        <f t="shared" si="249"/>
        <v/>
      </c>
      <c r="Q1277" s="168" t="str">
        <f>IFERROR(P1277/_xlfn.XLOOKUP(_xlfn.XLOOKUP($F1277,Clientes!$B$4:$B$39,Clientes!$C$4:$C$39),Cadastros!$L$6:$L$12,Cadastros!$M$6:$M$12)," ")</f>
        <v xml:space="preserve"> </v>
      </c>
      <c r="R1277" s="28"/>
      <c r="S1277" s="28"/>
      <c r="T1277" s="255" t="str">
        <f>IF(R1277="","",(_xlfn.XLOOKUP(R1277,Cadastros!$D$6:$D$90,Cadastros!$E$6:$E$90))*(1-_xlfn.XLOOKUP(_xlfn.XLOOKUP($F1277,Clientes!$B$4:$B$39,Clientes!$C$4:$C$39),Cadastros!$L$6:$L$12,Cadastros!$N$6:$N$12)))</f>
        <v/>
      </c>
      <c r="U1277" s="168" t="str">
        <f t="shared" si="250"/>
        <v/>
      </c>
      <c r="V1277" s="168" t="str">
        <f>IFERROR(U1277/_xlfn.XLOOKUP(_xlfn.XLOOKUP($F1277,Clientes!$B$4:$B$39,Clientes!$C$4:$C$39),Cadastros!$L$6:$L$12,Cadastros!$M$6:$M$12)," ")</f>
        <v xml:space="preserve"> </v>
      </c>
      <c r="W1277" s="28"/>
      <c r="X1277" s="28"/>
      <c r="Y1277" s="255" t="str">
        <f>IF(W1277="","",(_xlfn.XLOOKUP(W1277,Cadastros!$D$6:$D$90,Cadastros!$E$6:$E$90))*(1-_xlfn.XLOOKUP(_xlfn.XLOOKUP($F1277,Clientes!$B$4:$B$39,Clientes!$C$4:$C$39),Cadastros!$L$6:$L$12,Cadastros!$N$6:$N$12)))</f>
        <v/>
      </c>
      <c r="Z1277" s="168" t="str">
        <f t="shared" si="251"/>
        <v/>
      </c>
      <c r="AA1277" s="168" t="str">
        <f>IFERROR(Z1277/_xlfn.XLOOKUP(_xlfn.XLOOKUP($F1277,Clientes!$B$4:$B$39,Clientes!$C$4:$C$39),Cadastros!$L$6:$L$12,Cadastros!$M$6:$M$12)," ")</f>
        <v xml:space="preserve"> </v>
      </c>
      <c r="AB1277" s="28"/>
      <c r="AC1277" s="28"/>
      <c r="AD1277" s="20" t="str">
        <f>IF(AB1277="","",IF($F1277="Bernardino Furlan",_xlfn.XLOOKUP(AB1277,Cadastros!$G$6:$G$90,Cadastros!$H$6:$H$90)*(1-0.18),IF($F1277="Mauro José Salanti",_xlfn.XLOOKUP(AB1277,Cadastros!$G$6:$G$90,Cadastros!$H$6:$H$90)*(1-0.18),_xlfn.XLOOKUP(AB1277,Cadastros!$G$6:$G$90,Cadastros!$H$6:$H$90))))</f>
        <v/>
      </c>
      <c r="AE1277" s="168" t="str">
        <f t="shared" si="252"/>
        <v/>
      </c>
      <c r="AF1277" s="168" t="str">
        <f t="shared" si="253"/>
        <v/>
      </c>
      <c r="AG1277" s="28"/>
      <c r="AH1277" s="28"/>
      <c r="AI1277" s="20" t="str">
        <f>IF(AG1277="","",IF($F1277="Bernardino Furlan",_xlfn.XLOOKUP(AG1277,Cadastros!$G$6:$G$90,Cadastros!$H$6:$H$90)*(1-0.18),IF($F1277="Mauro José Salanti",_xlfn.XLOOKUP(AG1277,Cadastros!$G$6:$G$90,Cadastros!$H$6:$H$90)*(1-0.18),_xlfn.XLOOKUP(AG1277,Cadastros!$G$6:$G$90,Cadastros!$H$6:$H$90))))</f>
        <v/>
      </c>
      <c r="AJ1277" s="168" t="str">
        <f t="shared" si="254"/>
        <v/>
      </c>
      <c r="AK1277" s="168" t="str">
        <f t="shared" si="255"/>
        <v/>
      </c>
      <c r="AL1277" s="28"/>
      <c r="AM1277" s="28"/>
      <c r="AN1277" s="20" t="str">
        <f>IF(AL1277="","",IF($F1277="Bernardino Furlan",_xlfn.XLOOKUP(AL1277,Cadastros!$G$6:$G$90,Cadastros!$H$6:$H$90)*(1-0.18),IF($F1277="Mauro José Salanti",_xlfn.XLOOKUP(AL1277,Cadastros!$G$6:$G$90,Cadastros!$H$6:$H$90)*(1-0.18),_xlfn.XLOOKUP(AL1277,Cadastros!$G$6:$G$90,Cadastros!$H$6:$H$90))))</f>
        <v/>
      </c>
      <c r="AO1277" s="168" t="str">
        <f t="shared" si="256"/>
        <v/>
      </c>
      <c r="AP1277" s="168" t="str">
        <f t="shared" si="257"/>
        <v/>
      </c>
      <c r="AQ1277" s="28"/>
      <c r="AR1277" s="28"/>
      <c r="AS1277" s="20" t="str">
        <f>IF(AQ1277="","",IF($F1277="Bernardino Furlan",_xlfn.XLOOKUP(AQ1277,Cadastros!$G$6:$G$90,Cadastros!$H$6:$H$90)*(1-0.18),IF($F1277="Mauro José Salanti",_xlfn.XLOOKUP(AQ1277,Cadastros!$G$6:$G$90,Cadastros!$H$6:$H$90)*(1-0.18),_xlfn.XLOOKUP(AQ1277,Cadastros!$G$6:$G$90,Cadastros!$H$6:$H$90))))</f>
        <v/>
      </c>
      <c r="AT1277" s="168" t="str">
        <f t="shared" si="258"/>
        <v/>
      </c>
      <c r="AU1277" s="168" t="str">
        <f t="shared" si="259"/>
        <v/>
      </c>
      <c r="AV1277" s="227"/>
      <c r="AW1277" s="30"/>
      <c r="AX1277" s="267"/>
      <c r="AY1277" s="267"/>
      <c r="AZ1277" s="29"/>
      <c r="BA1277" s="30"/>
      <c r="BB1277" s="23" t="str" cm="1">
        <f t="array" ref="BB1277">_xlfn.IFS(AW1277="SIM",SUM(K1277,P1277,U1277,Z1277,AE1277,AJ1277,AO1277,AT1277,AX1277,AY1277),F1277&lt;&gt;"",SUM(K1277,P1277,U1277,Z1277,AE1277,AJ1277,,AO1277,AT1277),F1277="","")</f>
        <v/>
      </c>
      <c r="BC1277" s="211" t="str" cm="1">
        <f t="array" ref="BC1277">_xlfn.IFS(E1277="","",G1277&lt;=E1277,BB1277*(1-0.03),G1277&lt;(E1277+8),BB1277,AZ1277="Boleto",BB1277*(1+0.001)^DATEDIF(E1277,G1277,"D"),AZ1277="Cheque",BB1277,AZ1277="Dinheiro","Alterar forma pgto")</f>
        <v/>
      </c>
      <c r="BD1277" s="276" t="str" cm="1">
        <f t="array" ref="BD1277">IF(F1277=0," ",IF(BC1277&lt;BB1277,(_xlfn.IFS(AW1277="SIM",SUM(L1277,Q1277,V1277,AA1277,AF1277,AK1277,AP1277,AU1277)+AX1277/_xlfn.XLOOKUP(_xlfn.XLOOKUP($F1277,Clientes!$B$4:$B$39,Clientes!$C$4:$C$39),Cadastros!$L$6:$L$12,Cadastros!$M$6:$M$12)+IF($F1277="Bernardino Furlan",AY1277/2751.92,IF($F1277="Mauro José Salanti",AY1277/2751.92,AY1277/3356)),F1277&lt;&gt;0,SUM(L1277,Q1277,V1277,AA1277,AF1277,AK1277,AP1277,AU1277)))*(1-0.03),_xlfn.IFS(AW1277="SIM",SUM(L1277,Q1277,V1277,AA1277,AF1277,AK1277,AP1277,AU1277)+AX1277/_xlfn.XLOOKUP(_xlfn.XLOOKUP($F1277,Clientes!$B$4:$B$39,Clientes!$C$4:$C$39),Cadastros!$L$6:$L$12,Cadastros!$M$6:$M$12)+IF($F1277="Bernardino Furlan",AY1277/2751.92,IF($F1277="Mauro José Salanti",AY1277/2751.92,AY1277/3356)),F1277&lt;&gt;0,SUM(L1277,Q1277,V1277,AA1277,AF1277,AK1277,AP1277,AU1277))))</f>
        <v xml:space="preserve"> </v>
      </c>
      <c r="BE1277" s="120"/>
      <c r="BF1277" s="120"/>
      <c r="BG1277" s="120"/>
    </row>
    <row r="1278" spans="1:59" s="3" customFormat="1" x14ac:dyDescent="0.3">
      <c r="A1278" s="15" t="str">
        <f t="shared" si="247"/>
        <v/>
      </c>
      <c r="B1278" s="25"/>
      <c r="C1278" s="26"/>
      <c r="D1278" s="279"/>
      <c r="E1278" s="27"/>
      <c r="F1278" s="28"/>
      <c r="G1278" s="27"/>
      <c r="H1278" s="28"/>
      <c r="I1278" s="28"/>
      <c r="J1278" s="255" t="str">
        <f>IF(H1278="","",(_xlfn.XLOOKUP(H1278,Cadastros!$D$6:$D$90,Cadastros!$E$6:$E$90))*(1-_xlfn.XLOOKUP(_xlfn.XLOOKUP($F1278,Clientes!$B$4:$B$39,Clientes!$C$4:$C$39),Cadastros!$L$6:$L$12,Cadastros!$N$6:$N$12)))</f>
        <v/>
      </c>
      <c r="K1278" s="168" t="str">
        <f t="shared" si="248"/>
        <v/>
      </c>
      <c r="L1278" s="168" t="str">
        <f>IFERROR(K1278/_xlfn.XLOOKUP(_xlfn.XLOOKUP($F1278,Clientes!$B$4:$B$39,Clientes!$C$4:$C$39),Cadastros!$L$6:$L$12,Cadastros!$M$6:$M$12)," ")</f>
        <v xml:space="preserve"> </v>
      </c>
      <c r="M1278" s="28"/>
      <c r="N1278" s="28"/>
      <c r="O1278" s="255" t="str">
        <f>IF(M1278="","",(_xlfn.XLOOKUP(M1278,Cadastros!$D$6:$D$90,Cadastros!$E$6:$E$90))*(1-_xlfn.XLOOKUP(_xlfn.XLOOKUP($F1278,Clientes!$B$4:$B$39,Clientes!$C$4:$C$39),Cadastros!$L$6:$L$12,Cadastros!$N$6:$N$12)))</f>
        <v/>
      </c>
      <c r="P1278" s="168" t="str">
        <f t="shared" si="249"/>
        <v/>
      </c>
      <c r="Q1278" s="168" t="str">
        <f>IFERROR(P1278/_xlfn.XLOOKUP(_xlfn.XLOOKUP($F1278,Clientes!$B$4:$B$39,Clientes!$C$4:$C$39),Cadastros!$L$6:$L$12,Cadastros!$M$6:$M$12)," ")</f>
        <v xml:space="preserve"> </v>
      </c>
      <c r="R1278" s="28"/>
      <c r="S1278" s="28"/>
      <c r="T1278" s="255" t="str">
        <f>IF(R1278="","",(_xlfn.XLOOKUP(R1278,Cadastros!$D$6:$D$90,Cadastros!$E$6:$E$90))*(1-_xlfn.XLOOKUP(_xlfn.XLOOKUP($F1278,Clientes!$B$4:$B$39,Clientes!$C$4:$C$39),Cadastros!$L$6:$L$12,Cadastros!$N$6:$N$12)))</f>
        <v/>
      </c>
      <c r="U1278" s="168" t="str">
        <f t="shared" si="250"/>
        <v/>
      </c>
      <c r="V1278" s="168" t="str">
        <f>IFERROR(U1278/_xlfn.XLOOKUP(_xlfn.XLOOKUP($F1278,Clientes!$B$4:$B$39,Clientes!$C$4:$C$39),Cadastros!$L$6:$L$12,Cadastros!$M$6:$M$12)," ")</f>
        <v xml:space="preserve"> </v>
      </c>
      <c r="W1278" s="28"/>
      <c r="X1278" s="28"/>
      <c r="Y1278" s="255" t="str">
        <f>IF(W1278="","",(_xlfn.XLOOKUP(W1278,Cadastros!$D$6:$D$90,Cadastros!$E$6:$E$90))*(1-_xlfn.XLOOKUP(_xlfn.XLOOKUP($F1278,Clientes!$B$4:$B$39,Clientes!$C$4:$C$39),Cadastros!$L$6:$L$12,Cadastros!$N$6:$N$12)))</f>
        <v/>
      </c>
      <c r="Z1278" s="168" t="str">
        <f t="shared" si="251"/>
        <v/>
      </c>
      <c r="AA1278" s="168" t="str">
        <f>IFERROR(Z1278/_xlfn.XLOOKUP(_xlfn.XLOOKUP($F1278,Clientes!$B$4:$B$39,Clientes!$C$4:$C$39),Cadastros!$L$6:$L$12,Cadastros!$M$6:$M$12)," ")</f>
        <v xml:space="preserve"> </v>
      </c>
      <c r="AB1278" s="28"/>
      <c r="AC1278" s="28"/>
      <c r="AD1278" s="20" t="str">
        <f>IF(AB1278="","",IF($F1278="Bernardino Furlan",_xlfn.XLOOKUP(AB1278,Cadastros!$G$6:$G$90,Cadastros!$H$6:$H$90)*(1-0.18),IF($F1278="Mauro José Salanti",_xlfn.XLOOKUP(AB1278,Cadastros!$G$6:$G$90,Cadastros!$H$6:$H$90)*(1-0.18),_xlfn.XLOOKUP(AB1278,Cadastros!$G$6:$G$90,Cadastros!$H$6:$H$90))))</f>
        <v/>
      </c>
      <c r="AE1278" s="168" t="str">
        <f t="shared" si="252"/>
        <v/>
      </c>
      <c r="AF1278" s="168" t="str">
        <f t="shared" si="253"/>
        <v/>
      </c>
      <c r="AG1278" s="28"/>
      <c r="AH1278" s="28"/>
      <c r="AI1278" s="20" t="str">
        <f>IF(AG1278="","",IF($F1278="Bernardino Furlan",_xlfn.XLOOKUP(AG1278,Cadastros!$G$6:$G$90,Cadastros!$H$6:$H$90)*(1-0.18),IF($F1278="Mauro José Salanti",_xlfn.XLOOKUP(AG1278,Cadastros!$G$6:$G$90,Cadastros!$H$6:$H$90)*(1-0.18),_xlfn.XLOOKUP(AG1278,Cadastros!$G$6:$G$90,Cadastros!$H$6:$H$90))))</f>
        <v/>
      </c>
      <c r="AJ1278" s="168" t="str">
        <f t="shared" si="254"/>
        <v/>
      </c>
      <c r="AK1278" s="168" t="str">
        <f t="shared" si="255"/>
        <v/>
      </c>
      <c r="AL1278" s="28"/>
      <c r="AM1278" s="28"/>
      <c r="AN1278" s="20" t="str">
        <f>IF(AL1278="","",IF($F1278="Bernardino Furlan",_xlfn.XLOOKUP(AL1278,Cadastros!$G$6:$G$90,Cadastros!$H$6:$H$90)*(1-0.18),IF($F1278="Mauro José Salanti",_xlfn.XLOOKUP(AL1278,Cadastros!$G$6:$G$90,Cadastros!$H$6:$H$90)*(1-0.18),_xlfn.XLOOKUP(AL1278,Cadastros!$G$6:$G$90,Cadastros!$H$6:$H$90))))</f>
        <v/>
      </c>
      <c r="AO1278" s="168" t="str">
        <f t="shared" si="256"/>
        <v/>
      </c>
      <c r="AP1278" s="168" t="str">
        <f t="shared" si="257"/>
        <v/>
      </c>
      <c r="AQ1278" s="28"/>
      <c r="AR1278" s="28"/>
      <c r="AS1278" s="20" t="str">
        <f>IF(AQ1278="","",IF($F1278="Bernardino Furlan",_xlfn.XLOOKUP(AQ1278,Cadastros!$G$6:$G$90,Cadastros!$H$6:$H$90)*(1-0.18),IF($F1278="Mauro José Salanti",_xlfn.XLOOKUP(AQ1278,Cadastros!$G$6:$G$90,Cadastros!$H$6:$H$90)*(1-0.18),_xlfn.XLOOKUP(AQ1278,Cadastros!$G$6:$G$90,Cadastros!$H$6:$H$90))))</f>
        <v/>
      </c>
      <c r="AT1278" s="168" t="str">
        <f t="shared" si="258"/>
        <v/>
      </c>
      <c r="AU1278" s="168" t="str">
        <f t="shared" si="259"/>
        <v/>
      </c>
      <c r="AV1278" s="227"/>
      <c r="AW1278" s="30"/>
      <c r="AX1278" s="267"/>
      <c r="AY1278" s="267"/>
      <c r="AZ1278" s="29"/>
      <c r="BA1278" s="30"/>
      <c r="BB1278" s="23" t="str" cm="1">
        <f t="array" ref="BB1278">_xlfn.IFS(AW1278="SIM",SUM(K1278,P1278,U1278,Z1278,AE1278,AJ1278,AO1278,AT1278,AX1278,AY1278),F1278&lt;&gt;"",SUM(K1278,P1278,U1278,Z1278,AE1278,AJ1278,,AO1278,AT1278),F1278="","")</f>
        <v/>
      </c>
      <c r="BC1278" s="211" t="str" cm="1">
        <f t="array" ref="BC1278">_xlfn.IFS(E1278="","",G1278&lt;=E1278,BB1278*(1-0.03),G1278&lt;(E1278+8),BB1278,AZ1278="Boleto",BB1278*(1+0.001)^DATEDIF(E1278,G1278,"D"),AZ1278="Cheque",BB1278,AZ1278="Dinheiro","Alterar forma pgto")</f>
        <v/>
      </c>
      <c r="BD1278" s="276" t="str" cm="1">
        <f t="array" ref="BD1278">IF(F1278=0," ",IF(BC1278&lt;BB1278,(_xlfn.IFS(AW1278="SIM",SUM(L1278,Q1278,V1278,AA1278,AF1278,AK1278,AP1278,AU1278)+AX1278/_xlfn.XLOOKUP(_xlfn.XLOOKUP($F1278,Clientes!$B$4:$B$39,Clientes!$C$4:$C$39),Cadastros!$L$6:$L$12,Cadastros!$M$6:$M$12)+IF($F1278="Bernardino Furlan",AY1278/2751.92,IF($F1278="Mauro José Salanti",AY1278/2751.92,AY1278/3356)),F1278&lt;&gt;0,SUM(L1278,Q1278,V1278,AA1278,AF1278,AK1278,AP1278,AU1278)))*(1-0.03),_xlfn.IFS(AW1278="SIM",SUM(L1278,Q1278,V1278,AA1278,AF1278,AK1278,AP1278,AU1278)+AX1278/_xlfn.XLOOKUP(_xlfn.XLOOKUP($F1278,Clientes!$B$4:$B$39,Clientes!$C$4:$C$39),Cadastros!$L$6:$L$12,Cadastros!$M$6:$M$12)+IF($F1278="Bernardino Furlan",AY1278/2751.92,IF($F1278="Mauro José Salanti",AY1278/2751.92,AY1278/3356)),F1278&lt;&gt;0,SUM(L1278,Q1278,V1278,AA1278,AF1278,AK1278,AP1278,AU1278))))</f>
        <v xml:space="preserve"> </v>
      </c>
      <c r="BE1278" s="120"/>
      <c r="BF1278" s="120"/>
      <c r="BG1278" s="120"/>
    </row>
    <row r="1279" spans="1:59" s="3" customFormat="1" x14ac:dyDescent="0.3">
      <c r="A1279" s="15" t="str">
        <f t="shared" si="247"/>
        <v/>
      </c>
      <c r="B1279" s="25"/>
      <c r="C1279" s="26"/>
      <c r="D1279" s="279"/>
      <c r="E1279" s="27"/>
      <c r="F1279" s="28"/>
      <c r="G1279" s="27"/>
      <c r="H1279" s="28"/>
      <c r="I1279" s="28"/>
      <c r="J1279" s="255" t="str">
        <f>IF(H1279="","",(_xlfn.XLOOKUP(H1279,Cadastros!$D$6:$D$90,Cadastros!$E$6:$E$90))*(1-_xlfn.XLOOKUP(_xlfn.XLOOKUP($F1279,Clientes!$B$4:$B$39,Clientes!$C$4:$C$39),Cadastros!$L$6:$L$12,Cadastros!$N$6:$N$12)))</f>
        <v/>
      </c>
      <c r="K1279" s="168" t="str">
        <f t="shared" si="248"/>
        <v/>
      </c>
      <c r="L1279" s="168" t="str">
        <f>IFERROR(K1279/_xlfn.XLOOKUP(_xlfn.XLOOKUP($F1279,Clientes!$B$4:$B$39,Clientes!$C$4:$C$39),Cadastros!$L$6:$L$12,Cadastros!$M$6:$M$12)," ")</f>
        <v xml:space="preserve"> </v>
      </c>
      <c r="M1279" s="28"/>
      <c r="N1279" s="28"/>
      <c r="O1279" s="255" t="str">
        <f>IF(M1279="","",(_xlfn.XLOOKUP(M1279,Cadastros!$D$6:$D$90,Cadastros!$E$6:$E$90))*(1-_xlfn.XLOOKUP(_xlfn.XLOOKUP($F1279,Clientes!$B$4:$B$39,Clientes!$C$4:$C$39),Cadastros!$L$6:$L$12,Cadastros!$N$6:$N$12)))</f>
        <v/>
      </c>
      <c r="P1279" s="168" t="str">
        <f t="shared" si="249"/>
        <v/>
      </c>
      <c r="Q1279" s="168" t="str">
        <f>IFERROR(P1279/_xlfn.XLOOKUP(_xlfn.XLOOKUP($F1279,Clientes!$B$4:$B$39,Clientes!$C$4:$C$39),Cadastros!$L$6:$L$12,Cadastros!$M$6:$M$12)," ")</f>
        <v xml:space="preserve"> </v>
      </c>
      <c r="R1279" s="28"/>
      <c r="S1279" s="28"/>
      <c r="T1279" s="255" t="str">
        <f>IF(R1279="","",(_xlfn.XLOOKUP(R1279,Cadastros!$D$6:$D$90,Cadastros!$E$6:$E$90))*(1-_xlfn.XLOOKUP(_xlfn.XLOOKUP($F1279,Clientes!$B$4:$B$39,Clientes!$C$4:$C$39),Cadastros!$L$6:$L$12,Cadastros!$N$6:$N$12)))</f>
        <v/>
      </c>
      <c r="U1279" s="168" t="str">
        <f t="shared" si="250"/>
        <v/>
      </c>
      <c r="V1279" s="168" t="str">
        <f>IFERROR(U1279/_xlfn.XLOOKUP(_xlfn.XLOOKUP($F1279,Clientes!$B$4:$B$39,Clientes!$C$4:$C$39),Cadastros!$L$6:$L$12,Cadastros!$M$6:$M$12)," ")</f>
        <v xml:space="preserve"> </v>
      </c>
      <c r="W1279" s="28"/>
      <c r="X1279" s="28"/>
      <c r="Y1279" s="255" t="str">
        <f>IF(W1279="","",(_xlfn.XLOOKUP(W1279,Cadastros!$D$6:$D$90,Cadastros!$E$6:$E$90))*(1-_xlfn.XLOOKUP(_xlfn.XLOOKUP($F1279,Clientes!$B$4:$B$39,Clientes!$C$4:$C$39),Cadastros!$L$6:$L$12,Cadastros!$N$6:$N$12)))</f>
        <v/>
      </c>
      <c r="Z1279" s="168" t="str">
        <f t="shared" si="251"/>
        <v/>
      </c>
      <c r="AA1279" s="168" t="str">
        <f>IFERROR(Z1279/_xlfn.XLOOKUP(_xlfn.XLOOKUP($F1279,Clientes!$B$4:$B$39,Clientes!$C$4:$C$39),Cadastros!$L$6:$L$12,Cadastros!$M$6:$M$12)," ")</f>
        <v xml:space="preserve"> </v>
      </c>
      <c r="AB1279" s="28"/>
      <c r="AC1279" s="28"/>
      <c r="AD1279" s="20" t="str">
        <f>IF(AB1279="","",IF($F1279="Bernardino Furlan",_xlfn.XLOOKUP(AB1279,Cadastros!$G$6:$G$90,Cadastros!$H$6:$H$90)*(1-0.18),IF($F1279="Mauro José Salanti",_xlfn.XLOOKUP(AB1279,Cadastros!$G$6:$G$90,Cadastros!$H$6:$H$90)*(1-0.18),_xlfn.XLOOKUP(AB1279,Cadastros!$G$6:$G$90,Cadastros!$H$6:$H$90))))</f>
        <v/>
      </c>
      <c r="AE1279" s="168" t="str">
        <f t="shared" si="252"/>
        <v/>
      </c>
      <c r="AF1279" s="168" t="str">
        <f t="shared" si="253"/>
        <v/>
      </c>
      <c r="AG1279" s="28"/>
      <c r="AH1279" s="28"/>
      <c r="AI1279" s="20" t="str">
        <f>IF(AG1279="","",IF($F1279="Bernardino Furlan",_xlfn.XLOOKUP(AG1279,Cadastros!$G$6:$G$90,Cadastros!$H$6:$H$90)*(1-0.18),IF($F1279="Mauro José Salanti",_xlfn.XLOOKUP(AG1279,Cadastros!$G$6:$G$90,Cadastros!$H$6:$H$90)*(1-0.18),_xlfn.XLOOKUP(AG1279,Cadastros!$G$6:$G$90,Cadastros!$H$6:$H$90))))</f>
        <v/>
      </c>
      <c r="AJ1279" s="168" t="str">
        <f t="shared" si="254"/>
        <v/>
      </c>
      <c r="AK1279" s="168" t="str">
        <f t="shared" si="255"/>
        <v/>
      </c>
      <c r="AL1279" s="28"/>
      <c r="AM1279" s="28"/>
      <c r="AN1279" s="20" t="str">
        <f>IF(AL1279="","",IF($F1279="Bernardino Furlan",_xlfn.XLOOKUP(AL1279,Cadastros!$G$6:$G$90,Cadastros!$H$6:$H$90)*(1-0.18),IF($F1279="Mauro José Salanti",_xlfn.XLOOKUP(AL1279,Cadastros!$G$6:$G$90,Cadastros!$H$6:$H$90)*(1-0.18),_xlfn.XLOOKUP(AL1279,Cadastros!$G$6:$G$90,Cadastros!$H$6:$H$90))))</f>
        <v/>
      </c>
      <c r="AO1279" s="168" t="str">
        <f t="shared" si="256"/>
        <v/>
      </c>
      <c r="AP1279" s="168" t="str">
        <f t="shared" si="257"/>
        <v/>
      </c>
      <c r="AQ1279" s="28"/>
      <c r="AR1279" s="28"/>
      <c r="AS1279" s="20" t="str">
        <f>IF(AQ1279="","",IF($F1279="Bernardino Furlan",_xlfn.XLOOKUP(AQ1279,Cadastros!$G$6:$G$90,Cadastros!$H$6:$H$90)*(1-0.18),IF($F1279="Mauro José Salanti",_xlfn.XLOOKUP(AQ1279,Cadastros!$G$6:$G$90,Cadastros!$H$6:$H$90)*(1-0.18),_xlfn.XLOOKUP(AQ1279,Cadastros!$G$6:$G$90,Cadastros!$H$6:$H$90))))</f>
        <v/>
      </c>
      <c r="AT1279" s="168" t="str">
        <f t="shared" si="258"/>
        <v/>
      </c>
      <c r="AU1279" s="168" t="str">
        <f t="shared" si="259"/>
        <v/>
      </c>
      <c r="AV1279" s="227"/>
      <c r="AW1279" s="30"/>
      <c r="AX1279" s="267"/>
      <c r="AY1279" s="267"/>
      <c r="AZ1279" s="29"/>
      <c r="BA1279" s="30"/>
      <c r="BB1279" s="23" t="str" cm="1">
        <f t="array" ref="BB1279">_xlfn.IFS(AW1279="SIM",SUM(K1279,P1279,U1279,Z1279,AE1279,AJ1279,AO1279,AT1279,AX1279,AY1279),F1279&lt;&gt;"",SUM(K1279,P1279,U1279,Z1279,AE1279,AJ1279,,AO1279,AT1279),F1279="","")</f>
        <v/>
      </c>
      <c r="BC1279" s="211" t="str" cm="1">
        <f t="array" ref="BC1279">_xlfn.IFS(E1279="","",G1279&lt;=E1279,BB1279*(1-0.03),G1279&lt;(E1279+8),BB1279,AZ1279="Boleto",BB1279*(1+0.001)^DATEDIF(E1279,G1279,"D"),AZ1279="Cheque",BB1279,AZ1279="Dinheiro","Alterar forma pgto")</f>
        <v/>
      </c>
      <c r="BD1279" s="276" t="str" cm="1">
        <f t="array" ref="BD1279">IF(F1279=0," ",IF(BC1279&lt;BB1279,(_xlfn.IFS(AW1279="SIM",SUM(L1279,Q1279,V1279,AA1279,AF1279,AK1279,AP1279,AU1279)+AX1279/_xlfn.XLOOKUP(_xlfn.XLOOKUP($F1279,Clientes!$B$4:$B$39,Clientes!$C$4:$C$39),Cadastros!$L$6:$L$12,Cadastros!$M$6:$M$12)+IF($F1279="Bernardino Furlan",AY1279/2751.92,IF($F1279="Mauro José Salanti",AY1279/2751.92,AY1279/3356)),F1279&lt;&gt;0,SUM(L1279,Q1279,V1279,AA1279,AF1279,AK1279,AP1279,AU1279)))*(1-0.03),_xlfn.IFS(AW1279="SIM",SUM(L1279,Q1279,V1279,AA1279,AF1279,AK1279,AP1279,AU1279)+AX1279/_xlfn.XLOOKUP(_xlfn.XLOOKUP($F1279,Clientes!$B$4:$B$39,Clientes!$C$4:$C$39),Cadastros!$L$6:$L$12,Cadastros!$M$6:$M$12)+IF($F1279="Bernardino Furlan",AY1279/2751.92,IF($F1279="Mauro José Salanti",AY1279/2751.92,AY1279/3356)),F1279&lt;&gt;0,SUM(L1279,Q1279,V1279,AA1279,AF1279,AK1279,AP1279,AU1279))))</f>
        <v xml:space="preserve"> </v>
      </c>
      <c r="BE1279" s="120"/>
      <c r="BF1279" s="120"/>
      <c r="BG1279" s="120"/>
    </row>
    <row r="1280" spans="1:59" s="3" customFormat="1" x14ac:dyDescent="0.3">
      <c r="A1280" s="15" t="str">
        <f t="shared" si="247"/>
        <v/>
      </c>
      <c r="B1280" s="25"/>
      <c r="C1280" s="26"/>
      <c r="D1280" s="279"/>
      <c r="E1280" s="27"/>
      <c r="F1280" s="28"/>
      <c r="G1280" s="27"/>
      <c r="H1280" s="28"/>
      <c r="I1280" s="28"/>
      <c r="J1280" s="255" t="str">
        <f>IF(H1280="","",(_xlfn.XLOOKUP(H1280,Cadastros!$D$6:$D$90,Cadastros!$E$6:$E$90))*(1-_xlfn.XLOOKUP(_xlfn.XLOOKUP($F1280,Clientes!$B$4:$B$39,Clientes!$C$4:$C$39),Cadastros!$L$6:$L$12,Cadastros!$N$6:$N$12)))</f>
        <v/>
      </c>
      <c r="K1280" s="168" t="str">
        <f t="shared" si="248"/>
        <v/>
      </c>
      <c r="L1280" s="168" t="str">
        <f>IFERROR(K1280/_xlfn.XLOOKUP(_xlfn.XLOOKUP($F1280,Clientes!$B$4:$B$39,Clientes!$C$4:$C$39),Cadastros!$L$6:$L$12,Cadastros!$M$6:$M$12)," ")</f>
        <v xml:space="preserve"> </v>
      </c>
      <c r="M1280" s="28"/>
      <c r="N1280" s="28"/>
      <c r="O1280" s="255" t="str">
        <f>IF(M1280="","",(_xlfn.XLOOKUP(M1280,Cadastros!$D$6:$D$90,Cadastros!$E$6:$E$90))*(1-_xlfn.XLOOKUP(_xlfn.XLOOKUP($F1280,Clientes!$B$4:$B$39,Clientes!$C$4:$C$39),Cadastros!$L$6:$L$12,Cadastros!$N$6:$N$12)))</f>
        <v/>
      </c>
      <c r="P1280" s="168" t="str">
        <f t="shared" si="249"/>
        <v/>
      </c>
      <c r="Q1280" s="168" t="str">
        <f>IFERROR(P1280/_xlfn.XLOOKUP(_xlfn.XLOOKUP($F1280,Clientes!$B$4:$B$39,Clientes!$C$4:$C$39),Cadastros!$L$6:$L$12,Cadastros!$M$6:$M$12)," ")</f>
        <v xml:space="preserve"> </v>
      </c>
      <c r="R1280" s="28"/>
      <c r="S1280" s="28"/>
      <c r="T1280" s="255" t="str">
        <f>IF(R1280="","",(_xlfn.XLOOKUP(R1280,Cadastros!$D$6:$D$90,Cadastros!$E$6:$E$90))*(1-_xlfn.XLOOKUP(_xlfn.XLOOKUP($F1280,Clientes!$B$4:$B$39,Clientes!$C$4:$C$39),Cadastros!$L$6:$L$12,Cadastros!$N$6:$N$12)))</f>
        <v/>
      </c>
      <c r="U1280" s="168" t="str">
        <f t="shared" si="250"/>
        <v/>
      </c>
      <c r="V1280" s="168" t="str">
        <f>IFERROR(U1280/_xlfn.XLOOKUP(_xlfn.XLOOKUP($F1280,Clientes!$B$4:$B$39,Clientes!$C$4:$C$39),Cadastros!$L$6:$L$12,Cadastros!$M$6:$M$12)," ")</f>
        <v xml:space="preserve"> </v>
      </c>
      <c r="W1280" s="28"/>
      <c r="X1280" s="28"/>
      <c r="Y1280" s="255" t="str">
        <f>IF(W1280="","",(_xlfn.XLOOKUP(W1280,Cadastros!$D$6:$D$90,Cadastros!$E$6:$E$90))*(1-_xlfn.XLOOKUP(_xlfn.XLOOKUP($F1280,Clientes!$B$4:$B$39,Clientes!$C$4:$C$39),Cadastros!$L$6:$L$12,Cadastros!$N$6:$N$12)))</f>
        <v/>
      </c>
      <c r="Z1280" s="168" t="str">
        <f t="shared" si="251"/>
        <v/>
      </c>
      <c r="AA1280" s="168" t="str">
        <f>IFERROR(Z1280/_xlfn.XLOOKUP(_xlfn.XLOOKUP($F1280,Clientes!$B$4:$B$39,Clientes!$C$4:$C$39),Cadastros!$L$6:$L$12,Cadastros!$M$6:$M$12)," ")</f>
        <v xml:space="preserve"> </v>
      </c>
      <c r="AB1280" s="28"/>
      <c r="AC1280" s="28"/>
      <c r="AD1280" s="20" t="str">
        <f>IF(AB1280="","",IF($F1280="Bernardino Furlan",_xlfn.XLOOKUP(AB1280,Cadastros!$G$6:$G$90,Cadastros!$H$6:$H$90)*(1-0.18),IF($F1280="Mauro José Salanti",_xlfn.XLOOKUP(AB1280,Cadastros!$G$6:$G$90,Cadastros!$H$6:$H$90)*(1-0.18),_xlfn.XLOOKUP(AB1280,Cadastros!$G$6:$G$90,Cadastros!$H$6:$H$90))))</f>
        <v/>
      </c>
      <c r="AE1280" s="168" t="str">
        <f t="shared" si="252"/>
        <v/>
      </c>
      <c r="AF1280" s="168" t="str">
        <f t="shared" si="253"/>
        <v/>
      </c>
      <c r="AG1280" s="28"/>
      <c r="AH1280" s="28"/>
      <c r="AI1280" s="20" t="str">
        <f>IF(AG1280="","",IF($F1280="Bernardino Furlan",_xlfn.XLOOKUP(AG1280,Cadastros!$G$6:$G$90,Cadastros!$H$6:$H$90)*(1-0.18),IF($F1280="Mauro José Salanti",_xlfn.XLOOKUP(AG1280,Cadastros!$G$6:$G$90,Cadastros!$H$6:$H$90)*(1-0.18),_xlfn.XLOOKUP(AG1280,Cadastros!$G$6:$G$90,Cadastros!$H$6:$H$90))))</f>
        <v/>
      </c>
      <c r="AJ1280" s="168" t="str">
        <f t="shared" si="254"/>
        <v/>
      </c>
      <c r="AK1280" s="168" t="str">
        <f t="shared" si="255"/>
        <v/>
      </c>
      <c r="AL1280" s="28"/>
      <c r="AM1280" s="28"/>
      <c r="AN1280" s="20" t="str">
        <f>IF(AL1280="","",IF($F1280="Bernardino Furlan",_xlfn.XLOOKUP(AL1280,Cadastros!$G$6:$G$90,Cadastros!$H$6:$H$90)*(1-0.18),IF($F1280="Mauro José Salanti",_xlfn.XLOOKUP(AL1280,Cadastros!$G$6:$G$90,Cadastros!$H$6:$H$90)*(1-0.18),_xlfn.XLOOKUP(AL1280,Cadastros!$G$6:$G$90,Cadastros!$H$6:$H$90))))</f>
        <v/>
      </c>
      <c r="AO1280" s="168" t="str">
        <f t="shared" si="256"/>
        <v/>
      </c>
      <c r="AP1280" s="168" t="str">
        <f t="shared" si="257"/>
        <v/>
      </c>
      <c r="AQ1280" s="28"/>
      <c r="AR1280" s="28"/>
      <c r="AS1280" s="20" t="str">
        <f>IF(AQ1280="","",IF($F1280="Bernardino Furlan",_xlfn.XLOOKUP(AQ1280,Cadastros!$G$6:$G$90,Cadastros!$H$6:$H$90)*(1-0.18),IF($F1280="Mauro José Salanti",_xlfn.XLOOKUP(AQ1280,Cadastros!$G$6:$G$90,Cadastros!$H$6:$H$90)*(1-0.18),_xlfn.XLOOKUP(AQ1280,Cadastros!$G$6:$G$90,Cadastros!$H$6:$H$90))))</f>
        <v/>
      </c>
      <c r="AT1280" s="168" t="str">
        <f t="shared" si="258"/>
        <v/>
      </c>
      <c r="AU1280" s="168" t="str">
        <f t="shared" si="259"/>
        <v/>
      </c>
      <c r="AV1280" s="227"/>
      <c r="AW1280" s="30"/>
      <c r="AX1280" s="267"/>
      <c r="AY1280" s="267"/>
      <c r="AZ1280" s="29"/>
      <c r="BA1280" s="30"/>
      <c r="BB1280" s="23" t="str" cm="1">
        <f t="array" ref="BB1280">_xlfn.IFS(AW1280="SIM",SUM(K1280,P1280,U1280,Z1280,AE1280,AJ1280,AO1280,AT1280,AX1280,AY1280),F1280&lt;&gt;"",SUM(K1280,P1280,U1280,Z1280,AE1280,AJ1280,,AO1280,AT1280),F1280="","")</f>
        <v/>
      </c>
      <c r="BC1280" s="211" t="str" cm="1">
        <f t="array" ref="BC1280">_xlfn.IFS(E1280="","",G1280&lt;=E1280,BB1280*(1-0.03),G1280&lt;(E1280+8),BB1280,AZ1280="Boleto",BB1280*(1+0.001)^DATEDIF(E1280,G1280,"D"),AZ1280="Cheque",BB1280,AZ1280="Dinheiro","Alterar forma pgto")</f>
        <v/>
      </c>
      <c r="BD1280" s="276" t="str" cm="1">
        <f t="array" ref="BD1280">IF(F1280=0," ",IF(BC1280&lt;BB1280,(_xlfn.IFS(AW1280="SIM",SUM(L1280,Q1280,V1280,AA1280,AF1280,AK1280,AP1280,AU1280)+AX1280/_xlfn.XLOOKUP(_xlfn.XLOOKUP($F1280,Clientes!$B$4:$B$39,Clientes!$C$4:$C$39),Cadastros!$L$6:$L$12,Cadastros!$M$6:$M$12)+IF($F1280="Bernardino Furlan",AY1280/2751.92,IF($F1280="Mauro José Salanti",AY1280/2751.92,AY1280/3356)),F1280&lt;&gt;0,SUM(L1280,Q1280,V1280,AA1280,AF1280,AK1280,AP1280,AU1280)))*(1-0.03),_xlfn.IFS(AW1280="SIM",SUM(L1280,Q1280,V1280,AA1280,AF1280,AK1280,AP1280,AU1280)+AX1280/_xlfn.XLOOKUP(_xlfn.XLOOKUP($F1280,Clientes!$B$4:$B$39,Clientes!$C$4:$C$39),Cadastros!$L$6:$L$12,Cadastros!$M$6:$M$12)+IF($F1280="Bernardino Furlan",AY1280/2751.92,IF($F1280="Mauro José Salanti",AY1280/2751.92,AY1280/3356)),F1280&lt;&gt;0,SUM(L1280,Q1280,V1280,AA1280,AF1280,AK1280,AP1280,AU1280))))</f>
        <v xml:space="preserve"> </v>
      </c>
      <c r="BE1280" s="120"/>
      <c r="BF1280" s="120"/>
      <c r="BG1280" s="120"/>
    </row>
    <row r="1281" spans="1:59" s="3" customFormat="1" x14ac:dyDescent="0.3">
      <c r="A1281" s="15" t="str">
        <f t="shared" si="247"/>
        <v/>
      </c>
      <c r="B1281" s="25"/>
      <c r="C1281" s="26"/>
      <c r="D1281" s="279"/>
      <c r="E1281" s="27"/>
      <c r="F1281" s="28"/>
      <c r="G1281" s="27"/>
      <c r="H1281" s="28"/>
      <c r="I1281" s="28"/>
      <c r="J1281" s="255" t="str">
        <f>IF(H1281="","",(_xlfn.XLOOKUP(H1281,Cadastros!$D$6:$D$90,Cadastros!$E$6:$E$90))*(1-_xlfn.XLOOKUP(_xlfn.XLOOKUP($F1281,Clientes!$B$4:$B$39,Clientes!$C$4:$C$39),Cadastros!$L$6:$L$12,Cadastros!$N$6:$N$12)))</f>
        <v/>
      </c>
      <c r="K1281" s="168" t="str">
        <f t="shared" si="248"/>
        <v/>
      </c>
      <c r="L1281" s="168" t="str">
        <f>IFERROR(K1281/_xlfn.XLOOKUP(_xlfn.XLOOKUP($F1281,Clientes!$B$4:$B$39,Clientes!$C$4:$C$39),Cadastros!$L$6:$L$12,Cadastros!$M$6:$M$12)," ")</f>
        <v xml:space="preserve"> </v>
      </c>
      <c r="M1281" s="28"/>
      <c r="N1281" s="28"/>
      <c r="O1281" s="255" t="str">
        <f>IF(M1281="","",(_xlfn.XLOOKUP(M1281,Cadastros!$D$6:$D$90,Cadastros!$E$6:$E$90))*(1-_xlfn.XLOOKUP(_xlfn.XLOOKUP($F1281,Clientes!$B$4:$B$39,Clientes!$C$4:$C$39),Cadastros!$L$6:$L$12,Cadastros!$N$6:$N$12)))</f>
        <v/>
      </c>
      <c r="P1281" s="168" t="str">
        <f t="shared" si="249"/>
        <v/>
      </c>
      <c r="Q1281" s="168" t="str">
        <f>IFERROR(P1281/_xlfn.XLOOKUP(_xlfn.XLOOKUP($F1281,Clientes!$B$4:$B$39,Clientes!$C$4:$C$39),Cadastros!$L$6:$L$12,Cadastros!$M$6:$M$12)," ")</f>
        <v xml:space="preserve"> </v>
      </c>
      <c r="R1281" s="28"/>
      <c r="S1281" s="28"/>
      <c r="T1281" s="255" t="str">
        <f>IF(R1281="","",(_xlfn.XLOOKUP(R1281,Cadastros!$D$6:$D$90,Cadastros!$E$6:$E$90))*(1-_xlfn.XLOOKUP(_xlfn.XLOOKUP($F1281,Clientes!$B$4:$B$39,Clientes!$C$4:$C$39),Cadastros!$L$6:$L$12,Cadastros!$N$6:$N$12)))</f>
        <v/>
      </c>
      <c r="U1281" s="168" t="str">
        <f t="shared" si="250"/>
        <v/>
      </c>
      <c r="V1281" s="168" t="str">
        <f>IFERROR(U1281/_xlfn.XLOOKUP(_xlfn.XLOOKUP($F1281,Clientes!$B$4:$B$39,Clientes!$C$4:$C$39),Cadastros!$L$6:$L$12,Cadastros!$M$6:$M$12)," ")</f>
        <v xml:space="preserve"> </v>
      </c>
      <c r="W1281" s="28"/>
      <c r="X1281" s="28"/>
      <c r="Y1281" s="255" t="str">
        <f>IF(W1281="","",(_xlfn.XLOOKUP(W1281,Cadastros!$D$6:$D$90,Cadastros!$E$6:$E$90))*(1-_xlfn.XLOOKUP(_xlfn.XLOOKUP($F1281,Clientes!$B$4:$B$39,Clientes!$C$4:$C$39),Cadastros!$L$6:$L$12,Cadastros!$N$6:$N$12)))</f>
        <v/>
      </c>
      <c r="Z1281" s="168" t="str">
        <f t="shared" si="251"/>
        <v/>
      </c>
      <c r="AA1281" s="168" t="str">
        <f>IFERROR(Z1281/_xlfn.XLOOKUP(_xlfn.XLOOKUP($F1281,Clientes!$B$4:$B$39,Clientes!$C$4:$C$39),Cadastros!$L$6:$L$12,Cadastros!$M$6:$M$12)," ")</f>
        <v xml:space="preserve"> </v>
      </c>
      <c r="AB1281" s="28"/>
      <c r="AC1281" s="28"/>
      <c r="AD1281" s="20" t="str">
        <f>IF(AB1281="","",IF($F1281="Bernardino Furlan",_xlfn.XLOOKUP(AB1281,Cadastros!$G$6:$G$90,Cadastros!$H$6:$H$90)*(1-0.18),IF($F1281="Mauro José Salanti",_xlfn.XLOOKUP(AB1281,Cadastros!$G$6:$G$90,Cadastros!$H$6:$H$90)*(1-0.18),_xlfn.XLOOKUP(AB1281,Cadastros!$G$6:$G$90,Cadastros!$H$6:$H$90))))</f>
        <v/>
      </c>
      <c r="AE1281" s="168" t="str">
        <f t="shared" si="252"/>
        <v/>
      </c>
      <c r="AF1281" s="168" t="str">
        <f t="shared" si="253"/>
        <v/>
      </c>
      <c r="AG1281" s="28"/>
      <c r="AH1281" s="28"/>
      <c r="AI1281" s="20" t="str">
        <f>IF(AG1281="","",IF($F1281="Bernardino Furlan",_xlfn.XLOOKUP(AG1281,Cadastros!$G$6:$G$90,Cadastros!$H$6:$H$90)*(1-0.18),IF($F1281="Mauro José Salanti",_xlfn.XLOOKUP(AG1281,Cadastros!$G$6:$G$90,Cadastros!$H$6:$H$90)*(1-0.18),_xlfn.XLOOKUP(AG1281,Cadastros!$G$6:$G$90,Cadastros!$H$6:$H$90))))</f>
        <v/>
      </c>
      <c r="AJ1281" s="168" t="str">
        <f t="shared" si="254"/>
        <v/>
      </c>
      <c r="AK1281" s="168" t="str">
        <f t="shared" si="255"/>
        <v/>
      </c>
      <c r="AL1281" s="28"/>
      <c r="AM1281" s="28"/>
      <c r="AN1281" s="20" t="str">
        <f>IF(AL1281="","",IF($F1281="Bernardino Furlan",_xlfn.XLOOKUP(AL1281,Cadastros!$G$6:$G$90,Cadastros!$H$6:$H$90)*(1-0.18),IF($F1281="Mauro José Salanti",_xlfn.XLOOKUP(AL1281,Cadastros!$G$6:$G$90,Cadastros!$H$6:$H$90)*(1-0.18),_xlfn.XLOOKUP(AL1281,Cadastros!$G$6:$G$90,Cadastros!$H$6:$H$90))))</f>
        <v/>
      </c>
      <c r="AO1281" s="168" t="str">
        <f t="shared" si="256"/>
        <v/>
      </c>
      <c r="AP1281" s="168" t="str">
        <f t="shared" si="257"/>
        <v/>
      </c>
      <c r="AQ1281" s="28"/>
      <c r="AR1281" s="28"/>
      <c r="AS1281" s="20" t="str">
        <f>IF(AQ1281="","",IF($F1281="Bernardino Furlan",_xlfn.XLOOKUP(AQ1281,Cadastros!$G$6:$G$90,Cadastros!$H$6:$H$90)*(1-0.18),IF($F1281="Mauro José Salanti",_xlfn.XLOOKUP(AQ1281,Cadastros!$G$6:$G$90,Cadastros!$H$6:$H$90)*(1-0.18),_xlfn.XLOOKUP(AQ1281,Cadastros!$G$6:$G$90,Cadastros!$H$6:$H$90))))</f>
        <v/>
      </c>
      <c r="AT1281" s="168" t="str">
        <f t="shared" si="258"/>
        <v/>
      </c>
      <c r="AU1281" s="168" t="str">
        <f t="shared" si="259"/>
        <v/>
      </c>
      <c r="AV1281" s="227"/>
      <c r="AW1281" s="30"/>
      <c r="AX1281" s="267"/>
      <c r="AY1281" s="267"/>
      <c r="AZ1281" s="29"/>
      <c r="BA1281" s="30"/>
      <c r="BB1281" s="23" t="str" cm="1">
        <f t="array" ref="BB1281">_xlfn.IFS(AW1281="SIM",SUM(K1281,P1281,U1281,Z1281,AE1281,AJ1281,AO1281,AT1281,AX1281,AY1281),F1281&lt;&gt;"",SUM(K1281,P1281,U1281,Z1281,AE1281,AJ1281,,AO1281,AT1281),F1281="","")</f>
        <v/>
      </c>
      <c r="BC1281" s="211" t="str" cm="1">
        <f t="array" ref="BC1281">_xlfn.IFS(E1281="","",G1281&lt;=E1281,BB1281*(1-0.03),G1281&lt;(E1281+8),BB1281,AZ1281="Boleto",BB1281*(1+0.001)^DATEDIF(E1281,G1281,"D"),AZ1281="Cheque",BB1281,AZ1281="Dinheiro","Alterar forma pgto")</f>
        <v/>
      </c>
      <c r="BD1281" s="276" t="str" cm="1">
        <f t="array" ref="BD1281">IF(F1281=0," ",IF(BC1281&lt;BB1281,(_xlfn.IFS(AW1281="SIM",SUM(L1281,Q1281,V1281,AA1281,AF1281,AK1281,AP1281,AU1281)+AX1281/_xlfn.XLOOKUP(_xlfn.XLOOKUP($F1281,Clientes!$B$4:$B$39,Clientes!$C$4:$C$39),Cadastros!$L$6:$L$12,Cadastros!$M$6:$M$12)+IF($F1281="Bernardino Furlan",AY1281/2751.92,IF($F1281="Mauro José Salanti",AY1281/2751.92,AY1281/3356)),F1281&lt;&gt;0,SUM(L1281,Q1281,V1281,AA1281,AF1281,AK1281,AP1281,AU1281)))*(1-0.03),_xlfn.IFS(AW1281="SIM",SUM(L1281,Q1281,V1281,AA1281,AF1281,AK1281,AP1281,AU1281)+AX1281/_xlfn.XLOOKUP(_xlfn.XLOOKUP($F1281,Clientes!$B$4:$B$39,Clientes!$C$4:$C$39),Cadastros!$L$6:$L$12,Cadastros!$M$6:$M$12)+IF($F1281="Bernardino Furlan",AY1281/2751.92,IF($F1281="Mauro José Salanti",AY1281/2751.92,AY1281/3356)),F1281&lt;&gt;0,SUM(L1281,Q1281,V1281,AA1281,AF1281,AK1281,AP1281,AU1281))))</f>
        <v xml:space="preserve"> </v>
      </c>
      <c r="BE1281" s="120"/>
      <c r="BF1281" s="120"/>
      <c r="BG1281" s="120"/>
    </row>
    <row r="1282" spans="1:59" s="3" customFormat="1" x14ac:dyDescent="0.3">
      <c r="A1282" s="15" t="str">
        <f t="shared" si="247"/>
        <v/>
      </c>
      <c r="B1282" s="25"/>
      <c r="C1282" s="26"/>
      <c r="D1282" s="279"/>
      <c r="E1282" s="27"/>
      <c r="F1282" s="28"/>
      <c r="G1282" s="27"/>
      <c r="H1282" s="28"/>
      <c r="I1282" s="28"/>
      <c r="J1282" s="255" t="str">
        <f>IF(H1282="","",(_xlfn.XLOOKUP(H1282,Cadastros!$D$6:$D$90,Cadastros!$E$6:$E$90))*(1-_xlfn.XLOOKUP(_xlfn.XLOOKUP($F1282,Clientes!$B$4:$B$39,Clientes!$C$4:$C$39),Cadastros!$L$6:$L$12,Cadastros!$N$6:$N$12)))</f>
        <v/>
      </c>
      <c r="K1282" s="168" t="str">
        <f t="shared" si="248"/>
        <v/>
      </c>
      <c r="L1282" s="168" t="str">
        <f>IFERROR(K1282/_xlfn.XLOOKUP(_xlfn.XLOOKUP($F1282,Clientes!$B$4:$B$39,Clientes!$C$4:$C$39),Cadastros!$L$6:$L$12,Cadastros!$M$6:$M$12)," ")</f>
        <v xml:space="preserve"> </v>
      </c>
      <c r="M1282" s="28"/>
      <c r="N1282" s="28"/>
      <c r="O1282" s="255" t="str">
        <f>IF(M1282="","",(_xlfn.XLOOKUP(M1282,Cadastros!$D$6:$D$90,Cadastros!$E$6:$E$90))*(1-_xlfn.XLOOKUP(_xlfn.XLOOKUP($F1282,Clientes!$B$4:$B$39,Clientes!$C$4:$C$39),Cadastros!$L$6:$L$12,Cadastros!$N$6:$N$12)))</f>
        <v/>
      </c>
      <c r="P1282" s="168" t="str">
        <f t="shared" si="249"/>
        <v/>
      </c>
      <c r="Q1282" s="168" t="str">
        <f>IFERROR(P1282/_xlfn.XLOOKUP(_xlfn.XLOOKUP($F1282,Clientes!$B$4:$B$39,Clientes!$C$4:$C$39),Cadastros!$L$6:$L$12,Cadastros!$M$6:$M$12)," ")</f>
        <v xml:space="preserve"> </v>
      </c>
      <c r="R1282" s="28"/>
      <c r="S1282" s="28"/>
      <c r="T1282" s="255" t="str">
        <f>IF(R1282="","",(_xlfn.XLOOKUP(R1282,Cadastros!$D$6:$D$90,Cadastros!$E$6:$E$90))*(1-_xlfn.XLOOKUP(_xlfn.XLOOKUP($F1282,Clientes!$B$4:$B$39,Clientes!$C$4:$C$39),Cadastros!$L$6:$L$12,Cadastros!$N$6:$N$12)))</f>
        <v/>
      </c>
      <c r="U1282" s="168" t="str">
        <f t="shared" si="250"/>
        <v/>
      </c>
      <c r="V1282" s="168" t="str">
        <f>IFERROR(U1282/_xlfn.XLOOKUP(_xlfn.XLOOKUP($F1282,Clientes!$B$4:$B$39,Clientes!$C$4:$C$39),Cadastros!$L$6:$L$12,Cadastros!$M$6:$M$12)," ")</f>
        <v xml:space="preserve"> </v>
      </c>
      <c r="W1282" s="28"/>
      <c r="X1282" s="28"/>
      <c r="Y1282" s="255" t="str">
        <f>IF(W1282="","",(_xlfn.XLOOKUP(W1282,Cadastros!$D$6:$D$90,Cadastros!$E$6:$E$90))*(1-_xlfn.XLOOKUP(_xlfn.XLOOKUP($F1282,Clientes!$B$4:$B$39,Clientes!$C$4:$C$39),Cadastros!$L$6:$L$12,Cadastros!$N$6:$N$12)))</f>
        <v/>
      </c>
      <c r="Z1282" s="168" t="str">
        <f t="shared" si="251"/>
        <v/>
      </c>
      <c r="AA1282" s="168" t="str">
        <f>IFERROR(Z1282/_xlfn.XLOOKUP(_xlfn.XLOOKUP($F1282,Clientes!$B$4:$B$39,Clientes!$C$4:$C$39),Cadastros!$L$6:$L$12,Cadastros!$M$6:$M$12)," ")</f>
        <v xml:space="preserve"> </v>
      </c>
      <c r="AB1282" s="28"/>
      <c r="AC1282" s="28"/>
      <c r="AD1282" s="20" t="str">
        <f>IF(AB1282="","",IF($F1282="Bernardino Furlan",_xlfn.XLOOKUP(AB1282,Cadastros!$G$6:$G$90,Cadastros!$H$6:$H$90)*(1-0.18),IF($F1282="Mauro José Salanti",_xlfn.XLOOKUP(AB1282,Cadastros!$G$6:$G$90,Cadastros!$H$6:$H$90)*(1-0.18),_xlfn.XLOOKUP(AB1282,Cadastros!$G$6:$G$90,Cadastros!$H$6:$H$90))))</f>
        <v/>
      </c>
      <c r="AE1282" s="168" t="str">
        <f t="shared" si="252"/>
        <v/>
      </c>
      <c r="AF1282" s="168" t="str">
        <f t="shared" si="253"/>
        <v/>
      </c>
      <c r="AG1282" s="28"/>
      <c r="AH1282" s="28"/>
      <c r="AI1282" s="20" t="str">
        <f>IF(AG1282="","",IF($F1282="Bernardino Furlan",_xlfn.XLOOKUP(AG1282,Cadastros!$G$6:$G$90,Cadastros!$H$6:$H$90)*(1-0.18),IF($F1282="Mauro José Salanti",_xlfn.XLOOKUP(AG1282,Cadastros!$G$6:$G$90,Cadastros!$H$6:$H$90)*(1-0.18),_xlfn.XLOOKUP(AG1282,Cadastros!$G$6:$G$90,Cadastros!$H$6:$H$90))))</f>
        <v/>
      </c>
      <c r="AJ1282" s="168" t="str">
        <f t="shared" si="254"/>
        <v/>
      </c>
      <c r="AK1282" s="168" t="str">
        <f t="shared" si="255"/>
        <v/>
      </c>
      <c r="AL1282" s="28"/>
      <c r="AM1282" s="28"/>
      <c r="AN1282" s="20" t="str">
        <f>IF(AL1282="","",IF($F1282="Bernardino Furlan",_xlfn.XLOOKUP(AL1282,Cadastros!$G$6:$G$90,Cadastros!$H$6:$H$90)*(1-0.18),IF($F1282="Mauro José Salanti",_xlfn.XLOOKUP(AL1282,Cadastros!$G$6:$G$90,Cadastros!$H$6:$H$90)*(1-0.18),_xlfn.XLOOKUP(AL1282,Cadastros!$G$6:$G$90,Cadastros!$H$6:$H$90))))</f>
        <v/>
      </c>
      <c r="AO1282" s="168" t="str">
        <f t="shared" si="256"/>
        <v/>
      </c>
      <c r="AP1282" s="168" t="str">
        <f t="shared" si="257"/>
        <v/>
      </c>
      <c r="AQ1282" s="28"/>
      <c r="AR1282" s="28"/>
      <c r="AS1282" s="20" t="str">
        <f>IF(AQ1282="","",IF($F1282="Bernardino Furlan",_xlfn.XLOOKUP(AQ1282,Cadastros!$G$6:$G$90,Cadastros!$H$6:$H$90)*(1-0.18),IF($F1282="Mauro José Salanti",_xlfn.XLOOKUP(AQ1282,Cadastros!$G$6:$G$90,Cadastros!$H$6:$H$90)*(1-0.18),_xlfn.XLOOKUP(AQ1282,Cadastros!$G$6:$G$90,Cadastros!$H$6:$H$90))))</f>
        <v/>
      </c>
      <c r="AT1282" s="168" t="str">
        <f t="shared" si="258"/>
        <v/>
      </c>
      <c r="AU1282" s="168" t="str">
        <f t="shared" si="259"/>
        <v/>
      </c>
      <c r="AV1282" s="227"/>
      <c r="AW1282" s="30"/>
      <c r="AX1282" s="267"/>
      <c r="AY1282" s="267"/>
      <c r="AZ1282" s="29"/>
      <c r="BA1282" s="30"/>
      <c r="BB1282" s="23" t="str" cm="1">
        <f t="array" ref="BB1282">_xlfn.IFS(AW1282="SIM",SUM(K1282,P1282,U1282,Z1282,AE1282,AJ1282,AO1282,AT1282,AX1282,AY1282),F1282&lt;&gt;"",SUM(K1282,P1282,U1282,Z1282,AE1282,AJ1282,,AO1282,AT1282),F1282="","")</f>
        <v/>
      </c>
      <c r="BC1282" s="211" t="str" cm="1">
        <f t="array" ref="BC1282">_xlfn.IFS(E1282="","",G1282&lt;=E1282,BB1282*(1-0.03),G1282&lt;(E1282+8),BB1282,AZ1282="Boleto",BB1282*(1+0.001)^DATEDIF(E1282,G1282,"D"),AZ1282="Cheque",BB1282,AZ1282="Dinheiro","Alterar forma pgto")</f>
        <v/>
      </c>
      <c r="BD1282" s="276" t="str" cm="1">
        <f t="array" ref="BD1282">IF(F1282=0," ",IF(BC1282&lt;BB1282,(_xlfn.IFS(AW1282="SIM",SUM(L1282,Q1282,V1282,AA1282,AF1282,AK1282,AP1282,AU1282)+AX1282/_xlfn.XLOOKUP(_xlfn.XLOOKUP($F1282,Clientes!$B$4:$B$39,Clientes!$C$4:$C$39),Cadastros!$L$6:$L$12,Cadastros!$M$6:$M$12)+IF($F1282="Bernardino Furlan",AY1282/2751.92,IF($F1282="Mauro José Salanti",AY1282/2751.92,AY1282/3356)),F1282&lt;&gt;0,SUM(L1282,Q1282,V1282,AA1282,AF1282,AK1282,AP1282,AU1282)))*(1-0.03),_xlfn.IFS(AW1282="SIM",SUM(L1282,Q1282,V1282,AA1282,AF1282,AK1282,AP1282,AU1282)+AX1282/_xlfn.XLOOKUP(_xlfn.XLOOKUP($F1282,Clientes!$B$4:$B$39,Clientes!$C$4:$C$39),Cadastros!$L$6:$L$12,Cadastros!$M$6:$M$12)+IF($F1282="Bernardino Furlan",AY1282/2751.92,IF($F1282="Mauro José Salanti",AY1282/2751.92,AY1282/3356)),F1282&lt;&gt;0,SUM(L1282,Q1282,V1282,AA1282,AF1282,AK1282,AP1282,AU1282))))</f>
        <v xml:space="preserve"> </v>
      </c>
      <c r="BE1282" s="120"/>
      <c r="BF1282" s="120"/>
      <c r="BG1282" s="120"/>
    </row>
    <row r="1283" spans="1:59" s="3" customFormat="1" x14ac:dyDescent="0.3">
      <c r="A1283" s="15" t="str">
        <f t="shared" si="247"/>
        <v/>
      </c>
      <c r="B1283" s="25"/>
      <c r="C1283" s="26"/>
      <c r="D1283" s="279"/>
      <c r="E1283" s="27"/>
      <c r="F1283" s="28"/>
      <c r="G1283" s="27"/>
      <c r="H1283" s="28"/>
      <c r="I1283" s="28"/>
      <c r="J1283" s="255" t="str">
        <f>IF(H1283="","",(_xlfn.XLOOKUP(H1283,Cadastros!$D$6:$D$90,Cadastros!$E$6:$E$90))*(1-_xlfn.XLOOKUP(_xlfn.XLOOKUP($F1283,Clientes!$B$4:$B$39,Clientes!$C$4:$C$39),Cadastros!$L$6:$L$12,Cadastros!$N$6:$N$12)))</f>
        <v/>
      </c>
      <c r="K1283" s="168" t="str">
        <f t="shared" si="248"/>
        <v/>
      </c>
      <c r="L1283" s="168" t="str">
        <f>IFERROR(K1283/_xlfn.XLOOKUP(_xlfn.XLOOKUP($F1283,Clientes!$B$4:$B$39,Clientes!$C$4:$C$39),Cadastros!$L$6:$L$12,Cadastros!$M$6:$M$12)," ")</f>
        <v xml:space="preserve"> </v>
      </c>
      <c r="M1283" s="28"/>
      <c r="N1283" s="28"/>
      <c r="O1283" s="255" t="str">
        <f>IF(M1283="","",(_xlfn.XLOOKUP(M1283,Cadastros!$D$6:$D$90,Cadastros!$E$6:$E$90))*(1-_xlfn.XLOOKUP(_xlfn.XLOOKUP($F1283,Clientes!$B$4:$B$39,Clientes!$C$4:$C$39),Cadastros!$L$6:$L$12,Cadastros!$N$6:$N$12)))</f>
        <v/>
      </c>
      <c r="P1283" s="168" t="str">
        <f t="shared" si="249"/>
        <v/>
      </c>
      <c r="Q1283" s="168" t="str">
        <f>IFERROR(P1283/_xlfn.XLOOKUP(_xlfn.XLOOKUP($F1283,Clientes!$B$4:$B$39,Clientes!$C$4:$C$39),Cadastros!$L$6:$L$12,Cadastros!$M$6:$M$12)," ")</f>
        <v xml:space="preserve"> </v>
      </c>
      <c r="R1283" s="28"/>
      <c r="S1283" s="28"/>
      <c r="T1283" s="255" t="str">
        <f>IF(R1283="","",(_xlfn.XLOOKUP(R1283,Cadastros!$D$6:$D$90,Cadastros!$E$6:$E$90))*(1-_xlfn.XLOOKUP(_xlfn.XLOOKUP($F1283,Clientes!$B$4:$B$39,Clientes!$C$4:$C$39),Cadastros!$L$6:$L$12,Cadastros!$N$6:$N$12)))</f>
        <v/>
      </c>
      <c r="U1283" s="168" t="str">
        <f t="shared" si="250"/>
        <v/>
      </c>
      <c r="V1283" s="168" t="str">
        <f>IFERROR(U1283/_xlfn.XLOOKUP(_xlfn.XLOOKUP($F1283,Clientes!$B$4:$B$39,Clientes!$C$4:$C$39),Cadastros!$L$6:$L$12,Cadastros!$M$6:$M$12)," ")</f>
        <v xml:space="preserve"> </v>
      </c>
      <c r="W1283" s="28"/>
      <c r="X1283" s="28"/>
      <c r="Y1283" s="255" t="str">
        <f>IF(W1283="","",(_xlfn.XLOOKUP(W1283,Cadastros!$D$6:$D$90,Cadastros!$E$6:$E$90))*(1-_xlfn.XLOOKUP(_xlfn.XLOOKUP($F1283,Clientes!$B$4:$B$39,Clientes!$C$4:$C$39),Cadastros!$L$6:$L$12,Cadastros!$N$6:$N$12)))</f>
        <v/>
      </c>
      <c r="Z1283" s="168" t="str">
        <f t="shared" si="251"/>
        <v/>
      </c>
      <c r="AA1283" s="168" t="str">
        <f>IFERROR(Z1283/_xlfn.XLOOKUP(_xlfn.XLOOKUP($F1283,Clientes!$B$4:$B$39,Clientes!$C$4:$C$39),Cadastros!$L$6:$L$12,Cadastros!$M$6:$M$12)," ")</f>
        <v xml:space="preserve"> </v>
      </c>
      <c r="AB1283" s="28"/>
      <c r="AC1283" s="28"/>
      <c r="AD1283" s="20" t="str">
        <f>IF(AB1283="","",IF($F1283="Bernardino Furlan",_xlfn.XLOOKUP(AB1283,Cadastros!$G$6:$G$90,Cadastros!$H$6:$H$90)*(1-0.18),IF($F1283="Mauro José Salanti",_xlfn.XLOOKUP(AB1283,Cadastros!$G$6:$G$90,Cadastros!$H$6:$H$90)*(1-0.18),_xlfn.XLOOKUP(AB1283,Cadastros!$G$6:$G$90,Cadastros!$H$6:$H$90))))</f>
        <v/>
      </c>
      <c r="AE1283" s="168" t="str">
        <f t="shared" si="252"/>
        <v/>
      </c>
      <c r="AF1283" s="168" t="str">
        <f t="shared" si="253"/>
        <v/>
      </c>
      <c r="AG1283" s="28"/>
      <c r="AH1283" s="28"/>
      <c r="AI1283" s="20" t="str">
        <f>IF(AG1283="","",IF($F1283="Bernardino Furlan",_xlfn.XLOOKUP(AG1283,Cadastros!$G$6:$G$90,Cadastros!$H$6:$H$90)*(1-0.18),IF($F1283="Mauro José Salanti",_xlfn.XLOOKUP(AG1283,Cadastros!$G$6:$G$90,Cadastros!$H$6:$H$90)*(1-0.18),_xlfn.XLOOKUP(AG1283,Cadastros!$G$6:$G$90,Cadastros!$H$6:$H$90))))</f>
        <v/>
      </c>
      <c r="AJ1283" s="168" t="str">
        <f t="shared" si="254"/>
        <v/>
      </c>
      <c r="AK1283" s="168" t="str">
        <f t="shared" si="255"/>
        <v/>
      </c>
      <c r="AL1283" s="28"/>
      <c r="AM1283" s="28"/>
      <c r="AN1283" s="20" t="str">
        <f>IF(AL1283="","",IF($F1283="Bernardino Furlan",_xlfn.XLOOKUP(AL1283,Cadastros!$G$6:$G$90,Cadastros!$H$6:$H$90)*(1-0.18),IF($F1283="Mauro José Salanti",_xlfn.XLOOKUP(AL1283,Cadastros!$G$6:$G$90,Cadastros!$H$6:$H$90)*(1-0.18),_xlfn.XLOOKUP(AL1283,Cadastros!$G$6:$G$90,Cadastros!$H$6:$H$90))))</f>
        <v/>
      </c>
      <c r="AO1283" s="168" t="str">
        <f t="shared" si="256"/>
        <v/>
      </c>
      <c r="AP1283" s="168" t="str">
        <f t="shared" si="257"/>
        <v/>
      </c>
      <c r="AQ1283" s="28"/>
      <c r="AR1283" s="28"/>
      <c r="AS1283" s="20" t="str">
        <f>IF(AQ1283="","",IF($F1283="Bernardino Furlan",_xlfn.XLOOKUP(AQ1283,Cadastros!$G$6:$G$90,Cadastros!$H$6:$H$90)*(1-0.18),IF($F1283="Mauro José Salanti",_xlfn.XLOOKUP(AQ1283,Cadastros!$G$6:$G$90,Cadastros!$H$6:$H$90)*(1-0.18),_xlfn.XLOOKUP(AQ1283,Cadastros!$G$6:$G$90,Cadastros!$H$6:$H$90))))</f>
        <v/>
      </c>
      <c r="AT1283" s="168" t="str">
        <f t="shared" si="258"/>
        <v/>
      </c>
      <c r="AU1283" s="168" t="str">
        <f t="shared" si="259"/>
        <v/>
      </c>
      <c r="AV1283" s="227"/>
      <c r="AW1283" s="30"/>
      <c r="AX1283" s="267"/>
      <c r="AY1283" s="267"/>
      <c r="AZ1283" s="29"/>
      <c r="BA1283" s="30"/>
      <c r="BB1283" s="23" t="str" cm="1">
        <f t="array" ref="BB1283">_xlfn.IFS(AW1283="SIM",SUM(K1283,P1283,U1283,Z1283,AE1283,AJ1283,AO1283,AT1283,AX1283,AY1283),F1283&lt;&gt;"",SUM(K1283,P1283,U1283,Z1283,AE1283,AJ1283,,AO1283,AT1283),F1283="","")</f>
        <v/>
      </c>
      <c r="BC1283" s="211" t="str" cm="1">
        <f t="array" ref="BC1283">_xlfn.IFS(E1283="","",G1283&lt;=E1283,BB1283*(1-0.03),G1283&lt;(E1283+8),BB1283,AZ1283="Boleto",BB1283*(1+0.001)^DATEDIF(E1283,G1283,"D"),AZ1283="Cheque",BB1283,AZ1283="Dinheiro","Alterar forma pgto")</f>
        <v/>
      </c>
      <c r="BD1283" s="276" t="str" cm="1">
        <f t="array" ref="BD1283">IF(F1283=0," ",IF(BC1283&lt;BB1283,(_xlfn.IFS(AW1283="SIM",SUM(L1283,Q1283,V1283,AA1283,AF1283,AK1283,AP1283,AU1283)+AX1283/_xlfn.XLOOKUP(_xlfn.XLOOKUP($F1283,Clientes!$B$4:$B$39,Clientes!$C$4:$C$39),Cadastros!$L$6:$L$12,Cadastros!$M$6:$M$12)+IF($F1283="Bernardino Furlan",AY1283/2751.92,IF($F1283="Mauro José Salanti",AY1283/2751.92,AY1283/3356)),F1283&lt;&gt;0,SUM(L1283,Q1283,V1283,AA1283,AF1283,AK1283,AP1283,AU1283)))*(1-0.03),_xlfn.IFS(AW1283="SIM",SUM(L1283,Q1283,V1283,AA1283,AF1283,AK1283,AP1283,AU1283)+AX1283/_xlfn.XLOOKUP(_xlfn.XLOOKUP($F1283,Clientes!$B$4:$B$39,Clientes!$C$4:$C$39),Cadastros!$L$6:$L$12,Cadastros!$M$6:$M$12)+IF($F1283="Bernardino Furlan",AY1283/2751.92,IF($F1283="Mauro José Salanti",AY1283/2751.92,AY1283/3356)),F1283&lt;&gt;0,SUM(L1283,Q1283,V1283,AA1283,AF1283,AK1283,AP1283,AU1283))))</f>
        <v xml:space="preserve"> </v>
      </c>
      <c r="BE1283" s="120"/>
      <c r="BF1283" s="120"/>
      <c r="BG1283" s="120"/>
    </row>
    <row r="1284" spans="1:59" s="3" customFormat="1" x14ac:dyDescent="0.3">
      <c r="A1284" s="15" t="str">
        <f t="shared" si="247"/>
        <v/>
      </c>
      <c r="B1284" s="25"/>
      <c r="C1284" s="26"/>
      <c r="D1284" s="279"/>
      <c r="E1284" s="27"/>
      <c r="F1284" s="28"/>
      <c r="G1284" s="27"/>
      <c r="H1284" s="28"/>
      <c r="I1284" s="28"/>
      <c r="J1284" s="255" t="str">
        <f>IF(H1284="","",(_xlfn.XLOOKUP(H1284,Cadastros!$D$6:$D$90,Cadastros!$E$6:$E$90))*(1-_xlfn.XLOOKUP(_xlfn.XLOOKUP($F1284,Clientes!$B$4:$B$39,Clientes!$C$4:$C$39),Cadastros!$L$6:$L$12,Cadastros!$N$6:$N$12)))</f>
        <v/>
      </c>
      <c r="K1284" s="168" t="str">
        <f t="shared" si="248"/>
        <v/>
      </c>
      <c r="L1284" s="168" t="str">
        <f>IFERROR(K1284/_xlfn.XLOOKUP(_xlfn.XLOOKUP($F1284,Clientes!$B$4:$B$39,Clientes!$C$4:$C$39),Cadastros!$L$6:$L$12,Cadastros!$M$6:$M$12)," ")</f>
        <v xml:space="preserve"> </v>
      </c>
      <c r="M1284" s="28"/>
      <c r="N1284" s="28"/>
      <c r="O1284" s="255" t="str">
        <f>IF(M1284="","",(_xlfn.XLOOKUP(M1284,Cadastros!$D$6:$D$90,Cadastros!$E$6:$E$90))*(1-_xlfn.XLOOKUP(_xlfn.XLOOKUP($F1284,Clientes!$B$4:$B$39,Clientes!$C$4:$C$39),Cadastros!$L$6:$L$12,Cadastros!$N$6:$N$12)))</f>
        <v/>
      </c>
      <c r="P1284" s="168" t="str">
        <f t="shared" si="249"/>
        <v/>
      </c>
      <c r="Q1284" s="168" t="str">
        <f>IFERROR(P1284/_xlfn.XLOOKUP(_xlfn.XLOOKUP($F1284,Clientes!$B$4:$B$39,Clientes!$C$4:$C$39),Cadastros!$L$6:$L$12,Cadastros!$M$6:$M$12)," ")</f>
        <v xml:space="preserve"> </v>
      </c>
      <c r="R1284" s="28"/>
      <c r="S1284" s="28"/>
      <c r="T1284" s="255" t="str">
        <f>IF(R1284="","",(_xlfn.XLOOKUP(R1284,Cadastros!$D$6:$D$90,Cadastros!$E$6:$E$90))*(1-_xlfn.XLOOKUP(_xlfn.XLOOKUP($F1284,Clientes!$B$4:$B$39,Clientes!$C$4:$C$39),Cadastros!$L$6:$L$12,Cadastros!$N$6:$N$12)))</f>
        <v/>
      </c>
      <c r="U1284" s="168" t="str">
        <f t="shared" si="250"/>
        <v/>
      </c>
      <c r="V1284" s="168" t="str">
        <f>IFERROR(U1284/_xlfn.XLOOKUP(_xlfn.XLOOKUP($F1284,Clientes!$B$4:$B$39,Clientes!$C$4:$C$39),Cadastros!$L$6:$L$12,Cadastros!$M$6:$M$12)," ")</f>
        <v xml:space="preserve"> </v>
      </c>
      <c r="W1284" s="28"/>
      <c r="X1284" s="28"/>
      <c r="Y1284" s="255" t="str">
        <f>IF(W1284="","",(_xlfn.XLOOKUP(W1284,Cadastros!$D$6:$D$90,Cadastros!$E$6:$E$90))*(1-_xlfn.XLOOKUP(_xlfn.XLOOKUP($F1284,Clientes!$B$4:$B$39,Clientes!$C$4:$C$39),Cadastros!$L$6:$L$12,Cadastros!$N$6:$N$12)))</f>
        <v/>
      </c>
      <c r="Z1284" s="168" t="str">
        <f t="shared" si="251"/>
        <v/>
      </c>
      <c r="AA1284" s="168" t="str">
        <f>IFERROR(Z1284/_xlfn.XLOOKUP(_xlfn.XLOOKUP($F1284,Clientes!$B$4:$B$39,Clientes!$C$4:$C$39),Cadastros!$L$6:$L$12,Cadastros!$M$6:$M$12)," ")</f>
        <v xml:space="preserve"> </v>
      </c>
      <c r="AB1284" s="28"/>
      <c r="AC1284" s="28"/>
      <c r="AD1284" s="20" t="str">
        <f>IF(AB1284="","",IF($F1284="Bernardino Furlan",_xlfn.XLOOKUP(AB1284,Cadastros!$G$6:$G$90,Cadastros!$H$6:$H$90)*(1-0.18),IF($F1284="Mauro José Salanti",_xlfn.XLOOKUP(AB1284,Cadastros!$G$6:$G$90,Cadastros!$H$6:$H$90)*(1-0.18),_xlfn.XLOOKUP(AB1284,Cadastros!$G$6:$G$90,Cadastros!$H$6:$H$90))))</f>
        <v/>
      </c>
      <c r="AE1284" s="168" t="str">
        <f t="shared" si="252"/>
        <v/>
      </c>
      <c r="AF1284" s="168" t="str">
        <f t="shared" si="253"/>
        <v/>
      </c>
      <c r="AG1284" s="28"/>
      <c r="AH1284" s="28"/>
      <c r="AI1284" s="20" t="str">
        <f>IF(AG1284="","",IF($F1284="Bernardino Furlan",_xlfn.XLOOKUP(AG1284,Cadastros!$G$6:$G$90,Cadastros!$H$6:$H$90)*(1-0.18),IF($F1284="Mauro José Salanti",_xlfn.XLOOKUP(AG1284,Cadastros!$G$6:$G$90,Cadastros!$H$6:$H$90)*(1-0.18),_xlfn.XLOOKUP(AG1284,Cadastros!$G$6:$G$90,Cadastros!$H$6:$H$90))))</f>
        <v/>
      </c>
      <c r="AJ1284" s="168" t="str">
        <f t="shared" si="254"/>
        <v/>
      </c>
      <c r="AK1284" s="168" t="str">
        <f t="shared" si="255"/>
        <v/>
      </c>
      <c r="AL1284" s="28"/>
      <c r="AM1284" s="28"/>
      <c r="AN1284" s="20" t="str">
        <f>IF(AL1284="","",IF($F1284="Bernardino Furlan",_xlfn.XLOOKUP(AL1284,Cadastros!$G$6:$G$90,Cadastros!$H$6:$H$90)*(1-0.18),IF($F1284="Mauro José Salanti",_xlfn.XLOOKUP(AL1284,Cadastros!$G$6:$G$90,Cadastros!$H$6:$H$90)*(1-0.18),_xlfn.XLOOKUP(AL1284,Cadastros!$G$6:$G$90,Cadastros!$H$6:$H$90))))</f>
        <v/>
      </c>
      <c r="AO1284" s="168" t="str">
        <f t="shared" si="256"/>
        <v/>
      </c>
      <c r="AP1284" s="168" t="str">
        <f t="shared" si="257"/>
        <v/>
      </c>
      <c r="AQ1284" s="28"/>
      <c r="AR1284" s="28"/>
      <c r="AS1284" s="20" t="str">
        <f>IF(AQ1284="","",IF($F1284="Bernardino Furlan",_xlfn.XLOOKUP(AQ1284,Cadastros!$G$6:$G$90,Cadastros!$H$6:$H$90)*(1-0.18),IF($F1284="Mauro José Salanti",_xlfn.XLOOKUP(AQ1284,Cadastros!$G$6:$G$90,Cadastros!$H$6:$H$90)*(1-0.18),_xlfn.XLOOKUP(AQ1284,Cadastros!$G$6:$G$90,Cadastros!$H$6:$H$90))))</f>
        <v/>
      </c>
      <c r="AT1284" s="168" t="str">
        <f t="shared" si="258"/>
        <v/>
      </c>
      <c r="AU1284" s="168" t="str">
        <f t="shared" si="259"/>
        <v/>
      </c>
      <c r="AV1284" s="227"/>
      <c r="AW1284" s="30"/>
      <c r="AX1284" s="267"/>
      <c r="AY1284" s="267"/>
      <c r="AZ1284" s="29"/>
      <c r="BA1284" s="30"/>
      <c r="BB1284" s="23" t="str" cm="1">
        <f t="array" ref="BB1284">_xlfn.IFS(AW1284="SIM",SUM(K1284,P1284,U1284,Z1284,AE1284,AJ1284,AO1284,AT1284,AX1284,AY1284),F1284&lt;&gt;"",SUM(K1284,P1284,U1284,Z1284,AE1284,AJ1284,,AO1284,AT1284),F1284="","")</f>
        <v/>
      </c>
      <c r="BC1284" s="211" t="str" cm="1">
        <f t="array" ref="BC1284">_xlfn.IFS(E1284="","",G1284&lt;=E1284,BB1284*(1-0.03),G1284&lt;(E1284+8),BB1284,AZ1284="Boleto",BB1284*(1+0.001)^DATEDIF(E1284,G1284,"D"),AZ1284="Cheque",BB1284,AZ1284="Dinheiro","Alterar forma pgto")</f>
        <v/>
      </c>
      <c r="BD1284" s="276" t="str" cm="1">
        <f t="array" ref="BD1284">IF(F1284=0," ",IF(BC1284&lt;BB1284,(_xlfn.IFS(AW1284="SIM",SUM(L1284,Q1284,V1284,AA1284,AF1284,AK1284,AP1284,AU1284)+AX1284/_xlfn.XLOOKUP(_xlfn.XLOOKUP($F1284,Clientes!$B$4:$B$39,Clientes!$C$4:$C$39),Cadastros!$L$6:$L$12,Cadastros!$M$6:$M$12)+IF($F1284="Bernardino Furlan",AY1284/2751.92,IF($F1284="Mauro José Salanti",AY1284/2751.92,AY1284/3356)),F1284&lt;&gt;0,SUM(L1284,Q1284,V1284,AA1284,AF1284,AK1284,AP1284,AU1284)))*(1-0.03),_xlfn.IFS(AW1284="SIM",SUM(L1284,Q1284,V1284,AA1284,AF1284,AK1284,AP1284,AU1284)+AX1284/_xlfn.XLOOKUP(_xlfn.XLOOKUP($F1284,Clientes!$B$4:$B$39,Clientes!$C$4:$C$39),Cadastros!$L$6:$L$12,Cadastros!$M$6:$M$12)+IF($F1284="Bernardino Furlan",AY1284/2751.92,IF($F1284="Mauro José Salanti",AY1284/2751.92,AY1284/3356)),F1284&lt;&gt;0,SUM(L1284,Q1284,V1284,AA1284,AF1284,AK1284,AP1284,AU1284))))</f>
        <v xml:space="preserve"> </v>
      </c>
      <c r="BE1284" s="120"/>
      <c r="BF1284" s="120"/>
      <c r="BG1284" s="120"/>
    </row>
    <row r="1285" spans="1:59" s="3" customFormat="1" x14ac:dyDescent="0.3">
      <c r="A1285" s="15" t="str">
        <f t="shared" si="247"/>
        <v/>
      </c>
      <c r="B1285" s="25"/>
      <c r="C1285" s="26"/>
      <c r="D1285" s="279"/>
      <c r="E1285" s="27"/>
      <c r="F1285" s="28"/>
      <c r="G1285" s="27"/>
      <c r="H1285" s="28"/>
      <c r="I1285" s="28"/>
      <c r="J1285" s="255" t="str">
        <f>IF(H1285="","",(_xlfn.XLOOKUP(H1285,Cadastros!$D$6:$D$90,Cadastros!$E$6:$E$90))*(1-_xlfn.XLOOKUP(_xlfn.XLOOKUP($F1285,Clientes!$B$4:$B$39,Clientes!$C$4:$C$39),Cadastros!$L$6:$L$12,Cadastros!$N$6:$N$12)))</f>
        <v/>
      </c>
      <c r="K1285" s="168" t="str">
        <f t="shared" si="248"/>
        <v/>
      </c>
      <c r="L1285" s="168" t="str">
        <f>IFERROR(K1285/_xlfn.XLOOKUP(_xlfn.XLOOKUP($F1285,Clientes!$B$4:$B$39,Clientes!$C$4:$C$39),Cadastros!$L$6:$L$12,Cadastros!$M$6:$M$12)," ")</f>
        <v xml:space="preserve"> </v>
      </c>
      <c r="M1285" s="28"/>
      <c r="N1285" s="28"/>
      <c r="O1285" s="255" t="str">
        <f>IF(M1285="","",(_xlfn.XLOOKUP(M1285,Cadastros!$D$6:$D$90,Cadastros!$E$6:$E$90))*(1-_xlfn.XLOOKUP(_xlfn.XLOOKUP($F1285,Clientes!$B$4:$B$39,Clientes!$C$4:$C$39),Cadastros!$L$6:$L$12,Cadastros!$N$6:$N$12)))</f>
        <v/>
      </c>
      <c r="P1285" s="168" t="str">
        <f t="shared" si="249"/>
        <v/>
      </c>
      <c r="Q1285" s="168" t="str">
        <f>IFERROR(P1285/_xlfn.XLOOKUP(_xlfn.XLOOKUP($F1285,Clientes!$B$4:$B$39,Clientes!$C$4:$C$39),Cadastros!$L$6:$L$12,Cadastros!$M$6:$M$12)," ")</f>
        <v xml:space="preserve"> </v>
      </c>
      <c r="R1285" s="28"/>
      <c r="S1285" s="28"/>
      <c r="T1285" s="255" t="str">
        <f>IF(R1285="","",(_xlfn.XLOOKUP(R1285,Cadastros!$D$6:$D$90,Cadastros!$E$6:$E$90))*(1-_xlfn.XLOOKUP(_xlfn.XLOOKUP($F1285,Clientes!$B$4:$B$39,Clientes!$C$4:$C$39),Cadastros!$L$6:$L$12,Cadastros!$N$6:$N$12)))</f>
        <v/>
      </c>
      <c r="U1285" s="168" t="str">
        <f t="shared" si="250"/>
        <v/>
      </c>
      <c r="V1285" s="168" t="str">
        <f>IFERROR(U1285/_xlfn.XLOOKUP(_xlfn.XLOOKUP($F1285,Clientes!$B$4:$B$39,Clientes!$C$4:$C$39),Cadastros!$L$6:$L$12,Cadastros!$M$6:$M$12)," ")</f>
        <v xml:space="preserve"> </v>
      </c>
      <c r="W1285" s="28"/>
      <c r="X1285" s="28"/>
      <c r="Y1285" s="255" t="str">
        <f>IF(W1285="","",(_xlfn.XLOOKUP(W1285,Cadastros!$D$6:$D$90,Cadastros!$E$6:$E$90))*(1-_xlfn.XLOOKUP(_xlfn.XLOOKUP($F1285,Clientes!$B$4:$B$39,Clientes!$C$4:$C$39),Cadastros!$L$6:$L$12,Cadastros!$N$6:$N$12)))</f>
        <v/>
      </c>
      <c r="Z1285" s="168" t="str">
        <f t="shared" si="251"/>
        <v/>
      </c>
      <c r="AA1285" s="168" t="str">
        <f>IFERROR(Z1285/_xlfn.XLOOKUP(_xlfn.XLOOKUP($F1285,Clientes!$B$4:$B$39,Clientes!$C$4:$C$39),Cadastros!$L$6:$L$12,Cadastros!$M$6:$M$12)," ")</f>
        <v xml:space="preserve"> </v>
      </c>
      <c r="AB1285" s="28"/>
      <c r="AC1285" s="28"/>
      <c r="AD1285" s="20" t="str">
        <f>IF(AB1285="","",IF($F1285="Bernardino Furlan",_xlfn.XLOOKUP(AB1285,Cadastros!$G$6:$G$90,Cadastros!$H$6:$H$90)*(1-0.18),IF($F1285="Mauro José Salanti",_xlfn.XLOOKUP(AB1285,Cadastros!$G$6:$G$90,Cadastros!$H$6:$H$90)*(1-0.18),_xlfn.XLOOKUP(AB1285,Cadastros!$G$6:$G$90,Cadastros!$H$6:$H$90))))</f>
        <v/>
      </c>
      <c r="AE1285" s="168" t="str">
        <f t="shared" si="252"/>
        <v/>
      </c>
      <c r="AF1285" s="168" t="str">
        <f t="shared" si="253"/>
        <v/>
      </c>
      <c r="AG1285" s="28"/>
      <c r="AH1285" s="28"/>
      <c r="AI1285" s="20" t="str">
        <f>IF(AG1285="","",IF($F1285="Bernardino Furlan",_xlfn.XLOOKUP(AG1285,Cadastros!$G$6:$G$90,Cadastros!$H$6:$H$90)*(1-0.18),IF($F1285="Mauro José Salanti",_xlfn.XLOOKUP(AG1285,Cadastros!$G$6:$G$90,Cadastros!$H$6:$H$90)*(1-0.18),_xlfn.XLOOKUP(AG1285,Cadastros!$G$6:$G$90,Cadastros!$H$6:$H$90))))</f>
        <v/>
      </c>
      <c r="AJ1285" s="168" t="str">
        <f t="shared" si="254"/>
        <v/>
      </c>
      <c r="AK1285" s="168" t="str">
        <f t="shared" si="255"/>
        <v/>
      </c>
      <c r="AL1285" s="28"/>
      <c r="AM1285" s="28"/>
      <c r="AN1285" s="20" t="str">
        <f>IF(AL1285="","",IF($F1285="Bernardino Furlan",_xlfn.XLOOKUP(AL1285,Cadastros!$G$6:$G$90,Cadastros!$H$6:$H$90)*(1-0.18),IF($F1285="Mauro José Salanti",_xlfn.XLOOKUP(AL1285,Cadastros!$G$6:$G$90,Cadastros!$H$6:$H$90)*(1-0.18),_xlfn.XLOOKUP(AL1285,Cadastros!$G$6:$G$90,Cadastros!$H$6:$H$90))))</f>
        <v/>
      </c>
      <c r="AO1285" s="168" t="str">
        <f t="shared" si="256"/>
        <v/>
      </c>
      <c r="AP1285" s="168" t="str">
        <f t="shared" si="257"/>
        <v/>
      </c>
      <c r="AQ1285" s="28"/>
      <c r="AR1285" s="28"/>
      <c r="AS1285" s="20" t="str">
        <f>IF(AQ1285="","",IF($F1285="Bernardino Furlan",_xlfn.XLOOKUP(AQ1285,Cadastros!$G$6:$G$90,Cadastros!$H$6:$H$90)*(1-0.18),IF($F1285="Mauro José Salanti",_xlfn.XLOOKUP(AQ1285,Cadastros!$G$6:$G$90,Cadastros!$H$6:$H$90)*(1-0.18),_xlfn.XLOOKUP(AQ1285,Cadastros!$G$6:$G$90,Cadastros!$H$6:$H$90))))</f>
        <v/>
      </c>
      <c r="AT1285" s="168" t="str">
        <f t="shared" si="258"/>
        <v/>
      </c>
      <c r="AU1285" s="168" t="str">
        <f t="shared" si="259"/>
        <v/>
      </c>
      <c r="AV1285" s="227"/>
      <c r="AW1285" s="30"/>
      <c r="AX1285" s="267"/>
      <c r="AY1285" s="267"/>
      <c r="AZ1285" s="29"/>
      <c r="BA1285" s="30"/>
      <c r="BB1285" s="23" t="str" cm="1">
        <f t="array" ref="BB1285">_xlfn.IFS(AW1285="SIM",SUM(K1285,P1285,U1285,Z1285,AE1285,AJ1285,AO1285,AT1285,AX1285,AY1285),F1285&lt;&gt;"",SUM(K1285,P1285,U1285,Z1285,AE1285,AJ1285,,AO1285,AT1285),F1285="","")</f>
        <v/>
      </c>
      <c r="BC1285" s="211" t="str" cm="1">
        <f t="array" ref="BC1285">_xlfn.IFS(E1285="","",G1285&lt;=E1285,BB1285*(1-0.03),G1285&lt;(E1285+8),BB1285,AZ1285="Boleto",BB1285*(1+0.001)^DATEDIF(E1285,G1285,"D"),AZ1285="Cheque",BB1285,AZ1285="Dinheiro","Alterar forma pgto")</f>
        <v/>
      </c>
      <c r="BD1285" s="276" t="str" cm="1">
        <f t="array" ref="BD1285">IF(F1285=0," ",IF(BC1285&lt;BB1285,(_xlfn.IFS(AW1285="SIM",SUM(L1285,Q1285,V1285,AA1285,AF1285,AK1285,AP1285,AU1285)+AX1285/_xlfn.XLOOKUP(_xlfn.XLOOKUP($F1285,Clientes!$B$4:$B$39,Clientes!$C$4:$C$39),Cadastros!$L$6:$L$12,Cadastros!$M$6:$M$12)+IF($F1285="Bernardino Furlan",AY1285/2751.92,IF($F1285="Mauro José Salanti",AY1285/2751.92,AY1285/3356)),F1285&lt;&gt;0,SUM(L1285,Q1285,V1285,AA1285,AF1285,AK1285,AP1285,AU1285)))*(1-0.03),_xlfn.IFS(AW1285="SIM",SUM(L1285,Q1285,V1285,AA1285,AF1285,AK1285,AP1285,AU1285)+AX1285/_xlfn.XLOOKUP(_xlfn.XLOOKUP($F1285,Clientes!$B$4:$B$39,Clientes!$C$4:$C$39),Cadastros!$L$6:$L$12,Cadastros!$M$6:$M$12)+IF($F1285="Bernardino Furlan",AY1285/2751.92,IF($F1285="Mauro José Salanti",AY1285/2751.92,AY1285/3356)),F1285&lt;&gt;0,SUM(L1285,Q1285,V1285,AA1285,AF1285,AK1285,AP1285,AU1285))))</f>
        <v xml:space="preserve"> </v>
      </c>
      <c r="BE1285" s="120"/>
      <c r="BF1285" s="120"/>
      <c r="BG1285" s="120"/>
    </row>
    <row r="1286" spans="1:59" s="3" customFormat="1" x14ac:dyDescent="0.3">
      <c r="A1286" s="15" t="str">
        <f t="shared" si="247"/>
        <v/>
      </c>
      <c r="B1286" s="25"/>
      <c r="C1286" s="26"/>
      <c r="D1286" s="279"/>
      <c r="E1286" s="27"/>
      <c r="F1286" s="28"/>
      <c r="G1286" s="27"/>
      <c r="H1286" s="28"/>
      <c r="I1286" s="28"/>
      <c r="J1286" s="255" t="str">
        <f>IF(H1286="","",(_xlfn.XLOOKUP(H1286,Cadastros!$D$6:$D$90,Cadastros!$E$6:$E$90))*(1-_xlfn.XLOOKUP(_xlfn.XLOOKUP($F1286,Clientes!$B$4:$B$39,Clientes!$C$4:$C$39),Cadastros!$L$6:$L$12,Cadastros!$N$6:$N$12)))</f>
        <v/>
      </c>
      <c r="K1286" s="168" t="str">
        <f t="shared" si="248"/>
        <v/>
      </c>
      <c r="L1286" s="168" t="str">
        <f>IFERROR(K1286/_xlfn.XLOOKUP(_xlfn.XLOOKUP($F1286,Clientes!$B$4:$B$39,Clientes!$C$4:$C$39),Cadastros!$L$6:$L$12,Cadastros!$M$6:$M$12)," ")</f>
        <v xml:space="preserve"> </v>
      </c>
      <c r="M1286" s="28"/>
      <c r="N1286" s="28"/>
      <c r="O1286" s="255" t="str">
        <f>IF(M1286="","",(_xlfn.XLOOKUP(M1286,Cadastros!$D$6:$D$90,Cadastros!$E$6:$E$90))*(1-_xlfn.XLOOKUP(_xlfn.XLOOKUP($F1286,Clientes!$B$4:$B$39,Clientes!$C$4:$C$39),Cadastros!$L$6:$L$12,Cadastros!$N$6:$N$12)))</f>
        <v/>
      </c>
      <c r="P1286" s="168" t="str">
        <f t="shared" si="249"/>
        <v/>
      </c>
      <c r="Q1286" s="168" t="str">
        <f>IFERROR(P1286/_xlfn.XLOOKUP(_xlfn.XLOOKUP($F1286,Clientes!$B$4:$B$39,Clientes!$C$4:$C$39),Cadastros!$L$6:$L$12,Cadastros!$M$6:$M$12)," ")</f>
        <v xml:space="preserve"> </v>
      </c>
      <c r="R1286" s="28"/>
      <c r="S1286" s="28"/>
      <c r="T1286" s="255" t="str">
        <f>IF(R1286="","",(_xlfn.XLOOKUP(R1286,Cadastros!$D$6:$D$90,Cadastros!$E$6:$E$90))*(1-_xlfn.XLOOKUP(_xlfn.XLOOKUP($F1286,Clientes!$B$4:$B$39,Clientes!$C$4:$C$39),Cadastros!$L$6:$L$12,Cadastros!$N$6:$N$12)))</f>
        <v/>
      </c>
      <c r="U1286" s="168" t="str">
        <f t="shared" si="250"/>
        <v/>
      </c>
      <c r="V1286" s="168" t="str">
        <f>IFERROR(U1286/_xlfn.XLOOKUP(_xlfn.XLOOKUP($F1286,Clientes!$B$4:$B$39,Clientes!$C$4:$C$39),Cadastros!$L$6:$L$12,Cadastros!$M$6:$M$12)," ")</f>
        <v xml:space="preserve"> </v>
      </c>
      <c r="W1286" s="28"/>
      <c r="X1286" s="28"/>
      <c r="Y1286" s="255" t="str">
        <f>IF(W1286="","",(_xlfn.XLOOKUP(W1286,Cadastros!$D$6:$D$90,Cadastros!$E$6:$E$90))*(1-_xlfn.XLOOKUP(_xlfn.XLOOKUP($F1286,Clientes!$B$4:$B$39,Clientes!$C$4:$C$39),Cadastros!$L$6:$L$12,Cadastros!$N$6:$N$12)))</f>
        <v/>
      </c>
      <c r="Z1286" s="168" t="str">
        <f t="shared" si="251"/>
        <v/>
      </c>
      <c r="AA1286" s="168" t="str">
        <f>IFERROR(Z1286/_xlfn.XLOOKUP(_xlfn.XLOOKUP($F1286,Clientes!$B$4:$B$39,Clientes!$C$4:$C$39),Cadastros!$L$6:$L$12,Cadastros!$M$6:$M$12)," ")</f>
        <v xml:space="preserve"> </v>
      </c>
      <c r="AB1286" s="28"/>
      <c r="AC1286" s="28"/>
      <c r="AD1286" s="20" t="str">
        <f>IF(AB1286="","",IF($F1286="Bernardino Furlan",_xlfn.XLOOKUP(AB1286,Cadastros!$G$6:$G$90,Cadastros!$H$6:$H$90)*(1-0.18),IF($F1286="Mauro José Salanti",_xlfn.XLOOKUP(AB1286,Cadastros!$G$6:$G$90,Cadastros!$H$6:$H$90)*(1-0.18),_xlfn.XLOOKUP(AB1286,Cadastros!$G$6:$G$90,Cadastros!$H$6:$H$90))))</f>
        <v/>
      </c>
      <c r="AE1286" s="168" t="str">
        <f t="shared" si="252"/>
        <v/>
      </c>
      <c r="AF1286" s="168" t="str">
        <f t="shared" si="253"/>
        <v/>
      </c>
      <c r="AG1286" s="28"/>
      <c r="AH1286" s="28"/>
      <c r="AI1286" s="20" t="str">
        <f>IF(AG1286="","",IF($F1286="Bernardino Furlan",_xlfn.XLOOKUP(AG1286,Cadastros!$G$6:$G$90,Cadastros!$H$6:$H$90)*(1-0.18),IF($F1286="Mauro José Salanti",_xlfn.XLOOKUP(AG1286,Cadastros!$G$6:$G$90,Cadastros!$H$6:$H$90)*(1-0.18),_xlfn.XLOOKUP(AG1286,Cadastros!$G$6:$G$90,Cadastros!$H$6:$H$90))))</f>
        <v/>
      </c>
      <c r="AJ1286" s="168" t="str">
        <f t="shared" si="254"/>
        <v/>
      </c>
      <c r="AK1286" s="168" t="str">
        <f t="shared" si="255"/>
        <v/>
      </c>
      <c r="AL1286" s="28"/>
      <c r="AM1286" s="28"/>
      <c r="AN1286" s="20" t="str">
        <f>IF(AL1286="","",IF($F1286="Bernardino Furlan",_xlfn.XLOOKUP(AL1286,Cadastros!$G$6:$G$90,Cadastros!$H$6:$H$90)*(1-0.18),IF($F1286="Mauro José Salanti",_xlfn.XLOOKUP(AL1286,Cadastros!$G$6:$G$90,Cadastros!$H$6:$H$90)*(1-0.18),_xlfn.XLOOKUP(AL1286,Cadastros!$G$6:$G$90,Cadastros!$H$6:$H$90))))</f>
        <v/>
      </c>
      <c r="AO1286" s="168" t="str">
        <f t="shared" si="256"/>
        <v/>
      </c>
      <c r="AP1286" s="168" t="str">
        <f t="shared" si="257"/>
        <v/>
      </c>
      <c r="AQ1286" s="28"/>
      <c r="AR1286" s="28"/>
      <c r="AS1286" s="20" t="str">
        <f>IF(AQ1286="","",IF($F1286="Bernardino Furlan",_xlfn.XLOOKUP(AQ1286,Cadastros!$G$6:$G$90,Cadastros!$H$6:$H$90)*(1-0.18),IF($F1286="Mauro José Salanti",_xlfn.XLOOKUP(AQ1286,Cadastros!$G$6:$G$90,Cadastros!$H$6:$H$90)*(1-0.18),_xlfn.XLOOKUP(AQ1286,Cadastros!$G$6:$G$90,Cadastros!$H$6:$H$90))))</f>
        <v/>
      </c>
      <c r="AT1286" s="168" t="str">
        <f t="shared" si="258"/>
        <v/>
      </c>
      <c r="AU1286" s="168" t="str">
        <f t="shared" si="259"/>
        <v/>
      </c>
      <c r="AV1286" s="227"/>
      <c r="AW1286" s="30"/>
      <c r="AX1286" s="267"/>
      <c r="AY1286" s="267"/>
      <c r="AZ1286" s="29"/>
      <c r="BA1286" s="30"/>
      <c r="BB1286" s="23" t="str" cm="1">
        <f t="array" ref="BB1286">_xlfn.IFS(AW1286="SIM",SUM(K1286,P1286,U1286,Z1286,AE1286,AJ1286,AO1286,AT1286,AX1286,AY1286),F1286&lt;&gt;"",SUM(K1286,P1286,U1286,Z1286,AE1286,AJ1286,,AO1286,AT1286),F1286="","")</f>
        <v/>
      </c>
      <c r="BC1286" s="211" t="str" cm="1">
        <f t="array" ref="BC1286">_xlfn.IFS(E1286="","",G1286&lt;=E1286,BB1286*(1-0.03),G1286&lt;(E1286+8),BB1286,AZ1286="Boleto",BB1286*(1+0.001)^DATEDIF(E1286,G1286,"D"),AZ1286="Cheque",BB1286,AZ1286="Dinheiro","Alterar forma pgto")</f>
        <v/>
      </c>
      <c r="BD1286" s="276" t="str" cm="1">
        <f t="array" ref="BD1286">IF(F1286=0," ",IF(BC1286&lt;BB1286,(_xlfn.IFS(AW1286="SIM",SUM(L1286,Q1286,V1286,AA1286,AF1286,AK1286,AP1286,AU1286)+AX1286/_xlfn.XLOOKUP(_xlfn.XLOOKUP($F1286,Clientes!$B$4:$B$39,Clientes!$C$4:$C$39),Cadastros!$L$6:$L$12,Cadastros!$M$6:$M$12)+IF($F1286="Bernardino Furlan",AY1286/2751.92,IF($F1286="Mauro José Salanti",AY1286/2751.92,AY1286/3356)),F1286&lt;&gt;0,SUM(L1286,Q1286,V1286,AA1286,AF1286,AK1286,AP1286,AU1286)))*(1-0.03),_xlfn.IFS(AW1286="SIM",SUM(L1286,Q1286,V1286,AA1286,AF1286,AK1286,AP1286,AU1286)+AX1286/_xlfn.XLOOKUP(_xlfn.XLOOKUP($F1286,Clientes!$B$4:$B$39,Clientes!$C$4:$C$39),Cadastros!$L$6:$L$12,Cadastros!$M$6:$M$12)+IF($F1286="Bernardino Furlan",AY1286/2751.92,IF($F1286="Mauro José Salanti",AY1286/2751.92,AY1286/3356)),F1286&lt;&gt;0,SUM(L1286,Q1286,V1286,AA1286,AF1286,AK1286,AP1286,AU1286))))</f>
        <v xml:space="preserve"> </v>
      </c>
      <c r="BE1286" s="120"/>
      <c r="BF1286" s="120"/>
      <c r="BG1286" s="120"/>
    </row>
    <row r="1287" spans="1:59" s="3" customFormat="1" x14ac:dyDescent="0.3">
      <c r="A1287" s="15" t="str">
        <f t="shared" si="247"/>
        <v/>
      </c>
      <c r="B1287" s="25"/>
      <c r="C1287" s="26"/>
      <c r="D1287" s="279"/>
      <c r="E1287" s="27"/>
      <c r="F1287" s="28"/>
      <c r="G1287" s="27"/>
      <c r="H1287" s="28"/>
      <c r="I1287" s="28"/>
      <c r="J1287" s="255" t="str">
        <f>IF(H1287="","",(_xlfn.XLOOKUP(H1287,Cadastros!$D$6:$D$90,Cadastros!$E$6:$E$90))*(1-_xlfn.XLOOKUP(_xlfn.XLOOKUP($F1287,Clientes!$B$4:$B$39,Clientes!$C$4:$C$39),Cadastros!$L$6:$L$12,Cadastros!$N$6:$N$12)))</f>
        <v/>
      </c>
      <c r="K1287" s="168" t="str">
        <f t="shared" si="248"/>
        <v/>
      </c>
      <c r="L1287" s="168" t="str">
        <f>IFERROR(K1287/_xlfn.XLOOKUP(_xlfn.XLOOKUP($F1287,Clientes!$B$4:$B$39,Clientes!$C$4:$C$39),Cadastros!$L$6:$L$12,Cadastros!$M$6:$M$12)," ")</f>
        <v xml:space="preserve"> </v>
      </c>
      <c r="M1287" s="28"/>
      <c r="N1287" s="28"/>
      <c r="O1287" s="255" t="str">
        <f>IF(M1287="","",(_xlfn.XLOOKUP(M1287,Cadastros!$D$6:$D$90,Cadastros!$E$6:$E$90))*(1-_xlfn.XLOOKUP(_xlfn.XLOOKUP($F1287,Clientes!$B$4:$B$39,Clientes!$C$4:$C$39),Cadastros!$L$6:$L$12,Cadastros!$N$6:$N$12)))</f>
        <v/>
      </c>
      <c r="P1287" s="168" t="str">
        <f t="shared" si="249"/>
        <v/>
      </c>
      <c r="Q1287" s="168" t="str">
        <f>IFERROR(P1287/_xlfn.XLOOKUP(_xlfn.XLOOKUP($F1287,Clientes!$B$4:$B$39,Clientes!$C$4:$C$39),Cadastros!$L$6:$L$12,Cadastros!$M$6:$M$12)," ")</f>
        <v xml:space="preserve"> </v>
      </c>
      <c r="R1287" s="28"/>
      <c r="S1287" s="28"/>
      <c r="T1287" s="255" t="str">
        <f>IF(R1287="","",(_xlfn.XLOOKUP(R1287,Cadastros!$D$6:$D$90,Cadastros!$E$6:$E$90))*(1-_xlfn.XLOOKUP(_xlfn.XLOOKUP($F1287,Clientes!$B$4:$B$39,Clientes!$C$4:$C$39),Cadastros!$L$6:$L$12,Cadastros!$N$6:$N$12)))</f>
        <v/>
      </c>
      <c r="U1287" s="168" t="str">
        <f t="shared" si="250"/>
        <v/>
      </c>
      <c r="V1287" s="168" t="str">
        <f>IFERROR(U1287/_xlfn.XLOOKUP(_xlfn.XLOOKUP($F1287,Clientes!$B$4:$B$39,Clientes!$C$4:$C$39),Cadastros!$L$6:$L$12,Cadastros!$M$6:$M$12)," ")</f>
        <v xml:space="preserve"> </v>
      </c>
      <c r="W1287" s="28"/>
      <c r="X1287" s="28"/>
      <c r="Y1287" s="255" t="str">
        <f>IF(W1287="","",(_xlfn.XLOOKUP(W1287,Cadastros!$D$6:$D$90,Cadastros!$E$6:$E$90))*(1-_xlfn.XLOOKUP(_xlfn.XLOOKUP($F1287,Clientes!$B$4:$B$39,Clientes!$C$4:$C$39),Cadastros!$L$6:$L$12,Cadastros!$N$6:$N$12)))</f>
        <v/>
      </c>
      <c r="Z1287" s="168" t="str">
        <f t="shared" si="251"/>
        <v/>
      </c>
      <c r="AA1287" s="168" t="str">
        <f>IFERROR(Z1287/_xlfn.XLOOKUP(_xlfn.XLOOKUP($F1287,Clientes!$B$4:$B$39,Clientes!$C$4:$C$39),Cadastros!$L$6:$L$12,Cadastros!$M$6:$M$12)," ")</f>
        <v xml:space="preserve"> </v>
      </c>
      <c r="AB1287" s="28"/>
      <c r="AC1287" s="28"/>
      <c r="AD1287" s="20" t="str">
        <f>IF(AB1287="","",IF($F1287="Bernardino Furlan",_xlfn.XLOOKUP(AB1287,Cadastros!$G$6:$G$90,Cadastros!$H$6:$H$90)*(1-0.18),IF($F1287="Mauro José Salanti",_xlfn.XLOOKUP(AB1287,Cadastros!$G$6:$G$90,Cadastros!$H$6:$H$90)*(1-0.18),_xlfn.XLOOKUP(AB1287,Cadastros!$G$6:$G$90,Cadastros!$H$6:$H$90))))</f>
        <v/>
      </c>
      <c r="AE1287" s="168" t="str">
        <f t="shared" si="252"/>
        <v/>
      </c>
      <c r="AF1287" s="168" t="str">
        <f t="shared" si="253"/>
        <v/>
      </c>
      <c r="AG1287" s="28"/>
      <c r="AH1287" s="28"/>
      <c r="AI1287" s="20" t="str">
        <f>IF(AG1287="","",IF($F1287="Bernardino Furlan",_xlfn.XLOOKUP(AG1287,Cadastros!$G$6:$G$90,Cadastros!$H$6:$H$90)*(1-0.18),IF($F1287="Mauro José Salanti",_xlfn.XLOOKUP(AG1287,Cadastros!$G$6:$G$90,Cadastros!$H$6:$H$90)*(1-0.18),_xlfn.XLOOKUP(AG1287,Cadastros!$G$6:$G$90,Cadastros!$H$6:$H$90))))</f>
        <v/>
      </c>
      <c r="AJ1287" s="168" t="str">
        <f t="shared" si="254"/>
        <v/>
      </c>
      <c r="AK1287" s="168" t="str">
        <f t="shared" si="255"/>
        <v/>
      </c>
      <c r="AL1287" s="28"/>
      <c r="AM1287" s="28"/>
      <c r="AN1287" s="20" t="str">
        <f>IF(AL1287="","",IF($F1287="Bernardino Furlan",_xlfn.XLOOKUP(AL1287,Cadastros!$G$6:$G$90,Cadastros!$H$6:$H$90)*(1-0.18),IF($F1287="Mauro José Salanti",_xlfn.XLOOKUP(AL1287,Cadastros!$G$6:$G$90,Cadastros!$H$6:$H$90)*(1-0.18),_xlfn.XLOOKUP(AL1287,Cadastros!$G$6:$G$90,Cadastros!$H$6:$H$90))))</f>
        <v/>
      </c>
      <c r="AO1287" s="168" t="str">
        <f t="shared" si="256"/>
        <v/>
      </c>
      <c r="AP1287" s="168" t="str">
        <f t="shared" si="257"/>
        <v/>
      </c>
      <c r="AQ1287" s="28"/>
      <c r="AR1287" s="28"/>
      <c r="AS1287" s="20" t="str">
        <f>IF(AQ1287="","",IF($F1287="Bernardino Furlan",_xlfn.XLOOKUP(AQ1287,Cadastros!$G$6:$G$90,Cadastros!$H$6:$H$90)*(1-0.18),IF($F1287="Mauro José Salanti",_xlfn.XLOOKUP(AQ1287,Cadastros!$G$6:$G$90,Cadastros!$H$6:$H$90)*(1-0.18),_xlfn.XLOOKUP(AQ1287,Cadastros!$G$6:$G$90,Cadastros!$H$6:$H$90))))</f>
        <v/>
      </c>
      <c r="AT1287" s="168" t="str">
        <f t="shared" si="258"/>
        <v/>
      </c>
      <c r="AU1287" s="168" t="str">
        <f t="shared" si="259"/>
        <v/>
      </c>
      <c r="AV1287" s="227"/>
      <c r="AW1287" s="30"/>
      <c r="AX1287" s="267"/>
      <c r="AY1287" s="267"/>
      <c r="AZ1287" s="29"/>
      <c r="BA1287" s="30"/>
      <c r="BB1287" s="23" t="str" cm="1">
        <f t="array" ref="BB1287">_xlfn.IFS(AW1287="SIM",SUM(K1287,P1287,U1287,Z1287,AE1287,AJ1287,AO1287,AT1287,AX1287,AY1287),F1287&lt;&gt;"",SUM(K1287,P1287,U1287,Z1287,AE1287,AJ1287,,AO1287,AT1287),F1287="","")</f>
        <v/>
      </c>
      <c r="BC1287" s="211" t="str" cm="1">
        <f t="array" ref="BC1287">_xlfn.IFS(E1287="","",G1287&lt;=E1287,BB1287*(1-0.03),G1287&lt;(E1287+8),BB1287,AZ1287="Boleto",BB1287*(1+0.001)^DATEDIF(E1287,G1287,"D"),AZ1287="Cheque",BB1287,AZ1287="Dinheiro","Alterar forma pgto")</f>
        <v/>
      </c>
      <c r="BD1287" s="276" t="str" cm="1">
        <f t="array" ref="BD1287">IF(F1287=0," ",IF(BC1287&lt;BB1287,(_xlfn.IFS(AW1287="SIM",SUM(L1287,Q1287,V1287,AA1287,AF1287,AK1287,AP1287,AU1287)+AX1287/_xlfn.XLOOKUP(_xlfn.XLOOKUP($F1287,Clientes!$B$4:$B$39,Clientes!$C$4:$C$39),Cadastros!$L$6:$L$12,Cadastros!$M$6:$M$12)+IF($F1287="Bernardino Furlan",AY1287/2751.92,IF($F1287="Mauro José Salanti",AY1287/2751.92,AY1287/3356)),F1287&lt;&gt;0,SUM(L1287,Q1287,V1287,AA1287,AF1287,AK1287,AP1287,AU1287)))*(1-0.03),_xlfn.IFS(AW1287="SIM",SUM(L1287,Q1287,V1287,AA1287,AF1287,AK1287,AP1287,AU1287)+AX1287/_xlfn.XLOOKUP(_xlfn.XLOOKUP($F1287,Clientes!$B$4:$B$39,Clientes!$C$4:$C$39),Cadastros!$L$6:$L$12,Cadastros!$M$6:$M$12)+IF($F1287="Bernardino Furlan",AY1287/2751.92,IF($F1287="Mauro José Salanti",AY1287/2751.92,AY1287/3356)),F1287&lt;&gt;0,SUM(L1287,Q1287,V1287,AA1287,AF1287,AK1287,AP1287,AU1287))))</f>
        <v xml:space="preserve"> </v>
      </c>
      <c r="BE1287" s="120"/>
      <c r="BF1287" s="120"/>
      <c r="BG1287" s="120"/>
    </row>
    <row r="1288" spans="1:59" s="3" customFormat="1" x14ac:dyDescent="0.3">
      <c r="A1288" s="15" t="str">
        <f t="shared" ref="A1288:A1351" si="260">IF(C1288="orçamento",25%,IF(C1288="aprovado",50%,IF(C1288="entregue",100%,IF(C1288="não aceito",0%,""))))</f>
        <v/>
      </c>
      <c r="B1288" s="25"/>
      <c r="C1288" s="26"/>
      <c r="D1288" s="279"/>
      <c r="E1288" s="27"/>
      <c r="F1288" s="28"/>
      <c r="G1288" s="27"/>
      <c r="H1288" s="28"/>
      <c r="I1288" s="28"/>
      <c r="J1288" s="255" t="str">
        <f>IF(H1288="","",(_xlfn.XLOOKUP(H1288,Cadastros!$D$6:$D$90,Cadastros!$E$6:$E$90))*(1-_xlfn.XLOOKUP(_xlfn.XLOOKUP($F1288,Clientes!$B$4:$B$39,Clientes!$C$4:$C$39),Cadastros!$L$6:$L$12,Cadastros!$N$6:$N$12)))</f>
        <v/>
      </c>
      <c r="K1288" s="168" t="str">
        <f t="shared" ref="K1288:K1351" si="261">IF(J1288="","",I1288*J1288)</f>
        <v/>
      </c>
      <c r="L1288" s="168" t="str">
        <f>IFERROR(K1288/_xlfn.XLOOKUP(_xlfn.XLOOKUP($F1288,Clientes!$B$4:$B$39,Clientes!$C$4:$C$39),Cadastros!$L$6:$L$12,Cadastros!$M$6:$M$12)," ")</f>
        <v xml:space="preserve"> </v>
      </c>
      <c r="M1288" s="28"/>
      <c r="N1288" s="28"/>
      <c r="O1288" s="255" t="str">
        <f>IF(M1288="","",(_xlfn.XLOOKUP(M1288,Cadastros!$D$6:$D$90,Cadastros!$E$6:$E$90))*(1-_xlfn.XLOOKUP(_xlfn.XLOOKUP($F1288,Clientes!$B$4:$B$39,Clientes!$C$4:$C$39),Cadastros!$L$6:$L$12,Cadastros!$N$6:$N$12)))</f>
        <v/>
      </c>
      <c r="P1288" s="168" t="str">
        <f t="shared" ref="P1288:P1351" si="262">IF(O1288="","",N1288*O1288)</f>
        <v/>
      </c>
      <c r="Q1288" s="168" t="str">
        <f>IFERROR(P1288/_xlfn.XLOOKUP(_xlfn.XLOOKUP($F1288,Clientes!$B$4:$B$39,Clientes!$C$4:$C$39),Cadastros!$L$6:$L$12,Cadastros!$M$6:$M$12)," ")</f>
        <v xml:space="preserve"> </v>
      </c>
      <c r="R1288" s="28"/>
      <c r="S1288" s="28"/>
      <c r="T1288" s="255" t="str">
        <f>IF(R1288="","",(_xlfn.XLOOKUP(R1288,Cadastros!$D$6:$D$90,Cadastros!$E$6:$E$90))*(1-_xlfn.XLOOKUP(_xlfn.XLOOKUP($F1288,Clientes!$B$4:$B$39,Clientes!$C$4:$C$39),Cadastros!$L$6:$L$12,Cadastros!$N$6:$N$12)))</f>
        <v/>
      </c>
      <c r="U1288" s="168" t="str">
        <f t="shared" ref="U1288:U1351" si="263">IF(T1288="","",S1288*T1288)</f>
        <v/>
      </c>
      <c r="V1288" s="168" t="str">
        <f>IFERROR(U1288/_xlfn.XLOOKUP(_xlfn.XLOOKUP($F1288,Clientes!$B$4:$B$39,Clientes!$C$4:$C$39),Cadastros!$L$6:$L$12,Cadastros!$M$6:$M$12)," ")</f>
        <v xml:space="preserve"> </v>
      </c>
      <c r="W1288" s="28"/>
      <c r="X1288" s="28"/>
      <c r="Y1288" s="255" t="str">
        <f>IF(W1288="","",(_xlfn.XLOOKUP(W1288,Cadastros!$D$6:$D$90,Cadastros!$E$6:$E$90))*(1-_xlfn.XLOOKUP(_xlfn.XLOOKUP($F1288,Clientes!$B$4:$B$39,Clientes!$C$4:$C$39),Cadastros!$L$6:$L$12,Cadastros!$N$6:$N$12)))</f>
        <v/>
      </c>
      <c r="Z1288" s="168" t="str">
        <f t="shared" ref="Z1288:Z1351" si="264">IF(Y1288="","",X1288*Y1288)</f>
        <v/>
      </c>
      <c r="AA1288" s="168" t="str">
        <f>IFERROR(Z1288/_xlfn.XLOOKUP(_xlfn.XLOOKUP($F1288,Clientes!$B$4:$B$39,Clientes!$C$4:$C$39),Cadastros!$L$6:$L$12,Cadastros!$M$6:$M$12)," ")</f>
        <v xml:space="preserve"> </v>
      </c>
      <c r="AB1288" s="28"/>
      <c r="AC1288" s="28"/>
      <c r="AD1288" s="20" t="str">
        <f>IF(AB1288="","",IF($F1288="Bernardino Furlan",_xlfn.XLOOKUP(AB1288,Cadastros!$G$6:$G$90,Cadastros!$H$6:$H$90)*(1-0.18),IF($F1288="Mauro José Salanti",_xlfn.XLOOKUP(AB1288,Cadastros!$G$6:$G$90,Cadastros!$H$6:$H$90)*(1-0.18),_xlfn.XLOOKUP(AB1288,Cadastros!$G$6:$G$90,Cadastros!$H$6:$H$90))))</f>
        <v/>
      </c>
      <c r="AE1288" s="168" t="str">
        <f t="shared" ref="AE1288:AE1351" si="265">IF(AD1288="","",AC1288*AD1288)</f>
        <v/>
      </c>
      <c r="AF1288" s="168" t="str">
        <f t="shared" ref="AF1288:AF1351" si="266">IFERROR(IF($F1288="Bernardino Furlan",AE1288/2751.92,IF($F1288="Mauro José Salanti",AE1288/2751.92,AE1288/3356)),"")</f>
        <v/>
      </c>
      <c r="AG1288" s="28"/>
      <c r="AH1288" s="28"/>
      <c r="AI1288" s="20" t="str">
        <f>IF(AG1288="","",IF($F1288="Bernardino Furlan",_xlfn.XLOOKUP(AG1288,Cadastros!$G$6:$G$90,Cadastros!$H$6:$H$90)*(1-0.18),IF($F1288="Mauro José Salanti",_xlfn.XLOOKUP(AG1288,Cadastros!$G$6:$G$90,Cadastros!$H$6:$H$90)*(1-0.18),_xlfn.XLOOKUP(AG1288,Cadastros!$G$6:$G$90,Cadastros!$H$6:$H$90))))</f>
        <v/>
      </c>
      <c r="AJ1288" s="168" t="str">
        <f t="shared" ref="AJ1288:AJ1351" si="267">IF(AI1288="","",AH1288*AI1288)</f>
        <v/>
      </c>
      <c r="AK1288" s="168" t="str">
        <f t="shared" ref="AK1288:AK1351" si="268">IFERROR(IF($F1288="Bernardino Furlan",AJ1288/2751.92,IF($F1288="Mauro José Salanti",AJ1288/2751.92,AJ1288/3356)),"")</f>
        <v/>
      </c>
      <c r="AL1288" s="28"/>
      <c r="AM1288" s="28"/>
      <c r="AN1288" s="20" t="str">
        <f>IF(AL1288="","",IF($F1288="Bernardino Furlan",_xlfn.XLOOKUP(AL1288,Cadastros!$G$6:$G$90,Cadastros!$H$6:$H$90)*(1-0.18),IF($F1288="Mauro José Salanti",_xlfn.XLOOKUP(AL1288,Cadastros!$G$6:$G$90,Cadastros!$H$6:$H$90)*(1-0.18),_xlfn.XLOOKUP(AL1288,Cadastros!$G$6:$G$90,Cadastros!$H$6:$H$90))))</f>
        <v/>
      </c>
      <c r="AO1288" s="168" t="str">
        <f t="shared" ref="AO1288:AO1351" si="269">IF(AN1288="","",AM1288*AN1288)</f>
        <v/>
      </c>
      <c r="AP1288" s="168" t="str">
        <f t="shared" ref="AP1288:AP1351" si="270">IFERROR(IF($F1288="Bernardino Furlan",AO1288/2751.92,IF($F1288="Mauro José Salanti",AO1288/2751.92,AO1288/3356)),"")</f>
        <v/>
      </c>
      <c r="AQ1288" s="28"/>
      <c r="AR1288" s="28"/>
      <c r="AS1288" s="20" t="str">
        <f>IF(AQ1288="","",IF($F1288="Bernardino Furlan",_xlfn.XLOOKUP(AQ1288,Cadastros!$G$6:$G$90,Cadastros!$H$6:$H$90)*(1-0.18),IF($F1288="Mauro José Salanti",_xlfn.XLOOKUP(AQ1288,Cadastros!$G$6:$G$90,Cadastros!$H$6:$H$90)*(1-0.18),_xlfn.XLOOKUP(AQ1288,Cadastros!$G$6:$G$90,Cadastros!$H$6:$H$90))))</f>
        <v/>
      </c>
      <c r="AT1288" s="168" t="str">
        <f t="shared" ref="AT1288:AT1351" si="271">IF(AS1288="","",AR1288*AS1288)</f>
        <v/>
      </c>
      <c r="AU1288" s="168" t="str">
        <f t="shared" ref="AU1288:AU1351" si="272">IFERROR(IF($F1288="Bernardino Furlan",AT1288/2751.92,IF($F1288="Mauro José Salanti",AT1288/2751.92,AT1288/3356)),"")</f>
        <v/>
      </c>
      <c r="AV1288" s="227"/>
      <c r="AW1288" s="30"/>
      <c r="AX1288" s="267"/>
      <c r="AY1288" s="267"/>
      <c r="AZ1288" s="29"/>
      <c r="BA1288" s="30"/>
      <c r="BB1288" s="23" t="str" cm="1">
        <f t="array" ref="BB1288">_xlfn.IFS(AW1288="SIM",SUM(K1288,P1288,U1288,Z1288,AE1288,AJ1288,AO1288,AT1288,AX1288,AY1288),F1288&lt;&gt;"",SUM(K1288,P1288,U1288,Z1288,AE1288,AJ1288,,AO1288,AT1288),F1288="","")</f>
        <v/>
      </c>
      <c r="BC1288" s="211" t="str" cm="1">
        <f t="array" ref="BC1288">_xlfn.IFS(E1288="","",G1288&lt;=E1288,BB1288*(1-0.03),G1288&lt;(E1288+8),BB1288,AZ1288="Boleto",BB1288*(1+0.001)^DATEDIF(E1288,G1288,"D"),AZ1288="Cheque",BB1288,AZ1288="Dinheiro","Alterar forma pgto")</f>
        <v/>
      </c>
      <c r="BD1288" s="276" t="str" cm="1">
        <f t="array" ref="BD1288">IF(F1288=0," ",IF(BC1288&lt;BB1288,(_xlfn.IFS(AW1288="SIM",SUM(L1288,Q1288,V1288,AA1288,AF1288,AK1288,AP1288,AU1288)+AX1288/_xlfn.XLOOKUP(_xlfn.XLOOKUP($F1288,Clientes!$B$4:$B$39,Clientes!$C$4:$C$39),Cadastros!$L$6:$L$12,Cadastros!$M$6:$M$12)+IF($F1288="Bernardino Furlan",AY1288/2751.92,IF($F1288="Mauro José Salanti",AY1288/2751.92,AY1288/3356)),F1288&lt;&gt;0,SUM(L1288,Q1288,V1288,AA1288,AF1288,AK1288,AP1288,AU1288)))*(1-0.03),_xlfn.IFS(AW1288="SIM",SUM(L1288,Q1288,V1288,AA1288,AF1288,AK1288,AP1288,AU1288)+AX1288/_xlfn.XLOOKUP(_xlfn.XLOOKUP($F1288,Clientes!$B$4:$B$39,Clientes!$C$4:$C$39),Cadastros!$L$6:$L$12,Cadastros!$M$6:$M$12)+IF($F1288="Bernardino Furlan",AY1288/2751.92,IF($F1288="Mauro José Salanti",AY1288/2751.92,AY1288/3356)),F1288&lt;&gt;0,SUM(L1288,Q1288,V1288,AA1288,AF1288,AK1288,AP1288,AU1288))))</f>
        <v xml:space="preserve"> </v>
      </c>
      <c r="BE1288" s="120"/>
      <c r="BF1288" s="120"/>
      <c r="BG1288" s="120"/>
    </row>
    <row r="1289" spans="1:59" s="3" customFormat="1" x14ac:dyDescent="0.3">
      <c r="A1289" s="15" t="str">
        <f t="shared" si="260"/>
        <v/>
      </c>
      <c r="B1289" s="25"/>
      <c r="C1289" s="26"/>
      <c r="D1289" s="279"/>
      <c r="E1289" s="27"/>
      <c r="F1289" s="28"/>
      <c r="G1289" s="27"/>
      <c r="H1289" s="28"/>
      <c r="I1289" s="28"/>
      <c r="J1289" s="255" t="str">
        <f>IF(H1289="","",(_xlfn.XLOOKUP(H1289,Cadastros!$D$6:$D$90,Cadastros!$E$6:$E$90))*(1-_xlfn.XLOOKUP(_xlfn.XLOOKUP($F1289,Clientes!$B$4:$B$39,Clientes!$C$4:$C$39),Cadastros!$L$6:$L$12,Cadastros!$N$6:$N$12)))</f>
        <v/>
      </c>
      <c r="K1289" s="168" t="str">
        <f t="shared" si="261"/>
        <v/>
      </c>
      <c r="L1289" s="168" t="str">
        <f>IFERROR(K1289/_xlfn.XLOOKUP(_xlfn.XLOOKUP($F1289,Clientes!$B$4:$B$39,Clientes!$C$4:$C$39),Cadastros!$L$6:$L$12,Cadastros!$M$6:$M$12)," ")</f>
        <v xml:space="preserve"> </v>
      </c>
      <c r="M1289" s="28"/>
      <c r="N1289" s="28"/>
      <c r="O1289" s="255" t="str">
        <f>IF(M1289="","",(_xlfn.XLOOKUP(M1289,Cadastros!$D$6:$D$90,Cadastros!$E$6:$E$90))*(1-_xlfn.XLOOKUP(_xlfn.XLOOKUP($F1289,Clientes!$B$4:$B$39,Clientes!$C$4:$C$39),Cadastros!$L$6:$L$12,Cadastros!$N$6:$N$12)))</f>
        <v/>
      </c>
      <c r="P1289" s="168" t="str">
        <f t="shared" si="262"/>
        <v/>
      </c>
      <c r="Q1289" s="168" t="str">
        <f>IFERROR(P1289/_xlfn.XLOOKUP(_xlfn.XLOOKUP($F1289,Clientes!$B$4:$B$39,Clientes!$C$4:$C$39),Cadastros!$L$6:$L$12,Cadastros!$M$6:$M$12)," ")</f>
        <v xml:space="preserve"> </v>
      </c>
      <c r="R1289" s="28"/>
      <c r="S1289" s="28"/>
      <c r="T1289" s="255" t="str">
        <f>IF(R1289="","",(_xlfn.XLOOKUP(R1289,Cadastros!$D$6:$D$90,Cadastros!$E$6:$E$90))*(1-_xlfn.XLOOKUP(_xlfn.XLOOKUP($F1289,Clientes!$B$4:$B$39,Clientes!$C$4:$C$39),Cadastros!$L$6:$L$12,Cadastros!$N$6:$N$12)))</f>
        <v/>
      </c>
      <c r="U1289" s="168" t="str">
        <f t="shared" si="263"/>
        <v/>
      </c>
      <c r="V1289" s="168" t="str">
        <f>IFERROR(U1289/_xlfn.XLOOKUP(_xlfn.XLOOKUP($F1289,Clientes!$B$4:$B$39,Clientes!$C$4:$C$39),Cadastros!$L$6:$L$12,Cadastros!$M$6:$M$12)," ")</f>
        <v xml:space="preserve"> </v>
      </c>
      <c r="W1289" s="28"/>
      <c r="X1289" s="28"/>
      <c r="Y1289" s="255" t="str">
        <f>IF(W1289="","",(_xlfn.XLOOKUP(W1289,Cadastros!$D$6:$D$90,Cadastros!$E$6:$E$90))*(1-_xlfn.XLOOKUP(_xlfn.XLOOKUP($F1289,Clientes!$B$4:$B$39,Clientes!$C$4:$C$39),Cadastros!$L$6:$L$12,Cadastros!$N$6:$N$12)))</f>
        <v/>
      </c>
      <c r="Z1289" s="168" t="str">
        <f t="shared" si="264"/>
        <v/>
      </c>
      <c r="AA1289" s="168" t="str">
        <f>IFERROR(Z1289/_xlfn.XLOOKUP(_xlfn.XLOOKUP($F1289,Clientes!$B$4:$B$39,Clientes!$C$4:$C$39),Cadastros!$L$6:$L$12,Cadastros!$M$6:$M$12)," ")</f>
        <v xml:space="preserve"> </v>
      </c>
      <c r="AB1289" s="28"/>
      <c r="AC1289" s="28"/>
      <c r="AD1289" s="20" t="str">
        <f>IF(AB1289="","",IF($F1289="Bernardino Furlan",_xlfn.XLOOKUP(AB1289,Cadastros!$G$6:$G$90,Cadastros!$H$6:$H$90)*(1-0.18),IF($F1289="Mauro José Salanti",_xlfn.XLOOKUP(AB1289,Cadastros!$G$6:$G$90,Cadastros!$H$6:$H$90)*(1-0.18),_xlfn.XLOOKUP(AB1289,Cadastros!$G$6:$G$90,Cadastros!$H$6:$H$90))))</f>
        <v/>
      </c>
      <c r="AE1289" s="168" t="str">
        <f t="shared" si="265"/>
        <v/>
      </c>
      <c r="AF1289" s="168" t="str">
        <f t="shared" si="266"/>
        <v/>
      </c>
      <c r="AG1289" s="28"/>
      <c r="AH1289" s="28"/>
      <c r="AI1289" s="20" t="str">
        <f>IF(AG1289="","",IF($F1289="Bernardino Furlan",_xlfn.XLOOKUP(AG1289,Cadastros!$G$6:$G$90,Cadastros!$H$6:$H$90)*(1-0.18),IF($F1289="Mauro José Salanti",_xlfn.XLOOKUP(AG1289,Cadastros!$G$6:$G$90,Cadastros!$H$6:$H$90)*(1-0.18),_xlfn.XLOOKUP(AG1289,Cadastros!$G$6:$G$90,Cadastros!$H$6:$H$90))))</f>
        <v/>
      </c>
      <c r="AJ1289" s="168" t="str">
        <f t="shared" si="267"/>
        <v/>
      </c>
      <c r="AK1289" s="168" t="str">
        <f t="shared" si="268"/>
        <v/>
      </c>
      <c r="AL1289" s="28"/>
      <c r="AM1289" s="28"/>
      <c r="AN1289" s="20" t="str">
        <f>IF(AL1289="","",IF($F1289="Bernardino Furlan",_xlfn.XLOOKUP(AL1289,Cadastros!$G$6:$G$90,Cadastros!$H$6:$H$90)*(1-0.18),IF($F1289="Mauro José Salanti",_xlfn.XLOOKUP(AL1289,Cadastros!$G$6:$G$90,Cadastros!$H$6:$H$90)*(1-0.18),_xlfn.XLOOKUP(AL1289,Cadastros!$G$6:$G$90,Cadastros!$H$6:$H$90))))</f>
        <v/>
      </c>
      <c r="AO1289" s="168" t="str">
        <f t="shared" si="269"/>
        <v/>
      </c>
      <c r="AP1289" s="168" t="str">
        <f t="shared" si="270"/>
        <v/>
      </c>
      <c r="AQ1289" s="28"/>
      <c r="AR1289" s="28"/>
      <c r="AS1289" s="20" t="str">
        <f>IF(AQ1289="","",IF($F1289="Bernardino Furlan",_xlfn.XLOOKUP(AQ1289,Cadastros!$G$6:$G$90,Cadastros!$H$6:$H$90)*(1-0.18),IF($F1289="Mauro José Salanti",_xlfn.XLOOKUP(AQ1289,Cadastros!$G$6:$G$90,Cadastros!$H$6:$H$90)*(1-0.18),_xlfn.XLOOKUP(AQ1289,Cadastros!$G$6:$G$90,Cadastros!$H$6:$H$90))))</f>
        <v/>
      </c>
      <c r="AT1289" s="168" t="str">
        <f t="shared" si="271"/>
        <v/>
      </c>
      <c r="AU1289" s="168" t="str">
        <f t="shared" si="272"/>
        <v/>
      </c>
      <c r="AV1289" s="227"/>
      <c r="AW1289" s="30"/>
      <c r="AX1289" s="267"/>
      <c r="AY1289" s="267"/>
      <c r="AZ1289" s="29"/>
      <c r="BA1289" s="30"/>
      <c r="BB1289" s="23" t="str" cm="1">
        <f t="array" ref="BB1289">_xlfn.IFS(AW1289="SIM",SUM(K1289,P1289,U1289,Z1289,AE1289,AJ1289,AO1289,AT1289,AX1289,AY1289),F1289&lt;&gt;"",SUM(K1289,P1289,U1289,Z1289,AE1289,AJ1289,,AO1289,AT1289),F1289="","")</f>
        <v/>
      </c>
      <c r="BC1289" s="211" t="str" cm="1">
        <f t="array" ref="BC1289">_xlfn.IFS(E1289="","",G1289&lt;=E1289,BB1289*(1-0.03),G1289&lt;(E1289+8),BB1289,AZ1289="Boleto",BB1289*(1+0.001)^DATEDIF(E1289,G1289,"D"),AZ1289="Cheque",BB1289,AZ1289="Dinheiro","Alterar forma pgto")</f>
        <v/>
      </c>
      <c r="BD1289" s="276" t="str" cm="1">
        <f t="array" ref="BD1289">IF(F1289=0," ",IF(BC1289&lt;BB1289,(_xlfn.IFS(AW1289="SIM",SUM(L1289,Q1289,V1289,AA1289,AF1289,AK1289,AP1289,AU1289)+AX1289/_xlfn.XLOOKUP(_xlfn.XLOOKUP($F1289,Clientes!$B$4:$B$39,Clientes!$C$4:$C$39),Cadastros!$L$6:$L$12,Cadastros!$M$6:$M$12)+IF($F1289="Bernardino Furlan",AY1289/2751.92,IF($F1289="Mauro José Salanti",AY1289/2751.92,AY1289/3356)),F1289&lt;&gt;0,SUM(L1289,Q1289,V1289,AA1289,AF1289,AK1289,AP1289,AU1289)))*(1-0.03),_xlfn.IFS(AW1289="SIM",SUM(L1289,Q1289,V1289,AA1289,AF1289,AK1289,AP1289,AU1289)+AX1289/_xlfn.XLOOKUP(_xlfn.XLOOKUP($F1289,Clientes!$B$4:$B$39,Clientes!$C$4:$C$39),Cadastros!$L$6:$L$12,Cadastros!$M$6:$M$12)+IF($F1289="Bernardino Furlan",AY1289/2751.92,IF($F1289="Mauro José Salanti",AY1289/2751.92,AY1289/3356)),F1289&lt;&gt;0,SUM(L1289,Q1289,V1289,AA1289,AF1289,AK1289,AP1289,AU1289))))</f>
        <v xml:space="preserve"> </v>
      </c>
      <c r="BE1289" s="120"/>
      <c r="BF1289" s="120"/>
      <c r="BG1289" s="120"/>
    </row>
    <row r="1290" spans="1:59" s="3" customFormat="1" x14ac:dyDescent="0.3">
      <c r="A1290" s="15" t="str">
        <f t="shared" si="260"/>
        <v/>
      </c>
      <c r="B1290" s="25"/>
      <c r="C1290" s="26"/>
      <c r="D1290" s="279"/>
      <c r="E1290" s="27"/>
      <c r="F1290" s="28"/>
      <c r="G1290" s="27"/>
      <c r="H1290" s="28"/>
      <c r="I1290" s="28"/>
      <c r="J1290" s="255" t="str">
        <f>IF(H1290="","",(_xlfn.XLOOKUP(H1290,Cadastros!$D$6:$D$90,Cadastros!$E$6:$E$90))*(1-_xlfn.XLOOKUP(_xlfn.XLOOKUP($F1290,Clientes!$B$4:$B$39,Clientes!$C$4:$C$39),Cadastros!$L$6:$L$12,Cadastros!$N$6:$N$12)))</f>
        <v/>
      </c>
      <c r="K1290" s="168" t="str">
        <f t="shared" si="261"/>
        <v/>
      </c>
      <c r="L1290" s="168" t="str">
        <f>IFERROR(K1290/_xlfn.XLOOKUP(_xlfn.XLOOKUP($F1290,Clientes!$B$4:$B$39,Clientes!$C$4:$C$39),Cadastros!$L$6:$L$12,Cadastros!$M$6:$M$12)," ")</f>
        <v xml:space="preserve"> </v>
      </c>
      <c r="M1290" s="28"/>
      <c r="N1290" s="28"/>
      <c r="O1290" s="255" t="str">
        <f>IF(M1290="","",(_xlfn.XLOOKUP(M1290,Cadastros!$D$6:$D$90,Cadastros!$E$6:$E$90))*(1-_xlfn.XLOOKUP(_xlfn.XLOOKUP($F1290,Clientes!$B$4:$B$39,Clientes!$C$4:$C$39),Cadastros!$L$6:$L$12,Cadastros!$N$6:$N$12)))</f>
        <v/>
      </c>
      <c r="P1290" s="168" t="str">
        <f t="shared" si="262"/>
        <v/>
      </c>
      <c r="Q1290" s="168" t="str">
        <f>IFERROR(P1290/_xlfn.XLOOKUP(_xlfn.XLOOKUP($F1290,Clientes!$B$4:$B$39,Clientes!$C$4:$C$39),Cadastros!$L$6:$L$12,Cadastros!$M$6:$M$12)," ")</f>
        <v xml:space="preserve"> </v>
      </c>
      <c r="R1290" s="28"/>
      <c r="S1290" s="28"/>
      <c r="T1290" s="255" t="str">
        <f>IF(R1290="","",(_xlfn.XLOOKUP(R1290,Cadastros!$D$6:$D$90,Cadastros!$E$6:$E$90))*(1-_xlfn.XLOOKUP(_xlfn.XLOOKUP($F1290,Clientes!$B$4:$B$39,Clientes!$C$4:$C$39),Cadastros!$L$6:$L$12,Cadastros!$N$6:$N$12)))</f>
        <v/>
      </c>
      <c r="U1290" s="168" t="str">
        <f t="shared" si="263"/>
        <v/>
      </c>
      <c r="V1290" s="168" t="str">
        <f>IFERROR(U1290/_xlfn.XLOOKUP(_xlfn.XLOOKUP($F1290,Clientes!$B$4:$B$39,Clientes!$C$4:$C$39),Cadastros!$L$6:$L$12,Cadastros!$M$6:$M$12)," ")</f>
        <v xml:space="preserve"> </v>
      </c>
      <c r="W1290" s="28"/>
      <c r="X1290" s="28"/>
      <c r="Y1290" s="255" t="str">
        <f>IF(W1290="","",(_xlfn.XLOOKUP(W1290,Cadastros!$D$6:$D$90,Cadastros!$E$6:$E$90))*(1-_xlfn.XLOOKUP(_xlfn.XLOOKUP($F1290,Clientes!$B$4:$B$39,Clientes!$C$4:$C$39),Cadastros!$L$6:$L$12,Cadastros!$N$6:$N$12)))</f>
        <v/>
      </c>
      <c r="Z1290" s="168" t="str">
        <f t="shared" si="264"/>
        <v/>
      </c>
      <c r="AA1290" s="168" t="str">
        <f>IFERROR(Z1290/_xlfn.XLOOKUP(_xlfn.XLOOKUP($F1290,Clientes!$B$4:$B$39,Clientes!$C$4:$C$39),Cadastros!$L$6:$L$12,Cadastros!$M$6:$M$12)," ")</f>
        <v xml:space="preserve"> </v>
      </c>
      <c r="AB1290" s="28"/>
      <c r="AC1290" s="28"/>
      <c r="AD1290" s="20" t="str">
        <f>IF(AB1290="","",IF($F1290="Bernardino Furlan",_xlfn.XLOOKUP(AB1290,Cadastros!$G$6:$G$90,Cadastros!$H$6:$H$90)*(1-0.18),IF($F1290="Mauro José Salanti",_xlfn.XLOOKUP(AB1290,Cadastros!$G$6:$G$90,Cadastros!$H$6:$H$90)*(1-0.18),_xlfn.XLOOKUP(AB1290,Cadastros!$G$6:$G$90,Cadastros!$H$6:$H$90))))</f>
        <v/>
      </c>
      <c r="AE1290" s="168" t="str">
        <f t="shared" si="265"/>
        <v/>
      </c>
      <c r="AF1290" s="168" t="str">
        <f t="shared" si="266"/>
        <v/>
      </c>
      <c r="AG1290" s="28"/>
      <c r="AH1290" s="28"/>
      <c r="AI1290" s="20" t="str">
        <f>IF(AG1290="","",IF($F1290="Bernardino Furlan",_xlfn.XLOOKUP(AG1290,Cadastros!$G$6:$G$90,Cadastros!$H$6:$H$90)*(1-0.18),IF($F1290="Mauro José Salanti",_xlfn.XLOOKUP(AG1290,Cadastros!$G$6:$G$90,Cadastros!$H$6:$H$90)*(1-0.18),_xlfn.XLOOKUP(AG1290,Cadastros!$G$6:$G$90,Cadastros!$H$6:$H$90))))</f>
        <v/>
      </c>
      <c r="AJ1290" s="168" t="str">
        <f t="shared" si="267"/>
        <v/>
      </c>
      <c r="AK1290" s="168" t="str">
        <f t="shared" si="268"/>
        <v/>
      </c>
      <c r="AL1290" s="28"/>
      <c r="AM1290" s="28"/>
      <c r="AN1290" s="20" t="str">
        <f>IF(AL1290="","",IF($F1290="Bernardino Furlan",_xlfn.XLOOKUP(AL1290,Cadastros!$G$6:$G$90,Cadastros!$H$6:$H$90)*(1-0.18),IF($F1290="Mauro José Salanti",_xlfn.XLOOKUP(AL1290,Cadastros!$G$6:$G$90,Cadastros!$H$6:$H$90)*(1-0.18),_xlfn.XLOOKUP(AL1290,Cadastros!$G$6:$G$90,Cadastros!$H$6:$H$90))))</f>
        <v/>
      </c>
      <c r="AO1290" s="168" t="str">
        <f t="shared" si="269"/>
        <v/>
      </c>
      <c r="AP1290" s="168" t="str">
        <f t="shared" si="270"/>
        <v/>
      </c>
      <c r="AQ1290" s="28"/>
      <c r="AR1290" s="28"/>
      <c r="AS1290" s="20" t="str">
        <f>IF(AQ1290="","",IF($F1290="Bernardino Furlan",_xlfn.XLOOKUP(AQ1290,Cadastros!$G$6:$G$90,Cadastros!$H$6:$H$90)*(1-0.18),IF($F1290="Mauro José Salanti",_xlfn.XLOOKUP(AQ1290,Cadastros!$G$6:$G$90,Cadastros!$H$6:$H$90)*(1-0.18),_xlfn.XLOOKUP(AQ1290,Cadastros!$G$6:$G$90,Cadastros!$H$6:$H$90))))</f>
        <v/>
      </c>
      <c r="AT1290" s="168" t="str">
        <f t="shared" si="271"/>
        <v/>
      </c>
      <c r="AU1290" s="168" t="str">
        <f t="shared" si="272"/>
        <v/>
      </c>
      <c r="AV1290" s="227"/>
      <c r="AW1290" s="30"/>
      <c r="AX1290" s="267"/>
      <c r="AY1290" s="267"/>
      <c r="AZ1290" s="29"/>
      <c r="BA1290" s="30"/>
      <c r="BB1290" s="23" t="str" cm="1">
        <f t="array" ref="BB1290">_xlfn.IFS(AW1290="SIM",SUM(K1290,P1290,U1290,Z1290,AE1290,AJ1290,AO1290,AT1290,AX1290,AY1290),F1290&lt;&gt;"",SUM(K1290,P1290,U1290,Z1290,AE1290,AJ1290,,AO1290,AT1290),F1290="","")</f>
        <v/>
      </c>
      <c r="BC1290" s="211" t="str" cm="1">
        <f t="array" ref="BC1290">_xlfn.IFS(E1290="","",G1290&lt;=E1290,BB1290*(1-0.03),G1290&lt;(E1290+8),BB1290,AZ1290="Boleto",BB1290*(1+0.001)^DATEDIF(E1290,G1290,"D"),AZ1290="Cheque",BB1290,AZ1290="Dinheiro","Alterar forma pgto")</f>
        <v/>
      </c>
      <c r="BD1290" s="276" t="str" cm="1">
        <f t="array" ref="BD1290">IF(F1290=0," ",IF(BC1290&lt;BB1290,(_xlfn.IFS(AW1290="SIM",SUM(L1290,Q1290,V1290,AA1290,AF1290,AK1290,AP1290,AU1290)+AX1290/_xlfn.XLOOKUP(_xlfn.XLOOKUP($F1290,Clientes!$B$4:$B$39,Clientes!$C$4:$C$39),Cadastros!$L$6:$L$12,Cadastros!$M$6:$M$12)+IF($F1290="Bernardino Furlan",AY1290/2751.92,IF($F1290="Mauro José Salanti",AY1290/2751.92,AY1290/3356)),F1290&lt;&gt;0,SUM(L1290,Q1290,V1290,AA1290,AF1290,AK1290,AP1290,AU1290)))*(1-0.03),_xlfn.IFS(AW1290="SIM",SUM(L1290,Q1290,V1290,AA1290,AF1290,AK1290,AP1290,AU1290)+AX1290/_xlfn.XLOOKUP(_xlfn.XLOOKUP($F1290,Clientes!$B$4:$B$39,Clientes!$C$4:$C$39),Cadastros!$L$6:$L$12,Cadastros!$M$6:$M$12)+IF($F1290="Bernardino Furlan",AY1290/2751.92,IF($F1290="Mauro José Salanti",AY1290/2751.92,AY1290/3356)),F1290&lt;&gt;0,SUM(L1290,Q1290,V1290,AA1290,AF1290,AK1290,AP1290,AU1290))))</f>
        <v xml:space="preserve"> </v>
      </c>
      <c r="BE1290" s="120"/>
      <c r="BF1290" s="120"/>
      <c r="BG1290" s="120"/>
    </row>
    <row r="1291" spans="1:59" s="3" customFormat="1" x14ac:dyDescent="0.3">
      <c r="A1291" s="15" t="str">
        <f t="shared" si="260"/>
        <v/>
      </c>
      <c r="B1291" s="25"/>
      <c r="C1291" s="26"/>
      <c r="D1291" s="279"/>
      <c r="E1291" s="27"/>
      <c r="F1291" s="28"/>
      <c r="G1291" s="27"/>
      <c r="H1291" s="28"/>
      <c r="I1291" s="28"/>
      <c r="J1291" s="255" t="str">
        <f>IF(H1291="","",(_xlfn.XLOOKUP(H1291,Cadastros!$D$6:$D$90,Cadastros!$E$6:$E$90))*(1-_xlfn.XLOOKUP(_xlfn.XLOOKUP($F1291,Clientes!$B$4:$B$39,Clientes!$C$4:$C$39),Cadastros!$L$6:$L$12,Cadastros!$N$6:$N$12)))</f>
        <v/>
      </c>
      <c r="K1291" s="168" t="str">
        <f t="shared" si="261"/>
        <v/>
      </c>
      <c r="L1291" s="168" t="str">
        <f>IFERROR(K1291/_xlfn.XLOOKUP(_xlfn.XLOOKUP($F1291,Clientes!$B$4:$B$39,Clientes!$C$4:$C$39),Cadastros!$L$6:$L$12,Cadastros!$M$6:$M$12)," ")</f>
        <v xml:space="preserve"> </v>
      </c>
      <c r="M1291" s="28"/>
      <c r="N1291" s="28"/>
      <c r="O1291" s="255" t="str">
        <f>IF(M1291="","",(_xlfn.XLOOKUP(M1291,Cadastros!$D$6:$D$90,Cadastros!$E$6:$E$90))*(1-_xlfn.XLOOKUP(_xlfn.XLOOKUP($F1291,Clientes!$B$4:$B$39,Clientes!$C$4:$C$39),Cadastros!$L$6:$L$12,Cadastros!$N$6:$N$12)))</f>
        <v/>
      </c>
      <c r="P1291" s="168" t="str">
        <f t="shared" si="262"/>
        <v/>
      </c>
      <c r="Q1291" s="168" t="str">
        <f>IFERROR(P1291/_xlfn.XLOOKUP(_xlfn.XLOOKUP($F1291,Clientes!$B$4:$B$39,Clientes!$C$4:$C$39),Cadastros!$L$6:$L$12,Cadastros!$M$6:$M$12)," ")</f>
        <v xml:space="preserve"> </v>
      </c>
      <c r="R1291" s="28"/>
      <c r="S1291" s="28"/>
      <c r="T1291" s="255" t="str">
        <f>IF(R1291="","",(_xlfn.XLOOKUP(R1291,Cadastros!$D$6:$D$90,Cadastros!$E$6:$E$90))*(1-_xlfn.XLOOKUP(_xlfn.XLOOKUP($F1291,Clientes!$B$4:$B$39,Clientes!$C$4:$C$39),Cadastros!$L$6:$L$12,Cadastros!$N$6:$N$12)))</f>
        <v/>
      </c>
      <c r="U1291" s="168" t="str">
        <f t="shared" si="263"/>
        <v/>
      </c>
      <c r="V1291" s="168" t="str">
        <f>IFERROR(U1291/_xlfn.XLOOKUP(_xlfn.XLOOKUP($F1291,Clientes!$B$4:$B$39,Clientes!$C$4:$C$39),Cadastros!$L$6:$L$12,Cadastros!$M$6:$M$12)," ")</f>
        <v xml:space="preserve"> </v>
      </c>
      <c r="W1291" s="28"/>
      <c r="X1291" s="28"/>
      <c r="Y1291" s="255" t="str">
        <f>IF(W1291="","",(_xlfn.XLOOKUP(W1291,Cadastros!$D$6:$D$90,Cadastros!$E$6:$E$90))*(1-_xlfn.XLOOKUP(_xlfn.XLOOKUP($F1291,Clientes!$B$4:$B$39,Clientes!$C$4:$C$39),Cadastros!$L$6:$L$12,Cadastros!$N$6:$N$12)))</f>
        <v/>
      </c>
      <c r="Z1291" s="168" t="str">
        <f t="shared" si="264"/>
        <v/>
      </c>
      <c r="AA1291" s="168" t="str">
        <f>IFERROR(Z1291/_xlfn.XLOOKUP(_xlfn.XLOOKUP($F1291,Clientes!$B$4:$B$39,Clientes!$C$4:$C$39),Cadastros!$L$6:$L$12,Cadastros!$M$6:$M$12)," ")</f>
        <v xml:space="preserve"> </v>
      </c>
      <c r="AB1291" s="28"/>
      <c r="AC1291" s="28"/>
      <c r="AD1291" s="20" t="str">
        <f>IF(AB1291="","",IF($F1291="Bernardino Furlan",_xlfn.XLOOKUP(AB1291,Cadastros!$G$6:$G$90,Cadastros!$H$6:$H$90)*(1-0.18),IF($F1291="Mauro José Salanti",_xlfn.XLOOKUP(AB1291,Cadastros!$G$6:$G$90,Cadastros!$H$6:$H$90)*(1-0.18),_xlfn.XLOOKUP(AB1291,Cadastros!$G$6:$G$90,Cadastros!$H$6:$H$90))))</f>
        <v/>
      </c>
      <c r="AE1291" s="168" t="str">
        <f t="shared" si="265"/>
        <v/>
      </c>
      <c r="AF1291" s="168" t="str">
        <f t="shared" si="266"/>
        <v/>
      </c>
      <c r="AG1291" s="28"/>
      <c r="AH1291" s="28"/>
      <c r="AI1291" s="20" t="str">
        <f>IF(AG1291="","",IF($F1291="Bernardino Furlan",_xlfn.XLOOKUP(AG1291,Cadastros!$G$6:$G$90,Cadastros!$H$6:$H$90)*(1-0.18),IF($F1291="Mauro José Salanti",_xlfn.XLOOKUP(AG1291,Cadastros!$G$6:$G$90,Cadastros!$H$6:$H$90)*(1-0.18),_xlfn.XLOOKUP(AG1291,Cadastros!$G$6:$G$90,Cadastros!$H$6:$H$90))))</f>
        <v/>
      </c>
      <c r="AJ1291" s="168" t="str">
        <f t="shared" si="267"/>
        <v/>
      </c>
      <c r="AK1291" s="168" t="str">
        <f t="shared" si="268"/>
        <v/>
      </c>
      <c r="AL1291" s="28"/>
      <c r="AM1291" s="28"/>
      <c r="AN1291" s="20" t="str">
        <f>IF(AL1291="","",IF($F1291="Bernardino Furlan",_xlfn.XLOOKUP(AL1291,Cadastros!$G$6:$G$90,Cadastros!$H$6:$H$90)*(1-0.18),IF($F1291="Mauro José Salanti",_xlfn.XLOOKUP(AL1291,Cadastros!$G$6:$G$90,Cadastros!$H$6:$H$90)*(1-0.18),_xlfn.XLOOKUP(AL1291,Cadastros!$G$6:$G$90,Cadastros!$H$6:$H$90))))</f>
        <v/>
      </c>
      <c r="AO1291" s="168" t="str">
        <f t="shared" si="269"/>
        <v/>
      </c>
      <c r="AP1291" s="168" t="str">
        <f t="shared" si="270"/>
        <v/>
      </c>
      <c r="AQ1291" s="28"/>
      <c r="AR1291" s="28"/>
      <c r="AS1291" s="20" t="str">
        <f>IF(AQ1291="","",IF($F1291="Bernardino Furlan",_xlfn.XLOOKUP(AQ1291,Cadastros!$G$6:$G$90,Cadastros!$H$6:$H$90)*(1-0.18),IF($F1291="Mauro José Salanti",_xlfn.XLOOKUP(AQ1291,Cadastros!$G$6:$G$90,Cadastros!$H$6:$H$90)*(1-0.18),_xlfn.XLOOKUP(AQ1291,Cadastros!$G$6:$G$90,Cadastros!$H$6:$H$90))))</f>
        <v/>
      </c>
      <c r="AT1291" s="168" t="str">
        <f t="shared" si="271"/>
        <v/>
      </c>
      <c r="AU1291" s="168" t="str">
        <f t="shared" si="272"/>
        <v/>
      </c>
      <c r="AV1291" s="227"/>
      <c r="AW1291" s="30"/>
      <c r="AX1291" s="267"/>
      <c r="AY1291" s="267"/>
      <c r="AZ1291" s="29"/>
      <c r="BA1291" s="30"/>
      <c r="BB1291" s="23" t="str" cm="1">
        <f t="array" ref="BB1291">_xlfn.IFS(AW1291="SIM",SUM(K1291,P1291,U1291,Z1291,AE1291,AJ1291,AO1291,AT1291,AX1291,AY1291),F1291&lt;&gt;"",SUM(K1291,P1291,U1291,Z1291,AE1291,AJ1291,,AO1291,AT1291),F1291="","")</f>
        <v/>
      </c>
      <c r="BC1291" s="211" t="str" cm="1">
        <f t="array" ref="BC1291">_xlfn.IFS(E1291="","",G1291&lt;=E1291,BB1291*(1-0.03),G1291&lt;(E1291+8),BB1291,AZ1291="Boleto",BB1291*(1+0.001)^DATEDIF(E1291,G1291,"D"),AZ1291="Cheque",BB1291,AZ1291="Dinheiro","Alterar forma pgto")</f>
        <v/>
      </c>
      <c r="BD1291" s="276" t="str" cm="1">
        <f t="array" ref="BD1291">IF(F1291=0," ",IF(BC1291&lt;BB1291,(_xlfn.IFS(AW1291="SIM",SUM(L1291,Q1291,V1291,AA1291,AF1291,AK1291,AP1291,AU1291)+AX1291/_xlfn.XLOOKUP(_xlfn.XLOOKUP($F1291,Clientes!$B$4:$B$39,Clientes!$C$4:$C$39),Cadastros!$L$6:$L$12,Cadastros!$M$6:$M$12)+IF($F1291="Bernardino Furlan",AY1291/2751.92,IF($F1291="Mauro José Salanti",AY1291/2751.92,AY1291/3356)),F1291&lt;&gt;0,SUM(L1291,Q1291,V1291,AA1291,AF1291,AK1291,AP1291,AU1291)))*(1-0.03),_xlfn.IFS(AW1291="SIM",SUM(L1291,Q1291,V1291,AA1291,AF1291,AK1291,AP1291,AU1291)+AX1291/_xlfn.XLOOKUP(_xlfn.XLOOKUP($F1291,Clientes!$B$4:$B$39,Clientes!$C$4:$C$39),Cadastros!$L$6:$L$12,Cadastros!$M$6:$M$12)+IF($F1291="Bernardino Furlan",AY1291/2751.92,IF($F1291="Mauro José Salanti",AY1291/2751.92,AY1291/3356)),F1291&lt;&gt;0,SUM(L1291,Q1291,V1291,AA1291,AF1291,AK1291,AP1291,AU1291))))</f>
        <v xml:space="preserve"> </v>
      </c>
      <c r="BE1291" s="120"/>
      <c r="BF1291" s="120"/>
      <c r="BG1291" s="120"/>
    </row>
    <row r="1292" spans="1:59" s="3" customFormat="1" x14ac:dyDescent="0.3">
      <c r="A1292" s="15" t="str">
        <f t="shared" si="260"/>
        <v/>
      </c>
      <c r="B1292" s="25"/>
      <c r="C1292" s="26"/>
      <c r="D1292" s="279"/>
      <c r="E1292" s="27"/>
      <c r="F1292" s="28"/>
      <c r="G1292" s="27"/>
      <c r="H1292" s="28"/>
      <c r="I1292" s="28"/>
      <c r="J1292" s="255" t="str">
        <f>IF(H1292="","",(_xlfn.XLOOKUP(H1292,Cadastros!$D$6:$D$90,Cadastros!$E$6:$E$90))*(1-_xlfn.XLOOKUP(_xlfn.XLOOKUP($F1292,Clientes!$B$4:$B$39,Clientes!$C$4:$C$39),Cadastros!$L$6:$L$12,Cadastros!$N$6:$N$12)))</f>
        <v/>
      </c>
      <c r="K1292" s="168" t="str">
        <f t="shared" si="261"/>
        <v/>
      </c>
      <c r="L1292" s="168" t="str">
        <f>IFERROR(K1292/_xlfn.XLOOKUP(_xlfn.XLOOKUP($F1292,Clientes!$B$4:$B$39,Clientes!$C$4:$C$39),Cadastros!$L$6:$L$12,Cadastros!$M$6:$M$12)," ")</f>
        <v xml:space="preserve"> </v>
      </c>
      <c r="M1292" s="28"/>
      <c r="N1292" s="28"/>
      <c r="O1292" s="255" t="str">
        <f>IF(M1292="","",(_xlfn.XLOOKUP(M1292,Cadastros!$D$6:$D$90,Cadastros!$E$6:$E$90))*(1-_xlfn.XLOOKUP(_xlfn.XLOOKUP($F1292,Clientes!$B$4:$B$39,Clientes!$C$4:$C$39),Cadastros!$L$6:$L$12,Cadastros!$N$6:$N$12)))</f>
        <v/>
      </c>
      <c r="P1292" s="168" t="str">
        <f t="shared" si="262"/>
        <v/>
      </c>
      <c r="Q1292" s="168" t="str">
        <f>IFERROR(P1292/_xlfn.XLOOKUP(_xlfn.XLOOKUP($F1292,Clientes!$B$4:$B$39,Clientes!$C$4:$C$39),Cadastros!$L$6:$L$12,Cadastros!$M$6:$M$12)," ")</f>
        <v xml:space="preserve"> </v>
      </c>
      <c r="R1292" s="28"/>
      <c r="S1292" s="28"/>
      <c r="T1292" s="255" t="str">
        <f>IF(R1292="","",(_xlfn.XLOOKUP(R1292,Cadastros!$D$6:$D$90,Cadastros!$E$6:$E$90))*(1-_xlfn.XLOOKUP(_xlfn.XLOOKUP($F1292,Clientes!$B$4:$B$39,Clientes!$C$4:$C$39),Cadastros!$L$6:$L$12,Cadastros!$N$6:$N$12)))</f>
        <v/>
      </c>
      <c r="U1292" s="168" t="str">
        <f t="shared" si="263"/>
        <v/>
      </c>
      <c r="V1292" s="168" t="str">
        <f>IFERROR(U1292/_xlfn.XLOOKUP(_xlfn.XLOOKUP($F1292,Clientes!$B$4:$B$39,Clientes!$C$4:$C$39),Cadastros!$L$6:$L$12,Cadastros!$M$6:$M$12)," ")</f>
        <v xml:space="preserve"> </v>
      </c>
      <c r="W1292" s="28"/>
      <c r="X1292" s="28"/>
      <c r="Y1292" s="255" t="str">
        <f>IF(W1292="","",(_xlfn.XLOOKUP(W1292,Cadastros!$D$6:$D$90,Cadastros!$E$6:$E$90))*(1-_xlfn.XLOOKUP(_xlfn.XLOOKUP($F1292,Clientes!$B$4:$B$39,Clientes!$C$4:$C$39),Cadastros!$L$6:$L$12,Cadastros!$N$6:$N$12)))</f>
        <v/>
      </c>
      <c r="Z1292" s="168" t="str">
        <f t="shared" si="264"/>
        <v/>
      </c>
      <c r="AA1292" s="168" t="str">
        <f>IFERROR(Z1292/_xlfn.XLOOKUP(_xlfn.XLOOKUP($F1292,Clientes!$B$4:$B$39,Clientes!$C$4:$C$39),Cadastros!$L$6:$L$12,Cadastros!$M$6:$M$12)," ")</f>
        <v xml:space="preserve"> </v>
      </c>
      <c r="AB1292" s="28"/>
      <c r="AC1292" s="28"/>
      <c r="AD1292" s="20" t="str">
        <f>IF(AB1292="","",IF($F1292="Bernardino Furlan",_xlfn.XLOOKUP(AB1292,Cadastros!$G$6:$G$90,Cadastros!$H$6:$H$90)*(1-0.18),IF($F1292="Mauro José Salanti",_xlfn.XLOOKUP(AB1292,Cadastros!$G$6:$G$90,Cadastros!$H$6:$H$90)*(1-0.18),_xlfn.XLOOKUP(AB1292,Cadastros!$G$6:$G$90,Cadastros!$H$6:$H$90))))</f>
        <v/>
      </c>
      <c r="AE1292" s="168" t="str">
        <f t="shared" si="265"/>
        <v/>
      </c>
      <c r="AF1292" s="168" t="str">
        <f t="shared" si="266"/>
        <v/>
      </c>
      <c r="AG1292" s="28"/>
      <c r="AH1292" s="28"/>
      <c r="AI1292" s="20" t="str">
        <f>IF(AG1292="","",IF($F1292="Bernardino Furlan",_xlfn.XLOOKUP(AG1292,Cadastros!$G$6:$G$90,Cadastros!$H$6:$H$90)*(1-0.18),IF($F1292="Mauro José Salanti",_xlfn.XLOOKUP(AG1292,Cadastros!$G$6:$G$90,Cadastros!$H$6:$H$90)*(1-0.18),_xlfn.XLOOKUP(AG1292,Cadastros!$G$6:$G$90,Cadastros!$H$6:$H$90))))</f>
        <v/>
      </c>
      <c r="AJ1292" s="168" t="str">
        <f t="shared" si="267"/>
        <v/>
      </c>
      <c r="AK1292" s="168" t="str">
        <f t="shared" si="268"/>
        <v/>
      </c>
      <c r="AL1292" s="28"/>
      <c r="AM1292" s="28"/>
      <c r="AN1292" s="20" t="str">
        <f>IF(AL1292="","",IF($F1292="Bernardino Furlan",_xlfn.XLOOKUP(AL1292,Cadastros!$G$6:$G$90,Cadastros!$H$6:$H$90)*(1-0.18),IF($F1292="Mauro José Salanti",_xlfn.XLOOKUP(AL1292,Cadastros!$G$6:$G$90,Cadastros!$H$6:$H$90)*(1-0.18),_xlfn.XLOOKUP(AL1292,Cadastros!$G$6:$G$90,Cadastros!$H$6:$H$90))))</f>
        <v/>
      </c>
      <c r="AO1292" s="168" t="str">
        <f t="shared" si="269"/>
        <v/>
      </c>
      <c r="AP1292" s="168" t="str">
        <f t="shared" si="270"/>
        <v/>
      </c>
      <c r="AQ1292" s="28"/>
      <c r="AR1292" s="28"/>
      <c r="AS1292" s="20" t="str">
        <f>IF(AQ1292="","",IF($F1292="Bernardino Furlan",_xlfn.XLOOKUP(AQ1292,Cadastros!$G$6:$G$90,Cadastros!$H$6:$H$90)*(1-0.18),IF($F1292="Mauro José Salanti",_xlfn.XLOOKUP(AQ1292,Cadastros!$G$6:$G$90,Cadastros!$H$6:$H$90)*(1-0.18),_xlfn.XLOOKUP(AQ1292,Cadastros!$G$6:$G$90,Cadastros!$H$6:$H$90))))</f>
        <v/>
      </c>
      <c r="AT1292" s="168" t="str">
        <f t="shared" si="271"/>
        <v/>
      </c>
      <c r="AU1292" s="168" t="str">
        <f t="shared" si="272"/>
        <v/>
      </c>
      <c r="AV1292" s="227"/>
      <c r="AW1292" s="30"/>
      <c r="AX1292" s="267"/>
      <c r="AY1292" s="267"/>
      <c r="AZ1292" s="29"/>
      <c r="BA1292" s="30"/>
      <c r="BB1292" s="23" t="str" cm="1">
        <f t="array" ref="BB1292">_xlfn.IFS(AW1292="SIM",SUM(K1292,P1292,U1292,Z1292,AE1292,AJ1292,AO1292,AT1292,AX1292,AY1292),F1292&lt;&gt;"",SUM(K1292,P1292,U1292,Z1292,AE1292,AJ1292,,AO1292,AT1292),F1292="","")</f>
        <v/>
      </c>
      <c r="BC1292" s="211" t="str" cm="1">
        <f t="array" ref="BC1292">_xlfn.IFS(E1292="","",G1292&lt;=E1292,BB1292*(1-0.03),G1292&lt;(E1292+8),BB1292,AZ1292="Boleto",BB1292*(1+0.001)^DATEDIF(E1292,G1292,"D"),AZ1292="Cheque",BB1292,AZ1292="Dinheiro","Alterar forma pgto")</f>
        <v/>
      </c>
      <c r="BD1292" s="276" t="str" cm="1">
        <f t="array" ref="BD1292">IF(F1292=0," ",IF(BC1292&lt;BB1292,(_xlfn.IFS(AW1292="SIM",SUM(L1292,Q1292,V1292,AA1292,AF1292,AK1292,AP1292,AU1292)+AX1292/_xlfn.XLOOKUP(_xlfn.XLOOKUP($F1292,Clientes!$B$4:$B$39,Clientes!$C$4:$C$39),Cadastros!$L$6:$L$12,Cadastros!$M$6:$M$12)+IF($F1292="Bernardino Furlan",AY1292/2751.92,IF($F1292="Mauro José Salanti",AY1292/2751.92,AY1292/3356)),F1292&lt;&gt;0,SUM(L1292,Q1292,V1292,AA1292,AF1292,AK1292,AP1292,AU1292)))*(1-0.03),_xlfn.IFS(AW1292="SIM",SUM(L1292,Q1292,V1292,AA1292,AF1292,AK1292,AP1292,AU1292)+AX1292/_xlfn.XLOOKUP(_xlfn.XLOOKUP($F1292,Clientes!$B$4:$B$39,Clientes!$C$4:$C$39),Cadastros!$L$6:$L$12,Cadastros!$M$6:$M$12)+IF($F1292="Bernardino Furlan",AY1292/2751.92,IF($F1292="Mauro José Salanti",AY1292/2751.92,AY1292/3356)),F1292&lt;&gt;0,SUM(L1292,Q1292,V1292,AA1292,AF1292,AK1292,AP1292,AU1292))))</f>
        <v xml:space="preserve"> </v>
      </c>
      <c r="BE1292" s="120"/>
      <c r="BF1292" s="120"/>
      <c r="BG1292" s="120"/>
    </row>
    <row r="1293" spans="1:59" s="3" customFormat="1" x14ac:dyDescent="0.3">
      <c r="A1293" s="15" t="str">
        <f t="shared" si="260"/>
        <v/>
      </c>
      <c r="B1293" s="25"/>
      <c r="C1293" s="26"/>
      <c r="D1293" s="279"/>
      <c r="E1293" s="27"/>
      <c r="F1293" s="28"/>
      <c r="G1293" s="27"/>
      <c r="H1293" s="28"/>
      <c r="I1293" s="28"/>
      <c r="J1293" s="255" t="str">
        <f>IF(H1293="","",(_xlfn.XLOOKUP(H1293,Cadastros!$D$6:$D$90,Cadastros!$E$6:$E$90))*(1-_xlfn.XLOOKUP(_xlfn.XLOOKUP($F1293,Clientes!$B$4:$B$39,Clientes!$C$4:$C$39),Cadastros!$L$6:$L$12,Cadastros!$N$6:$N$12)))</f>
        <v/>
      </c>
      <c r="K1293" s="168" t="str">
        <f t="shared" si="261"/>
        <v/>
      </c>
      <c r="L1293" s="168" t="str">
        <f>IFERROR(K1293/_xlfn.XLOOKUP(_xlfn.XLOOKUP($F1293,Clientes!$B$4:$B$39,Clientes!$C$4:$C$39),Cadastros!$L$6:$L$12,Cadastros!$M$6:$M$12)," ")</f>
        <v xml:space="preserve"> </v>
      </c>
      <c r="M1293" s="28"/>
      <c r="N1293" s="28"/>
      <c r="O1293" s="255" t="str">
        <f>IF(M1293="","",(_xlfn.XLOOKUP(M1293,Cadastros!$D$6:$D$90,Cadastros!$E$6:$E$90))*(1-_xlfn.XLOOKUP(_xlfn.XLOOKUP($F1293,Clientes!$B$4:$B$39,Clientes!$C$4:$C$39),Cadastros!$L$6:$L$12,Cadastros!$N$6:$N$12)))</f>
        <v/>
      </c>
      <c r="P1293" s="168" t="str">
        <f t="shared" si="262"/>
        <v/>
      </c>
      <c r="Q1293" s="168" t="str">
        <f>IFERROR(P1293/_xlfn.XLOOKUP(_xlfn.XLOOKUP($F1293,Clientes!$B$4:$B$39,Clientes!$C$4:$C$39),Cadastros!$L$6:$L$12,Cadastros!$M$6:$M$12)," ")</f>
        <v xml:space="preserve"> </v>
      </c>
      <c r="R1293" s="28"/>
      <c r="S1293" s="28"/>
      <c r="T1293" s="255" t="str">
        <f>IF(R1293="","",(_xlfn.XLOOKUP(R1293,Cadastros!$D$6:$D$90,Cadastros!$E$6:$E$90))*(1-_xlfn.XLOOKUP(_xlfn.XLOOKUP($F1293,Clientes!$B$4:$B$39,Clientes!$C$4:$C$39),Cadastros!$L$6:$L$12,Cadastros!$N$6:$N$12)))</f>
        <v/>
      </c>
      <c r="U1293" s="168" t="str">
        <f t="shared" si="263"/>
        <v/>
      </c>
      <c r="V1293" s="168" t="str">
        <f>IFERROR(U1293/_xlfn.XLOOKUP(_xlfn.XLOOKUP($F1293,Clientes!$B$4:$B$39,Clientes!$C$4:$C$39),Cadastros!$L$6:$L$12,Cadastros!$M$6:$M$12)," ")</f>
        <v xml:space="preserve"> </v>
      </c>
      <c r="W1293" s="28"/>
      <c r="X1293" s="28"/>
      <c r="Y1293" s="255" t="str">
        <f>IF(W1293="","",(_xlfn.XLOOKUP(W1293,Cadastros!$D$6:$D$90,Cadastros!$E$6:$E$90))*(1-_xlfn.XLOOKUP(_xlfn.XLOOKUP($F1293,Clientes!$B$4:$B$39,Clientes!$C$4:$C$39),Cadastros!$L$6:$L$12,Cadastros!$N$6:$N$12)))</f>
        <v/>
      </c>
      <c r="Z1293" s="168" t="str">
        <f t="shared" si="264"/>
        <v/>
      </c>
      <c r="AA1293" s="168" t="str">
        <f>IFERROR(Z1293/_xlfn.XLOOKUP(_xlfn.XLOOKUP($F1293,Clientes!$B$4:$B$39,Clientes!$C$4:$C$39),Cadastros!$L$6:$L$12,Cadastros!$M$6:$M$12)," ")</f>
        <v xml:space="preserve"> </v>
      </c>
      <c r="AB1293" s="28"/>
      <c r="AC1293" s="28"/>
      <c r="AD1293" s="20" t="str">
        <f>IF(AB1293="","",IF($F1293="Bernardino Furlan",_xlfn.XLOOKUP(AB1293,Cadastros!$G$6:$G$90,Cadastros!$H$6:$H$90)*(1-0.18),IF($F1293="Mauro José Salanti",_xlfn.XLOOKUP(AB1293,Cadastros!$G$6:$G$90,Cadastros!$H$6:$H$90)*(1-0.18),_xlfn.XLOOKUP(AB1293,Cadastros!$G$6:$G$90,Cadastros!$H$6:$H$90))))</f>
        <v/>
      </c>
      <c r="AE1293" s="168" t="str">
        <f t="shared" si="265"/>
        <v/>
      </c>
      <c r="AF1293" s="168" t="str">
        <f t="shared" si="266"/>
        <v/>
      </c>
      <c r="AG1293" s="28"/>
      <c r="AH1293" s="28"/>
      <c r="AI1293" s="20" t="str">
        <f>IF(AG1293="","",IF($F1293="Bernardino Furlan",_xlfn.XLOOKUP(AG1293,Cadastros!$G$6:$G$90,Cadastros!$H$6:$H$90)*(1-0.18),IF($F1293="Mauro José Salanti",_xlfn.XLOOKUP(AG1293,Cadastros!$G$6:$G$90,Cadastros!$H$6:$H$90)*(1-0.18),_xlfn.XLOOKUP(AG1293,Cadastros!$G$6:$G$90,Cadastros!$H$6:$H$90))))</f>
        <v/>
      </c>
      <c r="AJ1293" s="168" t="str">
        <f t="shared" si="267"/>
        <v/>
      </c>
      <c r="AK1293" s="168" t="str">
        <f t="shared" si="268"/>
        <v/>
      </c>
      <c r="AL1293" s="28"/>
      <c r="AM1293" s="28"/>
      <c r="AN1293" s="20" t="str">
        <f>IF(AL1293="","",IF($F1293="Bernardino Furlan",_xlfn.XLOOKUP(AL1293,Cadastros!$G$6:$G$90,Cadastros!$H$6:$H$90)*(1-0.18),IF($F1293="Mauro José Salanti",_xlfn.XLOOKUP(AL1293,Cadastros!$G$6:$G$90,Cadastros!$H$6:$H$90)*(1-0.18),_xlfn.XLOOKUP(AL1293,Cadastros!$G$6:$G$90,Cadastros!$H$6:$H$90))))</f>
        <v/>
      </c>
      <c r="AO1293" s="168" t="str">
        <f t="shared" si="269"/>
        <v/>
      </c>
      <c r="AP1293" s="168" t="str">
        <f t="shared" si="270"/>
        <v/>
      </c>
      <c r="AQ1293" s="28"/>
      <c r="AR1293" s="28"/>
      <c r="AS1293" s="20" t="str">
        <f>IF(AQ1293="","",IF($F1293="Bernardino Furlan",_xlfn.XLOOKUP(AQ1293,Cadastros!$G$6:$G$90,Cadastros!$H$6:$H$90)*(1-0.18),IF($F1293="Mauro José Salanti",_xlfn.XLOOKUP(AQ1293,Cadastros!$G$6:$G$90,Cadastros!$H$6:$H$90)*(1-0.18),_xlfn.XLOOKUP(AQ1293,Cadastros!$G$6:$G$90,Cadastros!$H$6:$H$90))))</f>
        <v/>
      </c>
      <c r="AT1293" s="168" t="str">
        <f t="shared" si="271"/>
        <v/>
      </c>
      <c r="AU1293" s="168" t="str">
        <f t="shared" si="272"/>
        <v/>
      </c>
      <c r="AV1293" s="227"/>
      <c r="AW1293" s="30"/>
      <c r="AX1293" s="267"/>
      <c r="AY1293" s="267"/>
      <c r="AZ1293" s="29"/>
      <c r="BA1293" s="30"/>
      <c r="BB1293" s="23" t="str" cm="1">
        <f t="array" ref="BB1293">_xlfn.IFS(AW1293="SIM",SUM(K1293,P1293,U1293,Z1293,AE1293,AJ1293,AO1293,AT1293,AX1293,AY1293),F1293&lt;&gt;"",SUM(K1293,P1293,U1293,Z1293,AE1293,AJ1293,,AO1293,AT1293),F1293="","")</f>
        <v/>
      </c>
      <c r="BC1293" s="211" t="str" cm="1">
        <f t="array" ref="BC1293">_xlfn.IFS(E1293="","",G1293&lt;=E1293,BB1293*(1-0.03),G1293&lt;(E1293+8),BB1293,AZ1293="Boleto",BB1293*(1+0.001)^DATEDIF(E1293,G1293,"D"),AZ1293="Cheque",BB1293,AZ1293="Dinheiro","Alterar forma pgto")</f>
        <v/>
      </c>
      <c r="BD1293" s="276" t="str" cm="1">
        <f t="array" ref="BD1293">IF(F1293=0," ",IF(BC1293&lt;BB1293,(_xlfn.IFS(AW1293="SIM",SUM(L1293,Q1293,V1293,AA1293,AF1293,AK1293,AP1293,AU1293)+AX1293/_xlfn.XLOOKUP(_xlfn.XLOOKUP($F1293,Clientes!$B$4:$B$39,Clientes!$C$4:$C$39),Cadastros!$L$6:$L$12,Cadastros!$M$6:$M$12)+IF($F1293="Bernardino Furlan",AY1293/2751.92,IF($F1293="Mauro José Salanti",AY1293/2751.92,AY1293/3356)),F1293&lt;&gt;0,SUM(L1293,Q1293,V1293,AA1293,AF1293,AK1293,AP1293,AU1293)))*(1-0.03),_xlfn.IFS(AW1293="SIM",SUM(L1293,Q1293,V1293,AA1293,AF1293,AK1293,AP1293,AU1293)+AX1293/_xlfn.XLOOKUP(_xlfn.XLOOKUP($F1293,Clientes!$B$4:$B$39,Clientes!$C$4:$C$39),Cadastros!$L$6:$L$12,Cadastros!$M$6:$M$12)+IF($F1293="Bernardino Furlan",AY1293/2751.92,IF($F1293="Mauro José Salanti",AY1293/2751.92,AY1293/3356)),F1293&lt;&gt;0,SUM(L1293,Q1293,V1293,AA1293,AF1293,AK1293,AP1293,AU1293))))</f>
        <v xml:space="preserve"> </v>
      </c>
      <c r="BE1293" s="120"/>
      <c r="BF1293" s="120"/>
      <c r="BG1293" s="120"/>
    </row>
    <row r="1294" spans="1:59" s="3" customFormat="1" x14ac:dyDescent="0.3">
      <c r="A1294" s="15" t="str">
        <f t="shared" si="260"/>
        <v/>
      </c>
      <c r="B1294" s="25"/>
      <c r="C1294" s="26"/>
      <c r="D1294" s="279"/>
      <c r="E1294" s="27"/>
      <c r="F1294" s="28"/>
      <c r="G1294" s="27"/>
      <c r="H1294" s="28"/>
      <c r="I1294" s="28"/>
      <c r="J1294" s="255" t="str">
        <f>IF(H1294="","",(_xlfn.XLOOKUP(H1294,Cadastros!$D$6:$D$90,Cadastros!$E$6:$E$90))*(1-_xlfn.XLOOKUP(_xlfn.XLOOKUP($F1294,Clientes!$B$4:$B$39,Clientes!$C$4:$C$39),Cadastros!$L$6:$L$12,Cadastros!$N$6:$N$12)))</f>
        <v/>
      </c>
      <c r="K1294" s="168" t="str">
        <f t="shared" si="261"/>
        <v/>
      </c>
      <c r="L1294" s="168" t="str">
        <f>IFERROR(K1294/_xlfn.XLOOKUP(_xlfn.XLOOKUP($F1294,Clientes!$B$4:$B$39,Clientes!$C$4:$C$39),Cadastros!$L$6:$L$12,Cadastros!$M$6:$M$12)," ")</f>
        <v xml:space="preserve"> </v>
      </c>
      <c r="M1294" s="28"/>
      <c r="N1294" s="28"/>
      <c r="O1294" s="255" t="str">
        <f>IF(M1294="","",(_xlfn.XLOOKUP(M1294,Cadastros!$D$6:$D$90,Cadastros!$E$6:$E$90))*(1-_xlfn.XLOOKUP(_xlfn.XLOOKUP($F1294,Clientes!$B$4:$B$39,Clientes!$C$4:$C$39),Cadastros!$L$6:$L$12,Cadastros!$N$6:$N$12)))</f>
        <v/>
      </c>
      <c r="P1294" s="168" t="str">
        <f t="shared" si="262"/>
        <v/>
      </c>
      <c r="Q1294" s="168" t="str">
        <f>IFERROR(P1294/_xlfn.XLOOKUP(_xlfn.XLOOKUP($F1294,Clientes!$B$4:$B$39,Clientes!$C$4:$C$39),Cadastros!$L$6:$L$12,Cadastros!$M$6:$M$12)," ")</f>
        <v xml:space="preserve"> </v>
      </c>
      <c r="R1294" s="28"/>
      <c r="S1294" s="28"/>
      <c r="T1294" s="255" t="str">
        <f>IF(R1294="","",(_xlfn.XLOOKUP(R1294,Cadastros!$D$6:$D$90,Cadastros!$E$6:$E$90))*(1-_xlfn.XLOOKUP(_xlfn.XLOOKUP($F1294,Clientes!$B$4:$B$39,Clientes!$C$4:$C$39),Cadastros!$L$6:$L$12,Cadastros!$N$6:$N$12)))</f>
        <v/>
      </c>
      <c r="U1294" s="168" t="str">
        <f t="shared" si="263"/>
        <v/>
      </c>
      <c r="V1294" s="168" t="str">
        <f>IFERROR(U1294/_xlfn.XLOOKUP(_xlfn.XLOOKUP($F1294,Clientes!$B$4:$B$39,Clientes!$C$4:$C$39),Cadastros!$L$6:$L$12,Cadastros!$M$6:$M$12)," ")</f>
        <v xml:space="preserve"> </v>
      </c>
      <c r="W1294" s="28"/>
      <c r="X1294" s="28"/>
      <c r="Y1294" s="255" t="str">
        <f>IF(W1294="","",(_xlfn.XLOOKUP(W1294,Cadastros!$D$6:$D$90,Cadastros!$E$6:$E$90))*(1-_xlfn.XLOOKUP(_xlfn.XLOOKUP($F1294,Clientes!$B$4:$B$39,Clientes!$C$4:$C$39),Cadastros!$L$6:$L$12,Cadastros!$N$6:$N$12)))</f>
        <v/>
      </c>
      <c r="Z1294" s="168" t="str">
        <f t="shared" si="264"/>
        <v/>
      </c>
      <c r="AA1294" s="168" t="str">
        <f>IFERROR(Z1294/_xlfn.XLOOKUP(_xlfn.XLOOKUP($F1294,Clientes!$B$4:$B$39,Clientes!$C$4:$C$39),Cadastros!$L$6:$L$12,Cadastros!$M$6:$M$12)," ")</f>
        <v xml:space="preserve"> </v>
      </c>
      <c r="AB1294" s="28"/>
      <c r="AC1294" s="28"/>
      <c r="AD1294" s="20" t="str">
        <f>IF(AB1294="","",IF($F1294="Bernardino Furlan",_xlfn.XLOOKUP(AB1294,Cadastros!$G$6:$G$90,Cadastros!$H$6:$H$90)*(1-0.18),IF($F1294="Mauro José Salanti",_xlfn.XLOOKUP(AB1294,Cadastros!$G$6:$G$90,Cadastros!$H$6:$H$90)*(1-0.18),_xlfn.XLOOKUP(AB1294,Cadastros!$G$6:$G$90,Cadastros!$H$6:$H$90))))</f>
        <v/>
      </c>
      <c r="AE1294" s="168" t="str">
        <f t="shared" si="265"/>
        <v/>
      </c>
      <c r="AF1294" s="168" t="str">
        <f t="shared" si="266"/>
        <v/>
      </c>
      <c r="AG1294" s="28"/>
      <c r="AH1294" s="28"/>
      <c r="AI1294" s="20" t="str">
        <f>IF(AG1294="","",IF($F1294="Bernardino Furlan",_xlfn.XLOOKUP(AG1294,Cadastros!$G$6:$G$90,Cadastros!$H$6:$H$90)*(1-0.18),IF($F1294="Mauro José Salanti",_xlfn.XLOOKUP(AG1294,Cadastros!$G$6:$G$90,Cadastros!$H$6:$H$90)*(1-0.18),_xlfn.XLOOKUP(AG1294,Cadastros!$G$6:$G$90,Cadastros!$H$6:$H$90))))</f>
        <v/>
      </c>
      <c r="AJ1294" s="168" t="str">
        <f t="shared" si="267"/>
        <v/>
      </c>
      <c r="AK1294" s="168" t="str">
        <f t="shared" si="268"/>
        <v/>
      </c>
      <c r="AL1294" s="28"/>
      <c r="AM1294" s="28"/>
      <c r="AN1294" s="20" t="str">
        <f>IF(AL1294="","",IF($F1294="Bernardino Furlan",_xlfn.XLOOKUP(AL1294,Cadastros!$G$6:$G$90,Cadastros!$H$6:$H$90)*(1-0.18),IF($F1294="Mauro José Salanti",_xlfn.XLOOKUP(AL1294,Cadastros!$G$6:$G$90,Cadastros!$H$6:$H$90)*(1-0.18),_xlfn.XLOOKUP(AL1294,Cadastros!$G$6:$G$90,Cadastros!$H$6:$H$90))))</f>
        <v/>
      </c>
      <c r="AO1294" s="168" t="str">
        <f t="shared" si="269"/>
        <v/>
      </c>
      <c r="AP1294" s="168" t="str">
        <f t="shared" si="270"/>
        <v/>
      </c>
      <c r="AQ1294" s="28"/>
      <c r="AR1294" s="28"/>
      <c r="AS1294" s="20" t="str">
        <f>IF(AQ1294="","",IF($F1294="Bernardino Furlan",_xlfn.XLOOKUP(AQ1294,Cadastros!$G$6:$G$90,Cadastros!$H$6:$H$90)*(1-0.18),IF($F1294="Mauro José Salanti",_xlfn.XLOOKUP(AQ1294,Cadastros!$G$6:$G$90,Cadastros!$H$6:$H$90)*(1-0.18),_xlfn.XLOOKUP(AQ1294,Cadastros!$G$6:$G$90,Cadastros!$H$6:$H$90))))</f>
        <v/>
      </c>
      <c r="AT1294" s="168" t="str">
        <f t="shared" si="271"/>
        <v/>
      </c>
      <c r="AU1294" s="168" t="str">
        <f t="shared" si="272"/>
        <v/>
      </c>
      <c r="AV1294" s="227"/>
      <c r="AW1294" s="30"/>
      <c r="AX1294" s="267"/>
      <c r="AY1294" s="267"/>
      <c r="AZ1294" s="29"/>
      <c r="BA1294" s="30"/>
      <c r="BB1294" s="23" t="str" cm="1">
        <f t="array" ref="BB1294">_xlfn.IFS(AW1294="SIM",SUM(K1294,P1294,U1294,Z1294,AE1294,AJ1294,AO1294,AT1294,AX1294,AY1294),F1294&lt;&gt;"",SUM(K1294,P1294,U1294,Z1294,AE1294,AJ1294,,AO1294,AT1294),F1294="","")</f>
        <v/>
      </c>
      <c r="BC1294" s="211" t="str" cm="1">
        <f t="array" ref="BC1294">_xlfn.IFS(E1294="","",G1294&lt;=E1294,BB1294*(1-0.03),G1294&lt;(E1294+8),BB1294,AZ1294="Boleto",BB1294*(1+0.001)^DATEDIF(E1294,G1294,"D"),AZ1294="Cheque",BB1294,AZ1294="Dinheiro","Alterar forma pgto")</f>
        <v/>
      </c>
      <c r="BD1294" s="276" t="str" cm="1">
        <f t="array" ref="BD1294">IF(F1294=0," ",IF(BC1294&lt;BB1294,(_xlfn.IFS(AW1294="SIM",SUM(L1294,Q1294,V1294,AA1294,AF1294,AK1294,AP1294,AU1294)+AX1294/_xlfn.XLOOKUP(_xlfn.XLOOKUP($F1294,Clientes!$B$4:$B$39,Clientes!$C$4:$C$39),Cadastros!$L$6:$L$12,Cadastros!$M$6:$M$12)+IF($F1294="Bernardino Furlan",AY1294/2751.92,IF($F1294="Mauro José Salanti",AY1294/2751.92,AY1294/3356)),F1294&lt;&gt;0,SUM(L1294,Q1294,V1294,AA1294,AF1294,AK1294,AP1294,AU1294)))*(1-0.03),_xlfn.IFS(AW1294="SIM",SUM(L1294,Q1294,V1294,AA1294,AF1294,AK1294,AP1294,AU1294)+AX1294/_xlfn.XLOOKUP(_xlfn.XLOOKUP($F1294,Clientes!$B$4:$B$39,Clientes!$C$4:$C$39),Cadastros!$L$6:$L$12,Cadastros!$M$6:$M$12)+IF($F1294="Bernardino Furlan",AY1294/2751.92,IF($F1294="Mauro José Salanti",AY1294/2751.92,AY1294/3356)),F1294&lt;&gt;0,SUM(L1294,Q1294,V1294,AA1294,AF1294,AK1294,AP1294,AU1294))))</f>
        <v xml:space="preserve"> </v>
      </c>
      <c r="BE1294" s="120"/>
      <c r="BF1294" s="120"/>
      <c r="BG1294" s="120"/>
    </row>
    <row r="1295" spans="1:59" s="3" customFormat="1" x14ac:dyDescent="0.3">
      <c r="A1295" s="15" t="str">
        <f t="shared" si="260"/>
        <v/>
      </c>
      <c r="B1295" s="25"/>
      <c r="C1295" s="26"/>
      <c r="D1295" s="279"/>
      <c r="E1295" s="27"/>
      <c r="F1295" s="28"/>
      <c r="G1295" s="27"/>
      <c r="H1295" s="28"/>
      <c r="I1295" s="28"/>
      <c r="J1295" s="255" t="str">
        <f>IF(H1295="","",(_xlfn.XLOOKUP(H1295,Cadastros!$D$6:$D$90,Cadastros!$E$6:$E$90))*(1-_xlfn.XLOOKUP(_xlfn.XLOOKUP($F1295,Clientes!$B$4:$B$39,Clientes!$C$4:$C$39),Cadastros!$L$6:$L$12,Cadastros!$N$6:$N$12)))</f>
        <v/>
      </c>
      <c r="K1295" s="168" t="str">
        <f t="shared" si="261"/>
        <v/>
      </c>
      <c r="L1295" s="168" t="str">
        <f>IFERROR(K1295/_xlfn.XLOOKUP(_xlfn.XLOOKUP($F1295,Clientes!$B$4:$B$39,Clientes!$C$4:$C$39),Cadastros!$L$6:$L$12,Cadastros!$M$6:$M$12)," ")</f>
        <v xml:space="preserve"> </v>
      </c>
      <c r="M1295" s="28"/>
      <c r="N1295" s="28"/>
      <c r="O1295" s="255" t="str">
        <f>IF(M1295="","",(_xlfn.XLOOKUP(M1295,Cadastros!$D$6:$D$90,Cadastros!$E$6:$E$90))*(1-_xlfn.XLOOKUP(_xlfn.XLOOKUP($F1295,Clientes!$B$4:$B$39,Clientes!$C$4:$C$39),Cadastros!$L$6:$L$12,Cadastros!$N$6:$N$12)))</f>
        <v/>
      </c>
      <c r="P1295" s="168" t="str">
        <f t="shared" si="262"/>
        <v/>
      </c>
      <c r="Q1295" s="168" t="str">
        <f>IFERROR(P1295/_xlfn.XLOOKUP(_xlfn.XLOOKUP($F1295,Clientes!$B$4:$B$39,Clientes!$C$4:$C$39),Cadastros!$L$6:$L$12,Cadastros!$M$6:$M$12)," ")</f>
        <v xml:space="preserve"> </v>
      </c>
      <c r="R1295" s="28"/>
      <c r="S1295" s="28"/>
      <c r="T1295" s="255" t="str">
        <f>IF(R1295="","",(_xlfn.XLOOKUP(R1295,Cadastros!$D$6:$D$90,Cadastros!$E$6:$E$90))*(1-_xlfn.XLOOKUP(_xlfn.XLOOKUP($F1295,Clientes!$B$4:$B$39,Clientes!$C$4:$C$39),Cadastros!$L$6:$L$12,Cadastros!$N$6:$N$12)))</f>
        <v/>
      </c>
      <c r="U1295" s="168" t="str">
        <f t="shared" si="263"/>
        <v/>
      </c>
      <c r="V1295" s="168" t="str">
        <f>IFERROR(U1295/_xlfn.XLOOKUP(_xlfn.XLOOKUP($F1295,Clientes!$B$4:$B$39,Clientes!$C$4:$C$39),Cadastros!$L$6:$L$12,Cadastros!$M$6:$M$12)," ")</f>
        <v xml:space="preserve"> </v>
      </c>
      <c r="W1295" s="28"/>
      <c r="X1295" s="28"/>
      <c r="Y1295" s="255" t="str">
        <f>IF(W1295="","",(_xlfn.XLOOKUP(W1295,Cadastros!$D$6:$D$90,Cadastros!$E$6:$E$90))*(1-_xlfn.XLOOKUP(_xlfn.XLOOKUP($F1295,Clientes!$B$4:$B$39,Clientes!$C$4:$C$39),Cadastros!$L$6:$L$12,Cadastros!$N$6:$N$12)))</f>
        <v/>
      </c>
      <c r="Z1295" s="168" t="str">
        <f t="shared" si="264"/>
        <v/>
      </c>
      <c r="AA1295" s="168" t="str">
        <f>IFERROR(Z1295/_xlfn.XLOOKUP(_xlfn.XLOOKUP($F1295,Clientes!$B$4:$B$39,Clientes!$C$4:$C$39),Cadastros!$L$6:$L$12,Cadastros!$M$6:$M$12)," ")</f>
        <v xml:space="preserve"> </v>
      </c>
      <c r="AB1295" s="28"/>
      <c r="AC1295" s="28"/>
      <c r="AD1295" s="20" t="str">
        <f>IF(AB1295="","",IF($F1295="Bernardino Furlan",_xlfn.XLOOKUP(AB1295,Cadastros!$G$6:$G$90,Cadastros!$H$6:$H$90)*(1-0.18),IF($F1295="Mauro José Salanti",_xlfn.XLOOKUP(AB1295,Cadastros!$G$6:$G$90,Cadastros!$H$6:$H$90)*(1-0.18),_xlfn.XLOOKUP(AB1295,Cadastros!$G$6:$G$90,Cadastros!$H$6:$H$90))))</f>
        <v/>
      </c>
      <c r="AE1295" s="168" t="str">
        <f t="shared" si="265"/>
        <v/>
      </c>
      <c r="AF1295" s="168" t="str">
        <f t="shared" si="266"/>
        <v/>
      </c>
      <c r="AG1295" s="28"/>
      <c r="AH1295" s="28"/>
      <c r="AI1295" s="20" t="str">
        <f>IF(AG1295="","",IF($F1295="Bernardino Furlan",_xlfn.XLOOKUP(AG1295,Cadastros!$G$6:$G$90,Cadastros!$H$6:$H$90)*(1-0.18),IF($F1295="Mauro José Salanti",_xlfn.XLOOKUP(AG1295,Cadastros!$G$6:$G$90,Cadastros!$H$6:$H$90)*(1-0.18),_xlfn.XLOOKUP(AG1295,Cadastros!$G$6:$G$90,Cadastros!$H$6:$H$90))))</f>
        <v/>
      </c>
      <c r="AJ1295" s="168" t="str">
        <f t="shared" si="267"/>
        <v/>
      </c>
      <c r="AK1295" s="168" t="str">
        <f t="shared" si="268"/>
        <v/>
      </c>
      <c r="AL1295" s="28"/>
      <c r="AM1295" s="28"/>
      <c r="AN1295" s="20" t="str">
        <f>IF(AL1295="","",IF($F1295="Bernardino Furlan",_xlfn.XLOOKUP(AL1295,Cadastros!$G$6:$G$90,Cadastros!$H$6:$H$90)*(1-0.18),IF($F1295="Mauro José Salanti",_xlfn.XLOOKUP(AL1295,Cadastros!$G$6:$G$90,Cadastros!$H$6:$H$90)*(1-0.18),_xlfn.XLOOKUP(AL1295,Cadastros!$G$6:$G$90,Cadastros!$H$6:$H$90))))</f>
        <v/>
      </c>
      <c r="AO1295" s="168" t="str">
        <f t="shared" si="269"/>
        <v/>
      </c>
      <c r="AP1295" s="168" t="str">
        <f t="shared" si="270"/>
        <v/>
      </c>
      <c r="AQ1295" s="28"/>
      <c r="AR1295" s="28"/>
      <c r="AS1295" s="20" t="str">
        <f>IF(AQ1295="","",IF($F1295="Bernardino Furlan",_xlfn.XLOOKUP(AQ1295,Cadastros!$G$6:$G$90,Cadastros!$H$6:$H$90)*(1-0.18),IF($F1295="Mauro José Salanti",_xlfn.XLOOKUP(AQ1295,Cadastros!$G$6:$G$90,Cadastros!$H$6:$H$90)*(1-0.18),_xlfn.XLOOKUP(AQ1295,Cadastros!$G$6:$G$90,Cadastros!$H$6:$H$90))))</f>
        <v/>
      </c>
      <c r="AT1295" s="168" t="str">
        <f t="shared" si="271"/>
        <v/>
      </c>
      <c r="AU1295" s="168" t="str">
        <f t="shared" si="272"/>
        <v/>
      </c>
      <c r="AV1295" s="227"/>
      <c r="AW1295" s="30"/>
      <c r="AX1295" s="267"/>
      <c r="AY1295" s="267"/>
      <c r="AZ1295" s="29"/>
      <c r="BA1295" s="30"/>
      <c r="BB1295" s="23" t="str" cm="1">
        <f t="array" ref="BB1295">_xlfn.IFS(AW1295="SIM",SUM(K1295,P1295,U1295,Z1295,AE1295,AJ1295,AO1295,AT1295,AX1295,AY1295),F1295&lt;&gt;"",SUM(K1295,P1295,U1295,Z1295,AE1295,AJ1295,,AO1295,AT1295),F1295="","")</f>
        <v/>
      </c>
      <c r="BC1295" s="211" t="str" cm="1">
        <f t="array" ref="BC1295">_xlfn.IFS(E1295="","",G1295&lt;=E1295,BB1295*(1-0.03),G1295&lt;(E1295+8),BB1295,AZ1295="Boleto",BB1295*(1+0.001)^DATEDIF(E1295,G1295,"D"),AZ1295="Cheque",BB1295,AZ1295="Dinheiro","Alterar forma pgto")</f>
        <v/>
      </c>
      <c r="BD1295" s="276" t="str" cm="1">
        <f t="array" ref="BD1295">IF(F1295=0," ",IF(BC1295&lt;BB1295,(_xlfn.IFS(AW1295="SIM",SUM(L1295,Q1295,V1295,AA1295,AF1295,AK1295,AP1295,AU1295)+AX1295/_xlfn.XLOOKUP(_xlfn.XLOOKUP($F1295,Clientes!$B$4:$B$39,Clientes!$C$4:$C$39),Cadastros!$L$6:$L$12,Cadastros!$M$6:$M$12)+IF($F1295="Bernardino Furlan",AY1295/2751.92,IF($F1295="Mauro José Salanti",AY1295/2751.92,AY1295/3356)),F1295&lt;&gt;0,SUM(L1295,Q1295,V1295,AA1295,AF1295,AK1295,AP1295,AU1295)))*(1-0.03),_xlfn.IFS(AW1295="SIM",SUM(L1295,Q1295,V1295,AA1295,AF1295,AK1295,AP1295,AU1295)+AX1295/_xlfn.XLOOKUP(_xlfn.XLOOKUP($F1295,Clientes!$B$4:$B$39,Clientes!$C$4:$C$39),Cadastros!$L$6:$L$12,Cadastros!$M$6:$M$12)+IF($F1295="Bernardino Furlan",AY1295/2751.92,IF($F1295="Mauro José Salanti",AY1295/2751.92,AY1295/3356)),F1295&lt;&gt;0,SUM(L1295,Q1295,V1295,AA1295,AF1295,AK1295,AP1295,AU1295))))</f>
        <v xml:space="preserve"> </v>
      </c>
      <c r="BE1295" s="120"/>
      <c r="BF1295" s="120"/>
      <c r="BG1295" s="120"/>
    </row>
    <row r="1296" spans="1:59" s="3" customFormat="1" x14ac:dyDescent="0.3">
      <c r="A1296" s="15" t="str">
        <f t="shared" si="260"/>
        <v/>
      </c>
      <c r="B1296" s="25"/>
      <c r="C1296" s="26"/>
      <c r="D1296" s="279"/>
      <c r="E1296" s="27"/>
      <c r="F1296" s="28"/>
      <c r="G1296" s="27"/>
      <c r="H1296" s="28"/>
      <c r="I1296" s="28"/>
      <c r="J1296" s="255" t="str">
        <f>IF(H1296="","",(_xlfn.XLOOKUP(H1296,Cadastros!$D$6:$D$90,Cadastros!$E$6:$E$90))*(1-_xlfn.XLOOKUP(_xlfn.XLOOKUP($F1296,Clientes!$B$4:$B$39,Clientes!$C$4:$C$39),Cadastros!$L$6:$L$12,Cadastros!$N$6:$N$12)))</f>
        <v/>
      </c>
      <c r="K1296" s="168" t="str">
        <f t="shared" si="261"/>
        <v/>
      </c>
      <c r="L1296" s="168" t="str">
        <f>IFERROR(K1296/_xlfn.XLOOKUP(_xlfn.XLOOKUP($F1296,Clientes!$B$4:$B$39,Clientes!$C$4:$C$39),Cadastros!$L$6:$L$12,Cadastros!$M$6:$M$12)," ")</f>
        <v xml:space="preserve"> </v>
      </c>
      <c r="M1296" s="28"/>
      <c r="N1296" s="28"/>
      <c r="O1296" s="255" t="str">
        <f>IF(M1296="","",(_xlfn.XLOOKUP(M1296,Cadastros!$D$6:$D$90,Cadastros!$E$6:$E$90))*(1-_xlfn.XLOOKUP(_xlfn.XLOOKUP($F1296,Clientes!$B$4:$B$39,Clientes!$C$4:$C$39),Cadastros!$L$6:$L$12,Cadastros!$N$6:$N$12)))</f>
        <v/>
      </c>
      <c r="P1296" s="168" t="str">
        <f t="shared" si="262"/>
        <v/>
      </c>
      <c r="Q1296" s="168" t="str">
        <f>IFERROR(P1296/_xlfn.XLOOKUP(_xlfn.XLOOKUP($F1296,Clientes!$B$4:$B$39,Clientes!$C$4:$C$39),Cadastros!$L$6:$L$12,Cadastros!$M$6:$M$12)," ")</f>
        <v xml:space="preserve"> </v>
      </c>
      <c r="R1296" s="28"/>
      <c r="S1296" s="28"/>
      <c r="T1296" s="255" t="str">
        <f>IF(R1296="","",(_xlfn.XLOOKUP(R1296,Cadastros!$D$6:$D$90,Cadastros!$E$6:$E$90))*(1-_xlfn.XLOOKUP(_xlfn.XLOOKUP($F1296,Clientes!$B$4:$B$39,Clientes!$C$4:$C$39),Cadastros!$L$6:$L$12,Cadastros!$N$6:$N$12)))</f>
        <v/>
      </c>
      <c r="U1296" s="168" t="str">
        <f t="shared" si="263"/>
        <v/>
      </c>
      <c r="V1296" s="168" t="str">
        <f>IFERROR(U1296/_xlfn.XLOOKUP(_xlfn.XLOOKUP($F1296,Clientes!$B$4:$B$39,Clientes!$C$4:$C$39),Cadastros!$L$6:$L$12,Cadastros!$M$6:$M$12)," ")</f>
        <v xml:space="preserve"> </v>
      </c>
      <c r="W1296" s="28"/>
      <c r="X1296" s="28"/>
      <c r="Y1296" s="255" t="str">
        <f>IF(W1296="","",(_xlfn.XLOOKUP(W1296,Cadastros!$D$6:$D$90,Cadastros!$E$6:$E$90))*(1-_xlfn.XLOOKUP(_xlfn.XLOOKUP($F1296,Clientes!$B$4:$B$39,Clientes!$C$4:$C$39),Cadastros!$L$6:$L$12,Cadastros!$N$6:$N$12)))</f>
        <v/>
      </c>
      <c r="Z1296" s="168" t="str">
        <f t="shared" si="264"/>
        <v/>
      </c>
      <c r="AA1296" s="168" t="str">
        <f>IFERROR(Z1296/_xlfn.XLOOKUP(_xlfn.XLOOKUP($F1296,Clientes!$B$4:$B$39,Clientes!$C$4:$C$39),Cadastros!$L$6:$L$12,Cadastros!$M$6:$M$12)," ")</f>
        <v xml:space="preserve"> </v>
      </c>
      <c r="AB1296" s="28"/>
      <c r="AC1296" s="28"/>
      <c r="AD1296" s="20" t="str">
        <f>IF(AB1296="","",IF($F1296="Bernardino Furlan",_xlfn.XLOOKUP(AB1296,Cadastros!$G$6:$G$90,Cadastros!$H$6:$H$90)*(1-0.18),IF($F1296="Mauro José Salanti",_xlfn.XLOOKUP(AB1296,Cadastros!$G$6:$G$90,Cadastros!$H$6:$H$90)*(1-0.18),_xlfn.XLOOKUP(AB1296,Cadastros!$G$6:$G$90,Cadastros!$H$6:$H$90))))</f>
        <v/>
      </c>
      <c r="AE1296" s="168" t="str">
        <f t="shared" si="265"/>
        <v/>
      </c>
      <c r="AF1296" s="168" t="str">
        <f t="shared" si="266"/>
        <v/>
      </c>
      <c r="AG1296" s="28"/>
      <c r="AH1296" s="28"/>
      <c r="AI1296" s="20" t="str">
        <f>IF(AG1296="","",IF($F1296="Bernardino Furlan",_xlfn.XLOOKUP(AG1296,Cadastros!$G$6:$G$90,Cadastros!$H$6:$H$90)*(1-0.18),IF($F1296="Mauro José Salanti",_xlfn.XLOOKUP(AG1296,Cadastros!$G$6:$G$90,Cadastros!$H$6:$H$90)*(1-0.18),_xlfn.XLOOKUP(AG1296,Cadastros!$G$6:$G$90,Cadastros!$H$6:$H$90))))</f>
        <v/>
      </c>
      <c r="AJ1296" s="168" t="str">
        <f t="shared" si="267"/>
        <v/>
      </c>
      <c r="AK1296" s="168" t="str">
        <f t="shared" si="268"/>
        <v/>
      </c>
      <c r="AL1296" s="28"/>
      <c r="AM1296" s="28"/>
      <c r="AN1296" s="20" t="str">
        <f>IF(AL1296="","",IF($F1296="Bernardino Furlan",_xlfn.XLOOKUP(AL1296,Cadastros!$G$6:$G$90,Cadastros!$H$6:$H$90)*(1-0.18),IF($F1296="Mauro José Salanti",_xlfn.XLOOKUP(AL1296,Cadastros!$G$6:$G$90,Cadastros!$H$6:$H$90)*(1-0.18),_xlfn.XLOOKUP(AL1296,Cadastros!$G$6:$G$90,Cadastros!$H$6:$H$90))))</f>
        <v/>
      </c>
      <c r="AO1296" s="168" t="str">
        <f t="shared" si="269"/>
        <v/>
      </c>
      <c r="AP1296" s="168" t="str">
        <f t="shared" si="270"/>
        <v/>
      </c>
      <c r="AQ1296" s="28"/>
      <c r="AR1296" s="28"/>
      <c r="AS1296" s="20" t="str">
        <f>IF(AQ1296="","",IF($F1296="Bernardino Furlan",_xlfn.XLOOKUP(AQ1296,Cadastros!$G$6:$G$90,Cadastros!$H$6:$H$90)*(1-0.18),IF($F1296="Mauro José Salanti",_xlfn.XLOOKUP(AQ1296,Cadastros!$G$6:$G$90,Cadastros!$H$6:$H$90)*(1-0.18),_xlfn.XLOOKUP(AQ1296,Cadastros!$G$6:$G$90,Cadastros!$H$6:$H$90))))</f>
        <v/>
      </c>
      <c r="AT1296" s="168" t="str">
        <f t="shared" si="271"/>
        <v/>
      </c>
      <c r="AU1296" s="168" t="str">
        <f t="shared" si="272"/>
        <v/>
      </c>
      <c r="AV1296" s="227"/>
      <c r="AW1296" s="30"/>
      <c r="AX1296" s="267"/>
      <c r="AY1296" s="267"/>
      <c r="AZ1296" s="29"/>
      <c r="BA1296" s="30"/>
      <c r="BB1296" s="23" t="str" cm="1">
        <f t="array" ref="BB1296">_xlfn.IFS(AW1296="SIM",SUM(K1296,P1296,U1296,Z1296,AE1296,AJ1296,AO1296,AT1296,AX1296,AY1296),F1296&lt;&gt;"",SUM(K1296,P1296,U1296,Z1296,AE1296,AJ1296,,AO1296,AT1296),F1296="","")</f>
        <v/>
      </c>
      <c r="BC1296" s="211" t="str" cm="1">
        <f t="array" ref="BC1296">_xlfn.IFS(E1296="","",G1296&lt;=E1296,BB1296*(1-0.03),G1296&lt;(E1296+8),BB1296,AZ1296="Boleto",BB1296*(1+0.001)^DATEDIF(E1296,G1296,"D"),AZ1296="Cheque",BB1296,AZ1296="Dinheiro","Alterar forma pgto")</f>
        <v/>
      </c>
      <c r="BD1296" s="276" t="str" cm="1">
        <f t="array" ref="BD1296">IF(F1296=0," ",IF(BC1296&lt;BB1296,(_xlfn.IFS(AW1296="SIM",SUM(L1296,Q1296,V1296,AA1296,AF1296,AK1296,AP1296,AU1296)+AX1296/_xlfn.XLOOKUP(_xlfn.XLOOKUP($F1296,Clientes!$B$4:$B$39,Clientes!$C$4:$C$39),Cadastros!$L$6:$L$12,Cadastros!$M$6:$M$12)+IF($F1296="Bernardino Furlan",AY1296/2751.92,IF($F1296="Mauro José Salanti",AY1296/2751.92,AY1296/3356)),F1296&lt;&gt;0,SUM(L1296,Q1296,V1296,AA1296,AF1296,AK1296,AP1296,AU1296)))*(1-0.03),_xlfn.IFS(AW1296="SIM",SUM(L1296,Q1296,V1296,AA1296,AF1296,AK1296,AP1296,AU1296)+AX1296/_xlfn.XLOOKUP(_xlfn.XLOOKUP($F1296,Clientes!$B$4:$B$39,Clientes!$C$4:$C$39),Cadastros!$L$6:$L$12,Cadastros!$M$6:$M$12)+IF($F1296="Bernardino Furlan",AY1296/2751.92,IF($F1296="Mauro José Salanti",AY1296/2751.92,AY1296/3356)),F1296&lt;&gt;0,SUM(L1296,Q1296,V1296,AA1296,AF1296,AK1296,AP1296,AU1296))))</f>
        <v xml:space="preserve"> </v>
      </c>
      <c r="BE1296" s="120"/>
      <c r="BF1296" s="120"/>
      <c r="BG1296" s="120"/>
    </row>
    <row r="1297" spans="1:59" s="3" customFormat="1" x14ac:dyDescent="0.3">
      <c r="A1297" s="15" t="str">
        <f t="shared" si="260"/>
        <v/>
      </c>
      <c r="B1297" s="25"/>
      <c r="C1297" s="26"/>
      <c r="D1297" s="279"/>
      <c r="E1297" s="27"/>
      <c r="F1297" s="28"/>
      <c r="G1297" s="27"/>
      <c r="H1297" s="28"/>
      <c r="I1297" s="28"/>
      <c r="J1297" s="255" t="str">
        <f>IF(H1297="","",(_xlfn.XLOOKUP(H1297,Cadastros!$D$6:$D$90,Cadastros!$E$6:$E$90))*(1-_xlfn.XLOOKUP(_xlfn.XLOOKUP($F1297,Clientes!$B$4:$B$39,Clientes!$C$4:$C$39),Cadastros!$L$6:$L$12,Cadastros!$N$6:$N$12)))</f>
        <v/>
      </c>
      <c r="K1297" s="168" t="str">
        <f t="shared" si="261"/>
        <v/>
      </c>
      <c r="L1297" s="168" t="str">
        <f>IFERROR(K1297/_xlfn.XLOOKUP(_xlfn.XLOOKUP($F1297,Clientes!$B$4:$B$39,Clientes!$C$4:$C$39),Cadastros!$L$6:$L$12,Cadastros!$M$6:$M$12)," ")</f>
        <v xml:space="preserve"> </v>
      </c>
      <c r="M1297" s="28"/>
      <c r="N1297" s="28"/>
      <c r="O1297" s="255" t="str">
        <f>IF(M1297="","",(_xlfn.XLOOKUP(M1297,Cadastros!$D$6:$D$90,Cadastros!$E$6:$E$90))*(1-_xlfn.XLOOKUP(_xlfn.XLOOKUP($F1297,Clientes!$B$4:$B$39,Clientes!$C$4:$C$39),Cadastros!$L$6:$L$12,Cadastros!$N$6:$N$12)))</f>
        <v/>
      </c>
      <c r="P1297" s="168" t="str">
        <f t="shared" si="262"/>
        <v/>
      </c>
      <c r="Q1297" s="168" t="str">
        <f>IFERROR(P1297/_xlfn.XLOOKUP(_xlfn.XLOOKUP($F1297,Clientes!$B$4:$B$39,Clientes!$C$4:$C$39),Cadastros!$L$6:$L$12,Cadastros!$M$6:$M$12)," ")</f>
        <v xml:space="preserve"> </v>
      </c>
      <c r="R1297" s="28"/>
      <c r="S1297" s="28"/>
      <c r="T1297" s="255" t="str">
        <f>IF(R1297="","",(_xlfn.XLOOKUP(R1297,Cadastros!$D$6:$D$90,Cadastros!$E$6:$E$90))*(1-_xlfn.XLOOKUP(_xlfn.XLOOKUP($F1297,Clientes!$B$4:$B$39,Clientes!$C$4:$C$39),Cadastros!$L$6:$L$12,Cadastros!$N$6:$N$12)))</f>
        <v/>
      </c>
      <c r="U1297" s="168" t="str">
        <f t="shared" si="263"/>
        <v/>
      </c>
      <c r="V1297" s="168" t="str">
        <f>IFERROR(U1297/_xlfn.XLOOKUP(_xlfn.XLOOKUP($F1297,Clientes!$B$4:$B$39,Clientes!$C$4:$C$39),Cadastros!$L$6:$L$12,Cadastros!$M$6:$M$12)," ")</f>
        <v xml:space="preserve"> </v>
      </c>
      <c r="W1297" s="28"/>
      <c r="X1297" s="28"/>
      <c r="Y1297" s="255" t="str">
        <f>IF(W1297="","",(_xlfn.XLOOKUP(W1297,Cadastros!$D$6:$D$90,Cadastros!$E$6:$E$90))*(1-_xlfn.XLOOKUP(_xlfn.XLOOKUP($F1297,Clientes!$B$4:$B$39,Clientes!$C$4:$C$39),Cadastros!$L$6:$L$12,Cadastros!$N$6:$N$12)))</f>
        <v/>
      </c>
      <c r="Z1297" s="168" t="str">
        <f t="shared" si="264"/>
        <v/>
      </c>
      <c r="AA1297" s="168" t="str">
        <f>IFERROR(Z1297/_xlfn.XLOOKUP(_xlfn.XLOOKUP($F1297,Clientes!$B$4:$B$39,Clientes!$C$4:$C$39),Cadastros!$L$6:$L$12,Cadastros!$M$6:$M$12)," ")</f>
        <v xml:space="preserve"> </v>
      </c>
      <c r="AB1297" s="28"/>
      <c r="AC1297" s="28"/>
      <c r="AD1297" s="20" t="str">
        <f>IF(AB1297="","",IF($F1297="Bernardino Furlan",_xlfn.XLOOKUP(AB1297,Cadastros!$G$6:$G$90,Cadastros!$H$6:$H$90)*(1-0.18),IF($F1297="Mauro José Salanti",_xlfn.XLOOKUP(AB1297,Cadastros!$G$6:$G$90,Cadastros!$H$6:$H$90)*(1-0.18),_xlfn.XLOOKUP(AB1297,Cadastros!$G$6:$G$90,Cadastros!$H$6:$H$90))))</f>
        <v/>
      </c>
      <c r="AE1297" s="168" t="str">
        <f t="shared" si="265"/>
        <v/>
      </c>
      <c r="AF1297" s="168" t="str">
        <f t="shared" si="266"/>
        <v/>
      </c>
      <c r="AG1297" s="28"/>
      <c r="AH1297" s="28"/>
      <c r="AI1297" s="20" t="str">
        <f>IF(AG1297="","",IF($F1297="Bernardino Furlan",_xlfn.XLOOKUP(AG1297,Cadastros!$G$6:$G$90,Cadastros!$H$6:$H$90)*(1-0.18),IF($F1297="Mauro José Salanti",_xlfn.XLOOKUP(AG1297,Cadastros!$G$6:$G$90,Cadastros!$H$6:$H$90)*(1-0.18),_xlfn.XLOOKUP(AG1297,Cadastros!$G$6:$G$90,Cadastros!$H$6:$H$90))))</f>
        <v/>
      </c>
      <c r="AJ1297" s="168" t="str">
        <f t="shared" si="267"/>
        <v/>
      </c>
      <c r="AK1297" s="168" t="str">
        <f t="shared" si="268"/>
        <v/>
      </c>
      <c r="AL1297" s="28"/>
      <c r="AM1297" s="28"/>
      <c r="AN1297" s="20" t="str">
        <f>IF(AL1297="","",IF($F1297="Bernardino Furlan",_xlfn.XLOOKUP(AL1297,Cadastros!$G$6:$G$90,Cadastros!$H$6:$H$90)*(1-0.18),IF($F1297="Mauro José Salanti",_xlfn.XLOOKUP(AL1297,Cadastros!$G$6:$G$90,Cadastros!$H$6:$H$90)*(1-0.18),_xlfn.XLOOKUP(AL1297,Cadastros!$G$6:$G$90,Cadastros!$H$6:$H$90))))</f>
        <v/>
      </c>
      <c r="AO1297" s="168" t="str">
        <f t="shared" si="269"/>
        <v/>
      </c>
      <c r="AP1297" s="168" t="str">
        <f t="shared" si="270"/>
        <v/>
      </c>
      <c r="AQ1297" s="28"/>
      <c r="AR1297" s="28"/>
      <c r="AS1297" s="20" t="str">
        <f>IF(AQ1297="","",IF($F1297="Bernardino Furlan",_xlfn.XLOOKUP(AQ1297,Cadastros!$G$6:$G$90,Cadastros!$H$6:$H$90)*(1-0.18),IF($F1297="Mauro José Salanti",_xlfn.XLOOKUP(AQ1297,Cadastros!$G$6:$G$90,Cadastros!$H$6:$H$90)*(1-0.18),_xlfn.XLOOKUP(AQ1297,Cadastros!$G$6:$G$90,Cadastros!$H$6:$H$90))))</f>
        <v/>
      </c>
      <c r="AT1297" s="168" t="str">
        <f t="shared" si="271"/>
        <v/>
      </c>
      <c r="AU1297" s="168" t="str">
        <f t="shared" si="272"/>
        <v/>
      </c>
      <c r="AV1297" s="227"/>
      <c r="AW1297" s="30"/>
      <c r="AX1297" s="267"/>
      <c r="AY1297" s="267"/>
      <c r="AZ1297" s="29"/>
      <c r="BA1297" s="30"/>
      <c r="BB1297" s="23" t="str" cm="1">
        <f t="array" ref="BB1297">_xlfn.IFS(AW1297="SIM",SUM(K1297,P1297,U1297,Z1297,AE1297,AJ1297,AO1297,AT1297,AX1297,AY1297),F1297&lt;&gt;"",SUM(K1297,P1297,U1297,Z1297,AE1297,AJ1297,,AO1297,AT1297),F1297="","")</f>
        <v/>
      </c>
      <c r="BC1297" s="211" t="str" cm="1">
        <f t="array" ref="BC1297">_xlfn.IFS(E1297="","",G1297&lt;=E1297,BB1297*(1-0.03),G1297&lt;(E1297+8),BB1297,AZ1297="Boleto",BB1297*(1+0.001)^DATEDIF(E1297,G1297,"D"),AZ1297="Cheque",BB1297,AZ1297="Dinheiro","Alterar forma pgto")</f>
        <v/>
      </c>
      <c r="BD1297" s="276" t="str" cm="1">
        <f t="array" ref="BD1297">IF(F1297=0," ",IF(BC1297&lt;BB1297,(_xlfn.IFS(AW1297="SIM",SUM(L1297,Q1297,V1297,AA1297,AF1297,AK1297,AP1297,AU1297)+AX1297/_xlfn.XLOOKUP(_xlfn.XLOOKUP($F1297,Clientes!$B$4:$B$39,Clientes!$C$4:$C$39),Cadastros!$L$6:$L$12,Cadastros!$M$6:$M$12)+IF($F1297="Bernardino Furlan",AY1297/2751.92,IF($F1297="Mauro José Salanti",AY1297/2751.92,AY1297/3356)),F1297&lt;&gt;0,SUM(L1297,Q1297,V1297,AA1297,AF1297,AK1297,AP1297,AU1297)))*(1-0.03),_xlfn.IFS(AW1297="SIM",SUM(L1297,Q1297,V1297,AA1297,AF1297,AK1297,AP1297,AU1297)+AX1297/_xlfn.XLOOKUP(_xlfn.XLOOKUP($F1297,Clientes!$B$4:$B$39,Clientes!$C$4:$C$39),Cadastros!$L$6:$L$12,Cadastros!$M$6:$M$12)+IF($F1297="Bernardino Furlan",AY1297/2751.92,IF($F1297="Mauro José Salanti",AY1297/2751.92,AY1297/3356)),F1297&lt;&gt;0,SUM(L1297,Q1297,V1297,AA1297,AF1297,AK1297,AP1297,AU1297))))</f>
        <v xml:space="preserve"> </v>
      </c>
      <c r="BE1297" s="120"/>
      <c r="BF1297" s="120"/>
      <c r="BG1297" s="120"/>
    </row>
    <row r="1298" spans="1:59" s="3" customFormat="1" x14ac:dyDescent="0.3">
      <c r="A1298" s="15" t="str">
        <f t="shared" si="260"/>
        <v/>
      </c>
      <c r="B1298" s="25"/>
      <c r="C1298" s="26"/>
      <c r="D1298" s="279"/>
      <c r="E1298" s="27"/>
      <c r="F1298" s="28"/>
      <c r="G1298" s="27"/>
      <c r="H1298" s="28"/>
      <c r="I1298" s="28"/>
      <c r="J1298" s="255" t="str">
        <f>IF(H1298="","",(_xlfn.XLOOKUP(H1298,Cadastros!$D$6:$D$90,Cadastros!$E$6:$E$90))*(1-_xlfn.XLOOKUP(_xlfn.XLOOKUP($F1298,Clientes!$B$4:$B$39,Clientes!$C$4:$C$39),Cadastros!$L$6:$L$12,Cadastros!$N$6:$N$12)))</f>
        <v/>
      </c>
      <c r="K1298" s="168" t="str">
        <f t="shared" si="261"/>
        <v/>
      </c>
      <c r="L1298" s="168" t="str">
        <f>IFERROR(K1298/_xlfn.XLOOKUP(_xlfn.XLOOKUP($F1298,Clientes!$B$4:$B$39,Clientes!$C$4:$C$39),Cadastros!$L$6:$L$12,Cadastros!$M$6:$M$12)," ")</f>
        <v xml:space="preserve"> </v>
      </c>
      <c r="M1298" s="28"/>
      <c r="N1298" s="28"/>
      <c r="O1298" s="255" t="str">
        <f>IF(M1298="","",(_xlfn.XLOOKUP(M1298,Cadastros!$D$6:$D$90,Cadastros!$E$6:$E$90))*(1-_xlfn.XLOOKUP(_xlfn.XLOOKUP($F1298,Clientes!$B$4:$B$39,Clientes!$C$4:$C$39),Cadastros!$L$6:$L$12,Cadastros!$N$6:$N$12)))</f>
        <v/>
      </c>
      <c r="P1298" s="168" t="str">
        <f t="shared" si="262"/>
        <v/>
      </c>
      <c r="Q1298" s="168" t="str">
        <f>IFERROR(P1298/_xlfn.XLOOKUP(_xlfn.XLOOKUP($F1298,Clientes!$B$4:$B$39,Clientes!$C$4:$C$39),Cadastros!$L$6:$L$12,Cadastros!$M$6:$M$12)," ")</f>
        <v xml:space="preserve"> </v>
      </c>
      <c r="R1298" s="28"/>
      <c r="S1298" s="28"/>
      <c r="T1298" s="255" t="str">
        <f>IF(R1298="","",(_xlfn.XLOOKUP(R1298,Cadastros!$D$6:$D$90,Cadastros!$E$6:$E$90))*(1-_xlfn.XLOOKUP(_xlfn.XLOOKUP($F1298,Clientes!$B$4:$B$39,Clientes!$C$4:$C$39),Cadastros!$L$6:$L$12,Cadastros!$N$6:$N$12)))</f>
        <v/>
      </c>
      <c r="U1298" s="168" t="str">
        <f t="shared" si="263"/>
        <v/>
      </c>
      <c r="V1298" s="168" t="str">
        <f>IFERROR(U1298/_xlfn.XLOOKUP(_xlfn.XLOOKUP($F1298,Clientes!$B$4:$B$39,Clientes!$C$4:$C$39),Cadastros!$L$6:$L$12,Cadastros!$M$6:$M$12)," ")</f>
        <v xml:space="preserve"> </v>
      </c>
      <c r="W1298" s="28"/>
      <c r="X1298" s="28"/>
      <c r="Y1298" s="255" t="str">
        <f>IF(W1298="","",(_xlfn.XLOOKUP(W1298,Cadastros!$D$6:$D$90,Cadastros!$E$6:$E$90))*(1-_xlfn.XLOOKUP(_xlfn.XLOOKUP($F1298,Clientes!$B$4:$B$39,Clientes!$C$4:$C$39),Cadastros!$L$6:$L$12,Cadastros!$N$6:$N$12)))</f>
        <v/>
      </c>
      <c r="Z1298" s="168" t="str">
        <f t="shared" si="264"/>
        <v/>
      </c>
      <c r="AA1298" s="168" t="str">
        <f>IFERROR(Z1298/_xlfn.XLOOKUP(_xlfn.XLOOKUP($F1298,Clientes!$B$4:$B$39,Clientes!$C$4:$C$39),Cadastros!$L$6:$L$12,Cadastros!$M$6:$M$12)," ")</f>
        <v xml:space="preserve"> </v>
      </c>
      <c r="AB1298" s="28"/>
      <c r="AC1298" s="28"/>
      <c r="AD1298" s="20" t="str">
        <f>IF(AB1298="","",IF($F1298="Bernardino Furlan",_xlfn.XLOOKUP(AB1298,Cadastros!$G$6:$G$90,Cadastros!$H$6:$H$90)*(1-0.18),IF($F1298="Mauro José Salanti",_xlfn.XLOOKUP(AB1298,Cadastros!$G$6:$G$90,Cadastros!$H$6:$H$90)*(1-0.18),_xlfn.XLOOKUP(AB1298,Cadastros!$G$6:$G$90,Cadastros!$H$6:$H$90))))</f>
        <v/>
      </c>
      <c r="AE1298" s="168" t="str">
        <f t="shared" si="265"/>
        <v/>
      </c>
      <c r="AF1298" s="168" t="str">
        <f t="shared" si="266"/>
        <v/>
      </c>
      <c r="AG1298" s="28"/>
      <c r="AH1298" s="28"/>
      <c r="AI1298" s="20" t="str">
        <f>IF(AG1298="","",IF($F1298="Bernardino Furlan",_xlfn.XLOOKUP(AG1298,Cadastros!$G$6:$G$90,Cadastros!$H$6:$H$90)*(1-0.18),IF($F1298="Mauro José Salanti",_xlfn.XLOOKUP(AG1298,Cadastros!$G$6:$G$90,Cadastros!$H$6:$H$90)*(1-0.18),_xlfn.XLOOKUP(AG1298,Cadastros!$G$6:$G$90,Cadastros!$H$6:$H$90))))</f>
        <v/>
      </c>
      <c r="AJ1298" s="168" t="str">
        <f t="shared" si="267"/>
        <v/>
      </c>
      <c r="AK1298" s="168" t="str">
        <f t="shared" si="268"/>
        <v/>
      </c>
      <c r="AL1298" s="28"/>
      <c r="AM1298" s="28"/>
      <c r="AN1298" s="20" t="str">
        <f>IF(AL1298="","",IF($F1298="Bernardino Furlan",_xlfn.XLOOKUP(AL1298,Cadastros!$G$6:$G$90,Cadastros!$H$6:$H$90)*(1-0.18),IF($F1298="Mauro José Salanti",_xlfn.XLOOKUP(AL1298,Cadastros!$G$6:$G$90,Cadastros!$H$6:$H$90)*(1-0.18),_xlfn.XLOOKUP(AL1298,Cadastros!$G$6:$G$90,Cadastros!$H$6:$H$90))))</f>
        <v/>
      </c>
      <c r="AO1298" s="168" t="str">
        <f t="shared" si="269"/>
        <v/>
      </c>
      <c r="AP1298" s="168" t="str">
        <f t="shared" si="270"/>
        <v/>
      </c>
      <c r="AQ1298" s="28"/>
      <c r="AR1298" s="28"/>
      <c r="AS1298" s="20" t="str">
        <f>IF(AQ1298="","",IF($F1298="Bernardino Furlan",_xlfn.XLOOKUP(AQ1298,Cadastros!$G$6:$G$90,Cadastros!$H$6:$H$90)*(1-0.18),IF($F1298="Mauro José Salanti",_xlfn.XLOOKUP(AQ1298,Cadastros!$G$6:$G$90,Cadastros!$H$6:$H$90)*(1-0.18),_xlfn.XLOOKUP(AQ1298,Cadastros!$G$6:$G$90,Cadastros!$H$6:$H$90))))</f>
        <v/>
      </c>
      <c r="AT1298" s="168" t="str">
        <f t="shared" si="271"/>
        <v/>
      </c>
      <c r="AU1298" s="168" t="str">
        <f t="shared" si="272"/>
        <v/>
      </c>
      <c r="AV1298" s="227"/>
      <c r="AW1298" s="30"/>
      <c r="AX1298" s="267"/>
      <c r="AY1298" s="267"/>
      <c r="AZ1298" s="29"/>
      <c r="BA1298" s="30"/>
      <c r="BB1298" s="23" t="str" cm="1">
        <f t="array" ref="BB1298">_xlfn.IFS(AW1298="SIM",SUM(K1298,P1298,U1298,Z1298,AE1298,AJ1298,AO1298,AT1298,AX1298,AY1298),F1298&lt;&gt;"",SUM(K1298,P1298,U1298,Z1298,AE1298,AJ1298,,AO1298,AT1298),F1298="","")</f>
        <v/>
      </c>
      <c r="BC1298" s="211" t="str" cm="1">
        <f t="array" ref="BC1298">_xlfn.IFS(E1298="","",G1298&lt;=E1298,BB1298*(1-0.03),G1298&lt;(E1298+8),BB1298,AZ1298="Boleto",BB1298*(1+0.001)^DATEDIF(E1298,G1298,"D"),AZ1298="Cheque",BB1298,AZ1298="Dinheiro","Alterar forma pgto")</f>
        <v/>
      </c>
      <c r="BD1298" s="276" t="str" cm="1">
        <f t="array" ref="BD1298">IF(F1298=0," ",IF(BC1298&lt;BB1298,(_xlfn.IFS(AW1298="SIM",SUM(L1298,Q1298,V1298,AA1298,AF1298,AK1298,AP1298,AU1298)+AX1298/_xlfn.XLOOKUP(_xlfn.XLOOKUP($F1298,Clientes!$B$4:$B$39,Clientes!$C$4:$C$39),Cadastros!$L$6:$L$12,Cadastros!$M$6:$M$12)+IF($F1298="Bernardino Furlan",AY1298/2751.92,IF($F1298="Mauro José Salanti",AY1298/2751.92,AY1298/3356)),F1298&lt;&gt;0,SUM(L1298,Q1298,V1298,AA1298,AF1298,AK1298,AP1298,AU1298)))*(1-0.03),_xlfn.IFS(AW1298="SIM",SUM(L1298,Q1298,V1298,AA1298,AF1298,AK1298,AP1298,AU1298)+AX1298/_xlfn.XLOOKUP(_xlfn.XLOOKUP($F1298,Clientes!$B$4:$B$39,Clientes!$C$4:$C$39),Cadastros!$L$6:$L$12,Cadastros!$M$6:$M$12)+IF($F1298="Bernardino Furlan",AY1298/2751.92,IF($F1298="Mauro José Salanti",AY1298/2751.92,AY1298/3356)),F1298&lt;&gt;0,SUM(L1298,Q1298,V1298,AA1298,AF1298,AK1298,AP1298,AU1298))))</f>
        <v xml:space="preserve"> </v>
      </c>
      <c r="BE1298" s="120"/>
      <c r="BF1298" s="120"/>
      <c r="BG1298" s="120"/>
    </row>
    <row r="1299" spans="1:59" s="3" customFormat="1" x14ac:dyDescent="0.3">
      <c r="A1299" s="15" t="str">
        <f t="shared" si="260"/>
        <v/>
      </c>
      <c r="B1299" s="25"/>
      <c r="C1299" s="26"/>
      <c r="D1299" s="279"/>
      <c r="E1299" s="27"/>
      <c r="F1299" s="28"/>
      <c r="G1299" s="27"/>
      <c r="H1299" s="28"/>
      <c r="I1299" s="28"/>
      <c r="J1299" s="255" t="str">
        <f>IF(H1299="","",(_xlfn.XLOOKUP(H1299,Cadastros!$D$6:$D$90,Cadastros!$E$6:$E$90))*(1-_xlfn.XLOOKUP(_xlfn.XLOOKUP($F1299,Clientes!$B$4:$B$39,Clientes!$C$4:$C$39),Cadastros!$L$6:$L$12,Cadastros!$N$6:$N$12)))</f>
        <v/>
      </c>
      <c r="K1299" s="168" t="str">
        <f t="shared" si="261"/>
        <v/>
      </c>
      <c r="L1299" s="168" t="str">
        <f>IFERROR(K1299/_xlfn.XLOOKUP(_xlfn.XLOOKUP($F1299,Clientes!$B$4:$B$39,Clientes!$C$4:$C$39),Cadastros!$L$6:$L$12,Cadastros!$M$6:$M$12)," ")</f>
        <v xml:space="preserve"> </v>
      </c>
      <c r="M1299" s="28"/>
      <c r="N1299" s="28"/>
      <c r="O1299" s="255" t="str">
        <f>IF(M1299="","",(_xlfn.XLOOKUP(M1299,Cadastros!$D$6:$D$90,Cadastros!$E$6:$E$90))*(1-_xlfn.XLOOKUP(_xlfn.XLOOKUP($F1299,Clientes!$B$4:$B$39,Clientes!$C$4:$C$39),Cadastros!$L$6:$L$12,Cadastros!$N$6:$N$12)))</f>
        <v/>
      </c>
      <c r="P1299" s="168" t="str">
        <f t="shared" si="262"/>
        <v/>
      </c>
      <c r="Q1299" s="168" t="str">
        <f>IFERROR(P1299/_xlfn.XLOOKUP(_xlfn.XLOOKUP($F1299,Clientes!$B$4:$B$39,Clientes!$C$4:$C$39),Cadastros!$L$6:$L$12,Cadastros!$M$6:$M$12)," ")</f>
        <v xml:space="preserve"> </v>
      </c>
      <c r="R1299" s="28"/>
      <c r="S1299" s="28"/>
      <c r="T1299" s="255" t="str">
        <f>IF(R1299="","",(_xlfn.XLOOKUP(R1299,Cadastros!$D$6:$D$90,Cadastros!$E$6:$E$90))*(1-_xlfn.XLOOKUP(_xlfn.XLOOKUP($F1299,Clientes!$B$4:$B$39,Clientes!$C$4:$C$39),Cadastros!$L$6:$L$12,Cadastros!$N$6:$N$12)))</f>
        <v/>
      </c>
      <c r="U1299" s="168" t="str">
        <f t="shared" si="263"/>
        <v/>
      </c>
      <c r="V1299" s="168" t="str">
        <f>IFERROR(U1299/_xlfn.XLOOKUP(_xlfn.XLOOKUP($F1299,Clientes!$B$4:$B$39,Clientes!$C$4:$C$39),Cadastros!$L$6:$L$12,Cadastros!$M$6:$M$12)," ")</f>
        <v xml:space="preserve"> </v>
      </c>
      <c r="W1299" s="28"/>
      <c r="X1299" s="28"/>
      <c r="Y1299" s="255" t="str">
        <f>IF(W1299="","",(_xlfn.XLOOKUP(W1299,Cadastros!$D$6:$D$90,Cadastros!$E$6:$E$90))*(1-_xlfn.XLOOKUP(_xlfn.XLOOKUP($F1299,Clientes!$B$4:$B$39,Clientes!$C$4:$C$39),Cadastros!$L$6:$L$12,Cadastros!$N$6:$N$12)))</f>
        <v/>
      </c>
      <c r="Z1299" s="168" t="str">
        <f t="shared" si="264"/>
        <v/>
      </c>
      <c r="AA1299" s="168" t="str">
        <f>IFERROR(Z1299/_xlfn.XLOOKUP(_xlfn.XLOOKUP($F1299,Clientes!$B$4:$B$39,Clientes!$C$4:$C$39),Cadastros!$L$6:$L$12,Cadastros!$M$6:$M$12)," ")</f>
        <v xml:space="preserve"> </v>
      </c>
      <c r="AB1299" s="28"/>
      <c r="AC1299" s="28"/>
      <c r="AD1299" s="20" t="str">
        <f>IF(AB1299="","",IF($F1299="Bernardino Furlan",_xlfn.XLOOKUP(AB1299,Cadastros!$G$6:$G$90,Cadastros!$H$6:$H$90)*(1-0.18),IF($F1299="Mauro José Salanti",_xlfn.XLOOKUP(AB1299,Cadastros!$G$6:$G$90,Cadastros!$H$6:$H$90)*(1-0.18),_xlfn.XLOOKUP(AB1299,Cadastros!$G$6:$G$90,Cadastros!$H$6:$H$90))))</f>
        <v/>
      </c>
      <c r="AE1299" s="168" t="str">
        <f t="shared" si="265"/>
        <v/>
      </c>
      <c r="AF1299" s="168" t="str">
        <f t="shared" si="266"/>
        <v/>
      </c>
      <c r="AG1299" s="28"/>
      <c r="AH1299" s="28"/>
      <c r="AI1299" s="20" t="str">
        <f>IF(AG1299="","",IF($F1299="Bernardino Furlan",_xlfn.XLOOKUP(AG1299,Cadastros!$G$6:$G$90,Cadastros!$H$6:$H$90)*(1-0.18),IF($F1299="Mauro José Salanti",_xlfn.XLOOKUP(AG1299,Cadastros!$G$6:$G$90,Cadastros!$H$6:$H$90)*(1-0.18),_xlfn.XLOOKUP(AG1299,Cadastros!$G$6:$G$90,Cadastros!$H$6:$H$90))))</f>
        <v/>
      </c>
      <c r="AJ1299" s="168" t="str">
        <f t="shared" si="267"/>
        <v/>
      </c>
      <c r="AK1299" s="168" t="str">
        <f t="shared" si="268"/>
        <v/>
      </c>
      <c r="AL1299" s="28"/>
      <c r="AM1299" s="28"/>
      <c r="AN1299" s="20" t="str">
        <f>IF(AL1299="","",IF($F1299="Bernardino Furlan",_xlfn.XLOOKUP(AL1299,Cadastros!$G$6:$G$90,Cadastros!$H$6:$H$90)*(1-0.18),IF($F1299="Mauro José Salanti",_xlfn.XLOOKUP(AL1299,Cadastros!$G$6:$G$90,Cadastros!$H$6:$H$90)*(1-0.18),_xlfn.XLOOKUP(AL1299,Cadastros!$G$6:$G$90,Cadastros!$H$6:$H$90))))</f>
        <v/>
      </c>
      <c r="AO1299" s="168" t="str">
        <f t="shared" si="269"/>
        <v/>
      </c>
      <c r="AP1299" s="168" t="str">
        <f t="shared" si="270"/>
        <v/>
      </c>
      <c r="AQ1299" s="28"/>
      <c r="AR1299" s="28"/>
      <c r="AS1299" s="20" t="str">
        <f>IF(AQ1299="","",IF($F1299="Bernardino Furlan",_xlfn.XLOOKUP(AQ1299,Cadastros!$G$6:$G$90,Cadastros!$H$6:$H$90)*(1-0.18),IF($F1299="Mauro José Salanti",_xlfn.XLOOKUP(AQ1299,Cadastros!$G$6:$G$90,Cadastros!$H$6:$H$90)*(1-0.18),_xlfn.XLOOKUP(AQ1299,Cadastros!$G$6:$G$90,Cadastros!$H$6:$H$90))))</f>
        <v/>
      </c>
      <c r="AT1299" s="168" t="str">
        <f t="shared" si="271"/>
        <v/>
      </c>
      <c r="AU1299" s="168" t="str">
        <f t="shared" si="272"/>
        <v/>
      </c>
      <c r="AV1299" s="227"/>
      <c r="AW1299" s="30"/>
      <c r="AX1299" s="267"/>
      <c r="AY1299" s="267"/>
      <c r="AZ1299" s="29"/>
      <c r="BA1299" s="30"/>
      <c r="BB1299" s="23" t="str" cm="1">
        <f t="array" ref="BB1299">_xlfn.IFS(AW1299="SIM",SUM(K1299,P1299,U1299,Z1299,AE1299,AJ1299,AO1299,AT1299,AX1299,AY1299),F1299&lt;&gt;"",SUM(K1299,P1299,U1299,Z1299,AE1299,AJ1299,,AO1299,AT1299),F1299="","")</f>
        <v/>
      </c>
      <c r="BC1299" s="211" t="str" cm="1">
        <f t="array" ref="BC1299">_xlfn.IFS(E1299="","",G1299&lt;=E1299,BB1299*(1-0.03),G1299&lt;(E1299+8),BB1299,AZ1299="Boleto",BB1299*(1+0.001)^DATEDIF(E1299,G1299,"D"),AZ1299="Cheque",BB1299,AZ1299="Dinheiro","Alterar forma pgto")</f>
        <v/>
      </c>
      <c r="BD1299" s="276" t="str" cm="1">
        <f t="array" ref="BD1299">IF(F1299=0," ",IF(BC1299&lt;BB1299,(_xlfn.IFS(AW1299="SIM",SUM(L1299,Q1299,V1299,AA1299,AF1299,AK1299,AP1299,AU1299)+AX1299/_xlfn.XLOOKUP(_xlfn.XLOOKUP($F1299,Clientes!$B$4:$B$39,Clientes!$C$4:$C$39),Cadastros!$L$6:$L$12,Cadastros!$M$6:$M$12)+IF($F1299="Bernardino Furlan",AY1299/2751.92,IF($F1299="Mauro José Salanti",AY1299/2751.92,AY1299/3356)),F1299&lt;&gt;0,SUM(L1299,Q1299,V1299,AA1299,AF1299,AK1299,AP1299,AU1299)))*(1-0.03),_xlfn.IFS(AW1299="SIM",SUM(L1299,Q1299,V1299,AA1299,AF1299,AK1299,AP1299,AU1299)+AX1299/_xlfn.XLOOKUP(_xlfn.XLOOKUP($F1299,Clientes!$B$4:$B$39,Clientes!$C$4:$C$39),Cadastros!$L$6:$L$12,Cadastros!$M$6:$M$12)+IF($F1299="Bernardino Furlan",AY1299/2751.92,IF($F1299="Mauro José Salanti",AY1299/2751.92,AY1299/3356)),F1299&lt;&gt;0,SUM(L1299,Q1299,V1299,AA1299,AF1299,AK1299,AP1299,AU1299))))</f>
        <v xml:space="preserve"> </v>
      </c>
      <c r="BE1299" s="120"/>
      <c r="BF1299" s="120"/>
      <c r="BG1299" s="120"/>
    </row>
    <row r="1300" spans="1:59" s="3" customFormat="1" x14ac:dyDescent="0.3">
      <c r="A1300" s="15" t="str">
        <f t="shared" si="260"/>
        <v/>
      </c>
      <c r="B1300" s="25"/>
      <c r="C1300" s="26"/>
      <c r="D1300" s="279"/>
      <c r="E1300" s="27"/>
      <c r="F1300" s="28"/>
      <c r="G1300" s="27"/>
      <c r="H1300" s="28"/>
      <c r="I1300" s="28"/>
      <c r="J1300" s="255" t="str">
        <f>IF(H1300="","",(_xlfn.XLOOKUP(H1300,Cadastros!$D$6:$D$90,Cadastros!$E$6:$E$90))*(1-_xlfn.XLOOKUP(_xlfn.XLOOKUP($F1300,Clientes!$B$4:$B$39,Clientes!$C$4:$C$39),Cadastros!$L$6:$L$12,Cadastros!$N$6:$N$12)))</f>
        <v/>
      </c>
      <c r="K1300" s="168" t="str">
        <f t="shared" si="261"/>
        <v/>
      </c>
      <c r="L1300" s="168" t="str">
        <f>IFERROR(K1300/_xlfn.XLOOKUP(_xlfn.XLOOKUP($F1300,Clientes!$B$4:$B$39,Clientes!$C$4:$C$39),Cadastros!$L$6:$L$12,Cadastros!$M$6:$M$12)," ")</f>
        <v xml:space="preserve"> </v>
      </c>
      <c r="M1300" s="28"/>
      <c r="N1300" s="28"/>
      <c r="O1300" s="255" t="str">
        <f>IF(M1300="","",(_xlfn.XLOOKUP(M1300,Cadastros!$D$6:$D$90,Cadastros!$E$6:$E$90))*(1-_xlfn.XLOOKUP(_xlfn.XLOOKUP($F1300,Clientes!$B$4:$B$39,Clientes!$C$4:$C$39),Cadastros!$L$6:$L$12,Cadastros!$N$6:$N$12)))</f>
        <v/>
      </c>
      <c r="P1300" s="168" t="str">
        <f t="shared" si="262"/>
        <v/>
      </c>
      <c r="Q1300" s="168" t="str">
        <f>IFERROR(P1300/_xlfn.XLOOKUP(_xlfn.XLOOKUP($F1300,Clientes!$B$4:$B$39,Clientes!$C$4:$C$39),Cadastros!$L$6:$L$12,Cadastros!$M$6:$M$12)," ")</f>
        <v xml:space="preserve"> </v>
      </c>
      <c r="R1300" s="28"/>
      <c r="S1300" s="28"/>
      <c r="T1300" s="255" t="str">
        <f>IF(R1300="","",(_xlfn.XLOOKUP(R1300,Cadastros!$D$6:$D$90,Cadastros!$E$6:$E$90))*(1-_xlfn.XLOOKUP(_xlfn.XLOOKUP($F1300,Clientes!$B$4:$B$39,Clientes!$C$4:$C$39),Cadastros!$L$6:$L$12,Cadastros!$N$6:$N$12)))</f>
        <v/>
      </c>
      <c r="U1300" s="168" t="str">
        <f t="shared" si="263"/>
        <v/>
      </c>
      <c r="V1300" s="168" t="str">
        <f>IFERROR(U1300/_xlfn.XLOOKUP(_xlfn.XLOOKUP($F1300,Clientes!$B$4:$B$39,Clientes!$C$4:$C$39),Cadastros!$L$6:$L$12,Cadastros!$M$6:$M$12)," ")</f>
        <v xml:space="preserve"> </v>
      </c>
      <c r="W1300" s="28"/>
      <c r="X1300" s="28"/>
      <c r="Y1300" s="255" t="str">
        <f>IF(W1300="","",(_xlfn.XLOOKUP(W1300,Cadastros!$D$6:$D$90,Cadastros!$E$6:$E$90))*(1-_xlfn.XLOOKUP(_xlfn.XLOOKUP($F1300,Clientes!$B$4:$B$39,Clientes!$C$4:$C$39),Cadastros!$L$6:$L$12,Cadastros!$N$6:$N$12)))</f>
        <v/>
      </c>
      <c r="Z1300" s="168" t="str">
        <f t="shared" si="264"/>
        <v/>
      </c>
      <c r="AA1300" s="168" t="str">
        <f>IFERROR(Z1300/_xlfn.XLOOKUP(_xlfn.XLOOKUP($F1300,Clientes!$B$4:$B$39,Clientes!$C$4:$C$39),Cadastros!$L$6:$L$12,Cadastros!$M$6:$M$12)," ")</f>
        <v xml:space="preserve"> </v>
      </c>
      <c r="AB1300" s="28"/>
      <c r="AC1300" s="28"/>
      <c r="AD1300" s="20" t="str">
        <f>IF(AB1300="","",IF($F1300="Bernardino Furlan",_xlfn.XLOOKUP(AB1300,Cadastros!$G$6:$G$90,Cadastros!$H$6:$H$90)*(1-0.18),IF($F1300="Mauro José Salanti",_xlfn.XLOOKUP(AB1300,Cadastros!$G$6:$G$90,Cadastros!$H$6:$H$90)*(1-0.18),_xlfn.XLOOKUP(AB1300,Cadastros!$G$6:$G$90,Cadastros!$H$6:$H$90))))</f>
        <v/>
      </c>
      <c r="AE1300" s="168" t="str">
        <f t="shared" si="265"/>
        <v/>
      </c>
      <c r="AF1300" s="168" t="str">
        <f t="shared" si="266"/>
        <v/>
      </c>
      <c r="AG1300" s="28"/>
      <c r="AH1300" s="28"/>
      <c r="AI1300" s="20" t="str">
        <f>IF(AG1300="","",IF($F1300="Bernardino Furlan",_xlfn.XLOOKUP(AG1300,Cadastros!$G$6:$G$90,Cadastros!$H$6:$H$90)*(1-0.18),IF($F1300="Mauro José Salanti",_xlfn.XLOOKUP(AG1300,Cadastros!$G$6:$G$90,Cadastros!$H$6:$H$90)*(1-0.18),_xlfn.XLOOKUP(AG1300,Cadastros!$G$6:$G$90,Cadastros!$H$6:$H$90))))</f>
        <v/>
      </c>
      <c r="AJ1300" s="168" t="str">
        <f t="shared" si="267"/>
        <v/>
      </c>
      <c r="AK1300" s="168" t="str">
        <f t="shared" si="268"/>
        <v/>
      </c>
      <c r="AL1300" s="28"/>
      <c r="AM1300" s="28"/>
      <c r="AN1300" s="20" t="str">
        <f>IF(AL1300="","",IF($F1300="Bernardino Furlan",_xlfn.XLOOKUP(AL1300,Cadastros!$G$6:$G$90,Cadastros!$H$6:$H$90)*(1-0.18),IF($F1300="Mauro José Salanti",_xlfn.XLOOKUP(AL1300,Cadastros!$G$6:$G$90,Cadastros!$H$6:$H$90)*(1-0.18),_xlfn.XLOOKUP(AL1300,Cadastros!$G$6:$G$90,Cadastros!$H$6:$H$90))))</f>
        <v/>
      </c>
      <c r="AO1300" s="168" t="str">
        <f t="shared" si="269"/>
        <v/>
      </c>
      <c r="AP1300" s="168" t="str">
        <f t="shared" si="270"/>
        <v/>
      </c>
      <c r="AQ1300" s="28"/>
      <c r="AR1300" s="28"/>
      <c r="AS1300" s="20" t="str">
        <f>IF(AQ1300="","",IF($F1300="Bernardino Furlan",_xlfn.XLOOKUP(AQ1300,Cadastros!$G$6:$G$90,Cadastros!$H$6:$H$90)*(1-0.18),IF($F1300="Mauro José Salanti",_xlfn.XLOOKUP(AQ1300,Cadastros!$G$6:$G$90,Cadastros!$H$6:$H$90)*(1-0.18),_xlfn.XLOOKUP(AQ1300,Cadastros!$G$6:$G$90,Cadastros!$H$6:$H$90))))</f>
        <v/>
      </c>
      <c r="AT1300" s="168" t="str">
        <f t="shared" si="271"/>
        <v/>
      </c>
      <c r="AU1300" s="168" t="str">
        <f t="shared" si="272"/>
        <v/>
      </c>
      <c r="AV1300" s="227"/>
      <c r="AW1300" s="30"/>
      <c r="AX1300" s="267"/>
      <c r="AY1300" s="267"/>
      <c r="AZ1300" s="29"/>
      <c r="BA1300" s="30"/>
      <c r="BB1300" s="23" t="str" cm="1">
        <f t="array" ref="BB1300">_xlfn.IFS(AW1300="SIM",SUM(K1300,P1300,U1300,Z1300,AE1300,AJ1300,AO1300,AT1300,AX1300,AY1300),F1300&lt;&gt;"",SUM(K1300,P1300,U1300,Z1300,AE1300,AJ1300,,AO1300,AT1300),F1300="","")</f>
        <v/>
      </c>
      <c r="BC1300" s="211" t="str" cm="1">
        <f t="array" ref="BC1300">_xlfn.IFS(E1300="","",G1300&lt;=E1300,BB1300*(1-0.03),G1300&lt;(E1300+8),BB1300,AZ1300="Boleto",BB1300*(1+0.001)^DATEDIF(E1300,G1300,"D"),AZ1300="Cheque",BB1300,AZ1300="Dinheiro","Alterar forma pgto")</f>
        <v/>
      </c>
      <c r="BD1300" s="276" t="str" cm="1">
        <f t="array" ref="BD1300">IF(F1300=0," ",IF(BC1300&lt;BB1300,(_xlfn.IFS(AW1300="SIM",SUM(L1300,Q1300,V1300,AA1300,AF1300,AK1300,AP1300,AU1300)+AX1300/_xlfn.XLOOKUP(_xlfn.XLOOKUP($F1300,Clientes!$B$4:$B$39,Clientes!$C$4:$C$39),Cadastros!$L$6:$L$12,Cadastros!$M$6:$M$12)+IF($F1300="Bernardino Furlan",AY1300/2751.92,IF($F1300="Mauro José Salanti",AY1300/2751.92,AY1300/3356)),F1300&lt;&gt;0,SUM(L1300,Q1300,V1300,AA1300,AF1300,AK1300,AP1300,AU1300)))*(1-0.03),_xlfn.IFS(AW1300="SIM",SUM(L1300,Q1300,V1300,AA1300,AF1300,AK1300,AP1300,AU1300)+AX1300/_xlfn.XLOOKUP(_xlfn.XLOOKUP($F1300,Clientes!$B$4:$B$39,Clientes!$C$4:$C$39),Cadastros!$L$6:$L$12,Cadastros!$M$6:$M$12)+IF($F1300="Bernardino Furlan",AY1300/2751.92,IF($F1300="Mauro José Salanti",AY1300/2751.92,AY1300/3356)),F1300&lt;&gt;0,SUM(L1300,Q1300,V1300,AA1300,AF1300,AK1300,AP1300,AU1300))))</f>
        <v xml:space="preserve"> </v>
      </c>
      <c r="BE1300" s="120"/>
      <c r="BF1300" s="120"/>
      <c r="BG1300" s="120"/>
    </row>
    <row r="1301" spans="1:59" s="3" customFormat="1" x14ac:dyDescent="0.3">
      <c r="A1301" s="15" t="str">
        <f t="shared" si="260"/>
        <v/>
      </c>
      <c r="B1301" s="25"/>
      <c r="C1301" s="26"/>
      <c r="D1301" s="279"/>
      <c r="E1301" s="27"/>
      <c r="F1301" s="28"/>
      <c r="G1301" s="27"/>
      <c r="H1301" s="28"/>
      <c r="I1301" s="28"/>
      <c r="J1301" s="255" t="str">
        <f>IF(H1301="","",(_xlfn.XLOOKUP(H1301,Cadastros!$D$6:$D$90,Cadastros!$E$6:$E$90))*(1-_xlfn.XLOOKUP(_xlfn.XLOOKUP($F1301,Clientes!$B$4:$B$39,Clientes!$C$4:$C$39),Cadastros!$L$6:$L$12,Cadastros!$N$6:$N$12)))</f>
        <v/>
      </c>
      <c r="K1301" s="168" t="str">
        <f t="shared" si="261"/>
        <v/>
      </c>
      <c r="L1301" s="168" t="str">
        <f>IFERROR(K1301/_xlfn.XLOOKUP(_xlfn.XLOOKUP($F1301,Clientes!$B$4:$B$39,Clientes!$C$4:$C$39),Cadastros!$L$6:$L$12,Cadastros!$M$6:$M$12)," ")</f>
        <v xml:space="preserve"> </v>
      </c>
      <c r="M1301" s="28"/>
      <c r="N1301" s="28"/>
      <c r="O1301" s="255" t="str">
        <f>IF(M1301="","",(_xlfn.XLOOKUP(M1301,Cadastros!$D$6:$D$90,Cadastros!$E$6:$E$90))*(1-_xlfn.XLOOKUP(_xlfn.XLOOKUP($F1301,Clientes!$B$4:$B$39,Clientes!$C$4:$C$39),Cadastros!$L$6:$L$12,Cadastros!$N$6:$N$12)))</f>
        <v/>
      </c>
      <c r="P1301" s="168" t="str">
        <f t="shared" si="262"/>
        <v/>
      </c>
      <c r="Q1301" s="168" t="str">
        <f>IFERROR(P1301/_xlfn.XLOOKUP(_xlfn.XLOOKUP($F1301,Clientes!$B$4:$B$39,Clientes!$C$4:$C$39),Cadastros!$L$6:$L$12,Cadastros!$M$6:$M$12)," ")</f>
        <v xml:space="preserve"> </v>
      </c>
      <c r="R1301" s="28"/>
      <c r="S1301" s="28"/>
      <c r="T1301" s="255" t="str">
        <f>IF(R1301="","",(_xlfn.XLOOKUP(R1301,Cadastros!$D$6:$D$90,Cadastros!$E$6:$E$90))*(1-_xlfn.XLOOKUP(_xlfn.XLOOKUP($F1301,Clientes!$B$4:$B$39,Clientes!$C$4:$C$39),Cadastros!$L$6:$L$12,Cadastros!$N$6:$N$12)))</f>
        <v/>
      </c>
      <c r="U1301" s="168" t="str">
        <f t="shared" si="263"/>
        <v/>
      </c>
      <c r="V1301" s="168" t="str">
        <f>IFERROR(U1301/_xlfn.XLOOKUP(_xlfn.XLOOKUP($F1301,Clientes!$B$4:$B$39,Clientes!$C$4:$C$39),Cadastros!$L$6:$L$12,Cadastros!$M$6:$M$12)," ")</f>
        <v xml:space="preserve"> </v>
      </c>
      <c r="W1301" s="28"/>
      <c r="X1301" s="28"/>
      <c r="Y1301" s="255" t="str">
        <f>IF(W1301="","",(_xlfn.XLOOKUP(W1301,Cadastros!$D$6:$D$90,Cadastros!$E$6:$E$90))*(1-_xlfn.XLOOKUP(_xlfn.XLOOKUP($F1301,Clientes!$B$4:$B$39,Clientes!$C$4:$C$39),Cadastros!$L$6:$L$12,Cadastros!$N$6:$N$12)))</f>
        <v/>
      </c>
      <c r="Z1301" s="168" t="str">
        <f t="shared" si="264"/>
        <v/>
      </c>
      <c r="AA1301" s="168" t="str">
        <f>IFERROR(Z1301/_xlfn.XLOOKUP(_xlfn.XLOOKUP($F1301,Clientes!$B$4:$B$39,Clientes!$C$4:$C$39),Cadastros!$L$6:$L$12,Cadastros!$M$6:$M$12)," ")</f>
        <v xml:space="preserve"> </v>
      </c>
      <c r="AB1301" s="28"/>
      <c r="AC1301" s="28"/>
      <c r="AD1301" s="20" t="str">
        <f>IF(AB1301="","",IF($F1301="Bernardino Furlan",_xlfn.XLOOKUP(AB1301,Cadastros!$G$6:$G$90,Cadastros!$H$6:$H$90)*(1-0.18),IF($F1301="Mauro José Salanti",_xlfn.XLOOKUP(AB1301,Cadastros!$G$6:$G$90,Cadastros!$H$6:$H$90)*(1-0.18),_xlfn.XLOOKUP(AB1301,Cadastros!$G$6:$G$90,Cadastros!$H$6:$H$90))))</f>
        <v/>
      </c>
      <c r="AE1301" s="168" t="str">
        <f t="shared" si="265"/>
        <v/>
      </c>
      <c r="AF1301" s="168" t="str">
        <f t="shared" si="266"/>
        <v/>
      </c>
      <c r="AG1301" s="28"/>
      <c r="AH1301" s="28"/>
      <c r="AI1301" s="20" t="str">
        <f>IF(AG1301="","",IF($F1301="Bernardino Furlan",_xlfn.XLOOKUP(AG1301,Cadastros!$G$6:$G$90,Cadastros!$H$6:$H$90)*(1-0.18),IF($F1301="Mauro José Salanti",_xlfn.XLOOKUP(AG1301,Cadastros!$G$6:$G$90,Cadastros!$H$6:$H$90)*(1-0.18),_xlfn.XLOOKUP(AG1301,Cadastros!$G$6:$G$90,Cadastros!$H$6:$H$90))))</f>
        <v/>
      </c>
      <c r="AJ1301" s="168" t="str">
        <f t="shared" si="267"/>
        <v/>
      </c>
      <c r="AK1301" s="168" t="str">
        <f t="shared" si="268"/>
        <v/>
      </c>
      <c r="AL1301" s="28"/>
      <c r="AM1301" s="28"/>
      <c r="AN1301" s="20" t="str">
        <f>IF(AL1301="","",IF($F1301="Bernardino Furlan",_xlfn.XLOOKUP(AL1301,Cadastros!$G$6:$G$90,Cadastros!$H$6:$H$90)*(1-0.18),IF($F1301="Mauro José Salanti",_xlfn.XLOOKUP(AL1301,Cadastros!$G$6:$G$90,Cadastros!$H$6:$H$90)*(1-0.18),_xlfn.XLOOKUP(AL1301,Cadastros!$G$6:$G$90,Cadastros!$H$6:$H$90))))</f>
        <v/>
      </c>
      <c r="AO1301" s="168" t="str">
        <f t="shared" si="269"/>
        <v/>
      </c>
      <c r="AP1301" s="168" t="str">
        <f t="shared" si="270"/>
        <v/>
      </c>
      <c r="AQ1301" s="28"/>
      <c r="AR1301" s="28"/>
      <c r="AS1301" s="20" t="str">
        <f>IF(AQ1301="","",IF($F1301="Bernardino Furlan",_xlfn.XLOOKUP(AQ1301,Cadastros!$G$6:$G$90,Cadastros!$H$6:$H$90)*(1-0.18),IF($F1301="Mauro José Salanti",_xlfn.XLOOKUP(AQ1301,Cadastros!$G$6:$G$90,Cadastros!$H$6:$H$90)*(1-0.18),_xlfn.XLOOKUP(AQ1301,Cadastros!$G$6:$G$90,Cadastros!$H$6:$H$90))))</f>
        <v/>
      </c>
      <c r="AT1301" s="168" t="str">
        <f t="shared" si="271"/>
        <v/>
      </c>
      <c r="AU1301" s="168" t="str">
        <f t="shared" si="272"/>
        <v/>
      </c>
      <c r="AV1301" s="227"/>
      <c r="AW1301" s="30"/>
      <c r="AX1301" s="267"/>
      <c r="AY1301" s="267"/>
      <c r="AZ1301" s="29"/>
      <c r="BA1301" s="30"/>
      <c r="BB1301" s="23" t="str" cm="1">
        <f t="array" ref="BB1301">_xlfn.IFS(AW1301="SIM",SUM(K1301,P1301,U1301,Z1301,AE1301,AJ1301,AO1301,AT1301,AX1301,AY1301),F1301&lt;&gt;"",SUM(K1301,P1301,U1301,Z1301,AE1301,AJ1301,,AO1301,AT1301),F1301="","")</f>
        <v/>
      </c>
      <c r="BC1301" s="211" t="str" cm="1">
        <f t="array" ref="BC1301">_xlfn.IFS(E1301="","",G1301&lt;=E1301,BB1301*(1-0.03),G1301&lt;(E1301+8),BB1301,AZ1301="Boleto",BB1301*(1+0.001)^DATEDIF(E1301,G1301,"D"),AZ1301="Cheque",BB1301,AZ1301="Dinheiro","Alterar forma pgto")</f>
        <v/>
      </c>
      <c r="BD1301" s="276" t="str" cm="1">
        <f t="array" ref="BD1301">IF(F1301=0," ",IF(BC1301&lt;BB1301,(_xlfn.IFS(AW1301="SIM",SUM(L1301,Q1301,V1301,AA1301,AF1301,AK1301,AP1301,AU1301)+AX1301/_xlfn.XLOOKUP(_xlfn.XLOOKUP($F1301,Clientes!$B$4:$B$39,Clientes!$C$4:$C$39),Cadastros!$L$6:$L$12,Cadastros!$M$6:$M$12)+IF($F1301="Bernardino Furlan",AY1301/2751.92,IF($F1301="Mauro José Salanti",AY1301/2751.92,AY1301/3356)),F1301&lt;&gt;0,SUM(L1301,Q1301,V1301,AA1301,AF1301,AK1301,AP1301,AU1301)))*(1-0.03),_xlfn.IFS(AW1301="SIM",SUM(L1301,Q1301,V1301,AA1301,AF1301,AK1301,AP1301,AU1301)+AX1301/_xlfn.XLOOKUP(_xlfn.XLOOKUP($F1301,Clientes!$B$4:$B$39,Clientes!$C$4:$C$39),Cadastros!$L$6:$L$12,Cadastros!$M$6:$M$12)+IF($F1301="Bernardino Furlan",AY1301/2751.92,IF($F1301="Mauro José Salanti",AY1301/2751.92,AY1301/3356)),F1301&lt;&gt;0,SUM(L1301,Q1301,V1301,AA1301,AF1301,AK1301,AP1301,AU1301))))</f>
        <v xml:space="preserve"> </v>
      </c>
      <c r="BE1301" s="120"/>
      <c r="BF1301" s="120"/>
      <c r="BG1301" s="120"/>
    </row>
    <row r="1302" spans="1:59" s="3" customFormat="1" x14ac:dyDescent="0.3">
      <c r="A1302" s="15" t="str">
        <f t="shared" si="260"/>
        <v/>
      </c>
      <c r="B1302" s="25"/>
      <c r="C1302" s="26"/>
      <c r="D1302" s="279"/>
      <c r="E1302" s="27"/>
      <c r="F1302" s="28"/>
      <c r="G1302" s="27"/>
      <c r="H1302" s="28"/>
      <c r="I1302" s="28"/>
      <c r="J1302" s="255" t="str">
        <f>IF(H1302="","",(_xlfn.XLOOKUP(H1302,Cadastros!$D$6:$D$90,Cadastros!$E$6:$E$90))*(1-_xlfn.XLOOKUP(_xlfn.XLOOKUP($F1302,Clientes!$B$4:$B$39,Clientes!$C$4:$C$39),Cadastros!$L$6:$L$12,Cadastros!$N$6:$N$12)))</f>
        <v/>
      </c>
      <c r="K1302" s="168" t="str">
        <f t="shared" si="261"/>
        <v/>
      </c>
      <c r="L1302" s="168" t="str">
        <f>IFERROR(K1302/_xlfn.XLOOKUP(_xlfn.XLOOKUP($F1302,Clientes!$B$4:$B$39,Clientes!$C$4:$C$39),Cadastros!$L$6:$L$12,Cadastros!$M$6:$M$12)," ")</f>
        <v xml:space="preserve"> </v>
      </c>
      <c r="M1302" s="28"/>
      <c r="N1302" s="28"/>
      <c r="O1302" s="255" t="str">
        <f>IF(M1302="","",(_xlfn.XLOOKUP(M1302,Cadastros!$D$6:$D$90,Cadastros!$E$6:$E$90))*(1-_xlfn.XLOOKUP(_xlfn.XLOOKUP($F1302,Clientes!$B$4:$B$39,Clientes!$C$4:$C$39),Cadastros!$L$6:$L$12,Cadastros!$N$6:$N$12)))</f>
        <v/>
      </c>
      <c r="P1302" s="168" t="str">
        <f t="shared" si="262"/>
        <v/>
      </c>
      <c r="Q1302" s="168" t="str">
        <f>IFERROR(P1302/_xlfn.XLOOKUP(_xlfn.XLOOKUP($F1302,Clientes!$B$4:$B$39,Clientes!$C$4:$C$39),Cadastros!$L$6:$L$12,Cadastros!$M$6:$M$12)," ")</f>
        <v xml:space="preserve"> </v>
      </c>
      <c r="R1302" s="28"/>
      <c r="S1302" s="28"/>
      <c r="T1302" s="255" t="str">
        <f>IF(R1302="","",(_xlfn.XLOOKUP(R1302,Cadastros!$D$6:$D$90,Cadastros!$E$6:$E$90))*(1-_xlfn.XLOOKUP(_xlfn.XLOOKUP($F1302,Clientes!$B$4:$B$39,Clientes!$C$4:$C$39),Cadastros!$L$6:$L$12,Cadastros!$N$6:$N$12)))</f>
        <v/>
      </c>
      <c r="U1302" s="168" t="str">
        <f t="shared" si="263"/>
        <v/>
      </c>
      <c r="V1302" s="168" t="str">
        <f>IFERROR(U1302/_xlfn.XLOOKUP(_xlfn.XLOOKUP($F1302,Clientes!$B$4:$B$39,Clientes!$C$4:$C$39),Cadastros!$L$6:$L$12,Cadastros!$M$6:$M$12)," ")</f>
        <v xml:space="preserve"> </v>
      </c>
      <c r="W1302" s="28"/>
      <c r="X1302" s="28"/>
      <c r="Y1302" s="255" t="str">
        <f>IF(W1302="","",(_xlfn.XLOOKUP(W1302,Cadastros!$D$6:$D$90,Cadastros!$E$6:$E$90))*(1-_xlfn.XLOOKUP(_xlfn.XLOOKUP($F1302,Clientes!$B$4:$B$39,Clientes!$C$4:$C$39),Cadastros!$L$6:$L$12,Cadastros!$N$6:$N$12)))</f>
        <v/>
      </c>
      <c r="Z1302" s="168" t="str">
        <f t="shared" si="264"/>
        <v/>
      </c>
      <c r="AA1302" s="168" t="str">
        <f>IFERROR(Z1302/_xlfn.XLOOKUP(_xlfn.XLOOKUP($F1302,Clientes!$B$4:$B$39,Clientes!$C$4:$C$39),Cadastros!$L$6:$L$12,Cadastros!$M$6:$M$12)," ")</f>
        <v xml:space="preserve"> </v>
      </c>
      <c r="AB1302" s="28"/>
      <c r="AC1302" s="28"/>
      <c r="AD1302" s="20" t="str">
        <f>IF(AB1302="","",IF($F1302="Bernardino Furlan",_xlfn.XLOOKUP(AB1302,Cadastros!$G$6:$G$90,Cadastros!$H$6:$H$90)*(1-0.18),IF($F1302="Mauro José Salanti",_xlfn.XLOOKUP(AB1302,Cadastros!$G$6:$G$90,Cadastros!$H$6:$H$90)*(1-0.18),_xlfn.XLOOKUP(AB1302,Cadastros!$G$6:$G$90,Cadastros!$H$6:$H$90))))</f>
        <v/>
      </c>
      <c r="AE1302" s="168" t="str">
        <f t="shared" si="265"/>
        <v/>
      </c>
      <c r="AF1302" s="168" t="str">
        <f t="shared" si="266"/>
        <v/>
      </c>
      <c r="AG1302" s="28"/>
      <c r="AH1302" s="28"/>
      <c r="AI1302" s="20" t="str">
        <f>IF(AG1302="","",IF($F1302="Bernardino Furlan",_xlfn.XLOOKUP(AG1302,Cadastros!$G$6:$G$90,Cadastros!$H$6:$H$90)*(1-0.18),IF($F1302="Mauro José Salanti",_xlfn.XLOOKUP(AG1302,Cadastros!$G$6:$G$90,Cadastros!$H$6:$H$90)*(1-0.18),_xlfn.XLOOKUP(AG1302,Cadastros!$G$6:$G$90,Cadastros!$H$6:$H$90))))</f>
        <v/>
      </c>
      <c r="AJ1302" s="168" t="str">
        <f t="shared" si="267"/>
        <v/>
      </c>
      <c r="AK1302" s="168" t="str">
        <f t="shared" si="268"/>
        <v/>
      </c>
      <c r="AL1302" s="28"/>
      <c r="AM1302" s="28"/>
      <c r="AN1302" s="20" t="str">
        <f>IF(AL1302="","",IF($F1302="Bernardino Furlan",_xlfn.XLOOKUP(AL1302,Cadastros!$G$6:$G$90,Cadastros!$H$6:$H$90)*(1-0.18),IF($F1302="Mauro José Salanti",_xlfn.XLOOKUP(AL1302,Cadastros!$G$6:$G$90,Cadastros!$H$6:$H$90)*(1-0.18),_xlfn.XLOOKUP(AL1302,Cadastros!$G$6:$G$90,Cadastros!$H$6:$H$90))))</f>
        <v/>
      </c>
      <c r="AO1302" s="168" t="str">
        <f t="shared" si="269"/>
        <v/>
      </c>
      <c r="AP1302" s="168" t="str">
        <f t="shared" si="270"/>
        <v/>
      </c>
      <c r="AQ1302" s="28"/>
      <c r="AR1302" s="28"/>
      <c r="AS1302" s="20" t="str">
        <f>IF(AQ1302="","",IF($F1302="Bernardino Furlan",_xlfn.XLOOKUP(AQ1302,Cadastros!$G$6:$G$90,Cadastros!$H$6:$H$90)*(1-0.18),IF($F1302="Mauro José Salanti",_xlfn.XLOOKUP(AQ1302,Cadastros!$G$6:$G$90,Cadastros!$H$6:$H$90)*(1-0.18),_xlfn.XLOOKUP(AQ1302,Cadastros!$G$6:$G$90,Cadastros!$H$6:$H$90))))</f>
        <v/>
      </c>
      <c r="AT1302" s="168" t="str">
        <f t="shared" si="271"/>
        <v/>
      </c>
      <c r="AU1302" s="168" t="str">
        <f t="shared" si="272"/>
        <v/>
      </c>
      <c r="AV1302" s="227"/>
      <c r="AW1302" s="30"/>
      <c r="AX1302" s="267"/>
      <c r="AY1302" s="267"/>
      <c r="AZ1302" s="29"/>
      <c r="BA1302" s="30"/>
      <c r="BB1302" s="23" t="str" cm="1">
        <f t="array" ref="BB1302">_xlfn.IFS(AW1302="SIM",SUM(K1302,P1302,U1302,Z1302,AE1302,AJ1302,AO1302,AT1302,AX1302,AY1302),F1302&lt;&gt;"",SUM(K1302,P1302,U1302,Z1302,AE1302,AJ1302,,AO1302,AT1302),F1302="","")</f>
        <v/>
      </c>
      <c r="BC1302" s="211" t="str" cm="1">
        <f t="array" ref="BC1302">_xlfn.IFS(E1302="","",G1302&lt;=E1302,BB1302*(1-0.03),G1302&lt;(E1302+8),BB1302,AZ1302="Boleto",BB1302*(1+0.001)^DATEDIF(E1302,G1302,"D"),AZ1302="Cheque",BB1302,AZ1302="Dinheiro","Alterar forma pgto")</f>
        <v/>
      </c>
      <c r="BD1302" s="276" t="str" cm="1">
        <f t="array" ref="BD1302">IF(F1302=0," ",IF(BC1302&lt;BB1302,(_xlfn.IFS(AW1302="SIM",SUM(L1302,Q1302,V1302,AA1302,AF1302,AK1302,AP1302,AU1302)+AX1302/_xlfn.XLOOKUP(_xlfn.XLOOKUP($F1302,Clientes!$B$4:$B$39,Clientes!$C$4:$C$39),Cadastros!$L$6:$L$12,Cadastros!$M$6:$M$12)+IF($F1302="Bernardino Furlan",AY1302/2751.92,IF($F1302="Mauro José Salanti",AY1302/2751.92,AY1302/3356)),F1302&lt;&gt;0,SUM(L1302,Q1302,V1302,AA1302,AF1302,AK1302,AP1302,AU1302)))*(1-0.03),_xlfn.IFS(AW1302="SIM",SUM(L1302,Q1302,V1302,AA1302,AF1302,AK1302,AP1302,AU1302)+AX1302/_xlfn.XLOOKUP(_xlfn.XLOOKUP($F1302,Clientes!$B$4:$B$39,Clientes!$C$4:$C$39),Cadastros!$L$6:$L$12,Cadastros!$M$6:$M$12)+IF($F1302="Bernardino Furlan",AY1302/2751.92,IF($F1302="Mauro José Salanti",AY1302/2751.92,AY1302/3356)),F1302&lt;&gt;0,SUM(L1302,Q1302,V1302,AA1302,AF1302,AK1302,AP1302,AU1302))))</f>
        <v xml:space="preserve"> </v>
      </c>
      <c r="BE1302" s="120"/>
      <c r="BF1302" s="120"/>
      <c r="BG1302" s="120"/>
    </row>
    <row r="1303" spans="1:59" s="3" customFormat="1" x14ac:dyDescent="0.3">
      <c r="A1303" s="15" t="str">
        <f t="shared" si="260"/>
        <v/>
      </c>
      <c r="B1303" s="25"/>
      <c r="C1303" s="26"/>
      <c r="D1303" s="279"/>
      <c r="E1303" s="27"/>
      <c r="F1303" s="28"/>
      <c r="G1303" s="27"/>
      <c r="H1303" s="28"/>
      <c r="I1303" s="28"/>
      <c r="J1303" s="255" t="str">
        <f>IF(H1303="","",(_xlfn.XLOOKUP(H1303,Cadastros!$D$6:$D$90,Cadastros!$E$6:$E$90))*(1-_xlfn.XLOOKUP(_xlfn.XLOOKUP($F1303,Clientes!$B$4:$B$39,Clientes!$C$4:$C$39),Cadastros!$L$6:$L$12,Cadastros!$N$6:$N$12)))</f>
        <v/>
      </c>
      <c r="K1303" s="168" t="str">
        <f t="shared" si="261"/>
        <v/>
      </c>
      <c r="L1303" s="168" t="str">
        <f>IFERROR(K1303/_xlfn.XLOOKUP(_xlfn.XLOOKUP($F1303,Clientes!$B$4:$B$39,Clientes!$C$4:$C$39),Cadastros!$L$6:$L$12,Cadastros!$M$6:$M$12)," ")</f>
        <v xml:space="preserve"> </v>
      </c>
      <c r="M1303" s="28"/>
      <c r="N1303" s="28"/>
      <c r="O1303" s="255" t="str">
        <f>IF(M1303="","",(_xlfn.XLOOKUP(M1303,Cadastros!$D$6:$D$90,Cadastros!$E$6:$E$90))*(1-_xlfn.XLOOKUP(_xlfn.XLOOKUP($F1303,Clientes!$B$4:$B$39,Clientes!$C$4:$C$39),Cadastros!$L$6:$L$12,Cadastros!$N$6:$N$12)))</f>
        <v/>
      </c>
      <c r="P1303" s="168" t="str">
        <f t="shared" si="262"/>
        <v/>
      </c>
      <c r="Q1303" s="168" t="str">
        <f>IFERROR(P1303/_xlfn.XLOOKUP(_xlfn.XLOOKUP($F1303,Clientes!$B$4:$B$39,Clientes!$C$4:$C$39),Cadastros!$L$6:$L$12,Cadastros!$M$6:$M$12)," ")</f>
        <v xml:space="preserve"> </v>
      </c>
      <c r="R1303" s="28"/>
      <c r="S1303" s="28"/>
      <c r="T1303" s="255" t="str">
        <f>IF(R1303="","",(_xlfn.XLOOKUP(R1303,Cadastros!$D$6:$D$90,Cadastros!$E$6:$E$90))*(1-_xlfn.XLOOKUP(_xlfn.XLOOKUP($F1303,Clientes!$B$4:$B$39,Clientes!$C$4:$C$39),Cadastros!$L$6:$L$12,Cadastros!$N$6:$N$12)))</f>
        <v/>
      </c>
      <c r="U1303" s="168" t="str">
        <f t="shared" si="263"/>
        <v/>
      </c>
      <c r="V1303" s="168" t="str">
        <f>IFERROR(U1303/_xlfn.XLOOKUP(_xlfn.XLOOKUP($F1303,Clientes!$B$4:$B$39,Clientes!$C$4:$C$39),Cadastros!$L$6:$L$12,Cadastros!$M$6:$M$12)," ")</f>
        <v xml:space="preserve"> </v>
      </c>
      <c r="W1303" s="28"/>
      <c r="X1303" s="28"/>
      <c r="Y1303" s="255" t="str">
        <f>IF(W1303="","",(_xlfn.XLOOKUP(W1303,Cadastros!$D$6:$D$90,Cadastros!$E$6:$E$90))*(1-_xlfn.XLOOKUP(_xlfn.XLOOKUP($F1303,Clientes!$B$4:$B$39,Clientes!$C$4:$C$39),Cadastros!$L$6:$L$12,Cadastros!$N$6:$N$12)))</f>
        <v/>
      </c>
      <c r="Z1303" s="168" t="str">
        <f t="shared" si="264"/>
        <v/>
      </c>
      <c r="AA1303" s="168" t="str">
        <f>IFERROR(Z1303/_xlfn.XLOOKUP(_xlfn.XLOOKUP($F1303,Clientes!$B$4:$B$39,Clientes!$C$4:$C$39),Cadastros!$L$6:$L$12,Cadastros!$M$6:$M$12)," ")</f>
        <v xml:space="preserve"> </v>
      </c>
      <c r="AB1303" s="28"/>
      <c r="AC1303" s="28"/>
      <c r="AD1303" s="20" t="str">
        <f>IF(AB1303="","",IF($F1303="Bernardino Furlan",_xlfn.XLOOKUP(AB1303,Cadastros!$G$6:$G$90,Cadastros!$H$6:$H$90)*(1-0.18),IF($F1303="Mauro José Salanti",_xlfn.XLOOKUP(AB1303,Cadastros!$G$6:$G$90,Cadastros!$H$6:$H$90)*(1-0.18),_xlfn.XLOOKUP(AB1303,Cadastros!$G$6:$G$90,Cadastros!$H$6:$H$90))))</f>
        <v/>
      </c>
      <c r="AE1303" s="168" t="str">
        <f t="shared" si="265"/>
        <v/>
      </c>
      <c r="AF1303" s="168" t="str">
        <f t="shared" si="266"/>
        <v/>
      </c>
      <c r="AG1303" s="28"/>
      <c r="AH1303" s="28"/>
      <c r="AI1303" s="20" t="str">
        <f>IF(AG1303="","",IF($F1303="Bernardino Furlan",_xlfn.XLOOKUP(AG1303,Cadastros!$G$6:$G$90,Cadastros!$H$6:$H$90)*(1-0.18),IF($F1303="Mauro José Salanti",_xlfn.XLOOKUP(AG1303,Cadastros!$G$6:$G$90,Cadastros!$H$6:$H$90)*(1-0.18),_xlfn.XLOOKUP(AG1303,Cadastros!$G$6:$G$90,Cadastros!$H$6:$H$90))))</f>
        <v/>
      </c>
      <c r="AJ1303" s="168" t="str">
        <f t="shared" si="267"/>
        <v/>
      </c>
      <c r="AK1303" s="168" t="str">
        <f t="shared" si="268"/>
        <v/>
      </c>
      <c r="AL1303" s="28"/>
      <c r="AM1303" s="28"/>
      <c r="AN1303" s="20" t="str">
        <f>IF(AL1303="","",IF($F1303="Bernardino Furlan",_xlfn.XLOOKUP(AL1303,Cadastros!$G$6:$G$90,Cadastros!$H$6:$H$90)*(1-0.18),IF($F1303="Mauro José Salanti",_xlfn.XLOOKUP(AL1303,Cadastros!$G$6:$G$90,Cadastros!$H$6:$H$90)*(1-0.18),_xlfn.XLOOKUP(AL1303,Cadastros!$G$6:$G$90,Cadastros!$H$6:$H$90))))</f>
        <v/>
      </c>
      <c r="AO1303" s="168" t="str">
        <f t="shared" si="269"/>
        <v/>
      </c>
      <c r="AP1303" s="168" t="str">
        <f t="shared" si="270"/>
        <v/>
      </c>
      <c r="AQ1303" s="28"/>
      <c r="AR1303" s="28"/>
      <c r="AS1303" s="20" t="str">
        <f>IF(AQ1303="","",IF($F1303="Bernardino Furlan",_xlfn.XLOOKUP(AQ1303,Cadastros!$G$6:$G$90,Cadastros!$H$6:$H$90)*(1-0.18),IF($F1303="Mauro José Salanti",_xlfn.XLOOKUP(AQ1303,Cadastros!$G$6:$G$90,Cadastros!$H$6:$H$90)*(1-0.18),_xlfn.XLOOKUP(AQ1303,Cadastros!$G$6:$G$90,Cadastros!$H$6:$H$90))))</f>
        <v/>
      </c>
      <c r="AT1303" s="168" t="str">
        <f t="shared" si="271"/>
        <v/>
      </c>
      <c r="AU1303" s="168" t="str">
        <f t="shared" si="272"/>
        <v/>
      </c>
      <c r="AV1303" s="227"/>
      <c r="AW1303" s="30"/>
      <c r="AX1303" s="267"/>
      <c r="AY1303" s="267"/>
      <c r="AZ1303" s="29"/>
      <c r="BA1303" s="30"/>
      <c r="BB1303" s="23" t="str" cm="1">
        <f t="array" ref="BB1303">_xlfn.IFS(AW1303="SIM",SUM(K1303,P1303,U1303,Z1303,AE1303,AJ1303,AO1303,AT1303,AX1303,AY1303),F1303&lt;&gt;"",SUM(K1303,P1303,U1303,Z1303,AE1303,AJ1303,,AO1303,AT1303),F1303="","")</f>
        <v/>
      </c>
      <c r="BC1303" s="211" t="str" cm="1">
        <f t="array" ref="BC1303">_xlfn.IFS(E1303="","",G1303&lt;=E1303,BB1303*(1-0.03),G1303&lt;(E1303+8),BB1303,AZ1303="Boleto",BB1303*(1+0.001)^DATEDIF(E1303,G1303,"D"),AZ1303="Cheque",BB1303,AZ1303="Dinheiro","Alterar forma pgto")</f>
        <v/>
      </c>
      <c r="BD1303" s="276" t="str" cm="1">
        <f t="array" ref="BD1303">IF(F1303=0," ",IF(BC1303&lt;BB1303,(_xlfn.IFS(AW1303="SIM",SUM(L1303,Q1303,V1303,AA1303,AF1303,AK1303,AP1303,AU1303)+AX1303/_xlfn.XLOOKUP(_xlfn.XLOOKUP($F1303,Clientes!$B$4:$B$39,Clientes!$C$4:$C$39),Cadastros!$L$6:$L$12,Cadastros!$M$6:$M$12)+IF($F1303="Bernardino Furlan",AY1303/2751.92,IF($F1303="Mauro José Salanti",AY1303/2751.92,AY1303/3356)),F1303&lt;&gt;0,SUM(L1303,Q1303,V1303,AA1303,AF1303,AK1303,AP1303,AU1303)))*(1-0.03),_xlfn.IFS(AW1303="SIM",SUM(L1303,Q1303,V1303,AA1303,AF1303,AK1303,AP1303,AU1303)+AX1303/_xlfn.XLOOKUP(_xlfn.XLOOKUP($F1303,Clientes!$B$4:$B$39,Clientes!$C$4:$C$39),Cadastros!$L$6:$L$12,Cadastros!$M$6:$M$12)+IF($F1303="Bernardino Furlan",AY1303/2751.92,IF($F1303="Mauro José Salanti",AY1303/2751.92,AY1303/3356)),F1303&lt;&gt;0,SUM(L1303,Q1303,V1303,AA1303,AF1303,AK1303,AP1303,AU1303))))</f>
        <v xml:space="preserve"> </v>
      </c>
      <c r="BE1303" s="120"/>
      <c r="BF1303" s="120"/>
      <c r="BG1303" s="120"/>
    </row>
    <row r="1304" spans="1:59" s="3" customFormat="1" x14ac:dyDescent="0.3">
      <c r="A1304" s="15" t="str">
        <f t="shared" si="260"/>
        <v/>
      </c>
      <c r="B1304" s="25"/>
      <c r="C1304" s="26"/>
      <c r="D1304" s="279"/>
      <c r="E1304" s="27"/>
      <c r="F1304" s="28"/>
      <c r="G1304" s="27"/>
      <c r="H1304" s="28"/>
      <c r="I1304" s="28"/>
      <c r="J1304" s="255" t="str">
        <f>IF(H1304="","",(_xlfn.XLOOKUP(H1304,Cadastros!$D$6:$D$90,Cadastros!$E$6:$E$90))*(1-_xlfn.XLOOKUP(_xlfn.XLOOKUP($F1304,Clientes!$B$4:$B$39,Clientes!$C$4:$C$39),Cadastros!$L$6:$L$12,Cadastros!$N$6:$N$12)))</f>
        <v/>
      </c>
      <c r="K1304" s="168" t="str">
        <f t="shared" si="261"/>
        <v/>
      </c>
      <c r="L1304" s="168" t="str">
        <f>IFERROR(K1304/_xlfn.XLOOKUP(_xlfn.XLOOKUP($F1304,Clientes!$B$4:$B$39,Clientes!$C$4:$C$39),Cadastros!$L$6:$L$12,Cadastros!$M$6:$M$12)," ")</f>
        <v xml:space="preserve"> </v>
      </c>
      <c r="M1304" s="28"/>
      <c r="N1304" s="28"/>
      <c r="O1304" s="255" t="str">
        <f>IF(M1304="","",(_xlfn.XLOOKUP(M1304,Cadastros!$D$6:$D$90,Cadastros!$E$6:$E$90))*(1-_xlfn.XLOOKUP(_xlfn.XLOOKUP($F1304,Clientes!$B$4:$B$39,Clientes!$C$4:$C$39),Cadastros!$L$6:$L$12,Cadastros!$N$6:$N$12)))</f>
        <v/>
      </c>
      <c r="P1304" s="168" t="str">
        <f t="shared" si="262"/>
        <v/>
      </c>
      <c r="Q1304" s="168" t="str">
        <f>IFERROR(P1304/_xlfn.XLOOKUP(_xlfn.XLOOKUP($F1304,Clientes!$B$4:$B$39,Clientes!$C$4:$C$39),Cadastros!$L$6:$L$12,Cadastros!$M$6:$M$12)," ")</f>
        <v xml:space="preserve"> </v>
      </c>
      <c r="R1304" s="28"/>
      <c r="S1304" s="28"/>
      <c r="T1304" s="255" t="str">
        <f>IF(R1304="","",(_xlfn.XLOOKUP(R1304,Cadastros!$D$6:$D$90,Cadastros!$E$6:$E$90))*(1-_xlfn.XLOOKUP(_xlfn.XLOOKUP($F1304,Clientes!$B$4:$B$39,Clientes!$C$4:$C$39),Cadastros!$L$6:$L$12,Cadastros!$N$6:$N$12)))</f>
        <v/>
      </c>
      <c r="U1304" s="168" t="str">
        <f t="shared" si="263"/>
        <v/>
      </c>
      <c r="V1304" s="168" t="str">
        <f>IFERROR(U1304/_xlfn.XLOOKUP(_xlfn.XLOOKUP($F1304,Clientes!$B$4:$B$39,Clientes!$C$4:$C$39),Cadastros!$L$6:$L$12,Cadastros!$M$6:$M$12)," ")</f>
        <v xml:space="preserve"> </v>
      </c>
      <c r="W1304" s="28"/>
      <c r="X1304" s="28"/>
      <c r="Y1304" s="255" t="str">
        <f>IF(W1304="","",(_xlfn.XLOOKUP(W1304,Cadastros!$D$6:$D$90,Cadastros!$E$6:$E$90))*(1-_xlfn.XLOOKUP(_xlfn.XLOOKUP($F1304,Clientes!$B$4:$B$39,Clientes!$C$4:$C$39),Cadastros!$L$6:$L$12,Cadastros!$N$6:$N$12)))</f>
        <v/>
      </c>
      <c r="Z1304" s="168" t="str">
        <f t="shared" si="264"/>
        <v/>
      </c>
      <c r="AA1304" s="168" t="str">
        <f>IFERROR(Z1304/_xlfn.XLOOKUP(_xlfn.XLOOKUP($F1304,Clientes!$B$4:$B$39,Clientes!$C$4:$C$39),Cadastros!$L$6:$L$12,Cadastros!$M$6:$M$12)," ")</f>
        <v xml:space="preserve"> </v>
      </c>
      <c r="AB1304" s="28"/>
      <c r="AC1304" s="28"/>
      <c r="AD1304" s="20" t="str">
        <f>IF(AB1304="","",IF($F1304="Bernardino Furlan",_xlfn.XLOOKUP(AB1304,Cadastros!$G$6:$G$90,Cadastros!$H$6:$H$90)*(1-0.18),IF($F1304="Mauro José Salanti",_xlfn.XLOOKUP(AB1304,Cadastros!$G$6:$G$90,Cadastros!$H$6:$H$90)*(1-0.18),_xlfn.XLOOKUP(AB1304,Cadastros!$G$6:$G$90,Cadastros!$H$6:$H$90))))</f>
        <v/>
      </c>
      <c r="AE1304" s="168" t="str">
        <f t="shared" si="265"/>
        <v/>
      </c>
      <c r="AF1304" s="168" t="str">
        <f t="shared" si="266"/>
        <v/>
      </c>
      <c r="AG1304" s="28"/>
      <c r="AH1304" s="28"/>
      <c r="AI1304" s="20" t="str">
        <f>IF(AG1304="","",IF($F1304="Bernardino Furlan",_xlfn.XLOOKUP(AG1304,Cadastros!$G$6:$G$90,Cadastros!$H$6:$H$90)*(1-0.18),IF($F1304="Mauro José Salanti",_xlfn.XLOOKUP(AG1304,Cadastros!$G$6:$G$90,Cadastros!$H$6:$H$90)*(1-0.18),_xlfn.XLOOKUP(AG1304,Cadastros!$G$6:$G$90,Cadastros!$H$6:$H$90))))</f>
        <v/>
      </c>
      <c r="AJ1304" s="168" t="str">
        <f t="shared" si="267"/>
        <v/>
      </c>
      <c r="AK1304" s="168" t="str">
        <f t="shared" si="268"/>
        <v/>
      </c>
      <c r="AL1304" s="28"/>
      <c r="AM1304" s="28"/>
      <c r="AN1304" s="20" t="str">
        <f>IF(AL1304="","",IF($F1304="Bernardino Furlan",_xlfn.XLOOKUP(AL1304,Cadastros!$G$6:$G$90,Cadastros!$H$6:$H$90)*(1-0.18),IF($F1304="Mauro José Salanti",_xlfn.XLOOKUP(AL1304,Cadastros!$G$6:$G$90,Cadastros!$H$6:$H$90)*(1-0.18),_xlfn.XLOOKUP(AL1304,Cadastros!$G$6:$G$90,Cadastros!$H$6:$H$90))))</f>
        <v/>
      </c>
      <c r="AO1304" s="168" t="str">
        <f t="shared" si="269"/>
        <v/>
      </c>
      <c r="AP1304" s="168" t="str">
        <f t="shared" si="270"/>
        <v/>
      </c>
      <c r="AQ1304" s="28"/>
      <c r="AR1304" s="28"/>
      <c r="AS1304" s="20" t="str">
        <f>IF(AQ1304="","",IF($F1304="Bernardino Furlan",_xlfn.XLOOKUP(AQ1304,Cadastros!$G$6:$G$90,Cadastros!$H$6:$H$90)*(1-0.18),IF($F1304="Mauro José Salanti",_xlfn.XLOOKUP(AQ1304,Cadastros!$G$6:$G$90,Cadastros!$H$6:$H$90)*(1-0.18),_xlfn.XLOOKUP(AQ1304,Cadastros!$G$6:$G$90,Cadastros!$H$6:$H$90))))</f>
        <v/>
      </c>
      <c r="AT1304" s="168" t="str">
        <f t="shared" si="271"/>
        <v/>
      </c>
      <c r="AU1304" s="168" t="str">
        <f t="shared" si="272"/>
        <v/>
      </c>
      <c r="AV1304" s="227"/>
      <c r="AW1304" s="30"/>
      <c r="AX1304" s="267"/>
      <c r="AY1304" s="267"/>
      <c r="AZ1304" s="29"/>
      <c r="BA1304" s="30"/>
      <c r="BB1304" s="23" t="str" cm="1">
        <f t="array" ref="BB1304">_xlfn.IFS(AW1304="SIM",SUM(K1304,P1304,U1304,Z1304,AE1304,AJ1304,AO1304,AT1304,AX1304,AY1304),F1304&lt;&gt;"",SUM(K1304,P1304,U1304,Z1304,AE1304,AJ1304,,AO1304,AT1304),F1304="","")</f>
        <v/>
      </c>
      <c r="BC1304" s="211" t="str" cm="1">
        <f t="array" ref="BC1304">_xlfn.IFS(E1304="","",G1304&lt;=E1304,BB1304*(1-0.03),G1304&lt;(E1304+8),BB1304,AZ1304="Boleto",BB1304*(1+0.001)^DATEDIF(E1304,G1304,"D"),AZ1304="Cheque",BB1304,AZ1304="Dinheiro","Alterar forma pgto")</f>
        <v/>
      </c>
      <c r="BD1304" s="276" t="str" cm="1">
        <f t="array" ref="BD1304">IF(F1304=0," ",IF(BC1304&lt;BB1304,(_xlfn.IFS(AW1304="SIM",SUM(L1304,Q1304,V1304,AA1304,AF1304,AK1304,AP1304,AU1304)+AX1304/_xlfn.XLOOKUP(_xlfn.XLOOKUP($F1304,Clientes!$B$4:$B$39,Clientes!$C$4:$C$39),Cadastros!$L$6:$L$12,Cadastros!$M$6:$M$12)+IF($F1304="Bernardino Furlan",AY1304/2751.92,IF($F1304="Mauro José Salanti",AY1304/2751.92,AY1304/3356)),F1304&lt;&gt;0,SUM(L1304,Q1304,V1304,AA1304,AF1304,AK1304,AP1304,AU1304)))*(1-0.03),_xlfn.IFS(AW1304="SIM",SUM(L1304,Q1304,V1304,AA1304,AF1304,AK1304,AP1304,AU1304)+AX1304/_xlfn.XLOOKUP(_xlfn.XLOOKUP($F1304,Clientes!$B$4:$B$39,Clientes!$C$4:$C$39),Cadastros!$L$6:$L$12,Cadastros!$M$6:$M$12)+IF($F1304="Bernardino Furlan",AY1304/2751.92,IF($F1304="Mauro José Salanti",AY1304/2751.92,AY1304/3356)),F1304&lt;&gt;0,SUM(L1304,Q1304,V1304,AA1304,AF1304,AK1304,AP1304,AU1304))))</f>
        <v xml:space="preserve"> </v>
      </c>
      <c r="BE1304" s="120"/>
      <c r="BF1304" s="120"/>
      <c r="BG1304" s="120"/>
    </row>
    <row r="1305" spans="1:59" s="3" customFormat="1" x14ac:dyDescent="0.3">
      <c r="A1305" s="15" t="str">
        <f t="shared" si="260"/>
        <v/>
      </c>
      <c r="B1305" s="25"/>
      <c r="C1305" s="26"/>
      <c r="D1305" s="279"/>
      <c r="E1305" s="27"/>
      <c r="F1305" s="28"/>
      <c r="G1305" s="27"/>
      <c r="H1305" s="28"/>
      <c r="I1305" s="28"/>
      <c r="J1305" s="255" t="str">
        <f>IF(H1305="","",(_xlfn.XLOOKUP(H1305,Cadastros!$D$6:$D$90,Cadastros!$E$6:$E$90))*(1-_xlfn.XLOOKUP(_xlfn.XLOOKUP($F1305,Clientes!$B$4:$B$39,Clientes!$C$4:$C$39),Cadastros!$L$6:$L$12,Cadastros!$N$6:$N$12)))</f>
        <v/>
      </c>
      <c r="K1305" s="168" t="str">
        <f t="shared" si="261"/>
        <v/>
      </c>
      <c r="L1305" s="168" t="str">
        <f>IFERROR(K1305/_xlfn.XLOOKUP(_xlfn.XLOOKUP($F1305,Clientes!$B$4:$B$39,Clientes!$C$4:$C$39),Cadastros!$L$6:$L$12,Cadastros!$M$6:$M$12)," ")</f>
        <v xml:space="preserve"> </v>
      </c>
      <c r="M1305" s="28"/>
      <c r="N1305" s="28"/>
      <c r="O1305" s="255" t="str">
        <f>IF(M1305="","",(_xlfn.XLOOKUP(M1305,Cadastros!$D$6:$D$90,Cadastros!$E$6:$E$90))*(1-_xlfn.XLOOKUP(_xlfn.XLOOKUP($F1305,Clientes!$B$4:$B$39,Clientes!$C$4:$C$39),Cadastros!$L$6:$L$12,Cadastros!$N$6:$N$12)))</f>
        <v/>
      </c>
      <c r="P1305" s="168" t="str">
        <f t="shared" si="262"/>
        <v/>
      </c>
      <c r="Q1305" s="168" t="str">
        <f>IFERROR(P1305/_xlfn.XLOOKUP(_xlfn.XLOOKUP($F1305,Clientes!$B$4:$B$39,Clientes!$C$4:$C$39),Cadastros!$L$6:$L$12,Cadastros!$M$6:$M$12)," ")</f>
        <v xml:space="preserve"> </v>
      </c>
      <c r="R1305" s="28"/>
      <c r="S1305" s="28"/>
      <c r="T1305" s="255" t="str">
        <f>IF(R1305="","",(_xlfn.XLOOKUP(R1305,Cadastros!$D$6:$D$90,Cadastros!$E$6:$E$90))*(1-_xlfn.XLOOKUP(_xlfn.XLOOKUP($F1305,Clientes!$B$4:$B$39,Clientes!$C$4:$C$39),Cadastros!$L$6:$L$12,Cadastros!$N$6:$N$12)))</f>
        <v/>
      </c>
      <c r="U1305" s="168" t="str">
        <f t="shared" si="263"/>
        <v/>
      </c>
      <c r="V1305" s="168" t="str">
        <f>IFERROR(U1305/_xlfn.XLOOKUP(_xlfn.XLOOKUP($F1305,Clientes!$B$4:$B$39,Clientes!$C$4:$C$39),Cadastros!$L$6:$L$12,Cadastros!$M$6:$M$12)," ")</f>
        <v xml:space="preserve"> </v>
      </c>
      <c r="W1305" s="28"/>
      <c r="X1305" s="28"/>
      <c r="Y1305" s="255" t="str">
        <f>IF(W1305="","",(_xlfn.XLOOKUP(W1305,Cadastros!$D$6:$D$90,Cadastros!$E$6:$E$90))*(1-_xlfn.XLOOKUP(_xlfn.XLOOKUP($F1305,Clientes!$B$4:$B$39,Clientes!$C$4:$C$39),Cadastros!$L$6:$L$12,Cadastros!$N$6:$N$12)))</f>
        <v/>
      </c>
      <c r="Z1305" s="168" t="str">
        <f t="shared" si="264"/>
        <v/>
      </c>
      <c r="AA1305" s="168" t="str">
        <f>IFERROR(Z1305/_xlfn.XLOOKUP(_xlfn.XLOOKUP($F1305,Clientes!$B$4:$B$39,Clientes!$C$4:$C$39),Cadastros!$L$6:$L$12,Cadastros!$M$6:$M$12)," ")</f>
        <v xml:space="preserve"> </v>
      </c>
      <c r="AB1305" s="28"/>
      <c r="AC1305" s="28"/>
      <c r="AD1305" s="20" t="str">
        <f>IF(AB1305="","",IF($F1305="Bernardino Furlan",_xlfn.XLOOKUP(AB1305,Cadastros!$G$6:$G$90,Cadastros!$H$6:$H$90)*(1-0.18),IF($F1305="Mauro José Salanti",_xlfn.XLOOKUP(AB1305,Cadastros!$G$6:$G$90,Cadastros!$H$6:$H$90)*(1-0.18),_xlfn.XLOOKUP(AB1305,Cadastros!$G$6:$G$90,Cadastros!$H$6:$H$90))))</f>
        <v/>
      </c>
      <c r="AE1305" s="168" t="str">
        <f t="shared" si="265"/>
        <v/>
      </c>
      <c r="AF1305" s="168" t="str">
        <f t="shared" si="266"/>
        <v/>
      </c>
      <c r="AG1305" s="28"/>
      <c r="AH1305" s="28"/>
      <c r="AI1305" s="20" t="str">
        <f>IF(AG1305="","",IF($F1305="Bernardino Furlan",_xlfn.XLOOKUP(AG1305,Cadastros!$G$6:$G$90,Cadastros!$H$6:$H$90)*(1-0.18),IF($F1305="Mauro José Salanti",_xlfn.XLOOKUP(AG1305,Cadastros!$G$6:$G$90,Cadastros!$H$6:$H$90)*(1-0.18),_xlfn.XLOOKUP(AG1305,Cadastros!$G$6:$G$90,Cadastros!$H$6:$H$90))))</f>
        <v/>
      </c>
      <c r="AJ1305" s="168" t="str">
        <f t="shared" si="267"/>
        <v/>
      </c>
      <c r="AK1305" s="168" t="str">
        <f t="shared" si="268"/>
        <v/>
      </c>
      <c r="AL1305" s="28"/>
      <c r="AM1305" s="28"/>
      <c r="AN1305" s="20" t="str">
        <f>IF(AL1305="","",IF($F1305="Bernardino Furlan",_xlfn.XLOOKUP(AL1305,Cadastros!$G$6:$G$90,Cadastros!$H$6:$H$90)*(1-0.18),IF($F1305="Mauro José Salanti",_xlfn.XLOOKUP(AL1305,Cadastros!$G$6:$G$90,Cadastros!$H$6:$H$90)*(1-0.18),_xlfn.XLOOKUP(AL1305,Cadastros!$G$6:$G$90,Cadastros!$H$6:$H$90))))</f>
        <v/>
      </c>
      <c r="AO1305" s="168" t="str">
        <f t="shared" si="269"/>
        <v/>
      </c>
      <c r="AP1305" s="168" t="str">
        <f t="shared" si="270"/>
        <v/>
      </c>
      <c r="AQ1305" s="28"/>
      <c r="AR1305" s="28"/>
      <c r="AS1305" s="20" t="str">
        <f>IF(AQ1305="","",IF($F1305="Bernardino Furlan",_xlfn.XLOOKUP(AQ1305,Cadastros!$G$6:$G$90,Cadastros!$H$6:$H$90)*(1-0.18),IF($F1305="Mauro José Salanti",_xlfn.XLOOKUP(AQ1305,Cadastros!$G$6:$G$90,Cadastros!$H$6:$H$90)*(1-0.18),_xlfn.XLOOKUP(AQ1305,Cadastros!$G$6:$G$90,Cadastros!$H$6:$H$90))))</f>
        <v/>
      </c>
      <c r="AT1305" s="168" t="str">
        <f t="shared" si="271"/>
        <v/>
      </c>
      <c r="AU1305" s="168" t="str">
        <f t="shared" si="272"/>
        <v/>
      </c>
      <c r="AV1305" s="227"/>
      <c r="AW1305" s="30"/>
      <c r="AX1305" s="267"/>
      <c r="AY1305" s="267"/>
      <c r="AZ1305" s="29"/>
      <c r="BA1305" s="30"/>
      <c r="BB1305" s="23" t="str" cm="1">
        <f t="array" ref="BB1305">_xlfn.IFS(AW1305="SIM",SUM(K1305,P1305,U1305,Z1305,AE1305,AJ1305,AO1305,AT1305,AX1305,AY1305),F1305&lt;&gt;"",SUM(K1305,P1305,U1305,Z1305,AE1305,AJ1305,,AO1305,AT1305),F1305="","")</f>
        <v/>
      </c>
      <c r="BC1305" s="211" t="str" cm="1">
        <f t="array" ref="BC1305">_xlfn.IFS(E1305="","",G1305&lt;=E1305,BB1305*(1-0.03),G1305&lt;(E1305+8),BB1305,AZ1305="Boleto",BB1305*(1+0.001)^DATEDIF(E1305,G1305,"D"),AZ1305="Cheque",BB1305,AZ1305="Dinheiro","Alterar forma pgto")</f>
        <v/>
      </c>
      <c r="BD1305" s="276" t="str" cm="1">
        <f t="array" ref="BD1305">IF(F1305=0," ",IF(BC1305&lt;BB1305,(_xlfn.IFS(AW1305="SIM",SUM(L1305,Q1305,V1305,AA1305,AF1305,AK1305,AP1305,AU1305)+AX1305/_xlfn.XLOOKUP(_xlfn.XLOOKUP($F1305,Clientes!$B$4:$B$39,Clientes!$C$4:$C$39),Cadastros!$L$6:$L$12,Cadastros!$M$6:$M$12)+IF($F1305="Bernardino Furlan",AY1305/2751.92,IF($F1305="Mauro José Salanti",AY1305/2751.92,AY1305/3356)),F1305&lt;&gt;0,SUM(L1305,Q1305,V1305,AA1305,AF1305,AK1305,AP1305,AU1305)))*(1-0.03),_xlfn.IFS(AW1305="SIM",SUM(L1305,Q1305,V1305,AA1305,AF1305,AK1305,AP1305,AU1305)+AX1305/_xlfn.XLOOKUP(_xlfn.XLOOKUP($F1305,Clientes!$B$4:$B$39,Clientes!$C$4:$C$39),Cadastros!$L$6:$L$12,Cadastros!$M$6:$M$12)+IF($F1305="Bernardino Furlan",AY1305/2751.92,IF($F1305="Mauro José Salanti",AY1305/2751.92,AY1305/3356)),F1305&lt;&gt;0,SUM(L1305,Q1305,V1305,AA1305,AF1305,AK1305,AP1305,AU1305))))</f>
        <v xml:space="preserve"> </v>
      </c>
      <c r="BE1305" s="120"/>
      <c r="BF1305" s="120"/>
      <c r="BG1305" s="120"/>
    </row>
    <row r="1306" spans="1:59" s="3" customFormat="1" x14ac:dyDescent="0.3">
      <c r="A1306" s="15" t="str">
        <f t="shared" si="260"/>
        <v/>
      </c>
      <c r="B1306" s="25"/>
      <c r="C1306" s="26"/>
      <c r="D1306" s="279"/>
      <c r="E1306" s="27"/>
      <c r="F1306" s="28"/>
      <c r="G1306" s="27"/>
      <c r="H1306" s="28"/>
      <c r="I1306" s="28"/>
      <c r="J1306" s="255" t="str">
        <f>IF(H1306="","",(_xlfn.XLOOKUP(H1306,Cadastros!$D$6:$D$90,Cadastros!$E$6:$E$90))*(1-_xlfn.XLOOKUP(_xlfn.XLOOKUP($F1306,Clientes!$B$4:$B$39,Clientes!$C$4:$C$39),Cadastros!$L$6:$L$12,Cadastros!$N$6:$N$12)))</f>
        <v/>
      </c>
      <c r="K1306" s="168" t="str">
        <f t="shared" si="261"/>
        <v/>
      </c>
      <c r="L1306" s="168" t="str">
        <f>IFERROR(K1306/_xlfn.XLOOKUP(_xlfn.XLOOKUP($F1306,Clientes!$B$4:$B$39,Clientes!$C$4:$C$39),Cadastros!$L$6:$L$12,Cadastros!$M$6:$M$12)," ")</f>
        <v xml:space="preserve"> </v>
      </c>
      <c r="M1306" s="28"/>
      <c r="N1306" s="28"/>
      <c r="O1306" s="255" t="str">
        <f>IF(M1306="","",(_xlfn.XLOOKUP(M1306,Cadastros!$D$6:$D$90,Cadastros!$E$6:$E$90))*(1-_xlfn.XLOOKUP(_xlfn.XLOOKUP($F1306,Clientes!$B$4:$B$39,Clientes!$C$4:$C$39),Cadastros!$L$6:$L$12,Cadastros!$N$6:$N$12)))</f>
        <v/>
      </c>
      <c r="P1306" s="168" t="str">
        <f t="shared" si="262"/>
        <v/>
      </c>
      <c r="Q1306" s="168" t="str">
        <f>IFERROR(P1306/_xlfn.XLOOKUP(_xlfn.XLOOKUP($F1306,Clientes!$B$4:$B$39,Clientes!$C$4:$C$39),Cadastros!$L$6:$L$12,Cadastros!$M$6:$M$12)," ")</f>
        <v xml:space="preserve"> </v>
      </c>
      <c r="R1306" s="28"/>
      <c r="S1306" s="28"/>
      <c r="T1306" s="255" t="str">
        <f>IF(R1306="","",(_xlfn.XLOOKUP(R1306,Cadastros!$D$6:$D$90,Cadastros!$E$6:$E$90))*(1-_xlfn.XLOOKUP(_xlfn.XLOOKUP($F1306,Clientes!$B$4:$B$39,Clientes!$C$4:$C$39),Cadastros!$L$6:$L$12,Cadastros!$N$6:$N$12)))</f>
        <v/>
      </c>
      <c r="U1306" s="168" t="str">
        <f t="shared" si="263"/>
        <v/>
      </c>
      <c r="V1306" s="168" t="str">
        <f>IFERROR(U1306/_xlfn.XLOOKUP(_xlfn.XLOOKUP($F1306,Clientes!$B$4:$B$39,Clientes!$C$4:$C$39),Cadastros!$L$6:$L$12,Cadastros!$M$6:$M$12)," ")</f>
        <v xml:space="preserve"> </v>
      </c>
      <c r="W1306" s="28"/>
      <c r="X1306" s="28"/>
      <c r="Y1306" s="255" t="str">
        <f>IF(W1306="","",(_xlfn.XLOOKUP(W1306,Cadastros!$D$6:$D$90,Cadastros!$E$6:$E$90))*(1-_xlfn.XLOOKUP(_xlfn.XLOOKUP($F1306,Clientes!$B$4:$B$39,Clientes!$C$4:$C$39),Cadastros!$L$6:$L$12,Cadastros!$N$6:$N$12)))</f>
        <v/>
      </c>
      <c r="Z1306" s="168" t="str">
        <f t="shared" si="264"/>
        <v/>
      </c>
      <c r="AA1306" s="168" t="str">
        <f>IFERROR(Z1306/_xlfn.XLOOKUP(_xlfn.XLOOKUP($F1306,Clientes!$B$4:$B$39,Clientes!$C$4:$C$39),Cadastros!$L$6:$L$12,Cadastros!$M$6:$M$12)," ")</f>
        <v xml:space="preserve"> </v>
      </c>
      <c r="AB1306" s="28"/>
      <c r="AC1306" s="28"/>
      <c r="AD1306" s="20" t="str">
        <f>IF(AB1306="","",IF($F1306="Bernardino Furlan",_xlfn.XLOOKUP(AB1306,Cadastros!$G$6:$G$90,Cadastros!$H$6:$H$90)*(1-0.18),IF($F1306="Mauro José Salanti",_xlfn.XLOOKUP(AB1306,Cadastros!$G$6:$G$90,Cadastros!$H$6:$H$90)*(1-0.18),_xlfn.XLOOKUP(AB1306,Cadastros!$G$6:$G$90,Cadastros!$H$6:$H$90))))</f>
        <v/>
      </c>
      <c r="AE1306" s="168" t="str">
        <f t="shared" si="265"/>
        <v/>
      </c>
      <c r="AF1306" s="168" t="str">
        <f t="shared" si="266"/>
        <v/>
      </c>
      <c r="AG1306" s="28"/>
      <c r="AH1306" s="28"/>
      <c r="AI1306" s="20" t="str">
        <f>IF(AG1306="","",IF($F1306="Bernardino Furlan",_xlfn.XLOOKUP(AG1306,Cadastros!$G$6:$G$90,Cadastros!$H$6:$H$90)*(1-0.18),IF($F1306="Mauro José Salanti",_xlfn.XLOOKUP(AG1306,Cadastros!$G$6:$G$90,Cadastros!$H$6:$H$90)*(1-0.18),_xlfn.XLOOKUP(AG1306,Cadastros!$G$6:$G$90,Cadastros!$H$6:$H$90))))</f>
        <v/>
      </c>
      <c r="AJ1306" s="168" t="str">
        <f t="shared" si="267"/>
        <v/>
      </c>
      <c r="AK1306" s="168" t="str">
        <f t="shared" si="268"/>
        <v/>
      </c>
      <c r="AL1306" s="28"/>
      <c r="AM1306" s="28"/>
      <c r="AN1306" s="20" t="str">
        <f>IF(AL1306="","",IF($F1306="Bernardino Furlan",_xlfn.XLOOKUP(AL1306,Cadastros!$G$6:$G$90,Cadastros!$H$6:$H$90)*(1-0.18),IF($F1306="Mauro José Salanti",_xlfn.XLOOKUP(AL1306,Cadastros!$G$6:$G$90,Cadastros!$H$6:$H$90)*(1-0.18),_xlfn.XLOOKUP(AL1306,Cadastros!$G$6:$G$90,Cadastros!$H$6:$H$90))))</f>
        <v/>
      </c>
      <c r="AO1306" s="168" t="str">
        <f t="shared" si="269"/>
        <v/>
      </c>
      <c r="AP1306" s="168" t="str">
        <f t="shared" si="270"/>
        <v/>
      </c>
      <c r="AQ1306" s="28"/>
      <c r="AR1306" s="28"/>
      <c r="AS1306" s="20" t="str">
        <f>IF(AQ1306="","",IF($F1306="Bernardino Furlan",_xlfn.XLOOKUP(AQ1306,Cadastros!$G$6:$G$90,Cadastros!$H$6:$H$90)*(1-0.18),IF($F1306="Mauro José Salanti",_xlfn.XLOOKUP(AQ1306,Cadastros!$G$6:$G$90,Cadastros!$H$6:$H$90)*(1-0.18),_xlfn.XLOOKUP(AQ1306,Cadastros!$G$6:$G$90,Cadastros!$H$6:$H$90))))</f>
        <v/>
      </c>
      <c r="AT1306" s="168" t="str">
        <f t="shared" si="271"/>
        <v/>
      </c>
      <c r="AU1306" s="168" t="str">
        <f t="shared" si="272"/>
        <v/>
      </c>
      <c r="AV1306" s="227"/>
      <c r="AW1306" s="30"/>
      <c r="AX1306" s="267"/>
      <c r="AY1306" s="267"/>
      <c r="AZ1306" s="29"/>
      <c r="BA1306" s="30"/>
      <c r="BB1306" s="23" t="str" cm="1">
        <f t="array" ref="BB1306">_xlfn.IFS(AW1306="SIM",SUM(K1306,P1306,U1306,Z1306,AE1306,AJ1306,AO1306,AT1306,AX1306,AY1306),F1306&lt;&gt;"",SUM(K1306,P1306,U1306,Z1306,AE1306,AJ1306,,AO1306,AT1306),F1306="","")</f>
        <v/>
      </c>
      <c r="BC1306" s="211" t="str" cm="1">
        <f t="array" ref="BC1306">_xlfn.IFS(E1306="","",G1306&lt;=E1306,BB1306*(1-0.03),G1306&lt;(E1306+8),BB1306,AZ1306="Boleto",BB1306*(1+0.001)^DATEDIF(E1306,G1306,"D"),AZ1306="Cheque",BB1306,AZ1306="Dinheiro","Alterar forma pgto")</f>
        <v/>
      </c>
      <c r="BD1306" s="276" t="str" cm="1">
        <f t="array" ref="BD1306">IF(F1306=0," ",IF(BC1306&lt;BB1306,(_xlfn.IFS(AW1306="SIM",SUM(L1306,Q1306,V1306,AA1306,AF1306,AK1306,AP1306,AU1306)+AX1306/_xlfn.XLOOKUP(_xlfn.XLOOKUP($F1306,Clientes!$B$4:$B$39,Clientes!$C$4:$C$39),Cadastros!$L$6:$L$12,Cadastros!$M$6:$M$12)+IF($F1306="Bernardino Furlan",AY1306/2751.92,IF($F1306="Mauro José Salanti",AY1306/2751.92,AY1306/3356)),F1306&lt;&gt;0,SUM(L1306,Q1306,V1306,AA1306,AF1306,AK1306,AP1306,AU1306)))*(1-0.03),_xlfn.IFS(AW1306="SIM",SUM(L1306,Q1306,V1306,AA1306,AF1306,AK1306,AP1306,AU1306)+AX1306/_xlfn.XLOOKUP(_xlfn.XLOOKUP($F1306,Clientes!$B$4:$B$39,Clientes!$C$4:$C$39),Cadastros!$L$6:$L$12,Cadastros!$M$6:$M$12)+IF($F1306="Bernardino Furlan",AY1306/2751.92,IF($F1306="Mauro José Salanti",AY1306/2751.92,AY1306/3356)),F1306&lt;&gt;0,SUM(L1306,Q1306,V1306,AA1306,AF1306,AK1306,AP1306,AU1306))))</f>
        <v xml:space="preserve"> </v>
      </c>
      <c r="BE1306" s="120"/>
      <c r="BF1306" s="120"/>
      <c r="BG1306" s="120"/>
    </row>
    <row r="1307" spans="1:59" s="3" customFormat="1" x14ac:dyDescent="0.3">
      <c r="A1307" s="15" t="str">
        <f t="shared" si="260"/>
        <v/>
      </c>
      <c r="B1307" s="25"/>
      <c r="C1307" s="26"/>
      <c r="D1307" s="279"/>
      <c r="E1307" s="27"/>
      <c r="F1307" s="28"/>
      <c r="G1307" s="27"/>
      <c r="H1307" s="28"/>
      <c r="I1307" s="28"/>
      <c r="J1307" s="255" t="str">
        <f>IF(H1307="","",(_xlfn.XLOOKUP(H1307,Cadastros!$D$6:$D$90,Cadastros!$E$6:$E$90))*(1-_xlfn.XLOOKUP(_xlfn.XLOOKUP($F1307,Clientes!$B$4:$B$39,Clientes!$C$4:$C$39),Cadastros!$L$6:$L$12,Cadastros!$N$6:$N$12)))</f>
        <v/>
      </c>
      <c r="K1307" s="168" t="str">
        <f t="shared" si="261"/>
        <v/>
      </c>
      <c r="L1307" s="168" t="str">
        <f>IFERROR(K1307/_xlfn.XLOOKUP(_xlfn.XLOOKUP($F1307,Clientes!$B$4:$B$39,Clientes!$C$4:$C$39),Cadastros!$L$6:$L$12,Cadastros!$M$6:$M$12)," ")</f>
        <v xml:space="preserve"> </v>
      </c>
      <c r="M1307" s="28"/>
      <c r="N1307" s="28"/>
      <c r="O1307" s="255" t="str">
        <f>IF(M1307="","",(_xlfn.XLOOKUP(M1307,Cadastros!$D$6:$D$90,Cadastros!$E$6:$E$90))*(1-_xlfn.XLOOKUP(_xlfn.XLOOKUP($F1307,Clientes!$B$4:$B$39,Clientes!$C$4:$C$39),Cadastros!$L$6:$L$12,Cadastros!$N$6:$N$12)))</f>
        <v/>
      </c>
      <c r="P1307" s="168" t="str">
        <f t="shared" si="262"/>
        <v/>
      </c>
      <c r="Q1307" s="168" t="str">
        <f>IFERROR(P1307/_xlfn.XLOOKUP(_xlfn.XLOOKUP($F1307,Clientes!$B$4:$B$39,Clientes!$C$4:$C$39),Cadastros!$L$6:$L$12,Cadastros!$M$6:$M$12)," ")</f>
        <v xml:space="preserve"> </v>
      </c>
      <c r="R1307" s="28"/>
      <c r="S1307" s="28"/>
      <c r="T1307" s="255" t="str">
        <f>IF(R1307="","",(_xlfn.XLOOKUP(R1307,Cadastros!$D$6:$D$90,Cadastros!$E$6:$E$90))*(1-_xlfn.XLOOKUP(_xlfn.XLOOKUP($F1307,Clientes!$B$4:$B$39,Clientes!$C$4:$C$39),Cadastros!$L$6:$L$12,Cadastros!$N$6:$N$12)))</f>
        <v/>
      </c>
      <c r="U1307" s="168" t="str">
        <f t="shared" si="263"/>
        <v/>
      </c>
      <c r="V1307" s="168" t="str">
        <f>IFERROR(U1307/_xlfn.XLOOKUP(_xlfn.XLOOKUP($F1307,Clientes!$B$4:$B$39,Clientes!$C$4:$C$39),Cadastros!$L$6:$L$12,Cadastros!$M$6:$M$12)," ")</f>
        <v xml:space="preserve"> </v>
      </c>
      <c r="W1307" s="28"/>
      <c r="X1307" s="28"/>
      <c r="Y1307" s="255" t="str">
        <f>IF(W1307="","",(_xlfn.XLOOKUP(W1307,Cadastros!$D$6:$D$90,Cadastros!$E$6:$E$90))*(1-_xlfn.XLOOKUP(_xlfn.XLOOKUP($F1307,Clientes!$B$4:$B$39,Clientes!$C$4:$C$39),Cadastros!$L$6:$L$12,Cadastros!$N$6:$N$12)))</f>
        <v/>
      </c>
      <c r="Z1307" s="168" t="str">
        <f t="shared" si="264"/>
        <v/>
      </c>
      <c r="AA1307" s="168" t="str">
        <f>IFERROR(Z1307/_xlfn.XLOOKUP(_xlfn.XLOOKUP($F1307,Clientes!$B$4:$B$39,Clientes!$C$4:$C$39),Cadastros!$L$6:$L$12,Cadastros!$M$6:$M$12)," ")</f>
        <v xml:space="preserve"> </v>
      </c>
      <c r="AB1307" s="28"/>
      <c r="AC1307" s="28"/>
      <c r="AD1307" s="20" t="str">
        <f>IF(AB1307="","",IF($F1307="Bernardino Furlan",_xlfn.XLOOKUP(AB1307,Cadastros!$G$6:$G$90,Cadastros!$H$6:$H$90)*(1-0.18),IF($F1307="Mauro José Salanti",_xlfn.XLOOKUP(AB1307,Cadastros!$G$6:$G$90,Cadastros!$H$6:$H$90)*(1-0.18),_xlfn.XLOOKUP(AB1307,Cadastros!$G$6:$G$90,Cadastros!$H$6:$H$90))))</f>
        <v/>
      </c>
      <c r="AE1307" s="168" t="str">
        <f t="shared" si="265"/>
        <v/>
      </c>
      <c r="AF1307" s="168" t="str">
        <f t="shared" si="266"/>
        <v/>
      </c>
      <c r="AG1307" s="28"/>
      <c r="AH1307" s="28"/>
      <c r="AI1307" s="20" t="str">
        <f>IF(AG1307="","",IF($F1307="Bernardino Furlan",_xlfn.XLOOKUP(AG1307,Cadastros!$G$6:$G$90,Cadastros!$H$6:$H$90)*(1-0.18),IF($F1307="Mauro José Salanti",_xlfn.XLOOKUP(AG1307,Cadastros!$G$6:$G$90,Cadastros!$H$6:$H$90)*(1-0.18),_xlfn.XLOOKUP(AG1307,Cadastros!$G$6:$G$90,Cadastros!$H$6:$H$90))))</f>
        <v/>
      </c>
      <c r="AJ1307" s="168" t="str">
        <f t="shared" si="267"/>
        <v/>
      </c>
      <c r="AK1307" s="168" t="str">
        <f t="shared" si="268"/>
        <v/>
      </c>
      <c r="AL1307" s="28"/>
      <c r="AM1307" s="28"/>
      <c r="AN1307" s="20" t="str">
        <f>IF(AL1307="","",IF($F1307="Bernardino Furlan",_xlfn.XLOOKUP(AL1307,Cadastros!$G$6:$G$90,Cadastros!$H$6:$H$90)*(1-0.18),IF($F1307="Mauro José Salanti",_xlfn.XLOOKUP(AL1307,Cadastros!$G$6:$G$90,Cadastros!$H$6:$H$90)*(1-0.18),_xlfn.XLOOKUP(AL1307,Cadastros!$G$6:$G$90,Cadastros!$H$6:$H$90))))</f>
        <v/>
      </c>
      <c r="AO1307" s="168" t="str">
        <f t="shared" si="269"/>
        <v/>
      </c>
      <c r="AP1307" s="168" t="str">
        <f t="shared" si="270"/>
        <v/>
      </c>
      <c r="AQ1307" s="28"/>
      <c r="AR1307" s="28"/>
      <c r="AS1307" s="20" t="str">
        <f>IF(AQ1307="","",IF($F1307="Bernardino Furlan",_xlfn.XLOOKUP(AQ1307,Cadastros!$G$6:$G$90,Cadastros!$H$6:$H$90)*(1-0.18),IF($F1307="Mauro José Salanti",_xlfn.XLOOKUP(AQ1307,Cadastros!$G$6:$G$90,Cadastros!$H$6:$H$90)*(1-0.18),_xlfn.XLOOKUP(AQ1307,Cadastros!$G$6:$G$90,Cadastros!$H$6:$H$90))))</f>
        <v/>
      </c>
      <c r="AT1307" s="168" t="str">
        <f t="shared" si="271"/>
        <v/>
      </c>
      <c r="AU1307" s="168" t="str">
        <f t="shared" si="272"/>
        <v/>
      </c>
      <c r="AV1307" s="227"/>
      <c r="AW1307" s="30"/>
      <c r="AX1307" s="267"/>
      <c r="AY1307" s="267"/>
      <c r="AZ1307" s="29"/>
      <c r="BA1307" s="30"/>
      <c r="BB1307" s="23" t="str" cm="1">
        <f t="array" ref="BB1307">_xlfn.IFS(AW1307="SIM",SUM(K1307,P1307,U1307,Z1307,AE1307,AJ1307,AO1307,AT1307,AX1307,AY1307),F1307&lt;&gt;"",SUM(K1307,P1307,U1307,Z1307,AE1307,AJ1307,,AO1307,AT1307),F1307="","")</f>
        <v/>
      </c>
      <c r="BC1307" s="211" t="str" cm="1">
        <f t="array" ref="BC1307">_xlfn.IFS(E1307="","",G1307&lt;=E1307,BB1307*(1-0.03),G1307&lt;(E1307+8),BB1307,AZ1307="Boleto",BB1307*(1+0.001)^DATEDIF(E1307,G1307,"D"),AZ1307="Cheque",BB1307,AZ1307="Dinheiro","Alterar forma pgto")</f>
        <v/>
      </c>
      <c r="BD1307" s="276" t="str" cm="1">
        <f t="array" ref="BD1307">IF(F1307=0," ",IF(BC1307&lt;BB1307,(_xlfn.IFS(AW1307="SIM",SUM(L1307,Q1307,V1307,AA1307,AF1307,AK1307,AP1307,AU1307)+AX1307/_xlfn.XLOOKUP(_xlfn.XLOOKUP($F1307,Clientes!$B$4:$B$39,Clientes!$C$4:$C$39),Cadastros!$L$6:$L$12,Cadastros!$M$6:$M$12)+IF($F1307="Bernardino Furlan",AY1307/2751.92,IF($F1307="Mauro José Salanti",AY1307/2751.92,AY1307/3356)),F1307&lt;&gt;0,SUM(L1307,Q1307,V1307,AA1307,AF1307,AK1307,AP1307,AU1307)))*(1-0.03),_xlfn.IFS(AW1307="SIM",SUM(L1307,Q1307,V1307,AA1307,AF1307,AK1307,AP1307,AU1307)+AX1307/_xlfn.XLOOKUP(_xlfn.XLOOKUP($F1307,Clientes!$B$4:$B$39,Clientes!$C$4:$C$39),Cadastros!$L$6:$L$12,Cadastros!$M$6:$M$12)+IF($F1307="Bernardino Furlan",AY1307/2751.92,IF($F1307="Mauro José Salanti",AY1307/2751.92,AY1307/3356)),F1307&lt;&gt;0,SUM(L1307,Q1307,V1307,AA1307,AF1307,AK1307,AP1307,AU1307))))</f>
        <v xml:space="preserve"> </v>
      </c>
      <c r="BE1307" s="120"/>
      <c r="BF1307" s="120"/>
      <c r="BG1307" s="120"/>
    </row>
    <row r="1308" spans="1:59" s="3" customFormat="1" x14ac:dyDescent="0.3">
      <c r="A1308" s="15" t="str">
        <f t="shared" si="260"/>
        <v/>
      </c>
      <c r="B1308" s="25"/>
      <c r="C1308" s="26"/>
      <c r="D1308" s="279"/>
      <c r="E1308" s="27"/>
      <c r="F1308" s="28"/>
      <c r="G1308" s="27"/>
      <c r="H1308" s="28"/>
      <c r="I1308" s="28"/>
      <c r="J1308" s="255" t="str">
        <f>IF(H1308="","",(_xlfn.XLOOKUP(H1308,Cadastros!$D$6:$D$90,Cadastros!$E$6:$E$90))*(1-_xlfn.XLOOKUP(_xlfn.XLOOKUP($F1308,Clientes!$B$4:$B$39,Clientes!$C$4:$C$39),Cadastros!$L$6:$L$12,Cadastros!$N$6:$N$12)))</f>
        <v/>
      </c>
      <c r="K1308" s="168" t="str">
        <f t="shared" si="261"/>
        <v/>
      </c>
      <c r="L1308" s="168" t="str">
        <f>IFERROR(K1308/_xlfn.XLOOKUP(_xlfn.XLOOKUP($F1308,Clientes!$B$4:$B$39,Clientes!$C$4:$C$39),Cadastros!$L$6:$L$12,Cadastros!$M$6:$M$12)," ")</f>
        <v xml:space="preserve"> </v>
      </c>
      <c r="M1308" s="28"/>
      <c r="N1308" s="28"/>
      <c r="O1308" s="255" t="str">
        <f>IF(M1308="","",(_xlfn.XLOOKUP(M1308,Cadastros!$D$6:$D$90,Cadastros!$E$6:$E$90))*(1-_xlfn.XLOOKUP(_xlfn.XLOOKUP($F1308,Clientes!$B$4:$B$39,Clientes!$C$4:$C$39),Cadastros!$L$6:$L$12,Cadastros!$N$6:$N$12)))</f>
        <v/>
      </c>
      <c r="P1308" s="168" t="str">
        <f t="shared" si="262"/>
        <v/>
      </c>
      <c r="Q1308" s="168" t="str">
        <f>IFERROR(P1308/_xlfn.XLOOKUP(_xlfn.XLOOKUP($F1308,Clientes!$B$4:$B$39,Clientes!$C$4:$C$39),Cadastros!$L$6:$L$12,Cadastros!$M$6:$M$12)," ")</f>
        <v xml:space="preserve"> </v>
      </c>
      <c r="R1308" s="28"/>
      <c r="S1308" s="28"/>
      <c r="T1308" s="255" t="str">
        <f>IF(R1308="","",(_xlfn.XLOOKUP(R1308,Cadastros!$D$6:$D$90,Cadastros!$E$6:$E$90))*(1-_xlfn.XLOOKUP(_xlfn.XLOOKUP($F1308,Clientes!$B$4:$B$39,Clientes!$C$4:$C$39),Cadastros!$L$6:$L$12,Cadastros!$N$6:$N$12)))</f>
        <v/>
      </c>
      <c r="U1308" s="168" t="str">
        <f t="shared" si="263"/>
        <v/>
      </c>
      <c r="V1308" s="168" t="str">
        <f>IFERROR(U1308/_xlfn.XLOOKUP(_xlfn.XLOOKUP($F1308,Clientes!$B$4:$B$39,Clientes!$C$4:$C$39),Cadastros!$L$6:$L$12,Cadastros!$M$6:$M$12)," ")</f>
        <v xml:space="preserve"> </v>
      </c>
      <c r="W1308" s="28"/>
      <c r="X1308" s="28"/>
      <c r="Y1308" s="255" t="str">
        <f>IF(W1308="","",(_xlfn.XLOOKUP(W1308,Cadastros!$D$6:$D$90,Cadastros!$E$6:$E$90))*(1-_xlfn.XLOOKUP(_xlfn.XLOOKUP($F1308,Clientes!$B$4:$B$39,Clientes!$C$4:$C$39),Cadastros!$L$6:$L$12,Cadastros!$N$6:$N$12)))</f>
        <v/>
      </c>
      <c r="Z1308" s="168" t="str">
        <f t="shared" si="264"/>
        <v/>
      </c>
      <c r="AA1308" s="168" t="str">
        <f>IFERROR(Z1308/_xlfn.XLOOKUP(_xlfn.XLOOKUP($F1308,Clientes!$B$4:$B$39,Clientes!$C$4:$C$39),Cadastros!$L$6:$L$12,Cadastros!$M$6:$M$12)," ")</f>
        <v xml:space="preserve"> </v>
      </c>
      <c r="AB1308" s="28"/>
      <c r="AC1308" s="28"/>
      <c r="AD1308" s="20" t="str">
        <f>IF(AB1308="","",IF($F1308="Bernardino Furlan",_xlfn.XLOOKUP(AB1308,Cadastros!$G$6:$G$90,Cadastros!$H$6:$H$90)*(1-0.18),IF($F1308="Mauro José Salanti",_xlfn.XLOOKUP(AB1308,Cadastros!$G$6:$G$90,Cadastros!$H$6:$H$90)*(1-0.18),_xlfn.XLOOKUP(AB1308,Cadastros!$G$6:$G$90,Cadastros!$H$6:$H$90))))</f>
        <v/>
      </c>
      <c r="AE1308" s="168" t="str">
        <f t="shared" si="265"/>
        <v/>
      </c>
      <c r="AF1308" s="168" t="str">
        <f t="shared" si="266"/>
        <v/>
      </c>
      <c r="AG1308" s="28"/>
      <c r="AH1308" s="28"/>
      <c r="AI1308" s="20" t="str">
        <f>IF(AG1308="","",IF($F1308="Bernardino Furlan",_xlfn.XLOOKUP(AG1308,Cadastros!$G$6:$G$90,Cadastros!$H$6:$H$90)*(1-0.18),IF($F1308="Mauro José Salanti",_xlfn.XLOOKUP(AG1308,Cadastros!$G$6:$G$90,Cadastros!$H$6:$H$90)*(1-0.18),_xlfn.XLOOKUP(AG1308,Cadastros!$G$6:$G$90,Cadastros!$H$6:$H$90))))</f>
        <v/>
      </c>
      <c r="AJ1308" s="168" t="str">
        <f t="shared" si="267"/>
        <v/>
      </c>
      <c r="AK1308" s="168" t="str">
        <f t="shared" si="268"/>
        <v/>
      </c>
      <c r="AL1308" s="28"/>
      <c r="AM1308" s="28"/>
      <c r="AN1308" s="20" t="str">
        <f>IF(AL1308="","",IF($F1308="Bernardino Furlan",_xlfn.XLOOKUP(AL1308,Cadastros!$G$6:$G$90,Cadastros!$H$6:$H$90)*(1-0.18),IF($F1308="Mauro José Salanti",_xlfn.XLOOKUP(AL1308,Cadastros!$G$6:$G$90,Cadastros!$H$6:$H$90)*(1-0.18),_xlfn.XLOOKUP(AL1308,Cadastros!$G$6:$G$90,Cadastros!$H$6:$H$90))))</f>
        <v/>
      </c>
      <c r="AO1308" s="168" t="str">
        <f t="shared" si="269"/>
        <v/>
      </c>
      <c r="AP1308" s="168" t="str">
        <f t="shared" si="270"/>
        <v/>
      </c>
      <c r="AQ1308" s="28"/>
      <c r="AR1308" s="28"/>
      <c r="AS1308" s="20" t="str">
        <f>IF(AQ1308="","",IF($F1308="Bernardino Furlan",_xlfn.XLOOKUP(AQ1308,Cadastros!$G$6:$G$90,Cadastros!$H$6:$H$90)*(1-0.18),IF($F1308="Mauro José Salanti",_xlfn.XLOOKUP(AQ1308,Cadastros!$G$6:$G$90,Cadastros!$H$6:$H$90)*(1-0.18),_xlfn.XLOOKUP(AQ1308,Cadastros!$G$6:$G$90,Cadastros!$H$6:$H$90))))</f>
        <v/>
      </c>
      <c r="AT1308" s="168" t="str">
        <f t="shared" si="271"/>
        <v/>
      </c>
      <c r="AU1308" s="168" t="str">
        <f t="shared" si="272"/>
        <v/>
      </c>
      <c r="AV1308" s="227"/>
      <c r="AW1308" s="30"/>
      <c r="AX1308" s="267"/>
      <c r="AY1308" s="267"/>
      <c r="AZ1308" s="29"/>
      <c r="BA1308" s="30"/>
      <c r="BB1308" s="23" t="str" cm="1">
        <f t="array" ref="BB1308">_xlfn.IFS(AW1308="SIM",SUM(K1308,P1308,U1308,Z1308,AE1308,AJ1308,AO1308,AT1308,AX1308,AY1308),F1308&lt;&gt;"",SUM(K1308,P1308,U1308,Z1308,AE1308,AJ1308,,AO1308,AT1308),F1308="","")</f>
        <v/>
      </c>
      <c r="BC1308" s="211" t="str" cm="1">
        <f t="array" ref="BC1308">_xlfn.IFS(E1308="","",G1308&lt;=E1308,BB1308*(1-0.03),G1308&lt;(E1308+8),BB1308,AZ1308="Boleto",BB1308*(1+0.001)^DATEDIF(E1308,G1308,"D"),AZ1308="Cheque",BB1308,AZ1308="Dinheiro","Alterar forma pgto")</f>
        <v/>
      </c>
      <c r="BD1308" s="276" t="str" cm="1">
        <f t="array" ref="BD1308">IF(F1308=0," ",IF(BC1308&lt;BB1308,(_xlfn.IFS(AW1308="SIM",SUM(L1308,Q1308,V1308,AA1308,AF1308,AK1308,AP1308,AU1308)+AX1308/_xlfn.XLOOKUP(_xlfn.XLOOKUP($F1308,Clientes!$B$4:$B$39,Clientes!$C$4:$C$39),Cadastros!$L$6:$L$12,Cadastros!$M$6:$M$12)+IF($F1308="Bernardino Furlan",AY1308/2751.92,IF($F1308="Mauro José Salanti",AY1308/2751.92,AY1308/3356)),F1308&lt;&gt;0,SUM(L1308,Q1308,V1308,AA1308,AF1308,AK1308,AP1308,AU1308)))*(1-0.03),_xlfn.IFS(AW1308="SIM",SUM(L1308,Q1308,V1308,AA1308,AF1308,AK1308,AP1308,AU1308)+AX1308/_xlfn.XLOOKUP(_xlfn.XLOOKUP($F1308,Clientes!$B$4:$B$39,Clientes!$C$4:$C$39),Cadastros!$L$6:$L$12,Cadastros!$M$6:$M$12)+IF($F1308="Bernardino Furlan",AY1308/2751.92,IF($F1308="Mauro José Salanti",AY1308/2751.92,AY1308/3356)),F1308&lt;&gt;0,SUM(L1308,Q1308,V1308,AA1308,AF1308,AK1308,AP1308,AU1308))))</f>
        <v xml:space="preserve"> </v>
      </c>
      <c r="BE1308" s="120"/>
      <c r="BF1308" s="120"/>
      <c r="BG1308" s="120"/>
    </row>
    <row r="1309" spans="1:59" s="3" customFormat="1" x14ac:dyDescent="0.3">
      <c r="A1309" s="15" t="str">
        <f t="shared" si="260"/>
        <v/>
      </c>
      <c r="B1309" s="25"/>
      <c r="C1309" s="26"/>
      <c r="D1309" s="279"/>
      <c r="E1309" s="27"/>
      <c r="F1309" s="28"/>
      <c r="G1309" s="27"/>
      <c r="H1309" s="28"/>
      <c r="I1309" s="28"/>
      <c r="J1309" s="255" t="str">
        <f>IF(H1309="","",(_xlfn.XLOOKUP(H1309,Cadastros!$D$6:$D$90,Cadastros!$E$6:$E$90))*(1-_xlfn.XLOOKUP(_xlfn.XLOOKUP($F1309,Clientes!$B$4:$B$39,Clientes!$C$4:$C$39),Cadastros!$L$6:$L$12,Cadastros!$N$6:$N$12)))</f>
        <v/>
      </c>
      <c r="K1309" s="168" t="str">
        <f t="shared" si="261"/>
        <v/>
      </c>
      <c r="L1309" s="168" t="str">
        <f>IFERROR(K1309/_xlfn.XLOOKUP(_xlfn.XLOOKUP($F1309,Clientes!$B$4:$B$39,Clientes!$C$4:$C$39),Cadastros!$L$6:$L$12,Cadastros!$M$6:$M$12)," ")</f>
        <v xml:space="preserve"> </v>
      </c>
      <c r="M1309" s="28"/>
      <c r="N1309" s="28"/>
      <c r="O1309" s="255" t="str">
        <f>IF(M1309="","",(_xlfn.XLOOKUP(M1309,Cadastros!$D$6:$D$90,Cadastros!$E$6:$E$90))*(1-_xlfn.XLOOKUP(_xlfn.XLOOKUP($F1309,Clientes!$B$4:$B$39,Clientes!$C$4:$C$39),Cadastros!$L$6:$L$12,Cadastros!$N$6:$N$12)))</f>
        <v/>
      </c>
      <c r="P1309" s="168" t="str">
        <f t="shared" si="262"/>
        <v/>
      </c>
      <c r="Q1309" s="168" t="str">
        <f>IFERROR(P1309/_xlfn.XLOOKUP(_xlfn.XLOOKUP($F1309,Clientes!$B$4:$B$39,Clientes!$C$4:$C$39),Cadastros!$L$6:$L$12,Cadastros!$M$6:$M$12)," ")</f>
        <v xml:space="preserve"> </v>
      </c>
      <c r="R1309" s="28"/>
      <c r="S1309" s="28"/>
      <c r="T1309" s="255" t="str">
        <f>IF(R1309="","",(_xlfn.XLOOKUP(R1309,Cadastros!$D$6:$D$90,Cadastros!$E$6:$E$90))*(1-_xlfn.XLOOKUP(_xlfn.XLOOKUP($F1309,Clientes!$B$4:$B$39,Clientes!$C$4:$C$39),Cadastros!$L$6:$L$12,Cadastros!$N$6:$N$12)))</f>
        <v/>
      </c>
      <c r="U1309" s="168" t="str">
        <f t="shared" si="263"/>
        <v/>
      </c>
      <c r="V1309" s="168" t="str">
        <f>IFERROR(U1309/_xlfn.XLOOKUP(_xlfn.XLOOKUP($F1309,Clientes!$B$4:$B$39,Clientes!$C$4:$C$39),Cadastros!$L$6:$L$12,Cadastros!$M$6:$M$12)," ")</f>
        <v xml:space="preserve"> </v>
      </c>
      <c r="W1309" s="28"/>
      <c r="X1309" s="28"/>
      <c r="Y1309" s="255" t="str">
        <f>IF(W1309="","",(_xlfn.XLOOKUP(W1309,Cadastros!$D$6:$D$90,Cadastros!$E$6:$E$90))*(1-_xlfn.XLOOKUP(_xlfn.XLOOKUP($F1309,Clientes!$B$4:$B$39,Clientes!$C$4:$C$39),Cadastros!$L$6:$L$12,Cadastros!$N$6:$N$12)))</f>
        <v/>
      </c>
      <c r="Z1309" s="168" t="str">
        <f t="shared" si="264"/>
        <v/>
      </c>
      <c r="AA1309" s="168" t="str">
        <f>IFERROR(Z1309/_xlfn.XLOOKUP(_xlfn.XLOOKUP($F1309,Clientes!$B$4:$B$39,Clientes!$C$4:$C$39),Cadastros!$L$6:$L$12,Cadastros!$M$6:$M$12)," ")</f>
        <v xml:space="preserve"> </v>
      </c>
      <c r="AB1309" s="28"/>
      <c r="AC1309" s="28"/>
      <c r="AD1309" s="20" t="str">
        <f>IF(AB1309="","",IF($F1309="Bernardino Furlan",_xlfn.XLOOKUP(AB1309,Cadastros!$G$6:$G$90,Cadastros!$H$6:$H$90)*(1-0.18),IF($F1309="Mauro José Salanti",_xlfn.XLOOKUP(AB1309,Cadastros!$G$6:$G$90,Cadastros!$H$6:$H$90)*(1-0.18),_xlfn.XLOOKUP(AB1309,Cadastros!$G$6:$G$90,Cadastros!$H$6:$H$90))))</f>
        <v/>
      </c>
      <c r="AE1309" s="168" t="str">
        <f t="shared" si="265"/>
        <v/>
      </c>
      <c r="AF1309" s="168" t="str">
        <f t="shared" si="266"/>
        <v/>
      </c>
      <c r="AG1309" s="28"/>
      <c r="AH1309" s="28"/>
      <c r="AI1309" s="20" t="str">
        <f>IF(AG1309="","",IF($F1309="Bernardino Furlan",_xlfn.XLOOKUP(AG1309,Cadastros!$G$6:$G$90,Cadastros!$H$6:$H$90)*(1-0.18),IF($F1309="Mauro José Salanti",_xlfn.XLOOKUP(AG1309,Cadastros!$G$6:$G$90,Cadastros!$H$6:$H$90)*(1-0.18),_xlfn.XLOOKUP(AG1309,Cadastros!$G$6:$G$90,Cadastros!$H$6:$H$90))))</f>
        <v/>
      </c>
      <c r="AJ1309" s="168" t="str">
        <f t="shared" si="267"/>
        <v/>
      </c>
      <c r="AK1309" s="168" t="str">
        <f t="shared" si="268"/>
        <v/>
      </c>
      <c r="AL1309" s="28"/>
      <c r="AM1309" s="28"/>
      <c r="AN1309" s="20" t="str">
        <f>IF(AL1309="","",IF($F1309="Bernardino Furlan",_xlfn.XLOOKUP(AL1309,Cadastros!$G$6:$G$90,Cadastros!$H$6:$H$90)*(1-0.18),IF($F1309="Mauro José Salanti",_xlfn.XLOOKUP(AL1309,Cadastros!$G$6:$G$90,Cadastros!$H$6:$H$90)*(1-0.18),_xlfn.XLOOKUP(AL1309,Cadastros!$G$6:$G$90,Cadastros!$H$6:$H$90))))</f>
        <v/>
      </c>
      <c r="AO1309" s="168" t="str">
        <f t="shared" si="269"/>
        <v/>
      </c>
      <c r="AP1309" s="168" t="str">
        <f t="shared" si="270"/>
        <v/>
      </c>
      <c r="AQ1309" s="28"/>
      <c r="AR1309" s="28"/>
      <c r="AS1309" s="20" t="str">
        <f>IF(AQ1309="","",IF($F1309="Bernardino Furlan",_xlfn.XLOOKUP(AQ1309,Cadastros!$G$6:$G$90,Cadastros!$H$6:$H$90)*(1-0.18),IF($F1309="Mauro José Salanti",_xlfn.XLOOKUP(AQ1309,Cadastros!$G$6:$G$90,Cadastros!$H$6:$H$90)*(1-0.18),_xlfn.XLOOKUP(AQ1309,Cadastros!$G$6:$G$90,Cadastros!$H$6:$H$90))))</f>
        <v/>
      </c>
      <c r="AT1309" s="168" t="str">
        <f t="shared" si="271"/>
        <v/>
      </c>
      <c r="AU1309" s="168" t="str">
        <f t="shared" si="272"/>
        <v/>
      </c>
      <c r="AV1309" s="227"/>
      <c r="AW1309" s="30"/>
      <c r="AX1309" s="267"/>
      <c r="AY1309" s="267"/>
      <c r="AZ1309" s="29"/>
      <c r="BA1309" s="30"/>
      <c r="BB1309" s="23" t="str" cm="1">
        <f t="array" ref="BB1309">_xlfn.IFS(AW1309="SIM",SUM(K1309,P1309,U1309,Z1309,AE1309,AJ1309,AO1309,AT1309,AX1309,AY1309),F1309&lt;&gt;"",SUM(K1309,P1309,U1309,Z1309,AE1309,AJ1309,,AO1309,AT1309),F1309="","")</f>
        <v/>
      </c>
      <c r="BC1309" s="211" t="str" cm="1">
        <f t="array" ref="BC1309">_xlfn.IFS(E1309="","",G1309&lt;=E1309,BB1309*(1-0.03),G1309&lt;(E1309+8),BB1309,AZ1309="Boleto",BB1309*(1+0.001)^DATEDIF(E1309,G1309,"D"),AZ1309="Cheque",BB1309,AZ1309="Dinheiro","Alterar forma pgto")</f>
        <v/>
      </c>
      <c r="BD1309" s="276" t="str" cm="1">
        <f t="array" ref="BD1309">IF(F1309=0," ",IF(BC1309&lt;BB1309,(_xlfn.IFS(AW1309="SIM",SUM(L1309,Q1309,V1309,AA1309,AF1309,AK1309,AP1309,AU1309)+AX1309/_xlfn.XLOOKUP(_xlfn.XLOOKUP($F1309,Clientes!$B$4:$B$39,Clientes!$C$4:$C$39),Cadastros!$L$6:$L$12,Cadastros!$M$6:$M$12)+IF($F1309="Bernardino Furlan",AY1309/2751.92,IF($F1309="Mauro José Salanti",AY1309/2751.92,AY1309/3356)),F1309&lt;&gt;0,SUM(L1309,Q1309,V1309,AA1309,AF1309,AK1309,AP1309,AU1309)))*(1-0.03),_xlfn.IFS(AW1309="SIM",SUM(L1309,Q1309,V1309,AA1309,AF1309,AK1309,AP1309,AU1309)+AX1309/_xlfn.XLOOKUP(_xlfn.XLOOKUP($F1309,Clientes!$B$4:$B$39,Clientes!$C$4:$C$39),Cadastros!$L$6:$L$12,Cadastros!$M$6:$M$12)+IF($F1309="Bernardino Furlan",AY1309/2751.92,IF($F1309="Mauro José Salanti",AY1309/2751.92,AY1309/3356)),F1309&lt;&gt;0,SUM(L1309,Q1309,V1309,AA1309,AF1309,AK1309,AP1309,AU1309))))</f>
        <v xml:space="preserve"> </v>
      </c>
      <c r="BE1309" s="120"/>
      <c r="BF1309" s="120"/>
      <c r="BG1309" s="120"/>
    </row>
    <row r="1310" spans="1:59" s="3" customFormat="1" x14ac:dyDescent="0.3">
      <c r="A1310" s="15" t="str">
        <f t="shared" si="260"/>
        <v/>
      </c>
      <c r="B1310" s="25"/>
      <c r="C1310" s="26"/>
      <c r="D1310" s="279"/>
      <c r="E1310" s="27"/>
      <c r="F1310" s="28"/>
      <c r="G1310" s="27"/>
      <c r="H1310" s="28"/>
      <c r="I1310" s="28"/>
      <c r="J1310" s="255" t="str">
        <f>IF(H1310="","",(_xlfn.XLOOKUP(H1310,Cadastros!$D$6:$D$90,Cadastros!$E$6:$E$90))*(1-_xlfn.XLOOKUP(_xlfn.XLOOKUP($F1310,Clientes!$B$4:$B$39,Clientes!$C$4:$C$39),Cadastros!$L$6:$L$12,Cadastros!$N$6:$N$12)))</f>
        <v/>
      </c>
      <c r="K1310" s="168" t="str">
        <f t="shared" si="261"/>
        <v/>
      </c>
      <c r="L1310" s="168" t="str">
        <f>IFERROR(K1310/_xlfn.XLOOKUP(_xlfn.XLOOKUP($F1310,Clientes!$B$4:$B$39,Clientes!$C$4:$C$39),Cadastros!$L$6:$L$12,Cadastros!$M$6:$M$12)," ")</f>
        <v xml:space="preserve"> </v>
      </c>
      <c r="M1310" s="28"/>
      <c r="N1310" s="28"/>
      <c r="O1310" s="255" t="str">
        <f>IF(M1310="","",(_xlfn.XLOOKUP(M1310,Cadastros!$D$6:$D$90,Cadastros!$E$6:$E$90))*(1-_xlfn.XLOOKUP(_xlfn.XLOOKUP($F1310,Clientes!$B$4:$B$39,Clientes!$C$4:$C$39),Cadastros!$L$6:$L$12,Cadastros!$N$6:$N$12)))</f>
        <v/>
      </c>
      <c r="P1310" s="168" t="str">
        <f t="shared" si="262"/>
        <v/>
      </c>
      <c r="Q1310" s="168" t="str">
        <f>IFERROR(P1310/_xlfn.XLOOKUP(_xlfn.XLOOKUP($F1310,Clientes!$B$4:$B$39,Clientes!$C$4:$C$39),Cadastros!$L$6:$L$12,Cadastros!$M$6:$M$12)," ")</f>
        <v xml:space="preserve"> </v>
      </c>
      <c r="R1310" s="28"/>
      <c r="S1310" s="28"/>
      <c r="T1310" s="255" t="str">
        <f>IF(R1310="","",(_xlfn.XLOOKUP(R1310,Cadastros!$D$6:$D$90,Cadastros!$E$6:$E$90))*(1-_xlfn.XLOOKUP(_xlfn.XLOOKUP($F1310,Clientes!$B$4:$B$39,Clientes!$C$4:$C$39),Cadastros!$L$6:$L$12,Cadastros!$N$6:$N$12)))</f>
        <v/>
      </c>
      <c r="U1310" s="168" t="str">
        <f t="shared" si="263"/>
        <v/>
      </c>
      <c r="V1310" s="168" t="str">
        <f>IFERROR(U1310/_xlfn.XLOOKUP(_xlfn.XLOOKUP($F1310,Clientes!$B$4:$B$39,Clientes!$C$4:$C$39),Cadastros!$L$6:$L$12,Cadastros!$M$6:$M$12)," ")</f>
        <v xml:space="preserve"> </v>
      </c>
      <c r="W1310" s="28"/>
      <c r="X1310" s="28"/>
      <c r="Y1310" s="255" t="str">
        <f>IF(W1310="","",(_xlfn.XLOOKUP(W1310,Cadastros!$D$6:$D$90,Cadastros!$E$6:$E$90))*(1-_xlfn.XLOOKUP(_xlfn.XLOOKUP($F1310,Clientes!$B$4:$B$39,Clientes!$C$4:$C$39),Cadastros!$L$6:$L$12,Cadastros!$N$6:$N$12)))</f>
        <v/>
      </c>
      <c r="Z1310" s="168" t="str">
        <f t="shared" si="264"/>
        <v/>
      </c>
      <c r="AA1310" s="168" t="str">
        <f>IFERROR(Z1310/_xlfn.XLOOKUP(_xlfn.XLOOKUP($F1310,Clientes!$B$4:$B$39,Clientes!$C$4:$C$39),Cadastros!$L$6:$L$12,Cadastros!$M$6:$M$12)," ")</f>
        <v xml:space="preserve"> </v>
      </c>
      <c r="AB1310" s="28"/>
      <c r="AC1310" s="28"/>
      <c r="AD1310" s="20" t="str">
        <f>IF(AB1310="","",IF($F1310="Bernardino Furlan",_xlfn.XLOOKUP(AB1310,Cadastros!$G$6:$G$90,Cadastros!$H$6:$H$90)*(1-0.18),IF($F1310="Mauro José Salanti",_xlfn.XLOOKUP(AB1310,Cadastros!$G$6:$G$90,Cadastros!$H$6:$H$90)*(1-0.18),_xlfn.XLOOKUP(AB1310,Cadastros!$G$6:$G$90,Cadastros!$H$6:$H$90))))</f>
        <v/>
      </c>
      <c r="AE1310" s="168" t="str">
        <f t="shared" si="265"/>
        <v/>
      </c>
      <c r="AF1310" s="168" t="str">
        <f t="shared" si="266"/>
        <v/>
      </c>
      <c r="AG1310" s="28"/>
      <c r="AH1310" s="28"/>
      <c r="AI1310" s="20" t="str">
        <f>IF(AG1310="","",IF($F1310="Bernardino Furlan",_xlfn.XLOOKUP(AG1310,Cadastros!$G$6:$G$90,Cadastros!$H$6:$H$90)*(1-0.18),IF($F1310="Mauro José Salanti",_xlfn.XLOOKUP(AG1310,Cadastros!$G$6:$G$90,Cadastros!$H$6:$H$90)*(1-0.18),_xlfn.XLOOKUP(AG1310,Cadastros!$G$6:$G$90,Cadastros!$H$6:$H$90))))</f>
        <v/>
      </c>
      <c r="AJ1310" s="168" t="str">
        <f t="shared" si="267"/>
        <v/>
      </c>
      <c r="AK1310" s="168" t="str">
        <f t="shared" si="268"/>
        <v/>
      </c>
      <c r="AL1310" s="28"/>
      <c r="AM1310" s="28"/>
      <c r="AN1310" s="20" t="str">
        <f>IF(AL1310="","",IF($F1310="Bernardino Furlan",_xlfn.XLOOKUP(AL1310,Cadastros!$G$6:$G$90,Cadastros!$H$6:$H$90)*(1-0.18),IF($F1310="Mauro José Salanti",_xlfn.XLOOKUP(AL1310,Cadastros!$G$6:$G$90,Cadastros!$H$6:$H$90)*(1-0.18),_xlfn.XLOOKUP(AL1310,Cadastros!$G$6:$G$90,Cadastros!$H$6:$H$90))))</f>
        <v/>
      </c>
      <c r="AO1310" s="168" t="str">
        <f t="shared" si="269"/>
        <v/>
      </c>
      <c r="AP1310" s="168" t="str">
        <f t="shared" si="270"/>
        <v/>
      </c>
      <c r="AQ1310" s="28"/>
      <c r="AR1310" s="28"/>
      <c r="AS1310" s="20" t="str">
        <f>IF(AQ1310="","",IF($F1310="Bernardino Furlan",_xlfn.XLOOKUP(AQ1310,Cadastros!$G$6:$G$90,Cadastros!$H$6:$H$90)*(1-0.18),IF($F1310="Mauro José Salanti",_xlfn.XLOOKUP(AQ1310,Cadastros!$G$6:$G$90,Cadastros!$H$6:$H$90)*(1-0.18),_xlfn.XLOOKUP(AQ1310,Cadastros!$G$6:$G$90,Cadastros!$H$6:$H$90))))</f>
        <v/>
      </c>
      <c r="AT1310" s="168" t="str">
        <f t="shared" si="271"/>
        <v/>
      </c>
      <c r="AU1310" s="168" t="str">
        <f t="shared" si="272"/>
        <v/>
      </c>
      <c r="AV1310" s="227"/>
      <c r="AW1310" s="30"/>
      <c r="AX1310" s="267"/>
      <c r="AY1310" s="267"/>
      <c r="AZ1310" s="29"/>
      <c r="BA1310" s="30"/>
      <c r="BB1310" s="23" t="str" cm="1">
        <f t="array" ref="BB1310">_xlfn.IFS(AW1310="SIM",SUM(K1310,P1310,U1310,Z1310,AE1310,AJ1310,AO1310,AT1310,AX1310,AY1310),F1310&lt;&gt;"",SUM(K1310,P1310,U1310,Z1310,AE1310,AJ1310,,AO1310,AT1310),F1310="","")</f>
        <v/>
      </c>
      <c r="BC1310" s="211" t="str" cm="1">
        <f t="array" ref="BC1310">_xlfn.IFS(E1310="","",G1310&lt;=E1310,BB1310*(1-0.03),G1310&lt;(E1310+8),BB1310,AZ1310="Boleto",BB1310*(1+0.001)^DATEDIF(E1310,G1310,"D"),AZ1310="Cheque",BB1310,AZ1310="Dinheiro","Alterar forma pgto")</f>
        <v/>
      </c>
      <c r="BD1310" s="276" t="str" cm="1">
        <f t="array" ref="BD1310">IF(F1310=0," ",IF(BC1310&lt;BB1310,(_xlfn.IFS(AW1310="SIM",SUM(L1310,Q1310,V1310,AA1310,AF1310,AK1310,AP1310,AU1310)+AX1310/_xlfn.XLOOKUP(_xlfn.XLOOKUP($F1310,Clientes!$B$4:$B$39,Clientes!$C$4:$C$39),Cadastros!$L$6:$L$12,Cadastros!$M$6:$M$12)+IF($F1310="Bernardino Furlan",AY1310/2751.92,IF($F1310="Mauro José Salanti",AY1310/2751.92,AY1310/3356)),F1310&lt;&gt;0,SUM(L1310,Q1310,V1310,AA1310,AF1310,AK1310,AP1310,AU1310)))*(1-0.03),_xlfn.IFS(AW1310="SIM",SUM(L1310,Q1310,V1310,AA1310,AF1310,AK1310,AP1310,AU1310)+AX1310/_xlfn.XLOOKUP(_xlfn.XLOOKUP($F1310,Clientes!$B$4:$B$39,Clientes!$C$4:$C$39),Cadastros!$L$6:$L$12,Cadastros!$M$6:$M$12)+IF($F1310="Bernardino Furlan",AY1310/2751.92,IF($F1310="Mauro José Salanti",AY1310/2751.92,AY1310/3356)),F1310&lt;&gt;0,SUM(L1310,Q1310,V1310,AA1310,AF1310,AK1310,AP1310,AU1310))))</f>
        <v xml:space="preserve"> </v>
      </c>
      <c r="BE1310" s="120"/>
      <c r="BF1310" s="120"/>
      <c r="BG1310" s="120"/>
    </row>
    <row r="1311" spans="1:59" s="3" customFormat="1" x14ac:dyDescent="0.3">
      <c r="A1311" s="15" t="str">
        <f t="shared" si="260"/>
        <v/>
      </c>
      <c r="B1311" s="25"/>
      <c r="C1311" s="26"/>
      <c r="D1311" s="279"/>
      <c r="E1311" s="27"/>
      <c r="F1311" s="28"/>
      <c r="G1311" s="27"/>
      <c r="H1311" s="28"/>
      <c r="I1311" s="28"/>
      <c r="J1311" s="255" t="str">
        <f>IF(H1311="","",(_xlfn.XLOOKUP(H1311,Cadastros!$D$6:$D$90,Cadastros!$E$6:$E$90))*(1-_xlfn.XLOOKUP(_xlfn.XLOOKUP($F1311,Clientes!$B$4:$B$39,Clientes!$C$4:$C$39),Cadastros!$L$6:$L$12,Cadastros!$N$6:$N$12)))</f>
        <v/>
      </c>
      <c r="K1311" s="168" t="str">
        <f t="shared" si="261"/>
        <v/>
      </c>
      <c r="L1311" s="168" t="str">
        <f>IFERROR(K1311/_xlfn.XLOOKUP(_xlfn.XLOOKUP($F1311,Clientes!$B$4:$B$39,Clientes!$C$4:$C$39),Cadastros!$L$6:$L$12,Cadastros!$M$6:$M$12)," ")</f>
        <v xml:space="preserve"> </v>
      </c>
      <c r="M1311" s="28"/>
      <c r="N1311" s="28"/>
      <c r="O1311" s="255" t="str">
        <f>IF(M1311="","",(_xlfn.XLOOKUP(M1311,Cadastros!$D$6:$D$90,Cadastros!$E$6:$E$90))*(1-_xlfn.XLOOKUP(_xlfn.XLOOKUP($F1311,Clientes!$B$4:$B$39,Clientes!$C$4:$C$39),Cadastros!$L$6:$L$12,Cadastros!$N$6:$N$12)))</f>
        <v/>
      </c>
      <c r="P1311" s="168" t="str">
        <f t="shared" si="262"/>
        <v/>
      </c>
      <c r="Q1311" s="168" t="str">
        <f>IFERROR(P1311/_xlfn.XLOOKUP(_xlfn.XLOOKUP($F1311,Clientes!$B$4:$B$39,Clientes!$C$4:$C$39),Cadastros!$L$6:$L$12,Cadastros!$M$6:$M$12)," ")</f>
        <v xml:space="preserve"> </v>
      </c>
      <c r="R1311" s="28"/>
      <c r="S1311" s="28"/>
      <c r="T1311" s="255" t="str">
        <f>IF(R1311="","",(_xlfn.XLOOKUP(R1311,Cadastros!$D$6:$D$90,Cadastros!$E$6:$E$90))*(1-_xlfn.XLOOKUP(_xlfn.XLOOKUP($F1311,Clientes!$B$4:$B$39,Clientes!$C$4:$C$39),Cadastros!$L$6:$L$12,Cadastros!$N$6:$N$12)))</f>
        <v/>
      </c>
      <c r="U1311" s="168" t="str">
        <f t="shared" si="263"/>
        <v/>
      </c>
      <c r="V1311" s="168" t="str">
        <f>IFERROR(U1311/_xlfn.XLOOKUP(_xlfn.XLOOKUP($F1311,Clientes!$B$4:$B$39,Clientes!$C$4:$C$39),Cadastros!$L$6:$L$12,Cadastros!$M$6:$M$12)," ")</f>
        <v xml:space="preserve"> </v>
      </c>
      <c r="W1311" s="28"/>
      <c r="X1311" s="28"/>
      <c r="Y1311" s="255" t="str">
        <f>IF(W1311="","",(_xlfn.XLOOKUP(W1311,Cadastros!$D$6:$D$90,Cadastros!$E$6:$E$90))*(1-_xlfn.XLOOKUP(_xlfn.XLOOKUP($F1311,Clientes!$B$4:$B$39,Clientes!$C$4:$C$39),Cadastros!$L$6:$L$12,Cadastros!$N$6:$N$12)))</f>
        <v/>
      </c>
      <c r="Z1311" s="168" t="str">
        <f t="shared" si="264"/>
        <v/>
      </c>
      <c r="AA1311" s="168" t="str">
        <f>IFERROR(Z1311/_xlfn.XLOOKUP(_xlfn.XLOOKUP($F1311,Clientes!$B$4:$B$39,Clientes!$C$4:$C$39),Cadastros!$L$6:$L$12,Cadastros!$M$6:$M$12)," ")</f>
        <v xml:space="preserve"> </v>
      </c>
      <c r="AB1311" s="28"/>
      <c r="AC1311" s="28"/>
      <c r="AD1311" s="20" t="str">
        <f>IF(AB1311="","",IF($F1311="Bernardino Furlan",_xlfn.XLOOKUP(AB1311,Cadastros!$G$6:$G$90,Cadastros!$H$6:$H$90)*(1-0.18),IF($F1311="Mauro José Salanti",_xlfn.XLOOKUP(AB1311,Cadastros!$G$6:$G$90,Cadastros!$H$6:$H$90)*(1-0.18),_xlfn.XLOOKUP(AB1311,Cadastros!$G$6:$G$90,Cadastros!$H$6:$H$90))))</f>
        <v/>
      </c>
      <c r="AE1311" s="168" t="str">
        <f t="shared" si="265"/>
        <v/>
      </c>
      <c r="AF1311" s="168" t="str">
        <f t="shared" si="266"/>
        <v/>
      </c>
      <c r="AG1311" s="28"/>
      <c r="AH1311" s="28"/>
      <c r="AI1311" s="20" t="str">
        <f>IF(AG1311="","",IF($F1311="Bernardino Furlan",_xlfn.XLOOKUP(AG1311,Cadastros!$G$6:$G$90,Cadastros!$H$6:$H$90)*(1-0.18),IF($F1311="Mauro José Salanti",_xlfn.XLOOKUP(AG1311,Cadastros!$G$6:$G$90,Cadastros!$H$6:$H$90)*(1-0.18),_xlfn.XLOOKUP(AG1311,Cadastros!$G$6:$G$90,Cadastros!$H$6:$H$90))))</f>
        <v/>
      </c>
      <c r="AJ1311" s="168" t="str">
        <f t="shared" si="267"/>
        <v/>
      </c>
      <c r="AK1311" s="168" t="str">
        <f t="shared" si="268"/>
        <v/>
      </c>
      <c r="AL1311" s="28"/>
      <c r="AM1311" s="28"/>
      <c r="AN1311" s="20" t="str">
        <f>IF(AL1311="","",IF($F1311="Bernardino Furlan",_xlfn.XLOOKUP(AL1311,Cadastros!$G$6:$G$90,Cadastros!$H$6:$H$90)*(1-0.18),IF($F1311="Mauro José Salanti",_xlfn.XLOOKUP(AL1311,Cadastros!$G$6:$G$90,Cadastros!$H$6:$H$90)*(1-0.18),_xlfn.XLOOKUP(AL1311,Cadastros!$G$6:$G$90,Cadastros!$H$6:$H$90))))</f>
        <v/>
      </c>
      <c r="AO1311" s="168" t="str">
        <f t="shared" si="269"/>
        <v/>
      </c>
      <c r="AP1311" s="168" t="str">
        <f t="shared" si="270"/>
        <v/>
      </c>
      <c r="AQ1311" s="28"/>
      <c r="AR1311" s="28"/>
      <c r="AS1311" s="20" t="str">
        <f>IF(AQ1311="","",IF($F1311="Bernardino Furlan",_xlfn.XLOOKUP(AQ1311,Cadastros!$G$6:$G$90,Cadastros!$H$6:$H$90)*(1-0.18),IF($F1311="Mauro José Salanti",_xlfn.XLOOKUP(AQ1311,Cadastros!$G$6:$G$90,Cadastros!$H$6:$H$90)*(1-0.18),_xlfn.XLOOKUP(AQ1311,Cadastros!$G$6:$G$90,Cadastros!$H$6:$H$90))))</f>
        <v/>
      </c>
      <c r="AT1311" s="168" t="str">
        <f t="shared" si="271"/>
        <v/>
      </c>
      <c r="AU1311" s="168" t="str">
        <f t="shared" si="272"/>
        <v/>
      </c>
      <c r="AV1311" s="227"/>
      <c r="AW1311" s="30"/>
      <c r="AX1311" s="267"/>
      <c r="AY1311" s="267"/>
      <c r="AZ1311" s="29"/>
      <c r="BA1311" s="30"/>
      <c r="BB1311" s="23" t="str" cm="1">
        <f t="array" ref="BB1311">_xlfn.IFS(AW1311="SIM",SUM(K1311,P1311,U1311,Z1311,AE1311,AJ1311,AO1311,AT1311,AX1311,AY1311),F1311&lt;&gt;"",SUM(K1311,P1311,U1311,Z1311,AE1311,AJ1311,,AO1311,AT1311),F1311="","")</f>
        <v/>
      </c>
      <c r="BC1311" s="211" t="str" cm="1">
        <f t="array" ref="BC1311">_xlfn.IFS(E1311="","",G1311&lt;=E1311,BB1311*(1-0.03),G1311&lt;(E1311+8),BB1311,AZ1311="Boleto",BB1311*(1+0.001)^DATEDIF(E1311,G1311,"D"),AZ1311="Cheque",BB1311,AZ1311="Dinheiro","Alterar forma pgto")</f>
        <v/>
      </c>
      <c r="BD1311" s="276" t="str" cm="1">
        <f t="array" ref="BD1311">IF(F1311=0," ",IF(BC1311&lt;BB1311,(_xlfn.IFS(AW1311="SIM",SUM(L1311,Q1311,V1311,AA1311,AF1311,AK1311,AP1311,AU1311)+AX1311/_xlfn.XLOOKUP(_xlfn.XLOOKUP($F1311,Clientes!$B$4:$B$39,Clientes!$C$4:$C$39),Cadastros!$L$6:$L$12,Cadastros!$M$6:$M$12)+IF($F1311="Bernardino Furlan",AY1311/2751.92,IF($F1311="Mauro José Salanti",AY1311/2751.92,AY1311/3356)),F1311&lt;&gt;0,SUM(L1311,Q1311,V1311,AA1311,AF1311,AK1311,AP1311,AU1311)))*(1-0.03),_xlfn.IFS(AW1311="SIM",SUM(L1311,Q1311,V1311,AA1311,AF1311,AK1311,AP1311,AU1311)+AX1311/_xlfn.XLOOKUP(_xlfn.XLOOKUP($F1311,Clientes!$B$4:$B$39,Clientes!$C$4:$C$39),Cadastros!$L$6:$L$12,Cadastros!$M$6:$M$12)+IF($F1311="Bernardino Furlan",AY1311/2751.92,IF($F1311="Mauro José Salanti",AY1311/2751.92,AY1311/3356)),F1311&lt;&gt;0,SUM(L1311,Q1311,V1311,AA1311,AF1311,AK1311,AP1311,AU1311))))</f>
        <v xml:space="preserve"> </v>
      </c>
      <c r="BE1311" s="120"/>
      <c r="BF1311" s="120"/>
      <c r="BG1311" s="120"/>
    </row>
    <row r="1312" spans="1:59" s="3" customFormat="1" x14ac:dyDescent="0.3">
      <c r="A1312" s="15" t="str">
        <f t="shared" si="260"/>
        <v/>
      </c>
      <c r="B1312" s="25"/>
      <c r="C1312" s="26"/>
      <c r="D1312" s="279"/>
      <c r="E1312" s="27"/>
      <c r="F1312" s="28"/>
      <c r="G1312" s="27"/>
      <c r="H1312" s="28"/>
      <c r="I1312" s="28"/>
      <c r="J1312" s="255" t="str">
        <f>IF(H1312="","",(_xlfn.XLOOKUP(H1312,Cadastros!$D$6:$D$90,Cadastros!$E$6:$E$90))*(1-_xlfn.XLOOKUP(_xlfn.XLOOKUP($F1312,Clientes!$B$4:$B$39,Clientes!$C$4:$C$39),Cadastros!$L$6:$L$12,Cadastros!$N$6:$N$12)))</f>
        <v/>
      </c>
      <c r="K1312" s="168" t="str">
        <f t="shared" si="261"/>
        <v/>
      </c>
      <c r="L1312" s="168" t="str">
        <f>IFERROR(K1312/_xlfn.XLOOKUP(_xlfn.XLOOKUP($F1312,Clientes!$B$4:$B$39,Clientes!$C$4:$C$39),Cadastros!$L$6:$L$12,Cadastros!$M$6:$M$12)," ")</f>
        <v xml:space="preserve"> </v>
      </c>
      <c r="M1312" s="28"/>
      <c r="N1312" s="28"/>
      <c r="O1312" s="255" t="str">
        <f>IF(M1312="","",(_xlfn.XLOOKUP(M1312,Cadastros!$D$6:$D$90,Cadastros!$E$6:$E$90))*(1-_xlfn.XLOOKUP(_xlfn.XLOOKUP($F1312,Clientes!$B$4:$B$39,Clientes!$C$4:$C$39),Cadastros!$L$6:$L$12,Cadastros!$N$6:$N$12)))</f>
        <v/>
      </c>
      <c r="P1312" s="168" t="str">
        <f t="shared" si="262"/>
        <v/>
      </c>
      <c r="Q1312" s="168" t="str">
        <f>IFERROR(P1312/_xlfn.XLOOKUP(_xlfn.XLOOKUP($F1312,Clientes!$B$4:$B$39,Clientes!$C$4:$C$39),Cadastros!$L$6:$L$12,Cadastros!$M$6:$M$12)," ")</f>
        <v xml:space="preserve"> </v>
      </c>
      <c r="R1312" s="28"/>
      <c r="S1312" s="28"/>
      <c r="T1312" s="255" t="str">
        <f>IF(R1312="","",(_xlfn.XLOOKUP(R1312,Cadastros!$D$6:$D$90,Cadastros!$E$6:$E$90))*(1-_xlfn.XLOOKUP(_xlfn.XLOOKUP($F1312,Clientes!$B$4:$B$39,Clientes!$C$4:$C$39),Cadastros!$L$6:$L$12,Cadastros!$N$6:$N$12)))</f>
        <v/>
      </c>
      <c r="U1312" s="168" t="str">
        <f t="shared" si="263"/>
        <v/>
      </c>
      <c r="V1312" s="168" t="str">
        <f>IFERROR(U1312/_xlfn.XLOOKUP(_xlfn.XLOOKUP($F1312,Clientes!$B$4:$B$39,Clientes!$C$4:$C$39),Cadastros!$L$6:$L$12,Cadastros!$M$6:$M$12)," ")</f>
        <v xml:space="preserve"> </v>
      </c>
      <c r="W1312" s="28"/>
      <c r="X1312" s="28"/>
      <c r="Y1312" s="255" t="str">
        <f>IF(W1312="","",(_xlfn.XLOOKUP(W1312,Cadastros!$D$6:$D$90,Cadastros!$E$6:$E$90))*(1-_xlfn.XLOOKUP(_xlfn.XLOOKUP($F1312,Clientes!$B$4:$B$39,Clientes!$C$4:$C$39),Cadastros!$L$6:$L$12,Cadastros!$N$6:$N$12)))</f>
        <v/>
      </c>
      <c r="Z1312" s="168" t="str">
        <f t="shared" si="264"/>
        <v/>
      </c>
      <c r="AA1312" s="168" t="str">
        <f>IFERROR(Z1312/_xlfn.XLOOKUP(_xlfn.XLOOKUP($F1312,Clientes!$B$4:$B$39,Clientes!$C$4:$C$39),Cadastros!$L$6:$L$12,Cadastros!$M$6:$M$12)," ")</f>
        <v xml:space="preserve"> </v>
      </c>
      <c r="AB1312" s="28"/>
      <c r="AC1312" s="28"/>
      <c r="AD1312" s="20" t="str">
        <f>IF(AB1312="","",IF($F1312="Bernardino Furlan",_xlfn.XLOOKUP(AB1312,Cadastros!$G$6:$G$90,Cadastros!$H$6:$H$90)*(1-0.18),IF($F1312="Mauro José Salanti",_xlfn.XLOOKUP(AB1312,Cadastros!$G$6:$G$90,Cadastros!$H$6:$H$90)*(1-0.18),_xlfn.XLOOKUP(AB1312,Cadastros!$G$6:$G$90,Cadastros!$H$6:$H$90))))</f>
        <v/>
      </c>
      <c r="AE1312" s="168" t="str">
        <f t="shared" si="265"/>
        <v/>
      </c>
      <c r="AF1312" s="168" t="str">
        <f t="shared" si="266"/>
        <v/>
      </c>
      <c r="AG1312" s="28"/>
      <c r="AH1312" s="28"/>
      <c r="AI1312" s="20" t="str">
        <f>IF(AG1312="","",IF($F1312="Bernardino Furlan",_xlfn.XLOOKUP(AG1312,Cadastros!$G$6:$G$90,Cadastros!$H$6:$H$90)*(1-0.18),IF($F1312="Mauro José Salanti",_xlfn.XLOOKUP(AG1312,Cadastros!$G$6:$G$90,Cadastros!$H$6:$H$90)*(1-0.18),_xlfn.XLOOKUP(AG1312,Cadastros!$G$6:$G$90,Cadastros!$H$6:$H$90))))</f>
        <v/>
      </c>
      <c r="AJ1312" s="168" t="str">
        <f t="shared" si="267"/>
        <v/>
      </c>
      <c r="AK1312" s="168" t="str">
        <f t="shared" si="268"/>
        <v/>
      </c>
      <c r="AL1312" s="28"/>
      <c r="AM1312" s="28"/>
      <c r="AN1312" s="20" t="str">
        <f>IF(AL1312="","",IF($F1312="Bernardino Furlan",_xlfn.XLOOKUP(AL1312,Cadastros!$G$6:$G$90,Cadastros!$H$6:$H$90)*(1-0.18),IF($F1312="Mauro José Salanti",_xlfn.XLOOKUP(AL1312,Cadastros!$G$6:$G$90,Cadastros!$H$6:$H$90)*(1-0.18),_xlfn.XLOOKUP(AL1312,Cadastros!$G$6:$G$90,Cadastros!$H$6:$H$90))))</f>
        <v/>
      </c>
      <c r="AO1312" s="168" t="str">
        <f t="shared" si="269"/>
        <v/>
      </c>
      <c r="AP1312" s="168" t="str">
        <f t="shared" si="270"/>
        <v/>
      </c>
      <c r="AQ1312" s="28"/>
      <c r="AR1312" s="28"/>
      <c r="AS1312" s="20" t="str">
        <f>IF(AQ1312="","",IF($F1312="Bernardino Furlan",_xlfn.XLOOKUP(AQ1312,Cadastros!$G$6:$G$90,Cadastros!$H$6:$H$90)*(1-0.18),IF($F1312="Mauro José Salanti",_xlfn.XLOOKUP(AQ1312,Cadastros!$G$6:$G$90,Cadastros!$H$6:$H$90)*(1-0.18),_xlfn.XLOOKUP(AQ1312,Cadastros!$G$6:$G$90,Cadastros!$H$6:$H$90))))</f>
        <v/>
      </c>
      <c r="AT1312" s="168" t="str">
        <f t="shared" si="271"/>
        <v/>
      </c>
      <c r="AU1312" s="168" t="str">
        <f t="shared" si="272"/>
        <v/>
      </c>
      <c r="AV1312" s="227"/>
      <c r="AW1312" s="30"/>
      <c r="AX1312" s="267"/>
      <c r="AY1312" s="267"/>
      <c r="AZ1312" s="29"/>
      <c r="BA1312" s="30"/>
      <c r="BB1312" s="23" t="str" cm="1">
        <f t="array" ref="BB1312">_xlfn.IFS(AW1312="SIM",SUM(K1312,P1312,U1312,Z1312,AE1312,AJ1312,AO1312,AT1312,AX1312,AY1312),F1312&lt;&gt;"",SUM(K1312,P1312,U1312,Z1312,AE1312,AJ1312,,AO1312,AT1312),F1312="","")</f>
        <v/>
      </c>
      <c r="BC1312" s="211" t="str" cm="1">
        <f t="array" ref="BC1312">_xlfn.IFS(E1312="","",G1312&lt;=E1312,BB1312*(1-0.03),G1312&lt;(E1312+8),BB1312,AZ1312="Boleto",BB1312*(1+0.001)^DATEDIF(E1312,G1312,"D"),AZ1312="Cheque",BB1312,AZ1312="Dinheiro","Alterar forma pgto")</f>
        <v/>
      </c>
      <c r="BD1312" s="276" t="str" cm="1">
        <f t="array" ref="BD1312">IF(F1312=0," ",IF(BC1312&lt;BB1312,(_xlfn.IFS(AW1312="SIM",SUM(L1312,Q1312,V1312,AA1312,AF1312,AK1312,AP1312,AU1312)+AX1312/_xlfn.XLOOKUP(_xlfn.XLOOKUP($F1312,Clientes!$B$4:$B$39,Clientes!$C$4:$C$39),Cadastros!$L$6:$L$12,Cadastros!$M$6:$M$12)+IF($F1312="Bernardino Furlan",AY1312/2751.92,IF($F1312="Mauro José Salanti",AY1312/2751.92,AY1312/3356)),F1312&lt;&gt;0,SUM(L1312,Q1312,V1312,AA1312,AF1312,AK1312,AP1312,AU1312)))*(1-0.03),_xlfn.IFS(AW1312="SIM",SUM(L1312,Q1312,V1312,AA1312,AF1312,AK1312,AP1312,AU1312)+AX1312/_xlfn.XLOOKUP(_xlfn.XLOOKUP($F1312,Clientes!$B$4:$B$39,Clientes!$C$4:$C$39),Cadastros!$L$6:$L$12,Cadastros!$M$6:$M$12)+IF($F1312="Bernardino Furlan",AY1312/2751.92,IF($F1312="Mauro José Salanti",AY1312/2751.92,AY1312/3356)),F1312&lt;&gt;0,SUM(L1312,Q1312,V1312,AA1312,AF1312,AK1312,AP1312,AU1312))))</f>
        <v xml:space="preserve"> </v>
      </c>
      <c r="BE1312" s="120"/>
      <c r="BF1312" s="120"/>
      <c r="BG1312" s="120"/>
    </row>
    <row r="1313" spans="1:59" s="3" customFormat="1" x14ac:dyDescent="0.3">
      <c r="A1313" s="15" t="str">
        <f t="shared" si="260"/>
        <v/>
      </c>
      <c r="B1313" s="25"/>
      <c r="C1313" s="26"/>
      <c r="D1313" s="279"/>
      <c r="E1313" s="27"/>
      <c r="F1313" s="28"/>
      <c r="G1313" s="27"/>
      <c r="H1313" s="28"/>
      <c r="I1313" s="28"/>
      <c r="J1313" s="255" t="str">
        <f>IF(H1313="","",(_xlfn.XLOOKUP(H1313,Cadastros!$D$6:$D$90,Cadastros!$E$6:$E$90))*(1-_xlfn.XLOOKUP(_xlfn.XLOOKUP($F1313,Clientes!$B$4:$B$39,Clientes!$C$4:$C$39),Cadastros!$L$6:$L$12,Cadastros!$N$6:$N$12)))</f>
        <v/>
      </c>
      <c r="K1313" s="168" t="str">
        <f t="shared" si="261"/>
        <v/>
      </c>
      <c r="L1313" s="168" t="str">
        <f>IFERROR(K1313/_xlfn.XLOOKUP(_xlfn.XLOOKUP($F1313,Clientes!$B$4:$B$39,Clientes!$C$4:$C$39),Cadastros!$L$6:$L$12,Cadastros!$M$6:$M$12)," ")</f>
        <v xml:space="preserve"> </v>
      </c>
      <c r="M1313" s="28"/>
      <c r="N1313" s="28"/>
      <c r="O1313" s="255" t="str">
        <f>IF(M1313="","",(_xlfn.XLOOKUP(M1313,Cadastros!$D$6:$D$90,Cadastros!$E$6:$E$90))*(1-_xlfn.XLOOKUP(_xlfn.XLOOKUP($F1313,Clientes!$B$4:$B$39,Clientes!$C$4:$C$39),Cadastros!$L$6:$L$12,Cadastros!$N$6:$N$12)))</f>
        <v/>
      </c>
      <c r="P1313" s="168" t="str">
        <f t="shared" si="262"/>
        <v/>
      </c>
      <c r="Q1313" s="168" t="str">
        <f>IFERROR(P1313/_xlfn.XLOOKUP(_xlfn.XLOOKUP($F1313,Clientes!$B$4:$B$39,Clientes!$C$4:$C$39),Cadastros!$L$6:$L$12,Cadastros!$M$6:$M$12)," ")</f>
        <v xml:space="preserve"> </v>
      </c>
      <c r="R1313" s="28"/>
      <c r="S1313" s="28"/>
      <c r="T1313" s="255" t="str">
        <f>IF(R1313="","",(_xlfn.XLOOKUP(R1313,Cadastros!$D$6:$D$90,Cadastros!$E$6:$E$90))*(1-_xlfn.XLOOKUP(_xlfn.XLOOKUP($F1313,Clientes!$B$4:$B$39,Clientes!$C$4:$C$39),Cadastros!$L$6:$L$12,Cadastros!$N$6:$N$12)))</f>
        <v/>
      </c>
      <c r="U1313" s="168" t="str">
        <f t="shared" si="263"/>
        <v/>
      </c>
      <c r="V1313" s="168" t="str">
        <f>IFERROR(U1313/_xlfn.XLOOKUP(_xlfn.XLOOKUP($F1313,Clientes!$B$4:$B$39,Clientes!$C$4:$C$39),Cadastros!$L$6:$L$12,Cadastros!$M$6:$M$12)," ")</f>
        <v xml:space="preserve"> </v>
      </c>
      <c r="W1313" s="28"/>
      <c r="X1313" s="28"/>
      <c r="Y1313" s="255" t="str">
        <f>IF(W1313="","",(_xlfn.XLOOKUP(W1313,Cadastros!$D$6:$D$90,Cadastros!$E$6:$E$90))*(1-_xlfn.XLOOKUP(_xlfn.XLOOKUP($F1313,Clientes!$B$4:$B$39,Clientes!$C$4:$C$39),Cadastros!$L$6:$L$12,Cadastros!$N$6:$N$12)))</f>
        <v/>
      </c>
      <c r="Z1313" s="168" t="str">
        <f t="shared" si="264"/>
        <v/>
      </c>
      <c r="AA1313" s="168" t="str">
        <f>IFERROR(Z1313/_xlfn.XLOOKUP(_xlfn.XLOOKUP($F1313,Clientes!$B$4:$B$39,Clientes!$C$4:$C$39),Cadastros!$L$6:$L$12,Cadastros!$M$6:$M$12)," ")</f>
        <v xml:space="preserve"> </v>
      </c>
      <c r="AB1313" s="28"/>
      <c r="AC1313" s="28"/>
      <c r="AD1313" s="20" t="str">
        <f>IF(AB1313="","",IF($F1313="Bernardino Furlan",_xlfn.XLOOKUP(AB1313,Cadastros!$G$6:$G$90,Cadastros!$H$6:$H$90)*(1-0.18),IF($F1313="Mauro José Salanti",_xlfn.XLOOKUP(AB1313,Cadastros!$G$6:$G$90,Cadastros!$H$6:$H$90)*(1-0.18),_xlfn.XLOOKUP(AB1313,Cadastros!$G$6:$G$90,Cadastros!$H$6:$H$90))))</f>
        <v/>
      </c>
      <c r="AE1313" s="168" t="str">
        <f t="shared" si="265"/>
        <v/>
      </c>
      <c r="AF1313" s="168" t="str">
        <f t="shared" si="266"/>
        <v/>
      </c>
      <c r="AG1313" s="28"/>
      <c r="AH1313" s="28"/>
      <c r="AI1313" s="20" t="str">
        <f>IF(AG1313="","",IF($F1313="Bernardino Furlan",_xlfn.XLOOKUP(AG1313,Cadastros!$G$6:$G$90,Cadastros!$H$6:$H$90)*(1-0.18),IF($F1313="Mauro José Salanti",_xlfn.XLOOKUP(AG1313,Cadastros!$G$6:$G$90,Cadastros!$H$6:$H$90)*(1-0.18),_xlfn.XLOOKUP(AG1313,Cadastros!$G$6:$G$90,Cadastros!$H$6:$H$90))))</f>
        <v/>
      </c>
      <c r="AJ1313" s="168" t="str">
        <f t="shared" si="267"/>
        <v/>
      </c>
      <c r="AK1313" s="168" t="str">
        <f t="shared" si="268"/>
        <v/>
      </c>
      <c r="AL1313" s="28"/>
      <c r="AM1313" s="28"/>
      <c r="AN1313" s="20" t="str">
        <f>IF(AL1313="","",IF($F1313="Bernardino Furlan",_xlfn.XLOOKUP(AL1313,Cadastros!$G$6:$G$90,Cadastros!$H$6:$H$90)*(1-0.18),IF($F1313="Mauro José Salanti",_xlfn.XLOOKUP(AL1313,Cadastros!$G$6:$G$90,Cadastros!$H$6:$H$90)*(1-0.18),_xlfn.XLOOKUP(AL1313,Cadastros!$G$6:$G$90,Cadastros!$H$6:$H$90))))</f>
        <v/>
      </c>
      <c r="AO1313" s="168" t="str">
        <f t="shared" si="269"/>
        <v/>
      </c>
      <c r="AP1313" s="168" t="str">
        <f t="shared" si="270"/>
        <v/>
      </c>
      <c r="AQ1313" s="28"/>
      <c r="AR1313" s="28"/>
      <c r="AS1313" s="20" t="str">
        <f>IF(AQ1313="","",IF($F1313="Bernardino Furlan",_xlfn.XLOOKUP(AQ1313,Cadastros!$G$6:$G$90,Cadastros!$H$6:$H$90)*(1-0.18),IF($F1313="Mauro José Salanti",_xlfn.XLOOKUP(AQ1313,Cadastros!$G$6:$G$90,Cadastros!$H$6:$H$90)*(1-0.18),_xlfn.XLOOKUP(AQ1313,Cadastros!$G$6:$G$90,Cadastros!$H$6:$H$90))))</f>
        <v/>
      </c>
      <c r="AT1313" s="168" t="str">
        <f t="shared" si="271"/>
        <v/>
      </c>
      <c r="AU1313" s="168" t="str">
        <f t="shared" si="272"/>
        <v/>
      </c>
      <c r="AV1313" s="227"/>
      <c r="AW1313" s="30"/>
      <c r="AX1313" s="267"/>
      <c r="AY1313" s="267"/>
      <c r="AZ1313" s="29"/>
      <c r="BA1313" s="30"/>
      <c r="BB1313" s="23" t="str" cm="1">
        <f t="array" ref="BB1313">_xlfn.IFS(AW1313="SIM",SUM(K1313,P1313,U1313,Z1313,AE1313,AJ1313,AO1313,AT1313,AX1313,AY1313),F1313&lt;&gt;"",SUM(K1313,P1313,U1313,Z1313,AE1313,AJ1313,,AO1313,AT1313),F1313="","")</f>
        <v/>
      </c>
      <c r="BC1313" s="211" t="str" cm="1">
        <f t="array" ref="BC1313">_xlfn.IFS(E1313="","",G1313&lt;=E1313,BB1313*(1-0.03),G1313&lt;(E1313+8),BB1313,AZ1313="Boleto",BB1313*(1+0.001)^DATEDIF(E1313,G1313,"D"),AZ1313="Cheque",BB1313,AZ1313="Dinheiro","Alterar forma pgto")</f>
        <v/>
      </c>
      <c r="BD1313" s="276" t="str" cm="1">
        <f t="array" ref="BD1313">IF(F1313=0," ",IF(BC1313&lt;BB1313,(_xlfn.IFS(AW1313="SIM",SUM(L1313,Q1313,V1313,AA1313,AF1313,AK1313,AP1313,AU1313)+AX1313/_xlfn.XLOOKUP(_xlfn.XLOOKUP($F1313,Clientes!$B$4:$B$39,Clientes!$C$4:$C$39),Cadastros!$L$6:$L$12,Cadastros!$M$6:$M$12)+IF($F1313="Bernardino Furlan",AY1313/2751.92,IF($F1313="Mauro José Salanti",AY1313/2751.92,AY1313/3356)),F1313&lt;&gt;0,SUM(L1313,Q1313,V1313,AA1313,AF1313,AK1313,AP1313,AU1313)))*(1-0.03),_xlfn.IFS(AW1313="SIM",SUM(L1313,Q1313,V1313,AA1313,AF1313,AK1313,AP1313,AU1313)+AX1313/_xlfn.XLOOKUP(_xlfn.XLOOKUP($F1313,Clientes!$B$4:$B$39,Clientes!$C$4:$C$39),Cadastros!$L$6:$L$12,Cadastros!$M$6:$M$12)+IF($F1313="Bernardino Furlan",AY1313/2751.92,IF($F1313="Mauro José Salanti",AY1313/2751.92,AY1313/3356)),F1313&lt;&gt;0,SUM(L1313,Q1313,V1313,AA1313,AF1313,AK1313,AP1313,AU1313))))</f>
        <v xml:space="preserve"> </v>
      </c>
      <c r="BE1313" s="120"/>
      <c r="BF1313" s="120"/>
      <c r="BG1313" s="120"/>
    </row>
    <row r="1314" spans="1:59" s="3" customFormat="1" x14ac:dyDescent="0.3">
      <c r="A1314" s="15" t="str">
        <f t="shared" si="260"/>
        <v/>
      </c>
      <c r="B1314" s="25"/>
      <c r="C1314" s="26"/>
      <c r="D1314" s="279"/>
      <c r="E1314" s="27"/>
      <c r="F1314" s="28"/>
      <c r="G1314" s="27"/>
      <c r="H1314" s="28"/>
      <c r="I1314" s="28"/>
      <c r="J1314" s="255" t="str">
        <f>IF(H1314="","",(_xlfn.XLOOKUP(H1314,Cadastros!$D$6:$D$90,Cadastros!$E$6:$E$90))*(1-_xlfn.XLOOKUP(_xlfn.XLOOKUP($F1314,Clientes!$B$4:$B$39,Clientes!$C$4:$C$39),Cadastros!$L$6:$L$12,Cadastros!$N$6:$N$12)))</f>
        <v/>
      </c>
      <c r="K1314" s="168" t="str">
        <f t="shared" si="261"/>
        <v/>
      </c>
      <c r="L1314" s="168" t="str">
        <f>IFERROR(K1314/_xlfn.XLOOKUP(_xlfn.XLOOKUP($F1314,Clientes!$B$4:$B$39,Clientes!$C$4:$C$39),Cadastros!$L$6:$L$12,Cadastros!$M$6:$M$12)," ")</f>
        <v xml:space="preserve"> </v>
      </c>
      <c r="M1314" s="28"/>
      <c r="N1314" s="28"/>
      <c r="O1314" s="255" t="str">
        <f>IF(M1314="","",(_xlfn.XLOOKUP(M1314,Cadastros!$D$6:$D$90,Cadastros!$E$6:$E$90))*(1-_xlfn.XLOOKUP(_xlfn.XLOOKUP($F1314,Clientes!$B$4:$B$39,Clientes!$C$4:$C$39),Cadastros!$L$6:$L$12,Cadastros!$N$6:$N$12)))</f>
        <v/>
      </c>
      <c r="P1314" s="168" t="str">
        <f t="shared" si="262"/>
        <v/>
      </c>
      <c r="Q1314" s="168" t="str">
        <f>IFERROR(P1314/_xlfn.XLOOKUP(_xlfn.XLOOKUP($F1314,Clientes!$B$4:$B$39,Clientes!$C$4:$C$39),Cadastros!$L$6:$L$12,Cadastros!$M$6:$M$12)," ")</f>
        <v xml:space="preserve"> </v>
      </c>
      <c r="R1314" s="28"/>
      <c r="S1314" s="28"/>
      <c r="T1314" s="255" t="str">
        <f>IF(R1314="","",(_xlfn.XLOOKUP(R1314,Cadastros!$D$6:$D$90,Cadastros!$E$6:$E$90))*(1-_xlfn.XLOOKUP(_xlfn.XLOOKUP($F1314,Clientes!$B$4:$B$39,Clientes!$C$4:$C$39),Cadastros!$L$6:$L$12,Cadastros!$N$6:$N$12)))</f>
        <v/>
      </c>
      <c r="U1314" s="168" t="str">
        <f t="shared" si="263"/>
        <v/>
      </c>
      <c r="V1314" s="168" t="str">
        <f>IFERROR(U1314/_xlfn.XLOOKUP(_xlfn.XLOOKUP($F1314,Clientes!$B$4:$B$39,Clientes!$C$4:$C$39),Cadastros!$L$6:$L$12,Cadastros!$M$6:$M$12)," ")</f>
        <v xml:space="preserve"> </v>
      </c>
      <c r="W1314" s="28"/>
      <c r="X1314" s="28"/>
      <c r="Y1314" s="255" t="str">
        <f>IF(W1314="","",(_xlfn.XLOOKUP(W1314,Cadastros!$D$6:$D$90,Cadastros!$E$6:$E$90))*(1-_xlfn.XLOOKUP(_xlfn.XLOOKUP($F1314,Clientes!$B$4:$B$39,Clientes!$C$4:$C$39),Cadastros!$L$6:$L$12,Cadastros!$N$6:$N$12)))</f>
        <v/>
      </c>
      <c r="Z1314" s="168" t="str">
        <f t="shared" si="264"/>
        <v/>
      </c>
      <c r="AA1314" s="168" t="str">
        <f>IFERROR(Z1314/_xlfn.XLOOKUP(_xlfn.XLOOKUP($F1314,Clientes!$B$4:$B$39,Clientes!$C$4:$C$39),Cadastros!$L$6:$L$12,Cadastros!$M$6:$M$12)," ")</f>
        <v xml:space="preserve"> </v>
      </c>
      <c r="AB1314" s="28"/>
      <c r="AC1314" s="28"/>
      <c r="AD1314" s="20" t="str">
        <f>IF(AB1314="","",IF($F1314="Bernardino Furlan",_xlfn.XLOOKUP(AB1314,Cadastros!$G$6:$G$90,Cadastros!$H$6:$H$90)*(1-0.18),IF($F1314="Mauro José Salanti",_xlfn.XLOOKUP(AB1314,Cadastros!$G$6:$G$90,Cadastros!$H$6:$H$90)*(1-0.18),_xlfn.XLOOKUP(AB1314,Cadastros!$G$6:$G$90,Cadastros!$H$6:$H$90))))</f>
        <v/>
      </c>
      <c r="AE1314" s="168" t="str">
        <f t="shared" si="265"/>
        <v/>
      </c>
      <c r="AF1314" s="168" t="str">
        <f t="shared" si="266"/>
        <v/>
      </c>
      <c r="AG1314" s="28"/>
      <c r="AH1314" s="28"/>
      <c r="AI1314" s="20" t="str">
        <f>IF(AG1314="","",IF($F1314="Bernardino Furlan",_xlfn.XLOOKUP(AG1314,Cadastros!$G$6:$G$90,Cadastros!$H$6:$H$90)*(1-0.18),IF($F1314="Mauro José Salanti",_xlfn.XLOOKUP(AG1314,Cadastros!$G$6:$G$90,Cadastros!$H$6:$H$90)*(1-0.18),_xlfn.XLOOKUP(AG1314,Cadastros!$G$6:$G$90,Cadastros!$H$6:$H$90))))</f>
        <v/>
      </c>
      <c r="AJ1314" s="168" t="str">
        <f t="shared" si="267"/>
        <v/>
      </c>
      <c r="AK1314" s="168" t="str">
        <f t="shared" si="268"/>
        <v/>
      </c>
      <c r="AL1314" s="28"/>
      <c r="AM1314" s="28"/>
      <c r="AN1314" s="20" t="str">
        <f>IF(AL1314="","",IF($F1314="Bernardino Furlan",_xlfn.XLOOKUP(AL1314,Cadastros!$G$6:$G$90,Cadastros!$H$6:$H$90)*(1-0.18),IF($F1314="Mauro José Salanti",_xlfn.XLOOKUP(AL1314,Cadastros!$G$6:$G$90,Cadastros!$H$6:$H$90)*(1-0.18),_xlfn.XLOOKUP(AL1314,Cadastros!$G$6:$G$90,Cadastros!$H$6:$H$90))))</f>
        <v/>
      </c>
      <c r="AO1314" s="168" t="str">
        <f t="shared" si="269"/>
        <v/>
      </c>
      <c r="AP1314" s="168" t="str">
        <f t="shared" si="270"/>
        <v/>
      </c>
      <c r="AQ1314" s="28"/>
      <c r="AR1314" s="28"/>
      <c r="AS1314" s="20" t="str">
        <f>IF(AQ1314="","",IF($F1314="Bernardino Furlan",_xlfn.XLOOKUP(AQ1314,Cadastros!$G$6:$G$90,Cadastros!$H$6:$H$90)*(1-0.18),IF($F1314="Mauro José Salanti",_xlfn.XLOOKUP(AQ1314,Cadastros!$G$6:$G$90,Cadastros!$H$6:$H$90)*(1-0.18),_xlfn.XLOOKUP(AQ1314,Cadastros!$G$6:$G$90,Cadastros!$H$6:$H$90))))</f>
        <v/>
      </c>
      <c r="AT1314" s="168" t="str">
        <f t="shared" si="271"/>
        <v/>
      </c>
      <c r="AU1314" s="168" t="str">
        <f t="shared" si="272"/>
        <v/>
      </c>
      <c r="AV1314" s="227"/>
      <c r="AW1314" s="30"/>
      <c r="AX1314" s="267"/>
      <c r="AY1314" s="267"/>
      <c r="AZ1314" s="29"/>
      <c r="BA1314" s="30"/>
      <c r="BB1314" s="23" t="str" cm="1">
        <f t="array" ref="BB1314">_xlfn.IFS(AW1314="SIM",SUM(K1314,P1314,U1314,Z1314,AE1314,AJ1314,AO1314,AT1314,AX1314,AY1314),F1314&lt;&gt;"",SUM(K1314,P1314,U1314,Z1314,AE1314,AJ1314,,AO1314,AT1314),F1314="","")</f>
        <v/>
      </c>
      <c r="BC1314" s="211" t="str" cm="1">
        <f t="array" ref="BC1314">_xlfn.IFS(E1314="","",G1314&lt;=E1314,BB1314*(1-0.03),G1314&lt;(E1314+8),BB1314,AZ1314="Boleto",BB1314*(1+0.001)^DATEDIF(E1314,G1314,"D"),AZ1314="Cheque",BB1314,AZ1314="Dinheiro","Alterar forma pgto")</f>
        <v/>
      </c>
      <c r="BD1314" s="276" t="str" cm="1">
        <f t="array" ref="BD1314">IF(F1314=0," ",IF(BC1314&lt;BB1314,(_xlfn.IFS(AW1314="SIM",SUM(L1314,Q1314,V1314,AA1314,AF1314,AK1314,AP1314,AU1314)+AX1314/_xlfn.XLOOKUP(_xlfn.XLOOKUP($F1314,Clientes!$B$4:$B$39,Clientes!$C$4:$C$39),Cadastros!$L$6:$L$12,Cadastros!$M$6:$M$12)+IF($F1314="Bernardino Furlan",AY1314/2751.92,IF($F1314="Mauro José Salanti",AY1314/2751.92,AY1314/3356)),F1314&lt;&gt;0,SUM(L1314,Q1314,V1314,AA1314,AF1314,AK1314,AP1314,AU1314)))*(1-0.03),_xlfn.IFS(AW1314="SIM",SUM(L1314,Q1314,V1314,AA1314,AF1314,AK1314,AP1314,AU1314)+AX1314/_xlfn.XLOOKUP(_xlfn.XLOOKUP($F1314,Clientes!$B$4:$B$39,Clientes!$C$4:$C$39),Cadastros!$L$6:$L$12,Cadastros!$M$6:$M$12)+IF($F1314="Bernardino Furlan",AY1314/2751.92,IF($F1314="Mauro José Salanti",AY1314/2751.92,AY1314/3356)),F1314&lt;&gt;0,SUM(L1314,Q1314,V1314,AA1314,AF1314,AK1314,AP1314,AU1314))))</f>
        <v xml:space="preserve"> </v>
      </c>
      <c r="BE1314" s="120"/>
      <c r="BF1314" s="120"/>
      <c r="BG1314" s="120"/>
    </row>
    <row r="1315" spans="1:59" s="3" customFormat="1" x14ac:dyDescent="0.3">
      <c r="A1315" s="15" t="str">
        <f t="shared" si="260"/>
        <v/>
      </c>
      <c r="B1315" s="25"/>
      <c r="C1315" s="26"/>
      <c r="D1315" s="279"/>
      <c r="E1315" s="27"/>
      <c r="F1315" s="28"/>
      <c r="G1315" s="27"/>
      <c r="H1315" s="28"/>
      <c r="I1315" s="28"/>
      <c r="J1315" s="255" t="str">
        <f>IF(H1315="","",(_xlfn.XLOOKUP(H1315,Cadastros!$D$6:$D$90,Cadastros!$E$6:$E$90))*(1-_xlfn.XLOOKUP(_xlfn.XLOOKUP($F1315,Clientes!$B$4:$B$39,Clientes!$C$4:$C$39),Cadastros!$L$6:$L$12,Cadastros!$N$6:$N$12)))</f>
        <v/>
      </c>
      <c r="K1315" s="168" t="str">
        <f t="shared" si="261"/>
        <v/>
      </c>
      <c r="L1315" s="168" t="str">
        <f>IFERROR(K1315/_xlfn.XLOOKUP(_xlfn.XLOOKUP($F1315,Clientes!$B$4:$B$39,Clientes!$C$4:$C$39),Cadastros!$L$6:$L$12,Cadastros!$M$6:$M$12)," ")</f>
        <v xml:space="preserve"> </v>
      </c>
      <c r="M1315" s="28"/>
      <c r="N1315" s="28"/>
      <c r="O1315" s="255" t="str">
        <f>IF(M1315="","",(_xlfn.XLOOKUP(M1315,Cadastros!$D$6:$D$90,Cadastros!$E$6:$E$90))*(1-_xlfn.XLOOKUP(_xlfn.XLOOKUP($F1315,Clientes!$B$4:$B$39,Clientes!$C$4:$C$39),Cadastros!$L$6:$L$12,Cadastros!$N$6:$N$12)))</f>
        <v/>
      </c>
      <c r="P1315" s="168" t="str">
        <f t="shared" si="262"/>
        <v/>
      </c>
      <c r="Q1315" s="168" t="str">
        <f>IFERROR(P1315/_xlfn.XLOOKUP(_xlfn.XLOOKUP($F1315,Clientes!$B$4:$B$39,Clientes!$C$4:$C$39),Cadastros!$L$6:$L$12,Cadastros!$M$6:$M$12)," ")</f>
        <v xml:space="preserve"> </v>
      </c>
      <c r="R1315" s="28"/>
      <c r="S1315" s="28"/>
      <c r="T1315" s="255" t="str">
        <f>IF(R1315="","",(_xlfn.XLOOKUP(R1315,Cadastros!$D$6:$D$90,Cadastros!$E$6:$E$90))*(1-_xlfn.XLOOKUP(_xlfn.XLOOKUP($F1315,Clientes!$B$4:$B$39,Clientes!$C$4:$C$39),Cadastros!$L$6:$L$12,Cadastros!$N$6:$N$12)))</f>
        <v/>
      </c>
      <c r="U1315" s="168" t="str">
        <f t="shared" si="263"/>
        <v/>
      </c>
      <c r="V1315" s="168" t="str">
        <f>IFERROR(U1315/_xlfn.XLOOKUP(_xlfn.XLOOKUP($F1315,Clientes!$B$4:$B$39,Clientes!$C$4:$C$39),Cadastros!$L$6:$L$12,Cadastros!$M$6:$M$12)," ")</f>
        <v xml:space="preserve"> </v>
      </c>
      <c r="W1315" s="28"/>
      <c r="X1315" s="28"/>
      <c r="Y1315" s="255" t="str">
        <f>IF(W1315="","",(_xlfn.XLOOKUP(W1315,Cadastros!$D$6:$D$90,Cadastros!$E$6:$E$90))*(1-_xlfn.XLOOKUP(_xlfn.XLOOKUP($F1315,Clientes!$B$4:$B$39,Clientes!$C$4:$C$39),Cadastros!$L$6:$L$12,Cadastros!$N$6:$N$12)))</f>
        <v/>
      </c>
      <c r="Z1315" s="168" t="str">
        <f t="shared" si="264"/>
        <v/>
      </c>
      <c r="AA1315" s="168" t="str">
        <f>IFERROR(Z1315/_xlfn.XLOOKUP(_xlfn.XLOOKUP($F1315,Clientes!$B$4:$B$39,Clientes!$C$4:$C$39),Cadastros!$L$6:$L$12,Cadastros!$M$6:$M$12)," ")</f>
        <v xml:space="preserve"> </v>
      </c>
      <c r="AB1315" s="28"/>
      <c r="AC1315" s="28"/>
      <c r="AD1315" s="20" t="str">
        <f>IF(AB1315="","",IF($F1315="Bernardino Furlan",_xlfn.XLOOKUP(AB1315,Cadastros!$G$6:$G$90,Cadastros!$H$6:$H$90)*(1-0.18),IF($F1315="Mauro José Salanti",_xlfn.XLOOKUP(AB1315,Cadastros!$G$6:$G$90,Cadastros!$H$6:$H$90)*(1-0.18),_xlfn.XLOOKUP(AB1315,Cadastros!$G$6:$G$90,Cadastros!$H$6:$H$90))))</f>
        <v/>
      </c>
      <c r="AE1315" s="168" t="str">
        <f t="shared" si="265"/>
        <v/>
      </c>
      <c r="AF1315" s="168" t="str">
        <f t="shared" si="266"/>
        <v/>
      </c>
      <c r="AG1315" s="28"/>
      <c r="AH1315" s="28"/>
      <c r="AI1315" s="20" t="str">
        <f>IF(AG1315="","",IF($F1315="Bernardino Furlan",_xlfn.XLOOKUP(AG1315,Cadastros!$G$6:$G$90,Cadastros!$H$6:$H$90)*(1-0.18),IF($F1315="Mauro José Salanti",_xlfn.XLOOKUP(AG1315,Cadastros!$G$6:$G$90,Cadastros!$H$6:$H$90)*(1-0.18),_xlfn.XLOOKUP(AG1315,Cadastros!$G$6:$G$90,Cadastros!$H$6:$H$90))))</f>
        <v/>
      </c>
      <c r="AJ1315" s="168" t="str">
        <f t="shared" si="267"/>
        <v/>
      </c>
      <c r="AK1315" s="168" t="str">
        <f t="shared" si="268"/>
        <v/>
      </c>
      <c r="AL1315" s="28"/>
      <c r="AM1315" s="28"/>
      <c r="AN1315" s="20" t="str">
        <f>IF(AL1315="","",IF($F1315="Bernardino Furlan",_xlfn.XLOOKUP(AL1315,Cadastros!$G$6:$G$90,Cadastros!$H$6:$H$90)*(1-0.18),IF($F1315="Mauro José Salanti",_xlfn.XLOOKUP(AL1315,Cadastros!$G$6:$G$90,Cadastros!$H$6:$H$90)*(1-0.18),_xlfn.XLOOKUP(AL1315,Cadastros!$G$6:$G$90,Cadastros!$H$6:$H$90))))</f>
        <v/>
      </c>
      <c r="AO1315" s="168" t="str">
        <f t="shared" si="269"/>
        <v/>
      </c>
      <c r="AP1315" s="168" t="str">
        <f t="shared" si="270"/>
        <v/>
      </c>
      <c r="AQ1315" s="28"/>
      <c r="AR1315" s="28"/>
      <c r="AS1315" s="20" t="str">
        <f>IF(AQ1315="","",IF($F1315="Bernardino Furlan",_xlfn.XLOOKUP(AQ1315,Cadastros!$G$6:$G$90,Cadastros!$H$6:$H$90)*(1-0.18),IF($F1315="Mauro José Salanti",_xlfn.XLOOKUP(AQ1315,Cadastros!$G$6:$G$90,Cadastros!$H$6:$H$90)*(1-0.18),_xlfn.XLOOKUP(AQ1315,Cadastros!$G$6:$G$90,Cadastros!$H$6:$H$90))))</f>
        <v/>
      </c>
      <c r="AT1315" s="168" t="str">
        <f t="shared" si="271"/>
        <v/>
      </c>
      <c r="AU1315" s="168" t="str">
        <f t="shared" si="272"/>
        <v/>
      </c>
      <c r="AV1315" s="227"/>
      <c r="AW1315" s="30"/>
      <c r="AX1315" s="267"/>
      <c r="AY1315" s="267"/>
      <c r="AZ1315" s="29"/>
      <c r="BA1315" s="30"/>
      <c r="BB1315" s="23" t="str" cm="1">
        <f t="array" ref="BB1315">_xlfn.IFS(AW1315="SIM",SUM(K1315,P1315,U1315,Z1315,AE1315,AJ1315,AO1315,AT1315,AX1315,AY1315),F1315&lt;&gt;"",SUM(K1315,P1315,U1315,Z1315,AE1315,AJ1315,,AO1315,AT1315),F1315="","")</f>
        <v/>
      </c>
      <c r="BC1315" s="211" t="str" cm="1">
        <f t="array" ref="BC1315">_xlfn.IFS(E1315="","",G1315&lt;=E1315,BB1315*(1-0.03),G1315&lt;(E1315+8),BB1315,AZ1315="Boleto",BB1315*(1+0.001)^DATEDIF(E1315,G1315,"D"),AZ1315="Cheque",BB1315,AZ1315="Dinheiro","Alterar forma pgto")</f>
        <v/>
      </c>
      <c r="BD1315" s="276" t="str" cm="1">
        <f t="array" ref="BD1315">IF(F1315=0," ",IF(BC1315&lt;BB1315,(_xlfn.IFS(AW1315="SIM",SUM(L1315,Q1315,V1315,AA1315,AF1315,AK1315,AP1315,AU1315)+AX1315/_xlfn.XLOOKUP(_xlfn.XLOOKUP($F1315,Clientes!$B$4:$B$39,Clientes!$C$4:$C$39),Cadastros!$L$6:$L$12,Cadastros!$M$6:$M$12)+IF($F1315="Bernardino Furlan",AY1315/2751.92,IF($F1315="Mauro José Salanti",AY1315/2751.92,AY1315/3356)),F1315&lt;&gt;0,SUM(L1315,Q1315,V1315,AA1315,AF1315,AK1315,AP1315,AU1315)))*(1-0.03),_xlfn.IFS(AW1315="SIM",SUM(L1315,Q1315,V1315,AA1315,AF1315,AK1315,AP1315,AU1315)+AX1315/_xlfn.XLOOKUP(_xlfn.XLOOKUP($F1315,Clientes!$B$4:$B$39,Clientes!$C$4:$C$39),Cadastros!$L$6:$L$12,Cadastros!$M$6:$M$12)+IF($F1315="Bernardino Furlan",AY1315/2751.92,IF($F1315="Mauro José Salanti",AY1315/2751.92,AY1315/3356)),F1315&lt;&gt;0,SUM(L1315,Q1315,V1315,AA1315,AF1315,AK1315,AP1315,AU1315))))</f>
        <v xml:space="preserve"> </v>
      </c>
      <c r="BE1315" s="120"/>
      <c r="BF1315" s="120"/>
      <c r="BG1315" s="120"/>
    </row>
    <row r="1316" spans="1:59" s="3" customFormat="1" x14ac:dyDescent="0.3">
      <c r="A1316" s="15" t="str">
        <f t="shared" si="260"/>
        <v/>
      </c>
      <c r="B1316" s="25"/>
      <c r="C1316" s="26"/>
      <c r="D1316" s="279"/>
      <c r="E1316" s="27"/>
      <c r="F1316" s="28"/>
      <c r="G1316" s="27"/>
      <c r="H1316" s="28"/>
      <c r="I1316" s="28"/>
      <c r="J1316" s="255" t="str">
        <f>IF(H1316="","",(_xlfn.XLOOKUP(H1316,Cadastros!$D$6:$D$90,Cadastros!$E$6:$E$90))*(1-_xlfn.XLOOKUP(_xlfn.XLOOKUP($F1316,Clientes!$B$4:$B$39,Clientes!$C$4:$C$39),Cadastros!$L$6:$L$12,Cadastros!$N$6:$N$12)))</f>
        <v/>
      </c>
      <c r="K1316" s="168" t="str">
        <f t="shared" si="261"/>
        <v/>
      </c>
      <c r="L1316" s="168" t="str">
        <f>IFERROR(K1316/_xlfn.XLOOKUP(_xlfn.XLOOKUP($F1316,Clientes!$B$4:$B$39,Clientes!$C$4:$C$39),Cadastros!$L$6:$L$12,Cadastros!$M$6:$M$12)," ")</f>
        <v xml:space="preserve"> </v>
      </c>
      <c r="M1316" s="28"/>
      <c r="N1316" s="28"/>
      <c r="O1316" s="255" t="str">
        <f>IF(M1316="","",(_xlfn.XLOOKUP(M1316,Cadastros!$D$6:$D$90,Cadastros!$E$6:$E$90))*(1-_xlfn.XLOOKUP(_xlfn.XLOOKUP($F1316,Clientes!$B$4:$B$39,Clientes!$C$4:$C$39),Cadastros!$L$6:$L$12,Cadastros!$N$6:$N$12)))</f>
        <v/>
      </c>
      <c r="P1316" s="168" t="str">
        <f t="shared" si="262"/>
        <v/>
      </c>
      <c r="Q1316" s="168" t="str">
        <f>IFERROR(P1316/_xlfn.XLOOKUP(_xlfn.XLOOKUP($F1316,Clientes!$B$4:$B$39,Clientes!$C$4:$C$39),Cadastros!$L$6:$L$12,Cadastros!$M$6:$M$12)," ")</f>
        <v xml:space="preserve"> </v>
      </c>
      <c r="R1316" s="28"/>
      <c r="S1316" s="28"/>
      <c r="T1316" s="255" t="str">
        <f>IF(R1316="","",(_xlfn.XLOOKUP(R1316,Cadastros!$D$6:$D$90,Cadastros!$E$6:$E$90))*(1-_xlfn.XLOOKUP(_xlfn.XLOOKUP($F1316,Clientes!$B$4:$B$39,Clientes!$C$4:$C$39),Cadastros!$L$6:$L$12,Cadastros!$N$6:$N$12)))</f>
        <v/>
      </c>
      <c r="U1316" s="168" t="str">
        <f t="shared" si="263"/>
        <v/>
      </c>
      <c r="V1316" s="168" t="str">
        <f>IFERROR(U1316/_xlfn.XLOOKUP(_xlfn.XLOOKUP($F1316,Clientes!$B$4:$B$39,Clientes!$C$4:$C$39),Cadastros!$L$6:$L$12,Cadastros!$M$6:$M$12)," ")</f>
        <v xml:space="preserve"> </v>
      </c>
      <c r="W1316" s="28"/>
      <c r="X1316" s="28"/>
      <c r="Y1316" s="255" t="str">
        <f>IF(W1316="","",(_xlfn.XLOOKUP(W1316,Cadastros!$D$6:$D$90,Cadastros!$E$6:$E$90))*(1-_xlfn.XLOOKUP(_xlfn.XLOOKUP($F1316,Clientes!$B$4:$B$39,Clientes!$C$4:$C$39),Cadastros!$L$6:$L$12,Cadastros!$N$6:$N$12)))</f>
        <v/>
      </c>
      <c r="Z1316" s="168" t="str">
        <f t="shared" si="264"/>
        <v/>
      </c>
      <c r="AA1316" s="168" t="str">
        <f>IFERROR(Z1316/_xlfn.XLOOKUP(_xlfn.XLOOKUP($F1316,Clientes!$B$4:$B$39,Clientes!$C$4:$C$39),Cadastros!$L$6:$L$12,Cadastros!$M$6:$M$12)," ")</f>
        <v xml:space="preserve"> </v>
      </c>
      <c r="AB1316" s="28"/>
      <c r="AC1316" s="28"/>
      <c r="AD1316" s="20" t="str">
        <f>IF(AB1316="","",IF($F1316="Bernardino Furlan",_xlfn.XLOOKUP(AB1316,Cadastros!$G$6:$G$90,Cadastros!$H$6:$H$90)*(1-0.18),IF($F1316="Mauro José Salanti",_xlfn.XLOOKUP(AB1316,Cadastros!$G$6:$G$90,Cadastros!$H$6:$H$90)*(1-0.18),_xlfn.XLOOKUP(AB1316,Cadastros!$G$6:$G$90,Cadastros!$H$6:$H$90))))</f>
        <v/>
      </c>
      <c r="AE1316" s="168" t="str">
        <f t="shared" si="265"/>
        <v/>
      </c>
      <c r="AF1316" s="168" t="str">
        <f t="shared" si="266"/>
        <v/>
      </c>
      <c r="AG1316" s="28"/>
      <c r="AH1316" s="28"/>
      <c r="AI1316" s="20" t="str">
        <f>IF(AG1316="","",IF($F1316="Bernardino Furlan",_xlfn.XLOOKUP(AG1316,Cadastros!$G$6:$G$90,Cadastros!$H$6:$H$90)*(1-0.18),IF($F1316="Mauro José Salanti",_xlfn.XLOOKUP(AG1316,Cadastros!$G$6:$G$90,Cadastros!$H$6:$H$90)*(1-0.18),_xlfn.XLOOKUP(AG1316,Cadastros!$G$6:$G$90,Cadastros!$H$6:$H$90))))</f>
        <v/>
      </c>
      <c r="AJ1316" s="168" t="str">
        <f t="shared" si="267"/>
        <v/>
      </c>
      <c r="AK1316" s="168" t="str">
        <f t="shared" si="268"/>
        <v/>
      </c>
      <c r="AL1316" s="28"/>
      <c r="AM1316" s="28"/>
      <c r="AN1316" s="20" t="str">
        <f>IF(AL1316="","",IF($F1316="Bernardino Furlan",_xlfn.XLOOKUP(AL1316,Cadastros!$G$6:$G$90,Cadastros!$H$6:$H$90)*(1-0.18),IF($F1316="Mauro José Salanti",_xlfn.XLOOKUP(AL1316,Cadastros!$G$6:$G$90,Cadastros!$H$6:$H$90)*(1-0.18),_xlfn.XLOOKUP(AL1316,Cadastros!$G$6:$G$90,Cadastros!$H$6:$H$90))))</f>
        <v/>
      </c>
      <c r="AO1316" s="168" t="str">
        <f t="shared" si="269"/>
        <v/>
      </c>
      <c r="AP1316" s="168" t="str">
        <f t="shared" si="270"/>
        <v/>
      </c>
      <c r="AQ1316" s="28"/>
      <c r="AR1316" s="28"/>
      <c r="AS1316" s="20" t="str">
        <f>IF(AQ1316="","",IF($F1316="Bernardino Furlan",_xlfn.XLOOKUP(AQ1316,Cadastros!$G$6:$G$90,Cadastros!$H$6:$H$90)*(1-0.18),IF($F1316="Mauro José Salanti",_xlfn.XLOOKUP(AQ1316,Cadastros!$G$6:$G$90,Cadastros!$H$6:$H$90)*(1-0.18),_xlfn.XLOOKUP(AQ1316,Cadastros!$G$6:$G$90,Cadastros!$H$6:$H$90))))</f>
        <v/>
      </c>
      <c r="AT1316" s="168" t="str">
        <f t="shared" si="271"/>
        <v/>
      </c>
      <c r="AU1316" s="168" t="str">
        <f t="shared" si="272"/>
        <v/>
      </c>
      <c r="AV1316" s="227"/>
      <c r="AW1316" s="30"/>
      <c r="AX1316" s="267"/>
      <c r="AY1316" s="267"/>
      <c r="AZ1316" s="29"/>
      <c r="BA1316" s="30"/>
      <c r="BB1316" s="23" t="str" cm="1">
        <f t="array" ref="BB1316">_xlfn.IFS(AW1316="SIM",SUM(K1316,P1316,U1316,Z1316,AE1316,AJ1316,AO1316,AT1316,AX1316,AY1316),F1316&lt;&gt;"",SUM(K1316,P1316,U1316,Z1316,AE1316,AJ1316,,AO1316,AT1316),F1316="","")</f>
        <v/>
      </c>
      <c r="BC1316" s="211" t="str" cm="1">
        <f t="array" ref="BC1316">_xlfn.IFS(E1316="","",G1316&lt;=E1316,BB1316*(1-0.03),G1316&lt;(E1316+8),BB1316,AZ1316="Boleto",BB1316*(1+0.001)^DATEDIF(E1316,G1316,"D"),AZ1316="Cheque",BB1316,AZ1316="Dinheiro","Alterar forma pgto")</f>
        <v/>
      </c>
      <c r="BD1316" s="276" t="str" cm="1">
        <f t="array" ref="BD1316">IF(F1316=0," ",IF(BC1316&lt;BB1316,(_xlfn.IFS(AW1316="SIM",SUM(L1316,Q1316,V1316,AA1316,AF1316,AK1316,AP1316,AU1316)+AX1316/_xlfn.XLOOKUP(_xlfn.XLOOKUP($F1316,Clientes!$B$4:$B$39,Clientes!$C$4:$C$39),Cadastros!$L$6:$L$12,Cadastros!$M$6:$M$12)+IF($F1316="Bernardino Furlan",AY1316/2751.92,IF($F1316="Mauro José Salanti",AY1316/2751.92,AY1316/3356)),F1316&lt;&gt;0,SUM(L1316,Q1316,V1316,AA1316,AF1316,AK1316,AP1316,AU1316)))*(1-0.03),_xlfn.IFS(AW1316="SIM",SUM(L1316,Q1316,V1316,AA1316,AF1316,AK1316,AP1316,AU1316)+AX1316/_xlfn.XLOOKUP(_xlfn.XLOOKUP($F1316,Clientes!$B$4:$B$39,Clientes!$C$4:$C$39),Cadastros!$L$6:$L$12,Cadastros!$M$6:$M$12)+IF($F1316="Bernardino Furlan",AY1316/2751.92,IF($F1316="Mauro José Salanti",AY1316/2751.92,AY1316/3356)),F1316&lt;&gt;0,SUM(L1316,Q1316,V1316,AA1316,AF1316,AK1316,AP1316,AU1316))))</f>
        <v xml:space="preserve"> </v>
      </c>
      <c r="BE1316" s="120"/>
      <c r="BF1316" s="120"/>
      <c r="BG1316" s="120"/>
    </row>
    <row r="1317" spans="1:59" s="3" customFormat="1" x14ac:dyDescent="0.3">
      <c r="A1317" s="15" t="str">
        <f t="shared" si="260"/>
        <v/>
      </c>
      <c r="B1317" s="25"/>
      <c r="C1317" s="26"/>
      <c r="D1317" s="279"/>
      <c r="E1317" s="27"/>
      <c r="F1317" s="28"/>
      <c r="G1317" s="27"/>
      <c r="H1317" s="28"/>
      <c r="I1317" s="28"/>
      <c r="J1317" s="255" t="str">
        <f>IF(H1317="","",(_xlfn.XLOOKUP(H1317,Cadastros!$D$6:$D$90,Cadastros!$E$6:$E$90))*(1-_xlfn.XLOOKUP(_xlfn.XLOOKUP($F1317,Clientes!$B$4:$B$39,Clientes!$C$4:$C$39),Cadastros!$L$6:$L$12,Cadastros!$N$6:$N$12)))</f>
        <v/>
      </c>
      <c r="K1317" s="168" t="str">
        <f t="shared" si="261"/>
        <v/>
      </c>
      <c r="L1317" s="168" t="str">
        <f>IFERROR(K1317/_xlfn.XLOOKUP(_xlfn.XLOOKUP($F1317,Clientes!$B$4:$B$39,Clientes!$C$4:$C$39),Cadastros!$L$6:$L$12,Cadastros!$M$6:$M$12)," ")</f>
        <v xml:space="preserve"> </v>
      </c>
      <c r="M1317" s="28"/>
      <c r="N1317" s="28"/>
      <c r="O1317" s="255" t="str">
        <f>IF(M1317="","",(_xlfn.XLOOKUP(M1317,Cadastros!$D$6:$D$90,Cadastros!$E$6:$E$90))*(1-_xlfn.XLOOKUP(_xlfn.XLOOKUP($F1317,Clientes!$B$4:$B$39,Clientes!$C$4:$C$39),Cadastros!$L$6:$L$12,Cadastros!$N$6:$N$12)))</f>
        <v/>
      </c>
      <c r="P1317" s="168" t="str">
        <f t="shared" si="262"/>
        <v/>
      </c>
      <c r="Q1317" s="168" t="str">
        <f>IFERROR(P1317/_xlfn.XLOOKUP(_xlfn.XLOOKUP($F1317,Clientes!$B$4:$B$39,Clientes!$C$4:$C$39),Cadastros!$L$6:$L$12,Cadastros!$M$6:$M$12)," ")</f>
        <v xml:space="preserve"> </v>
      </c>
      <c r="R1317" s="28"/>
      <c r="S1317" s="28"/>
      <c r="T1317" s="255" t="str">
        <f>IF(R1317="","",(_xlfn.XLOOKUP(R1317,Cadastros!$D$6:$D$90,Cadastros!$E$6:$E$90))*(1-_xlfn.XLOOKUP(_xlfn.XLOOKUP($F1317,Clientes!$B$4:$B$39,Clientes!$C$4:$C$39),Cadastros!$L$6:$L$12,Cadastros!$N$6:$N$12)))</f>
        <v/>
      </c>
      <c r="U1317" s="168" t="str">
        <f t="shared" si="263"/>
        <v/>
      </c>
      <c r="V1317" s="168" t="str">
        <f>IFERROR(U1317/_xlfn.XLOOKUP(_xlfn.XLOOKUP($F1317,Clientes!$B$4:$B$39,Clientes!$C$4:$C$39),Cadastros!$L$6:$L$12,Cadastros!$M$6:$M$12)," ")</f>
        <v xml:space="preserve"> </v>
      </c>
      <c r="W1317" s="28"/>
      <c r="X1317" s="28"/>
      <c r="Y1317" s="255" t="str">
        <f>IF(W1317="","",(_xlfn.XLOOKUP(W1317,Cadastros!$D$6:$D$90,Cadastros!$E$6:$E$90))*(1-_xlfn.XLOOKUP(_xlfn.XLOOKUP($F1317,Clientes!$B$4:$B$39,Clientes!$C$4:$C$39),Cadastros!$L$6:$L$12,Cadastros!$N$6:$N$12)))</f>
        <v/>
      </c>
      <c r="Z1317" s="168" t="str">
        <f t="shared" si="264"/>
        <v/>
      </c>
      <c r="AA1317" s="168" t="str">
        <f>IFERROR(Z1317/_xlfn.XLOOKUP(_xlfn.XLOOKUP($F1317,Clientes!$B$4:$B$39,Clientes!$C$4:$C$39),Cadastros!$L$6:$L$12,Cadastros!$M$6:$M$12)," ")</f>
        <v xml:space="preserve"> </v>
      </c>
      <c r="AB1317" s="28"/>
      <c r="AC1317" s="28"/>
      <c r="AD1317" s="20" t="str">
        <f>IF(AB1317="","",IF($F1317="Bernardino Furlan",_xlfn.XLOOKUP(AB1317,Cadastros!$G$6:$G$90,Cadastros!$H$6:$H$90)*(1-0.18),IF($F1317="Mauro José Salanti",_xlfn.XLOOKUP(AB1317,Cadastros!$G$6:$G$90,Cadastros!$H$6:$H$90)*(1-0.18),_xlfn.XLOOKUP(AB1317,Cadastros!$G$6:$G$90,Cadastros!$H$6:$H$90))))</f>
        <v/>
      </c>
      <c r="AE1317" s="168" t="str">
        <f t="shared" si="265"/>
        <v/>
      </c>
      <c r="AF1317" s="168" t="str">
        <f t="shared" si="266"/>
        <v/>
      </c>
      <c r="AG1317" s="28"/>
      <c r="AH1317" s="28"/>
      <c r="AI1317" s="20" t="str">
        <f>IF(AG1317="","",IF($F1317="Bernardino Furlan",_xlfn.XLOOKUP(AG1317,Cadastros!$G$6:$G$90,Cadastros!$H$6:$H$90)*(1-0.18),IF($F1317="Mauro José Salanti",_xlfn.XLOOKUP(AG1317,Cadastros!$G$6:$G$90,Cadastros!$H$6:$H$90)*(1-0.18),_xlfn.XLOOKUP(AG1317,Cadastros!$G$6:$G$90,Cadastros!$H$6:$H$90))))</f>
        <v/>
      </c>
      <c r="AJ1317" s="168" t="str">
        <f t="shared" si="267"/>
        <v/>
      </c>
      <c r="AK1317" s="168" t="str">
        <f t="shared" si="268"/>
        <v/>
      </c>
      <c r="AL1317" s="28"/>
      <c r="AM1317" s="28"/>
      <c r="AN1317" s="20" t="str">
        <f>IF(AL1317="","",IF($F1317="Bernardino Furlan",_xlfn.XLOOKUP(AL1317,Cadastros!$G$6:$G$90,Cadastros!$H$6:$H$90)*(1-0.18),IF($F1317="Mauro José Salanti",_xlfn.XLOOKUP(AL1317,Cadastros!$G$6:$G$90,Cadastros!$H$6:$H$90)*(1-0.18),_xlfn.XLOOKUP(AL1317,Cadastros!$G$6:$G$90,Cadastros!$H$6:$H$90))))</f>
        <v/>
      </c>
      <c r="AO1317" s="168" t="str">
        <f t="shared" si="269"/>
        <v/>
      </c>
      <c r="AP1317" s="168" t="str">
        <f t="shared" si="270"/>
        <v/>
      </c>
      <c r="AQ1317" s="28"/>
      <c r="AR1317" s="28"/>
      <c r="AS1317" s="20" t="str">
        <f>IF(AQ1317="","",IF($F1317="Bernardino Furlan",_xlfn.XLOOKUP(AQ1317,Cadastros!$G$6:$G$90,Cadastros!$H$6:$H$90)*(1-0.18),IF($F1317="Mauro José Salanti",_xlfn.XLOOKUP(AQ1317,Cadastros!$G$6:$G$90,Cadastros!$H$6:$H$90)*(1-0.18),_xlfn.XLOOKUP(AQ1317,Cadastros!$G$6:$G$90,Cadastros!$H$6:$H$90))))</f>
        <v/>
      </c>
      <c r="AT1317" s="168" t="str">
        <f t="shared" si="271"/>
        <v/>
      </c>
      <c r="AU1317" s="168" t="str">
        <f t="shared" si="272"/>
        <v/>
      </c>
      <c r="AV1317" s="227"/>
      <c r="AW1317" s="30"/>
      <c r="AX1317" s="267"/>
      <c r="AY1317" s="267"/>
      <c r="AZ1317" s="29"/>
      <c r="BA1317" s="30"/>
      <c r="BB1317" s="23" t="str" cm="1">
        <f t="array" ref="BB1317">_xlfn.IFS(AW1317="SIM",SUM(K1317,P1317,U1317,Z1317,AE1317,AJ1317,AO1317,AT1317,AX1317,AY1317),F1317&lt;&gt;"",SUM(K1317,P1317,U1317,Z1317,AE1317,AJ1317,,AO1317,AT1317),F1317="","")</f>
        <v/>
      </c>
      <c r="BC1317" s="211" t="str" cm="1">
        <f t="array" ref="BC1317">_xlfn.IFS(E1317="","",G1317&lt;=E1317,BB1317*(1-0.03),G1317&lt;(E1317+8),BB1317,AZ1317="Boleto",BB1317*(1+0.001)^DATEDIF(E1317,G1317,"D"),AZ1317="Cheque",BB1317,AZ1317="Dinheiro","Alterar forma pgto")</f>
        <v/>
      </c>
      <c r="BD1317" s="276" t="str" cm="1">
        <f t="array" ref="BD1317">IF(F1317=0," ",IF(BC1317&lt;BB1317,(_xlfn.IFS(AW1317="SIM",SUM(L1317,Q1317,V1317,AA1317,AF1317,AK1317,AP1317,AU1317)+AX1317/_xlfn.XLOOKUP(_xlfn.XLOOKUP($F1317,Clientes!$B$4:$B$39,Clientes!$C$4:$C$39),Cadastros!$L$6:$L$12,Cadastros!$M$6:$M$12)+IF($F1317="Bernardino Furlan",AY1317/2751.92,IF($F1317="Mauro José Salanti",AY1317/2751.92,AY1317/3356)),F1317&lt;&gt;0,SUM(L1317,Q1317,V1317,AA1317,AF1317,AK1317,AP1317,AU1317)))*(1-0.03),_xlfn.IFS(AW1317="SIM",SUM(L1317,Q1317,V1317,AA1317,AF1317,AK1317,AP1317,AU1317)+AX1317/_xlfn.XLOOKUP(_xlfn.XLOOKUP($F1317,Clientes!$B$4:$B$39,Clientes!$C$4:$C$39),Cadastros!$L$6:$L$12,Cadastros!$M$6:$M$12)+IF($F1317="Bernardino Furlan",AY1317/2751.92,IF($F1317="Mauro José Salanti",AY1317/2751.92,AY1317/3356)),F1317&lt;&gt;0,SUM(L1317,Q1317,V1317,AA1317,AF1317,AK1317,AP1317,AU1317))))</f>
        <v xml:space="preserve"> </v>
      </c>
      <c r="BE1317" s="120"/>
      <c r="BF1317" s="120"/>
      <c r="BG1317" s="120"/>
    </row>
    <row r="1318" spans="1:59" s="3" customFormat="1" x14ac:dyDescent="0.3">
      <c r="A1318" s="15" t="str">
        <f t="shared" si="260"/>
        <v/>
      </c>
      <c r="B1318" s="25"/>
      <c r="C1318" s="26"/>
      <c r="D1318" s="279"/>
      <c r="E1318" s="27"/>
      <c r="F1318" s="28"/>
      <c r="G1318" s="27"/>
      <c r="H1318" s="28"/>
      <c r="I1318" s="28"/>
      <c r="J1318" s="255" t="str">
        <f>IF(H1318="","",(_xlfn.XLOOKUP(H1318,Cadastros!$D$6:$D$90,Cadastros!$E$6:$E$90))*(1-_xlfn.XLOOKUP(_xlfn.XLOOKUP($F1318,Clientes!$B$4:$B$39,Clientes!$C$4:$C$39),Cadastros!$L$6:$L$12,Cadastros!$N$6:$N$12)))</f>
        <v/>
      </c>
      <c r="K1318" s="168" t="str">
        <f t="shared" si="261"/>
        <v/>
      </c>
      <c r="L1318" s="168" t="str">
        <f>IFERROR(K1318/_xlfn.XLOOKUP(_xlfn.XLOOKUP($F1318,Clientes!$B$4:$B$39,Clientes!$C$4:$C$39),Cadastros!$L$6:$L$12,Cadastros!$M$6:$M$12)," ")</f>
        <v xml:space="preserve"> </v>
      </c>
      <c r="M1318" s="28"/>
      <c r="N1318" s="28"/>
      <c r="O1318" s="255" t="str">
        <f>IF(M1318="","",(_xlfn.XLOOKUP(M1318,Cadastros!$D$6:$D$90,Cadastros!$E$6:$E$90))*(1-_xlfn.XLOOKUP(_xlfn.XLOOKUP($F1318,Clientes!$B$4:$B$39,Clientes!$C$4:$C$39),Cadastros!$L$6:$L$12,Cadastros!$N$6:$N$12)))</f>
        <v/>
      </c>
      <c r="P1318" s="168" t="str">
        <f t="shared" si="262"/>
        <v/>
      </c>
      <c r="Q1318" s="168" t="str">
        <f>IFERROR(P1318/_xlfn.XLOOKUP(_xlfn.XLOOKUP($F1318,Clientes!$B$4:$B$39,Clientes!$C$4:$C$39),Cadastros!$L$6:$L$12,Cadastros!$M$6:$M$12)," ")</f>
        <v xml:space="preserve"> </v>
      </c>
      <c r="R1318" s="28"/>
      <c r="S1318" s="28"/>
      <c r="T1318" s="255" t="str">
        <f>IF(R1318="","",(_xlfn.XLOOKUP(R1318,Cadastros!$D$6:$D$90,Cadastros!$E$6:$E$90))*(1-_xlfn.XLOOKUP(_xlfn.XLOOKUP($F1318,Clientes!$B$4:$B$39,Clientes!$C$4:$C$39),Cadastros!$L$6:$L$12,Cadastros!$N$6:$N$12)))</f>
        <v/>
      </c>
      <c r="U1318" s="168" t="str">
        <f t="shared" si="263"/>
        <v/>
      </c>
      <c r="V1318" s="168" t="str">
        <f>IFERROR(U1318/_xlfn.XLOOKUP(_xlfn.XLOOKUP($F1318,Clientes!$B$4:$B$39,Clientes!$C$4:$C$39),Cadastros!$L$6:$L$12,Cadastros!$M$6:$M$12)," ")</f>
        <v xml:space="preserve"> </v>
      </c>
      <c r="W1318" s="28"/>
      <c r="X1318" s="28"/>
      <c r="Y1318" s="255" t="str">
        <f>IF(W1318="","",(_xlfn.XLOOKUP(W1318,Cadastros!$D$6:$D$90,Cadastros!$E$6:$E$90))*(1-_xlfn.XLOOKUP(_xlfn.XLOOKUP($F1318,Clientes!$B$4:$B$39,Clientes!$C$4:$C$39),Cadastros!$L$6:$L$12,Cadastros!$N$6:$N$12)))</f>
        <v/>
      </c>
      <c r="Z1318" s="168" t="str">
        <f t="shared" si="264"/>
        <v/>
      </c>
      <c r="AA1318" s="168" t="str">
        <f>IFERROR(Z1318/_xlfn.XLOOKUP(_xlfn.XLOOKUP($F1318,Clientes!$B$4:$B$39,Clientes!$C$4:$C$39),Cadastros!$L$6:$L$12,Cadastros!$M$6:$M$12)," ")</f>
        <v xml:space="preserve"> </v>
      </c>
      <c r="AB1318" s="28"/>
      <c r="AC1318" s="28"/>
      <c r="AD1318" s="20" t="str">
        <f>IF(AB1318="","",IF($F1318="Bernardino Furlan",_xlfn.XLOOKUP(AB1318,Cadastros!$G$6:$G$90,Cadastros!$H$6:$H$90)*(1-0.18),IF($F1318="Mauro José Salanti",_xlfn.XLOOKUP(AB1318,Cadastros!$G$6:$G$90,Cadastros!$H$6:$H$90)*(1-0.18),_xlfn.XLOOKUP(AB1318,Cadastros!$G$6:$G$90,Cadastros!$H$6:$H$90))))</f>
        <v/>
      </c>
      <c r="AE1318" s="168" t="str">
        <f t="shared" si="265"/>
        <v/>
      </c>
      <c r="AF1318" s="168" t="str">
        <f t="shared" si="266"/>
        <v/>
      </c>
      <c r="AG1318" s="28"/>
      <c r="AH1318" s="28"/>
      <c r="AI1318" s="20" t="str">
        <f>IF(AG1318="","",IF($F1318="Bernardino Furlan",_xlfn.XLOOKUP(AG1318,Cadastros!$G$6:$G$90,Cadastros!$H$6:$H$90)*(1-0.18),IF($F1318="Mauro José Salanti",_xlfn.XLOOKUP(AG1318,Cadastros!$G$6:$G$90,Cadastros!$H$6:$H$90)*(1-0.18),_xlfn.XLOOKUP(AG1318,Cadastros!$G$6:$G$90,Cadastros!$H$6:$H$90))))</f>
        <v/>
      </c>
      <c r="AJ1318" s="168" t="str">
        <f t="shared" si="267"/>
        <v/>
      </c>
      <c r="AK1318" s="168" t="str">
        <f t="shared" si="268"/>
        <v/>
      </c>
      <c r="AL1318" s="28"/>
      <c r="AM1318" s="28"/>
      <c r="AN1318" s="20" t="str">
        <f>IF(AL1318="","",IF($F1318="Bernardino Furlan",_xlfn.XLOOKUP(AL1318,Cadastros!$G$6:$G$90,Cadastros!$H$6:$H$90)*(1-0.18),IF($F1318="Mauro José Salanti",_xlfn.XLOOKUP(AL1318,Cadastros!$G$6:$G$90,Cadastros!$H$6:$H$90)*(1-0.18),_xlfn.XLOOKUP(AL1318,Cadastros!$G$6:$G$90,Cadastros!$H$6:$H$90))))</f>
        <v/>
      </c>
      <c r="AO1318" s="168" t="str">
        <f t="shared" si="269"/>
        <v/>
      </c>
      <c r="AP1318" s="168" t="str">
        <f t="shared" si="270"/>
        <v/>
      </c>
      <c r="AQ1318" s="28"/>
      <c r="AR1318" s="28"/>
      <c r="AS1318" s="20" t="str">
        <f>IF(AQ1318="","",IF($F1318="Bernardino Furlan",_xlfn.XLOOKUP(AQ1318,Cadastros!$G$6:$G$90,Cadastros!$H$6:$H$90)*(1-0.18),IF($F1318="Mauro José Salanti",_xlfn.XLOOKUP(AQ1318,Cadastros!$G$6:$G$90,Cadastros!$H$6:$H$90)*(1-0.18),_xlfn.XLOOKUP(AQ1318,Cadastros!$G$6:$G$90,Cadastros!$H$6:$H$90))))</f>
        <v/>
      </c>
      <c r="AT1318" s="168" t="str">
        <f t="shared" si="271"/>
        <v/>
      </c>
      <c r="AU1318" s="168" t="str">
        <f t="shared" si="272"/>
        <v/>
      </c>
      <c r="AV1318" s="227"/>
      <c r="AW1318" s="30"/>
      <c r="AX1318" s="267"/>
      <c r="AY1318" s="267"/>
      <c r="AZ1318" s="29"/>
      <c r="BA1318" s="30"/>
      <c r="BB1318" s="23" t="str" cm="1">
        <f t="array" ref="BB1318">_xlfn.IFS(AW1318="SIM",SUM(K1318,P1318,U1318,Z1318,AE1318,AJ1318,AO1318,AT1318,AX1318,AY1318),F1318&lt;&gt;"",SUM(K1318,P1318,U1318,Z1318,AE1318,AJ1318,,AO1318,AT1318),F1318="","")</f>
        <v/>
      </c>
      <c r="BC1318" s="211" t="str" cm="1">
        <f t="array" ref="BC1318">_xlfn.IFS(E1318="","",G1318&lt;=E1318,BB1318*(1-0.03),G1318&lt;(E1318+8),BB1318,AZ1318="Boleto",BB1318*(1+0.001)^DATEDIF(E1318,G1318,"D"),AZ1318="Cheque",BB1318,AZ1318="Dinheiro","Alterar forma pgto")</f>
        <v/>
      </c>
      <c r="BD1318" s="276" t="str" cm="1">
        <f t="array" ref="BD1318">IF(F1318=0," ",IF(BC1318&lt;BB1318,(_xlfn.IFS(AW1318="SIM",SUM(L1318,Q1318,V1318,AA1318,AF1318,AK1318,AP1318,AU1318)+AX1318/_xlfn.XLOOKUP(_xlfn.XLOOKUP($F1318,Clientes!$B$4:$B$39,Clientes!$C$4:$C$39),Cadastros!$L$6:$L$12,Cadastros!$M$6:$M$12)+IF($F1318="Bernardino Furlan",AY1318/2751.92,IF($F1318="Mauro José Salanti",AY1318/2751.92,AY1318/3356)),F1318&lt;&gt;0,SUM(L1318,Q1318,V1318,AA1318,AF1318,AK1318,AP1318,AU1318)))*(1-0.03),_xlfn.IFS(AW1318="SIM",SUM(L1318,Q1318,V1318,AA1318,AF1318,AK1318,AP1318,AU1318)+AX1318/_xlfn.XLOOKUP(_xlfn.XLOOKUP($F1318,Clientes!$B$4:$B$39,Clientes!$C$4:$C$39),Cadastros!$L$6:$L$12,Cadastros!$M$6:$M$12)+IF($F1318="Bernardino Furlan",AY1318/2751.92,IF($F1318="Mauro José Salanti",AY1318/2751.92,AY1318/3356)),F1318&lt;&gt;0,SUM(L1318,Q1318,V1318,AA1318,AF1318,AK1318,AP1318,AU1318))))</f>
        <v xml:space="preserve"> </v>
      </c>
      <c r="BE1318" s="120"/>
      <c r="BF1318" s="120"/>
      <c r="BG1318" s="120"/>
    </row>
    <row r="1319" spans="1:59" s="3" customFormat="1" x14ac:dyDescent="0.3">
      <c r="A1319" s="15" t="str">
        <f t="shared" si="260"/>
        <v/>
      </c>
      <c r="B1319" s="25"/>
      <c r="C1319" s="26"/>
      <c r="D1319" s="279"/>
      <c r="E1319" s="27"/>
      <c r="F1319" s="28"/>
      <c r="G1319" s="27"/>
      <c r="H1319" s="28"/>
      <c r="I1319" s="28"/>
      <c r="J1319" s="255" t="str">
        <f>IF(H1319="","",(_xlfn.XLOOKUP(H1319,Cadastros!$D$6:$D$90,Cadastros!$E$6:$E$90))*(1-_xlfn.XLOOKUP(_xlfn.XLOOKUP($F1319,Clientes!$B$4:$B$39,Clientes!$C$4:$C$39),Cadastros!$L$6:$L$12,Cadastros!$N$6:$N$12)))</f>
        <v/>
      </c>
      <c r="K1319" s="168" t="str">
        <f t="shared" si="261"/>
        <v/>
      </c>
      <c r="L1319" s="168" t="str">
        <f>IFERROR(K1319/_xlfn.XLOOKUP(_xlfn.XLOOKUP($F1319,Clientes!$B$4:$B$39,Clientes!$C$4:$C$39),Cadastros!$L$6:$L$12,Cadastros!$M$6:$M$12)," ")</f>
        <v xml:space="preserve"> </v>
      </c>
      <c r="M1319" s="28"/>
      <c r="N1319" s="28"/>
      <c r="O1319" s="255" t="str">
        <f>IF(M1319="","",(_xlfn.XLOOKUP(M1319,Cadastros!$D$6:$D$90,Cadastros!$E$6:$E$90))*(1-_xlfn.XLOOKUP(_xlfn.XLOOKUP($F1319,Clientes!$B$4:$B$39,Clientes!$C$4:$C$39),Cadastros!$L$6:$L$12,Cadastros!$N$6:$N$12)))</f>
        <v/>
      </c>
      <c r="P1319" s="168" t="str">
        <f t="shared" si="262"/>
        <v/>
      </c>
      <c r="Q1319" s="168" t="str">
        <f>IFERROR(P1319/_xlfn.XLOOKUP(_xlfn.XLOOKUP($F1319,Clientes!$B$4:$B$39,Clientes!$C$4:$C$39),Cadastros!$L$6:$L$12,Cadastros!$M$6:$M$12)," ")</f>
        <v xml:space="preserve"> </v>
      </c>
      <c r="R1319" s="28"/>
      <c r="S1319" s="28"/>
      <c r="T1319" s="255" t="str">
        <f>IF(R1319="","",(_xlfn.XLOOKUP(R1319,Cadastros!$D$6:$D$90,Cadastros!$E$6:$E$90))*(1-_xlfn.XLOOKUP(_xlfn.XLOOKUP($F1319,Clientes!$B$4:$B$39,Clientes!$C$4:$C$39),Cadastros!$L$6:$L$12,Cadastros!$N$6:$N$12)))</f>
        <v/>
      </c>
      <c r="U1319" s="168" t="str">
        <f t="shared" si="263"/>
        <v/>
      </c>
      <c r="V1319" s="168" t="str">
        <f>IFERROR(U1319/_xlfn.XLOOKUP(_xlfn.XLOOKUP($F1319,Clientes!$B$4:$B$39,Clientes!$C$4:$C$39),Cadastros!$L$6:$L$12,Cadastros!$M$6:$M$12)," ")</f>
        <v xml:space="preserve"> </v>
      </c>
      <c r="W1319" s="28"/>
      <c r="X1319" s="28"/>
      <c r="Y1319" s="255" t="str">
        <f>IF(W1319="","",(_xlfn.XLOOKUP(W1319,Cadastros!$D$6:$D$90,Cadastros!$E$6:$E$90))*(1-_xlfn.XLOOKUP(_xlfn.XLOOKUP($F1319,Clientes!$B$4:$B$39,Clientes!$C$4:$C$39),Cadastros!$L$6:$L$12,Cadastros!$N$6:$N$12)))</f>
        <v/>
      </c>
      <c r="Z1319" s="168" t="str">
        <f t="shared" si="264"/>
        <v/>
      </c>
      <c r="AA1319" s="168" t="str">
        <f>IFERROR(Z1319/_xlfn.XLOOKUP(_xlfn.XLOOKUP($F1319,Clientes!$B$4:$B$39,Clientes!$C$4:$C$39),Cadastros!$L$6:$L$12,Cadastros!$M$6:$M$12)," ")</f>
        <v xml:space="preserve"> </v>
      </c>
      <c r="AB1319" s="28"/>
      <c r="AC1319" s="28"/>
      <c r="AD1319" s="20" t="str">
        <f>IF(AB1319="","",IF($F1319="Bernardino Furlan",_xlfn.XLOOKUP(AB1319,Cadastros!$G$6:$G$90,Cadastros!$H$6:$H$90)*(1-0.18),IF($F1319="Mauro José Salanti",_xlfn.XLOOKUP(AB1319,Cadastros!$G$6:$G$90,Cadastros!$H$6:$H$90)*(1-0.18),_xlfn.XLOOKUP(AB1319,Cadastros!$G$6:$G$90,Cadastros!$H$6:$H$90))))</f>
        <v/>
      </c>
      <c r="AE1319" s="168" t="str">
        <f t="shared" si="265"/>
        <v/>
      </c>
      <c r="AF1319" s="168" t="str">
        <f t="shared" si="266"/>
        <v/>
      </c>
      <c r="AG1319" s="28"/>
      <c r="AH1319" s="28"/>
      <c r="AI1319" s="20" t="str">
        <f>IF(AG1319="","",IF($F1319="Bernardino Furlan",_xlfn.XLOOKUP(AG1319,Cadastros!$G$6:$G$90,Cadastros!$H$6:$H$90)*(1-0.18),IF($F1319="Mauro José Salanti",_xlfn.XLOOKUP(AG1319,Cadastros!$G$6:$G$90,Cadastros!$H$6:$H$90)*(1-0.18),_xlfn.XLOOKUP(AG1319,Cadastros!$G$6:$G$90,Cadastros!$H$6:$H$90))))</f>
        <v/>
      </c>
      <c r="AJ1319" s="168" t="str">
        <f t="shared" si="267"/>
        <v/>
      </c>
      <c r="AK1319" s="168" t="str">
        <f t="shared" si="268"/>
        <v/>
      </c>
      <c r="AL1319" s="28"/>
      <c r="AM1319" s="28"/>
      <c r="AN1319" s="20" t="str">
        <f>IF(AL1319="","",IF($F1319="Bernardino Furlan",_xlfn.XLOOKUP(AL1319,Cadastros!$G$6:$G$90,Cadastros!$H$6:$H$90)*(1-0.18),IF($F1319="Mauro José Salanti",_xlfn.XLOOKUP(AL1319,Cadastros!$G$6:$G$90,Cadastros!$H$6:$H$90)*(1-0.18),_xlfn.XLOOKUP(AL1319,Cadastros!$G$6:$G$90,Cadastros!$H$6:$H$90))))</f>
        <v/>
      </c>
      <c r="AO1319" s="168" t="str">
        <f t="shared" si="269"/>
        <v/>
      </c>
      <c r="AP1319" s="168" t="str">
        <f t="shared" si="270"/>
        <v/>
      </c>
      <c r="AQ1319" s="28"/>
      <c r="AR1319" s="28"/>
      <c r="AS1319" s="20" t="str">
        <f>IF(AQ1319="","",IF($F1319="Bernardino Furlan",_xlfn.XLOOKUP(AQ1319,Cadastros!$G$6:$G$90,Cadastros!$H$6:$H$90)*(1-0.18),IF($F1319="Mauro José Salanti",_xlfn.XLOOKUP(AQ1319,Cadastros!$G$6:$G$90,Cadastros!$H$6:$H$90)*(1-0.18),_xlfn.XLOOKUP(AQ1319,Cadastros!$G$6:$G$90,Cadastros!$H$6:$H$90))))</f>
        <v/>
      </c>
      <c r="AT1319" s="168" t="str">
        <f t="shared" si="271"/>
        <v/>
      </c>
      <c r="AU1319" s="168" t="str">
        <f t="shared" si="272"/>
        <v/>
      </c>
      <c r="AV1319" s="227"/>
      <c r="AW1319" s="30"/>
      <c r="AX1319" s="267"/>
      <c r="AY1319" s="267"/>
      <c r="AZ1319" s="29"/>
      <c r="BA1319" s="30"/>
      <c r="BB1319" s="23" t="str" cm="1">
        <f t="array" ref="BB1319">_xlfn.IFS(AW1319="SIM",SUM(K1319,P1319,U1319,Z1319,AE1319,AJ1319,AO1319,AT1319,AX1319,AY1319),F1319&lt;&gt;"",SUM(K1319,P1319,U1319,Z1319,AE1319,AJ1319,,AO1319,AT1319),F1319="","")</f>
        <v/>
      </c>
      <c r="BC1319" s="211" t="str" cm="1">
        <f t="array" ref="BC1319">_xlfn.IFS(E1319="","",G1319&lt;=E1319,BB1319*(1-0.03),G1319&lt;(E1319+8),BB1319,AZ1319="Boleto",BB1319*(1+0.001)^DATEDIF(E1319,G1319,"D"),AZ1319="Cheque",BB1319,AZ1319="Dinheiro","Alterar forma pgto")</f>
        <v/>
      </c>
      <c r="BD1319" s="276" t="str" cm="1">
        <f t="array" ref="BD1319">IF(F1319=0," ",IF(BC1319&lt;BB1319,(_xlfn.IFS(AW1319="SIM",SUM(L1319,Q1319,V1319,AA1319,AF1319,AK1319,AP1319,AU1319)+AX1319/_xlfn.XLOOKUP(_xlfn.XLOOKUP($F1319,Clientes!$B$4:$B$39,Clientes!$C$4:$C$39),Cadastros!$L$6:$L$12,Cadastros!$M$6:$M$12)+IF($F1319="Bernardino Furlan",AY1319/2751.92,IF($F1319="Mauro José Salanti",AY1319/2751.92,AY1319/3356)),F1319&lt;&gt;0,SUM(L1319,Q1319,V1319,AA1319,AF1319,AK1319,AP1319,AU1319)))*(1-0.03),_xlfn.IFS(AW1319="SIM",SUM(L1319,Q1319,V1319,AA1319,AF1319,AK1319,AP1319,AU1319)+AX1319/_xlfn.XLOOKUP(_xlfn.XLOOKUP($F1319,Clientes!$B$4:$B$39,Clientes!$C$4:$C$39),Cadastros!$L$6:$L$12,Cadastros!$M$6:$M$12)+IF($F1319="Bernardino Furlan",AY1319/2751.92,IF($F1319="Mauro José Salanti",AY1319/2751.92,AY1319/3356)),F1319&lt;&gt;0,SUM(L1319,Q1319,V1319,AA1319,AF1319,AK1319,AP1319,AU1319))))</f>
        <v xml:space="preserve"> </v>
      </c>
      <c r="BE1319" s="120"/>
      <c r="BF1319" s="120"/>
      <c r="BG1319" s="120"/>
    </row>
    <row r="1320" spans="1:59" s="3" customFormat="1" x14ac:dyDescent="0.3">
      <c r="A1320" s="15" t="str">
        <f t="shared" si="260"/>
        <v/>
      </c>
      <c r="B1320" s="25"/>
      <c r="C1320" s="26"/>
      <c r="D1320" s="279"/>
      <c r="E1320" s="27"/>
      <c r="F1320" s="28"/>
      <c r="G1320" s="27"/>
      <c r="H1320" s="28"/>
      <c r="I1320" s="28"/>
      <c r="J1320" s="255" t="str">
        <f>IF(H1320="","",(_xlfn.XLOOKUP(H1320,Cadastros!$D$6:$D$90,Cadastros!$E$6:$E$90))*(1-_xlfn.XLOOKUP(_xlfn.XLOOKUP($F1320,Clientes!$B$4:$B$39,Clientes!$C$4:$C$39),Cadastros!$L$6:$L$12,Cadastros!$N$6:$N$12)))</f>
        <v/>
      </c>
      <c r="K1320" s="168" t="str">
        <f t="shared" si="261"/>
        <v/>
      </c>
      <c r="L1320" s="168" t="str">
        <f>IFERROR(K1320/_xlfn.XLOOKUP(_xlfn.XLOOKUP($F1320,Clientes!$B$4:$B$39,Clientes!$C$4:$C$39),Cadastros!$L$6:$L$12,Cadastros!$M$6:$M$12)," ")</f>
        <v xml:space="preserve"> </v>
      </c>
      <c r="M1320" s="28"/>
      <c r="N1320" s="28"/>
      <c r="O1320" s="255" t="str">
        <f>IF(M1320="","",(_xlfn.XLOOKUP(M1320,Cadastros!$D$6:$D$90,Cadastros!$E$6:$E$90))*(1-_xlfn.XLOOKUP(_xlfn.XLOOKUP($F1320,Clientes!$B$4:$B$39,Clientes!$C$4:$C$39),Cadastros!$L$6:$L$12,Cadastros!$N$6:$N$12)))</f>
        <v/>
      </c>
      <c r="P1320" s="168" t="str">
        <f t="shared" si="262"/>
        <v/>
      </c>
      <c r="Q1320" s="168" t="str">
        <f>IFERROR(P1320/_xlfn.XLOOKUP(_xlfn.XLOOKUP($F1320,Clientes!$B$4:$B$39,Clientes!$C$4:$C$39),Cadastros!$L$6:$L$12,Cadastros!$M$6:$M$12)," ")</f>
        <v xml:space="preserve"> </v>
      </c>
      <c r="R1320" s="28"/>
      <c r="S1320" s="28"/>
      <c r="T1320" s="255" t="str">
        <f>IF(R1320="","",(_xlfn.XLOOKUP(R1320,Cadastros!$D$6:$D$90,Cadastros!$E$6:$E$90))*(1-_xlfn.XLOOKUP(_xlfn.XLOOKUP($F1320,Clientes!$B$4:$B$39,Clientes!$C$4:$C$39),Cadastros!$L$6:$L$12,Cadastros!$N$6:$N$12)))</f>
        <v/>
      </c>
      <c r="U1320" s="168" t="str">
        <f t="shared" si="263"/>
        <v/>
      </c>
      <c r="V1320" s="168" t="str">
        <f>IFERROR(U1320/_xlfn.XLOOKUP(_xlfn.XLOOKUP($F1320,Clientes!$B$4:$B$39,Clientes!$C$4:$C$39),Cadastros!$L$6:$L$12,Cadastros!$M$6:$M$12)," ")</f>
        <v xml:space="preserve"> </v>
      </c>
      <c r="W1320" s="28"/>
      <c r="X1320" s="28"/>
      <c r="Y1320" s="255" t="str">
        <f>IF(W1320="","",(_xlfn.XLOOKUP(W1320,Cadastros!$D$6:$D$90,Cadastros!$E$6:$E$90))*(1-_xlfn.XLOOKUP(_xlfn.XLOOKUP($F1320,Clientes!$B$4:$B$39,Clientes!$C$4:$C$39),Cadastros!$L$6:$L$12,Cadastros!$N$6:$N$12)))</f>
        <v/>
      </c>
      <c r="Z1320" s="168" t="str">
        <f t="shared" si="264"/>
        <v/>
      </c>
      <c r="AA1320" s="168" t="str">
        <f>IFERROR(Z1320/_xlfn.XLOOKUP(_xlfn.XLOOKUP($F1320,Clientes!$B$4:$B$39,Clientes!$C$4:$C$39),Cadastros!$L$6:$L$12,Cadastros!$M$6:$M$12)," ")</f>
        <v xml:space="preserve"> </v>
      </c>
      <c r="AB1320" s="28"/>
      <c r="AC1320" s="28"/>
      <c r="AD1320" s="20" t="str">
        <f>IF(AB1320="","",IF($F1320="Bernardino Furlan",_xlfn.XLOOKUP(AB1320,Cadastros!$G$6:$G$90,Cadastros!$H$6:$H$90)*(1-0.18),IF($F1320="Mauro José Salanti",_xlfn.XLOOKUP(AB1320,Cadastros!$G$6:$G$90,Cadastros!$H$6:$H$90)*(1-0.18),_xlfn.XLOOKUP(AB1320,Cadastros!$G$6:$G$90,Cadastros!$H$6:$H$90))))</f>
        <v/>
      </c>
      <c r="AE1320" s="168" t="str">
        <f t="shared" si="265"/>
        <v/>
      </c>
      <c r="AF1320" s="168" t="str">
        <f t="shared" si="266"/>
        <v/>
      </c>
      <c r="AG1320" s="28"/>
      <c r="AH1320" s="28"/>
      <c r="AI1320" s="20" t="str">
        <f>IF(AG1320="","",IF($F1320="Bernardino Furlan",_xlfn.XLOOKUP(AG1320,Cadastros!$G$6:$G$90,Cadastros!$H$6:$H$90)*(1-0.18),IF($F1320="Mauro José Salanti",_xlfn.XLOOKUP(AG1320,Cadastros!$G$6:$G$90,Cadastros!$H$6:$H$90)*(1-0.18),_xlfn.XLOOKUP(AG1320,Cadastros!$G$6:$G$90,Cadastros!$H$6:$H$90))))</f>
        <v/>
      </c>
      <c r="AJ1320" s="168" t="str">
        <f t="shared" si="267"/>
        <v/>
      </c>
      <c r="AK1320" s="168" t="str">
        <f t="shared" si="268"/>
        <v/>
      </c>
      <c r="AL1320" s="28"/>
      <c r="AM1320" s="28"/>
      <c r="AN1320" s="20" t="str">
        <f>IF(AL1320="","",IF($F1320="Bernardino Furlan",_xlfn.XLOOKUP(AL1320,Cadastros!$G$6:$G$90,Cadastros!$H$6:$H$90)*(1-0.18),IF($F1320="Mauro José Salanti",_xlfn.XLOOKUP(AL1320,Cadastros!$G$6:$G$90,Cadastros!$H$6:$H$90)*(1-0.18),_xlfn.XLOOKUP(AL1320,Cadastros!$G$6:$G$90,Cadastros!$H$6:$H$90))))</f>
        <v/>
      </c>
      <c r="AO1320" s="168" t="str">
        <f t="shared" si="269"/>
        <v/>
      </c>
      <c r="AP1320" s="168" t="str">
        <f t="shared" si="270"/>
        <v/>
      </c>
      <c r="AQ1320" s="28"/>
      <c r="AR1320" s="28"/>
      <c r="AS1320" s="20" t="str">
        <f>IF(AQ1320="","",IF($F1320="Bernardino Furlan",_xlfn.XLOOKUP(AQ1320,Cadastros!$G$6:$G$90,Cadastros!$H$6:$H$90)*(1-0.18),IF($F1320="Mauro José Salanti",_xlfn.XLOOKUP(AQ1320,Cadastros!$G$6:$G$90,Cadastros!$H$6:$H$90)*(1-0.18),_xlfn.XLOOKUP(AQ1320,Cadastros!$G$6:$G$90,Cadastros!$H$6:$H$90))))</f>
        <v/>
      </c>
      <c r="AT1320" s="168" t="str">
        <f t="shared" si="271"/>
        <v/>
      </c>
      <c r="AU1320" s="168" t="str">
        <f t="shared" si="272"/>
        <v/>
      </c>
      <c r="AV1320" s="227"/>
      <c r="AW1320" s="30"/>
      <c r="AX1320" s="267"/>
      <c r="AY1320" s="267"/>
      <c r="AZ1320" s="29"/>
      <c r="BA1320" s="30"/>
      <c r="BB1320" s="23" t="str" cm="1">
        <f t="array" ref="BB1320">_xlfn.IFS(AW1320="SIM",SUM(K1320,P1320,U1320,Z1320,AE1320,AJ1320,AO1320,AT1320,AX1320,AY1320),F1320&lt;&gt;"",SUM(K1320,P1320,U1320,Z1320,AE1320,AJ1320,,AO1320,AT1320),F1320="","")</f>
        <v/>
      </c>
      <c r="BC1320" s="211" t="str" cm="1">
        <f t="array" ref="BC1320">_xlfn.IFS(E1320="","",G1320&lt;=E1320,BB1320*(1-0.03),G1320&lt;(E1320+8),BB1320,AZ1320="Boleto",BB1320*(1+0.001)^DATEDIF(E1320,G1320,"D"),AZ1320="Cheque",BB1320,AZ1320="Dinheiro","Alterar forma pgto")</f>
        <v/>
      </c>
      <c r="BD1320" s="276" t="str" cm="1">
        <f t="array" ref="BD1320">IF(F1320=0," ",IF(BC1320&lt;BB1320,(_xlfn.IFS(AW1320="SIM",SUM(L1320,Q1320,V1320,AA1320,AF1320,AK1320,AP1320,AU1320)+AX1320/_xlfn.XLOOKUP(_xlfn.XLOOKUP($F1320,Clientes!$B$4:$B$39,Clientes!$C$4:$C$39),Cadastros!$L$6:$L$12,Cadastros!$M$6:$M$12)+IF($F1320="Bernardino Furlan",AY1320/2751.92,IF($F1320="Mauro José Salanti",AY1320/2751.92,AY1320/3356)),F1320&lt;&gt;0,SUM(L1320,Q1320,V1320,AA1320,AF1320,AK1320,AP1320,AU1320)))*(1-0.03),_xlfn.IFS(AW1320="SIM",SUM(L1320,Q1320,V1320,AA1320,AF1320,AK1320,AP1320,AU1320)+AX1320/_xlfn.XLOOKUP(_xlfn.XLOOKUP($F1320,Clientes!$B$4:$B$39,Clientes!$C$4:$C$39),Cadastros!$L$6:$L$12,Cadastros!$M$6:$M$12)+IF($F1320="Bernardino Furlan",AY1320/2751.92,IF($F1320="Mauro José Salanti",AY1320/2751.92,AY1320/3356)),F1320&lt;&gt;0,SUM(L1320,Q1320,V1320,AA1320,AF1320,AK1320,AP1320,AU1320))))</f>
        <v xml:space="preserve"> </v>
      </c>
      <c r="BE1320" s="120"/>
      <c r="BF1320" s="120"/>
      <c r="BG1320" s="120"/>
    </row>
    <row r="1321" spans="1:59" s="3" customFormat="1" x14ac:dyDescent="0.3">
      <c r="A1321" s="15" t="str">
        <f t="shared" si="260"/>
        <v/>
      </c>
      <c r="B1321" s="25"/>
      <c r="C1321" s="26"/>
      <c r="D1321" s="279"/>
      <c r="E1321" s="27"/>
      <c r="F1321" s="28"/>
      <c r="G1321" s="27"/>
      <c r="H1321" s="28"/>
      <c r="I1321" s="28"/>
      <c r="J1321" s="255" t="str">
        <f>IF(H1321="","",(_xlfn.XLOOKUP(H1321,Cadastros!$D$6:$D$90,Cadastros!$E$6:$E$90))*(1-_xlfn.XLOOKUP(_xlfn.XLOOKUP($F1321,Clientes!$B$4:$B$39,Clientes!$C$4:$C$39),Cadastros!$L$6:$L$12,Cadastros!$N$6:$N$12)))</f>
        <v/>
      </c>
      <c r="K1321" s="168" t="str">
        <f t="shared" si="261"/>
        <v/>
      </c>
      <c r="L1321" s="168" t="str">
        <f>IFERROR(K1321/_xlfn.XLOOKUP(_xlfn.XLOOKUP($F1321,Clientes!$B$4:$B$39,Clientes!$C$4:$C$39),Cadastros!$L$6:$L$12,Cadastros!$M$6:$M$12)," ")</f>
        <v xml:space="preserve"> </v>
      </c>
      <c r="M1321" s="28"/>
      <c r="N1321" s="28"/>
      <c r="O1321" s="255" t="str">
        <f>IF(M1321="","",(_xlfn.XLOOKUP(M1321,Cadastros!$D$6:$D$90,Cadastros!$E$6:$E$90))*(1-_xlfn.XLOOKUP(_xlfn.XLOOKUP($F1321,Clientes!$B$4:$B$39,Clientes!$C$4:$C$39),Cadastros!$L$6:$L$12,Cadastros!$N$6:$N$12)))</f>
        <v/>
      </c>
      <c r="P1321" s="168" t="str">
        <f t="shared" si="262"/>
        <v/>
      </c>
      <c r="Q1321" s="168" t="str">
        <f>IFERROR(P1321/_xlfn.XLOOKUP(_xlfn.XLOOKUP($F1321,Clientes!$B$4:$B$39,Clientes!$C$4:$C$39),Cadastros!$L$6:$L$12,Cadastros!$M$6:$M$12)," ")</f>
        <v xml:space="preserve"> </v>
      </c>
      <c r="R1321" s="28"/>
      <c r="S1321" s="28"/>
      <c r="T1321" s="255" t="str">
        <f>IF(R1321="","",(_xlfn.XLOOKUP(R1321,Cadastros!$D$6:$D$90,Cadastros!$E$6:$E$90))*(1-_xlfn.XLOOKUP(_xlfn.XLOOKUP($F1321,Clientes!$B$4:$B$39,Clientes!$C$4:$C$39),Cadastros!$L$6:$L$12,Cadastros!$N$6:$N$12)))</f>
        <v/>
      </c>
      <c r="U1321" s="168" t="str">
        <f t="shared" si="263"/>
        <v/>
      </c>
      <c r="V1321" s="168" t="str">
        <f>IFERROR(U1321/_xlfn.XLOOKUP(_xlfn.XLOOKUP($F1321,Clientes!$B$4:$B$39,Clientes!$C$4:$C$39),Cadastros!$L$6:$L$12,Cadastros!$M$6:$M$12)," ")</f>
        <v xml:space="preserve"> </v>
      </c>
      <c r="W1321" s="28"/>
      <c r="X1321" s="28"/>
      <c r="Y1321" s="255" t="str">
        <f>IF(W1321="","",(_xlfn.XLOOKUP(W1321,Cadastros!$D$6:$D$90,Cadastros!$E$6:$E$90))*(1-_xlfn.XLOOKUP(_xlfn.XLOOKUP($F1321,Clientes!$B$4:$B$39,Clientes!$C$4:$C$39),Cadastros!$L$6:$L$12,Cadastros!$N$6:$N$12)))</f>
        <v/>
      </c>
      <c r="Z1321" s="168" t="str">
        <f t="shared" si="264"/>
        <v/>
      </c>
      <c r="AA1321" s="168" t="str">
        <f>IFERROR(Z1321/_xlfn.XLOOKUP(_xlfn.XLOOKUP($F1321,Clientes!$B$4:$B$39,Clientes!$C$4:$C$39),Cadastros!$L$6:$L$12,Cadastros!$M$6:$M$12)," ")</f>
        <v xml:space="preserve"> </v>
      </c>
      <c r="AB1321" s="28"/>
      <c r="AC1321" s="28"/>
      <c r="AD1321" s="20" t="str">
        <f>IF(AB1321="","",IF($F1321="Bernardino Furlan",_xlfn.XLOOKUP(AB1321,Cadastros!$G$6:$G$90,Cadastros!$H$6:$H$90)*(1-0.18),IF($F1321="Mauro José Salanti",_xlfn.XLOOKUP(AB1321,Cadastros!$G$6:$G$90,Cadastros!$H$6:$H$90)*(1-0.18),_xlfn.XLOOKUP(AB1321,Cadastros!$G$6:$G$90,Cadastros!$H$6:$H$90))))</f>
        <v/>
      </c>
      <c r="AE1321" s="168" t="str">
        <f t="shared" si="265"/>
        <v/>
      </c>
      <c r="AF1321" s="168" t="str">
        <f t="shared" si="266"/>
        <v/>
      </c>
      <c r="AG1321" s="28"/>
      <c r="AH1321" s="28"/>
      <c r="AI1321" s="20" t="str">
        <f>IF(AG1321="","",IF($F1321="Bernardino Furlan",_xlfn.XLOOKUP(AG1321,Cadastros!$G$6:$G$90,Cadastros!$H$6:$H$90)*(1-0.18),IF($F1321="Mauro José Salanti",_xlfn.XLOOKUP(AG1321,Cadastros!$G$6:$G$90,Cadastros!$H$6:$H$90)*(1-0.18),_xlfn.XLOOKUP(AG1321,Cadastros!$G$6:$G$90,Cadastros!$H$6:$H$90))))</f>
        <v/>
      </c>
      <c r="AJ1321" s="168" t="str">
        <f t="shared" si="267"/>
        <v/>
      </c>
      <c r="AK1321" s="168" t="str">
        <f t="shared" si="268"/>
        <v/>
      </c>
      <c r="AL1321" s="28"/>
      <c r="AM1321" s="28"/>
      <c r="AN1321" s="20" t="str">
        <f>IF(AL1321="","",IF($F1321="Bernardino Furlan",_xlfn.XLOOKUP(AL1321,Cadastros!$G$6:$G$90,Cadastros!$H$6:$H$90)*(1-0.18),IF($F1321="Mauro José Salanti",_xlfn.XLOOKUP(AL1321,Cadastros!$G$6:$G$90,Cadastros!$H$6:$H$90)*(1-0.18),_xlfn.XLOOKUP(AL1321,Cadastros!$G$6:$G$90,Cadastros!$H$6:$H$90))))</f>
        <v/>
      </c>
      <c r="AO1321" s="168" t="str">
        <f t="shared" si="269"/>
        <v/>
      </c>
      <c r="AP1321" s="168" t="str">
        <f t="shared" si="270"/>
        <v/>
      </c>
      <c r="AQ1321" s="28"/>
      <c r="AR1321" s="28"/>
      <c r="AS1321" s="20" t="str">
        <f>IF(AQ1321="","",IF($F1321="Bernardino Furlan",_xlfn.XLOOKUP(AQ1321,Cadastros!$G$6:$G$90,Cadastros!$H$6:$H$90)*(1-0.18),IF($F1321="Mauro José Salanti",_xlfn.XLOOKUP(AQ1321,Cadastros!$G$6:$G$90,Cadastros!$H$6:$H$90)*(1-0.18),_xlfn.XLOOKUP(AQ1321,Cadastros!$G$6:$G$90,Cadastros!$H$6:$H$90))))</f>
        <v/>
      </c>
      <c r="AT1321" s="168" t="str">
        <f t="shared" si="271"/>
        <v/>
      </c>
      <c r="AU1321" s="168" t="str">
        <f t="shared" si="272"/>
        <v/>
      </c>
      <c r="AV1321" s="227"/>
      <c r="AW1321" s="30"/>
      <c r="AX1321" s="267"/>
      <c r="AY1321" s="267"/>
      <c r="AZ1321" s="29"/>
      <c r="BA1321" s="30"/>
      <c r="BB1321" s="23" t="str" cm="1">
        <f t="array" ref="BB1321">_xlfn.IFS(AW1321="SIM",SUM(K1321,P1321,U1321,Z1321,AE1321,AJ1321,AO1321,AT1321,AX1321,AY1321),F1321&lt;&gt;"",SUM(K1321,P1321,U1321,Z1321,AE1321,AJ1321,,AO1321,AT1321),F1321="","")</f>
        <v/>
      </c>
      <c r="BC1321" s="211" t="str" cm="1">
        <f t="array" ref="BC1321">_xlfn.IFS(E1321="","",G1321&lt;=E1321,BB1321*(1-0.03),G1321&lt;(E1321+8),BB1321,AZ1321="Boleto",BB1321*(1+0.001)^DATEDIF(E1321,G1321,"D"),AZ1321="Cheque",BB1321,AZ1321="Dinheiro","Alterar forma pgto")</f>
        <v/>
      </c>
      <c r="BD1321" s="276" t="str" cm="1">
        <f t="array" ref="BD1321">IF(F1321=0," ",IF(BC1321&lt;BB1321,(_xlfn.IFS(AW1321="SIM",SUM(L1321,Q1321,V1321,AA1321,AF1321,AK1321,AP1321,AU1321)+AX1321/_xlfn.XLOOKUP(_xlfn.XLOOKUP($F1321,Clientes!$B$4:$B$39,Clientes!$C$4:$C$39),Cadastros!$L$6:$L$12,Cadastros!$M$6:$M$12)+IF($F1321="Bernardino Furlan",AY1321/2751.92,IF($F1321="Mauro José Salanti",AY1321/2751.92,AY1321/3356)),F1321&lt;&gt;0,SUM(L1321,Q1321,V1321,AA1321,AF1321,AK1321,AP1321,AU1321)))*(1-0.03),_xlfn.IFS(AW1321="SIM",SUM(L1321,Q1321,V1321,AA1321,AF1321,AK1321,AP1321,AU1321)+AX1321/_xlfn.XLOOKUP(_xlfn.XLOOKUP($F1321,Clientes!$B$4:$B$39,Clientes!$C$4:$C$39),Cadastros!$L$6:$L$12,Cadastros!$M$6:$M$12)+IF($F1321="Bernardino Furlan",AY1321/2751.92,IF($F1321="Mauro José Salanti",AY1321/2751.92,AY1321/3356)),F1321&lt;&gt;0,SUM(L1321,Q1321,V1321,AA1321,AF1321,AK1321,AP1321,AU1321))))</f>
        <v xml:space="preserve"> </v>
      </c>
      <c r="BE1321" s="120"/>
      <c r="BF1321" s="120"/>
      <c r="BG1321" s="120"/>
    </row>
    <row r="1322" spans="1:59" s="3" customFormat="1" x14ac:dyDescent="0.3">
      <c r="A1322" s="15" t="str">
        <f t="shared" si="260"/>
        <v/>
      </c>
      <c r="B1322" s="25"/>
      <c r="C1322" s="26"/>
      <c r="D1322" s="279"/>
      <c r="E1322" s="27"/>
      <c r="F1322" s="28"/>
      <c r="G1322" s="27"/>
      <c r="H1322" s="28"/>
      <c r="I1322" s="28"/>
      <c r="J1322" s="255" t="str">
        <f>IF(H1322="","",(_xlfn.XLOOKUP(H1322,Cadastros!$D$6:$D$90,Cadastros!$E$6:$E$90))*(1-_xlfn.XLOOKUP(_xlfn.XLOOKUP($F1322,Clientes!$B$4:$B$39,Clientes!$C$4:$C$39),Cadastros!$L$6:$L$12,Cadastros!$N$6:$N$12)))</f>
        <v/>
      </c>
      <c r="K1322" s="168" t="str">
        <f t="shared" si="261"/>
        <v/>
      </c>
      <c r="L1322" s="168" t="str">
        <f>IFERROR(K1322/_xlfn.XLOOKUP(_xlfn.XLOOKUP($F1322,Clientes!$B$4:$B$39,Clientes!$C$4:$C$39),Cadastros!$L$6:$L$12,Cadastros!$M$6:$M$12)," ")</f>
        <v xml:space="preserve"> </v>
      </c>
      <c r="M1322" s="28"/>
      <c r="N1322" s="28"/>
      <c r="O1322" s="255" t="str">
        <f>IF(M1322="","",(_xlfn.XLOOKUP(M1322,Cadastros!$D$6:$D$90,Cadastros!$E$6:$E$90))*(1-_xlfn.XLOOKUP(_xlfn.XLOOKUP($F1322,Clientes!$B$4:$B$39,Clientes!$C$4:$C$39),Cadastros!$L$6:$L$12,Cadastros!$N$6:$N$12)))</f>
        <v/>
      </c>
      <c r="P1322" s="168" t="str">
        <f t="shared" si="262"/>
        <v/>
      </c>
      <c r="Q1322" s="168" t="str">
        <f>IFERROR(P1322/_xlfn.XLOOKUP(_xlfn.XLOOKUP($F1322,Clientes!$B$4:$B$39,Clientes!$C$4:$C$39),Cadastros!$L$6:$L$12,Cadastros!$M$6:$M$12)," ")</f>
        <v xml:space="preserve"> </v>
      </c>
      <c r="R1322" s="28"/>
      <c r="S1322" s="28"/>
      <c r="T1322" s="255" t="str">
        <f>IF(R1322="","",(_xlfn.XLOOKUP(R1322,Cadastros!$D$6:$D$90,Cadastros!$E$6:$E$90))*(1-_xlfn.XLOOKUP(_xlfn.XLOOKUP($F1322,Clientes!$B$4:$B$39,Clientes!$C$4:$C$39),Cadastros!$L$6:$L$12,Cadastros!$N$6:$N$12)))</f>
        <v/>
      </c>
      <c r="U1322" s="168" t="str">
        <f t="shared" si="263"/>
        <v/>
      </c>
      <c r="V1322" s="168" t="str">
        <f>IFERROR(U1322/_xlfn.XLOOKUP(_xlfn.XLOOKUP($F1322,Clientes!$B$4:$B$39,Clientes!$C$4:$C$39),Cadastros!$L$6:$L$12,Cadastros!$M$6:$M$12)," ")</f>
        <v xml:space="preserve"> </v>
      </c>
      <c r="W1322" s="28"/>
      <c r="X1322" s="28"/>
      <c r="Y1322" s="255" t="str">
        <f>IF(W1322="","",(_xlfn.XLOOKUP(W1322,Cadastros!$D$6:$D$90,Cadastros!$E$6:$E$90))*(1-_xlfn.XLOOKUP(_xlfn.XLOOKUP($F1322,Clientes!$B$4:$B$39,Clientes!$C$4:$C$39),Cadastros!$L$6:$L$12,Cadastros!$N$6:$N$12)))</f>
        <v/>
      </c>
      <c r="Z1322" s="168" t="str">
        <f t="shared" si="264"/>
        <v/>
      </c>
      <c r="AA1322" s="168" t="str">
        <f>IFERROR(Z1322/_xlfn.XLOOKUP(_xlfn.XLOOKUP($F1322,Clientes!$B$4:$B$39,Clientes!$C$4:$C$39),Cadastros!$L$6:$L$12,Cadastros!$M$6:$M$12)," ")</f>
        <v xml:space="preserve"> </v>
      </c>
      <c r="AB1322" s="28"/>
      <c r="AC1322" s="28"/>
      <c r="AD1322" s="20" t="str">
        <f>IF(AB1322="","",IF($F1322="Bernardino Furlan",_xlfn.XLOOKUP(AB1322,Cadastros!$G$6:$G$90,Cadastros!$H$6:$H$90)*(1-0.18),IF($F1322="Mauro José Salanti",_xlfn.XLOOKUP(AB1322,Cadastros!$G$6:$G$90,Cadastros!$H$6:$H$90)*(1-0.18),_xlfn.XLOOKUP(AB1322,Cadastros!$G$6:$G$90,Cadastros!$H$6:$H$90))))</f>
        <v/>
      </c>
      <c r="AE1322" s="168" t="str">
        <f t="shared" si="265"/>
        <v/>
      </c>
      <c r="AF1322" s="168" t="str">
        <f t="shared" si="266"/>
        <v/>
      </c>
      <c r="AG1322" s="28"/>
      <c r="AH1322" s="28"/>
      <c r="AI1322" s="20" t="str">
        <f>IF(AG1322="","",IF($F1322="Bernardino Furlan",_xlfn.XLOOKUP(AG1322,Cadastros!$G$6:$G$90,Cadastros!$H$6:$H$90)*(1-0.18),IF($F1322="Mauro José Salanti",_xlfn.XLOOKUP(AG1322,Cadastros!$G$6:$G$90,Cadastros!$H$6:$H$90)*(1-0.18),_xlfn.XLOOKUP(AG1322,Cadastros!$G$6:$G$90,Cadastros!$H$6:$H$90))))</f>
        <v/>
      </c>
      <c r="AJ1322" s="168" t="str">
        <f t="shared" si="267"/>
        <v/>
      </c>
      <c r="AK1322" s="168" t="str">
        <f t="shared" si="268"/>
        <v/>
      </c>
      <c r="AL1322" s="28"/>
      <c r="AM1322" s="28"/>
      <c r="AN1322" s="20" t="str">
        <f>IF(AL1322="","",IF($F1322="Bernardino Furlan",_xlfn.XLOOKUP(AL1322,Cadastros!$G$6:$G$90,Cadastros!$H$6:$H$90)*(1-0.18),IF($F1322="Mauro José Salanti",_xlfn.XLOOKUP(AL1322,Cadastros!$G$6:$G$90,Cadastros!$H$6:$H$90)*(1-0.18),_xlfn.XLOOKUP(AL1322,Cadastros!$G$6:$G$90,Cadastros!$H$6:$H$90))))</f>
        <v/>
      </c>
      <c r="AO1322" s="168" t="str">
        <f t="shared" si="269"/>
        <v/>
      </c>
      <c r="AP1322" s="168" t="str">
        <f t="shared" si="270"/>
        <v/>
      </c>
      <c r="AQ1322" s="28"/>
      <c r="AR1322" s="28"/>
      <c r="AS1322" s="20" t="str">
        <f>IF(AQ1322="","",IF($F1322="Bernardino Furlan",_xlfn.XLOOKUP(AQ1322,Cadastros!$G$6:$G$90,Cadastros!$H$6:$H$90)*(1-0.18),IF($F1322="Mauro José Salanti",_xlfn.XLOOKUP(AQ1322,Cadastros!$G$6:$G$90,Cadastros!$H$6:$H$90)*(1-0.18),_xlfn.XLOOKUP(AQ1322,Cadastros!$G$6:$G$90,Cadastros!$H$6:$H$90))))</f>
        <v/>
      </c>
      <c r="AT1322" s="168" t="str">
        <f t="shared" si="271"/>
        <v/>
      </c>
      <c r="AU1322" s="168" t="str">
        <f t="shared" si="272"/>
        <v/>
      </c>
      <c r="AV1322" s="227"/>
      <c r="AW1322" s="30"/>
      <c r="AX1322" s="267"/>
      <c r="AY1322" s="267"/>
      <c r="AZ1322" s="29"/>
      <c r="BA1322" s="30"/>
      <c r="BB1322" s="23" t="str" cm="1">
        <f t="array" ref="BB1322">_xlfn.IFS(AW1322="SIM",SUM(K1322,P1322,U1322,Z1322,AE1322,AJ1322,AO1322,AT1322,AX1322,AY1322),F1322&lt;&gt;"",SUM(K1322,P1322,U1322,Z1322,AE1322,AJ1322,,AO1322,AT1322),F1322="","")</f>
        <v/>
      </c>
      <c r="BC1322" s="211" t="str" cm="1">
        <f t="array" ref="BC1322">_xlfn.IFS(E1322="","",G1322&lt;=E1322,BB1322*(1-0.03),G1322&lt;(E1322+8),BB1322,AZ1322="Boleto",BB1322*(1+0.001)^DATEDIF(E1322,G1322,"D"),AZ1322="Cheque",BB1322,AZ1322="Dinheiro","Alterar forma pgto")</f>
        <v/>
      </c>
      <c r="BD1322" s="276" t="str" cm="1">
        <f t="array" ref="BD1322">IF(F1322=0," ",IF(BC1322&lt;BB1322,(_xlfn.IFS(AW1322="SIM",SUM(L1322,Q1322,V1322,AA1322,AF1322,AK1322,AP1322,AU1322)+AX1322/_xlfn.XLOOKUP(_xlfn.XLOOKUP($F1322,Clientes!$B$4:$B$39,Clientes!$C$4:$C$39),Cadastros!$L$6:$L$12,Cadastros!$M$6:$M$12)+IF($F1322="Bernardino Furlan",AY1322/2751.92,IF($F1322="Mauro José Salanti",AY1322/2751.92,AY1322/3356)),F1322&lt;&gt;0,SUM(L1322,Q1322,V1322,AA1322,AF1322,AK1322,AP1322,AU1322)))*(1-0.03),_xlfn.IFS(AW1322="SIM",SUM(L1322,Q1322,V1322,AA1322,AF1322,AK1322,AP1322,AU1322)+AX1322/_xlfn.XLOOKUP(_xlfn.XLOOKUP($F1322,Clientes!$B$4:$B$39,Clientes!$C$4:$C$39),Cadastros!$L$6:$L$12,Cadastros!$M$6:$M$12)+IF($F1322="Bernardino Furlan",AY1322/2751.92,IF($F1322="Mauro José Salanti",AY1322/2751.92,AY1322/3356)),F1322&lt;&gt;0,SUM(L1322,Q1322,V1322,AA1322,AF1322,AK1322,AP1322,AU1322))))</f>
        <v xml:space="preserve"> </v>
      </c>
      <c r="BE1322" s="120"/>
      <c r="BF1322" s="120"/>
      <c r="BG1322" s="120"/>
    </row>
    <row r="1323" spans="1:59" s="3" customFormat="1" x14ac:dyDescent="0.3">
      <c r="A1323" s="15" t="str">
        <f t="shared" si="260"/>
        <v/>
      </c>
      <c r="B1323" s="25"/>
      <c r="C1323" s="26"/>
      <c r="D1323" s="279"/>
      <c r="E1323" s="27"/>
      <c r="F1323" s="28"/>
      <c r="G1323" s="27"/>
      <c r="H1323" s="28"/>
      <c r="I1323" s="28"/>
      <c r="J1323" s="255" t="str">
        <f>IF(H1323="","",(_xlfn.XLOOKUP(H1323,Cadastros!$D$6:$D$90,Cadastros!$E$6:$E$90))*(1-_xlfn.XLOOKUP(_xlfn.XLOOKUP($F1323,Clientes!$B$4:$B$39,Clientes!$C$4:$C$39),Cadastros!$L$6:$L$12,Cadastros!$N$6:$N$12)))</f>
        <v/>
      </c>
      <c r="K1323" s="168" t="str">
        <f t="shared" si="261"/>
        <v/>
      </c>
      <c r="L1323" s="168" t="str">
        <f>IFERROR(K1323/_xlfn.XLOOKUP(_xlfn.XLOOKUP($F1323,Clientes!$B$4:$B$39,Clientes!$C$4:$C$39),Cadastros!$L$6:$L$12,Cadastros!$M$6:$M$12)," ")</f>
        <v xml:space="preserve"> </v>
      </c>
      <c r="M1323" s="28"/>
      <c r="N1323" s="28"/>
      <c r="O1323" s="255" t="str">
        <f>IF(M1323="","",(_xlfn.XLOOKUP(M1323,Cadastros!$D$6:$D$90,Cadastros!$E$6:$E$90))*(1-_xlfn.XLOOKUP(_xlfn.XLOOKUP($F1323,Clientes!$B$4:$B$39,Clientes!$C$4:$C$39),Cadastros!$L$6:$L$12,Cadastros!$N$6:$N$12)))</f>
        <v/>
      </c>
      <c r="P1323" s="168" t="str">
        <f t="shared" si="262"/>
        <v/>
      </c>
      <c r="Q1323" s="168" t="str">
        <f>IFERROR(P1323/_xlfn.XLOOKUP(_xlfn.XLOOKUP($F1323,Clientes!$B$4:$B$39,Clientes!$C$4:$C$39),Cadastros!$L$6:$L$12,Cadastros!$M$6:$M$12)," ")</f>
        <v xml:space="preserve"> </v>
      </c>
      <c r="R1323" s="28"/>
      <c r="S1323" s="28"/>
      <c r="T1323" s="255" t="str">
        <f>IF(R1323="","",(_xlfn.XLOOKUP(R1323,Cadastros!$D$6:$D$90,Cadastros!$E$6:$E$90))*(1-_xlfn.XLOOKUP(_xlfn.XLOOKUP($F1323,Clientes!$B$4:$B$39,Clientes!$C$4:$C$39),Cadastros!$L$6:$L$12,Cadastros!$N$6:$N$12)))</f>
        <v/>
      </c>
      <c r="U1323" s="168" t="str">
        <f t="shared" si="263"/>
        <v/>
      </c>
      <c r="V1323" s="168" t="str">
        <f>IFERROR(U1323/_xlfn.XLOOKUP(_xlfn.XLOOKUP($F1323,Clientes!$B$4:$B$39,Clientes!$C$4:$C$39),Cadastros!$L$6:$L$12,Cadastros!$M$6:$M$12)," ")</f>
        <v xml:space="preserve"> </v>
      </c>
      <c r="W1323" s="28"/>
      <c r="X1323" s="28"/>
      <c r="Y1323" s="255" t="str">
        <f>IF(W1323="","",(_xlfn.XLOOKUP(W1323,Cadastros!$D$6:$D$90,Cadastros!$E$6:$E$90))*(1-_xlfn.XLOOKUP(_xlfn.XLOOKUP($F1323,Clientes!$B$4:$B$39,Clientes!$C$4:$C$39),Cadastros!$L$6:$L$12,Cadastros!$N$6:$N$12)))</f>
        <v/>
      </c>
      <c r="Z1323" s="168" t="str">
        <f t="shared" si="264"/>
        <v/>
      </c>
      <c r="AA1323" s="168" t="str">
        <f>IFERROR(Z1323/_xlfn.XLOOKUP(_xlfn.XLOOKUP($F1323,Clientes!$B$4:$B$39,Clientes!$C$4:$C$39),Cadastros!$L$6:$L$12,Cadastros!$M$6:$M$12)," ")</f>
        <v xml:space="preserve"> </v>
      </c>
      <c r="AB1323" s="28"/>
      <c r="AC1323" s="28"/>
      <c r="AD1323" s="20" t="str">
        <f>IF(AB1323="","",IF($F1323="Bernardino Furlan",_xlfn.XLOOKUP(AB1323,Cadastros!$G$6:$G$90,Cadastros!$H$6:$H$90)*(1-0.18),IF($F1323="Mauro José Salanti",_xlfn.XLOOKUP(AB1323,Cadastros!$G$6:$G$90,Cadastros!$H$6:$H$90)*(1-0.18),_xlfn.XLOOKUP(AB1323,Cadastros!$G$6:$G$90,Cadastros!$H$6:$H$90))))</f>
        <v/>
      </c>
      <c r="AE1323" s="168" t="str">
        <f t="shared" si="265"/>
        <v/>
      </c>
      <c r="AF1323" s="168" t="str">
        <f t="shared" si="266"/>
        <v/>
      </c>
      <c r="AG1323" s="28"/>
      <c r="AH1323" s="28"/>
      <c r="AI1323" s="20" t="str">
        <f>IF(AG1323="","",IF($F1323="Bernardino Furlan",_xlfn.XLOOKUP(AG1323,Cadastros!$G$6:$G$90,Cadastros!$H$6:$H$90)*(1-0.18),IF($F1323="Mauro José Salanti",_xlfn.XLOOKUP(AG1323,Cadastros!$G$6:$G$90,Cadastros!$H$6:$H$90)*(1-0.18),_xlfn.XLOOKUP(AG1323,Cadastros!$G$6:$G$90,Cadastros!$H$6:$H$90))))</f>
        <v/>
      </c>
      <c r="AJ1323" s="168" t="str">
        <f t="shared" si="267"/>
        <v/>
      </c>
      <c r="AK1323" s="168" t="str">
        <f t="shared" si="268"/>
        <v/>
      </c>
      <c r="AL1323" s="28"/>
      <c r="AM1323" s="28"/>
      <c r="AN1323" s="20" t="str">
        <f>IF(AL1323="","",IF($F1323="Bernardino Furlan",_xlfn.XLOOKUP(AL1323,Cadastros!$G$6:$G$90,Cadastros!$H$6:$H$90)*(1-0.18),IF($F1323="Mauro José Salanti",_xlfn.XLOOKUP(AL1323,Cadastros!$G$6:$G$90,Cadastros!$H$6:$H$90)*(1-0.18),_xlfn.XLOOKUP(AL1323,Cadastros!$G$6:$G$90,Cadastros!$H$6:$H$90))))</f>
        <v/>
      </c>
      <c r="AO1323" s="168" t="str">
        <f t="shared" si="269"/>
        <v/>
      </c>
      <c r="AP1323" s="168" t="str">
        <f t="shared" si="270"/>
        <v/>
      </c>
      <c r="AQ1323" s="28"/>
      <c r="AR1323" s="28"/>
      <c r="AS1323" s="20" t="str">
        <f>IF(AQ1323="","",IF($F1323="Bernardino Furlan",_xlfn.XLOOKUP(AQ1323,Cadastros!$G$6:$G$90,Cadastros!$H$6:$H$90)*(1-0.18),IF($F1323="Mauro José Salanti",_xlfn.XLOOKUP(AQ1323,Cadastros!$G$6:$G$90,Cadastros!$H$6:$H$90)*(1-0.18),_xlfn.XLOOKUP(AQ1323,Cadastros!$G$6:$G$90,Cadastros!$H$6:$H$90))))</f>
        <v/>
      </c>
      <c r="AT1323" s="168" t="str">
        <f t="shared" si="271"/>
        <v/>
      </c>
      <c r="AU1323" s="168" t="str">
        <f t="shared" si="272"/>
        <v/>
      </c>
      <c r="AV1323" s="227"/>
      <c r="AW1323" s="30"/>
      <c r="AX1323" s="267"/>
      <c r="AY1323" s="267"/>
      <c r="AZ1323" s="29"/>
      <c r="BA1323" s="30"/>
      <c r="BB1323" s="23" t="str" cm="1">
        <f t="array" ref="BB1323">_xlfn.IFS(AW1323="SIM",SUM(K1323,P1323,U1323,Z1323,AE1323,AJ1323,AO1323,AT1323,AX1323,AY1323),F1323&lt;&gt;"",SUM(K1323,P1323,U1323,Z1323,AE1323,AJ1323,,AO1323,AT1323),F1323="","")</f>
        <v/>
      </c>
      <c r="BC1323" s="211" t="str" cm="1">
        <f t="array" ref="BC1323">_xlfn.IFS(E1323="","",G1323&lt;=E1323,BB1323*(1-0.03),G1323&lt;(E1323+8),BB1323,AZ1323="Boleto",BB1323*(1+0.001)^DATEDIF(E1323,G1323,"D"),AZ1323="Cheque",BB1323,AZ1323="Dinheiro","Alterar forma pgto")</f>
        <v/>
      </c>
      <c r="BD1323" s="276" t="str" cm="1">
        <f t="array" ref="BD1323">IF(F1323=0," ",IF(BC1323&lt;BB1323,(_xlfn.IFS(AW1323="SIM",SUM(L1323,Q1323,V1323,AA1323,AF1323,AK1323,AP1323,AU1323)+AX1323/_xlfn.XLOOKUP(_xlfn.XLOOKUP($F1323,Clientes!$B$4:$B$39,Clientes!$C$4:$C$39),Cadastros!$L$6:$L$12,Cadastros!$M$6:$M$12)+IF($F1323="Bernardino Furlan",AY1323/2751.92,IF($F1323="Mauro José Salanti",AY1323/2751.92,AY1323/3356)),F1323&lt;&gt;0,SUM(L1323,Q1323,V1323,AA1323,AF1323,AK1323,AP1323,AU1323)))*(1-0.03),_xlfn.IFS(AW1323="SIM",SUM(L1323,Q1323,V1323,AA1323,AF1323,AK1323,AP1323,AU1323)+AX1323/_xlfn.XLOOKUP(_xlfn.XLOOKUP($F1323,Clientes!$B$4:$B$39,Clientes!$C$4:$C$39),Cadastros!$L$6:$L$12,Cadastros!$M$6:$M$12)+IF($F1323="Bernardino Furlan",AY1323/2751.92,IF($F1323="Mauro José Salanti",AY1323/2751.92,AY1323/3356)),F1323&lt;&gt;0,SUM(L1323,Q1323,V1323,AA1323,AF1323,AK1323,AP1323,AU1323))))</f>
        <v xml:space="preserve"> </v>
      </c>
      <c r="BE1323" s="120"/>
      <c r="BF1323" s="120"/>
      <c r="BG1323" s="120"/>
    </row>
    <row r="1324" spans="1:59" s="3" customFormat="1" x14ac:dyDescent="0.3">
      <c r="A1324" s="15" t="str">
        <f t="shared" si="260"/>
        <v/>
      </c>
      <c r="B1324" s="25"/>
      <c r="C1324" s="26"/>
      <c r="D1324" s="279"/>
      <c r="E1324" s="27"/>
      <c r="F1324" s="28"/>
      <c r="G1324" s="27"/>
      <c r="H1324" s="28"/>
      <c r="I1324" s="28"/>
      <c r="J1324" s="255" t="str">
        <f>IF(H1324="","",(_xlfn.XLOOKUP(H1324,Cadastros!$D$6:$D$90,Cadastros!$E$6:$E$90))*(1-_xlfn.XLOOKUP(_xlfn.XLOOKUP($F1324,Clientes!$B$4:$B$39,Clientes!$C$4:$C$39),Cadastros!$L$6:$L$12,Cadastros!$N$6:$N$12)))</f>
        <v/>
      </c>
      <c r="K1324" s="168" t="str">
        <f t="shared" si="261"/>
        <v/>
      </c>
      <c r="L1324" s="168" t="str">
        <f>IFERROR(K1324/_xlfn.XLOOKUP(_xlfn.XLOOKUP($F1324,Clientes!$B$4:$B$39,Clientes!$C$4:$C$39),Cadastros!$L$6:$L$12,Cadastros!$M$6:$M$12)," ")</f>
        <v xml:space="preserve"> </v>
      </c>
      <c r="M1324" s="28"/>
      <c r="N1324" s="28"/>
      <c r="O1324" s="255" t="str">
        <f>IF(M1324="","",(_xlfn.XLOOKUP(M1324,Cadastros!$D$6:$D$90,Cadastros!$E$6:$E$90))*(1-_xlfn.XLOOKUP(_xlfn.XLOOKUP($F1324,Clientes!$B$4:$B$39,Clientes!$C$4:$C$39),Cadastros!$L$6:$L$12,Cadastros!$N$6:$N$12)))</f>
        <v/>
      </c>
      <c r="P1324" s="168" t="str">
        <f t="shared" si="262"/>
        <v/>
      </c>
      <c r="Q1324" s="168" t="str">
        <f>IFERROR(P1324/_xlfn.XLOOKUP(_xlfn.XLOOKUP($F1324,Clientes!$B$4:$B$39,Clientes!$C$4:$C$39),Cadastros!$L$6:$L$12,Cadastros!$M$6:$M$12)," ")</f>
        <v xml:space="preserve"> </v>
      </c>
      <c r="R1324" s="28"/>
      <c r="S1324" s="28"/>
      <c r="T1324" s="255" t="str">
        <f>IF(R1324="","",(_xlfn.XLOOKUP(R1324,Cadastros!$D$6:$D$90,Cadastros!$E$6:$E$90))*(1-_xlfn.XLOOKUP(_xlfn.XLOOKUP($F1324,Clientes!$B$4:$B$39,Clientes!$C$4:$C$39),Cadastros!$L$6:$L$12,Cadastros!$N$6:$N$12)))</f>
        <v/>
      </c>
      <c r="U1324" s="168" t="str">
        <f t="shared" si="263"/>
        <v/>
      </c>
      <c r="V1324" s="168" t="str">
        <f>IFERROR(U1324/_xlfn.XLOOKUP(_xlfn.XLOOKUP($F1324,Clientes!$B$4:$B$39,Clientes!$C$4:$C$39),Cadastros!$L$6:$L$12,Cadastros!$M$6:$M$12)," ")</f>
        <v xml:space="preserve"> </v>
      </c>
      <c r="W1324" s="28"/>
      <c r="X1324" s="28"/>
      <c r="Y1324" s="255" t="str">
        <f>IF(W1324="","",(_xlfn.XLOOKUP(W1324,Cadastros!$D$6:$D$90,Cadastros!$E$6:$E$90))*(1-_xlfn.XLOOKUP(_xlfn.XLOOKUP($F1324,Clientes!$B$4:$B$39,Clientes!$C$4:$C$39),Cadastros!$L$6:$L$12,Cadastros!$N$6:$N$12)))</f>
        <v/>
      </c>
      <c r="Z1324" s="168" t="str">
        <f t="shared" si="264"/>
        <v/>
      </c>
      <c r="AA1324" s="168" t="str">
        <f>IFERROR(Z1324/_xlfn.XLOOKUP(_xlfn.XLOOKUP($F1324,Clientes!$B$4:$B$39,Clientes!$C$4:$C$39),Cadastros!$L$6:$L$12,Cadastros!$M$6:$M$12)," ")</f>
        <v xml:space="preserve"> </v>
      </c>
      <c r="AB1324" s="28"/>
      <c r="AC1324" s="28"/>
      <c r="AD1324" s="20" t="str">
        <f>IF(AB1324="","",IF($F1324="Bernardino Furlan",_xlfn.XLOOKUP(AB1324,Cadastros!$G$6:$G$90,Cadastros!$H$6:$H$90)*(1-0.18),IF($F1324="Mauro José Salanti",_xlfn.XLOOKUP(AB1324,Cadastros!$G$6:$G$90,Cadastros!$H$6:$H$90)*(1-0.18),_xlfn.XLOOKUP(AB1324,Cadastros!$G$6:$G$90,Cadastros!$H$6:$H$90))))</f>
        <v/>
      </c>
      <c r="AE1324" s="168" t="str">
        <f t="shared" si="265"/>
        <v/>
      </c>
      <c r="AF1324" s="168" t="str">
        <f t="shared" si="266"/>
        <v/>
      </c>
      <c r="AG1324" s="28"/>
      <c r="AH1324" s="28"/>
      <c r="AI1324" s="20" t="str">
        <f>IF(AG1324="","",IF($F1324="Bernardino Furlan",_xlfn.XLOOKUP(AG1324,Cadastros!$G$6:$G$90,Cadastros!$H$6:$H$90)*(1-0.18),IF($F1324="Mauro José Salanti",_xlfn.XLOOKUP(AG1324,Cadastros!$G$6:$G$90,Cadastros!$H$6:$H$90)*(1-0.18),_xlfn.XLOOKUP(AG1324,Cadastros!$G$6:$G$90,Cadastros!$H$6:$H$90))))</f>
        <v/>
      </c>
      <c r="AJ1324" s="168" t="str">
        <f t="shared" si="267"/>
        <v/>
      </c>
      <c r="AK1324" s="168" t="str">
        <f t="shared" si="268"/>
        <v/>
      </c>
      <c r="AL1324" s="28"/>
      <c r="AM1324" s="28"/>
      <c r="AN1324" s="20" t="str">
        <f>IF(AL1324="","",IF($F1324="Bernardino Furlan",_xlfn.XLOOKUP(AL1324,Cadastros!$G$6:$G$90,Cadastros!$H$6:$H$90)*(1-0.18),IF($F1324="Mauro José Salanti",_xlfn.XLOOKUP(AL1324,Cadastros!$G$6:$G$90,Cadastros!$H$6:$H$90)*(1-0.18),_xlfn.XLOOKUP(AL1324,Cadastros!$G$6:$G$90,Cadastros!$H$6:$H$90))))</f>
        <v/>
      </c>
      <c r="AO1324" s="168" t="str">
        <f t="shared" si="269"/>
        <v/>
      </c>
      <c r="AP1324" s="168" t="str">
        <f t="shared" si="270"/>
        <v/>
      </c>
      <c r="AQ1324" s="28"/>
      <c r="AR1324" s="28"/>
      <c r="AS1324" s="20" t="str">
        <f>IF(AQ1324="","",IF($F1324="Bernardino Furlan",_xlfn.XLOOKUP(AQ1324,Cadastros!$G$6:$G$90,Cadastros!$H$6:$H$90)*(1-0.18),IF($F1324="Mauro José Salanti",_xlfn.XLOOKUP(AQ1324,Cadastros!$G$6:$G$90,Cadastros!$H$6:$H$90)*(1-0.18),_xlfn.XLOOKUP(AQ1324,Cadastros!$G$6:$G$90,Cadastros!$H$6:$H$90))))</f>
        <v/>
      </c>
      <c r="AT1324" s="168" t="str">
        <f t="shared" si="271"/>
        <v/>
      </c>
      <c r="AU1324" s="168" t="str">
        <f t="shared" si="272"/>
        <v/>
      </c>
      <c r="AV1324" s="227"/>
      <c r="AW1324" s="30"/>
      <c r="AX1324" s="267"/>
      <c r="AY1324" s="267"/>
      <c r="AZ1324" s="29"/>
      <c r="BA1324" s="30"/>
      <c r="BB1324" s="23" t="str" cm="1">
        <f t="array" ref="BB1324">_xlfn.IFS(AW1324="SIM",SUM(K1324,P1324,U1324,Z1324,AE1324,AJ1324,AO1324,AT1324,AX1324,AY1324),F1324&lt;&gt;"",SUM(K1324,P1324,U1324,Z1324,AE1324,AJ1324,,AO1324,AT1324),F1324="","")</f>
        <v/>
      </c>
      <c r="BC1324" s="211" t="str" cm="1">
        <f t="array" ref="BC1324">_xlfn.IFS(E1324="","",G1324&lt;=E1324,BB1324*(1-0.03),G1324&lt;(E1324+8),BB1324,AZ1324="Boleto",BB1324*(1+0.001)^DATEDIF(E1324,G1324,"D"),AZ1324="Cheque",BB1324,AZ1324="Dinheiro","Alterar forma pgto")</f>
        <v/>
      </c>
      <c r="BD1324" s="276" t="str" cm="1">
        <f t="array" ref="BD1324">IF(F1324=0," ",IF(BC1324&lt;BB1324,(_xlfn.IFS(AW1324="SIM",SUM(L1324,Q1324,V1324,AA1324,AF1324,AK1324,AP1324,AU1324)+AX1324/_xlfn.XLOOKUP(_xlfn.XLOOKUP($F1324,Clientes!$B$4:$B$39,Clientes!$C$4:$C$39),Cadastros!$L$6:$L$12,Cadastros!$M$6:$M$12)+IF($F1324="Bernardino Furlan",AY1324/2751.92,IF($F1324="Mauro José Salanti",AY1324/2751.92,AY1324/3356)),F1324&lt;&gt;0,SUM(L1324,Q1324,V1324,AA1324,AF1324,AK1324,AP1324,AU1324)))*(1-0.03),_xlfn.IFS(AW1324="SIM",SUM(L1324,Q1324,V1324,AA1324,AF1324,AK1324,AP1324,AU1324)+AX1324/_xlfn.XLOOKUP(_xlfn.XLOOKUP($F1324,Clientes!$B$4:$B$39,Clientes!$C$4:$C$39),Cadastros!$L$6:$L$12,Cadastros!$M$6:$M$12)+IF($F1324="Bernardino Furlan",AY1324/2751.92,IF($F1324="Mauro José Salanti",AY1324/2751.92,AY1324/3356)),F1324&lt;&gt;0,SUM(L1324,Q1324,V1324,AA1324,AF1324,AK1324,AP1324,AU1324))))</f>
        <v xml:space="preserve"> </v>
      </c>
      <c r="BE1324" s="120"/>
      <c r="BF1324" s="120"/>
      <c r="BG1324" s="120"/>
    </row>
    <row r="1325" spans="1:59" s="3" customFormat="1" x14ac:dyDescent="0.3">
      <c r="A1325" s="15" t="str">
        <f t="shared" si="260"/>
        <v/>
      </c>
      <c r="B1325" s="25"/>
      <c r="C1325" s="26"/>
      <c r="D1325" s="279"/>
      <c r="E1325" s="27"/>
      <c r="F1325" s="28"/>
      <c r="G1325" s="27"/>
      <c r="H1325" s="28"/>
      <c r="I1325" s="28"/>
      <c r="J1325" s="255" t="str">
        <f>IF(H1325="","",(_xlfn.XLOOKUP(H1325,Cadastros!$D$6:$D$90,Cadastros!$E$6:$E$90))*(1-_xlfn.XLOOKUP(_xlfn.XLOOKUP($F1325,Clientes!$B$4:$B$39,Clientes!$C$4:$C$39),Cadastros!$L$6:$L$12,Cadastros!$N$6:$N$12)))</f>
        <v/>
      </c>
      <c r="K1325" s="168" t="str">
        <f t="shared" si="261"/>
        <v/>
      </c>
      <c r="L1325" s="168" t="str">
        <f>IFERROR(K1325/_xlfn.XLOOKUP(_xlfn.XLOOKUP($F1325,Clientes!$B$4:$B$39,Clientes!$C$4:$C$39),Cadastros!$L$6:$L$12,Cadastros!$M$6:$M$12)," ")</f>
        <v xml:space="preserve"> </v>
      </c>
      <c r="M1325" s="28"/>
      <c r="N1325" s="28"/>
      <c r="O1325" s="255" t="str">
        <f>IF(M1325="","",(_xlfn.XLOOKUP(M1325,Cadastros!$D$6:$D$90,Cadastros!$E$6:$E$90))*(1-_xlfn.XLOOKUP(_xlfn.XLOOKUP($F1325,Clientes!$B$4:$B$39,Clientes!$C$4:$C$39),Cadastros!$L$6:$L$12,Cadastros!$N$6:$N$12)))</f>
        <v/>
      </c>
      <c r="P1325" s="168" t="str">
        <f t="shared" si="262"/>
        <v/>
      </c>
      <c r="Q1325" s="168" t="str">
        <f>IFERROR(P1325/_xlfn.XLOOKUP(_xlfn.XLOOKUP($F1325,Clientes!$B$4:$B$39,Clientes!$C$4:$C$39),Cadastros!$L$6:$L$12,Cadastros!$M$6:$M$12)," ")</f>
        <v xml:space="preserve"> </v>
      </c>
      <c r="R1325" s="28"/>
      <c r="S1325" s="28"/>
      <c r="T1325" s="255" t="str">
        <f>IF(R1325="","",(_xlfn.XLOOKUP(R1325,Cadastros!$D$6:$D$90,Cadastros!$E$6:$E$90))*(1-_xlfn.XLOOKUP(_xlfn.XLOOKUP($F1325,Clientes!$B$4:$B$39,Clientes!$C$4:$C$39),Cadastros!$L$6:$L$12,Cadastros!$N$6:$N$12)))</f>
        <v/>
      </c>
      <c r="U1325" s="168" t="str">
        <f t="shared" si="263"/>
        <v/>
      </c>
      <c r="V1325" s="168" t="str">
        <f>IFERROR(U1325/_xlfn.XLOOKUP(_xlfn.XLOOKUP($F1325,Clientes!$B$4:$B$39,Clientes!$C$4:$C$39),Cadastros!$L$6:$L$12,Cadastros!$M$6:$M$12)," ")</f>
        <v xml:space="preserve"> </v>
      </c>
      <c r="W1325" s="28"/>
      <c r="X1325" s="28"/>
      <c r="Y1325" s="255" t="str">
        <f>IF(W1325="","",(_xlfn.XLOOKUP(W1325,Cadastros!$D$6:$D$90,Cadastros!$E$6:$E$90))*(1-_xlfn.XLOOKUP(_xlfn.XLOOKUP($F1325,Clientes!$B$4:$B$39,Clientes!$C$4:$C$39),Cadastros!$L$6:$L$12,Cadastros!$N$6:$N$12)))</f>
        <v/>
      </c>
      <c r="Z1325" s="168" t="str">
        <f t="shared" si="264"/>
        <v/>
      </c>
      <c r="AA1325" s="168" t="str">
        <f>IFERROR(Z1325/_xlfn.XLOOKUP(_xlfn.XLOOKUP($F1325,Clientes!$B$4:$B$39,Clientes!$C$4:$C$39),Cadastros!$L$6:$L$12,Cadastros!$M$6:$M$12)," ")</f>
        <v xml:space="preserve"> </v>
      </c>
      <c r="AB1325" s="28"/>
      <c r="AC1325" s="28"/>
      <c r="AD1325" s="20" t="str">
        <f>IF(AB1325="","",IF($F1325="Bernardino Furlan",_xlfn.XLOOKUP(AB1325,Cadastros!$G$6:$G$90,Cadastros!$H$6:$H$90)*(1-0.18),IF($F1325="Mauro José Salanti",_xlfn.XLOOKUP(AB1325,Cadastros!$G$6:$G$90,Cadastros!$H$6:$H$90)*(1-0.18),_xlfn.XLOOKUP(AB1325,Cadastros!$G$6:$G$90,Cadastros!$H$6:$H$90))))</f>
        <v/>
      </c>
      <c r="AE1325" s="168" t="str">
        <f t="shared" si="265"/>
        <v/>
      </c>
      <c r="AF1325" s="168" t="str">
        <f t="shared" si="266"/>
        <v/>
      </c>
      <c r="AG1325" s="28"/>
      <c r="AH1325" s="28"/>
      <c r="AI1325" s="20" t="str">
        <f>IF(AG1325="","",IF($F1325="Bernardino Furlan",_xlfn.XLOOKUP(AG1325,Cadastros!$G$6:$G$90,Cadastros!$H$6:$H$90)*(1-0.18),IF($F1325="Mauro José Salanti",_xlfn.XLOOKUP(AG1325,Cadastros!$G$6:$G$90,Cadastros!$H$6:$H$90)*(1-0.18),_xlfn.XLOOKUP(AG1325,Cadastros!$G$6:$G$90,Cadastros!$H$6:$H$90))))</f>
        <v/>
      </c>
      <c r="AJ1325" s="168" t="str">
        <f t="shared" si="267"/>
        <v/>
      </c>
      <c r="AK1325" s="168" t="str">
        <f t="shared" si="268"/>
        <v/>
      </c>
      <c r="AL1325" s="28"/>
      <c r="AM1325" s="28"/>
      <c r="AN1325" s="20" t="str">
        <f>IF(AL1325="","",IF($F1325="Bernardino Furlan",_xlfn.XLOOKUP(AL1325,Cadastros!$G$6:$G$90,Cadastros!$H$6:$H$90)*(1-0.18),IF($F1325="Mauro José Salanti",_xlfn.XLOOKUP(AL1325,Cadastros!$G$6:$G$90,Cadastros!$H$6:$H$90)*(1-0.18),_xlfn.XLOOKUP(AL1325,Cadastros!$G$6:$G$90,Cadastros!$H$6:$H$90))))</f>
        <v/>
      </c>
      <c r="AO1325" s="168" t="str">
        <f t="shared" si="269"/>
        <v/>
      </c>
      <c r="AP1325" s="168" t="str">
        <f t="shared" si="270"/>
        <v/>
      </c>
      <c r="AQ1325" s="28"/>
      <c r="AR1325" s="28"/>
      <c r="AS1325" s="20" t="str">
        <f>IF(AQ1325="","",IF($F1325="Bernardino Furlan",_xlfn.XLOOKUP(AQ1325,Cadastros!$G$6:$G$90,Cadastros!$H$6:$H$90)*(1-0.18),IF($F1325="Mauro José Salanti",_xlfn.XLOOKUP(AQ1325,Cadastros!$G$6:$G$90,Cadastros!$H$6:$H$90)*(1-0.18),_xlfn.XLOOKUP(AQ1325,Cadastros!$G$6:$G$90,Cadastros!$H$6:$H$90))))</f>
        <v/>
      </c>
      <c r="AT1325" s="168" t="str">
        <f t="shared" si="271"/>
        <v/>
      </c>
      <c r="AU1325" s="168" t="str">
        <f t="shared" si="272"/>
        <v/>
      </c>
      <c r="AV1325" s="227"/>
      <c r="AW1325" s="30"/>
      <c r="AX1325" s="267"/>
      <c r="AY1325" s="267"/>
      <c r="AZ1325" s="29"/>
      <c r="BA1325" s="30"/>
      <c r="BB1325" s="23" t="str" cm="1">
        <f t="array" ref="BB1325">_xlfn.IFS(AW1325="SIM",SUM(K1325,P1325,U1325,Z1325,AE1325,AJ1325,AO1325,AT1325,AX1325,AY1325),F1325&lt;&gt;"",SUM(K1325,P1325,U1325,Z1325,AE1325,AJ1325,,AO1325,AT1325),F1325="","")</f>
        <v/>
      </c>
      <c r="BC1325" s="211" t="str" cm="1">
        <f t="array" ref="BC1325">_xlfn.IFS(E1325="","",G1325&lt;=E1325,BB1325*(1-0.03),G1325&lt;(E1325+8),BB1325,AZ1325="Boleto",BB1325*(1+0.001)^DATEDIF(E1325,G1325,"D"),AZ1325="Cheque",BB1325,AZ1325="Dinheiro","Alterar forma pgto")</f>
        <v/>
      </c>
      <c r="BD1325" s="276" t="str" cm="1">
        <f t="array" ref="BD1325">IF(F1325=0," ",IF(BC1325&lt;BB1325,(_xlfn.IFS(AW1325="SIM",SUM(L1325,Q1325,V1325,AA1325,AF1325,AK1325,AP1325,AU1325)+AX1325/_xlfn.XLOOKUP(_xlfn.XLOOKUP($F1325,Clientes!$B$4:$B$39,Clientes!$C$4:$C$39),Cadastros!$L$6:$L$12,Cadastros!$M$6:$M$12)+IF($F1325="Bernardino Furlan",AY1325/2751.92,IF($F1325="Mauro José Salanti",AY1325/2751.92,AY1325/3356)),F1325&lt;&gt;0,SUM(L1325,Q1325,V1325,AA1325,AF1325,AK1325,AP1325,AU1325)))*(1-0.03),_xlfn.IFS(AW1325="SIM",SUM(L1325,Q1325,V1325,AA1325,AF1325,AK1325,AP1325,AU1325)+AX1325/_xlfn.XLOOKUP(_xlfn.XLOOKUP($F1325,Clientes!$B$4:$B$39,Clientes!$C$4:$C$39),Cadastros!$L$6:$L$12,Cadastros!$M$6:$M$12)+IF($F1325="Bernardino Furlan",AY1325/2751.92,IF($F1325="Mauro José Salanti",AY1325/2751.92,AY1325/3356)),F1325&lt;&gt;0,SUM(L1325,Q1325,V1325,AA1325,AF1325,AK1325,AP1325,AU1325))))</f>
        <v xml:space="preserve"> </v>
      </c>
      <c r="BE1325" s="120"/>
      <c r="BF1325" s="120"/>
      <c r="BG1325" s="120"/>
    </row>
    <row r="1326" spans="1:59" s="3" customFormat="1" x14ac:dyDescent="0.3">
      <c r="A1326" s="15" t="str">
        <f t="shared" si="260"/>
        <v/>
      </c>
      <c r="B1326" s="25"/>
      <c r="C1326" s="26"/>
      <c r="D1326" s="279"/>
      <c r="E1326" s="27"/>
      <c r="F1326" s="28"/>
      <c r="G1326" s="27"/>
      <c r="H1326" s="28"/>
      <c r="I1326" s="28"/>
      <c r="J1326" s="255" t="str">
        <f>IF(H1326="","",(_xlfn.XLOOKUP(H1326,Cadastros!$D$6:$D$90,Cadastros!$E$6:$E$90))*(1-_xlfn.XLOOKUP(_xlfn.XLOOKUP($F1326,Clientes!$B$4:$B$39,Clientes!$C$4:$C$39),Cadastros!$L$6:$L$12,Cadastros!$N$6:$N$12)))</f>
        <v/>
      </c>
      <c r="K1326" s="168" t="str">
        <f t="shared" si="261"/>
        <v/>
      </c>
      <c r="L1326" s="168" t="str">
        <f>IFERROR(K1326/_xlfn.XLOOKUP(_xlfn.XLOOKUP($F1326,Clientes!$B$4:$B$39,Clientes!$C$4:$C$39),Cadastros!$L$6:$L$12,Cadastros!$M$6:$M$12)," ")</f>
        <v xml:space="preserve"> </v>
      </c>
      <c r="M1326" s="28"/>
      <c r="N1326" s="28"/>
      <c r="O1326" s="255" t="str">
        <f>IF(M1326="","",(_xlfn.XLOOKUP(M1326,Cadastros!$D$6:$D$90,Cadastros!$E$6:$E$90))*(1-_xlfn.XLOOKUP(_xlfn.XLOOKUP($F1326,Clientes!$B$4:$B$39,Clientes!$C$4:$C$39),Cadastros!$L$6:$L$12,Cadastros!$N$6:$N$12)))</f>
        <v/>
      </c>
      <c r="P1326" s="168" t="str">
        <f t="shared" si="262"/>
        <v/>
      </c>
      <c r="Q1326" s="168" t="str">
        <f>IFERROR(P1326/_xlfn.XLOOKUP(_xlfn.XLOOKUP($F1326,Clientes!$B$4:$B$39,Clientes!$C$4:$C$39),Cadastros!$L$6:$L$12,Cadastros!$M$6:$M$12)," ")</f>
        <v xml:space="preserve"> </v>
      </c>
      <c r="R1326" s="28"/>
      <c r="S1326" s="28"/>
      <c r="T1326" s="255" t="str">
        <f>IF(R1326="","",(_xlfn.XLOOKUP(R1326,Cadastros!$D$6:$D$90,Cadastros!$E$6:$E$90))*(1-_xlfn.XLOOKUP(_xlfn.XLOOKUP($F1326,Clientes!$B$4:$B$39,Clientes!$C$4:$C$39),Cadastros!$L$6:$L$12,Cadastros!$N$6:$N$12)))</f>
        <v/>
      </c>
      <c r="U1326" s="168" t="str">
        <f t="shared" si="263"/>
        <v/>
      </c>
      <c r="V1326" s="168" t="str">
        <f>IFERROR(U1326/_xlfn.XLOOKUP(_xlfn.XLOOKUP($F1326,Clientes!$B$4:$B$39,Clientes!$C$4:$C$39),Cadastros!$L$6:$L$12,Cadastros!$M$6:$M$12)," ")</f>
        <v xml:space="preserve"> </v>
      </c>
      <c r="W1326" s="28"/>
      <c r="X1326" s="28"/>
      <c r="Y1326" s="255" t="str">
        <f>IF(W1326="","",(_xlfn.XLOOKUP(W1326,Cadastros!$D$6:$D$90,Cadastros!$E$6:$E$90))*(1-_xlfn.XLOOKUP(_xlfn.XLOOKUP($F1326,Clientes!$B$4:$B$39,Clientes!$C$4:$C$39),Cadastros!$L$6:$L$12,Cadastros!$N$6:$N$12)))</f>
        <v/>
      </c>
      <c r="Z1326" s="168" t="str">
        <f t="shared" si="264"/>
        <v/>
      </c>
      <c r="AA1326" s="168" t="str">
        <f>IFERROR(Z1326/_xlfn.XLOOKUP(_xlfn.XLOOKUP($F1326,Clientes!$B$4:$B$39,Clientes!$C$4:$C$39),Cadastros!$L$6:$L$12,Cadastros!$M$6:$M$12)," ")</f>
        <v xml:space="preserve"> </v>
      </c>
      <c r="AB1326" s="28"/>
      <c r="AC1326" s="28"/>
      <c r="AD1326" s="20" t="str">
        <f>IF(AB1326="","",IF($F1326="Bernardino Furlan",_xlfn.XLOOKUP(AB1326,Cadastros!$G$6:$G$90,Cadastros!$H$6:$H$90)*(1-0.18),IF($F1326="Mauro José Salanti",_xlfn.XLOOKUP(AB1326,Cadastros!$G$6:$G$90,Cadastros!$H$6:$H$90)*(1-0.18),_xlfn.XLOOKUP(AB1326,Cadastros!$G$6:$G$90,Cadastros!$H$6:$H$90))))</f>
        <v/>
      </c>
      <c r="AE1326" s="168" t="str">
        <f t="shared" si="265"/>
        <v/>
      </c>
      <c r="AF1326" s="168" t="str">
        <f t="shared" si="266"/>
        <v/>
      </c>
      <c r="AG1326" s="28"/>
      <c r="AH1326" s="28"/>
      <c r="AI1326" s="20" t="str">
        <f>IF(AG1326="","",IF($F1326="Bernardino Furlan",_xlfn.XLOOKUP(AG1326,Cadastros!$G$6:$G$90,Cadastros!$H$6:$H$90)*(1-0.18),IF($F1326="Mauro José Salanti",_xlfn.XLOOKUP(AG1326,Cadastros!$G$6:$G$90,Cadastros!$H$6:$H$90)*(1-0.18),_xlfn.XLOOKUP(AG1326,Cadastros!$G$6:$G$90,Cadastros!$H$6:$H$90))))</f>
        <v/>
      </c>
      <c r="AJ1326" s="168" t="str">
        <f t="shared" si="267"/>
        <v/>
      </c>
      <c r="AK1326" s="168" t="str">
        <f t="shared" si="268"/>
        <v/>
      </c>
      <c r="AL1326" s="28"/>
      <c r="AM1326" s="28"/>
      <c r="AN1326" s="20" t="str">
        <f>IF(AL1326="","",IF($F1326="Bernardino Furlan",_xlfn.XLOOKUP(AL1326,Cadastros!$G$6:$G$90,Cadastros!$H$6:$H$90)*(1-0.18),IF($F1326="Mauro José Salanti",_xlfn.XLOOKUP(AL1326,Cadastros!$G$6:$G$90,Cadastros!$H$6:$H$90)*(1-0.18),_xlfn.XLOOKUP(AL1326,Cadastros!$G$6:$G$90,Cadastros!$H$6:$H$90))))</f>
        <v/>
      </c>
      <c r="AO1326" s="168" t="str">
        <f t="shared" si="269"/>
        <v/>
      </c>
      <c r="AP1326" s="168" t="str">
        <f t="shared" si="270"/>
        <v/>
      </c>
      <c r="AQ1326" s="28"/>
      <c r="AR1326" s="28"/>
      <c r="AS1326" s="20" t="str">
        <f>IF(AQ1326="","",IF($F1326="Bernardino Furlan",_xlfn.XLOOKUP(AQ1326,Cadastros!$G$6:$G$90,Cadastros!$H$6:$H$90)*(1-0.18),IF($F1326="Mauro José Salanti",_xlfn.XLOOKUP(AQ1326,Cadastros!$G$6:$G$90,Cadastros!$H$6:$H$90)*(1-0.18),_xlfn.XLOOKUP(AQ1326,Cadastros!$G$6:$G$90,Cadastros!$H$6:$H$90))))</f>
        <v/>
      </c>
      <c r="AT1326" s="168" t="str">
        <f t="shared" si="271"/>
        <v/>
      </c>
      <c r="AU1326" s="168" t="str">
        <f t="shared" si="272"/>
        <v/>
      </c>
      <c r="AV1326" s="227"/>
      <c r="AW1326" s="30"/>
      <c r="AX1326" s="267"/>
      <c r="AY1326" s="267"/>
      <c r="AZ1326" s="29"/>
      <c r="BA1326" s="30"/>
      <c r="BB1326" s="23" t="str" cm="1">
        <f t="array" ref="BB1326">_xlfn.IFS(AW1326="SIM",SUM(K1326,P1326,U1326,Z1326,AE1326,AJ1326,AO1326,AT1326,AX1326,AY1326),F1326&lt;&gt;"",SUM(K1326,P1326,U1326,Z1326,AE1326,AJ1326,,AO1326,AT1326),F1326="","")</f>
        <v/>
      </c>
      <c r="BC1326" s="211" t="str" cm="1">
        <f t="array" ref="BC1326">_xlfn.IFS(E1326="","",G1326&lt;=E1326,BB1326*(1-0.03),G1326&lt;(E1326+8),BB1326,AZ1326="Boleto",BB1326*(1+0.001)^DATEDIF(E1326,G1326,"D"),AZ1326="Cheque",BB1326,AZ1326="Dinheiro","Alterar forma pgto")</f>
        <v/>
      </c>
      <c r="BD1326" s="276" t="str" cm="1">
        <f t="array" ref="BD1326">IF(F1326=0," ",IF(BC1326&lt;BB1326,(_xlfn.IFS(AW1326="SIM",SUM(L1326,Q1326,V1326,AA1326,AF1326,AK1326,AP1326,AU1326)+AX1326/_xlfn.XLOOKUP(_xlfn.XLOOKUP($F1326,Clientes!$B$4:$B$39,Clientes!$C$4:$C$39),Cadastros!$L$6:$L$12,Cadastros!$M$6:$M$12)+IF($F1326="Bernardino Furlan",AY1326/2751.92,IF($F1326="Mauro José Salanti",AY1326/2751.92,AY1326/3356)),F1326&lt;&gt;0,SUM(L1326,Q1326,V1326,AA1326,AF1326,AK1326,AP1326,AU1326)))*(1-0.03),_xlfn.IFS(AW1326="SIM",SUM(L1326,Q1326,V1326,AA1326,AF1326,AK1326,AP1326,AU1326)+AX1326/_xlfn.XLOOKUP(_xlfn.XLOOKUP($F1326,Clientes!$B$4:$B$39,Clientes!$C$4:$C$39),Cadastros!$L$6:$L$12,Cadastros!$M$6:$M$12)+IF($F1326="Bernardino Furlan",AY1326/2751.92,IF($F1326="Mauro José Salanti",AY1326/2751.92,AY1326/3356)),F1326&lt;&gt;0,SUM(L1326,Q1326,V1326,AA1326,AF1326,AK1326,AP1326,AU1326))))</f>
        <v xml:space="preserve"> </v>
      </c>
      <c r="BE1326" s="120"/>
      <c r="BF1326" s="120"/>
      <c r="BG1326" s="120"/>
    </row>
    <row r="1327" spans="1:59" s="3" customFormat="1" x14ac:dyDescent="0.3">
      <c r="A1327" s="15" t="str">
        <f t="shared" si="260"/>
        <v/>
      </c>
      <c r="B1327" s="25"/>
      <c r="C1327" s="26"/>
      <c r="D1327" s="279"/>
      <c r="E1327" s="27"/>
      <c r="F1327" s="28"/>
      <c r="G1327" s="27"/>
      <c r="H1327" s="28"/>
      <c r="I1327" s="28"/>
      <c r="J1327" s="255" t="str">
        <f>IF(H1327="","",(_xlfn.XLOOKUP(H1327,Cadastros!$D$6:$D$90,Cadastros!$E$6:$E$90))*(1-_xlfn.XLOOKUP(_xlfn.XLOOKUP($F1327,Clientes!$B$4:$B$39,Clientes!$C$4:$C$39),Cadastros!$L$6:$L$12,Cadastros!$N$6:$N$12)))</f>
        <v/>
      </c>
      <c r="K1327" s="168" t="str">
        <f t="shared" si="261"/>
        <v/>
      </c>
      <c r="L1327" s="168" t="str">
        <f>IFERROR(K1327/_xlfn.XLOOKUP(_xlfn.XLOOKUP($F1327,Clientes!$B$4:$B$39,Clientes!$C$4:$C$39),Cadastros!$L$6:$L$12,Cadastros!$M$6:$M$12)," ")</f>
        <v xml:space="preserve"> </v>
      </c>
      <c r="M1327" s="28"/>
      <c r="N1327" s="28"/>
      <c r="O1327" s="255" t="str">
        <f>IF(M1327="","",(_xlfn.XLOOKUP(M1327,Cadastros!$D$6:$D$90,Cadastros!$E$6:$E$90))*(1-_xlfn.XLOOKUP(_xlfn.XLOOKUP($F1327,Clientes!$B$4:$B$39,Clientes!$C$4:$C$39),Cadastros!$L$6:$L$12,Cadastros!$N$6:$N$12)))</f>
        <v/>
      </c>
      <c r="P1327" s="168" t="str">
        <f t="shared" si="262"/>
        <v/>
      </c>
      <c r="Q1327" s="168" t="str">
        <f>IFERROR(P1327/_xlfn.XLOOKUP(_xlfn.XLOOKUP($F1327,Clientes!$B$4:$B$39,Clientes!$C$4:$C$39),Cadastros!$L$6:$L$12,Cadastros!$M$6:$M$12)," ")</f>
        <v xml:space="preserve"> </v>
      </c>
      <c r="R1327" s="28"/>
      <c r="S1327" s="28"/>
      <c r="T1327" s="255" t="str">
        <f>IF(R1327="","",(_xlfn.XLOOKUP(R1327,Cadastros!$D$6:$D$90,Cadastros!$E$6:$E$90))*(1-_xlfn.XLOOKUP(_xlfn.XLOOKUP($F1327,Clientes!$B$4:$B$39,Clientes!$C$4:$C$39),Cadastros!$L$6:$L$12,Cadastros!$N$6:$N$12)))</f>
        <v/>
      </c>
      <c r="U1327" s="168" t="str">
        <f t="shared" si="263"/>
        <v/>
      </c>
      <c r="V1327" s="168" t="str">
        <f>IFERROR(U1327/_xlfn.XLOOKUP(_xlfn.XLOOKUP($F1327,Clientes!$B$4:$B$39,Clientes!$C$4:$C$39),Cadastros!$L$6:$L$12,Cadastros!$M$6:$M$12)," ")</f>
        <v xml:space="preserve"> </v>
      </c>
      <c r="W1327" s="28"/>
      <c r="X1327" s="28"/>
      <c r="Y1327" s="255" t="str">
        <f>IF(W1327="","",(_xlfn.XLOOKUP(W1327,Cadastros!$D$6:$D$90,Cadastros!$E$6:$E$90))*(1-_xlfn.XLOOKUP(_xlfn.XLOOKUP($F1327,Clientes!$B$4:$B$39,Clientes!$C$4:$C$39),Cadastros!$L$6:$L$12,Cadastros!$N$6:$N$12)))</f>
        <v/>
      </c>
      <c r="Z1327" s="168" t="str">
        <f t="shared" si="264"/>
        <v/>
      </c>
      <c r="AA1327" s="168" t="str">
        <f>IFERROR(Z1327/_xlfn.XLOOKUP(_xlfn.XLOOKUP($F1327,Clientes!$B$4:$B$39,Clientes!$C$4:$C$39),Cadastros!$L$6:$L$12,Cadastros!$M$6:$M$12)," ")</f>
        <v xml:space="preserve"> </v>
      </c>
      <c r="AB1327" s="28"/>
      <c r="AC1327" s="28"/>
      <c r="AD1327" s="20" t="str">
        <f>IF(AB1327="","",IF($F1327="Bernardino Furlan",_xlfn.XLOOKUP(AB1327,Cadastros!$G$6:$G$90,Cadastros!$H$6:$H$90)*(1-0.18),IF($F1327="Mauro José Salanti",_xlfn.XLOOKUP(AB1327,Cadastros!$G$6:$G$90,Cadastros!$H$6:$H$90)*(1-0.18),_xlfn.XLOOKUP(AB1327,Cadastros!$G$6:$G$90,Cadastros!$H$6:$H$90))))</f>
        <v/>
      </c>
      <c r="AE1327" s="168" t="str">
        <f t="shared" si="265"/>
        <v/>
      </c>
      <c r="AF1327" s="168" t="str">
        <f t="shared" si="266"/>
        <v/>
      </c>
      <c r="AG1327" s="28"/>
      <c r="AH1327" s="28"/>
      <c r="AI1327" s="20" t="str">
        <f>IF(AG1327="","",IF($F1327="Bernardino Furlan",_xlfn.XLOOKUP(AG1327,Cadastros!$G$6:$G$90,Cadastros!$H$6:$H$90)*(1-0.18),IF($F1327="Mauro José Salanti",_xlfn.XLOOKUP(AG1327,Cadastros!$G$6:$G$90,Cadastros!$H$6:$H$90)*(1-0.18),_xlfn.XLOOKUP(AG1327,Cadastros!$G$6:$G$90,Cadastros!$H$6:$H$90))))</f>
        <v/>
      </c>
      <c r="AJ1327" s="168" t="str">
        <f t="shared" si="267"/>
        <v/>
      </c>
      <c r="AK1327" s="168" t="str">
        <f t="shared" si="268"/>
        <v/>
      </c>
      <c r="AL1327" s="28"/>
      <c r="AM1327" s="28"/>
      <c r="AN1327" s="20" t="str">
        <f>IF(AL1327="","",IF($F1327="Bernardino Furlan",_xlfn.XLOOKUP(AL1327,Cadastros!$G$6:$G$90,Cadastros!$H$6:$H$90)*(1-0.18),IF($F1327="Mauro José Salanti",_xlfn.XLOOKUP(AL1327,Cadastros!$G$6:$G$90,Cadastros!$H$6:$H$90)*(1-0.18),_xlfn.XLOOKUP(AL1327,Cadastros!$G$6:$G$90,Cadastros!$H$6:$H$90))))</f>
        <v/>
      </c>
      <c r="AO1327" s="168" t="str">
        <f t="shared" si="269"/>
        <v/>
      </c>
      <c r="AP1327" s="168" t="str">
        <f t="shared" si="270"/>
        <v/>
      </c>
      <c r="AQ1327" s="28"/>
      <c r="AR1327" s="28"/>
      <c r="AS1327" s="20" t="str">
        <f>IF(AQ1327="","",IF($F1327="Bernardino Furlan",_xlfn.XLOOKUP(AQ1327,Cadastros!$G$6:$G$90,Cadastros!$H$6:$H$90)*(1-0.18),IF($F1327="Mauro José Salanti",_xlfn.XLOOKUP(AQ1327,Cadastros!$G$6:$G$90,Cadastros!$H$6:$H$90)*(1-0.18),_xlfn.XLOOKUP(AQ1327,Cadastros!$G$6:$G$90,Cadastros!$H$6:$H$90))))</f>
        <v/>
      </c>
      <c r="AT1327" s="168" t="str">
        <f t="shared" si="271"/>
        <v/>
      </c>
      <c r="AU1327" s="168" t="str">
        <f t="shared" si="272"/>
        <v/>
      </c>
      <c r="AV1327" s="227"/>
      <c r="AW1327" s="30"/>
      <c r="AX1327" s="267"/>
      <c r="AY1327" s="267"/>
      <c r="AZ1327" s="29"/>
      <c r="BA1327" s="30"/>
      <c r="BB1327" s="23" t="str" cm="1">
        <f t="array" ref="BB1327">_xlfn.IFS(AW1327="SIM",SUM(K1327,P1327,U1327,Z1327,AE1327,AJ1327,AO1327,AT1327,AX1327,AY1327),F1327&lt;&gt;"",SUM(K1327,P1327,U1327,Z1327,AE1327,AJ1327,,AO1327,AT1327),F1327="","")</f>
        <v/>
      </c>
      <c r="BC1327" s="211" t="str" cm="1">
        <f t="array" ref="BC1327">_xlfn.IFS(E1327="","",G1327&lt;=E1327,BB1327*(1-0.03),G1327&lt;(E1327+8),BB1327,AZ1327="Boleto",BB1327*(1+0.001)^DATEDIF(E1327,G1327,"D"),AZ1327="Cheque",BB1327,AZ1327="Dinheiro","Alterar forma pgto")</f>
        <v/>
      </c>
      <c r="BD1327" s="276" t="str" cm="1">
        <f t="array" ref="BD1327">IF(F1327=0," ",IF(BC1327&lt;BB1327,(_xlfn.IFS(AW1327="SIM",SUM(L1327,Q1327,V1327,AA1327,AF1327,AK1327,AP1327,AU1327)+AX1327/_xlfn.XLOOKUP(_xlfn.XLOOKUP($F1327,Clientes!$B$4:$B$39,Clientes!$C$4:$C$39),Cadastros!$L$6:$L$12,Cadastros!$M$6:$M$12)+IF($F1327="Bernardino Furlan",AY1327/2751.92,IF($F1327="Mauro José Salanti",AY1327/2751.92,AY1327/3356)),F1327&lt;&gt;0,SUM(L1327,Q1327,V1327,AA1327,AF1327,AK1327,AP1327,AU1327)))*(1-0.03),_xlfn.IFS(AW1327="SIM",SUM(L1327,Q1327,V1327,AA1327,AF1327,AK1327,AP1327,AU1327)+AX1327/_xlfn.XLOOKUP(_xlfn.XLOOKUP($F1327,Clientes!$B$4:$B$39,Clientes!$C$4:$C$39),Cadastros!$L$6:$L$12,Cadastros!$M$6:$M$12)+IF($F1327="Bernardino Furlan",AY1327/2751.92,IF($F1327="Mauro José Salanti",AY1327/2751.92,AY1327/3356)),F1327&lt;&gt;0,SUM(L1327,Q1327,V1327,AA1327,AF1327,AK1327,AP1327,AU1327))))</f>
        <v xml:space="preserve"> </v>
      </c>
      <c r="BE1327" s="120"/>
      <c r="BF1327" s="120"/>
      <c r="BG1327" s="120"/>
    </row>
    <row r="1328" spans="1:59" s="3" customFormat="1" x14ac:dyDescent="0.3">
      <c r="A1328" s="15" t="str">
        <f t="shared" si="260"/>
        <v/>
      </c>
      <c r="B1328" s="25"/>
      <c r="C1328" s="26"/>
      <c r="D1328" s="279"/>
      <c r="E1328" s="27"/>
      <c r="F1328" s="28"/>
      <c r="G1328" s="27"/>
      <c r="H1328" s="28"/>
      <c r="I1328" s="28"/>
      <c r="J1328" s="255" t="str">
        <f>IF(H1328="","",(_xlfn.XLOOKUP(H1328,Cadastros!$D$6:$D$90,Cadastros!$E$6:$E$90))*(1-_xlfn.XLOOKUP(_xlfn.XLOOKUP($F1328,Clientes!$B$4:$B$39,Clientes!$C$4:$C$39),Cadastros!$L$6:$L$12,Cadastros!$N$6:$N$12)))</f>
        <v/>
      </c>
      <c r="K1328" s="168" t="str">
        <f t="shared" si="261"/>
        <v/>
      </c>
      <c r="L1328" s="168" t="str">
        <f>IFERROR(K1328/_xlfn.XLOOKUP(_xlfn.XLOOKUP($F1328,Clientes!$B$4:$B$39,Clientes!$C$4:$C$39),Cadastros!$L$6:$L$12,Cadastros!$M$6:$M$12)," ")</f>
        <v xml:space="preserve"> </v>
      </c>
      <c r="M1328" s="28"/>
      <c r="N1328" s="28"/>
      <c r="O1328" s="255" t="str">
        <f>IF(M1328="","",(_xlfn.XLOOKUP(M1328,Cadastros!$D$6:$D$90,Cadastros!$E$6:$E$90))*(1-_xlfn.XLOOKUP(_xlfn.XLOOKUP($F1328,Clientes!$B$4:$B$39,Clientes!$C$4:$C$39),Cadastros!$L$6:$L$12,Cadastros!$N$6:$N$12)))</f>
        <v/>
      </c>
      <c r="P1328" s="168" t="str">
        <f t="shared" si="262"/>
        <v/>
      </c>
      <c r="Q1328" s="168" t="str">
        <f>IFERROR(P1328/_xlfn.XLOOKUP(_xlfn.XLOOKUP($F1328,Clientes!$B$4:$B$39,Clientes!$C$4:$C$39),Cadastros!$L$6:$L$12,Cadastros!$M$6:$M$12)," ")</f>
        <v xml:space="preserve"> </v>
      </c>
      <c r="R1328" s="28"/>
      <c r="S1328" s="28"/>
      <c r="T1328" s="255" t="str">
        <f>IF(R1328="","",(_xlfn.XLOOKUP(R1328,Cadastros!$D$6:$D$90,Cadastros!$E$6:$E$90))*(1-_xlfn.XLOOKUP(_xlfn.XLOOKUP($F1328,Clientes!$B$4:$B$39,Clientes!$C$4:$C$39),Cadastros!$L$6:$L$12,Cadastros!$N$6:$N$12)))</f>
        <v/>
      </c>
      <c r="U1328" s="168" t="str">
        <f t="shared" si="263"/>
        <v/>
      </c>
      <c r="V1328" s="168" t="str">
        <f>IFERROR(U1328/_xlfn.XLOOKUP(_xlfn.XLOOKUP($F1328,Clientes!$B$4:$B$39,Clientes!$C$4:$C$39),Cadastros!$L$6:$L$12,Cadastros!$M$6:$M$12)," ")</f>
        <v xml:space="preserve"> </v>
      </c>
      <c r="W1328" s="28"/>
      <c r="X1328" s="28"/>
      <c r="Y1328" s="255" t="str">
        <f>IF(W1328="","",(_xlfn.XLOOKUP(W1328,Cadastros!$D$6:$D$90,Cadastros!$E$6:$E$90))*(1-_xlfn.XLOOKUP(_xlfn.XLOOKUP($F1328,Clientes!$B$4:$B$39,Clientes!$C$4:$C$39),Cadastros!$L$6:$L$12,Cadastros!$N$6:$N$12)))</f>
        <v/>
      </c>
      <c r="Z1328" s="168" t="str">
        <f t="shared" si="264"/>
        <v/>
      </c>
      <c r="AA1328" s="168" t="str">
        <f>IFERROR(Z1328/_xlfn.XLOOKUP(_xlfn.XLOOKUP($F1328,Clientes!$B$4:$B$39,Clientes!$C$4:$C$39),Cadastros!$L$6:$L$12,Cadastros!$M$6:$M$12)," ")</f>
        <v xml:space="preserve"> </v>
      </c>
      <c r="AB1328" s="28"/>
      <c r="AC1328" s="28"/>
      <c r="AD1328" s="20" t="str">
        <f>IF(AB1328="","",IF($F1328="Bernardino Furlan",_xlfn.XLOOKUP(AB1328,Cadastros!$G$6:$G$90,Cadastros!$H$6:$H$90)*(1-0.18),IF($F1328="Mauro José Salanti",_xlfn.XLOOKUP(AB1328,Cadastros!$G$6:$G$90,Cadastros!$H$6:$H$90)*(1-0.18),_xlfn.XLOOKUP(AB1328,Cadastros!$G$6:$G$90,Cadastros!$H$6:$H$90))))</f>
        <v/>
      </c>
      <c r="AE1328" s="168" t="str">
        <f t="shared" si="265"/>
        <v/>
      </c>
      <c r="AF1328" s="168" t="str">
        <f t="shared" si="266"/>
        <v/>
      </c>
      <c r="AG1328" s="28"/>
      <c r="AH1328" s="28"/>
      <c r="AI1328" s="20" t="str">
        <f>IF(AG1328="","",IF($F1328="Bernardino Furlan",_xlfn.XLOOKUP(AG1328,Cadastros!$G$6:$G$90,Cadastros!$H$6:$H$90)*(1-0.18),IF($F1328="Mauro José Salanti",_xlfn.XLOOKUP(AG1328,Cadastros!$G$6:$G$90,Cadastros!$H$6:$H$90)*(1-0.18),_xlfn.XLOOKUP(AG1328,Cadastros!$G$6:$G$90,Cadastros!$H$6:$H$90))))</f>
        <v/>
      </c>
      <c r="AJ1328" s="168" t="str">
        <f t="shared" si="267"/>
        <v/>
      </c>
      <c r="AK1328" s="168" t="str">
        <f t="shared" si="268"/>
        <v/>
      </c>
      <c r="AL1328" s="28"/>
      <c r="AM1328" s="28"/>
      <c r="AN1328" s="20" t="str">
        <f>IF(AL1328="","",IF($F1328="Bernardino Furlan",_xlfn.XLOOKUP(AL1328,Cadastros!$G$6:$G$90,Cadastros!$H$6:$H$90)*(1-0.18),IF($F1328="Mauro José Salanti",_xlfn.XLOOKUP(AL1328,Cadastros!$G$6:$G$90,Cadastros!$H$6:$H$90)*(1-0.18),_xlfn.XLOOKUP(AL1328,Cadastros!$G$6:$G$90,Cadastros!$H$6:$H$90))))</f>
        <v/>
      </c>
      <c r="AO1328" s="168" t="str">
        <f t="shared" si="269"/>
        <v/>
      </c>
      <c r="AP1328" s="168" t="str">
        <f t="shared" si="270"/>
        <v/>
      </c>
      <c r="AQ1328" s="28"/>
      <c r="AR1328" s="28"/>
      <c r="AS1328" s="20" t="str">
        <f>IF(AQ1328="","",IF($F1328="Bernardino Furlan",_xlfn.XLOOKUP(AQ1328,Cadastros!$G$6:$G$90,Cadastros!$H$6:$H$90)*(1-0.18),IF($F1328="Mauro José Salanti",_xlfn.XLOOKUP(AQ1328,Cadastros!$G$6:$G$90,Cadastros!$H$6:$H$90)*(1-0.18),_xlfn.XLOOKUP(AQ1328,Cadastros!$G$6:$G$90,Cadastros!$H$6:$H$90))))</f>
        <v/>
      </c>
      <c r="AT1328" s="168" t="str">
        <f t="shared" si="271"/>
        <v/>
      </c>
      <c r="AU1328" s="168" t="str">
        <f t="shared" si="272"/>
        <v/>
      </c>
      <c r="AV1328" s="227"/>
      <c r="AW1328" s="30"/>
      <c r="AX1328" s="267"/>
      <c r="AY1328" s="267"/>
      <c r="AZ1328" s="29"/>
      <c r="BA1328" s="30"/>
      <c r="BB1328" s="23" t="str" cm="1">
        <f t="array" ref="BB1328">_xlfn.IFS(AW1328="SIM",SUM(K1328,P1328,U1328,Z1328,AE1328,AJ1328,AO1328,AT1328,AX1328,AY1328),F1328&lt;&gt;"",SUM(K1328,P1328,U1328,Z1328,AE1328,AJ1328,,AO1328,AT1328),F1328="","")</f>
        <v/>
      </c>
      <c r="BC1328" s="211" t="str" cm="1">
        <f t="array" ref="BC1328">_xlfn.IFS(E1328="","",G1328&lt;=E1328,BB1328*(1-0.03),G1328&lt;(E1328+8),BB1328,AZ1328="Boleto",BB1328*(1+0.001)^DATEDIF(E1328,G1328,"D"),AZ1328="Cheque",BB1328,AZ1328="Dinheiro","Alterar forma pgto")</f>
        <v/>
      </c>
      <c r="BD1328" s="276" t="str" cm="1">
        <f t="array" ref="BD1328">IF(F1328=0," ",IF(BC1328&lt;BB1328,(_xlfn.IFS(AW1328="SIM",SUM(L1328,Q1328,V1328,AA1328,AF1328,AK1328,AP1328,AU1328)+AX1328/_xlfn.XLOOKUP(_xlfn.XLOOKUP($F1328,Clientes!$B$4:$B$39,Clientes!$C$4:$C$39),Cadastros!$L$6:$L$12,Cadastros!$M$6:$M$12)+IF($F1328="Bernardino Furlan",AY1328/2751.92,IF($F1328="Mauro José Salanti",AY1328/2751.92,AY1328/3356)),F1328&lt;&gt;0,SUM(L1328,Q1328,V1328,AA1328,AF1328,AK1328,AP1328,AU1328)))*(1-0.03),_xlfn.IFS(AW1328="SIM",SUM(L1328,Q1328,V1328,AA1328,AF1328,AK1328,AP1328,AU1328)+AX1328/_xlfn.XLOOKUP(_xlfn.XLOOKUP($F1328,Clientes!$B$4:$B$39,Clientes!$C$4:$C$39),Cadastros!$L$6:$L$12,Cadastros!$M$6:$M$12)+IF($F1328="Bernardino Furlan",AY1328/2751.92,IF($F1328="Mauro José Salanti",AY1328/2751.92,AY1328/3356)),F1328&lt;&gt;0,SUM(L1328,Q1328,V1328,AA1328,AF1328,AK1328,AP1328,AU1328))))</f>
        <v xml:space="preserve"> </v>
      </c>
      <c r="BE1328" s="120"/>
      <c r="BF1328" s="120"/>
      <c r="BG1328" s="120"/>
    </row>
    <row r="1329" spans="1:59" s="3" customFormat="1" x14ac:dyDescent="0.3">
      <c r="A1329" s="15" t="str">
        <f t="shared" si="260"/>
        <v/>
      </c>
      <c r="B1329" s="25"/>
      <c r="C1329" s="26"/>
      <c r="D1329" s="279"/>
      <c r="E1329" s="27"/>
      <c r="F1329" s="28"/>
      <c r="G1329" s="27"/>
      <c r="H1329" s="28"/>
      <c r="I1329" s="28"/>
      <c r="J1329" s="255" t="str">
        <f>IF(H1329="","",(_xlfn.XLOOKUP(H1329,Cadastros!$D$6:$D$90,Cadastros!$E$6:$E$90))*(1-_xlfn.XLOOKUP(_xlfn.XLOOKUP($F1329,Clientes!$B$4:$B$39,Clientes!$C$4:$C$39),Cadastros!$L$6:$L$12,Cadastros!$N$6:$N$12)))</f>
        <v/>
      </c>
      <c r="K1329" s="168" t="str">
        <f t="shared" si="261"/>
        <v/>
      </c>
      <c r="L1329" s="168" t="str">
        <f>IFERROR(K1329/_xlfn.XLOOKUP(_xlfn.XLOOKUP($F1329,Clientes!$B$4:$B$39,Clientes!$C$4:$C$39),Cadastros!$L$6:$L$12,Cadastros!$M$6:$M$12)," ")</f>
        <v xml:space="preserve"> </v>
      </c>
      <c r="M1329" s="28"/>
      <c r="N1329" s="28"/>
      <c r="O1329" s="255" t="str">
        <f>IF(M1329="","",(_xlfn.XLOOKUP(M1329,Cadastros!$D$6:$D$90,Cadastros!$E$6:$E$90))*(1-_xlfn.XLOOKUP(_xlfn.XLOOKUP($F1329,Clientes!$B$4:$B$39,Clientes!$C$4:$C$39),Cadastros!$L$6:$L$12,Cadastros!$N$6:$N$12)))</f>
        <v/>
      </c>
      <c r="P1329" s="168" t="str">
        <f t="shared" si="262"/>
        <v/>
      </c>
      <c r="Q1329" s="168" t="str">
        <f>IFERROR(P1329/_xlfn.XLOOKUP(_xlfn.XLOOKUP($F1329,Clientes!$B$4:$B$39,Clientes!$C$4:$C$39),Cadastros!$L$6:$L$12,Cadastros!$M$6:$M$12)," ")</f>
        <v xml:space="preserve"> </v>
      </c>
      <c r="R1329" s="28"/>
      <c r="S1329" s="28"/>
      <c r="T1329" s="255" t="str">
        <f>IF(R1329="","",(_xlfn.XLOOKUP(R1329,Cadastros!$D$6:$D$90,Cadastros!$E$6:$E$90))*(1-_xlfn.XLOOKUP(_xlfn.XLOOKUP($F1329,Clientes!$B$4:$B$39,Clientes!$C$4:$C$39),Cadastros!$L$6:$L$12,Cadastros!$N$6:$N$12)))</f>
        <v/>
      </c>
      <c r="U1329" s="168" t="str">
        <f t="shared" si="263"/>
        <v/>
      </c>
      <c r="V1329" s="168" t="str">
        <f>IFERROR(U1329/_xlfn.XLOOKUP(_xlfn.XLOOKUP($F1329,Clientes!$B$4:$B$39,Clientes!$C$4:$C$39),Cadastros!$L$6:$L$12,Cadastros!$M$6:$M$12)," ")</f>
        <v xml:space="preserve"> </v>
      </c>
      <c r="W1329" s="28"/>
      <c r="X1329" s="28"/>
      <c r="Y1329" s="255" t="str">
        <f>IF(W1329="","",(_xlfn.XLOOKUP(W1329,Cadastros!$D$6:$D$90,Cadastros!$E$6:$E$90))*(1-_xlfn.XLOOKUP(_xlfn.XLOOKUP($F1329,Clientes!$B$4:$B$39,Clientes!$C$4:$C$39),Cadastros!$L$6:$L$12,Cadastros!$N$6:$N$12)))</f>
        <v/>
      </c>
      <c r="Z1329" s="168" t="str">
        <f t="shared" si="264"/>
        <v/>
      </c>
      <c r="AA1329" s="168" t="str">
        <f>IFERROR(Z1329/_xlfn.XLOOKUP(_xlfn.XLOOKUP($F1329,Clientes!$B$4:$B$39,Clientes!$C$4:$C$39),Cadastros!$L$6:$L$12,Cadastros!$M$6:$M$12)," ")</f>
        <v xml:space="preserve"> </v>
      </c>
      <c r="AB1329" s="28"/>
      <c r="AC1329" s="28"/>
      <c r="AD1329" s="20" t="str">
        <f>IF(AB1329="","",IF($F1329="Bernardino Furlan",_xlfn.XLOOKUP(AB1329,Cadastros!$G$6:$G$90,Cadastros!$H$6:$H$90)*(1-0.18),IF($F1329="Mauro José Salanti",_xlfn.XLOOKUP(AB1329,Cadastros!$G$6:$G$90,Cadastros!$H$6:$H$90)*(1-0.18),_xlfn.XLOOKUP(AB1329,Cadastros!$G$6:$G$90,Cadastros!$H$6:$H$90))))</f>
        <v/>
      </c>
      <c r="AE1329" s="168" t="str">
        <f t="shared" si="265"/>
        <v/>
      </c>
      <c r="AF1329" s="168" t="str">
        <f t="shared" si="266"/>
        <v/>
      </c>
      <c r="AG1329" s="28"/>
      <c r="AH1329" s="28"/>
      <c r="AI1329" s="20" t="str">
        <f>IF(AG1329="","",IF($F1329="Bernardino Furlan",_xlfn.XLOOKUP(AG1329,Cadastros!$G$6:$G$90,Cadastros!$H$6:$H$90)*(1-0.18),IF($F1329="Mauro José Salanti",_xlfn.XLOOKUP(AG1329,Cadastros!$G$6:$G$90,Cadastros!$H$6:$H$90)*(1-0.18),_xlfn.XLOOKUP(AG1329,Cadastros!$G$6:$G$90,Cadastros!$H$6:$H$90))))</f>
        <v/>
      </c>
      <c r="AJ1329" s="168" t="str">
        <f t="shared" si="267"/>
        <v/>
      </c>
      <c r="AK1329" s="168" t="str">
        <f t="shared" si="268"/>
        <v/>
      </c>
      <c r="AL1329" s="28"/>
      <c r="AM1329" s="28"/>
      <c r="AN1329" s="20" t="str">
        <f>IF(AL1329="","",IF($F1329="Bernardino Furlan",_xlfn.XLOOKUP(AL1329,Cadastros!$G$6:$G$90,Cadastros!$H$6:$H$90)*(1-0.18),IF($F1329="Mauro José Salanti",_xlfn.XLOOKUP(AL1329,Cadastros!$G$6:$G$90,Cadastros!$H$6:$H$90)*(1-0.18),_xlfn.XLOOKUP(AL1329,Cadastros!$G$6:$G$90,Cadastros!$H$6:$H$90))))</f>
        <v/>
      </c>
      <c r="AO1329" s="168" t="str">
        <f t="shared" si="269"/>
        <v/>
      </c>
      <c r="AP1329" s="168" t="str">
        <f t="shared" si="270"/>
        <v/>
      </c>
      <c r="AQ1329" s="28"/>
      <c r="AR1329" s="28"/>
      <c r="AS1329" s="20" t="str">
        <f>IF(AQ1329="","",IF($F1329="Bernardino Furlan",_xlfn.XLOOKUP(AQ1329,Cadastros!$G$6:$G$90,Cadastros!$H$6:$H$90)*(1-0.18),IF($F1329="Mauro José Salanti",_xlfn.XLOOKUP(AQ1329,Cadastros!$G$6:$G$90,Cadastros!$H$6:$H$90)*(1-0.18),_xlfn.XLOOKUP(AQ1329,Cadastros!$G$6:$G$90,Cadastros!$H$6:$H$90))))</f>
        <v/>
      </c>
      <c r="AT1329" s="168" t="str">
        <f t="shared" si="271"/>
        <v/>
      </c>
      <c r="AU1329" s="168" t="str">
        <f t="shared" si="272"/>
        <v/>
      </c>
      <c r="AV1329" s="227"/>
      <c r="AW1329" s="30"/>
      <c r="AX1329" s="267"/>
      <c r="AY1329" s="267"/>
      <c r="AZ1329" s="29"/>
      <c r="BA1329" s="30"/>
      <c r="BB1329" s="23" t="str" cm="1">
        <f t="array" ref="BB1329">_xlfn.IFS(AW1329="SIM",SUM(K1329,P1329,U1329,Z1329,AE1329,AJ1329,AO1329,AT1329,AX1329,AY1329),F1329&lt;&gt;"",SUM(K1329,P1329,U1329,Z1329,AE1329,AJ1329,,AO1329,AT1329),F1329="","")</f>
        <v/>
      </c>
      <c r="BC1329" s="211" t="str" cm="1">
        <f t="array" ref="BC1329">_xlfn.IFS(E1329="","",G1329&lt;=E1329,BB1329*(1-0.03),G1329&lt;(E1329+8),BB1329,AZ1329="Boleto",BB1329*(1+0.001)^DATEDIF(E1329,G1329,"D"),AZ1329="Cheque",BB1329,AZ1329="Dinheiro","Alterar forma pgto")</f>
        <v/>
      </c>
      <c r="BD1329" s="276" t="str" cm="1">
        <f t="array" ref="BD1329">IF(F1329=0," ",IF(BC1329&lt;BB1329,(_xlfn.IFS(AW1329="SIM",SUM(L1329,Q1329,V1329,AA1329,AF1329,AK1329,AP1329,AU1329)+AX1329/_xlfn.XLOOKUP(_xlfn.XLOOKUP($F1329,Clientes!$B$4:$B$39,Clientes!$C$4:$C$39),Cadastros!$L$6:$L$12,Cadastros!$M$6:$M$12)+IF($F1329="Bernardino Furlan",AY1329/2751.92,IF($F1329="Mauro José Salanti",AY1329/2751.92,AY1329/3356)),F1329&lt;&gt;0,SUM(L1329,Q1329,V1329,AA1329,AF1329,AK1329,AP1329,AU1329)))*(1-0.03),_xlfn.IFS(AW1329="SIM",SUM(L1329,Q1329,V1329,AA1329,AF1329,AK1329,AP1329,AU1329)+AX1329/_xlfn.XLOOKUP(_xlfn.XLOOKUP($F1329,Clientes!$B$4:$B$39,Clientes!$C$4:$C$39),Cadastros!$L$6:$L$12,Cadastros!$M$6:$M$12)+IF($F1329="Bernardino Furlan",AY1329/2751.92,IF($F1329="Mauro José Salanti",AY1329/2751.92,AY1329/3356)),F1329&lt;&gt;0,SUM(L1329,Q1329,V1329,AA1329,AF1329,AK1329,AP1329,AU1329))))</f>
        <v xml:space="preserve"> </v>
      </c>
      <c r="BE1329" s="120"/>
      <c r="BF1329" s="120"/>
      <c r="BG1329" s="120"/>
    </row>
    <row r="1330" spans="1:59" s="3" customFormat="1" x14ac:dyDescent="0.3">
      <c r="A1330" s="15" t="str">
        <f t="shared" si="260"/>
        <v/>
      </c>
      <c r="B1330" s="25"/>
      <c r="C1330" s="26"/>
      <c r="D1330" s="279"/>
      <c r="E1330" s="27"/>
      <c r="F1330" s="28"/>
      <c r="G1330" s="27"/>
      <c r="H1330" s="28"/>
      <c r="I1330" s="28"/>
      <c r="J1330" s="255" t="str">
        <f>IF(H1330="","",(_xlfn.XLOOKUP(H1330,Cadastros!$D$6:$D$90,Cadastros!$E$6:$E$90))*(1-_xlfn.XLOOKUP(_xlfn.XLOOKUP($F1330,Clientes!$B$4:$B$39,Clientes!$C$4:$C$39),Cadastros!$L$6:$L$12,Cadastros!$N$6:$N$12)))</f>
        <v/>
      </c>
      <c r="K1330" s="168" t="str">
        <f t="shared" si="261"/>
        <v/>
      </c>
      <c r="L1330" s="168" t="str">
        <f>IFERROR(K1330/_xlfn.XLOOKUP(_xlfn.XLOOKUP($F1330,Clientes!$B$4:$B$39,Clientes!$C$4:$C$39),Cadastros!$L$6:$L$12,Cadastros!$M$6:$M$12)," ")</f>
        <v xml:space="preserve"> </v>
      </c>
      <c r="M1330" s="28"/>
      <c r="N1330" s="28"/>
      <c r="O1330" s="255" t="str">
        <f>IF(M1330="","",(_xlfn.XLOOKUP(M1330,Cadastros!$D$6:$D$90,Cadastros!$E$6:$E$90))*(1-_xlfn.XLOOKUP(_xlfn.XLOOKUP($F1330,Clientes!$B$4:$B$39,Clientes!$C$4:$C$39),Cadastros!$L$6:$L$12,Cadastros!$N$6:$N$12)))</f>
        <v/>
      </c>
      <c r="P1330" s="168" t="str">
        <f t="shared" si="262"/>
        <v/>
      </c>
      <c r="Q1330" s="168" t="str">
        <f>IFERROR(P1330/_xlfn.XLOOKUP(_xlfn.XLOOKUP($F1330,Clientes!$B$4:$B$39,Clientes!$C$4:$C$39),Cadastros!$L$6:$L$12,Cadastros!$M$6:$M$12)," ")</f>
        <v xml:space="preserve"> </v>
      </c>
      <c r="R1330" s="28"/>
      <c r="S1330" s="28"/>
      <c r="T1330" s="255" t="str">
        <f>IF(R1330="","",(_xlfn.XLOOKUP(R1330,Cadastros!$D$6:$D$90,Cadastros!$E$6:$E$90))*(1-_xlfn.XLOOKUP(_xlfn.XLOOKUP($F1330,Clientes!$B$4:$B$39,Clientes!$C$4:$C$39),Cadastros!$L$6:$L$12,Cadastros!$N$6:$N$12)))</f>
        <v/>
      </c>
      <c r="U1330" s="168" t="str">
        <f t="shared" si="263"/>
        <v/>
      </c>
      <c r="V1330" s="168" t="str">
        <f>IFERROR(U1330/_xlfn.XLOOKUP(_xlfn.XLOOKUP($F1330,Clientes!$B$4:$B$39,Clientes!$C$4:$C$39),Cadastros!$L$6:$L$12,Cadastros!$M$6:$M$12)," ")</f>
        <v xml:space="preserve"> </v>
      </c>
      <c r="W1330" s="28"/>
      <c r="X1330" s="28"/>
      <c r="Y1330" s="255" t="str">
        <f>IF(W1330="","",(_xlfn.XLOOKUP(W1330,Cadastros!$D$6:$D$90,Cadastros!$E$6:$E$90))*(1-_xlfn.XLOOKUP(_xlfn.XLOOKUP($F1330,Clientes!$B$4:$B$39,Clientes!$C$4:$C$39),Cadastros!$L$6:$L$12,Cadastros!$N$6:$N$12)))</f>
        <v/>
      </c>
      <c r="Z1330" s="168" t="str">
        <f t="shared" si="264"/>
        <v/>
      </c>
      <c r="AA1330" s="168" t="str">
        <f>IFERROR(Z1330/_xlfn.XLOOKUP(_xlfn.XLOOKUP($F1330,Clientes!$B$4:$B$39,Clientes!$C$4:$C$39),Cadastros!$L$6:$L$12,Cadastros!$M$6:$M$12)," ")</f>
        <v xml:space="preserve"> </v>
      </c>
      <c r="AB1330" s="28"/>
      <c r="AC1330" s="28"/>
      <c r="AD1330" s="20" t="str">
        <f>IF(AB1330="","",IF($F1330="Bernardino Furlan",_xlfn.XLOOKUP(AB1330,Cadastros!$G$6:$G$90,Cadastros!$H$6:$H$90)*(1-0.18),IF($F1330="Mauro José Salanti",_xlfn.XLOOKUP(AB1330,Cadastros!$G$6:$G$90,Cadastros!$H$6:$H$90)*(1-0.18),_xlfn.XLOOKUP(AB1330,Cadastros!$G$6:$G$90,Cadastros!$H$6:$H$90))))</f>
        <v/>
      </c>
      <c r="AE1330" s="168" t="str">
        <f t="shared" si="265"/>
        <v/>
      </c>
      <c r="AF1330" s="168" t="str">
        <f t="shared" si="266"/>
        <v/>
      </c>
      <c r="AG1330" s="28"/>
      <c r="AH1330" s="28"/>
      <c r="AI1330" s="20" t="str">
        <f>IF(AG1330="","",IF($F1330="Bernardino Furlan",_xlfn.XLOOKUP(AG1330,Cadastros!$G$6:$G$90,Cadastros!$H$6:$H$90)*(1-0.18),IF($F1330="Mauro José Salanti",_xlfn.XLOOKUP(AG1330,Cadastros!$G$6:$G$90,Cadastros!$H$6:$H$90)*(1-0.18),_xlfn.XLOOKUP(AG1330,Cadastros!$G$6:$G$90,Cadastros!$H$6:$H$90))))</f>
        <v/>
      </c>
      <c r="AJ1330" s="168" t="str">
        <f t="shared" si="267"/>
        <v/>
      </c>
      <c r="AK1330" s="168" t="str">
        <f t="shared" si="268"/>
        <v/>
      </c>
      <c r="AL1330" s="28"/>
      <c r="AM1330" s="28"/>
      <c r="AN1330" s="20" t="str">
        <f>IF(AL1330="","",IF($F1330="Bernardino Furlan",_xlfn.XLOOKUP(AL1330,Cadastros!$G$6:$G$90,Cadastros!$H$6:$H$90)*(1-0.18),IF($F1330="Mauro José Salanti",_xlfn.XLOOKUP(AL1330,Cadastros!$G$6:$G$90,Cadastros!$H$6:$H$90)*(1-0.18),_xlfn.XLOOKUP(AL1330,Cadastros!$G$6:$G$90,Cadastros!$H$6:$H$90))))</f>
        <v/>
      </c>
      <c r="AO1330" s="168" t="str">
        <f t="shared" si="269"/>
        <v/>
      </c>
      <c r="AP1330" s="168" t="str">
        <f t="shared" si="270"/>
        <v/>
      </c>
      <c r="AQ1330" s="28"/>
      <c r="AR1330" s="28"/>
      <c r="AS1330" s="20" t="str">
        <f>IF(AQ1330="","",IF($F1330="Bernardino Furlan",_xlfn.XLOOKUP(AQ1330,Cadastros!$G$6:$G$90,Cadastros!$H$6:$H$90)*(1-0.18),IF($F1330="Mauro José Salanti",_xlfn.XLOOKUP(AQ1330,Cadastros!$G$6:$G$90,Cadastros!$H$6:$H$90)*(1-0.18),_xlfn.XLOOKUP(AQ1330,Cadastros!$G$6:$G$90,Cadastros!$H$6:$H$90))))</f>
        <v/>
      </c>
      <c r="AT1330" s="168" t="str">
        <f t="shared" si="271"/>
        <v/>
      </c>
      <c r="AU1330" s="168" t="str">
        <f t="shared" si="272"/>
        <v/>
      </c>
      <c r="AV1330" s="227"/>
      <c r="AW1330" s="30"/>
      <c r="AX1330" s="267"/>
      <c r="AY1330" s="267"/>
      <c r="AZ1330" s="29"/>
      <c r="BA1330" s="30"/>
      <c r="BB1330" s="23" t="str" cm="1">
        <f t="array" ref="BB1330">_xlfn.IFS(AW1330="SIM",SUM(K1330,P1330,U1330,Z1330,AE1330,AJ1330,AO1330,AT1330,AX1330,AY1330),F1330&lt;&gt;"",SUM(K1330,P1330,U1330,Z1330,AE1330,AJ1330,,AO1330,AT1330),F1330="","")</f>
        <v/>
      </c>
      <c r="BC1330" s="211" t="str" cm="1">
        <f t="array" ref="BC1330">_xlfn.IFS(E1330="","",G1330&lt;=E1330,BB1330*(1-0.03),G1330&lt;(E1330+8),BB1330,AZ1330="Boleto",BB1330*(1+0.001)^DATEDIF(E1330,G1330,"D"),AZ1330="Cheque",BB1330,AZ1330="Dinheiro","Alterar forma pgto")</f>
        <v/>
      </c>
      <c r="BD1330" s="276" t="str" cm="1">
        <f t="array" ref="BD1330">IF(F1330=0," ",IF(BC1330&lt;BB1330,(_xlfn.IFS(AW1330="SIM",SUM(L1330,Q1330,V1330,AA1330,AF1330,AK1330,AP1330,AU1330)+AX1330/_xlfn.XLOOKUP(_xlfn.XLOOKUP($F1330,Clientes!$B$4:$B$39,Clientes!$C$4:$C$39),Cadastros!$L$6:$L$12,Cadastros!$M$6:$M$12)+IF($F1330="Bernardino Furlan",AY1330/2751.92,IF($F1330="Mauro José Salanti",AY1330/2751.92,AY1330/3356)),F1330&lt;&gt;0,SUM(L1330,Q1330,V1330,AA1330,AF1330,AK1330,AP1330,AU1330)))*(1-0.03),_xlfn.IFS(AW1330="SIM",SUM(L1330,Q1330,V1330,AA1330,AF1330,AK1330,AP1330,AU1330)+AX1330/_xlfn.XLOOKUP(_xlfn.XLOOKUP($F1330,Clientes!$B$4:$B$39,Clientes!$C$4:$C$39),Cadastros!$L$6:$L$12,Cadastros!$M$6:$M$12)+IF($F1330="Bernardino Furlan",AY1330/2751.92,IF($F1330="Mauro José Salanti",AY1330/2751.92,AY1330/3356)),F1330&lt;&gt;0,SUM(L1330,Q1330,V1330,AA1330,AF1330,AK1330,AP1330,AU1330))))</f>
        <v xml:space="preserve"> </v>
      </c>
      <c r="BE1330" s="120"/>
      <c r="BF1330" s="120"/>
      <c r="BG1330" s="120"/>
    </row>
    <row r="1331" spans="1:59" s="3" customFormat="1" x14ac:dyDescent="0.3">
      <c r="A1331" s="15" t="str">
        <f t="shared" si="260"/>
        <v/>
      </c>
      <c r="B1331" s="25"/>
      <c r="C1331" s="26"/>
      <c r="D1331" s="279"/>
      <c r="E1331" s="27"/>
      <c r="F1331" s="28"/>
      <c r="G1331" s="27"/>
      <c r="H1331" s="28"/>
      <c r="I1331" s="28"/>
      <c r="J1331" s="255" t="str">
        <f>IF(H1331="","",(_xlfn.XLOOKUP(H1331,Cadastros!$D$6:$D$90,Cadastros!$E$6:$E$90))*(1-_xlfn.XLOOKUP(_xlfn.XLOOKUP($F1331,Clientes!$B$4:$B$39,Clientes!$C$4:$C$39),Cadastros!$L$6:$L$12,Cadastros!$N$6:$N$12)))</f>
        <v/>
      </c>
      <c r="K1331" s="168" t="str">
        <f t="shared" si="261"/>
        <v/>
      </c>
      <c r="L1331" s="168" t="str">
        <f>IFERROR(K1331/_xlfn.XLOOKUP(_xlfn.XLOOKUP($F1331,Clientes!$B$4:$B$39,Clientes!$C$4:$C$39),Cadastros!$L$6:$L$12,Cadastros!$M$6:$M$12)," ")</f>
        <v xml:space="preserve"> </v>
      </c>
      <c r="M1331" s="28"/>
      <c r="N1331" s="28"/>
      <c r="O1331" s="255" t="str">
        <f>IF(M1331="","",(_xlfn.XLOOKUP(M1331,Cadastros!$D$6:$D$90,Cadastros!$E$6:$E$90))*(1-_xlfn.XLOOKUP(_xlfn.XLOOKUP($F1331,Clientes!$B$4:$B$39,Clientes!$C$4:$C$39),Cadastros!$L$6:$L$12,Cadastros!$N$6:$N$12)))</f>
        <v/>
      </c>
      <c r="P1331" s="168" t="str">
        <f t="shared" si="262"/>
        <v/>
      </c>
      <c r="Q1331" s="168" t="str">
        <f>IFERROR(P1331/_xlfn.XLOOKUP(_xlfn.XLOOKUP($F1331,Clientes!$B$4:$B$39,Clientes!$C$4:$C$39),Cadastros!$L$6:$L$12,Cadastros!$M$6:$M$12)," ")</f>
        <v xml:space="preserve"> </v>
      </c>
      <c r="R1331" s="28"/>
      <c r="S1331" s="28"/>
      <c r="T1331" s="255" t="str">
        <f>IF(R1331="","",(_xlfn.XLOOKUP(R1331,Cadastros!$D$6:$D$90,Cadastros!$E$6:$E$90))*(1-_xlfn.XLOOKUP(_xlfn.XLOOKUP($F1331,Clientes!$B$4:$B$39,Clientes!$C$4:$C$39),Cadastros!$L$6:$L$12,Cadastros!$N$6:$N$12)))</f>
        <v/>
      </c>
      <c r="U1331" s="168" t="str">
        <f t="shared" si="263"/>
        <v/>
      </c>
      <c r="V1331" s="168" t="str">
        <f>IFERROR(U1331/_xlfn.XLOOKUP(_xlfn.XLOOKUP($F1331,Clientes!$B$4:$B$39,Clientes!$C$4:$C$39),Cadastros!$L$6:$L$12,Cadastros!$M$6:$M$12)," ")</f>
        <v xml:space="preserve"> </v>
      </c>
      <c r="W1331" s="28"/>
      <c r="X1331" s="28"/>
      <c r="Y1331" s="255" t="str">
        <f>IF(W1331="","",(_xlfn.XLOOKUP(W1331,Cadastros!$D$6:$D$90,Cadastros!$E$6:$E$90))*(1-_xlfn.XLOOKUP(_xlfn.XLOOKUP($F1331,Clientes!$B$4:$B$39,Clientes!$C$4:$C$39),Cadastros!$L$6:$L$12,Cadastros!$N$6:$N$12)))</f>
        <v/>
      </c>
      <c r="Z1331" s="168" t="str">
        <f t="shared" si="264"/>
        <v/>
      </c>
      <c r="AA1331" s="168" t="str">
        <f>IFERROR(Z1331/_xlfn.XLOOKUP(_xlfn.XLOOKUP($F1331,Clientes!$B$4:$B$39,Clientes!$C$4:$C$39),Cadastros!$L$6:$L$12,Cadastros!$M$6:$M$12)," ")</f>
        <v xml:space="preserve"> </v>
      </c>
      <c r="AB1331" s="28"/>
      <c r="AC1331" s="28"/>
      <c r="AD1331" s="20" t="str">
        <f>IF(AB1331="","",IF($F1331="Bernardino Furlan",_xlfn.XLOOKUP(AB1331,Cadastros!$G$6:$G$90,Cadastros!$H$6:$H$90)*(1-0.18),IF($F1331="Mauro José Salanti",_xlfn.XLOOKUP(AB1331,Cadastros!$G$6:$G$90,Cadastros!$H$6:$H$90)*(1-0.18),_xlfn.XLOOKUP(AB1331,Cadastros!$G$6:$G$90,Cadastros!$H$6:$H$90))))</f>
        <v/>
      </c>
      <c r="AE1331" s="168" t="str">
        <f t="shared" si="265"/>
        <v/>
      </c>
      <c r="AF1331" s="168" t="str">
        <f t="shared" si="266"/>
        <v/>
      </c>
      <c r="AG1331" s="28"/>
      <c r="AH1331" s="28"/>
      <c r="AI1331" s="20" t="str">
        <f>IF(AG1331="","",IF($F1331="Bernardino Furlan",_xlfn.XLOOKUP(AG1331,Cadastros!$G$6:$G$90,Cadastros!$H$6:$H$90)*(1-0.18),IF($F1331="Mauro José Salanti",_xlfn.XLOOKUP(AG1331,Cadastros!$G$6:$G$90,Cadastros!$H$6:$H$90)*(1-0.18),_xlfn.XLOOKUP(AG1331,Cadastros!$G$6:$G$90,Cadastros!$H$6:$H$90))))</f>
        <v/>
      </c>
      <c r="AJ1331" s="168" t="str">
        <f t="shared" si="267"/>
        <v/>
      </c>
      <c r="AK1331" s="168" t="str">
        <f t="shared" si="268"/>
        <v/>
      </c>
      <c r="AL1331" s="28"/>
      <c r="AM1331" s="28"/>
      <c r="AN1331" s="20" t="str">
        <f>IF(AL1331="","",IF($F1331="Bernardino Furlan",_xlfn.XLOOKUP(AL1331,Cadastros!$G$6:$G$90,Cadastros!$H$6:$H$90)*(1-0.18),IF($F1331="Mauro José Salanti",_xlfn.XLOOKUP(AL1331,Cadastros!$G$6:$G$90,Cadastros!$H$6:$H$90)*(1-0.18),_xlfn.XLOOKUP(AL1331,Cadastros!$G$6:$G$90,Cadastros!$H$6:$H$90))))</f>
        <v/>
      </c>
      <c r="AO1331" s="168" t="str">
        <f t="shared" si="269"/>
        <v/>
      </c>
      <c r="AP1331" s="168" t="str">
        <f t="shared" si="270"/>
        <v/>
      </c>
      <c r="AQ1331" s="28"/>
      <c r="AR1331" s="28"/>
      <c r="AS1331" s="20" t="str">
        <f>IF(AQ1331="","",IF($F1331="Bernardino Furlan",_xlfn.XLOOKUP(AQ1331,Cadastros!$G$6:$G$90,Cadastros!$H$6:$H$90)*(1-0.18),IF($F1331="Mauro José Salanti",_xlfn.XLOOKUP(AQ1331,Cadastros!$G$6:$G$90,Cadastros!$H$6:$H$90)*(1-0.18),_xlfn.XLOOKUP(AQ1331,Cadastros!$G$6:$G$90,Cadastros!$H$6:$H$90))))</f>
        <v/>
      </c>
      <c r="AT1331" s="168" t="str">
        <f t="shared" si="271"/>
        <v/>
      </c>
      <c r="AU1331" s="168" t="str">
        <f t="shared" si="272"/>
        <v/>
      </c>
      <c r="AV1331" s="227"/>
      <c r="AW1331" s="30"/>
      <c r="AX1331" s="267"/>
      <c r="AY1331" s="267"/>
      <c r="AZ1331" s="29"/>
      <c r="BA1331" s="30"/>
      <c r="BB1331" s="23" t="str" cm="1">
        <f t="array" ref="BB1331">_xlfn.IFS(AW1331="SIM",SUM(K1331,P1331,U1331,Z1331,AE1331,AJ1331,AO1331,AT1331,AX1331,AY1331),F1331&lt;&gt;"",SUM(K1331,P1331,U1331,Z1331,AE1331,AJ1331,,AO1331,AT1331),F1331="","")</f>
        <v/>
      </c>
      <c r="BC1331" s="211" t="str" cm="1">
        <f t="array" ref="BC1331">_xlfn.IFS(E1331="","",G1331&lt;=E1331,BB1331*(1-0.03),G1331&lt;(E1331+8),BB1331,AZ1331="Boleto",BB1331*(1+0.001)^DATEDIF(E1331,G1331,"D"),AZ1331="Cheque",BB1331,AZ1331="Dinheiro","Alterar forma pgto")</f>
        <v/>
      </c>
      <c r="BD1331" s="276" t="str" cm="1">
        <f t="array" ref="BD1331">IF(F1331=0," ",IF(BC1331&lt;BB1331,(_xlfn.IFS(AW1331="SIM",SUM(L1331,Q1331,V1331,AA1331,AF1331,AK1331,AP1331,AU1331)+AX1331/_xlfn.XLOOKUP(_xlfn.XLOOKUP($F1331,Clientes!$B$4:$B$39,Clientes!$C$4:$C$39),Cadastros!$L$6:$L$12,Cadastros!$M$6:$M$12)+IF($F1331="Bernardino Furlan",AY1331/2751.92,IF($F1331="Mauro José Salanti",AY1331/2751.92,AY1331/3356)),F1331&lt;&gt;0,SUM(L1331,Q1331,V1331,AA1331,AF1331,AK1331,AP1331,AU1331)))*(1-0.03),_xlfn.IFS(AW1331="SIM",SUM(L1331,Q1331,V1331,AA1331,AF1331,AK1331,AP1331,AU1331)+AX1331/_xlfn.XLOOKUP(_xlfn.XLOOKUP($F1331,Clientes!$B$4:$B$39,Clientes!$C$4:$C$39),Cadastros!$L$6:$L$12,Cadastros!$M$6:$M$12)+IF($F1331="Bernardino Furlan",AY1331/2751.92,IF($F1331="Mauro José Salanti",AY1331/2751.92,AY1331/3356)),F1331&lt;&gt;0,SUM(L1331,Q1331,V1331,AA1331,AF1331,AK1331,AP1331,AU1331))))</f>
        <v xml:space="preserve"> </v>
      </c>
      <c r="BE1331" s="120"/>
      <c r="BF1331" s="120"/>
      <c r="BG1331" s="120"/>
    </row>
    <row r="1332" spans="1:59" s="3" customFormat="1" x14ac:dyDescent="0.3">
      <c r="A1332" s="15" t="str">
        <f t="shared" si="260"/>
        <v/>
      </c>
      <c r="B1332" s="25"/>
      <c r="C1332" s="26"/>
      <c r="D1332" s="279"/>
      <c r="E1332" s="27"/>
      <c r="F1332" s="28"/>
      <c r="G1332" s="27"/>
      <c r="H1332" s="28"/>
      <c r="I1332" s="28"/>
      <c r="J1332" s="255" t="str">
        <f>IF(H1332="","",(_xlfn.XLOOKUP(H1332,Cadastros!$D$6:$D$90,Cadastros!$E$6:$E$90))*(1-_xlfn.XLOOKUP(_xlfn.XLOOKUP($F1332,Clientes!$B$4:$B$39,Clientes!$C$4:$C$39),Cadastros!$L$6:$L$12,Cadastros!$N$6:$N$12)))</f>
        <v/>
      </c>
      <c r="K1332" s="168" t="str">
        <f t="shared" si="261"/>
        <v/>
      </c>
      <c r="L1332" s="168" t="str">
        <f>IFERROR(K1332/_xlfn.XLOOKUP(_xlfn.XLOOKUP($F1332,Clientes!$B$4:$B$39,Clientes!$C$4:$C$39),Cadastros!$L$6:$L$12,Cadastros!$M$6:$M$12)," ")</f>
        <v xml:space="preserve"> </v>
      </c>
      <c r="M1332" s="28"/>
      <c r="N1332" s="28"/>
      <c r="O1332" s="255" t="str">
        <f>IF(M1332="","",(_xlfn.XLOOKUP(M1332,Cadastros!$D$6:$D$90,Cadastros!$E$6:$E$90))*(1-_xlfn.XLOOKUP(_xlfn.XLOOKUP($F1332,Clientes!$B$4:$B$39,Clientes!$C$4:$C$39),Cadastros!$L$6:$L$12,Cadastros!$N$6:$N$12)))</f>
        <v/>
      </c>
      <c r="P1332" s="168" t="str">
        <f t="shared" si="262"/>
        <v/>
      </c>
      <c r="Q1332" s="168" t="str">
        <f>IFERROR(P1332/_xlfn.XLOOKUP(_xlfn.XLOOKUP($F1332,Clientes!$B$4:$B$39,Clientes!$C$4:$C$39),Cadastros!$L$6:$L$12,Cadastros!$M$6:$M$12)," ")</f>
        <v xml:space="preserve"> </v>
      </c>
      <c r="R1332" s="28"/>
      <c r="S1332" s="28"/>
      <c r="T1332" s="255" t="str">
        <f>IF(R1332="","",(_xlfn.XLOOKUP(R1332,Cadastros!$D$6:$D$90,Cadastros!$E$6:$E$90))*(1-_xlfn.XLOOKUP(_xlfn.XLOOKUP($F1332,Clientes!$B$4:$B$39,Clientes!$C$4:$C$39),Cadastros!$L$6:$L$12,Cadastros!$N$6:$N$12)))</f>
        <v/>
      </c>
      <c r="U1332" s="168" t="str">
        <f t="shared" si="263"/>
        <v/>
      </c>
      <c r="V1332" s="168" t="str">
        <f>IFERROR(U1332/_xlfn.XLOOKUP(_xlfn.XLOOKUP($F1332,Clientes!$B$4:$B$39,Clientes!$C$4:$C$39),Cadastros!$L$6:$L$12,Cadastros!$M$6:$M$12)," ")</f>
        <v xml:space="preserve"> </v>
      </c>
      <c r="W1332" s="28"/>
      <c r="X1332" s="28"/>
      <c r="Y1332" s="255" t="str">
        <f>IF(W1332="","",(_xlfn.XLOOKUP(W1332,Cadastros!$D$6:$D$90,Cadastros!$E$6:$E$90))*(1-_xlfn.XLOOKUP(_xlfn.XLOOKUP($F1332,Clientes!$B$4:$B$39,Clientes!$C$4:$C$39),Cadastros!$L$6:$L$12,Cadastros!$N$6:$N$12)))</f>
        <v/>
      </c>
      <c r="Z1332" s="168" t="str">
        <f t="shared" si="264"/>
        <v/>
      </c>
      <c r="AA1332" s="168" t="str">
        <f>IFERROR(Z1332/_xlfn.XLOOKUP(_xlfn.XLOOKUP($F1332,Clientes!$B$4:$B$39,Clientes!$C$4:$C$39),Cadastros!$L$6:$L$12,Cadastros!$M$6:$M$12)," ")</f>
        <v xml:space="preserve"> </v>
      </c>
      <c r="AB1332" s="28"/>
      <c r="AC1332" s="28"/>
      <c r="AD1332" s="20" t="str">
        <f>IF(AB1332="","",IF($F1332="Bernardino Furlan",_xlfn.XLOOKUP(AB1332,Cadastros!$G$6:$G$90,Cadastros!$H$6:$H$90)*(1-0.18),IF($F1332="Mauro José Salanti",_xlfn.XLOOKUP(AB1332,Cadastros!$G$6:$G$90,Cadastros!$H$6:$H$90)*(1-0.18),_xlfn.XLOOKUP(AB1332,Cadastros!$G$6:$G$90,Cadastros!$H$6:$H$90))))</f>
        <v/>
      </c>
      <c r="AE1332" s="168" t="str">
        <f t="shared" si="265"/>
        <v/>
      </c>
      <c r="AF1332" s="168" t="str">
        <f t="shared" si="266"/>
        <v/>
      </c>
      <c r="AG1332" s="28"/>
      <c r="AH1332" s="28"/>
      <c r="AI1332" s="20" t="str">
        <f>IF(AG1332="","",IF($F1332="Bernardino Furlan",_xlfn.XLOOKUP(AG1332,Cadastros!$G$6:$G$90,Cadastros!$H$6:$H$90)*(1-0.18),IF($F1332="Mauro José Salanti",_xlfn.XLOOKUP(AG1332,Cadastros!$G$6:$G$90,Cadastros!$H$6:$H$90)*(1-0.18),_xlfn.XLOOKUP(AG1332,Cadastros!$G$6:$G$90,Cadastros!$H$6:$H$90))))</f>
        <v/>
      </c>
      <c r="AJ1332" s="168" t="str">
        <f t="shared" si="267"/>
        <v/>
      </c>
      <c r="AK1332" s="168" t="str">
        <f t="shared" si="268"/>
        <v/>
      </c>
      <c r="AL1332" s="28"/>
      <c r="AM1332" s="28"/>
      <c r="AN1332" s="20" t="str">
        <f>IF(AL1332="","",IF($F1332="Bernardino Furlan",_xlfn.XLOOKUP(AL1332,Cadastros!$G$6:$G$90,Cadastros!$H$6:$H$90)*(1-0.18),IF($F1332="Mauro José Salanti",_xlfn.XLOOKUP(AL1332,Cadastros!$G$6:$G$90,Cadastros!$H$6:$H$90)*(1-0.18),_xlfn.XLOOKUP(AL1332,Cadastros!$G$6:$G$90,Cadastros!$H$6:$H$90))))</f>
        <v/>
      </c>
      <c r="AO1332" s="168" t="str">
        <f t="shared" si="269"/>
        <v/>
      </c>
      <c r="AP1332" s="168" t="str">
        <f t="shared" si="270"/>
        <v/>
      </c>
      <c r="AQ1332" s="28"/>
      <c r="AR1332" s="28"/>
      <c r="AS1332" s="20" t="str">
        <f>IF(AQ1332="","",IF($F1332="Bernardino Furlan",_xlfn.XLOOKUP(AQ1332,Cadastros!$G$6:$G$90,Cadastros!$H$6:$H$90)*(1-0.18),IF($F1332="Mauro José Salanti",_xlfn.XLOOKUP(AQ1332,Cadastros!$G$6:$G$90,Cadastros!$H$6:$H$90)*(1-0.18),_xlfn.XLOOKUP(AQ1332,Cadastros!$G$6:$G$90,Cadastros!$H$6:$H$90))))</f>
        <v/>
      </c>
      <c r="AT1332" s="168" t="str">
        <f t="shared" si="271"/>
        <v/>
      </c>
      <c r="AU1332" s="168" t="str">
        <f t="shared" si="272"/>
        <v/>
      </c>
      <c r="AV1332" s="227"/>
      <c r="AW1332" s="30"/>
      <c r="AX1332" s="267"/>
      <c r="AY1332" s="267"/>
      <c r="AZ1332" s="29"/>
      <c r="BA1332" s="30"/>
      <c r="BB1332" s="23" t="str" cm="1">
        <f t="array" ref="BB1332">_xlfn.IFS(AW1332="SIM",SUM(K1332,P1332,U1332,Z1332,AE1332,AJ1332,AO1332,AT1332,AX1332,AY1332),F1332&lt;&gt;"",SUM(K1332,P1332,U1332,Z1332,AE1332,AJ1332,,AO1332,AT1332),F1332="","")</f>
        <v/>
      </c>
      <c r="BC1332" s="211" t="str" cm="1">
        <f t="array" ref="BC1332">_xlfn.IFS(E1332="","",G1332&lt;=E1332,BB1332*(1-0.03),G1332&lt;(E1332+8),BB1332,AZ1332="Boleto",BB1332*(1+0.001)^DATEDIF(E1332,G1332,"D"),AZ1332="Cheque",BB1332,AZ1332="Dinheiro","Alterar forma pgto")</f>
        <v/>
      </c>
      <c r="BD1332" s="276" t="str" cm="1">
        <f t="array" ref="BD1332">IF(F1332=0," ",IF(BC1332&lt;BB1332,(_xlfn.IFS(AW1332="SIM",SUM(L1332,Q1332,V1332,AA1332,AF1332,AK1332,AP1332,AU1332)+AX1332/_xlfn.XLOOKUP(_xlfn.XLOOKUP($F1332,Clientes!$B$4:$B$39,Clientes!$C$4:$C$39),Cadastros!$L$6:$L$12,Cadastros!$M$6:$M$12)+IF($F1332="Bernardino Furlan",AY1332/2751.92,IF($F1332="Mauro José Salanti",AY1332/2751.92,AY1332/3356)),F1332&lt;&gt;0,SUM(L1332,Q1332,V1332,AA1332,AF1332,AK1332,AP1332,AU1332)))*(1-0.03),_xlfn.IFS(AW1332="SIM",SUM(L1332,Q1332,V1332,AA1332,AF1332,AK1332,AP1332,AU1332)+AX1332/_xlfn.XLOOKUP(_xlfn.XLOOKUP($F1332,Clientes!$B$4:$B$39,Clientes!$C$4:$C$39),Cadastros!$L$6:$L$12,Cadastros!$M$6:$M$12)+IF($F1332="Bernardino Furlan",AY1332/2751.92,IF($F1332="Mauro José Salanti",AY1332/2751.92,AY1332/3356)),F1332&lt;&gt;0,SUM(L1332,Q1332,V1332,AA1332,AF1332,AK1332,AP1332,AU1332))))</f>
        <v xml:space="preserve"> </v>
      </c>
      <c r="BE1332" s="120"/>
      <c r="BF1332" s="120"/>
      <c r="BG1332" s="120"/>
    </row>
    <row r="1333" spans="1:59" s="3" customFormat="1" x14ac:dyDescent="0.3">
      <c r="A1333" s="15" t="str">
        <f t="shared" si="260"/>
        <v/>
      </c>
      <c r="B1333" s="25"/>
      <c r="C1333" s="26"/>
      <c r="D1333" s="279"/>
      <c r="E1333" s="27"/>
      <c r="F1333" s="28"/>
      <c r="G1333" s="27"/>
      <c r="H1333" s="28"/>
      <c r="I1333" s="28"/>
      <c r="J1333" s="255" t="str">
        <f>IF(H1333="","",(_xlfn.XLOOKUP(H1333,Cadastros!$D$6:$D$90,Cadastros!$E$6:$E$90))*(1-_xlfn.XLOOKUP(_xlfn.XLOOKUP($F1333,Clientes!$B$4:$B$39,Clientes!$C$4:$C$39),Cadastros!$L$6:$L$12,Cadastros!$N$6:$N$12)))</f>
        <v/>
      </c>
      <c r="K1333" s="168" t="str">
        <f t="shared" si="261"/>
        <v/>
      </c>
      <c r="L1333" s="168" t="str">
        <f>IFERROR(K1333/_xlfn.XLOOKUP(_xlfn.XLOOKUP($F1333,Clientes!$B$4:$B$39,Clientes!$C$4:$C$39),Cadastros!$L$6:$L$12,Cadastros!$M$6:$M$12)," ")</f>
        <v xml:space="preserve"> </v>
      </c>
      <c r="M1333" s="28"/>
      <c r="N1333" s="28"/>
      <c r="O1333" s="255" t="str">
        <f>IF(M1333="","",(_xlfn.XLOOKUP(M1333,Cadastros!$D$6:$D$90,Cadastros!$E$6:$E$90))*(1-_xlfn.XLOOKUP(_xlfn.XLOOKUP($F1333,Clientes!$B$4:$B$39,Clientes!$C$4:$C$39),Cadastros!$L$6:$L$12,Cadastros!$N$6:$N$12)))</f>
        <v/>
      </c>
      <c r="P1333" s="168" t="str">
        <f t="shared" si="262"/>
        <v/>
      </c>
      <c r="Q1333" s="168" t="str">
        <f>IFERROR(P1333/_xlfn.XLOOKUP(_xlfn.XLOOKUP($F1333,Clientes!$B$4:$B$39,Clientes!$C$4:$C$39),Cadastros!$L$6:$L$12,Cadastros!$M$6:$M$12)," ")</f>
        <v xml:space="preserve"> </v>
      </c>
      <c r="R1333" s="28"/>
      <c r="S1333" s="28"/>
      <c r="T1333" s="255" t="str">
        <f>IF(R1333="","",(_xlfn.XLOOKUP(R1333,Cadastros!$D$6:$D$90,Cadastros!$E$6:$E$90))*(1-_xlfn.XLOOKUP(_xlfn.XLOOKUP($F1333,Clientes!$B$4:$B$39,Clientes!$C$4:$C$39),Cadastros!$L$6:$L$12,Cadastros!$N$6:$N$12)))</f>
        <v/>
      </c>
      <c r="U1333" s="168" t="str">
        <f t="shared" si="263"/>
        <v/>
      </c>
      <c r="V1333" s="168" t="str">
        <f>IFERROR(U1333/_xlfn.XLOOKUP(_xlfn.XLOOKUP($F1333,Clientes!$B$4:$B$39,Clientes!$C$4:$C$39),Cadastros!$L$6:$L$12,Cadastros!$M$6:$M$12)," ")</f>
        <v xml:space="preserve"> </v>
      </c>
      <c r="W1333" s="28"/>
      <c r="X1333" s="28"/>
      <c r="Y1333" s="255" t="str">
        <f>IF(W1333="","",(_xlfn.XLOOKUP(W1333,Cadastros!$D$6:$D$90,Cadastros!$E$6:$E$90))*(1-_xlfn.XLOOKUP(_xlfn.XLOOKUP($F1333,Clientes!$B$4:$B$39,Clientes!$C$4:$C$39),Cadastros!$L$6:$L$12,Cadastros!$N$6:$N$12)))</f>
        <v/>
      </c>
      <c r="Z1333" s="168" t="str">
        <f t="shared" si="264"/>
        <v/>
      </c>
      <c r="AA1333" s="168" t="str">
        <f>IFERROR(Z1333/_xlfn.XLOOKUP(_xlfn.XLOOKUP($F1333,Clientes!$B$4:$B$39,Clientes!$C$4:$C$39),Cadastros!$L$6:$L$12,Cadastros!$M$6:$M$12)," ")</f>
        <v xml:space="preserve"> </v>
      </c>
      <c r="AB1333" s="28"/>
      <c r="AC1333" s="28"/>
      <c r="AD1333" s="20" t="str">
        <f>IF(AB1333="","",IF($F1333="Bernardino Furlan",_xlfn.XLOOKUP(AB1333,Cadastros!$G$6:$G$90,Cadastros!$H$6:$H$90)*(1-0.18),IF($F1333="Mauro José Salanti",_xlfn.XLOOKUP(AB1333,Cadastros!$G$6:$G$90,Cadastros!$H$6:$H$90)*(1-0.18),_xlfn.XLOOKUP(AB1333,Cadastros!$G$6:$G$90,Cadastros!$H$6:$H$90))))</f>
        <v/>
      </c>
      <c r="AE1333" s="168" t="str">
        <f t="shared" si="265"/>
        <v/>
      </c>
      <c r="AF1333" s="168" t="str">
        <f t="shared" si="266"/>
        <v/>
      </c>
      <c r="AG1333" s="28"/>
      <c r="AH1333" s="28"/>
      <c r="AI1333" s="20" t="str">
        <f>IF(AG1333="","",IF($F1333="Bernardino Furlan",_xlfn.XLOOKUP(AG1333,Cadastros!$G$6:$G$90,Cadastros!$H$6:$H$90)*(1-0.18),IF($F1333="Mauro José Salanti",_xlfn.XLOOKUP(AG1333,Cadastros!$G$6:$G$90,Cadastros!$H$6:$H$90)*(1-0.18),_xlfn.XLOOKUP(AG1333,Cadastros!$G$6:$G$90,Cadastros!$H$6:$H$90))))</f>
        <v/>
      </c>
      <c r="AJ1333" s="168" t="str">
        <f t="shared" si="267"/>
        <v/>
      </c>
      <c r="AK1333" s="168" t="str">
        <f t="shared" si="268"/>
        <v/>
      </c>
      <c r="AL1333" s="28"/>
      <c r="AM1333" s="28"/>
      <c r="AN1333" s="20" t="str">
        <f>IF(AL1333="","",IF($F1333="Bernardino Furlan",_xlfn.XLOOKUP(AL1333,Cadastros!$G$6:$G$90,Cadastros!$H$6:$H$90)*(1-0.18),IF($F1333="Mauro José Salanti",_xlfn.XLOOKUP(AL1333,Cadastros!$G$6:$G$90,Cadastros!$H$6:$H$90)*(1-0.18),_xlfn.XLOOKUP(AL1333,Cadastros!$G$6:$G$90,Cadastros!$H$6:$H$90))))</f>
        <v/>
      </c>
      <c r="AO1333" s="168" t="str">
        <f t="shared" si="269"/>
        <v/>
      </c>
      <c r="AP1333" s="168" t="str">
        <f t="shared" si="270"/>
        <v/>
      </c>
      <c r="AQ1333" s="28"/>
      <c r="AR1333" s="28"/>
      <c r="AS1333" s="20" t="str">
        <f>IF(AQ1333="","",IF($F1333="Bernardino Furlan",_xlfn.XLOOKUP(AQ1333,Cadastros!$G$6:$G$90,Cadastros!$H$6:$H$90)*(1-0.18),IF($F1333="Mauro José Salanti",_xlfn.XLOOKUP(AQ1333,Cadastros!$G$6:$G$90,Cadastros!$H$6:$H$90)*(1-0.18),_xlfn.XLOOKUP(AQ1333,Cadastros!$G$6:$G$90,Cadastros!$H$6:$H$90))))</f>
        <v/>
      </c>
      <c r="AT1333" s="168" t="str">
        <f t="shared" si="271"/>
        <v/>
      </c>
      <c r="AU1333" s="168" t="str">
        <f t="shared" si="272"/>
        <v/>
      </c>
      <c r="AV1333" s="227"/>
      <c r="AW1333" s="30"/>
      <c r="AX1333" s="267"/>
      <c r="AY1333" s="267"/>
      <c r="AZ1333" s="29"/>
      <c r="BA1333" s="30"/>
      <c r="BB1333" s="23" t="str" cm="1">
        <f t="array" ref="BB1333">_xlfn.IFS(AW1333="SIM",SUM(K1333,P1333,U1333,Z1333,AE1333,AJ1333,AO1333,AT1333,AX1333,AY1333),F1333&lt;&gt;"",SUM(K1333,P1333,U1333,Z1333,AE1333,AJ1333,,AO1333,AT1333),F1333="","")</f>
        <v/>
      </c>
      <c r="BC1333" s="211" t="str" cm="1">
        <f t="array" ref="BC1333">_xlfn.IFS(E1333="","",G1333&lt;=E1333,BB1333*(1-0.03),G1333&lt;(E1333+8),BB1333,AZ1333="Boleto",BB1333*(1+0.001)^DATEDIF(E1333,G1333,"D"),AZ1333="Cheque",BB1333,AZ1333="Dinheiro","Alterar forma pgto")</f>
        <v/>
      </c>
      <c r="BD1333" s="276" t="str" cm="1">
        <f t="array" ref="BD1333">IF(F1333=0," ",IF(BC1333&lt;BB1333,(_xlfn.IFS(AW1333="SIM",SUM(L1333,Q1333,V1333,AA1333,AF1333,AK1333,AP1333,AU1333)+AX1333/_xlfn.XLOOKUP(_xlfn.XLOOKUP($F1333,Clientes!$B$4:$B$39,Clientes!$C$4:$C$39),Cadastros!$L$6:$L$12,Cadastros!$M$6:$M$12)+IF($F1333="Bernardino Furlan",AY1333/2751.92,IF($F1333="Mauro José Salanti",AY1333/2751.92,AY1333/3356)),F1333&lt;&gt;0,SUM(L1333,Q1333,V1333,AA1333,AF1333,AK1333,AP1333,AU1333)))*(1-0.03),_xlfn.IFS(AW1333="SIM",SUM(L1333,Q1333,V1333,AA1333,AF1333,AK1333,AP1333,AU1333)+AX1333/_xlfn.XLOOKUP(_xlfn.XLOOKUP($F1333,Clientes!$B$4:$B$39,Clientes!$C$4:$C$39),Cadastros!$L$6:$L$12,Cadastros!$M$6:$M$12)+IF($F1333="Bernardino Furlan",AY1333/2751.92,IF($F1333="Mauro José Salanti",AY1333/2751.92,AY1333/3356)),F1333&lt;&gt;0,SUM(L1333,Q1333,V1333,AA1333,AF1333,AK1333,AP1333,AU1333))))</f>
        <v xml:space="preserve"> </v>
      </c>
      <c r="BE1333" s="120"/>
      <c r="BF1333" s="120"/>
      <c r="BG1333" s="120"/>
    </row>
    <row r="1334" spans="1:59" s="3" customFormat="1" x14ac:dyDescent="0.3">
      <c r="A1334" s="15" t="str">
        <f t="shared" si="260"/>
        <v/>
      </c>
      <c r="B1334" s="25"/>
      <c r="C1334" s="26"/>
      <c r="D1334" s="279"/>
      <c r="E1334" s="27"/>
      <c r="F1334" s="28"/>
      <c r="G1334" s="27"/>
      <c r="H1334" s="28"/>
      <c r="I1334" s="28"/>
      <c r="J1334" s="255" t="str">
        <f>IF(H1334="","",(_xlfn.XLOOKUP(H1334,Cadastros!$D$6:$D$90,Cadastros!$E$6:$E$90))*(1-_xlfn.XLOOKUP(_xlfn.XLOOKUP($F1334,Clientes!$B$4:$B$39,Clientes!$C$4:$C$39),Cadastros!$L$6:$L$12,Cadastros!$N$6:$N$12)))</f>
        <v/>
      </c>
      <c r="K1334" s="168" t="str">
        <f t="shared" si="261"/>
        <v/>
      </c>
      <c r="L1334" s="168" t="str">
        <f>IFERROR(K1334/_xlfn.XLOOKUP(_xlfn.XLOOKUP($F1334,Clientes!$B$4:$B$39,Clientes!$C$4:$C$39),Cadastros!$L$6:$L$12,Cadastros!$M$6:$M$12)," ")</f>
        <v xml:space="preserve"> </v>
      </c>
      <c r="M1334" s="28"/>
      <c r="N1334" s="28"/>
      <c r="O1334" s="255" t="str">
        <f>IF(M1334="","",(_xlfn.XLOOKUP(M1334,Cadastros!$D$6:$D$90,Cadastros!$E$6:$E$90))*(1-_xlfn.XLOOKUP(_xlfn.XLOOKUP($F1334,Clientes!$B$4:$B$39,Clientes!$C$4:$C$39),Cadastros!$L$6:$L$12,Cadastros!$N$6:$N$12)))</f>
        <v/>
      </c>
      <c r="P1334" s="168" t="str">
        <f t="shared" si="262"/>
        <v/>
      </c>
      <c r="Q1334" s="168" t="str">
        <f>IFERROR(P1334/_xlfn.XLOOKUP(_xlfn.XLOOKUP($F1334,Clientes!$B$4:$B$39,Clientes!$C$4:$C$39),Cadastros!$L$6:$L$12,Cadastros!$M$6:$M$12)," ")</f>
        <v xml:space="preserve"> </v>
      </c>
      <c r="R1334" s="28"/>
      <c r="S1334" s="28"/>
      <c r="T1334" s="255" t="str">
        <f>IF(R1334="","",(_xlfn.XLOOKUP(R1334,Cadastros!$D$6:$D$90,Cadastros!$E$6:$E$90))*(1-_xlfn.XLOOKUP(_xlfn.XLOOKUP($F1334,Clientes!$B$4:$B$39,Clientes!$C$4:$C$39),Cadastros!$L$6:$L$12,Cadastros!$N$6:$N$12)))</f>
        <v/>
      </c>
      <c r="U1334" s="168" t="str">
        <f t="shared" si="263"/>
        <v/>
      </c>
      <c r="V1334" s="168" t="str">
        <f>IFERROR(U1334/_xlfn.XLOOKUP(_xlfn.XLOOKUP($F1334,Clientes!$B$4:$B$39,Clientes!$C$4:$C$39),Cadastros!$L$6:$L$12,Cadastros!$M$6:$M$12)," ")</f>
        <v xml:space="preserve"> </v>
      </c>
      <c r="W1334" s="28"/>
      <c r="X1334" s="28"/>
      <c r="Y1334" s="255" t="str">
        <f>IF(W1334="","",(_xlfn.XLOOKUP(W1334,Cadastros!$D$6:$D$90,Cadastros!$E$6:$E$90))*(1-_xlfn.XLOOKUP(_xlfn.XLOOKUP($F1334,Clientes!$B$4:$B$39,Clientes!$C$4:$C$39),Cadastros!$L$6:$L$12,Cadastros!$N$6:$N$12)))</f>
        <v/>
      </c>
      <c r="Z1334" s="168" t="str">
        <f t="shared" si="264"/>
        <v/>
      </c>
      <c r="AA1334" s="168" t="str">
        <f>IFERROR(Z1334/_xlfn.XLOOKUP(_xlfn.XLOOKUP($F1334,Clientes!$B$4:$B$39,Clientes!$C$4:$C$39),Cadastros!$L$6:$L$12,Cadastros!$M$6:$M$12)," ")</f>
        <v xml:space="preserve"> </v>
      </c>
      <c r="AB1334" s="28"/>
      <c r="AC1334" s="28"/>
      <c r="AD1334" s="20" t="str">
        <f>IF(AB1334="","",IF($F1334="Bernardino Furlan",_xlfn.XLOOKUP(AB1334,Cadastros!$G$6:$G$90,Cadastros!$H$6:$H$90)*(1-0.18),IF($F1334="Mauro José Salanti",_xlfn.XLOOKUP(AB1334,Cadastros!$G$6:$G$90,Cadastros!$H$6:$H$90)*(1-0.18),_xlfn.XLOOKUP(AB1334,Cadastros!$G$6:$G$90,Cadastros!$H$6:$H$90))))</f>
        <v/>
      </c>
      <c r="AE1334" s="168" t="str">
        <f t="shared" si="265"/>
        <v/>
      </c>
      <c r="AF1334" s="168" t="str">
        <f t="shared" si="266"/>
        <v/>
      </c>
      <c r="AG1334" s="28"/>
      <c r="AH1334" s="28"/>
      <c r="AI1334" s="20" t="str">
        <f>IF(AG1334="","",IF($F1334="Bernardino Furlan",_xlfn.XLOOKUP(AG1334,Cadastros!$G$6:$G$90,Cadastros!$H$6:$H$90)*(1-0.18),IF($F1334="Mauro José Salanti",_xlfn.XLOOKUP(AG1334,Cadastros!$G$6:$G$90,Cadastros!$H$6:$H$90)*(1-0.18),_xlfn.XLOOKUP(AG1334,Cadastros!$G$6:$G$90,Cadastros!$H$6:$H$90))))</f>
        <v/>
      </c>
      <c r="AJ1334" s="168" t="str">
        <f t="shared" si="267"/>
        <v/>
      </c>
      <c r="AK1334" s="168" t="str">
        <f t="shared" si="268"/>
        <v/>
      </c>
      <c r="AL1334" s="28"/>
      <c r="AM1334" s="28"/>
      <c r="AN1334" s="20" t="str">
        <f>IF(AL1334="","",IF($F1334="Bernardino Furlan",_xlfn.XLOOKUP(AL1334,Cadastros!$G$6:$G$90,Cadastros!$H$6:$H$90)*(1-0.18),IF($F1334="Mauro José Salanti",_xlfn.XLOOKUP(AL1334,Cadastros!$G$6:$G$90,Cadastros!$H$6:$H$90)*(1-0.18),_xlfn.XLOOKUP(AL1334,Cadastros!$G$6:$G$90,Cadastros!$H$6:$H$90))))</f>
        <v/>
      </c>
      <c r="AO1334" s="168" t="str">
        <f t="shared" si="269"/>
        <v/>
      </c>
      <c r="AP1334" s="168" t="str">
        <f t="shared" si="270"/>
        <v/>
      </c>
      <c r="AQ1334" s="28"/>
      <c r="AR1334" s="28"/>
      <c r="AS1334" s="20" t="str">
        <f>IF(AQ1334="","",IF($F1334="Bernardino Furlan",_xlfn.XLOOKUP(AQ1334,Cadastros!$G$6:$G$90,Cadastros!$H$6:$H$90)*(1-0.18),IF($F1334="Mauro José Salanti",_xlfn.XLOOKUP(AQ1334,Cadastros!$G$6:$G$90,Cadastros!$H$6:$H$90)*(1-0.18),_xlfn.XLOOKUP(AQ1334,Cadastros!$G$6:$G$90,Cadastros!$H$6:$H$90))))</f>
        <v/>
      </c>
      <c r="AT1334" s="168" t="str">
        <f t="shared" si="271"/>
        <v/>
      </c>
      <c r="AU1334" s="168" t="str">
        <f t="shared" si="272"/>
        <v/>
      </c>
      <c r="AV1334" s="227"/>
      <c r="AW1334" s="30"/>
      <c r="AX1334" s="267"/>
      <c r="AY1334" s="267"/>
      <c r="AZ1334" s="29"/>
      <c r="BA1334" s="30"/>
      <c r="BB1334" s="23" t="str" cm="1">
        <f t="array" ref="BB1334">_xlfn.IFS(AW1334="SIM",SUM(K1334,P1334,U1334,Z1334,AE1334,AJ1334,AO1334,AT1334,AX1334,AY1334),F1334&lt;&gt;"",SUM(K1334,P1334,U1334,Z1334,AE1334,AJ1334,,AO1334,AT1334),F1334="","")</f>
        <v/>
      </c>
      <c r="BC1334" s="211" t="str" cm="1">
        <f t="array" ref="BC1334">_xlfn.IFS(E1334="","",G1334&lt;=E1334,BB1334*(1-0.03),G1334&lt;(E1334+8),BB1334,AZ1334="Boleto",BB1334*(1+0.001)^DATEDIF(E1334,G1334,"D"),AZ1334="Cheque",BB1334,AZ1334="Dinheiro","Alterar forma pgto")</f>
        <v/>
      </c>
      <c r="BD1334" s="276" t="str" cm="1">
        <f t="array" ref="BD1334">IF(F1334=0," ",IF(BC1334&lt;BB1334,(_xlfn.IFS(AW1334="SIM",SUM(L1334,Q1334,V1334,AA1334,AF1334,AK1334,AP1334,AU1334)+AX1334/_xlfn.XLOOKUP(_xlfn.XLOOKUP($F1334,Clientes!$B$4:$B$39,Clientes!$C$4:$C$39),Cadastros!$L$6:$L$12,Cadastros!$M$6:$M$12)+IF($F1334="Bernardino Furlan",AY1334/2751.92,IF($F1334="Mauro José Salanti",AY1334/2751.92,AY1334/3356)),F1334&lt;&gt;0,SUM(L1334,Q1334,V1334,AA1334,AF1334,AK1334,AP1334,AU1334)))*(1-0.03),_xlfn.IFS(AW1334="SIM",SUM(L1334,Q1334,V1334,AA1334,AF1334,AK1334,AP1334,AU1334)+AX1334/_xlfn.XLOOKUP(_xlfn.XLOOKUP($F1334,Clientes!$B$4:$B$39,Clientes!$C$4:$C$39),Cadastros!$L$6:$L$12,Cadastros!$M$6:$M$12)+IF($F1334="Bernardino Furlan",AY1334/2751.92,IF($F1334="Mauro José Salanti",AY1334/2751.92,AY1334/3356)),F1334&lt;&gt;0,SUM(L1334,Q1334,V1334,AA1334,AF1334,AK1334,AP1334,AU1334))))</f>
        <v xml:space="preserve"> </v>
      </c>
      <c r="BE1334" s="120"/>
      <c r="BF1334" s="120"/>
      <c r="BG1334" s="120"/>
    </row>
    <row r="1335" spans="1:59" s="3" customFormat="1" x14ac:dyDescent="0.3">
      <c r="A1335" s="15" t="str">
        <f t="shared" si="260"/>
        <v/>
      </c>
      <c r="B1335" s="25"/>
      <c r="C1335" s="26"/>
      <c r="D1335" s="279"/>
      <c r="E1335" s="27"/>
      <c r="F1335" s="28"/>
      <c r="G1335" s="27"/>
      <c r="H1335" s="28"/>
      <c r="I1335" s="28"/>
      <c r="J1335" s="255" t="str">
        <f>IF(H1335="","",(_xlfn.XLOOKUP(H1335,Cadastros!$D$6:$D$90,Cadastros!$E$6:$E$90))*(1-_xlfn.XLOOKUP(_xlfn.XLOOKUP($F1335,Clientes!$B$4:$B$39,Clientes!$C$4:$C$39),Cadastros!$L$6:$L$12,Cadastros!$N$6:$N$12)))</f>
        <v/>
      </c>
      <c r="K1335" s="168" t="str">
        <f t="shared" si="261"/>
        <v/>
      </c>
      <c r="L1335" s="168" t="str">
        <f>IFERROR(K1335/_xlfn.XLOOKUP(_xlfn.XLOOKUP($F1335,Clientes!$B$4:$B$39,Clientes!$C$4:$C$39),Cadastros!$L$6:$L$12,Cadastros!$M$6:$M$12)," ")</f>
        <v xml:space="preserve"> </v>
      </c>
      <c r="M1335" s="28"/>
      <c r="N1335" s="28"/>
      <c r="O1335" s="255" t="str">
        <f>IF(M1335="","",(_xlfn.XLOOKUP(M1335,Cadastros!$D$6:$D$90,Cadastros!$E$6:$E$90))*(1-_xlfn.XLOOKUP(_xlfn.XLOOKUP($F1335,Clientes!$B$4:$B$39,Clientes!$C$4:$C$39),Cadastros!$L$6:$L$12,Cadastros!$N$6:$N$12)))</f>
        <v/>
      </c>
      <c r="P1335" s="168" t="str">
        <f t="shared" si="262"/>
        <v/>
      </c>
      <c r="Q1335" s="168" t="str">
        <f>IFERROR(P1335/_xlfn.XLOOKUP(_xlfn.XLOOKUP($F1335,Clientes!$B$4:$B$39,Clientes!$C$4:$C$39),Cadastros!$L$6:$L$12,Cadastros!$M$6:$M$12)," ")</f>
        <v xml:space="preserve"> </v>
      </c>
      <c r="R1335" s="28"/>
      <c r="S1335" s="28"/>
      <c r="T1335" s="255" t="str">
        <f>IF(R1335="","",(_xlfn.XLOOKUP(R1335,Cadastros!$D$6:$D$90,Cadastros!$E$6:$E$90))*(1-_xlfn.XLOOKUP(_xlfn.XLOOKUP($F1335,Clientes!$B$4:$B$39,Clientes!$C$4:$C$39),Cadastros!$L$6:$L$12,Cadastros!$N$6:$N$12)))</f>
        <v/>
      </c>
      <c r="U1335" s="168" t="str">
        <f t="shared" si="263"/>
        <v/>
      </c>
      <c r="V1335" s="168" t="str">
        <f>IFERROR(U1335/_xlfn.XLOOKUP(_xlfn.XLOOKUP($F1335,Clientes!$B$4:$B$39,Clientes!$C$4:$C$39),Cadastros!$L$6:$L$12,Cadastros!$M$6:$M$12)," ")</f>
        <v xml:space="preserve"> </v>
      </c>
      <c r="W1335" s="28"/>
      <c r="X1335" s="28"/>
      <c r="Y1335" s="255" t="str">
        <f>IF(W1335="","",(_xlfn.XLOOKUP(W1335,Cadastros!$D$6:$D$90,Cadastros!$E$6:$E$90))*(1-_xlfn.XLOOKUP(_xlfn.XLOOKUP($F1335,Clientes!$B$4:$B$39,Clientes!$C$4:$C$39),Cadastros!$L$6:$L$12,Cadastros!$N$6:$N$12)))</f>
        <v/>
      </c>
      <c r="Z1335" s="168" t="str">
        <f t="shared" si="264"/>
        <v/>
      </c>
      <c r="AA1335" s="168" t="str">
        <f>IFERROR(Z1335/_xlfn.XLOOKUP(_xlfn.XLOOKUP($F1335,Clientes!$B$4:$B$39,Clientes!$C$4:$C$39),Cadastros!$L$6:$L$12,Cadastros!$M$6:$M$12)," ")</f>
        <v xml:space="preserve"> </v>
      </c>
      <c r="AB1335" s="28"/>
      <c r="AC1335" s="28"/>
      <c r="AD1335" s="20" t="str">
        <f>IF(AB1335="","",IF($F1335="Bernardino Furlan",_xlfn.XLOOKUP(AB1335,Cadastros!$G$6:$G$90,Cadastros!$H$6:$H$90)*(1-0.18),IF($F1335="Mauro José Salanti",_xlfn.XLOOKUP(AB1335,Cadastros!$G$6:$G$90,Cadastros!$H$6:$H$90)*(1-0.18),_xlfn.XLOOKUP(AB1335,Cadastros!$G$6:$G$90,Cadastros!$H$6:$H$90))))</f>
        <v/>
      </c>
      <c r="AE1335" s="168" t="str">
        <f t="shared" si="265"/>
        <v/>
      </c>
      <c r="AF1335" s="168" t="str">
        <f t="shared" si="266"/>
        <v/>
      </c>
      <c r="AG1335" s="28"/>
      <c r="AH1335" s="28"/>
      <c r="AI1335" s="20" t="str">
        <f>IF(AG1335="","",IF($F1335="Bernardino Furlan",_xlfn.XLOOKUP(AG1335,Cadastros!$G$6:$G$90,Cadastros!$H$6:$H$90)*(1-0.18),IF($F1335="Mauro José Salanti",_xlfn.XLOOKUP(AG1335,Cadastros!$G$6:$G$90,Cadastros!$H$6:$H$90)*(1-0.18),_xlfn.XLOOKUP(AG1335,Cadastros!$G$6:$G$90,Cadastros!$H$6:$H$90))))</f>
        <v/>
      </c>
      <c r="AJ1335" s="168" t="str">
        <f t="shared" si="267"/>
        <v/>
      </c>
      <c r="AK1335" s="168" t="str">
        <f t="shared" si="268"/>
        <v/>
      </c>
      <c r="AL1335" s="28"/>
      <c r="AM1335" s="28"/>
      <c r="AN1335" s="20" t="str">
        <f>IF(AL1335="","",IF($F1335="Bernardino Furlan",_xlfn.XLOOKUP(AL1335,Cadastros!$G$6:$G$90,Cadastros!$H$6:$H$90)*(1-0.18),IF($F1335="Mauro José Salanti",_xlfn.XLOOKUP(AL1335,Cadastros!$G$6:$G$90,Cadastros!$H$6:$H$90)*(1-0.18),_xlfn.XLOOKUP(AL1335,Cadastros!$G$6:$G$90,Cadastros!$H$6:$H$90))))</f>
        <v/>
      </c>
      <c r="AO1335" s="168" t="str">
        <f t="shared" si="269"/>
        <v/>
      </c>
      <c r="AP1335" s="168" t="str">
        <f t="shared" si="270"/>
        <v/>
      </c>
      <c r="AQ1335" s="28"/>
      <c r="AR1335" s="28"/>
      <c r="AS1335" s="20" t="str">
        <f>IF(AQ1335="","",IF($F1335="Bernardino Furlan",_xlfn.XLOOKUP(AQ1335,Cadastros!$G$6:$G$90,Cadastros!$H$6:$H$90)*(1-0.18),IF($F1335="Mauro José Salanti",_xlfn.XLOOKUP(AQ1335,Cadastros!$G$6:$G$90,Cadastros!$H$6:$H$90)*(1-0.18),_xlfn.XLOOKUP(AQ1335,Cadastros!$G$6:$G$90,Cadastros!$H$6:$H$90))))</f>
        <v/>
      </c>
      <c r="AT1335" s="168" t="str">
        <f t="shared" si="271"/>
        <v/>
      </c>
      <c r="AU1335" s="168" t="str">
        <f t="shared" si="272"/>
        <v/>
      </c>
      <c r="AV1335" s="227"/>
      <c r="AW1335" s="30"/>
      <c r="AX1335" s="267"/>
      <c r="AY1335" s="267"/>
      <c r="AZ1335" s="29"/>
      <c r="BA1335" s="30"/>
      <c r="BB1335" s="23" t="str" cm="1">
        <f t="array" ref="BB1335">_xlfn.IFS(AW1335="SIM",SUM(K1335,P1335,U1335,Z1335,AE1335,AJ1335,AO1335,AT1335,AX1335,AY1335),F1335&lt;&gt;"",SUM(K1335,P1335,U1335,Z1335,AE1335,AJ1335,,AO1335,AT1335),F1335="","")</f>
        <v/>
      </c>
      <c r="BC1335" s="211" t="str" cm="1">
        <f t="array" ref="BC1335">_xlfn.IFS(E1335="","",G1335&lt;=E1335,BB1335*(1-0.03),G1335&lt;(E1335+8),BB1335,AZ1335="Boleto",BB1335*(1+0.001)^DATEDIF(E1335,G1335,"D"),AZ1335="Cheque",BB1335,AZ1335="Dinheiro","Alterar forma pgto")</f>
        <v/>
      </c>
      <c r="BD1335" s="276" t="str" cm="1">
        <f t="array" ref="BD1335">IF(F1335=0," ",IF(BC1335&lt;BB1335,(_xlfn.IFS(AW1335="SIM",SUM(L1335,Q1335,V1335,AA1335,AF1335,AK1335,AP1335,AU1335)+AX1335/_xlfn.XLOOKUP(_xlfn.XLOOKUP($F1335,Clientes!$B$4:$B$39,Clientes!$C$4:$C$39),Cadastros!$L$6:$L$12,Cadastros!$M$6:$M$12)+IF($F1335="Bernardino Furlan",AY1335/2751.92,IF($F1335="Mauro José Salanti",AY1335/2751.92,AY1335/3356)),F1335&lt;&gt;0,SUM(L1335,Q1335,V1335,AA1335,AF1335,AK1335,AP1335,AU1335)))*(1-0.03),_xlfn.IFS(AW1335="SIM",SUM(L1335,Q1335,V1335,AA1335,AF1335,AK1335,AP1335,AU1335)+AX1335/_xlfn.XLOOKUP(_xlfn.XLOOKUP($F1335,Clientes!$B$4:$B$39,Clientes!$C$4:$C$39),Cadastros!$L$6:$L$12,Cadastros!$M$6:$M$12)+IF($F1335="Bernardino Furlan",AY1335/2751.92,IF($F1335="Mauro José Salanti",AY1335/2751.92,AY1335/3356)),F1335&lt;&gt;0,SUM(L1335,Q1335,V1335,AA1335,AF1335,AK1335,AP1335,AU1335))))</f>
        <v xml:space="preserve"> </v>
      </c>
      <c r="BE1335" s="120"/>
      <c r="BF1335" s="120"/>
      <c r="BG1335" s="120"/>
    </row>
    <row r="1336" spans="1:59" s="3" customFormat="1" x14ac:dyDescent="0.3">
      <c r="A1336" s="15" t="str">
        <f t="shared" si="260"/>
        <v/>
      </c>
      <c r="B1336" s="25"/>
      <c r="C1336" s="26"/>
      <c r="D1336" s="279"/>
      <c r="E1336" s="27"/>
      <c r="F1336" s="28"/>
      <c r="G1336" s="27"/>
      <c r="H1336" s="28"/>
      <c r="I1336" s="28"/>
      <c r="J1336" s="255" t="str">
        <f>IF(H1336="","",(_xlfn.XLOOKUP(H1336,Cadastros!$D$6:$D$90,Cadastros!$E$6:$E$90))*(1-_xlfn.XLOOKUP(_xlfn.XLOOKUP($F1336,Clientes!$B$4:$B$39,Clientes!$C$4:$C$39),Cadastros!$L$6:$L$12,Cadastros!$N$6:$N$12)))</f>
        <v/>
      </c>
      <c r="K1336" s="168" t="str">
        <f t="shared" si="261"/>
        <v/>
      </c>
      <c r="L1336" s="168" t="str">
        <f>IFERROR(K1336/_xlfn.XLOOKUP(_xlfn.XLOOKUP($F1336,Clientes!$B$4:$B$39,Clientes!$C$4:$C$39),Cadastros!$L$6:$L$12,Cadastros!$M$6:$M$12)," ")</f>
        <v xml:space="preserve"> </v>
      </c>
      <c r="M1336" s="28"/>
      <c r="N1336" s="28"/>
      <c r="O1336" s="255" t="str">
        <f>IF(M1336="","",(_xlfn.XLOOKUP(M1336,Cadastros!$D$6:$D$90,Cadastros!$E$6:$E$90))*(1-_xlfn.XLOOKUP(_xlfn.XLOOKUP($F1336,Clientes!$B$4:$B$39,Clientes!$C$4:$C$39),Cadastros!$L$6:$L$12,Cadastros!$N$6:$N$12)))</f>
        <v/>
      </c>
      <c r="P1336" s="168" t="str">
        <f t="shared" si="262"/>
        <v/>
      </c>
      <c r="Q1336" s="168" t="str">
        <f>IFERROR(P1336/_xlfn.XLOOKUP(_xlfn.XLOOKUP($F1336,Clientes!$B$4:$B$39,Clientes!$C$4:$C$39),Cadastros!$L$6:$L$12,Cadastros!$M$6:$M$12)," ")</f>
        <v xml:space="preserve"> </v>
      </c>
      <c r="R1336" s="28"/>
      <c r="S1336" s="28"/>
      <c r="T1336" s="255" t="str">
        <f>IF(R1336="","",(_xlfn.XLOOKUP(R1336,Cadastros!$D$6:$D$90,Cadastros!$E$6:$E$90))*(1-_xlfn.XLOOKUP(_xlfn.XLOOKUP($F1336,Clientes!$B$4:$B$39,Clientes!$C$4:$C$39),Cadastros!$L$6:$L$12,Cadastros!$N$6:$N$12)))</f>
        <v/>
      </c>
      <c r="U1336" s="168" t="str">
        <f t="shared" si="263"/>
        <v/>
      </c>
      <c r="V1336" s="168" t="str">
        <f>IFERROR(U1336/_xlfn.XLOOKUP(_xlfn.XLOOKUP($F1336,Clientes!$B$4:$B$39,Clientes!$C$4:$C$39),Cadastros!$L$6:$L$12,Cadastros!$M$6:$M$12)," ")</f>
        <v xml:space="preserve"> </v>
      </c>
      <c r="W1336" s="28"/>
      <c r="X1336" s="28"/>
      <c r="Y1336" s="255" t="str">
        <f>IF(W1336="","",(_xlfn.XLOOKUP(W1336,Cadastros!$D$6:$D$90,Cadastros!$E$6:$E$90))*(1-_xlfn.XLOOKUP(_xlfn.XLOOKUP($F1336,Clientes!$B$4:$B$39,Clientes!$C$4:$C$39),Cadastros!$L$6:$L$12,Cadastros!$N$6:$N$12)))</f>
        <v/>
      </c>
      <c r="Z1336" s="168" t="str">
        <f t="shared" si="264"/>
        <v/>
      </c>
      <c r="AA1336" s="168" t="str">
        <f>IFERROR(Z1336/_xlfn.XLOOKUP(_xlfn.XLOOKUP($F1336,Clientes!$B$4:$B$39,Clientes!$C$4:$C$39),Cadastros!$L$6:$L$12,Cadastros!$M$6:$M$12)," ")</f>
        <v xml:space="preserve"> </v>
      </c>
      <c r="AB1336" s="28"/>
      <c r="AC1336" s="28"/>
      <c r="AD1336" s="20" t="str">
        <f>IF(AB1336="","",IF($F1336="Bernardino Furlan",_xlfn.XLOOKUP(AB1336,Cadastros!$G$6:$G$90,Cadastros!$H$6:$H$90)*(1-0.18),IF($F1336="Mauro José Salanti",_xlfn.XLOOKUP(AB1336,Cadastros!$G$6:$G$90,Cadastros!$H$6:$H$90)*(1-0.18),_xlfn.XLOOKUP(AB1336,Cadastros!$G$6:$G$90,Cadastros!$H$6:$H$90))))</f>
        <v/>
      </c>
      <c r="AE1336" s="168" t="str">
        <f t="shared" si="265"/>
        <v/>
      </c>
      <c r="AF1336" s="168" t="str">
        <f t="shared" si="266"/>
        <v/>
      </c>
      <c r="AG1336" s="28"/>
      <c r="AH1336" s="28"/>
      <c r="AI1336" s="20" t="str">
        <f>IF(AG1336="","",IF($F1336="Bernardino Furlan",_xlfn.XLOOKUP(AG1336,Cadastros!$G$6:$G$90,Cadastros!$H$6:$H$90)*(1-0.18),IF($F1336="Mauro José Salanti",_xlfn.XLOOKUP(AG1336,Cadastros!$G$6:$G$90,Cadastros!$H$6:$H$90)*(1-0.18),_xlfn.XLOOKUP(AG1336,Cadastros!$G$6:$G$90,Cadastros!$H$6:$H$90))))</f>
        <v/>
      </c>
      <c r="AJ1336" s="168" t="str">
        <f t="shared" si="267"/>
        <v/>
      </c>
      <c r="AK1336" s="168" t="str">
        <f t="shared" si="268"/>
        <v/>
      </c>
      <c r="AL1336" s="28"/>
      <c r="AM1336" s="28"/>
      <c r="AN1336" s="20" t="str">
        <f>IF(AL1336="","",IF($F1336="Bernardino Furlan",_xlfn.XLOOKUP(AL1336,Cadastros!$G$6:$G$90,Cadastros!$H$6:$H$90)*(1-0.18),IF($F1336="Mauro José Salanti",_xlfn.XLOOKUP(AL1336,Cadastros!$G$6:$G$90,Cadastros!$H$6:$H$90)*(1-0.18),_xlfn.XLOOKUP(AL1336,Cadastros!$G$6:$G$90,Cadastros!$H$6:$H$90))))</f>
        <v/>
      </c>
      <c r="AO1336" s="168" t="str">
        <f t="shared" si="269"/>
        <v/>
      </c>
      <c r="AP1336" s="168" t="str">
        <f t="shared" si="270"/>
        <v/>
      </c>
      <c r="AQ1336" s="28"/>
      <c r="AR1336" s="28"/>
      <c r="AS1336" s="20" t="str">
        <f>IF(AQ1336="","",IF($F1336="Bernardino Furlan",_xlfn.XLOOKUP(AQ1336,Cadastros!$G$6:$G$90,Cadastros!$H$6:$H$90)*(1-0.18),IF($F1336="Mauro José Salanti",_xlfn.XLOOKUP(AQ1336,Cadastros!$G$6:$G$90,Cadastros!$H$6:$H$90)*(1-0.18),_xlfn.XLOOKUP(AQ1336,Cadastros!$G$6:$G$90,Cadastros!$H$6:$H$90))))</f>
        <v/>
      </c>
      <c r="AT1336" s="168" t="str">
        <f t="shared" si="271"/>
        <v/>
      </c>
      <c r="AU1336" s="168" t="str">
        <f t="shared" si="272"/>
        <v/>
      </c>
      <c r="AV1336" s="227"/>
      <c r="AW1336" s="30"/>
      <c r="AX1336" s="267"/>
      <c r="AY1336" s="267"/>
      <c r="AZ1336" s="29"/>
      <c r="BA1336" s="30"/>
      <c r="BB1336" s="23" t="str" cm="1">
        <f t="array" ref="BB1336">_xlfn.IFS(AW1336="SIM",SUM(K1336,P1336,U1336,Z1336,AE1336,AJ1336,AO1336,AT1336,AX1336,AY1336),F1336&lt;&gt;"",SUM(K1336,P1336,U1336,Z1336,AE1336,AJ1336,,AO1336,AT1336),F1336="","")</f>
        <v/>
      </c>
      <c r="BC1336" s="211" t="str" cm="1">
        <f t="array" ref="BC1336">_xlfn.IFS(E1336="","",G1336&lt;=E1336,BB1336*(1-0.03),G1336&lt;(E1336+8),BB1336,AZ1336="Boleto",BB1336*(1+0.001)^DATEDIF(E1336,G1336,"D"),AZ1336="Cheque",BB1336,AZ1336="Dinheiro","Alterar forma pgto")</f>
        <v/>
      </c>
      <c r="BD1336" s="276" t="str" cm="1">
        <f t="array" ref="BD1336">IF(F1336=0," ",IF(BC1336&lt;BB1336,(_xlfn.IFS(AW1336="SIM",SUM(L1336,Q1336,V1336,AA1336,AF1336,AK1336,AP1336,AU1336)+AX1336/_xlfn.XLOOKUP(_xlfn.XLOOKUP($F1336,Clientes!$B$4:$B$39,Clientes!$C$4:$C$39),Cadastros!$L$6:$L$12,Cadastros!$M$6:$M$12)+IF($F1336="Bernardino Furlan",AY1336/2751.92,IF($F1336="Mauro José Salanti",AY1336/2751.92,AY1336/3356)),F1336&lt;&gt;0,SUM(L1336,Q1336,V1336,AA1336,AF1336,AK1336,AP1336,AU1336)))*(1-0.03),_xlfn.IFS(AW1336="SIM",SUM(L1336,Q1336,V1336,AA1336,AF1336,AK1336,AP1336,AU1336)+AX1336/_xlfn.XLOOKUP(_xlfn.XLOOKUP($F1336,Clientes!$B$4:$B$39,Clientes!$C$4:$C$39),Cadastros!$L$6:$L$12,Cadastros!$M$6:$M$12)+IF($F1336="Bernardino Furlan",AY1336/2751.92,IF($F1336="Mauro José Salanti",AY1336/2751.92,AY1336/3356)),F1336&lt;&gt;0,SUM(L1336,Q1336,V1336,AA1336,AF1336,AK1336,AP1336,AU1336))))</f>
        <v xml:space="preserve"> </v>
      </c>
      <c r="BE1336" s="120"/>
      <c r="BF1336" s="120"/>
      <c r="BG1336" s="120"/>
    </row>
    <row r="1337" spans="1:59" s="3" customFormat="1" x14ac:dyDescent="0.3">
      <c r="A1337" s="15" t="str">
        <f t="shared" si="260"/>
        <v/>
      </c>
      <c r="B1337" s="25"/>
      <c r="C1337" s="26"/>
      <c r="D1337" s="279"/>
      <c r="E1337" s="27"/>
      <c r="F1337" s="28"/>
      <c r="G1337" s="27"/>
      <c r="H1337" s="28"/>
      <c r="I1337" s="28"/>
      <c r="J1337" s="255" t="str">
        <f>IF(H1337="","",(_xlfn.XLOOKUP(H1337,Cadastros!$D$6:$D$90,Cadastros!$E$6:$E$90))*(1-_xlfn.XLOOKUP(_xlfn.XLOOKUP($F1337,Clientes!$B$4:$B$39,Clientes!$C$4:$C$39),Cadastros!$L$6:$L$12,Cadastros!$N$6:$N$12)))</f>
        <v/>
      </c>
      <c r="K1337" s="168" t="str">
        <f t="shared" si="261"/>
        <v/>
      </c>
      <c r="L1337" s="168" t="str">
        <f>IFERROR(K1337/_xlfn.XLOOKUP(_xlfn.XLOOKUP($F1337,Clientes!$B$4:$B$39,Clientes!$C$4:$C$39),Cadastros!$L$6:$L$12,Cadastros!$M$6:$M$12)," ")</f>
        <v xml:space="preserve"> </v>
      </c>
      <c r="M1337" s="28"/>
      <c r="N1337" s="28"/>
      <c r="O1337" s="255" t="str">
        <f>IF(M1337="","",(_xlfn.XLOOKUP(M1337,Cadastros!$D$6:$D$90,Cadastros!$E$6:$E$90))*(1-_xlfn.XLOOKUP(_xlfn.XLOOKUP($F1337,Clientes!$B$4:$B$39,Clientes!$C$4:$C$39),Cadastros!$L$6:$L$12,Cadastros!$N$6:$N$12)))</f>
        <v/>
      </c>
      <c r="P1337" s="168" t="str">
        <f t="shared" si="262"/>
        <v/>
      </c>
      <c r="Q1337" s="168" t="str">
        <f>IFERROR(P1337/_xlfn.XLOOKUP(_xlfn.XLOOKUP($F1337,Clientes!$B$4:$B$39,Clientes!$C$4:$C$39),Cadastros!$L$6:$L$12,Cadastros!$M$6:$M$12)," ")</f>
        <v xml:space="preserve"> </v>
      </c>
      <c r="R1337" s="28"/>
      <c r="S1337" s="28"/>
      <c r="T1337" s="255" t="str">
        <f>IF(R1337="","",(_xlfn.XLOOKUP(R1337,Cadastros!$D$6:$D$90,Cadastros!$E$6:$E$90))*(1-_xlfn.XLOOKUP(_xlfn.XLOOKUP($F1337,Clientes!$B$4:$B$39,Clientes!$C$4:$C$39),Cadastros!$L$6:$L$12,Cadastros!$N$6:$N$12)))</f>
        <v/>
      </c>
      <c r="U1337" s="168" t="str">
        <f t="shared" si="263"/>
        <v/>
      </c>
      <c r="V1337" s="168" t="str">
        <f>IFERROR(U1337/_xlfn.XLOOKUP(_xlfn.XLOOKUP($F1337,Clientes!$B$4:$B$39,Clientes!$C$4:$C$39),Cadastros!$L$6:$L$12,Cadastros!$M$6:$M$12)," ")</f>
        <v xml:space="preserve"> </v>
      </c>
      <c r="W1337" s="28"/>
      <c r="X1337" s="28"/>
      <c r="Y1337" s="255" t="str">
        <f>IF(W1337="","",(_xlfn.XLOOKUP(W1337,Cadastros!$D$6:$D$90,Cadastros!$E$6:$E$90))*(1-_xlfn.XLOOKUP(_xlfn.XLOOKUP($F1337,Clientes!$B$4:$B$39,Clientes!$C$4:$C$39),Cadastros!$L$6:$L$12,Cadastros!$N$6:$N$12)))</f>
        <v/>
      </c>
      <c r="Z1337" s="168" t="str">
        <f t="shared" si="264"/>
        <v/>
      </c>
      <c r="AA1337" s="168" t="str">
        <f>IFERROR(Z1337/_xlfn.XLOOKUP(_xlfn.XLOOKUP($F1337,Clientes!$B$4:$B$39,Clientes!$C$4:$C$39),Cadastros!$L$6:$L$12,Cadastros!$M$6:$M$12)," ")</f>
        <v xml:space="preserve"> </v>
      </c>
      <c r="AB1337" s="28"/>
      <c r="AC1337" s="28"/>
      <c r="AD1337" s="20" t="str">
        <f>IF(AB1337="","",IF($F1337="Bernardino Furlan",_xlfn.XLOOKUP(AB1337,Cadastros!$G$6:$G$90,Cadastros!$H$6:$H$90)*(1-0.18),IF($F1337="Mauro José Salanti",_xlfn.XLOOKUP(AB1337,Cadastros!$G$6:$G$90,Cadastros!$H$6:$H$90)*(1-0.18),_xlfn.XLOOKUP(AB1337,Cadastros!$G$6:$G$90,Cadastros!$H$6:$H$90))))</f>
        <v/>
      </c>
      <c r="AE1337" s="168" t="str">
        <f t="shared" si="265"/>
        <v/>
      </c>
      <c r="AF1337" s="168" t="str">
        <f t="shared" si="266"/>
        <v/>
      </c>
      <c r="AG1337" s="28"/>
      <c r="AH1337" s="28"/>
      <c r="AI1337" s="20" t="str">
        <f>IF(AG1337="","",IF($F1337="Bernardino Furlan",_xlfn.XLOOKUP(AG1337,Cadastros!$G$6:$G$90,Cadastros!$H$6:$H$90)*(1-0.18),IF($F1337="Mauro José Salanti",_xlfn.XLOOKUP(AG1337,Cadastros!$G$6:$G$90,Cadastros!$H$6:$H$90)*(1-0.18),_xlfn.XLOOKUP(AG1337,Cadastros!$G$6:$G$90,Cadastros!$H$6:$H$90))))</f>
        <v/>
      </c>
      <c r="AJ1337" s="168" t="str">
        <f t="shared" si="267"/>
        <v/>
      </c>
      <c r="AK1337" s="168" t="str">
        <f t="shared" si="268"/>
        <v/>
      </c>
      <c r="AL1337" s="28"/>
      <c r="AM1337" s="28"/>
      <c r="AN1337" s="20" t="str">
        <f>IF(AL1337="","",IF($F1337="Bernardino Furlan",_xlfn.XLOOKUP(AL1337,Cadastros!$G$6:$G$90,Cadastros!$H$6:$H$90)*(1-0.18),IF($F1337="Mauro José Salanti",_xlfn.XLOOKUP(AL1337,Cadastros!$G$6:$G$90,Cadastros!$H$6:$H$90)*(1-0.18),_xlfn.XLOOKUP(AL1337,Cadastros!$G$6:$G$90,Cadastros!$H$6:$H$90))))</f>
        <v/>
      </c>
      <c r="AO1337" s="168" t="str">
        <f t="shared" si="269"/>
        <v/>
      </c>
      <c r="AP1337" s="168" t="str">
        <f t="shared" si="270"/>
        <v/>
      </c>
      <c r="AQ1337" s="28"/>
      <c r="AR1337" s="28"/>
      <c r="AS1337" s="20" t="str">
        <f>IF(AQ1337="","",IF($F1337="Bernardino Furlan",_xlfn.XLOOKUP(AQ1337,Cadastros!$G$6:$G$90,Cadastros!$H$6:$H$90)*(1-0.18),IF($F1337="Mauro José Salanti",_xlfn.XLOOKUP(AQ1337,Cadastros!$G$6:$G$90,Cadastros!$H$6:$H$90)*(1-0.18),_xlfn.XLOOKUP(AQ1337,Cadastros!$G$6:$G$90,Cadastros!$H$6:$H$90))))</f>
        <v/>
      </c>
      <c r="AT1337" s="168" t="str">
        <f t="shared" si="271"/>
        <v/>
      </c>
      <c r="AU1337" s="168" t="str">
        <f t="shared" si="272"/>
        <v/>
      </c>
      <c r="AV1337" s="227"/>
      <c r="AW1337" s="30"/>
      <c r="AX1337" s="267"/>
      <c r="AY1337" s="267"/>
      <c r="AZ1337" s="29"/>
      <c r="BA1337" s="30"/>
      <c r="BB1337" s="23" t="str" cm="1">
        <f t="array" ref="BB1337">_xlfn.IFS(AW1337="SIM",SUM(K1337,P1337,U1337,Z1337,AE1337,AJ1337,AO1337,AT1337,AX1337,AY1337),F1337&lt;&gt;"",SUM(K1337,P1337,U1337,Z1337,AE1337,AJ1337,,AO1337,AT1337),F1337="","")</f>
        <v/>
      </c>
      <c r="BC1337" s="211" t="str" cm="1">
        <f t="array" ref="BC1337">_xlfn.IFS(E1337="","",G1337&lt;=E1337,BB1337*(1-0.03),G1337&lt;(E1337+8),BB1337,AZ1337="Boleto",BB1337*(1+0.001)^DATEDIF(E1337,G1337,"D"),AZ1337="Cheque",BB1337,AZ1337="Dinheiro","Alterar forma pgto")</f>
        <v/>
      </c>
      <c r="BD1337" s="276" t="str" cm="1">
        <f t="array" ref="BD1337">IF(F1337=0," ",IF(BC1337&lt;BB1337,(_xlfn.IFS(AW1337="SIM",SUM(L1337,Q1337,V1337,AA1337,AF1337,AK1337,AP1337,AU1337)+AX1337/_xlfn.XLOOKUP(_xlfn.XLOOKUP($F1337,Clientes!$B$4:$B$39,Clientes!$C$4:$C$39),Cadastros!$L$6:$L$12,Cadastros!$M$6:$M$12)+IF($F1337="Bernardino Furlan",AY1337/2751.92,IF($F1337="Mauro José Salanti",AY1337/2751.92,AY1337/3356)),F1337&lt;&gt;0,SUM(L1337,Q1337,V1337,AA1337,AF1337,AK1337,AP1337,AU1337)))*(1-0.03),_xlfn.IFS(AW1337="SIM",SUM(L1337,Q1337,V1337,AA1337,AF1337,AK1337,AP1337,AU1337)+AX1337/_xlfn.XLOOKUP(_xlfn.XLOOKUP($F1337,Clientes!$B$4:$B$39,Clientes!$C$4:$C$39),Cadastros!$L$6:$L$12,Cadastros!$M$6:$M$12)+IF($F1337="Bernardino Furlan",AY1337/2751.92,IF($F1337="Mauro José Salanti",AY1337/2751.92,AY1337/3356)),F1337&lt;&gt;0,SUM(L1337,Q1337,V1337,AA1337,AF1337,AK1337,AP1337,AU1337))))</f>
        <v xml:space="preserve"> </v>
      </c>
      <c r="BE1337" s="120"/>
      <c r="BF1337" s="120"/>
      <c r="BG1337" s="120"/>
    </row>
    <row r="1338" spans="1:59" s="3" customFormat="1" x14ac:dyDescent="0.3">
      <c r="A1338" s="15" t="str">
        <f t="shared" si="260"/>
        <v/>
      </c>
      <c r="B1338" s="25"/>
      <c r="C1338" s="26"/>
      <c r="D1338" s="279"/>
      <c r="E1338" s="27"/>
      <c r="F1338" s="28"/>
      <c r="G1338" s="27"/>
      <c r="H1338" s="28"/>
      <c r="I1338" s="28"/>
      <c r="J1338" s="255" t="str">
        <f>IF(H1338="","",(_xlfn.XLOOKUP(H1338,Cadastros!$D$6:$D$90,Cadastros!$E$6:$E$90))*(1-_xlfn.XLOOKUP(_xlfn.XLOOKUP($F1338,Clientes!$B$4:$B$39,Clientes!$C$4:$C$39),Cadastros!$L$6:$L$12,Cadastros!$N$6:$N$12)))</f>
        <v/>
      </c>
      <c r="K1338" s="168" t="str">
        <f t="shared" si="261"/>
        <v/>
      </c>
      <c r="L1338" s="168" t="str">
        <f>IFERROR(K1338/_xlfn.XLOOKUP(_xlfn.XLOOKUP($F1338,Clientes!$B$4:$B$39,Clientes!$C$4:$C$39),Cadastros!$L$6:$L$12,Cadastros!$M$6:$M$12)," ")</f>
        <v xml:space="preserve"> </v>
      </c>
      <c r="M1338" s="28"/>
      <c r="N1338" s="28"/>
      <c r="O1338" s="255" t="str">
        <f>IF(M1338="","",(_xlfn.XLOOKUP(M1338,Cadastros!$D$6:$D$90,Cadastros!$E$6:$E$90))*(1-_xlfn.XLOOKUP(_xlfn.XLOOKUP($F1338,Clientes!$B$4:$B$39,Clientes!$C$4:$C$39),Cadastros!$L$6:$L$12,Cadastros!$N$6:$N$12)))</f>
        <v/>
      </c>
      <c r="P1338" s="168" t="str">
        <f t="shared" si="262"/>
        <v/>
      </c>
      <c r="Q1338" s="168" t="str">
        <f>IFERROR(P1338/_xlfn.XLOOKUP(_xlfn.XLOOKUP($F1338,Clientes!$B$4:$B$39,Clientes!$C$4:$C$39),Cadastros!$L$6:$L$12,Cadastros!$M$6:$M$12)," ")</f>
        <v xml:space="preserve"> </v>
      </c>
      <c r="R1338" s="28"/>
      <c r="S1338" s="28"/>
      <c r="T1338" s="255" t="str">
        <f>IF(R1338="","",(_xlfn.XLOOKUP(R1338,Cadastros!$D$6:$D$90,Cadastros!$E$6:$E$90))*(1-_xlfn.XLOOKUP(_xlfn.XLOOKUP($F1338,Clientes!$B$4:$B$39,Clientes!$C$4:$C$39),Cadastros!$L$6:$L$12,Cadastros!$N$6:$N$12)))</f>
        <v/>
      </c>
      <c r="U1338" s="168" t="str">
        <f t="shared" si="263"/>
        <v/>
      </c>
      <c r="V1338" s="168" t="str">
        <f>IFERROR(U1338/_xlfn.XLOOKUP(_xlfn.XLOOKUP($F1338,Clientes!$B$4:$B$39,Clientes!$C$4:$C$39),Cadastros!$L$6:$L$12,Cadastros!$M$6:$M$12)," ")</f>
        <v xml:space="preserve"> </v>
      </c>
      <c r="W1338" s="28"/>
      <c r="X1338" s="28"/>
      <c r="Y1338" s="255" t="str">
        <f>IF(W1338="","",(_xlfn.XLOOKUP(W1338,Cadastros!$D$6:$D$90,Cadastros!$E$6:$E$90))*(1-_xlfn.XLOOKUP(_xlfn.XLOOKUP($F1338,Clientes!$B$4:$B$39,Clientes!$C$4:$C$39),Cadastros!$L$6:$L$12,Cadastros!$N$6:$N$12)))</f>
        <v/>
      </c>
      <c r="Z1338" s="168" t="str">
        <f t="shared" si="264"/>
        <v/>
      </c>
      <c r="AA1338" s="168" t="str">
        <f>IFERROR(Z1338/_xlfn.XLOOKUP(_xlfn.XLOOKUP($F1338,Clientes!$B$4:$B$39,Clientes!$C$4:$C$39),Cadastros!$L$6:$L$12,Cadastros!$M$6:$M$12)," ")</f>
        <v xml:space="preserve"> </v>
      </c>
      <c r="AB1338" s="28"/>
      <c r="AC1338" s="28"/>
      <c r="AD1338" s="20" t="str">
        <f>IF(AB1338="","",IF($F1338="Bernardino Furlan",_xlfn.XLOOKUP(AB1338,Cadastros!$G$6:$G$90,Cadastros!$H$6:$H$90)*(1-0.18),IF($F1338="Mauro José Salanti",_xlfn.XLOOKUP(AB1338,Cadastros!$G$6:$G$90,Cadastros!$H$6:$H$90)*(1-0.18),_xlfn.XLOOKUP(AB1338,Cadastros!$G$6:$G$90,Cadastros!$H$6:$H$90))))</f>
        <v/>
      </c>
      <c r="AE1338" s="168" t="str">
        <f t="shared" si="265"/>
        <v/>
      </c>
      <c r="AF1338" s="168" t="str">
        <f t="shared" si="266"/>
        <v/>
      </c>
      <c r="AG1338" s="28"/>
      <c r="AH1338" s="28"/>
      <c r="AI1338" s="20" t="str">
        <f>IF(AG1338="","",IF($F1338="Bernardino Furlan",_xlfn.XLOOKUP(AG1338,Cadastros!$G$6:$G$90,Cadastros!$H$6:$H$90)*(1-0.18),IF($F1338="Mauro José Salanti",_xlfn.XLOOKUP(AG1338,Cadastros!$G$6:$G$90,Cadastros!$H$6:$H$90)*(1-0.18),_xlfn.XLOOKUP(AG1338,Cadastros!$G$6:$G$90,Cadastros!$H$6:$H$90))))</f>
        <v/>
      </c>
      <c r="AJ1338" s="168" t="str">
        <f t="shared" si="267"/>
        <v/>
      </c>
      <c r="AK1338" s="168" t="str">
        <f t="shared" si="268"/>
        <v/>
      </c>
      <c r="AL1338" s="28"/>
      <c r="AM1338" s="28"/>
      <c r="AN1338" s="20" t="str">
        <f>IF(AL1338="","",IF($F1338="Bernardino Furlan",_xlfn.XLOOKUP(AL1338,Cadastros!$G$6:$G$90,Cadastros!$H$6:$H$90)*(1-0.18),IF($F1338="Mauro José Salanti",_xlfn.XLOOKUP(AL1338,Cadastros!$G$6:$G$90,Cadastros!$H$6:$H$90)*(1-0.18),_xlfn.XLOOKUP(AL1338,Cadastros!$G$6:$G$90,Cadastros!$H$6:$H$90))))</f>
        <v/>
      </c>
      <c r="AO1338" s="168" t="str">
        <f t="shared" si="269"/>
        <v/>
      </c>
      <c r="AP1338" s="168" t="str">
        <f t="shared" si="270"/>
        <v/>
      </c>
      <c r="AQ1338" s="28"/>
      <c r="AR1338" s="28"/>
      <c r="AS1338" s="20" t="str">
        <f>IF(AQ1338="","",IF($F1338="Bernardino Furlan",_xlfn.XLOOKUP(AQ1338,Cadastros!$G$6:$G$90,Cadastros!$H$6:$H$90)*(1-0.18),IF($F1338="Mauro José Salanti",_xlfn.XLOOKUP(AQ1338,Cadastros!$G$6:$G$90,Cadastros!$H$6:$H$90)*(1-0.18),_xlfn.XLOOKUP(AQ1338,Cadastros!$G$6:$G$90,Cadastros!$H$6:$H$90))))</f>
        <v/>
      </c>
      <c r="AT1338" s="168" t="str">
        <f t="shared" si="271"/>
        <v/>
      </c>
      <c r="AU1338" s="168" t="str">
        <f t="shared" si="272"/>
        <v/>
      </c>
      <c r="AV1338" s="227"/>
      <c r="AW1338" s="30"/>
      <c r="AX1338" s="267"/>
      <c r="AY1338" s="267"/>
      <c r="AZ1338" s="29"/>
      <c r="BA1338" s="30"/>
      <c r="BB1338" s="23" t="str" cm="1">
        <f t="array" ref="BB1338">_xlfn.IFS(AW1338="SIM",SUM(K1338,P1338,U1338,Z1338,AE1338,AJ1338,AO1338,AT1338,AX1338,AY1338),F1338&lt;&gt;"",SUM(K1338,P1338,U1338,Z1338,AE1338,AJ1338,,AO1338,AT1338),F1338="","")</f>
        <v/>
      </c>
      <c r="BC1338" s="211" t="str" cm="1">
        <f t="array" ref="BC1338">_xlfn.IFS(E1338="","",G1338&lt;=E1338,BB1338*(1-0.03),G1338&lt;(E1338+8),BB1338,AZ1338="Boleto",BB1338*(1+0.001)^DATEDIF(E1338,G1338,"D"),AZ1338="Cheque",BB1338,AZ1338="Dinheiro","Alterar forma pgto")</f>
        <v/>
      </c>
      <c r="BD1338" s="276" t="str" cm="1">
        <f t="array" ref="BD1338">IF(F1338=0," ",IF(BC1338&lt;BB1338,(_xlfn.IFS(AW1338="SIM",SUM(L1338,Q1338,V1338,AA1338,AF1338,AK1338,AP1338,AU1338)+AX1338/_xlfn.XLOOKUP(_xlfn.XLOOKUP($F1338,Clientes!$B$4:$B$39,Clientes!$C$4:$C$39),Cadastros!$L$6:$L$12,Cadastros!$M$6:$M$12)+IF($F1338="Bernardino Furlan",AY1338/2751.92,IF($F1338="Mauro José Salanti",AY1338/2751.92,AY1338/3356)),F1338&lt;&gt;0,SUM(L1338,Q1338,V1338,AA1338,AF1338,AK1338,AP1338,AU1338)))*(1-0.03),_xlfn.IFS(AW1338="SIM",SUM(L1338,Q1338,V1338,AA1338,AF1338,AK1338,AP1338,AU1338)+AX1338/_xlfn.XLOOKUP(_xlfn.XLOOKUP($F1338,Clientes!$B$4:$B$39,Clientes!$C$4:$C$39),Cadastros!$L$6:$L$12,Cadastros!$M$6:$M$12)+IF($F1338="Bernardino Furlan",AY1338/2751.92,IF($F1338="Mauro José Salanti",AY1338/2751.92,AY1338/3356)),F1338&lt;&gt;0,SUM(L1338,Q1338,V1338,AA1338,AF1338,AK1338,AP1338,AU1338))))</f>
        <v xml:space="preserve"> </v>
      </c>
      <c r="BE1338" s="120"/>
      <c r="BF1338" s="120"/>
      <c r="BG1338" s="120"/>
    </row>
    <row r="1339" spans="1:59" s="3" customFormat="1" x14ac:dyDescent="0.3">
      <c r="A1339" s="15" t="str">
        <f t="shared" si="260"/>
        <v/>
      </c>
      <c r="B1339" s="25"/>
      <c r="C1339" s="26"/>
      <c r="D1339" s="279"/>
      <c r="E1339" s="27"/>
      <c r="F1339" s="28"/>
      <c r="G1339" s="27"/>
      <c r="H1339" s="28"/>
      <c r="I1339" s="28"/>
      <c r="J1339" s="255" t="str">
        <f>IF(H1339="","",(_xlfn.XLOOKUP(H1339,Cadastros!$D$6:$D$90,Cadastros!$E$6:$E$90))*(1-_xlfn.XLOOKUP(_xlfn.XLOOKUP($F1339,Clientes!$B$4:$B$39,Clientes!$C$4:$C$39),Cadastros!$L$6:$L$12,Cadastros!$N$6:$N$12)))</f>
        <v/>
      </c>
      <c r="K1339" s="168" t="str">
        <f t="shared" si="261"/>
        <v/>
      </c>
      <c r="L1339" s="168" t="str">
        <f>IFERROR(K1339/_xlfn.XLOOKUP(_xlfn.XLOOKUP($F1339,Clientes!$B$4:$B$39,Clientes!$C$4:$C$39),Cadastros!$L$6:$L$12,Cadastros!$M$6:$M$12)," ")</f>
        <v xml:space="preserve"> </v>
      </c>
      <c r="M1339" s="28"/>
      <c r="N1339" s="28"/>
      <c r="O1339" s="255" t="str">
        <f>IF(M1339="","",(_xlfn.XLOOKUP(M1339,Cadastros!$D$6:$D$90,Cadastros!$E$6:$E$90))*(1-_xlfn.XLOOKUP(_xlfn.XLOOKUP($F1339,Clientes!$B$4:$B$39,Clientes!$C$4:$C$39),Cadastros!$L$6:$L$12,Cadastros!$N$6:$N$12)))</f>
        <v/>
      </c>
      <c r="P1339" s="168" t="str">
        <f t="shared" si="262"/>
        <v/>
      </c>
      <c r="Q1339" s="168" t="str">
        <f>IFERROR(P1339/_xlfn.XLOOKUP(_xlfn.XLOOKUP($F1339,Clientes!$B$4:$B$39,Clientes!$C$4:$C$39),Cadastros!$L$6:$L$12,Cadastros!$M$6:$M$12)," ")</f>
        <v xml:space="preserve"> </v>
      </c>
      <c r="R1339" s="28"/>
      <c r="S1339" s="28"/>
      <c r="T1339" s="255" t="str">
        <f>IF(R1339="","",(_xlfn.XLOOKUP(R1339,Cadastros!$D$6:$D$90,Cadastros!$E$6:$E$90))*(1-_xlfn.XLOOKUP(_xlfn.XLOOKUP($F1339,Clientes!$B$4:$B$39,Clientes!$C$4:$C$39),Cadastros!$L$6:$L$12,Cadastros!$N$6:$N$12)))</f>
        <v/>
      </c>
      <c r="U1339" s="168" t="str">
        <f t="shared" si="263"/>
        <v/>
      </c>
      <c r="V1339" s="168" t="str">
        <f>IFERROR(U1339/_xlfn.XLOOKUP(_xlfn.XLOOKUP($F1339,Clientes!$B$4:$B$39,Clientes!$C$4:$C$39),Cadastros!$L$6:$L$12,Cadastros!$M$6:$M$12)," ")</f>
        <v xml:space="preserve"> </v>
      </c>
      <c r="W1339" s="28"/>
      <c r="X1339" s="28"/>
      <c r="Y1339" s="255" t="str">
        <f>IF(W1339="","",(_xlfn.XLOOKUP(W1339,Cadastros!$D$6:$D$90,Cadastros!$E$6:$E$90))*(1-_xlfn.XLOOKUP(_xlfn.XLOOKUP($F1339,Clientes!$B$4:$B$39,Clientes!$C$4:$C$39),Cadastros!$L$6:$L$12,Cadastros!$N$6:$N$12)))</f>
        <v/>
      </c>
      <c r="Z1339" s="168" t="str">
        <f t="shared" si="264"/>
        <v/>
      </c>
      <c r="AA1339" s="168" t="str">
        <f>IFERROR(Z1339/_xlfn.XLOOKUP(_xlfn.XLOOKUP($F1339,Clientes!$B$4:$B$39,Clientes!$C$4:$C$39),Cadastros!$L$6:$L$12,Cadastros!$M$6:$M$12)," ")</f>
        <v xml:space="preserve"> </v>
      </c>
      <c r="AB1339" s="28"/>
      <c r="AC1339" s="28"/>
      <c r="AD1339" s="20" t="str">
        <f>IF(AB1339="","",IF($F1339="Bernardino Furlan",_xlfn.XLOOKUP(AB1339,Cadastros!$G$6:$G$90,Cadastros!$H$6:$H$90)*(1-0.18),IF($F1339="Mauro José Salanti",_xlfn.XLOOKUP(AB1339,Cadastros!$G$6:$G$90,Cadastros!$H$6:$H$90)*(1-0.18),_xlfn.XLOOKUP(AB1339,Cadastros!$G$6:$G$90,Cadastros!$H$6:$H$90))))</f>
        <v/>
      </c>
      <c r="AE1339" s="168" t="str">
        <f t="shared" si="265"/>
        <v/>
      </c>
      <c r="AF1339" s="168" t="str">
        <f t="shared" si="266"/>
        <v/>
      </c>
      <c r="AG1339" s="28"/>
      <c r="AH1339" s="28"/>
      <c r="AI1339" s="20" t="str">
        <f>IF(AG1339="","",IF($F1339="Bernardino Furlan",_xlfn.XLOOKUP(AG1339,Cadastros!$G$6:$G$90,Cadastros!$H$6:$H$90)*(1-0.18),IF($F1339="Mauro José Salanti",_xlfn.XLOOKUP(AG1339,Cadastros!$G$6:$G$90,Cadastros!$H$6:$H$90)*(1-0.18),_xlfn.XLOOKUP(AG1339,Cadastros!$G$6:$G$90,Cadastros!$H$6:$H$90))))</f>
        <v/>
      </c>
      <c r="AJ1339" s="168" t="str">
        <f t="shared" si="267"/>
        <v/>
      </c>
      <c r="AK1339" s="168" t="str">
        <f t="shared" si="268"/>
        <v/>
      </c>
      <c r="AL1339" s="28"/>
      <c r="AM1339" s="28"/>
      <c r="AN1339" s="20" t="str">
        <f>IF(AL1339="","",IF($F1339="Bernardino Furlan",_xlfn.XLOOKUP(AL1339,Cadastros!$G$6:$G$90,Cadastros!$H$6:$H$90)*(1-0.18),IF($F1339="Mauro José Salanti",_xlfn.XLOOKUP(AL1339,Cadastros!$G$6:$G$90,Cadastros!$H$6:$H$90)*(1-0.18),_xlfn.XLOOKUP(AL1339,Cadastros!$G$6:$G$90,Cadastros!$H$6:$H$90))))</f>
        <v/>
      </c>
      <c r="AO1339" s="168" t="str">
        <f t="shared" si="269"/>
        <v/>
      </c>
      <c r="AP1339" s="168" t="str">
        <f t="shared" si="270"/>
        <v/>
      </c>
      <c r="AQ1339" s="28"/>
      <c r="AR1339" s="28"/>
      <c r="AS1339" s="20" t="str">
        <f>IF(AQ1339="","",IF($F1339="Bernardino Furlan",_xlfn.XLOOKUP(AQ1339,Cadastros!$G$6:$G$90,Cadastros!$H$6:$H$90)*(1-0.18),IF($F1339="Mauro José Salanti",_xlfn.XLOOKUP(AQ1339,Cadastros!$G$6:$G$90,Cadastros!$H$6:$H$90)*(1-0.18),_xlfn.XLOOKUP(AQ1339,Cadastros!$G$6:$G$90,Cadastros!$H$6:$H$90))))</f>
        <v/>
      </c>
      <c r="AT1339" s="168" t="str">
        <f t="shared" si="271"/>
        <v/>
      </c>
      <c r="AU1339" s="168" t="str">
        <f t="shared" si="272"/>
        <v/>
      </c>
      <c r="AV1339" s="227"/>
      <c r="AW1339" s="30"/>
      <c r="AX1339" s="267"/>
      <c r="AY1339" s="267"/>
      <c r="AZ1339" s="29"/>
      <c r="BA1339" s="30"/>
      <c r="BB1339" s="23" t="str" cm="1">
        <f t="array" ref="BB1339">_xlfn.IFS(AW1339="SIM",SUM(K1339,P1339,U1339,Z1339,AE1339,AJ1339,AO1339,AT1339,AX1339,AY1339),F1339&lt;&gt;"",SUM(K1339,P1339,U1339,Z1339,AE1339,AJ1339,,AO1339,AT1339),F1339="","")</f>
        <v/>
      </c>
      <c r="BC1339" s="211" t="str" cm="1">
        <f t="array" ref="BC1339">_xlfn.IFS(E1339="","",G1339&lt;=E1339,BB1339*(1-0.03),G1339&lt;(E1339+8),BB1339,AZ1339="Boleto",BB1339*(1+0.001)^DATEDIF(E1339,G1339,"D"),AZ1339="Cheque",BB1339,AZ1339="Dinheiro","Alterar forma pgto")</f>
        <v/>
      </c>
      <c r="BD1339" s="276" t="str" cm="1">
        <f t="array" ref="BD1339">IF(F1339=0," ",IF(BC1339&lt;BB1339,(_xlfn.IFS(AW1339="SIM",SUM(L1339,Q1339,V1339,AA1339,AF1339,AK1339,AP1339,AU1339)+AX1339/_xlfn.XLOOKUP(_xlfn.XLOOKUP($F1339,Clientes!$B$4:$B$39,Clientes!$C$4:$C$39),Cadastros!$L$6:$L$12,Cadastros!$M$6:$M$12)+IF($F1339="Bernardino Furlan",AY1339/2751.92,IF($F1339="Mauro José Salanti",AY1339/2751.92,AY1339/3356)),F1339&lt;&gt;0,SUM(L1339,Q1339,V1339,AA1339,AF1339,AK1339,AP1339,AU1339)))*(1-0.03),_xlfn.IFS(AW1339="SIM",SUM(L1339,Q1339,V1339,AA1339,AF1339,AK1339,AP1339,AU1339)+AX1339/_xlfn.XLOOKUP(_xlfn.XLOOKUP($F1339,Clientes!$B$4:$B$39,Clientes!$C$4:$C$39),Cadastros!$L$6:$L$12,Cadastros!$M$6:$M$12)+IF($F1339="Bernardino Furlan",AY1339/2751.92,IF($F1339="Mauro José Salanti",AY1339/2751.92,AY1339/3356)),F1339&lt;&gt;0,SUM(L1339,Q1339,V1339,AA1339,AF1339,AK1339,AP1339,AU1339))))</f>
        <v xml:space="preserve"> </v>
      </c>
      <c r="BE1339" s="120"/>
      <c r="BF1339" s="120"/>
      <c r="BG1339" s="120"/>
    </row>
    <row r="1340" spans="1:59" s="3" customFormat="1" x14ac:dyDescent="0.3">
      <c r="A1340" s="15" t="str">
        <f t="shared" si="260"/>
        <v/>
      </c>
      <c r="B1340" s="25"/>
      <c r="C1340" s="26"/>
      <c r="D1340" s="279"/>
      <c r="E1340" s="27"/>
      <c r="F1340" s="28"/>
      <c r="G1340" s="27"/>
      <c r="H1340" s="28"/>
      <c r="I1340" s="28"/>
      <c r="J1340" s="255" t="str">
        <f>IF(H1340="","",(_xlfn.XLOOKUP(H1340,Cadastros!$D$6:$D$90,Cadastros!$E$6:$E$90))*(1-_xlfn.XLOOKUP(_xlfn.XLOOKUP($F1340,Clientes!$B$4:$B$39,Clientes!$C$4:$C$39),Cadastros!$L$6:$L$12,Cadastros!$N$6:$N$12)))</f>
        <v/>
      </c>
      <c r="K1340" s="168" t="str">
        <f t="shared" si="261"/>
        <v/>
      </c>
      <c r="L1340" s="168" t="str">
        <f>IFERROR(K1340/_xlfn.XLOOKUP(_xlfn.XLOOKUP($F1340,Clientes!$B$4:$B$39,Clientes!$C$4:$C$39),Cadastros!$L$6:$L$12,Cadastros!$M$6:$M$12)," ")</f>
        <v xml:space="preserve"> </v>
      </c>
      <c r="M1340" s="28"/>
      <c r="N1340" s="28"/>
      <c r="O1340" s="255" t="str">
        <f>IF(M1340="","",(_xlfn.XLOOKUP(M1340,Cadastros!$D$6:$D$90,Cadastros!$E$6:$E$90))*(1-_xlfn.XLOOKUP(_xlfn.XLOOKUP($F1340,Clientes!$B$4:$B$39,Clientes!$C$4:$C$39),Cadastros!$L$6:$L$12,Cadastros!$N$6:$N$12)))</f>
        <v/>
      </c>
      <c r="P1340" s="168" t="str">
        <f t="shared" si="262"/>
        <v/>
      </c>
      <c r="Q1340" s="168" t="str">
        <f>IFERROR(P1340/_xlfn.XLOOKUP(_xlfn.XLOOKUP($F1340,Clientes!$B$4:$B$39,Clientes!$C$4:$C$39),Cadastros!$L$6:$L$12,Cadastros!$M$6:$M$12)," ")</f>
        <v xml:space="preserve"> </v>
      </c>
      <c r="R1340" s="28"/>
      <c r="S1340" s="28"/>
      <c r="T1340" s="255" t="str">
        <f>IF(R1340="","",(_xlfn.XLOOKUP(R1340,Cadastros!$D$6:$D$90,Cadastros!$E$6:$E$90))*(1-_xlfn.XLOOKUP(_xlfn.XLOOKUP($F1340,Clientes!$B$4:$B$39,Clientes!$C$4:$C$39),Cadastros!$L$6:$L$12,Cadastros!$N$6:$N$12)))</f>
        <v/>
      </c>
      <c r="U1340" s="168" t="str">
        <f t="shared" si="263"/>
        <v/>
      </c>
      <c r="V1340" s="168" t="str">
        <f>IFERROR(U1340/_xlfn.XLOOKUP(_xlfn.XLOOKUP($F1340,Clientes!$B$4:$B$39,Clientes!$C$4:$C$39),Cadastros!$L$6:$L$12,Cadastros!$M$6:$M$12)," ")</f>
        <v xml:space="preserve"> </v>
      </c>
      <c r="W1340" s="28"/>
      <c r="X1340" s="28"/>
      <c r="Y1340" s="255" t="str">
        <f>IF(W1340="","",(_xlfn.XLOOKUP(W1340,Cadastros!$D$6:$D$90,Cadastros!$E$6:$E$90))*(1-_xlfn.XLOOKUP(_xlfn.XLOOKUP($F1340,Clientes!$B$4:$B$39,Clientes!$C$4:$C$39),Cadastros!$L$6:$L$12,Cadastros!$N$6:$N$12)))</f>
        <v/>
      </c>
      <c r="Z1340" s="168" t="str">
        <f t="shared" si="264"/>
        <v/>
      </c>
      <c r="AA1340" s="168" t="str">
        <f>IFERROR(Z1340/_xlfn.XLOOKUP(_xlfn.XLOOKUP($F1340,Clientes!$B$4:$B$39,Clientes!$C$4:$C$39),Cadastros!$L$6:$L$12,Cadastros!$M$6:$M$12)," ")</f>
        <v xml:space="preserve"> </v>
      </c>
      <c r="AB1340" s="28"/>
      <c r="AC1340" s="28"/>
      <c r="AD1340" s="20" t="str">
        <f>IF(AB1340="","",IF($F1340="Bernardino Furlan",_xlfn.XLOOKUP(AB1340,Cadastros!$G$6:$G$90,Cadastros!$H$6:$H$90)*(1-0.18),IF($F1340="Mauro José Salanti",_xlfn.XLOOKUP(AB1340,Cadastros!$G$6:$G$90,Cadastros!$H$6:$H$90)*(1-0.18),_xlfn.XLOOKUP(AB1340,Cadastros!$G$6:$G$90,Cadastros!$H$6:$H$90))))</f>
        <v/>
      </c>
      <c r="AE1340" s="168" t="str">
        <f t="shared" si="265"/>
        <v/>
      </c>
      <c r="AF1340" s="168" t="str">
        <f t="shared" si="266"/>
        <v/>
      </c>
      <c r="AG1340" s="28"/>
      <c r="AH1340" s="28"/>
      <c r="AI1340" s="20" t="str">
        <f>IF(AG1340="","",IF($F1340="Bernardino Furlan",_xlfn.XLOOKUP(AG1340,Cadastros!$G$6:$G$90,Cadastros!$H$6:$H$90)*(1-0.18),IF($F1340="Mauro José Salanti",_xlfn.XLOOKUP(AG1340,Cadastros!$G$6:$G$90,Cadastros!$H$6:$H$90)*(1-0.18),_xlfn.XLOOKUP(AG1340,Cadastros!$G$6:$G$90,Cadastros!$H$6:$H$90))))</f>
        <v/>
      </c>
      <c r="AJ1340" s="168" t="str">
        <f t="shared" si="267"/>
        <v/>
      </c>
      <c r="AK1340" s="168" t="str">
        <f t="shared" si="268"/>
        <v/>
      </c>
      <c r="AL1340" s="28"/>
      <c r="AM1340" s="28"/>
      <c r="AN1340" s="20" t="str">
        <f>IF(AL1340="","",IF($F1340="Bernardino Furlan",_xlfn.XLOOKUP(AL1340,Cadastros!$G$6:$G$90,Cadastros!$H$6:$H$90)*(1-0.18),IF($F1340="Mauro José Salanti",_xlfn.XLOOKUP(AL1340,Cadastros!$G$6:$G$90,Cadastros!$H$6:$H$90)*(1-0.18),_xlfn.XLOOKUP(AL1340,Cadastros!$G$6:$G$90,Cadastros!$H$6:$H$90))))</f>
        <v/>
      </c>
      <c r="AO1340" s="168" t="str">
        <f t="shared" si="269"/>
        <v/>
      </c>
      <c r="AP1340" s="168" t="str">
        <f t="shared" si="270"/>
        <v/>
      </c>
      <c r="AQ1340" s="28"/>
      <c r="AR1340" s="28"/>
      <c r="AS1340" s="20" t="str">
        <f>IF(AQ1340="","",IF($F1340="Bernardino Furlan",_xlfn.XLOOKUP(AQ1340,Cadastros!$G$6:$G$90,Cadastros!$H$6:$H$90)*(1-0.18),IF($F1340="Mauro José Salanti",_xlfn.XLOOKUP(AQ1340,Cadastros!$G$6:$G$90,Cadastros!$H$6:$H$90)*(1-0.18),_xlfn.XLOOKUP(AQ1340,Cadastros!$G$6:$G$90,Cadastros!$H$6:$H$90))))</f>
        <v/>
      </c>
      <c r="AT1340" s="168" t="str">
        <f t="shared" si="271"/>
        <v/>
      </c>
      <c r="AU1340" s="168" t="str">
        <f t="shared" si="272"/>
        <v/>
      </c>
      <c r="AV1340" s="227"/>
      <c r="AW1340" s="30"/>
      <c r="AX1340" s="267"/>
      <c r="AY1340" s="267"/>
      <c r="AZ1340" s="29"/>
      <c r="BA1340" s="30"/>
      <c r="BB1340" s="23" t="str" cm="1">
        <f t="array" ref="BB1340">_xlfn.IFS(AW1340="SIM",SUM(K1340,P1340,U1340,Z1340,AE1340,AJ1340,AO1340,AT1340,AX1340,AY1340),F1340&lt;&gt;"",SUM(K1340,P1340,U1340,Z1340,AE1340,AJ1340,,AO1340,AT1340),F1340="","")</f>
        <v/>
      </c>
      <c r="BC1340" s="211" t="str" cm="1">
        <f t="array" ref="BC1340">_xlfn.IFS(E1340="","",G1340&lt;=E1340,BB1340*(1-0.03),G1340&lt;(E1340+8),BB1340,AZ1340="Boleto",BB1340*(1+0.001)^DATEDIF(E1340,G1340,"D"),AZ1340="Cheque",BB1340,AZ1340="Dinheiro","Alterar forma pgto")</f>
        <v/>
      </c>
      <c r="BD1340" s="276" t="str" cm="1">
        <f t="array" ref="BD1340">IF(F1340=0," ",IF(BC1340&lt;BB1340,(_xlfn.IFS(AW1340="SIM",SUM(L1340,Q1340,V1340,AA1340,AF1340,AK1340,AP1340,AU1340)+AX1340/_xlfn.XLOOKUP(_xlfn.XLOOKUP($F1340,Clientes!$B$4:$B$39,Clientes!$C$4:$C$39),Cadastros!$L$6:$L$12,Cadastros!$M$6:$M$12)+IF($F1340="Bernardino Furlan",AY1340/2751.92,IF($F1340="Mauro José Salanti",AY1340/2751.92,AY1340/3356)),F1340&lt;&gt;0,SUM(L1340,Q1340,V1340,AA1340,AF1340,AK1340,AP1340,AU1340)))*(1-0.03),_xlfn.IFS(AW1340="SIM",SUM(L1340,Q1340,V1340,AA1340,AF1340,AK1340,AP1340,AU1340)+AX1340/_xlfn.XLOOKUP(_xlfn.XLOOKUP($F1340,Clientes!$B$4:$B$39,Clientes!$C$4:$C$39),Cadastros!$L$6:$L$12,Cadastros!$M$6:$M$12)+IF($F1340="Bernardino Furlan",AY1340/2751.92,IF($F1340="Mauro José Salanti",AY1340/2751.92,AY1340/3356)),F1340&lt;&gt;0,SUM(L1340,Q1340,V1340,AA1340,AF1340,AK1340,AP1340,AU1340))))</f>
        <v xml:space="preserve"> </v>
      </c>
      <c r="BE1340" s="120"/>
      <c r="BF1340" s="120"/>
      <c r="BG1340" s="120"/>
    </row>
    <row r="1341" spans="1:59" s="3" customFormat="1" x14ac:dyDescent="0.3">
      <c r="A1341" s="15" t="str">
        <f t="shared" si="260"/>
        <v/>
      </c>
      <c r="B1341" s="25"/>
      <c r="C1341" s="26"/>
      <c r="D1341" s="279"/>
      <c r="E1341" s="27"/>
      <c r="F1341" s="28"/>
      <c r="G1341" s="27"/>
      <c r="H1341" s="28"/>
      <c r="I1341" s="28"/>
      <c r="J1341" s="255" t="str">
        <f>IF(H1341="","",(_xlfn.XLOOKUP(H1341,Cadastros!$D$6:$D$90,Cadastros!$E$6:$E$90))*(1-_xlfn.XLOOKUP(_xlfn.XLOOKUP($F1341,Clientes!$B$4:$B$39,Clientes!$C$4:$C$39),Cadastros!$L$6:$L$12,Cadastros!$N$6:$N$12)))</f>
        <v/>
      </c>
      <c r="K1341" s="168" t="str">
        <f t="shared" si="261"/>
        <v/>
      </c>
      <c r="L1341" s="168" t="str">
        <f>IFERROR(K1341/_xlfn.XLOOKUP(_xlfn.XLOOKUP($F1341,Clientes!$B$4:$B$39,Clientes!$C$4:$C$39),Cadastros!$L$6:$L$12,Cadastros!$M$6:$M$12)," ")</f>
        <v xml:space="preserve"> </v>
      </c>
      <c r="M1341" s="28"/>
      <c r="N1341" s="28"/>
      <c r="O1341" s="255" t="str">
        <f>IF(M1341="","",(_xlfn.XLOOKUP(M1341,Cadastros!$D$6:$D$90,Cadastros!$E$6:$E$90))*(1-_xlfn.XLOOKUP(_xlfn.XLOOKUP($F1341,Clientes!$B$4:$B$39,Clientes!$C$4:$C$39),Cadastros!$L$6:$L$12,Cadastros!$N$6:$N$12)))</f>
        <v/>
      </c>
      <c r="P1341" s="168" t="str">
        <f t="shared" si="262"/>
        <v/>
      </c>
      <c r="Q1341" s="168" t="str">
        <f>IFERROR(P1341/_xlfn.XLOOKUP(_xlfn.XLOOKUP($F1341,Clientes!$B$4:$B$39,Clientes!$C$4:$C$39),Cadastros!$L$6:$L$12,Cadastros!$M$6:$M$12)," ")</f>
        <v xml:space="preserve"> </v>
      </c>
      <c r="R1341" s="28"/>
      <c r="S1341" s="28"/>
      <c r="T1341" s="255" t="str">
        <f>IF(R1341="","",(_xlfn.XLOOKUP(R1341,Cadastros!$D$6:$D$90,Cadastros!$E$6:$E$90))*(1-_xlfn.XLOOKUP(_xlfn.XLOOKUP($F1341,Clientes!$B$4:$B$39,Clientes!$C$4:$C$39),Cadastros!$L$6:$L$12,Cadastros!$N$6:$N$12)))</f>
        <v/>
      </c>
      <c r="U1341" s="168" t="str">
        <f t="shared" si="263"/>
        <v/>
      </c>
      <c r="V1341" s="168" t="str">
        <f>IFERROR(U1341/_xlfn.XLOOKUP(_xlfn.XLOOKUP($F1341,Clientes!$B$4:$B$39,Clientes!$C$4:$C$39),Cadastros!$L$6:$L$12,Cadastros!$M$6:$M$12)," ")</f>
        <v xml:space="preserve"> </v>
      </c>
      <c r="W1341" s="28"/>
      <c r="X1341" s="28"/>
      <c r="Y1341" s="255" t="str">
        <f>IF(W1341="","",(_xlfn.XLOOKUP(W1341,Cadastros!$D$6:$D$90,Cadastros!$E$6:$E$90))*(1-_xlfn.XLOOKUP(_xlfn.XLOOKUP($F1341,Clientes!$B$4:$B$39,Clientes!$C$4:$C$39),Cadastros!$L$6:$L$12,Cadastros!$N$6:$N$12)))</f>
        <v/>
      </c>
      <c r="Z1341" s="168" t="str">
        <f t="shared" si="264"/>
        <v/>
      </c>
      <c r="AA1341" s="168" t="str">
        <f>IFERROR(Z1341/_xlfn.XLOOKUP(_xlfn.XLOOKUP($F1341,Clientes!$B$4:$B$39,Clientes!$C$4:$C$39),Cadastros!$L$6:$L$12,Cadastros!$M$6:$M$12)," ")</f>
        <v xml:space="preserve"> </v>
      </c>
      <c r="AB1341" s="28"/>
      <c r="AC1341" s="28"/>
      <c r="AD1341" s="20" t="str">
        <f>IF(AB1341="","",IF($F1341="Bernardino Furlan",_xlfn.XLOOKUP(AB1341,Cadastros!$G$6:$G$90,Cadastros!$H$6:$H$90)*(1-0.18),IF($F1341="Mauro José Salanti",_xlfn.XLOOKUP(AB1341,Cadastros!$G$6:$G$90,Cadastros!$H$6:$H$90)*(1-0.18),_xlfn.XLOOKUP(AB1341,Cadastros!$G$6:$G$90,Cadastros!$H$6:$H$90))))</f>
        <v/>
      </c>
      <c r="AE1341" s="168" t="str">
        <f t="shared" si="265"/>
        <v/>
      </c>
      <c r="AF1341" s="168" t="str">
        <f t="shared" si="266"/>
        <v/>
      </c>
      <c r="AG1341" s="28"/>
      <c r="AH1341" s="28"/>
      <c r="AI1341" s="20" t="str">
        <f>IF(AG1341="","",IF($F1341="Bernardino Furlan",_xlfn.XLOOKUP(AG1341,Cadastros!$G$6:$G$90,Cadastros!$H$6:$H$90)*(1-0.18),IF($F1341="Mauro José Salanti",_xlfn.XLOOKUP(AG1341,Cadastros!$G$6:$G$90,Cadastros!$H$6:$H$90)*(1-0.18),_xlfn.XLOOKUP(AG1341,Cadastros!$G$6:$G$90,Cadastros!$H$6:$H$90))))</f>
        <v/>
      </c>
      <c r="AJ1341" s="168" t="str">
        <f t="shared" si="267"/>
        <v/>
      </c>
      <c r="AK1341" s="168" t="str">
        <f t="shared" si="268"/>
        <v/>
      </c>
      <c r="AL1341" s="28"/>
      <c r="AM1341" s="28"/>
      <c r="AN1341" s="20" t="str">
        <f>IF(AL1341="","",IF($F1341="Bernardino Furlan",_xlfn.XLOOKUP(AL1341,Cadastros!$G$6:$G$90,Cadastros!$H$6:$H$90)*(1-0.18),IF($F1341="Mauro José Salanti",_xlfn.XLOOKUP(AL1341,Cadastros!$G$6:$G$90,Cadastros!$H$6:$H$90)*(1-0.18),_xlfn.XLOOKUP(AL1341,Cadastros!$G$6:$G$90,Cadastros!$H$6:$H$90))))</f>
        <v/>
      </c>
      <c r="AO1341" s="168" t="str">
        <f t="shared" si="269"/>
        <v/>
      </c>
      <c r="AP1341" s="168" t="str">
        <f t="shared" si="270"/>
        <v/>
      </c>
      <c r="AQ1341" s="28"/>
      <c r="AR1341" s="28"/>
      <c r="AS1341" s="20" t="str">
        <f>IF(AQ1341="","",IF($F1341="Bernardino Furlan",_xlfn.XLOOKUP(AQ1341,Cadastros!$G$6:$G$90,Cadastros!$H$6:$H$90)*(1-0.18),IF($F1341="Mauro José Salanti",_xlfn.XLOOKUP(AQ1341,Cadastros!$G$6:$G$90,Cadastros!$H$6:$H$90)*(1-0.18),_xlfn.XLOOKUP(AQ1341,Cadastros!$G$6:$G$90,Cadastros!$H$6:$H$90))))</f>
        <v/>
      </c>
      <c r="AT1341" s="168" t="str">
        <f t="shared" si="271"/>
        <v/>
      </c>
      <c r="AU1341" s="168" t="str">
        <f t="shared" si="272"/>
        <v/>
      </c>
      <c r="AV1341" s="227"/>
      <c r="AW1341" s="30"/>
      <c r="AX1341" s="267"/>
      <c r="AY1341" s="267"/>
      <c r="AZ1341" s="29"/>
      <c r="BA1341" s="30"/>
      <c r="BB1341" s="23" t="str" cm="1">
        <f t="array" ref="BB1341">_xlfn.IFS(AW1341="SIM",SUM(K1341,P1341,U1341,Z1341,AE1341,AJ1341,AO1341,AT1341,AX1341,AY1341),F1341&lt;&gt;"",SUM(K1341,P1341,U1341,Z1341,AE1341,AJ1341,,AO1341,AT1341),F1341="","")</f>
        <v/>
      </c>
      <c r="BC1341" s="211" t="str" cm="1">
        <f t="array" ref="BC1341">_xlfn.IFS(E1341="","",G1341&lt;=E1341,BB1341*(1-0.03),G1341&lt;(E1341+8),BB1341,AZ1341="Boleto",BB1341*(1+0.001)^DATEDIF(E1341,G1341,"D"),AZ1341="Cheque",BB1341,AZ1341="Dinheiro","Alterar forma pgto")</f>
        <v/>
      </c>
      <c r="BD1341" s="276" t="str" cm="1">
        <f t="array" ref="BD1341">IF(F1341=0," ",IF(BC1341&lt;BB1341,(_xlfn.IFS(AW1341="SIM",SUM(L1341,Q1341,V1341,AA1341,AF1341,AK1341,AP1341,AU1341)+AX1341/_xlfn.XLOOKUP(_xlfn.XLOOKUP($F1341,Clientes!$B$4:$B$39,Clientes!$C$4:$C$39),Cadastros!$L$6:$L$12,Cadastros!$M$6:$M$12)+IF($F1341="Bernardino Furlan",AY1341/2751.92,IF($F1341="Mauro José Salanti",AY1341/2751.92,AY1341/3356)),F1341&lt;&gt;0,SUM(L1341,Q1341,V1341,AA1341,AF1341,AK1341,AP1341,AU1341)))*(1-0.03),_xlfn.IFS(AW1341="SIM",SUM(L1341,Q1341,V1341,AA1341,AF1341,AK1341,AP1341,AU1341)+AX1341/_xlfn.XLOOKUP(_xlfn.XLOOKUP($F1341,Clientes!$B$4:$B$39,Clientes!$C$4:$C$39),Cadastros!$L$6:$L$12,Cadastros!$M$6:$M$12)+IF($F1341="Bernardino Furlan",AY1341/2751.92,IF($F1341="Mauro José Salanti",AY1341/2751.92,AY1341/3356)),F1341&lt;&gt;0,SUM(L1341,Q1341,V1341,AA1341,AF1341,AK1341,AP1341,AU1341))))</f>
        <v xml:space="preserve"> </v>
      </c>
      <c r="BE1341" s="120"/>
      <c r="BF1341" s="120"/>
      <c r="BG1341" s="120"/>
    </row>
    <row r="1342" spans="1:59" s="3" customFormat="1" x14ac:dyDescent="0.3">
      <c r="A1342" s="15" t="str">
        <f t="shared" si="260"/>
        <v/>
      </c>
      <c r="B1342" s="25"/>
      <c r="C1342" s="26"/>
      <c r="D1342" s="279"/>
      <c r="E1342" s="27"/>
      <c r="F1342" s="28"/>
      <c r="G1342" s="27"/>
      <c r="H1342" s="28"/>
      <c r="I1342" s="28"/>
      <c r="J1342" s="255" t="str">
        <f>IF(H1342="","",(_xlfn.XLOOKUP(H1342,Cadastros!$D$6:$D$90,Cadastros!$E$6:$E$90))*(1-_xlfn.XLOOKUP(_xlfn.XLOOKUP($F1342,Clientes!$B$4:$B$39,Clientes!$C$4:$C$39),Cadastros!$L$6:$L$12,Cadastros!$N$6:$N$12)))</f>
        <v/>
      </c>
      <c r="K1342" s="168" t="str">
        <f t="shared" si="261"/>
        <v/>
      </c>
      <c r="L1342" s="168" t="str">
        <f>IFERROR(K1342/_xlfn.XLOOKUP(_xlfn.XLOOKUP($F1342,Clientes!$B$4:$B$39,Clientes!$C$4:$C$39),Cadastros!$L$6:$L$12,Cadastros!$M$6:$M$12)," ")</f>
        <v xml:space="preserve"> </v>
      </c>
      <c r="M1342" s="28"/>
      <c r="N1342" s="28"/>
      <c r="O1342" s="255" t="str">
        <f>IF(M1342="","",(_xlfn.XLOOKUP(M1342,Cadastros!$D$6:$D$90,Cadastros!$E$6:$E$90))*(1-_xlfn.XLOOKUP(_xlfn.XLOOKUP($F1342,Clientes!$B$4:$B$39,Clientes!$C$4:$C$39),Cadastros!$L$6:$L$12,Cadastros!$N$6:$N$12)))</f>
        <v/>
      </c>
      <c r="P1342" s="168" t="str">
        <f t="shared" si="262"/>
        <v/>
      </c>
      <c r="Q1342" s="168" t="str">
        <f>IFERROR(P1342/_xlfn.XLOOKUP(_xlfn.XLOOKUP($F1342,Clientes!$B$4:$B$39,Clientes!$C$4:$C$39),Cadastros!$L$6:$L$12,Cadastros!$M$6:$M$12)," ")</f>
        <v xml:space="preserve"> </v>
      </c>
      <c r="R1342" s="28"/>
      <c r="S1342" s="28"/>
      <c r="T1342" s="255" t="str">
        <f>IF(R1342="","",(_xlfn.XLOOKUP(R1342,Cadastros!$D$6:$D$90,Cadastros!$E$6:$E$90))*(1-_xlfn.XLOOKUP(_xlfn.XLOOKUP($F1342,Clientes!$B$4:$B$39,Clientes!$C$4:$C$39),Cadastros!$L$6:$L$12,Cadastros!$N$6:$N$12)))</f>
        <v/>
      </c>
      <c r="U1342" s="168" t="str">
        <f t="shared" si="263"/>
        <v/>
      </c>
      <c r="V1342" s="168" t="str">
        <f>IFERROR(U1342/_xlfn.XLOOKUP(_xlfn.XLOOKUP($F1342,Clientes!$B$4:$B$39,Clientes!$C$4:$C$39),Cadastros!$L$6:$L$12,Cadastros!$M$6:$M$12)," ")</f>
        <v xml:space="preserve"> </v>
      </c>
      <c r="W1342" s="28"/>
      <c r="X1342" s="28"/>
      <c r="Y1342" s="255" t="str">
        <f>IF(W1342="","",(_xlfn.XLOOKUP(W1342,Cadastros!$D$6:$D$90,Cadastros!$E$6:$E$90))*(1-_xlfn.XLOOKUP(_xlfn.XLOOKUP($F1342,Clientes!$B$4:$B$39,Clientes!$C$4:$C$39),Cadastros!$L$6:$L$12,Cadastros!$N$6:$N$12)))</f>
        <v/>
      </c>
      <c r="Z1342" s="168" t="str">
        <f t="shared" si="264"/>
        <v/>
      </c>
      <c r="AA1342" s="168" t="str">
        <f>IFERROR(Z1342/_xlfn.XLOOKUP(_xlfn.XLOOKUP($F1342,Clientes!$B$4:$B$39,Clientes!$C$4:$C$39),Cadastros!$L$6:$L$12,Cadastros!$M$6:$M$12)," ")</f>
        <v xml:space="preserve"> </v>
      </c>
      <c r="AB1342" s="28"/>
      <c r="AC1342" s="28"/>
      <c r="AD1342" s="20" t="str">
        <f>IF(AB1342="","",IF($F1342="Bernardino Furlan",_xlfn.XLOOKUP(AB1342,Cadastros!$G$6:$G$90,Cadastros!$H$6:$H$90)*(1-0.18),IF($F1342="Mauro José Salanti",_xlfn.XLOOKUP(AB1342,Cadastros!$G$6:$G$90,Cadastros!$H$6:$H$90)*(1-0.18),_xlfn.XLOOKUP(AB1342,Cadastros!$G$6:$G$90,Cadastros!$H$6:$H$90))))</f>
        <v/>
      </c>
      <c r="AE1342" s="168" t="str">
        <f t="shared" si="265"/>
        <v/>
      </c>
      <c r="AF1342" s="168" t="str">
        <f t="shared" si="266"/>
        <v/>
      </c>
      <c r="AG1342" s="28"/>
      <c r="AH1342" s="28"/>
      <c r="AI1342" s="20" t="str">
        <f>IF(AG1342="","",IF($F1342="Bernardino Furlan",_xlfn.XLOOKUP(AG1342,Cadastros!$G$6:$G$90,Cadastros!$H$6:$H$90)*(1-0.18),IF($F1342="Mauro José Salanti",_xlfn.XLOOKUP(AG1342,Cadastros!$G$6:$G$90,Cadastros!$H$6:$H$90)*(1-0.18),_xlfn.XLOOKUP(AG1342,Cadastros!$G$6:$G$90,Cadastros!$H$6:$H$90))))</f>
        <v/>
      </c>
      <c r="AJ1342" s="168" t="str">
        <f t="shared" si="267"/>
        <v/>
      </c>
      <c r="AK1342" s="168" t="str">
        <f t="shared" si="268"/>
        <v/>
      </c>
      <c r="AL1342" s="28"/>
      <c r="AM1342" s="28"/>
      <c r="AN1342" s="20" t="str">
        <f>IF(AL1342="","",IF($F1342="Bernardino Furlan",_xlfn.XLOOKUP(AL1342,Cadastros!$G$6:$G$90,Cadastros!$H$6:$H$90)*(1-0.18),IF($F1342="Mauro José Salanti",_xlfn.XLOOKUP(AL1342,Cadastros!$G$6:$G$90,Cadastros!$H$6:$H$90)*(1-0.18),_xlfn.XLOOKUP(AL1342,Cadastros!$G$6:$G$90,Cadastros!$H$6:$H$90))))</f>
        <v/>
      </c>
      <c r="AO1342" s="168" t="str">
        <f t="shared" si="269"/>
        <v/>
      </c>
      <c r="AP1342" s="168" t="str">
        <f t="shared" si="270"/>
        <v/>
      </c>
      <c r="AQ1342" s="28"/>
      <c r="AR1342" s="28"/>
      <c r="AS1342" s="20" t="str">
        <f>IF(AQ1342="","",IF($F1342="Bernardino Furlan",_xlfn.XLOOKUP(AQ1342,Cadastros!$G$6:$G$90,Cadastros!$H$6:$H$90)*(1-0.18),IF($F1342="Mauro José Salanti",_xlfn.XLOOKUP(AQ1342,Cadastros!$G$6:$G$90,Cadastros!$H$6:$H$90)*(1-0.18),_xlfn.XLOOKUP(AQ1342,Cadastros!$G$6:$G$90,Cadastros!$H$6:$H$90))))</f>
        <v/>
      </c>
      <c r="AT1342" s="168" t="str">
        <f t="shared" si="271"/>
        <v/>
      </c>
      <c r="AU1342" s="168" t="str">
        <f t="shared" si="272"/>
        <v/>
      </c>
      <c r="AV1342" s="227"/>
      <c r="AW1342" s="30"/>
      <c r="AX1342" s="267"/>
      <c r="AY1342" s="267"/>
      <c r="AZ1342" s="29"/>
      <c r="BA1342" s="30"/>
      <c r="BB1342" s="23" t="str" cm="1">
        <f t="array" ref="BB1342">_xlfn.IFS(AW1342="SIM",SUM(K1342,P1342,U1342,Z1342,AE1342,AJ1342,AO1342,AT1342,AX1342,AY1342),F1342&lt;&gt;"",SUM(K1342,P1342,U1342,Z1342,AE1342,AJ1342,,AO1342,AT1342),F1342="","")</f>
        <v/>
      </c>
      <c r="BC1342" s="211" t="str" cm="1">
        <f t="array" ref="BC1342">_xlfn.IFS(E1342="","",G1342&lt;=E1342,BB1342*(1-0.03),G1342&lt;(E1342+8),BB1342,AZ1342="Boleto",BB1342*(1+0.001)^DATEDIF(E1342,G1342,"D"),AZ1342="Cheque",BB1342,AZ1342="Dinheiro","Alterar forma pgto")</f>
        <v/>
      </c>
      <c r="BD1342" s="276" t="str" cm="1">
        <f t="array" ref="BD1342">IF(F1342=0," ",IF(BC1342&lt;BB1342,(_xlfn.IFS(AW1342="SIM",SUM(L1342,Q1342,V1342,AA1342,AF1342,AK1342,AP1342,AU1342)+AX1342/_xlfn.XLOOKUP(_xlfn.XLOOKUP($F1342,Clientes!$B$4:$B$39,Clientes!$C$4:$C$39),Cadastros!$L$6:$L$12,Cadastros!$M$6:$M$12)+IF($F1342="Bernardino Furlan",AY1342/2751.92,IF($F1342="Mauro José Salanti",AY1342/2751.92,AY1342/3356)),F1342&lt;&gt;0,SUM(L1342,Q1342,V1342,AA1342,AF1342,AK1342,AP1342,AU1342)))*(1-0.03),_xlfn.IFS(AW1342="SIM",SUM(L1342,Q1342,V1342,AA1342,AF1342,AK1342,AP1342,AU1342)+AX1342/_xlfn.XLOOKUP(_xlfn.XLOOKUP($F1342,Clientes!$B$4:$B$39,Clientes!$C$4:$C$39),Cadastros!$L$6:$L$12,Cadastros!$M$6:$M$12)+IF($F1342="Bernardino Furlan",AY1342/2751.92,IF($F1342="Mauro José Salanti",AY1342/2751.92,AY1342/3356)),F1342&lt;&gt;0,SUM(L1342,Q1342,V1342,AA1342,AF1342,AK1342,AP1342,AU1342))))</f>
        <v xml:space="preserve"> </v>
      </c>
      <c r="BE1342" s="120"/>
      <c r="BF1342" s="120"/>
      <c r="BG1342" s="120"/>
    </row>
    <row r="1343" spans="1:59" s="3" customFormat="1" x14ac:dyDescent="0.3">
      <c r="A1343" s="15" t="str">
        <f t="shared" si="260"/>
        <v/>
      </c>
      <c r="B1343" s="25"/>
      <c r="C1343" s="26"/>
      <c r="D1343" s="279"/>
      <c r="E1343" s="27"/>
      <c r="F1343" s="28"/>
      <c r="G1343" s="27"/>
      <c r="H1343" s="28"/>
      <c r="I1343" s="28"/>
      <c r="J1343" s="255" t="str">
        <f>IF(H1343="","",(_xlfn.XLOOKUP(H1343,Cadastros!$D$6:$D$90,Cadastros!$E$6:$E$90))*(1-_xlfn.XLOOKUP(_xlfn.XLOOKUP($F1343,Clientes!$B$4:$B$39,Clientes!$C$4:$C$39),Cadastros!$L$6:$L$12,Cadastros!$N$6:$N$12)))</f>
        <v/>
      </c>
      <c r="K1343" s="168" t="str">
        <f t="shared" si="261"/>
        <v/>
      </c>
      <c r="L1343" s="168" t="str">
        <f>IFERROR(K1343/_xlfn.XLOOKUP(_xlfn.XLOOKUP($F1343,Clientes!$B$4:$B$39,Clientes!$C$4:$C$39),Cadastros!$L$6:$L$12,Cadastros!$M$6:$M$12)," ")</f>
        <v xml:space="preserve"> </v>
      </c>
      <c r="M1343" s="28"/>
      <c r="N1343" s="28"/>
      <c r="O1343" s="255" t="str">
        <f>IF(M1343="","",(_xlfn.XLOOKUP(M1343,Cadastros!$D$6:$D$90,Cadastros!$E$6:$E$90))*(1-_xlfn.XLOOKUP(_xlfn.XLOOKUP($F1343,Clientes!$B$4:$B$39,Clientes!$C$4:$C$39),Cadastros!$L$6:$L$12,Cadastros!$N$6:$N$12)))</f>
        <v/>
      </c>
      <c r="P1343" s="168" t="str">
        <f t="shared" si="262"/>
        <v/>
      </c>
      <c r="Q1343" s="168" t="str">
        <f>IFERROR(P1343/_xlfn.XLOOKUP(_xlfn.XLOOKUP($F1343,Clientes!$B$4:$B$39,Clientes!$C$4:$C$39),Cadastros!$L$6:$L$12,Cadastros!$M$6:$M$12)," ")</f>
        <v xml:space="preserve"> </v>
      </c>
      <c r="R1343" s="28"/>
      <c r="S1343" s="28"/>
      <c r="T1343" s="255" t="str">
        <f>IF(R1343="","",(_xlfn.XLOOKUP(R1343,Cadastros!$D$6:$D$90,Cadastros!$E$6:$E$90))*(1-_xlfn.XLOOKUP(_xlfn.XLOOKUP($F1343,Clientes!$B$4:$B$39,Clientes!$C$4:$C$39),Cadastros!$L$6:$L$12,Cadastros!$N$6:$N$12)))</f>
        <v/>
      </c>
      <c r="U1343" s="168" t="str">
        <f t="shared" si="263"/>
        <v/>
      </c>
      <c r="V1343" s="168" t="str">
        <f>IFERROR(U1343/_xlfn.XLOOKUP(_xlfn.XLOOKUP($F1343,Clientes!$B$4:$B$39,Clientes!$C$4:$C$39),Cadastros!$L$6:$L$12,Cadastros!$M$6:$M$12)," ")</f>
        <v xml:space="preserve"> </v>
      </c>
      <c r="W1343" s="28"/>
      <c r="X1343" s="28"/>
      <c r="Y1343" s="255" t="str">
        <f>IF(W1343="","",(_xlfn.XLOOKUP(W1343,Cadastros!$D$6:$D$90,Cadastros!$E$6:$E$90))*(1-_xlfn.XLOOKUP(_xlfn.XLOOKUP($F1343,Clientes!$B$4:$B$39,Clientes!$C$4:$C$39),Cadastros!$L$6:$L$12,Cadastros!$N$6:$N$12)))</f>
        <v/>
      </c>
      <c r="Z1343" s="168" t="str">
        <f t="shared" si="264"/>
        <v/>
      </c>
      <c r="AA1343" s="168" t="str">
        <f>IFERROR(Z1343/_xlfn.XLOOKUP(_xlfn.XLOOKUP($F1343,Clientes!$B$4:$B$39,Clientes!$C$4:$C$39),Cadastros!$L$6:$L$12,Cadastros!$M$6:$M$12)," ")</f>
        <v xml:space="preserve"> </v>
      </c>
      <c r="AB1343" s="28"/>
      <c r="AC1343" s="28"/>
      <c r="AD1343" s="20" t="str">
        <f>IF(AB1343="","",IF($F1343="Bernardino Furlan",_xlfn.XLOOKUP(AB1343,Cadastros!$G$6:$G$90,Cadastros!$H$6:$H$90)*(1-0.18),IF($F1343="Mauro José Salanti",_xlfn.XLOOKUP(AB1343,Cadastros!$G$6:$G$90,Cadastros!$H$6:$H$90)*(1-0.18),_xlfn.XLOOKUP(AB1343,Cadastros!$G$6:$G$90,Cadastros!$H$6:$H$90))))</f>
        <v/>
      </c>
      <c r="AE1343" s="168" t="str">
        <f t="shared" si="265"/>
        <v/>
      </c>
      <c r="AF1343" s="168" t="str">
        <f t="shared" si="266"/>
        <v/>
      </c>
      <c r="AG1343" s="28"/>
      <c r="AH1343" s="28"/>
      <c r="AI1343" s="20" t="str">
        <f>IF(AG1343="","",IF($F1343="Bernardino Furlan",_xlfn.XLOOKUP(AG1343,Cadastros!$G$6:$G$90,Cadastros!$H$6:$H$90)*(1-0.18),IF($F1343="Mauro José Salanti",_xlfn.XLOOKUP(AG1343,Cadastros!$G$6:$G$90,Cadastros!$H$6:$H$90)*(1-0.18),_xlfn.XLOOKUP(AG1343,Cadastros!$G$6:$G$90,Cadastros!$H$6:$H$90))))</f>
        <v/>
      </c>
      <c r="AJ1343" s="168" t="str">
        <f t="shared" si="267"/>
        <v/>
      </c>
      <c r="AK1343" s="168" t="str">
        <f t="shared" si="268"/>
        <v/>
      </c>
      <c r="AL1343" s="28"/>
      <c r="AM1343" s="28"/>
      <c r="AN1343" s="20" t="str">
        <f>IF(AL1343="","",IF($F1343="Bernardino Furlan",_xlfn.XLOOKUP(AL1343,Cadastros!$G$6:$G$90,Cadastros!$H$6:$H$90)*(1-0.18),IF($F1343="Mauro José Salanti",_xlfn.XLOOKUP(AL1343,Cadastros!$G$6:$G$90,Cadastros!$H$6:$H$90)*(1-0.18),_xlfn.XLOOKUP(AL1343,Cadastros!$G$6:$G$90,Cadastros!$H$6:$H$90))))</f>
        <v/>
      </c>
      <c r="AO1343" s="168" t="str">
        <f t="shared" si="269"/>
        <v/>
      </c>
      <c r="AP1343" s="168" t="str">
        <f t="shared" si="270"/>
        <v/>
      </c>
      <c r="AQ1343" s="28"/>
      <c r="AR1343" s="28"/>
      <c r="AS1343" s="20" t="str">
        <f>IF(AQ1343="","",IF($F1343="Bernardino Furlan",_xlfn.XLOOKUP(AQ1343,Cadastros!$G$6:$G$90,Cadastros!$H$6:$H$90)*(1-0.18),IF($F1343="Mauro José Salanti",_xlfn.XLOOKUP(AQ1343,Cadastros!$G$6:$G$90,Cadastros!$H$6:$H$90)*(1-0.18),_xlfn.XLOOKUP(AQ1343,Cadastros!$G$6:$G$90,Cadastros!$H$6:$H$90))))</f>
        <v/>
      </c>
      <c r="AT1343" s="168" t="str">
        <f t="shared" si="271"/>
        <v/>
      </c>
      <c r="AU1343" s="168" t="str">
        <f t="shared" si="272"/>
        <v/>
      </c>
      <c r="AV1343" s="227"/>
      <c r="AW1343" s="30"/>
      <c r="AX1343" s="267"/>
      <c r="AY1343" s="267"/>
      <c r="AZ1343" s="29"/>
      <c r="BA1343" s="30"/>
      <c r="BB1343" s="23" t="str" cm="1">
        <f t="array" ref="BB1343">_xlfn.IFS(AW1343="SIM",SUM(K1343,P1343,U1343,Z1343,AE1343,AJ1343,AO1343,AT1343,AX1343,AY1343),F1343&lt;&gt;"",SUM(K1343,P1343,U1343,Z1343,AE1343,AJ1343,,AO1343,AT1343),F1343="","")</f>
        <v/>
      </c>
      <c r="BC1343" s="211" t="str" cm="1">
        <f t="array" ref="BC1343">_xlfn.IFS(E1343="","",G1343&lt;=E1343,BB1343*(1-0.03),G1343&lt;(E1343+8),BB1343,AZ1343="Boleto",BB1343*(1+0.001)^DATEDIF(E1343,G1343,"D"),AZ1343="Cheque",BB1343,AZ1343="Dinheiro","Alterar forma pgto")</f>
        <v/>
      </c>
      <c r="BD1343" s="276" t="str" cm="1">
        <f t="array" ref="BD1343">IF(F1343=0," ",IF(BC1343&lt;BB1343,(_xlfn.IFS(AW1343="SIM",SUM(L1343,Q1343,V1343,AA1343,AF1343,AK1343,AP1343,AU1343)+AX1343/_xlfn.XLOOKUP(_xlfn.XLOOKUP($F1343,Clientes!$B$4:$B$39,Clientes!$C$4:$C$39),Cadastros!$L$6:$L$12,Cadastros!$M$6:$M$12)+IF($F1343="Bernardino Furlan",AY1343/2751.92,IF($F1343="Mauro José Salanti",AY1343/2751.92,AY1343/3356)),F1343&lt;&gt;0,SUM(L1343,Q1343,V1343,AA1343,AF1343,AK1343,AP1343,AU1343)))*(1-0.03),_xlfn.IFS(AW1343="SIM",SUM(L1343,Q1343,V1343,AA1343,AF1343,AK1343,AP1343,AU1343)+AX1343/_xlfn.XLOOKUP(_xlfn.XLOOKUP($F1343,Clientes!$B$4:$B$39,Clientes!$C$4:$C$39),Cadastros!$L$6:$L$12,Cadastros!$M$6:$M$12)+IF($F1343="Bernardino Furlan",AY1343/2751.92,IF($F1343="Mauro José Salanti",AY1343/2751.92,AY1343/3356)),F1343&lt;&gt;0,SUM(L1343,Q1343,V1343,AA1343,AF1343,AK1343,AP1343,AU1343))))</f>
        <v xml:space="preserve"> </v>
      </c>
      <c r="BE1343" s="120"/>
      <c r="BF1343" s="120"/>
      <c r="BG1343" s="120"/>
    </row>
    <row r="1344" spans="1:59" s="3" customFormat="1" x14ac:dyDescent="0.3">
      <c r="A1344" s="15" t="str">
        <f t="shared" si="260"/>
        <v/>
      </c>
      <c r="B1344" s="25"/>
      <c r="C1344" s="26"/>
      <c r="D1344" s="279"/>
      <c r="E1344" s="27"/>
      <c r="F1344" s="28"/>
      <c r="G1344" s="27"/>
      <c r="H1344" s="28"/>
      <c r="I1344" s="28"/>
      <c r="J1344" s="255" t="str">
        <f>IF(H1344="","",(_xlfn.XLOOKUP(H1344,Cadastros!$D$6:$D$90,Cadastros!$E$6:$E$90))*(1-_xlfn.XLOOKUP(_xlfn.XLOOKUP($F1344,Clientes!$B$4:$B$39,Clientes!$C$4:$C$39),Cadastros!$L$6:$L$12,Cadastros!$N$6:$N$12)))</f>
        <v/>
      </c>
      <c r="K1344" s="168" t="str">
        <f t="shared" si="261"/>
        <v/>
      </c>
      <c r="L1344" s="168" t="str">
        <f>IFERROR(K1344/_xlfn.XLOOKUP(_xlfn.XLOOKUP($F1344,Clientes!$B$4:$B$39,Clientes!$C$4:$C$39),Cadastros!$L$6:$L$12,Cadastros!$M$6:$M$12)," ")</f>
        <v xml:space="preserve"> </v>
      </c>
      <c r="M1344" s="28"/>
      <c r="N1344" s="28"/>
      <c r="O1344" s="255" t="str">
        <f>IF(M1344="","",(_xlfn.XLOOKUP(M1344,Cadastros!$D$6:$D$90,Cadastros!$E$6:$E$90))*(1-_xlfn.XLOOKUP(_xlfn.XLOOKUP($F1344,Clientes!$B$4:$B$39,Clientes!$C$4:$C$39),Cadastros!$L$6:$L$12,Cadastros!$N$6:$N$12)))</f>
        <v/>
      </c>
      <c r="P1344" s="168" t="str">
        <f t="shared" si="262"/>
        <v/>
      </c>
      <c r="Q1344" s="168" t="str">
        <f>IFERROR(P1344/_xlfn.XLOOKUP(_xlfn.XLOOKUP($F1344,Clientes!$B$4:$B$39,Clientes!$C$4:$C$39),Cadastros!$L$6:$L$12,Cadastros!$M$6:$M$12)," ")</f>
        <v xml:space="preserve"> </v>
      </c>
      <c r="R1344" s="28"/>
      <c r="S1344" s="28"/>
      <c r="T1344" s="255" t="str">
        <f>IF(R1344="","",(_xlfn.XLOOKUP(R1344,Cadastros!$D$6:$D$90,Cadastros!$E$6:$E$90))*(1-_xlfn.XLOOKUP(_xlfn.XLOOKUP($F1344,Clientes!$B$4:$B$39,Clientes!$C$4:$C$39),Cadastros!$L$6:$L$12,Cadastros!$N$6:$N$12)))</f>
        <v/>
      </c>
      <c r="U1344" s="168" t="str">
        <f t="shared" si="263"/>
        <v/>
      </c>
      <c r="V1344" s="168" t="str">
        <f>IFERROR(U1344/_xlfn.XLOOKUP(_xlfn.XLOOKUP($F1344,Clientes!$B$4:$B$39,Clientes!$C$4:$C$39),Cadastros!$L$6:$L$12,Cadastros!$M$6:$M$12)," ")</f>
        <v xml:space="preserve"> </v>
      </c>
      <c r="W1344" s="28"/>
      <c r="X1344" s="28"/>
      <c r="Y1344" s="255" t="str">
        <f>IF(W1344="","",(_xlfn.XLOOKUP(W1344,Cadastros!$D$6:$D$90,Cadastros!$E$6:$E$90))*(1-_xlfn.XLOOKUP(_xlfn.XLOOKUP($F1344,Clientes!$B$4:$B$39,Clientes!$C$4:$C$39),Cadastros!$L$6:$L$12,Cadastros!$N$6:$N$12)))</f>
        <v/>
      </c>
      <c r="Z1344" s="168" t="str">
        <f t="shared" si="264"/>
        <v/>
      </c>
      <c r="AA1344" s="168" t="str">
        <f>IFERROR(Z1344/_xlfn.XLOOKUP(_xlfn.XLOOKUP($F1344,Clientes!$B$4:$B$39,Clientes!$C$4:$C$39),Cadastros!$L$6:$L$12,Cadastros!$M$6:$M$12)," ")</f>
        <v xml:space="preserve"> </v>
      </c>
      <c r="AB1344" s="28"/>
      <c r="AC1344" s="28"/>
      <c r="AD1344" s="20" t="str">
        <f>IF(AB1344="","",IF($F1344="Bernardino Furlan",_xlfn.XLOOKUP(AB1344,Cadastros!$G$6:$G$90,Cadastros!$H$6:$H$90)*(1-0.18),IF($F1344="Mauro José Salanti",_xlfn.XLOOKUP(AB1344,Cadastros!$G$6:$G$90,Cadastros!$H$6:$H$90)*(1-0.18),_xlfn.XLOOKUP(AB1344,Cadastros!$G$6:$G$90,Cadastros!$H$6:$H$90))))</f>
        <v/>
      </c>
      <c r="AE1344" s="168" t="str">
        <f t="shared" si="265"/>
        <v/>
      </c>
      <c r="AF1344" s="168" t="str">
        <f t="shared" si="266"/>
        <v/>
      </c>
      <c r="AG1344" s="28"/>
      <c r="AH1344" s="28"/>
      <c r="AI1344" s="20" t="str">
        <f>IF(AG1344="","",IF($F1344="Bernardino Furlan",_xlfn.XLOOKUP(AG1344,Cadastros!$G$6:$G$90,Cadastros!$H$6:$H$90)*(1-0.18),IF($F1344="Mauro José Salanti",_xlfn.XLOOKUP(AG1344,Cadastros!$G$6:$G$90,Cadastros!$H$6:$H$90)*(1-0.18),_xlfn.XLOOKUP(AG1344,Cadastros!$G$6:$G$90,Cadastros!$H$6:$H$90))))</f>
        <v/>
      </c>
      <c r="AJ1344" s="168" t="str">
        <f t="shared" si="267"/>
        <v/>
      </c>
      <c r="AK1344" s="168" t="str">
        <f t="shared" si="268"/>
        <v/>
      </c>
      <c r="AL1344" s="28"/>
      <c r="AM1344" s="28"/>
      <c r="AN1344" s="20" t="str">
        <f>IF(AL1344="","",IF($F1344="Bernardino Furlan",_xlfn.XLOOKUP(AL1344,Cadastros!$G$6:$G$90,Cadastros!$H$6:$H$90)*(1-0.18),IF($F1344="Mauro José Salanti",_xlfn.XLOOKUP(AL1344,Cadastros!$G$6:$G$90,Cadastros!$H$6:$H$90)*(1-0.18),_xlfn.XLOOKUP(AL1344,Cadastros!$G$6:$G$90,Cadastros!$H$6:$H$90))))</f>
        <v/>
      </c>
      <c r="AO1344" s="168" t="str">
        <f t="shared" si="269"/>
        <v/>
      </c>
      <c r="AP1344" s="168" t="str">
        <f t="shared" si="270"/>
        <v/>
      </c>
      <c r="AQ1344" s="28"/>
      <c r="AR1344" s="28"/>
      <c r="AS1344" s="20" t="str">
        <f>IF(AQ1344="","",IF($F1344="Bernardino Furlan",_xlfn.XLOOKUP(AQ1344,Cadastros!$G$6:$G$90,Cadastros!$H$6:$H$90)*(1-0.18),IF($F1344="Mauro José Salanti",_xlfn.XLOOKUP(AQ1344,Cadastros!$G$6:$G$90,Cadastros!$H$6:$H$90)*(1-0.18),_xlfn.XLOOKUP(AQ1344,Cadastros!$G$6:$G$90,Cadastros!$H$6:$H$90))))</f>
        <v/>
      </c>
      <c r="AT1344" s="168" t="str">
        <f t="shared" si="271"/>
        <v/>
      </c>
      <c r="AU1344" s="168" t="str">
        <f t="shared" si="272"/>
        <v/>
      </c>
      <c r="AV1344" s="227"/>
      <c r="AW1344" s="30"/>
      <c r="AX1344" s="267"/>
      <c r="AY1344" s="267"/>
      <c r="AZ1344" s="29"/>
      <c r="BA1344" s="30"/>
      <c r="BB1344" s="23" t="str" cm="1">
        <f t="array" ref="BB1344">_xlfn.IFS(AW1344="SIM",SUM(K1344,P1344,U1344,Z1344,AE1344,AJ1344,AO1344,AT1344,AX1344,AY1344),F1344&lt;&gt;"",SUM(K1344,P1344,U1344,Z1344,AE1344,AJ1344,,AO1344,AT1344),F1344="","")</f>
        <v/>
      </c>
      <c r="BC1344" s="211" t="str" cm="1">
        <f t="array" ref="BC1344">_xlfn.IFS(E1344="","",G1344&lt;=E1344,BB1344*(1-0.03),G1344&lt;(E1344+8),BB1344,AZ1344="Boleto",BB1344*(1+0.001)^DATEDIF(E1344,G1344,"D"),AZ1344="Cheque",BB1344,AZ1344="Dinheiro","Alterar forma pgto")</f>
        <v/>
      </c>
      <c r="BD1344" s="276" t="str" cm="1">
        <f t="array" ref="BD1344">IF(F1344=0," ",IF(BC1344&lt;BB1344,(_xlfn.IFS(AW1344="SIM",SUM(L1344,Q1344,V1344,AA1344,AF1344,AK1344,AP1344,AU1344)+AX1344/_xlfn.XLOOKUP(_xlfn.XLOOKUP($F1344,Clientes!$B$4:$B$39,Clientes!$C$4:$C$39),Cadastros!$L$6:$L$12,Cadastros!$M$6:$M$12)+IF($F1344="Bernardino Furlan",AY1344/2751.92,IF($F1344="Mauro José Salanti",AY1344/2751.92,AY1344/3356)),F1344&lt;&gt;0,SUM(L1344,Q1344,V1344,AA1344,AF1344,AK1344,AP1344,AU1344)))*(1-0.03),_xlfn.IFS(AW1344="SIM",SUM(L1344,Q1344,V1344,AA1344,AF1344,AK1344,AP1344,AU1344)+AX1344/_xlfn.XLOOKUP(_xlfn.XLOOKUP($F1344,Clientes!$B$4:$B$39,Clientes!$C$4:$C$39),Cadastros!$L$6:$L$12,Cadastros!$M$6:$M$12)+IF($F1344="Bernardino Furlan",AY1344/2751.92,IF($F1344="Mauro José Salanti",AY1344/2751.92,AY1344/3356)),F1344&lt;&gt;0,SUM(L1344,Q1344,V1344,AA1344,AF1344,AK1344,AP1344,AU1344))))</f>
        <v xml:space="preserve"> </v>
      </c>
      <c r="BE1344" s="120"/>
      <c r="BF1344" s="120"/>
      <c r="BG1344" s="120"/>
    </row>
    <row r="1345" spans="1:59" s="3" customFormat="1" x14ac:dyDescent="0.3">
      <c r="A1345" s="15" t="str">
        <f t="shared" si="260"/>
        <v/>
      </c>
      <c r="B1345" s="25"/>
      <c r="C1345" s="26"/>
      <c r="D1345" s="279"/>
      <c r="E1345" s="27"/>
      <c r="F1345" s="28"/>
      <c r="G1345" s="27"/>
      <c r="H1345" s="28"/>
      <c r="I1345" s="28"/>
      <c r="J1345" s="255" t="str">
        <f>IF(H1345="","",(_xlfn.XLOOKUP(H1345,Cadastros!$D$6:$D$90,Cadastros!$E$6:$E$90))*(1-_xlfn.XLOOKUP(_xlfn.XLOOKUP($F1345,Clientes!$B$4:$B$39,Clientes!$C$4:$C$39),Cadastros!$L$6:$L$12,Cadastros!$N$6:$N$12)))</f>
        <v/>
      </c>
      <c r="K1345" s="168" t="str">
        <f t="shared" si="261"/>
        <v/>
      </c>
      <c r="L1345" s="168" t="str">
        <f>IFERROR(K1345/_xlfn.XLOOKUP(_xlfn.XLOOKUP($F1345,Clientes!$B$4:$B$39,Clientes!$C$4:$C$39),Cadastros!$L$6:$L$12,Cadastros!$M$6:$M$12)," ")</f>
        <v xml:space="preserve"> </v>
      </c>
      <c r="M1345" s="28"/>
      <c r="N1345" s="28"/>
      <c r="O1345" s="255" t="str">
        <f>IF(M1345="","",(_xlfn.XLOOKUP(M1345,Cadastros!$D$6:$D$90,Cadastros!$E$6:$E$90))*(1-_xlfn.XLOOKUP(_xlfn.XLOOKUP($F1345,Clientes!$B$4:$B$39,Clientes!$C$4:$C$39),Cadastros!$L$6:$L$12,Cadastros!$N$6:$N$12)))</f>
        <v/>
      </c>
      <c r="P1345" s="168" t="str">
        <f t="shared" si="262"/>
        <v/>
      </c>
      <c r="Q1345" s="168" t="str">
        <f>IFERROR(P1345/_xlfn.XLOOKUP(_xlfn.XLOOKUP($F1345,Clientes!$B$4:$B$39,Clientes!$C$4:$C$39),Cadastros!$L$6:$L$12,Cadastros!$M$6:$M$12)," ")</f>
        <v xml:space="preserve"> </v>
      </c>
      <c r="R1345" s="28"/>
      <c r="S1345" s="28"/>
      <c r="T1345" s="255" t="str">
        <f>IF(R1345="","",(_xlfn.XLOOKUP(R1345,Cadastros!$D$6:$D$90,Cadastros!$E$6:$E$90))*(1-_xlfn.XLOOKUP(_xlfn.XLOOKUP($F1345,Clientes!$B$4:$B$39,Clientes!$C$4:$C$39),Cadastros!$L$6:$L$12,Cadastros!$N$6:$N$12)))</f>
        <v/>
      </c>
      <c r="U1345" s="168" t="str">
        <f t="shared" si="263"/>
        <v/>
      </c>
      <c r="V1345" s="168" t="str">
        <f>IFERROR(U1345/_xlfn.XLOOKUP(_xlfn.XLOOKUP($F1345,Clientes!$B$4:$B$39,Clientes!$C$4:$C$39),Cadastros!$L$6:$L$12,Cadastros!$M$6:$M$12)," ")</f>
        <v xml:space="preserve"> </v>
      </c>
      <c r="W1345" s="28"/>
      <c r="X1345" s="28"/>
      <c r="Y1345" s="255" t="str">
        <f>IF(W1345="","",(_xlfn.XLOOKUP(W1345,Cadastros!$D$6:$D$90,Cadastros!$E$6:$E$90))*(1-_xlfn.XLOOKUP(_xlfn.XLOOKUP($F1345,Clientes!$B$4:$B$39,Clientes!$C$4:$C$39),Cadastros!$L$6:$L$12,Cadastros!$N$6:$N$12)))</f>
        <v/>
      </c>
      <c r="Z1345" s="168" t="str">
        <f t="shared" si="264"/>
        <v/>
      </c>
      <c r="AA1345" s="168" t="str">
        <f>IFERROR(Z1345/_xlfn.XLOOKUP(_xlfn.XLOOKUP($F1345,Clientes!$B$4:$B$39,Clientes!$C$4:$C$39),Cadastros!$L$6:$L$12,Cadastros!$M$6:$M$12)," ")</f>
        <v xml:space="preserve"> </v>
      </c>
      <c r="AB1345" s="28"/>
      <c r="AC1345" s="28"/>
      <c r="AD1345" s="20" t="str">
        <f>IF(AB1345="","",IF($F1345="Bernardino Furlan",_xlfn.XLOOKUP(AB1345,Cadastros!$G$6:$G$90,Cadastros!$H$6:$H$90)*(1-0.18),IF($F1345="Mauro José Salanti",_xlfn.XLOOKUP(AB1345,Cadastros!$G$6:$G$90,Cadastros!$H$6:$H$90)*(1-0.18),_xlfn.XLOOKUP(AB1345,Cadastros!$G$6:$G$90,Cadastros!$H$6:$H$90))))</f>
        <v/>
      </c>
      <c r="AE1345" s="168" t="str">
        <f t="shared" si="265"/>
        <v/>
      </c>
      <c r="AF1345" s="168" t="str">
        <f t="shared" si="266"/>
        <v/>
      </c>
      <c r="AG1345" s="28"/>
      <c r="AH1345" s="28"/>
      <c r="AI1345" s="20" t="str">
        <f>IF(AG1345="","",IF($F1345="Bernardino Furlan",_xlfn.XLOOKUP(AG1345,Cadastros!$G$6:$G$90,Cadastros!$H$6:$H$90)*(1-0.18),IF($F1345="Mauro José Salanti",_xlfn.XLOOKUP(AG1345,Cadastros!$G$6:$G$90,Cadastros!$H$6:$H$90)*(1-0.18),_xlfn.XLOOKUP(AG1345,Cadastros!$G$6:$G$90,Cadastros!$H$6:$H$90))))</f>
        <v/>
      </c>
      <c r="AJ1345" s="168" t="str">
        <f t="shared" si="267"/>
        <v/>
      </c>
      <c r="AK1345" s="168" t="str">
        <f t="shared" si="268"/>
        <v/>
      </c>
      <c r="AL1345" s="28"/>
      <c r="AM1345" s="28"/>
      <c r="AN1345" s="20" t="str">
        <f>IF(AL1345="","",IF($F1345="Bernardino Furlan",_xlfn.XLOOKUP(AL1345,Cadastros!$G$6:$G$90,Cadastros!$H$6:$H$90)*(1-0.18),IF($F1345="Mauro José Salanti",_xlfn.XLOOKUP(AL1345,Cadastros!$G$6:$G$90,Cadastros!$H$6:$H$90)*(1-0.18),_xlfn.XLOOKUP(AL1345,Cadastros!$G$6:$G$90,Cadastros!$H$6:$H$90))))</f>
        <v/>
      </c>
      <c r="AO1345" s="168" t="str">
        <f t="shared" si="269"/>
        <v/>
      </c>
      <c r="AP1345" s="168" t="str">
        <f t="shared" si="270"/>
        <v/>
      </c>
      <c r="AQ1345" s="28"/>
      <c r="AR1345" s="28"/>
      <c r="AS1345" s="20" t="str">
        <f>IF(AQ1345="","",IF($F1345="Bernardino Furlan",_xlfn.XLOOKUP(AQ1345,Cadastros!$G$6:$G$90,Cadastros!$H$6:$H$90)*(1-0.18),IF($F1345="Mauro José Salanti",_xlfn.XLOOKUP(AQ1345,Cadastros!$G$6:$G$90,Cadastros!$H$6:$H$90)*(1-0.18),_xlfn.XLOOKUP(AQ1345,Cadastros!$G$6:$G$90,Cadastros!$H$6:$H$90))))</f>
        <v/>
      </c>
      <c r="AT1345" s="168" t="str">
        <f t="shared" si="271"/>
        <v/>
      </c>
      <c r="AU1345" s="168" t="str">
        <f t="shared" si="272"/>
        <v/>
      </c>
      <c r="AV1345" s="227"/>
      <c r="AW1345" s="30"/>
      <c r="AX1345" s="267"/>
      <c r="AY1345" s="267"/>
      <c r="AZ1345" s="29"/>
      <c r="BA1345" s="30"/>
      <c r="BB1345" s="23" t="str" cm="1">
        <f t="array" ref="BB1345">_xlfn.IFS(AW1345="SIM",SUM(K1345,P1345,U1345,Z1345,AE1345,AJ1345,AO1345,AT1345,AX1345,AY1345),F1345&lt;&gt;"",SUM(K1345,P1345,U1345,Z1345,AE1345,AJ1345,,AO1345,AT1345),F1345="","")</f>
        <v/>
      </c>
      <c r="BC1345" s="211" t="str" cm="1">
        <f t="array" ref="BC1345">_xlfn.IFS(E1345="","",G1345&lt;=E1345,BB1345*(1-0.03),G1345&lt;(E1345+8),BB1345,AZ1345="Boleto",BB1345*(1+0.001)^DATEDIF(E1345,G1345,"D"),AZ1345="Cheque",BB1345,AZ1345="Dinheiro","Alterar forma pgto")</f>
        <v/>
      </c>
      <c r="BD1345" s="276" t="str" cm="1">
        <f t="array" ref="BD1345">IF(F1345=0," ",IF(BC1345&lt;BB1345,(_xlfn.IFS(AW1345="SIM",SUM(L1345,Q1345,V1345,AA1345,AF1345,AK1345,AP1345,AU1345)+AX1345/_xlfn.XLOOKUP(_xlfn.XLOOKUP($F1345,Clientes!$B$4:$B$39,Clientes!$C$4:$C$39),Cadastros!$L$6:$L$12,Cadastros!$M$6:$M$12)+IF($F1345="Bernardino Furlan",AY1345/2751.92,IF($F1345="Mauro José Salanti",AY1345/2751.92,AY1345/3356)),F1345&lt;&gt;0,SUM(L1345,Q1345,V1345,AA1345,AF1345,AK1345,AP1345,AU1345)))*(1-0.03),_xlfn.IFS(AW1345="SIM",SUM(L1345,Q1345,V1345,AA1345,AF1345,AK1345,AP1345,AU1345)+AX1345/_xlfn.XLOOKUP(_xlfn.XLOOKUP($F1345,Clientes!$B$4:$B$39,Clientes!$C$4:$C$39),Cadastros!$L$6:$L$12,Cadastros!$M$6:$M$12)+IF($F1345="Bernardino Furlan",AY1345/2751.92,IF($F1345="Mauro José Salanti",AY1345/2751.92,AY1345/3356)),F1345&lt;&gt;0,SUM(L1345,Q1345,V1345,AA1345,AF1345,AK1345,AP1345,AU1345))))</f>
        <v xml:space="preserve"> </v>
      </c>
      <c r="BE1345" s="120"/>
      <c r="BF1345" s="120"/>
      <c r="BG1345" s="120"/>
    </row>
    <row r="1346" spans="1:59" s="3" customFormat="1" x14ac:dyDescent="0.3">
      <c r="A1346" s="15" t="str">
        <f t="shared" si="260"/>
        <v/>
      </c>
      <c r="B1346" s="25"/>
      <c r="C1346" s="26"/>
      <c r="D1346" s="279"/>
      <c r="E1346" s="27"/>
      <c r="F1346" s="28"/>
      <c r="G1346" s="27"/>
      <c r="H1346" s="28"/>
      <c r="I1346" s="28"/>
      <c r="J1346" s="255" t="str">
        <f>IF(H1346="","",(_xlfn.XLOOKUP(H1346,Cadastros!$D$6:$D$90,Cadastros!$E$6:$E$90))*(1-_xlfn.XLOOKUP(_xlfn.XLOOKUP($F1346,Clientes!$B$4:$B$39,Clientes!$C$4:$C$39),Cadastros!$L$6:$L$12,Cadastros!$N$6:$N$12)))</f>
        <v/>
      </c>
      <c r="K1346" s="168" t="str">
        <f t="shared" si="261"/>
        <v/>
      </c>
      <c r="L1346" s="168" t="str">
        <f>IFERROR(K1346/_xlfn.XLOOKUP(_xlfn.XLOOKUP($F1346,Clientes!$B$4:$B$39,Clientes!$C$4:$C$39),Cadastros!$L$6:$L$12,Cadastros!$M$6:$M$12)," ")</f>
        <v xml:space="preserve"> </v>
      </c>
      <c r="M1346" s="28"/>
      <c r="N1346" s="28"/>
      <c r="O1346" s="255" t="str">
        <f>IF(M1346="","",(_xlfn.XLOOKUP(M1346,Cadastros!$D$6:$D$90,Cadastros!$E$6:$E$90))*(1-_xlfn.XLOOKUP(_xlfn.XLOOKUP($F1346,Clientes!$B$4:$B$39,Clientes!$C$4:$C$39),Cadastros!$L$6:$L$12,Cadastros!$N$6:$N$12)))</f>
        <v/>
      </c>
      <c r="P1346" s="168" t="str">
        <f t="shared" si="262"/>
        <v/>
      </c>
      <c r="Q1346" s="168" t="str">
        <f>IFERROR(P1346/_xlfn.XLOOKUP(_xlfn.XLOOKUP($F1346,Clientes!$B$4:$B$39,Clientes!$C$4:$C$39),Cadastros!$L$6:$L$12,Cadastros!$M$6:$M$12)," ")</f>
        <v xml:space="preserve"> </v>
      </c>
      <c r="R1346" s="28"/>
      <c r="S1346" s="28"/>
      <c r="T1346" s="255" t="str">
        <f>IF(R1346="","",(_xlfn.XLOOKUP(R1346,Cadastros!$D$6:$D$90,Cadastros!$E$6:$E$90))*(1-_xlfn.XLOOKUP(_xlfn.XLOOKUP($F1346,Clientes!$B$4:$B$39,Clientes!$C$4:$C$39),Cadastros!$L$6:$L$12,Cadastros!$N$6:$N$12)))</f>
        <v/>
      </c>
      <c r="U1346" s="168" t="str">
        <f t="shared" si="263"/>
        <v/>
      </c>
      <c r="V1346" s="168" t="str">
        <f>IFERROR(U1346/_xlfn.XLOOKUP(_xlfn.XLOOKUP($F1346,Clientes!$B$4:$B$39,Clientes!$C$4:$C$39),Cadastros!$L$6:$L$12,Cadastros!$M$6:$M$12)," ")</f>
        <v xml:space="preserve"> </v>
      </c>
      <c r="W1346" s="28"/>
      <c r="X1346" s="28"/>
      <c r="Y1346" s="255" t="str">
        <f>IF(W1346="","",(_xlfn.XLOOKUP(W1346,Cadastros!$D$6:$D$90,Cadastros!$E$6:$E$90))*(1-_xlfn.XLOOKUP(_xlfn.XLOOKUP($F1346,Clientes!$B$4:$B$39,Clientes!$C$4:$C$39),Cadastros!$L$6:$L$12,Cadastros!$N$6:$N$12)))</f>
        <v/>
      </c>
      <c r="Z1346" s="168" t="str">
        <f t="shared" si="264"/>
        <v/>
      </c>
      <c r="AA1346" s="168" t="str">
        <f>IFERROR(Z1346/_xlfn.XLOOKUP(_xlfn.XLOOKUP($F1346,Clientes!$B$4:$B$39,Clientes!$C$4:$C$39),Cadastros!$L$6:$L$12,Cadastros!$M$6:$M$12)," ")</f>
        <v xml:space="preserve"> </v>
      </c>
      <c r="AB1346" s="28"/>
      <c r="AC1346" s="28"/>
      <c r="AD1346" s="20" t="str">
        <f>IF(AB1346="","",IF($F1346="Bernardino Furlan",_xlfn.XLOOKUP(AB1346,Cadastros!$G$6:$G$90,Cadastros!$H$6:$H$90)*(1-0.18),IF($F1346="Mauro José Salanti",_xlfn.XLOOKUP(AB1346,Cadastros!$G$6:$G$90,Cadastros!$H$6:$H$90)*(1-0.18),_xlfn.XLOOKUP(AB1346,Cadastros!$G$6:$G$90,Cadastros!$H$6:$H$90))))</f>
        <v/>
      </c>
      <c r="AE1346" s="168" t="str">
        <f t="shared" si="265"/>
        <v/>
      </c>
      <c r="AF1346" s="168" t="str">
        <f t="shared" si="266"/>
        <v/>
      </c>
      <c r="AG1346" s="28"/>
      <c r="AH1346" s="28"/>
      <c r="AI1346" s="20" t="str">
        <f>IF(AG1346="","",IF($F1346="Bernardino Furlan",_xlfn.XLOOKUP(AG1346,Cadastros!$G$6:$G$90,Cadastros!$H$6:$H$90)*(1-0.18),IF($F1346="Mauro José Salanti",_xlfn.XLOOKUP(AG1346,Cadastros!$G$6:$G$90,Cadastros!$H$6:$H$90)*(1-0.18),_xlfn.XLOOKUP(AG1346,Cadastros!$G$6:$G$90,Cadastros!$H$6:$H$90))))</f>
        <v/>
      </c>
      <c r="AJ1346" s="168" t="str">
        <f t="shared" si="267"/>
        <v/>
      </c>
      <c r="AK1346" s="168" t="str">
        <f t="shared" si="268"/>
        <v/>
      </c>
      <c r="AL1346" s="28"/>
      <c r="AM1346" s="28"/>
      <c r="AN1346" s="20" t="str">
        <f>IF(AL1346="","",IF($F1346="Bernardino Furlan",_xlfn.XLOOKUP(AL1346,Cadastros!$G$6:$G$90,Cadastros!$H$6:$H$90)*(1-0.18),IF($F1346="Mauro José Salanti",_xlfn.XLOOKUP(AL1346,Cadastros!$G$6:$G$90,Cadastros!$H$6:$H$90)*(1-0.18),_xlfn.XLOOKUP(AL1346,Cadastros!$G$6:$G$90,Cadastros!$H$6:$H$90))))</f>
        <v/>
      </c>
      <c r="AO1346" s="168" t="str">
        <f t="shared" si="269"/>
        <v/>
      </c>
      <c r="AP1346" s="168" t="str">
        <f t="shared" si="270"/>
        <v/>
      </c>
      <c r="AQ1346" s="28"/>
      <c r="AR1346" s="28"/>
      <c r="AS1346" s="20" t="str">
        <f>IF(AQ1346="","",IF($F1346="Bernardino Furlan",_xlfn.XLOOKUP(AQ1346,Cadastros!$G$6:$G$90,Cadastros!$H$6:$H$90)*(1-0.18),IF($F1346="Mauro José Salanti",_xlfn.XLOOKUP(AQ1346,Cadastros!$G$6:$G$90,Cadastros!$H$6:$H$90)*(1-0.18),_xlfn.XLOOKUP(AQ1346,Cadastros!$G$6:$G$90,Cadastros!$H$6:$H$90))))</f>
        <v/>
      </c>
      <c r="AT1346" s="168" t="str">
        <f t="shared" si="271"/>
        <v/>
      </c>
      <c r="AU1346" s="168" t="str">
        <f t="shared" si="272"/>
        <v/>
      </c>
      <c r="AV1346" s="227"/>
      <c r="AW1346" s="30"/>
      <c r="AX1346" s="267"/>
      <c r="AY1346" s="267"/>
      <c r="AZ1346" s="29"/>
      <c r="BA1346" s="30"/>
      <c r="BB1346" s="23" t="str" cm="1">
        <f t="array" ref="BB1346">_xlfn.IFS(AW1346="SIM",SUM(K1346,P1346,U1346,Z1346,AE1346,AJ1346,AO1346,AT1346,AX1346,AY1346),F1346&lt;&gt;"",SUM(K1346,P1346,U1346,Z1346,AE1346,AJ1346,,AO1346,AT1346),F1346="","")</f>
        <v/>
      </c>
      <c r="BC1346" s="211" t="str" cm="1">
        <f t="array" ref="BC1346">_xlfn.IFS(E1346="","",G1346&lt;=E1346,BB1346*(1-0.03),G1346&lt;(E1346+8),BB1346,AZ1346="Boleto",BB1346*(1+0.001)^DATEDIF(E1346,G1346,"D"),AZ1346="Cheque",BB1346,AZ1346="Dinheiro","Alterar forma pgto")</f>
        <v/>
      </c>
      <c r="BD1346" s="276" t="str" cm="1">
        <f t="array" ref="BD1346">IF(F1346=0," ",IF(BC1346&lt;BB1346,(_xlfn.IFS(AW1346="SIM",SUM(L1346,Q1346,V1346,AA1346,AF1346,AK1346,AP1346,AU1346)+AX1346/_xlfn.XLOOKUP(_xlfn.XLOOKUP($F1346,Clientes!$B$4:$B$39,Clientes!$C$4:$C$39),Cadastros!$L$6:$L$12,Cadastros!$M$6:$M$12)+IF($F1346="Bernardino Furlan",AY1346/2751.92,IF($F1346="Mauro José Salanti",AY1346/2751.92,AY1346/3356)),F1346&lt;&gt;0,SUM(L1346,Q1346,V1346,AA1346,AF1346,AK1346,AP1346,AU1346)))*(1-0.03),_xlfn.IFS(AW1346="SIM",SUM(L1346,Q1346,V1346,AA1346,AF1346,AK1346,AP1346,AU1346)+AX1346/_xlfn.XLOOKUP(_xlfn.XLOOKUP($F1346,Clientes!$B$4:$B$39,Clientes!$C$4:$C$39),Cadastros!$L$6:$L$12,Cadastros!$M$6:$M$12)+IF($F1346="Bernardino Furlan",AY1346/2751.92,IF($F1346="Mauro José Salanti",AY1346/2751.92,AY1346/3356)),F1346&lt;&gt;0,SUM(L1346,Q1346,V1346,AA1346,AF1346,AK1346,AP1346,AU1346))))</f>
        <v xml:space="preserve"> </v>
      </c>
      <c r="BE1346" s="120"/>
      <c r="BF1346" s="120"/>
      <c r="BG1346" s="120"/>
    </row>
    <row r="1347" spans="1:59" s="3" customFormat="1" x14ac:dyDescent="0.3">
      <c r="A1347" s="15" t="str">
        <f t="shared" si="260"/>
        <v/>
      </c>
      <c r="B1347" s="25"/>
      <c r="C1347" s="26"/>
      <c r="D1347" s="279"/>
      <c r="E1347" s="27"/>
      <c r="F1347" s="28"/>
      <c r="G1347" s="27"/>
      <c r="H1347" s="28"/>
      <c r="I1347" s="28"/>
      <c r="J1347" s="255" t="str">
        <f>IF(H1347="","",(_xlfn.XLOOKUP(H1347,Cadastros!$D$6:$D$90,Cadastros!$E$6:$E$90))*(1-_xlfn.XLOOKUP(_xlfn.XLOOKUP($F1347,Clientes!$B$4:$B$39,Clientes!$C$4:$C$39),Cadastros!$L$6:$L$12,Cadastros!$N$6:$N$12)))</f>
        <v/>
      </c>
      <c r="K1347" s="168" t="str">
        <f t="shared" si="261"/>
        <v/>
      </c>
      <c r="L1347" s="168" t="str">
        <f>IFERROR(K1347/_xlfn.XLOOKUP(_xlfn.XLOOKUP($F1347,Clientes!$B$4:$B$39,Clientes!$C$4:$C$39),Cadastros!$L$6:$L$12,Cadastros!$M$6:$M$12)," ")</f>
        <v xml:space="preserve"> </v>
      </c>
      <c r="M1347" s="28"/>
      <c r="N1347" s="28"/>
      <c r="O1347" s="255" t="str">
        <f>IF(M1347="","",(_xlfn.XLOOKUP(M1347,Cadastros!$D$6:$D$90,Cadastros!$E$6:$E$90))*(1-_xlfn.XLOOKUP(_xlfn.XLOOKUP($F1347,Clientes!$B$4:$B$39,Clientes!$C$4:$C$39),Cadastros!$L$6:$L$12,Cadastros!$N$6:$N$12)))</f>
        <v/>
      </c>
      <c r="P1347" s="168" t="str">
        <f t="shared" si="262"/>
        <v/>
      </c>
      <c r="Q1347" s="168" t="str">
        <f>IFERROR(P1347/_xlfn.XLOOKUP(_xlfn.XLOOKUP($F1347,Clientes!$B$4:$B$39,Clientes!$C$4:$C$39),Cadastros!$L$6:$L$12,Cadastros!$M$6:$M$12)," ")</f>
        <v xml:space="preserve"> </v>
      </c>
      <c r="R1347" s="28"/>
      <c r="S1347" s="28"/>
      <c r="T1347" s="255" t="str">
        <f>IF(R1347="","",(_xlfn.XLOOKUP(R1347,Cadastros!$D$6:$D$90,Cadastros!$E$6:$E$90))*(1-_xlfn.XLOOKUP(_xlfn.XLOOKUP($F1347,Clientes!$B$4:$B$39,Clientes!$C$4:$C$39),Cadastros!$L$6:$L$12,Cadastros!$N$6:$N$12)))</f>
        <v/>
      </c>
      <c r="U1347" s="168" t="str">
        <f t="shared" si="263"/>
        <v/>
      </c>
      <c r="V1347" s="168" t="str">
        <f>IFERROR(U1347/_xlfn.XLOOKUP(_xlfn.XLOOKUP($F1347,Clientes!$B$4:$B$39,Clientes!$C$4:$C$39),Cadastros!$L$6:$L$12,Cadastros!$M$6:$M$12)," ")</f>
        <v xml:space="preserve"> </v>
      </c>
      <c r="W1347" s="28"/>
      <c r="X1347" s="28"/>
      <c r="Y1347" s="255" t="str">
        <f>IF(W1347="","",(_xlfn.XLOOKUP(W1347,Cadastros!$D$6:$D$90,Cadastros!$E$6:$E$90))*(1-_xlfn.XLOOKUP(_xlfn.XLOOKUP($F1347,Clientes!$B$4:$B$39,Clientes!$C$4:$C$39),Cadastros!$L$6:$L$12,Cadastros!$N$6:$N$12)))</f>
        <v/>
      </c>
      <c r="Z1347" s="168" t="str">
        <f t="shared" si="264"/>
        <v/>
      </c>
      <c r="AA1347" s="168" t="str">
        <f>IFERROR(Z1347/_xlfn.XLOOKUP(_xlfn.XLOOKUP($F1347,Clientes!$B$4:$B$39,Clientes!$C$4:$C$39),Cadastros!$L$6:$L$12,Cadastros!$M$6:$M$12)," ")</f>
        <v xml:space="preserve"> </v>
      </c>
      <c r="AB1347" s="28"/>
      <c r="AC1347" s="28"/>
      <c r="AD1347" s="20" t="str">
        <f>IF(AB1347="","",IF($F1347="Bernardino Furlan",_xlfn.XLOOKUP(AB1347,Cadastros!$G$6:$G$90,Cadastros!$H$6:$H$90)*(1-0.18),IF($F1347="Mauro José Salanti",_xlfn.XLOOKUP(AB1347,Cadastros!$G$6:$G$90,Cadastros!$H$6:$H$90)*(1-0.18),_xlfn.XLOOKUP(AB1347,Cadastros!$G$6:$G$90,Cadastros!$H$6:$H$90))))</f>
        <v/>
      </c>
      <c r="AE1347" s="168" t="str">
        <f t="shared" si="265"/>
        <v/>
      </c>
      <c r="AF1347" s="168" t="str">
        <f t="shared" si="266"/>
        <v/>
      </c>
      <c r="AG1347" s="28"/>
      <c r="AH1347" s="28"/>
      <c r="AI1347" s="20" t="str">
        <f>IF(AG1347="","",IF($F1347="Bernardino Furlan",_xlfn.XLOOKUP(AG1347,Cadastros!$G$6:$G$90,Cadastros!$H$6:$H$90)*(1-0.18),IF($F1347="Mauro José Salanti",_xlfn.XLOOKUP(AG1347,Cadastros!$G$6:$G$90,Cadastros!$H$6:$H$90)*(1-0.18),_xlfn.XLOOKUP(AG1347,Cadastros!$G$6:$G$90,Cadastros!$H$6:$H$90))))</f>
        <v/>
      </c>
      <c r="AJ1347" s="168" t="str">
        <f t="shared" si="267"/>
        <v/>
      </c>
      <c r="AK1347" s="168" t="str">
        <f t="shared" si="268"/>
        <v/>
      </c>
      <c r="AL1347" s="28"/>
      <c r="AM1347" s="28"/>
      <c r="AN1347" s="20" t="str">
        <f>IF(AL1347="","",IF($F1347="Bernardino Furlan",_xlfn.XLOOKUP(AL1347,Cadastros!$G$6:$G$90,Cadastros!$H$6:$H$90)*(1-0.18),IF($F1347="Mauro José Salanti",_xlfn.XLOOKUP(AL1347,Cadastros!$G$6:$G$90,Cadastros!$H$6:$H$90)*(1-0.18),_xlfn.XLOOKUP(AL1347,Cadastros!$G$6:$G$90,Cadastros!$H$6:$H$90))))</f>
        <v/>
      </c>
      <c r="AO1347" s="168" t="str">
        <f t="shared" si="269"/>
        <v/>
      </c>
      <c r="AP1347" s="168" t="str">
        <f t="shared" si="270"/>
        <v/>
      </c>
      <c r="AQ1347" s="28"/>
      <c r="AR1347" s="28"/>
      <c r="AS1347" s="20" t="str">
        <f>IF(AQ1347="","",IF($F1347="Bernardino Furlan",_xlfn.XLOOKUP(AQ1347,Cadastros!$G$6:$G$90,Cadastros!$H$6:$H$90)*(1-0.18),IF($F1347="Mauro José Salanti",_xlfn.XLOOKUP(AQ1347,Cadastros!$G$6:$G$90,Cadastros!$H$6:$H$90)*(1-0.18),_xlfn.XLOOKUP(AQ1347,Cadastros!$G$6:$G$90,Cadastros!$H$6:$H$90))))</f>
        <v/>
      </c>
      <c r="AT1347" s="168" t="str">
        <f t="shared" si="271"/>
        <v/>
      </c>
      <c r="AU1347" s="168" t="str">
        <f t="shared" si="272"/>
        <v/>
      </c>
      <c r="AV1347" s="227"/>
      <c r="AW1347" s="30"/>
      <c r="AX1347" s="267"/>
      <c r="AY1347" s="267"/>
      <c r="AZ1347" s="29"/>
      <c r="BA1347" s="30"/>
      <c r="BB1347" s="23" t="str" cm="1">
        <f t="array" ref="BB1347">_xlfn.IFS(AW1347="SIM",SUM(K1347,P1347,U1347,Z1347,AE1347,AJ1347,AO1347,AT1347,AX1347,AY1347),F1347&lt;&gt;"",SUM(K1347,P1347,U1347,Z1347,AE1347,AJ1347,,AO1347,AT1347),F1347="","")</f>
        <v/>
      </c>
      <c r="BC1347" s="211" t="str" cm="1">
        <f t="array" ref="BC1347">_xlfn.IFS(E1347="","",G1347&lt;=E1347,BB1347*(1-0.03),G1347&lt;(E1347+8),BB1347,AZ1347="Boleto",BB1347*(1+0.001)^DATEDIF(E1347,G1347,"D"),AZ1347="Cheque",BB1347,AZ1347="Dinheiro","Alterar forma pgto")</f>
        <v/>
      </c>
      <c r="BD1347" s="276" t="str" cm="1">
        <f t="array" ref="BD1347">IF(F1347=0," ",IF(BC1347&lt;BB1347,(_xlfn.IFS(AW1347="SIM",SUM(L1347,Q1347,V1347,AA1347,AF1347,AK1347,AP1347,AU1347)+AX1347/_xlfn.XLOOKUP(_xlfn.XLOOKUP($F1347,Clientes!$B$4:$B$39,Clientes!$C$4:$C$39),Cadastros!$L$6:$L$12,Cadastros!$M$6:$M$12)+IF($F1347="Bernardino Furlan",AY1347/2751.92,IF($F1347="Mauro José Salanti",AY1347/2751.92,AY1347/3356)),F1347&lt;&gt;0,SUM(L1347,Q1347,V1347,AA1347,AF1347,AK1347,AP1347,AU1347)))*(1-0.03),_xlfn.IFS(AW1347="SIM",SUM(L1347,Q1347,V1347,AA1347,AF1347,AK1347,AP1347,AU1347)+AX1347/_xlfn.XLOOKUP(_xlfn.XLOOKUP($F1347,Clientes!$B$4:$B$39,Clientes!$C$4:$C$39),Cadastros!$L$6:$L$12,Cadastros!$M$6:$M$12)+IF($F1347="Bernardino Furlan",AY1347/2751.92,IF($F1347="Mauro José Salanti",AY1347/2751.92,AY1347/3356)),F1347&lt;&gt;0,SUM(L1347,Q1347,V1347,AA1347,AF1347,AK1347,AP1347,AU1347))))</f>
        <v xml:space="preserve"> </v>
      </c>
      <c r="BE1347" s="120"/>
      <c r="BF1347" s="120"/>
      <c r="BG1347" s="120"/>
    </row>
    <row r="1348" spans="1:59" s="3" customFormat="1" x14ac:dyDescent="0.3">
      <c r="A1348" s="15" t="str">
        <f t="shared" si="260"/>
        <v/>
      </c>
      <c r="B1348" s="25"/>
      <c r="C1348" s="26"/>
      <c r="D1348" s="279"/>
      <c r="E1348" s="27"/>
      <c r="F1348" s="28"/>
      <c r="G1348" s="27"/>
      <c r="H1348" s="28"/>
      <c r="I1348" s="28"/>
      <c r="J1348" s="255" t="str">
        <f>IF(H1348="","",(_xlfn.XLOOKUP(H1348,Cadastros!$D$6:$D$90,Cadastros!$E$6:$E$90))*(1-_xlfn.XLOOKUP(_xlfn.XLOOKUP($F1348,Clientes!$B$4:$B$39,Clientes!$C$4:$C$39),Cadastros!$L$6:$L$12,Cadastros!$N$6:$N$12)))</f>
        <v/>
      </c>
      <c r="K1348" s="168" t="str">
        <f t="shared" si="261"/>
        <v/>
      </c>
      <c r="L1348" s="168" t="str">
        <f>IFERROR(K1348/_xlfn.XLOOKUP(_xlfn.XLOOKUP($F1348,Clientes!$B$4:$B$39,Clientes!$C$4:$C$39),Cadastros!$L$6:$L$12,Cadastros!$M$6:$M$12)," ")</f>
        <v xml:space="preserve"> </v>
      </c>
      <c r="M1348" s="28"/>
      <c r="N1348" s="28"/>
      <c r="O1348" s="255" t="str">
        <f>IF(M1348="","",(_xlfn.XLOOKUP(M1348,Cadastros!$D$6:$D$90,Cadastros!$E$6:$E$90))*(1-_xlfn.XLOOKUP(_xlfn.XLOOKUP($F1348,Clientes!$B$4:$B$39,Clientes!$C$4:$C$39),Cadastros!$L$6:$L$12,Cadastros!$N$6:$N$12)))</f>
        <v/>
      </c>
      <c r="P1348" s="168" t="str">
        <f t="shared" si="262"/>
        <v/>
      </c>
      <c r="Q1348" s="168" t="str">
        <f>IFERROR(P1348/_xlfn.XLOOKUP(_xlfn.XLOOKUP($F1348,Clientes!$B$4:$B$39,Clientes!$C$4:$C$39),Cadastros!$L$6:$L$12,Cadastros!$M$6:$M$12)," ")</f>
        <v xml:space="preserve"> </v>
      </c>
      <c r="R1348" s="28"/>
      <c r="S1348" s="28"/>
      <c r="T1348" s="255" t="str">
        <f>IF(R1348="","",(_xlfn.XLOOKUP(R1348,Cadastros!$D$6:$D$90,Cadastros!$E$6:$E$90))*(1-_xlfn.XLOOKUP(_xlfn.XLOOKUP($F1348,Clientes!$B$4:$B$39,Clientes!$C$4:$C$39),Cadastros!$L$6:$L$12,Cadastros!$N$6:$N$12)))</f>
        <v/>
      </c>
      <c r="U1348" s="168" t="str">
        <f t="shared" si="263"/>
        <v/>
      </c>
      <c r="V1348" s="168" t="str">
        <f>IFERROR(U1348/_xlfn.XLOOKUP(_xlfn.XLOOKUP($F1348,Clientes!$B$4:$B$39,Clientes!$C$4:$C$39),Cadastros!$L$6:$L$12,Cadastros!$M$6:$M$12)," ")</f>
        <v xml:space="preserve"> </v>
      </c>
      <c r="W1348" s="28"/>
      <c r="X1348" s="28"/>
      <c r="Y1348" s="255" t="str">
        <f>IF(W1348="","",(_xlfn.XLOOKUP(W1348,Cadastros!$D$6:$D$90,Cadastros!$E$6:$E$90))*(1-_xlfn.XLOOKUP(_xlfn.XLOOKUP($F1348,Clientes!$B$4:$B$39,Clientes!$C$4:$C$39),Cadastros!$L$6:$L$12,Cadastros!$N$6:$N$12)))</f>
        <v/>
      </c>
      <c r="Z1348" s="168" t="str">
        <f t="shared" si="264"/>
        <v/>
      </c>
      <c r="AA1348" s="168" t="str">
        <f>IFERROR(Z1348/_xlfn.XLOOKUP(_xlfn.XLOOKUP($F1348,Clientes!$B$4:$B$39,Clientes!$C$4:$C$39),Cadastros!$L$6:$L$12,Cadastros!$M$6:$M$12)," ")</f>
        <v xml:space="preserve"> </v>
      </c>
      <c r="AB1348" s="28"/>
      <c r="AC1348" s="28"/>
      <c r="AD1348" s="20" t="str">
        <f>IF(AB1348="","",IF($F1348="Bernardino Furlan",_xlfn.XLOOKUP(AB1348,Cadastros!$G$6:$G$90,Cadastros!$H$6:$H$90)*(1-0.18),IF($F1348="Mauro José Salanti",_xlfn.XLOOKUP(AB1348,Cadastros!$G$6:$G$90,Cadastros!$H$6:$H$90)*(1-0.18),_xlfn.XLOOKUP(AB1348,Cadastros!$G$6:$G$90,Cadastros!$H$6:$H$90))))</f>
        <v/>
      </c>
      <c r="AE1348" s="168" t="str">
        <f t="shared" si="265"/>
        <v/>
      </c>
      <c r="AF1348" s="168" t="str">
        <f t="shared" si="266"/>
        <v/>
      </c>
      <c r="AG1348" s="28"/>
      <c r="AH1348" s="28"/>
      <c r="AI1348" s="20" t="str">
        <f>IF(AG1348="","",IF($F1348="Bernardino Furlan",_xlfn.XLOOKUP(AG1348,Cadastros!$G$6:$G$90,Cadastros!$H$6:$H$90)*(1-0.18),IF($F1348="Mauro José Salanti",_xlfn.XLOOKUP(AG1348,Cadastros!$G$6:$G$90,Cadastros!$H$6:$H$90)*(1-0.18),_xlfn.XLOOKUP(AG1348,Cadastros!$G$6:$G$90,Cadastros!$H$6:$H$90))))</f>
        <v/>
      </c>
      <c r="AJ1348" s="168" t="str">
        <f t="shared" si="267"/>
        <v/>
      </c>
      <c r="AK1348" s="168" t="str">
        <f t="shared" si="268"/>
        <v/>
      </c>
      <c r="AL1348" s="28"/>
      <c r="AM1348" s="28"/>
      <c r="AN1348" s="20" t="str">
        <f>IF(AL1348="","",IF($F1348="Bernardino Furlan",_xlfn.XLOOKUP(AL1348,Cadastros!$G$6:$G$90,Cadastros!$H$6:$H$90)*(1-0.18),IF($F1348="Mauro José Salanti",_xlfn.XLOOKUP(AL1348,Cadastros!$G$6:$G$90,Cadastros!$H$6:$H$90)*(1-0.18),_xlfn.XLOOKUP(AL1348,Cadastros!$G$6:$G$90,Cadastros!$H$6:$H$90))))</f>
        <v/>
      </c>
      <c r="AO1348" s="168" t="str">
        <f t="shared" si="269"/>
        <v/>
      </c>
      <c r="AP1348" s="168" t="str">
        <f t="shared" si="270"/>
        <v/>
      </c>
      <c r="AQ1348" s="28"/>
      <c r="AR1348" s="28"/>
      <c r="AS1348" s="20" t="str">
        <f>IF(AQ1348="","",IF($F1348="Bernardino Furlan",_xlfn.XLOOKUP(AQ1348,Cadastros!$G$6:$G$90,Cadastros!$H$6:$H$90)*(1-0.18),IF($F1348="Mauro José Salanti",_xlfn.XLOOKUP(AQ1348,Cadastros!$G$6:$G$90,Cadastros!$H$6:$H$90)*(1-0.18),_xlfn.XLOOKUP(AQ1348,Cadastros!$G$6:$G$90,Cadastros!$H$6:$H$90))))</f>
        <v/>
      </c>
      <c r="AT1348" s="168" t="str">
        <f t="shared" si="271"/>
        <v/>
      </c>
      <c r="AU1348" s="168" t="str">
        <f t="shared" si="272"/>
        <v/>
      </c>
      <c r="AV1348" s="227"/>
      <c r="AW1348" s="30"/>
      <c r="AX1348" s="267"/>
      <c r="AY1348" s="267"/>
      <c r="AZ1348" s="29"/>
      <c r="BA1348" s="30"/>
      <c r="BB1348" s="23" t="str" cm="1">
        <f t="array" ref="BB1348">_xlfn.IFS(AW1348="SIM",SUM(K1348,P1348,U1348,Z1348,AE1348,AJ1348,AO1348,AT1348,AX1348,AY1348),F1348&lt;&gt;"",SUM(K1348,P1348,U1348,Z1348,AE1348,AJ1348,,AO1348,AT1348),F1348="","")</f>
        <v/>
      </c>
      <c r="BC1348" s="211" t="str" cm="1">
        <f t="array" ref="BC1348">_xlfn.IFS(E1348="","",G1348&lt;=E1348,BB1348*(1-0.03),G1348&lt;(E1348+8),BB1348,AZ1348="Boleto",BB1348*(1+0.001)^DATEDIF(E1348,G1348,"D"),AZ1348="Cheque",BB1348,AZ1348="Dinheiro","Alterar forma pgto")</f>
        <v/>
      </c>
      <c r="BD1348" s="276" t="str" cm="1">
        <f t="array" ref="BD1348">IF(F1348=0," ",IF(BC1348&lt;BB1348,(_xlfn.IFS(AW1348="SIM",SUM(L1348,Q1348,V1348,AA1348,AF1348,AK1348,AP1348,AU1348)+AX1348/_xlfn.XLOOKUP(_xlfn.XLOOKUP($F1348,Clientes!$B$4:$B$39,Clientes!$C$4:$C$39),Cadastros!$L$6:$L$12,Cadastros!$M$6:$M$12)+IF($F1348="Bernardino Furlan",AY1348/2751.92,IF($F1348="Mauro José Salanti",AY1348/2751.92,AY1348/3356)),F1348&lt;&gt;0,SUM(L1348,Q1348,V1348,AA1348,AF1348,AK1348,AP1348,AU1348)))*(1-0.03),_xlfn.IFS(AW1348="SIM",SUM(L1348,Q1348,V1348,AA1348,AF1348,AK1348,AP1348,AU1348)+AX1348/_xlfn.XLOOKUP(_xlfn.XLOOKUP($F1348,Clientes!$B$4:$B$39,Clientes!$C$4:$C$39),Cadastros!$L$6:$L$12,Cadastros!$M$6:$M$12)+IF($F1348="Bernardino Furlan",AY1348/2751.92,IF($F1348="Mauro José Salanti",AY1348/2751.92,AY1348/3356)),F1348&lt;&gt;0,SUM(L1348,Q1348,V1348,AA1348,AF1348,AK1348,AP1348,AU1348))))</f>
        <v xml:space="preserve"> </v>
      </c>
      <c r="BE1348" s="120"/>
      <c r="BF1348" s="120"/>
      <c r="BG1348" s="120"/>
    </row>
    <row r="1349" spans="1:59" s="3" customFormat="1" x14ac:dyDescent="0.3">
      <c r="A1349" s="15" t="str">
        <f t="shared" si="260"/>
        <v/>
      </c>
      <c r="B1349" s="25"/>
      <c r="C1349" s="26"/>
      <c r="D1349" s="279"/>
      <c r="E1349" s="27"/>
      <c r="F1349" s="28"/>
      <c r="G1349" s="27"/>
      <c r="H1349" s="28"/>
      <c r="I1349" s="28"/>
      <c r="J1349" s="255" t="str">
        <f>IF(H1349="","",(_xlfn.XLOOKUP(H1349,Cadastros!$D$6:$D$90,Cadastros!$E$6:$E$90))*(1-_xlfn.XLOOKUP(_xlfn.XLOOKUP($F1349,Clientes!$B$4:$B$39,Clientes!$C$4:$C$39),Cadastros!$L$6:$L$12,Cadastros!$N$6:$N$12)))</f>
        <v/>
      </c>
      <c r="K1349" s="168" t="str">
        <f t="shared" si="261"/>
        <v/>
      </c>
      <c r="L1349" s="168" t="str">
        <f>IFERROR(K1349/_xlfn.XLOOKUP(_xlfn.XLOOKUP($F1349,Clientes!$B$4:$B$39,Clientes!$C$4:$C$39),Cadastros!$L$6:$L$12,Cadastros!$M$6:$M$12)," ")</f>
        <v xml:space="preserve"> </v>
      </c>
      <c r="M1349" s="28"/>
      <c r="N1349" s="28"/>
      <c r="O1349" s="255" t="str">
        <f>IF(M1349="","",(_xlfn.XLOOKUP(M1349,Cadastros!$D$6:$D$90,Cadastros!$E$6:$E$90))*(1-_xlfn.XLOOKUP(_xlfn.XLOOKUP($F1349,Clientes!$B$4:$B$39,Clientes!$C$4:$C$39),Cadastros!$L$6:$L$12,Cadastros!$N$6:$N$12)))</f>
        <v/>
      </c>
      <c r="P1349" s="168" t="str">
        <f t="shared" si="262"/>
        <v/>
      </c>
      <c r="Q1349" s="168" t="str">
        <f>IFERROR(P1349/_xlfn.XLOOKUP(_xlfn.XLOOKUP($F1349,Clientes!$B$4:$B$39,Clientes!$C$4:$C$39),Cadastros!$L$6:$L$12,Cadastros!$M$6:$M$12)," ")</f>
        <v xml:space="preserve"> </v>
      </c>
      <c r="R1349" s="28"/>
      <c r="S1349" s="28"/>
      <c r="T1349" s="255" t="str">
        <f>IF(R1349="","",(_xlfn.XLOOKUP(R1349,Cadastros!$D$6:$D$90,Cadastros!$E$6:$E$90))*(1-_xlfn.XLOOKUP(_xlfn.XLOOKUP($F1349,Clientes!$B$4:$B$39,Clientes!$C$4:$C$39),Cadastros!$L$6:$L$12,Cadastros!$N$6:$N$12)))</f>
        <v/>
      </c>
      <c r="U1349" s="168" t="str">
        <f t="shared" si="263"/>
        <v/>
      </c>
      <c r="V1349" s="168" t="str">
        <f>IFERROR(U1349/_xlfn.XLOOKUP(_xlfn.XLOOKUP($F1349,Clientes!$B$4:$B$39,Clientes!$C$4:$C$39),Cadastros!$L$6:$L$12,Cadastros!$M$6:$M$12)," ")</f>
        <v xml:space="preserve"> </v>
      </c>
      <c r="W1349" s="28"/>
      <c r="X1349" s="28"/>
      <c r="Y1349" s="255" t="str">
        <f>IF(W1349="","",(_xlfn.XLOOKUP(W1349,Cadastros!$D$6:$D$90,Cadastros!$E$6:$E$90))*(1-_xlfn.XLOOKUP(_xlfn.XLOOKUP($F1349,Clientes!$B$4:$B$39,Clientes!$C$4:$C$39),Cadastros!$L$6:$L$12,Cadastros!$N$6:$N$12)))</f>
        <v/>
      </c>
      <c r="Z1349" s="168" t="str">
        <f t="shared" si="264"/>
        <v/>
      </c>
      <c r="AA1349" s="168" t="str">
        <f>IFERROR(Z1349/_xlfn.XLOOKUP(_xlfn.XLOOKUP($F1349,Clientes!$B$4:$B$39,Clientes!$C$4:$C$39),Cadastros!$L$6:$L$12,Cadastros!$M$6:$M$12)," ")</f>
        <v xml:space="preserve"> </v>
      </c>
      <c r="AB1349" s="28"/>
      <c r="AC1349" s="28"/>
      <c r="AD1349" s="20" t="str">
        <f>IF(AB1349="","",IF($F1349="Bernardino Furlan",_xlfn.XLOOKUP(AB1349,Cadastros!$G$6:$G$90,Cadastros!$H$6:$H$90)*(1-0.18),IF($F1349="Mauro José Salanti",_xlfn.XLOOKUP(AB1349,Cadastros!$G$6:$G$90,Cadastros!$H$6:$H$90)*(1-0.18),_xlfn.XLOOKUP(AB1349,Cadastros!$G$6:$G$90,Cadastros!$H$6:$H$90))))</f>
        <v/>
      </c>
      <c r="AE1349" s="168" t="str">
        <f t="shared" si="265"/>
        <v/>
      </c>
      <c r="AF1349" s="168" t="str">
        <f t="shared" si="266"/>
        <v/>
      </c>
      <c r="AG1349" s="28"/>
      <c r="AH1349" s="28"/>
      <c r="AI1349" s="20" t="str">
        <f>IF(AG1349="","",IF($F1349="Bernardino Furlan",_xlfn.XLOOKUP(AG1349,Cadastros!$G$6:$G$90,Cadastros!$H$6:$H$90)*(1-0.18),IF($F1349="Mauro José Salanti",_xlfn.XLOOKUP(AG1349,Cadastros!$G$6:$G$90,Cadastros!$H$6:$H$90)*(1-0.18),_xlfn.XLOOKUP(AG1349,Cadastros!$G$6:$G$90,Cadastros!$H$6:$H$90))))</f>
        <v/>
      </c>
      <c r="AJ1349" s="168" t="str">
        <f t="shared" si="267"/>
        <v/>
      </c>
      <c r="AK1349" s="168" t="str">
        <f t="shared" si="268"/>
        <v/>
      </c>
      <c r="AL1349" s="28"/>
      <c r="AM1349" s="28"/>
      <c r="AN1349" s="20" t="str">
        <f>IF(AL1349="","",IF($F1349="Bernardino Furlan",_xlfn.XLOOKUP(AL1349,Cadastros!$G$6:$G$90,Cadastros!$H$6:$H$90)*(1-0.18),IF($F1349="Mauro José Salanti",_xlfn.XLOOKUP(AL1349,Cadastros!$G$6:$G$90,Cadastros!$H$6:$H$90)*(1-0.18),_xlfn.XLOOKUP(AL1349,Cadastros!$G$6:$G$90,Cadastros!$H$6:$H$90))))</f>
        <v/>
      </c>
      <c r="AO1349" s="168" t="str">
        <f t="shared" si="269"/>
        <v/>
      </c>
      <c r="AP1349" s="168" t="str">
        <f t="shared" si="270"/>
        <v/>
      </c>
      <c r="AQ1349" s="28"/>
      <c r="AR1349" s="28"/>
      <c r="AS1349" s="20" t="str">
        <f>IF(AQ1349="","",IF($F1349="Bernardino Furlan",_xlfn.XLOOKUP(AQ1349,Cadastros!$G$6:$G$90,Cadastros!$H$6:$H$90)*(1-0.18),IF($F1349="Mauro José Salanti",_xlfn.XLOOKUP(AQ1349,Cadastros!$G$6:$G$90,Cadastros!$H$6:$H$90)*(1-0.18),_xlfn.XLOOKUP(AQ1349,Cadastros!$G$6:$G$90,Cadastros!$H$6:$H$90))))</f>
        <v/>
      </c>
      <c r="AT1349" s="168" t="str">
        <f t="shared" si="271"/>
        <v/>
      </c>
      <c r="AU1349" s="168" t="str">
        <f t="shared" si="272"/>
        <v/>
      </c>
      <c r="AV1349" s="227"/>
      <c r="AW1349" s="30"/>
      <c r="AX1349" s="267"/>
      <c r="AY1349" s="267"/>
      <c r="AZ1349" s="29"/>
      <c r="BA1349" s="30"/>
      <c r="BB1349" s="23" t="str" cm="1">
        <f t="array" ref="BB1349">_xlfn.IFS(AW1349="SIM",SUM(K1349,P1349,U1349,Z1349,AE1349,AJ1349,AO1349,AT1349,AX1349,AY1349),F1349&lt;&gt;"",SUM(K1349,P1349,U1349,Z1349,AE1349,AJ1349,,AO1349,AT1349),F1349="","")</f>
        <v/>
      </c>
      <c r="BC1349" s="211" t="str" cm="1">
        <f t="array" ref="BC1349">_xlfn.IFS(E1349="","",G1349&lt;=E1349,BB1349*(1-0.03),G1349&lt;(E1349+8),BB1349,AZ1349="Boleto",BB1349*(1+0.001)^DATEDIF(E1349,G1349,"D"),AZ1349="Cheque",BB1349,AZ1349="Dinheiro","Alterar forma pgto")</f>
        <v/>
      </c>
      <c r="BD1349" s="276" t="str" cm="1">
        <f t="array" ref="BD1349">IF(F1349=0," ",IF(BC1349&lt;BB1349,(_xlfn.IFS(AW1349="SIM",SUM(L1349,Q1349,V1349,AA1349,AF1349,AK1349,AP1349,AU1349)+AX1349/_xlfn.XLOOKUP(_xlfn.XLOOKUP($F1349,Clientes!$B$4:$B$39,Clientes!$C$4:$C$39),Cadastros!$L$6:$L$12,Cadastros!$M$6:$M$12)+IF($F1349="Bernardino Furlan",AY1349/2751.92,IF($F1349="Mauro José Salanti",AY1349/2751.92,AY1349/3356)),F1349&lt;&gt;0,SUM(L1349,Q1349,V1349,AA1349,AF1349,AK1349,AP1349,AU1349)))*(1-0.03),_xlfn.IFS(AW1349="SIM",SUM(L1349,Q1349,V1349,AA1349,AF1349,AK1349,AP1349,AU1349)+AX1349/_xlfn.XLOOKUP(_xlfn.XLOOKUP($F1349,Clientes!$B$4:$B$39,Clientes!$C$4:$C$39),Cadastros!$L$6:$L$12,Cadastros!$M$6:$M$12)+IF($F1349="Bernardino Furlan",AY1349/2751.92,IF($F1349="Mauro José Salanti",AY1349/2751.92,AY1349/3356)),F1349&lt;&gt;0,SUM(L1349,Q1349,V1349,AA1349,AF1349,AK1349,AP1349,AU1349))))</f>
        <v xml:space="preserve"> </v>
      </c>
      <c r="BE1349" s="120"/>
      <c r="BF1349" s="120"/>
      <c r="BG1349" s="120"/>
    </row>
    <row r="1350" spans="1:59" s="3" customFormat="1" x14ac:dyDescent="0.3">
      <c r="A1350" s="15" t="str">
        <f t="shared" si="260"/>
        <v/>
      </c>
      <c r="B1350" s="25"/>
      <c r="C1350" s="26"/>
      <c r="D1350" s="279"/>
      <c r="E1350" s="27"/>
      <c r="F1350" s="28"/>
      <c r="G1350" s="27"/>
      <c r="H1350" s="28"/>
      <c r="I1350" s="28"/>
      <c r="J1350" s="255" t="str">
        <f>IF(H1350="","",(_xlfn.XLOOKUP(H1350,Cadastros!$D$6:$D$90,Cadastros!$E$6:$E$90))*(1-_xlfn.XLOOKUP(_xlfn.XLOOKUP($F1350,Clientes!$B$4:$B$39,Clientes!$C$4:$C$39),Cadastros!$L$6:$L$12,Cadastros!$N$6:$N$12)))</f>
        <v/>
      </c>
      <c r="K1350" s="168" t="str">
        <f t="shared" si="261"/>
        <v/>
      </c>
      <c r="L1350" s="168" t="str">
        <f>IFERROR(K1350/_xlfn.XLOOKUP(_xlfn.XLOOKUP($F1350,Clientes!$B$4:$B$39,Clientes!$C$4:$C$39),Cadastros!$L$6:$L$12,Cadastros!$M$6:$M$12)," ")</f>
        <v xml:space="preserve"> </v>
      </c>
      <c r="M1350" s="28"/>
      <c r="N1350" s="28"/>
      <c r="O1350" s="255" t="str">
        <f>IF(M1350="","",(_xlfn.XLOOKUP(M1350,Cadastros!$D$6:$D$90,Cadastros!$E$6:$E$90))*(1-_xlfn.XLOOKUP(_xlfn.XLOOKUP($F1350,Clientes!$B$4:$B$39,Clientes!$C$4:$C$39),Cadastros!$L$6:$L$12,Cadastros!$N$6:$N$12)))</f>
        <v/>
      </c>
      <c r="P1350" s="168" t="str">
        <f t="shared" si="262"/>
        <v/>
      </c>
      <c r="Q1350" s="168" t="str">
        <f>IFERROR(P1350/_xlfn.XLOOKUP(_xlfn.XLOOKUP($F1350,Clientes!$B$4:$B$39,Clientes!$C$4:$C$39),Cadastros!$L$6:$L$12,Cadastros!$M$6:$M$12)," ")</f>
        <v xml:space="preserve"> </v>
      </c>
      <c r="R1350" s="28"/>
      <c r="S1350" s="28"/>
      <c r="T1350" s="255" t="str">
        <f>IF(R1350="","",(_xlfn.XLOOKUP(R1350,Cadastros!$D$6:$D$90,Cadastros!$E$6:$E$90))*(1-_xlfn.XLOOKUP(_xlfn.XLOOKUP($F1350,Clientes!$B$4:$B$39,Clientes!$C$4:$C$39),Cadastros!$L$6:$L$12,Cadastros!$N$6:$N$12)))</f>
        <v/>
      </c>
      <c r="U1350" s="168" t="str">
        <f t="shared" si="263"/>
        <v/>
      </c>
      <c r="V1350" s="168" t="str">
        <f>IFERROR(U1350/_xlfn.XLOOKUP(_xlfn.XLOOKUP($F1350,Clientes!$B$4:$B$39,Clientes!$C$4:$C$39),Cadastros!$L$6:$L$12,Cadastros!$M$6:$M$12)," ")</f>
        <v xml:space="preserve"> </v>
      </c>
      <c r="W1350" s="28"/>
      <c r="X1350" s="28"/>
      <c r="Y1350" s="255" t="str">
        <f>IF(W1350="","",(_xlfn.XLOOKUP(W1350,Cadastros!$D$6:$D$90,Cadastros!$E$6:$E$90))*(1-_xlfn.XLOOKUP(_xlfn.XLOOKUP($F1350,Clientes!$B$4:$B$39,Clientes!$C$4:$C$39),Cadastros!$L$6:$L$12,Cadastros!$N$6:$N$12)))</f>
        <v/>
      </c>
      <c r="Z1350" s="168" t="str">
        <f t="shared" si="264"/>
        <v/>
      </c>
      <c r="AA1350" s="168" t="str">
        <f>IFERROR(Z1350/_xlfn.XLOOKUP(_xlfn.XLOOKUP($F1350,Clientes!$B$4:$B$39,Clientes!$C$4:$C$39),Cadastros!$L$6:$L$12,Cadastros!$M$6:$M$12)," ")</f>
        <v xml:space="preserve"> </v>
      </c>
      <c r="AB1350" s="28"/>
      <c r="AC1350" s="28"/>
      <c r="AD1350" s="20" t="str">
        <f>IF(AB1350="","",IF($F1350="Bernardino Furlan",_xlfn.XLOOKUP(AB1350,Cadastros!$G$6:$G$90,Cadastros!$H$6:$H$90)*(1-0.18),IF($F1350="Mauro José Salanti",_xlfn.XLOOKUP(AB1350,Cadastros!$G$6:$G$90,Cadastros!$H$6:$H$90)*(1-0.18),_xlfn.XLOOKUP(AB1350,Cadastros!$G$6:$G$90,Cadastros!$H$6:$H$90))))</f>
        <v/>
      </c>
      <c r="AE1350" s="168" t="str">
        <f t="shared" si="265"/>
        <v/>
      </c>
      <c r="AF1350" s="168" t="str">
        <f t="shared" si="266"/>
        <v/>
      </c>
      <c r="AG1350" s="28"/>
      <c r="AH1350" s="28"/>
      <c r="AI1350" s="20" t="str">
        <f>IF(AG1350="","",IF($F1350="Bernardino Furlan",_xlfn.XLOOKUP(AG1350,Cadastros!$G$6:$G$90,Cadastros!$H$6:$H$90)*(1-0.18),IF($F1350="Mauro José Salanti",_xlfn.XLOOKUP(AG1350,Cadastros!$G$6:$G$90,Cadastros!$H$6:$H$90)*(1-0.18),_xlfn.XLOOKUP(AG1350,Cadastros!$G$6:$G$90,Cadastros!$H$6:$H$90))))</f>
        <v/>
      </c>
      <c r="AJ1350" s="168" t="str">
        <f t="shared" si="267"/>
        <v/>
      </c>
      <c r="AK1350" s="168" t="str">
        <f t="shared" si="268"/>
        <v/>
      </c>
      <c r="AL1350" s="28"/>
      <c r="AM1350" s="28"/>
      <c r="AN1350" s="20" t="str">
        <f>IF(AL1350="","",IF($F1350="Bernardino Furlan",_xlfn.XLOOKUP(AL1350,Cadastros!$G$6:$G$90,Cadastros!$H$6:$H$90)*(1-0.18),IF($F1350="Mauro José Salanti",_xlfn.XLOOKUP(AL1350,Cadastros!$G$6:$G$90,Cadastros!$H$6:$H$90)*(1-0.18),_xlfn.XLOOKUP(AL1350,Cadastros!$G$6:$G$90,Cadastros!$H$6:$H$90))))</f>
        <v/>
      </c>
      <c r="AO1350" s="168" t="str">
        <f t="shared" si="269"/>
        <v/>
      </c>
      <c r="AP1350" s="168" t="str">
        <f t="shared" si="270"/>
        <v/>
      </c>
      <c r="AQ1350" s="28"/>
      <c r="AR1350" s="28"/>
      <c r="AS1350" s="20" t="str">
        <f>IF(AQ1350="","",IF($F1350="Bernardino Furlan",_xlfn.XLOOKUP(AQ1350,Cadastros!$G$6:$G$90,Cadastros!$H$6:$H$90)*(1-0.18),IF($F1350="Mauro José Salanti",_xlfn.XLOOKUP(AQ1350,Cadastros!$G$6:$G$90,Cadastros!$H$6:$H$90)*(1-0.18),_xlfn.XLOOKUP(AQ1350,Cadastros!$G$6:$G$90,Cadastros!$H$6:$H$90))))</f>
        <v/>
      </c>
      <c r="AT1350" s="168" t="str">
        <f t="shared" si="271"/>
        <v/>
      </c>
      <c r="AU1350" s="168" t="str">
        <f t="shared" si="272"/>
        <v/>
      </c>
      <c r="AV1350" s="227"/>
      <c r="AW1350" s="30"/>
      <c r="AX1350" s="267"/>
      <c r="AY1350" s="267"/>
      <c r="AZ1350" s="29"/>
      <c r="BA1350" s="30"/>
      <c r="BB1350" s="23" t="str" cm="1">
        <f t="array" ref="BB1350">_xlfn.IFS(AW1350="SIM",SUM(K1350,P1350,U1350,Z1350,AE1350,AJ1350,AO1350,AT1350,AX1350,AY1350),F1350&lt;&gt;"",SUM(K1350,P1350,U1350,Z1350,AE1350,AJ1350,,AO1350,AT1350),F1350="","")</f>
        <v/>
      </c>
      <c r="BC1350" s="211" t="str" cm="1">
        <f t="array" ref="BC1350">_xlfn.IFS(E1350="","",G1350&lt;=E1350,BB1350*(1-0.03),G1350&lt;(E1350+8),BB1350,AZ1350="Boleto",BB1350*(1+0.001)^DATEDIF(E1350,G1350,"D"),AZ1350="Cheque",BB1350,AZ1350="Dinheiro","Alterar forma pgto")</f>
        <v/>
      </c>
      <c r="BD1350" s="276" t="str" cm="1">
        <f t="array" ref="BD1350">IF(F1350=0," ",IF(BC1350&lt;BB1350,(_xlfn.IFS(AW1350="SIM",SUM(L1350,Q1350,V1350,AA1350,AF1350,AK1350,AP1350,AU1350)+AX1350/_xlfn.XLOOKUP(_xlfn.XLOOKUP($F1350,Clientes!$B$4:$B$39,Clientes!$C$4:$C$39),Cadastros!$L$6:$L$12,Cadastros!$M$6:$M$12)+IF($F1350="Bernardino Furlan",AY1350/2751.92,IF($F1350="Mauro José Salanti",AY1350/2751.92,AY1350/3356)),F1350&lt;&gt;0,SUM(L1350,Q1350,V1350,AA1350,AF1350,AK1350,AP1350,AU1350)))*(1-0.03),_xlfn.IFS(AW1350="SIM",SUM(L1350,Q1350,V1350,AA1350,AF1350,AK1350,AP1350,AU1350)+AX1350/_xlfn.XLOOKUP(_xlfn.XLOOKUP($F1350,Clientes!$B$4:$B$39,Clientes!$C$4:$C$39),Cadastros!$L$6:$L$12,Cadastros!$M$6:$M$12)+IF($F1350="Bernardino Furlan",AY1350/2751.92,IF($F1350="Mauro José Salanti",AY1350/2751.92,AY1350/3356)),F1350&lt;&gt;0,SUM(L1350,Q1350,V1350,AA1350,AF1350,AK1350,AP1350,AU1350))))</f>
        <v xml:space="preserve"> </v>
      </c>
      <c r="BE1350" s="120"/>
      <c r="BF1350" s="120"/>
      <c r="BG1350" s="120"/>
    </row>
    <row r="1351" spans="1:59" s="3" customFormat="1" x14ac:dyDescent="0.3">
      <c r="A1351" s="15" t="str">
        <f t="shared" si="260"/>
        <v/>
      </c>
      <c r="B1351" s="25"/>
      <c r="C1351" s="26"/>
      <c r="D1351" s="279"/>
      <c r="E1351" s="27"/>
      <c r="F1351" s="28"/>
      <c r="G1351" s="27"/>
      <c r="H1351" s="28"/>
      <c r="I1351" s="28"/>
      <c r="J1351" s="255" t="str">
        <f>IF(H1351="","",(_xlfn.XLOOKUP(H1351,Cadastros!$D$6:$D$90,Cadastros!$E$6:$E$90))*(1-_xlfn.XLOOKUP(_xlfn.XLOOKUP($F1351,Clientes!$B$4:$B$39,Clientes!$C$4:$C$39),Cadastros!$L$6:$L$12,Cadastros!$N$6:$N$12)))</f>
        <v/>
      </c>
      <c r="K1351" s="168" t="str">
        <f t="shared" si="261"/>
        <v/>
      </c>
      <c r="L1351" s="168" t="str">
        <f>IFERROR(K1351/_xlfn.XLOOKUP(_xlfn.XLOOKUP($F1351,Clientes!$B$4:$B$39,Clientes!$C$4:$C$39),Cadastros!$L$6:$L$12,Cadastros!$M$6:$M$12)," ")</f>
        <v xml:space="preserve"> </v>
      </c>
      <c r="M1351" s="28"/>
      <c r="N1351" s="28"/>
      <c r="O1351" s="255" t="str">
        <f>IF(M1351="","",(_xlfn.XLOOKUP(M1351,Cadastros!$D$6:$D$90,Cadastros!$E$6:$E$90))*(1-_xlfn.XLOOKUP(_xlfn.XLOOKUP($F1351,Clientes!$B$4:$B$39,Clientes!$C$4:$C$39),Cadastros!$L$6:$L$12,Cadastros!$N$6:$N$12)))</f>
        <v/>
      </c>
      <c r="P1351" s="168" t="str">
        <f t="shared" si="262"/>
        <v/>
      </c>
      <c r="Q1351" s="168" t="str">
        <f>IFERROR(P1351/_xlfn.XLOOKUP(_xlfn.XLOOKUP($F1351,Clientes!$B$4:$B$39,Clientes!$C$4:$C$39),Cadastros!$L$6:$L$12,Cadastros!$M$6:$M$12)," ")</f>
        <v xml:space="preserve"> </v>
      </c>
      <c r="R1351" s="28"/>
      <c r="S1351" s="28"/>
      <c r="T1351" s="255" t="str">
        <f>IF(R1351="","",(_xlfn.XLOOKUP(R1351,Cadastros!$D$6:$D$90,Cadastros!$E$6:$E$90))*(1-_xlfn.XLOOKUP(_xlfn.XLOOKUP($F1351,Clientes!$B$4:$B$39,Clientes!$C$4:$C$39),Cadastros!$L$6:$L$12,Cadastros!$N$6:$N$12)))</f>
        <v/>
      </c>
      <c r="U1351" s="168" t="str">
        <f t="shared" si="263"/>
        <v/>
      </c>
      <c r="V1351" s="168" t="str">
        <f>IFERROR(U1351/_xlfn.XLOOKUP(_xlfn.XLOOKUP($F1351,Clientes!$B$4:$B$39,Clientes!$C$4:$C$39),Cadastros!$L$6:$L$12,Cadastros!$M$6:$M$12)," ")</f>
        <v xml:space="preserve"> </v>
      </c>
      <c r="W1351" s="28"/>
      <c r="X1351" s="28"/>
      <c r="Y1351" s="255" t="str">
        <f>IF(W1351="","",(_xlfn.XLOOKUP(W1351,Cadastros!$D$6:$D$90,Cadastros!$E$6:$E$90))*(1-_xlfn.XLOOKUP(_xlfn.XLOOKUP($F1351,Clientes!$B$4:$B$39,Clientes!$C$4:$C$39),Cadastros!$L$6:$L$12,Cadastros!$N$6:$N$12)))</f>
        <v/>
      </c>
      <c r="Z1351" s="168" t="str">
        <f t="shared" si="264"/>
        <v/>
      </c>
      <c r="AA1351" s="168" t="str">
        <f>IFERROR(Z1351/_xlfn.XLOOKUP(_xlfn.XLOOKUP($F1351,Clientes!$B$4:$B$39,Clientes!$C$4:$C$39),Cadastros!$L$6:$L$12,Cadastros!$M$6:$M$12)," ")</f>
        <v xml:space="preserve"> </v>
      </c>
      <c r="AB1351" s="28"/>
      <c r="AC1351" s="28"/>
      <c r="AD1351" s="20" t="str">
        <f>IF(AB1351="","",IF($F1351="Bernardino Furlan",_xlfn.XLOOKUP(AB1351,Cadastros!$G$6:$G$90,Cadastros!$H$6:$H$90)*(1-0.18),IF($F1351="Mauro José Salanti",_xlfn.XLOOKUP(AB1351,Cadastros!$G$6:$G$90,Cadastros!$H$6:$H$90)*(1-0.18),_xlfn.XLOOKUP(AB1351,Cadastros!$G$6:$G$90,Cadastros!$H$6:$H$90))))</f>
        <v/>
      </c>
      <c r="AE1351" s="168" t="str">
        <f t="shared" si="265"/>
        <v/>
      </c>
      <c r="AF1351" s="168" t="str">
        <f t="shared" si="266"/>
        <v/>
      </c>
      <c r="AG1351" s="28"/>
      <c r="AH1351" s="28"/>
      <c r="AI1351" s="20" t="str">
        <f>IF(AG1351="","",IF($F1351="Bernardino Furlan",_xlfn.XLOOKUP(AG1351,Cadastros!$G$6:$G$90,Cadastros!$H$6:$H$90)*(1-0.18),IF($F1351="Mauro José Salanti",_xlfn.XLOOKUP(AG1351,Cadastros!$G$6:$G$90,Cadastros!$H$6:$H$90)*(1-0.18),_xlfn.XLOOKUP(AG1351,Cadastros!$G$6:$G$90,Cadastros!$H$6:$H$90))))</f>
        <v/>
      </c>
      <c r="AJ1351" s="168" t="str">
        <f t="shared" si="267"/>
        <v/>
      </c>
      <c r="AK1351" s="168" t="str">
        <f t="shared" si="268"/>
        <v/>
      </c>
      <c r="AL1351" s="28"/>
      <c r="AM1351" s="28"/>
      <c r="AN1351" s="20" t="str">
        <f>IF(AL1351="","",IF($F1351="Bernardino Furlan",_xlfn.XLOOKUP(AL1351,Cadastros!$G$6:$G$90,Cadastros!$H$6:$H$90)*(1-0.18),IF($F1351="Mauro José Salanti",_xlfn.XLOOKUP(AL1351,Cadastros!$G$6:$G$90,Cadastros!$H$6:$H$90)*(1-0.18),_xlfn.XLOOKUP(AL1351,Cadastros!$G$6:$G$90,Cadastros!$H$6:$H$90))))</f>
        <v/>
      </c>
      <c r="AO1351" s="168" t="str">
        <f t="shared" si="269"/>
        <v/>
      </c>
      <c r="AP1351" s="168" t="str">
        <f t="shared" si="270"/>
        <v/>
      </c>
      <c r="AQ1351" s="28"/>
      <c r="AR1351" s="28"/>
      <c r="AS1351" s="20" t="str">
        <f>IF(AQ1351="","",IF($F1351="Bernardino Furlan",_xlfn.XLOOKUP(AQ1351,Cadastros!$G$6:$G$90,Cadastros!$H$6:$H$90)*(1-0.18),IF($F1351="Mauro José Salanti",_xlfn.XLOOKUP(AQ1351,Cadastros!$G$6:$G$90,Cadastros!$H$6:$H$90)*(1-0.18),_xlfn.XLOOKUP(AQ1351,Cadastros!$G$6:$G$90,Cadastros!$H$6:$H$90))))</f>
        <v/>
      </c>
      <c r="AT1351" s="168" t="str">
        <f t="shared" si="271"/>
        <v/>
      </c>
      <c r="AU1351" s="168" t="str">
        <f t="shared" si="272"/>
        <v/>
      </c>
      <c r="AV1351" s="227"/>
      <c r="AW1351" s="30"/>
      <c r="AX1351" s="267"/>
      <c r="AY1351" s="267"/>
      <c r="AZ1351" s="29"/>
      <c r="BA1351" s="30"/>
      <c r="BB1351" s="23" t="str" cm="1">
        <f t="array" ref="BB1351">_xlfn.IFS(AW1351="SIM",SUM(K1351,P1351,U1351,Z1351,AE1351,AJ1351,AO1351,AT1351,AX1351,AY1351),F1351&lt;&gt;"",SUM(K1351,P1351,U1351,Z1351,AE1351,AJ1351,,AO1351,AT1351),F1351="","")</f>
        <v/>
      </c>
      <c r="BC1351" s="211" t="str" cm="1">
        <f t="array" ref="BC1351">_xlfn.IFS(E1351="","",G1351&lt;=E1351,BB1351*(1-0.03),G1351&lt;(E1351+8),BB1351,AZ1351="Boleto",BB1351*(1+0.001)^DATEDIF(E1351,G1351,"D"),AZ1351="Cheque",BB1351,AZ1351="Dinheiro","Alterar forma pgto")</f>
        <v/>
      </c>
      <c r="BD1351" s="276" t="str" cm="1">
        <f t="array" ref="BD1351">IF(F1351=0," ",IF(BC1351&lt;BB1351,(_xlfn.IFS(AW1351="SIM",SUM(L1351,Q1351,V1351,AA1351,AF1351,AK1351,AP1351,AU1351)+AX1351/_xlfn.XLOOKUP(_xlfn.XLOOKUP($F1351,Clientes!$B$4:$B$39,Clientes!$C$4:$C$39),Cadastros!$L$6:$L$12,Cadastros!$M$6:$M$12)+IF($F1351="Bernardino Furlan",AY1351/2751.92,IF($F1351="Mauro José Salanti",AY1351/2751.92,AY1351/3356)),F1351&lt;&gt;0,SUM(L1351,Q1351,V1351,AA1351,AF1351,AK1351,AP1351,AU1351)))*(1-0.03),_xlfn.IFS(AW1351="SIM",SUM(L1351,Q1351,V1351,AA1351,AF1351,AK1351,AP1351,AU1351)+AX1351/_xlfn.XLOOKUP(_xlfn.XLOOKUP($F1351,Clientes!$B$4:$B$39,Clientes!$C$4:$C$39),Cadastros!$L$6:$L$12,Cadastros!$M$6:$M$12)+IF($F1351="Bernardino Furlan",AY1351/2751.92,IF($F1351="Mauro José Salanti",AY1351/2751.92,AY1351/3356)),F1351&lt;&gt;0,SUM(L1351,Q1351,V1351,AA1351,AF1351,AK1351,AP1351,AU1351))))</f>
        <v xml:space="preserve"> </v>
      </c>
      <c r="BE1351" s="120"/>
      <c r="BF1351" s="120"/>
      <c r="BG1351" s="120"/>
    </row>
    <row r="1352" spans="1:59" s="3" customFormat="1" x14ac:dyDescent="0.3">
      <c r="A1352" s="15" t="str">
        <f t="shared" ref="A1352:A1415" si="273">IF(C1352="orçamento",25%,IF(C1352="aprovado",50%,IF(C1352="entregue",100%,IF(C1352="não aceito",0%,""))))</f>
        <v/>
      </c>
      <c r="B1352" s="25"/>
      <c r="C1352" s="26"/>
      <c r="D1352" s="279"/>
      <c r="E1352" s="27"/>
      <c r="F1352" s="28"/>
      <c r="G1352" s="27"/>
      <c r="H1352" s="28"/>
      <c r="I1352" s="28"/>
      <c r="J1352" s="255" t="str">
        <f>IF(H1352="","",(_xlfn.XLOOKUP(H1352,Cadastros!$D$6:$D$90,Cadastros!$E$6:$E$90))*(1-_xlfn.XLOOKUP(_xlfn.XLOOKUP($F1352,Clientes!$B$4:$B$39,Clientes!$C$4:$C$39),Cadastros!$L$6:$L$12,Cadastros!$N$6:$N$12)))</f>
        <v/>
      </c>
      <c r="K1352" s="168" t="str">
        <f t="shared" ref="K1352:K1415" si="274">IF(J1352="","",I1352*J1352)</f>
        <v/>
      </c>
      <c r="L1352" s="168" t="str">
        <f>IFERROR(K1352/_xlfn.XLOOKUP(_xlfn.XLOOKUP($F1352,Clientes!$B$4:$B$39,Clientes!$C$4:$C$39),Cadastros!$L$6:$L$12,Cadastros!$M$6:$M$12)," ")</f>
        <v xml:space="preserve"> </v>
      </c>
      <c r="M1352" s="28"/>
      <c r="N1352" s="28"/>
      <c r="O1352" s="255" t="str">
        <f>IF(M1352="","",(_xlfn.XLOOKUP(M1352,Cadastros!$D$6:$D$90,Cadastros!$E$6:$E$90))*(1-_xlfn.XLOOKUP(_xlfn.XLOOKUP($F1352,Clientes!$B$4:$B$39,Clientes!$C$4:$C$39),Cadastros!$L$6:$L$12,Cadastros!$N$6:$N$12)))</f>
        <v/>
      </c>
      <c r="P1352" s="168" t="str">
        <f t="shared" ref="P1352:P1415" si="275">IF(O1352="","",N1352*O1352)</f>
        <v/>
      </c>
      <c r="Q1352" s="168" t="str">
        <f>IFERROR(P1352/_xlfn.XLOOKUP(_xlfn.XLOOKUP($F1352,Clientes!$B$4:$B$39,Clientes!$C$4:$C$39),Cadastros!$L$6:$L$12,Cadastros!$M$6:$M$12)," ")</f>
        <v xml:space="preserve"> </v>
      </c>
      <c r="R1352" s="28"/>
      <c r="S1352" s="28"/>
      <c r="T1352" s="255" t="str">
        <f>IF(R1352="","",(_xlfn.XLOOKUP(R1352,Cadastros!$D$6:$D$90,Cadastros!$E$6:$E$90))*(1-_xlfn.XLOOKUP(_xlfn.XLOOKUP($F1352,Clientes!$B$4:$B$39,Clientes!$C$4:$C$39),Cadastros!$L$6:$L$12,Cadastros!$N$6:$N$12)))</f>
        <v/>
      </c>
      <c r="U1352" s="168" t="str">
        <f t="shared" ref="U1352:U1415" si="276">IF(T1352="","",S1352*T1352)</f>
        <v/>
      </c>
      <c r="V1352" s="168" t="str">
        <f>IFERROR(U1352/_xlfn.XLOOKUP(_xlfn.XLOOKUP($F1352,Clientes!$B$4:$B$39,Clientes!$C$4:$C$39),Cadastros!$L$6:$L$12,Cadastros!$M$6:$M$12)," ")</f>
        <v xml:space="preserve"> </v>
      </c>
      <c r="W1352" s="28"/>
      <c r="X1352" s="28"/>
      <c r="Y1352" s="255" t="str">
        <f>IF(W1352="","",(_xlfn.XLOOKUP(W1352,Cadastros!$D$6:$D$90,Cadastros!$E$6:$E$90))*(1-_xlfn.XLOOKUP(_xlfn.XLOOKUP($F1352,Clientes!$B$4:$B$39,Clientes!$C$4:$C$39),Cadastros!$L$6:$L$12,Cadastros!$N$6:$N$12)))</f>
        <v/>
      </c>
      <c r="Z1352" s="168" t="str">
        <f t="shared" ref="Z1352:Z1415" si="277">IF(Y1352="","",X1352*Y1352)</f>
        <v/>
      </c>
      <c r="AA1352" s="168" t="str">
        <f>IFERROR(Z1352/_xlfn.XLOOKUP(_xlfn.XLOOKUP($F1352,Clientes!$B$4:$B$39,Clientes!$C$4:$C$39),Cadastros!$L$6:$L$12,Cadastros!$M$6:$M$12)," ")</f>
        <v xml:space="preserve"> </v>
      </c>
      <c r="AB1352" s="28"/>
      <c r="AC1352" s="28"/>
      <c r="AD1352" s="20" t="str">
        <f>IF(AB1352="","",IF($F1352="Bernardino Furlan",_xlfn.XLOOKUP(AB1352,Cadastros!$G$6:$G$90,Cadastros!$H$6:$H$90)*(1-0.18),IF($F1352="Mauro José Salanti",_xlfn.XLOOKUP(AB1352,Cadastros!$G$6:$G$90,Cadastros!$H$6:$H$90)*(1-0.18),_xlfn.XLOOKUP(AB1352,Cadastros!$G$6:$G$90,Cadastros!$H$6:$H$90))))</f>
        <v/>
      </c>
      <c r="AE1352" s="168" t="str">
        <f t="shared" ref="AE1352:AE1415" si="278">IF(AD1352="","",AC1352*AD1352)</f>
        <v/>
      </c>
      <c r="AF1352" s="168" t="str">
        <f t="shared" ref="AF1352:AF1415" si="279">IFERROR(IF($F1352="Bernardino Furlan",AE1352/2751.92,IF($F1352="Mauro José Salanti",AE1352/2751.92,AE1352/3356)),"")</f>
        <v/>
      </c>
      <c r="AG1352" s="28"/>
      <c r="AH1352" s="28"/>
      <c r="AI1352" s="20" t="str">
        <f>IF(AG1352="","",IF($F1352="Bernardino Furlan",_xlfn.XLOOKUP(AG1352,Cadastros!$G$6:$G$90,Cadastros!$H$6:$H$90)*(1-0.18),IF($F1352="Mauro José Salanti",_xlfn.XLOOKUP(AG1352,Cadastros!$G$6:$G$90,Cadastros!$H$6:$H$90)*(1-0.18),_xlfn.XLOOKUP(AG1352,Cadastros!$G$6:$G$90,Cadastros!$H$6:$H$90))))</f>
        <v/>
      </c>
      <c r="AJ1352" s="168" t="str">
        <f t="shared" ref="AJ1352:AJ1415" si="280">IF(AI1352="","",AH1352*AI1352)</f>
        <v/>
      </c>
      <c r="AK1352" s="168" t="str">
        <f t="shared" ref="AK1352:AK1415" si="281">IFERROR(IF($F1352="Bernardino Furlan",AJ1352/2751.92,IF($F1352="Mauro José Salanti",AJ1352/2751.92,AJ1352/3356)),"")</f>
        <v/>
      </c>
      <c r="AL1352" s="28"/>
      <c r="AM1352" s="28"/>
      <c r="AN1352" s="20" t="str">
        <f>IF(AL1352="","",IF($F1352="Bernardino Furlan",_xlfn.XLOOKUP(AL1352,Cadastros!$G$6:$G$90,Cadastros!$H$6:$H$90)*(1-0.18),IF($F1352="Mauro José Salanti",_xlfn.XLOOKUP(AL1352,Cadastros!$G$6:$G$90,Cadastros!$H$6:$H$90)*(1-0.18),_xlfn.XLOOKUP(AL1352,Cadastros!$G$6:$G$90,Cadastros!$H$6:$H$90))))</f>
        <v/>
      </c>
      <c r="AO1352" s="168" t="str">
        <f t="shared" ref="AO1352:AO1415" si="282">IF(AN1352="","",AM1352*AN1352)</f>
        <v/>
      </c>
      <c r="AP1352" s="168" t="str">
        <f t="shared" ref="AP1352:AP1415" si="283">IFERROR(IF($F1352="Bernardino Furlan",AO1352/2751.92,IF($F1352="Mauro José Salanti",AO1352/2751.92,AO1352/3356)),"")</f>
        <v/>
      </c>
      <c r="AQ1352" s="28"/>
      <c r="AR1352" s="28"/>
      <c r="AS1352" s="20" t="str">
        <f>IF(AQ1352="","",IF($F1352="Bernardino Furlan",_xlfn.XLOOKUP(AQ1352,Cadastros!$G$6:$G$90,Cadastros!$H$6:$H$90)*(1-0.18),IF($F1352="Mauro José Salanti",_xlfn.XLOOKUP(AQ1352,Cadastros!$G$6:$G$90,Cadastros!$H$6:$H$90)*(1-0.18),_xlfn.XLOOKUP(AQ1352,Cadastros!$G$6:$G$90,Cadastros!$H$6:$H$90))))</f>
        <v/>
      </c>
      <c r="AT1352" s="168" t="str">
        <f t="shared" ref="AT1352:AT1415" si="284">IF(AS1352="","",AR1352*AS1352)</f>
        <v/>
      </c>
      <c r="AU1352" s="168" t="str">
        <f t="shared" ref="AU1352:AU1415" si="285">IFERROR(IF($F1352="Bernardino Furlan",AT1352/2751.92,IF($F1352="Mauro José Salanti",AT1352/2751.92,AT1352/3356)),"")</f>
        <v/>
      </c>
      <c r="AV1352" s="227"/>
      <c r="AW1352" s="30"/>
      <c r="AX1352" s="267"/>
      <c r="AY1352" s="267"/>
      <c r="AZ1352" s="29"/>
      <c r="BA1352" s="30"/>
      <c r="BB1352" s="23" t="str" cm="1">
        <f t="array" ref="BB1352">_xlfn.IFS(AW1352="SIM",SUM(K1352,P1352,U1352,Z1352,AE1352,AJ1352,AO1352,AT1352,AX1352,AY1352),F1352&lt;&gt;"",SUM(K1352,P1352,U1352,Z1352,AE1352,AJ1352,,AO1352,AT1352),F1352="","")</f>
        <v/>
      </c>
      <c r="BC1352" s="211" t="str" cm="1">
        <f t="array" ref="BC1352">_xlfn.IFS(E1352="","",G1352&lt;=E1352,BB1352*(1-0.03),G1352&lt;(E1352+8),BB1352,AZ1352="Boleto",BB1352*(1+0.001)^DATEDIF(E1352,G1352,"D"),AZ1352="Cheque",BB1352,AZ1352="Dinheiro","Alterar forma pgto")</f>
        <v/>
      </c>
      <c r="BD1352" s="276" t="str" cm="1">
        <f t="array" ref="BD1352">IF(F1352=0," ",IF(BC1352&lt;BB1352,(_xlfn.IFS(AW1352="SIM",SUM(L1352,Q1352,V1352,AA1352,AF1352,AK1352,AP1352,AU1352)+AX1352/_xlfn.XLOOKUP(_xlfn.XLOOKUP($F1352,Clientes!$B$4:$B$39,Clientes!$C$4:$C$39),Cadastros!$L$6:$L$12,Cadastros!$M$6:$M$12)+IF($F1352="Bernardino Furlan",AY1352/2751.92,IF($F1352="Mauro José Salanti",AY1352/2751.92,AY1352/3356)),F1352&lt;&gt;0,SUM(L1352,Q1352,V1352,AA1352,AF1352,AK1352,AP1352,AU1352)))*(1-0.03),_xlfn.IFS(AW1352="SIM",SUM(L1352,Q1352,V1352,AA1352,AF1352,AK1352,AP1352,AU1352)+AX1352/_xlfn.XLOOKUP(_xlfn.XLOOKUP($F1352,Clientes!$B$4:$B$39,Clientes!$C$4:$C$39),Cadastros!$L$6:$L$12,Cadastros!$M$6:$M$12)+IF($F1352="Bernardino Furlan",AY1352/2751.92,IF($F1352="Mauro José Salanti",AY1352/2751.92,AY1352/3356)),F1352&lt;&gt;0,SUM(L1352,Q1352,V1352,AA1352,AF1352,AK1352,AP1352,AU1352))))</f>
        <v xml:space="preserve"> </v>
      </c>
      <c r="BE1352" s="120"/>
      <c r="BF1352" s="120"/>
      <c r="BG1352" s="120"/>
    </row>
    <row r="1353" spans="1:59" s="3" customFormat="1" x14ac:dyDescent="0.3">
      <c r="A1353" s="15" t="str">
        <f t="shared" si="273"/>
        <v/>
      </c>
      <c r="B1353" s="25"/>
      <c r="C1353" s="26"/>
      <c r="D1353" s="279"/>
      <c r="E1353" s="27"/>
      <c r="F1353" s="28"/>
      <c r="G1353" s="27"/>
      <c r="H1353" s="28"/>
      <c r="I1353" s="28"/>
      <c r="J1353" s="255" t="str">
        <f>IF(H1353="","",(_xlfn.XLOOKUP(H1353,Cadastros!$D$6:$D$90,Cadastros!$E$6:$E$90))*(1-_xlfn.XLOOKUP(_xlfn.XLOOKUP($F1353,Clientes!$B$4:$B$39,Clientes!$C$4:$C$39),Cadastros!$L$6:$L$12,Cadastros!$N$6:$N$12)))</f>
        <v/>
      </c>
      <c r="K1353" s="168" t="str">
        <f t="shared" si="274"/>
        <v/>
      </c>
      <c r="L1353" s="168" t="str">
        <f>IFERROR(K1353/_xlfn.XLOOKUP(_xlfn.XLOOKUP($F1353,Clientes!$B$4:$B$39,Clientes!$C$4:$C$39),Cadastros!$L$6:$L$12,Cadastros!$M$6:$M$12)," ")</f>
        <v xml:space="preserve"> </v>
      </c>
      <c r="M1353" s="28"/>
      <c r="N1353" s="28"/>
      <c r="O1353" s="255" t="str">
        <f>IF(M1353="","",(_xlfn.XLOOKUP(M1353,Cadastros!$D$6:$D$90,Cadastros!$E$6:$E$90))*(1-_xlfn.XLOOKUP(_xlfn.XLOOKUP($F1353,Clientes!$B$4:$B$39,Clientes!$C$4:$C$39),Cadastros!$L$6:$L$12,Cadastros!$N$6:$N$12)))</f>
        <v/>
      </c>
      <c r="P1353" s="168" t="str">
        <f t="shared" si="275"/>
        <v/>
      </c>
      <c r="Q1353" s="168" t="str">
        <f>IFERROR(P1353/_xlfn.XLOOKUP(_xlfn.XLOOKUP($F1353,Clientes!$B$4:$B$39,Clientes!$C$4:$C$39),Cadastros!$L$6:$L$12,Cadastros!$M$6:$M$12)," ")</f>
        <v xml:space="preserve"> </v>
      </c>
      <c r="R1353" s="28"/>
      <c r="S1353" s="28"/>
      <c r="T1353" s="255" t="str">
        <f>IF(R1353="","",(_xlfn.XLOOKUP(R1353,Cadastros!$D$6:$D$90,Cadastros!$E$6:$E$90))*(1-_xlfn.XLOOKUP(_xlfn.XLOOKUP($F1353,Clientes!$B$4:$B$39,Clientes!$C$4:$C$39),Cadastros!$L$6:$L$12,Cadastros!$N$6:$N$12)))</f>
        <v/>
      </c>
      <c r="U1353" s="168" t="str">
        <f t="shared" si="276"/>
        <v/>
      </c>
      <c r="V1353" s="168" t="str">
        <f>IFERROR(U1353/_xlfn.XLOOKUP(_xlfn.XLOOKUP($F1353,Clientes!$B$4:$B$39,Clientes!$C$4:$C$39),Cadastros!$L$6:$L$12,Cadastros!$M$6:$M$12)," ")</f>
        <v xml:space="preserve"> </v>
      </c>
      <c r="W1353" s="28"/>
      <c r="X1353" s="28"/>
      <c r="Y1353" s="255" t="str">
        <f>IF(W1353="","",(_xlfn.XLOOKUP(W1353,Cadastros!$D$6:$D$90,Cadastros!$E$6:$E$90))*(1-_xlfn.XLOOKUP(_xlfn.XLOOKUP($F1353,Clientes!$B$4:$B$39,Clientes!$C$4:$C$39),Cadastros!$L$6:$L$12,Cadastros!$N$6:$N$12)))</f>
        <v/>
      </c>
      <c r="Z1353" s="168" t="str">
        <f t="shared" si="277"/>
        <v/>
      </c>
      <c r="AA1353" s="168" t="str">
        <f>IFERROR(Z1353/_xlfn.XLOOKUP(_xlfn.XLOOKUP($F1353,Clientes!$B$4:$B$39,Clientes!$C$4:$C$39),Cadastros!$L$6:$L$12,Cadastros!$M$6:$M$12)," ")</f>
        <v xml:space="preserve"> </v>
      </c>
      <c r="AB1353" s="28"/>
      <c r="AC1353" s="28"/>
      <c r="AD1353" s="20" t="str">
        <f>IF(AB1353="","",IF($F1353="Bernardino Furlan",_xlfn.XLOOKUP(AB1353,Cadastros!$G$6:$G$90,Cadastros!$H$6:$H$90)*(1-0.18),IF($F1353="Mauro José Salanti",_xlfn.XLOOKUP(AB1353,Cadastros!$G$6:$G$90,Cadastros!$H$6:$H$90)*(1-0.18),_xlfn.XLOOKUP(AB1353,Cadastros!$G$6:$G$90,Cadastros!$H$6:$H$90))))</f>
        <v/>
      </c>
      <c r="AE1353" s="168" t="str">
        <f t="shared" si="278"/>
        <v/>
      </c>
      <c r="AF1353" s="168" t="str">
        <f t="shared" si="279"/>
        <v/>
      </c>
      <c r="AG1353" s="28"/>
      <c r="AH1353" s="28"/>
      <c r="AI1353" s="20" t="str">
        <f>IF(AG1353="","",IF($F1353="Bernardino Furlan",_xlfn.XLOOKUP(AG1353,Cadastros!$G$6:$G$90,Cadastros!$H$6:$H$90)*(1-0.18),IF($F1353="Mauro José Salanti",_xlfn.XLOOKUP(AG1353,Cadastros!$G$6:$G$90,Cadastros!$H$6:$H$90)*(1-0.18),_xlfn.XLOOKUP(AG1353,Cadastros!$G$6:$G$90,Cadastros!$H$6:$H$90))))</f>
        <v/>
      </c>
      <c r="AJ1353" s="168" t="str">
        <f t="shared" si="280"/>
        <v/>
      </c>
      <c r="AK1353" s="168" t="str">
        <f t="shared" si="281"/>
        <v/>
      </c>
      <c r="AL1353" s="28"/>
      <c r="AM1353" s="28"/>
      <c r="AN1353" s="20" t="str">
        <f>IF(AL1353="","",IF($F1353="Bernardino Furlan",_xlfn.XLOOKUP(AL1353,Cadastros!$G$6:$G$90,Cadastros!$H$6:$H$90)*(1-0.18),IF($F1353="Mauro José Salanti",_xlfn.XLOOKUP(AL1353,Cadastros!$G$6:$G$90,Cadastros!$H$6:$H$90)*(1-0.18),_xlfn.XLOOKUP(AL1353,Cadastros!$G$6:$G$90,Cadastros!$H$6:$H$90))))</f>
        <v/>
      </c>
      <c r="AO1353" s="168" t="str">
        <f t="shared" si="282"/>
        <v/>
      </c>
      <c r="AP1353" s="168" t="str">
        <f t="shared" si="283"/>
        <v/>
      </c>
      <c r="AQ1353" s="28"/>
      <c r="AR1353" s="28"/>
      <c r="AS1353" s="20" t="str">
        <f>IF(AQ1353="","",IF($F1353="Bernardino Furlan",_xlfn.XLOOKUP(AQ1353,Cadastros!$G$6:$G$90,Cadastros!$H$6:$H$90)*(1-0.18),IF($F1353="Mauro José Salanti",_xlfn.XLOOKUP(AQ1353,Cadastros!$G$6:$G$90,Cadastros!$H$6:$H$90)*(1-0.18),_xlfn.XLOOKUP(AQ1353,Cadastros!$G$6:$G$90,Cadastros!$H$6:$H$90))))</f>
        <v/>
      </c>
      <c r="AT1353" s="168" t="str">
        <f t="shared" si="284"/>
        <v/>
      </c>
      <c r="AU1353" s="168" t="str">
        <f t="shared" si="285"/>
        <v/>
      </c>
      <c r="AV1353" s="227"/>
      <c r="AW1353" s="30"/>
      <c r="AX1353" s="267"/>
      <c r="AY1353" s="267"/>
      <c r="AZ1353" s="29"/>
      <c r="BA1353" s="30"/>
      <c r="BB1353" s="23" t="str" cm="1">
        <f t="array" ref="BB1353">_xlfn.IFS(AW1353="SIM",SUM(K1353,P1353,U1353,Z1353,AE1353,AJ1353,AO1353,AT1353,AX1353,AY1353),F1353&lt;&gt;"",SUM(K1353,P1353,U1353,Z1353,AE1353,AJ1353,,AO1353,AT1353),F1353="","")</f>
        <v/>
      </c>
      <c r="BC1353" s="211" t="str" cm="1">
        <f t="array" ref="BC1353">_xlfn.IFS(E1353="","",G1353&lt;=E1353,BB1353*(1-0.03),G1353&lt;(E1353+8),BB1353,AZ1353="Boleto",BB1353*(1+0.001)^DATEDIF(E1353,G1353,"D"),AZ1353="Cheque",BB1353,AZ1353="Dinheiro","Alterar forma pgto")</f>
        <v/>
      </c>
      <c r="BD1353" s="276" t="str" cm="1">
        <f t="array" ref="BD1353">IF(F1353=0," ",IF(BC1353&lt;BB1353,(_xlfn.IFS(AW1353="SIM",SUM(L1353,Q1353,V1353,AA1353,AF1353,AK1353,AP1353,AU1353)+AX1353/_xlfn.XLOOKUP(_xlfn.XLOOKUP($F1353,Clientes!$B$4:$B$39,Clientes!$C$4:$C$39),Cadastros!$L$6:$L$12,Cadastros!$M$6:$M$12)+IF($F1353="Bernardino Furlan",AY1353/2751.92,IF($F1353="Mauro José Salanti",AY1353/2751.92,AY1353/3356)),F1353&lt;&gt;0,SUM(L1353,Q1353,V1353,AA1353,AF1353,AK1353,AP1353,AU1353)))*(1-0.03),_xlfn.IFS(AW1353="SIM",SUM(L1353,Q1353,V1353,AA1353,AF1353,AK1353,AP1353,AU1353)+AX1353/_xlfn.XLOOKUP(_xlfn.XLOOKUP($F1353,Clientes!$B$4:$B$39,Clientes!$C$4:$C$39),Cadastros!$L$6:$L$12,Cadastros!$M$6:$M$12)+IF($F1353="Bernardino Furlan",AY1353/2751.92,IF($F1353="Mauro José Salanti",AY1353/2751.92,AY1353/3356)),F1353&lt;&gt;0,SUM(L1353,Q1353,V1353,AA1353,AF1353,AK1353,AP1353,AU1353))))</f>
        <v xml:space="preserve"> </v>
      </c>
      <c r="BE1353" s="120"/>
      <c r="BF1353" s="120"/>
      <c r="BG1353" s="120"/>
    </row>
    <row r="1354" spans="1:59" s="3" customFormat="1" x14ac:dyDescent="0.3">
      <c r="A1354" s="15" t="str">
        <f t="shared" si="273"/>
        <v/>
      </c>
      <c r="B1354" s="25"/>
      <c r="C1354" s="26"/>
      <c r="D1354" s="279"/>
      <c r="E1354" s="27"/>
      <c r="F1354" s="28"/>
      <c r="G1354" s="27"/>
      <c r="H1354" s="28"/>
      <c r="I1354" s="28"/>
      <c r="J1354" s="255" t="str">
        <f>IF(H1354="","",(_xlfn.XLOOKUP(H1354,Cadastros!$D$6:$D$90,Cadastros!$E$6:$E$90))*(1-_xlfn.XLOOKUP(_xlfn.XLOOKUP($F1354,Clientes!$B$4:$B$39,Clientes!$C$4:$C$39),Cadastros!$L$6:$L$12,Cadastros!$N$6:$N$12)))</f>
        <v/>
      </c>
      <c r="K1354" s="168" t="str">
        <f t="shared" si="274"/>
        <v/>
      </c>
      <c r="L1354" s="168" t="str">
        <f>IFERROR(K1354/_xlfn.XLOOKUP(_xlfn.XLOOKUP($F1354,Clientes!$B$4:$B$39,Clientes!$C$4:$C$39),Cadastros!$L$6:$L$12,Cadastros!$M$6:$M$12)," ")</f>
        <v xml:space="preserve"> </v>
      </c>
      <c r="M1354" s="28"/>
      <c r="N1354" s="28"/>
      <c r="O1354" s="255" t="str">
        <f>IF(M1354="","",(_xlfn.XLOOKUP(M1354,Cadastros!$D$6:$D$90,Cadastros!$E$6:$E$90))*(1-_xlfn.XLOOKUP(_xlfn.XLOOKUP($F1354,Clientes!$B$4:$B$39,Clientes!$C$4:$C$39),Cadastros!$L$6:$L$12,Cadastros!$N$6:$N$12)))</f>
        <v/>
      </c>
      <c r="P1354" s="168" t="str">
        <f t="shared" si="275"/>
        <v/>
      </c>
      <c r="Q1354" s="168" t="str">
        <f>IFERROR(P1354/_xlfn.XLOOKUP(_xlfn.XLOOKUP($F1354,Clientes!$B$4:$B$39,Clientes!$C$4:$C$39),Cadastros!$L$6:$L$12,Cadastros!$M$6:$M$12)," ")</f>
        <v xml:space="preserve"> </v>
      </c>
      <c r="R1354" s="28"/>
      <c r="S1354" s="28"/>
      <c r="T1354" s="255" t="str">
        <f>IF(R1354="","",(_xlfn.XLOOKUP(R1354,Cadastros!$D$6:$D$90,Cadastros!$E$6:$E$90))*(1-_xlfn.XLOOKUP(_xlfn.XLOOKUP($F1354,Clientes!$B$4:$B$39,Clientes!$C$4:$C$39),Cadastros!$L$6:$L$12,Cadastros!$N$6:$N$12)))</f>
        <v/>
      </c>
      <c r="U1354" s="168" t="str">
        <f t="shared" si="276"/>
        <v/>
      </c>
      <c r="V1354" s="168" t="str">
        <f>IFERROR(U1354/_xlfn.XLOOKUP(_xlfn.XLOOKUP($F1354,Clientes!$B$4:$B$39,Clientes!$C$4:$C$39),Cadastros!$L$6:$L$12,Cadastros!$M$6:$M$12)," ")</f>
        <v xml:space="preserve"> </v>
      </c>
      <c r="W1354" s="28"/>
      <c r="X1354" s="28"/>
      <c r="Y1354" s="255" t="str">
        <f>IF(W1354="","",(_xlfn.XLOOKUP(W1354,Cadastros!$D$6:$D$90,Cadastros!$E$6:$E$90))*(1-_xlfn.XLOOKUP(_xlfn.XLOOKUP($F1354,Clientes!$B$4:$B$39,Clientes!$C$4:$C$39),Cadastros!$L$6:$L$12,Cadastros!$N$6:$N$12)))</f>
        <v/>
      </c>
      <c r="Z1354" s="168" t="str">
        <f t="shared" si="277"/>
        <v/>
      </c>
      <c r="AA1354" s="168" t="str">
        <f>IFERROR(Z1354/_xlfn.XLOOKUP(_xlfn.XLOOKUP($F1354,Clientes!$B$4:$B$39,Clientes!$C$4:$C$39),Cadastros!$L$6:$L$12,Cadastros!$M$6:$M$12)," ")</f>
        <v xml:space="preserve"> </v>
      </c>
      <c r="AB1354" s="28"/>
      <c r="AC1354" s="28"/>
      <c r="AD1354" s="20" t="str">
        <f>IF(AB1354="","",IF($F1354="Bernardino Furlan",_xlfn.XLOOKUP(AB1354,Cadastros!$G$6:$G$90,Cadastros!$H$6:$H$90)*(1-0.18),IF($F1354="Mauro José Salanti",_xlfn.XLOOKUP(AB1354,Cadastros!$G$6:$G$90,Cadastros!$H$6:$H$90)*(1-0.18),_xlfn.XLOOKUP(AB1354,Cadastros!$G$6:$G$90,Cadastros!$H$6:$H$90))))</f>
        <v/>
      </c>
      <c r="AE1354" s="168" t="str">
        <f t="shared" si="278"/>
        <v/>
      </c>
      <c r="AF1354" s="168" t="str">
        <f t="shared" si="279"/>
        <v/>
      </c>
      <c r="AG1354" s="28"/>
      <c r="AH1354" s="28"/>
      <c r="AI1354" s="20" t="str">
        <f>IF(AG1354="","",IF($F1354="Bernardino Furlan",_xlfn.XLOOKUP(AG1354,Cadastros!$G$6:$G$90,Cadastros!$H$6:$H$90)*(1-0.18),IF($F1354="Mauro José Salanti",_xlfn.XLOOKUP(AG1354,Cadastros!$G$6:$G$90,Cadastros!$H$6:$H$90)*(1-0.18),_xlfn.XLOOKUP(AG1354,Cadastros!$G$6:$G$90,Cadastros!$H$6:$H$90))))</f>
        <v/>
      </c>
      <c r="AJ1354" s="168" t="str">
        <f t="shared" si="280"/>
        <v/>
      </c>
      <c r="AK1354" s="168" t="str">
        <f t="shared" si="281"/>
        <v/>
      </c>
      <c r="AL1354" s="28"/>
      <c r="AM1354" s="28"/>
      <c r="AN1354" s="20" t="str">
        <f>IF(AL1354="","",IF($F1354="Bernardino Furlan",_xlfn.XLOOKUP(AL1354,Cadastros!$G$6:$G$90,Cadastros!$H$6:$H$90)*(1-0.18),IF($F1354="Mauro José Salanti",_xlfn.XLOOKUP(AL1354,Cadastros!$G$6:$G$90,Cadastros!$H$6:$H$90)*(1-0.18),_xlfn.XLOOKUP(AL1354,Cadastros!$G$6:$G$90,Cadastros!$H$6:$H$90))))</f>
        <v/>
      </c>
      <c r="AO1354" s="168" t="str">
        <f t="shared" si="282"/>
        <v/>
      </c>
      <c r="AP1354" s="168" t="str">
        <f t="shared" si="283"/>
        <v/>
      </c>
      <c r="AQ1354" s="28"/>
      <c r="AR1354" s="28"/>
      <c r="AS1354" s="20" t="str">
        <f>IF(AQ1354="","",IF($F1354="Bernardino Furlan",_xlfn.XLOOKUP(AQ1354,Cadastros!$G$6:$G$90,Cadastros!$H$6:$H$90)*(1-0.18),IF($F1354="Mauro José Salanti",_xlfn.XLOOKUP(AQ1354,Cadastros!$G$6:$G$90,Cadastros!$H$6:$H$90)*(1-0.18),_xlfn.XLOOKUP(AQ1354,Cadastros!$G$6:$G$90,Cadastros!$H$6:$H$90))))</f>
        <v/>
      </c>
      <c r="AT1354" s="168" t="str">
        <f t="shared" si="284"/>
        <v/>
      </c>
      <c r="AU1354" s="168" t="str">
        <f t="shared" si="285"/>
        <v/>
      </c>
      <c r="AV1354" s="227"/>
      <c r="AW1354" s="30"/>
      <c r="AX1354" s="267"/>
      <c r="AY1354" s="267"/>
      <c r="AZ1354" s="29"/>
      <c r="BA1354" s="30"/>
      <c r="BB1354" s="23" t="str" cm="1">
        <f t="array" ref="BB1354">_xlfn.IFS(AW1354="SIM",SUM(K1354,P1354,U1354,Z1354,AE1354,AJ1354,AO1354,AT1354,AX1354,AY1354),F1354&lt;&gt;"",SUM(K1354,P1354,U1354,Z1354,AE1354,AJ1354,,AO1354,AT1354),F1354="","")</f>
        <v/>
      </c>
      <c r="BC1354" s="211" t="str" cm="1">
        <f t="array" ref="BC1354">_xlfn.IFS(E1354="","",G1354&lt;=E1354,BB1354*(1-0.03),G1354&lt;(E1354+8),BB1354,AZ1354="Boleto",BB1354*(1+0.001)^DATEDIF(E1354,G1354,"D"),AZ1354="Cheque",BB1354,AZ1354="Dinheiro","Alterar forma pgto")</f>
        <v/>
      </c>
      <c r="BD1354" s="276" t="str" cm="1">
        <f t="array" ref="BD1354">IF(F1354=0," ",IF(BC1354&lt;BB1354,(_xlfn.IFS(AW1354="SIM",SUM(L1354,Q1354,V1354,AA1354,AF1354,AK1354,AP1354,AU1354)+AX1354/_xlfn.XLOOKUP(_xlfn.XLOOKUP($F1354,Clientes!$B$4:$B$39,Clientes!$C$4:$C$39),Cadastros!$L$6:$L$12,Cadastros!$M$6:$M$12)+IF($F1354="Bernardino Furlan",AY1354/2751.92,IF($F1354="Mauro José Salanti",AY1354/2751.92,AY1354/3356)),F1354&lt;&gt;0,SUM(L1354,Q1354,V1354,AA1354,AF1354,AK1354,AP1354,AU1354)))*(1-0.03),_xlfn.IFS(AW1354="SIM",SUM(L1354,Q1354,V1354,AA1354,AF1354,AK1354,AP1354,AU1354)+AX1354/_xlfn.XLOOKUP(_xlfn.XLOOKUP($F1354,Clientes!$B$4:$B$39,Clientes!$C$4:$C$39),Cadastros!$L$6:$L$12,Cadastros!$M$6:$M$12)+IF($F1354="Bernardino Furlan",AY1354/2751.92,IF($F1354="Mauro José Salanti",AY1354/2751.92,AY1354/3356)),F1354&lt;&gt;0,SUM(L1354,Q1354,V1354,AA1354,AF1354,AK1354,AP1354,AU1354))))</f>
        <v xml:space="preserve"> </v>
      </c>
      <c r="BE1354" s="120"/>
      <c r="BF1354" s="120"/>
      <c r="BG1354" s="120"/>
    </row>
    <row r="1355" spans="1:59" s="3" customFormat="1" x14ac:dyDescent="0.3">
      <c r="A1355" s="15" t="str">
        <f t="shared" si="273"/>
        <v/>
      </c>
      <c r="B1355" s="25"/>
      <c r="C1355" s="26"/>
      <c r="D1355" s="279"/>
      <c r="E1355" s="27"/>
      <c r="F1355" s="28"/>
      <c r="G1355" s="27"/>
      <c r="H1355" s="28"/>
      <c r="I1355" s="28"/>
      <c r="J1355" s="255" t="str">
        <f>IF(H1355="","",(_xlfn.XLOOKUP(H1355,Cadastros!$D$6:$D$90,Cadastros!$E$6:$E$90))*(1-_xlfn.XLOOKUP(_xlfn.XLOOKUP($F1355,Clientes!$B$4:$B$39,Clientes!$C$4:$C$39),Cadastros!$L$6:$L$12,Cadastros!$N$6:$N$12)))</f>
        <v/>
      </c>
      <c r="K1355" s="168" t="str">
        <f t="shared" si="274"/>
        <v/>
      </c>
      <c r="L1355" s="168" t="str">
        <f>IFERROR(K1355/_xlfn.XLOOKUP(_xlfn.XLOOKUP($F1355,Clientes!$B$4:$B$39,Clientes!$C$4:$C$39),Cadastros!$L$6:$L$12,Cadastros!$M$6:$M$12)," ")</f>
        <v xml:space="preserve"> </v>
      </c>
      <c r="M1355" s="28"/>
      <c r="N1355" s="28"/>
      <c r="O1355" s="255" t="str">
        <f>IF(M1355="","",(_xlfn.XLOOKUP(M1355,Cadastros!$D$6:$D$90,Cadastros!$E$6:$E$90))*(1-_xlfn.XLOOKUP(_xlfn.XLOOKUP($F1355,Clientes!$B$4:$B$39,Clientes!$C$4:$C$39),Cadastros!$L$6:$L$12,Cadastros!$N$6:$N$12)))</f>
        <v/>
      </c>
      <c r="P1355" s="168" t="str">
        <f t="shared" si="275"/>
        <v/>
      </c>
      <c r="Q1355" s="168" t="str">
        <f>IFERROR(P1355/_xlfn.XLOOKUP(_xlfn.XLOOKUP($F1355,Clientes!$B$4:$B$39,Clientes!$C$4:$C$39),Cadastros!$L$6:$L$12,Cadastros!$M$6:$M$12)," ")</f>
        <v xml:space="preserve"> </v>
      </c>
      <c r="R1355" s="28"/>
      <c r="S1355" s="28"/>
      <c r="T1355" s="255" t="str">
        <f>IF(R1355="","",(_xlfn.XLOOKUP(R1355,Cadastros!$D$6:$D$90,Cadastros!$E$6:$E$90))*(1-_xlfn.XLOOKUP(_xlfn.XLOOKUP($F1355,Clientes!$B$4:$B$39,Clientes!$C$4:$C$39),Cadastros!$L$6:$L$12,Cadastros!$N$6:$N$12)))</f>
        <v/>
      </c>
      <c r="U1355" s="168" t="str">
        <f t="shared" si="276"/>
        <v/>
      </c>
      <c r="V1355" s="168" t="str">
        <f>IFERROR(U1355/_xlfn.XLOOKUP(_xlfn.XLOOKUP($F1355,Clientes!$B$4:$B$39,Clientes!$C$4:$C$39),Cadastros!$L$6:$L$12,Cadastros!$M$6:$M$12)," ")</f>
        <v xml:space="preserve"> </v>
      </c>
      <c r="W1355" s="28"/>
      <c r="X1355" s="28"/>
      <c r="Y1355" s="255" t="str">
        <f>IF(W1355="","",(_xlfn.XLOOKUP(W1355,Cadastros!$D$6:$D$90,Cadastros!$E$6:$E$90))*(1-_xlfn.XLOOKUP(_xlfn.XLOOKUP($F1355,Clientes!$B$4:$B$39,Clientes!$C$4:$C$39),Cadastros!$L$6:$L$12,Cadastros!$N$6:$N$12)))</f>
        <v/>
      </c>
      <c r="Z1355" s="168" t="str">
        <f t="shared" si="277"/>
        <v/>
      </c>
      <c r="AA1355" s="168" t="str">
        <f>IFERROR(Z1355/_xlfn.XLOOKUP(_xlfn.XLOOKUP($F1355,Clientes!$B$4:$B$39,Clientes!$C$4:$C$39),Cadastros!$L$6:$L$12,Cadastros!$M$6:$M$12)," ")</f>
        <v xml:space="preserve"> </v>
      </c>
      <c r="AB1355" s="28"/>
      <c r="AC1355" s="28"/>
      <c r="AD1355" s="20" t="str">
        <f>IF(AB1355="","",IF($F1355="Bernardino Furlan",_xlfn.XLOOKUP(AB1355,Cadastros!$G$6:$G$90,Cadastros!$H$6:$H$90)*(1-0.18),IF($F1355="Mauro José Salanti",_xlfn.XLOOKUP(AB1355,Cadastros!$G$6:$G$90,Cadastros!$H$6:$H$90)*(1-0.18),_xlfn.XLOOKUP(AB1355,Cadastros!$G$6:$G$90,Cadastros!$H$6:$H$90))))</f>
        <v/>
      </c>
      <c r="AE1355" s="168" t="str">
        <f t="shared" si="278"/>
        <v/>
      </c>
      <c r="AF1355" s="168" t="str">
        <f t="shared" si="279"/>
        <v/>
      </c>
      <c r="AG1355" s="28"/>
      <c r="AH1355" s="28"/>
      <c r="AI1355" s="20" t="str">
        <f>IF(AG1355="","",IF($F1355="Bernardino Furlan",_xlfn.XLOOKUP(AG1355,Cadastros!$G$6:$G$90,Cadastros!$H$6:$H$90)*(1-0.18),IF($F1355="Mauro José Salanti",_xlfn.XLOOKUP(AG1355,Cadastros!$G$6:$G$90,Cadastros!$H$6:$H$90)*(1-0.18),_xlfn.XLOOKUP(AG1355,Cadastros!$G$6:$G$90,Cadastros!$H$6:$H$90))))</f>
        <v/>
      </c>
      <c r="AJ1355" s="168" t="str">
        <f t="shared" si="280"/>
        <v/>
      </c>
      <c r="AK1355" s="168" t="str">
        <f t="shared" si="281"/>
        <v/>
      </c>
      <c r="AL1355" s="28"/>
      <c r="AM1355" s="28"/>
      <c r="AN1355" s="20" t="str">
        <f>IF(AL1355="","",IF($F1355="Bernardino Furlan",_xlfn.XLOOKUP(AL1355,Cadastros!$G$6:$G$90,Cadastros!$H$6:$H$90)*(1-0.18),IF($F1355="Mauro José Salanti",_xlfn.XLOOKUP(AL1355,Cadastros!$G$6:$G$90,Cadastros!$H$6:$H$90)*(1-0.18),_xlfn.XLOOKUP(AL1355,Cadastros!$G$6:$G$90,Cadastros!$H$6:$H$90))))</f>
        <v/>
      </c>
      <c r="AO1355" s="168" t="str">
        <f t="shared" si="282"/>
        <v/>
      </c>
      <c r="AP1355" s="168" t="str">
        <f t="shared" si="283"/>
        <v/>
      </c>
      <c r="AQ1355" s="28"/>
      <c r="AR1355" s="28"/>
      <c r="AS1355" s="20" t="str">
        <f>IF(AQ1355="","",IF($F1355="Bernardino Furlan",_xlfn.XLOOKUP(AQ1355,Cadastros!$G$6:$G$90,Cadastros!$H$6:$H$90)*(1-0.18),IF($F1355="Mauro José Salanti",_xlfn.XLOOKUP(AQ1355,Cadastros!$G$6:$G$90,Cadastros!$H$6:$H$90)*(1-0.18),_xlfn.XLOOKUP(AQ1355,Cadastros!$G$6:$G$90,Cadastros!$H$6:$H$90))))</f>
        <v/>
      </c>
      <c r="AT1355" s="168" t="str">
        <f t="shared" si="284"/>
        <v/>
      </c>
      <c r="AU1355" s="168" t="str">
        <f t="shared" si="285"/>
        <v/>
      </c>
      <c r="AV1355" s="227"/>
      <c r="AW1355" s="30"/>
      <c r="AX1355" s="267"/>
      <c r="AY1355" s="267"/>
      <c r="AZ1355" s="29"/>
      <c r="BA1355" s="30"/>
      <c r="BB1355" s="23" t="str" cm="1">
        <f t="array" ref="BB1355">_xlfn.IFS(AW1355="SIM",SUM(K1355,P1355,U1355,Z1355,AE1355,AJ1355,AO1355,AT1355,AX1355,AY1355),F1355&lt;&gt;"",SUM(K1355,P1355,U1355,Z1355,AE1355,AJ1355,,AO1355,AT1355),F1355="","")</f>
        <v/>
      </c>
      <c r="BC1355" s="211" t="str" cm="1">
        <f t="array" ref="BC1355">_xlfn.IFS(E1355="","",G1355&lt;=E1355,BB1355*(1-0.03),G1355&lt;(E1355+8),BB1355,AZ1355="Boleto",BB1355*(1+0.001)^DATEDIF(E1355,G1355,"D"),AZ1355="Cheque",BB1355,AZ1355="Dinheiro","Alterar forma pgto")</f>
        <v/>
      </c>
      <c r="BD1355" s="276" t="str" cm="1">
        <f t="array" ref="BD1355">IF(F1355=0," ",IF(BC1355&lt;BB1355,(_xlfn.IFS(AW1355="SIM",SUM(L1355,Q1355,V1355,AA1355,AF1355,AK1355,AP1355,AU1355)+AX1355/_xlfn.XLOOKUP(_xlfn.XLOOKUP($F1355,Clientes!$B$4:$B$39,Clientes!$C$4:$C$39),Cadastros!$L$6:$L$12,Cadastros!$M$6:$M$12)+IF($F1355="Bernardino Furlan",AY1355/2751.92,IF($F1355="Mauro José Salanti",AY1355/2751.92,AY1355/3356)),F1355&lt;&gt;0,SUM(L1355,Q1355,V1355,AA1355,AF1355,AK1355,AP1355,AU1355)))*(1-0.03),_xlfn.IFS(AW1355="SIM",SUM(L1355,Q1355,V1355,AA1355,AF1355,AK1355,AP1355,AU1355)+AX1355/_xlfn.XLOOKUP(_xlfn.XLOOKUP($F1355,Clientes!$B$4:$B$39,Clientes!$C$4:$C$39),Cadastros!$L$6:$L$12,Cadastros!$M$6:$M$12)+IF($F1355="Bernardino Furlan",AY1355/2751.92,IF($F1355="Mauro José Salanti",AY1355/2751.92,AY1355/3356)),F1355&lt;&gt;0,SUM(L1355,Q1355,V1355,AA1355,AF1355,AK1355,AP1355,AU1355))))</f>
        <v xml:space="preserve"> </v>
      </c>
      <c r="BE1355" s="120"/>
      <c r="BF1355" s="120"/>
      <c r="BG1355" s="120"/>
    </row>
    <row r="1356" spans="1:59" s="3" customFormat="1" x14ac:dyDescent="0.3">
      <c r="A1356" s="15" t="str">
        <f t="shared" si="273"/>
        <v/>
      </c>
      <c r="B1356" s="25"/>
      <c r="C1356" s="26"/>
      <c r="D1356" s="279"/>
      <c r="E1356" s="27"/>
      <c r="F1356" s="28"/>
      <c r="G1356" s="27"/>
      <c r="H1356" s="28"/>
      <c r="I1356" s="28"/>
      <c r="J1356" s="255" t="str">
        <f>IF(H1356="","",(_xlfn.XLOOKUP(H1356,Cadastros!$D$6:$D$90,Cadastros!$E$6:$E$90))*(1-_xlfn.XLOOKUP(_xlfn.XLOOKUP($F1356,Clientes!$B$4:$B$39,Clientes!$C$4:$C$39),Cadastros!$L$6:$L$12,Cadastros!$N$6:$N$12)))</f>
        <v/>
      </c>
      <c r="K1356" s="168" t="str">
        <f t="shared" si="274"/>
        <v/>
      </c>
      <c r="L1356" s="168" t="str">
        <f>IFERROR(K1356/_xlfn.XLOOKUP(_xlfn.XLOOKUP($F1356,Clientes!$B$4:$B$39,Clientes!$C$4:$C$39),Cadastros!$L$6:$L$12,Cadastros!$M$6:$M$12)," ")</f>
        <v xml:space="preserve"> </v>
      </c>
      <c r="M1356" s="28"/>
      <c r="N1356" s="28"/>
      <c r="O1356" s="255" t="str">
        <f>IF(M1356="","",(_xlfn.XLOOKUP(M1356,Cadastros!$D$6:$D$90,Cadastros!$E$6:$E$90))*(1-_xlfn.XLOOKUP(_xlfn.XLOOKUP($F1356,Clientes!$B$4:$B$39,Clientes!$C$4:$C$39),Cadastros!$L$6:$L$12,Cadastros!$N$6:$N$12)))</f>
        <v/>
      </c>
      <c r="P1356" s="168" t="str">
        <f t="shared" si="275"/>
        <v/>
      </c>
      <c r="Q1356" s="168" t="str">
        <f>IFERROR(P1356/_xlfn.XLOOKUP(_xlfn.XLOOKUP($F1356,Clientes!$B$4:$B$39,Clientes!$C$4:$C$39),Cadastros!$L$6:$L$12,Cadastros!$M$6:$M$12)," ")</f>
        <v xml:space="preserve"> </v>
      </c>
      <c r="R1356" s="28"/>
      <c r="S1356" s="28"/>
      <c r="T1356" s="255" t="str">
        <f>IF(R1356="","",(_xlfn.XLOOKUP(R1356,Cadastros!$D$6:$D$90,Cadastros!$E$6:$E$90))*(1-_xlfn.XLOOKUP(_xlfn.XLOOKUP($F1356,Clientes!$B$4:$B$39,Clientes!$C$4:$C$39),Cadastros!$L$6:$L$12,Cadastros!$N$6:$N$12)))</f>
        <v/>
      </c>
      <c r="U1356" s="168" t="str">
        <f t="shared" si="276"/>
        <v/>
      </c>
      <c r="V1356" s="168" t="str">
        <f>IFERROR(U1356/_xlfn.XLOOKUP(_xlfn.XLOOKUP($F1356,Clientes!$B$4:$B$39,Clientes!$C$4:$C$39),Cadastros!$L$6:$L$12,Cadastros!$M$6:$M$12)," ")</f>
        <v xml:space="preserve"> </v>
      </c>
      <c r="W1356" s="28"/>
      <c r="X1356" s="28"/>
      <c r="Y1356" s="255" t="str">
        <f>IF(W1356="","",(_xlfn.XLOOKUP(W1356,Cadastros!$D$6:$D$90,Cadastros!$E$6:$E$90))*(1-_xlfn.XLOOKUP(_xlfn.XLOOKUP($F1356,Clientes!$B$4:$B$39,Clientes!$C$4:$C$39),Cadastros!$L$6:$L$12,Cadastros!$N$6:$N$12)))</f>
        <v/>
      </c>
      <c r="Z1356" s="168" t="str">
        <f t="shared" si="277"/>
        <v/>
      </c>
      <c r="AA1356" s="168" t="str">
        <f>IFERROR(Z1356/_xlfn.XLOOKUP(_xlfn.XLOOKUP($F1356,Clientes!$B$4:$B$39,Clientes!$C$4:$C$39),Cadastros!$L$6:$L$12,Cadastros!$M$6:$M$12)," ")</f>
        <v xml:space="preserve"> </v>
      </c>
      <c r="AB1356" s="28"/>
      <c r="AC1356" s="28"/>
      <c r="AD1356" s="20" t="str">
        <f>IF(AB1356="","",IF($F1356="Bernardino Furlan",_xlfn.XLOOKUP(AB1356,Cadastros!$G$6:$G$90,Cadastros!$H$6:$H$90)*(1-0.18),IF($F1356="Mauro José Salanti",_xlfn.XLOOKUP(AB1356,Cadastros!$G$6:$G$90,Cadastros!$H$6:$H$90)*(1-0.18),_xlfn.XLOOKUP(AB1356,Cadastros!$G$6:$G$90,Cadastros!$H$6:$H$90))))</f>
        <v/>
      </c>
      <c r="AE1356" s="168" t="str">
        <f t="shared" si="278"/>
        <v/>
      </c>
      <c r="AF1356" s="168" t="str">
        <f t="shared" si="279"/>
        <v/>
      </c>
      <c r="AG1356" s="28"/>
      <c r="AH1356" s="28"/>
      <c r="AI1356" s="20" t="str">
        <f>IF(AG1356="","",IF($F1356="Bernardino Furlan",_xlfn.XLOOKUP(AG1356,Cadastros!$G$6:$G$90,Cadastros!$H$6:$H$90)*(1-0.18),IF($F1356="Mauro José Salanti",_xlfn.XLOOKUP(AG1356,Cadastros!$G$6:$G$90,Cadastros!$H$6:$H$90)*(1-0.18),_xlfn.XLOOKUP(AG1356,Cadastros!$G$6:$G$90,Cadastros!$H$6:$H$90))))</f>
        <v/>
      </c>
      <c r="AJ1356" s="168" t="str">
        <f t="shared" si="280"/>
        <v/>
      </c>
      <c r="AK1356" s="168" t="str">
        <f t="shared" si="281"/>
        <v/>
      </c>
      <c r="AL1356" s="28"/>
      <c r="AM1356" s="28"/>
      <c r="AN1356" s="20" t="str">
        <f>IF(AL1356="","",IF($F1356="Bernardino Furlan",_xlfn.XLOOKUP(AL1356,Cadastros!$G$6:$G$90,Cadastros!$H$6:$H$90)*(1-0.18),IF($F1356="Mauro José Salanti",_xlfn.XLOOKUP(AL1356,Cadastros!$G$6:$G$90,Cadastros!$H$6:$H$90)*(1-0.18),_xlfn.XLOOKUP(AL1356,Cadastros!$G$6:$G$90,Cadastros!$H$6:$H$90))))</f>
        <v/>
      </c>
      <c r="AO1356" s="168" t="str">
        <f t="shared" si="282"/>
        <v/>
      </c>
      <c r="AP1356" s="168" t="str">
        <f t="shared" si="283"/>
        <v/>
      </c>
      <c r="AQ1356" s="28"/>
      <c r="AR1356" s="28"/>
      <c r="AS1356" s="20" t="str">
        <f>IF(AQ1356="","",IF($F1356="Bernardino Furlan",_xlfn.XLOOKUP(AQ1356,Cadastros!$G$6:$G$90,Cadastros!$H$6:$H$90)*(1-0.18),IF($F1356="Mauro José Salanti",_xlfn.XLOOKUP(AQ1356,Cadastros!$G$6:$G$90,Cadastros!$H$6:$H$90)*(1-0.18),_xlfn.XLOOKUP(AQ1356,Cadastros!$G$6:$G$90,Cadastros!$H$6:$H$90))))</f>
        <v/>
      </c>
      <c r="AT1356" s="168" t="str">
        <f t="shared" si="284"/>
        <v/>
      </c>
      <c r="AU1356" s="168" t="str">
        <f t="shared" si="285"/>
        <v/>
      </c>
      <c r="AV1356" s="227"/>
      <c r="AW1356" s="30"/>
      <c r="AX1356" s="267"/>
      <c r="AY1356" s="267"/>
      <c r="AZ1356" s="29"/>
      <c r="BA1356" s="30"/>
      <c r="BB1356" s="23" t="str" cm="1">
        <f t="array" ref="BB1356">_xlfn.IFS(AW1356="SIM",SUM(K1356,P1356,U1356,Z1356,AE1356,AJ1356,AO1356,AT1356,AX1356,AY1356),F1356&lt;&gt;"",SUM(K1356,P1356,U1356,Z1356,AE1356,AJ1356,,AO1356,AT1356),F1356="","")</f>
        <v/>
      </c>
      <c r="BC1356" s="211" t="str" cm="1">
        <f t="array" ref="BC1356">_xlfn.IFS(E1356="","",G1356&lt;=E1356,BB1356*(1-0.03),G1356&lt;(E1356+8),BB1356,AZ1356="Boleto",BB1356*(1+0.001)^DATEDIF(E1356,G1356,"D"),AZ1356="Cheque",BB1356,AZ1356="Dinheiro","Alterar forma pgto")</f>
        <v/>
      </c>
      <c r="BD1356" s="276" t="str" cm="1">
        <f t="array" ref="BD1356">IF(F1356=0," ",IF(BC1356&lt;BB1356,(_xlfn.IFS(AW1356="SIM",SUM(L1356,Q1356,V1356,AA1356,AF1356,AK1356,AP1356,AU1356)+AX1356/_xlfn.XLOOKUP(_xlfn.XLOOKUP($F1356,Clientes!$B$4:$B$39,Clientes!$C$4:$C$39),Cadastros!$L$6:$L$12,Cadastros!$M$6:$M$12)+IF($F1356="Bernardino Furlan",AY1356/2751.92,IF($F1356="Mauro José Salanti",AY1356/2751.92,AY1356/3356)),F1356&lt;&gt;0,SUM(L1356,Q1356,V1356,AA1356,AF1356,AK1356,AP1356,AU1356)))*(1-0.03),_xlfn.IFS(AW1356="SIM",SUM(L1356,Q1356,V1356,AA1356,AF1356,AK1356,AP1356,AU1356)+AX1356/_xlfn.XLOOKUP(_xlfn.XLOOKUP($F1356,Clientes!$B$4:$B$39,Clientes!$C$4:$C$39),Cadastros!$L$6:$L$12,Cadastros!$M$6:$M$12)+IF($F1356="Bernardino Furlan",AY1356/2751.92,IF($F1356="Mauro José Salanti",AY1356/2751.92,AY1356/3356)),F1356&lt;&gt;0,SUM(L1356,Q1356,V1356,AA1356,AF1356,AK1356,AP1356,AU1356))))</f>
        <v xml:space="preserve"> </v>
      </c>
      <c r="BE1356" s="120"/>
      <c r="BF1356" s="120"/>
      <c r="BG1356" s="120"/>
    </row>
    <row r="1357" spans="1:59" s="3" customFormat="1" x14ac:dyDescent="0.3">
      <c r="A1357" s="15" t="str">
        <f t="shared" si="273"/>
        <v/>
      </c>
      <c r="B1357" s="25"/>
      <c r="C1357" s="26"/>
      <c r="D1357" s="279"/>
      <c r="E1357" s="27"/>
      <c r="F1357" s="28"/>
      <c r="G1357" s="27"/>
      <c r="H1357" s="28"/>
      <c r="I1357" s="28"/>
      <c r="J1357" s="255" t="str">
        <f>IF(H1357="","",(_xlfn.XLOOKUP(H1357,Cadastros!$D$6:$D$90,Cadastros!$E$6:$E$90))*(1-_xlfn.XLOOKUP(_xlfn.XLOOKUP($F1357,Clientes!$B$4:$B$39,Clientes!$C$4:$C$39),Cadastros!$L$6:$L$12,Cadastros!$N$6:$N$12)))</f>
        <v/>
      </c>
      <c r="K1357" s="168" t="str">
        <f t="shared" si="274"/>
        <v/>
      </c>
      <c r="L1357" s="168" t="str">
        <f>IFERROR(K1357/_xlfn.XLOOKUP(_xlfn.XLOOKUP($F1357,Clientes!$B$4:$B$39,Clientes!$C$4:$C$39),Cadastros!$L$6:$L$12,Cadastros!$M$6:$M$12)," ")</f>
        <v xml:space="preserve"> </v>
      </c>
      <c r="M1357" s="28"/>
      <c r="N1357" s="28"/>
      <c r="O1357" s="255" t="str">
        <f>IF(M1357="","",(_xlfn.XLOOKUP(M1357,Cadastros!$D$6:$D$90,Cadastros!$E$6:$E$90))*(1-_xlfn.XLOOKUP(_xlfn.XLOOKUP($F1357,Clientes!$B$4:$B$39,Clientes!$C$4:$C$39),Cadastros!$L$6:$L$12,Cadastros!$N$6:$N$12)))</f>
        <v/>
      </c>
      <c r="P1357" s="168" t="str">
        <f t="shared" si="275"/>
        <v/>
      </c>
      <c r="Q1357" s="168" t="str">
        <f>IFERROR(P1357/_xlfn.XLOOKUP(_xlfn.XLOOKUP($F1357,Clientes!$B$4:$B$39,Clientes!$C$4:$C$39),Cadastros!$L$6:$L$12,Cadastros!$M$6:$M$12)," ")</f>
        <v xml:space="preserve"> </v>
      </c>
      <c r="R1357" s="28"/>
      <c r="S1357" s="28"/>
      <c r="T1357" s="255" t="str">
        <f>IF(R1357="","",(_xlfn.XLOOKUP(R1357,Cadastros!$D$6:$D$90,Cadastros!$E$6:$E$90))*(1-_xlfn.XLOOKUP(_xlfn.XLOOKUP($F1357,Clientes!$B$4:$B$39,Clientes!$C$4:$C$39),Cadastros!$L$6:$L$12,Cadastros!$N$6:$N$12)))</f>
        <v/>
      </c>
      <c r="U1357" s="168" t="str">
        <f t="shared" si="276"/>
        <v/>
      </c>
      <c r="V1357" s="168" t="str">
        <f>IFERROR(U1357/_xlfn.XLOOKUP(_xlfn.XLOOKUP($F1357,Clientes!$B$4:$B$39,Clientes!$C$4:$C$39),Cadastros!$L$6:$L$12,Cadastros!$M$6:$M$12)," ")</f>
        <v xml:space="preserve"> </v>
      </c>
      <c r="W1357" s="28"/>
      <c r="X1357" s="28"/>
      <c r="Y1357" s="255" t="str">
        <f>IF(W1357="","",(_xlfn.XLOOKUP(W1357,Cadastros!$D$6:$D$90,Cadastros!$E$6:$E$90))*(1-_xlfn.XLOOKUP(_xlfn.XLOOKUP($F1357,Clientes!$B$4:$B$39,Clientes!$C$4:$C$39),Cadastros!$L$6:$L$12,Cadastros!$N$6:$N$12)))</f>
        <v/>
      </c>
      <c r="Z1357" s="168" t="str">
        <f t="shared" si="277"/>
        <v/>
      </c>
      <c r="AA1357" s="168" t="str">
        <f>IFERROR(Z1357/_xlfn.XLOOKUP(_xlfn.XLOOKUP($F1357,Clientes!$B$4:$B$39,Clientes!$C$4:$C$39),Cadastros!$L$6:$L$12,Cadastros!$M$6:$M$12)," ")</f>
        <v xml:space="preserve"> </v>
      </c>
      <c r="AB1357" s="28"/>
      <c r="AC1357" s="28"/>
      <c r="AD1357" s="20" t="str">
        <f>IF(AB1357="","",IF($F1357="Bernardino Furlan",_xlfn.XLOOKUP(AB1357,Cadastros!$G$6:$G$90,Cadastros!$H$6:$H$90)*(1-0.18),IF($F1357="Mauro José Salanti",_xlfn.XLOOKUP(AB1357,Cadastros!$G$6:$G$90,Cadastros!$H$6:$H$90)*(1-0.18),_xlfn.XLOOKUP(AB1357,Cadastros!$G$6:$G$90,Cadastros!$H$6:$H$90))))</f>
        <v/>
      </c>
      <c r="AE1357" s="168" t="str">
        <f t="shared" si="278"/>
        <v/>
      </c>
      <c r="AF1357" s="168" t="str">
        <f t="shared" si="279"/>
        <v/>
      </c>
      <c r="AG1357" s="28"/>
      <c r="AH1357" s="28"/>
      <c r="AI1357" s="20" t="str">
        <f>IF(AG1357="","",IF($F1357="Bernardino Furlan",_xlfn.XLOOKUP(AG1357,Cadastros!$G$6:$G$90,Cadastros!$H$6:$H$90)*(1-0.18),IF($F1357="Mauro José Salanti",_xlfn.XLOOKUP(AG1357,Cadastros!$G$6:$G$90,Cadastros!$H$6:$H$90)*(1-0.18),_xlfn.XLOOKUP(AG1357,Cadastros!$G$6:$G$90,Cadastros!$H$6:$H$90))))</f>
        <v/>
      </c>
      <c r="AJ1357" s="168" t="str">
        <f t="shared" si="280"/>
        <v/>
      </c>
      <c r="AK1357" s="168" t="str">
        <f t="shared" si="281"/>
        <v/>
      </c>
      <c r="AL1357" s="28"/>
      <c r="AM1357" s="28"/>
      <c r="AN1357" s="20" t="str">
        <f>IF(AL1357="","",IF($F1357="Bernardino Furlan",_xlfn.XLOOKUP(AL1357,Cadastros!$G$6:$G$90,Cadastros!$H$6:$H$90)*(1-0.18),IF($F1357="Mauro José Salanti",_xlfn.XLOOKUP(AL1357,Cadastros!$G$6:$G$90,Cadastros!$H$6:$H$90)*(1-0.18),_xlfn.XLOOKUP(AL1357,Cadastros!$G$6:$G$90,Cadastros!$H$6:$H$90))))</f>
        <v/>
      </c>
      <c r="AO1357" s="168" t="str">
        <f t="shared" si="282"/>
        <v/>
      </c>
      <c r="AP1357" s="168" t="str">
        <f t="shared" si="283"/>
        <v/>
      </c>
      <c r="AQ1357" s="28"/>
      <c r="AR1357" s="28"/>
      <c r="AS1357" s="20" t="str">
        <f>IF(AQ1357="","",IF($F1357="Bernardino Furlan",_xlfn.XLOOKUP(AQ1357,Cadastros!$G$6:$G$90,Cadastros!$H$6:$H$90)*(1-0.18),IF($F1357="Mauro José Salanti",_xlfn.XLOOKUP(AQ1357,Cadastros!$G$6:$G$90,Cadastros!$H$6:$H$90)*(1-0.18),_xlfn.XLOOKUP(AQ1357,Cadastros!$G$6:$G$90,Cadastros!$H$6:$H$90))))</f>
        <v/>
      </c>
      <c r="AT1357" s="168" t="str">
        <f t="shared" si="284"/>
        <v/>
      </c>
      <c r="AU1357" s="168" t="str">
        <f t="shared" si="285"/>
        <v/>
      </c>
      <c r="AV1357" s="227"/>
      <c r="AW1357" s="30"/>
      <c r="AX1357" s="267"/>
      <c r="AY1357" s="267"/>
      <c r="AZ1357" s="29"/>
      <c r="BA1357" s="30"/>
      <c r="BB1357" s="23" t="str" cm="1">
        <f t="array" ref="BB1357">_xlfn.IFS(AW1357="SIM",SUM(K1357,P1357,U1357,Z1357,AE1357,AJ1357,AO1357,AT1357,AX1357,AY1357),F1357&lt;&gt;"",SUM(K1357,P1357,U1357,Z1357,AE1357,AJ1357,,AO1357,AT1357),F1357="","")</f>
        <v/>
      </c>
      <c r="BC1357" s="211" t="str" cm="1">
        <f t="array" ref="BC1357">_xlfn.IFS(E1357="","",G1357&lt;=E1357,BB1357*(1-0.03),G1357&lt;(E1357+8),BB1357,AZ1357="Boleto",BB1357*(1+0.001)^DATEDIF(E1357,G1357,"D"),AZ1357="Cheque",BB1357,AZ1357="Dinheiro","Alterar forma pgto")</f>
        <v/>
      </c>
      <c r="BD1357" s="276" t="str" cm="1">
        <f t="array" ref="BD1357">IF(F1357=0," ",IF(BC1357&lt;BB1357,(_xlfn.IFS(AW1357="SIM",SUM(L1357,Q1357,V1357,AA1357,AF1357,AK1357,AP1357,AU1357)+AX1357/_xlfn.XLOOKUP(_xlfn.XLOOKUP($F1357,Clientes!$B$4:$B$39,Clientes!$C$4:$C$39),Cadastros!$L$6:$L$12,Cadastros!$M$6:$M$12)+IF($F1357="Bernardino Furlan",AY1357/2751.92,IF($F1357="Mauro José Salanti",AY1357/2751.92,AY1357/3356)),F1357&lt;&gt;0,SUM(L1357,Q1357,V1357,AA1357,AF1357,AK1357,AP1357,AU1357)))*(1-0.03),_xlfn.IFS(AW1357="SIM",SUM(L1357,Q1357,V1357,AA1357,AF1357,AK1357,AP1357,AU1357)+AX1357/_xlfn.XLOOKUP(_xlfn.XLOOKUP($F1357,Clientes!$B$4:$B$39,Clientes!$C$4:$C$39),Cadastros!$L$6:$L$12,Cadastros!$M$6:$M$12)+IF($F1357="Bernardino Furlan",AY1357/2751.92,IF($F1357="Mauro José Salanti",AY1357/2751.92,AY1357/3356)),F1357&lt;&gt;0,SUM(L1357,Q1357,V1357,AA1357,AF1357,AK1357,AP1357,AU1357))))</f>
        <v xml:space="preserve"> </v>
      </c>
      <c r="BE1357" s="120"/>
      <c r="BF1357" s="120"/>
      <c r="BG1357" s="120"/>
    </row>
    <row r="1358" spans="1:59" s="3" customFormat="1" x14ac:dyDescent="0.3">
      <c r="A1358" s="15" t="str">
        <f t="shared" si="273"/>
        <v/>
      </c>
      <c r="B1358" s="25"/>
      <c r="C1358" s="26"/>
      <c r="D1358" s="279"/>
      <c r="E1358" s="27"/>
      <c r="F1358" s="28"/>
      <c r="G1358" s="27"/>
      <c r="H1358" s="28"/>
      <c r="I1358" s="28"/>
      <c r="J1358" s="255" t="str">
        <f>IF(H1358="","",(_xlfn.XLOOKUP(H1358,Cadastros!$D$6:$D$90,Cadastros!$E$6:$E$90))*(1-_xlfn.XLOOKUP(_xlfn.XLOOKUP($F1358,Clientes!$B$4:$B$39,Clientes!$C$4:$C$39),Cadastros!$L$6:$L$12,Cadastros!$N$6:$N$12)))</f>
        <v/>
      </c>
      <c r="K1358" s="168" t="str">
        <f t="shared" si="274"/>
        <v/>
      </c>
      <c r="L1358" s="168" t="str">
        <f>IFERROR(K1358/_xlfn.XLOOKUP(_xlfn.XLOOKUP($F1358,Clientes!$B$4:$B$39,Clientes!$C$4:$C$39),Cadastros!$L$6:$L$12,Cadastros!$M$6:$M$12)," ")</f>
        <v xml:space="preserve"> </v>
      </c>
      <c r="M1358" s="28"/>
      <c r="N1358" s="28"/>
      <c r="O1358" s="255" t="str">
        <f>IF(M1358="","",(_xlfn.XLOOKUP(M1358,Cadastros!$D$6:$D$90,Cadastros!$E$6:$E$90))*(1-_xlfn.XLOOKUP(_xlfn.XLOOKUP($F1358,Clientes!$B$4:$B$39,Clientes!$C$4:$C$39),Cadastros!$L$6:$L$12,Cadastros!$N$6:$N$12)))</f>
        <v/>
      </c>
      <c r="P1358" s="168" t="str">
        <f t="shared" si="275"/>
        <v/>
      </c>
      <c r="Q1358" s="168" t="str">
        <f>IFERROR(P1358/_xlfn.XLOOKUP(_xlfn.XLOOKUP($F1358,Clientes!$B$4:$B$39,Clientes!$C$4:$C$39),Cadastros!$L$6:$L$12,Cadastros!$M$6:$M$12)," ")</f>
        <v xml:space="preserve"> </v>
      </c>
      <c r="R1358" s="28"/>
      <c r="S1358" s="28"/>
      <c r="T1358" s="255" t="str">
        <f>IF(R1358="","",(_xlfn.XLOOKUP(R1358,Cadastros!$D$6:$D$90,Cadastros!$E$6:$E$90))*(1-_xlfn.XLOOKUP(_xlfn.XLOOKUP($F1358,Clientes!$B$4:$B$39,Clientes!$C$4:$C$39),Cadastros!$L$6:$L$12,Cadastros!$N$6:$N$12)))</f>
        <v/>
      </c>
      <c r="U1358" s="168" t="str">
        <f t="shared" si="276"/>
        <v/>
      </c>
      <c r="V1358" s="168" t="str">
        <f>IFERROR(U1358/_xlfn.XLOOKUP(_xlfn.XLOOKUP($F1358,Clientes!$B$4:$B$39,Clientes!$C$4:$C$39),Cadastros!$L$6:$L$12,Cadastros!$M$6:$M$12)," ")</f>
        <v xml:space="preserve"> </v>
      </c>
      <c r="W1358" s="28"/>
      <c r="X1358" s="28"/>
      <c r="Y1358" s="255" t="str">
        <f>IF(W1358="","",(_xlfn.XLOOKUP(W1358,Cadastros!$D$6:$D$90,Cadastros!$E$6:$E$90))*(1-_xlfn.XLOOKUP(_xlfn.XLOOKUP($F1358,Clientes!$B$4:$B$39,Clientes!$C$4:$C$39),Cadastros!$L$6:$L$12,Cadastros!$N$6:$N$12)))</f>
        <v/>
      </c>
      <c r="Z1358" s="168" t="str">
        <f t="shared" si="277"/>
        <v/>
      </c>
      <c r="AA1358" s="168" t="str">
        <f>IFERROR(Z1358/_xlfn.XLOOKUP(_xlfn.XLOOKUP($F1358,Clientes!$B$4:$B$39,Clientes!$C$4:$C$39),Cadastros!$L$6:$L$12,Cadastros!$M$6:$M$12)," ")</f>
        <v xml:space="preserve"> </v>
      </c>
      <c r="AB1358" s="28"/>
      <c r="AC1358" s="28"/>
      <c r="AD1358" s="20" t="str">
        <f>IF(AB1358="","",IF($F1358="Bernardino Furlan",_xlfn.XLOOKUP(AB1358,Cadastros!$G$6:$G$90,Cadastros!$H$6:$H$90)*(1-0.18),IF($F1358="Mauro José Salanti",_xlfn.XLOOKUP(AB1358,Cadastros!$G$6:$G$90,Cadastros!$H$6:$H$90)*(1-0.18),_xlfn.XLOOKUP(AB1358,Cadastros!$G$6:$G$90,Cadastros!$H$6:$H$90))))</f>
        <v/>
      </c>
      <c r="AE1358" s="168" t="str">
        <f t="shared" si="278"/>
        <v/>
      </c>
      <c r="AF1358" s="168" t="str">
        <f t="shared" si="279"/>
        <v/>
      </c>
      <c r="AG1358" s="28"/>
      <c r="AH1358" s="28"/>
      <c r="AI1358" s="20" t="str">
        <f>IF(AG1358="","",IF($F1358="Bernardino Furlan",_xlfn.XLOOKUP(AG1358,Cadastros!$G$6:$G$90,Cadastros!$H$6:$H$90)*(1-0.18),IF($F1358="Mauro José Salanti",_xlfn.XLOOKUP(AG1358,Cadastros!$G$6:$G$90,Cadastros!$H$6:$H$90)*(1-0.18),_xlfn.XLOOKUP(AG1358,Cadastros!$G$6:$G$90,Cadastros!$H$6:$H$90))))</f>
        <v/>
      </c>
      <c r="AJ1358" s="168" t="str">
        <f t="shared" si="280"/>
        <v/>
      </c>
      <c r="AK1358" s="168" t="str">
        <f t="shared" si="281"/>
        <v/>
      </c>
      <c r="AL1358" s="28"/>
      <c r="AM1358" s="28"/>
      <c r="AN1358" s="20" t="str">
        <f>IF(AL1358="","",IF($F1358="Bernardino Furlan",_xlfn.XLOOKUP(AL1358,Cadastros!$G$6:$G$90,Cadastros!$H$6:$H$90)*(1-0.18),IF($F1358="Mauro José Salanti",_xlfn.XLOOKUP(AL1358,Cadastros!$G$6:$G$90,Cadastros!$H$6:$H$90)*(1-0.18),_xlfn.XLOOKUP(AL1358,Cadastros!$G$6:$G$90,Cadastros!$H$6:$H$90))))</f>
        <v/>
      </c>
      <c r="AO1358" s="168" t="str">
        <f t="shared" si="282"/>
        <v/>
      </c>
      <c r="AP1358" s="168" t="str">
        <f t="shared" si="283"/>
        <v/>
      </c>
      <c r="AQ1358" s="28"/>
      <c r="AR1358" s="28"/>
      <c r="AS1358" s="20" t="str">
        <f>IF(AQ1358="","",IF($F1358="Bernardino Furlan",_xlfn.XLOOKUP(AQ1358,Cadastros!$G$6:$G$90,Cadastros!$H$6:$H$90)*(1-0.18),IF($F1358="Mauro José Salanti",_xlfn.XLOOKUP(AQ1358,Cadastros!$G$6:$G$90,Cadastros!$H$6:$H$90)*(1-0.18),_xlfn.XLOOKUP(AQ1358,Cadastros!$G$6:$G$90,Cadastros!$H$6:$H$90))))</f>
        <v/>
      </c>
      <c r="AT1358" s="168" t="str">
        <f t="shared" si="284"/>
        <v/>
      </c>
      <c r="AU1358" s="168" t="str">
        <f t="shared" si="285"/>
        <v/>
      </c>
      <c r="AV1358" s="227"/>
      <c r="AW1358" s="30"/>
      <c r="AX1358" s="267"/>
      <c r="AY1358" s="267"/>
      <c r="AZ1358" s="29"/>
      <c r="BA1358" s="30"/>
      <c r="BB1358" s="23" t="str" cm="1">
        <f t="array" ref="BB1358">_xlfn.IFS(AW1358="SIM",SUM(K1358,P1358,U1358,Z1358,AE1358,AJ1358,AO1358,AT1358,AX1358,AY1358),F1358&lt;&gt;"",SUM(K1358,P1358,U1358,Z1358,AE1358,AJ1358,,AO1358,AT1358),F1358="","")</f>
        <v/>
      </c>
      <c r="BC1358" s="211" t="str" cm="1">
        <f t="array" ref="BC1358">_xlfn.IFS(E1358="","",G1358&lt;=E1358,BB1358*(1-0.03),G1358&lt;(E1358+8),BB1358,AZ1358="Boleto",BB1358*(1+0.001)^DATEDIF(E1358,G1358,"D"),AZ1358="Cheque",BB1358,AZ1358="Dinheiro","Alterar forma pgto")</f>
        <v/>
      </c>
      <c r="BD1358" s="276" t="str" cm="1">
        <f t="array" ref="BD1358">IF(F1358=0," ",IF(BC1358&lt;BB1358,(_xlfn.IFS(AW1358="SIM",SUM(L1358,Q1358,V1358,AA1358,AF1358,AK1358,AP1358,AU1358)+AX1358/_xlfn.XLOOKUP(_xlfn.XLOOKUP($F1358,Clientes!$B$4:$B$39,Clientes!$C$4:$C$39),Cadastros!$L$6:$L$12,Cadastros!$M$6:$M$12)+IF($F1358="Bernardino Furlan",AY1358/2751.92,IF($F1358="Mauro José Salanti",AY1358/2751.92,AY1358/3356)),F1358&lt;&gt;0,SUM(L1358,Q1358,V1358,AA1358,AF1358,AK1358,AP1358,AU1358)))*(1-0.03),_xlfn.IFS(AW1358="SIM",SUM(L1358,Q1358,V1358,AA1358,AF1358,AK1358,AP1358,AU1358)+AX1358/_xlfn.XLOOKUP(_xlfn.XLOOKUP($F1358,Clientes!$B$4:$B$39,Clientes!$C$4:$C$39),Cadastros!$L$6:$L$12,Cadastros!$M$6:$M$12)+IF($F1358="Bernardino Furlan",AY1358/2751.92,IF($F1358="Mauro José Salanti",AY1358/2751.92,AY1358/3356)),F1358&lt;&gt;0,SUM(L1358,Q1358,V1358,AA1358,AF1358,AK1358,AP1358,AU1358))))</f>
        <v xml:space="preserve"> </v>
      </c>
      <c r="BE1358" s="120"/>
      <c r="BF1358" s="120"/>
      <c r="BG1358" s="120"/>
    </row>
    <row r="1359" spans="1:59" s="3" customFormat="1" x14ac:dyDescent="0.3">
      <c r="A1359" s="15" t="str">
        <f t="shared" si="273"/>
        <v/>
      </c>
      <c r="B1359" s="25"/>
      <c r="C1359" s="26"/>
      <c r="D1359" s="279"/>
      <c r="E1359" s="27"/>
      <c r="F1359" s="28"/>
      <c r="G1359" s="27"/>
      <c r="H1359" s="28"/>
      <c r="I1359" s="28"/>
      <c r="J1359" s="255" t="str">
        <f>IF(H1359="","",(_xlfn.XLOOKUP(H1359,Cadastros!$D$6:$D$90,Cadastros!$E$6:$E$90))*(1-_xlfn.XLOOKUP(_xlfn.XLOOKUP($F1359,Clientes!$B$4:$B$39,Clientes!$C$4:$C$39),Cadastros!$L$6:$L$12,Cadastros!$N$6:$N$12)))</f>
        <v/>
      </c>
      <c r="K1359" s="168" t="str">
        <f t="shared" si="274"/>
        <v/>
      </c>
      <c r="L1359" s="168" t="str">
        <f>IFERROR(K1359/_xlfn.XLOOKUP(_xlfn.XLOOKUP($F1359,Clientes!$B$4:$B$39,Clientes!$C$4:$C$39),Cadastros!$L$6:$L$12,Cadastros!$M$6:$M$12)," ")</f>
        <v xml:space="preserve"> </v>
      </c>
      <c r="M1359" s="28"/>
      <c r="N1359" s="28"/>
      <c r="O1359" s="255" t="str">
        <f>IF(M1359="","",(_xlfn.XLOOKUP(M1359,Cadastros!$D$6:$D$90,Cadastros!$E$6:$E$90))*(1-_xlfn.XLOOKUP(_xlfn.XLOOKUP($F1359,Clientes!$B$4:$B$39,Clientes!$C$4:$C$39),Cadastros!$L$6:$L$12,Cadastros!$N$6:$N$12)))</f>
        <v/>
      </c>
      <c r="P1359" s="168" t="str">
        <f t="shared" si="275"/>
        <v/>
      </c>
      <c r="Q1359" s="168" t="str">
        <f>IFERROR(P1359/_xlfn.XLOOKUP(_xlfn.XLOOKUP($F1359,Clientes!$B$4:$B$39,Clientes!$C$4:$C$39),Cadastros!$L$6:$L$12,Cadastros!$M$6:$M$12)," ")</f>
        <v xml:space="preserve"> </v>
      </c>
      <c r="R1359" s="28"/>
      <c r="S1359" s="28"/>
      <c r="T1359" s="255" t="str">
        <f>IF(R1359="","",(_xlfn.XLOOKUP(R1359,Cadastros!$D$6:$D$90,Cadastros!$E$6:$E$90))*(1-_xlfn.XLOOKUP(_xlfn.XLOOKUP($F1359,Clientes!$B$4:$B$39,Clientes!$C$4:$C$39),Cadastros!$L$6:$L$12,Cadastros!$N$6:$N$12)))</f>
        <v/>
      </c>
      <c r="U1359" s="168" t="str">
        <f t="shared" si="276"/>
        <v/>
      </c>
      <c r="V1359" s="168" t="str">
        <f>IFERROR(U1359/_xlfn.XLOOKUP(_xlfn.XLOOKUP($F1359,Clientes!$B$4:$B$39,Clientes!$C$4:$C$39),Cadastros!$L$6:$L$12,Cadastros!$M$6:$M$12)," ")</f>
        <v xml:space="preserve"> </v>
      </c>
      <c r="W1359" s="28"/>
      <c r="X1359" s="28"/>
      <c r="Y1359" s="255" t="str">
        <f>IF(W1359="","",(_xlfn.XLOOKUP(W1359,Cadastros!$D$6:$D$90,Cadastros!$E$6:$E$90))*(1-_xlfn.XLOOKUP(_xlfn.XLOOKUP($F1359,Clientes!$B$4:$B$39,Clientes!$C$4:$C$39),Cadastros!$L$6:$L$12,Cadastros!$N$6:$N$12)))</f>
        <v/>
      </c>
      <c r="Z1359" s="168" t="str">
        <f t="shared" si="277"/>
        <v/>
      </c>
      <c r="AA1359" s="168" t="str">
        <f>IFERROR(Z1359/_xlfn.XLOOKUP(_xlfn.XLOOKUP($F1359,Clientes!$B$4:$B$39,Clientes!$C$4:$C$39),Cadastros!$L$6:$L$12,Cadastros!$M$6:$M$12)," ")</f>
        <v xml:space="preserve"> </v>
      </c>
      <c r="AB1359" s="28"/>
      <c r="AC1359" s="28"/>
      <c r="AD1359" s="20" t="str">
        <f>IF(AB1359="","",IF($F1359="Bernardino Furlan",_xlfn.XLOOKUP(AB1359,Cadastros!$G$6:$G$90,Cadastros!$H$6:$H$90)*(1-0.18),IF($F1359="Mauro José Salanti",_xlfn.XLOOKUP(AB1359,Cadastros!$G$6:$G$90,Cadastros!$H$6:$H$90)*(1-0.18),_xlfn.XLOOKUP(AB1359,Cadastros!$G$6:$G$90,Cadastros!$H$6:$H$90))))</f>
        <v/>
      </c>
      <c r="AE1359" s="168" t="str">
        <f t="shared" si="278"/>
        <v/>
      </c>
      <c r="AF1359" s="168" t="str">
        <f t="shared" si="279"/>
        <v/>
      </c>
      <c r="AG1359" s="28"/>
      <c r="AH1359" s="28"/>
      <c r="AI1359" s="20" t="str">
        <f>IF(AG1359="","",IF($F1359="Bernardino Furlan",_xlfn.XLOOKUP(AG1359,Cadastros!$G$6:$G$90,Cadastros!$H$6:$H$90)*(1-0.18),IF($F1359="Mauro José Salanti",_xlfn.XLOOKUP(AG1359,Cadastros!$G$6:$G$90,Cadastros!$H$6:$H$90)*(1-0.18),_xlfn.XLOOKUP(AG1359,Cadastros!$G$6:$G$90,Cadastros!$H$6:$H$90))))</f>
        <v/>
      </c>
      <c r="AJ1359" s="168" t="str">
        <f t="shared" si="280"/>
        <v/>
      </c>
      <c r="AK1359" s="168" t="str">
        <f t="shared" si="281"/>
        <v/>
      </c>
      <c r="AL1359" s="28"/>
      <c r="AM1359" s="28"/>
      <c r="AN1359" s="20" t="str">
        <f>IF(AL1359="","",IF($F1359="Bernardino Furlan",_xlfn.XLOOKUP(AL1359,Cadastros!$G$6:$G$90,Cadastros!$H$6:$H$90)*(1-0.18),IF($F1359="Mauro José Salanti",_xlfn.XLOOKUP(AL1359,Cadastros!$G$6:$G$90,Cadastros!$H$6:$H$90)*(1-0.18),_xlfn.XLOOKUP(AL1359,Cadastros!$G$6:$G$90,Cadastros!$H$6:$H$90))))</f>
        <v/>
      </c>
      <c r="AO1359" s="168" t="str">
        <f t="shared" si="282"/>
        <v/>
      </c>
      <c r="AP1359" s="168" t="str">
        <f t="shared" si="283"/>
        <v/>
      </c>
      <c r="AQ1359" s="28"/>
      <c r="AR1359" s="28"/>
      <c r="AS1359" s="20" t="str">
        <f>IF(AQ1359="","",IF($F1359="Bernardino Furlan",_xlfn.XLOOKUP(AQ1359,Cadastros!$G$6:$G$90,Cadastros!$H$6:$H$90)*(1-0.18),IF($F1359="Mauro José Salanti",_xlfn.XLOOKUP(AQ1359,Cadastros!$G$6:$G$90,Cadastros!$H$6:$H$90)*(1-0.18),_xlfn.XLOOKUP(AQ1359,Cadastros!$G$6:$G$90,Cadastros!$H$6:$H$90))))</f>
        <v/>
      </c>
      <c r="AT1359" s="168" t="str">
        <f t="shared" si="284"/>
        <v/>
      </c>
      <c r="AU1359" s="168" t="str">
        <f t="shared" si="285"/>
        <v/>
      </c>
      <c r="AV1359" s="227"/>
      <c r="AW1359" s="30"/>
      <c r="AX1359" s="267"/>
      <c r="AY1359" s="267"/>
      <c r="AZ1359" s="29"/>
      <c r="BA1359" s="30"/>
      <c r="BB1359" s="23" t="str" cm="1">
        <f t="array" ref="BB1359">_xlfn.IFS(AW1359="SIM",SUM(K1359,P1359,U1359,Z1359,AE1359,AJ1359,AO1359,AT1359,AX1359,AY1359),F1359&lt;&gt;"",SUM(K1359,P1359,U1359,Z1359,AE1359,AJ1359,,AO1359,AT1359),F1359="","")</f>
        <v/>
      </c>
      <c r="BC1359" s="211" t="str" cm="1">
        <f t="array" ref="BC1359">_xlfn.IFS(E1359="","",G1359&lt;=E1359,BB1359*(1-0.03),G1359&lt;(E1359+8),BB1359,AZ1359="Boleto",BB1359*(1+0.001)^DATEDIF(E1359,G1359,"D"),AZ1359="Cheque",BB1359,AZ1359="Dinheiro","Alterar forma pgto")</f>
        <v/>
      </c>
      <c r="BD1359" s="276" t="str" cm="1">
        <f t="array" ref="BD1359">IF(F1359=0," ",IF(BC1359&lt;BB1359,(_xlfn.IFS(AW1359="SIM",SUM(L1359,Q1359,V1359,AA1359,AF1359,AK1359,AP1359,AU1359)+AX1359/_xlfn.XLOOKUP(_xlfn.XLOOKUP($F1359,Clientes!$B$4:$B$39,Clientes!$C$4:$C$39),Cadastros!$L$6:$L$12,Cadastros!$M$6:$M$12)+IF($F1359="Bernardino Furlan",AY1359/2751.92,IF($F1359="Mauro José Salanti",AY1359/2751.92,AY1359/3356)),F1359&lt;&gt;0,SUM(L1359,Q1359,V1359,AA1359,AF1359,AK1359,AP1359,AU1359)))*(1-0.03),_xlfn.IFS(AW1359="SIM",SUM(L1359,Q1359,V1359,AA1359,AF1359,AK1359,AP1359,AU1359)+AX1359/_xlfn.XLOOKUP(_xlfn.XLOOKUP($F1359,Clientes!$B$4:$B$39,Clientes!$C$4:$C$39),Cadastros!$L$6:$L$12,Cadastros!$M$6:$M$12)+IF($F1359="Bernardino Furlan",AY1359/2751.92,IF($F1359="Mauro José Salanti",AY1359/2751.92,AY1359/3356)),F1359&lt;&gt;0,SUM(L1359,Q1359,V1359,AA1359,AF1359,AK1359,AP1359,AU1359))))</f>
        <v xml:space="preserve"> </v>
      </c>
      <c r="BE1359" s="120"/>
      <c r="BF1359" s="120"/>
      <c r="BG1359" s="120"/>
    </row>
    <row r="1360" spans="1:59" s="3" customFormat="1" x14ac:dyDescent="0.3">
      <c r="A1360" s="15" t="str">
        <f t="shared" si="273"/>
        <v/>
      </c>
      <c r="B1360" s="25"/>
      <c r="C1360" s="26"/>
      <c r="D1360" s="279"/>
      <c r="E1360" s="27"/>
      <c r="F1360" s="28"/>
      <c r="G1360" s="27"/>
      <c r="H1360" s="28"/>
      <c r="I1360" s="28"/>
      <c r="J1360" s="255" t="str">
        <f>IF(H1360="","",(_xlfn.XLOOKUP(H1360,Cadastros!$D$6:$D$90,Cadastros!$E$6:$E$90))*(1-_xlfn.XLOOKUP(_xlfn.XLOOKUP($F1360,Clientes!$B$4:$B$39,Clientes!$C$4:$C$39),Cadastros!$L$6:$L$12,Cadastros!$N$6:$N$12)))</f>
        <v/>
      </c>
      <c r="K1360" s="168" t="str">
        <f t="shared" si="274"/>
        <v/>
      </c>
      <c r="L1360" s="168" t="str">
        <f>IFERROR(K1360/_xlfn.XLOOKUP(_xlfn.XLOOKUP($F1360,Clientes!$B$4:$B$39,Clientes!$C$4:$C$39),Cadastros!$L$6:$L$12,Cadastros!$M$6:$M$12)," ")</f>
        <v xml:space="preserve"> </v>
      </c>
      <c r="M1360" s="28"/>
      <c r="N1360" s="28"/>
      <c r="O1360" s="255" t="str">
        <f>IF(M1360="","",(_xlfn.XLOOKUP(M1360,Cadastros!$D$6:$D$90,Cadastros!$E$6:$E$90))*(1-_xlfn.XLOOKUP(_xlfn.XLOOKUP($F1360,Clientes!$B$4:$B$39,Clientes!$C$4:$C$39),Cadastros!$L$6:$L$12,Cadastros!$N$6:$N$12)))</f>
        <v/>
      </c>
      <c r="P1360" s="168" t="str">
        <f t="shared" si="275"/>
        <v/>
      </c>
      <c r="Q1360" s="168" t="str">
        <f>IFERROR(P1360/_xlfn.XLOOKUP(_xlfn.XLOOKUP($F1360,Clientes!$B$4:$B$39,Clientes!$C$4:$C$39),Cadastros!$L$6:$L$12,Cadastros!$M$6:$M$12)," ")</f>
        <v xml:space="preserve"> </v>
      </c>
      <c r="R1360" s="28"/>
      <c r="S1360" s="28"/>
      <c r="T1360" s="255" t="str">
        <f>IF(R1360="","",(_xlfn.XLOOKUP(R1360,Cadastros!$D$6:$D$90,Cadastros!$E$6:$E$90))*(1-_xlfn.XLOOKUP(_xlfn.XLOOKUP($F1360,Clientes!$B$4:$B$39,Clientes!$C$4:$C$39),Cadastros!$L$6:$L$12,Cadastros!$N$6:$N$12)))</f>
        <v/>
      </c>
      <c r="U1360" s="168" t="str">
        <f t="shared" si="276"/>
        <v/>
      </c>
      <c r="V1360" s="168" t="str">
        <f>IFERROR(U1360/_xlfn.XLOOKUP(_xlfn.XLOOKUP($F1360,Clientes!$B$4:$B$39,Clientes!$C$4:$C$39),Cadastros!$L$6:$L$12,Cadastros!$M$6:$M$12)," ")</f>
        <v xml:space="preserve"> </v>
      </c>
      <c r="W1360" s="28"/>
      <c r="X1360" s="28"/>
      <c r="Y1360" s="255" t="str">
        <f>IF(W1360="","",(_xlfn.XLOOKUP(W1360,Cadastros!$D$6:$D$90,Cadastros!$E$6:$E$90))*(1-_xlfn.XLOOKUP(_xlfn.XLOOKUP($F1360,Clientes!$B$4:$B$39,Clientes!$C$4:$C$39),Cadastros!$L$6:$L$12,Cadastros!$N$6:$N$12)))</f>
        <v/>
      </c>
      <c r="Z1360" s="168" t="str">
        <f t="shared" si="277"/>
        <v/>
      </c>
      <c r="AA1360" s="168" t="str">
        <f>IFERROR(Z1360/_xlfn.XLOOKUP(_xlfn.XLOOKUP($F1360,Clientes!$B$4:$B$39,Clientes!$C$4:$C$39),Cadastros!$L$6:$L$12,Cadastros!$M$6:$M$12)," ")</f>
        <v xml:space="preserve"> </v>
      </c>
      <c r="AB1360" s="28"/>
      <c r="AC1360" s="28"/>
      <c r="AD1360" s="20" t="str">
        <f>IF(AB1360="","",IF($F1360="Bernardino Furlan",_xlfn.XLOOKUP(AB1360,Cadastros!$G$6:$G$90,Cadastros!$H$6:$H$90)*(1-0.18),IF($F1360="Mauro José Salanti",_xlfn.XLOOKUP(AB1360,Cadastros!$G$6:$G$90,Cadastros!$H$6:$H$90)*(1-0.18),_xlfn.XLOOKUP(AB1360,Cadastros!$G$6:$G$90,Cadastros!$H$6:$H$90))))</f>
        <v/>
      </c>
      <c r="AE1360" s="168" t="str">
        <f t="shared" si="278"/>
        <v/>
      </c>
      <c r="AF1360" s="168" t="str">
        <f t="shared" si="279"/>
        <v/>
      </c>
      <c r="AG1360" s="28"/>
      <c r="AH1360" s="28"/>
      <c r="AI1360" s="20" t="str">
        <f>IF(AG1360="","",IF($F1360="Bernardino Furlan",_xlfn.XLOOKUP(AG1360,Cadastros!$G$6:$G$90,Cadastros!$H$6:$H$90)*(1-0.18),IF($F1360="Mauro José Salanti",_xlfn.XLOOKUP(AG1360,Cadastros!$G$6:$G$90,Cadastros!$H$6:$H$90)*(1-0.18),_xlfn.XLOOKUP(AG1360,Cadastros!$G$6:$G$90,Cadastros!$H$6:$H$90))))</f>
        <v/>
      </c>
      <c r="AJ1360" s="168" t="str">
        <f t="shared" si="280"/>
        <v/>
      </c>
      <c r="AK1360" s="168" t="str">
        <f t="shared" si="281"/>
        <v/>
      </c>
      <c r="AL1360" s="28"/>
      <c r="AM1360" s="28"/>
      <c r="AN1360" s="20" t="str">
        <f>IF(AL1360="","",IF($F1360="Bernardino Furlan",_xlfn.XLOOKUP(AL1360,Cadastros!$G$6:$G$90,Cadastros!$H$6:$H$90)*(1-0.18),IF($F1360="Mauro José Salanti",_xlfn.XLOOKUP(AL1360,Cadastros!$G$6:$G$90,Cadastros!$H$6:$H$90)*(1-0.18),_xlfn.XLOOKUP(AL1360,Cadastros!$G$6:$G$90,Cadastros!$H$6:$H$90))))</f>
        <v/>
      </c>
      <c r="AO1360" s="168" t="str">
        <f t="shared" si="282"/>
        <v/>
      </c>
      <c r="AP1360" s="168" t="str">
        <f t="shared" si="283"/>
        <v/>
      </c>
      <c r="AQ1360" s="28"/>
      <c r="AR1360" s="28"/>
      <c r="AS1360" s="20" t="str">
        <f>IF(AQ1360="","",IF($F1360="Bernardino Furlan",_xlfn.XLOOKUP(AQ1360,Cadastros!$G$6:$G$90,Cadastros!$H$6:$H$90)*(1-0.18),IF($F1360="Mauro José Salanti",_xlfn.XLOOKUP(AQ1360,Cadastros!$G$6:$G$90,Cadastros!$H$6:$H$90)*(1-0.18),_xlfn.XLOOKUP(AQ1360,Cadastros!$G$6:$G$90,Cadastros!$H$6:$H$90))))</f>
        <v/>
      </c>
      <c r="AT1360" s="168" t="str">
        <f t="shared" si="284"/>
        <v/>
      </c>
      <c r="AU1360" s="168" t="str">
        <f t="shared" si="285"/>
        <v/>
      </c>
      <c r="AV1360" s="227"/>
      <c r="AW1360" s="30"/>
      <c r="AX1360" s="267"/>
      <c r="AY1360" s="267"/>
      <c r="AZ1360" s="29"/>
      <c r="BA1360" s="30"/>
      <c r="BB1360" s="23" t="str" cm="1">
        <f t="array" ref="BB1360">_xlfn.IFS(AW1360="SIM",SUM(K1360,P1360,U1360,Z1360,AE1360,AJ1360,AO1360,AT1360,AX1360,AY1360),F1360&lt;&gt;"",SUM(K1360,P1360,U1360,Z1360,AE1360,AJ1360,,AO1360,AT1360),F1360="","")</f>
        <v/>
      </c>
      <c r="BC1360" s="211" t="str" cm="1">
        <f t="array" ref="BC1360">_xlfn.IFS(E1360="","",G1360&lt;=E1360,BB1360*(1-0.03),G1360&lt;(E1360+8),BB1360,AZ1360="Boleto",BB1360*(1+0.001)^DATEDIF(E1360,G1360,"D"),AZ1360="Cheque",BB1360,AZ1360="Dinheiro","Alterar forma pgto")</f>
        <v/>
      </c>
      <c r="BD1360" s="276" t="str" cm="1">
        <f t="array" ref="BD1360">IF(F1360=0," ",IF(BC1360&lt;BB1360,(_xlfn.IFS(AW1360="SIM",SUM(L1360,Q1360,V1360,AA1360,AF1360,AK1360,AP1360,AU1360)+AX1360/_xlfn.XLOOKUP(_xlfn.XLOOKUP($F1360,Clientes!$B$4:$B$39,Clientes!$C$4:$C$39),Cadastros!$L$6:$L$12,Cadastros!$M$6:$M$12)+IF($F1360="Bernardino Furlan",AY1360/2751.92,IF($F1360="Mauro José Salanti",AY1360/2751.92,AY1360/3356)),F1360&lt;&gt;0,SUM(L1360,Q1360,V1360,AA1360,AF1360,AK1360,AP1360,AU1360)))*(1-0.03),_xlfn.IFS(AW1360="SIM",SUM(L1360,Q1360,V1360,AA1360,AF1360,AK1360,AP1360,AU1360)+AX1360/_xlfn.XLOOKUP(_xlfn.XLOOKUP($F1360,Clientes!$B$4:$B$39,Clientes!$C$4:$C$39),Cadastros!$L$6:$L$12,Cadastros!$M$6:$M$12)+IF($F1360="Bernardino Furlan",AY1360/2751.92,IF($F1360="Mauro José Salanti",AY1360/2751.92,AY1360/3356)),F1360&lt;&gt;0,SUM(L1360,Q1360,V1360,AA1360,AF1360,AK1360,AP1360,AU1360))))</f>
        <v xml:space="preserve"> </v>
      </c>
      <c r="BE1360" s="120"/>
      <c r="BF1360" s="120"/>
      <c r="BG1360" s="120"/>
    </row>
    <row r="1361" spans="1:59" s="3" customFormat="1" x14ac:dyDescent="0.3">
      <c r="A1361" s="15" t="str">
        <f t="shared" si="273"/>
        <v/>
      </c>
      <c r="B1361" s="25"/>
      <c r="C1361" s="26"/>
      <c r="D1361" s="279"/>
      <c r="E1361" s="27"/>
      <c r="F1361" s="28"/>
      <c r="G1361" s="27"/>
      <c r="H1361" s="28"/>
      <c r="I1361" s="28"/>
      <c r="J1361" s="255" t="str">
        <f>IF(H1361="","",(_xlfn.XLOOKUP(H1361,Cadastros!$D$6:$D$90,Cadastros!$E$6:$E$90))*(1-_xlfn.XLOOKUP(_xlfn.XLOOKUP($F1361,Clientes!$B$4:$B$39,Clientes!$C$4:$C$39),Cadastros!$L$6:$L$12,Cadastros!$N$6:$N$12)))</f>
        <v/>
      </c>
      <c r="K1361" s="168" t="str">
        <f t="shared" si="274"/>
        <v/>
      </c>
      <c r="L1361" s="168" t="str">
        <f>IFERROR(K1361/_xlfn.XLOOKUP(_xlfn.XLOOKUP($F1361,Clientes!$B$4:$B$39,Clientes!$C$4:$C$39),Cadastros!$L$6:$L$12,Cadastros!$M$6:$M$12)," ")</f>
        <v xml:space="preserve"> </v>
      </c>
      <c r="M1361" s="28"/>
      <c r="N1361" s="28"/>
      <c r="O1361" s="255" t="str">
        <f>IF(M1361="","",(_xlfn.XLOOKUP(M1361,Cadastros!$D$6:$D$90,Cadastros!$E$6:$E$90))*(1-_xlfn.XLOOKUP(_xlfn.XLOOKUP($F1361,Clientes!$B$4:$B$39,Clientes!$C$4:$C$39),Cadastros!$L$6:$L$12,Cadastros!$N$6:$N$12)))</f>
        <v/>
      </c>
      <c r="P1361" s="168" t="str">
        <f t="shared" si="275"/>
        <v/>
      </c>
      <c r="Q1361" s="168" t="str">
        <f>IFERROR(P1361/_xlfn.XLOOKUP(_xlfn.XLOOKUP($F1361,Clientes!$B$4:$B$39,Clientes!$C$4:$C$39),Cadastros!$L$6:$L$12,Cadastros!$M$6:$M$12)," ")</f>
        <v xml:space="preserve"> </v>
      </c>
      <c r="R1361" s="28"/>
      <c r="S1361" s="28"/>
      <c r="T1361" s="255" t="str">
        <f>IF(R1361="","",(_xlfn.XLOOKUP(R1361,Cadastros!$D$6:$D$90,Cadastros!$E$6:$E$90))*(1-_xlfn.XLOOKUP(_xlfn.XLOOKUP($F1361,Clientes!$B$4:$B$39,Clientes!$C$4:$C$39),Cadastros!$L$6:$L$12,Cadastros!$N$6:$N$12)))</f>
        <v/>
      </c>
      <c r="U1361" s="168" t="str">
        <f t="shared" si="276"/>
        <v/>
      </c>
      <c r="V1361" s="168" t="str">
        <f>IFERROR(U1361/_xlfn.XLOOKUP(_xlfn.XLOOKUP($F1361,Clientes!$B$4:$B$39,Clientes!$C$4:$C$39),Cadastros!$L$6:$L$12,Cadastros!$M$6:$M$12)," ")</f>
        <v xml:space="preserve"> </v>
      </c>
      <c r="W1361" s="28"/>
      <c r="X1361" s="28"/>
      <c r="Y1361" s="255" t="str">
        <f>IF(W1361="","",(_xlfn.XLOOKUP(W1361,Cadastros!$D$6:$D$90,Cadastros!$E$6:$E$90))*(1-_xlfn.XLOOKUP(_xlfn.XLOOKUP($F1361,Clientes!$B$4:$B$39,Clientes!$C$4:$C$39),Cadastros!$L$6:$L$12,Cadastros!$N$6:$N$12)))</f>
        <v/>
      </c>
      <c r="Z1361" s="168" t="str">
        <f t="shared" si="277"/>
        <v/>
      </c>
      <c r="AA1361" s="168" t="str">
        <f>IFERROR(Z1361/_xlfn.XLOOKUP(_xlfn.XLOOKUP($F1361,Clientes!$B$4:$B$39,Clientes!$C$4:$C$39),Cadastros!$L$6:$L$12,Cadastros!$M$6:$M$12)," ")</f>
        <v xml:space="preserve"> </v>
      </c>
      <c r="AB1361" s="28"/>
      <c r="AC1361" s="28"/>
      <c r="AD1361" s="20" t="str">
        <f>IF(AB1361="","",IF($F1361="Bernardino Furlan",_xlfn.XLOOKUP(AB1361,Cadastros!$G$6:$G$90,Cadastros!$H$6:$H$90)*(1-0.18),IF($F1361="Mauro José Salanti",_xlfn.XLOOKUP(AB1361,Cadastros!$G$6:$G$90,Cadastros!$H$6:$H$90)*(1-0.18),_xlfn.XLOOKUP(AB1361,Cadastros!$G$6:$G$90,Cadastros!$H$6:$H$90))))</f>
        <v/>
      </c>
      <c r="AE1361" s="168" t="str">
        <f t="shared" si="278"/>
        <v/>
      </c>
      <c r="AF1361" s="168" t="str">
        <f t="shared" si="279"/>
        <v/>
      </c>
      <c r="AG1361" s="28"/>
      <c r="AH1361" s="28"/>
      <c r="AI1361" s="20" t="str">
        <f>IF(AG1361="","",IF($F1361="Bernardino Furlan",_xlfn.XLOOKUP(AG1361,Cadastros!$G$6:$G$90,Cadastros!$H$6:$H$90)*(1-0.18),IF($F1361="Mauro José Salanti",_xlfn.XLOOKUP(AG1361,Cadastros!$G$6:$G$90,Cadastros!$H$6:$H$90)*(1-0.18),_xlfn.XLOOKUP(AG1361,Cadastros!$G$6:$G$90,Cadastros!$H$6:$H$90))))</f>
        <v/>
      </c>
      <c r="AJ1361" s="168" t="str">
        <f t="shared" si="280"/>
        <v/>
      </c>
      <c r="AK1361" s="168" t="str">
        <f t="shared" si="281"/>
        <v/>
      </c>
      <c r="AL1361" s="28"/>
      <c r="AM1361" s="28"/>
      <c r="AN1361" s="20" t="str">
        <f>IF(AL1361="","",IF($F1361="Bernardino Furlan",_xlfn.XLOOKUP(AL1361,Cadastros!$G$6:$G$90,Cadastros!$H$6:$H$90)*(1-0.18),IF($F1361="Mauro José Salanti",_xlfn.XLOOKUP(AL1361,Cadastros!$G$6:$G$90,Cadastros!$H$6:$H$90)*(1-0.18),_xlfn.XLOOKUP(AL1361,Cadastros!$G$6:$G$90,Cadastros!$H$6:$H$90))))</f>
        <v/>
      </c>
      <c r="AO1361" s="168" t="str">
        <f t="shared" si="282"/>
        <v/>
      </c>
      <c r="AP1361" s="168" t="str">
        <f t="shared" si="283"/>
        <v/>
      </c>
      <c r="AQ1361" s="28"/>
      <c r="AR1361" s="28"/>
      <c r="AS1361" s="20" t="str">
        <f>IF(AQ1361="","",IF($F1361="Bernardino Furlan",_xlfn.XLOOKUP(AQ1361,Cadastros!$G$6:$G$90,Cadastros!$H$6:$H$90)*(1-0.18),IF($F1361="Mauro José Salanti",_xlfn.XLOOKUP(AQ1361,Cadastros!$G$6:$G$90,Cadastros!$H$6:$H$90)*(1-0.18),_xlfn.XLOOKUP(AQ1361,Cadastros!$G$6:$G$90,Cadastros!$H$6:$H$90))))</f>
        <v/>
      </c>
      <c r="AT1361" s="168" t="str">
        <f t="shared" si="284"/>
        <v/>
      </c>
      <c r="AU1361" s="168" t="str">
        <f t="shared" si="285"/>
        <v/>
      </c>
      <c r="AV1361" s="227"/>
      <c r="AW1361" s="30"/>
      <c r="AX1361" s="267"/>
      <c r="AY1361" s="267"/>
      <c r="AZ1361" s="29"/>
      <c r="BA1361" s="30"/>
      <c r="BB1361" s="23" t="str" cm="1">
        <f t="array" ref="BB1361">_xlfn.IFS(AW1361="SIM",SUM(K1361,P1361,U1361,Z1361,AE1361,AJ1361,AO1361,AT1361,AX1361,AY1361),F1361&lt;&gt;"",SUM(K1361,P1361,U1361,Z1361,AE1361,AJ1361,,AO1361,AT1361),F1361="","")</f>
        <v/>
      </c>
      <c r="BC1361" s="211" t="str" cm="1">
        <f t="array" ref="BC1361">_xlfn.IFS(E1361="","",G1361&lt;=E1361,BB1361*(1-0.03),G1361&lt;(E1361+8),BB1361,AZ1361="Boleto",BB1361*(1+0.001)^DATEDIF(E1361,G1361,"D"),AZ1361="Cheque",BB1361,AZ1361="Dinheiro","Alterar forma pgto")</f>
        <v/>
      </c>
      <c r="BD1361" s="276" t="str" cm="1">
        <f t="array" ref="BD1361">IF(F1361=0," ",IF(BC1361&lt;BB1361,(_xlfn.IFS(AW1361="SIM",SUM(L1361,Q1361,V1361,AA1361,AF1361,AK1361,AP1361,AU1361)+AX1361/_xlfn.XLOOKUP(_xlfn.XLOOKUP($F1361,Clientes!$B$4:$B$39,Clientes!$C$4:$C$39),Cadastros!$L$6:$L$12,Cadastros!$M$6:$M$12)+IF($F1361="Bernardino Furlan",AY1361/2751.92,IF($F1361="Mauro José Salanti",AY1361/2751.92,AY1361/3356)),F1361&lt;&gt;0,SUM(L1361,Q1361,V1361,AA1361,AF1361,AK1361,AP1361,AU1361)))*(1-0.03),_xlfn.IFS(AW1361="SIM",SUM(L1361,Q1361,V1361,AA1361,AF1361,AK1361,AP1361,AU1361)+AX1361/_xlfn.XLOOKUP(_xlfn.XLOOKUP($F1361,Clientes!$B$4:$B$39,Clientes!$C$4:$C$39),Cadastros!$L$6:$L$12,Cadastros!$M$6:$M$12)+IF($F1361="Bernardino Furlan",AY1361/2751.92,IF($F1361="Mauro José Salanti",AY1361/2751.92,AY1361/3356)),F1361&lt;&gt;0,SUM(L1361,Q1361,V1361,AA1361,AF1361,AK1361,AP1361,AU1361))))</f>
        <v xml:space="preserve"> </v>
      </c>
      <c r="BE1361" s="120"/>
      <c r="BF1361" s="120"/>
      <c r="BG1361" s="120"/>
    </row>
    <row r="1362" spans="1:59" s="3" customFormat="1" x14ac:dyDescent="0.3">
      <c r="A1362" s="15" t="str">
        <f t="shared" si="273"/>
        <v/>
      </c>
      <c r="B1362" s="25"/>
      <c r="C1362" s="26"/>
      <c r="D1362" s="279"/>
      <c r="E1362" s="27"/>
      <c r="F1362" s="28"/>
      <c r="G1362" s="27"/>
      <c r="H1362" s="28"/>
      <c r="I1362" s="28"/>
      <c r="J1362" s="255" t="str">
        <f>IF(H1362="","",(_xlfn.XLOOKUP(H1362,Cadastros!$D$6:$D$90,Cadastros!$E$6:$E$90))*(1-_xlfn.XLOOKUP(_xlfn.XLOOKUP($F1362,Clientes!$B$4:$B$39,Clientes!$C$4:$C$39),Cadastros!$L$6:$L$12,Cadastros!$N$6:$N$12)))</f>
        <v/>
      </c>
      <c r="K1362" s="168" t="str">
        <f t="shared" si="274"/>
        <v/>
      </c>
      <c r="L1362" s="168" t="str">
        <f>IFERROR(K1362/_xlfn.XLOOKUP(_xlfn.XLOOKUP($F1362,Clientes!$B$4:$B$39,Clientes!$C$4:$C$39),Cadastros!$L$6:$L$12,Cadastros!$M$6:$M$12)," ")</f>
        <v xml:space="preserve"> </v>
      </c>
      <c r="M1362" s="28"/>
      <c r="N1362" s="28"/>
      <c r="O1362" s="255" t="str">
        <f>IF(M1362="","",(_xlfn.XLOOKUP(M1362,Cadastros!$D$6:$D$90,Cadastros!$E$6:$E$90))*(1-_xlfn.XLOOKUP(_xlfn.XLOOKUP($F1362,Clientes!$B$4:$B$39,Clientes!$C$4:$C$39),Cadastros!$L$6:$L$12,Cadastros!$N$6:$N$12)))</f>
        <v/>
      </c>
      <c r="P1362" s="168" t="str">
        <f t="shared" si="275"/>
        <v/>
      </c>
      <c r="Q1362" s="168" t="str">
        <f>IFERROR(P1362/_xlfn.XLOOKUP(_xlfn.XLOOKUP($F1362,Clientes!$B$4:$B$39,Clientes!$C$4:$C$39),Cadastros!$L$6:$L$12,Cadastros!$M$6:$M$12)," ")</f>
        <v xml:space="preserve"> </v>
      </c>
      <c r="R1362" s="28"/>
      <c r="S1362" s="28"/>
      <c r="T1362" s="255" t="str">
        <f>IF(R1362="","",(_xlfn.XLOOKUP(R1362,Cadastros!$D$6:$D$90,Cadastros!$E$6:$E$90))*(1-_xlfn.XLOOKUP(_xlfn.XLOOKUP($F1362,Clientes!$B$4:$B$39,Clientes!$C$4:$C$39),Cadastros!$L$6:$L$12,Cadastros!$N$6:$N$12)))</f>
        <v/>
      </c>
      <c r="U1362" s="168" t="str">
        <f t="shared" si="276"/>
        <v/>
      </c>
      <c r="V1362" s="168" t="str">
        <f>IFERROR(U1362/_xlfn.XLOOKUP(_xlfn.XLOOKUP($F1362,Clientes!$B$4:$B$39,Clientes!$C$4:$C$39),Cadastros!$L$6:$L$12,Cadastros!$M$6:$M$12)," ")</f>
        <v xml:space="preserve"> </v>
      </c>
      <c r="W1362" s="28"/>
      <c r="X1362" s="28"/>
      <c r="Y1362" s="255" t="str">
        <f>IF(W1362="","",(_xlfn.XLOOKUP(W1362,Cadastros!$D$6:$D$90,Cadastros!$E$6:$E$90))*(1-_xlfn.XLOOKUP(_xlfn.XLOOKUP($F1362,Clientes!$B$4:$B$39,Clientes!$C$4:$C$39),Cadastros!$L$6:$L$12,Cadastros!$N$6:$N$12)))</f>
        <v/>
      </c>
      <c r="Z1362" s="168" t="str">
        <f t="shared" si="277"/>
        <v/>
      </c>
      <c r="AA1362" s="168" t="str">
        <f>IFERROR(Z1362/_xlfn.XLOOKUP(_xlfn.XLOOKUP($F1362,Clientes!$B$4:$B$39,Clientes!$C$4:$C$39),Cadastros!$L$6:$L$12,Cadastros!$M$6:$M$12)," ")</f>
        <v xml:space="preserve"> </v>
      </c>
      <c r="AB1362" s="28"/>
      <c r="AC1362" s="28"/>
      <c r="AD1362" s="20" t="str">
        <f>IF(AB1362="","",IF($F1362="Bernardino Furlan",_xlfn.XLOOKUP(AB1362,Cadastros!$G$6:$G$90,Cadastros!$H$6:$H$90)*(1-0.18),IF($F1362="Mauro José Salanti",_xlfn.XLOOKUP(AB1362,Cadastros!$G$6:$G$90,Cadastros!$H$6:$H$90)*(1-0.18),_xlfn.XLOOKUP(AB1362,Cadastros!$G$6:$G$90,Cadastros!$H$6:$H$90))))</f>
        <v/>
      </c>
      <c r="AE1362" s="168" t="str">
        <f t="shared" si="278"/>
        <v/>
      </c>
      <c r="AF1362" s="168" t="str">
        <f t="shared" si="279"/>
        <v/>
      </c>
      <c r="AG1362" s="28"/>
      <c r="AH1362" s="28"/>
      <c r="AI1362" s="20" t="str">
        <f>IF(AG1362="","",IF($F1362="Bernardino Furlan",_xlfn.XLOOKUP(AG1362,Cadastros!$G$6:$G$90,Cadastros!$H$6:$H$90)*(1-0.18),IF($F1362="Mauro José Salanti",_xlfn.XLOOKUP(AG1362,Cadastros!$G$6:$G$90,Cadastros!$H$6:$H$90)*(1-0.18),_xlfn.XLOOKUP(AG1362,Cadastros!$G$6:$G$90,Cadastros!$H$6:$H$90))))</f>
        <v/>
      </c>
      <c r="AJ1362" s="168" t="str">
        <f t="shared" si="280"/>
        <v/>
      </c>
      <c r="AK1362" s="168" t="str">
        <f t="shared" si="281"/>
        <v/>
      </c>
      <c r="AL1362" s="28"/>
      <c r="AM1362" s="28"/>
      <c r="AN1362" s="20" t="str">
        <f>IF(AL1362="","",IF($F1362="Bernardino Furlan",_xlfn.XLOOKUP(AL1362,Cadastros!$G$6:$G$90,Cadastros!$H$6:$H$90)*(1-0.18),IF($F1362="Mauro José Salanti",_xlfn.XLOOKUP(AL1362,Cadastros!$G$6:$G$90,Cadastros!$H$6:$H$90)*(1-0.18),_xlfn.XLOOKUP(AL1362,Cadastros!$G$6:$G$90,Cadastros!$H$6:$H$90))))</f>
        <v/>
      </c>
      <c r="AO1362" s="168" t="str">
        <f t="shared" si="282"/>
        <v/>
      </c>
      <c r="AP1362" s="168" t="str">
        <f t="shared" si="283"/>
        <v/>
      </c>
      <c r="AQ1362" s="28"/>
      <c r="AR1362" s="28"/>
      <c r="AS1362" s="20" t="str">
        <f>IF(AQ1362="","",IF($F1362="Bernardino Furlan",_xlfn.XLOOKUP(AQ1362,Cadastros!$G$6:$G$90,Cadastros!$H$6:$H$90)*(1-0.18),IF($F1362="Mauro José Salanti",_xlfn.XLOOKUP(AQ1362,Cadastros!$G$6:$G$90,Cadastros!$H$6:$H$90)*(1-0.18),_xlfn.XLOOKUP(AQ1362,Cadastros!$G$6:$G$90,Cadastros!$H$6:$H$90))))</f>
        <v/>
      </c>
      <c r="AT1362" s="168" t="str">
        <f t="shared" si="284"/>
        <v/>
      </c>
      <c r="AU1362" s="168" t="str">
        <f t="shared" si="285"/>
        <v/>
      </c>
      <c r="AV1362" s="227"/>
      <c r="AW1362" s="30"/>
      <c r="AX1362" s="267"/>
      <c r="AY1362" s="267"/>
      <c r="AZ1362" s="29"/>
      <c r="BA1362" s="30"/>
      <c r="BB1362" s="23" t="str" cm="1">
        <f t="array" ref="BB1362">_xlfn.IFS(AW1362="SIM",SUM(K1362,P1362,U1362,Z1362,AE1362,AJ1362,AO1362,AT1362,AX1362,AY1362),F1362&lt;&gt;"",SUM(K1362,P1362,U1362,Z1362,AE1362,AJ1362,,AO1362,AT1362),F1362="","")</f>
        <v/>
      </c>
      <c r="BC1362" s="211" t="str" cm="1">
        <f t="array" ref="BC1362">_xlfn.IFS(E1362="","",G1362&lt;=E1362,BB1362*(1-0.03),G1362&lt;(E1362+8),BB1362,AZ1362="Boleto",BB1362*(1+0.001)^DATEDIF(E1362,G1362,"D"),AZ1362="Cheque",BB1362,AZ1362="Dinheiro","Alterar forma pgto")</f>
        <v/>
      </c>
      <c r="BD1362" s="276" t="str" cm="1">
        <f t="array" ref="BD1362">IF(F1362=0," ",IF(BC1362&lt;BB1362,(_xlfn.IFS(AW1362="SIM",SUM(L1362,Q1362,V1362,AA1362,AF1362,AK1362,AP1362,AU1362)+AX1362/_xlfn.XLOOKUP(_xlfn.XLOOKUP($F1362,Clientes!$B$4:$B$39,Clientes!$C$4:$C$39),Cadastros!$L$6:$L$12,Cadastros!$M$6:$M$12)+IF($F1362="Bernardino Furlan",AY1362/2751.92,IF($F1362="Mauro José Salanti",AY1362/2751.92,AY1362/3356)),F1362&lt;&gt;0,SUM(L1362,Q1362,V1362,AA1362,AF1362,AK1362,AP1362,AU1362)))*(1-0.03),_xlfn.IFS(AW1362="SIM",SUM(L1362,Q1362,V1362,AA1362,AF1362,AK1362,AP1362,AU1362)+AX1362/_xlfn.XLOOKUP(_xlfn.XLOOKUP($F1362,Clientes!$B$4:$B$39,Clientes!$C$4:$C$39),Cadastros!$L$6:$L$12,Cadastros!$M$6:$M$12)+IF($F1362="Bernardino Furlan",AY1362/2751.92,IF($F1362="Mauro José Salanti",AY1362/2751.92,AY1362/3356)),F1362&lt;&gt;0,SUM(L1362,Q1362,V1362,AA1362,AF1362,AK1362,AP1362,AU1362))))</f>
        <v xml:space="preserve"> </v>
      </c>
      <c r="BE1362" s="120"/>
      <c r="BF1362" s="120"/>
      <c r="BG1362" s="120"/>
    </row>
    <row r="1363" spans="1:59" s="3" customFormat="1" x14ac:dyDescent="0.3">
      <c r="A1363" s="15" t="str">
        <f t="shared" si="273"/>
        <v/>
      </c>
      <c r="B1363" s="25"/>
      <c r="C1363" s="26"/>
      <c r="D1363" s="279"/>
      <c r="E1363" s="27"/>
      <c r="F1363" s="28"/>
      <c r="G1363" s="27"/>
      <c r="H1363" s="28"/>
      <c r="I1363" s="28"/>
      <c r="J1363" s="255" t="str">
        <f>IF(H1363="","",(_xlfn.XLOOKUP(H1363,Cadastros!$D$6:$D$90,Cadastros!$E$6:$E$90))*(1-_xlfn.XLOOKUP(_xlfn.XLOOKUP($F1363,Clientes!$B$4:$B$39,Clientes!$C$4:$C$39),Cadastros!$L$6:$L$12,Cadastros!$N$6:$N$12)))</f>
        <v/>
      </c>
      <c r="K1363" s="168" t="str">
        <f t="shared" si="274"/>
        <v/>
      </c>
      <c r="L1363" s="168" t="str">
        <f>IFERROR(K1363/_xlfn.XLOOKUP(_xlfn.XLOOKUP($F1363,Clientes!$B$4:$B$39,Clientes!$C$4:$C$39),Cadastros!$L$6:$L$12,Cadastros!$M$6:$M$12)," ")</f>
        <v xml:space="preserve"> </v>
      </c>
      <c r="M1363" s="28"/>
      <c r="N1363" s="28"/>
      <c r="O1363" s="255" t="str">
        <f>IF(M1363="","",(_xlfn.XLOOKUP(M1363,Cadastros!$D$6:$D$90,Cadastros!$E$6:$E$90))*(1-_xlfn.XLOOKUP(_xlfn.XLOOKUP($F1363,Clientes!$B$4:$B$39,Clientes!$C$4:$C$39),Cadastros!$L$6:$L$12,Cadastros!$N$6:$N$12)))</f>
        <v/>
      </c>
      <c r="P1363" s="168" t="str">
        <f t="shared" si="275"/>
        <v/>
      </c>
      <c r="Q1363" s="168" t="str">
        <f>IFERROR(P1363/_xlfn.XLOOKUP(_xlfn.XLOOKUP($F1363,Clientes!$B$4:$B$39,Clientes!$C$4:$C$39),Cadastros!$L$6:$L$12,Cadastros!$M$6:$M$12)," ")</f>
        <v xml:space="preserve"> </v>
      </c>
      <c r="R1363" s="28"/>
      <c r="S1363" s="28"/>
      <c r="T1363" s="255" t="str">
        <f>IF(R1363="","",(_xlfn.XLOOKUP(R1363,Cadastros!$D$6:$D$90,Cadastros!$E$6:$E$90))*(1-_xlfn.XLOOKUP(_xlfn.XLOOKUP($F1363,Clientes!$B$4:$B$39,Clientes!$C$4:$C$39),Cadastros!$L$6:$L$12,Cadastros!$N$6:$N$12)))</f>
        <v/>
      </c>
      <c r="U1363" s="168" t="str">
        <f t="shared" si="276"/>
        <v/>
      </c>
      <c r="V1363" s="168" t="str">
        <f>IFERROR(U1363/_xlfn.XLOOKUP(_xlfn.XLOOKUP($F1363,Clientes!$B$4:$B$39,Clientes!$C$4:$C$39),Cadastros!$L$6:$L$12,Cadastros!$M$6:$M$12)," ")</f>
        <v xml:space="preserve"> </v>
      </c>
      <c r="W1363" s="28"/>
      <c r="X1363" s="28"/>
      <c r="Y1363" s="255" t="str">
        <f>IF(W1363="","",(_xlfn.XLOOKUP(W1363,Cadastros!$D$6:$D$90,Cadastros!$E$6:$E$90))*(1-_xlfn.XLOOKUP(_xlfn.XLOOKUP($F1363,Clientes!$B$4:$B$39,Clientes!$C$4:$C$39),Cadastros!$L$6:$L$12,Cadastros!$N$6:$N$12)))</f>
        <v/>
      </c>
      <c r="Z1363" s="168" t="str">
        <f t="shared" si="277"/>
        <v/>
      </c>
      <c r="AA1363" s="168" t="str">
        <f>IFERROR(Z1363/_xlfn.XLOOKUP(_xlfn.XLOOKUP($F1363,Clientes!$B$4:$B$39,Clientes!$C$4:$C$39),Cadastros!$L$6:$L$12,Cadastros!$M$6:$M$12)," ")</f>
        <v xml:space="preserve"> </v>
      </c>
      <c r="AB1363" s="28"/>
      <c r="AC1363" s="28"/>
      <c r="AD1363" s="20" t="str">
        <f>IF(AB1363="","",IF($F1363="Bernardino Furlan",_xlfn.XLOOKUP(AB1363,Cadastros!$G$6:$G$90,Cadastros!$H$6:$H$90)*(1-0.18),IF($F1363="Mauro José Salanti",_xlfn.XLOOKUP(AB1363,Cadastros!$G$6:$G$90,Cadastros!$H$6:$H$90)*(1-0.18),_xlfn.XLOOKUP(AB1363,Cadastros!$G$6:$G$90,Cadastros!$H$6:$H$90))))</f>
        <v/>
      </c>
      <c r="AE1363" s="168" t="str">
        <f t="shared" si="278"/>
        <v/>
      </c>
      <c r="AF1363" s="168" t="str">
        <f t="shared" si="279"/>
        <v/>
      </c>
      <c r="AG1363" s="28"/>
      <c r="AH1363" s="28"/>
      <c r="AI1363" s="20" t="str">
        <f>IF(AG1363="","",IF($F1363="Bernardino Furlan",_xlfn.XLOOKUP(AG1363,Cadastros!$G$6:$G$90,Cadastros!$H$6:$H$90)*(1-0.18),IF($F1363="Mauro José Salanti",_xlfn.XLOOKUP(AG1363,Cadastros!$G$6:$G$90,Cadastros!$H$6:$H$90)*(1-0.18),_xlfn.XLOOKUP(AG1363,Cadastros!$G$6:$G$90,Cadastros!$H$6:$H$90))))</f>
        <v/>
      </c>
      <c r="AJ1363" s="168" t="str">
        <f t="shared" si="280"/>
        <v/>
      </c>
      <c r="AK1363" s="168" t="str">
        <f t="shared" si="281"/>
        <v/>
      </c>
      <c r="AL1363" s="28"/>
      <c r="AM1363" s="28"/>
      <c r="AN1363" s="20" t="str">
        <f>IF(AL1363="","",IF($F1363="Bernardino Furlan",_xlfn.XLOOKUP(AL1363,Cadastros!$G$6:$G$90,Cadastros!$H$6:$H$90)*(1-0.18),IF($F1363="Mauro José Salanti",_xlfn.XLOOKUP(AL1363,Cadastros!$G$6:$G$90,Cadastros!$H$6:$H$90)*(1-0.18),_xlfn.XLOOKUP(AL1363,Cadastros!$G$6:$G$90,Cadastros!$H$6:$H$90))))</f>
        <v/>
      </c>
      <c r="AO1363" s="168" t="str">
        <f t="shared" si="282"/>
        <v/>
      </c>
      <c r="AP1363" s="168" t="str">
        <f t="shared" si="283"/>
        <v/>
      </c>
      <c r="AQ1363" s="28"/>
      <c r="AR1363" s="28"/>
      <c r="AS1363" s="20" t="str">
        <f>IF(AQ1363="","",IF($F1363="Bernardino Furlan",_xlfn.XLOOKUP(AQ1363,Cadastros!$G$6:$G$90,Cadastros!$H$6:$H$90)*(1-0.18),IF($F1363="Mauro José Salanti",_xlfn.XLOOKUP(AQ1363,Cadastros!$G$6:$G$90,Cadastros!$H$6:$H$90)*(1-0.18),_xlfn.XLOOKUP(AQ1363,Cadastros!$G$6:$G$90,Cadastros!$H$6:$H$90))))</f>
        <v/>
      </c>
      <c r="AT1363" s="168" t="str">
        <f t="shared" si="284"/>
        <v/>
      </c>
      <c r="AU1363" s="168" t="str">
        <f t="shared" si="285"/>
        <v/>
      </c>
      <c r="AV1363" s="227"/>
      <c r="AW1363" s="30"/>
      <c r="AX1363" s="267"/>
      <c r="AY1363" s="267"/>
      <c r="AZ1363" s="29"/>
      <c r="BA1363" s="30"/>
      <c r="BB1363" s="23" t="str" cm="1">
        <f t="array" ref="BB1363">_xlfn.IFS(AW1363="SIM",SUM(K1363,P1363,U1363,Z1363,AE1363,AJ1363,AO1363,AT1363,AX1363,AY1363),F1363&lt;&gt;"",SUM(K1363,P1363,U1363,Z1363,AE1363,AJ1363,,AO1363,AT1363),F1363="","")</f>
        <v/>
      </c>
      <c r="BC1363" s="211" t="str" cm="1">
        <f t="array" ref="BC1363">_xlfn.IFS(E1363="","",G1363&lt;=E1363,BB1363*(1-0.03),G1363&lt;(E1363+8),BB1363,AZ1363="Boleto",BB1363*(1+0.001)^DATEDIF(E1363,G1363,"D"),AZ1363="Cheque",BB1363,AZ1363="Dinheiro","Alterar forma pgto")</f>
        <v/>
      </c>
      <c r="BD1363" s="276" t="str" cm="1">
        <f t="array" ref="BD1363">IF(F1363=0," ",IF(BC1363&lt;BB1363,(_xlfn.IFS(AW1363="SIM",SUM(L1363,Q1363,V1363,AA1363,AF1363,AK1363,AP1363,AU1363)+AX1363/_xlfn.XLOOKUP(_xlfn.XLOOKUP($F1363,Clientes!$B$4:$B$39,Clientes!$C$4:$C$39),Cadastros!$L$6:$L$12,Cadastros!$M$6:$M$12)+IF($F1363="Bernardino Furlan",AY1363/2751.92,IF($F1363="Mauro José Salanti",AY1363/2751.92,AY1363/3356)),F1363&lt;&gt;0,SUM(L1363,Q1363,V1363,AA1363,AF1363,AK1363,AP1363,AU1363)))*(1-0.03),_xlfn.IFS(AW1363="SIM",SUM(L1363,Q1363,V1363,AA1363,AF1363,AK1363,AP1363,AU1363)+AX1363/_xlfn.XLOOKUP(_xlfn.XLOOKUP($F1363,Clientes!$B$4:$B$39,Clientes!$C$4:$C$39),Cadastros!$L$6:$L$12,Cadastros!$M$6:$M$12)+IF($F1363="Bernardino Furlan",AY1363/2751.92,IF($F1363="Mauro José Salanti",AY1363/2751.92,AY1363/3356)),F1363&lt;&gt;0,SUM(L1363,Q1363,V1363,AA1363,AF1363,AK1363,AP1363,AU1363))))</f>
        <v xml:space="preserve"> </v>
      </c>
      <c r="BE1363" s="120"/>
      <c r="BF1363" s="120"/>
      <c r="BG1363" s="120"/>
    </row>
    <row r="1364" spans="1:59" s="3" customFormat="1" x14ac:dyDescent="0.3">
      <c r="A1364" s="15" t="str">
        <f t="shared" si="273"/>
        <v/>
      </c>
      <c r="B1364" s="25"/>
      <c r="C1364" s="26"/>
      <c r="D1364" s="279"/>
      <c r="E1364" s="27"/>
      <c r="F1364" s="28"/>
      <c r="G1364" s="27"/>
      <c r="H1364" s="28"/>
      <c r="I1364" s="28"/>
      <c r="J1364" s="255" t="str">
        <f>IF(H1364="","",(_xlfn.XLOOKUP(H1364,Cadastros!$D$6:$D$90,Cadastros!$E$6:$E$90))*(1-_xlfn.XLOOKUP(_xlfn.XLOOKUP($F1364,Clientes!$B$4:$B$39,Clientes!$C$4:$C$39),Cadastros!$L$6:$L$12,Cadastros!$N$6:$N$12)))</f>
        <v/>
      </c>
      <c r="K1364" s="168" t="str">
        <f t="shared" si="274"/>
        <v/>
      </c>
      <c r="L1364" s="168" t="str">
        <f>IFERROR(K1364/_xlfn.XLOOKUP(_xlfn.XLOOKUP($F1364,Clientes!$B$4:$B$39,Clientes!$C$4:$C$39),Cadastros!$L$6:$L$12,Cadastros!$M$6:$M$12)," ")</f>
        <v xml:space="preserve"> </v>
      </c>
      <c r="M1364" s="28"/>
      <c r="N1364" s="28"/>
      <c r="O1364" s="255" t="str">
        <f>IF(M1364="","",(_xlfn.XLOOKUP(M1364,Cadastros!$D$6:$D$90,Cadastros!$E$6:$E$90))*(1-_xlfn.XLOOKUP(_xlfn.XLOOKUP($F1364,Clientes!$B$4:$B$39,Clientes!$C$4:$C$39),Cadastros!$L$6:$L$12,Cadastros!$N$6:$N$12)))</f>
        <v/>
      </c>
      <c r="P1364" s="168" t="str">
        <f t="shared" si="275"/>
        <v/>
      </c>
      <c r="Q1364" s="168" t="str">
        <f>IFERROR(P1364/_xlfn.XLOOKUP(_xlfn.XLOOKUP($F1364,Clientes!$B$4:$B$39,Clientes!$C$4:$C$39),Cadastros!$L$6:$L$12,Cadastros!$M$6:$M$12)," ")</f>
        <v xml:space="preserve"> </v>
      </c>
      <c r="R1364" s="28"/>
      <c r="S1364" s="28"/>
      <c r="T1364" s="255" t="str">
        <f>IF(R1364="","",(_xlfn.XLOOKUP(R1364,Cadastros!$D$6:$D$90,Cadastros!$E$6:$E$90))*(1-_xlfn.XLOOKUP(_xlfn.XLOOKUP($F1364,Clientes!$B$4:$B$39,Clientes!$C$4:$C$39),Cadastros!$L$6:$L$12,Cadastros!$N$6:$N$12)))</f>
        <v/>
      </c>
      <c r="U1364" s="168" t="str">
        <f t="shared" si="276"/>
        <v/>
      </c>
      <c r="V1364" s="168" t="str">
        <f>IFERROR(U1364/_xlfn.XLOOKUP(_xlfn.XLOOKUP($F1364,Clientes!$B$4:$B$39,Clientes!$C$4:$C$39),Cadastros!$L$6:$L$12,Cadastros!$M$6:$M$12)," ")</f>
        <v xml:space="preserve"> </v>
      </c>
      <c r="W1364" s="28"/>
      <c r="X1364" s="28"/>
      <c r="Y1364" s="255" t="str">
        <f>IF(W1364="","",(_xlfn.XLOOKUP(W1364,Cadastros!$D$6:$D$90,Cadastros!$E$6:$E$90))*(1-_xlfn.XLOOKUP(_xlfn.XLOOKUP($F1364,Clientes!$B$4:$B$39,Clientes!$C$4:$C$39),Cadastros!$L$6:$L$12,Cadastros!$N$6:$N$12)))</f>
        <v/>
      </c>
      <c r="Z1364" s="168" t="str">
        <f t="shared" si="277"/>
        <v/>
      </c>
      <c r="AA1364" s="168" t="str">
        <f>IFERROR(Z1364/_xlfn.XLOOKUP(_xlfn.XLOOKUP($F1364,Clientes!$B$4:$B$39,Clientes!$C$4:$C$39),Cadastros!$L$6:$L$12,Cadastros!$M$6:$M$12)," ")</f>
        <v xml:space="preserve"> </v>
      </c>
      <c r="AB1364" s="28"/>
      <c r="AC1364" s="28"/>
      <c r="AD1364" s="20" t="str">
        <f>IF(AB1364="","",IF($F1364="Bernardino Furlan",_xlfn.XLOOKUP(AB1364,Cadastros!$G$6:$G$90,Cadastros!$H$6:$H$90)*(1-0.18),IF($F1364="Mauro José Salanti",_xlfn.XLOOKUP(AB1364,Cadastros!$G$6:$G$90,Cadastros!$H$6:$H$90)*(1-0.18),_xlfn.XLOOKUP(AB1364,Cadastros!$G$6:$G$90,Cadastros!$H$6:$H$90))))</f>
        <v/>
      </c>
      <c r="AE1364" s="168" t="str">
        <f t="shared" si="278"/>
        <v/>
      </c>
      <c r="AF1364" s="168" t="str">
        <f t="shared" si="279"/>
        <v/>
      </c>
      <c r="AG1364" s="28"/>
      <c r="AH1364" s="28"/>
      <c r="AI1364" s="20" t="str">
        <f>IF(AG1364="","",IF($F1364="Bernardino Furlan",_xlfn.XLOOKUP(AG1364,Cadastros!$G$6:$G$90,Cadastros!$H$6:$H$90)*(1-0.18),IF($F1364="Mauro José Salanti",_xlfn.XLOOKUP(AG1364,Cadastros!$G$6:$G$90,Cadastros!$H$6:$H$90)*(1-0.18),_xlfn.XLOOKUP(AG1364,Cadastros!$G$6:$G$90,Cadastros!$H$6:$H$90))))</f>
        <v/>
      </c>
      <c r="AJ1364" s="168" t="str">
        <f t="shared" si="280"/>
        <v/>
      </c>
      <c r="AK1364" s="168" t="str">
        <f t="shared" si="281"/>
        <v/>
      </c>
      <c r="AL1364" s="28"/>
      <c r="AM1364" s="28"/>
      <c r="AN1364" s="20" t="str">
        <f>IF(AL1364="","",IF($F1364="Bernardino Furlan",_xlfn.XLOOKUP(AL1364,Cadastros!$G$6:$G$90,Cadastros!$H$6:$H$90)*(1-0.18),IF($F1364="Mauro José Salanti",_xlfn.XLOOKUP(AL1364,Cadastros!$G$6:$G$90,Cadastros!$H$6:$H$90)*(1-0.18),_xlfn.XLOOKUP(AL1364,Cadastros!$G$6:$G$90,Cadastros!$H$6:$H$90))))</f>
        <v/>
      </c>
      <c r="AO1364" s="168" t="str">
        <f t="shared" si="282"/>
        <v/>
      </c>
      <c r="AP1364" s="168" t="str">
        <f t="shared" si="283"/>
        <v/>
      </c>
      <c r="AQ1364" s="28"/>
      <c r="AR1364" s="28"/>
      <c r="AS1364" s="20" t="str">
        <f>IF(AQ1364="","",IF($F1364="Bernardino Furlan",_xlfn.XLOOKUP(AQ1364,Cadastros!$G$6:$G$90,Cadastros!$H$6:$H$90)*(1-0.18),IF($F1364="Mauro José Salanti",_xlfn.XLOOKUP(AQ1364,Cadastros!$G$6:$G$90,Cadastros!$H$6:$H$90)*(1-0.18),_xlfn.XLOOKUP(AQ1364,Cadastros!$G$6:$G$90,Cadastros!$H$6:$H$90))))</f>
        <v/>
      </c>
      <c r="AT1364" s="168" t="str">
        <f t="shared" si="284"/>
        <v/>
      </c>
      <c r="AU1364" s="168" t="str">
        <f t="shared" si="285"/>
        <v/>
      </c>
      <c r="AV1364" s="227"/>
      <c r="AW1364" s="30"/>
      <c r="AX1364" s="267"/>
      <c r="AY1364" s="267"/>
      <c r="AZ1364" s="29"/>
      <c r="BA1364" s="30"/>
      <c r="BB1364" s="23" t="str" cm="1">
        <f t="array" ref="BB1364">_xlfn.IFS(AW1364="SIM",SUM(K1364,P1364,U1364,Z1364,AE1364,AJ1364,AO1364,AT1364,AX1364,AY1364),F1364&lt;&gt;"",SUM(K1364,P1364,U1364,Z1364,AE1364,AJ1364,,AO1364,AT1364),F1364="","")</f>
        <v/>
      </c>
      <c r="BC1364" s="211" t="str" cm="1">
        <f t="array" ref="BC1364">_xlfn.IFS(E1364="","",G1364&lt;=E1364,BB1364*(1-0.03),G1364&lt;(E1364+8),BB1364,AZ1364="Boleto",BB1364*(1+0.001)^DATEDIF(E1364,G1364,"D"),AZ1364="Cheque",BB1364,AZ1364="Dinheiro","Alterar forma pgto")</f>
        <v/>
      </c>
      <c r="BD1364" s="276" t="str" cm="1">
        <f t="array" ref="BD1364">IF(F1364=0," ",IF(BC1364&lt;BB1364,(_xlfn.IFS(AW1364="SIM",SUM(L1364,Q1364,V1364,AA1364,AF1364,AK1364,AP1364,AU1364)+AX1364/_xlfn.XLOOKUP(_xlfn.XLOOKUP($F1364,Clientes!$B$4:$B$39,Clientes!$C$4:$C$39),Cadastros!$L$6:$L$12,Cadastros!$M$6:$M$12)+IF($F1364="Bernardino Furlan",AY1364/2751.92,IF($F1364="Mauro José Salanti",AY1364/2751.92,AY1364/3356)),F1364&lt;&gt;0,SUM(L1364,Q1364,V1364,AA1364,AF1364,AK1364,AP1364,AU1364)))*(1-0.03),_xlfn.IFS(AW1364="SIM",SUM(L1364,Q1364,V1364,AA1364,AF1364,AK1364,AP1364,AU1364)+AX1364/_xlfn.XLOOKUP(_xlfn.XLOOKUP($F1364,Clientes!$B$4:$B$39,Clientes!$C$4:$C$39),Cadastros!$L$6:$L$12,Cadastros!$M$6:$M$12)+IF($F1364="Bernardino Furlan",AY1364/2751.92,IF($F1364="Mauro José Salanti",AY1364/2751.92,AY1364/3356)),F1364&lt;&gt;0,SUM(L1364,Q1364,V1364,AA1364,AF1364,AK1364,AP1364,AU1364))))</f>
        <v xml:space="preserve"> </v>
      </c>
      <c r="BE1364" s="120"/>
      <c r="BF1364" s="120"/>
      <c r="BG1364" s="120"/>
    </row>
    <row r="1365" spans="1:59" s="3" customFormat="1" x14ac:dyDescent="0.3">
      <c r="A1365" s="15" t="str">
        <f t="shared" si="273"/>
        <v/>
      </c>
      <c r="B1365" s="25"/>
      <c r="C1365" s="26"/>
      <c r="D1365" s="279"/>
      <c r="E1365" s="27"/>
      <c r="F1365" s="28"/>
      <c r="G1365" s="27"/>
      <c r="H1365" s="28"/>
      <c r="I1365" s="28"/>
      <c r="J1365" s="255" t="str">
        <f>IF(H1365="","",(_xlfn.XLOOKUP(H1365,Cadastros!$D$6:$D$90,Cadastros!$E$6:$E$90))*(1-_xlfn.XLOOKUP(_xlfn.XLOOKUP($F1365,Clientes!$B$4:$B$39,Clientes!$C$4:$C$39),Cadastros!$L$6:$L$12,Cadastros!$N$6:$N$12)))</f>
        <v/>
      </c>
      <c r="K1365" s="168" t="str">
        <f t="shared" si="274"/>
        <v/>
      </c>
      <c r="L1365" s="168" t="str">
        <f>IFERROR(K1365/_xlfn.XLOOKUP(_xlfn.XLOOKUP($F1365,Clientes!$B$4:$B$39,Clientes!$C$4:$C$39),Cadastros!$L$6:$L$12,Cadastros!$M$6:$M$12)," ")</f>
        <v xml:space="preserve"> </v>
      </c>
      <c r="M1365" s="28"/>
      <c r="N1365" s="28"/>
      <c r="O1365" s="255" t="str">
        <f>IF(M1365="","",(_xlfn.XLOOKUP(M1365,Cadastros!$D$6:$D$90,Cadastros!$E$6:$E$90))*(1-_xlfn.XLOOKUP(_xlfn.XLOOKUP($F1365,Clientes!$B$4:$B$39,Clientes!$C$4:$C$39),Cadastros!$L$6:$L$12,Cadastros!$N$6:$N$12)))</f>
        <v/>
      </c>
      <c r="P1365" s="168" t="str">
        <f t="shared" si="275"/>
        <v/>
      </c>
      <c r="Q1365" s="168" t="str">
        <f>IFERROR(P1365/_xlfn.XLOOKUP(_xlfn.XLOOKUP($F1365,Clientes!$B$4:$B$39,Clientes!$C$4:$C$39),Cadastros!$L$6:$L$12,Cadastros!$M$6:$M$12)," ")</f>
        <v xml:space="preserve"> </v>
      </c>
      <c r="R1365" s="28"/>
      <c r="S1365" s="28"/>
      <c r="T1365" s="255" t="str">
        <f>IF(R1365="","",(_xlfn.XLOOKUP(R1365,Cadastros!$D$6:$D$90,Cadastros!$E$6:$E$90))*(1-_xlfn.XLOOKUP(_xlfn.XLOOKUP($F1365,Clientes!$B$4:$B$39,Clientes!$C$4:$C$39),Cadastros!$L$6:$L$12,Cadastros!$N$6:$N$12)))</f>
        <v/>
      </c>
      <c r="U1365" s="168" t="str">
        <f t="shared" si="276"/>
        <v/>
      </c>
      <c r="V1365" s="168" t="str">
        <f>IFERROR(U1365/_xlfn.XLOOKUP(_xlfn.XLOOKUP($F1365,Clientes!$B$4:$B$39,Clientes!$C$4:$C$39),Cadastros!$L$6:$L$12,Cadastros!$M$6:$M$12)," ")</f>
        <v xml:space="preserve"> </v>
      </c>
      <c r="W1365" s="28"/>
      <c r="X1365" s="28"/>
      <c r="Y1365" s="255" t="str">
        <f>IF(W1365="","",(_xlfn.XLOOKUP(W1365,Cadastros!$D$6:$D$90,Cadastros!$E$6:$E$90))*(1-_xlfn.XLOOKUP(_xlfn.XLOOKUP($F1365,Clientes!$B$4:$B$39,Clientes!$C$4:$C$39),Cadastros!$L$6:$L$12,Cadastros!$N$6:$N$12)))</f>
        <v/>
      </c>
      <c r="Z1365" s="168" t="str">
        <f t="shared" si="277"/>
        <v/>
      </c>
      <c r="AA1365" s="168" t="str">
        <f>IFERROR(Z1365/_xlfn.XLOOKUP(_xlfn.XLOOKUP($F1365,Clientes!$B$4:$B$39,Clientes!$C$4:$C$39),Cadastros!$L$6:$L$12,Cadastros!$M$6:$M$12)," ")</f>
        <v xml:space="preserve"> </v>
      </c>
      <c r="AB1365" s="28"/>
      <c r="AC1365" s="28"/>
      <c r="AD1365" s="20" t="str">
        <f>IF(AB1365="","",IF($F1365="Bernardino Furlan",_xlfn.XLOOKUP(AB1365,Cadastros!$G$6:$G$90,Cadastros!$H$6:$H$90)*(1-0.18),IF($F1365="Mauro José Salanti",_xlfn.XLOOKUP(AB1365,Cadastros!$G$6:$G$90,Cadastros!$H$6:$H$90)*(1-0.18),_xlfn.XLOOKUP(AB1365,Cadastros!$G$6:$G$90,Cadastros!$H$6:$H$90))))</f>
        <v/>
      </c>
      <c r="AE1365" s="168" t="str">
        <f t="shared" si="278"/>
        <v/>
      </c>
      <c r="AF1365" s="168" t="str">
        <f t="shared" si="279"/>
        <v/>
      </c>
      <c r="AG1365" s="28"/>
      <c r="AH1365" s="28"/>
      <c r="AI1365" s="20" t="str">
        <f>IF(AG1365="","",IF($F1365="Bernardino Furlan",_xlfn.XLOOKUP(AG1365,Cadastros!$G$6:$G$90,Cadastros!$H$6:$H$90)*(1-0.18),IF($F1365="Mauro José Salanti",_xlfn.XLOOKUP(AG1365,Cadastros!$G$6:$G$90,Cadastros!$H$6:$H$90)*(1-0.18),_xlfn.XLOOKUP(AG1365,Cadastros!$G$6:$G$90,Cadastros!$H$6:$H$90))))</f>
        <v/>
      </c>
      <c r="AJ1365" s="168" t="str">
        <f t="shared" si="280"/>
        <v/>
      </c>
      <c r="AK1365" s="168" t="str">
        <f t="shared" si="281"/>
        <v/>
      </c>
      <c r="AL1365" s="28"/>
      <c r="AM1365" s="28"/>
      <c r="AN1365" s="20" t="str">
        <f>IF(AL1365="","",IF($F1365="Bernardino Furlan",_xlfn.XLOOKUP(AL1365,Cadastros!$G$6:$G$90,Cadastros!$H$6:$H$90)*(1-0.18),IF($F1365="Mauro José Salanti",_xlfn.XLOOKUP(AL1365,Cadastros!$G$6:$G$90,Cadastros!$H$6:$H$90)*(1-0.18),_xlfn.XLOOKUP(AL1365,Cadastros!$G$6:$G$90,Cadastros!$H$6:$H$90))))</f>
        <v/>
      </c>
      <c r="AO1365" s="168" t="str">
        <f t="shared" si="282"/>
        <v/>
      </c>
      <c r="AP1365" s="168" t="str">
        <f t="shared" si="283"/>
        <v/>
      </c>
      <c r="AQ1365" s="28"/>
      <c r="AR1365" s="28"/>
      <c r="AS1365" s="20" t="str">
        <f>IF(AQ1365="","",IF($F1365="Bernardino Furlan",_xlfn.XLOOKUP(AQ1365,Cadastros!$G$6:$G$90,Cadastros!$H$6:$H$90)*(1-0.18),IF($F1365="Mauro José Salanti",_xlfn.XLOOKUP(AQ1365,Cadastros!$G$6:$G$90,Cadastros!$H$6:$H$90)*(1-0.18),_xlfn.XLOOKUP(AQ1365,Cadastros!$G$6:$G$90,Cadastros!$H$6:$H$90))))</f>
        <v/>
      </c>
      <c r="AT1365" s="168" t="str">
        <f t="shared" si="284"/>
        <v/>
      </c>
      <c r="AU1365" s="168" t="str">
        <f t="shared" si="285"/>
        <v/>
      </c>
      <c r="AV1365" s="227"/>
      <c r="AW1365" s="30"/>
      <c r="AX1365" s="267"/>
      <c r="AY1365" s="267"/>
      <c r="AZ1365" s="29"/>
      <c r="BA1365" s="30"/>
      <c r="BB1365" s="23" t="str" cm="1">
        <f t="array" ref="BB1365">_xlfn.IFS(AW1365="SIM",SUM(K1365,P1365,U1365,Z1365,AE1365,AJ1365,AO1365,AT1365,AX1365,AY1365),F1365&lt;&gt;"",SUM(K1365,P1365,U1365,Z1365,AE1365,AJ1365,,AO1365,AT1365),F1365="","")</f>
        <v/>
      </c>
      <c r="BC1365" s="211" t="str" cm="1">
        <f t="array" ref="BC1365">_xlfn.IFS(E1365="","",G1365&lt;=E1365,BB1365*(1-0.03),G1365&lt;(E1365+8),BB1365,AZ1365="Boleto",BB1365*(1+0.001)^DATEDIF(E1365,G1365,"D"),AZ1365="Cheque",BB1365,AZ1365="Dinheiro","Alterar forma pgto")</f>
        <v/>
      </c>
      <c r="BD1365" s="276" t="str" cm="1">
        <f t="array" ref="BD1365">IF(F1365=0," ",IF(BC1365&lt;BB1365,(_xlfn.IFS(AW1365="SIM",SUM(L1365,Q1365,V1365,AA1365,AF1365,AK1365,AP1365,AU1365)+AX1365/_xlfn.XLOOKUP(_xlfn.XLOOKUP($F1365,Clientes!$B$4:$B$39,Clientes!$C$4:$C$39),Cadastros!$L$6:$L$12,Cadastros!$M$6:$M$12)+IF($F1365="Bernardino Furlan",AY1365/2751.92,IF($F1365="Mauro José Salanti",AY1365/2751.92,AY1365/3356)),F1365&lt;&gt;0,SUM(L1365,Q1365,V1365,AA1365,AF1365,AK1365,AP1365,AU1365)))*(1-0.03),_xlfn.IFS(AW1365="SIM",SUM(L1365,Q1365,V1365,AA1365,AF1365,AK1365,AP1365,AU1365)+AX1365/_xlfn.XLOOKUP(_xlfn.XLOOKUP($F1365,Clientes!$B$4:$B$39,Clientes!$C$4:$C$39),Cadastros!$L$6:$L$12,Cadastros!$M$6:$M$12)+IF($F1365="Bernardino Furlan",AY1365/2751.92,IF($F1365="Mauro José Salanti",AY1365/2751.92,AY1365/3356)),F1365&lt;&gt;0,SUM(L1365,Q1365,V1365,AA1365,AF1365,AK1365,AP1365,AU1365))))</f>
        <v xml:space="preserve"> </v>
      </c>
      <c r="BE1365" s="120"/>
      <c r="BF1365" s="120"/>
      <c r="BG1365" s="120"/>
    </row>
    <row r="1366" spans="1:59" s="3" customFormat="1" x14ac:dyDescent="0.3">
      <c r="A1366" s="15" t="str">
        <f t="shared" si="273"/>
        <v/>
      </c>
      <c r="B1366" s="25"/>
      <c r="C1366" s="26"/>
      <c r="D1366" s="279"/>
      <c r="E1366" s="27"/>
      <c r="F1366" s="28"/>
      <c r="G1366" s="27"/>
      <c r="H1366" s="28"/>
      <c r="I1366" s="28"/>
      <c r="J1366" s="255" t="str">
        <f>IF(H1366="","",(_xlfn.XLOOKUP(H1366,Cadastros!$D$6:$D$90,Cadastros!$E$6:$E$90))*(1-_xlfn.XLOOKUP(_xlfn.XLOOKUP($F1366,Clientes!$B$4:$B$39,Clientes!$C$4:$C$39),Cadastros!$L$6:$L$12,Cadastros!$N$6:$N$12)))</f>
        <v/>
      </c>
      <c r="K1366" s="168" t="str">
        <f t="shared" si="274"/>
        <v/>
      </c>
      <c r="L1366" s="168" t="str">
        <f>IFERROR(K1366/_xlfn.XLOOKUP(_xlfn.XLOOKUP($F1366,Clientes!$B$4:$B$39,Clientes!$C$4:$C$39),Cadastros!$L$6:$L$12,Cadastros!$M$6:$M$12)," ")</f>
        <v xml:space="preserve"> </v>
      </c>
      <c r="M1366" s="28"/>
      <c r="N1366" s="28"/>
      <c r="O1366" s="255" t="str">
        <f>IF(M1366="","",(_xlfn.XLOOKUP(M1366,Cadastros!$D$6:$D$90,Cadastros!$E$6:$E$90))*(1-_xlfn.XLOOKUP(_xlfn.XLOOKUP($F1366,Clientes!$B$4:$B$39,Clientes!$C$4:$C$39),Cadastros!$L$6:$L$12,Cadastros!$N$6:$N$12)))</f>
        <v/>
      </c>
      <c r="P1366" s="168" t="str">
        <f t="shared" si="275"/>
        <v/>
      </c>
      <c r="Q1366" s="168" t="str">
        <f>IFERROR(P1366/_xlfn.XLOOKUP(_xlfn.XLOOKUP($F1366,Clientes!$B$4:$B$39,Clientes!$C$4:$C$39),Cadastros!$L$6:$L$12,Cadastros!$M$6:$M$12)," ")</f>
        <v xml:space="preserve"> </v>
      </c>
      <c r="R1366" s="28"/>
      <c r="S1366" s="28"/>
      <c r="T1366" s="255" t="str">
        <f>IF(R1366="","",(_xlfn.XLOOKUP(R1366,Cadastros!$D$6:$D$90,Cadastros!$E$6:$E$90))*(1-_xlfn.XLOOKUP(_xlfn.XLOOKUP($F1366,Clientes!$B$4:$B$39,Clientes!$C$4:$C$39),Cadastros!$L$6:$L$12,Cadastros!$N$6:$N$12)))</f>
        <v/>
      </c>
      <c r="U1366" s="168" t="str">
        <f t="shared" si="276"/>
        <v/>
      </c>
      <c r="V1366" s="168" t="str">
        <f>IFERROR(U1366/_xlfn.XLOOKUP(_xlfn.XLOOKUP($F1366,Clientes!$B$4:$B$39,Clientes!$C$4:$C$39),Cadastros!$L$6:$L$12,Cadastros!$M$6:$M$12)," ")</f>
        <v xml:space="preserve"> </v>
      </c>
      <c r="W1366" s="28"/>
      <c r="X1366" s="28"/>
      <c r="Y1366" s="255" t="str">
        <f>IF(W1366="","",(_xlfn.XLOOKUP(W1366,Cadastros!$D$6:$D$90,Cadastros!$E$6:$E$90))*(1-_xlfn.XLOOKUP(_xlfn.XLOOKUP($F1366,Clientes!$B$4:$B$39,Clientes!$C$4:$C$39),Cadastros!$L$6:$L$12,Cadastros!$N$6:$N$12)))</f>
        <v/>
      </c>
      <c r="Z1366" s="168" t="str">
        <f t="shared" si="277"/>
        <v/>
      </c>
      <c r="AA1366" s="168" t="str">
        <f>IFERROR(Z1366/_xlfn.XLOOKUP(_xlfn.XLOOKUP($F1366,Clientes!$B$4:$B$39,Clientes!$C$4:$C$39),Cadastros!$L$6:$L$12,Cadastros!$M$6:$M$12)," ")</f>
        <v xml:space="preserve"> </v>
      </c>
      <c r="AB1366" s="28"/>
      <c r="AC1366" s="28"/>
      <c r="AD1366" s="20" t="str">
        <f>IF(AB1366="","",IF($F1366="Bernardino Furlan",_xlfn.XLOOKUP(AB1366,Cadastros!$G$6:$G$90,Cadastros!$H$6:$H$90)*(1-0.18),IF($F1366="Mauro José Salanti",_xlfn.XLOOKUP(AB1366,Cadastros!$G$6:$G$90,Cadastros!$H$6:$H$90)*(1-0.18),_xlfn.XLOOKUP(AB1366,Cadastros!$G$6:$G$90,Cadastros!$H$6:$H$90))))</f>
        <v/>
      </c>
      <c r="AE1366" s="168" t="str">
        <f t="shared" si="278"/>
        <v/>
      </c>
      <c r="AF1366" s="168" t="str">
        <f t="shared" si="279"/>
        <v/>
      </c>
      <c r="AG1366" s="28"/>
      <c r="AH1366" s="28"/>
      <c r="AI1366" s="20" t="str">
        <f>IF(AG1366="","",IF($F1366="Bernardino Furlan",_xlfn.XLOOKUP(AG1366,Cadastros!$G$6:$G$90,Cadastros!$H$6:$H$90)*(1-0.18),IF($F1366="Mauro José Salanti",_xlfn.XLOOKUP(AG1366,Cadastros!$G$6:$G$90,Cadastros!$H$6:$H$90)*(1-0.18),_xlfn.XLOOKUP(AG1366,Cadastros!$G$6:$G$90,Cadastros!$H$6:$H$90))))</f>
        <v/>
      </c>
      <c r="AJ1366" s="168" t="str">
        <f t="shared" si="280"/>
        <v/>
      </c>
      <c r="AK1366" s="168" t="str">
        <f t="shared" si="281"/>
        <v/>
      </c>
      <c r="AL1366" s="28"/>
      <c r="AM1366" s="28"/>
      <c r="AN1366" s="20" t="str">
        <f>IF(AL1366="","",IF($F1366="Bernardino Furlan",_xlfn.XLOOKUP(AL1366,Cadastros!$G$6:$G$90,Cadastros!$H$6:$H$90)*(1-0.18),IF($F1366="Mauro José Salanti",_xlfn.XLOOKUP(AL1366,Cadastros!$G$6:$G$90,Cadastros!$H$6:$H$90)*(1-0.18),_xlfn.XLOOKUP(AL1366,Cadastros!$G$6:$G$90,Cadastros!$H$6:$H$90))))</f>
        <v/>
      </c>
      <c r="AO1366" s="168" t="str">
        <f t="shared" si="282"/>
        <v/>
      </c>
      <c r="AP1366" s="168" t="str">
        <f t="shared" si="283"/>
        <v/>
      </c>
      <c r="AQ1366" s="28"/>
      <c r="AR1366" s="28"/>
      <c r="AS1366" s="20" t="str">
        <f>IF(AQ1366="","",IF($F1366="Bernardino Furlan",_xlfn.XLOOKUP(AQ1366,Cadastros!$G$6:$G$90,Cadastros!$H$6:$H$90)*(1-0.18),IF($F1366="Mauro José Salanti",_xlfn.XLOOKUP(AQ1366,Cadastros!$G$6:$G$90,Cadastros!$H$6:$H$90)*(1-0.18),_xlfn.XLOOKUP(AQ1366,Cadastros!$G$6:$G$90,Cadastros!$H$6:$H$90))))</f>
        <v/>
      </c>
      <c r="AT1366" s="168" t="str">
        <f t="shared" si="284"/>
        <v/>
      </c>
      <c r="AU1366" s="168" t="str">
        <f t="shared" si="285"/>
        <v/>
      </c>
      <c r="AV1366" s="227"/>
      <c r="AW1366" s="30"/>
      <c r="AX1366" s="267"/>
      <c r="AY1366" s="267"/>
      <c r="AZ1366" s="29"/>
      <c r="BA1366" s="30"/>
      <c r="BB1366" s="23" t="str" cm="1">
        <f t="array" ref="BB1366">_xlfn.IFS(AW1366="SIM",SUM(K1366,P1366,U1366,Z1366,AE1366,AJ1366,AO1366,AT1366,AX1366,AY1366),F1366&lt;&gt;"",SUM(K1366,P1366,U1366,Z1366,AE1366,AJ1366,,AO1366,AT1366),F1366="","")</f>
        <v/>
      </c>
      <c r="BC1366" s="211" t="str" cm="1">
        <f t="array" ref="BC1366">_xlfn.IFS(E1366="","",G1366&lt;=E1366,BB1366*(1-0.03),G1366&lt;(E1366+8),BB1366,AZ1366="Boleto",BB1366*(1+0.001)^DATEDIF(E1366,G1366,"D"),AZ1366="Cheque",BB1366,AZ1366="Dinheiro","Alterar forma pgto")</f>
        <v/>
      </c>
      <c r="BD1366" s="276" t="str" cm="1">
        <f t="array" ref="BD1366">IF(F1366=0," ",IF(BC1366&lt;BB1366,(_xlfn.IFS(AW1366="SIM",SUM(L1366,Q1366,V1366,AA1366,AF1366,AK1366,AP1366,AU1366)+AX1366/_xlfn.XLOOKUP(_xlfn.XLOOKUP($F1366,Clientes!$B$4:$B$39,Clientes!$C$4:$C$39),Cadastros!$L$6:$L$12,Cadastros!$M$6:$M$12)+IF($F1366="Bernardino Furlan",AY1366/2751.92,IF($F1366="Mauro José Salanti",AY1366/2751.92,AY1366/3356)),F1366&lt;&gt;0,SUM(L1366,Q1366,V1366,AA1366,AF1366,AK1366,AP1366,AU1366)))*(1-0.03),_xlfn.IFS(AW1366="SIM",SUM(L1366,Q1366,V1366,AA1366,AF1366,AK1366,AP1366,AU1366)+AX1366/_xlfn.XLOOKUP(_xlfn.XLOOKUP($F1366,Clientes!$B$4:$B$39,Clientes!$C$4:$C$39),Cadastros!$L$6:$L$12,Cadastros!$M$6:$M$12)+IF($F1366="Bernardino Furlan",AY1366/2751.92,IF($F1366="Mauro José Salanti",AY1366/2751.92,AY1366/3356)),F1366&lt;&gt;0,SUM(L1366,Q1366,V1366,AA1366,AF1366,AK1366,AP1366,AU1366))))</f>
        <v xml:space="preserve"> </v>
      </c>
      <c r="BE1366" s="120"/>
      <c r="BF1366" s="120"/>
      <c r="BG1366" s="120"/>
    </row>
    <row r="1367" spans="1:59" s="3" customFormat="1" x14ac:dyDescent="0.3">
      <c r="A1367" s="15" t="str">
        <f t="shared" si="273"/>
        <v/>
      </c>
      <c r="B1367" s="25"/>
      <c r="C1367" s="26"/>
      <c r="D1367" s="279"/>
      <c r="E1367" s="27"/>
      <c r="F1367" s="28"/>
      <c r="G1367" s="27"/>
      <c r="H1367" s="28"/>
      <c r="I1367" s="28"/>
      <c r="J1367" s="255" t="str">
        <f>IF(H1367="","",(_xlfn.XLOOKUP(H1367,Cadastros!$D$6:$D$90,Cadastros!$E$6:$E$90))*(1-_xlfn.XLOOKUP(_xlfn.XLOOKUP($F1367,Clientes!$B$4:$B$39,Clientes!$C$4:$C$39),Cadastros!$L$6:$L$12,Cadastros!$N$6:$N$12)))</f>
        <v/>
      </c>
      <c r="K1367" s="168" t="str">
        <f t="shared" si="274"/>
        <v/>
      </c>
      <c r="L1367" s="168" t="str">
        <f>IFERROR(K1367/_xlfn.XLOOKUP(_xlfn.XLOOKUP($F1367,Clientes!$B$4:$B$39,Clientes!$C$4:$C$39),Cadastros!$L$6:$L$12,Cadastros!$M$6:$M$12)," ")</f>
        <v xml:space="preserve"> </v>
      </c>
      <c r="M1367" s="28"/>
      <c r="N1367" s="28"/>
      <c r="O1367" s="255" t="str">
        <f>IF(M1367="","",(_xlfn.XLOOKUP(M1367,Cadastros!$D$6:$D$90,Cadastros!$E$6:$E$90))*(1-_xlfn.XLOOKUP(_xlfn.XLOOKUP($F1367,Clientes!$B$4:$B$39,Clientes!$C$4:$C$39),Cadastros!$L$6:$L$12,Cadastros!$N$6:$N$12)))</f>
        <v/>
      </c>
      <c r="P1367" s="168" t="str">
        <f t="shared" si="275"/>
        <v/>
      </c>
      <c r="Q1367" s="168" t="str">
        <f>IFERROR(P1367/_xlfn.XLOOKUP(_xlfn.XLOOKUP($F1367,Clientes!$B$4:$B$39,Clientes!$C$4:$C$39),Cadastros!$L$6:$L$12,Cadastros!$M$6:$M$12)," ")</f>
        <v xml:space="preserve"> </v>
      </c>
      <c r="R1367" s="28"/>
      <c r="S1367" s="28"/>
      <c r="T1367" s="255" t="str">
        <f>IF(R1367="","",(_xlfn.XLOOKUP(R1367,Cadastros!$D$6:$D$90,Cadastros!$E$6:$E$90))*(1-_xlfn.XLOOKUP(_xlfn.XLOOKUP($F1367,Clientes!$B$4:$B$39,Clientes!$C$4:$C$39),Cadastros!$L$6:$L$12,Cadastros!$N$6:$N$12)))</f>
        <v/>
      </c>
      <c r="U1367" s="168" t="str">
        <f t="shared" si="276"/>
        <v/>
      </c>
      <c r="V1367" s="168" t="str">
        <f>IFERROR(U1367/_xlfn.XLOOKUP(_xlfn.XLOOKUP($F1367,Clientes!$B$4:$B$39,Clientes!$C$4:$C$39),Cadastros!$L$6:$L$12,Cadastros!$M$6:$M$12)," ")</f>
        <v xml:space="preserve"> </v>
      </c>
      <c r="W1367" s="28"/>
      <c r="X1367" s="28"/>
      <c r="Y1367" s="255" t="str">
        <f>IF(W1367="","",(_xlfn.XLOOKUP(W1367,Cadastros!$D$6:$D$90,Cadastros!$E$6:$E$90))*(1-_xlfn.XLOOKUP(_xlfn.XLOOKUP($F1367,Clientes!$B$4:$B$39,Clientes!$C$4:$C$39),Cadastros!$L$6:$L$12,Cadastros!$N$6:$N$12)))</f>
        <v/>
      </c>
      <c r="Z1367" s="168" t="str">
        <f t="shared" si="277"/>
        <v/>
      </c>
      <c r="AA1367" s="168" t="str">
        <f>IFERROR(Z1367/_xlfn.XLOOKUP(_xlfn.XLOOKUP($F1367,Clientes!$B$4:$B$39,Clientes!$C$4:$C$39),Cadastros!$L$6:$L$12,Cadastros!$M$6:$M$12)," ")</f>
        <v xml:space="preserve"> </v>
      </c>
      <c r="AB1367" s="28"/>
      <c r="AC1367" s="28"/>
      <c r="AD1367" s="20" t="str">
        <f>IF(AB1367="","",IF($F1367="Bernardino Furlan",_xlfn.XLOOKUP(AB1367,Cadastros!$G$6:$G$90,Cadastros!$H$6:$H$90)*(1-0.18),IF($F1367="Mauro José Salanti",_xlfn.XLOOKUP(AB1367,Cadastros!$G$6:$G$90,Cadastros!$H$6:$H$90)*(1-0.18),_xlfn.XLOOKUP(AB1367,Cadastros!$G$6:$G$90,Cadastros!$H$6:$H$90))))</f>
        <v/>
      </c>
      <c r="AE1367" s="168" t="str">
        <f t="shared" si="278"/>
        <v/>
      </c>
      <c r="AF1367" s="168" t="str">
        <f t="shared" si="279"/>
        <v/>
      </c>
      <c r="AG1367" s="28"/>
      <c r="AH1367" s="28"/>
      <c r="AI1367" s="20" t="str">
        <f>IF(AG1367="","",IF($F1367="Bernardino Furlan",_xlfn.XLOOKUP(AG1367,Cadastros!$G$6:$G$90,Cadastros!$H$6:$H$90)*(1-0.18),IF($F1367="Mauro José Salanti",_xlfn.XLOOKUP(AG1367,Cadastros!$G$6:$G$90,Cadastros!$H$6:$H$90)*(1-0.18),_xlfn.XLOOKUP(AG1367,Cadastros!$G$6:$G$90,Cadastros!$H$6:$H$90))))</f>
        <v/>
      </c>
      <c r="AJ1367" s="168" t="str">
        <f t="shared" si="280"/>
        <v/>
      </c>
      <c r="AK1367" s="168" t="str">
        <f t="shared" si="281"/>
        <v/>
      </c>
      <c r="AL1367" s="28"/>
      <c r="AM1367" s="28"/>
      <c r="AN1367" s="20" t="str">
        <f>IF(AL1367="","",IF($F1367="Bernardino Furlan",_xlfn.XLOOKUP(AL1367,Cadastros!$G$6:$G$90,Cadastros!$H$6:$H$90)*(1-0.18),IF($F1367="Mauro José Salanti",_xlfn.XLOOKUP(AL1367,Cadastros!$G$6:$G$90,Cadastros!$H$6:$H$90)*(1-0.18),_xlfn.XLOOKUP(AL1367,Cadastros!$G$6:$G$90,Cadastros!$H$6:$H$90))))</f>
        <v/>
      </c>
      <c r="AO1367" s="168" t="str">
        <f t="shared" si="282"/>
        <v/>
      </c>
      <c r="AP1367" s="168" t="str">
        <f t="shared" si="283"/>
        <v/>
      </c>
      <c r="AQ1367" s="28"/>
      <c r="AR1367" s="28"/>
      <c r="AS1367" s="20" t="str">
        <f>IF(AQ1367="","",IF($F1367="Bernardino Furlan",_xlfn.XLOOKUP(AQ1367,Cadastros!$G$6:$G$90,Cadastros!$H$6:$H$90)*(1-0.18),IF($F1367="Mauro José Salanti",_xlfn.XLOOKUP(AQ1367,Cadastros!$G$6:$G$90,Cadastros!$H$6:$H$90)*(1-0.18),_xlfn.XLOOKUP(AQ1367,Cadastros!$G$6:$G$90,Cadastros!$H$6:$H$90))))</f>
        <v/>
      </c>
      <c r="AT1367" s="168" t="str">
        <f t="shared" si="284"/>
        <v/>
      </c>
      <c r="AU1367" s="168" t="str">
        <f t="shared" si="285"/>
        <v/>
      </c>
      <c r="AV1367" s="227"/>
      <c r="AW1367" s="30"/>
      <c r="AX1367" s="267"/>
      <c r="AY1367" s="267"/>
      <c r="AZ1367" s="29"/>
      <c r="BA1367" s="30"/>
      <c r="BB1367" s="23" t="str" cm="1">
        <f t="array" ref="BB1367">_xlfn.IFS(AW1367="SIM",SUM(K1367,P1367,U1367,Z1367,AE1367,AJ1367,AO1367,AT1367,AX1367,AY1367),F1367&lt;&gt;"",SUM(K1367,P1367,U1367,Z1367,AE1367,AJ1367,,AO1367,AT1367),F1367="","")</f>
        <v/>
      </c>
      <c r="BC1367" s="211" t="str" cm="1">
        <f t="array" ref="BC1367">_xlfn.IFS(E1367="","",G1367&lt;=E1367,BB1367*(1-0.03),G1367&lt;(E1367+8),BB1367,AZ1367="Boleto",BB1367*(1+0.001)^DATEDIF(E1367,G1367,"D"),AZ1367="Cheque",BB1367,AZ1367="Dinheiro","Alterar forma pgto")</f>
        <v/>
      </c>
      <c r="BD1367" s="276" t="str" cm="1">
        <f t="array" ref="BD1367">IF(F1367=0," ",IF(BC1367&lt;BB1367,(_xlfn.IFS(AW1367="SIM",SUM(L1367,Q1367,V1367,AA1367,AF1367,AK1367,AP1367,AU1367)+AX1367/_xlfn.XLOOKUP(_xlfn.XLOOKUP($F1367,Clientes!$B$4:$B$39,Clientes!$C$4:$C$39),Cadastros!$L$6:$L$12,Cadastros!$M$6:$M$12)+IF($F1367="Bernardino Furlan",AY1367/2751.92,IF($F1367="Mauro José Salanti",AY1367/2751.92,AY1367/3356)),F1367&lt;&gt;0,SUM(L1367,Q1367,V1367,AA1367,AF1367,AK1367,AP1367,AU1367)))*(1-0.03),_xlfn.IFS(AW1367="SIM",SUM(L1367,Q1367,V1367,AA1367,AF1367,AK1367,AP1367,AU1367)+AX1367/_xlfn.XLOOKUP(_xlfn.XLOOKUP($F1367,Clientes!$B$4:$B$39,Clientes!$C$4:$C$39),Cadastros!$L$6:$L$12,Cadastros!$M$6:$M$12)+IF($F1367="Bernardino Furlan",AY1367/2751.92,IF($F1367="Mauro José Salanti",AY1367/2751.92,AY1367/3356)),F1367&lt;&gt;0,SUM(L1367,Q1367,V1367,AA1367,AF1367,AK1367,AP1367,AU1367))))</f>
        <v xml:space="preserve"> </v>
      </c>
      <c r="BE1367" s="120"/>
      <c r="BF1367" s="120"/>
      <c r="BG1367" s="120"/>
    </row>
    <row r="1368" spans="1:59" s="3" customFormat="1" x14ac:dyDescent="0.3">
      <c r="A1368" s="15" t="str">
        <f t="shared" si="273"/>
        <v/>
      </c>
      <c r="B1368" s="25"/>
      <c r="C1368" s="26"/>
      <c r="D1368" s="279"/>
      <c r="E1368" s="27"/>
      <c r="F1368" s="28"/>
      <c r="G1368" s="27"/>
      <c r="H1368" s="28"/>
      <c r="I1368" s="28"/>
      <c r="J1368" s="255" t="str">
        <f>IF(H1368="","",(_xlfn.XLOOKUP(H1368,Cadastros!$D$6:$D$90,Cadastros!$E$6:$E$90))*(1-_xlfn.XLOOKUP(_xlfn.XLOOKUP($F1368,Clientes!$B$4:$B$39,Clientes!$C$4:$C$39),Cadastros!$L$6:$L$12,Cadastros!$N$6:$N$12)))</f>
        <v/>
      </c>
      <c r="K1368" s="168" t="str">
        <f t="shared" si="274"/>
        <v/>
      </c>
      <c r="L1368" s="168" t="str">
        <f>IFERROR(K1368/_xlfn.XLOOKUP(_xlfn.XLOOKUP($F1368,Clientes!$B$4:$B$39,Clientes!$C$4:$C$39),Cadastros!$L$6:$L$12,Cadastros!$M$6:$M$12)," ")</f>
        <v xml:space="preserve"> </v>
      </c>
      <c r="M1368" s="28"/>
      <c r="N1368" s="28"/>
      <c r="O1368" s="255" t="str">
        <f>IF(M1368="","",(_xlfn.XLOOKUP(M1368,Cadastros!$D$6:$D$90,Cadastros!$E$6:$E$90))*(1-_xlfn.XLOOKUP(_xlfn.XLOOKUP($F1368,Clientes!$B$4:$B$39,Clientes!$C$4:$C$39),Cadastros!$L$6:$L$12,Cadastros!$N$6:$N$12)))</f>
        <v/>
      </c>
      <c r="P1368" s="168" t="str">
        <f t="shared" si="275"/>
        <v/>
      </c>
      <c r="Q1368" s="168" t="str">
        <f>IFERROR(P1368/_xlfn.XLOOKUP(_xlfn.XLOOKUP($F1368,Clientes!$B$4:$B$39,Clientes!$C$4:$C$39),Cadastros!$L$6:$L$12,Cadastros!$M$6:$M$12)," ")</f>
        <v xml:space="preserve"> </v>
      </c>
      <c r="R1368" s="28"/>
      <c r="S1368" s="28"/>
      <c r="T1368" s="255" t="str">
        <f>IF(R1368="","",(_xlfn.XLOOKUP(R1368,Cadastros!$D$6:$D$90,Cadastros!$E$6:$E$90))*(1-_xlfn.XLOOKUP(_xlfn.XLOOKUP($F1368,Clientes!$B$4:$B$39,Clientes!$C$4:$C$39),Cadastros!$L$6:$L$12,Cadastros!$N$6:$N$12)))</f>
        <v/>
      </c>
      <c r="U1368" s="168" t="str">
        <f t="shared" si="276"/>
        <v/>
      </c>
      <c r="V1368" s="168" t="str">
        <f>IFERROR(U1368/_xlfn.XLOOKUP(_xlfn.XLOOKUP($F1368,Clientes!$B$4:$B$39,Clientes!$C$4:$C$39),Cadastros!$L$6:$L$12,Cadastros!$M$6:$M$12)," ")</f>
        <v xml:space="preserve"> </v>
      </c>
      <c r="W1368" s="28"/>
      <c r="X1368" s="28"/>
      <c r="Y1368" s="255" t="str">
        <f>IF(W1368="","",(_xlfn.XLOOKUP(W1368,Cadastros!$D$6:$D$90,Cadastros!$E$6:$E$90))*(1-_xlfn.XLOOKUP(_xlfn.XLOOKUP($F1368,Clientes!$B$4:$B$39,Clientes!$C$4:$C$39),Cadastros!$L$6:$L$12,Cadastros!$N$6:$N$12)))</f>
        <v/>
      </c>
      <c r="Z1368" s="168" t="str">
        <f t="shared" si="277"/>
        <v/>
      </c>
      <c r="AA1368" s="168" t="str">
        <f>IFERROR(Z1368/_xlfn.XLOOKUP(_xlfn.XLOOKUP($F1368,Clientes!$B$4:$B$39,Clientes!$C$4:$C$39),Cadastros!$L$6:$L$12,Cadastros!$M$6:$M$12)," ")</f>
        <v xml:space="preserve"> </v>
      </c>
      <c r="AB1368" s="28"/>
      <c r="AC1368" s="28"/>
      <c r="AD1368" s="20" t="str">
        <f>IF(AB1368="","",IF($F1368="Bernardino Furlan",_xlfn.XLOOKUP(AB1368,Cadastros!$G$6:$G$90,Cadastros!$H$6:$H$90)*(1-0.18),IF($F1368="Mauro José Salanti",_xlfn.XLOOKUP(AB1368,Cadastros!$G$6:$G$90,Cadastros!$H$6:$H$90)*(1-0.18),_xlfn.XLOOKUP(AB1368,Cadastros!$G$6:$G$90,Cadastros!$H$6:$H$90))))</f>
        <v/>
      </c>
      <c r="AE1368" s="168" t="str">
        <f t="shared" si="278"/>
        <v/>
      </c>
      <c r="AF1368" s="168" t="str">
        <f t="shared" si="279"/>
        <v/>
      </c>
      <c r="AG1368" s="28"/>
      <c r="AH1368" s="28"/>
      <c r="AI1368" s="20" t="str">
        <f>IF(AG1368="","",IF($F1368="Bernardino Furlan",_xlfn.XLOOKUP(AG1368,Cadastros!$G$6:$G$90,Cadastros!$H$6:$H$90)*(1-0.18),IF($F1368="Mauro José Salanti",_xlfn.XLOOKUP(AG1368,Cadastros!$G$6:$G$90,Cadastros!$H$6:$H$90)*(1-0.18),_xlfn.XLOOKUP(AG1368,Cadastros!$G$6:$G$90,Cadastros!$H$6:$H$90))))</f>
        <v/>
      </c>
      <c r="AJ1368" s="168" t="str">
        <f t="shared" si="280"/>
        <v/>
      </c>
      <c r="AK1368" s="168" t="str">
        <f t="shared" si="281"/>
        <v/>
      </c>
      <c r="AL1368" s="28"/>
      <c r="AM1368" s="28"/>
      <c r="AN1368" s="20" t="str">
        <f>IF(AL1368="","",IF($F1368="Bernardino Furlan",_xlfn.XLOOKUP(AL1368,Cadastros!$G$6:$G$90,Cadastros!$H$6:$H$90)*(1-0.18),IF($F1368="Mauro José Salanti",_xlfn.XLOOKUP(AL1368,Cadastros!$G$6:$G$90,Cadastros!$H$6:$H$90)*(1-0.18),_xlfn.XLOOKUP(AL1368,Cadastros!$G$6:$G$90,Cadastros!$H$6:$H$90))))</f>
        <v/>
      </c>
      <c r="AO1368" s="168" t="str">
        <f t="shared" si="282"/>
        <v/>
      </c>
      <c r="AP1368" s="168" t="str">
        <f t="shared" si="283"/>
        <v/>
      </c>
      <c r="AQ1368" s="28"/>
      <c r="AR1368" s="28"/>
      <c r="AS1368" s="20" t="str">
        <f>IF(AQ1368="","",IF($F1368="Bernardino Furlan",_xlfn.XLOOKUP(AQ1368,Cadastros!$G$6:$G$90,Cadastros!$H$6:$H$90)*(1-0.18),IF($F1368="Mauro José Salanti",_xlfn.XLOOKUP(AQ1368,Cadastros!$G$6:$G$90,Cadastros!$H$6:$H$90)*(1-0.18),_xlfn.XLOOKUP(AQ1368,Cadastros!$G$6:$G$90,Cadastros!$H$6:$H$90))))</f>
        <v/>
      </c>
      <c r="AT1368" s="168" t="str">
        <f t="shared" si="284"/>
        <v/>
      </c>
      <c r="AU1368" s="168" t="str">
        <f t="shared" si="285"/>
        <v/>
      </c>
      <c r="AV1368" s="227"/>
      <c r="AW1368" s="30"/>
      <c r="AX1368" s="267"/>
      <c r="AY1368" s="267"/>
      <c r="AZ1368" s="29"/>
      <c r="BA1368" s="30"/>
      <c r="BB1368" s="23" t="str" cm="1">
        <f t="array" ref="BB1368">_xlfn.IFS(AW1368="SIM",SUM(K1368,P1368,U1368,Z1368,AE1368,AJ1368,AO1368,AT1368,AX1368,AY1368),F1368&lt;&gt;"",SUM(K1368,P1368,U1368,Z1368,AE1368,AJ1368,,AO1368,AT1368),F1368="","")</f>
        <v/>
      </c>
      <c r="BC1368" s="211" t="str" cm="1">
        <f t="array" ref="BC1368">_xlfn.IFS(E1368="","",G1368&lt;=E1368,BB1368*(1-0.03),G1368&lt;(E1368+8),BB1368,AZ1368="Boleto",BB1368*(1+0.001)^DATEDIF(E1368,G1368,"D"),AZ1368="Cheque",BB1368,AZ1368="Dinheiro","Alterar forma pgto")</f>
        <v/>
      </c>
      <c r="BD1368" s="276" t="str" cm="1">
        <f t="array" ref="BD1368">IF(F1368=0," ",IF(BC1368&lt;BB1368,(_xlfn.IFS(AW1368="SIM",SUM(L1368,Q1368,V1368,AA1368,AF1368,AK1368,AP1368,AU1368)+AX1368/_xlfn.XLOOKUP(_xlfn.XLOOKUP($F1368,Clientes!$B$4:$B$39,Clientes!$C$4:$C$39),Cadastros!$L$6:$L$12,Cadastros!$M$6:$M$12)+IF($F1368="Bernardino Furlan",AY1368/2751.92,IF($F1368="Mauro José Salanti",AY1368/2751.92,AY1368/3356)),F1368&lt;&gt;0,SUM(L1368,Q1368,V1368,AA1368,AF1368,AK1368,AP1368,AU1368)))*(1-0.03),_xlfn.IFS(AW1368="SIM",SUM(L1368,Q1368,V1368,AA1368,AF1368,AK1368,AP1368,AU1368)+AX1368/_xlfn.XLOOKUP(_xlfn.XLOOKUP($F1368,Clientes!$B$4:$B$39,Clientes!$C$4:$C$39),Cadastros!$L$6:$L$12,Cadastros!$M$6:$M$12)+IF($F1368="Bernardino Furlan",AY1368/2751.92,IF($F1368="Mauro José Salanti",AY1368/2751.92,AY1368/3356)),F1368&lt;&gt;0,SUM(L1368,Q1368,V1368,AA1368,AF1368,AK1368,AP1368,AU1368))))</f>
        <v xml:space="preserve"> </v>
      </c>
      <c r="BE1368" s="120"/>
      <c r="BF1368" s="120"/>
      <c r="BG1368" s="120"/>
    </row>
    <row r="1369" spans="1:59" s="3" customFormat="1" x14ac:dyDescent="0.3">
      <c r="A1369" s="15" t="str">
        <f t="shared" si="273"/>
        <v/>
      </c>
      <c r="B1369" s="25"/>
      <c r="C1369" s="26"/>
      <c r="D1369" s="279"/>
      <c r="E1369" s="27"/>
      <c r="F1369" s="28"/>
      <c r="G1369" s="27"/>
      <c r="H1369" s="28"/>
      <c r="I1369" s="28"/>
      <c r="J1369" s="255" t="str">
        <f>IF(H1369="","",(_xlfn.XLOOKUP(H1369,Cadastros!$D$6:$D$90,Cadastros!$E$6:$E$90))*(1-_xlfn.XLOOKUP(_xlfn.XLOOKUP($F1369,Clientes!$B$4:$B$39,Clientes!$C$4:$C$39),Cadastros!$L$6:$L$12,Cadastros!$N$6:$N$12)))</f>
        <v/>
      </c>
      <c r="K1369" s="168" t="str">
        <f t="shared" si="274"/>
        <v/>
      </c>
      <c r="L1369" s="168" t="str">
        <f>IFERROR(K1369/_xlfn.XLOOKUP(_xlfn.XLOOKUP($F1369,Clientes!$B$4:$B$39,Clientes!$C$4:$C$39),Cadastros!$L$6:$L$12,Cadastros!$M$6:$M$12)," ")</f>
        <v xml:space="preserve"> </v>
      </c>
      <c r="M1369" s="28"/>
      <c r="N1369" s="28"/>
      <c r="O1369" s="255" t="str">
        <f>IF(M1369="","",(_xlfn.XLOOKUP(M1369,Cadastros!$D$6:$D$90,Cadastros!$E$6:$E$90))*(1-_xlfn.XLOOKUP(_xlfn.XLOOKUP($F1369,Clientes!$B$4:$B$39,Clientes!$C$4:$C$39),Cadastros!$L$6:$L$12,Cadastros!$N$6:$N$12)))</f>
        <v/>
      </c>
      <c r="P1369" s="168" t="str">
        <f t="shared" si="275"/>
        <v/>
      </c>
      <c r="Q1369" s="168" t="str">
        <f>IFERROR(P1369/_xlfn.XLOOKUP(_xlfn.XLOOKUP($F1369,Clientes!$B$4:$B$39,Clientes!$C$4:$C$39),Cadastros!$L$6:$L$12,Cadastros!$M$6:$M$12)," ")</f>
        <v xml:space="preserve"> </v>
      </c>
      <c r="R1369" s="28"/>
      <c r="S1369" s="28"/>
      <c r="T1369" s="255" t="str">
        <f>IF(R1369="","",(_xlfn.XLOOKUP(R1369,Cadastros!$D$6:$D$90,Cadastros!$E$6:$E$90))*(1-_xlfn.XLOOKUP(_xlfn.XLOOKUP($F1369,Clientes!$B$4:$B$39,Clientes!$C$4:$C$39),Cadastros!$L$6:$L$12,Cadastros!$N$6:$N$12)))</f>
        <v/>
      </c>
      <c r="U1369" s="168" t="str">
        <f t="shared" si="276"/>
        <v/>
      </c>
      <c r="V1369" s="168" t="str">
        <f>IFERROR(U1369/_xlfn.XLOOKUP(_xlfn.XLOOKUP($F1369,Clientes!$B$4:$B$39,Clientes!$C$4:$C$39),Cadastros!$L$6:$L$12,Cadastros!$M$6:$M$12)," ")</f>
        <v xml:space="preserve"> </v>
      </c>
      <c r="W1369" s="28"/>
      <c r="X1369" s="28"/>
      <c r="Y1369" s="255" t="str">
        <f>IF(W1369="","",(_xlfn.XLOOKUP(W1369,Cadastros!$D$6:$D$90,Cadastros!$E$6:$E$90))*(1-_xlfn.XLOOKUP(_xlfn.XLOOKUP($F1369,Clientes!$B$4:$B$39,Clientes!$C$4:$C$39),Cadastros!$L$6:$L$12,Cadastros!$N$6:$N$12)))</f>
        <v/>
      </c>
      <c r="Z1369" s="168" t="str">
        <f t="shared" si="277"/>
        <v/>
      </c>
      <c r="AA1369" s="168" t="str">
        <f>IFERROR(Z1369/_xlfn.XLOOKUP(_xlfn.XLOOKUP($F1369,Clientes!$B$4:$B$39,Clientes!$C$4:$C$39),Cadastros!$L$6:$L$12,Cadastros!$M$6:$M$12)," ")</f>
        <v xml:space="preserve"> </v>
      </c>
      <c r="AB1369" s="28"/>
      <c r="AC1369" s="28"/>
      <c r="AD1369" s="20" t="str">
        <f>IF(AB1369="","",IF($F1369="Bernardino Furlan",_xlfn.XLOOKUP(AB1369,Cadastros!$G$6:$G$90,Cadastros!$H$6:$H$90)*(1-0.18),IF($F1369="Mauro José Salanti",_xlfn.XLOOKUP(AB1369,Cadastros!$G$6:$G$90,Cadastros!$H$6:$H$90)*(1-0.18),_xlfn.XLOOKUP(AB1369,Cadastros!$G$6:$G$90,Cadastros!$H$6:$H$90))))</f>
        <v/>
      </c>
      <c r="AE1369" s="168" t="str">
        <f t="shared" si="278"/>
        <v/>
      </c>
      <c r="AF1369" s="168" t="str">
        <f t="shared" si="279"/>
        <v/>
      </c>
      <c r="AG1369" s="28"/>
      <c r="AH1369" s="28"/>
      <c r="AI1369" s="20" t="str">
        <f>IF(AG1369="","",IF($F1369="Bernardino Furlan",_xlfn.XLOOKUP(AG1369,Cadastros!$G$6:$G$90,Cadastros!$H$6:$H$90)*(1-0.18),IF($F1369="Mauro José Salanti",_xlfn.XLOOKUP(AG1369,Cadastros!$G$6:$G$90,Cadastros!$H$6:$H$90)*(1-0.18),_xlfn.XLOOKUP(AG1369,Cadastros!$G$6:$G$90,Cadastros!$H$6:$H$90))))</f>
        <v/>
      </c>
      <c r="AJ1369" s="168" t="str">
        <f t="shared" si="280"/>
        <v/>
      </c>
      <c r="AK1369" s="168" t="str">
        <f t="shared" si="281"/>
        <v/>
      </c>
      <c r="AL1369" s="28"/>
      <c r="AM1369" s="28"/>
      <c r="AN1369" s="20" t="str">
        <f>IF(AL1369="","",IF($F1369="Bernardino Furlan",_xlfn.XLOOKUP(AL1369,Cadastros!$G$6:$G$90,Cadastros!$H$6:$H$90)*(1-0.18),IF($F1369="Mauro José Salanti",_xlfn.XLOOKUP(AL1369,Cadastros!$G$6:$G$90,Cadastros!$H$6:$H$90)*(1-0.18),_xlfn.XLOOKUP(AL1369,Cadastros!$G$6:$G$90,Cadastros!$H$6:$H$90))))</f>
        <v/>
      </c>
      <c r="AO1369" s="168" t="str">
        <f t="shared" si="282"/>
        <v/>
      </c>
      <c r="AP1369" s="168" t="str">
        <f t="shared" si="283"/>
        <v/>
      </c>
      <c r="AQ1369" s="28"/>
      <c r="AR1369" s="28"/>
      <c r="AS1369" s="20" t="str">
        <f>IF(AQ1369="","",IF($F1369="Bernardino Furlan",_xlfn.XLOOKUP(AQ1369,Cadastros!$G$6:$G$90,Cadastros!$H$6:$H$90)*(1-0.18),IF($F1369="Mauro José Salanti",_xlfn.XLOOKUP(AQ1369,Cadastros!$G$6:$G$90,Cadastros!$H$6:$H$90)*(1-0.18),_xlfn.XLOOKUP(AQ1369,Cadastros!$G$6:$G$90,Cadastros!$H$6:$H$90))))</f>
        <v/>
      </c>
      <c r="AT1369" s="168" t="str">
        <f t="shared" si="284"/>
        <v/>
      </c>
      <c r="AU1369" s="168" t="str">
        <f t="shared" si="285"/>
        <v/>
      </c>
      <c r="AV1369" s="227"/>
      <c r="AW1369" s="30"/>
      <c r="AX1369" s="267"/>
      <c r="AY1369" s="267"/>
      <c r="AZ1369" s="29"/>
      <c r="BA1369" s="30"/>
      <c r="BB1369" s="23" t="str" cm="1">
        <f t="array" ref="BB1369">_xlfn.IFS(AW1369="SIM",SUM(K1369,P1369,U1369,Z1369,AE1369,AJ1369,AO1369,AT1369,AX1369,AY1369),F1369&lt;&gt;"",SUM(K1369,P1369,U1369,Z1369,AE1369,AJ1369,,AO1369,AT1369),F1369="","")</f>
        <v/>
      </c>
      <c r="BC1369" s="211" t="str" cm="1">
        <f t="array" ref="BC1369">_xlfn.IFS(E1369="","",G1369&lt;=E1369,BB1369*(1-0.03),G1369&lt;(E1369+8),BB1369,AZ1369="Boleto",BB1369*(1+0.001)^DATEDIF(E1369,G1369,"D"),AZ1369="Cheque",BB1369,AZ1369="Dinheiro","Alterar forma pgto")</f>
        <v/>
      </c>
      <c r="BD1369" s="276" t="str" cm="1">
        <f t="array" ref="BD1369">IF(F1369=0," ",IF(BC1369&lt;BB1369,(_xlfn.IFS(AW1369="SIM",SUM(L1369,Q1369,V1369,AA1369,AF1369,AK1369,AP1369,AU1369)+AX1369/_xlfn.XLOOKUP(_xlfn.XLOOKUP($F1369,Clientes!$B$4:$B$39,Clientes!$C$4:$C$39),Cadastros!$L$6:$L$12,Cadastros!$M$6:$M$12)+IF($F1369="Bernardino Furlan",AY1369/2751.92,IF($F1369="Mauro José Salanti",AY1369/2751.92,AY1369/3356)),F1369&lt;&gt;0,SUM(L1369,Q1369,V1369,AA1369,AF1369,AK1369,AP1369,AU1369)))*(1-0.03),_xlfn.IFS(AW1369="SIM",SUM(L1369,Q1369,V1369,AA1369,AF1369,AK1369,AP1369,AU1369)+AX1369/_xlfn.XLOOKUP(_xlfn.XLOOKUP($F1369,Clientes!$B$4:$B$39,Clientes!$C$4:$C$39),Cadastros!$L$6:$L$12,Cadastros!$M$6:$M$12)+IF($F1369="Bernardino Furlan",AY1369/2751.92,IF($F1369="Mauro José Salanti",AY1369/2751.92,AY1369/3356)),F1369&lt;&gt;0,SUM(L1369,Q1369,V1369,AA1369,AF1369,AK1369,AP1369,AU1369))))</f>
        <v xml:space="preserve"> </v>
      </c>
      <c r="BE1369" s="120"/>
      <c r="BF1369" s="120"/>
      <c r="BG1369" s="120"/>
    </row>
    <row r="1370" spans="1:59" s="3" customFormat="1" x14ac:dyDescent="0.3">
      <c r="A1370" s="15" t="str">
        <f t="shared" si="273"/>
        <v/>
      </c>
      <c r="B1370" s="25"/>
      <c r="C1370" s="26"/>
      <c r="D1370" s="279"/>
      <c r="E1370" s="27"/>
      <c r="F1370" s="28"/>
      <c r="G1370" s="27"/>
      <c r="H1370" s="28"/>
      <c r="I1370" s="28"/>
      <c r="J1370" s="255" t="str">
        <f>IF(H1370="","",(_xlfn.XLOOKUP(H1370,Cadastros!$D$6:$D$90,Cadastros!$E$6:$E$90))*(1-_xlfn.XLOOKUP(_xlfn.XLOOKUP($F1370,Clientes!$B$4:$B$39,Clientes!$C$4:$C$39),Cadastros!$L$6:$L$12,Cadastros!$N$6:$N$12)))</f>
        <v/>
      </c>
      <c r="K1370" s="168" t="str">
        <f t="shared" si="274"/>
        <v/>
      </c>
      <c r="L1370" s="168" t="str">
        <f>IFERROR(K1370/_xlfn.XLOOKUP(_xlfn.XLOOKUP($F1370,Clientes!$B$4:$B$39,Clientes!$C$4:$C$39),Cadastros!$L$6:$L$12,Cadastros!$M$6:$M$12)," ")</f>
        <v xml:space="preserve"> </v>
      </c>
      <c r="M1370" s="28"/>
      <c r="N1370" s="28"/>
      <c r="O1370" s="255" t="str">
        <f>IF(M1370="","",(_xlfn.XLOOKUP(M1370,Cadastros!$D$6:$D$90,Cadastros!$E$6:$E$90))*(1-_xlfn.XLOOKUP(_xlfn.XLOOKUP($F1370,Clientes!$B$4:$B$39,Clientes!$C$4:$C$39),Cadastros!$L$6:$L$12,Cadastros!$N$6:$N$12)))</f>
        <v/>
      </c>
      <c r="P1370" s="168" t="str">
        <f t="shared" si="275"/>
        <v/>
      </c>
      <c r="Q1370" s="168" t="str">
        <f>IFERROR(P1370/_xlfn.XLOOKUP(_xlfn.XLOOKUP($F1370,Clientes!$B$4:$B$39,Clientes!$C$4:$C$39),Cadastros!$L$6:$L$12,Cadastros!$M$6:$M$12)," ")</f>
        <v xml:space="preserve"> </v>
      </c>
      <c r="R1370" s="28"/>
      <c r="S1370" s="28"/>
      <c r="T1370" s="255" t="str">
        <f>IF(R1370="","",(_xlfn.XLOOKUP(R1370,Cadastros!$D$6:$D$90,Cadastros!$E$6:$E$90))*(1-_xlfn.XLOOKUP(_xlfn.XLOOKUP($F1370,Clientes!$B$4:$B$39,Clientes!$C$4:$C$39),Cadastros!$L$6:$L$12,Cadastros!$N$6:$N$12)))</f>
        <v/>
      </c>
      <c r="U1370" s="168" t="str">
        <f t="shared" si="276"/>
        <v/>
      </c>
      <c r="V1370" s="168" t="str">
        <f>IFERROR(U1370/_xlfn.XLOOKUP(_xlfn.XLOOKUP($F1370,Clientes!$B$4:$B$39,Clientes!$C$4:$C$39),Cadastros!$L$6:$L$12,Cadastros!$M$6:$M$12)," ")</f>
        <v xml:space="preserve"> </v>
      </c>
      <c r="W1370" s="28"/>
      <c r="X1370" s="28"/>
      <c r="Y1370" s="255" t="str">
        <f>IF(W1370="","",(_xlfn.XLOOKUP(W1370,Cadastros!$D$6:$D$90,Cadastros!$E$6:$E$90))*(1-_xlfn.XLOOKUP(_xlfn.XLOOKUP($F1370,Clientes!$B$4:$B$39,Clientes!$C$4:$C$39),Cadastros!$L$6:$L$12,Cadastros!$N$6:$N$12)))</f>
        <v/>
      </c>
      <c r="Z1370" s="168" t="str">
        <f t="shared" si="277"/>
        <v/>
      </c>
      <c r="AA1370" s="168" t="str">
        <f>IFERROR(Z1370/_xlfn.XLOOKUP(_xlfn.XLOOKUP($F1370,Clientes!$B$4:$B$39,Clientes!$C$4:$C$39),Cadastros!$L$6:$L$12,Cadastros!$M$6:$M$12)," ")</f>
        <v xml:space="preserve"> </v>
      </c>
      <c r="AB1370" s="28"/>
      <c r="AC1370" s="28"/>
      <c r="AD1370" s="20" t="str">
        <f>IF(AB1370="","",IF($F1370="Bernardino Furlan",_xlfn.XLOOKUP(AB1370,Cadastros!$G$6:$G$90,Cadastros!$H$6:$H$90)*(1-0.18),IF($F1370="Mauro José Salanti",_xlfn.XLOOKUP(AB1370,Cadastros!$G$6:$G$90,Cadastros!$H$6:$H$90)*(1-0.18),_xlfn.XLOOKUP(AB1370,Cadastros!$G$6:$G$90,Cadastros!$H$6:$H$90))))</f>
        <v/>
      </c>
      <c r="AE1370" s="168" t="str">
        <f t="shared" si="278"/>
        <v/>
      </c>
      <c r="AF1370" s="168" t="str">
        <f t="shared" si="279"/>
        <v/>
      </c>
      <c r="AG1370" s="28"/>
      <c r="AH1370" s="28"/>
      <c r="AI1370" s="20" t="str">
        <f>IF(AG1370="","",IF($F1370="Bernardino Furlan",_xlfn.XLOOKUP(AG1370,Cadastros!$G$6:$G$90,Cadastros!$H$6:$H$90)*(1-0.18),IF($F1370="Mauro José Salanti",_xlfn.XLOOKUP(AG1370,Cadastros!$G$6:$G$90,Cadastros!$H$6:$H$90)*(1-0.18),_xlfn.XLOOKUP(AG1370,Cadastros!$G$6:$G$90,Cadastros!$H$6:$H$90))))</f>
        <v/>
      </c>
      <c r="AJ1370" s="168" t="str">
        <f t="shared" si="280"/>
        <v/>
      </c>
      <c r="AK1370" s="168" t="str">
        <f t="shared" si="281"/>
        <v/>
      </c>
      <c r="AL1370" s="28"/>
      <c r="AM1370" s="28"/>
      <c r="AN1370" s="20" t="str">
        <f>IF(AL1370="","",IF($F1370="Bernardino Furlan",_xlfn.XLOOKUP(AL1370,Cadastros!$G$6:$G$90,Cadastros!$H$6:$H$90)*(1-0.18),IF($F1370="Mauro José Salanti",_xlfn.XLOOKUP(AL1370,Cadastros!$G$6:$G$90,Cadastros!$H$6:$H$90)*(1-0.18),_xlfn.XLOOKUP(AL1370,Cadastros!$G$6:$G$90,Cadastros!$H$6:$H$90))))</f>
        <v/>
      </c>
      <c r="AO1370" s="168" t="str">
        <f t="shared" si="282"/>
        <v/>
      </c>
      <c r="AP1370" s="168" t="str">
        <f t="shared" si="283"/>
        <v/>
      </c>
      <c r="AQ1370" s="28"/>
      <c r="AR1370" s="28"/>
      <c r="AS1370" s="20" t="str">
        <f>IF(AQ1370="","",IF($F1370="Bernardino Furlan",_xlfn.XLOOKUP(AQ1370,Cadastros!$G$6:$G$90,Cadastros!$H$6:$H$90)*(1-0.18),IF($F1370="Mauro José Salanti",_xlfn.XLOOKUP(AQ1370,Cadastros!$G$6:$G$90,Cadastros!$H$6:$H$90)*(1-0.18),_xlfn.XLOOKUP(AQ1370,Cadastros!$G$6:$G$90,Cadastros!$H$6:$H$90))))</f>
        <v/>
      </c>
      <c r="AT1370" s="168" t="str">
        <f t="shared" si="284"/>
        <v/>
      </c>
      <c r="AU1370" s="168" t="str">
        <f t="shared" si="285"/>
        <v/>
      </c>
      <c r="AV1370" s="227"/>
      <c r="AW1370" s="30"/>
      <c r="AX1370" s="267"/>
      <c r="AY1370" s="267"/>
      <c r="AZ1370" s="29"/>
      <c r="BA1370" s="30"/>
      <c r="BB1370" s="23" t="str" cm="1">
        <f t="array" ref="BB1370">_xlfn.IFS(AW1370="SIM",SUM(K1370,P1370,U1370,Z1370,AE1370,AJ1370,AO1370,AT1370,AX1370,AY1370),F1370&lt;&gt;"",SUM(K1370,P1370,U1370,Z1370,AE1370,AJ1370,,AO1370,AT1370),F1370="","")</f>
        <v/>
      </c>
      <c r="BC1370" s="211" t="str" cm="1">
        <f t="array" ref="BC1370">_xlfn.IFS(E1370="","",G1370&lt;=E1370,BB1370*(1-0.03),G1370&lt;(E1370+8),BB1370,AZ1370="Boleto",BB1370*(1+0.001)^DATEDIF(E1370,G1370,"D"),AZ1370="Cheque",BB1370,AZ1370="Dinheiro","Alterar forma pgto")</f>
        <v/>
      </c>
      <c r="BD1370" s="276" t="str" cm="1">
        <f t="array" ref="BD1370">IF(F1370=0," ",IF(BC1370&lt;BB1370,(_xlfn.IFS(AW1370="SIM",SUM(L1370,Q1370,V1370,AA1370,AF1370,AK1370,AP1370,AU1370)+AX1370/_xlfn.XLOOKUP(_xlfn.XLOOKUP($F1370,Clientes!$B$4:$B$39,Clientes!$C$4:$C$39),Cadastros!$L$6:$L$12,Cadastros!$M$6:$M$12)+IF($F1370="Bernardino Furlan",AY1370/2751.92,IF($F1370="Mauro José Salanti",AY1370/2751.92,AY1370/3356)),F1370&lt;&gt;0,SUM(L1370,Q1370,V1370,AA1370,AF1370,AK1370,AP1370,AU1370)))*(1-0.03),_xlfn.IFS(AW1370="SIM",SUM(L1370,Q1370,V1370,AA1370,AF1370,AK1370,AP1370,AU1370)+AX1370/_xlfn.XLOOKUP(_xlfn.XLOOKUP($F1370,Clientes!$B$4:$B$39,Clientes!$C$4:$C$39),Cadastros!$L$6:$L$12,Cadastros!$M$6:$M$12)+IF($F1370="Bernardino Furlan",AY1370/2751.92,IF($F1370="Mauro José Salanti",AY1370/2751.92,AY1370/3356)),F1370&lt;&gt;0,SUM(L1370,Q1370,V1370,AA1370,AF1370,AK1370,AP1370,AU1370))))</f>
        <v xml:space="preserve"> </v>
      </c>
      <c r="BE1370" s="120"/>
      <c r="BF1370" s="120"/>
      <c r="BG1370" s="120"/>
    </row>
    <row r="1371" spans="1:59" s="3" customFormat="1" x14ac:dyDescent="0.3">
      <c r="A1371" s="15" t="str">
        <f t="shared" si="273"/>
        <v/>
      </c>
      <c r="B1371" s="25"/>
      <c r="C1371" s="26"/>
      <c r="D1371" s="279"/>
      <c r="E1371" s="27"/>
      <c r="F1371" s="28"/>
      <c r="G1371" s="27"/>
      <c r="H1371" s="28"/>
      <c r="I1371" s="28"/>
      <c r="J1371" s="255" t="str">
        <f>IF(H1371="","",(_xlfn.XLOOKUP(H1371,Cadastros!$D$6:$D$90,Cadastros!$E$6:$E$90))*(1-_xlfn.XLOOKUP(_xlfn.XLOOKUP($F1371,Clientes!$B$4:$B$39,Clientes!$C$4:$C$39),Cadastros!$L$6:$L$12,Cadastros!$N$6:$N$12)))</f>
        <v/>
      </c>
      <c r="K1371" s="168" t="str">
        <f t="shared" si="274"/>
        <v/>
      </c>
      <c r="L1371" s="168" t="str">
        <f>IFERROR(K1371/_xlfn.XLOOKUP(_xlfn.XLOOKUP($F1371,Clientes!$B$4:$B$39,Clientes!$C$4:$C$39),Cadastros!$L$6:$L$12,Cadastros!$M$6:$M$12)," ")</f>
        <v xml:space="preserve"> </v>
      </c>
      <c r="M1371" s="28"/>
      <c r="N1371" s="28"/>
      <c r="O1371" s="255" t="str">
        <f>IF(M1371="","",(_xlfn.XLOOKUP(M1371,Cadastros!$D$6:$D$90,Cadastros!$E$6:$E$90))*(1-_xlfn.XLOOKUP(_xlfn.XLOOKUP($F1371,Clientes!$B$4:$B$39,Clientes!$C$4:$C$39),Cadastros!$L$6:$L$12,Cadastros!$N$6:$N$12)))</f>
        <v/>
      </c>
      <c r="P1371" s="168" t="str">
        <f t="shared" si="275"/>
        <v/>
      </c>
      <c r="Q1371" s="168" t="str">
        <f>IFERROR(P1371/_xlfn.XLOOKUP(_xlfn.XLOOKUP($F1371,Clientes!$B$4:$B$39,Clientes!$C$4:$C$39),Cadastros!$L$6:$L$12,Cadastros!$M$6:$M$12)," ")</f>
        <v xml:space="preserve"> </v>
      </c>
      <c r="R1371" s="28"/>
      <c r="S1371" s="28"/>
      <c r="T1371" s="255" t="str">
        <f>IF(R1371="","",(_xlfn.XLOOKUP(R1371,Cadastros!$D$6:$D$90,Cadastros!$E$6:$E$90))*(1-_xlfn.XLOOKUP(_xlfn.XLOOKUP($F1371,Clientes!$B$4:$B$39,Clientes!$C$4:$C$39),Cadastros!$L$6:$L$12,Cadastros!$N$6:$N$12)))</f>
        <v/>
      </c>
      <c r="U1371" s="168" t="str">
        <f t="shared" si="276"/>
        <v/>
      </c>
      <c r="V1371" s="168" t="str">
        <f>IFERROR(U1371/_xlfn.XLOOKUP(_xlfn.XLOOKUP($F1371,Clientes!$B$4:$B$39,Clientes!$C$4:$C$39),Cadastros!$L$6:$L$12,Cadastros!$M$6:$M$12)," ")</f>
        <v xml:space="preserve"> </v>
      </c>
      <c r="W1371" s="28"/>
      <c r="X1371" s="28"/>
      <c r="Y1371" s="255" t="str">
        <f>IF(W1371="","",(_xlfn.XLOOKUP(W1371,Cadastros!$D$6:$D$90,Cadastros!$E$6:$E$90))*(1-_xlfn.XLOOKUP(_xlfn.XLOOKUP($F1371,Clientes!$B$4:$B$39,Clientes!$C$4:$C$39),Cadastros!$L$6:$L$12,Cadastros!$N$6:$N$12)))</f>
        <v/>
      </c>
      <c r="Z1371" s="168" t="str">
        <f t="shared" si="277"/>
        <v/>
      </c>
      <c r="AA1371" s="168" t="str">
        <f>IFERROR(Z1371/_xlfn.XLOOKUP(_xlfn.XLOOKUP($F1371,Clientes!$B$4:$B$39,Clientes!$C$4:$C$39),Cadastros!$L$6:$L$12,Cadastros!$M$6:$M$12)," ")</f>
        <v xml:space="preserve"> </v>
      </c>
      <c r="AB1371" s="28"/>
      <c r="AC1371" s="28"/>
      <c r="AD1371" s="20" t="str">
        <f>IF(AB1371="","",IF($F1371="Bernardino Furlan",_xlfn.XLOOKUP(AB1371,Cadastros!$G$6:$G$90,Cadastros!$H$6:$H$90)*(1-0.18),IF($F1371="Mauro José Salanti",_xlfn.XLOOKUP(AB1371,Cadastros!$G$6:$G$90,Cadastros!$H$6:$H$90)*(1-0.18),_xlfn.XLOOKUP(AB1371,Cadastros!$G$6:$G$90,Cadastros!$H$6:$H$90))))</f>
        <v/>
      </c>
      <c r="AE1371" s="168" t="str">
        <f t="shared" si="278"/>
        <v/>
      </c>
      <c r="AF1371" s="168" t="str">
        <f t="shared" si="279"/>
        <v/>
      </c>
      <c r="AG1371" s="28"/>
      <c r="AH1371" s="28"/>
      <c r="AI1371" s="20" t="str">
        <f>IF(AG1371="","",IF($F1371="Bernardino Furlan",_xlfn.XLOOKUP(AG1371,Cadastros!$G$6:$G$90,Cadastros!$H$6:$H$90)*(1-0.18),IF($F1371="Mauro José Salanti",_xlfn.XLOOKUP(AG1371,Cadastros!$G$6:$G$90,Cadastros!$H$6:$H$90)*(1-0.18),_xlfn.XLOOKUP(AG1371,Cadastros!$G$6:$G$90,Cadastros!$H$6:$H$90))))</f>
        <v/>
      </c>
      <c r="AJ1371" s="168" t="str">
        <f t="shared" si="280"/>
        <v/>
      </c>
      <c r="AK1371" s="168" t="str">
        <f t="shared" si="281"/>
        <v/>
      </c>
      <c r="AL1371" s="28"/>
      <c r="AM1371" s="28"/>
      <c r="AN1371" s="20" t="str">
        <f>IF(AL1371="","",IF($F1371="Bernardino Furlan",_xlfn.XLOOKUP(AL1371,Cadastros!$G$6:$G$90,Cadastros!$H$6:$H$90)*(1-0.18),IF($F1371="Mauro José Salanti",_xlfn.XLOOKUP(AL1371,Cadastros!$G$6:$G$90,Cadastros!$H$6:$H$90)*(1-0.18),_xlfn.XLOOKUP(AL1371,Cadastros!$G$6:$G$90,Cadastros!$H$6:$H$90))))</f>
        <v/>
      </c>
      <c r="AO1371" s="168" t="str">
        <f t="shared" si="282"/>
        <v/>
      </c>
      <c r="AP1371" s="168" t="str">
        <f t="shared" si="283"/>
        <v/>
      </c>
      <c r="AQ1371" s="28"/>
      <c r="AR1371" s="28"/>
      <c r="AS1371" s="20" t="str">
        <f>IF(AQ1371="","",IF($F1371="Bernardino Furlan",_xlfn.XLOOKUP(AQ1371,Cadastros!$G$6:$G$90,Cadastros!$H$6:$H$90)*(1-0.18),IF($F1371="Mauro José Salanti",_xlfn.XLOOKUP(AQ1371,Cadastros!$G$6:$G$90,Cadastros!$H$6:$H$90)*(1-0.18),_xlfn.XLOOKUP(AQ1371,Cadastros!$G$6:$G$90,Cadastros!$H$6:$H$90))))</f>
        <v/>
      </c>
      <c r="AT1371" s="168" t="str">
        <f t="shared" si="284"/>
        <v/>
      </c>
      <c r="AU1371" s="168" t="str">
        <f t="shared" si="285"/>
        <v/>
      </c>
      <c r="AV1371" s="227"/>
      <c r="AW1371" s="30"/>
      <c r="AX1371" s="267"/>
      <c r="AY1371" s="267"/>
      <c r="AZ1371" s="29"/>
      <c r="BA1371" s="30"/>
      <c r="BB1371" s="23" t="str" cm="1">
        <f t="array" ref="BB1371">_xlfn.IFS(AW1371="SIM",SUM(K1371,P1371,U1371,Z1371,AE1371,AJ1371,AO1371,AT1371,AX1371,AY1371),F1371&lt;&gt;"",SUM(K1371,P1371,U1371,Z1371,AE1371,AJ1371,,AO1371,AT1371),F1371="","")</f>
        <v/>
      </c>
      <c r="BC1371" s="211" t="str" cm="1">
        <f t="array" ref="BC1371">_xlfn.IFS(E1371="","",G1371&lt;=E1371,BB1371*(1-0.03),G1371&lt;(E1371+8),BB1371,AZ1371="Boleto",BB1371*(1+0.001)^DATEDIF(E1371,G1371,"D"),AZ1371="Cheque",BB1371,AZ1371="Dinheiro","Alterar forma pgto")</f>
        <v/>
      </c>
      <c r="BD1371" s="276" t="str" cm="1">
        <f t="array" ref="BD1371">IF(F1371=0," ",IF(BC1371&lt;BB1371,(_xlfn.IFS(AW1371="SIM",SUM(L1371,Q1371,V1371,AA1371,AF1371,AK1371,AP1371,AU1371)+AX1371/_xlfn.XLOOKUP(_xlfn.XLOOKUP($F1371,Clientes!$B$4:$B$39,Clientes!$C$4:$C$39),Cadastros!$L$6:$L$12,Cadastros!$M$6:$M$12)+IF($F1371="Bernardino Furlan",AY1371/2751.92,IF($F1371="Mauro José Salanti",AY1371/2751.92,AY1371/3356)),F1371&lt;&gt;0,SUM(L1371,Q1371,V1371,AA1371,AF1371,AK1371,AP1371,AU1371)))*(1-0.03),_xlfn.IFS(AW1371="SIM",SUM(L1371,Q1371,V1371,AA1371,AF1371,AK1371,AP1371,AU1371)+AX1371/_xlfn.XLOOKUP(_xlfn.XLOOKUP($F1371,Clientes!$B$4:$B$39,Clientes!$C$4:$C$39),Cadastros!$L$6:$L$12,Cadastros!$M$6:$M$12)+IF($F1371="Bernardino Furlan",AY1371/2751.92,IF($F1371="Mauro José Salanti",AY1371/2751.92,AY1371/3356)),F1371&lt;&gt;0,SUM(L1371,Q1371,V1371,AA1371,AF1371,AK1371,AP1371,AU1371))))</f>
        <v xml:space="preserve"> </v>
      </c>
      <c r="BE1371" s="120"/>
      <c r="BF1371" s="120"/>
      <c r="BG1371" s="120"/>
    </row>
    <row r="1372" spans="1:59" s="3" customFormat="1" x14ac:dyDescent="0.3">
      <c r="A1372" s="15" t="str">
        <f t="shared" si="273"/>
        <v/>
      </c>
      <c r="B1372" s="25"/>
      <c r="C1372" s="26"/>
      <c r="D1372" s="279"/>
      <c r="E1372" s="27"/>
      <c r="F1372" s="28"/>
      <c r="G1372" s="27"/>
      <c r="H1372" s="28"/>
      <c r="I1372" s="28"/>
      <c r="J1372" s="255" t="str">
        <f>IF(H1372="","",(_xlfn.XLOOKUP(H1372,Cadastros!$D$6:$D$90,Cadastros!$E$6:$E$90))*(1-_xlfn.XLOOKUP(_xlfn.XLOOKUP($F1372,Clientes!$B$4:$B$39,Clientes!$C$4:$C$39),Cadastros!$L$6:$L$12,Cadastros!$N$6:$N$12)))</f>
        <v/>
      </c>
      <c r="K1372" s="168" t="str">
        <f t="shared" si="274"/>
        <v/>
      </c>
      <c r="L1372" s="168" t="str">
        <f>IFERROR(K1372/_xlfn.XLOOKUP(_xlfn.XLOOKUP($F1372,Clientes!$B$4:$B$39,Clientes!$C$4:$C$39),Cadastros!$L$6:$L$12,Cadastros!$M$6:$M$12)," ")</f>
        <v xml:space="preserve"> </v>
      </c>
      <c r="M1372" s="28"/>
      <c r="N1372" s="28"/>
      <c r="O1372" s="255" t="str">
        <f>IF(M1372="","",(_xlfn.XLOOKUP(M1372,Cadastros!$D$6:$D$90,Cadastros!$E$6:$E$90))*(1-_xlfn.XLOOKUP(_xlfn.XLOOKUP($F1372,Clientes!$B$4:$B$39,Clientes!$C$4:$C$39),Cadastros!$L$6:$L$12,Cadastros!$N$6:$N$12)))</f>
        <v/>
      </c>
      <c r="P1372" s="168" t="str">
        <f t="shared" si="275"/>
        <v/>
      </c>
      <c r="Q1372" s="168" t="str">
        <f>IFERROR(P1372/_xlfn.XLOOKUP(_xlfn.XLOOKUP($F1372,Clientes!$B$4:$B$39,Clientes!$C$4:$C$39),Cadastros!$L$6:$L$12,Cadastros!$M$6:$M$12)," ")</f>
        <v xml:space="preserve"> </v>
      </c>
      <c r="R1372" s="28"/>
      <c r="S1372" s="28"/>
      <c r="T1372" s="255" t="str">
        <f>IF(R1372="","",(_xlfn.XLOOKUP(R1372,Cadastros!$D$6:$D$90,Cadastros!$E$6:$E$90))*(1-_xlfn.XLOOKUP(_xlfn.XLOOKUP($F1372,Clientes!$B$4:$B$39,Clientes!$C$4:$C$39),Cadastros!$L$6:$L$12,Cadastros!$N$6:$N$12)))</f>
        <v/>
      </c>
      <c r="U1372" s="168" t="str">
        <f t="shared" si="276"/>
        <v/>
      </c>
      <c r="V1372" s="168" t="str">
        <f>IFERROR(U1372/_xlfn.XLOOKUP(_xlfn.XLOOKUP($F1372,Clientes!$B$4:$B$39,Clientes!$C$4:$C$39),Cadastros!$L$6:$L$12,Cadastros!$M$6:$M$12)," ")</f>
        <v xml:space="preserve"> </v>
      </c>
      <c r="W1372" s="28"/>
      <c r="X1372" s="28"/>
      <c r="Y1372" s="255" t="str">
        <f>IF(W1372="","",(_xlfn.XLOOKUP(W1372,Cadastros!$D$6:$D$90,Cadastros!$E$6:$E$90))*(1-_xlfn.XLOOKUP(_xlfn.XLOOKUP($F1372,Clientes!$B$4:$B$39,Clientes!$C$4:$C$39),Cadastros!$L$6:$L$12,Cadastros!$N$6:$N$12)))</f>
        <v/>
      </c>
      <c r="Z1372" s="168" t="str">
        <f t="shared" si="277"/>
        <v/>
      </c>
      <c r="AA1372" s="168" t="str">
        <f>IFERROR(Z1372/_xlfn.XLOOKUP(_xlfn.XLOOKUP($F1372,Clientes!$B$4:$B$39,Clientes!$C$4:$C$39),Cadastros!$L$6:$L$12,Cadastros!$M$6:$M$12)," ")</f>
        <v xml:space="preserve"> </v>
      </c>
      <c r="AB1372" s="28"/>
      <c r="AC1372" s="28"/>
      <c r="AD1372" s="20" t="str">
        <f>IF(AB1372="","",IF($F1372="Bernardino Furlan",_xlfn.XLOOKUP(AB1372,Cadastros!$G$6:$G$90,Cadastros!$H$6:$H$90)*(1-0.18),IF($F1372="Mauro José Salanti",_xlfn.XLOOKUP(AB1372,Cadastros!$G$6:$G$90,Cadastros!$H$6:$H$90)*(1-0.18),_xlfn.XLOOKUP(AB1372,Cadastros!$G$6:$G$90,Cadastros!$H$6:$H$90))))</f>
        <v/>
      </c>
      <c r="AE1372" s="168" t="str">
        <f t="shared" si="278"/>
        <v/>
      </c>
      <c r="AF1372" s="168" t="str">
        <f t="shared" si="279"/>
        <v/>
      </c>
      <c r="AG1372" s="28"/>
      <c r="AH1372" s="28"/>
      <c r="AI1372" s="20" t="str">
        <f>IF(AG1372="","",IF($F1372="Bernardino Furlan",_xlfn.XLOOKUP(AG1372,Cadastros!$G$6:$G$90,Cadastros!$H$6:$H$90)*(1-0.18),IF($F1372="Mauro José Salanti",_xlfn.XLOOKUP(AG1372,Cadastros!$G$6:$G$90,Cadastros!$H$6:$H$90)*(1-0.18),_xlfn.XLOOKUP(AG1372,Cadastros!$G$6:$G$90,Cadastros!$H$6:$H$90))))</f>
        <v/>
      </c>
      <c r="AJ1372" s="168" t="str">
        <f t="shared" si="280"/>
        <v/>
      </c>
      <c r="AK1372" s="168" t="str">
        <f t="shared" si="281"/>
        <v/>
      </c>
      <c r="AL1372" s="28"/>
      <c r="AM1372" s="28"/>
      <c r="AN1372" s="20" t="str">
        <f>IF(AL1372="","",IF($F1372="Bernardino Furlan",_xlfn.XLOOKUP(AL1372,Cadastros!$G$6:$G$90,Cadastros!$H$6:$H$90)*(1-0.18),IF($F1372="Mauro José Salanti",_xlfn.XLOOKUP(AL1372,Cadastros!$G$6:$G$90,Cadastros!$H$6:$H$90)*(1-0.18),_xlfn.XLOOKUP(AL1372,Cadastros!$G$6:$G$90,Cadastros!$H$6:$H$90))))</f>
        <v/>
      </c>
      <c r="AO1372" s="168" t="str">
        <f t="shared" si="282"/>
        <v/>
      </c>
      <c r="AP1372" s="168" t="str">
        <f t="shared" si="283"/>
        <v/>
      </c>
      <c r="AQ1372" s="28"/>
      <c r="AR1372" s="28"/>
      <c r="AS1372" s="20" t="str">
        <f>IF(AQ1372="","",IF($F1372="Bernardino Furlan",_xlfn.XLOOKUP(AQ1372,Cadastros!$G$6:$G$90,Cadastros!$H$6:$H$90)*(1-0.18),IF($F1372="Mauro José Salanti",_xlfn.XLOOKUP(AQ1372,Cadastros!$G$6:$G$90,Cadastros!$H$6:$H$90)*(1-0.18),_xlfn.XLOOKUP(AQ1372,Cadastros!$G$6:$G$90,Cadastros!$H$6:$H$90))))</f>
        <v/>
      </c>
      <c r="AT1372" s="168" t="str">
        <f t="shared" si="284"/>
        <v/>
      </c>
      <c r="AU1372" s="168" t="str">
        <f t="shared" si="285"/>
        <v/>
      </c>
      <c r="AV1372" s="227"/>
      <c r="AW1372" s="30"/>
      <c r="AX1372" s="267"/>
      <c r="AY1372" s="267"/>
      <c r="AZ1372" s="29"/>
      <c r="BA1372" s="30"/>
      <c r="BB1372" s="23" t="str" cm="1">
        <f t="array" ref="BB1372">_xlfn.IFS(AW1372="SIM",SUM(K1372,P1372,U1372,Z1372,AE1372,AJ1372,AO1372,AT1372,AX1372,AY1372),F1372&lt;&gt;"",SUM(K1372,P1372,U1372,Z1372,AE1372,AJ1372,,AO1372,AT1372),F1372="","")</f>
        <v/>
      </c>
      <c r="BC1372" s="211" t="str" cm="1">
        <f t="array" ref="BC1372">_xlfn.IFS(E1372="","",G1372&lt;=E1372,BB1372*(1-0.03),G1372&lt;(E1372+8),BB1372,AZ1372="Boleto",BB1372*(1+0.001)^DATEDIF(E1372,G1372,"D"),AZ1372="Cheque",BB1372,AZ1372="Dinheiro","Alterar forma pgto")</f>
        <v/>
      </c>
      <c r="BD1372" s="276" t="str" cm="1">
        <f t="array" ref="BD1372">IF(F1372=0," ",IF(BC1372&lt;BB1372,(_xlfn.IFS(AW1372="SIM",SUM(L1372,Q1372,V1372,AA1372,AF1372,AK1372,AP1372,AU1372)+AX1372/_xlfn.XLOOKUP(_xlfn.XLOOKUP($F1372,Clientes!$B$4:$B$39,Clientes!$C$4:$C$39),Cadastros!$L$6:$L$12,Cadastros!$M$6:$M$12)+IF($F1372="Bernardino Furlan",AY1372/2751.92,IF($F1372="Mauro José Salanti",AY1372/2751.92,AY1372/3356)),F1372&lt;&gt;0,SUM(L1372,Q1372,V1372,AA1372,AF1372,AK1372,AP1372,AU1372)))*(1-0.03),_xlfn.IFS(AW1372="SIM",SUM(L1372,Q1372,V1372,AA1372,AF1372,AK1372,AP1372,AU1372)+AX1372/_xlfn.XLOOKUP(_xlfn.XLOOKUP($F1372,Clientes!$B$4:$B$39,Clientes!$C$4:$C$39),Cadastros!$L$6:$L$12,Cadastros!$M$6:$M$12)+IF($F1372="Bernardino Furlan",AY1372/2751.92,IF($F1372="Mauro José Salanti",AY1372/2751.92,AY1372/3356)),F1372&lt;&gt;0,SUM(L1372,Q1372,V1372,AA1372,AF1372,AK1372,AP1372,AU1372))))</f>
        <v xml:space="preserve"> </v>
      </c>
      <c r="BE1372" s="120"/>
      <c r="BF1372" s="120"/>
      <c r="BG1372" s="120"/>
    </row>
    <row r="1373" spans="1:59" s="3" customFormat="1" x14ac:dyDescent="0.3">
      <c r="A1373" s="15" t="str">
        <f t="shared" si="273"/>
        <v/>
      </c>
      <c r="B1373" s="25"/>
      <c r="C1373" s="26"/>
      <c r="D1373" s="279"/>
      <c r="E1373" s="27"/>
      <c r="F1373" s="28"/>
      <c r="G1373" s="27"/>
      <c r="H1373" s="28"/>
      <c r="I1373" s="28"/>
      <c r="J1373" s="255" t="str">
        <f>IF(H1373="","",(_xlfn.XLOOKUP(H1373,Cadastros!$D$6:$D$90,Cadastros!$E$6:$E$90))*(1-_xlfn.XLOOKUP(_xlfn.XLOOKUP($F1373,Clientes!$B$4:$B$39,Clientes!$C$4:$C$39),Cadastros!$L$6:$L$12,Cadastros!$N$6:$N$12)))</f>
        <v/>
      </c>
      <c r="K1373" s="168" t="str">
        <f t="shared" si="274"/>
        <v/>
      </c>
      <c r="L1373" s="168" t="str">
        <f>IFERROR(K1373/_xlfn.XLOOKUP(_xlfn.XLOOKUP($F1373,Clientes!$B$4:$B$39,Clientes!$C$4:$C$39),Cadastros!$L$6:$L$12,Cadastros!$M$6:$M$12)," ")</f>
        <v xml:space="preserve"> </v>
      </c>
      <c r="M1373" s="28"/>
      <c r="N1373" s="28"/>
      <c r="O1373" s="255" t="str">
        <f>IF(M1373="","",(_xlfn.XLOOKUP(M1373,Cadastros!$D$6:$D$90,Cadastros!$E$6:$E$90))*(1-_xlfn.XLOOKUP(_xlfn.XLOOKUP($F1373,Clientes!$B$4:$B$39,Clientes!$C$4:$C$39),Cadastros!$L$6:$L$12,Cadastros!$N$6:$N$12)))</f>
        <v/>
      </c>
      <c r="P1373" s="168" t="str">
        <f t="shared" si="275"/>
        <v/>
      </c>
      <c r="Q1373" s="168" t="str">
        <f>IFERROR(P1373/_xlfn.XLOOKUP(_xlfn.XLOOKUP($F1373,Clientes!$B$4:$B$39,Clientes!$C$4:$C$39),Cadastros!$L$6:$L$12,Cadastros!$M$6:$M$12)," ")</f>
        <v xml:space="preserve"> </v>
      </c>
      <c r="R1373" s="28"/>
      <c r="S1373" s="28"/>
      <c r="T1373" s="255" t="str">
        <f>IF(R1373="","",(_xlfn.XLOOKUP(R1373,Cadastros!$D$6:$D$90,Cadastros!$E$6:$E$90))*(1-_xlfn.XLOOKUP(_xlfn.XLOOKUP($F1373,Clientes!$B$4:$B$39,Clientes!$C$4:$C$39),Cadastros!$L$6:$L$12,Cadastros!$N$6:$N$12)))</f>
        <v/>
      </c>
      <c r="U1373" s="168" t="str">
        <f t="shared" si="276"/>
        <v/>
      </c>
      <c r="V1373" s="168" t="str">
        <f>IFERROR(U1373/_xlfn.XLOOKUP(_xlfn.XLOOKUP($F1373,Clientes!$B$4:$B$39,Clientes!$C$4:$C$39),Cadastros!$L$6:$L$12,Cadastros!$M$6:$M$12)," ")</f>
        <v xml:space="preserve"> </v>
      </c>
      <c r="W1373" s="28"/>
      <c r="X1373" s="28"/>
      <c r="Y1373" s="255" t="str">
        <f>IF(W1373="","",(_xlfn.XLOOKUP(W1373,Cadastros!$D$6:$D$90,Cadastros!$E$6:$E$90))*(1-_xlfn.XLOOKUP(_xlfn.XLOOKUP($F1373,Clientes!$B$4:$B$39,Clientes!$C$4:$C$39),Cadastros!$L$6:$L$12,Cadastros!$N$6:$N$12)))</f>
        <v/>
      </c>
      <c r="Z1373" s="168" t="str">
        <f t="shared" si="277"/>
        <v/>
      </c>
      <c r="AA1373" s="168" t="str">
        <f>IFERROR(Z1373/_xlfn.XLOOKUP(_xlfn.XLOOKUP($F1373,Clientes!$B$4:$B$39,Clientes!$C$4:$C$39),Cadastros!$L$6:$L$12,Cadastros!$M$6:$M$12)," ")</f>
        <v xml:space="preserve"> </v>
      </c>
      <c r="AB1373" s="28"/>
      <c r="AC1373" s="28"/>
      <c r="AD1373" s="20" t="str">
        <f>IF(AB1373="","",IF($F1373="Bernardino Furlan",_xlfn.XLOOKUP(AB1373,Cadastros!$G$6:$G$90,Cadastros!$H$6:$H$90)*(1-0.18),IF($F1373="Mauro José Salanti",_xlfn.XLOOKUP(AB1373,Cadastros!$G$6:$G$90,Cadastros!$H$6:$H$90)*(1-0.18),_xlfn.XLOOKUP(AB1373,Cadastros!$G$6:$G$90,Cadastros!$H$6:$H$90))))</f>
        <v/>
      </c>
      <c r="AE1373" s="168" t="str">
        <f t="shared" si="278"/>
        <v/>
      </c>
      <c r="AF1373" s="168" t="str">
        <f t="shared" si="279"/>
        <v/>
      </c>
      <c r="AG1373" s="28"/>
      <c r="AH1373" s="28"/>
      <c r="AI1373" s="20" t="str">
        <f>IF(AG1373="","",IF($F1373="Bernardino Furlan",_xlfn.XLOOKUP(AG1373,Cadastros!$G$6:$G$90,Cadastros!$H$6:$H$90)*(1-0.18),IF($F1373="Mauro José Salanti",_xlfn.XLOOKUP(AG1373,Cadastros!$G$6:$G$90,Cadastros!$H$6:$H$90)*(1-0.18),_xlfn.XLOOKUP(AG1373,Cadastros!$G$6:$G$90,Cadastros!$H$6:$H$90))))</f>
        <v/>
      </c>
      <c r="AJ1373" s="168" t="str">
        <f t="shared" si="280"/>
        <v/>
      </c>
      <c r="AK1373" s="168" t="str">
        <f t="shared" si="281"/>
        <v/>
      </c>
      <c r="AL1373" s="28"/>
      <c r="AM1373" s="28"/>
      <c r="AN1373" s="20" t="str">
        <f>IF(AL1373="","",IF($F1373="Bernardino Furlan",_xlfn.XLOOKUP(AL1373,Cadastros!$G$6:$G$90,Cadastros!$H$6:$H$90)*(1-0.18),IF($F1373="Mauro José Salanti",_xlfn.XLOOKUP(AL1373,Cadastros!$G$6:$G$90,Cadastros!$H$6:$H$90)*(1-0.18),_xlfn.XLOOKUP(AL1373,Cadastros!$G$6:$G$90,Cadastros!$H$6:$H$90))))</f>
        <v/>
      </c>
      <c r="AO1373" s="168" t="str">
        <f t="shared" si="282"/>
        <v/>
      </c>
      <c r="AP1373" s="168" t="str">
        <f t="shared" si="283"/>
        <v/>
      </c>
      <c r="AQ1373" s="28"/>
      <c r="AR1373" s="28"/>
      <c r="AS1373" s="20" t="str">
        <f>IF(AQ1373="","",IF($F1373="Bernardino Furlan",_xlfn.XLOOKUP(AQ1373,Cadastros!$G$6:$G$90,Cadastros!$H$6:$H$90)*(1-0.18),IF($F1373="Mauro José Salanti",_xlfn.XLOOKUP(AQ1373,Cadastros!$G$6:$G$90,Cadastros!$H$6:$H$90)*(1-0.18),_xlfn.XLOOKUP(AQ1373,Cadastros!$G$6:$G$90,Cadastros!$H$6:$H$90))))</f>
        <v/>
      </c>
      <c r="AT1373" s="168" t="str">
        <f t="shared" si="284"/>
        <v/>
      </c>
      <c r="AU1373" s="168" t="str">
        <f t="shared" si="285"/>
        <v/>
      </c>
      <c r="AV1373" s="227"/>
      <c r="AW1373" s="30"/>
      <c r="AX1373" s="267"/>
      <c r="AY1373" s="267"/>
      <c r="AZ1373" s="29"/>
      <c r="BA1373" s="30"/>
      <c r="BB1373" s="23" t="str" cm="1">
        <f t="array" ref="BB1373">_xlfn.IFS(AW1373="SIM",SUM(K1373,P1373,U1373,Z1373,AE1373,AJ1373,AO1373,AT1373,AX1373,AY1373),F1373&lt;&gt;"",SUM(K1373,P1373,U1373,Z1373,AE1373,AJ1373,,AO1373,AT1373),F1373="","")</f>
        <v/>
      </c>
      <c r="BC1373" s="211" t="str" cm="1">
        <f t="array" ref="BC1373">_xlfn.IFS(E1373="","",G1373&lt;=E1373,BB1373*(1-0.03),G1373&lt;(E1373+8),BB1373,AZ1373="Boleto",BB1373*(1+0.001)^DATEDIF(E1373,G1373,"D"),AZ1373="Cheque",BB1373,AZ1373="Dinheiro","Alterar forma pgto")</f>
        <v/>
      </c>
      <c r="BD1373" s="276" t="str" cm="1">
        <f t="array" ref="BD1373">IF(F1373=0," ",IF(BC1373&lt;BB1373,(_xlfn.IFS(AW1373="SIM",SUM(L1373,Q1373,V1373,AA1373,AF1373,AK1373,AP1373,AU1373)+AX1373/_xlfn.XLOOKUP(_xlfn.XLOOKUP($F1373,Clientes!$B$4:$B$39,Clientes!$C$4:$C$39),Cadastros!$L$6:$L$12,Cadastros!$M$6:$M$12)+IF($F1373="Bernardino Furlan",AY1373/2751.92,IF($F1373="Mauro José Salanti",AY1373/2751.92,AY1373/3356)),F1373&lt;&gt;0,SUM(L1373,Q1373,V1373,AA1373,AF1373,AK1373,AP1373,AU1373)))*(1-0.03),_xlfn.IFS(AW1373="SIM",SUM(L1373,Q1373,V1373,AA1373,AF1373,AK1373,AP1373,AU1373)+AX1373/_xlfn.XLOOKUP(_xlfn.XLOOKUP($F1373,Clientes!$B$4:$B$39,Clientes!$C$4:$C$39),Cadastros!$L$6:$L$12,Cadastros!$M$6:$M$12)+IF($F1373="Bernardino Furlan",AY1373/2751.92,IF($F1373="Mauro José Salanti",AY1373/2751.92,AY1373/3356)),F1373&lt;&gt;0,SUM(L1373,Q1373,V1373,AA1373,AF1373,AK1373,AP1373,AU1373))))</f>
        <v xml:space="preserve"> </v>
      </c>
      <c r="BE1373" s="120"/>
      <c r="BF1373" s="120"/>
      <c r="BG1373" s="120"/>
    </row>
    <row r="1374" spans="1:59" s="3" customFormat="1" x14ac:dyDescent="0.3">
      <c r="A1374" s="15" t="str">
        <f t="shared" si="273"/>
        <v/>
      </c>
      <c r="B1374" s="25"/>
      <c r="C1374" s="26"/>
      <c r="D1374" s="279"/>
      <c r="E1374" s="27"/>
      <c r="F1374" s="28"/>
      <c r="G1374" s="27"/>
      <c r="H1374" s="28"/>
      <c r="I1374" s="28"/>
      <c r="J1374" s="255" t="str">
        <f>IF(H1374="","",(_xlfn.XLOOKUP(H1374,Cadastros!$D$6:$D$90,Cadastros!$E$6:$E$90))*(1-_xlfn.XLOOKUP(_xlfn.XLOOKUP($F1374,Clientes!$B$4:$B$39,Clientes!$C$4:$C$39),Cadastros!$L$6:$L$12,Cadastros!$N$6:$N$12)))</f>
        <v/>
      </c>
      <c r="K1374" s="168" t="str">
        <f t="shared" si="274"/>
        <v/>
      </c>
      <c r="L1374" s="168" t="str">
        <f>IFERROR(K1374/_xlfn.XLOOKUP(_xlfn.XLOOKUP($F1374,Clientes!$B$4:$B$39,Clientes!$C$4:$C$39),Cadastros!$L$6:$L$12,Cadastros!$M$6:$M$12)," ")</f>
        <v xml:space="preserve"> </v>
      </c>
      <c r="M1374" s="28"/>
      <c r="N1374" s="28"/>
      <c r="O1374" s="255" t="str">
        <f>IF(M1374="","",(_xlfn.XLOOKUP(M1374,Cadastros!$D$6:$D$90,Cadastros!$E$6:$E$90))*(1-_xlfn.XLOOKUP(_xlfn.XLOOKUP($F1374,Clientes!$B$4:$B$39,Clientes!$C$4:$C$39),Cadastros!$L$6:$L$12,Cadastros!$N$6:$N$12)))</f>
        <v/>
      </c>
      <c r="P1374" s="168" t="str">
        <f t="shared" si="275"/>
        <v/>
      </c>
      <c r="Q1374" s="168" t="str">
        <f>IFERROR(P1374/_xlfn.XLOOKUP(_xlfn.XLOOKUP($F1374,Clientes!$B$4:$B$39,Clientes!$C$4:$C$39),Cadastros!$L$6:$L$12,Cadastros!$M$6:$M$12)," ")</f>
        <v xml:space="preserve"> </v>
      </c>
      <c r="R1374" s="28"/>
      <c r="S1374" s="28"/>
      <c r="T1374" s="255" t="str">
        <f>IF(R1374="","",(_xlfn.XLOOKUP(R1374,Cadastros!$D$6:$D$90,Cadastros!$E$6:$E$90))*(1-_xlfn.XLOOKUP(_xlfn.XLOOKUP($F1374,Clientes!$B$4:$B$39,Clientes!$C$4:$C$39),Cadastros!$L$6:$L$12,Cadastros!$N$6:$N$12)))</f>
        <v/>
      </c>
      <c r="U1374" s="168" t="str">
        <f t="shared" si="276"/>
        <v/>
      </c>
      <c r="V1374" s="168" t="str">
        <f>IFERROR(U1374/_xlfn.XLOOKUP(_xlfn.XLOOKUP($F1374,Clientes!$B$4:$B$39,Clientes!$C$4:$C$39),Cadastros!$L$6:$L$12,Cadastros!$M$6:$M$12)," ")</f>
        <v xml:space="preserve"> </v>
      </c>
      <c r="W1374" s="28"/>
      <c r="X1374" s="28"/>
      <c r="Y1374" s="255" t="str">
        <f>IF(W1374="","",(_xlfn.XLOOKUP(W1374,Cadastros!$D$6:$D$90,Cadastros!$E$6:$E$90))*(1-_xlfn.XLOOKUP(_xlfn.XLOOKUP($F1374,Clientes!$B$4:$B$39,Clientes!$C$4:$C$39),Cadastros!$L$6:$L$12,Cadastros!$N$6:$N$12)))</f>
        <v/>
      </c>
      <c r="Z1374" s="168" t="str">
        <f t="shared" si="277"/>
        <v/>
      </c>
      <c r="AA1374" s="168" t="str">
        <f>IFERROR(Z1374/_xlfn.XLOOKUP(_xlfn.XLOOKUP($F1374,Clientes!$B$4:$B$39,Clientes!$C$4:$C$39),Cadastros!$L$6:$L$12,Cadastros!$M$6:$M$12)," ")</f>
        <v xml:space="preserve"> </v>
      </c>
      <c r="AB1374" s="28"/>
      <c r="AC1374" s="28"/>
      <c r="AD1374" s="20" t="str">
        <f>IF(AB1374="","",IF($F1374="Bernardino Furlan",_xlfn.XLOOKUP(AB1374,Cadastros!$G$6:$G$90,Cadastros!$H$6:$H$90)*(1-0.18),IF($F1374="Mauro José Salanti",_xlfn.XLOOKUP(AB1374,Cadastros!$G$6:$G$90,Cadastros!$H$6:$H$90)*(1-0.18),_xlfn.XLOOKUP(AB1374,Cadastros!$G$6:$G$90,Cadastros!$H$6:$H$90))))</f>
        <v/>
      </c>
      <c r="AE1374" s="168" t="str">
        <f t="shared" si="278"/>
        <v/>
      </c>
      <c r="AF1374" s="168" t="str">
        <f t="shared" si="279"/>
        <v/>
      </c>
      <c r="AG1374" s="28"/>
      <c r="AH1374" s="28"/>
      <c r="AI1374" s="20" t="str">
        <f>IF(AG1374="","",IF($F1374="Bernardino Furlan",_xlfn.XLOOKUP(AG1374,Cadastros!$G$6:$G$90,Cadastros!$H$6:$H$90)*(1-0.18),IF($F1374="Mauro José Salanti",_xlfn.XLOOKUP(AG1374,Cadastros!$G$6:$G$90,Cadastros!$H$6:$H$90)*(1-0.18),_xlfn.XLOOKUP(AG1374,Cadastros!$G$6:$G$90,Cadastros!$H$6:$H$90))))</f>
        <v/>
      </c>
      <c r="AJ1374" s="168" t="str">
        <f t="shared" si="280"/>
        <v/>
      </c>
      <c r="AK1374" s="168" t="str">
        <f t="shared" si="281"/>
        <v/>
      </c>
      <c r="AL1374" s="28"/>
      <c r="AM1374" s="28"/>
      <c r="AN1374" s="20" t="str">
        <f>IF(AL1374="","",IF($F1374="Bernardino Furlan",_xlfn.XLOOKUP(AL1374,Cadastros!$G$6:$G$90,Cadastros!$H$6:$H$90)*(1-0.18),IF($F1374="Mauro José Salanti",_xlfn.XLOOKUP(AL1374,Cadastros!$G$6:$G$90,Cadastros!$H$6:$H$90)*(1-0.18),_xlfn.XLOOKUP(AL1374,Cadastros!$G$6:$G$90,Cadastros!$H$6:$H$90))))</f>
        <v/>
      </c>
      <c r="AO1374" s="168" t="str">
        <f t="shared" si="282"/>
        <v/>
      </c>
      <c r="AP1374" s="168" t="str">
        <f t="shared" si="283"/>
        <v/>
      </c>
      <c r="AQ1374" s="28"/>
      <c r="AR1374" s="28"/>
      <c r="AS1374" s="20" t="str">
        <f>IF(AQ1374="","",IF($F1374="Bernardino Furlan",_xlfn.XLOOKUP(AQ1374,Cadastros!$G$6:$G$90,Cadastros!$H$6:$H$90)*(1-0.18),IF($F1374="Mauro José Salanti",_xlfn.XLOOKUP(AQ1374,Cadastros!$G$6:$G$90,Cadastros!$H$6:$H$90)*(1-0.18),_xlfn.XLOOKUP(AQ1374,Cadastros!$G$6:$G$90,Cadastros!$H$6:$H$90))))</f>
        <v/>
      </c>
      <c r="AT1374" s="168" t="str">
        <f t="shared" si="284"/>
        <v/>
      </c>
      <c r="AU1374" s="168" t="str">
        <f t="shared" si="285"/>
        <v/>
      </c>
      <c r="AV1374" s="227"/>
      <c r="AW1374" s="30"/>
      <c r="AX1374" s="267"/>
      <c r="AY1374" s="267"/>
      <c r="AZ1374" s="29"/>
      <c r="BA1374" s="30"/>
      <c r="BB1374" s="23" t="str" cm="1">
        <f t="array" ref="BB1374">_xlfn.IFS(AW1374="SIM",SUM(K1374,P1374,U1374,Z1374,AE1374,AJ1374,AO1374,AT1374,AX1374,AY1374),F1374&lt;&gt;"",SUM(K1374,P1374,U1374,Z1374,AE1374,AJ1374,,AO1374,AT1374),F1374="","")</f>
        <v/>
      </c>
      <c r="BC1374" s="211" t="str" cm="1">
        <f t="array" ref="BC1374">_xlfn.IFS(E1374="","",G1374&lt;=E1374,BB1374*(1-0.03),G1374&lt;(E1374+8),BB1374,AZ1374="Boleto",BB1374*(1+0.001)^DATEDIF(E1374,G1374,"D"),AZ1374="Cheque",BB1374,AZ1374="Dinheiro","Alterar forma pgto")</f>
        <v/>
      </c>
      <c r="BD1374" s="276" t="str" cm="1">
        <f t="array" ref="BD1374">IF(F1374=0," ",IF(BC1374&lt;BB1374,(_xlfn.IFS(AW1374="SIM",SUM(L1374,Q1374,V1374,AA1374,AF1374,AK1374,AP1374,AU1374)+AX1374/_xlfn.XLOOKUP(_xlfn.XLOOKUP($F1374,Clientes!$B$4:$B$39,Clientes!$C$4:$C$39),Cadastros!$L$6:$L$12,Cadastros!$M$6:$M$12)+IF($F1374="Bernardino Furlan",AY1374/2751.92,IF($F1374="Mauro José Salanti",AY1374/2751.92,AY1374/3356)),F1374&lt;&gt;0,SUM(L1374,Q1374,V1374,AA1374,AF1374,AK1374,AP1374,AU1374)))*(1-0.03),_xlfn.IFS(AW1374="SIM",SUM(L1374,Q1374,V1374,AA1374,AF1374,AK1374,AP1374,AU1374)+AX1374/_xlfn.XLOOKUP(_xlfn.XLOOKUP($F1374,Clientes!$B$4:$B$39,Clientes!$C$4:$C$39),Cadastros!$L$6:$L$12,Cadastros!$M$6:$M$12)+IF($F1374="Bernardino Furlan",AY1374/2751.92,IF($F1374="Mauro José Salanti",AY1374/2751.92,AY1374/3356)),F1374&lt;&gt;0,SUM(L1374,Q1374,V1374,AA1374,AF1374,AK1374,AP1374,AU1374))))</f>
        <v xml:space="preserve"> </v>
      </c>
      <c r="BE1374" s="120"/>
      <c r="BF1374" s="120"/>
      <c r="BG1374" s="120"/>
    </row>
    <row r="1375" spans="1:59" s="3" customFormat="1" x14ac:dyDescent="0.3">
      <c r="A1375" s="15" t="str">
        <f t="shared" si="273"/>
        <v/>
      </c>
      <c r="B1375" s="25"/>
      <c r="C1375" s="26"/>
      <c r="D1375" s="279"/>
      <c r="E1375" s="27"/>
      <c r="F1375" s="28"/>
      <c r="G1375" s="27"/>
      <c r="H1375" s="28"/>
      <c r="I1375" s="28"/>
      <c r="J1375" s="255" t="str">
        <f>IF(H1375="","",(_xlfn.XLOOKUP(H1375,Cadastros!$D$6:$D$90,Cadastros!$E$6:$E$90))*(1-_xlfn.XLOOKUP(_xlfn.XLOOKUP($F1375,Clientes!$B$4:$B$39,Clientes!$C$4:$C$39),Cadastros!$L$6:$L$12,Cadastros!$N$6:$N$12)))</f>
        <v/>
      </c>
      <c r="K1375" s="168" t="str">
        <f t="shared" si="274"/>
        <v/>
      </c>
      <c r="L1375" s="168" t="str">
        <f>IFERROR(K1375/_xlfn.XLOOKUP(_xlfn.XLOOKUP($F1375,Clientes!$B$4:$B$39,Clientes!$C$4:$C$39),Cadastros!$L$6:$L$12,Cadastros!$M$6:$M$12)," ")</f>
        <v xml:space="preserve"> </v>
      </c>
      <c r="M1375" s="28"/>
      <c r="N1375" s="28"/>
      <c r="O1375" s="255" t="str">
        <f>IF(M1375="","",(_xlfn.XLOOKUP(M1375,Cadastros!$D$6:$D$90,Cadastros!$E$6:$E$90))*(1-_xlfn.XLOOKUP(_xlfn.XLOOKUP($F1375,Clientes!$B$4:$B$39,Clientes!$C$4:$C$39),Cadastros!$L$6:$L$12,Cadastros!$N$6:$N$12)))</f>
        <v/>
      </c>
      <c r="P1375" s="168" t="str">
        <f t="shared" si="275"/>
        <v/>
      </c>
      <c r="Q1375" s="168" t="str">
        <f>IFERROR(P1375/_xlfn.XLOOKUP(_xlfn.XLOOKUP($F1375,Clientes!$B$4:$B$39,Clientes!$C$4:$C$39),Cadastros!$L$6:$L$12,Cadastros!$M$6:$M$12)," ")</f>
        <v xml:space="preserve"> </v>
      </c>
      <c r="R1375" s="28"/>
      <c r="S1375" s="28"/>
      <c r="T1375" s="255" t="str">
        <f>IF(R1375="","",(_xlfn.XLOOKUP(R1375,Cadastros!$D$6:$D$90,Cadastros!$E$6:$E$90))*(1-_xlfn.XLOOKUP(_xlfn.XLOOKUP($F1375,Clientes!$B$4:$B$39,Clientes!$C$4:$C$39),Cadastros!$L$6:$L$12,Cadastros!$N$6:$N$12)))</f>
        <v/>
      </c>
      <c r="U1375" s="168" t="str">
        <f t="shared" si="276"/>
        <v/>
      </c>
      <c r="V1375" s="168" t="str">
        <f>IFERROR(U1375/_xlfn.XLOOKUP(_xlfn.XLOOKUP($F1375,Clientes!$B$4:$B$39,Clientes!$C$4:$C$39),Cadastros!$L$6:$L$12,Cadastros!$M$6:$M$12)," ")</f>
        <v xml:space="preserve"> </v>
      </c>
      <c r="W1375" s="28"/>
      <c r="X1375" s="28"/>
      <c r="Y1375" s="255" t="str">
        <f>IF(W1375="","",(_xlfn.XLOOKUP(W1375,Cadastros!$D$6:$D$90,Cadastros!$E$6:$E$90))*(1-_xlfn.XLOOKUP(_xlfn.XLOOKUP($F1375,Clientes!$B$4:$B$39,Clientes!$C$4:$C$39),Cadastros!$L$6:$L$12,Cadastros!$N$6:$N$12)))</f>
        <v/>
      </c>
      <c r="Z1375" s="168" t="str">
        <f t="shared" si="277"/>
        <v/>
      </c>
      <c r="AA1375" s="168" t="str">
        <f>IFERROR(Z1375/_xlfn.XLOOKUP(_xlfn.XLOOKUP($F1375,Clientes!$B$4:$B$39,Clientes!$C$4:$C$39),Cadastros!$L$6:$L$12,Cadastros!$M$6:$M$12)," ")</f>
        <v xml:space="preserve"> </v>
      </c>
      <c r="AB1375" s="28"/>
      <c r="AC1375" s="28"/>
      <c r="AD1375" s="20" t="str">
        <f>IF(AB1375="","",IF($F1375="Bernardino Furlan",_xlfn.XLOOKUP(AB1375,Cadastros!$G$6:$G$90,Cadastros!$H$6:$H$90)*(1-0.18),IF($F1375="Mauro José Salanti",_xlfn.XLOOKUP(AB1375,Cadastros!$G$6:$G$90,Cadastros!$H$6:$H$90)*(1-0.18),_xlfn.XLOOKUP(AB1375,Cadastros!$G$6:$G$90,Cadastros!$H$6:$H$90))))</f>
        <v/>
      </c>
      <c r="AE1375" s="168" t="str">
        <f t="shared" si="278"/>
        <v/>
      </c>
      <c r="AF1375" s="168" t="str">
        <f t="shared" si="279"/>
        <v/>
      </c>
      <c r="AG1375" s="28"/>
      <c r="AH1375" s="28"/>
      <c r="AI1375" s="20" t="str">
        <f>IF(AG1375="","",IF($F1375="Bernardino Furlan",_xlfn.XLOOKUP(AG1375,Cadastros!$G$6:$G$90,Cadastros!$H$6:$H$90)*(1-0.18),IF($F1375="Mauro José Salanti",_xlfn.XLOOKUP(AG1375,Cadastros!$G$6:$G$90,Cadastros!$H$6:$H$90)*(1-0.18),_xlfn.XLOOKUP(AG1375,Cadastros!$G$6:$G$90,Cadastros!$H$6:$H$90))))</f>
        <v/>
      </c>
      <c r="AJ1375" s="168" t="str">
        <f t="shared" si="280"/>
        <v/>
      </c>
      <c r="AK1375" s="168" t="str">
        <f t="shared" si="281"/>
        <v/>
      </c>
      <c r="AL1375" s="28"/>
      <c r="AM1375" s="28"/>
      <c r="AN1375" s="20" t="str">
        <f>IF(AL1375="","",IF($F1375="Bernardino Furlan",_xlfn.XLOOKUP(AL1375,Cadastros!$G$6:$G$90,Cadastros!$H$6:$H$90)*(1-0.18),IF($F1375="Mauro José Salanti",_xlfn.XLOOKUP(AL1375,Cadastros!$G$6:$G$90,Cadastros!$H$6:$H$90)*(1-0.18),_xlfn.XLOOKUP(AL1375,Cadastros!$G$6:$G$90,Cadastros!$H$6:$H$90))))</f>
        <v/>
      </c>
      <c r="AO1375" s="168" t="str">
        <f t="shared" si="282"/>
        <v/>
      </c>
      <c r="AP1375" s="168" t="str">
        <f t="shared" si="283"/>
        <v/>
      </c>
      <c r="AQ1375" s="28"/>
      <c r="AR1375" s="28"/>
      <c r="AS1375" s="20" t="str">
        <f>IF(AQ1375="","",IF($F1375="Bernardino Furlan",_xlfn.XLOOKUP(AQ1375,Cadastros!$G$6:$G$90,Cadastros!$H$6:$H$90)*(1-0.18),IF($F1375="Mauro José Salanti",_xlfn.XLOOKUP(AQ1375,Cadastros!$G$6:$G$90,Cadastros!$H$6:$H$90)*(1-0.18),_xlfn.XLOOKUP(AQ1375,Cadastros!$G$6:$G$90,Cadastros!$H$6:$H$90))))</f>
        <v/>
      </c>
      <c r="AT1375" s="168" t="str">
        <f t="shared" si="284"/>
        <v/>
      </c>
      <c r="AU1375" s="168" t="str">
        <f t="shared" si="285"/>
        <v/>
      </c>
      <c r="AV1375" s="227"/>
      <c r="AW1375" s="30"/>
      <c r="AX1375" s="267"/>
      <c r="AY1375" s="267"/>
      <c r="AZ1375" s="29"/>
      <c r="BA1375" s="30"/>
      <c r="BB1375" s="23" t="str" cm="1">
        <f t="array" ref="BB1375">_xlfn.IFS(AW1375="SIM",SUM(K1375,P1375,U1375,Z1375,AE1375,AJ1375,AO1375,AT1375,AX1375,AY1375),F1375&lt;&gt;"",SUM(K1375,P1375,U1375,Z1375,AE1375,AJ1375,,AO1375,AT1375),F1375="","")</f>
        <v/>
      </c>
      <c r="BC1375" s="211" t="str" cm="1">
        <f t="array" ref="BC1375">_xlfn.IFS(E1375="","",G1375&lt;=E1375,BB1375*(1-0.03),G1375&lt;(E1375+8),BB1375,AZ1375="Boleto",BB1375*(1+0.001)^DATEDIF(E1375,G1375,"D"),AZ1375="Cheque",BB1375,AZ1375="Dinheiro","Alterar forma pgto")</f>
        <v/>
      </c>
      <c r="BD1375" s="276" t="str" cm="1">
        <f t="array" ref="BD1375">IF(F1375=0," ",IF(BC1375&lt;BB1375,(_xlfn.IFS(AW1375="SIM",SUM(L1375,Q1375,V1375,AA1375,AF1375,AK1375,AP1375,AU1375)+AX1375/_xlfn.XLOOKUP(_xlfn.XLOOKUP($F1375,Clientes!$B$4:$B$39,Clientes!$C$4:$C$39),Cadastros!$L$6:$L$12,Cadastros!$M$6:$M$12)+IF($F1375="Bernardino Furlan",AY1375/2751.92,IF($F1375="Mauro José Salanti",AY1375/2751.92,AY1375/3356)),F1375&lt;&gt;0,SUM(L1375,Q1375,V1375,AA1375,AF1375,AK1375,AP1375,AU1375)))*(1-0.03),_xlfn.IFS(AW1375="SIM",SUM(L1375,Q1375,V1375,AA1375,AF1375,AK1375,AP1375,AU1375)+AX1375/_xlfn.XLOOKUP(_xlfn.XLOOKUP($F1375,Clientes!$B$4:$B$39,Clientes!$C$4:$C$39),Cadastros!$L$6:$L$12,Cadastros!$M$6:$M$12)+IF($F1375="Bernardino Furlan",AY1375/2751.92,IF($F1375="Mauro José Salanti",AY1375/2751.92,AY1375/3356)),F1375&lt;&gt;0,SUM(L1375,Q1375,V1375,AA1375,AF1375,AK1375,AP1375,AU1375))))</f>
        <v xml:space="preserve"> </v>
      </c>
      <c r="BE1375" s="120"/>
      <c r="BF1375" s="120"/>
      <c r="BG1375" s="120"/>
    </row>
    <row r="1376" spans="1:59" s="3" customFormat="1" x14ac:dyDescent="0.3">
      <c r="A1376" s="15" t="str">
        <f t="shared" si="273"/>
        <v/>
      </c>
      <c r="B1376" s="25"/>
      <c r="C1376" s="26"/>
      <c r="D1376" s="279"/>
      <c r="E1376" s="27"/>
      <c r="F1376" s="28"/>
      <c r="G1376" s="27"/>
      <c r="H1376" s="28"/>
      <c r="I1376" s="28"/>
      <c r="J1376" s="255" t="str">
        <f>IF(H1376="","",(_xlfn.XLOOKUP(H1376,Cadastros!$D$6:$D$90,Cadastros!$E$6:$E$90))*(1-_xlfn.XLOOKUP(_xlfn.XLOOKUP($F1376,Clientes!$B$4:$B$39,Clientes!$C$4:$C$39),Cadastros!$L$6:$L$12,Cadastros!$N$6:$N$12)))</f>
        <v/>
      </c>
      <c r="K1376" s="168" t="str">
        <f t="shared" si="274"/>
        <v/>
      </c>
      <c r="L1376" s="168" t="str">
        <f>IFERROR(K1376/_xlfn.XLOOKUP(_xlfn.XLOOKUP($F1376,Clientes!$B$4:$B$39,Clientes!$C$4:$C$39),Cadastros!$L$6:$L$12,Cadastros!$M$6:$M$12)," ")</f>
        <v xml:space="preserve"> </v>
      </c>
      <c r="M1376" s="28"/>
      <c r="N1376" s="28"/>
      <c r="O1376" s="255" t="str">
        <f>IF(M1376="","",(_xlfn.XLOOKUP(M1376,Cadastros!$D$6:$D$90,Cadastros!$E$6:$E$90))*(1-_xlfn.XLOOKUP(_xlfn.XLOOKUP($F1376,Clientes!$B$4:$B$39,Clientes!$C$4:$C$39),Cadastros!$L$6:$L$12,Cadastros!$N$6:$N$12)))</f>
        <v/>
      </c>
      <c r="P1376" s="168" t="str">
        <f t="shared" si="275"/>
        <v/>
      </c>
      <c r="Q1376" s="168" t="str">
        <f>IFERROR(P1376/_xlfn.XLOOKUP(_xlfn.XLOOKUP($F1376,Clientes!$B$4:$B$39,Clientes!$C$4:$C$39),Cadastros!$L$6:$L$12,Cadastros!$M$6:$M$12)," ")</f>
        <v xml:space="preserve"> </v>
      </c>
      <c r="R1376" s="28"/>
      <c r="S1376" s="28"/>
      <c r="T1376" s="255" t="str">
        <f>IF(R1376="","",(_xlfn.XLOOKUP(R1376,Cadastros!$D$6:$D$90,Cadastros!$E$6:$E$90))*(1-_xlfn.XLOOKUP(_xlfn.XLOOKUP($F1376,Clientes!$B$4:$B$39,Clientes!$C$4:$C$39),Cadastros!$L$6:$L$12,Cadastros!$N$6:$N$12)))</f>
        <v/>
      </c>
      <c r="U1376" s="168" t="str">
        <f t="shared" si="276"/>
        <v/>
      </c>
      <c r="V1376" s="168" t="str">
        <f>IFERROR(U1376/_xlfn.XLOOKUP(_xlfn.XLOOKUP($F1376,Clientes!$B$4:$B$39,Clientes!$C$4:$C$39),Cadastros!$L$6:$L$12,Cadastros!$M$6:$M$12)," ")</f>
        <v xml:space="preserve"> </v>
      </c>
      <c r="W1376" s="28"/>
      <c r="X1376" s="28"/>
      <c r="Y1376" s="255" t="str">
        <f>IF(W1376="","",(_xlfn.XLOOKUP(W1376,Cadastros!$D$6:$D$90,Cadastros!$E$6:$E$90))*(1-_xlfn.XLOOKUP(_xlfn.XLOOKUP($F1376,Clientes!$B$4:$B$39,Clientes!$C$4:$C$39),Cadastros!$L$6:$L$12,Cadastros!$N$6:$N$12)))</f>
        <v/>
      </c>
      <c r="Z1376" s="168" t="str">
        <f t="shared" si="277"/>
        <v/>
      </c>
      <c r="AA1376" s="168" t="str">
        <f>IFERROR(Z1376/_xlfn.XLOOKUP(_xlfn.XLOOKUP($F1376,Clientes!$B$4:$B$39,Clientes!$C$4:$C$39),Cadastros!$L$6:$L$12,Cadastros!$M$6:$M$12)," ")</f>
        <v xml:space="preserve"> </v>
      </c>
      <c r="AB1376" s="28"/>
      <c r="AC1376" s="28"/>
      <c r="AD1376" s="20" t="str">
        <f>IF(AB1376="","",IF($F1376="Bernardino Furlan",_xlfn.XLOOKUP(AB1376,Cadastros!$G$6:$G$90,Cadastros!$H$6:$H$90)*(1-0.18),IF($F1376="Mauro José Salanti",_xlfn.XLOOKUP(AB1376,Cadastros!$G$6:$G$90,Cadastros!$H$6:$H$90)*(1-0.18),_xlfn.XLOOKUP(AB1376,Cadastros!$G$6:$G$90,Cadastros!$H$6:$H$90))))</f>
        <v/>
      </c>
      <c r="AE1376" s="168" t="str">
        <f t="shared" si="278"/>
        <v/>
      </c>
      <c r="AF1376" s="168" t="str">
        <f t="shared" si="279"/>
        <v/>
      </c>
      <c r="AG1376" s="28"/>
      <c r="AH1376" s="28"/>
      <c r="AI1376" s="20" t="str">
        <f>IF(AG1376="","",IF($F1376="Bernardino Furlan",_xlfn.XLOOKUP(AG1376,Cadastros!$G$6:$G$90,Cadastros!$H$6:$H$90)*(1-0.18),IF($F1376="Mauro José Salanti",_xlfn.XLOOKUP(AG1376,Cadastros!$G$6:$G$90,Cadastros!$H$6:$H$90)*(1-0.18),_xlfn.XLOOKUP(AG1376,Cadastros!$G$6:$G$90,Cadastros!$H$6:$H$90))))</f>
        <v/>
      </c>
      <c r="AJ1376" s="168" t="str">
        <f t="shared" si="280"/>
        <v/>
      </c>
      <c r="AK1376" s="168" t="str">
        <f t="shared" si="281"/>
        <v/>
      </c>
      <c r="AL1376" s="28"/>
      <c r="AM1376" s="28"/>
      <c r="AN1376" s="20" t="str">
        <f>IF(AL1376="","",IF($F1376="Bernardino Furlan",_xlfn.XLOOKUP(AL1376,Cadastros!$G$6:$G$90,Cadastros!$H$6:$H$90)*(1-0.18),IF($F1376="Mauro José Salanti",_xlfn.XLOOKUP(AL1376,Cadastros!$G$6:$G$90,Cadastros!$H$6:$H$90)*(1-0.18),_xlfn.XLOOKUP(AL1376,Cadastros!$G$6:$G$90,Cadastros!$H$6:$H$90))))</f>
        <v/>
      </c>
      <c r="AO1376" s="168" t="str">
        <f t="shared" si="282"/>
        <v/>
      </c>
      <c r="AP1376" s="168" t="str">
        <f t="shared" si="283"/>
        <v/>
      </c>
      <c r="AQ1376" s="28"/>
      <c r="AR1376" s="28"/>
      <c r="AS1376" s="20" t="str">
        <f>IF(AQ1376="","",IF($F1376="Bernardino Furlan",_xlfn.XLOOKUP(AQ1376,Cadastros!$G$6:$G$90,Cadastros!$H$6:$H$90)*(1-0.18),IF($F1376="Mauro José Salanti",_xlfn.XLOOKUP(AQ1376,Cadastros!$G$6:$G$90,Cadastros!$H$6:$H$90)*(1-0.18),_xlfn.XLOOKUP(AQ1376,Cadastros!$G$6:$G$90,Cadastros!$H$6:$H$90))))</f>
        <v/>
      </c>
      <c r="AT1376" s="168" t="str">
        <f t="shared" si="284"/>
        <v/>
      </c>
      <c r="AU1376" s="168" t="str">
        <f t="shared" si="285"/>
        <v/>
      </c>
      <c r="AV1376" s="227"/>
      <c r="AW1376" s="30"/>
      <c r="AX1376" s="267"/>
      <c r="AY1376" s="267"/>
      <c r="AZ1376" s="29"/>
      <c r="BA1376" s="30"/>
      <c r="BB1376" s="23" t="str" cm="1">
        <f t="array" ref="BB1376">_xlfn.IFS(AW1376="SIM",SUM(K1376,P1376,U1376,Z1376,AE1376,AJ1376,AO1376,AT1376,AX1376,AY1376),F1376&lt;&gt;"",SUM(K1376,P1376,U1376,Z1376,AE1376,AJ1376,,AO1376,AT1376),F1376="","")</f>
        <v/>
      </c>
      <c r="BC1376" s="211" t="str" cm="1">
        <f t="array" ref="BC1376">_xlfn.IFS(E1376="","",G1376&lt;=E1376,BB1376*(1-0.03),G1376&lt;(E1376+8),BB1376,AZ1376="Boleto",BB1376*(1+0.001)^DATEDIF(E1376,G1376,"D"),AZ1376="Cheque",BB1376,AZ1376="Dinheiro","Alterar forma pgto")</f>
        <v/>
      </c>
      <c r="BD1376" s="276" t="str" cm="1">
        <f t="array" ref="BD1376">IF(F1376=0," ",IF(BC1376&lt;BB1376,(_xlfn.IFS(AW1376="SIM",SUM(L1376,Q1376,V1376,AA1376,AF1376,AK1376,AP1376,AU1376)+AX1376/_xlfn.XLOOKUP(_xlfn.XLOOKUP($F1376,Clientes!$B$4:$B$39,Clientes!$C$4:$C$39),Cadastros!$L$6:$L$12,Cadastros!$M$6:$M$12)+IF($F1376="Bernardino Furlan",AY1376/2751.92,IF($F1376="Mauro José Salanti",AY1376/2751.92,AY1376/3356)),F1376&lt;&gt;0,SUM(L1376,Q1376,V1376,AA1376,AF1376,AK1376,AP1376,AU1376)))*(1-0.03),_xlfn.IFS(AW1376="SIM",SUM(L1376,Q1376,V1376,AA1376,AF1376,AK1376,AP1376,AU1376)+AX1376/_xlfn.XLOOKUP(_xlfn.XLOOKUP($F1376,Clientes!$B$4:$B$39,Clientes!$C$4:$C$39),Cadastros!$L$6:$L$12,Cadastros!$M$6:$M$12)+IF($F1376="Bernardino Furlan",AY1376/2751.92,IF($F1376="Mauro José Salanti",AY1376/2751.92,AY1376/3356)),F1376&lt;&gt;0,SUM(L1376,Q1376,V1376,AA1376,AF1376,AK1376,AP1376,AU1376))))</f>
        <v xml:space="preserve"> </v>
      </c>
      <c r="BE1376" s="120"/>
      <c r="BF1376" s="120"/>
      <c r="BG1376" s="120"/>
    </row>
    <row r="1377" spans="1:59" s="3" customFormat="1" x14ac:dyDescent="0.3">
      <c r="A1377" s="15" t="str">
        <f t="shared" si="273"/>
        <v/>
      </c>
      <c r="B1377" s="25"/>
      <c r="C1377" s="26"/>
      <c r="D1377" s="279"/>
      <c r="E1377" s="27"/>
      <c r="F1377" s="28"/>
      <c r="G1377" s="27"/>
      <c r="H1377" s="28"/>
      <c r="I1377" s="28"/>
      <c r="J1377" s="255" t="str">
        <f>IF(H1377="","",(_xlfn.XLOOKUP(H1377,Cadastros!$D$6:$D$90,Cadastros!$E$6:$E$90))*(1-_xlfn.XLOOKUP(_xlfn.XLOOKUP($F1377,Clientes!$B$4:$B$39,Clientes!$C$4:$C$39),Cadastros!$L$6:$L$12,Cadastros!$N$6:$N$12)))</f>
        <v/>
      </c>
      <c r="K1377" s="168" t="str">
        <f t="shared" si="274"/>
        <v/>
      </c>
      <c r="L1377" s="168" t="str">
        <f>IFERROR(K1377/_xlfn.XLOOKUP(_xlfn.XLOOKUP($F1377,Clientes!$B$4:$B$39,Clientes!$C$4:$C$39),Cadastros!$L$6:$L$12,Cadastros!$M$6:$M$12)," ")</f>
        <v xml:space="preserve"> </v>
      </c>
      <c r="M1377" s="28"/>
      <c r="N1377" s="28"/>
      <c r="O1377" s="255" t="str">
        <f>IF(M1377="","",(_xlfn.XLOOKUP(M1377,Cadastros!$D$6:$D$90,Cadastros!$E$6:$E$90))*(1-_xlfn.XLOOKUP(_xlfn.XLOOKUP($F1377,Clientes!$B$4:$B$39,Clientes!$C$4:$C$39),Cadastros!$L$6:$L$12,Cadastros!$N$6:$N$12)))</f>
        <v/>
      </c>
      <c r="P1377" s="168" t="str">
        <f t="shared" si="275"/>
        <v/>
      </c>
      <c r="Q1377" s="168" t="str">
        <f>IFERROR(P1377/_xlfn.XLOOKUP(_xlfn.XLOOKUP($F1377,Clientes!$B$4:$B$39,Clientes!$C$4:$C$39),Cadastros!$L$6:$L$12,Cadastros!$M$6:$M$12)," ")</f>
        <v xml:space="preserve"> </v>
      </c>
      <c r="R1377" s="28"/>
      <c r="S1377" s="28"/>
      <c r="T1377" s="255" t="str">
        <f>IF(R1377="","",(_xlfn.XLOOKUP(R1377,Cadastros!$D$6:$D$90,Cadastros!$E$6:$E$90))*(1-_xlfn.XLOOKUP(_xlfn.XLOOKUP($F1377,Clientes!$B$4:$B$39,Clientes!$C$4:$C$39),Cadastros!$L$6:$L$12,Cadastros!$N$6:$N$12)))</f>
        <v/>
      </c>
      <c r="U1377" s="168" t="str">
        <f t="shared" si="276"/>
        <v/>
      </c>
      <c r="V1377" s="168" t="str">
        <f>IFERROR(U1377/_xlfn.XLOOKUP(_xlfn.XLOOKUP($F1377,Clientes!$B$4:$B$39,Clientes!$C$4:$C$39),Cadastros!$L$6:$L$12,Cadastros!$M$6:$M$12)," ")</f>
        <v xml:space="preserve"> </v>
      </c>
      <c r="W1377" s="28"/>
      <c r="X1377" s="28"/>
      <c r="Y1377" s="255" t="str">
        <f>IF(W1377="","",(_xlfn.XLOOKUP(W1377,Cadastros!$D$6:$D$90,Cadastros!$E$6:$E$90))*(1-_xlfn.XLOOKUP(_xlfn.XLOOKUP($F1377,Clientes!$B$4:$B$39,Clientes!$C$4:$C$39),Cadastros!$L$6:$L$12,Cadastros!$N$6:$N$12)))</f>
        <v/>
      </c>
      <c r="Z1377" s="168" t="str">
        <f t="shared" si="277"/>
        <v/>
      </c>
      <c r="AA1377" s="168" t="str">
        <f>IFERROR(Z1377/_xlfn.XLOOKUP(_xlfn.XLOOKUP($F1377,Clientes!$B$4:$B$39,Clientes!$C$4:$C$39),Cadastros!$L$6:$L$12,Cadastros!$M$6:$M$12)," ")</f>
        <v xml:space="preserve"> </v>
      </c>
      <c r="AB1377" s="28"/>
      <c r="AC1377" s="28"/>
      <c r="AD1377" s="20" t="str">
        <f>IF(AB1377="","",IF($F1377="Bernardino Furlan",_xlfn.XLOOKUP(AB1377,Cadastros!$G$6:$G$90,Cadastros!$H$6:$H$90)*(1-0.18),IF($F1377="Mauro José Salanti",_xlfn.XLOOKUP(AB1377,Cadastros!$G$6:$G$90,Cadastros!$H$6:$H$90)*(1-0.18),_xlfn.XLOOKUP(AB1377,Cadastros!$G$6:$G$90,Cadastros!$H$6:$H$90))))</f>
        <v/>
      </c>
      <c r="AE1377" s="168" t="str">
        <f t="shared" si="278"/>
        <v/>
      </c>
      <c r="AF1377" s="168" t="str">
        <f t="shared" si="279"/>
        <v/>
      </c>
      <c r="AG1377" s="28"/>
      <c r="AH1377" s="28"/>
      <c r="AI1377" s="20" t="str">
        <f>IF(AG1377="","",IF($F1377="Bernardino Furlan",_xlfn.XLOOKUP(AG1377,Cadastros!$G$6:$G$90,Cadastros!$H$6:$H$90)*(1-0.18),IF($F1377="Mauro José Salanti",_xlfn.XLOOKUP(AG1377,Cadastros!$G$6:$G$90,Cadastros!$H$6:$H$90)*(1-0.18),_xlfn.XLOOKUP(AG1377,Cadastros!$G$6:$G$90,Cadastros!$H$6:$H$90))))</f>
        <v/>
      </c>
      <c r="AJ1377" s="168" t="str">
        <f t="shared" si="280"/>
        <v/>
      </c>
      <c r="AK1377" s="168" t="str">
        <f t="shared" si="281"/>
        <v/>
      </c>
      <c r="AL1377" s="28"/>
      <c r="AM1377" s="28"/>
      <c r="AN1377" s="20" t="str">
        <f>IF(AL1377="","",IF($F1377="Bernardino Furlan",_xlfn.XLOOKUP(AL1377,Cadastros!$G$6:$G$90,Cadastros!$H$6:$H$90)*(1-0.18),IF($F1377="Mauro José Salanti",_xlfn.XLOOKUP(AL1377,Cadastros!$G$6:$G$90,Cadastros!$H$6:$H$90)*(1-0.18),_xlfn.XLOOKUP(AL1377,Cadastros!$G$6:$G$90,Cadastros!$H$6:$H$90))))</f>
        <v/>
      </c>
      <c r="AO1377" s="168" t="str">
        <f t="shared" si="282"/>
        <v/>
      </c>
      <c r="AP1377" s="168" t="str">
        <f t="shared" si="283"/>
        <v/>
      </c>
      <c r="AQ1377" s="28"/>
      <c r="AR1377" s="28"/>
      <c r="AS1377" s="20" t="str">
        <f>IF(AQ1377="","",IF($F1377="Bernardino Furlan",_xlfn.XLOOKUP(AQ1377,Cadastros!$G$6:$G$90,Cadastros!$H$6:$H$90)*(1-0.18),IF($F1377="Mauro José Salanti",_xlfn.XLOOKUP(AQ1377,Cadastros!$G$6:$G$90,Cadastros!$H$6:$H$90)*(1-0.18),_xlfn.XLOOKUP(AQ1377,Cadastros!$G$6:$G$90,Cadastros!$H$6:$H$90))))</f>
        <v/>
      </c>
      <c r="AT1377" s="168" t="str">
        <f t="shared" si="284"/>
        <v/>
      </c>
      <c r="AU1377" s="168" t="str">
        <f t="shared" si="285"/>
        <v/>
      </c>
      <c r="AV1377" s="227"/>
      <c r="AW1377" s="30"/>
      <c r="AX1377" s="267"/>
      <c r="AY1377" s="267"/>
      <c r="AZ1377" s="29"/>
      <c r="BA1377" s="30"/>
      <c r="BB1377" s="23" t="str" cm="1">
        <f t="array" ref="BB1377">_xlfn.IFS(AW1377="SIM",SUM(K1377,P1377,U1377,Z1377,AE1377,AJ1377,AO1377,AT1377,AX1377,AY1377),F1377&lt;&gt;"",SUM(K1377,P1377,U1377,Z1377,AE1377,AJ1377,,AO1377,AT1377),F1377="","")</f>
        <v/>
      </c>
      <c r="BC1377" s="211" t="str" cm="1">
        <f t="array" ref="BC1377">_xlfn.IFS(E1377="","",G1377&lt;=E1377,BB1377*(1-0.03),G1377&lt;(E1377+8),BB1377,AZ1377="Boleto",BB1377*(1+0.001)^DATEDIF(E1377,G1377,"D"),AZ1377="Cheque",BB1377,AZ1377="Dinheiro","Alterar forma pgto")</f>
        <v/>
      </c>
      <c r="BD1377" s="276" t="str" cm="1">
        <f t="array" ref="BD1377">IF(F1377=0," ",IF(BC1377&lt;BB1377,(_xlfn.IFS(AW1377="SIM",SUM(L1377,Q1377,V1377,AA1377,AF1377,AK1377,AP1377,AU1377)+AX1377/_xlfn.XLOOKUP(_xlfn.XLOOKUP($F1377,Clientes!$B$4:$B$39,Clientes!$C$4:$C$39),Cadastros!$L$6:$L$12,Cadastros!$M$6:$M$12)+IF($F1377="Bernardino Furlan",AY1377/2751.92,IF($F1377="Mauro José Salanti",AY1377/2751.92,AY1377/3356)),F1377&lt;&gt;0,SUM(L1377,Q1377,V1377,AA1377,AF1377,AK1377,AP1377,AU1377)))*(1-0.03),_xlfn.IFS(AW1377="SIM",SUM(L1377,Q1377,V1377,AA1377,AF1377,AK1377,AP1377,AU1377)+AX1377/_xlfn.XLOOKUP(_xlfn.XLOOKUP($F1377,Clientes!$B$4:$B$39,Clientes!$C$4:$C$39),Cadastros!$L$6:$L$12,Cadastros!$M$6:$M$12)+IF($F1377="Bernardino Furlan",AY1377/2751.92,IF($F1377="Mauro José Salanti",AY1377/2751.92,AY1377/3356)),F1377&lt;&gt;0,SUM(L1377,Q1377,V1377,AA1377,AF1377,AK1377,AP1377,AU1377))))</f>
        <v xml:space="preserve"> </v>
      </c>
      <c r="BE1377" s="120"/>
      <c r="BF1377" s="120"/>
      <c r="BG1377" s="120"/>
    </row>
    <row r="1378" spans="1:59" s="3" customFormat="1" x14ac:dyDescent="0.3">
      <c r="A1378" s="15" t="str">
        <f t="shared" si="273"/>
        <v/>
      </c>
      <c r="B1378" s="25"/>
      <c r="C1378" s="26"/>
      <c r="D1378" s="279"/>
      <c r="E1378" s="27"/>
      <c r="F1378" s="28"/>
      <c r="G1378" s="27"/>
      <c r="H1378" s="28"/>
      <c r="I1378" s="28"/>
      <c r="J1378" s="255" t="str">
        <f>IF(H1378="","",(_xlfn.XLOOKUP(H1378,Cadastros!$D$6:$D$90,Cadastros!$E$6:$E$90))*(1-_xlfn.XLOOKUP(_xlfn.XLOOKUP($F1378,Clientes!$B$4:$B$39,Clientes!$C$4:$C$39),Cadastros!$L$6:$L$12,Cadastros!$N$6:$N$12)))</f>
        <v/>
      </c>
      <c r="K1378" s="168" t="str">
        <f t="shared" si="274"/>
        <v/>
      </c>
      <c r="L1378" s="168" t="str">
        <f>IFERROR(K1378/_xlfn.XLOOKUP(_xlfn.XLOOKUP($F1378,Clientes!$B$4:$B$39,Clientes!$C$4:$C$39),Cadastros!$L$6:$L$12,Cadastros!$M$6:$M$12)," ")</f>
        <v xml:space="preserve"> </v>
      </c>
      <c r="M1378" s="28"/>
      <c r="N1378" s="28"/>
      <c r="O1378" s="255" t="str">
        <f>IF(M1378="","",(_xlfn.XLOOKUP(M1378,Cadastros!$D$6:$D$90,Cadastros!$E$6:$E$90))*(1-_xlfn.XLOOKUP(_xlfn.XLOOKUP($F1378,Clientes!$B$4:$B$39,Clientes!$C$4:$C$39),Cadastros!$L$6:$L$12,Cadastros!$N$6:$N$12)))</f>
        <v/>
      </c>
      <c r="P1378" s="168" t="str">
        <f t="shared" si="275"/>
        <v/>
      </c>
      <c r="Q1378" s="168" t="str">
        <f>IFERROR(P1378/_xlfn.XLOOKUP(_xlfn.XLOOKUP($F1378,Clientes!$B$4:$B$39,Clientes!$C$4:$C$39),Cadastros!$L$6:$L$12,Cadastros!$M$6:$M$12)," ")</f>
        <v xml:space="preserve"> </v>
      </c>
      <c r="R1378" s="28"/>
      <c r="S1378" s="28"/>
      <c r="T1378" s="255" t="str">
        <f>IF(R1378="","",(_xlfn.XLOOKUP(R1378,Cadastros!$D$6:$D$90,Cadastros!$E$6:$E$90))*(1-_xlfn.XLOOKUP(_xlfn.XLOOKUP($F1378,Clientes!$B$4:$B$39,Clientes!$C$4:$C$39),Cadastros!$L$6:$L$12,Cadastros!$N$6:$N$12)))</f>
        <v/>
      </c>
      <c r="U1378" s="168" t="str">
        <f t="shared" si="276"/>
        <v/>
      </c>
      <c r="V1378" s="168" t="str">
        <f>IFERROR(U1378/_xlfn.XLOOKUP(_xlfn.XLOOKUP($F1378,Clientes!$B$4:$B$39,Clientes!$C$4:$C$39),Cadastros!$L$6:$L$12,Cadastros!$M$6:$M$12)," ")</f>
        <v xml:space="preserve"> </v>
      </c>
      <c r="W1378" s="28"/>
      <c r="X1378" s="28"/>
      <c r="Y1378" s="255" t="str">
        <f>IF(W1378="","",(_xlfn.XLOOKUP(W1378,Cadastros!$D$6:$D$90,Cadastros!$E$6:$E$90))*(1-_xlfn.XLOOKUP(_xlfn.XLOOKUP($F1378,Clientes!$B$4:$B$39,Clientes!$C$4:$C$39),Cadastros!$L$6:$L$12,Cadastros!$N$6:$N$12)))</f>
        <v/>
      </c>
      <c r="Z1378" s="168" t="str">
        <f t="shared" si="277"/>
        <v/>
      </c>
      <c r="AA1378" s="168" t="str">
        <f>IFERROR(Z1378/_xlfn.XLOOKUP(_xlfn.XLOOKUP($F1378,Clientes!$B$4:$B$39,Clientes!$C$4:$C$39),Cadastros!$L$6:$L$12,Cadastros!$M$6:$M$12)," ")</f>
        <v xml:space="preserve"> </v>
      </c>
      <c r="AB1378" s="28"/>
      <c r="AC1378" s="28"/>
      <c r="AD1378" s="20" t="str">
        <f>IF(AB1378="","",IF($F1378="Bernardino Furlan",_xlfn.XLOOKUP(AB1378,Cadastros!$G$6:$G$90,Cadastros!$H$6:$H$90)*(1-0.18),IF($F1378="Mauro José Salanti",_xlfn.XLOOKUP(AB1378,Cadastros!$G$6:$G$90,Cadastros!$H$6:$H$90)*(1-0.18),_xlfn.XLOOKUP(AB1378,Cadastros!$G$6:$G$90,Cadastros!$H$6:$H$90))))</f>
        <v/>
      </c>
      <c r="AE1378" s="168" t="str">
        <f t="shared" si="278"/>
        <v/>
      </c>
      <c r="AF1378" s="168" t="str">
        <f t="shared" si="279"/>
        <v/>
      </c>
      <c r="AG1378" s="28"/>
      <c r="AH1378" s="28"/>
      <c r="AI1378" s="20" t="str">
        <f>IF(AG1378="","",IF($F1378="Bernardino Furlan",_xlfn.XLOOKUP(AG1378,Cadastros!$G$6:$G$90,Cadastros!$H$6:$H$90)*(1-0.18),IF($F1378="Mauro José Salanti",_xlfn.XLOOKUP(AG1378,Cadastros!$G$6:$G$90,Cadastros!$H$6:$H$90)*(1-0.18),_xlfn.XLOOKUP(AG1378,Cadastros!$G$6:$G$90,Cadastros!$H$6:$H$90))))</f>
        <v/>
      </c>
      <c r="AJ1378" s="168" t="str">
        <f t="shared" si="280"/>
        <v/>
      </c>
      <c r="AK1378" s="168" t="str">
        <f t="shared" si="281"/>
        <v/>
      </c>
      <c r="AL1378" s="28"/>
      <c r="AM1378" s="28"/>
      <c r="AN1378" s="20" t="str">
        <f>IF(AL1378="","",IF($F1378="Bernardino Furlan",_xlfn.XLOOKUP(AL1378,Cadastros!$G$6:$G$90,Cadastros!$H$6:$H$90)*(1-0.18),IF($F1378="Mauro José Salanti",_xlfn.XLOOKUP(AL1378,Cadastros!$G$6:$G$90,Cadastros!$H$6:$H$90)*(1-0.18),_xlfn.XLOOKUP(AL1378,Cadastros!$G$6:$G$90,Cadastros!$H$6:$H$90))))</f>
        <v/>
      </c>
      <c r="AO1378" s="168" t="str">
        <f t="shared" si="282"/>
        <v/>
      </c>
      <c r="AP1378" s="168" t="str">
        <f t="shared" si="283"/>
        <v/>
      </c>
      <c r="AQ1378" s="28"/>
      <c r="AR1378" s="28"/>
      <c r="AS1378" s="20" t="str">
        <f>IF(AQ1378="","",IF($F1378="Bernardino Furlan",_xlfn.XLOOKUP(AQ1378,Cadastros!$G$6:$G$90,Cadastros!$H$6:$H$90)*(1-0.18),IF($F1378="Mauro José Salanti",_xlfn.XLOOKUP(AQ1378,Cadastros!$G$6:$G$90,Cadastros!$H$6:$H$90)*(1-0.18),_xlfn.XLOOKUP(AQ1378,Cadastros!$G$6:$G$90,Cadastros!$H$6:$H$90))))</f>
        <v/>
      </c>
      <c r="AT1378" s="168" t="str">
        <f t="shared" si="284"/>
        <v/>
      </c>
      <c r="AU1378" s="168" t="str">
        <f t="shared" si="285"/>
        <v/>
      </c>
      <c r="AV1378" s="227"/>
      <c r="AW1378" s="30"/>
      <c r="AX1378" s="267"/>
      <c r="AY1378" s="267"/>
      <c r="AZ1378" s="29"/>
      <c r="BA1378" s="30"/>
      <c r="BB1378" s="23" t="str" cm="1">
        <f t="array" ref="BB1378">_xlfn.IFS(AW1378="SIM",SUM(K1378,P1378,U1378,Z1378,AE1378,AJ1378,AO1378,AT1378,AX1378,AY1378),F1378&lt;&gt;"",SUM(K1378,P1378,U1378,Z1378,AE1378,AJ1378,,AO1378,AT1378),F1378="","")</f>
        <v/>
      </c>
      <c r="BC1378" s="211" t="str" cm="1">
        <f t="array" ref="BC1378">_xlfn.IFS(E1378="","",G1378&lt;=E1378,BB1378*(1-0.03),G1378&lt;(E1378+8),BB1378,AZ1378="Boleto",BB1378*(1+0.001)^DATEDIF(E1378,G1378,"D"),AZ1378="Cheque",BB1378,AZ1378="Dinheiro","Alterar forma pgto")</f>
        <v/>
      </c>
      <c r="BD1378" s="276" t="str" cm="1">
        <f t="array" ref="BD1378">IF(F1378=0," ",IF(BC1378&lt;BB1378,(_xlfn.IFS(AW1378="SIM",SUM(L1378,Q1378,V1378,AA1378,AF1378,AK1378,AP1378,AU1378)+AX1378/_xlfn.XLOOKUP(_xlfn.XLOOKUP($F1378,Clientes!$B$4:$B$39,Clientes!$C$4:$C$39),Cadastros!$L$6:$L$12,Cadastros!$M$6:$M$12)+IF($F1378="Bernardino Furlan",AY1378/2751.92,IF($F1378="Mauro José Salanti",AY1378/2751.92,AY1378/3356)),F1378&lt;&gt;0,SUM(L1378,Q1378,V1378,AA1378,AF1378,AK1378,AP1378,AU1378)))*(1-0.03),_xlfn.IFS(AW1378="SIM",SUM(L1378,Q1378,V1378,AA1378,AF1378,AK1378,AP1378,AU1378)+AX1378/_xlfn.XLOOKUP(_xlfn.XLOOKUP($F1378,Clientes!$B$4:$B$39,Clientes!$C$4:$C$39),Cadastros!$L$6:$L$12,Cadastros!$M$6:$M$12)+IF($F1378="Bernardino Furlan",AY1378/2751.92,IF($F1378="Mauro José Salanti",AY1378/2751.92,AY1378/3356)),F1378&lt;&gt;0,SUM(L1378,Q1378,V1378,AA1378,AF1378,AK1378,AP1378,AU1378))))</f>
        <v xml:space="preserve"> </v>
      </c>
      <c r="BE1378" s="120"/>
      <c r="BF1378" s="120"/>
      <c r="BG1378" s="120"/>
    </row>
    <row r="1379" spans="1:59" s="3" customFormat="1" x14ac:dyDescent="0.3">
      <c r="A1379" s="15" t="str">
        <f t="shared" si="273"/>
        <v/>
      </c>
      <c r="B1379" s="25"/>
      <c r="C1379" s="26"/>
      <c r="D1379" s="279"/>
      <c r="E1379" s="27"/>
      <c r="F1379" s="28"/>
      <c r="G1379" s="27"/>
      <c r="H1379" s="28"/>
      <c r="I1379" s="28"/>
      <c r="J1379" s="255" t="str">
        <f>IF(H1379="","",(_xlfn.XLOOKUP(H1379,Cadastros!$D$6:$D$90,Cadastros!$E$6:$E$90))*(1-_xlfn.XLOOKUP(_xlfn.XLOOKUP($F1379,Clientes!$B$4:$B$39,Clientes!$C$4:$C$39),Cadastros!$L$6:$L$12,Cadastros!$N$6:$N$12)))</f>
        <v/>
      </c>
      <c r="K1379" s="168" t="str">
        <f t="shared" si="274"/>
        <v/>
      </c>
      <c r="L1379" s="168" t="str">
        <f>IFERROR(K1379/_xlfn.XLOOKUP(_xlfn.XLOOKUP($F1379,Clientes!$B$4:$B$39,Clientes!$C$4:$C$39),Cadastros!$L$6:$L$12,Cadastros!$M$6:$M$12)," ")</f>
        <v xml:space="preserve"> </v>
      </c>
      <c r="M1379" s="28"/>
      <c r="N1379" s="28"/>
      <c r="O1379" s="255" t="str">
        <f>IF(M1379="","",(_xlfn.XLOOKUP(M1379,Cadastros!$D$6:$D$90,Cadastros!$E$6:$E$90))*(1-_xlfn.XLOOKUP(_xlfn.XLOOKUP($F1379,Clientes!$B$4:$B$39,Clientes!$C$4:$C$39),Cadastros!$L$6:$L$12,Cadastros!$N$6:$N$12)))</f>
        <v/>
      </c>
      <c r="P1379" s="168" t="str">
        <f t="shared" si="275"/>
        <v/>
      </c>
      <c r="Q1379" s="168" t="str">
        <f>IFERROR(P1379/_xlfn.XLOOKUP(_xlfn.XLOOKUP($F1379,Clientes!$B$4:$B$39,Clientes!$C$4:$C$39),Cadastros!$L$6:$L$12,Cadastros!$M$6:$M$12)," ")</f>
        <v xml:space="preserve"> </v>
      </c>
      <c r="R1379" s="28"/>
      <c r="S1379" s="28"/>
      <c r="T1379" s="255" t="str">
        <f>IF(R1379="","",(_xlfn.XLOOKUP(R1379,Cadastros!$D$6:$D$90,Cadastros!$E$6:$E$90))*(1-_xlfn.XLOOKUP(_xlfn.XLOOKUP($F1379,Clientes!$B$4:$B$39,Clientes!$C$4:$C$39),Cadastros!$L$6:$L$12,Cadastros!$N$6:$N$12)))</f>
        <v/>
      </c>
      <c r="U1379" s="168" t="str">
        <f t="shared" si="276"/>
        <v/>
      </c>
      <c r="V1379" s="168" t="str">
        <f>IFERROR(U1379/_xlfn.XLOOKUP(_xlfn.XLOOKUP($F1379,Clientes!$B$4:$B$39,Clientes!$C$4:$C$39),Cadastros!$L$6:$L$12,Cadastros!$M$6:$M$12)," ")</f>
        <v xml:space="preserve"> </v>
      </c>
      <c r="W1379" s="28"/>
      <c r="X1379" s="28"/>
      <c r="Y1379" s="255" t="str">
        <f>IF(W1379="","",(_xlfn.XLOOKUP(W1379,Cadastros!$D$6:$D$90,Cadastros!$E$6:$E$90))*(1-_xlfn.XLOOKUP(_xlfn.XLOOKUP($F1379,Clientes!$B$4:$B$39,Clientes!$C$4:$C$39),Cadastros!$L$6:$L$12,Cadastros!$N$6:$N$12)))</f>
        <v/>
      </c>
      <c r="Z1379" s="168" t="str">
        <f t="shared" si="277"/>
        <v/>
      </c>
      <c r="AA1379" s="168" t="str">
        <f>IFERROR(Z1379/_xlfn.XLOOKUP(_xlfn.XLOOKUP($F1379,Clientes!$B$4:$B$39,Clientes!$C$4:$C$39),Cadastros!$L$6:$L$12,Cadastros!$M$6:$M$12)," ")</f>
        <v xml:space="preserve"> </v>
      </c>
      <c r="AB1379" s="28"/>
      <c r="AC1379" s="28"/>
      <c r="AD1379" s="20" t="str">
        <f>IF(AB1379="","",IF($F1379="Bernardino Furlan",_xlfn.XLOOKUP(AB1379,Cadastros!$G$6:$G$90,Cadastros!$H$6:$H$90)*(1-0.18),IF($F1379="Mauro José Salanti",_xlfn.XLOOKUP(AB1379,Cadastros!$G$6:$G$90,Cadastros!$H$6:$H$90)*(1-0.18),_xlfn.XLOOKUP(AB1379,Cadastros!$G$6:$G$90,Cadastros!$H$6:$H$90))))</f>
        <v/>
      </c>
      <c r="AE1379" s="168" t="str">
        <f t="shared" si="278"/>
        <v/>
      </c>
      <c r="AF1379" s="168" t="str">
        <f t="shared" si="279"/>
        <v/>
      </c>
      <c r="AG1379" s="28"/>
      <c r="AH1379" s="28"/>
      <c r="AI1379" s="20" t="str">
        <f>IF(AG1379="","",IF($F1379="Bernardino Furlan",_xlfn.XLOOKUP(AG1379,Cadastros!$G$6:$G$90,Cadastros!$H$6:$H$90)*(1-0.18),IF($F1379="Mauro José Salanti",_xlfn.XLOOKUP(AG1379,Cadastros!$G$6:$G$90,Cadastros!$H$6:$H$90)*(1-0.18),_xlfn.XLOOKUP(AG1379,Cadastros!$G$6:$G$90,Cadastros!$H$6:$H$90))))</f>
        <v/>
      </c>
      <c r="AJ1379" s="168" t="str">
        <f t="shared" si="280"/>
        <v/>
      </c>
      <c r="AK1379" s="168" t="str">
        <f t="shared" si="281"/>
        <v/>
      </c>
      <c r="AL1379" s="28"/>
      <c r="AM1379" s="28"/>
      <c r="AN1379" s="20" t="str">
        <f>IF(AL1379="","",IF($F1379="Bernardino Furlan",_xlfn.XLOOKUP(AL1379,Cadastros!$G$6:$G$90,Cadastros!$H$6:$H$90)*(1-0.18),IF($F1379="Mauro José Salanti",_xlfn.XLOOKUP(AL1379,Cadastros!$G$6:$G$90,Cadastros!$H$6:$H$90)*(1-0.18),_xlfn.XLOOKUP(AL1379,Cadastros!$G$6:$G$90,Cadastros!$H$6:$H$90))))</f>
        <v/>
      </c>
      <c r="AO1379" s="168" t="str">
        <f t="shared" si="282"/>
        <v/>
      </c>
      <c r="AP1379" s="168" t="str">
        <f t="shared" si="283"/>
        <v/>
      </c>
      <c r="AQ1379" s="28"/>
      <c r="AR1379" s="28"/>
      <c r="AS1379" s="20" t="str">
        <f>IF(AQ1379="","",IF($F1379="Bernardino Furlan",_xlfn.XLOOKUP(AQ1379,Cadastros!$G$6:$G$90,Cadastros!$H$6:$H$90)*(1-0.18),IF($F1379="Mauro José Salanti",_xlfn.XLOOKUP(AQ1379,Cadastros!$G$6:$G$90,Cadastros!$H$6:$H$90)*(1-0.18),_xlfn.XLOOKUP(AQ1379,Cadastros!$G$6:$G$90,Cadastros!$H$6:$H$90))))</f>
        <v/>
      </c>
      <c r="AT1379" s="168" t="str">
        <f t="shared" si="284"/>
        <v/>
      </c>
      <c r="AU1379" s="168" t="str">
        <f t="shared" si="285"/>
        <v/>
      </c>
      <c r="AV1379" s="227"/>
      <c r="AW1379" s="30"/>
      <c r="AX1379" s="267"/>
      <c r="AY1379" s="267"/>
      <c r="AZ1379" s="29"/>
      <c r="BA1379" s="30"/>
      <c r="BB1379" s="23" t="str" cm="1">
        <f t="array" ref="BB1379">_xlfn.IFS(AW1379="SIM",SUM(K1379,P1379,U1379,Z1379,AE1379,AJ1379,AO1379,AT1379,AX1379,AY1379),F1379&lt;&gt;"",SUM(K1379,P1379,U1379,Z1379,AE1379,AJ1379,,AO1379,AT1379),F1379="","")</f>
        <v/>
      </c>
      <c r="BC1379" s="211" t="str" cm="1">
        <f t="array" ref="BC1379">_xlfn.IFS(E1379="","",G1379&lt;=E1379,BB1379*(1-0.03),G1379&lt;(E1379+8),BB1379,AZ1379="Boleto",BB1379*(1+0.001)^DATEDIF(E1379,G1379,"D"),AZ1379="Cheque",BB1379,AZ1379="Dinheiro","Alterar forma pgto")</f>
        <v/>
      </c>
      <c r="BD1379" s="276" t="str" cm="1">
        <f t="array" ref="BD1379">IF(F1379=0," ",IF(BC1379&lt;BB1379,(_xlfn.IFS(AW1379="SIM",SUM(L1379,Q1379,V1379,AA1379,AF1379,AK1379,AP1379,AU1379)+AX1379/_xlfn.XLOOKUP(_xlfn.XLOOKUP($F1379,Clientes!$B$4:$B$39,Clientes!$C$4:$C$39),Cadastros!$L$6:$L$12,Cadastros!$M$6:$M$12)+IF($F1379="Bernardino Furlan",AY1379/2751.92,IF($F1379="Mauro José Salanti",AY1379/2751.92,AY1379/3356)),F1379&lt;&gt;0,SUM(L1379,Q1379,V1379,AA1379,AF1379,AK1379,AP1379,AU1379)))*(1-0.03),_xlfn.IFS(AW1379="SIM",SUM(L1379,Q1379,V1379,AA1379,AF1379,AK1379,AP1379,AU1379)+AX1379/_xlfn.XLOOKUP(_xlfn.XLOOKUP($F1379,Clientes!$B$4:$B$39,Clientes!$C$4:$C$39),Cadastros!$L$6:$L$12,Cadastros!$M$6:$M$12)+IF($F1379="Bernardino Furlan",AY1379/2751.92,IF($F1379="Mauro José Salanti",AY1379/2751.92,AY1379/3356)),F1379&lt;&gt;0,SUM(L1379,Q1379,V1379,AA1379,AF1379,AK1379,AP1379,AU1379))))</f>
        <v xml:space="preserve"> </v>
      </c>
      <c r="BE1379" s="120"/>
      <c r="BF1379" s="120"/>
      <c r="BG1379" s="120"/>
    </row>
    <row r="1380" spans="1:59" s="3" customFormat="1" x14ac:dyDescent="0.3">
      <c r="A1380" s="15" t="str">
        <f t="shared" si="273"/>
        <v/>
      </c>
      <c r="B1380" s="25"/>
      <c r="C1380" s="26"/>
      <c r="D1380" s="279"/>
      <c r="E1380" s="27"/>
      <c r="F1380" s="28"/>
      <c r="G1380" s="27"/>
      <c r="H1380" s="28"/>
      <c r="I1380" s="28"/>
      <c r="J1380" s="255" t="str">
        <f>IF(H1380="","",(_xlfn.XLOOKUP(H1380,Cadastros!$D$6:$D$90,Cadastros!$E$6:$E$90))*(1-_xlfn.XLOOKUP(_xlfn.XLOOKUP($F1380,Clientes!$B$4:$B$39,Clientes!$C$4:$C$39),Cadastros!$L$6:$L$12,Cadastros!$N$6:$N$12)))</f>
        <v/>
      </c>
      <c r="K1380" s="168" t="str">
        <f t="shared" si="274"/>
        <v/>
      </c>
      <c r="L1380" s="168" t="str">
        <f>IFERROR(K1380/_xlfn.XLOOKUP(_xlfn.XLOOKUP($F1380,Clientes!$B$4:$B$39,Clientes!$C$4:$C$39),Cadastros!$L$6:$L$12,Cadastros!$M$6:$M$12)," ")</f>
        <v xml:space="preserve"> </v>
      </c>
      <c r="M1380" s="28"/>
      <c r="N1380" s="28"/>
      <c r="O1380" s="255" t="str">
        <f>IF(M1380="","",(_xlfn.XLOOKUP(M1380,Cadastros!$D$6:$D$90,Cadastros!$E$6:$E$90))*(1-_xlfn.XLOOKUP(_xlfn.XLOOKUP($F1380,Clientes!$B$4:$B$39,Clientes!$C$4:$C$39),Cadastros!$L$6:$L$12,Cadastros!$N$6:$N$12)))</f>
        <v/>
      </c>
      <c r="P1380" s="168" t="str">
        <f t="shared" si="275"/>
        <v/>
      </c>
      <c r="Q1380" s="168" t="str">
        <f>IFERROR(P1380/_xlfn.XLOOKUP(_xlfn.XLOOKUP($F1380,Clientes!$B$4:$B$39,Clientes!$C$4:$C$39),Cadastros!$L$6:$L$12,Cadastros!$M$6:$M$12)," ")</f>
        <v xml:space="preserve"> </v>
      </c>
      <c r="R1380" s="28"/>
      <c r="S1380" s="28"/>
      <c r="T1380" s="255" t="str">
        <f>IF(R1380="","",(_xlfn.XLOOKUP(R1380,Cadastros!$D$6:$D$90,Cadastros!$E$6:$E$90))*(1-_xlfn.XLOOKUP(_xlfn.XLOOKUP($F1380,Clientes!$B$4:$B$39,Clientes!$C$4:$C$39),Cadastros!$L$6:$L$12,Cadastros!$N$6:$N$12)))</f>
        <v/>
      </c>
      <c r="U1380" s="168" t="str">
        <f t="shared" si="276"/>
        <v/>
      </c>
      <c r="V1380" s="168" t="str">
        <f>IFERROR(U1380/_xlfn.XLOOKUP(_xlfn.XLOOKUP($F1380,Clientes!$B$4:$B$39,Clientes!$C$4:$C$39),Cadastros!$L$6:$L$12,Cadastros!$M$6:$M$12)," ")</f>
        <v xml:space="preserve"> </v>
      </c>
      <c r="W1380" s="28"/>
      <c r="X1380" s="28"/>
      <c r="Y1380" s="255" t="str">
        <f>IF(W1380="","",(_xlfn.XLOOKUP(W1380,Cadastros!$D$6:$D$90,Cadastros!$E$6:$E$90))*(1-_xlfn.XLOOKUP(_xlfn.XLOOKUP($F1380,Clientes!$B$4:$B$39,Clientes!$C$4:$C$39),Cadastros!$L$6:$L$12,Cadastros!$N$6:$N$12)))</f>
        <v/>
      </c>
      <c r="Z1380" s="168" t="str">
        <f t="shared" si="277"/>
        <v/>
      </c>
      <c r="AA1380" s="168" t="str">
        <f>IFERROR(Z1380/_xlfn.XLOOKUP(_xlfn.XLOOKUP($F1380,Clientes!$B$4:$B$39,Clientes!$C$4:$C$39),Cadastros!$L$6:$L$12,Cadastros!$M$6:$M$12)," ")</f>
        <v xml:space="preserve"> </v>
      </c>
      <c r="AB1380" s="28"/>
      <c r="AC1380" s="28"/>
      <c r="AD1380" s="20" t="str">
        <f>IF(AB1380="","",IF($F1380="Bernardino Furlan",_xlfn.XLOOKUP(AB1380,Cadastros!$G$6:$G$90,Cadastros!$H$6:$H$90)*(1-0.18),IF($F1380="Mauro José Salanti",_xlfn.XLOOKUP(AB1380,Cadastros!$G$6:$G$90,Cadastros!$H$6:$H$90)*(1-0.18),_xlfn.XLOOKUP(AB1380,Cadastros!$G$6:$G$90,Cadastros!$H$6:$H$90))))</f>
        <v/>
      </c>
      <c r="AE1380" s="168" t="str">
        <f t="shared" si="278"/>
        <v/>
      </c>
      <c r="AF1380" s="168" t="str">
        <f t="shared" si="279"/>
        <v/>
      </c>
      <c r="AG1380" s="28"/>
      <c r="AH1380" s="28"/>
      <c r="AI1380" s="20" t="str">
        <f>IF(AG1380="","",IF($F1380="Bernardino Furlan",_xlfn.XLOOKUP(AG1380,Cadastros!$G$6:$G$90,Cadastros!$H$6:$H$90)*(1-0.18),IF($F1380="Mauro José Salanti",_xlfn.XLOOKUP(AG1380,Cadastros!$G$6:$G$90,Cadastros!$H$6:$H$90)*(1-0.18),_xlfn.XLOOKUP(AG1380,Cadastros!$G$6:$G$90,Cadastros!$H$6:$H$90))))</f>
        <v/>
      </c>
      <c r="AJ1380" s="168" t="str">
        <f t="shared" si="280"/>
        <v/>
      </c>
      <c r="AK1380" s="168" t="str">
        <f t="shared" si="281"/>
        <v/>
      </c>
      <c r="AL1380" s="28"/>
      <c r="AM1380" s="28"/>
      <c r="AN1380" s="20" t="str">
        <f>IF(AL1380="","",IF($F1380="Bernardino Furlan",_xlfn.XLOOKUP(AL1380,Cadastros!$G$6:$G$90,Cadastros!$H$6:$H$90)*(1-0.18),IF($F1380="Mauro José Salanti",_xlfn.XLOOKUP(AL1380,Cadastros!$G$6:$G$90,Cadastros!$H$6:$H$90)*(1-0.18),_xlfn.XLOOKUP(AL1380,Cadastros!$G$6:$G$90,Cadastros!$H$6:$H$90))))</f>
        <v/>
      </c>
      <c r="AO1380" s="168" t="str">
        <f t="shared" si="282"/>
        <v/>
      </c>
      <c r="AP1380" s="168" t="str">
        <f t="shared" si="283"/>
        <v/>
      </c>
      <c r="AQ1380" s="28"/>
      <c r="AR1380" s="28"/>
      <c r="AS1380" s="20" t="str">
        <f>IF(AQ1380="","",IF($F1380="Bernardino Furlan",_xlfn.XLOOKUP(AQ1380,Cadastros!$G$6:$G$90,Cadastros!$H$6:$H$90)*(1-0.18),IF($F1380="Mauro José Salanti",_xlfn.XLOOKUP(AQ1380,Cadastros!$G$6:$G$90,Cadastros!$H$6:$H$90)*(1-0.18),_xlfn.XLOOKUP(AQ1380,Cadastros!$G$6:$G$90,Cadastros!$H$6:$H$90))))</f>
        <v/>
      </c>
      <c r="AT1380" s="168" t="str">
        <f t="shared" si="284"/>
        <v/>
      </c>
      <c r="AU1380" s="168" t="str">
        <f t="shared" si="285"/>
        <v/>
      </c>
      <c r="AV1380" s="227"/>
      <c r="AW1380" s="30"/>
      <c r="AX1380" s="267"/>
      <c r="AY1380" s="267"/>
      <c r="AZ1380" s="29"/>
      <c r="BA1380" s="30"/>
      <c r="BB1380" s="23" t="str" cm="1">
        <f t="array" ref="BB1380">_xlfn.IFS(AW1380="SIM",SUM(K1380,P1380,U1380,Z1380,AE1380,AJ1380,AO1380,AT1380,AX1380,AY1380),F1380&lt;&gt;"",SUM(K1380,P1380,U1380,Z1380,AE1380,AJ1380,,AO1380,AT1380),F1380="","")</f>
        <v/>
      </c>
      <c r="BC1380" s="211" t="str" cm="1">
        <f t="array" ref="BC1380">_xlfn.IFS(E1380="","",G1380&lt;=E1380,BB1380*(1-0.03),G1380&lt;(E1380+8),BB1380,AZ1380="Boleto",BB1380*(1+0.001)^DATEDIF(E1380,G1380,"D"),AZ1380="Cheque",BB1380,AZ1380="Dinheiro","Alterar forma pgto")</f>
        <v/>
      </c>
      <c r="BD1380" s="276" t="str" cm="1">
        <f t="array" ref="BD1380">IF(F1380=0," ",IF(BC1380&lt;BB1380,(_xlfn.IFS(AW1380="SIM",SUM(L1380,Q1380,V1380,AA1380,AF1380,AK1380,AP1380,AU1380)+AX1380/_xlfn.XLOOKUP(_xlfn.XLOOKUP($F1380,Clientes!$B$4:$B$39,Clientes!$C$4:$C$39),Cadastros!$L$6:$L$12,Cadastros!$M$6:$M$12)+IF($F1380="Bernardino Furlan",AY1380/2751.92,IF($F1380="Mauro José Salanti",AY1380/2751.92,AY1380/3356)),F1380&lt;&gt;0,SUM(L1380,Q1380,V1380,AA1380,AF1380,AK1380,AP1380,AU1380)))*(1-0.03),_xlfn.IFS(AW1380="SIM",SUM(L1380,Q1380,V1380,AA1380,AF1380,AK1380,AP1380,AU1380)+AX1380/_xlfn.XLOOKUP(_xlfn.XLOOKUP($F1380,Clientes!$B$4:$B$39,Clientes!$C$4:$C$39),Cadastros!$L$6:$L$12,Cadastros!$M$6:$M$12)+IF($F1380="Bernardino Furlan",AY1380/2751.92,IF($F1380="Mauro José Salanti",AY1380/2751.92,AY1380/3356)),F1380&lt;&gt;0,SUM(L1380,Q1380,V1380,AA1380,AF1380,AK1380,AP1380,AU1380))))</f>
        <v xml:space="preserve"> </v>
      </c>
      <c r="BE1380" s="120"/>
      <c r="BF1380" s="120"/>
      <c r="BG1380" s="120"/>
    </row>
    <row r="1381" spans="1:59" s="3" customFormat="1" x14ac:dyDescent="0.3">
      <c r="A1381" s="15" t="str">
        <f t="shared" si="273"/>
        <v/>
      </c>
      <c r="B1381" s="25"/>
      <c r="C1381" s="26"/>
      <c r="D1381" s="279"/>
      <c r="E1381" s="27"/>
      <c r="F1381" s="28"/>
      <c r="G1381" s="27"/>
      <c r="H1381" s="28"/>
      <c r="I1381" s="28"/>
      <c r="J1381" s="255" t="str">
        <f>IF(H1381="","",(_xlfn.XLOOKUP(H1381,Cadastros!$D$6:$D$90,Cadastros!$E$6:$E$90))*(1-_xlfn.XLOOKUP(_xlfn.XLOOKUP($F1381,Clientes!$B$4:$B$39,Clientes!$C$4:$C$39),Cadastros!$L$6:$L$12,Cadastros!$N$6:$N$12)))</f>
        <v/>
      </c>
      <c r="K1381" s="168" t="str">
        <f t="shared" si="274"/>
        <v/>
      </c>
      <c r="L1381" s="168" t="str">
        <f>IFERROR(K1381/_xlfn.XLOOKUP(_xlfn.XLOOKUP($F1381,Clientes!$B$4:$B$39,Clientes!$C$4:$C$39),Cadastros!$L$6:$L$12,Cadastros!$M$6:$M$12)," ")</f>
        <v xml:space="preserve"> </v>
      </c>
      <c r="M1381" s="28"/>
      <c r="N1381" s="28"/>
      <c r="O1381" s="255" t="str">
        <f>IF(M1381="","",(_xlfn.XLOOKUP(M1381,Cadastros!$D$6:$D$90,Cadastros!$E$6:$E$90))*(1-_xlfn.XLOOKUP(_xlfn.XLOOKUP($F1381,Clientes!$B$4:$B$39,Clientes!$C$4:$C$39),Cadastros!$L$6:$L$12,Cadastros!$N$6:$N$12)))</f>
        <v/>
      </c>
      <c r="P1381" s="168" t="str">
        <f t="shared" si="275"/>
        <v/>
      </c>
      <c r="Q1381" s="168" t="str">
        <f>IFERROR(P1381/_xlfn.XLOOKUP(_xlfn.XLOOKUP($F1381,Clientes!$B$4:$B$39,Clientes!$C$4:$C$39),Cadastros!$L$6:$L$12,Cadastros!$M$6:$M$12)," ")</f>
        <v xml:space="preserve"> </v>
      </c>
      <c r="R1381" s="28"/>
      <c r="S1381" s="28"/>
      <c r="T1381" s="255" t="str">
        <f>IF(R1381="","",(_xlfn.XLOOKUP(R1381,Cadastros!$D$6:$D$90,Cadastros!$E$6:$E$90))*(1-_xlfn.XLOOKUP(_xlfn.XLOOKUP($F1381,Clientes!$B$4:$B$39,Clientes!$C$4:$C$39),Cadastros!$L$6:$L$12,Cadastros!$N$6:$N$12)))</f>
        <v/>
      </c>
      <c r="U1381" s="168" t="str">
        <f t="shared" si="276"/>
        <v/>
      </c>
      <c r="V1381" s="168" t="str">
        <f>IFERROR(U1381/_xlfn.XLOOKUP(_xlfn.XLOOKUP($F1381,Clientes!$B$4:$B$39,Clientes!$C$4:$C$39),Cadastros!$L$6:$L$12,Cadastros!$M$6:$M$12)," ")</f>
        <v xml:space="preserve"> </v>
      </c>
      <c r="W1381" s="28"/>
      <c r="X1381" s="28"/>
      <c r="Y1381" s="255" t="str">
        <f>IF(W1381="","",(_xlfn.XLOOKUP(W1381,Cadastros!$D$6:$D$90,Cadastros!$E$6:$E$90))*(1-_xlfn.XLOOKUP(_xlfn.XLOOKUP($F1381,Clientes!$B$4:$B$39,Clientes!$C$4:$C$39),Cadastros!$L$6:$L$12,Cadastros!$N$6:$N$12)))</f>
        <v/>
      </c>
      <c r="Z1381" s="168" t="str">
        <f t="shared" si="277"/>
        <v/>
      </c>
      <c r="AA1381" s="168" t="str">
        <f>IFERROR(Z1381/_xlfn.XLOOKUP(_xlfn.XLOOKUP($F1381,Clientes!$B$4:$B$39,Clientes!$C$4:$C$39),Cadastros!$L$6:$L$12,Cadastros!$M$6:$M$12)," ")</f>
        <v xml:space="preserve"> </v>
      </c>
      <c r="AB1381" s="28"/>
      <c r="AC1381" s="28"/>
      <c r="AD1381" s="20" t="str">
        <f>IF(AB1381="","",IF($F1381="Bernardino Furlan",_xlfn.XLOOKUP(AB1381,Cadastros!$G$6:$G$90,Cadastros!$H$6:$H$90)*(1-0.18),IF($F1381="Mauro José Salanti",_xlfn.XLOOKUP(AB1381,Cadastros!$G$6:$G$90,Cadastros!$H$6:$H$90)*(1-0.18),_xlfn.XLOOKUP(AB1381,Cadastros!$G$6:$G$90,Cadastros!$H$6:$H$90))))</f>
        <v/>
      </c>
      <c r="AE1381" s="168" t="str">
        <f t="shared" si="278"/>
        <v/>
      </c>
      <c r="AF1381" s="168" t="str">
        <f t="shared" si="279"/>
        <v/>
      </c>
      <c r="AG1381" s="28"/>
      <c r="AH1381" s="28"/>
      <c r="AI1381" s="20" t="str">
        <f>IF(AG1381="","",IF($F1381="Bernardino Furlan",_xlfn.XLOOKUP(AG1381,Cadastros!$G$6:$G$90,Cadastros!$H$6:$H$90)*(1-0.18),IF($F1381="Mauro José Salanti",_xlfn.XLOOKUP(AG1381,Cadastros!$G$6:$G$90,Cadastros!$H$6:$H$90)*(1-0.18),_xlfn.XLOOKUP(AG1381,Cadastros!$G$6:$G$90,Cadastros!$H$6:$H$90))))</f>
        <v/>
      </c>
      <c r="AJ1381" s="168" t="str">
        <f t="shared" si="280"/>
        <v/>
      </c>
      <c r="AK1381" s="168" t="str">
        <f t="shared" si="281"/>
        <v/>
      </c>
      <c r="AL1381" s="28"/>
      <c r="AM1381" s="28"/>
      <c r="AN1381" s="20" t="str">
        <f>IF(AL1381="","",IF($F1381="Bernardino Furlan",_xlfn.XLOOKUP(AL1381,Cadastros!$G$6:$G$90,Cadastros!$H$6:$H$90)*(1-0.18),IF($F1381="Mauro José Salanti",_xlfn.XLOOKUP(AL1381,Cadastros!$G$6:$G$90,Cadastros!$H$6:$H$90)*(1-0.18),_xlfn.XLOOKUP(AL1381,Cadastros!$G$6:$G$90,Cadastros!$H$6:$H$90))))</f>
        <v/>
      </c>
      <c r="AO1381" s="168" t="str">
        <f t="shared" si="282"/>
        <v/>
      </c>
      <c r="AP1381" s="168" t="str">
        <f t="shared" si="283"/>
        <v/>
      </c>
      <c r="AQ1381" s="28"/>
      <c r="AR1381" s="28"/>
      <c r="AS1381" s="20" t="str">
        <f>IF(AQ1381="","",IF($F1381="Bernardino Furlan",_xlfn.XLOOKUP(AQ1381,Cadastros!$G$6:$G$90,Cadastros!$H$6:$H$90)*(1-0.18),IF($F1381="Mauro José Salanti",_xlfn.XLOOKUP(AQ1381,Cadastros!$G$6:$G$90,Cadastros!$H$6:$H$90)*(1-0.18),_xlfn.XLOOKUP(AQ1381,Cadastros!$G$6:$G$90,Cadastros!$H$6:$H$90))))</f>
        <v/>
      </c>
      <c r="AT1381" s="168" t="str">
        <f t="shared" si="284"/>
        <v/>
      </c>
      <c r="AU1381" s="168" t="str">
        <f t="shared" si="285"/>
        <v/>
      </c>
      <c r="AV1381" s="227"/>
      <c r="AW1381" s="30"/>
      <c r="AX1381" s="267"/>
      <c r="AY1381" s="267"/>
      <c r="AZ1381" s="29"/>
      <c r="BA1381" s="30"/>
      <c r="BB1381" s="23" t="str" cm="1">
        <f t="array" ref="BB1381">_xlfn.IFS(AW1381="SIM",SUM(K1381,P1381,U1381,Z1381,AE1381,AJ1381,AO1381,AT1381,AX1381,AY1381),F1381&lt;&gt;"",SUM(K1381,P1381,U1381,Z1381,AE1381,AJ1381,,AO1381,AT1381),F1381="","")</f>
        <v/>
      </c>
      <c r="BC1381" s="211" t="str" cm="1">
        <f t="array" ref="BC1381">_xlfn.IFS(E1381="","",G1381&lt;=E1381,BB1381*(1-0.03),G1381&lt;(E1381+8),BB1381,AZ1381="Boleto",BB1381*(1+0.001)^DATEDIF(E1381,G1381,"D"),AZ1381="Cheque",BB1381,AZ1381="Dinheiro","Alterar forma pgto")</f>
        <v/>
      </c>
      <c r="BD1381" s="276" t="str" cm="1">
        <f t="array" ref="BD1381">IF(F1381=0," ",IF(BC1381&lt;BB1381,(_xlfn.IFS(AW1381="SIM",SUM(L1381,Q1381,V1381,AA1381,AF1381,AK1381,AP1381,AU1381)+AX1381/_xlfn.XLOOKUP(_xlfn.XLOOKUP($F1381,Clientes!$B$4:$B$39,Clientes!$C$4:$C$39),Cadastros!$L$6:$L$12,Cadastros!$M$6:$M$12)+IF($F1381="Bernardino Furlan",AY1381/2751.92,IF($F1381="Mauro José Salanti",AY1381/2751.92,AY1381/3356)),F1381&lt;&gt;0,SUM(L1381,Q1381,V1381,AA1381,AF1381,AK1381,AP1381,AU1381)))*(1-0.03),_xlfn.IFS(AW1381="SIM",SUM(L1381,Q1381,V1381,AA1381,AF1381,AK1381,AP1381,AU1381)+AX1381/_xlfn.XLOOKUP(_xlfn.XLOOKUP($F1381,Clientes!$B$4:$B$39,Clientes!$C$4:$C$39),Cadastros!$L$6:$L$12,Cadastros!$M$6:$M$12)+IF($F1381="Bernardino Furlan",AY1381/2751.92,IF($F1381="Mauro José Salanti",AY1381/2751.92,AY1381/3356)),F1381&lt;&gt;0,SUM(L1381,Q1381,V1381,AA1381,AF1381,AK1381,AP1381,AU1381))))</f>
        <v xml:space="preserve"> </v>
      </c>
      <c r="BE1381" s="120"/>
      <c r="BF1381" s="120"/>
      <c r="BG1381" s="120"/>
    </row>
    <row r="1382" spans="1:59" s="3" customFormat="1" x14ac:dyDescent="0.3">
      <c r="A1382" s="15" t="str">
        <f t="shared" si="273"/>
        <v/>
      </c>
      <c r="B1382" s="25"/>
      <c r="C1382" s="26"/>
      <c r="D1382" s="279"/>
      <c r="E1382" s="27"/>
      <c r="F1382" s="28"/>
      <c r="G1382" s="27"/>
      <c r="H1382" s="28"/>
      <c r="I1382" s="28"/>
      <c r="J1382" s="255" t="str">
        <f>IF(H1382="","",(_xlfn.XLOOKUP(H1382,Cadastros!$D$6:$D$90,Cadastros!$E$6:$E$90))*(1-_xlfn.XLOOKUP(_xlfn.XLOOKUP($F1382,Clientes!$B$4:$B$39,Clientes!$C$4:$C$39),Cadastros!$L$6:$L$12,Cadastros!$N$6:$N$12)))</f>
        <v/>
      </c>
      <c r="K1382" s="168" t="str">
        <f t="shared" si="274"/>
        <v/>
      </c>
      <c r="L1382" s="168" t="str">
        <f>IFERROR(K1382/_xlfn.XLOOKUP(_xlfn.XLOOKUP($F1382,Clientes!$B$4:$B$39,Clientes!$C$4:$C$39),Cadastros!$L$6:$L$12,Cadastros!$M$6:$M$12)," ")</f>
        <v xml:space="preserve"> </v>
      </c>
      <c r="M1382" s="28"/>
      <c r="N1382" s="28"/>
      <c r="O1382" s="255" t="str">
        <f>IF(M1382="","",(_xlfn.XLOOKUP(M1382,Cadastros!$D$6:$D$90,Cadastros!$E$6:$E$90))*(1-_xlfn.XLOOKUP(_xlfn.XLOOKUP($F1382,Clientes!$B$4:$B$39,Clientes!$C$4:$C$39),Cadastros!$L$6:$L$12,Cadastros!$N$6:$N$12)))</f>
        <v/>
      </c>
      <c r="P1382" s="168" t="str">
        <f t="shared" si="275"/>
        <v/>
      </c>
      <c r="Q1382" s="168" t="str">
        <f>IFERROR(P1382/_xlfn.XLOOKUP(_xlfn.XLOOKUP($F1382,Clientes!$B$4:$B$39,Clientes!$C$4:$C$39),Cadastros!$L$6:$L$12,Cadastros!$M$6:$M$12)," ")</f>
        <v xml:space="preserve"> </v>
      </c>
      <c r="R1382" s="28"/>
      <c r="S1382" s="28"/>
      <c r="T1382" s="255" t="str">
        <f>IF(R1382="","",(_xlfn.XLOOKUP(R1382,Cadastros!$D$6:$D$90,Cadastros!$E$6:$E$90))*(1-_xlfn.XLOOKUP(_xlfn.XLOOKUP($F1382,Clientes!$B$4:$B$39,Clientes!$C$4:$C$39),Cadastros!$L$6:$L$12,Cadastros!$N$6:$N$12)))</f>
        <v/>
      </c>
      <c r="U1382" s="168" t="str">
        <f t="shared" si="276"/>
        <v/>
      </c>
      <c r="V1382" s="168" t="str">
        <f>IFERROR(U1382/_xlfn.XLOOKUP(_xlfn.XLOOKUP($F1382,Clientes!$B$4:$B$39,Clientes!$C$4:$C$39),Cadastros!$L$6:$L$12,Cadastros!$M$6:$M$12)," ")</f>
        <v xml:space="preserve"> </v>
      </c>
      <c r="W1382" s="28"/>
      <c r="X1382" s="28"/>
      <c r="Y1382" s="255" t="str">
        <f>IF(W1382="","",(_xlfn.XLOOKUP(W1382,Cadastros!$D$6:$D$90,Cadastros!$E$6:$E$90))*(1-_xlfn.XLOOKUP(_xlfn.XLOOKUP($F1382,Clientes!$B$4:$B$39,Clientes!$C$4:$C$39),Cadastros!$L$6:$L$12,Cadastros!$N$6:$N$12)))</f>
        <v/>
      </c>
      <c r="Z1382" s="168" t="str">
        <f t="shared" si="277"/>
        <v/>
      </c>
      <c r="AA1382" s="168" t="str">
        <f>IFERROR(Z1382/_xlfn.XLOOKUP(_xlfn.XLOOKUP($F1382,Clientes!$B$4:$B$39,Clientes!$C$4:$C$39),Cadastros!$L$6:$L$12,Cadastros!$M$6:$M$12)," ")</f>
        <v xml:space="preserve"> </v>
      </c>
      <c r="AB1382" s="28"/>
      <c r="AC1382" s="28"/>
      <c r="AD1382" s="20" t="str">
        <f>IF(AB1382="","",IF($F1382="Bernardino Furlan",_xlfn.XLOOKUP(AB1382,Cadastros!$G$6:$G$90,Cadastros!$H$6:$H$90)*(1-0.18),IF($F1382="Mauro José Salanti",_xlfn.XLOOKUP(AB1382,Cadastros!$G$6:$G$90,Cadastros!$H$6:$H$90)*(1-0.18),_xlfn.XLOOKUP(AB1382,Cadastros!$G$6:$G$90,Cadastros!$H$6:$H$90))))</f>
        <v/>
      </c>
      <c r="AE1382" s="168" t="str">
        <f t="shared" si="278"/>
        <v/>
      </c>
      <c r="AF1382" s="168" t="str">
        <f t="shared" si="279"/>
        <v/>
      </c>
      <c r="AG1382" s="28"/>
      <c r="AH1382" s="28"/>
      <c r="AI1382" s="20" t="str">
        <f>IF(AG1382="","",IF($F1382="Bernardino Furlan",_xlfn.XLOOKUP(AG1382,Cadastros!$G$6:$G$90,Cadastros!$H$6:$H$90)*(1-0.18),IF($F1382="Mauro José Salanti",_xlfn.XLOOKUP(AG1382,Cadastros!$G$6:$G$90,Cadastros!$H$6:$H$90)*(1-0.18),_xlfn.XLOOKUP(AG1382,Cadastros!$G$6:$G$90,Cadastros!$H$6:$H$90))))</f>
        <v/>
      </c>
      <c r="AJ1382" s="168" t="str">
        <f t="shared" si="280"/>
        <v/>
      </c>
      <c r="AK1382" s="168" t="str">
        <f t="shared" si="281"/>
        <v/>
      </c>
      <c r="AL1382" s="28"/>
      <c r="AM1382" s="28"/>
      <c r="AN1382" s="20" t="str">
        <f>IF(AL1382="","",IF($F1382="Bernardino Furlan",_xlfn.XLOOKUP(AL1382,Cadastros!$G$6:$G$90,Cadastros!$H$6:$H$90)*(1-0.18),IF($F1382="Mauro José Salanti",_xlfn.XLOOKUP(AL1382,Cadastros!$G$6:$G$90,Cadastros!$H$6:$H$90)*(1-0.18),_xlfn.XLOOKUP(AL1382,Cadastros!$G$6:$G$90,Cadastros!$H$6:$H$90))))</f>
        <v/>
      </c>
      <c r="AO1382" s="168" t="str">
        <f t="shared" si="282"/>
        <v/>
      </c>
      <c r="AP1382" s="168" t="str">
        <f t="shared" si="283"/>
        <v/>
      </c>
      <c r="AQ1382" s="28"/>
      <c r="AR1382" s="28"/>
      <c r="AS1382" s="20" t="str">
        <f>IF(AQ1382="","",IF($F1382="Bernardino Furlan",_xlfn.XLOOKUP(AQ1382,Cadastros!$G$6:$G$90,Cadastros!$H$6:$H$90)*(1-0.18),IF($F1382="Mauro José Salanti",_xlfn.XLOOKUP(AQ1382,Cadastros!$G$6:$G$90,Cadastros!$H$6:$H$90)*(1-0.18),_xlfn.XLOOKUP(AQ1382,Cadastros!$G$6:$G$90,Cadastros!$H$6:$H$90))))</f>
        <v/>
      </c>
      <c r="AT1382" s="168" t="str">
        <f t="shared" si="284"/>
        <v/>
      </c>
      <c r="AU1382" s="168" t="str">
        <f t="shared" si="285"/>
        <v/>
      </c>
      <c r="AV1382" s="227"/>
      <c r="AW1382" s="30"/>
      <c r="AX1382" s="267"/>
      <c r="AY1382" s="267"/>
      <c r="AZ1382" s="29"/>
      <c r="BA1382" s="30"/>
      <c r="BB1382" s="23" t="str" cm="1">
        <f t="array" ref="BB1382">_xlfn.IFS(AW1382="SIM",SUM(K1382,P1382,U1382,Z1382,AE1382,AJ1382,AO1382,AT1382,AX1382,AY1382),F1382&lt;&gt;"",SUM(K1382,P1382,U1382,Z1382,AE1382,AJ1382,,AO1382,AT1382),F1382="","")</f>
        <v/>
      </c>
      <c r="BC1382" s="211" t="str" cm="1">
        <f t="array" ref="BC1382">_xlfn.IFS(E1382="","",G1382&lt;=E1382,BB1382*(1-0.03),G1382&lt;(E1382+8),BB1382,AZ1382="Boleto",BB1382*(1+0.001)^DATEDIF(E1382,G1382,"D"),AZ1382="Cheque",BB1382,AZ1382="Dinheiro","Alterar forma pgto")</f>
        <v/>
      </c>
      <c r="BD1382" s="276" t="str" cm="1">
        <f t="array" ref="BD1382">IF(F1382=0," ",IF(BC1382&lt;BB1382,(_xlfn.IFS(AW1382="SIM",SUM(L1382,Q1382,V1382,AA1382,AF1382,AK1382,AP1382,AU1382)+AX1382/_xlfn.XLOOKUP(_xlfn.XLOOKUP($F1382,Clientes!$B$4:$B$39,Clientes!$C$4:$C$39),Cadastros!$L$6:$L$12,Cadastros!$M$6:$M$12)+IF($F1382="Bernardino Furlan",AY1382/2751.92,IF($F1382="Mauro José Salanti",AY1382/2751.92,AY1382/3356)),F1382&lt;&gt;0,SUM(L1382,Q1382,V1382,AA1382,AF1382,AK1382,AP1382,AU1382)))*(1-0.03),_xlfn.IFS(AW1382="SIM",SUM(L1382,Q1382,V1382,AA1382,AF1382,AK1382,AP1382,AU1382)+AX1382/_xlfn.XLOOKUP(_xlfn.XLOOKUP($F1382,Clientes!$B$4:$B$39,Clientes!$C$4:$C$39),Cadastros!$L$6:$L$12,Cadastros!$M$6:$M$12)+IF($F1382="Bernardino Furlan",AY1382/2751.92,IF($F1382="Mauro José Salanti",AY1382/2751.92,AY1382/3356)),F1382&lt;&gt;0,SUM(L1382,Q1382,V1382,AA1382,AF1382,AK1382,AP1382,AU1382))))</f>
        <v xml:space="preserve"> </v>
      </c>
      <c r="BE1382" s="120"/>
      <c r="BF1382" s="120"/>
      <c r="BG1382" s="120"/>
    </row>
    <row r="1383" spans="1:59" s="3" customFormat="1" x14ac:dyDescent="0.3">
      <c r="A1383" s="15" t="str">
        <f t="shared" si="273"/>
        <v/>
      </c>
      <c r="B1383" s="25"/>
      <c r="C1383" s="26"/>
      <c r="D1383" s="279"/>
      <c r="E1383" s="27"/>
      <c r="F1383" s="28"/>
      <c r="G1383" s="27"/>
      <c r="H1383" s="28"/>
      <c r="I1383" s="28"/>
      <c r="J1383" s="255" t="str">
        <f>IF(H1383="","",(_xlfn.XLOOKUP(H1383,Cadastros!$D$6:$D$90,Cadastros!$E$6:$E$90))*(1-_xlfn.XLOOKUP(_xlfn.XLOOKUP($F1383,Clientes!$B$4:$B$39,Clientes!$C$4:$C$39),Cadastros!$L$6:$L$12,Cadastros!$N$6:$N$12)))</f>
        <v/>
      </c>
      <c r="K1383" s="168" t="str">
        <f t="shared" si="274"/>
        <v/>
      </c>
      <c r="L1383" s="168" t="str">
        <f>IFERROR(K1383/_xlfn.XLOOKUP(_xlfn.XLOOKUP($F1383,Clientes!$B$4:$B$39,Clientes!$C$4:$C$39),Cadastros!$L$6:$L$12,Cadastros!$M$6:$M$12)," ")</f>
        <v xml:space="preserve"> </v>
      </c>
      <c r="M1383" s="28"/>
      <c r="N1383" s="28"/>
      <c r="O1383" s="255" t="str">
        <f>IF(M1383="","",(_xlfn.XLOOKUP(M1383,Cadastros!$D$6:$D$90,Cadastros!$E$6:$E$90))*(1-_xlfn.XLOOKUP(_xlfn.XLOOKUP($F1383,Clientes!$B$4:$B$39,Clientes!$C$4:$C$39),Cadastros!$L$6:$L$12,Cadastros!$N$6:$N$12)))</f>
        <v/>
      </c>
      <c r="P1383" s="168" t="str">
        <f t="shared" si="275"/>
        <v/>
      </c>
      <c r="Q1383" s="168" t="str">
        <f>IFERROR(P1383/_xlfn.XLOOKUP(_xlfn.XLOOKUP($F1383,Clientes!$B$4:$B$39,Clientes!$C$4:$C$39),Cadastros!$L$6:$L$12,Cadastros!$M$6:$M$12)," ")</f>
        <v xml:space="preserve"> </v>
      </c>
      <c r="R1383" s="28"/>
      <c r="S1383" s="28"/>
      <c r="T1383" s="255" t="str">
        <f>IF(R1383="","",(_xlfn.XLOOKUP(R1383,Cadastros!$D$6:$D$90,Cadastros!$E$6:$E$90))*(1-_xlfn.XLOOKUP(_xlfn.XLOOKUP($F1383,Clientes!$B$4:$B$39,Clientes!$C$4:$C$39),Cadastros!$L$6:$L$12,Cadastros!$N$6:$N$12)))</f>
        <v/>
      </c>
      <c r="U1383" s="168" t="str">
        <f t="shared" si="276"/>
        <v/>
      </c>
      <c r="V1383" s="168" t="str">
        <f>IFERROR(U1383/_xlfn.XLOOKUP(_xlfn.XLOOKUP($F1383,Clientes!$B$4:$B$39,Clientes!$C$4:$C$39),Cadastros!$L$6:$L$12,Cadastros!$M$6:$M$12)," ")</f>
        <v xml:space="preserve"> </v>
      </c>
      <c r="W1383" s="28"/>
      <c r="X1383" s="28"/>
      <c r="Y1383" s="255" t="str">
        <f>IF(W1383="","",(_xlfn.XLOOKUP(W1383,Cadastros!$D$6:$D$90,Cadastros!$E$6:$E$90))*(1-_xlfn.XLOOKUP(_xlfn.XLOOKUP($F1383,Clientes!$B$4:$B$39,Clientes!$C$4:$C$39),Cadastros!$L$6:$L$12,Cadastros!$N$6:$N$12)))</f>
        <v/>
      </c>
      <c r="Z1383" s="168" t="str">
        <f t="shared" si="277"/>
        <v/>
      </c>
      <c r="AA1383" s="168" t="str">
        <f>IFERROR(Z1383/_xlfn.XLOOKUP(_xlfn.XLOOKUP($F1383,Clientes!$B$4:$B$39,Clientes!$C$4:$C$39),Cadastros!$L$6:$L$12,Cadastros!$M$6:$M$12)," ")</f>
        <v xml:space="preserve"> </v>
      </c>
      <c r="AB1383" s="28"/>
      <c r="AC1383" s="28"/>
      <c r="AD1383" s="20" t="str">
        <f>IF(AB1383="","",IF($F1383="Bernardino Furlan",_xlfn.XLOOKUP(AB1383,Cadastros!$G$6:$G$90,Cadastros!$H$6:$H$90)*(1-0.18),IF($F1383="Mauro José Salanti",_xlfn.XLOOKUP(AB1383,Cadastros!$G$6:$G$90,Cadastros!$H$6:$H$90)*(1-0.18),_xlfn.XLOOKUP(AB1383,Cadastros!$G$6:$G$90,Cadastros!$H$6:$H$90))))</f>
        <v/>
      </c>
      <c r="AE1383" s="168" t="str">
        <f t="shared" si="278"/>
        <v/>
      </c>
      <c r="AF1383" s="168" t="str">
        <f t="shared" si="279"/>
        <v/>
      </c>
      <c r="AG1383" s="28"/>
      <c r="AH1383" s="28"/>
      <c r="AI1383" s="20" t="str">
        <f>IF(AG1383="","",IF($F1383="Bernardino Furlan",_xlfn.XLOOKUP(AG1383,Cadastros!$G$6:$G$90,Cadastros!$H$6:$H$90)*(1-0.18),IF($F1383="Mauro José Salanti",_xlfn.XLOOKUP(AG1383,Cadastros!$G$6:$G$90,Cadastros!$H$6:$H$90)*(1-0.18),_xlfn.XLOOKUP(AG1383,Cadastros!$G$6:$G$90,Cadastros!$H$6:$H$90))))</f>
        <v/>
      </c>
      <c r="AJ1383" s="168" t="str">
        <f t="shared" si="280"/>
        <v/>
      </c>
      <c r="AK1383" s="168" t="str">
        <f t="shared" si="281"/>
        <v/>
      </c>
      <c r="AL1383" s="28"/>
      <c r="AM1383" s="28"/>
      <c r="AN1383" s="20" t="str">
        <f>IF(AL1383="","",IF($F1383="Bernardino Furlan",_xlfn.XLOOKUP(AL1383,Cadastros!$G$6:$G$90,Cadastros!$H$6:$H$90)*(1-0.18),IF($F1383="Mauro José Salanti",_xlfn.XLOOKUP(AL1383,Cadastros!$G$6:$G$90,Cadastros!$H$6:$H$90)*(1-0.18),_xlfn.XLOOKUP(AL1383,Cadastros!$G$6:$G$90,Cadastros!$H$6:$H$90))))</f>
        <v/>
      </c>
      <c r="AO1383" s="168" t="str">
        <f t="shared" si="282"/>
        <v/>
      </c>
      <c r="AP1383" s="168" t="str">
        <f t="shared" si="283"/>
        <v/>
      </c>
      <c r="AQ1383" s="28"/>
      <c r="AR1383" s="28"/>
      <c r="AS1383" s="20" t="str">
        <f>IF(AQ1383="","",IF($F1383="Bernardino Furlan",_xlfn.XLOOKUP(AQ1383,Cadastros!$G$6:$G$90,Cadastros!$H$6:$H$90)*(1-0.18),IF($F1383="Mauro José Salanti",_xlfn.XLOOKUP(AQ1383,Cadastros!$G$6:$G$90,Cadastros!$H$6:$H$90)*(1-0.18),_xlfn.XLOOKUP(AQ1383,Cadastros!$G$6:$G$90,Cadastros!$H$6:$H$90))))</f>
        <v/>
      </c>
      <c r="AT1383" s="168" t="str">
        <f t="shared" si="284"/>
        <v/>
      </c>
      <c r="AU1383" s="168" t="str">
        <f t="shared" si="285"/>
        <v/>
      </c>
      <c r="AV1383" s="227"/>
      <c r="AW1383" s="30"/>
      <c r="AX1383" s="267"/>
      <c r="AY1383" s="267"/>
      <c r="AZ1383" s="29"/>
      <c r="BA1383" s="30"/>
      <c r="BB1383" s="23" t="str" cm="1">
        <f t="array" ref="BB1383">_xlfn.IFS(AW1383="SIM",SUM(K1383,P1383,U1383,Z1383,AE1383,AJ1383,AO1383,AT1383,AX1383,AY1383),F1383&lt;&gt;"",SUM(K1383,P1383,U1383,Z1383,AE1383,AJ1383,,AO1383,AT1383),F1383="","")</f>
        <v/>
      </c>
      <c r="BC1383" s="211" t="str" cm="1">
        <f t="array" ref="BC1383">_xlfn.IFS(E1383="","",G1383&lt;=E1383,BB1383*(1-0.03),G1383&lt;(E1383+8),BB1383,AZ1383="Boleto",BB1383*(1+0.001)^DATEDIF(E1383,G1383,"D"),AZ1383="Cheque",BB1383,AZ1383="Dinheiro","Alterar forma pgto")</f>
        <v/>
      </c>
      <c r="BD1383" s="276" t="str" cm="1">
        <f t="array" ref="BD1383">IF(F1383=0," ",IF(BC1383&lt;BB1383,(_xlfn.IFS(AW1383="SIM",SUM(L1383,Q1383,V1383,AA1383,AF1383,AK1383,AP1383,AU1383)+AX1383/_xlfn.XLOOKUP(_xlfn.XLOOKUP($F1383,Clientes!$B$4:$B$39,Clientes!$C$4:$C$39),Cadastros!$L$6:$L$12,Cadastros!$M$6:$M$12)+IF($F1383="Bernardino Furlan",AY1383/2751.92,IF($F1383="Mauro José Salanti",AY1383/2751.92,AY1383/3356)),F1383&lt;&gt;0,SUM(L1383,Q1383,V1383,AA1383,AF1383,AK1383,AP1383,AU1383)))*(1-0.03),_xlfn.IFS(AW1383="SIM",SUM(L1383,Q1383,V1383,AA1383,AF1383,AK1383,AP1383,AU1383)+AX1383/_xlfn.XLOOKUP(_xlfn.XLOOKUP($F1383,Clientes!$B$4:$B$39,Clientes!$C$4:$C$39),Cadastros!$L$6:$L$12,Cadastros!$M$6:$M$12)+IF($F1383="Bernardino Furlan",AY1383/2751.92,IF($F1383="Mauro José Salanti",AY1383/2751.92,AY1383/3356)),F1383&lt;&gt;0,SUM(L1383,Q1383,V1383,AA1383,AF1383,AK1383,AP1383,AU1383))))</f>
        <v xml:space="preserve"> </v>
      </c>
      <c r="BE1383" s="120"/>
      <c r="BF1383" s="120"/>
      <c r="BG1383" s="120"/>
    </row>
    <row r="1384" spans="1:59" s="3" customFormat="1" x14ac:dyDescent="0.3">
      <c r="A1384" s="15" t="str">
        <f t="shared" si="273"/>
        <v/>
      </c>
      <c r="B1384" s="25"/>
      <c r="C1384" s="26"/>
      <c r="D1384" s="279"/>
      <c r="E1384" s="27"/>
      <c r="F1384" s="28"/>
      <c r="G1384" s="27"/>
      <c r="H1384" s="28"/>
      <c r="I1384" s="28"/>
      <c r="J1384" s="255" t="str">
        <f>IF(H1384="","",(_xlfn.XLOOKUP(H1384,Cadastros!$D$6:$D$90,Cadastros!$E$6:$E$90))*(1-_xlfn.XLOOKUP(_xlfn.XLOOKUP($F1384,Clientes!$B$4:$B$39,Clientes!$C$4:$C$39),Cadastros!$L$6:$L$12,Cadastros!$N$6:$N$12)))</f>
        <v/>
      </c>
      <c r="K1384" s="168" t="str">
        <f t="shared" si="274"/>
        <v/>
      </c>
      <c r="L1384" s="168" t="str">
        <f>IFERROR(K1384/_xlfn.XLOOKUP(_xlfn.XLOOKUP($F1384,Clientes!$B$4:$B$39,Clientes!$C$4:$C$39),Cadastros!$L$6:$L$12,Cadastros!$M$6:$M$12)," ")</f>
        <v xml:space="preserve"> </v>
      </c>
      <c r="M1384" s="28"/>
      <c r="N1384" s="28"/>
      <c r="O1384" s="255" t="str">
        <f>IF(M1384="","",(_xlfn.XLOOKUP(M1384,Cadastros!$D$6:$D$90,Cadastros!$E$6:$E$90))*(1-_xlfn.XLOOKUP(_xlfn.XLOOKUP($F1384,Clientes!$B$4:$B$39,Clientes!$C$4:$C$39),Cadastros!$L$6:$L$12,Cadastros!$N$6:$N$12)))</f>
        <v/>
      </c>
      <c r="P1384" s="168" t="str">
        <f t="shared" si="275"/>
        <v/>
      </c>
      <c r="Q1384" s="168" t="str">
        <f>IFERROR(P1384/_xlfn.XLOOKUP(_xlfn.XLOOKUP($F1384,Clientes!$B$4:$B$39,Clientes!$C$4:$C$39),Cadastros!$L$6:$L$12,Cadastros!$M$6:$M$12)," ")</f>
        <v xml:space="preserve"> </v>
      </c>
      <c r="R1384" s="28"/>
      <c r="S1384" s="28"/>
      <c r="T1384" s="255" t="str">
        <f>IF(R1384="","",(_xlfn.XLOOKUP(R1384,Cadastros!$D$6:$D$90,Cadastros!$E$6:$E$90))*(1-_xlfn.XLOOKUP(_xlfn.XLOOKUP($F1384,Clientes!$B$4:$B$39,Clientes!$C$4:$C$39),Cadastros!$L$6:$L$12,Cadastros!$N$6:$N$12)))</f>
        <v/>
      </c>
      <c r="U1384" s="168" t="str">
        <f t="shared" si="276"/>
        <v/>
      </c>
      <c r="V1384" s="168" t="str">
        <f>IFERROR(U1384/_xlfn.XLOOKUP(_xlfn.XLOOKUP($F1384,Clientes!$B$4:$B$39,Clientes!$C$4:$C$39),Cadastros!$L$6:$L$12,Cadastros!$M$6:$M$12)," ")</f>
        <v xml:space="preserve"> </v>
      </c>
      <c r="W1384" s="28"/>
      <c r="X1384" s="28"/>
      <c r="Y1384" s="255" t="str">
        <f>IF(W1384="","",(_xlfn.XLOOKUP(W1384,Cadastros!$D$6:$D$90,Cadastros!$E$6:$E$90))*(1-_xlfn.XLOOKUP(_xlfn.XLOOKUP($F1384,Clientes!$B$4:$B$39,Clientes!$C$4:$C$39),Cadastros!$L$6:$L$12,Cadastros!$N$6:$N$12)))</f>
        <v/>
      </c>
      <c r="Z1384" s="168" t="str">
        <f t="shared" si="277"/>
        <v/>
      </c>
      <c r="AA1384" s="168" t="str">
        <f>IFERROR(Z1384/_xlfn.XLOOKUP(_xlfn.XLOOKUP($F1384,Clientes!$B$4:$B$39,Clientes!$C$4:$C$39),Cadastros!$L$6:$L$12,Cadastros!$M$6:$M$12)," ")</f>
        <v xml:space="preserve"> </v>
      </c>
      <c r="AB1384" s="28"/>
      <c r="AC1384" s="28"/>
      <c r="AD1384" s="20" t="str">
        <f>IF(AB1384="","",IF($F1384="Bernardino Furlan",_xlfn.XLOOKUP(AB1384,Cadastros!$G$6:$G$90,Cadastros!$H$6:$H$90)*(1-0.18),IF($F1384="Mauro José Salanti",_xlfn.XLOOKUP(AB1384,Cadastros!$G$6:$G$90,Cadastros!$H$6:$H$90)*(1-0.18),_xlfn.XLOOKUP(AB1384,Cadastros!$G$6:$G$90,Cadastros!$H$6:$H$90))))</f>
        <v/>
      </c>
      <c r="AE1384" s="168" t="str">
        <f t="shared" si="278"/>
        <v/>
      </c>
      <c r="AF1384" s="168" t="str">
        <f t="shared" si="279"/>
        <v/>
      </c>
      <c r="AG1384" s="28"/>
      <c r="AH1384" s="28"/>
      <c r="AI1384" s="20" t="str">
        <f>IF(AG1384="","",IF($F1384="Bernardino Furlan",_xlfn.XLOOKUP(AG1384,Cadastros!$G$6:$G$90,Cadastros!$H$6:$H$90)*(1-0.18),IF($F1384="Mauro José Salanti",_xlfn.XLOOKUP(AG1384,Cadastros!$G$6:$G$90,Cadastros!$H$6:$H$90)*(1-0.18),_xlfn.XLOOKUP(AG1384,Cadastros!$G$6:$G$90,Cadastros!$H$6:$H$90))))</f>
        <v/>
      </c>
      <c r="AJ1384" s="168" t="str">
        <f t="shared" si="280"/>
        <v/>
      </c>
      <c r="AK1384" s="168" t="str">
        <f t="shared" si="281"/>
        <v/>
      </c>
      <c r="AL1384" s="28"/>
      <c r="AM1384" s="28"/>
      <c r="AN1384" s="20" t="str">
        <f>IF(AL1384="","",IF($F1384="Bernardino Furlan",_xlfn.XLOOKUP(AL1384,Cadastros!$G$6:$G$90,Cadastros!$H$6:$H$90)*(1-0.18),IF($F1384="Mauro José Salanti",_xlfn.XLOOKUP(AL1384,Cadastros!$G$6:$G$90,Cadastros!$H$6:$H$90)*(1-0.18),_xlfn.XLOOKUP(AL1384,Cadastros!$G$6:$G$90,Cadastros!$H$6:$H$90))))</f>
        <v/>
      </c>
      <c r="AO1384" s="168" t="str">
        <f t="shared" si="282"/>
        <v/>
      </c>
      <c r="AP1384" s="168" t="str">
        <f t="shared" si="283"/>
        <v/>
      </c>
      <c r="AQ1384" s="28"/>
      <c r="AR1384" s="28"/>
      <c r="AS1384" s="20" t="str">
        <f>IF(AQ1384="","",IF($F1384="Bernardino Furlan",_xlfn.XLOOKUP(AQ1384,Cadastros!$G$6:$G$90,Cadastros!$H$6:$H$90)*(1-0.18),IF($F1384="Mauro José Salanti",_xlfn.XLOOKUP(AQ1384,Cadastros!$G$6:$G$90,Cadastros!$H$6:$H$90)*(1-0.18),_xlfn.XLOOKUP(AQ1384,Cadastros!$G$6:$G$90,Cadastros!$H$6:$H$90))))</f>
        <v/>
      </c>
      <c r="AT1384" s="168" t="str">
        <f t="shared" si="284"/>
        <v/>
      </c>
      <c r="AU1384" s="168" t="str">
        <f t="shared" si="285"/>
        <v/>
      </c>
      <c r="AV1384" s="227"/>
      <c r="AW1384" s="30"/>
      <c r="AX1384" s="267"/>
      <c r="AY1384" s="267"/>
      <c r="AZ1384" s="29"/>
      <c r="BA1384" s="30"/>
      <c r="BB1384" s="23" t="str" cm="1">
        <f t="array" ref="BB1384">_xlfn.IFS(AW1384="SIM",SUM(K1384,P1384,U1384,Z1384,AE1384,AJ1384,AO1384,AT1384,AX1384,AY1384),F1384&lt;&gt;"",SUM(K1384,P1384,U1384,Z1384,AE1384,AJ1384,,AO1384,AT1384),F1384="","")</f>
        <v/>
      </c>
      <c r="BC1384" s="211" t="str" cm="1">
        <f t="array" ref="BC1384">_xlfn.IFS(E1384="","",G1384&lt;=E1384,BB1384*(1-0.03),G1384&lt;(E1384+8),BB1384,AZ1384="Boleto",BB1384*(1+0.001)^DATEDIF(E1384,G1384,"D"),AZ1384="Cheque",BB1384,AZ1384="Dinheiro","Alterar forma pgto")</f>
        <v/>
      </c>
      <c r="BD1384" s="276" t="str" cm="1">
        <f t="array" ref="BD1384">IF(F1384=0," ",IF(BC1384&lt;BB1384,(_xlfn.IFS(AW1384="SIM",SUM(L1384,Q1384,V1384,AA1384,AF1384,AK1384,AP1384,AU1384)+AX1384/_xlfn.XLOOKUP(_xlfn.XLOOKUP($F1384,Clientes!$B$4:$B$39,Clientes!$C$4:$C$39),Cadastros!$L$6:$L$12,Cadastros!$M$6:$M$12)+IF($F1384="Bernardino Furlan",AY1384/2751.92,IF($F1384="Mauro José Salanti",AY1384/2751.92,AY1384/3356)),F1384&lt;&gt;0,SUM(L1384,Q1384,V1384,AA1384,AF1384,AK1384,AP1384,AU1384)))*(1-0.03),_xlfn.IFS(AW1384="SIM",SUM(L1384,Q1384,V1384,AA1384,AF1384,AK1384,AP1384,AU1384)+AX1384/_xlfn.XLOOKUP(_xlfn.XLOOKUP($F1384,Clientes!$B$4:$B$39,Clientes!$C$4:$C$39),Cadastros!$L$6:$L$12,Cadastros!$M$6:$M$12)+IF($F1384="Bernardino Furlan",AY1384/2751.92,IF($F1384="Mauro José Salanti",AY1384/2751.92,AY1384/3356)),F1384&lt;&gt;0,SUM(L1384,Q1384,V1384,AA1384,AF1384,AK1384,AP1384,AU1384))))</f>
        <v xml:space="preserve"> </v>
      </c>
      <c r="BE1384" s="120"/>
      <c r="BF1384" s="120"/>
      <c r="BG1384" s="120"/>
    </row>
    <row r="1385" spans="1:59" s="3" customFormat="1" x14ac:dyDescent="0.3">
      <c r="A1385" s="15" t="str">
        <f t="shared" si="273"/>
        <v/>
      </c>
      <c r="B1385" s="25"/>
      <c r="C1385" s="26"/>
      <c r="D1385" s="279"/>
      <c r="E1385" s="27"/>
      <c r="F1385" s="28"/>
      <c r="G1385" s="27"/>
      <c r="H1385" s="28"/>
      <c r="I1385" s="28"/>
      <c r="J1385" s="255" t="str">
        <f>IF(H1385="","",(_xlfn.XLOOKUP(H1385,Cadastros!$D$6:$D$90,Cadastros!$E$6:$E$90))*(1-_xlfn.XLOOKUP(_xlfn.XLOOKUP($F1385,Clientes!$B$4:$B$39,Clientes!$C$4:$C$39),Cadastros!$L$6:$L$12,Cadastros!$N$6:$N$12)))</f>
        <v/>
      </c>
      <c r="K1385" s="168" t="str">
        <f t="shared" si="274"/>
        <v/>
      </c>
      <c r="L1385" s="168" t="str">
        <f>IFERROR(K1385/_xlfn.XLOOKUP(_xlfn.XLOOKUP($F1385,Clientes!$B$4:$B$39,Clientes!$C$4:$C$39),Cadastros!$L$6:$L$12,Cadastros!$M$6:$M$12)," ")</f>
        <v xml:space="preserve"> </v>
      </c>
      <c r="M1385" s="28"/>
      <c r="N1385" s="28"/>
      <c r="O1385" s="255" t="str">
        <f>IF(M1385="","",(_xlfn.XLOOKUP(M1385,Cadastros!$D$6:$D$90,Cadastros!$E$6:$E$90))*(1-_xlfn.XLOOKUP(_xlfn.XLOOKUP($F1385,Clientes!$B$4:$B$39,Clientes!$C$4:$C$39),Cadastros!$L$6:$L$12,Cadastros!$N$6:$N$12)))</f>
        <v/>
      </c>
      <c r="P1385" s="168" t="str">
        <f t="shared" si="275"/>
        <v/>
      </c>
      <c r="Q1385" s="168" t="str">
        <f>IFERROR(P1385/_xlfn.XLOOKUP(_xlfn.XLOOKUP($F1385,Clientes!$B$4:$B$39,Clientes!$C$4:$C$39),Cadastros!$L$6:$L$12,Cadastros!$M$6:$M$12)," ")</f>
        <v xml:space="preserve"> </v>
      </c>
      <c r="R1385" s="28"/>
      <c r="S1385" s="28"/>
      <c r="T1385" s="255" t="str">
        <f>IF(R1385="","",(_xlfn.XLOOKUP(R1385,Cadastros!$D$6:$D$90,Cadastros!$E$6:$E$90))*(1-_xlfn.XLOOKUP(_xlfn.XLOOKUP($F1385,Clientes!$B$4:$B$39,Clientes!$C$4:$C$39),Cadastros!$L$6:$L$12,Cadastros!$N$6:$N$12)))</f>
        <v/>
      </c>
      <c r="U1385" s="168" t="str">
        <f t="shared" si="276"/>
        <v/>
      </c>
      <c r="V1385" s="168" t="str">
        <f>IFERROR(U1385/_xlfn.XLOOKUP(_xlfn.XLOOKUP($F1385,Clientes!$B$4:$B$39,Clientes!$C$4:$C$39),Cadastros!$L$6:$L$12,Cadastros!$M$6:$M$12)," ")</f>
        <v xml:space="preserve"> </v>
      </c>
      <c r="W1385" s="28"/>
      <c r="X1385" s="28"/>
      <c r="Y1385" s="255" t="str">
        <f>IF(W1385="","",(_xlfn.XLOOKUP(W1385,Cadastros!$D$6:$D$90,Cadastros!$E$6:$E$90))*(1-_xlfn.XLOOKUP(_xlfn.XLOOKUP($F1385,Clientes!$B$4:$B$39,Clientes!$C$4:$C$39),Cadastros!$L$6:$L$12,Cadastros!$N$6:$N$12)))</f>
        <v/>
      </c>
      <c r="Z1385" s="168" t="str">
        <f t="shared" si="277"/>
        <v/>
      </c>
      <c r="AA1385" s="168" t="str">
        <f>IFERROR(Z1385/_xlfn.XLOOKUP(_xlfn.XLOOKUP($F1385,Clientes!$B$4:$B$39,Clientes!$C$4:$C$39),Cadastros!$L$6:$L$12,Cadastros!$M$6:$M$12)," ")</f>
        <v xml:space="preserve"> </v>
      </c>
      <c r="AB1385" s="28"/>
      <c r="AC1385" s="28"/>
      <c r="AD1385" s="20" t="str">
        <f>IF(AB1385="","",IF($F1385="Bernardino Furlan",_xlfn.XLOOKUP(AB1385,Cadastros!$G$6:$G$90,Cadastros!$H$6:$H$90)*(1-0.18),IF($F1385="Mauro José Salanti",_xlfn.XLOOKUP(AB1385,Cadastros!$G$6:$G$90,Cadastros!$H$6:$H$90)*(1-0.18),_xlfn.XLOOKUP(AB1385,Cadastros!$G$6:$G$90,Cadastros!$H$6:$H$90))))</f>
        <v/>
      </c>
      <c r="AE1385" s="168" t="str">
        <f t="shared" si="278"/>
        <v/>
      </c>
      <c r="AF1385" s="168" t="str">
        <f t="shared" si="279"/>
        <v/>
      </c>
      <c r="AG1385" s="28"/>
      <c r="AH1385" s="28"/>
      <c r="AI1385" s="20" t="str">
        <f>IF(AG1385="","",IF($F1385="Bernardino Furlan",_xlfn.XLOOKUP(AG1385,Cadastros!$G$6:$G$90,Cadastros!$H$6:$H$90)*(1-0.18),IF($F1385="Mauro José Salanti",_xlfn.XLOOKUP(AG1385,Cadastros!$G$6:$G$90,Cadastros!$H$6:$H$90)*(1-0.18),_xlfn.XLOOKUP(AG1385,Cadastros!$G$6:$G$90,Cadastros!$H$6:$H$90))))</f>
        <v/>
      </c>
      <c r="AJ1385" s="168" t="str">
        <f t="shared" si="280"/>
        <v/>
      </c>
      <c r="AK1385" s="168" t="str">
        <f t="shared" si="281"/>
        <v/>
      </c>
      <c r="AL1385" s="28"/>
      <c r="AM1385" s="28"/>
      <c r="AN1385" s="20" t="str">
        <f>IF(AL1385="","",IF($F1385="Bernardino Furlan",_xlfn.XLOOKUP(AL1385,Cadastros!$G$6:$G$90,Cadastros!$H$6:$H$90)*(1-0.18),IF($F1385="Mauro José Salanti",_xlfn.XLOOKUP(AL1385,Cadastros!$G$6:$G$90,Cadastros!$H$6:$H$90)*(1-0.18),_xlfn.XLOOKUP(AL1385,Cadastros!$G$6:$G$90,Cadastros!$H$6:$H$90))))</f>
        <v/>
      </c>
      <c r="AO1385" s="168" t="str">
        <f t="shared" si="282"/>
        <v/>
      </c>
      <c r="AP1385" s="168" t="str">
        <f t="shared" si="283"/>
        <v/>
      </c>
      <c r="AQ1385" s="28"/>
      <c r="AR1385" s="28"/>
      <c r="AS1385" s="20" t="str">
        <f>IF(AQ1385="","",IF($F1385="Bernardino Furlan",_xlfn.XLOOKUP(AQ1385,Cadastros!$G$6:$G$90,Cadastros!$H$6:$H$90)*(1-0.18),IF($F1385="Mauro José Salanti",_xlfn.XLOOKUP(AQ1385,Cadastros!$G$6:$G$90,Cadastros!$H$6:$H$90)*(1-0.18),_xlfn.XLOOKUP(AQ1385,Cadastros!$G$6:$G$90,Cadastros!$H$6:$H$90))))</f>
        <v/>
      </c>
      <c r="AT1385" s="168" t="str">
        <f t="shared" si="284"/>
        <v/>
      </c>
      <c r="AU1385" s="168" t="str">
        <f t="shared" si="285"/>
        <v/>
      </c>
      <c r="AV1385" s="227"/>
      <c r="AW1385" s="30"/>
      <c r="AX1385" s="267"/>
      <c r="AY1385" s="267"/>
      <c r="AZ1385" s="29"/>
      <c r="BA1385" s="30"/>
      <c r="BB1385" s="23" t="str" cm="1">
        <f t="array" ref="BB1385">_xlfn.IFS(AW1385="SIM",SUM(K1385,P1385,U1385,Z1385,AE1385,AJ1385,AO1385,AT1385,AX1385,AY1385),F1385&lt;&gt;"",SUM(K1385,P1385,U1385,Z1385,AE1385,AJ1385,,AO1385,AT1385),F1385="","")</f>
        <v/>
      </c>
      <c r="BC1385" s="211" t="str" cm="1">
        <f t="array" ref="BC1385">_xlfn.IFS(E1385="","",G1385&lt;=E1385,BB1385*(1-0.03),G1385&lt;(E1385+8),BB1385,AZ1385="Boleto",BB1385*(1+0.001)^DATEDIF(E1385,G1385,"D"),AZ1385="Cheque",BB1385,AZ1385="Dinheiro","Alterar forma pgto")</f>
        <v/>
      </c>
      <c r="BD1385" s="276" t="str" cm="1">
        <f t="array" ref="BD1385">IF(F1385=0," ",IF(BC1385&lt;BB1385,(_xlfn.IFS(AW1385="SIM",SUM(L1385,Q1385,V1385,AA1385,AF1385,AK1385,AP1385,AU1385)+AX1385/_xlfn.XLOOKUP(_xlfn.XLOOKUP($F1385,Clientes!$B$4:$B$39,Clientes!$C$4:$C$39),Cadastros!$L$6:$L$12,Cadastros!$M$6:$M$12)+IF($F1385="Bernardino Furlan",AY1385/2751.92,IF($F1385="Mauro José Salanti",AY1385/2751.92,AY1385/3356)),F1385&lt;&gt;0,SUM(L1385,Q1385,V1385,AA1385,AF1385,AK1385,AP1385,AU1385)))*(1-0.03),_xlfn.IFS(AW1385="SIM",SUM(L1385,Q1385,V1385,AA1385,AF1385,AK1385,AP1385,AU1385)+AX1385/_xlfn.XLOOKUP(_xlfn.XLOOKUP($F1385,Clientes!$B$4:$B$39,Clientes!$C$4:$C$39),Cadastros!$L$6:$L$12,Cadastros!$M$6:$M$12)+IF($F1385="Bernardino Furlan",AY1385/2751.92,IF($F1385="Mauro José Salanti",AY1385/2751.92,AY1385/3356)),F1385&lt;&gt;0,SUM(L1385,Q1385,V1385,AA1385,AF1385,AK1385,AP1385,AU1385))))</f>
        <v xml:space="preserve"> </v>
      </c>
      <c r="BE1385" s="120"/>
      <c r="BF1385" s="120"/>
      <c r="BG1385" s="120"/>
    </row>
    <row r="1386" spans="1:59" s="3" customFormat="1" x14ac:dyDescent="0.3">
      <c r="A1386" s="15" t="str">
        <f t="shared" si="273"/>
        <v/>
      </c>
      <c r="B1386" s="25"/>
      <c r="C1386" s="26"/>
      <c r="D1386" s="279"/>
      <c r="E1386" s="27"/>
      <c r="F1386" s="28"/>
      <c r="G1386" s="27"/>
      <c r="H1386" s="28"/>
      <c r="I1386" s="28"/>
      <c r="J1386" s="255" t="str">
        <f>IF(H1386="","",(_xlfn.XLOOKUP(H1386,Cadastros!$D$6:$D$90,Cadastros!$E$6:$E$90))*(1-_xlfn.XLOOKUP(_xlfn.XLOOKUP($F1386,Clientes!$B$4:$B$39,Clientes!$C$4:$C$39),Cadastros!$L$6:$L$12,Cadastros!$N$6:$N$12)))</f>
        <v/>
      </c>
      <c r="K1386" s="168" t="str">
        <f t="shared" si="274"/>
        <v/>
      </c>
      <c r="L1386" s="168" t="str">
        <f>IFERROR(K1386/_xlfn.XLOOKUP(_xlfn.XLOOKUP($F1386,Clientes!$B$4:$B$39,Clientes!$C$4:$C$39),Cadastros!$L$6:$L$12,Cadastros!$M$6:$M$12)," ")</f>
        <v xml:space="preserve"> </v>
      </c>
      <c r="M1386" s="28"/>
      <c r="N1386" s="28"/>
      <c r="O1386" s="255" t="str">
        <f>IF(M1386="","",(_xlfn.XLOOKUP(M1386,Cadastros!$D$6:$D$90,Cadastros!$E$6:$E$90))*(1-_xlfn.XLOOKUP(_xlfn.XLOOKUP($F1386,Clientes!$B$4:$B$39,Clientes!$C$4:$C$39),Cadastros!$L$6:$L$12,Cadastros!$N$6:$N$12)))</f>
        <v/>
      </c>
      <c r="P1386" s="168" t="str">
        <f t="shared" si="275"/>
        <v/>
      </c>
      <c r="Q1386" s="168" t="str">
        <f>IFERROR(P1386/_xlfn.XLOOKUP(_xlfn.XLOOKUP($F1386,Clientes!$B$4:$B$39,Clientes!$C$4:$C$39),Cadastros!$L$6:$L$12,Cadastros!$M$6:$M$12)," ")</f>
        <v xml:space="preserve"> </v>
      </c>
      <c r="R1386" s="28"/>
      <c r="S1386" s="28"/>
      <c r="T1386" s="255" t="str">
        <f>IF(R1386="","",(_xlfn.XLOOKUP(R1386,Cadastros!$D$6:$D$90,Cadastros!$E$6:$E$90))*(1-_xlfn.XLOOKUP(_xlfn.XLOOKUP($F1386,Clientes!$B$4:$B$39,Clientes!$C$4:$C$39),Cadastros!$L$6:$L$12,Cadastros!$N$6:$N$12)))</f>
        <v/>
      </c>
      <c r="U1386" s="168" t="str">
        <f t="shared" si="276"/>
        <v/>
      </c>
      <c r="V1386" s="168" t="str">
        <f>IFERROR(U1386/_xlfn.XLOOKUP(_xlfn.XLOOKUP($F1386,Clientes!$B$4:$B$39,Clientes!$C$4:$C$39),Cadastros!$L$6:$L$12,Cadastros!$M$6:$M$12)," ")</f>
        <v xml:space="preserve"> </v>
      </c>
      <c r="W1386" s="28"/>
      <c r="X1386" s="28"/>
      <c r="Y1386" s="255" t="str">
        <f>IF(W1386="","",(_xlfn.XLOOKUP(W1386,Cadastros!$D$6:$D$90,Cadastros!$E$6:$E$90))*(1-_xlfn.XLOOKUP(_xlfn.XLOOKUP($F1386,Clientes!$B$4:$B$39,Clientes!$C$4:$C$39),Cadastros!$L$6:$L$12,Cadastros!$N$6:$N$12)))</f>
        <v/>
      </c>
      <c r="Z1386" s="168" t="str">
        <f t="shared" si="277"/>
        <v/>
      </c>
      <c r="AA1386" s="168" t="str">
        <f>IFERROR(Z1386/_xlfn.XLOOKUP(_xlfn.XLOOKUP($F1386,Clientes!$B$4:$B$39,Clientes!$C$4:$C$39),Cadastros!$L$6:$L$12,Cadastros!$M$6:$M$12)," ")</f>
        <v xml:space="preserve"> </v>
      </c>
      <c r="AB1386" s="28"/>
      <c r="AC1386" s="28"/>
      <c r="AD1386" s="20" t="str">
        <f>IF(AB1386="","",IF($F1386="Bernardino Furlan",_xlfn.XLOOKUP(AB1386,Cadastros!$G$6:$G$90,Cadastros!$H$6:$H$90)*(1-0.18),IF($F1386="Mauro José Salanti",_xlfn.XLOOKUP(AB1386,Cadastros!$G$6:$G$90,Cadastros!$H$6:$H$90)*(1-0.18),_xlfn.XLOOKUP(AB1386,Cadastros!$G$6:$G$90,Cadastros!$H$6:$H$90))))</f>
        <v/>
      </c>
      <c r="AE1386" s="168" t="str">
        <f t="shared" si="278"/>
        <v/>
      </c>
      <c r="AF1386" s="168" t="str">
        <f t="shared" si="279"/>
        <v/>
      </c>
      <c r="AG1386" s="28"/>
      <c r="AH1386" s="28"/>
      <c r="AI1386" s="20" t="str">
        <f>IF(AG1386="","",IF($F1386="Bernardino Furlan",_xlfn.XLOOKUP(AG1386,Cadastros!$G$6:$G$90,Cadastros!$H$6:$H$90)*(1-0.18),IF($F1386="Mauro José Salanti",_xlfn.XLOOKUP(AG1386,Cadastros!$G$6:$G$90,Cadastros!$H$6:$H$90)*(1-0.18),_xlfn.XLOOKUP(AG1386,Cadastros!$G$6:$G$90,Cadastros!$H$6:$H$90))))</f>
        <v/>
      </c>
      <c r="AJ1386" s="168" t="str">
        <f t="shared" si="280"/>
        <v/>
      </c>
      <c r="AK1386" s="168" t="str">
        <f t="shared" si="281"/>
        <v/>
      </c>
      <c r="AL1386" s="28"/>
      <c r="AM1386" s="28"/>
      <c r="AN1386" s="20" t="str">
        <f>IF(AL1386="","",IF($F1386="Bernardino Furlan",_xlfn.XLOOKUP(AL1386,Cadastros!$G$6:$G$90,Cadastros!$H$6:$H$90)*(1-0.18),IF($F1386="Mauro José Salanti",_xlfn.XLOOKUP(AL1386,Cadastros!$G$6:$G$90,Cadastros!$H$6:$H$90)*(1-0.18),_xlfn.XLOOKUP(AL1386,Cadastros!$G$6:$G$90,Cadastros!$H$6:$H$90))))</f>
        <v/>
      </c>
      <c r="AO1386" s="168" t="str">
        <f t="shared" si="282"/>
        <v/>
      </c>
      <c r="AP1386" s="168" t="str">
        <f t="shared" si="283"/>
        <v/>
      </c>
      <c r="AQ1386" s="28"/>
      <c r="AR1386" s="28"/>
      <c r="AS1386" s="20" t="str">
        <f>IF(AQ1386="","",IF($F1386="Bernardino Furlan",_xlfn.XLOOKUP(AQ1386,Cadastros!$G$6:$G$90,Cadastros!$H$6:$H$90)*(1-0.18),IF($F1386="Mauro José Salanti",_xlfn.XLOOKUP(AQ1386,Cadastros!$G$6:$G$90,Cadastros!$H$6:$H$90)*(1-0.18),_xlfn.XLOOKUP(AQ1386,Cadastros!$G$6:$G$90,Cadastros!$H$6:$H$90))))</f>
        <v/>
      </c>
      <c r="AT1386" s="168" t="str">
        <f t="shared" si="284"/>
        <v/>
      </c>
      <c r="AU1386" s="168" t="str">
        <f t="shared" si="285"/>
        <v/>
      </c>
      <c r="AV1386" s="227"/>
      <c r="AW1386" s="30"/>
      <c r="AX1386" s="267"/>
      <c r="AY1386" s="267"/>
      <c r="AZ1386" s="29"/>
      <c r="BA1386" s="30"/>
      <c r="BB1386" s="23" t="str" cm="1">
        <f t="array" ref="BB1386">_xlfn.IFS(AW1386="SIM",SUM(K1386,P1386,U1386,Z1386,AE1386,AJ1386,AO1386,AT1386,AX1386,AY1386),F1386&lt;&gt;"",SUM(K1386,P1386,U1386,Z1386,AE1386,AJ1386,,AO1386,AT1386),F1386="","")</f>
        <v/>
      </c>
      <c r="BC1386" s="211" t="str" cm="1">
        <f t="array" ref="BC1386">_xlfn.IFS(E1386="","",G1386&lt;=E1386,BB1386*(1-0.03),G1386&lt;(E1386+8),BB1386,AZ1386="Boleto",BB1386*(1+0.001)^DATEDIF(E1386,G1386,"D"),AZ1386="Cheque",BB1386,AZ1386="Dinheiro","Alterar forma pgto")</f>
        <v/>
      </c>
      <c r="BD1386" s="276" t="str" cm="1">
        <f t="array" ref="BD1386">IF(F1386=0," ",IF(BC1386&lt;BB1386,(_xlfn.IFS(AW1386="SIM",SUM(L1386,Q1386,V1386,AA1386,AF1386,AK1386,AP1386,AU1386)+AX1386/_xlfn.XLOOKUP(_xlfn.XLOOKUP($F1386,Clientes!$B$4:$B$39,Clientes!$C$4:$C$39),Cadastros!$L$6:$L$12,Cadastros!$M$6:$M$12)+IF($F1386="Bernardino Furlan",AY1386/2751.92,IF($F1386="Mauro José Salanti",AY1386/2751.92,AY1386/3356)),F1386&lt;&gt;0,SUM(L1386,Q1386,V1386,AA1386,AF1386,AK1386,AP1386,AU1386)))*(1-0.03),_xlfn.IFS(AW1386="SIM",SUM(L1386,Q1386,V1386,AA1386,AF1386,AK1386,AP1386,AU1386)+AX1386/_xlfn.XLOOKUP(_xlfn.XLOOKUP($F1386,Clientes!$B$4:$B$39,Clientes!$C$4:$C$39),Cadastros!$L$6:$L$12,Cadastros!$M$6:$M$12)+IF($F1386="Bernardino Furlan",AY1386/2751.92,IF($F1386="Mauro José Salanti",AY1386/2751.92,AY1386/3356)),F1386&lt;&gt;0,SUM(L1386,Q1386,V1386,AA1386,AF1386,AK1386,AP1386,AU1386))))</f>
        <v xml:space="preserve"> </v>
      </c>
      <c r="BE1386" s="120"/>
      <c r="BF1386" s="120"/>
      <c r="BG1386" s="120"/>
    </row>
    <row r="1387" spans="1:59" s="3" customFormat="1" x14ac:dyDescent="0.3">
      <c r="A1387" s="15" t="str">
        <f t="shared" si="273"/>
        <v/>
      </c>
      <c r="B1387" s="25"/>
      <c r="C1387" s="26"/>
      <c r="D1387" s="279"/>
      <c r="E1387" s="27"/>
      <c r="F1387" s="28"/>
      <c r="G1387" s="27"/>
      <c r="H1387" s="28"/>
      <c r="I1387" s="28"/>
      <c r="J1387" s="255" t="str">
        <f>IF(H1387="","",(_xlfn.XLOOKUP(H1387,Cadastros!$D$6:$D$90,Cadastros!$E$6:$E$90))*(1-_xlfn.XLOOKUP(_xlfn.XLOOKUP($F1387,Clientes!$B$4:$B$39,Clientes!$C$4:$C$39),Cadastros!$L$6:$L$12,Cadastros!$N$6:$N$12)))</f>
        <v/>
      </c>
      <c r="K1387" s="168" t="str">
        <f t="shared" si="274"/>
        <v/>
      </c>
      <c r="L1387" s="168" t="str">
        <f>IFERROR(K1387/_xlfn.XLOOKUP(_xlfn.XLOOKUP($F1387,Clientes!$B$4:$B$39,Clientes!$C$4:$C$39),Cadastros!$L$6:$L$12,Cadastros!$M$6:$M$12)," ")</f>
        <v xml:space="preserve"> </v>
      </c>
      <c r="M1387" s="28"/>
      <c r="N1387" s="28"/>
      <c r="O1387" s="255" t="str">
        <f>IF(M1387="","",(_xlfn.XLOOKUP(M1387,Cadastros!$D$6:$D$90,Cadastros!$E$6:$E$90))*(1-_xlfn.XLOOKUP(_xlfn.XLOOKUP($F1387,Clientes!$B$4:$B$39,Clientes!$C$4:$C$39),Cadastros!$L$6:$L$12,Cadastros!$N$6:$N$12)))</f>
        <v/>
      </c>
      <c r="P1387" s="168" t="str">
        <f t="shared" si="275"/>
        <v/>
      </c>
      <c r="Q1387" s="168" t="str">
        <f>IFERROR(P1387/_xlfn.XLOOKUP(_xlfn.XLOOKUP($F1387,Clientes!$B$4:$B$39,Clientes!$C$4:$C$39),Cadastros!$L$6:$L$12,Cadastros!$M$6:$M$12)," ")</f>
        <v xml:space="preserve"> </v>
      </c>
      <c r="R1387" s="28"/>
      <c r="S1387" s="28"/>
      <c r="T1387" s="255" t="str">
        <f>IF(R1387="","",(_xlfn.XLOOKUP(R1387,Cadastros!$D$6:$D$90,Cadastros!$E$6:$E$90))*(1-_xlfn.XLOOKUP(_xlfn.XLOOKUP($F1387,Clientes!$B$4:$B$39,Clientes!$C$4:$C$39),Cadastros!$L$6:$L$12,Cadastros!$N$6:$N$12)))</f>
        <v/>
      </c>
      <c r="U1387" s="168" t="str">
        <f t="shared" si="276"/>
        <v/>
      </c>
      <c r="V1387" s="168" t="str">
        <f>IFERROR(U1387/_xlfn.XLOOKUP(_xlfn.XLOOKUP($F1387,Clientes!$B$4:$B$39,Clientes!$C$4:$C$39),Cadastros!$L$6:$L$12,Cadastros!$M$6:$M$12)," ")</f>
        <v xml:space="preserve"> </v>
      </c>
      <c r="W1387" s="28"/>
      <c r="X1387" s="28"/>
      <c r="Y1387" s="255" t="str">
        <f>IF(W1387="","",(_xlfn.XLOOKUP(W1387,Cadastros!$D$6:$D$90,Cadastros!$E$6:$E$90))*(1-_xlfn.XLOOKUP(_xlfn.XLOOKUP($F1387,Clientes!$B$4:$B$39,Clientes!$C$4:$C$39),Cadastros!$L$6:$L$12,Cadastros!$N$6:$N$12)))</f>
        <v/>
      </c>
      <c r="Z1387" s="168" t="str">
        <f t="shared" si="277"/>
        <v/>
      </c>
      <c r="AA1387" s="168" t="str">
        <f>IFERROR(Z1387/_xlfn.XLOOKUP(_xlfn.XLOOKUP($F1387,Clientes!$B$4:$B$39,Clientes!$C$4:$C$39),Cadastros!$L$6:$L$12,Cadastros!$M$6:$M$12)," ")</f>
        <v xml:space="preserve"> </v>
      </c>
      <c r="AB1387" s="28"/>
      <c r="AC1387" s="28"/>
      <c r="AD1387" s="20" t="str">
        <f>IF(AB1387="","",IF($F1387="Bernardino Furlan",_xlfn.XLOOKUP(AB1387,Cadastros!$G$6:$G$90,Cadastros!$H$6:$H$90)*(1-0.18),IF($F1387="Mauro José Salanti",_xlfn.XLOOKUP(AB1387,Cadastros!$G$6:$G$90,Cadastros!$H$6:$H$90)*(1-0.18),_xlfn.XLOOKUP(AB1387,Cadastros!$G$6:$G$90,Cadastros!$H$6:$H$90))))</f>
        <v/>
      </c>
      <c r="AE1387" s="168" t="str">
        <f t="shared" si="278"/>
        <v/>
      </c>
      <c r="AF1387" s="168" t="str">
        <f t="shared" si="279"/>
        <v/>
      </c>
      <c r="AG1387" s="28"/>
      <c r="AH1387" s="28"/>
      <c r="AI1387" s="20" t="str">
        <f>IF(AG1387="","",IF($F1387="Bernardino Furlan",_xlfn.XLOOKUP(AG1387,Cadastros!$G$6:$G$90,Cadastros!$H$6:$H$90)*(1-0.18),IF($F1387="Mauro José Salanti",_xlfn.XLOOKUP(AG1387,Cadastros!$G$6:$G$90,Cadastros!$H$6:$H$90)*(1-0.18),_xlfn.XLOOKUP(AG1387,Cadastros!$G$6:$G$90,Cadastros!$H$6:$H$90))))</f>
        <v/>
      </c>
      <c r="AJ1387" s="168" t="str">
        <f t="shared" si="280"/>
        <v/>
      </c>
      <c r="AK1387" s="168" t="str">
        <f t="shared" si="281"/>
        <v/>
      </c>
      <c r="AL1387" s="28"/>
      <c r="AM1387" s="28"/>
      <c r="AN1387" s="20" t="str">
        <f>IF(AL1387="","",IF($F1387="Bernardino Furlan",_xlfn.XLOOKUP(AL1387,Cadastros!$G$6:$G$90,Cadastros!$H$6:$H$90)*(1-0.18),IF($F1387="Mauro José Salanti",_xlfn.XLOOKUP(AL1387,Cadastros!$G$6:$G$90,Cadastros!$H$6:$H$90)*(1-0.18),_xlfn.XLOOKUP(AL1387,Cadastros!$G$6:$G$90,Cadastros!$H$6:$H$90))))</f>
        <v/>
      </c>
      <c r="AO1387" s="168" t="str">
        <f t="shared" si="282"/>
        <v/>
      </c>
      <c r="AP1387" s="168" t="str">
        <f t="shared" si="283"/>
        <v/>
      </c>
      <c r="AQ1387" s="28"/>
      <c r="AR1387" s="28"/>
      <c r="AS1387" s="20" t="str">
        <f>IF(AQ1387="","",IF($F1387="Bernardino Furlan",_xlfn.XLOOKUP(AQ1387,Cadastros!$G$6:$G$90,Cadastros!$H$6:$H$90)*(1-0.18),IF($F1387="Mauro José Salanti",_xlfn.XLOOKUP(AQ1387,Cadastros!$G$6:$G$90,Cadastros!$H$6:$H$90)*(1-0.18),_xlfn.XLOOKUP(AQ1387,Cadastros!$G$6:$G$90,Cadastros!$H$6:$H$90))))</f>
        <v/>
      </c>
      <c r="AT1387" s="168" t="str">
        <f t="shared" si="284"/>
        <v/>
      </c>
      <c r="AU1387" s="168" t="str">
        <f t="shared" si="285"/>
        <v/>
      </c>
      <c r="AV1387" s="227"/>
      <c r="AW1387" s="30"/>
      <c r="AX1387" s="267"/>
      <c r="AY1387" s="267"/>
      <c r="AZ1387" s="29"/>
      <c r="BA1387" s="30"/>
      <c r="BB1387" s="23" t="str" cm="1">
        <f t="array" ref="BB1387">_xlfn.IFS(AW1387="SIM",SUM(K1387,P1387,U1387,Z1387,AE1387,AJ1387,AO1387,AT1387,AX1387,AY1387),F1387&lt;&gt;"",SUM(K1387,P1387,U1387,Z1387,AE1387,AJ1387,,AO1387,AT1387),F1387="","")</f>
        <v/>
      </c>
      <c r="BC1387" s="211" t="str" cm="1">
        <f t="array" ref="BC1387">_xlfn.IFS(E1387="","",G1387&lt;=E1387,BB1387*(1-0.03),G1387&lt;(E1387+8),BB1387,AZ1387="Boleto",BB1387*(1+0.001)^DATEDIF(E1387,G1387,"D"),AZ1387="Cheque",BB1387,AZ1387="Dinheiro","Alterar forma pgto")</f>
        <v/>
      </c>
      <c r="BD1387" s="276" t="str" cm="1">
        <f t="array" ref="BD1387">IF(F1387=0," ",IF(BC1387&lt;BB1387,(_xlfn.IFS(AW1387="SIM",SUM(L1387,Q1387,V1387,AA1387,AF1387,AK1387,AP1387,AU1387)+AX1387/_xlfn.XLOOKUP(_xlfn.XLOOKUP($F1387,Clientes!$B$4:$B$39,Clientes!$C$4:$C$39),Cadastros!$L$6:$L$12,Cadastros!$M$6:$M$12)+IF($F1387="Bernardino Furlan",AY1387/2751.92,IF($F1387="Mauro José Salanti",AY1387/2751.92,AY1387/3356)),F1387&lt;&gt;0,SUM(L1387,Q1387,V1387,AA1387,AF1387,AK1387,AP1387,AU1387)))*(1-0.03),_xlfn.IFS(AW1387="SIM",SUM(L1387,Q1387,V1387,AA1387,AF1387,AK1387,AP1387,AU1387)+AX1387/_xlfn.XLOOKUP(_xlfn.XLOOKUP($F1387,Clientes!$B$4:$B$39,Clientes!$C$4:$C$39),Cadastros!$L$6:$L$12,Cadastros!$M$6:$M$12)+IF($F1387="Bernardino Furlan",AY1387/2751.92,IF($F1387="Mauro José Salanti",AY1387/2751.92,AY1387/3356)),F1387&lt;&gt;0,SUM(L1387,Q1387,V1387,AA1387,AF1387,AK1387,AP1387,AU1387))))</f>
        <v xml:space="preserve"> </v>
      </c>
      <c r="BE1387" s="120"/>
      <c r="BF1387" s="120"/>
      <c r="BG1387" s="120"/>
    </row>
    <row r="1388" spans="1:59" s="3" customFormat="1" x14ac:dyDescent="0.3">
      <c r="A1388" s="15" t="str">
        <f t="shared" si="273"/>
        <v/>
      </c>
      <c r="B1388" s="25"/>
      <c r="C1388" s="26"/>
      <c r="D1388" s="279"/>
      <c r="E1388" s="27"/>
      <c r="F1388" s="28"/>
      <c r="G1388" s="27"/>
      <c r="H1388" s="28"/>
      <c r="I1388" s="28"/>
      <c r="J1388" s="255" t="str">
        <f>IF(H1388="","",(_xlfn.XLOOKUP(H1388,Cadastros!$D$6:$D$90,Cadastros!$E$6:$E$90))*(1-_xlfn.XLOOKUP(_xlfn.XLOOKUP($F1388,Clientes!$B$4:$B$39,Clientes!$C$4:$C$39),Cadastros!$L$6:$L$12,Cadastros!$N$6:$N$12)))</f>
        <v/>
      </c>
      <c r="K1388" s="168" t="str">
        <f t="shared" si="274"/>
        <v/>
      </c>
      <c r="L1388" s="168" t="str">
        <f>IFERROR(K1388/_xlfn.XLOOKUP(_xlfn.XLOOKUP($F1388,Clientes!$B$4:$B$39,Clientes!$C$4:$C$39),Cadastros!$L$6:$L$12,Cadastros!$M$6:$M$12)," ")</f>
        <v xml:space="preserve"> </v>
      </c>
      <c r="M1388" s="28"/>
      <c r="N1388" s="28"/>
      <c r="O1388" s="255" t="str">
        <f>IF(M1388="","",(_xlfn.XLOOKUP(M1388,Cadastros!$D$6:$D$90,Cadastros!$E$6:$E$90))*(1-_xlfn.XLOOKUP(_xlfn.XLOOKUP($F1388,Clientes!$B$4:$B$39,Clientes!$C$4:$C$39),Cadastros!$L$6:$L$12,Cadastros!$N$6:$N$12)))</f>
        <v/>
      </c>
      <c r="P1388" s="168" t="str">
        <f t="shared" si="275"/>
        <v/>
      </c>
      <c r="Q1388" s="168" t="str">
        <f>IFERROR(P1388/_xlfn.XLOOKUP(_xlfn.XLOOKUP($F1388,Clientes!$B$4:$B$39,Clientes!$C$4:$C$39),Cadastros!$L$6:$L$12,Cadastros!$M$6:$M$12)," ")</f>
        <v xml:space="preserve"> </v>
      </c>
      <c r="R1388" s="28"/>
      <c r="S1388" s="28"/>
      <c r="T1388" s="255" t="str">
        <f>IF(R1388="","",(_xlfn.XLOOKUP(R1388,Cadastros!$D$6:$D$90,Cadastros!$E$6:$E$90))*(1-_xlfn.XLOOKUP(_xlfn.XLOOKUP($F1388,Clientes!$B$4:$B$39,Clientes!$C$4:$C$39),Cadastros!$L$6:$L$12,Cadastros!$N$6:$N$12)))</f>
        <v/>
      </c>
      <c r="U1388" s="168" t="str">
        <f t="shared" si="276"/>
        <v/>
      </c>
      <c r="V1388" s="168" t="str">
        <f>IFERROR(U1388/_xlfn.XLOOKUP(_xlfn.XLOOKUP($F1388,Clientes!$B$4:$B$39,Clientes!$C$4:$C$39),Cadastros!$L$6:$L$12,Cadastros!$M$6:$M$12)," ")</f>
        <v xml:space="preserve"> </v>
      </c>
      <c r="W1388" s="28"/>
      <c r="X1388" s="28"/>
      <c r="Y1388" s="255" t="str">
        <f>IF(W1388="","",(_xlfn.XLOOKUP(W1388,Cadastros!$D$6:$D$90,Cadastros!$E$6:$E$90))*(1-_xlfn.XLOOKUP(_xlfn.XLOOKUP($F1388,Clientes!$B$4:$B$39,Clientes!$C$4:$C$39),Cadastros!$L$6:$L$12,Cadastros!$N$6:$N$12)))</f>
        <v/>
      </c>
      <c r="Z1388" s="168" t="str">
        <f t="shared" si="277"/>
        <v/>
      </c>
      <c r="AA1388" s="168" t="str">
        <f>IFERROR(Z1388/_xlfn.XLOOKUP(_xlfn.XLOOKUP($F1388,Clientes!$B$4:$B$39,Clientes!$C$4:$C$39),Cadastros!$L$6:$L$12,Cadastros!$M$6:$M$12)," ")</f>
        <v xml:space="preserve"> </v>
      </c>
      <c r="AB1388" s="28"/>
      <c r="AC1388" s="28"/>
      <c r="AD1388" s="20" t="str">
        <f>IF(AB1388="","",IF($F1388="Bernardino Furlan",_xlfn.XLOOKUP(AB1388,Cadastros!$G$6:$G$90,Cadastros!$H$6:$H$90)*(1-0.18),IF($F1388="Mauro José Salanti",_xlfn.XLOOKUP(AB1388,Cadastros!$G$6:$G$90,Cadastros!$H$6:$H$90)*(1-0.18),_xlfn.XLOOKUP(AB1388,Cadastros!$G$6:$G$90,Cadastros!$H$6:$H$90))))</f>
        <v/>
      </c>
      <c r="AE1388" s="168" t="str">
        <f t="shared" si="278"/>
        <v/>
      </c>
      <c r="AF1388" s="168" t="str">
        <f t="shared" si="279"/>
        <v/>
      </c>
      <c r="AG1388" s="28"/>
      <c r="AH1388" s="28"/>
      <c r="AI1388" s="20" t="str">
        <f>IF(AG1388="","",IF($F1388="Bernardino Furlan",_xlfn.XLOOKUP(AG1388,Cadastros!$G$6:$G$90,Cadastros!$H$6:$H$90)*(1-0.18),IF($F1388="Mauro José Salanti",_xlfn.XLOOKUP(AG1388,Cadastros!$G$6:$G$90,Cadastros!$H$6:$H$90)*(1-0.18),_xlfn.XLOOKUP(AG1388,Cadastros!$G$6:$G$90,Cadastros!$H$6:$H$90))))</f>
        <v/>
      </c>
      <c r="AJ1388" s="168" t="str">
        <f t="shared" si="280"/>
        <v/>
      </c>
      <c r="AK1388" s="168" t="str">
        <f t="shared" si="281"/>
        <v/>
      </c>
      <c r="AL1388" s="28"/>
      <c r="AM1388" s="28"/>
      <c r="AN1388" s="20" t="str">
        <f>IF(AL1388="","",IF($F1388="Bernardino Furlan",_xlfn.XLOOKUP(AL1388,Cadastros!$G$6:$G$90,Cadastros!$H$6:$H$90)*(1-0.18),IF($F1388="Mauro José Salanti",_xlfn.XLOOKUP(AL1388,Cadastros!$G$6:$G$90,Cadastros!$H$6:$H$90)*(1-0.18),_xlfn.XLOOKUP(AL1388,Cadastros!$G$6:$G$90,Cadastros!$H$6:$H$90))))</f>
        <v/>
      </c>
      <c r="AO1388" s="168" t="str">
        <f t="shared" si="282"/>
        <v/>
      </c>
      <c r="AP1388" s="168" t="str">
        <f t="shared" si="283"/>
        <v/>
      </c>
      <c r="AQ1388" s="28"/>
      <c r="AR1388" s="28"/>
      <c r="AS1388" s="20" t="str">
        <f>IF(AQ1388="","",IF($F1388="Bernardino Furlan",_xlfn.XLOOKUP(AQ1388,Cadastros!$G$6:$G$90,Cadastros!$H$6:$H$90)*(1-0.18),IF($F1388="Mauro José Salanti",_xlfn.XLOOKUP(AQ1388,Cadastros!$G$6:$G$90,Cadastros!$H$6:$H$90)*(1-0.18),_xlfn.XLOOKUP(AQ1388,Cadastros!$G$6:$G$90,Cadastros!$H$6:$H$90))))</f>
        <v/>
      </c>
      <c r="AT1388" s="168" t="str">
        <f t="shared" si="284"/>
        <v/>
      </c>
      <c r="AU1388" s="168" t="str">
        <f t="shared" si="285"/>
        <v/>
      </c>
      <c r="AV1388" s="227"/>
      <c r="AW1388" s="30"/>
      <c r="AX1388" s="267"/>
      <c r="AY1388" s="267"/>
      <c r="AZ1388" s="29"/>
      <c r="BA1388" s="30"/>
      <c r="BB1388" s="23" t="str" cm="1">
        <f t="array" ref="BB1388">_xlfn.IFS(AW1388="SIM",SUM(K1388,P1388,U1388,Z1388,AE1388,AJ1388,AO1388,AT1388,AX1388,AY1388),F1388&lt;&gt;"",SUM(K1388,P1388,U1388,Z1388,AE1388,AJ1388,,AO1388,AT1388),F1388="","")</f>
        <v/>
      </c>
      <c r="BC1388" s="211" t="str" cm="1">
        <f t="array" ref="BC1388">_xlfn.IFS(E1388="","",G1388&lt;=E1388,BB1388*(1-0.03),G1388&lt;(E1388+8),BB1388,AZ1388="Boleto",BB1388*(1+0.001)^DATEDIF(E1388,G1388,"D"),AZ1388="Cheque",BB1388,AZ1388="Dinheiro","Alterar forma pgto")</f>
        <v/>
      </c>
      <c r="BD1388" s="276" t="str" cm="1">
        <f t="array" ref="BD1388">IF(F1388=0," ",IF(BC1388&lt;BB1388,(_xlfn.IFS(AW1388="SIM",SUM(L1388,Q1388,V1388,AA1388,AF1388,AK1388,AP1388,AU1388)+AX1388/_xlfn.XLOOKUP(_xlfn.XLOOKUP($F1388,Clientes!$B$4:$B$39,Clientes!$C$4:$C$39),Cadastros!$L$6:$L$12,Cadastros!$M$6:$M$12)+IF($F1388="Bernardino Furlan",AY1388/2751.92,IF($F1388="Mauro José Salanti",AY1388/2751.92,AY1388/3356)),F1388&lt;&gt;0,SUM(L1388,Q1388,V1388,AA1388,AF1388,AK1388,AP1388,AU1388)))*(1-0.03),_xlfn.IFS(AW1388="SIM",SUM(L1388,Q1388,V1388,AA1388,AF1388,AK1388,AP1388,AU1388)+AX1388/_xlfn.XLOOKUP(_xlfn.XLOOKUP($F1388,Clientes!$B$4:$B$39,Clientes!$C$4:$C$39),Cadastros!$L$6:$L$12,Cadastros!$M$6:$M$12)+IF($F1388="Bernardino Furlan",AY1388/2751.92,IF($F1388="Mauro José Salanti",AY1388/2751.92,AY1388/3356)),F1388&lt;&gt;0,SUM(L1388,Q1388,V1388,AA1388,AF1388,AK1388,AP1388,AU1388))))</f>
        <v xml:space="preserve"> </v>
      </c>
      <c r="BE1388" s="120"/>
      <c r="BF1388" s="120"/>
      <c r="BG1388" s="120"/>
    </row>
    <row r="1389" spans="1:59" s="3" customFormat="1" x14ac:dyDescent="0.3">
      <c r="A1389" s="15" t="str">
        <f t="shared" si="273"/>
        <v/>
      </c>
      <c r="B1389" s="25"/>
      <c r="C1389" s="26"/>
      <c r="D1389" s="279"/>
      <c r="E1389" s="27"/>
      <c r="F1389" s="28"/>
      <c r="G1389" s="27"/>
      <c r="H1389" s="28"/>
      <c r="I1389" s="28"/>
      <c r="J1389" s="255" t="str">
        <f>IF(H1389="","",(_xlfn.XLOOKUP(H1389,Cadastros!$D$6:$D$90,Cadastros!$E$6:$E$90))*(1-_xlfn.XLOOKUP(_xlfn.XLOOKUP($F1389,Clientes!$B$4:$B$39,Clientes!$C$4:$C$39),Cadastros!$L$6:$L$12,Cadastros!$N$6:$N$12)))</f>
        <v/>
      </c>
      <c r="K1389" s="168" t="str">
        <f t="shared" si="274"/>
        <v/>
      </c>
      <c r="L1389" s="168" t="str">
        <f>IFERROR(K1389/_xlfn.XLOOKUP(_xlfn.XLOOKUP($F1389,Clientes!$B$4:$B$39,Clientes!$C$4:$C$39),Cadastros!$L$6:$L$12,Cadastros!$M$6:$M$12)," ")</f>
        <v xml:space="preserve"> </v>
      </c>
      <c r="M1389" s="28"/>
      <c r="N1389" s="28"/>
      <c r="O1389" s="255" t="str">
        <f>IF(M1389="","",(_xlfn.XLOOKUP(M1389,Cadastros!$D$6:$D$90,Cadastros!$E$6:$E$90))*(1-_xlfn.XLOOKUP(_xlfn.XLOOKUP($F1389,Clientes!$B$4:$B$39,Clientes!$C$4:$C$39),Cadastros!$L$6:$L$12,Cadastros!$N$6:$N$12)))</f>
        <v/>
      </c>
      <c r="P1389" s="168" t="str">
        <f t="shared" si="275"/>
        <v/>
      </c>
      <c r="Q1389" s="168" t="str">
        <f>IFERROR(P1389/_xlfn.XLOOKUP(_xlfn.XLOOKUP($F1389,Clientes!$B$4:$B$39,Clientes!$C$4:$C$39),Cadastros!$L$6:$L$12,Cadastros!$M$6:$M$12)," ")</f>
        <v xml:space="preserve"> </v>
      </c>
      <c r="R1389" s="28"/>
      <c r="S1389" s="28"/>
      <c r="T1389" s="255" t="str">
        <f>IF(R1389="","",(_xlfn.XLOOKUP(R1389,Cadastros!$D$6:$D$90,Cadastros!$E$6:$E$90))*(1-_xlfn.XLOOKUP(_xlfn.XLOOKUP($F1389,Clientes!$B$4:$B$39,Clientes!$C$4:$C$39),Cadastros!$L$6:$L$12,Cadastros!$N$6:$N$12)))</f>
        <v/>
      </c>
      <c r="U1389" s="168" t="str">
        <f t="shared" si="276"/>
        <v/>
      </c>
      <c r="V1389" s="168" t="str">
        <f>IFERROR(U1389/_xlfn.XLOOKUP(_xlfn.XLOOKUP($F1389,Clientes!$B$4:$B$39,Clientes!$C$4:$C$39),Cadastros!$L$6:$L$12,Cadastros!$M$6:$M$12)," ")</f>
        <v xml:space="preserve"> </v>
      </c>
      <c r="W1389" s="28"/>
      <c r="X1389" s="28"/>
      <c r="Y1389" s="255" t="str">
        <f>IF(W1389="","",(_xlfn.XLOOKUP(W1389,Cadastros!$D$6:$D$90,Cadastros!$E$6:$E$90))*(1-_xlfn.XLOOKUP(_xlfn.XLOOKUP($F1389,Clientes!$B$4:$B$39,Clientes!$C$4:$C$39),Cadastros!$L$6:$L$12,Cadastros!$N$6:$N$12)))</f>
        <v/>
      </c>
      <c r="Z1389" s="168" t="str">
        <f t="shared" si="277"/>
        <v/>
      </c>
      <c r="AA1389" s="168" t="str">
        <f>IFERROR(Z1389/_xlfn.XLOOKUP(_xlfn.XLOOKUP($F1389,Clientes!$B$4:$B$39,Clientes!$C$4:$C$39),Cadastros!$L$6:$L$12,Cadastros!$M$6:$M$12)," ")</f>
        <v xml:space="preserve"> </v>
      </c>
      <c r="AB1389" s="28"/>
      <c r="AC1389" s="28"/>
      <c r="AD1389" s="20" t="str">
        <f>IF(AB1389="","",IF($F1389="Bernardino Furlan",_xlfn.XLOOKUP(AB1389,Cadastros!$G$6:$G$90,Cadastros!$H$6:$H$90)*(1-0.18),IF($F1389="Mauro José Salanti",_xlfn.XLOOKUP(AB1389,Cadastros!$G$6:$G$90,Cadastros!$H$6:$H$90)*(1-0.18),_xlfn.XLOOKUP(AB1389,Cadastros!$G$6:$G$90,Cadastros!$H$6:$H$90))))</f>
        <v/>
      </c>
      <c r="AE1389" s="168" t="str">
        <f t="shared" si="278"/>
        <v/>
      </c>
      <c r="AF1389" s="168" t="str">
        <f t="shared" si="279"/>
        <v/>
      </c>
      <c r="AG1389" s="28"/>
      <c r="AH1389" s="28"/>
      <c r="AI1389" s="20" t="str">
        <f>IF(AG1389="","",IF($F1389="Bernardino Furlan",_xlfn.XLOOKUP(AG1389,Cadastros!$G$6:$G$90,Cadastros!$H$6:$H$90)*(1-0.18),IF($F1389="Mauro José Salanti",_xlfn.XLOOKUP(AG1389,Cadastros!$G$6:$G$90,Cadastros!$H$6:$H$90)*(1-0.18),_xlfn.XLOOKUP(AG1389,Cadastros!$G$6:$G$90,Cadastros!$H$6:$H$90))))</f>
        <v/>
      </c>
      <c r="AJ1389" s="168" t="str">
        <f t="shared" si="280"/>
        <v/>
      </c>
      <c r="AK1389" s="168" t="str">
        <f t="shared" si="281"/>
        <v/>
      </c>
      <c r="AL1389" s="28"/>
      <c r="AM1389" s="28"/>
      <c r="AN1389" s="20" t="str">
        <f>IF(AL1389="","",IF($F1389="Bernardino Furlan",_xlfn.XLOOKUP(AL1389,Cadastros!$G$6:$G$90,Cadastros!$H$6:$H$90)*(1-0.18),IF($F1389="Mauro José Salanti",_xlfn.XLOOKUP(AL1389,Cadastros!$G$6:$G$90,Cadastros!$H$6:$H$90)*(1-0.18),_xlfn.XLOOKUP(AL1389,Cadastros!$G$6:$G$90,Cadastros!$H$6:$H$90))))</f>
        <v/>
      </c>
      <c r="AO1389" s="168" t="str">
        <f t="shared" si="282"/>
        <v/>
      </c>
      <c r="AP1389" s="168" t="str">
        <f t="shared" si="283"/>
        <v/>
      </c>
      <c r="AQ1389" s="28"/>
      <c r="AR1389" s="28"/>
      <c r="AS1389" s="20" t="str">
        <f>IF(AQ1389="","",IF($F1389="Bernardino Furlan",_xlfn.XLOOKUP(AQ1389,Cadastros!$G$6:$G$90,Cadastros!$H$6:$H$90)*(1-0.18),IF($F1389="Mauro José Salanti",_xlfn.XLOOKUP(AQ1389,Cadastros!$G$6:$G$90,Cadastros!$H$6:$H$90)*(1-0.18),_xlfn.XLOOKUP(AQ1389,Cadastros!$G$6:$G$90,Cadastros!$H$6:$H$90))))</f>
        <v/>
      </c>
      <c r="AT1389" s="168" t="str">
        <f t="shared" si="284"/>
        <v/>
      </c>
      <c r="AU1389" s="168" t="str">
        <f t="shared" si="285"/>
        <v/>
      </c>
      <c r="AV1389" s="227"/>
      <c r="AW1389" s="30"/>
      <c r="AX1389" s="267"/>
      <c r="AY1389" s="267"/>
      <c r="AZ1389" s="29"/>
      <c r="BA1389" s="30"/>
      <c r="BB1389" s="23" t="str" cm="1">
        <f t="array" ref="BB1389">_xlfn.IFS(AW1389="SIM",SUM(K1389,P1389,U1389,Z1389,AE1389,AJ1389,AO1389,AT1389,AX1389,AY1389),F1389&lt;&gt;"",SUM(K1389,P1389,U1389,Z1389,AE1389,AJ1389,,AO1389,AT1389),F1389="","")</f>
        <v/>
      </c>
      <c r="BC1389" s="211" t="str" cm="1">
        <f t="array" ref="BC1389">_xlfn.IFS(E1389="","",G1389&lt;=E1389,BB1389*(1-0.03),G1389&lt;(E1389+8),BB1389,AZ1389="Boleto",BB1389*(1+0.001)^DATEDIF(E1389,G1389,"D"),AZ1389="Cheque",BB1389,AZ1389="Dinheiro","Alterar forma pgto")</f>
        <v/>
      </c>
      <c r="BD1389" s="276" t="str" cm="1">
        <f t="array" ref="BD1389">IF(F1389=0," ",IF(BC1389&lt;BB1389,(_xlfn.IFS(AW1389="SIM",SUM(L1389,Q1389,V1389,AA1389,AF1389,AK1389,AP1389,AU1389)+AX1389/_xlfn.XLOOKUP(_xlfn.XLOOKUP($F1389,Clientes!$B$4:$B$39,Clientes!$C$4:$C$39),Cadastros!$L$6:$L$12,Cadastros!$M$6:$M$12)+IF($F1389="Bernardino Furlan",AY1389/2751.92,IF($F1389="Mauro José Salanti",AY1389/2751.92,AY1389/3356)),F1389&lt;&gt;0,SUM(L1389,Q1389,V1389,AA1389,AF1389,AK1389,AP1389,AU1389)))*(1-0.03),_xlfn.IFS(AW1389="SIM",SUM(L1389,Q1389,V1389,AA1389,AF1389,AK1389,AP1389,AU1389)+AX1389/_xlfn.XLOOKUP(_xlfn.XLOOKUP($F1389,Clientes!$B$4:$B$39,Clientes!$C$4:$C$39),Cadastros!$L$6:$L$12,Cadastros!$M$6:$M$12)+IF($F1389="Bernardino Furlan",AY1389/2751.92,IF($F1389="Mauro José Salanti",AY1389/2751.92,AY1389/3356)),F1389&lt;&gt;0,SUM(L1389,Q1389,V1389,AA1389,AF1389,AK1389,AP1389,AU1389))))</f>
        <v xml:space="preserve"> </v>
      </c>
      <c r="BE1389" s="120"/>
      <c r="BF1389" s="120"/>
      <c r="BG1389" s="120"/>
    </row>
    <row r="1390" spans="1:59" s="3" customFormat="1" x14ac:dyDescent="0.3">
      <c r="A1390" s="15" t="str">
        <f t="shared" si="273"/>
        <v/>
      </c>
      <c r="B1390" s="25"/>
      <c r="C1390" s="26"/>
      <c r="D1390" s="279"/>
      <c r="E1390" s="27"/>
      <c r="F1390" s="28"/>
      <c r="G1390" s="27"/>
      <c r="H1390" s="28"/>
      <c r="I1390" s="28"/>
      <c r="J1390" s="255" t="str">
        <f>IF(H1390="","",(_xlfn.XLOOKUP(H1390,Cadastros!$D$6:$D$90,Cadastros!$E$6:$E$90))*(1-_xlfn.XLOOKUP(_xlfn.XLOOKUP($F1390,Clientes!$B$4:$B$39,Clientes!$C$4:$C$39),Cadastros!$L$6:$L$12,Cadastros!$N$6:$N$12)))</f>
        <v/>
      </c>
      <c r="K1390" s="168" t="str">
        <f t="shared" si="274"/>
        <v/>
      </c>
      <c r="L1390" s="168" t="str">
        <f>IFERROR(K1390/_xlfn.XLOOKUP(_xlfn.XLOOKUP($F1390,Clientes!$B$4:$B$39,Clientes!$C$4:$C$39),Cadastros!$L$6:$L$12,Cadastros!$M$6:$M$12)," ")</f>
        <v xml:space="preserve"> </v>
      </c>
      <c r="M1390" s="28"/>
      <c r="N1390" s="28"/>
      <c r="O1390" s="255" t="str">
        <f>IF(M1390="","",(_xlfn.XLOOKUP(M1390,Cadastros!$D$6:$D$90,Cadastros!$E$6:$E$90))*(1-_xlfn.XLOOKUP(_xlfn.XLOOKUP($F1390,Clientes!$B$4:$B$39,Clientes!$C$4:$C$39),Cadastros!$L$6:$L$12,Cadastros!$N$6:$N$12)))</f>
        <v/>
      </c>
      <c r="P1390" s="168" t="str">
        <f t="shared" si="275"/>
        <v/>
      </c>
      <c r="Q1390" s="168" t="str">
        <f>IFERROR(P1390/_xlfn.XLOOKUP(_xlfn.XLOOKUP($F1390,Clientes!$B$4:$B$39,Clientes!$C$4:$C$39),Cadastros!$L$6:$L$12,Cadastros!$M$6:$M$12)," ")</f>
        <v xml:space="preserve"> </v>
      </c>
      <c r="R1390" s="28"/>
      <c r="S1390" s="28"/>
      <c r="T1390" s="255" t="str">
        <f>IF(R1390="","",(_xlfn.XLOOKUP(R1390,Cadastros!$D$6:$D$90,Cadastros!$E$6:$E$90))*(1-_xlfn.XLOOKUP(_xlfn.XLOOKUP($F1390,Clientes!$B$4:$B$39,Clientes!$C$4:$C$39),Cadastros!$L$6:$L$12,Cadastros!$N$6:$N$12)))</f>
        <v/>
      </c>
      <c r="U1390" s="168" t="str">
        <f t="shared" si="276"/>
        <v/>
      </c>
      <c r="V1390" s="168" t="str">
        <f>IFERROR(U1390/_xlfn.XLOOKUP(_xlfn.XLOOKUP($F1390,Clientes!$B$4:$B$39,Clientes!$C$4:$C$39),Cadastros!$L$6:$L$12,Cadastros!$M$6:$M$12)," ")</f>
        <v xml:space="preserve"> </v>
      </c>
      <c r="W1390" s="28"/>
      <c r="X1390" s="28"/>
      <c r="Y1390" s="255" t="str">
        <f>IF(W1390="","",(_xlfn.XLOOKUP(W1390,Cadastros!$D$6:$D$90,Cadastros!$E$6:$E$90))*(1-_xlfn.XLOOKUP(_xlfn.XLOOKUP($F1390,Clientes!$B$4:$B$39,Clientes!$C$4:$C$39),Cadastros!$L$6:$L$12,Cadastros!$N$6:$N$12)))</f>
        <v/>
      </c>
      <c r="Z1390" s="168" t="str">
        <f t="shared" si="277"/>
        <v/>
      </c>
      <c r="AA1390" s="168" t="str">
        <f>IFERROR(Z1390/_xlfn.XLOOKUP(_xlfn.XLOOKUP($F1390,Clientes!$B$4:$B$39,Clientes!$C$4:$C$39),Cadastros!$L$6:$L$12,Cadastros!$M$6:$M$12)," ")</f>
        <v xml:space="preserve"> </v>
      </c>
      <c r="AB1390" s="28"/>
      <c r="AC1390" s="28"/>
      <c r="AD1390" s="20" t="str">
        <f>IF(AB1390="","",IF($F1390="Bernardino Furlan",_xlfn.XLOOKUP(AB1390,Cadastros!$G$6:$G$90,Cadastros!$H$6:$H$90)*(1-0.18),IF($F1390="Mauro José Salanti",_xlfn.XLOOKUP(AB1390,Cadastros!$G$6:$G$90,Cadastros!$H$6:$H$90)*(1-0.18),_xlfn.XLOOKUP(AB1390,Cadastros!$G$6:$G$90,Cadastros!$H$6:$H$90))))</f>
        <v/>
      </c>
      <c r="AE1390" s="168" t="str">
        <f t="shared" si="278"/>
        <v/>
      </c>
      <c r="AF1390" s="168" t="str">
        <f t="shared" si="279"/>
        <v/>
      </c>
      <c r="AG1390" s="28"/>
      <c r="AH1390" s="28"/>
      <c r="AI1390" s="20" t="str">
        <f>IF(AG1390="","",IF($F1390="Bernardino Furlan",_xlfn.XLOOKUP(AG1390,Cadastros!$G$6:$G$90,Cadastros!$H$6:$H$90)*(1-0.18),IF($F1390="Mauro José Salanti",_xlfn.XLOOKUP(AG1390,Cadastros!$G$6:$G$90,Cadastros!$H$6:$H$90)*(1-0.18),_xlfn.XLOOKUP(AG1390,Cadastros!$G$6:$G$90,Cadastros!$H$6:$H$90))))</f>
        <v/>
      </c>
      <c r="AJ1390" s="168" t="str">
        <f t="shared" si="280"/>
        <v/>
      </c>
      <c r="AK1390" s="168" t="str">
        <f t="shared" si="281"/>
        <v/>
      </c>
      <c r="AL1390" s="28"/>
      <c r="AM1390" s="28"/>
      <c r="AN1390" s="20" t="str">
        <f>IF(AL1390="","",IF($F1390="Bernardino Furlan",_xlfn.XLOOKUP(AL1390,Cadastros!$G$6:$G$90,Cadastros!$H$6:$H$90)*(1-0.18),IF($F1390="Mauro José Salanti",_xlfn.XLOOKUP(AL1390,Cadastros!$G$6:$G$90,Cadastros!$H$6:$H$90)*(1-0.18),_xlfn.XLOOKUP(AL1390,Cadastros!$G$6:$G$90,Cadastros!$H$6:$H$90))))</f>
        <v/>
      </c>
      <c r="AO1390" s="168" t="str">
        <f t="shared" si="282"/>
        <v/>
      </c>
      <c r="AP1390" s="168" t="str">
        <f t="shared" si="283"/>
        <v/>
      </c>
      <c r="AQ1390" s="28"/>
      <c r="AR1390" s="28"/>
      <c r="AS1390" s="20" t="str">
        <f>IF(AQ1390="","",IF($F1390="Bernardino Furlan",_xlfn.XLOOKUP(AQ1390,Cadastros!$G$6:$G$90,Cadastros!$H$6:$H$90)*(1-0.18),IF($F1390="Mauro José Salanti",_xlfn.XLOOKUP(AQ1390,Cadastros!$G$6:$G$90,Cadastros!$H$6:$H$90)*(1-0.18),_xlfn.XLOOKUP(AQ1390,Cadastros!$G$6:$G$90,Cadastros!$H$6:$H$90))))</f>
        <v/>
      </c>
      <c r="AT1390" s="168" t="str">
        <f t="shared" si="284"/>
        <v/>
      </c>
      <c r="AU1390" s="168" t="str">
        <f t="shared" si="285"/>
        <v/>
      </c>
      <c r="AV1390" s="227"/>
      <c r="AW1390" s="30"/>
      <c r="AX1390" s="267"/>
      <c r="AY1390" s="267"/>
      <c r="AZ1390" s="29"/>
      <c r="BA1390" s="30"/>
      <c r="BB1390" s="23" t="str" cm="1">
        <f t="array" ref="BB1390">_xlfn.IFS(AW1390="SIM",SUM(K1390,P1390,U1390,Z1390,AE1390,AJ1390,AO1390,AT1390,AX1390,AY1390),F1390&lt;&gt;"",SUM(K1390,P1390,U1390,Z1390,AE1390,AJ1390,,AO1390,AT1390),F1390="","")</f>
        <v/>
      </c>
      <c r="BC1390" s="211" t="str" cm="1">
        <f t="array" ref="BC1390">_xlfn.IFS(E1390="","",G1390&lt;=E1390,BB1390*(1-0.03),G1390&lt;(E1390+8),BB1390,AZ1390="Boleto",BB1390*(1+0.001)^DATEDIF(E1390,G1390,"D"),AZ1390="Cheque",BB1390,AZ1390="Dinheiro","Alterar forma pgto")</f>
        <v/>
      </c>
      <c r="BD1390" s="276" t="str" cm="1">
        <f t="array" ref="BD1390">IF(F1390=0," ",IF(BC1390&lt;BB1390,(_xlfn.IFS(AW1390="SIM",SUM(L1390,Q1390,V1390,AA1390,AF1390,AK1390,AP1390,AU1390)+AX1390/_xlfn.XLOOKUP(_xlfn.XLOOKUP($F1390,Clientes!$B$4:$B$39,Clientes!$C$4:$C$39),Cadastros!$L$6:$L$12,Cadastros!$M$6:$M$12)+IF($F1390="Bernardino Furlan",AY1390/2751.92,IF($F1390="Mauro José Salanti",AY1390/2751.92,AY1390/3356)),F1390&lt;&gt;0,SUM(L1390,Q1390,V1390,AA1390,AF1390,AK1390,AP1390,AU1390)))*(1-0.03),_xlfn.IFS(AW1390="SIM",SUM(L1390,Q1390,V1390,AA1390,AF1390,AK1390,AP1390,AU1390)+AX1390/_xlfn.XLOOKUP(_xlfn.XLOOKUP($F1390,Clientes!$B$4:$B$39,Clientes!$C$4:$C$39),Cadastros!$L$6:$L$12,Cadastros!$M$6:$M$12)+IF($F1390="Bernardino Furlan",AY1390/2751.92,IF($F1390="Mauro José Salanti",AY1390/2751.92,AY1390/3356)),F1390&lt;&gt;0,SUM(L1390,Q1390,V1390,AA1390,AF1390,AK1390,AP1390,AU1390))))</f>
        <v xml:space="preserve"> </v>
      </c>
      <c r="BE1390" s="120"/>
      <c r="BF1390" s="120"/>
      <c r="BG1390" s="120"/>
    </row>
    <row r="1391" spans="1:59" s="3" customFormat="1" x14ac:dyDescent="0.3">
      <c r="A1391" s="15" t="str">
        <f t="shared" si="273"/>
        <v/>
      </c>
      <c r="B1391" s="25"/>
      <c r="C1391" s="26"/>
      <c r="D1391" s="279"/>
      <c r="E1391" s="27"/>
      <c r="F1391" s="28"/>
      <c r="G1391" s="27"/>
      <c r="H1391" s="28"/>
      <c r="I1391" s="28"/>
      <c r="J1391" s="255" t="str">
        <f>IF(H1391="","",(_xlfn.XLOOKUP(H1391,Cadastros!$D$6:$D$90,Cadastros!$E$6:$E$90))*(1-_xlfn.XLOOKUP(_xlfn.XLOOKUP($F1391,Clientes!$B$4:$B$39,Clientes!$C$4:$C$39),Cadastros!$L$6:$L$12,Cadastros!$N$6:$N$12)))</f>
        <v/>
      </c>
      <c r="K1391" s="168" t="str">
        <f t="shared" si="274"/>
        <v/>
      </c>
      <c r="L1391" s="168" t="str">
        <f>IFERROR(K1391/_xlfn.XLOOKUP(_xlfn.XLOOKUP($F1391,Clientes!$B$4:$B$39,Clientes!$C$4:$C$39),Cadastros!$L$6:$L$12,Cadastros!$M$6:$M$12)," ")</f>
        <v xml:space="preserve"> </v>
      </c>
      <c r="M1391" s="28"/>
      <c r="N1391" s="28"/>
      <c r="O1391" s="255" t="str">
        <f>IF(M1391="","",(_xlfn.XLOOKUP(M1391,Cadastros!$D$6:$D$90,Cadastros!$E$6:$E$90))*(1-_xlfn.XLOOKUP(_xlfn.XLOOKUP($F1391,Clientes!$B$4:$B$39,Clientes!$C$4:$C$39),Cadastros!$L$6:$L$12,Cadastros!$N$6:$N$12)))</f>
        <v/>
      </c>
      <c r="P1391" s="168" t="str">
        <f t="shared" si="275"/>
        <v/>
      </c>
      <c r="Q1391" s="168" t="str">
        <f>IFERROR(P1391/_xlfn.XLOOKUP(_xlfn.XLOOKUP($F1391,Clientes!$B$4:$B$39,Clientes!$C$4:$C$39),Cadastros!$L$6:$L$12,Cadastros!$M$6:$M$12)," ")</f>
        <v xml:space="preserve"> </v>
      </c>
      <c r="R1391" s="28"/>
      <c r="S1391" s="28"/>
      <c r="T1391" s="255" t="str">
        <f>IF(R1391="","",(_xlfn.XLOOKUP(R1391,Cadastros!$D$6:$D$90,Cadastros!$E$6:$E$90))*(1-_xlfn.XLOOKUP(_xlfn.XLOOKUP($F1391,Clientes!$B$4:$B$39,Clientes!$C$4:$C$39),Cadastros!$L$6:$L$12,Cadastros!$N$6:$N$12)))</f>
        <v/>
      </c>
      <c r="U1391" s="168" t="str">
        <f t="shared" si="276"/>
        <v/>
      </c>
      <c r="V1391" s="168" t="str">
        <f>IFERROR(U1391/_xlfn.XLOOKUP(_xlfn.XLOOKUP($F1391,Clientes!$B$4:$B$39,Clientes!$C$4:$C$39),Cadastros!$L$6:$L$12,Cadastros!$M$6:$M$12)," ")</f>
        <v xml:space="preserve"> </v>
      </c>
      <c r="W1391" s="28"/>
      <c r="X1391" s="28"/>
      <c r="Y1391" s="255" t="str">
        <f>IF(W1391="","",(_xlfn.XLOOKUP(W1391,Cadastros!$D$6:$D$90,Cadastros!$E$6:$E$90))*(1-_xlfn.XLOOKUP(_xlfn.XLOOKUP($F1391,Clientes!$B$4:$B$39,Clientes!$C$4:$C$39),Cadastros!$L$6:$L$12,Cadastros!$N$6:$N$12)))</f>
        <v/>
      </c>
      <c r="Z1391" s="168" t="str">
        <f t="shared" si="277"/>
        <v/>
      </c>
      <c r="AA1391" s="168" t="str">
        <f>IFERROR(Z1391/_xlfn.XLOOKUP(_xlfn.XLOOKUP($F1391,Clientes!$B$4:$B$39,Clientes!$C$4:$C$39),Cadastros!$L$6:$L$12,Cadastros!$M$6:$M$12)," ")</f>
        <v xml:space="preserve"> </v>
      </c>
      <c r="AB1391" s="28"/>
      <c r="AC1391" s="28"/>
      <c r="AD1391" s="20" t="str">
        <f>IF(AB1391="","",IF($F1391="Bernardino Furlan",_xlfn.XLOOKUP(AB1391,Cadastros!$G$6:$G$90,Cadastros!$H$6:$H$90)*(1-0.18),IF($F1391="Mauro José Salanti",_xlfn.XLOOKUP(AB1391,Cadastros!$G$6:$G$90,Cadastros!$H$6:$H$90)*(1-0.18),_xlfn.XLOOKUP(AB1391,Cadastros!$G$6:$G$90,Cadastros!$H$6:$H$90))))</f>
        <v/>
      </c>
      <c r="AE1391" s="168" t="str">
        <f t="shared" si="278"/>
        <v/>
      </c>
      <c r="AF1391" s="168" t="str">
        <f t="shared" si="279"/>
        <v/>
      </c>
      <c r="AG1391" s="28"/>
      <c r="AH1391" s="28"/>
      <c r="AI1391" s="20" t="str">
        <f>IF(AG1391="","",IF($F1391="Bernardino Furlan",_xlfn.XLOOKUP(AG1391,Cadastros!$G$6:$G$90,Cadastros!$H$6:$H$90)*(1-0.18),IF($F1391="Mauro José Salanti",_xlfn.XLOOKUP(AG1391,Cadastros!$G$6:$G$90,Cadastros!$H$6:$H$90)*(1-0.18),_xlfn.XLOOKUP(AG1391,Cadastros!$G$6:$G$90,Cadastros!$H$6:$H$90))))</f>
        <v/>
      </c>
      <c r="AJ1391" s="168" t="str">
        <f t="shared" si="280"/>
        <v/>
      </c>
      <c r="AK1391" s="168" t="str">
        <f t="shared" si="281"/>
        <v/>
      </c>
      <c r="AL1391" s="28"/>
      <c r="AM1391" s="28"/>
      <c r="AN1391" s="20" t="str">
        <f>IF(AL1391="","",IF($F1391="Bernardino Furlan",_xlfn.XLOOKUP(AL1391,Cadastros!$G$6:$G$90,Cadastros!$H$6:$H$90)*(1-0.18),IF($F1391="Mauro José Salanti",_xlfn.XLOOKUP(AL1391,Cadastros!$G$6:$G$90,Cadastros!$H$6:$H$90)*(1-0.18),_xlfn.XLOOKUP(AL1391,Cadastros!$G$6:$G$90,Cadastros!$H$6:$H$90))))</f>
        <v/>
      </c>
      <c r="AO1391" s="168" t="str">
        <f t="shared" si="282"/>
        <v/>
      </c>
      <c r="AP1391" s="168" t="str">
        <f t="shared" si="283"/>
        <v/>
      </c>
      <c r="AQ1391" s="28"/>
      <c r="AR1391" s="28"/>
      <c r="AS1391" s="20" t="str">
        <f>IF(AQ1391="","",IF($F1391="Bernardino Furlan",_xlfn.XLOOKUP(AQ1391,Cadastros!$G$6:$G$90,Cadastros!$H$6:$H$90)*(1-0.18),IF($F1391="Mauro José Salanti",_xlfn.XLOOKUP(AQ1391,Cadastros!$G$6:$G$90,Cadastros!$H$6:$H$90)*(1-0.18),_xlfn.XLOOKUP(AQ1391,Cadastros!$G$6:$G$90,Cadastros!$H$6:$H$90))))</f>
        <v/>
      </c>
      <c r="AT1391" s="168" t="str">
        <f t="shared" si="284"/>
        <v/>
      </c>
      <c r="AU1391" s="168" t="str">
        <f t="shared" si="285"/>
        <v/>
      </c>
      <c r="AV1391" s="227"/>
      <c r="AW1391" s="30"/>
      <c r="AX1391" s="267"/>
      <c r="AY1391" s="267"/>
      <c r="AZ1391" s="29"/>
      <c r="BA1391" s="30"/>
      <c r="BB1391" s="23" t="str" cm="1">
        <f t="array" ref="BB1391">_xlfn.IFS(AW1391="SIM",SUM(K1391,P1391,U1391,Z1391,AE1391,AJ1391,AO1391,AT1391,AX1391,AY1391),F1391&lt;&gt;"",SUM(K1391,P1391,U1391,Z1391,AE1391,AJ1391,,AO1391,AT1391),F1391="","")</f>
        <v/>
      </c>
      <c r="BC1391" s="211" t="str" cm="1">
        <f t="array" ref="BC1391">_xlfn.IFS(E1391="","",G1391&lt;=E1391,BB1391*(1-0.03),G1391&lt;(E1391+8),BB1391,AZ1391="Boleto",BB1391*(1+0.001)^DATEDIF(E1391,G1391,"D"),AZ1391="Cheque",BB1391,AZ1391="Dinheiro","Alterar forma pgto")</f>
        <v/>
      </c>
      <c r="BD1391" s="276" t="str" cm="1">
        <f t="array" ref="BD1391">IF(F1391=0," ",IF(BC1391&lt;BB1391,(_xlfn.IFS(AW1391="SIM",SUM(L1391,Q1391,V1391,AA1391,AF1391,AK1391,AP1391,AU1391)+AX1391/_xlfn.XLOOKUP(_xlfn.XLOOKUP($F1391,Clientes!$B$4:$B$39,Clientes!$C$4:$C$39),Cadastros!$L$6:$L$12,Cadastros!$M$6:$M$12)+IF($F1391="Bernardino Furlan",AY1391/2751.92,IF($F1391="Mauro José Salanti",AY1391/2751.92,AY1391/3356)),F1391&lt;&gt;0,SUM(L1391,Q1391,V1391,AA1391,AF1391,AK1391,AP1391,AU1391)))*(1-0.03),_xlfn.IFS(AW1391="SIM",SUM(L1391,Q1391,V1391,AA1391,AF1391,AK1391,AP1391,AU1391)+AX1391/_xlfn.XLOOKUP(_xlfn.XLOOKUP($F1391,Clientes!$B$4:$B$39,Clientes!$C$4:$C$39),Cadastros!$L$6:$L$12,Cadastros!$M$6:$M$12)+IF($F1391="Bernardino Furlan",AY1391/2751.92,IF($F1391="Mauro José Salanti",AY1391/2751.92,AY1391/3356)),F1391&lt;&gt;0,SUM(L1391,Q1391,V1391,AA1391,AF1391,AK1391,AP1391,AU1391))))</f>
        <v xml:space="preserve"> </v>
      </c>
      <c r="BE1391" s="120"/>
      <c r="BF1391" s="120"/>
      <c r="BG1391" s="120"/>
    </row>
    <row r="1392" spans="1:59" s="3" customFormat="1" x14ac:dyDescent="0.3">
      <c r="A1392" s="15" t="str">
        <f t="shared" si="273"/>
        <v/>
      </c>
      <c r="B1392" s="25"/>
      <c r="C1392" s="26"/>
      <c r="D1392" s="279"/>
      <c r="E1392" s="27"/>
      <c r="F1392" s="28"/>
      <c r="G1392" s="27"/>
      <c r="H1392" s="28"/>
      <c r="I1392" s="28"/>
      <c r="J1392" s="255" t="str">
        <f>IF(H1392="","",(_xlfn.XLOOKUP(H1392,Cadastros!$D$6:$D$90,Cadastros!$E$6:$E$90))*(1-_xlfn.XLOOKUP(_xlfn.XLOOKUP($F1392,Clientes!$B$4:$B$39,Clientes!$C$4:$C$39),Cadastros!$L$6:$L$12,Cadastros!$N$6:$N$12)))</f>
        <v/>
      </c>
      <c r="K1392" s="168" t="str">
        <f t="shared" si="274"/>
        <v/>
      </c>
      <c r="L1392" s="168" t="str">
        <f>IFERROR(K1392/_xlfn.XLOOKUP(_xlfn.XLOOKUP($F1392,Clientes!$B$4:$B$39,Clientes!$C$4:$C$39),Cadastros!$L$6:$L$12,Cadastros!$M$6:$M$12)," ")</f>
        <v xml:space="preserve"> </v>
      </c>
      <c r="M1392" s="28"/>
      <c r="N1392" s="28"/>
      <c r="O1392" s="255" t="str">
        <f>IF(M1392="","",(_xlfn.XLOOKUP(M1392,Cadastros!$D$6:$D$90,Cadastros!$E$6:$E$90))*(1-_xlfn.XLOOKUP(_xlfn.XLOOKUP($F1392,Clientes!$B$4:$B$39,Clientes!$C$4:$C$39),Cadastros!$L$6:$L$12,Cadastros!$N$6:$N$12)))</f>
        <v/>
      </c>
      <c r="P1392" s="168" t="str">
        <f t="shared" si="275"/>
        <v/>
      </c>
      <c r="Q1392" s="168" t="str">
        <f>IFERROR(P1392/_xlfn.XLOOKUP(_xlfn.XLOOKUP($F1392,Clientes!$B$4:$B$39,Clientes!$C$4:$C$39),Cadastros!$L$6:$L$12,Cadastros!$M$6:$M$12)," ")</f>
        <v xml:space="preserve"> </v>
      </c>
      <c r="R1392" s="28"/>
      <c r="S1392" s="28"/>
      <c r="T1392" s="255" t="str">
        <f>IF(R1392="","",(_xlfn.XLOOKUP(R1392,Cadastros!$D$6:$D$90,Cadastros!$E$6:$E$90))*(1-_xlfn.XLOOKUP(_xlfn.XLOOKUP($F1392,Clientes!$B$4:$B$39,Clientes!$C$4:$C$39),Cadastros!$L$6:$L$12,Cadastros!$N$6:$N$12)))</f>
        <v/>
      </c>
      <c r="U1392" s="168" t="str">
        <f t="shared" si="276"/>
        <v/>
      </c>
      <c r="V1392" s="168" t="str">
        <f>IFERROR(U1392/_xlfn.XLOOKUP(_xlfn.XLOOKUP($F1392,Clientes!$B$4:$B$39,Clientes!$C$4:$C$39),Cadastros!$L$6:$L$12,Cadastros!$M$6:$M$12)," ")</f>
        <v xml:space="preserve"> </v>
      </c>
      <c r="W1392" s="28"/>
      <c r="X1392" s="28"/>
      <c r="Y1392" s="255" t="str">
        <f>IF(W1392="","",(_xlfn.XLOOKUP(W1392,Cadastros!$D$6:$D$90,Cadastros!$E$6:$E$90))*(1-_xlfn.XLOOKUP(_xlfn.XLOOKUP($F1392,Clientes!$B$4:$B$39,Clientes!$C$4:$C$39),Cadastros!$L$6:$L$12,Cadastros!$N$6:$N$12)))</f>
        <v/>
      </c>
      <c r="Z1392" s="168" t="str">
        <f t="shared" si="277"/>
        <v/>
      </c>
      <c r="AA1392" s="168" t="str">
        <f>IFERROR(Z1392/_xlfn.XLOOKUP(_xlfn.XLOOKUP($F1392,Clientes!$B$4:$B$39,Clientes!$C$4:$C$39),Cadastros!$L$6:$L$12,Cadastros!$M$6:$M$12)," ")</f>
        <v xml:space="preserve"> </v>
      </c>
      <c r="AB1392" s="28"/>
      <c r="AC1392" s="28"/>
      <c r="AD1392" s="20" t="str">
        <f>IF(AB1392="","",IF($F1392="Bernardino Furlan",_xlfn.XLOOKUP(AB1392,Cadastros!$G$6:$G$90,Cadastros!$H$6:$H$90)*(1-0.18),IF($F1392="Mauro José Salanti",_xlfn.XLOOKUP(AB1392,Cadastros!$G$6:$G$90,Cadastros!$H$6:$H$90)*(1-0.18),_xlfn.XLOOKUP(AB1392,Cadastros!$G$6:$G$90,Cadastros!$H$6:$H$90))))</f>
        <v/>
      </c>
      <c r="AE1392" s="168" t="str">
        <f t="shared" si="278"/>
        <v/>
      </c>
      <c r="AF1392" s="168" t="str">
        <f t="shared" si="279"/>
        <v/>
      </c>
      <c r="AG1392" s="28"/>
      <c r="AH1392" s="28"/>
      <c r="AI1392" s="20" t="str">
        <f>IF(AG1392="","",IF($F1392="Bernardino Furlan",_xlfn.XLOOKUP(AG1392,Cadastros!$G$6:$G$90,Cadastros!$H$6:$H$90)*(1-0.18),IF($F1392="Mauro José Salanti",_xlfn.XLOOKUP(AG1392,Cadastros!$G$6:$G$90,Cadastros!$H$6:$H$90)*(1-0.18),_xlfn.XLOOKUP(AG1392,Cadastros!$G$6:$G$90,Cadastros!$H$6:$H$90))))</f>
        <v/>
      </c>
      <c r="AJ1392" s="168" t="str">
        <f t="shared" si="280"/>
        <v/>
      </c>
      <c r="AK1392" s="168" t="str">
        <f t="shared" si="281"/>
        <v/>
      </c>
      <c r="AL1392" s="28"/>
      <c r="AM1392" s="28"/>
      <c r="AN1392" s="20" t="str">
        <f>IF(AL1392="","",IF($F1392="Bernardino Furlan",_xlfn.XLOOKUP(AL1392,Cadastros!$G$6:$G$90,Cadastros!$H$6:$H$90)*(1-0.18),IF($F1392="Mauro José Salanti",_xlfn.XLOOKUP(AL1392,Cadastros!$G$6:$G$90,Cadastros!$H$6:$H$90)*(1-0.18),_xlfn.XLOOKUP(AL1392,Cadastros!$G$6:$G$90,Cadastros!$H$6:$H$90))))</f>
        <v/>
      </c>
      <c r="AO1392" s="168" t="str">
        <f t="shared" si="282"/>
        <v/>
      </c>
      <c r="AP1392" s="168" t="str">
        <f t="shared" si="283"/>
        <v/>
      </c>
      <c r="AQ1392" s="28"/>
      <c r="AR1392" s="28"/>
      <c r="AS1392" s="20" t="str">
        <f>IF(AQ1392="","",IF($F1392="Bernardino Furlan",_xlfn.XLOOKUP(AQ1392,Cadastros!$G$6:$G$90,Cadastros!$H$6:$H$90)*(1-0.18),IF($F1392="Mauro José Salanti",_xlfn.XLOOKUP(AQ1392,Cadastros!$G$6:$G$90,Cadastros!$H$6:$H$90)*(1-0.18),_xlfn.XLOOKUP(AQ1392,Cadastros!$G$6:$G$90,Cadastros!$H$6:$H$90))))</f>
        <v/>
      </c>
      <c r="AT1392" s="168" t="str">
        <f t="shared" si="284"/>
        <v/>
      </c>
      <c r="AU1392" s="168" t="str">
        <f t="shared" si="285"/>
        <v/>
      </c>
      <c r="AV1392" s="227"/>
      <c r="AW1392" s="30"/>
      <c r="AX1392" s="267"/>
      <c r="AY1392" s="267"/>
      <c r="AZ1392" s="29"/>
      <c r="BA1392" s="30"/>
      <c r="BB1392" s="23" t="str" cm="1">
        <f t="array" ref="BB1392">_xlfn.IFS(AW1392="SIM",SUM(K1392,P1392,U1392,Z1392,AE1392,AJ1392,AO1392,AT1392,AX1392,AY1392),F1392&lt;&gt;"",SUM(K1392,P1392,U1392,Z1392,AE1392,AJ1392,,AO1392,AT1392),F1392="","")</f>
        <v/>
      </c>
      <c r="BC1392" s="211" t="str" cm="1">
        <f t="array" ref="BC1392">_xlfn.IFS(E1392="","",G1392&lt;=E1392,BB1392*(1-0.03),G1392&lt;(E1392+8),BB1392,AZ1392="Boleto",BB1392*(1+0.001)^DATEDIF(E1392,G1392,"D"),AZ1392="Cheque",BB1392,AZ1392="Dinheiro","Alterar forma pgto")</f>
        <v/>
      </c>
      <c r="BD1392" s="276" t="str" cm="1">
        <f t="array" ref="BD1392">IF(F1392=0," ",IF(BC1392&lt;BB1392,(_xlfn.IFS(AW1392="SIM",SUM(L1392,Q1392,V1392,AA1392,AF1392,AK1392,AP1392,AU1392)+AX1392/_xlfn.XLOOKUP(_xlfn.XLOOKUP($F1392,Clientes!$B$4:$B$39,Clientes!$C$4:$C$39),Cadastros!$L$6:$L$12,Cadastros!$M$6:$M$12)+IF($F1392="Bernardino Furlan",AY1392/2751.92,IF($F1392="Mauro José Salanti",AY1392/2751.92,AY1392/3356)),F1392&lt;&gt;0,SUM(L1392,Q1392,V1392,AA1392,AF1392,AK1392,AP1392,AU1392)))*(1-0.03),_xlfn.IFS(AW1392="SIM",SUM(L1392,Q1392,V1392,AA1392,AF1392,AK1392,AP1392,AU1392)+AX1392/_xlfn.XLOOKUP(_xlfn.XLOOKUP($F1392,Clientes!$B$4:$B$39,Clientes!$C$4:$C$39),Cadastros!$L$6:$L$12,Cadastros!$M$6:$M$12)+IF($F1392="Bernardino Furlan",AY1392/2751.92,IF($F1392="Mauro José Salanti",AY1392/2751.92,AY1392/3356)),F1392&lt;&gt;0,SUM(L1392,Q1392,V1392,AA1392,AF1392,AK1392,AP1392,AU1392))))</f>
        <v xml:space="preserve"> </v>
      </c>
      <c r="BE1392" s="120"/>
      <c r="BF1392" s="120"/>
      <c r="BG1392" s="120"/>
    </row>
    <row r="1393" spans="1:59" s="3" customFormat="1" x14ac:dyDescent="0.3">
      <c r="A1393" s="15" t="str">
        <f t="shared" si="273"/>
        <v/>
      </c>
      <c r="B1393" s="25"/>
      <c r="C1393" s="26"/>
      <c r="D1393" s="279"/>
      <c r="E1393" s="27"/>
      <c r="F1393" s="28"/>
      <c r="G1393" s="27"/>
      <c r="H1393" s="28"/>
      <c r="I1393" s="28"/>
      <c r="J1393" s="255" t="str">
        <f>IF(H1393="","",(_xlfn.XLOOKUP(H1393,Cadastros!$D$6:$D$90,Cadastros!$E$6:$E$90))*(1-_xlfn.XLOOKUP(_xlfn.XLOOKUP($F1393,Clientes!$B$4:$B$39,Clientes!$C$4:$C$39),Cadastros!$L$6:$L$12,Cadastros!$N$6:$N$12)))</f>
        <v/>
      </c>
      <c r="K1393" s="168" t="str">
        <f t="shared" si="274"/>
        <v/>
      </c>
      <c r="L1393" s="168" t="str">
        <f>IFERROR(K1393/_xlfn.XLOOKUP(_xlfn.XLOOKUP($F1393,Clientes!$B$4:$B$39,Clientes!$C$4:$C$39),Cadastros!$L$6:$L$12,Cadastros!$M$6:$M$12)," ")</f>
        <v xml:space="preserve"> </v>
      </c>
      <c r="M1393" s="28"/>
      <c r="N1393" s="28"/>
      <c r="O1393" s="255" t="str">
        <f>IF(M1393="","",(_xlfn.XLOOKUP(M1393,Cadastros!$D$6:$D$90,Cadastros!$E$6:$E$90))*(1-_xlfn.XLOOKUP(_xlfn.XLOOKUP($F1393,Clientes!$B$4:$B$39,Clientes!$C$4:$C$39),Cadastros!$L$6:$L$12,Cadastros!$N$6:$N$12)))</f>
        <v/>
      </c>
      <c r="P1393" s="168" t="str">
        <f t="shared" si="275"/>
        <v/>
      </c>
      <c r="Q1393" s="168" t="str">
        <f>IFERROR(P1393/_xlfn.XLOOKUP(_xlfn.XLOOKUP($F1393,Clientes!$B$4:$B$39,Clientes!$C$4:$C$39),Cadastros!$L$6:$L$12,Cadastros!$M$6:$M$12)," ")</f>
        <v xml:space="preserve"> </v>
      </c>
      <c r="R1393" s="28"/>
      <c r="S1393" s="28"/>
      <c r="T1393" s="255" t="str">
        <f>IF(R1393="","",(_xlfn.XLOOKUP(R1393,Cadastros!$D$6:$D$90,Cadastros!$E$6:$E$90))*(1-_xlfn.XLOOKUP(_xlfn.XLOOKUP($F1393,Clientes!$B$4:$B$39,Clientes!$C$4:$C$39),Cadastros!$L$6:$L$12,Cadastros!$N$6:$N$12)))</f>
        <v/>
      </c>
      <c r="U1393" s="168" t="str">
        <f t="shared" si="276"/>
        <v/>
      </c>
      <c r="V1393" s="168" t="str">
        <f>IFERROR(U1393/_xlfn.XLOOKUP(_xlfn.XLOOKUP($F1393,Clientes!$B$4:$B$39,Clientes!$C$4:$C$39),Cadastros!$L$6:$L$12,Cadastros!$M$6:$M$12)," ")</f>
        <v xml:space="preserve"> </v>
      </c>
      <c r="W1393" s="28"/>
      <c r="X1393" s="28"/>
      <c r="Y1393" s="255" t="str">
        <f>IF(W1393="","",(_xlfn.XLOOKUP(W1393,Cadastros!$D$6:$D$90,Cadastros!$E$6:$E$90))*(1-_xlfn.XLOOKUP(_xlfn.XLOOKUP($F1393,Clientes!$B$4:$B$39,Clientes!$C$4:$C$39),Cadastros!$L$6:$L$12,Cadastros!$N$6:$N$12)))</f>
        <v/>
      </c>
      <c r="Z1393" s="168" t="str">
        <f t="shared" si="277"/>
        <v/>
      </c>
      <c r="AA1393" s="168" t="str">
        <f>IFERROR(Z1393/_xlfn.XLOOKUP(_xlfn.XLOOKUP($F1393,Clientes!$B$4:$B$39,Clientes!$C$4:$C$39),Cadastros!$L$6:$L$12,Cadastros!$M$6:$M$12)," ")</f>
        <v xml:space="preserve"> </v>
      </c>
      <c r="AB1393" s="28"/>
      <c r="AC1393" s="28"/>
      <c r="AD1393" s="20" t="str">
        <f>IF(AB1393="","",IF($F1393="Bernardino Furlan",_xlfn.XLOOKUP(AB1393,Cadastros!$G$6:$G$90,Cadastros!$H$6:$H$90)*(1-0.18),IF($F1393="Mauro José Salanti",_xlfn.XLOOKUP(AB1393,Cadastros!$G$6:$G$90,Cadastros!$H$6:$H$90)*(1-0.18),_xlfn.XLOOKUP(AB1393,Cadastros!$G$6:$G$90,Cadastros!$H$6:$H$90))))</f>
        <v/>
      </c>
      <c r="AE1393" s="168" t="str">
        <f t="shared" si="278"/>
        <v/>
      </c>
      <c r="AF1393" s="168" t="str">
        <f t="shared" si="279"/>
        <v/>
      </c>
      <c r="AG1393" s="28"/>
      <c r="AH1393" s="28"/>
      <c r="AI1393" s="20" t="str">
        <f>IF(AG1393="","",IF($F1393="Bernardino Furlan",_xlfn.XLOOKUP(AG1393,Cadastros!$G$6:$G$90,Cadastros!$H$6:$H$90)*(1-0.18),IF($F1393="Mauro José Salanti",_xlfn.XLOOKUP(AG1393,Cadastros!$G$6:$G$90,Cadastros!$H$6:$H$90)*(1-0.18),_xlfn.XLOOKUP(AG1393,Cadastros!$G$6:$G$90,Cadastros!$H$6:$H$90))))</f>
        <v/>
      </c>
      <c r="AJ1393" s="168" t="str">
        <f t="shared" si="280"/>
        <v/>
      </c>
      <c r="AK1393" s="168" t="str">
        <f t="shared" si="281"/>
        <v/>
      </c>
      <c r="AL1393" s="28"/>
      <c r="AM1393" s="28"/>
      <c r="AN1393" s="20" t="str">
        <f>IF(AL1393="","",IF($F1393="Bernardino Furlan",_xlfn.XLOOKUP(AL1393,Cadastros!$G$6:$G$90,Cadastros!$H$6:$H$90)*(1-0.18),IF($F1393="Mauro José Salanti",_xlfn.XLOOKUP(AL1393,Cadastros!$G$6:$G$90,Cadastros!$H$6:$H$90)*(1-0.18),_xlfn.XLOOKUP(AL1393,Cadastros!$G$6:$G$90,Cadastros!$H$6:$H$90))))</f>
        <v/>
      </c>
      <c r="AO1393" s="168" t="str">
        <f t="shared" si="282"/>
        <v/>
      </c>
      <c r="AP1393" s="168" t="str">
        <f t="shared" si="283"/>
        <v/>
      </c>
      <c r="AQ1393" s="28"/>
      <c r="AR1393" s="28"/>
      <c r="AS1393" s="20" t="str">
        <f>IF(AQ1393="","",IF($F1393="Bernardino Furlan",_xlfn.XLOOKUP(AQ1393,Cadastros!$G$6:$G$90,Cadastros!$H$6:$H$90)*(1-0.18),IF($F1393="Mauro José Salanti",_xlfn.XLOOKUP(AQ1393,Cadastros!$G$6:$G$90,Cadastros!$H$6:$H$90)*(1-0.18),_xlfn.XLOOKUP(AQ1393,Cadastros!$G$6:$G$90,Cadastros!$H$6:$H$90))))</f>
        <v/>
      </c>
      <c r="AT1393" s="168" t="str">
        <f t="shared" si="284"/>
        <v/>
      </c>
      <c r="AU1393" s="168" t="str">
        <f t="shared" si="285"/>
        <v/>
      </c>
      <c r="AV1393" s="227"/>
      <c r="AW1393" s="30"/>
      <c r="AX1393" s="267"/>
      <c r="AY1393" s="267"/>
      <c r="AZ1393" s="29"/>
      <c r="BA1393" s="30"/>
      <c r="BB1393" s="23" t="str" cm="1">
        <f t="array" ref="BB1393">_xlfn.IFS(AW1393="SIM",SUM(K1393,P1393,U1393,Z1393,AE1393,AJ1393,AO1393,AT1393,AX1393,AY1393),F1393&lt;&gt;"",SUM(K1393,P1393,U1393,Z1393,AE1393,AJ1393,,AO1393,AT1393),F1393="","")</f>
        <v/>
      </c>
      <c r="BC1393" s="211" t="str" cm="1">
        <f t="array" ref="BC1393">_xlfn.IFS(E1393="","",G1393&lt;=E1393,BB1393*(1-0.03),G1393&lt;(E1393+8),BB1393,AZ1393="Boleto",BB1393*(1+0.001)^DATEDIF(E1393,G1393,"D"),AZ1393="Cheque",BB1393,AZ1393="Dinheiro","Alterar forma pgto")</f>
        <v/>
      </c>
      <c r="BD1393" s="276" t="str" cm="1">
        <f t="array" ref="BD1393">IF(F1393=0," ",IF(BC1393&lt;BB1393,(_xlfn.IFS(AW1393="SIM",SUM(L1393,Q1393,V1393,AA1393,AF1393,AK1393,AP1393,AU1393)+AX1393/_xlfn.XLOOKUP(_xlfn.XLOOKUP($F1393,Clientes!$B$4:$B$39,Clientes!$C$4:$C$39),Cadastros!$L$6:$L$12,Cadastros!$M$6:$M$12)+IF($F1393="Bernardino Furlan",AY1393/2751.92,IF($F1393="Mauro José Salanti",AY1393/2751.92,AY1393/3356)),F1393&lt;&gt;0,SUM(L1393,Q1393,V1393,AA1393,AF1393,AK1393,AP1393,AU1393)))*(1-0.03),_xlfn.IFS(AW1393="SIM",SUM(L1393,Q1393,V1393,AA1393,AF1393,AK1393,AP1393,AU1393)+AX1393/_xlfn.XLOOKUP(_xlfn.XLOOKUP($F1393,Clientes!$B$4:$B$39,Clientes!$C$4:$C$39),Cadastros!$L$6:$L$12,Cadastros!$M$6:$M$12)+IF($F1393="Bernardino Furlan",AY1393/2751.92,IF($F1393="Mauro José Salanti",AY1393/2751.92,AY1393/3356)),F1393&lt;&gt;0,SUM(L1393,Q1393,V1393,AA1393,AF1393,AK1393,AP1393,AU1393))))</f>
        <v xml:space="preserve"> </v>
      </c>
      <c r="BE1393" s="120"/>
      <c r="BF1393" s="120"/>
      <c r="BG1393" s="120"/>
    </row>
    <row r="1394" spans="1:59" s="3" customFormat="1" x14ac:dyDescent="0.3">
      <c r="A1394" s="15" t="str">
        <f t="shared" si="273"/>
        <v/>
      </c>
      <c r="B1394" s="25"/>
      <c r="C1394" s="26"/>
      <c r="D1394" s="279"/>
      <c r="E1394" s="27"/>
      <c r="F1394" s="28"/>
      <c r="G1394" s="27"/>
      <c r="H1394" s="28"/>
      <c r="I1394" s="28"/>
      <c r="J1394" s="255" t="str">
        <f>IF(H1394="","",(_xlfn.XLOOKUP(H1394,Cadastros!$D$6:$D$90,Cadastros!$E$6:$E$90))*(1-_xlfn.XLOOKUP(_xlfn.XLOOKUP($F1394,Clientes!$B$4:$B$39,Clientes!$C$4:$C$39),Cadastros!$L$6:$L$12,Cadastros!$N$6:$N$12)))</f>
        <v/>
      </c>
      <c r="K1394" s="168" t="str">
        <f t="shared" si="274"/>
        <v/>
      </c>
      <c r="L1394" s="168" t="str">
        <f>IFERROR(K1394/_xlfn.XLOOKUP(_xlfn.XLOOKUP($F1394,Clientes!$B$4:$B$39,Clientes!$C$4:$C$39),Cadastros!$L$6:$L$12,Cadastros!$M$6:$M$12)," ")</f>
        <v xml:space="preserve"> </v>
      </c>
      <c r="M1394" s="28"/>
      <c r="N1394" s="28"/>
      <c r="O1394" s="255" t="str">
        <f>IF(M1394="","",(_xlfn.XLOOKUP(M1394,Cadastros!$D$6:$D$90,Cadastros!$E$6:$E$90))*(1-_xlfn.XLOOKUP(_xlfn.XLOOKUP($F1394,Clientes!$B$4:$B$39,Clientes!$C$4:$C$39),Cadastros!$L$6:$L$12,Cadastros!$N$6:$N$12)))</f>
        <v/>
      </c>
      <c r="P1394" s="168" t="str">
        <f t="shared" si="275"/>
        <v/>
      </c>
      <c r="Q1394" s="168" t="str">
        <f>IFERROR(P1394/_xlfn.XLOOKUP(_xlfn.XLOOKUP($F1394,Clientes!$B$4:$B$39,Clientes!$C$4:$C$39),Cadastros!$L$6:$L$12,Cadastros!$M$6:$M$12)," ")</f>
        <v xml:space="preserve"> </v>
      </c>
      <c r="R1394" s="28"/>
      <c r="S1394" s="28"/>
      <c r="T1394" s="255" t="str">
        <f>IF(R1394="","",(_xlfn.XLOOKUP(R1394,Cadastros!$D$6:$D$90,Cadastros!$E$6:$E$90))*(1-_xlfn.XLOOKUP(_xlfn.XLOOKUP($F1394,Clientes!$B$4:$B$39,Clientes!$C$4:$C$39),Cadastros!$L$6:$L$12,Cadastros!$N$6:$N$12)))</f>
        <v/>
      </c>
      <c r="U1394" s="168" t="str">
        <f t="shared" si="276"/>
        <v/>
      </c>
      <c r="V1394" s="168" t="str">
        <f>IFERROR(U1394/_xlfn.XLOOKUP(_xlfn.XLOOKUP($F1394,Clientes!$B$4:$B$39,Clientes!$C$4:$C$39),Cadastros!$L$6:$L$12,Cadastros!$M$6:$M$12)," ")</f>
        <v xml:space="preserve"> </v>
      </c>
      <c r="W1394" s="28"/>
      <c r="X1394" s="28"/>
      <c r="Y1394" s="255" t="str">
        <f>IF(W1394="","",(_xlfn.XLOOKUP(W1394,Cadastros!$D$6:$D$90,Cadastros!$E$6:$E$90))*(1-_xlfn.XLOOKUP(_xlfn.XLOOKUP($F1394,Clientes!$B$4:$B$39,Clientes!$C$4:$C$39),Cadastros!$L$6:$L$12,Cadastros!$N$6:$N$12)))</f>
        <v/>
      </c>
      <c r="Z1394" s="168" t="str">
        <f t="shared" si="277"/>
        <v/>
      </c>
      <c r="AA1394" s="168" t="str">
        <f>IFERROR(Z1394/_xlfn.XLOOKUP(_xlfn.XLOOKUP($F1394,Clientes!$B$4:$B$39,Clientes!$C$4:$C$39),Cadastros!$L$6:$L$12,Cadastros!$M$6:$M$12)," ")</f>
        <v xml:space="preserve"> </v>
      </c>
      <c r="AB1394" s="28"/>
      <c r="AC1394" s="28"/>
      <c r="AD1394" s="20" t="str">
        <f>IF(AB1394="","",IF($F1394="Bernardino Furlan",_xlfn.XLOOKUP(AB1394,Cadastros!$G$6:$G$90,Cadastros!$H$6:$H$90)*(1-0.18),IF($F1394="Mauro José Salanti",_xlfn.XLOOKUP(AB1394,Cadastros!$G$6:$G$90,Cadastros!$H$6:$H$90)*(1-0.18),_xlfn.XLOOKUP(AB1394,Cadastros!$G$6:$G$90,Cadastros!$H$6:$H$90))))</f>
        <v/>
      </c>
      <c r="AE1394" s="168" t="str">
        <f t="shared" si="278"/>
        <v/>
      </c>
      <c r="AF1394" s="168" t="str">
        <f t="shared" si="279"/>
        <v/>
      </c>
      <c r="AG1394" s="28"/>
      <c r="AH1394" s="28"/>
      <c r="AI1394" s="20" t="str">
        <f>IF(AG1394="","",IF($F1394="Bernardino Furlan",_xlfn.XLOOKUP(AG1394,Cadastros!$G$6:$G$90,Cadastros!$H$6:$H$90)*(1-0.18),IF($F1394="Mauro José Salanti",_xlfn.XLOOKUP(AG1394,Cadastros!$G$6:$G$90,Cadastros!$H$6:$H$90)*(1-0.18),_xlfn.XLOOKUP(AG1394,Cadastros!$G$6:$G$90,Cadastros!$H$6:$H$90))))</f>
        <v/>
      </c>
      <c r="AJ1394" s="168" t="str">
        <f t="shared" si="280"/>
        <v/>
      </c>
      <c r="AK1394" s="168" t="str">
        <f t="shared" si="281"/>
        <v/>
      </c>
      <c r="AL1394" s="28"/>
      <c r="AM1394" s="28"/>
      <c r="AN1394" s="20" t="str">
        <f>IF(AL1394="","",IF($F1394="Bernardino Furlan",_xlfn.XLOOKUP(AL1394,Cadastros!$G$6:$G$90,Cadastros!$H$6:$H$90)*(1-0.18),IF($F1394="Mauro José Salanti",_xlfn.XLOOKUP(AL1394,Cadastros!$G$6:$G$90,Cadastros!$H$6:$H$90)*(1-0.18),_xlfn.XLOOKUP(AL1394,Cadastros!$G$6:$G$90,Cadastros!$H$6:$H$90))))</f>
        <v/>
      </c>
      <c r="AO1394" s="168" t="str">
        <f t="shared" si="282"/>
        <v/>
      </c>
      <c r="AP1394" s="168" t="str">
        <f t="shared" si="283"/>
        <v/>
      </c>
      <c r="AQ1394" s="28"/>
      <c r="AR1394" s="28"/>
      <c r="AS1394" s="20" t="str">
        <f>IF(AQ1394="","",IF($F1394="Bernardino Furlan",_xlfn.XLOOKUP(AQ1394,Cadastros!$G$6:$G$90,Cadastros!$H$6:$H$90)*(1-0.18),IF($F1394="Mauro José Salanti",_xlfn.XLOOKUP(AQ1394,Cadastros!$G$6:$G$90,Cadastros!$H$6:$H$90)*(1-0.18),_xlfn.XLOOKUP(AQ1394,Cadastros!$G$6:$G$90,Cadastros!$H$6:$H$90))))</f>
        <v/>
      </c>
      <c r="AT1394" s="168" t="str">
        <f t="shared" si="284"/>
        <v/>
      </c>
      <c r="AU1394" s="168" t="str">
        <f t="shared" si="285"/>
        <v/>
      </c>
      <c r="AV1394" s="227"/>
      <c r="AW1394" s="30"/>
      <c r="AX1394" s="267"/>
      <c r="AY1394" s="267"/>
      <c r="AZ1394" s="29"/>
      <c r="BA1394" s="30"/>
      <c r="BB1394" s="23" t="str" cm="1">
        <f t="array" ref="BB1394">_xlfn.IFS(AW1394="SIM",SUM(K1394,P1394,U1394,Z1394,AE1394,AJ1394,AO1394,AT1394,AX1394,AY1394),F1394&lt;&gt;"",SUM(K1394,P1394,U1394,Z1394,AE1394,AJ1394,,AO1394,AT1394),F1394="","")</f>
        <v/>
      </c>
      <c r="BC1394" s="211" t="str" cm="1">
        <f t="array" ref="BC1394">_xlfn.IFS(E1394="","",G1394&lt;=E1394,BB1394*(1-0.03),G1394&lt;(E1394+8),BB1394,AZ1394="Boleto",BB1394*(1+0.001)^DATEDIF(E1394,G1394,"D"),AZ1394="Cheque",BB1394,AZ1394="Dinheiro","Alterar forma pgto")</f>
        <v/>
      </c>
      <c r="BD1394" s="276" t="str" cm="1">
        <f t="array" ref="BD1394">IF(F1394=0," ",IF(BC1394&lt;BB1394,(_xlfn.IFS(AW1394="SIM",SUM(L1394,Q1394,V1394,AA1394,AF1394,AK1394,AP1394,AU1394)+AX1394/_xlfn.XLOOKUP(_xlfn.XLOOKUP($F1394,Clientes!$B$4:$B$39,Clientes!$C$4:$C$39),Cadastros!$L$6:$L$12,Cadastros!$M$6:$M$12)+IF($F1394="Bernardino Furlan",AY1394/2751.92,IF($F1394="Mauro José Salanti",AY1394/2751.92,AY1394/3356)),F1394&lt;&gt;0,SUM(L1394,Q1394,V1394,AA1394,AF1394,AK1394,AP1394,AU1394)))*(1-0.03),_xlfn.IFS(AW1394="SIM",SUM(L1394,Q1394,V1394,AA1394,AF1394,AK1394,AP1394,AU1394)+AX1394/_xlfn.XLOOKUP(_xlfn.XLOOKUP($F1394,Clientes!$B$4:$B$39,Clientes!$C$4:$C$39),Cadastros!$L$6:$L$12,Cadastros!$M$6:$M$12)+IF($F1394="Bernardino Furlan",AY1394/2751.92,IF($F1394="Mauro José Salanti",AY1394/2751.92,AY1394/3356)),F1394&lt;&gt;0,SUM(L1394,Q1394,V1394,AA1394,AF1394,AK1394,AP1394,AU1394))))</f>
        <v xml:space="preserve"> </v>
      </c>
      <c r="BE1394" s="120"/>
      <c r="BF1394" s="120"/>
      <c r="BG1394" s="120"/>
    </row>
    <row r="1395" spans="1:59" s="3" customFormat="1" x14ac:dyDescent="0.3">
      <c r="A1395" s="15" t="str">
        <f t="shared" si="273"/>
        <v/>
      </c>
      <c r="B1395" s="25"/>
      <c r="C1395" s="26"/>
      <c r="D1395" s="279"/>
      <c r="E1395" s="27"/>
      <c r="F1395" s="28"/>
      <c r="G1395" s="27"/>
      <c r="H1395" s="28"/>
      <c r="I1395" s="28"/>
      <c r="J1395" s="255" t="str">
        <f>IF(H1395="","",(_xlfn.XLOOKUP(H1395,Cadastros!$D$6:$D$90,Cadastros!$E$6:$E$90))*(1-_xlfn.XLOOKUP(_xlfn.XLOOKUP($F1395,Clientes!$B$4:$B$39,Clientes!$C$4:$C$39),Cadastros!$L$6:$L$12,Cadastros!$N$6:$N$12)))</f>
        <v/>
      </c>
      <c r="K1395" s="168" t="str">
        <f t="shared" si="274"/>
        <v/>
      </c>
      <c r="L1395" s="168" t="str">
        <f>IFERROR(K1395/_xlfn.XLOOKUP(_xlfn.XLOOKUP($F1395,Clientes!$B$4:$B$39,Clientes!$C$4:$C$39),Cadastros!$L$6:$L$12,Cadastros!$M$6:$M$12)," ")</f>
        <v xml:space="preserve"> </v>
      </c>
      <c r="M1395" s="28"/>
      <c r="N1395" s="28"/>
      <c r="O1395" s="255" t="str">
        <f>IF(M1395="","",(_xlfn.XLOOKUP(M1395,Cadastros!$D$6:$D$90,Cadastros!$E$6:$E$90))*(1-_xlfn.XLOOKUP(_xlfn.XLOOKUP($F1395,Clientes!$B$4:$B$39,Clientes!$C$4:$C$39),Cadastros!$L$6:$L$12,Cadastros!$N$6:$N$12)))</f>
        <v/>
      </c>
      <c r="P1395" s="168" t="str">
        <f t="shared" si="275"/>
        <v/>
      </c>
      <c r="Q1395" s="168" t="str">
        <f>IFERROR(P1395/_xlfn.XLOOKUP(_xlfn.XLOOKUP($F1395,Clientes!$B$4:$B$39,Clientes!$C$4:$C$39),Cadastros!$L$6:$L$12,Cadastros!$M$6:$M$12)," ")</f>
        <v xml:space="preserve"> </v>
      </c>
      <c r="R1395" s="28"/>
      <c r="S1395" s="28"/>
      <c r="T1395" s="255" t="str">
        <f>IF(R1395="","",(_xlfn.XLOOKUP(R1395,Cadastros!$D$6:$D$90,Cadastros!$E$6:$E$90))*(1-_xlfn.XLOOKUP(_xlfn.XLOOKUP($F1395,Clientes!$B$4:$B$39,Clientes!$C$4:$C$39),Cadastros!$L$6:$L$12,Cadastros!$N$6:$N$12)))</f>
        <v/>
      </c>
      <c r="U1395" s="168" t="str">
        <f t="shared" si="276"/>
        <v/>
      </c>
      <c r="V1395" s="168" t="str">
        <f>IFERROR(U1395/_xlfn.XLOOKUP(_xlfn.XLOOKUP($F1395,Clientes!$B$4:$B$39,Clientes!$C$4:$C$39),Cadastros!$L$6:$L$12,Cadastros!$M$6:$M$12)," ")</f>
        <v xml:space="preserve"> </v>
      </c>
      <c r="W1395" s="28"/>
      <c r="X1395" s="28"/>
      <c r="Y1395" s="255" t="str">
        <f>IF(W1395="","",(_xlfn.XLOOKUP(W1395,Cadastros!$D$6:$D$90,Cadastros!$E$6:$E$90))*(1-_xlfn.XLOOKUP(_xlfn.XLOOKUP($F1395,Clientes!$B$4:$B$39,Clientes!$C$4:$C$39),Cadastros!$L$6:$L$12,Cadastros!$N$6:$N$12)))</f>
        <v/>
      </c>
      <c r="Z1395" s="168" t="str">
        <f t="shared" si="277"/>
        <v/>
      </c>
      <c r="AA1395" s="168" t="str">
        <f>IFERROR(Z1395/_xlfn.XLOOKUP(_xlfn.XLOOKUP($F1395,Clientes!$B$4:$B$39,Clientes!$C$4:$C$39),Cadastros!$L$6:$L$12,Cadastros!$M$6:$M$12)," ")</f>
        <v xml:space="preserve"> </v>
      </c>
      <c r="AB1395" s="28"/>
      <c r="AC1395" s="28"/>
      <c r="AD1395" s="20" t="str">
        <f>IF(AB1395="","",IF($F1395="Bernardino Furlan",_xlfn.XLOOKUP(AB1395,Cadastros!$G$6:$G$90,Cadastros!$H$6:$H$90)*(1-0.18),IF($F1395="Mauro José Salanti",_xlfn.XLOOKUP(AB1395,Cadastros!$G$6:$G$90,Cadastros!$H$6:$H$90)*(1-0.18),_xlfn.XLOOKUP(AB1395,Cadastros!$G$6:$G$90,Cadastros!$H$6:$H$90))))</f>
        <v/>
      </c>
      <c r="AE1395" s="168" t="str">
        <f t="shared" si="278"/>
        <v/>
      </c>
      <c r="AF1395" s="168" t="str">
        <f t="shared" si="279"/>
        <v/>
      </c>
      <c r="AG1395" s="28"/>
      <c r="AH1395" s="28"/>
      <c r="AI1395" s="20" t="str">
        <f>IF(AG1395="","",IF($F1395="Bernardino Furlan",_xlfn.XLOOKUP(AG1395,Cadastros!$G$6:$G$90,Cadastros!$H$6:$H$90)*(1-0.18),IF($F1395="Mauro José Salanti",_xlfn.XLOOKUP(AG1395,Cadastros!$G$6:$G$90,Cadastros!$H$6:$H$90)*(1-0.18),_xlfn.XLOOKUP(AG1395,Cadastros!$G$6:$G$90,Cadastros!$H$6:$H$90))))</f>
        <v/>
      </c>
      <c r="AJ1395" s="168" t="str">
        <f t="shared" si="280"/>
        <v/>
      </c>
      <c r="AK1395" s="168" t="str">
        <f t="shared" si="281"/>
        <v/>
      </c>
      <c r="AL1395" s="28"/>
      <c r="AM1395" s="28"/>
      <c r="AN1395" s="20" t="str">
        <f>IF(AL1395="","",IF($F1395="Bernardino Furlan",_xlfn.XLOOKUP(AL1395,Cadastros!$G$6:$G$90,Cadastros!$H$6:$H$90)*(1-0.18),IF($F1395="Mauro José Salanti",_xlfn.XLOOKUP(AL1395,Cadastros!$G$6:$G$90,Cadastros!$H$6:$H$90)*(1-0.18),_xlfn.XLOOKUP(AL1395,Cadastros!$G$6:$G$90,Cadastros!$H$6:$H$90))))</f>
        <v/>
      </c>
      <c r="AO1395" s="168" t="str">
        <f t="shared" si="282"/>
        <v/>
      </c>
      <c r="AP1395" s="168" t="str">
        <f t="shared" si="283"/>
        <v/>
      </c>
      <c r="AQ1395" s="28"/>
      <c r="AR1395" s="28"/>
      <c r="AS1395" s="20" t="str">
        <f>IF(AQ1395="","",IF($F1395="Bernardino Furlan",_xlfn.XLOOKUP(AQ1395,Cadastros!$G$6:$G$90,Cadastros!$H$6:$H$90)*(1-0.18),IF($F1395="Mauro José Salanti",_xlfn.XLOOKUP(AQ1395,Cadastros!$G$6:$G$90,Cadastros!$H$6:$H$90)*(1-0.18),_xlfn.XLOOKUP(AQ1395,Cadastros!$G$6:$G$90,Cadastros!$H$6:$H$90))))</f>
        <v/>
      </c>
      <c r="AT1395" s="168" t="str">
        <f t="shared" si="284"/>
        <v/>
      </c>
      <c r="AU1395" s="168" t="str">
        <f t="shared" si="285"/>
        <v/>
      </c>
      <c r="AV1395" s="227"/>
      <c r="AW1395" s="30"/>
      <c r="AX1395" s="267"/>
      <c r="AY1395" s="267"/>
      <c r="AZ1395" s="29"/>
      <c r="BA1395" s="30"/>
      <c r="BB1395" s="23" t="str" cm="1">
        <f t="array" ref="BB1395">_xlfn.IFS(AW1395="SIM",SUM(K1395,P1395,U1395,Z1395,AE1395,AJ1395,AO1395,AT1395,AX1395,AY1395),F1395&lt;&gt;"",SUM(K1395,P1395,U1395,Z1395,AE1395,AJ1395,,AO1395,AT1395),F1395="","")</f>
        <v/>
      </c>
      <c r="BC1395" s="211" t="str" cm="1">
        <f t="array" ref="BC1395">_xlfn.IFS(E1395="","",G1395&lt;=E1395,BB1395*(1-0.03),G1395&lt;(E1395+8),BB1395,AZ1395="Boleto",BB1395*(1+0.001)^DATEDIF(E1395,G1395,"D"),AZ1395="Cheque",BB1395,AZ1395="Dinheiro","Alterar forma pgto")</f>
        <v/>
      </c>
      <c r="BD1395" s="276" t="str" cm="1">
        <f t="array" ref="BD1395">IF(F1395=0," ",IF(BC1395&lt;BB1395,(_xlfn.IFS(AW1395="SIM",SUM(L1395,Q1395,V1395,AA1395,AF1395,AK1395,AP1395,AU1395)+AX1395/_xlfn.XLOOKUP(_xlfn.XLOOKUP($F1395,Clientes!$B$4:$B$39,Clientes!$C$4:$C$39),Cadastros!$L$6:$L$12,Cadastros!$M$6:$M$12)+IF($F1395="Bernardino Furlan",AY1395/2751.92,IF($F1395="Mauro José Salanti",AY1395/2751.92,AY1395/3356)),F1395&lt;&gt;0,SUM(L1395,Q1395,V1395,AA1395,AF1395,AK1395,AP1395,AU1395)))*(1-0.03),_xlfn.IFS(AW1395="SIM",SUM(L1395,Q1395,V1395,AA1395,AF1395,AK1395,AP1395,AU1395)+AX1395/_xlfn.XLOOKUP(_xlfn.XLOOKUP($F1395,Clientes!$B$4:$B$39,Clientes!$C$4:$C$39),Cadastros!$L$6:$L$12,Cadastros!$M$6:$M$12)+IF($F1395="Bernardino Furlan",AY1395/2751.92,IF($F1395="Mauro José Salanti",AY1395/2751.92,AY1395/3356)),F1395&lt;&gt;0,SUM(L1395,Q1395,V1395,AA1395,AF1395,AK1395,AP1395,AU1395))))</f>
        <v xml:space="preserve"> </v>
      </c>
      <c r="BE1395" s="120"/>
      <c r="BF1395" s="120"/>
      <c r="BG1395" s="120"/>
    </row>
    <row r="1396" spans="1:59" s="3" customFormat="1" x14ac:dyDescent="0.3">
      <c r="A1396" s="15" t="str">
        <f t="shared" si="273"/>
        <v/>
      </c>
      <c r="B1396" s="25"/>
      <c r="C1396" s="26"/>
      <c r="D1396" s="279"/>
      <c r="E1396" s="27"/>
      <c r="F1396" s="28"/>
      <c r="G1396" s="27"/>
      <c r="H1396" s="28"/>
      <c r="I1396" s="28"/>
      <c r="J1396" s="255" t="str">
        <f>IF(H1396="","",(_xlfn.XLOOKUP(H1396,Cadastros!$D$6:$D$90,Cadastros!$E$6:$E$90))*(1-_xlfn.XLOOKUP(_xlfn.XLOOKUP($F1396,Clientes!$B$4:$B$39,Clientes!$C$4:$C$39),Cadastros!$L$6:$L$12,Cadastros!$N$6:$N$12)))</f>
        <v/>
      </c>
      <c r="K1396" s="168" t="str">
        <f t="shared" si="274"/>
        <v/>
      </c>
      <c r="L1396" s="168" t="str">
        <f>IFERROR(K1396/_xlfn.XLOOKUP(_xlfn.XLOOKUP($F1396,Clientes!$B$4:$B$39,Clientes!$C$4:$C$39),Cadastros!$L$6:$L$12,Cadastros!$M$6:$M$12)," ")</f>
        <v xml:space="preserve"> </v>
      </c>
      <c r="M1396" s="28"/>
      <c r="N1396" s="28"/>
      <c r="O1396" s="255" t="str">
        <f>IF(M1396="","",(_xlfn.XLOOKUP(M1396,Cadastros!$D$6:$D$90,Cadastros!$E$6:$E$90))*(1-_xlfn.XLOOKUP(_xlfn.XLOOKUP($F1396,Clientes!$B$4:$B$39,Clientes!$C$4:$C$39),Cadastros!$L$6:$L$12,Cadastros!$N$6:$N$12)))</f>
        <v/>
      </c>
      <c r="P1396" s="168" t="str">
        <f t="shared" si="275"/>
        <v/>
      </c>
      <c r="Q1396" s="168" t="str">
        <f>IFERROR(P1396/_xlfn.XLOOKUP(_xlfn.XLOOKUP($F1396,Clientes!$B$4:$B$39,Clientes!$C$4:$C$39),Cadastros!$L$6:$L$12,Cadastros!$M$6:$M$12)," ")</f>
        <v xml:space="preserve"> </v>
      </c>
      <c r="R1396" s="28"/>
      <c r="S1396" s="28"/>
      <c r="T1396" s="255" t="str">
        <f>IF(R1396="","",(_xlfn.XLOOKUP(R1396,Cadastros!$D$6:$D$90,Cadastros!$E$6:$E$90))*(1-_xlfn.XLOOKUP(_xlfn.XLOOKUP($F1396,Clientes!$B$4:$B$39,Clientes!$C$4:$C$39),Cadastros!$L$6:$L$12,Cadastros!$N$6:$N$12)))</f>
        <v/>
      </c>
      <c r="U1396" s="168" t="str">
        <f t="shared" si="276"/>
        <v/>
      </c>
      <c r="V1396" s="168" t="str">
        <f>IFERROR(U1396/_xlfn.XLOOKUP(_xlfn.XLOOKUP($F1396,Clientes!$B$4:$B$39,Clientes!$C$4:$C$39),Cadastros!$L$6:$L$12,Cadastros!$M$6:$M$12)," ")</f>
        <v xml:space="preserve"> </v>
      </c>
      <c r="W1396" s="28"/>
      <c r="X1396" s="28"/>
      <c r="Y1396" s="255" t="str">
        <f>IF(W1396="","",(_xlfn.XLOOKUP(W1396,Cadastros!$D$6:$D$90,Cadastros!$E$6:$E$90))*(1-_xlfn.XLOOKUP(_xlfn.XLOOKUP($F1396,Clientes!$B$4:$B$39,Clientes!$C$4:$C$39),Cadastros!$L$6:$L$12,Cadastros!$N$6:$N$12)))</f>
        <v/>
      </c>
      <c r="Z1396" s="168" t="str">
        <f t="shared" si="277"/>
        <v/>
      </c>
      <c r="AA1396" s="168" t="str">
        <f>IFERROR(Z1396/_xlfn.XLOOKUP(_xlfn.XLOOKUP($F1396,Clientes!$B$4:$B$39,Clientes!$C$4:$C$39),Cadastros!$L$6:$L$12,Cadastros!$M$6:$M$12)," ")</f>
        <v xml:space="preserve"> </v>
      </c>
      <c r="AB1396" s="28"/>
      <c r="AC1396" s="28"/>
      <c r="AD1396" s="20" t="str">
        <f>IF(AB1396="","",IF($F1396="Bernardino Furlan",_xlfn.XLOOKUP(AB1396,Cadastros!$G$6:$G$90,Cadastros!$H$6:$H$90)*(1-0.18),IF($F1396="Mauro José Salanti",_xlfn.XLOOKUP(AB1396,Cadastros!$G$6:$G$90,Cadastros!$H$6:$H$90)*(1-0.18),_xlfn.XLOOKUP(AB1396,Cadastros!$G$6:$G$90,Cadastros!$H$6:$H$90))))</f>
        <v/>
      </c>
      <c r="AE1396" s="168" t="str">
        <f t="shared" si="278"/>
        <v/>
      </c>
      <c r="AF1396" s="168" t="str">
        <f t="shared" si="279"/>
        <v/>
      </c>
      <c r="AG1396" s="28"/>
      <c r="AH1396" s="28"/>
      <c r="AI1396" s="20" t="str">
        <f>IF(AG1396="","",IF($F1396="Bernardino Furlan",_xlfn.XLOOKUP(AG1396,Cadastros!$G$6:$G$90,Cadastros!$H$6:$H$90)*(1-0.18),IF($F1396="Mauro José Salanti",_xlfn.XLOOKUP(AG1396,Cadastros!$G$6:$G$90,Cadastros!$H$6:$H$90)*(1-0.18),_xlfn.XLOOKUP(AG1396,Cadastros!$G$6:$G$90,Cadastros!$H$6:$H$90))))</f>
        <v/>
      </c>
      <c r="AJ1396" s="168" t="str">
        <f t="shared" si="280"/>
        <v/>
      </c>
      <c r="AK1396" s="168" t="str">
        <f t="shared" si="281"/>
        <v/>
      </c>
      <c r="AL1396" s="28"/>
      <c r="AM1396" s="28"/>
      <c r="AN1396" s="20" t="str">
        <f>IF(AL1396="","",IF($F1396="Bernardino Furlan",_xlfn.XLOOKUP(AL1396,Cadastros!$G$6:$G$90,Cadastros!$H$6:$H$90)*(1-0.18),IF($F1396="Mauro José Salanti",_xlfn.XLOOKUP(AL1396,Cadastros!$G$6:$G$90,Cadastros!$H$6:$H$90)*(1-0.18),_xlfn.XLOOKUP(AL1396,Cadastros!$G$6:$G$90,Cadastros!$H$6:$H$90))))</f>
        <v/>
      </c>
      <c r="AO1396" s="168" t="str">
        <f t="shared" si="282"/>
        <v/>
      </c>
      <c r="AP1396" s="168" t="str">
        <f t="shared" si="283"/>
        <v/>
      </c>
      <c r="AQ1396" s="28"/>
      <c r="AR1396" s="28"/>
      <c r="AS1396" s="20" t="str">
        <f>IF(AQ1396="","",IF($F1396="Bernardino Furlan",_xlfn.XLOOKUP(AQ1396,Cadastros!$G$6:$G$90,Cadastros!$H$6:$H$90)*(1-0.18),IF($F1396="Mauro José Salanti",_xlfn.XLOOKUP(AQ1396,Cadastros!$G$6:$G$90,Cadastros!$H$6:$H$90)*(1-0.18),_xlfn.XLOOKUP(AQ1396,Cadastros!$G$6:$G$90,Cadastros!$H$6:$H$90))))</f>
        <v/>
      </c>
      <c r="AT1396" s="168" t="str">
        <f t="shared" si="284"/>
        <v/>
      </c>
      <c r="AU1396" s="168" t="str">
        <f t="shared" si="285"/>
        <v/>
      </c>
      <c r="AV1396" s="227"/>
      <c r="AW1396" s="30"/>
      <c r="AX1396" s="267"/>
      <c r="AY1396" s="267"/>
      <c r="AZ1396" s="29"/>
      <c r="BA1396" s="30"/>
      <c r="BB1396" s="23" t="str" cm="1">
        <f t="array" ref="BB1396">_xlfn.IFS(AW1396="SIM",SUM(K1396,P1396,U1396,Z1396,AE1396,AJ1396,AO1396,AT1396,AX1396,AY1396),F1396&lt;&gt;"",SUM(K1396,P1396,U1396,Z1396,AE1396,AJ1396,,AO1396,AT1396),F1396="","")</f>
        <v/>
      </c>
      <c r="BC1396" s="211" t="str" cm="1">
        <f t="array" ref="BC1396">_xlfn.IFS(E1396="","",G1396&lt;=E1396,BB1396*(1-0.03),G1396&lt;(E1396+8),BB1396,AZ1396="Boleto",BB1396*(1+0.001)^DATEDIF(E1396,G1396,"D"),AZ1396="Cheque",BB1396,AZ1396="Dinheiro","Alterar forma pgto")</f>
        <v/>
      </c>
      <c r="BD1396" s="276" t="str" cm="1">
        <f t="array" ref="BD1396">IF(F1396=0," ",IF(BC1396&lt;BB1396,(_xlfn.IFS(AW1396="SIM",SUM(L1396,Q1396,V1396,AA1396,AF1396,AK1396,AP1396,AU1396)+AX1396/_xlfn.XLOOKUP(_xlfn.XLOOKUP($F1396,Clientes!$B$4:$B$39,Clientes!$C$4:$C$39),Cadastros!$L$6:$L$12,Cadastros!$M$6:$M$12)+IF($F1396="Bernardino Furlan",AY1396/2751.92,IF($F1396="Mauro José Salanti",AY1396/2751.92,AY1396/3356)),F1396&lt;&gt;0,SUM(L1396,Q1396,V1396,AA1396,AF1396,AK1396,AP1396,AU1396)))*(1-0.03),_xlfn.IFS(AW1396="SIM",SUM(L1396,Q1396,V1396,AA1396,AF1396,AK1396,AP1396,AU1396)+AX1396/_xlfn.XLOOKUP(_xlfn.XLOOKUP($F1396,Clientes!$B$4:$B$39,Clientes!$C$4:$C$39),Cadastros!$L$6:$L$12,Cadastros!$M$6:$M$12)+IF($F1396="Bernardino Furlan",AY1396/2751.92,IF($F1396="Mauro José Salanti",AY1396/2751.92,AY1396/3356)),F1396&lt;&gt;0,SUM(L1396,Q1396,V1396,AA1396,AF1396,AK1396,AP1396,AU1396))))</f>
        <v xml:space="preserve"> </v>
      </c>
      <c r="BE1396" s="120"/>
      <c r="BF1396" s="120"/>
      <c r="BG1396" s="120"/>
    </row>
    <row r="1397" spans="1:59" s="3" customFormat="1" x14ac:dyDescent="0.3">
      <c r="A1397" s="15" t="str">
        <f t="shared" si="273"/>
        <v/>
      </c>
      <c r="B1397" s="25"/>
      <c r="C1397" s="26"/>
      <c r="D1397" s="279"/>
      <c r="E1397" s="27"/>
      <c r="F1397" s="28"/>
      <c r="G1397" s="27"/>
      <c r="H1397" s="28"/>
      <c r="I1397" s="28"/>
      <c r="J1397" s="255" t="str">
        <f>IF(H1397="","",(_xlfn.XLOOKUP(H1397,Cadastros!$D$6:$D$90,Cadastros!$E$6:$E$90))*(1-_xlfn.XLOOKUP(_xlfn.XLOOKUP($F1397,Clientes!$B$4:$B$39,Clientes!$C$4:$C$39),Cadastros!$L$6:$L$12,Cadastros!$N$6:$N$12)))</f>
        <v/>
      </c>
      <c r="K1397" s="168" t="str">
        <f t="shared" si="274"/>
        <v/>
      </c>
      <c r="L1397" s="168" t="str">
        <f>IFERROR(K1397/_xlfn.XLOOKUP(_xlfn.XLOOKUP($F1397,Clientes!$B$4:$B$39,Clientes!$C$4:$C$39),Cadastros!$L$6:$L$12,Cadastros!$M$6:$M$12)," ")</f>
        <v xml:space="preserve"> </v>
      </c>
      <c r="M1397" s="28"/>
      <c r="N1397" s="28"/>
      <c r="O1397" s="255" t="str">
        <f>IF(M1397="","",(_xlfn.XLOOKUP(M1397,Cadastros!$D$6:$D$90,Cadastros!$E$6:$E$90))*(1-_xlfn.XLOOKUP(_xlfn.XLOOKUP($F1397,Clientes!$B$4:$B$39,Clientes!$C$4:$C$39),Cadastros!$L$6:$L$12,Cadastros!$N$6:$N$12)))</f>
        <v/>
      </c>
      <c r="P1397" s="168" t="str">
        <f t="shared" si="275"/>
        <v/>
      </c>
      <c r="Q1397" s="168" t="str">
        <f>IFERROR(P1397/_xlfn.XLOOKUP(_xlfn.XLOOKUP($F1397,Clientes!$B$4:$B$39,Clientes!$C$4:$C$39),Cadastros!$L$6:$L$12,Cadastros!$M$6:$M$12)," ")</f>
        <v xml:space="preserve"> </v>
      </c>
      <c r="R1397" s="28"/>
      <c r="S1397" s="28"/>
      <c r="T1397" s="255" t="str">
        <f>IF(R1397="","",(_xlfn.XLOOKUP(R1397,Cadastros!$D$6:$D$90,Cadastros!$E$6:$E$90))*(1-_xlfn.XLOOKUP(_xlfn.XLOOKUP($F1397,Clientes!$B$4:$B$39,Clientes!$C$4:$C$39),Cadastros!$L$6:$L$12,Cadastros!$N$6:$N$12)))</f>
        <v/>
      </c>
      <c r="U1397" s="168" t="str">
        <f t="shared" si="276"/>
        <v/>
      </c>
      <c r="V1397" s="168" t="str">
        <f>IFERROR(U1397/_xlfn.XLOOKUP(_xlfn.XLOOKUP($F1397,Clientes!$B$4:$B$39,Clientes!$C$4:$C$39),Cadastros!$L$6:$L$12,Cadastros!$M$6:$M$12)," ")</f>
        <v xml:space="preserve"> </v>
      </c>
      <c r="W1397" s="28"/>
      <c r="X1397" s="28"/>
      <c r="Y1397" s="255" t="str">
        <f>IF(W1397="","",(_xlfn.XLOOKUP(W1397,Cadastros!$D$6:$D$90,Cadastros!$E$6:$E$90))*(1-_xlfn.XLOOKUP(_xlfn.XLOOKUP($F1397,Clientes!$B$4:$B$39,Clientes!$C$4:$C$39),Cadastros!$L$6:$L$12,Cadastros!$N$6:$N$12)))</f>
        <v/>
      </c>
      <c r="Z1397" s="168" t="str">
        <f t="shared" si="277"/>
        <v/>
      </c>
      <c r="AA1397" s="168" t="str">
        <f>IFERROR(Z1397/_xlfn.XLOOKUP(_xlfn.XLOOKUP($F1397,Clientes!$B$4:$B$39,Clientes!$C$4:$C$39),Cadastros!$L$6:$L$12,Cadastros!$M$6:$M$12)," ")</f>
        <v xml:space="preserve"> </v>
      </c>
      <c r="AB1397" s="28"/>
      <c r="AC1397" s="28"/>
      <c r="AD1397" s="20" t="str">
        <f>IF(AB1397="","",IF($F1397="Bernardino Furlan",_xlfn.XLOOKUP(AB1397,Cadastros!$G$6:$G$90,Cadastros!$H$6:$H$90)*(1-0.18),IF($F1397="Mauro José Salanti",_xlfn.XLOOKUP(AB1397,Cadastros!$G$6:$G$90,Cadastros!$H$6:$H$90)*(1-0.18),_xlfn.XLOOKUP(AB1397,Cadastros!$G$6:$G$90,Cadastros!$H$6:$H$90))))</f>
        <v/>
      </c>
      <c r="AE1397" s="168" t="str">
        <f t="shared" si="278"/>
        <v/>
      </c>
      <c r="AF1397" s="168" t="str">
        <f t="shared" si="279"/>
        <v/>
      </c>
      <c r="AG1397" s="28"/>
      <c r="AH1397" s="28"/>
      <c r="AI1397" s="20" t="str">
        <f>IF(AG1397="","",IF($F1397="Bernardino Furlan",_xlfn.XLOOKUP(AG1397,Cadastros!$G$6:$G$90,Cadastros!$H$6:$H$90)*(1-0.18),IF($F1397="Mauro José Salanti",_xlfn.XLOOKUP(AG1397,Cadastros!$G$6:$G$90,Cadastros!$H$6:$H$90)*(1-0.18),_xlfn.XLOOKUP(AG1397,Cadastros!$G$6:$G$90,Cadastros!$H$6:$H$90))))</f>
        <v/>
      </c>
      <c r="AJ1397" s="168" t="str">
        <f t="shared" si="280"/>
        <v/>
      </c>
      <c r="AK1397" s="168" t="str">
        <f t="shared" si="281"/>
        <v/>
      </c>
      <c r="AL1397" s="28"/>
      <c r="AM1397" s="28"/>
      <c r="AN1397" s="20" t="str">
        <f>IF(AL1397="","",IF($F1397="Bernardino Furlan",_xlfn.XLOOKUP(AL1397,Cadastros!$G$6:$G$90,Cadastros!$H$6:$H$90)*(1-0.18),IF($F1397="Mauro José Salanti",_xlfn.XLOOKUP(AL1397,Cadastros!$G$6:$G$90,Cadastros!$H$6:$H$90)*(1-0.18),_xlfn.XLOOKUP(AL1397,Cadastros!$G$6:$G$90,Cadastros!$H$6:$H$90))))</f>
        <v/>
      </c>
      <c r="AO1397" s="168" t="str">
        <f t="shared" si="282"/>
        <v/>
      </c>
      <c r="AP1397" s="168" t="str">
        <f t="shared" si="283"/>
        <v/>
      </c>
      <c r="AQ1397" s="28"/>
      <c r="AR1397" s="28"/>
      <c r="AS1397" s="20" t="str">
        <f>IF(AQ1397="","",IF($F1397="Bernardino Furlan",_xlfn.XLOOKUP(AQ1397,Cadastros!$G$6:$G$90,Cadastros!$H$6:$H$90)*(1-0.18),IF($F1397="Mauro José Salanti",_xlfn.XLOOKUP(AQ1397,Cadastros!$G$6:$G$90,Cadastros!$H$6:$H$90)*(1-0.18),_xlfn.XLOOKUP(AQ1397,Cadastros!$G$6:$G$90,Cadastros!$H$6:$H$90))))</f>
        <v/>
      </c>
      <c r="AT1397" s="168" t="str">
        <f t="shared" si="284"/>
        <v/>
      </c>
      <c r="AU1397" s="168" t="str">
        <f t="shared" si="285"/>
        <v/>
      </c>
      <c r="AV1397" s="227"/>
      <c r="AW1397" s="30"/>
      <c r="AX1397" s="267"/>
      <c r="AY1397" s="267"/>
      <c r="AZ1397" s="29"/>
      <c r="BA1397" s="30"/>
      <c r="BB1397" s="23" t="str" cm="1">
        <f t="array" ref="BB1397">_xlfn.IFS(AW1397="SIM",SUM(K1397,P1397,U1397,Z1397,AE1397,AJ1397,AO1397,AT1397,AX1397,AY1397),F1397&lt;&gt;"",SUM(K1397,P1397,U1397,Z1397,AE1397,AJ1397,,AO1397,AT1397),F1397="","")</f>
        <v/>
      </c>
      <c r="BC1397" s="211" t="str" cm="1">
        <f t="array" ref="BC1397">_xlfn.IFS(E1397="","",G1397&lt;=E1397,BB1397*(1-0.03),G1397&lt;(E1397+8),BB1397,AZ1397="Boleto",BB1397*(1+0.001)^DATEDIF(E1397,G1397,"D"),AZ1397="Cheque",BB1397,AZ1397="Dinheiro","Alterar forma pgto")</f>
        <v/>
      </c>
      <c r="BD1397" s="276" t="str" cm="1">
        <f t="array" ref="BD1397">IF(F1397=0," ",IF(BC1397&lt;BB1397,(_xlfn.IFS(AW1397="SIM",SUM(L1397,Q1397,V1397,AA1397,AF1397,AK1397,AP1397,AU1397)+AX1397/_xlfn.XLOOKUP(_xlfn.XLOOKUP($F1397,Clientes!$B$4:$B$39,Clientes!$C$4:$C$39),Cadastros!$L$6:$L$12,Cadastros!$M$6:$M$12)+IF($F1397="Bernardino Furlan",AY1397/2751.92,IF($F1397="Mauro José Salanti",AY1397/2751.92,AY1397/3356)),F1397&lt;&gt;0,SUM(L1397,Q1397,V1397,AA1397,AF1397,AK1397,AP1397,AU1397)))*(1-0.03),_xlfn.IFS(AW1397="SIM",SUM(L1397,Q1397,V1397,AA1397,AF1397,AK1397,AP1397,AU1397)+AX1397/_xlfn.XLOOKUP(_xlfn.XLOOKUP($F1397,Clientes!$B$4:$B$39,Clientes!$C$4:$C$39),Cadastros!$L$6:$L$12,Cadastros!$M$6:$M$12)+IF($F1397="Bernardino Furlan",AY1397/2751.92,IF($F1397="Mauro José Salanti",AY1397/2751.92,AY1397/3356)),F1397&lt;&gt;0,SUM(L1397,Q1397,V1397,AA1397,AF1397,AK1397,AP1397,AU1397))))</f>
        <v xml:space="preserve"> </v>
      </c>
      <c r="BE1397" s="120"/>
      <c r="BF1397" s="120"/>
      <c r="BG1397" s="120"/>
    </row>
    <row r="1398" spans="1:59" s="3" customFormat="1" x14ac:dyDescent="0.3">
      <c r="A1398" s="15" t="str">
        <f t="shared" si="273"/>
        <v/>
      </c>
      <c r="B1398" s="25"/>
      <c r="C1398" s="26"/>
      <c r="D1398" s="279"/>
      <c r="E1398" s="27"/>
      <c r="F1398" s="28"/>
      <c r="G1398" s="27"/>
      <c r="H1398" s="28"/>
      <c r="I1398" s="28"/>
      <c r="J1398" s="255" t="str">
        <f>IF(H1398="","",(_xlfn.XLOOKUP(H1398,Cadastros!$D$6:$D$90,Cadastros!$E$6:$E$90))*(1-_xlfn.XLOOKUP(_xlfn.XLOOKUP($F1398,Clientes!$B$4:$B$39,Clientes!$C$4:$C$39),Cadastros!$L$6:$L$12,Cadastros!$N$6:$N$12)))</f>
        <v/>
      </c>
      <c r="K1398" s="168" t="str">
        <f t="shared" si="274"/>
        <v/>
      </c>
      <c r="L1398" s="168" t="str">
        <f>IFERROR(K1398/_xlfn.XLOOKUP(_xlfn.XLOOKUP($F1398,Clientes!$B$4:$B$39,Clientes!$C$4:$C$39),Cadastros!$L$6:$L$12,Cadastros!$M$6:$M$12)," ")</f>
        <v xml:space="preserve"> </v>
      </c>
      <c r="M1398" s="28"/>
      <c r="N1398" s="28"/>
      <c r="O1398" s="255" t="str">
        <f>IF(M1398="","",(_xlfn.XLOOKUP(M1398,Cadastros!$D$6:$D$90,Cadastros!$E$6:$E$90))*(1-_xlfn.XLOOKUP(_xlfn.XLOOKUP($F1398,Clientes!$B$4:$B$39,Clientes!$C$4:$C$39),Cadastros!$L$6:$L$12,Cadastros!$N$6:$N$12)))</f>
        <v/>
      </c>
      <c r="P1398" s="168" t="str">
        <f t="shared" si="275"/>
        <v/>
      </c>
      <c r="Q1398" s="168" t="str">
        <f>IFERROR(P1398/_xlfn.XLOOKUP(_xlfn.XLOOKUP($F1398,Clientes!$B$4:$B$39,Clientes!$C$4:$C$39),Cadastros!$L$6:$L$12,Cadastros!$M$6:$M$12)," ")</f>
        <v xml:space="preserve"> </v>
      </c>
      <c r="R1398" s="28"/>
      <c r="S1398" s="28"/>
      <c r="T1398" s="255" t="str">
        <f>IF(R1398="","",(_xlfn.XLOOKUP(R1398,Cadastros!$D$6:$D$90,Cadastros!$E$6:$E$90))*(1-_xlfn.XLOOKUP(_xlfn.XLOOKUP($F1398,Clientes!$B$4:$B$39,Clientes!$C$4:$C$39),Cadastros!$L$6:$L$12,Cadastros!$N$6:$N$12)))</f>
        <v/>
      </c>
      <c r="U1398" s="168" t="str">
        <f t="shared" si="276"/>
        <v/>
      </c>
      <c r="V1398" s="168" t="str">
        <f>IFERROR(U1398/_xlfn.XLOOKUP(_xlfn.XLOOKUP($F1398,Clientes!$B$4:$B$39,Clientes!$C$4:$C$39),Cadastros!$L$6:$L$12,Cadastros!$M$6:$M$12)," ")</f>
        <v xml:space="preserve"> </v>
      </c>
      <c r="W1398" s="28"/>
      <c r="X1398" s="28"/>
      <c r="Y1398" s="255" t="str">
        <f>IF(W1398="","",(_xlfn.XLOOKUP(W1398,Cadastros!$D$6:$D$90,Cadastros!$E$6:$E$90))*(1-_xlfn.XLOOKUP(_xlfn.XLOOKUP($F1398,Clientes!$B$4:$B$39,Clientes!$C$4:$C$39),Cadastros!$L$6:$L$12,Cadastros!$N$6:$N$12)))</f>
        <v/>
      </c>
      <c r="Z1398" s="168" t="str">
        <f t="shared" si="277"/>
        <v/>
      </c>
      <c r="AA1398" s="168" t="str">
        <f>IFERROR(Z1398/_xlfn.XLOOKUP(_xlfn.XLOOKUP($F1398,Clientes!$B$4:$B$39,Clientes!$C$4:$C$39),Cadastros!$L$6:$L$12,Cadastros!$M$6:$M$12)," ")</f>
        <v xml:space="preserve"> </v>
      </c>
      <c r="AB1398" s="28"/>
      <c r="AC1398" s="28"/>
      <c r="AD1398" s="20" t="str">
        <f>IF(AB1398="","",IF($F1398="Bernardino Furlan",_xlfn.XLOOKUP(AB1398,Cadastros!$G$6:$G$90,Cadastros!$H$6:$H$90)*(1-0.18),IF($F1398="Mauro José Salanti",_xlfn.XLOOKUP(AB1398,Cadastros!$G$6:$G$90,Cadastros!$H$6:$H$90)*(1-0.18),_xlfn.XLOOKUP(AB1398,Cadastros!$G$6:$G$90,Cadastros!$H$6:$H$90))))</f>
        <v/>
      </c>
      <c r="AE1398" s="168" t="str">
        <f t="shared" si="278"/>
        <v/>
      </c>
      <c r="AF1398" s="168" t="str">
        <f t="shared" si="279"/>
        <v/>
      </c>
      <c r="AG1398" s="28"/>
      <c r="AH1398" s="28"/>
      <c r="AI1398" s="20" t="str">
        <f>IF(AG1398="","",IF($F1398="Bernardino Furlan",_xlfn.XLOOKUP(AG1398,Cadastros!$G$6:$G$90,Cadastros!$H$6:$H$90)*(1-0.18),IF($F1398="Mauro José Salanti",_xlfn.XLOOKUP(AG1398,Cadastros!$G$6:$G$90,Cadastros!$H$6:$H$90)*(1-0.18),_xlfn.XLOOKUP(AG1398,Cadastros!$G$6:$G$90,Cadastros!$H$6:$H$90))))</f>
        <v/>
      </c>
      <c r="AJ1398" s="168" t="str">
        <f t="shared" si="280"/>
        <v/>
      </c>
      <c r="AK1398" s="168" t="str">
        <f t="shared" si="281"/>
        <v/>
      </c>
      <c r="AL1398" s="28"/>
      <c r="AM1398" s="28"/>
      <c r="AN1398" s="20" t="str">
        <f>IF(AL1398="","",IF($F1398="Bernardino Furlan",_xlfn.XLOOKUP(AL1398,Cadastros!$G$6:$G$90,Cadastros!$H$6:$H$90)*(1-0.18),IF($F1398="Mauro José Salanti",_xlfn.XLOOKUP(AL1398,Cadastros!$G$6:$G$90,Cadastros!$H$6:$H$90)*(1-0.18),_xlfn.XLOOKUP(AL1398,Cadastros!$G$6:$G$90,Cadastros!$H$6:$H$90))))</f>
        <v/>
      </c>
      <c r="AO1398" s="168" t="str">
        <f t="shared" si="282"/>
        <v/>
      </c>
      <c r="AP1398" s="168" t="str">
        <f t="shared" si="283"/>
        <v/>
      </c>
      <c r="AQ1398" s="28"/>
      <c r="AR1398" s="28"/>
      <c r="AS1398" s="20" t="str">
        <f>IF(AQ1398="","",IF($F1398="Bernardino Furlan",_xlfn.XLOOKUP(AQ1398,Cadastros!$G$6:$G$90,Cadastros!$H$6:$H$90)*(1-0.18),IF($F1398="Mauro José Salanti",_xlfn.XLOOKUP(AQ1398,Cadastros!$G$6:$G$90,Cadastros!$H$6:$H$90)*(1-0.18),_xlfn.XLOOKUP(AQ1398,Cadastros!$G$6:$G$90,Cadastros!$H$6:$H$90))))</f>
        <v/>
      </c>
      <c r="AT1398" s="168" t="str">
        <f t="shared" si="284"/>
        <v/>
      </c>
      <c r="AU1398" s="168" t="str">
        <f t="shared" si="285"/>
        <v/>
      </c>
      <c r="AV1398" s="227"/>
      <c r="AW1398" s="30"/>
      <c r="AX1398" s="267"/>
      <c r="AY1398" s="267"/>
      <c r="AZ1398" s="29"/>
      <c r="BA1398" s="30"/>
      <c r="BB1398" s="23" t="str" cm="1">
        <f t="array" ref="BB1398">_xlfn.IFS(AW1398="SIM",SUM(K1398,P1398,U1398,Z1398,AE1398,AJ1398,AO1398,AT1398,AX1398,AY1398),F1398&lt;&gt;"",SUM(K1398,P1398,U1398,Z1398,AE1398,AJ1398,,AO1398,AT1398),F1398="","")</f>
        <v/>
      </c>
      <c r="BC1398" s="211" t="str" cm="1">
        <f t="array" ref="BC1398">_xlfn.IFS(E1398="","",G1398&lt;=E1398,BB1398*(1-0.03),G1398&lt;(E1398+8),BB1398,AZ1398="Boleto",BB1398*(1+0.001)^DATEDIF(E1398,G1398,"D"),AZ1398="Cheque",BB1398,AZ1398="Dinheiro","Alterar forma pgto")</f>
        <v/>
      </c>
      <c r="BD1398" s="276" t="str" cm="1">
        <f t="array" ref="BD1398">IF(F1398=0," ",IF(BC1398&lt;BB1398,(_xlfn.IFS(AW1398="SIM",SUM(L1398,Q1398,V1398,AA1398,AF1398,AK1398,AP1398,AU1398)+AX1398/_xlfn.XLOOKUP(_xlfn.XLOOKUP($F1398,Clientes!$B$4:$B$39,Clientes!$C$4:$C$39),Cadastros!$L$6:$L$12,Cadastros!$M$6:$M$12)+IF($F1398="Bernardino Furlan",AY1398/2751.92,IF($F1398="Mauro José Salanti",AY1398/2751.92,AY1398/3356)),F1398&lt;&gt;0,SUM(L1398,Q1398,V1398,AA1398,AF1398,AK1398,AP1398,AU1398)))*(1-0.03),_xlfn.IFS(AW1398="SIM",SUM(L1398,Q1398,V1398,AA1398,AF1398,AK1398,AP1398,AU1398)+AX1398/_xlfn.XLOOKUP(_xlfn.XLOOKUP($F1398,Clientes!$B$4:$B$39,Clientes!$C$4:$C$39),Cadastros!$L$6:$L$12,Cadastros!$M$6:$M$12)+IF($F1398="Bernardino Furlan",AY1398/2751.92,IF($F1398="Mauro José Salanti",AY1398/2751.92,AY1398/3356)),F1398&lt;&gt;0,SUM(L1398,Q1398,V1398,AA1398,AF1398,AK1398,AP1398,AU1398))))</f>
        <v xml:space="preserve"> </v>
      </c>
      <c r="BE1398" s="120"/>
      <c r="BF1398" s="120"/>
      <c r="BG1398" s="120"/>
    </row>
    <row r="1399" spans="1:59" s="3" customFormat="1" x14ac:dyDescent="0.3">
      <c r="A1399" s="15" t="str">
        <f t="shared" si="273"/>
        <v/>
      </c>
      <c r="B1399" s="25"/>
      <c r="C1399" s="26"/>
      <c r="D1399" s="279"/>
      <c r="E1399" s="27"/>
      <c r="F1399" s="28"/>
      <c r="G1399" s="27"/>
      <c r="H1399" s="28"/>
      <c r="I1399" s="28"/>
      <c r="J1399" s="255" t="str">
        <f>IF(H1399="","",(_xlfn.XLOOKUP(H1399,Cadastros!$D$6:$D$90,Cadastros!$E$6:$E$90))*(1-_xlfn.XLOOKUP(_xlfn.XLOOKUP($F1399,Clientes!$B$4:$B$39,Clientes!$C$4:$C$39),Cadastros!$L$6:$L$12,Cadastros!$N$6:$N$12)))</f>
        <v/>
      </c>
      <c r="K1399" s="168" t="str">
        <f t="shared" si="274"/>
        <v/>
      </c>
      <c r="L1399" s="168" t="str">
        <f>IFERROR(K1399/_xlfn.XLOOKUP(_xlfn.XLOOKUP($F1399,Clientes!$B$4:$B$39,Clientes!$C$4:$C$39),Cadastros!$L$6:$L$12,Cadastros!$M$6:$M$12)," ")</f>
        <v xml:space="preserve"> </v>
      </c>
      <c r="M1399" s="28"/>
      <c r="N1399" s="28"/>
      <c r="O1399" s="255" t="str">
        <f>IF(M1399="","",(_xlfn.XLOOKUP(M1399,Cadastros!$D$6:$D$90,Cadastros!$E$6:$E$90))*(1-_xlfn.XLOOKUP(_xlfn.XLOOKUP($F1399,Clientes!$B$4:$B$39,Clientes!$C$4:$C$39),Cadastros!$L$6:$L$12,Cadastros!$N$6:$N$12)))</f>
        <v/>
      </c>
      <c r="P1399" s="168" t="str">
        <f t="shared" si="275"/>
        <v/>
      </c>
      <c r="Q1399" s="168" t="str">
        <f>IFERROR(P1399/_xlfn.XLOOKUP(_xlfn.XLOOKUP($F1399,Clientes!$B$4:$B$39,Clientes!$C$4:$C$39),Cadastros!$L$6:$L$12,Cadastros!$M$6:$M$12)," ")</f>
        <v xml:space="preserve"> </v>
      </c>
      <c r="R1399" s="28"/>
      <c r="S1399" s="28"/>
      <c r="T1399" s="255" t="str">
        <f>IF(R1399="","",(_xlfn.XLOOKUP(R1399,Cadastros!$D$6:$D$90,Cadastros!$E$6:$E$90))*(1-_xlfn.XLOOKUP(_xlfn.XLOOKUP($F1399,Clientes!$B$4:$B$39,Clientes!$C$4:$C$39),Cadastros!$L$6:$L$12,Cadastros!$N$6:$N$12)))</f>
        <v/>
      </c>
      <c r="U1399" s="168" t="str">
        <f t="shared" si="276"/>
        <v/>
      </c>
      <c r="V1399" s="168" t="str">
        <f>IFERROR(U1399/_xlfn.XLOOKUP(_xlfn.XLOOKUP($F1399,Clientes!$B$4:$B$39,Clientes!$C$4:$C$39),Cadastros!$L$6:$L$12,Cadastros!$M$6:$M$12)," ")</f>
        <v xml:space="preserve"> </v>
      </c>
      <c r="W1399" s="28"/>
      <c r="X1399" s="28"/>
      <c r="Y1399" s="255" t="str">
        <f>IF(W1399="","",(_xlfn.XLOOKUP(W1399,Cadastros!$D$6:$D$90,Cadastros!$E$6:$E$90))*(1-_xlfn.XLOOKUP(_xlfn.XLOOKUP($F1399,Clientes!$B$4:$B$39,Clientes!$C$4:$C$39),Cadastros!$L$6:$L$12,Cadastros!$N$6:$N$12)))</f>
        <v/>
      </c>
      <c r="Z1399" s="168" t="str">
        <f t="shared" si="277"/>
        <v/>
      </c>
      <c r="AA1399" s="168" t="str">
        <f>IFERROR(Z1399/_xlfn.XLOOKUP(_xlfn.XLOOKUP($F1399,Clientes!$B$4:$B$39,Clientes!$C$4:$C$39),Cadastros!$L$6:$L$12,Cadastros!$M$6:$M$12)," ")</f>
        <v xml:space="preserve"> </v>
      </c>
      <c r="AB1399" s="28"/>
      <c r="AC1399" s="28"/>
      <c r="AD1399" s="20" t="str">
        <f>IF(AB1399="","",IF($F1399="Bernardino Furlan",_xlfn.XLOOKUP(AB1399,Cadastros!$G$6:$G$90,Cadastros!$H$6:$H$90)*(1-0.18),IF($F1399="Mauro José Salanti",_xlfn.XLOOKUP(AB1399,Cadastros!$G$6:$G$90,Cadastros!$H$6:$H$90)*(1-0.18),_xlfn.XLOOKUP(AB1399,Cadastros!$G$6:$G$90,Cadastros!$H$6:$H$90))))</f>
        <v/>
      </c>
      <c r="AE1399" s="168" t="str">
        <f t="shared" si="278"/>
        <v/>
      </c>
      <c r="AF1399" s="168" t="str">
        <f t="shared" si="279"/>
        <v/>
      </c>
      <c r="AG1399" s="28"/>
      <c r="AH1399" s="28"/>
      <c r="AI1399" s="20" t="str">
        <f>IF(AG1399="","",IF($F1399="Bernardino Furlan",_xlfn.XLOOKUP(AG1399,Cadastros!$G$6:$G$90,Cadastros!$H$6:$H$90)*(1-0.18),IF($F1399="Mauro José Salanti",_xlfn.XLOOKUP(AG1399,Cadastros!$G$6:$G$90,Cadastros!$H$6:$H$90)*(1-0.18),_xlfn.XLOOKUP(AG1399,Cadastros!$G$6:$G$90,Cadastros!$H$6:$H$90))))</f>
        <v/>
      </c>
      <c r="AJ1399" s="168" t="str">
        <f t="shared" si="280"/>
        <v/>
      </c>
      <c r="AK1399" s="168" t="str">
        <f t="shared" si="281"/>
        <v/>
      </c>
      <c r="AL1399" s="28"/>
      <c r="AM1399" s="28"/>
      <c r="AN1399" s="20" t="str">
        <f>IF(AL1399="","",IF($F1399="Bernardino Furlan",_xlfn.XLOOKUP(AL1399,Cadastros!$G$6:$G$90,Cadastros!$H$6:$H$90)*(1-0.18),IF($F1399="Mauro José Salanti",_xlfn.XLOOKUP(AL1399,Cadastros!$G$6:$G$90,Cadastros!$H$6:$H$90)*(1-0.18),_xlfn.XLOOKUP(AL1399,Cadastros!$G$6:$G$90,Cadastros!$H$6:$H$90))))</f>
        <v/>
      </c>
      <c r="AO1399" s="168" t="str">
        <f t="shared" si="282"/>
        <v/>
      </c>
      <c r="AP1399" s="168" t="str">
        <f t="shared" si="283"/>
        <v/>
      </c>
      <c r="AQ1399" s="28"/>
      <c r="AR1399" s="28"/>
      <c r="AS1399" s="20" t="str">
        <f>IF(AQ1399="","",IF($F1399="Bernardino Furlan",_xlfn.XLOOKUP(AQ1399,Cadastros!$G$6:$G$90,Cadastros!$H$6:$H$90)*(1-0.18),IF($F1399="Mauro José Salanti",_xlfn.XLOOKUP(AQ1399,Cadastros!$G$6:$G$90,Cadastros!$H$6:$H$90)*(1-0.18),_xlfn.XLOOKUP(AQ1399,Cadastros!$G$6:$G$90,Cadastros!$H$6:$H$90))))</f>
        <v/>
      </c>
      <c r="AT1399" s="168" t="str">
        <f t="shared" si="284"/>
        <v/>
      </c>
      <c r="AU1399" s="168" t="str">
        <f t="shared" si="285"/>
        <v/>
      </c>
      <c r="AV1399" s="227"/>
      <c r="AW1399" s="30"/>
      <c r="AX1399" s="267"/>
      <c r="AY1399" s="267"/>
      <c r="AZ1399" s="29"/>
      <c r="BA1399" s="30"/>
      <c r="BB1399" s="23" t="str" cm="1">
        <f t="array" ref="BB1399">_xlfn.IFS(AW1399="SIM",SUM(K1399,P1399,U1399,Z1399,AE1399,AJ1399,AO1399,AT1399,AX1399,AY1399),F1399&lt;&gt;"",SUM(K1399,P1399,U1399,Z1399,AE1399,AJ1399,,AO1399,AT1399),F1399="","")</f>
        <v/>
      </c>
      <c r="BC1399" s="211" t="str" cm="1">
        <f t="array" ref="BC1399">_xlfn.IFS(E1399="","",G1399&lt;=E1399,BB1399*(1-0.03),G1399&lt;(E1399+8),BB1399,AZ1399="Boleto",BB1399*(1+0.001)^DATEDIF(E1399,G1399,"D"),AZ1399="Cheque",BB1399,AZ1399="Dinheiro","Alterar forma pgto")</f>
        <v/>
      </c>
      <c r="BD1399" s="276" t="str" cm="1">
        <f t="array" ref="BD1399">IF(F1399=0," ",IF(BC1399&lt;BB1399,(_xlfn.IFS(AW1399="SIM",SUM(L1399,Q1399,V1399,AA1399,AF1399,AK1399,AP1399,AU1399)+AX1399/_xlfn.XLOOKUP(_xlfn.XLOOKUP($F1399,Clientes!$B$4:$B$39,Clientes!$C$4:$C$39),Cadastros!$L$6:$L$12,Cadastros!$M$6:$M$12)+IF($F1399="Bernardino Furlan",AY1399/2751.92,IF($F1399="Mauro José Salanti",AY1399/2751.92,AY1399/3356)),F1399&lt;&gt;0,SUM(L1399,Q1399,V1399,AA1399,AF1399,AK1399,AP1399,AU1399)))*(1-0.03),_xlfn.IFS(AW1399="SIM",SUM(L1399,Q1399,V1399,AA1399,AF1399,AK1399,AP1399,AU1399)+AX1399/_xlfn.XLOOKUP(_xlfn.XLOOKUP($F1399,Clientes!$B$4:$B$39,Clientes!$C$4:$C$39),Cadastros!$L$6:$L$12,Cadastros!$M$6:$M$12)+IF($F1399="Bernardino Furlan",AY1399/2751.92,IF($F1399="Mauro José Salanti",AY1399/2751.92,AY1399/3356)),F1399&lt;&gt;0,SUM(L1399,Q1399,V1399,AA1399,AF1399,AK1399,AP1399,AU1399))))</f>
        <v xml:space="preserve"> </v>
      </c>
      <c r="BE1399" s="120"/>
      <c r="BF1399" s="120"/>
      <c r="BG1399" s="120"/>
    </row>
    <row r="1400" spans="1:59" s="3" customFormat="1" x14ac:dyDescent="0.3">
      <c r="A1400" s="15" t="str">
        <f t="shared" si="273"/>
        <v/>
      </c>
      <c r="B1400" s="25"/>
      <c r="C1400" s="26"/>
      <c r="D1400" s="279"/>
      <c r="E1400" s="27"/>
      <c r="F1400" s="28"/>
      <c r="G1400" s="27"/>
      <c r="H1400" s="28"/>
      <c r="I1400" s="28"/>
      <c r="J1400" s="255" t="str">
        <f>IF(H1400="","",(_xlfn.XLOOKUP(H1400,Cadastros!$D$6:$D$90,Cadastros!$E$6:$E$90))*(1-_xlfn.XLOOKUP(_xlfn.XLOOKUP($F1400,Clientes!$B$4:$B$39,Clientes!$C$4:$C$39),Cadastros!$L$6:$L$12,Cadastros!$N$6:$N$12)))</f>
        <v/>
      </c>
      <c r="K1400" s="168" t="str">
        <f t="shared" si="274"/>
        <v/>
      </c>
      <c r="L1400" s="168" t="str">
        <f>IFERROR(K1400/_xlfn.XLOOKUP(_xlfn.XLOOKUP($F1400,Clientes!$B$4:$B$39,Clientes!$C$4:$C$39),Cadastros!$L$6:$L$12,Cadastros!$M$6:$M$12)," ")</f>
        <v xml:space="preserve"> </v>
      </c>
      <c r="M1400" s="28"/>
      <c r="N1400" s="28"/>
      <c r="O1400" s="255" t="str">
        <f>IF(M1400="","",(_xlfn.XLOOKUP(M1400,Cadastros!$D$6:$D$90,Cadastros!$E$6:$E$90))*(1-_xlfn.XLOOKUP(_xlfn.XLOOKUP($F1400,Clientes!$B$4:$B$39,Clientes!$C$4:$C$39),Cadastros!$L$6:$L$12,Cadastros!$N$6:$N$12)))</f>
        <v/>
      </c>
      <c r="P1400" s="168" t="str">
        <f t="shared" si="275"/>
        <v/>
      </c>
      <c r="Q1400" s="168" t="str">
        <f>IFERROR(P1400/_xlfn.XLOOKUP(_xlfn.XLOOKUP($F1400,Clientes!$B$4:$B$39,Clientes!$C$4:$C$39),Cadastros!$L$6:$L$12,Cadastros!$M$6:$M$12)," ")</f>
        <v xml:space="preserve"> </v>
      </c>
      <c r="R1400" s="28"/>
      <c r="S1400" s="28"/>
      <c r="T1400" s="255" t="str">
        <f>IF(R1400="","",(_xlfn.XLOOKUP(R1400,Cadastros!$D$6:$D$90,Cadastros!$E$6:$E$90))*(1-_xlfn.XLOOKUP(_xlfn.XLOOKUP($F1400,Clientes!$B$4:$B$39,Clientes!$C$4:$C$39),Cadastros!$L$6:$L$12,Cadastros!$N$6:$N$12)))</f>
        <v/>
      </c>
      <c r="U1400" s="168" t="str">
        <f t="shared" si="276"/>
        <v/>
      </c>
      <c r="V1400" s="168" t="str">
        <f>IFERROR(U1400/_xlfn.XLOOKUP(_xlfn.XLOOKUP($F1400,Clientes!$B$4:$B$39,Clientes!$C$4:$C$39),Cadastros!$L$6:$L$12,Cadastros!$M$6:$M$12)," ")</f>
        <v xml:space="preserve"> </v>
      </c>
      <c r="W1400" s="28"/>
      <c r="X1400" s="28"/>
      <c r="Y1400" s="255" t="str">
        <f>IF(W1400="","",(_xlfn.XLOOKUP(W1400,Cadastros!$D$6:$D$90,Cadastros!$E$6:$E$90))*(1-_xlfn.XLOOKUP(_xlfn.XLOOKUP($F1400,Clientes!$B$4:$B$39,Clientes!$C$4:$C$39),Cadastros!$L$6:$L$12,Cadastros!$N$6:$N$12)))</f>
        <v/>
      </c>
      <c r="Z1400" s="168" t="str">
        <f t="shared" si="277"/>
        <v/>
      </c>
      <c r="AA1400" s="168" t="str">
        <f>IFERROR(Z1400/_xlfn.XLOOKUP(_xlfn.XLOOKUP($F1400,Clientes!$B$4:$B$39,Clientes!$C$4:$C$39),Cadastros!$L$6:$L$12,Cadastros!$M$6:$M$12)," ")</f>
        <v xml:space="preserve"> </v>
      </c>
      <c r="AB1400" s="28"/>
      <c r="AC1400" s="28"/>
      <c r="AD1400" s="20" t="str">
        <f>IF(AB1400="","",IF($F1400="Bernardino Furlan",_xlfn.XLOOKUP(AB1400,Cadastros!$G$6:$G$90,Cadastros!$H$6:$H$90)*(1-0.18),IF($F1400="Mauro José Salanti",_xlfn.XLOOKUP(AB1400,Cadastros!$G$6:$G$90,Cadastros!$H$6:$H$90)*(1-0.18),_xlfn.XLOOKUP(AB1400,Cadastros!$G$6:$G$90,Cadastros!$H$6:$H$90))))</f>
        <v/>
      </c>
      <c r="AE1400" s="168" t="str">
        <f t="shared" si="278"/>
        <v/>
      </c>
      <c r="AF1400" s="168" t="str">
        <f t="shared" si="279"/>
        <v/>
      </c>
      <c r="AG1400" s="28"/>
      <c r="AH1400" s="28"/>
      <c r="AI1400" s="20" t="str">
        <f>IF(AG1400="","",IF($F1400="Bernardino Furlan",_xlfn.XLOOKUP(AG1400,Cadastros!$G$6:$G$90,Cadastros!$H$6:$H$90)*(1-0.18),IF($F1400="Mauro José Salanti",_xlfn.XLOOKUP(AG1400,Cadastros!$G$6:$G$90,Cadastros!$H$6:$H$90)*(1-0.18),_xlfn.XLOOKUP(AG1400,Cadastros!$G$6:$G$90,Cadastros!$H$6:$H$90))))</f>
        <v/>
      </c>
      <c r="AJ1400" s="168" t="str">
        <f t="shared" si="280"/>
        <v/>
      </c>
      <c r="AK1400" s="168" t="str">
        <f t="shared" si="281"/>
        <v/>
      </c>
      <c r="AL1400" s="28"/>
      <c r="AM1400" s="28"/>
      <c r="AN1400" s="20" t="str">
        <f>IF(AL1400="","",IF($F1400="Bernardino Furlan",_xlfn.XLOOKUP(AL1400,Cadastros!$G$6:$G$90,Cadastros!$H$6:$H$90)*(1-0.18),IF($F1400="Mauro José Salanti",_xlfn.XLOOKUP(AL1400,Cadastros!$G$6:$G$90,Cadastros!$H$6:$H$90)*(1-0.18),_xlfn.XLOOKUP(AL1400,Cadastros!$G$6:$G$90,Cadastros!$H$6:$H$90))))</f>
        <v/>
      </c>
      <c r="AO1400" s="168" t="str">
        <f t="shared" si="282"/>
        <v/>
      </c>
      <c r="AP1400" s="168" t="str">
        <f t="shared" si="283"/>
        <v/>
      </c>
      <c r="AQ1400" s="28"/>
      <c r="AR1400" s="28"/>
      <c r="AS1400" s="20" t="str">
        <f>IF(AQ1400="","",IF($F1400="Bernardino Furlan",_xlfn.XLOOKUP(AQ1400,Cadastros!$G$6:$G$90,Cadastros!$H$6:$H$90)*(1-0.18),IF($F1400="Mauro José Salanti",_xlfn.XLOOKUP(AQ1400,Cadastros!$G$6:$G$90,Cadastros!$H$6:$H$90)*(1-0.18),_xlfn.XLOOKUP(AQ1400,Cadastros!$G$6:$G$90,Cadastros!$H$6:$H$90))))</f>
        <v/>
      </c>
      <c r="AT1400" s="168" t="str">
        <f t="shared" si="284"/>
        <v/>
      </c>
      <c r="AU1400" s="168" t="str">
        <f t="shared" si="285"/>
        <v/>
      </c>
      <c r="AV1400" s="227"/>
      <c r="AW1400" s="30"/>
      <c r="AX1400" s="267"/>
      <c r="AY1400" s="267"/>
      <c r="AZ1400" s="29"/>
      <c r="BA1400" s="30"/>
      <c r="BB1400" s="23" t="str" cm="1">
        <f t="array" ref="BB1400">_xlfn.IFS(AW1400="SIM",SUM(K1400,P1400,U1400,Z1400,AE1400,AJ1400,AO1400,AT1400,AX1400,AY1400),F1400&lt;&gt;"",SUM(K1400,P1400,U1400,Z1400,AE1400,AJ1400,,AO1400,AT1400),F1400="","")</f>
        <v/>
      </c>
      <c r="BC1400" s="211" t="str" cm="1">
        <f t="array" ref="BC1400">_xlfn.IFS(E1400="","",G1400&lt;=E1400,BB1400*(1-0.03),G1400&lt;(E1400+8),BB1400,AZ1400="Boleto",BB1400*(1+0.001)^DATEDIF(E1400,G1400,"D"),AZ1400="Cheque",BB1400,AZ1400="Dinheiro","Alterar forma pgto")</f>
        <v/>
      </c>
      <c r="BD1400" s="276" t="str" cm="1">
        <f t="array" ref="BD1400">IF(F1400=0," ",IF(BC1400&lt;BB1400,(_xlfn.IFS(AW1400="SIM",SUM(L1400,Q1400,V1400,AA1400,AF1400,AK1400,AP1400,AU1400)+AX1400/_xlfn.XLOOKUP(_xlfn.XLOOKUP($F1400,Clientes!$B$4:$B$39,Clientes!$C$4:$C$39),Cadastros!$L$6:$L$12,Cadastros!$M$6:$M$12)+IF($F1400="Bernardino Furlan",AY1400/2751.92,IF($F1400="Mauro José Salanti",AY1400/2751.92,AY1400/3356)),F1400&lt;&gt;0,SUM(L1400,Q1400,V1400,AA1400,AF1400,AK1400,AP1400,AU1400)))*(1-0.03),_xlfn.IFS(AW1400="SIM",SUM(L1400,Q1400,V1400,AA1400,AF1400,AK1400,AP1400,AU1400)+AX1400/_xlfn.XLOOKUP(_xlfn.XLOOKUP($F1400,Clientes!$B$4:$B$39,Clientes!$C$4:$C$39),Cadastros!$L$6:$L$12,Cadastros!$M$6:$M$12)+IF($F1400="Bernardino Furlan",AY1400/2751.92,IF($F1400="Mauro José Salanti",AY1400/2751.92,AY1400/3356)),F1400&lt;&gt;0,SUM(L1400,Q1400,V1400,AA1400,AF1400,AK1400,AP1400,AU1400))))</f>
        <v xml:space="preserve"> </v>
      </c>
      <c r="BE1400" s="120"/>
      <c r="BF1400" s="120"/>
      <c r="BG1400" s="120"/>
    </row>
    <row r="1401" spans="1:59" s="3" customFormat="1" x14ac:dyDescent="0.3">
      <c r="A1401" s="15" t="str">
        <f t="shared" si="273"/>
        <v/>
      </c>
      <c r="B1401" s="25"/>
      <c r="C1401" s="26"/>
      <c r="D1401" s="279"/>
      <c r="E1401" s="27"/>
      <c r="F1401" s="28"/>
      <c r="G1401" s="27"/>
      <c r="H1401" s="28"/>
      <c r="I1401" s="28"/>
      <c r="J1401" s="255" t="str">
        <f>IF(H1401="","",(_xlfn.XLOOKUP(H1401,Cadastros!$D$6:$D$90,Cadastros!$E$6:$E$90))*(1-_xlfn.XLOOKUP(_xlfn.XLOOKUP($F1401,Clientes!$B$4:$B$39,Clientes!$C$4:$C$39),Cadastros!$L$6:$L$12,Cadastros!$N$6:$N$12)))</f>
        <v/>
      </c>
      <c r="K1401" s="168" t="str">
        <f t="shared" si="274"/>
        <v/>
      </c>
      <c r="L1401" s="168" t="str">
        <f>IFERROR(K1401/_xlfn.XLOOKUP(_xlfn.XLOOKUP($F1401,Clientes!$B$4:$B$39,Clientes!$C$4:$C$39),Cadastros!$L$6:$L$12,Cadastros!$M$6:$M$12)," ")</f>
        <v xml:space="preserve"> </v>
      </c>
      <c r="M1401" s="28"/>
      <c r="N1401" s="28"/>
      <c r="O1401" s="255" t="str">
        <f>IF(M1401="","",(_xlfn.XLOOKUP(M1401,Cadastros!$D$6:$D$90,Cadastros!$E$6:$E$90))*(1-_xlfn.XLOOKUP(_xlfn.XLOOKUP($F1401,Clientes!$B$4:$B$39,Clientes!$C$4:$C$39),Cadastros!$L$6:$L$12,Cadastros!$N$6:$N$12)))</f>
        <v/>
      </c>
      <c r="P1401" s="168" t="str">
        <f t="shared" si="275"/>
        <v/>
      </c>
      <c r="Q1401" s="168" t="str">
        <f>IFERROR(P1401/_xlfn.XLOOKUP(_xlfn.XLOOKUP($F1401,Clientes!$B$4:$B$39,Clientes!$C$4:$C$39),Cadastros!$L$6:$L$12,Cadastros!$M$6:$M$12)," ")</f>
        <v xml:space="preserve"> </v>
      </c>
      <c r="R1401" s="28"/>
      <c r="S1401" s="28"/>
      <c r="T1401" s="255" t="str">
        <f>IF(R1401="","",(_xlfn.XLOOKUP(R1401,Cadastros!$D$6:$D$90,Cadastros!$E$6:$E$90))*(1-_xlfn.XLOOKUP(_xlfn.XLOOKUP($F1401,Clientes!$B$4:$B$39,Clientes!$C$4:$C$39),Cadastros!$L$6:$L$12,Cadastros!$N$6:$N$12)))</f>
        <v/>
      </c>
      <c r="U1401" s="168" t="str">
        <f t="shared" si="276"/>
        <v/>
      </c>
      <c r="V1401" s="168" t="str">
        <f>IFERROR(U1401/_xlfn.XLOOKUP(_xlfn.XLOOKUP($F1401,Clientes!$B$4:$B$39,Clientes!$C$4:$C$39),Cadastros!$L$6:$L$12,Cadastros!$M$6:$M$12)," ")</f>
        <v xml:space="preserve"> </v>
      </c>
      <c r="W1401" s="28"/>
      <c r="X1401" s="28"/>
      <c r="Y1401" s="255" t="str">
        <f>IF(W1401="","",(_xlfn.XLOOKUP(W1401,Cadastros!$D$6:$D$90,Cadastros!$E$6:$E$90))*(1-_xlfn.XLOOKUP(_xlfn.XLOOKUP($F1401,Clientes!$B$4:$B$39,Clientes!$C$4:$C$39),Cadastros!$L$6:$L$12,Cadastros!$N$6:$N$12)))</f>
        <v/>
      </c>
      <c r="Z1401" s="168" t="str">
        <f t="shared" si="277"/>
        <v/>
      </c>
      <c r="AA1401" s="168" t="str">
        <f>IFERROR(Z1401/_xlfn.XLOOKUP(_xlfn.XLOOKUP($F1401,Clientes!$B$4:$B$39,Clientes!$C$4:$C$39),Cadastros!$L$6:$L$12,Cadastros!$M$6:$M$12)," ")</f>
        <v xml:space="preserve"> </v>
      </c>
      <c r="AB1401" s="28"/>
      <c r="AC1401" s="28"/>
      <c r="AD1401" s="20" t="str">
        <f>IF(AB1401="","",IF($F1401="Bernardino Furlan",_xlfn.XLOOKUP(AB1401,Cadastros!$G$6:$G$90,Cadastros!$H$6:$H$90)*(1-0.18),IF($F1401="Mauro José Salanti",_xlfn.XLOOKUP(AB1401,Cadastros!$G$6:$G$90,Cadastros!$H$6:$H$90)*(1-0.18),_xlfn.XLOOKUP(AB1401,Cadastros!$G$6:$G$90,Cadastros!$H$6:$H$90))))</f>
        <v/>
      </c>
      <c r="AE1401" s="168" t="str">
        <f t="shared" si="278"/>
        <v/>
      </c>
      <c r="AF1401" s="168" t="str">
        <f t="shared" si="279"/>
        <v/>
      </c>
      <c r="AG1401" s="28"/>
      <c r="AH1401" s="28"/>
      <c r="AI1401" s="20" t="str">
        <f>IF(AG1401="","",IF($F1401="Bernardino Furlan",_xlfn.XLOOKUP(AG1401,Cadastros!$G$6:$G$90,Cadastros!$H$6:$H$90)*(1-0.18),IF($F1401="Mauro José Salanti",_xlfn.XLOOKUP(AG1401,Cadastros!$G$6:$G$90,Cadastros!$H$6:$H$90)*(1-0.18),_xlfn.XLOOKUP(AG1401,Cadastros!$G$6:$G$90,Cadastros!$H$6:$H$90))))</f>
        <v/>
      </c>
      <c r="AJ1401" s="168" t="str">
        <f t="shared" si="280"/>
        <v/>
      </c>
      <c r="AK1401" s="168" t="str">
        <f t="shared" si="281"/>
        <v/>
      </c>
      <c r="AL1401" s="28"/>
      <c r="AM1401" s="28"/>
      <c r="AN1401" s="20" t="str">
        <f>IF(AL1401="","",IF($F1401="Bernardino Furlan",_xlfn.XLOOKUP(AL1401,Cadastros!$G$6:$G$90,Cadastros!$H$6:$H$90)*(1-0.18),IF($F1401="Mauro José Salanti",_xlfn.XLOOKUP(AL1401,Cadastros!$G$6:$G$90,Cadastros!$H$6:$H$90)*(1-0.18),_xlfn.XLOOKUP(AL1401,Cadastros!$G$6:$G$90,Cadastros!$H$6:$H$90))))</f>
        <v/>
      </c>
      <c r="AO1401" s="168" t="str">
        <f t="shared" si="282"/>
        <v/>
      </c>
      <c r="AP1401" s="168" t="str">
        <f t="shared" si="283"/>
        <v/>
      </c>
      <c r="AQ1401" s="28"/>
      <c r="AR1401" s="28"/>
      <c r="AS1401" s="20" t="str">
        <f>IF(AQ1401="","",IF($F1401="Bernardino Furlan",_xlfn.XLOOKUP(AQ1401,Cadastros!$G$6:$G$90,Cadastros!$H$6:$H$90)*(1-0.18),IF($F1401="Mauro José Salanti",_xlfn.XLOOKUP(AQ1401,Cadastros!$G$6:$G$90,Cadastros!$H$6:$H$90)*(1-0.18),_xlfn.XLOOKUP(AQ1401,Cadastros!$G$6:$G$90,Cadastros!$H$6:$H$90))))</f>
        <v/>
      </c>
      <c r="AT1401" s="168" t="str">
        <f t="shared" si="284"/>
        <v/>
      </c>
      <c r="AU1401" s="168" t="str">
        <f t="shared" si="285"/>
        <v/>
      </c>
      <c r="AV1401" s="227"/>
      <c r="AW1401" s="30"/>
      <c r="AX1401" s="267"/>
      <c r="AY1401" s="267"/>
      <c r="AZ1401" s="29"/>
      <c r="BA1401" s="30"/>
      <c r="BB1401" s="23" t="str" cm="1">
        <f t="array" ref="BB1401">_xlfn.IFS(AW1401="SIM",SUM(K1401,P1401,U1401,Z1401,AE1401,AJ1401,AO1401,AT1401,AX1401,AY1401),F1401&lt;&gt;"",SUM(K1401,P1401,U1401,Z1401,AE1401,AJ1401,,AO1401,AT1401),F1401="","")</f>
        <v/>
      </c>
      <c r="BC1401" s="211" t="str" cm="1">
        <f t="array" ref="BC1401">_xlfn.IFS(E1401="","",G1401&lt;=E1401,BB1401*(1-0.03),G1401&lt;(E1401+8),BB1401,AZ1401="Boleto",BB1401*(1+0.001)^DATEDIF(E1401,G1401,"D"),AZ1401="Cheque",BB1401,AZ1401="Dinheiro","Alterar forma pgto")</f>
        <v/>
      </c>
      <c r="BD1401" s="276" t="str" cm="1">
        <f t="array" ref="BD1401">IF(F1401=0," ",IF(BC1401&lt;BB1401,(_xlfn.IFS(AW1401="SIM",SUM(L1401,Q1401,V1401,AA1401,AF1401,AK1401,AP1401,AU1401)+AX1401/_xlfn.XLOOKUP(_xlfn.XLOOKUP($F1401,Clientes!$B$4:$B$39,Clientes!$C$4:$C$39),Cadastros!$L$6:$L$12,Cadastros!$M$6:$M$12)+IF($F1401="Bernardino Furlan",AY1401/2751.92,IF($F1401="Mauro José Salanti",AY1401/2751.92,AY1401/3356)),F1401&lt;&gt;0,SUM(L1401,Q1401,V1401,AA1401,AF1401,AK1401,AP1401,AU1401)))*(1-0.03),_xlfn.IFS(AW1401="SIM",SUM(L1401,Q1401,V1401,AA1401,AF1401,AK1401,AP1401,AU1401)+AX1401/_xlfn.XLOOKUP(_xlfn.XLOOKUP($F1401,Clientes!$B$4:$B$39,Clientes!$C$4:$C$39),Cadastros!$L$6:$L$12,Cadastros!$M$6:$M$12)+IF($F1401="Bernardino Furlan",AY1401/2751.92,IF($F1401="Mauro José Salanti",AY1401/2751.92,AY1401/3356)),F1401&lt;&gt;0,SUM(L1401,Q1401,V1401,AA1401,AF1401,AK1401,AP1401,AU1401))))</f>
        <v xml:space="preserve"> </v>
      </c>
      <c r="BE1401" s="120"/>
      <c r="BF1401" s="120"/>
      <c r="BG1401" s="120"/>
    </row>
    <row r="1402" spans="1:59" s="3" customFormat="1" x14ac:dyDescent="0.3">
      <c r="A1402" s="15" t="str">
        <f t="shared" si="273"/>
        <v/>
      </c>
      <c r="B1402" s="25"/>
      <c r="C1402" s="26"/>
      <c r="D1402" s="279"/>
      <c r="E1402" s="27"/>
      <c r="F1402" s="28"/>
      <c r="G1402" s="27"/>
      <c r="H1402" s="28"/>
      <c r="I1402" s="28"/>
      <c r="J1402" s="255" t="str">
        <f>IF(H1402="","",(_xlfn.XLOOKUP(H1402,Cadastros!$D$6:$D$90,Cadastros!$E$6:$E$90))*(1-_xlfn.XLOOKUP(_xlfn.XLOOKUP($F1402,Clientes!$B$4:$B$39,Clientes!$C$4:$C$39),Cadastros!$L$6:$L$12,Cadastros!$N$6:$N$12)))</f>
        <v/>
      </c>
      <c r="K1402" s="168" t="str">
        <f t="shared" si="274"/>
        <v/>
      </c>
      <c r="L1402" s="168" t="str">
        <f>IFERROR(K1402/_xlfn.XLOOKUP(_xlfn.XLOOKUP($F1402,Clientes!$B$4:$B$39,Clientes!$C$4:$C$39),Cadastros!$L$6:$L$12,Cadastros!$M$6:$M$12)," ")</f>
        <v xml:space="preserve"> </v>
      </c>
      <c r="M1402" s="28"/>
      <c r="N1402" s="28"/>
      <c r="O1402" s="255" t="str">
        <f>IF(M1402="","",(_xlfn.XLOOKUP(M1402,Cadastros!$D$6:$D$90,Cadastros!$E$6:$E$90))*(1-_xlfn.XLOOKUP(_xlfn.XLOOKUP($F1402,Clientes!$B$4:$B$39,Clientes!$C$4:$C$39),Cadastros!$L$6:$L$12,Cadastros!$N$6:$N$12)))</f>
        <v/>
      </c>
      <c r="P1402" s="168" t="str">
        <f t="shared" si="275"/>
        <v/>
      </c>
      <c r="Q1402" s="168" t="str">
        <f>IFERROR(P1402/_xlfn.XLOOKUP(_xlfn.XLOOKUP($F1402,Clientes!$B$4:$B$39,Clientes!$C$4:$C$39),Cadastros!$L$6:$L$12,Cadastros!$M$6:$M$12)," ")</f>
        <v xml:space="preserve"> </v>
      </c>
      <c r="R1402" s="28"/>
      <c r="S1402" s="28"/>
      <c r="T1402" s="255" t="str">
        <f>IF(R1402="","",(_xlfn.XLOOKUP(R1402,Cadastros!$D$6:$D$90,Cadastros!$E$6:$E$90))*(1-_xlfn.XLOOKUP(_xlfn.XLOOKUP($F1402,Clientes!$B$4:$B$39,Clientes!$C$4:$C$39),Cadastros!$L$6:$L$12,Cadastros!$N$6:$N$12)))</f>
        <v/>
      </c>
      <c r="U1402" s="168" t="str">
        <f t="shared" si="276"/>
        <v/>
      </c>
      <c r="V1402" s="168" t="str">
        <f>IFERROR(U1402/_xlfn.XLOOKUP(_xlfn.XLOOKUP($F1402,Clientes!$B$4:$B$39,Clientes!$C$4:$C$39),Cadastros!$L$6:$L$12,Cadastros!$M$6:$M$12)," ")</f>
        <v xml:space="preserve"> </v>
      </c>
      <c r="W1402" s="28"/>
      <c r="X1402" s="28"/>
      <c r="Y1402" s="255" t="str">
        <f>IF(W1402="","",(_xlfn.XLOOKUP(W1402,Cadastros!$D$6:$D$90,Cadastros!$E$6:$E$90))*(1-_xlfn.XLOOKUP(_xlfn.XLOOKUP($F1402,Clientes!$B$4:$B$39,Clientes!$C$4:$C$39),Cadastros!$L$6:$L$12,Cadastros!$N$6:$N$12)))</f>
        <v/>
      </c>
      <c r="Z1402" s="168" t="str">
        <f t="shared" si="277"/>
        <v/>
      </c>
      <c r="AA1402" s="168" t="str">
        <f>IFERROR(Z1402/_xlfn.XLOOKUP(_xlfn.XLOOKUP($F1402,Clientes!$B$4:$B$39,Clientes!$C$4:$C$39),Cadastros!$L$6:$L$12,Cadastros!$M$6:$M$12)," ")</f>
        <v xml:space="preserve"> </v>
      </c>
      <c r="AB1402" s="28"/>
      <c r="AC1402" s="28"/>
      <c r="AD1402" s="20" t="str">
        <f>IF(AB1402="","",IF($F1402="Bernardino Furlan",_xlfn.XLOOKUP(AB1402,Cadastros!$G$6:$G$90,Cadastros!$H$6:$H$90)*(1-0.18),IF($F1402="Mauro José Salanti",_xlfn.XLOOKUP(AB1402,Cadastros!$G$6:$G$90,Cadastros!$H$6:$H$90)*(1-0.18),_xlfn.XLOOKUP(AB1402,Cadastros!$G$6:$G$90,Cadastros!$H$6:$H$90))))</f>
        <v/>
      </c>
      <c r="AE1402" s="168" t="str">
        <f t="shared" si="278"/>
        <v/>
      </c>
      <c r="AF1402" s="168" t="str">
        <f t="shared" si="279"/>
        <v/>
      </c>
      <c r="AG1402" s="28"/>
      <c r="AH1402" s="28"/>
      <c r="AI1402" s="20" t="str">
        <f>IF(AG1402="","",IF($F1402="Bernardino Furlan",_xlfn.XLOOKUP(AG1402,Cadastros!$G$6:$G$90,Cadastros!$H$6:$H$90)*(1-0.18),IF($F1402="Mauro José Salanti",_xlfn.XLOOKUP(AG1402,Cadastros!$G$6:$G$90,Cadastros!$H$6:$H$90)*(1-0.18),_xlfn.XLOOKUP(AG1402,Cadastros!$G$6:$G$90,Cadastros!$H$6:$H$90))))</f>
        <v/>
      </c>
      <c r="AJ1402" s="168" t="str">
        <f t="shared" si="280"/>
        <v/>
      </c>
      <c r="AK1402" s="168" t="str">
        <f t="shared" si="281"/>
        <v/>
      </c>
      <c r="AL1402" s="28"/>
      <c r="AM1402" s="28"/>
      <c r="AN1402" s="20" t="str">
        <f>IF(AL1402="","",IF($F1402="Bernardino Furlan",_xlfn.XLOOKUP(AL1402,Cadastros!$G$6:$G$90,Cadastros!$H$6:$H$90)*(1-0.18),IF($F1402="Mauro José Salanti",_xlfn.XLOOKUP(AL1402,Cadastros!$G$6:$G$90,Cadastros!$H$6:$H$90)*(1-0.18),_xlfn.XLOOKUP(AL1402,Cadastros!$G$6:$G$90,Cadastros!$H$6:$H$90))))</f>
        <v/>
      </c>
      <c r="AO1402" s="168" t="str">
        <f t="shared" si="282"/>
        <v/>
      </c>
      <c r="AP1402" s="168" t="str">
        <f t="shared" si="283"/>
        <v/>
      </c>
      <c r="AQ1402" s="28"/>
      <c r="AR1402" s="28"/>
      <c r="AS1402" s="20" t="str">
        <f>IF(AQ1402="","",IF($F1402="Bernardino Furlan",_xlfn.XLOOKUP(AQ1402,Cadastros!$G$6:$G$90,Cadastros!$H$6:$H$90)*(1-0.18),IF($F1402="Mauro José Salanti",_xlfn.XLOOKUP(AQ1402,Cadastros!$G$6:$G$90,Cadastros!$H$6:$H$90)*(1-0.18),_xlfn.XLOOKUP(AQ1402,Cadastros!$G$6:$G$90,Cadastros!$H$6:$H$90))))</f>
        <v/>
      </c>
      <c r="AT1402" s="168" t="str">
        <f t="shared" si="284"/>
        <v/>
      </c>
      <c r="AU1402" s="168" t="str">
        <f t="shared" si="285"/>
        <v/>
      </c>
      <c r="AV1402" s="227"/>
      <c r="AW1402" s="30"/>
      <c r="AX1402" s="267"/>
      <c r="AY1402" s="267"/>
      <c r="AZ1402" s="29"/>
      <c r="BA1402" s="30"/>
      <c r="BB1402" s="23" t="str" cm="1">
        <f t="array" ref="BB1402">_xlfn.IFS(AW1402="SIM",SUM(K1402,P1402,U1402,Z1402,AE1402,AJ1402,AO1402,AT1402,AX1402,AY1402),F1402&lt;&gt;"",SUM(K1402,P1402,U1402,Z1402,AE1402,AJ1402,,AO1402,AT1402),F1402="","")</f>
        <v/>
      </c>
      <c r="BC1402" s="211" t="str" cm="1">
        <f t="array" ref="BC1402">_xlfn.IFS(E1402="","",G1402&lt;=E1402,BB1402*(1-0.03),G1402&lt;(E1402+8),BB1402,AZ1402="Boleto",BB1402*(1+0.001)^DATEDIF(E1402,G1402,"D"),AZ1402="Cheque",BB1402,AZ1402="Dinheiro","Alterar forma pgto")</f>
        <v/>
      </c>
      <c r="BD1402" s="276" t="str" cm="1">
        <f t="array" ref="BD1402">IF(F1402=0," ",IF(BC1402&lt;BB1402,(_xlfn.IFS(AW1402="SIM",SUM(L1402,Q1402,V1402,AA1402,AF1402,AK1402,AP1402,AU1402)+AX1402/_xlfn.XLOOKUP(_xlfn.XLOOKUP($F1402,Clientes!$B$4:$B$39,Clientes!$C$4:$C$39),Cadastros!$L$6:$L$12,Cadastros!$M$6:$M$12)+IF($F1402="Bernardino Furlan",AY1402/2751.92,IF($F1402="Mauro José Salanti",AY1402/2751.92,AY1402/3356)),F1402&lt;&gt;0,SUM(L1402,Q1402,V1402,AA1402,AF1402,AK1402,AP1402,AU1402)))*(1-0.03),_xlfn.IFS(AW1402="SIM",SUM(L1402,Q1402,V1402,AA1402,AF1402,AK1402,AP1402,AU1402)+AX1402/_xlfn.XLOOKUP(_xlfn.XLOOKUP($F1402,Clientes!$B$4:$B$39,Clientes!$C$4:$C$39),Cadastros!$L$6:$L$12,Cadastros!$M$6:$M$12)+IF($F1402="Bernardino Furlan",AY1402/2751.92,IF($F1402="Mauro José Salanti",AY1402/2751.92,AY1402/3356)),F1402&lt;&gt;0,SUM(L1402,Q1402,V1402,AA1402,AF1402,AK1402,AP1402,AU1402))))</f>
        <v xml:space="preserve"> </v>
      </c>
      <c r="BE1402" s="120"/>
      <c r="BF1402" s="120"/>
      <c r="BG1402" s="120"/>
    </row>
    <row r="1403" spans="1:59" s="3" customFormat="1" x14ac:dyDescent="0.3">
      <c r="A1403" s="15" t="str">
        <f t="shared" si="273"/>
        <v/>
      </c>
      <c r="B1403" s="25"/>
      <c r="C1403" s="26"/>
      <c r="D1403" s="279"/>
      <c r="E1403" s="27"/>
      <c r="F1403" s="28"/>
      <c r="G1403" s="27"/>
      <c r="H1403" s="28"/>
      <c r="I1403" s="28"/>
      <c r="J1403" s="255" t="str">
        <f>IF(H1403="","",(_xlfn.XLOOKUP(H1403,Cadastros!$D$6:$D$90,Cadastros!$E$6:$E$90))*(1-_xlfn.XLOOKUP(_xlfn.XLOOKUP($F1403,Clientes!$B$4:$B$39,Clientes!$C$4:$C$39),Cadastros!$L$6:$L$12,Cadastros!$N$6:$N$12)))</f>
        <v/>
      </c>
      <c r="K1403" s="168" t="str">
        <f t="shared" si="274"/>
        <v/>
      </c>
      <c r="L1403" s="168" t="str">
        <f>IFERROR(K1403/_xlfn.XLOOKUP(_xlfn.XLOOKUP($F1403,Clientes!$B$4:$B$39,Clientes!$C$4:$C$39),Cadastros!$L$6:$L$12,Cadastros!$M$6:$M$12)," ")</f>
        <v xml:space="preserve"> </v>
      </c>
      <c r="M1403" s="28"/>
      <c r="N1403" s="28"/>
      <c r="O1403" s="255" t="str">
        <f>IF(M1403="","",(_xlfn.XLOOKUP(M1403,Cadastros!$D$6:$D$90,Cadastros!$E$6:$E$90))*(1-_xlfn.XLOOKUP(_xlfn.XLOOKUP($F1403,Clientes!$B$4:$B$39,Clientes!$C$4:$C$39),Cadastros!$L$6:$L$12,Cadastros!$N$6:$N$12)))</f>
        <v/>
      </c>
      <c r="P1403" s="168" t="str">
        <f t="shared" si="275"/>
        <v/>
      </c>
      <c r="Q1403" s="168" t="str">
        <f>IFERROR(P1403/_xlfn.XLOOKUP(_xlfn.XLOOKUP($F1403,Clientes!$B$4:$B$39,Clientes!$C$4:$C$39),Cadastros!$L$6:$L$12,Cadastros!$M$6:$M$12)," ")</f>
        <v xml:space="preserve"> </v>
      </c>
      <c r="R1403" s="28"/>
      <c r="S1403" s="28"/>
      <c r="T1403" s="255" t="str">
        <f>IF(R1403="","",(_xlfn.XLOOKUP(R1403,Cadastros!$D$6:$D$90,Cadastros!$E$6:$E$90))*(1-_xlfn.XLOOKUP(_xlfn.XLOOKUP($F1403,Clientes!$B$4:$B$39,Clientes!$C$4:$C$39),Cadastros!$L$6:$L$12,Cadastros!$N$6:$N$12)))</f>
        <v/>
      </c>
      <c r="U1403" s="168" t="str">
        <f t="shared" si="276"/>
        <v/>
      </c>
      <c r="V1403" s="168" t="str">
        <f>IFERROR(U1403/_xlfn.XLOOKUP(_xlfn.XLOOKUP($F1403,Clientes!$B$4:$B$39,Clientes!$C$4:$C$39),Cadastros!$L$6:$L$12,Cadastros!$M$6:$M$12)," ")</f>
        <v xml:space="preserve"> </v>
      </c>
      <c r="W1403" s="28"/>
      <c r="X1403" s="28"/>
      <c r="Y1403" s="255" t="str">
        <f>IF(W1403="","",(_xlfn.XLOOKUP(W1403,Cadastros!$D$6:$D$90,Cadastros!$E$6:$E$90))*(1-_xlfn.XLOOKUP(_xlfn.XLOOKUP($F1403,Clientes!$B$4:$B$39,Clientes!$C$4:$C$39),Cadastros!$L$6:$L$12,Cadastros!$N$6:$N$12)))</f>
        <v/>
      </c>
      <c r="Z1403" s="168" t="str">
        <f t="shared" si="277"/>
        <v/>
      </c>
      <c r="AA1403" s="168" t="str">
        <f>IFERROR(Z1403/_xlfn.XLOOKUP(_xlfn.XLOOKUP($F1403,Clientes!$B$4:$B$39,Clientes!$C$4:$C$39),Cadastros!$L$6:$L$12,Cadastros!$M$6:$M$12)," ")</f>
        <v xml:space="preserve"> </v>
      </c>
      <c r="AB1403" s="28"/>
      <c r="AC1403" s="28"/>
      <c r="AD1403" s="20" t="str">
        <f>IF(AB1403="","",IF($F1403="Bernardino Furlan",_xlfn.XLOOKUP(AB1403,Cadastros!$G$6:$G$90,Cadastros!$H$6:$H$90)*(1-0.18),IF($F1403="Mauro José Salanti",_xlfn.XLOOKUP(AB1403,Cadastros!$G$6:$G$90,Cadastros!$H$6:$H$90)*(1-0.18),_xlfn.XLOOKUP(AB1403,Cadastros!$G$6:$G$90,Cadastros!$H$6:$H$90))))</f>
        <v/>
      </c>
      <c r="AE1403" s="168" t="str">
        <f t="shared" si="278"/>
        <v/>
      </c>
      <c r="AF1403" s="168" t="str">
        <f t="shared" si="279"/>
        <v/>
      </c>
      <c r="AG1403" s="28"/>
      <c r="AH1403" s="28"/>
      <c r="AI1403" s="20" t="str">
        <f>IF(AG1403="","",IF($F1403="Bernardino Furlan",_xlfn.XLOOKUP(AG1403,Cadastros!$G$6:$G$90,Cadastros!$H$6:$H$90)*(1-0.18),IF($F1403="Mauro José Salanti",_xlfn.XLOOKUP(AG1403,Cadastros!$G$6:$G$90,Cadastros!$H$6:$H$90)*(1-0.18),_xlfn.XLOOKUP(AG1403,Cadastros!$G$6:$G$90,Cadastros!$H$6:$H$90))))</f>
        <v/>
      </c>
      <c r="AJ1403" s="168" t="str">
        <f t="shared" si="280"/>
        <v/>
      </c>
      <c r="AK1403" s="168" t="str">
        <f t="shared" si="281"/>
        <v/>
      </c>
      <c r="AL1403" s="28"/>
      <c r="AM1403" s="28"/>
      <c r="AN1403" s="20" t="str">
        <f>IF(AL1403="","",IF($F1403="Bernardino Furlan",_xlfn.XLOOKUP(AL1403,Cadastros!$G$6:$G$90,Cadastros!$H$6:$H$90)*(1-0.18),IF($F1403="Mauro José Salanti",_xlfn.XLOOKUP(AL1403,Cadastros!$G$6:$G$90,Cadastros!$H$6:$H$90)*(1-0.18),_xlfn.XLOOKUP(AL1403,Cadastros!$G$6:$G$90,Cadastros!$H$6:$H$90))))</f>
        <v/>
      </c>
      <c r="AO1403" s="168" t="str">
        <f t="shared" si="282"/>
        <v/>
      </c>
      <c r="AP1403" s="168" t="str">
        <f t="shared" si="283"/>
        <v/>
      </c>
      <c r="AQ1403" s="28"/>
      <c r="AR1403" s="28"/>
      <c r="AS1403" s="20" t="str">
        <f>IF(AQ1403="","",IF($F1403="Bernardino Furlan",_xlfn.XLOOKUP(AQ1403,Cadastros!$G$6:$G$90,Cadastros!$H$6:$H$90)*(1-0.18),IF($F1403="Mauro José Salanti",_xlfn.XLOOKUP(AQ1403,Cadastros!$G$6:$G$90,Cadastros!$H$6:$H$90)*(1-0.18),_xlfn.XLOOKUP(AQ1403,Cadastros!$G$6:$G$90,Cadastros!$H$6:$H$90))))</f>
        <v/>
      </c>
      <c r="AT1403" s="168" t="str">
        <f t="shared" si="284"/>
        <v/>
      </c>
      <c r="AU1403" s="168" t="str">
        <f t="shared" si="285"/>
        <v/>
      </c>
      <c r="AV1403" s="227"/>
      <c r="AW1403" s="30"/>
      <c r="AX1403" s="267"/>
      <c r="AY1403" s="267"/>
      <c r="AZ1403" s="29"/>
      <c r="BA1403" s="30"/>
      <c r="BB1403" s="23" t="str" cm="1">
        <f t="array" ref="BB1403">_xlfn.IFS(AW1403="SIM",SUM(K1403,P1403,U1403,Z1403,AE1403,AJ1403,AO1403,AT1403,AX1403,AY1403),F1403&lt;&gt;"",SUM(K1403,P1403,U1403,Z1403,AE1403,AJ1403,,AO1403,AT1403),F1403="","")</f>
        <v/>
      </c>
      <c r="BC1403" s="211" t="str" cm="1">
        <f t="array" ref="BC1403">_xlfn.IFS(E1403="","",G1403&lt;=E1403,BB1403*(1-0.03),G1403&lt;(E1403+8),BB1403,AZ1403="Boleto",BB1403*(1+0.001)^DATEDIF(E1403,G1403,"D"),AZ1403="Cheque",BB1403,AZ1403="Dinheiro","Alterar forma pgto")</f>
        <v/>
      </c>
      <c r="BD1403" s="276" t="str" cm="1">
        <f t="array" ref="BD1403">IF(F1403=0," ",IF(BC1403&lt;BB1403,(_xlfn.IFS(AW1403="SIM",SUM(L1403,Q1403,V1403,AA1403,AF1403,AK1403,AP1403,AU1403)+AX1403/_xlfn.XLOOKUP(_xlfn.XLOOKUP($F1403,Clientes!$B$4:$B$39,Clientes!$C$4:$C$39),Cadastros!$L$6:$L$12,Cadastros!$M$6:$M$12)+IF($F1403="Bernardino Furlan",AY1403/2751.92,IF($F1403="Mauro José Salanti",AY1403/2751.92,AY1403/3356)),F1403&lt;&gt;0,SUM(L1403,Q1403,V1403,AA1403,AF1403,AK1403,AP1403,AU1403)))*(1-0.03),_xlfn.IFS(AW1403="SIM",SUM(L1403,Q1403,V1403,AA1403,AF1403,AK1403,AP1403,AU1403)+AX1403/_xlfn.XLOOKUP(_xlfn.XLOOKUP($F1403,Clientes!$B$4:$B$39,Clientes!$C$4:$C$39),Cadastros!$L$6:$L$12,Cadastros!$M$6:$M$12)+IF($F1403="Bernardino Furlan",AY1403/2751.92,IF($F1403="Mauro José Salanti",AY1403/2751.92,AY1403/3356)),F1403&lt;&gt;0,SUM(L1403,Q1403,V1403,AA1403,AF1403,AK1403,AP1403,AU1403))))</f>
        <v xml:space="preserve"> </v>
      </c>
      <c r="BE1403" s="120"/>
      <c r="BF1403" s="120"/>
      <c r="BG1403" s="120"/>
    </row>
    <row r="1404" spans="1:59" s="3" customFormat="1" x14ac:dyDescent="0.3">
      <c r="A1404" s="15" t="str">
        <f t="shared" si="273"/>
        <v/>
      </c>
      <c r="B1404" s="25"/>
      <c r="C1404" s="26"/>
      <c r="D1404" s="279"/>
      <c r="E1404" s="27"/>
      <c r="F1404" s="28"/>
      <c r="G1404" s="27"/>
      <c r="H1404" s="28"/>
      <c r="I1404" s="28"/>
      <c r="J1404" s="255" t="str">
        <f>IF(H1404="","",(_xlfn.XLOOKUP(H1404,Cadastros!$D$6:$D$90,Cadastros!$E$6:$E$90))*(1-_xlfn.XLOOKUP(_xlfn.XLOOKUP($F1404,Clientes!$B$4:$B$39,Clientes!$C$4:$C$39),Cadastros!$L$6:$L$12,Cadastros!$N$6:$N$12)))</f>
        <v/>
      </c>
      <c r="K1404" s="168" t="str">
        <f t="shared" si="274"/>
        <v/>
      </c>
      <c r="L1404" s="168" t="str">
        <f>IFERROR(K1404/_xlfn.XLOOKUP(_xlfn.XLOOKUP($F1404,Clientes!$B$4:$B$39,Clientes!$C$4:$C$39),Cadastros!$L$6:$L$12,Cadastros!$M$6:$M$12)," ")</f>
        <v xml:space="preserve"> </v>
      </c>
      <c r="M1404" s="28"/>
      <c r="N1404" s="28"/>
      <c r="O1404" s="255" t="str">
        <f>IF(M1404="","",(_xlfn.XLOOKUP(M1404,Cadastros!$D$6:$D$90,Cadastros!$E$6:$E$90))*(1-_xlfn.XLOOKUP(_xlfn.XLOOKUP($F1404,Clientes!$B$4:$B$39,Clientes!$C$4:$C$39),Cadastros!$L$6:$L$12,Cadastros!$N$6:$N$12)))</f>
        <v/>
      </c>
      <c r="P1404" s="168" t="str">
        <f t="shared" si="275"/>
        <v/>
      </c>
      <c r="Q1404" s="168" t="str">
        <f>IFERROR(P1404/_xlfn.XLOOKUP(_xlfn.XLOOKUP($F1404,Clientes!$B$4:$B$39,Clientes!$C$4:$C$39),Cadastros!$L$6:$L$12,Cadastros!$M$6:$M$12)," ")</f>
        <v xml:space="preserve"> </v>
      </c>
      <c r="R1404" s="28"/>
      <c r="S1404" s="28"/>
      <c r="T1404" s="255" t="str">
        <f>IF(R1404="","",(_xlfn.XLOOKUP(R1404,Cadastros!$D$6:$D$90,Cadastros!$E$6:$E$90))*(1-_xlfn.XLOOKUP(_xlfn.XLOOKUP($F1404,Clientes!$B$4:$B$39,Clientes!$C$4:$C$39),Cadastros!$L$6:$L$12,Cadastros!$N$6:$N$12)))</f>
        <v/>
      </c>
      <c r="U1404" s="168" t="str">
        <f t="shared" si="276"/>
        <v/>
      </c>
      <c r="V1404" s="168" t="str">
        <f>IFERROR(U1404/_xlfn.XLOOKUP(_xlfn.XLOOKUP($F1404,Clientes!$B$4:$B$39,Clientes!$C$4:$C$39),Cadastros!$L$6:$L$12,Cadastros!$M$6:$M$12)," ")</f>
        <v xml:space="preserve"> </v>
      </c>
      <c r="W1404" s="28"/>
      <c r="X1404" s="28"/>
      <c r="Y1404" s="255" t="str">
        <f>IF(W1404="","",(_xlfn.XLOOKUP(W1404,Cadastros!$D$6:$D$90,Cadastros!$E$6:$E$90))*(1-_xlfn.XLOOKUP(_xlfn.XLOOKUP($F1404,Clientes!$B$4:$B$39,Clientes!$C$4:$C$39),Cadastros!$L$6:$L$12,Cadastros!$N$6:$N$12)))</f>
        <v/>
      </c>
      <c r="Z1404" s="168" t="str">
        <f t="shared" si="277"/>
        <v/>
      </c>
      <c r="AA1404" s="168" t="str">
        <f>IFERROR(Z1404/_xlfn.XLOOKUP(_xlfn.XLOOKUP($F1404,Clientes!$B$4:$B$39,Clientes!$C$4:$C$39),Cadastros!$L$6:$L$12,Cadastros!$M$6:$M$12)," ")</f>
        <v xml:space="preserve"> </v>
      </c>
      <c r="AB1404" s="28"/>
      <c r="AC1404" s="28"/>
      <c r="AD1404" s="20" t="str">
        <f>IF(AB1404="","",IF($F1404="Bernardino Furlan",_xlfn.XLOOKUP(AB1404,Cadastros!$G$6:$G$90,Cadastros!$H$6:$H$90)*(1-0.18),IF($F1404="Mauro José Salanti",_xlfn.XLOOKUP(AB1404,Cadastros!$G$6:$G$90,Cadastros!$H$6:$H$90)*(1-0.18),_xlfn.XLOOKUP(AB1404,Cadastros!$G$6:$G$90,Cadastros!$H$6:$H$90))))</f>
        <v/>
      </c>
      <c r="AE1404" s="168" t="str">
        <f t="shared" si="278"/>
        <v/>
      </c>
      <c r="AF1404" s="168" t="str">
        <f t="shared" si="279"/>
        <v/>
      </c>
      <c r="AG1404" s="28"/>
      <c r="AH1404" s="28"/>
      <c r="AI1404" s="20" t="str">
        <f>IF(AG1404="","",IF($F1404="Bernardino Furlan",_xlfn.XLOOKUP(AG1404,Cadastros!$G$6:$G$90,Cadastros!$H$6:$H$90)*(1-0.18),IF($F1404="Mauro José Salanti",_xlfn.XLOOKUP(AG1404,Cadastros!$G$6:$G$90,Cadastros!$H$6:$H$90)*(1-0.18),_xlfn.XLOOKUP(AG1404,Cadastros!$G$6:$G$90,Cadastros!$H$6:$H$90))))</f>
        <v/>
      </c>
      <c r="AJ1404" s="168" t="str">
        <f t="shared" si="280"/>
        <v/>
      </c>
      <c r="AK1404" s="168" t="str">
        <f t="shared" si="281"/>
        <v/>
      </c>
      <c r="AL1404" s="28"/>
      <c r="AM1404" s="28"/>
      <c r="AN1404" s="20" t="str">
        <f>IF(AL1404="","",IF($F1404="Bernardino Furlan",_xlfn.XLOOKUP(AL1404,Cadastros!$G$6:$G$90,Cadastros!$H$6:$H$90)*(1-0.18),IF($F1404="Mauro José Salanti",_xlfn.XLOOKUP(AL1404,Cadastros!$G$6:$G$90,Cadastros!$H$6:$H$90)*(1-0.18),_xlfn.XLOOKUP(AL1404,Cadastros!$G$6:$G$90,Cadastros!$H$6:$H$90))))</f>
        <v/>
      </c>
      <c r="AO1404" s="168" t="str">
        <f t="shared" si="282"/>
        <v/>
      </c>
      <c r="AP1404" s="168" t="str">
        <f t="shared" si="283"/>
        <v/>
      </c>
      <c r="AQ1404" s="28"/>
      <c r="AR1404" s="28"/>
      <c r="AS1404" s="20" t="str">
        <f>IF(AQ1404="","",IF($F1404="Bernardino Furlan",_xlfn.XLOOKUP(AQ1404,Cadastros!$G$6:$G$90,Cadastros!$H$6:$H$90)*(1-0.18),IF($F1404="Mauro José Salanti",_xlfn.XLOOKUP(AQ1404,Cadastros!$G$6:$G$90,Cadastros!$H$6:$H$90)*(1-0.18),_xlfn.XLOOKUP(AQ1404,Cadastros!$G$6:$G$90,Cadastros!$H$6:$H$90))))</f>
        <v/>
      </c>
      <c r="AT1404" s="168" t="str">
        <f t="shared" si="284"/>
        <v/>
      </c>
      <c r="AU1404" s="168" t="str">
        <f t="shared" si="285"/>
        <v/>
      </c>
      <c r="AV1404" s="227"/>
      <c r="AW1404" s="30"/>
      <c r="AX1404" s="267"/>
      <c r="AY1404" s="267"/>
      <c r="AZ1404" s="29"/>
      <c r="BA1404" s="30"/>
      <c r="BB1404" s="23" t="str" cm="1">
        <f t="array" ref="BB1404">_xlfn.IFS(AW1404="SIM",SUM(K1404,P1404,U1404,Z1404,AE1404,AJ1404,AO1404,AT1404,AX1404,AY1404),F1404&lt;&gt;"",SUM(K1404,P1404,U1404,Z1404,AE1404,AJ1404,,AO1404,AT1404),F1404="","")</f>
        <v/>
      </c>
      <c r="BC1404" s="211" t="str" cm="1">
        <f t="array" ref="BC1404">_xlfn.IFS(E1404="","",G1404&lt;=E1404,BB1404*(1-0.03),G1404&lt;(E1404+8),BB1404,AZ1404="Boleto",BB1404*(1+0.001)^DATEDIF(E1404,G1404,"D"),AZ1404="Cheque",BB1404,AZ1404="Dinheiro","Alterar forma pgto")</f>
        <v/>
      </c>
      <c r="BD1404" s="276" t="str" cm="1">
        <f t="array" ref="BD1404">IF(F1404=0," ",IF(BC1404&lt;BB1404,(_xlfn.IFS(AW1404="SIM",SUM(L1404,Q1404,V1404,AA1404,AF1404,AK1404,AP1404,AU1404)+AX1404/_xlfn.XLOOKUP(_xlfn.XLOOKUP($F1404,Clientes!$B$4:$B$39,Clientes!$C$4:$C$39),Cadastros!$L$6:$L$12,Cadastros!$M$6:$M$12)+IF($F1404="Bernardino Furlan",AY1404/2751.92,IF($F1404="Mauro José Salanti",AY1404/2751.92,AY1404/3356)),F1404&lt;&gt;0,SUM(L1404,Q1404,V1404,AA1404,AF1404,AK1404,AP1404,AU1404)))*(1-0.03),_xlfn.IFS(AW1404="SIM",SUM(L1404,Q1404,V1404,AA1404,AF1404,AK1404,AP1404,AU1404)+AX1404/_xlfn.XLOOKUP(_xlfn.XLOOKUP($F1404,Clientes!$B$4:$B$39,Clientes!$C$4:$C$39),Cadastros!$L$6:$L$12,Cadastros!$M$6:$M$12)+IF($F1404="Bernardino Furlan",AY1404/2751.92,IF($F1404="Mauro José Salanti",AY1404/2751.92,AY1404/3356)),F1404&lt;&gt;0,SUM(L1404,Q1404,V1404,AA1404,AF1404,AK1404,AP1404,AU1404))))</f>
        <v xml:space="preserve"> </v>
      </c>
      <c r="BE1404" s="120"/>
      <c r="BF1404" s="120"/>
      <c r="BG1404" s="120"/>
    </row>
    <row r="1405" spans="1:59" s="3" customFormat="1" x14ac:dyDescent="0.3">
      <c r="A1405" s="15" t="str">
        <f t="shared" si="273"/>
        <v/>
      </c>
      <c r="B1405" s="25"/>
      <c r="C1405" s="26"/>
      <c r="D1405" s="279"/>
      <c r="E1405" s="27"/>
      <c r="F1405" s="28"/>
      <c r="G1405" s="27"/>
      <c r="H1405" s="28"/>
      <c r="I1405" s="28"/>
      <c r="J1405" s="255" t="str">
        <f>IF(H1405="","",(_xlfn.XLOOKUP(H1405,Cadastros!$D$6:$D$90,Cadastros!$E$6:$E$90))*(1-_xlfn.XLOOKUP(_xlfn.XLOOKUP($F1405,Clientes!$B$4:$B$39,Clientes!$C$4:$C$39),Cadastros!$L$6:$L$12,Cadastros!$N$6:$N$12)))</f>
        <v/>
      </c>
      <c r="K1405" s="168" t="str">
        <f t="shared" si="274"/>
        <v/>
      </c>
      <c r="L1405" s="168" t="str">
        <f>IFERROR(K1405/_xlfn.XLOOKUP(_xlfn.XLOOKUP($F1405,Clientes!$B$4:$B$39,Clientes!$C$4:$C$39),Cadastros!$L$6:$L$12,Cadastros!$M$6:$M$12)," ")</f>
        <v xml:space="preserve"> </v>
      </c>
      <c r="M1405" s="28"/>
      <c r="N1405" s="28"/>
      <c r="O1405" s="255" t="str">
        <f>IF(M1405="","",(_xlfn.XLOOKUP(M1405,Cadastros!$D$6:$D$90,Cadastros!$E$6:$E$90))*(1-_xlfn.XLOOKUP(_xlfn.XLOOKUP($F1405,Clientes!$B$4:$B$39,Clientes!$C$4:$C$39),Cadastros!$L$6:$L$12,Cadastros!$N$6:$N$12)))</f>
        <v/>
      </c>
      <c r="P1405" s="168" t="str">
        <f t="shared" si="275"/>
        <v/>
      </c>
      <c r="Q1405" s="168" t="str">
        <f>IFERROR(P1405/_xlfn.XLOOKUP(_xlfn.XLOOKUP($F1405,Clientes!$B$4:$B$39,Clientes!$C$4:$C$39),Cadastros!$L$6:$L$12,Cadastros!$M$6:$M$12)," ")</f>
        <v xml:space="preserve"> </v>
      </c>
      <c r="R1405" s="28"/>
      <c r="S1405" s="28"/>
      <c r="T1405" s="255" t="str">
        <f>IF(R1405="","",(_xlfn.XLOOKUP(R1405,Cadastros!$D$6:$D$90,Cadastros!$E$6:$E$90))*(1-_xlfn.XLOOKUP(_xlfn.XLOOKUP($F1405,Clientes!$B$4:$B$39,Clientes!$C$4:$C$39),Cadastros!$L$6:$L$12,Cadastros!$N$6:$N$12)))</f>
        <v/>
      </c>
      <c r="U1405" s="168" t="str">
        <f t="shared" si="276"/>
        <v/>
      </c>
      <c r="V1405" s="168" t="str">
        <f>IFERROR(U1405/_xlfn.XLOOKUP(_xlfn.XLOOKUP($F1405,Clientes!$B$4:$B$39,Clientes!$C$4:$C$39),Cadastros!$L$6:$L$12,Cadastros!$M$6:$M$12)," ")</f>
        <v xml:space="preserve"> </v>
      </c>
      <c r="W1405" s="28"/>
      <c r="X1405" s="28"/>
      <c r="Y1405" s="255" t="str">
        <f>IF(W1405="","",(_xlfn.XLOOKUP(W1405,Cadastros!$D$6:$D$90,Cadastros!$E$6:$E$90))*(1-_xlfn.XLOOKUP(_xlfn.XLOOKUP($F1405,Clientes!$B$4:$B$39,Clientes!$C$4:$C$39),Cadastros!$L$6:$L$12,Cadastros!$N$6:$N$12)))</f>
        <v/>
      </c>
      <c r="Z1405" s="168" t="str">
        <f t="shared" si="277"/>
        <v/>
      </c>
      <c r="AA1405" s="168" t="str">
        <f>IFERROR(Z1405/_xlfn.XLOOKUP(_xlfn.XLOOKUP($F1405,Clientes!$B$4:$B$39,Clientes!$C$4:$C$39),Cadastros!$L$6:$L$12,Cadastros!$M$6:$M$12)," ")</f>
        <v xml:space="preserve"> </v>
      </c>
      <c r="AB1405" s="28"/>
      <c r="AC1405" s="28"/>
      <c r="AD1405" s="20" t="str">
        <f>IF(AB1405="","",IF($F1405="Bernardino Furlan",_xlfn.XLOOKUP(AB1405,Cadastros!$G$6:$G$90,Cadastros!$H$6:$H$90)*(1-0.18),IF($F1405="Mauro José Salanti",_xlfn.XLOOKUP(AB1405,Cadastros!$G$6:$G$90,Cadastros!$H$6:$H$90)*(1-0.18),_xlfn.XLOOKUP(AB1405,Cadastros!$G$6:$G$90,Cadastros!$H$6:$H$90))))</f>
        <v/>
      </c>
      <c r="AE1405" s="168" t="str">
        <f t="shared" si="278"/>
        <v/>
      </c>
      <c r="AF1405" s="168" t="str">
        <f t="shared" si="279"/>
        <v/>
      </c>
      <c r="AG1405" s="28"/>
      <c r="AH1405" s="28"/>
      <c r="AI1405" s="20" t="str">
        <f>IF(AG1405="","",IF($F1405="Bernardino Furlan",_xlfn.XLOOKUP(AG1405,Cadastros!$G$6:$G$90,Cadastros!$H$6:$H$90)*(1-0.18),IF($F1405="Mauro José Salanti",_xlfn.XLOOKUP(AG1405,Cadastros!$G$6:$G$90,Cadastros!$H$6:$H$90)*(1-0.18),_xlfn.XLOOKUP(AG1405,Cadastros!$G$6:$G$90,Cadastros!$H$6:$H$90))))</f>
        <v/>
      </c>
      <c r="AJ1405" s="168" t="str">
        <f t="shared" si="280"/>
        <v/>
      </c>
      <c r="AK1405" s="168" t="str">
        <f t="shared" si="281"/>
        <v/>
      </c>
      <c r="AL1405" s="28"/>
      <c r="AM1405" s="28"/>
      <c r="AN1405" s="20" t="str">
        <f>IF(AL1405="","",IF($F1405="Bernardino Furlan",_xlfn.XLOOKUP(AL1405,Cadastros!$G$6:$G$90,Cadastros!$H$6:$H$90)*(1-0.18),IF($F1405="Mauro José Salanti",_xlfn.XLOOKUP(AL1405,Cadastros!$G$6:$G$90,Cadastros!$H$6:$H$90)*(1-0.18),_xlfn.XLOOKUP(AL1405,Cadastros!$G$6:$G$90,Cadastros!$H$6:$H$90))))</f>
        <v/>
      </c>
      <c r="AO1405" s="168" t="str">
        <f t="shared" si="282"/>
        <v/>
      </c>
      <c r="AP1405" s="168" t="str">
        <f t="shared" si="283"/>
        <v/>
      </c>
      <c r="AQ1405" s="28"/>
      <c r="AR1405" s="28"/>
      <c r="AS1405" s="20" t="str">
        <f>IF(AQ1405="","",IF($F1405="Bernardino Furlan",_xlfn.XLOOKUP(AQ1405,Cadastros!$G$6:$G$90,Cadastros!$H$6:$H$90)*(1-0.18),IF($F1405="Mauro José Salanti",_xlfn.XLOOKUP(AQ1405,Cadastros!$G$6:$G$90,Cadastros!$H$6:$H$90)*(1-0.18),_xlfn.XLOOKUP(AQ1405,Cadastros!$G$6:$G$90,Cadastros!$H$6:$H$90))))</f>
        <v/>
      </c>
      <c r="AT1405" s="168" t="str">
        <f t="shared" si="284"/>
        <v/>
      </c>
      <c r="AU1405" s="168" t="str">
        <f t="shared" si="285"/>
        <v/>
      </c>
      <c r="AV1405" s="227"/>
      <c r="AW1405" s="30"/>
      <c r="AX1405" s="267"/>
      <c r="AY1405" s="267"/>
      <c r="AZ1405" s="29"/>
      <c r="BA1405" s="30"/>
      <c r="BB1405" s="23" t="str" cm="1">
        <f t="array" ref="BB1405">_xlfn.IFS(AW1405="SIM",SUM(K1405,P1405,U1405,Z1405,AE1405,AJ1405,AO1405,AT1405,AX1405,AY1405),F1405&lt;&gt;"",SUM(K1405,P1405,U1405,Z1405,AE1405,AJ1405,,AO1405,AT1405),F1405="","")</f>
        <v/>
      </c>
      <c r="BC1405" s="211" t="str" cm="1">
        <f t="array" ref="BC1405">_xlfn.IFS(E1405="","",G1405&lt;=E1405,BB1405*(1-0.03),G1405&lt;(E1405+8),BB1405,AZ1405="Boleto",BB1405*(1+0.001)^DATEDIF(E1405,G1405,"D"),AZ1405="Cheque",BB1405,AZ1405="Dinheiro","Alterar forma pgto")</f>
        <v/>
      </c>
      <c r="BD1405" s="276" t="str" cm="1">
        <f t="array" ref="BD1405">IF(F1405=0," ",IF(BC1405&lt;BB1405,(_xlfn.IFS(AW1405="SIM",SUM(L1405,Q1405,V1405,AA1405,AF1405,AK1405,AP1405,AU1405)+AX1405/_xlfn.XLOOKUP(_xlfn.XLOOKUP($F1405,Clientes!$B$4:$B$39,Clientes!$C$4:$C$39),Cadastros!$L$6:$L$12,Cadastros!$M$6:$M$12)+IF($F1405="Bernardino Furlan",AY1405/2751.92,IF($F1405="Mauro José Salanti",AY1405/2751.92,AY1405/3356)),F1405&lt;&gt;0,SUM(L1405,Q1405,V1405,AA1405,AF1405,AK1405,AP1405,AU1405)))*(1-0.03),_xlfn.IFS(AW1405="SIM",SUM(L1405,Q1405,V1405,AA1405,AF1405,AK1405,AP1405,AU1405)+AX1405/_xlfn.XLOOKUP(_xlfn.XLOOKUP($F1405,Clientes!$B$4:$B$39,Clientes!$C$4:$C$39),Cadastros!$L$6:$L$12,Cadastros!$M$6:$M$12)+IF($F1405="Bernardino Furlan",AY1405/2751.92,IF($F1405="Mauro José Salanti",AY1405/2751.92,AY1405/3356)),F1405&lt;&gt;0,SUM(L1405,Q1405,V1405,AA1405,AF1405,AK1405,AP1405,AU1405))))</f>
        <v xml:space="preserve"> </v>
      </c>
      <c r="BE1405" s="120"/>
      <c r="BF1405" s="120"/>
      <c r="BG1405" s="120"/>
    </row>
    <row r="1406" spans="1:59" s="3" customFormat="1" x14ac:dyDescent="0.3">
      <c r="A1406" s="15" t="str">
        <f t="shared" si="273"/>
        <v/>
      </c>
      <c r="B1406" s="25"/>
      <c r="C1406" s="26"/>
      <c r="D1406" s="279"/>
      <c r="E1406" s="27"/>
      <c r="F1406" s="28"/>
      <c r="G1406" s="27"/>
      <c r="H1406" s="28"/>
      <c r="I1406" s="28"/>
      <c r="J1406" s="255" t="str">
        <f>IF(H1406="","",(_xlfn.XLOOKUP(H1406,Cadastros!$D$6:$D$90,Cadastros!$E$6:$E$90))*(1-_xlfn.XLOOKUP(_xlfn.XLOOKUP($F1406,Clientes!$B$4:$B$39,Clientes!$C$4:$C$39),Cadastros!$L$6:$L$12,Cadastros!$N$6:$N$12)))</f>
        <v/>
      </c>
      <c r="K1406" s="168" t="str">
        <f t="shared" si="274"/>
        <v/>
      </c>
      <c r="L1406" s="168" t="str">
        <f>IFERROR(K1406/_xlfn.XLOOKUP(_xlfn.XLOOKUP($F1406,Clientes!$B$4:$B$39,Clientes!$C$4:$C$39),Cadastros!$L$6:$L$12,Cadastros!$M$6:$M$12)," ")</f>
        <v xml:space="preserve"> </v>
      </c>
      <c r="M1406" s="28"/>
      <c r="N1406" s="28"/>
      <c r="O1406" s="255" t="str">
        <f>IF(M1406="","",(_xlfn.XLOOKUP(M1406,Cadastros!$D$6:$D$90,Cadastros!$E$6:$E$90))*(1-_xlfn.XLOOKUP(_xlfn.XLOOKUP($F1406,Clientes!$B$4:$B$39,Clientes!$C$4:$C$39),Cadastros!$L$6:$L$12,Cadastros!$N$6:$N$12)))</f>
        <v/>
      </c>
      <c r="P1406" s="168" t="str">
        <f t="shared" si="275"/>
        <v/>
      </c>
      <c r="Q1406" s="168" t="str">
        <f>IFERROR(P1406/_xlfn.XLOOKUP(_xlfn.XLOOKUP($F1406,Clientes!$B$4:$B$39,Clientes!$C$4:$C$39),Cadastros!$L$6:$L$12,Cadastros!$M$6:$M$12)," ")</f>
        <v xml:space="preserve"> </v>
      </c>
      <c r="R1406" s="28"/>
      <c r="S1406" s="28"/>
      <c r="T1406" s="255" t="str">
        <f>IF(R1406="","",(_xlfn.XLOOKUP(R1406,Cadastros!$D$6:$D$90,Cadastros!$E$6:$E$90))*(1-_xlfn.XLOOKUP(_xlfn.XLOOKUP($F1406,Clientes!$B$4:$B$39,Clientes!$C$4:$C$39),Cadastros!$L$6:$L$12,Cadastros!$N$6:$N$12)))</f>
        <v/>
      </c>
      <c r="U1406" s="168" t="str">
        <f t="shared" si="276"/>
        <v/>
      </c>
      <c r="V1406" s="168" t="str">
        <f>IFERROR(U1406/_xlfn.XLOOKUP(_xlfn.XLOOKUP($F1406,Clientes!$B$4:$B$39,Clientes!$C$4:$C$39),Cadastros!$L$6:$L$12,Cadastros!$M$6:$M$12)," ")</f>
        <v xml:space="preserve"> </v>
      </c>
      <c r="W1406" s="28"/>
      <c r="X1406" s="28"/>
      <c r="Y1406" s="255" t="str">
        <f>IF(W1406="","",(_xlfn.XLOOKUP(W1406,Cadastros!$D$6:$D$90,Cadastros!$E$6:$E$90))*(1-_xlfn.XLOOKUP(_xlfn.XLOOKUP($F1406,Clientes!$B$4:$B$39,Clientes!$C$4:$C$39),Cadastros!$L$6:$L$12,Cadastros!$N$6:$N$12)))</f>
        <v/>
      </c>
      <c r="Z1406" s="168" t="str">
        <f t="shared" si="277"/>
        <v/>
      </c>
      <c r="AA1406" s="168" t="str">
        <f>IFERROR(Z1406/_xlfn.XLOOKUP(_xlfn.XLOOKUP($F1406,Clientes!$B$4:$B$39,Clientes!$C$4:$C$39),Cadastros!$L$6:$L$12,Cadastros!$M$6:$M$12)," ")</f>
        <v xml:space="preserve"> </v>
      </c>
      <c r="AB1406" s="28"/>
      <c r="AC1406" s="28"/>
      <c r="AD1406" s="20" t="str">
        <f>IF(AB1406="","",IF($F1406="Bernardino Furlan",_xlfn.XLOOKUP(AB1406,Cadastros!$G$6:$G$90,Cadastros!$H$6:$H$90)*(1-0.18),IF($F1406="Mauro José Salanti",_xlfn.XLOOKUP(AB1406,Cadastros!$G$6:$G$90,Cadastros!$H$6:$H$90)*(1-0.18),_xlfn.XLOOKUP(AB1406,Cadastros!$G$6:$G$90,Cadastros!$H$6:$H$90))))</f>
        <v/>
      </c>
      <c r="AE1406" s="168" t="str">
        <f t="shared" si="278"/>
        <v/>
      </c>
      <c r="AF1406" s="168" t="str">
        <f t="shared" si="279"/>
        <v/>
      </c>
      <c r="AG1406" s="28"/>
      <c r="AH1406" s="28"/>
      <c r="AI1406" s="20" t="str">
        <f>IF(AG1406="","",IF($F1406="Bernardino Furlan",_xlfn.XLOOKUP(AG1406,Cadastros!$G$6:$G$90,Cadastros!$H$6:$H$90)*(1-0.18),IF($F1406="Mauro José Salanti",_xlfn.XLOOKUP(AG1406,Cadastros!$G$6:$G$90,Cadastros!$H$6:$H$90)*(1-0.18),_xlfn.XLOOKUP(AG1406,Cadastros!$G$6:$G$90,Cadastros!$H$6:$H$90))))</f>
        <v/>
      </c>
      <c r="AJ1406" s="168" t="str">
        <f t="shared" si="280"/>
        <v/>
      </c>
      <c r="AK1406" s="168" t="str">
        <f t="shared" si="281"/>
        <v/>
      </c>
      <c r="AL1406" s="28"/>
      <c r="AM1406" s="28"/>
      <c r="AN1406" s="20" t="str">
        <f>IF(AL1406="","",IF($F1406="Bernardino Furlan",_xlfn.XLOOKUP(AL1406,Cadastros!$G$6:$G$90,Cadastros!$H$6:$H$90)*(1-0.18),IF($F1406="Mauro José Salanti",_xlfn.XLOOKUP(AL1406,Cadastros!$G$6:$G$90,Cadastros!$H$6:$H$90)*(1-0.18),_xlfn.XLOOKUP(AL1406,Cadastros!$G$6:$G$90,Cadastros!$H$6:$H$90))))</f>
        <v/>
      </c>
      <c r="AO1406" s="168" t="str">
        <f t="shared" si="282"/>
        <v/>
      </c>
      <c r="AP1406" s="168" t="str">
        <f t="shared" si="283"/>
        <v/>
      </c>
      <c r="AQ1406" s="28"/>
      <c r="AR1406" s="28"/>
      <c r="AS1406" s="20" t="str">
        <f>IF(AQ1406="","",IF($F1406="Bernardino Furlan",_xlfn.XLOOKUP(AQ1406,Cadastros!$G$6:$G$90,Cadastros!$H$6:$H$90)*(1-0.18),IF($F1406="Mauro José Salanti",_xlfn.XLOOKUP(AQ1406,Cadastros!$G$6:$G$90,Cadastros!$H$6:$H$90)*(1-0.18),_xlfn.XLOOKUP(AQ1406,Cadastros!$G$6:$G$90,Cadastros!$H$6:$H$90))))</f>
        <v/>
      </c>
      <c r="AT1406" s="168" t="str">
        <f t="shared" si="284"/>
        <v/>
      </c>
      <c r="AU1406" s="168" t="str">
        <f t="shared" si="285"/>
        <v/>
      </c>
      <c r="AV1406" s="227"/>
      <c r="AW1406" s="30"/>
      <c r="AX1406" s="267"/>
      <c r="AY1406" s="267"/>
      <c r="AZ1406" s="29"/>
      <c r="BA1406" s="30"/>
      <c r="BB1406" s="23" t="str" cm="1">
        <f t="array" ref="BB1406">_xlfn.IFS(AW1406="SIM",SUM(K1406,P1406,U1406,Z1406,AE1406,AJ1406,AO1406,AT1406,AX1406,AY1406),F1406&lt;&gt;"",SUM(K1406,P1406,U1406,Z1406,AE1406,AJ1406,,AO1406,AT1406),F1406="","")</f>
        <v/>
      </c>
      <c r="BC1406" s="211" t="str" cm="1">
        <f t="array" ref="BC1406">_xlfn.IFS(E1406="","",G1406&lt;=E1406,BB1406*(1-0.03),G1406&lt;(E1406+8),BB1406,AZ1406="Boleto",BB1406*(1+0.001)^DATEDIF(E1406,G1406,"D"),AZ1406="Cheque",BB1406,AZ1406="Dinheiro","Alterar forma pgto")</f>
        <v/>
      </c>
      <c r="BD1406" s="276" t="str" cm="1">
        <f t="array" ref="BD1406">IF(F1406=0," ",IF(BC1406&lt;BB1406,(_xlfn.IFS(AW1406="SIM",SUM(L1406,Q1406,V1406,AA1406,AF1406,AK1406,AP1406,AU1406)+AX1406/_xlfn.XLOOKUP(_xlfn.XLOOKUP($F1406,Clientes!$B$4:$B$39,Clientes!$C$4:$C$39),Cadastros!$L$6:$L$12,Cadastros!$M$6:$M$12)+IF($F1406="Bernardino Furlan",AY1406/2751.92,IF($F1406="Mauro José Salanti",AY1406/2751.92,AY1406/3356)),F1406&lt;&gt;0,SUM(L1406,Q1406,V1406,AA1406,AF1406,AK1406,AP1406,AU1406)))*(1-0.03),_xlfn.IFS(AW1406="SIM",SUM(L1406,Q1406,V1406,AA1406,AF1406,AK1406,AP1406,AU1406)+AX1406/_xlfn.XLOOKUP(_xlfn.XLOOKUP($F1406,Clientes!$B$4:$B$39,Clientes!$C$4:$C$39),Cadastros!$L$6:$L$12,Cadastros!$M$6:$M$12)+IF($F1406="Bernardino Furlan",AY1406/2751.92,IF($F1406="Mauro José Salanti",AY1406/2751.92,AY1406/3356)),F1406&lt;&gt;0,SUM(L1406,Q1406,V1406,AA1406,AF1406,AK1406,AP1406,AU1406))))</f>
        <v xml:space="preserve"> </v>
      </c>
      <c r="BE1406" s="120"/>
      <c r="BF1406" s="120"/>
      <c r="BG1406" s="120"/>
    </row>
    <row r="1407" spans="1:59" s="3" customFormat="1" x14ac:dyDescent="0.3">
      <c r="A1407" s="15" t="str">
        <f t="shared" si="273"/>
        <v/>
      </c>
      <c r="B1407" s="25"/>
      <c r="C1407" s="26"/>
      <c r="D1407" s="279"/>
      <c r="E1407" s="27"/>
      <c r="F1407" s="28"/>
      <c r="G1407" s="27"/>
      <c r="H1407" s="28"/>
      <c r="I1407" s="28"/>
      <c r="J1407" s="255" t="str">
        <f>IF(H1407="","",(_xlfn.XLOOKUP(H1407,Cadastros!$D$6:$D$90,Cadastros!$E$6:$E$90))*(1-_xlfn.XLOOKUP(_xlfn.XLOOKUP($F1407,Clientes!$B$4:$B$39,Clientes!$C$4:$C$39),Cadastros!$L$6:$L$12,Cadastros!$N$6:$N$12)))</f>
        <v/>
      </c>
      <c r="K1407" s="168" t="str">
        <f t="shared" si="274"/>
        <v/>
      </c>
      <c r="L1407" s="168" t="str">
        <f>IFERROR(K1407/_xlfn.XLOOKUP(_xlfn.XLOOKUP($F1407,Clientes!$B$4:$B$39,Clientes!$C$4:$C$39),Cadastros!$L$6:$L$12,Cadastros!$M$6:$M$12)," ")</f>
        <v xml:space="preserve"> </v>
      </c>
      <c r="M1407" s="28"/>
      <c r="N1407" s="28"/>
      <c r="O1407" s="255" t="str">
        <f>IF(M1407="","",(_xlfn.XLOOKUP(M1407,Cadastros!$D$6:$D$90,Cadastros!$E$6:$E$90))*(1-_xlfn.XLOOKUP(_xlfn.XLOOKUP($F1407,Clientes!$B$4:$B$39,Clientes!$C$4:$C$39),Cadastros!$L$6:$L$12,Cadastros!$N$6:$N$12)))</f>
        <v/>
      </c>
      <c r="P1407" s="168" t="str">
        <f t="shared" si="275"/>
        <v/>
      </c>
      <c r="Q1407" s="168" t="str">
        <f>IFERROR(P1407/_xlfn.XLOOKUP(_xlfn.XLOOKUP($F1407,Clientes!$B$4:$B$39,Clientes!$C$4:$C$39),Cadastros!$L$6:$L$12,Cadastros!$M$6:$M$12)," ")</f>
        <v xml:space="preserve"> </v>
      </c>
      <c r="R1407" s="28"/>
      <c r="S1407" s="28"/>
      <c r="T1407" s="255" t="str">
        <f>IF(R1407="","",(_xlfn.XLOOKUP(R1407,Cadastros!$D$6:$D$90,Cadastros!$E$6:$E$90))*(1-_xlfn.XLOOKUP(_xlfn.XLOOKUP($F1407,Clientes!$B$4:$B$39,Clientes!$C$4:$C$39),Cadastros!$L$6:$L$12,Cadastros!$N$6:$N$12)))</f>
        <v/>
      </c>
      <c r="U1407" s="168" t="str">
        <f t="shared" si="276"/>
        <v/>
      </c>
      <c r="V1407" s="168" t="str">
        <f>IFERROR(U1407/_xlfn.XLOOKUP(_xlfn.XLOOKUP($F1407,Clientes!$B$4:$B$39,Clientes!$C$4:$C$39),Cadastros!$L$6:$L$12,Cadastros!$M$6:$M$12)," ")</f>
        <v xml:space="preserve"> </v>
      </c>
      <c r="W1407" s="28"/>
      <c r="X1407" s="28"/>
      <c r="Y1407" s="255" t="str">
        <f>IF(W1407="","",(_xlfn.XLOOKUP(W1407,Cadastros!$D$6:$D$90,Cadastros!$E$6:$E$90))*(1-_xlfn.XLOOKUP(_xlfn.XLOOKUP($F1407,Clientes!$B$4:$B$39,Clientes!$C$4:$C$39),Cadastros!$L$6:$L$12,Cadastros!$N$6:$N$12)))</f>
        <v/>
      </c>
      <c r="Z1407" s="168" t="str">
        <f t="shared" si="277"/>
        <v/>
      </c>
      <c r="AA1407" s="168" t="str">
        <f>IFERROR(Z1407/_xlfn.XLOOKUP(_xlfn.XLOOKUP($F1407,Clientes!$B$4:$B$39,Clientes!$C$4:$C$39),Cadastros!$L$6:$L$12,Cadastros!$M$6:$M$12)," ")</f>
        <v xml:space="preserve"> </v>
      </c>
      <c r="AB1407" s="28"/>
      <c r="AC1407" s="28"/>
      <c r="AD1407" s="20" t="str">
        <f>IF(AB1407="","",IF($F1407="Bernardino Furlan",_xlfn.XLOOKUP(AB1407,Cadastros!$G$6:$G$90,Cadastros!$H$6:$H$90)*(1-0.18),IF($F1407="Mauro José Salanti",_xlfn.XLOOKUP(AB1407,Cadastros!$G$6:$G$90,Cadastros!$H$6:$H$90)*(1-0.18),_xlfn.XLOOKUP(AB1407,Cadastros!$G$6:$G$90,Cadastros!$H$6:$H$90))))</f>
        <v/>
      </c>
      <c r="AE1407" s="168" t="str">
        <f t="shared" si="278"/>
        <v/>
      </c>
      <c r="AF1407" s="168" t="str">
        <f t="shared" si="279"/>
        <v/>
      </c>
      <c r="AG1407" s="28"/>
      <c r="AH1407" s="28"/>
      <c r="AI1407" s="20" t="str">
        <f>IF(AG1407="","",IF($F1407="Bernardino Furlan",_xlfn.XLOOKUP(AG1407,Cadastros!$G$6:$G$90,Cadastros!$H$6:$H$90)*(1-0.18),IF($F1407="Mauro José Salanti",_xlfn.XLOOKUP(AG1407,Cadastros!$G$6:$G$90,Cadastros!$H$6:$H$90)*(1-0.18),_xlfn.XLOOKUP(AG1407,Cadastros!$G$6:$G$90,Cadastros!$H$6:$H$90))))</f>
        <v/>
      </c>
      <c r="AJ1407" s="168" t="str">
        <f t="shared" si="280"/>
        <v/>
      </c>
      <c r="AK1407" s="168" t="str">
        <f t="shared" si="281"/>
        <v/>
      </c>
      <c r="AL1407" s="28"/>
      <c r="AM1407" s="28"/>
      <c r="AN1407" s="20" t="str">
        <f>IF(AL1407="","",IF($F1407="Bernardino Furlan",_xlfn.XLOOKUP(AL1407,Cadastros!$G$6:$G$90,Cadastros!$H$6:$H$90)*(1-0.18),IF($F1407="Mauro José Salanti",_xlfn.XLOOKUP(AL1407,Cadastros!$G$6:$G$90,Cadastros!$H$6:$H$90)*(1-0.18),_xlfn.XLOOKUP(AL1407,Cadastros!$G$6:$G$90,Cadastros!$H$6:$H$90))))</f>
        <v/>
      </c>
      <c r="AO1407" s="168" t="str">
        <f t="shared" si="282"/>
        <v/>
      </c>
      <c r="AP1407" s="168" t="str">
        <f t="shared" si="283"/>
        <v/>
      </c>
      <c r="AQ1407" s="28"/>
      <c r="AR1407" s="28"/>
      <c r="AS1407" s="20" t="str">
        <f>IF(AQ1407="","",IF($F1407="Bernardino Furlan",_xlfn.XLOOKUP(AQ1407,Cadastros!$G$6:$G$90,Cadastros!$H$6:$H$90)*(1-0.18),IF($F1407="Mauro José Salanti",_xlfn.XLOOKUP(AQ1407,Cadastros!$G$6:$G$90,Cadastros!$H$6:$H$90)*(1-0.18),_xlfn.XLOOKUP(AQ1407,Cadastros!$G$6:$G$90,Cadastros!$H$6:$H$90))))</f>
        <v/>
      </c>
      <c r="AT1407" s="168" t="str">
        <f t="shared" si="284"/>
        <v/>
      </c>
      <c r="AU1407" s="168" t="str">
        <f t="shared" si="285"/>
        <v/>
      </c>
      <c r="AV1407" s="227"/>
      <c r="AW1407" s="30"/>
      <c r="AX1407" s="267"/>
      <c r="AY1407" s="267"/>
      <c r="AZ1407" s="29"/>
      <c r="BA1407" s="30"/>
      <c r="BB1407" s="23" t="str" cm="1">
        <f t="array" ref="BB1407">_xlfn.IFS(AW1407="SIM",SUM(K1407,P1407,U1407,Z1407,AE1407,AJ1407,AO1407,AT1407,AX1407,AY1407),F1407&lt;&gt;"",SUM(K1407,P1407,U1407,Z1407,AE1407,AJ1407,,AO1407,AT1407),F1407="","")</f>
        <v/>
      </c>
      <c r="BC1407" s="211" t="str" cm="1">
        <f t="array" ref="BC1407">_xlfn.IFS(E1407="","",G1407&lt;=E1407,BB1407*(1-0.03),G1407&lt;(E1407+8),BB1407,AZ1407="Boleto",BB1407*(1+0.001)^DATEDIF(E1407,G1407,"D"),AZ1407="Cheque",BB1407,AZ1407="Dinheiro","Alterar forma pgto")</f>
        <v/>
      </c>
      <c r="BD1407" s="276" t="str" cm="1">
        <f t="array" ref="BD1407">IF(F1407=0," ",IF(BC1407&lt;BB1407,(_xlfn.IFS(AW1407="SIM",SUM(L1407,Q1407,V1407,AA1407,AF1407,AK1407,AP1407,AU1407)+AX1407/_xlfn.XLOOKUP(_xlfn.XLOOKUP($F1407,Clientes!$B$4:$B$39,Clientes!$C$4:$C$39),Cadastros!$L$6:$L$12,Cadastros!$M$6:$M$12)+IF($F1407="Bernardino Furlan",AY1407/2751.92,IF($F1407="Mauro José Salanti",AY1407/2751.92,AY1407/3356)),F1407&lt;&gt;0,SUM(L1407,Q1407,V1407,AA1407,AF1407,AK1407,AP1407,AU1407)))*(1-0.03),_xlfn.IFS(AW1407="SIM",SUM(L1407,Q1407,V1407,AA1407,AF1407,AK1407,AP1407,AU1407)+AX1407/_xlfn.XLOOKUP(_xlfn.XLOOKUP($F1407,Clientes!$B$4:$B$39,Clientes!$C$4:$C$39),Cadastros!$L$6:$L$12,Cadastros!$M$6:$M$12)+IF($F1407="Bernardino Furlan",AY1407/2751.92,IF($F1407="Mauro José Salanti",AY1407/2751.92,AY1407/3356)),F1407&lt;&gt;0,SUM(L1407,Q1407,V1407,AA1407,AF1407,AK1407,AP1407,AU1407))))</f>
        <v xml:space="preserve"> </v>
      </c>
      <c r="BE1407" s="120"/>
      <c r="BF1407" s="120"/>
      <c r="BG1407" s="120"/>
    </row>
    <row r="1408" spans="1:59" s="3" customFormat="1" x14ac:dyDescent="0.3">
      <c r="A1408" s="15" t="str">
        <f t="shared" si="273"/>
        <v/>
      </c>
      <c r="B1408" s="25"/>
      <c r="C1408" s="26"/>
      <c r="D1408" s="279"/>
      <c r="E1408" s="27"/>
      <c r="F1408" s="28"/>
      <c r="G1408" s="27"/>
      <c r="H1408" s="28"/>
      <c r="I1408" s="28"/>
      <c r="J1408" s="255" t="str">
        <f>IF(H1408="","",(_xlfn.XLOOKUP(H1408,Cadastros!$D$6:$D$90,Cadastros!$E$6:$E$90))*(1-_xlfn.XLOOKUP(_xlfn.XLOOKUP($F1408,Clientes!$B$4:$B$39,Clientes!$C$4:$C$39),Cadastros!$L$6:$L$12,Cadastros!$N$6:$N$12)))</f>
        <v/>
      </c>
      <c r="K1408" s="168" t="str">
        <f t="shared" si="274"/>
        <v/>
      </c>
      <c r="L1408" s="168" t="str">
        <f>IFERROR(K1408/_xlfn.XLOOKUP(_xlfn.XLOOKUP($F1408,Clientes!$B$4:$B$39,Clientes!$C$4:$C$39),Cadastros!$L$6:$L$12,Cadastros!$M$6:$M$12)," ")</f>
        <v xml:space="preserve"> </v>
      </c>
      <c r="M1408" s="28"/>
      <c r="N1408" s="28"/>
      <c r="O1408" s="255" t="str">
        <f>IF(M1408="","",(_xlfn.XLOOKUP(M1408,Cadastros!$D$6:$D$90,Cadastros!$E$6:$E$90))*(1-_xlfn.XLOOKUP(_xlfn.XLOOKUP($F1408,Clientes!$B$4:$B$39,Clientes!$C$4:$C$39),Cadastros!$L$6:$L$12,Cadastros!$N$6:$N$12)))</f>
        <v/>
      </c>
      <c r="P1408" s="168" t="str">
        <f t="shared" si="275"/>
        <v/>
      </c>
      <c r="Q1408" s="168" t="str">
        <f>IFERROR(P1408/_xlfn.XLOOKUP(_xlfn.XLOOKUP($F1408,Clientes!$B$4:$B$39,Clientes!$C$4:$C$39),Cadastros!$L$6:$L$12,Cadastros!$M$6:$M$12)," ")</f>
        <v xml:space="preserve"> </v>
      </c>
      <c r="R1408" s="28"/>
      <c r="S1408" s="28"/>
      <c r="T1408" s="255" t="str">
        <f>IF(R1408="","",(_xlfn.XLOOKUP(R1408,Cadastros!$D$6:$D$90,Cadastros!$E$6:$E$90))*(1-_xlfn.XLOOKUP(_xlfn.XLOOKUP($F1408,Clientes!$B$4:$B$39,Clientes!$C$4:$C$39),Cadastros!$L$6:$L$12,Cadastros!$N$6:$N$12)))</f>
        <v/>
      </c>
      <c r="U1408" s="168" t="str">
        <f t="shared" si="276"/>
        <v/>
      </c>
      <c r="V1408" s="168" t="str">
        <f>IFERROR(U1408/_xlfn.XLOOKUP(_xlfn.XLOOKUP($F1408,Clientes!$B$4:$B$39,Clientes!$C$4:$C$39),Cadastros!$L$6:$L$12,Cadastros!$M$6:$M$12)," ")</f>
        <v xml:space="preserve"> </v>
      </c>
      <c r="W1408" s="28"/>
      <c r="X1408" s="28"/>
      <c r="Y1408" s="255" t="str">
        <f>IF(W1408="","",(_xlfn.XLOOKUP(W1408,Cadastros!$D$6:$D$90,Cadastros!$E$6:$E$90))*(1-_xlfn.XLOOKUP(_xlfn.XLOOKUP($F1408,Clientes!$B$4:$B$39,Clientes!$C$4:$C$39),Cadastros!$L$6:$L$12,Cadastros!$N$6:$N$12)))</f>
        <v/>
      </c>
      <c r="Z1408" s="168" t="str">
        <f t="shared" si="277"/>
        <v/>
      </c>
      <c r="AA1408" s="168" t="str">
        <f>IFERROR(Z1408/_xlfn.XLOOKUP(_xlfn.XLOOKUP($F1408,Clientes!$B$4:$B$39,Clientes!$C$4:$C$39),Cadastros!$L$6:$L$12,Cadastros!$M$6:$M$12)," ")</f>
        <v xml:space="preserve"> </v>
      </c>
      <c r="AB1408" s="28"/>
      <c r="AC1408" s="28"/>
      <c r="AD1408" s="20" t="str">
        <f>IF(AB1408="","",IF($F1408="Bernardino Furlan",_xlfn.XLOOKUP(AB1408,Cadastros!$G$6:$G$90,Cadastros!$H$6:$H$90)*(1-0.18),IF($F1408="Mauro José Salanti",_xlfn.XLOOKUP(AB1408,Cadastros!$G$6:$G$90,Cadastros!$H$6:$H$90)*(1-0.18),_xlfn.XLOOKUP(AB1408,Cadastros!$G$6:$G$90,Cadastros!$H$6:$H$90))))</f>
        <v/>
      </c>
      <c r="AE1408" s="168" t="str">
        <f t="shared" si="278"/>
        <v/>
      </c>
      <c r="AF1408" s="168" t="str">
        <f t="shared" si="279"/>
        <v/>
      </c>
      <c r="AG1408" s="28"/>
      <c r="AH1408" s="28"/>
      <c r="AI1408" s="20" t="str">
        <f>IF(AG1408="","",IF($F1408="Bernardino Furlan",_xlfn.XLOOKUP(AG1408,Cadastros!$G$6:$G$90,Cadastros!$H$6:$H$90)*(1-0.18),IF($F1408="Mauro José Salanti",_xlfn.XLOOKUP(AG1408,Cadastros!$G$6:$G$90,Cadastros!$H$6:$H$90)*(1-0.18),_xlfn.XLOOKUP(AG1408,Cadastros!$G$6:$G$90,Cadastros!$H$6:$H$90))))</f>
        <v/>
      </c>
      <c r="AJ1408" s="168" t="str">
        <f t="shared" si="280"/>
        <v/>
      </c>
      <c r="AK1408" s="168" t="str">
        <f t="shared" si="281"/>
        <v/>
      </c>
      <c r="AL1408" s="28"/>
      <c r="AM1408" s="28"/>
      <c r="AN1408" s="20" t="str">
        <f>IF(AL1408="","",IF($F1408="Bernardino Furlan",_xlfn.XLOOKUP(AL1408,Cadastros!$G$6:$G$90,Cadastros!$H$6:$H$90)*(1-0.18),IF($F1408="Mauro José Salanti",_xlfn.XLOOKUP(AL1408,Cadastros!$G$6:$G$90,Cadastros!$H$6:$H$90)*(1-0.18),_xlfn.XLOOKUP(AL1408,Cadastros!$G$6:$G$90,Cadastros!$H$6:$H$90))))</f>
        <v/>
      </c>
      <c r="AO1408" s="168" t="str">
        <f t="shared" si="282"/>
        <v/>
      </c>
      <c r="AP1408" s="168" t="str">
        <f t="shared" si="283"/>
        <v/>
      </c>
      <c r="AQ1408" s="28"/>
      <c r="AR1408" s="28"/>
      <c r="AS1408" s="20" t="str">
        <f>IF(AQ1408="","",IF($F1408="Bernardino Furlan",_xlfn.XLOOKUP(AQ1408,Cadastros!$G$6:$G$90,Cadastros!$H$6:$H$90)*(1-0.18),IF($F1408="Mauro José Salanti",_xlfn.XLOOKUP(AQ1408,Cadastros!$G$6:$G$90,Cadastros!$H$6:$H$90)*(1-0.18),_xlfn.XLOOKUP(AQ1408,Cadastros!$G$6:$G$90,Cadastros!$H$6:$H$90))))</f>
        <v/>
      </c>
      <c r="AT1408" s="168" t="str">
        <f t="shared" si="284"/>
        <v/>
      </c>
      <c r="AU1408" s="168" t="str">
        <f t="shared" si="285"/>
        <v/>
      </c>
      <c r="AV1408" s="227"/>
      <c r="AW1408" s="30"/>
      <c r="AX1408" s="267"/>
      <c r="AY1408" s="267"/>
      <c r="AZ1408" s="29"/>
      <c r="BA1408" s="30"/>
      <c r="BB1408" s="23" t="str" cm="1">
        <f t="array" ref="BB1408">_xlfn.IFS(AW1408="SIM",SUM(K1408,P1408,U1408,Z1408,AE1408,AJ1408,AO1408,AT1408,AX1408,AY1408),F1408&lt;&gt;"",SUM(K1408,P1408,U1408,Z1408,AE1408,AJ1408,,AO1408,AT1408),F1408="","")</f>
        <v/>
      </c>
      <c r="BC1408" s="211" t="str" cm="1">
        <f t="array" ref="BC1408">_xlfn.IFS(E1408="","",G1408&lt;=E1408,BB1408*(1-0.03),G1408&lt;(E1408+8),BB1408,AZ1408="Boleto",BB1408*(1+0.001)^DATEDIF(E1408,G1408,"D"),AZ1408="Cheque",BB1408,AZ1408="Dinheiro","Alterar forma pgto")</f>
        <v/>
      </c>
      <c r="BD1408" s="276" t="str" cm="1">
        <f t="array" ref="BD1408">IF(F1408=0," ",IF(BC1408&lt;BB1408,(_xlfn.IFS(AW1408="SIM",SUM(L1408,Q1408,V1408,AA1408,AF1408,AK1408,AP1408,AU1408)+AX1408/_xlfn.XLOOKUP(_xlfn.XLOOKUP($F1408,Clientes!$B$4:$B$39,Clientes!$C$4:$C$39),Cadastros!$L$6:$L$12,Cadastros!$M$6:$M$12)+IF($F1408="Bernardino Furlan",AY1408/2751.92,IF($F1408="Mauro José Salanti",AY1408/2751.92,AY1408/3356)),F1408&lt;&gt;0,SUM(L1408,Q1408,V1408,AA1408,AF1408,AK1408,AP1408,AU1408)))*(1-0.03),_xlfn.IFS(AW1408="SIM",SUM(L1408,Q1408,V1408,AA1408,AF1408,AK1408,AP1408,AU1408)+AX1408/_xlfn.XLOOKUP(_xlfn.XLOOKUP($F1408,Clientes!$B$4:$B$39,Clientes!$C$4:$C$39),Cadastros!$L$6:$L$12,Cadastros!$M$6:$M$12)+IF($F1408="Bernardino Furlan",AY1408/2751.92,IF($F1408="Mauro José Salanti",AY1408/2751.92,AY1408/3356)),F1408&lt;&gt;0,SUM(L1408,Q1408,V1408,AA1408,AF1408,AK1408,AP1408,AU1408))))</f>
        <v xml:space="preserve"> </v>
      </c>
      <c r="BE1408" s="120"/>
      <c r="BF1408" s="120"/>
      <c r="BG1408" s="120"/>
    </row>
    <row r="1409" spans="1:59" s="3" customFormat="1" x14ac:dyDescent="0.3">
      <c r="A1409" s="15" t="str">
        <f t="shared" si="273"/>
        <v/>
      </c>
      <c r="B1409" s="25"/>
      <c r="C1409" s="26"/>
      <c r="D1409" s="279"/>
      <c r="E1409" s="27"/>
      <c r="F1409" s="28"/>
      <c r="G1409" s="27"/>
      <c r="H1409" s="28"/>
      <c r="I1409" s="28"/>
      <c r="J1409" s="255" t="str">
        <f>IF(H1409="","",(_xlfn.XLOOKUP(H1409,Cadastros!$D$6:$D$90,Cadastros!$E$6:$E$90))*(1-_xlfn.XLOOKUP(_xlfn.XLOOKUP($F1409,Clientes!$B$4:$B$39,Clientes!$C$4:$C$39),Cadastros!$L$6:$L$12,Cadastros!$N$6:$N$12)))</f>
        <v/>
      </c>
      <c r="K1409" s="168" t="str">
        <f t="shared" si="274"/>
        <v/>
      </c>
      <c r="L1409" s="168" t="str">
        <f>IFERROR(K1409/_xlfn.XLOOKUP(_xlfn.XLOOKUP($F1409,Clientes!$B$4:$B$39,Clientes!$C$4:$C$39),Cadastros!$L$6:$L$12,Cadastros!$M$6:$M$12)," ")</f>
        <v xml:space="preserve"> </v>
      </c>
      <c r="M1409" s="28"/>
      <c r="N1409" s="28"/>
      <c r="O1409" s="255" t="str">
        <f>IF(M1409="","",(_xlfn.XLOOKUP(M1409,Cadastros!$D$6:$D$90,Cadastros!$E$6:$E$90))*(1-_xlfn.XLOOKUP(_xlfn.XLOOKUP($F1409,Clientes!$B$4:$B$39,Clientes!$C$4:$C$39),Cadastros!$L$6:$L$12,Cadastros!$N$6:$N$12)))</f>
        <v/>
      </c>
      <c r="P1409" s="168" t="str">
        <f t="shared" si="275"/>
        <v/>
      </c>
      <c r="Q1409" s="168" t="str">
        <f>IFERROR(P1409/_xlfn.XLOOKUP(_xlfn.XLOOKUP($F1409,Clientes!$B$4:$B$39,Clientes!$C$4:$C$39),Cadastros!$L$6:$L$12,Cadastros!$M$6:$M$12)," ")</f>
        <v xml:space="preserve"> </v>
      </c>
      <c r="R1409" s="28"/>
      <c r="S1409" s="28"/>
      <c r="T1409" s="255" t="str">
        <f>IF(R1409="","",(_xlfn.XLOOKUP(R1409,Cadastros!$D$6:$D$90,Cadastros!$E$6:$E$90))*(1-_xlfn.XLOOKUP(_xlfn.XLOOKUP($F1409,Clientes!$B$4:$B$39,Clientes!$C$4:$C$39),Cadastros!$L$6:$L$12,Cadastros!$N$6:$N$12)))</f>
        <v/>
      </c>
      <c r="U1409" s="168" t="str">
        <f t="shared" si="276"/>
        <v/>
      </c>
      <c r="V1409" s="168" t="str">
        <f>IFERROR(U1409/_xlfn.XLOOKUP(_xlfn.XLOOKUP($F1409,Clientes!$B$4:$B$39,Clientes!$C$4:$C$39),Cadastros!$L$6:$L$12,Cadastros!$M$6:$M$12)," ")</f>
        <v xml:space="preserve"> </v>
      </c>
      <c r="W1409" s="28"/>
      <c r="X1409" s="28"/>
      <c r="Y1409" s="255" t="str">
        <f>IF(W1409="","",(_xlfn.XLOOKUP(W1409,Cadastros!$D$6:$D$90,Cadastros!$E$6:$E$90))*(1-_xlfn.XLOOKUP(_xlfn.XLOOKUP($F1409,Clientes!$B$4:$B$39,Clientes!$C$4:$C$39),Cadastros!$L$6:$L$12,Cadastros!$N$6:$N$12)))</f>
        <v/>
      </c>
      <c r="Z1409" s="168" t="str">
        <f t="shared" si="277"/>
        <v/>
      </c>
      <c r="AA1409" s="168" t="str">
        <f>IFERROR(Z1409/_xlfn.XLOOKUP(_xlfn.XLOOKUP($F1409,Clientes!$B$4:$B$39,Clientes!$C$4:$C$39),Cadastros!$L$6:$L$12,Cadastros!$M$6:$M$12)," ")</f>
        <v xml:space="preserve"> </v>
      </c>
      <c r="AB1409" s="28"/>
      <c r="AC1409" s="28"/>
      <c r="AD1409" s="20" t="str">
        <f>IF(AB1409="","",IF($F1409="Bernardino Furlan",_xlfn.XLOOKUP(AB1409,Cadastros!$G$6:$G$90,Cadastros!$H$6:$H$90)*(1-0.18),IF($F1409="Mauro José Salanti",_xlfn.XLOOKUP(AB1409,Cadastros!$G$6:$G$90,Cadastros!$H$6:$H$90)*(1-0.18),_xlfn.XLOOKUP(AB1409,Cadastros!$G$6:$G$90,Cadastros!$H$6:$H$90))))</f>
        <v/>
      </c>
      <c r="AE1409" s="168" t="str">
        <f t="shared" si="278"/>
        <v/>
      </c>
      <c r="AF1409" s="168" t="str">
        <f t="shared" si="279"/>
        <v/>
      </c>
      <c r="AG1409" s="28"/>
      <c r="AH1409" s="28"/>
      <c r="AI1409" s="20" t="str">
        <f>IF(AG1409="","",IF($F1409="Bernardino Furlan",_xlfn.XLOOKUP(AG1409,Cadastros!$G$6:$G$90,Cadastros!$H$6:$H$90)*(1-0.18),IF($F1409="Mauro José Salanti",_xlfn.XLOOKUP(AG1409,Cadastros!$G$6:$G$90,Cadastros!$H$6:$H$90)*(1-0.18),_xlfn.XLOOKUP(AG1409,Cadastros!$G$6:$G$90,Cadastros!$H$6:$H$90))))</f>
        <v/>
      </c>
      <c r="AJ1409" s="168" t="str">
        <f t="shared" si="280"/>
        <v/>
      </c>
      <c r="AK1409" s="168" t="str">
        <f t="shared" si="281"/>
        <v/>
      </c>
      <c r="AL1409" s="28"/>
      <c r="AM1409" s="28"/>
      <c r="AN1409" s="20" t="str">
        <f>IF(AL1409="","",IF($F1409="Bernardino Furlan",_xlfn.XLOOKUP(AL1409,Cadastros!$G$6:$G$90,Cadastros!$H$6:$H$90)*(1-0.18),IF($F1409="Mauro José Salanti",_xlfn.XLOOKUP(AL1409,Cadastros!$G$6:$G$90,Cadastros!$H$6:$H$90)*(1-0.18),_xlfn.XLOOKUP(AL1409,Cadastros!$G$6:$G$90,Cadastros!$H$6:$H$90))))</f>
        <v/>
      </c>
      <c r="AO1409" s="168" t="str">
        <f t="shared" si="282"/>
        <v/>
      </c>
      <c r="AP1409" s="168" t="str">
        <f t="shared" si="283"/>
        <v/>
      </c>
      <c r="AQ1409" s="28"/>
      <c r="AR1409" s="28"/>
      <c r="AS1409" s="20" t="str">
        <f>IF(AQ1409="","",IF($F1409="Bernardino Furlan",_xlfn.XLOOKUP(AQ1409,Cadastros!$G$6:$G$90,Cadastros!$H$6:$H$90)*(1-0.18),IF($F1409="Mauro José Salanti",_xlfn.XLOOKUP(AQ1409,Cadastros!$G$6:$G$90,Cadastros!$H$6:$H$90)*(1-0.18),_xlfn.XLOOKUP(AQ1409,Cadastros!$G$6:$G$90,Cadastros!$H$6:$H$90))))</f>
        <v/>
      </c>
      <c r="AT1409" s="168" t="str">
        <f t="shared" si="284"/>
        <v/>
      </c>
      <c r="AU1409" s="168" t="str">
        <f t="shared" si="285"/>
        <v/>
      </c>
      <c r="AV1409" s="227"/>
      <c r="AW1409" s="30"/>
      <c r="AX1409" s="267"/>
      <c r="AY1409" s="267"/>
      <c r="AZ1409" s="29"/>
      <c r="BA1409" s="30"/>
      <c r="BB1409" s="23" t="str" cm="1">
        <f t="array" ref="BB1409">_xlfn.IFS(AW1409="SIM",SUM(K1409,P1409,U1409,Z1409,AE1409,AJ1409,AO1409,AT1409,AX1409,AY1409),F1409&lt;&gt;"",SUM(K1409,P1409,U1409,Z1409,AE1409,AJ1409,,AO1409,AT1409),F1409="","")</f>
        <v/>
      </c>
      <c r="BC1409" s="211" t="str" cm="1">
        <f t="array" ref="BC1409">_xlfn.IFS(E1409="","",G1409&lt;=E1409,BB1409*(1-0.03),G1409&lt;(E1409+8),BB1409,AZ1409="Boleto",BB1409*(1+0.001)^DATEDIF(E1409,G1409,"D"),AZ1409="Cheque",BB1409,AZ1409="Dinheiro","Alterar forma pgto")</f>
        <v/>
      </c>
      <c r="BD1409" s="276" t="str" cm="1">
        <f t="array" ref="BD1409">IF(F1409=0," ",IF(BC1409&lt;BB1409,(_xlfn.IFS(AW1409="SIM",SUM(L1409,Q1409,V1409,AA1409,AF1409,AK1409,AP1409,AU1409)+AX1409/_xlfn.XLOOKUP(_xlfn.XLOOKUP($F1409,Clientes!$B$4:$B$39,Clientes!$C$4:$C$39),Cadastros!$L$6:$L$12,Cadastros!$M$6:$M$12)+IF($F1409="Bernardino Furlan",AY1409/2751.92,IF($F1409="Mauro José Salanti",AY1409/2751.92,AY1409/3356)),F1409&lt;&gt;0,SUM(L1409,Q1409,V1409,AA1409,AF1409,AK1409,AP1409,AU1409)))*(1-0.03),_xlfn.IFS(AW1409="SIM",SUM(L1409,Q1409,V1409,AA1409,AF1409,AK1409,AP1409,AU1409)+AX1409/_xlfn.XLOOKUP(_xlfn.XLOOKUP($F1409,Clientes!$B$4:$B$39,Clientes!$C$4:$C$39),Cadastros!$L$6:$L$12,Cadastros!$M$6:$M$12)+IF($F1409="Bernardino Furlan",AY1409/2751.92,IF($F1409="Mauro José Salanti",AY1409/2751.92,AY1409/3356)),F1409&lt;&gt;0,SUM(L1409,Q1409,V1409,AA1409,AF1409,AK1409,AP1409,AU1409))))</f>
        <v xml:space="preserve"> </v>
      </c>
      <c r="BE1409" s="120"/>
      <c r="BF1409" s="120"/>
      <c r="BG1409" s="120"/>
    </row>
    <row r="1410" spans="1:59" s="3" customFormat="1" x14ac:dyDescent="0.3">
      <c r="A1410" s="15" t="str">
        <f t="shared" si="273"/>
        <v/>
      </c>
      <c r="B1410" s="25"/>
      <c r="C1410" s="26"/>
      <c r="D1410" s="279"/>
      <c r="E1410" s="27"/>
      <c r="F1410" s="28"/>
      <c r="G1410" s="27"/>
      <c r="H1410" s="28"/>
      <c r="I1410" s="28"/>
      <c r="J1410" s="255" t="str">
        <f>IF(H1410="","",(_xlfn.XLOOKUP(H1410,Cadastros!$D$6:$D$90,Cadastros!$E$6:$E$90))*(1-_xlfn.XLOOKUP(_xlfn.XLOOKUP($F1410,Clientes!$B$4:$B$39,Clientes!$C$4:$C$39),Cadastros!$L$6:$L$12,Cadastros!$N$6:$N$12)))</f>
        <v/>
      </c>
      <c r="K1410" s="168" t="str">
        <f t="shared" si="274"/>
        <v/>
      </c>
      <c r="L1410" s="168" t="str">
        <f>IFERROR(K1410/_xlfn.XLOOKUP(_xlfn.XLOOKUP($F1410,Clientes!$B$4:$B$39,Clientes!$C$4:$C$39),Cadastros!$L$6:$L$12,Cadastros!$M$6:$M$12)," ")</f>
        <v xml:space="preserve"> </v>
      </c>
      <c r="M1410" s="28"/>
      <c r="N1410" s="28"/>
      <c r="O1410" s="255" t="str">
        <f>IF(M1410="","",(_xlfn.XLOOKUP(M1410,Cadastros!$D$6:$D$90,Cadastros!$E$6:$E$90))*(1-_xlfn.XLOOKUP(_xlfn.XLOOKUP($F1410,Clientes!$B$4:$B$39,Clientes!$C$4:$C$39),Cadastros!$L$6:$L$12,Cadastros!$N$6:$N$12)))</f>
        <v/>
      </c>
      <c r="P1410" s="168" t="str">
        <f t="shared" si="275"/>
        <v/>
      </c>
      <c r="Q1410" s="168" t="str">
        <f>IFERROR(P1410/_xlfn.XLOOKUP(_xlfn.XLOOKUP($F1410,Clientes!$B$4:$B$39,Clientes!$C$4:$C$39),Cadastros!$L$6:$L$12,Cadastros!$M$6:$M$12)," ")</f>
        <v xml:space="preserve"> </v>
      </c>
      <c r="R1410" s="28"/>
      <c r="S1410" s="28"/>
      <c r="T1410" s="255" t="str">
        <f>IF(R1410="","",(_xlfn.XLOOKUP(R1410,Cadastros!$D$6:$D$90,Cadastros!$E$6:$E$90))*(1-_xlfn.XLOOKUP(_xlfn.XLOOKUP($F1410,Clientes!$B$4:$B$39,Clientes!$C$4:$C$39),Cadastros!$L$6:$L$12,Cadastros!$N$6:$N$12)))</f>
        <v/>
      </c>
      <c r="U1410" s="168" t="str">
        <f t="shared" si="276"/>
        <v/>
      </c>
      <c r="V1410" s="168" t="str">
        <f>IFERROR(U1410/_xlfn.XLOOKUP(_xlfn.XLOOKUP($F1410,Clientes!$B$4:$B$39,Clientes!$C$4:$C$39),Cadastros!$L$6:$L$12,Cadastros!$M$6:$M$12)," ")</f>
        <v xml:space="preserve"> </v>
      </c>
      <c r="W1410" s="28"/>
      <c r="X1410" s="28"/>
      <c r="Y1410" s="255" t="str">
        <f>IF(W1410="","",(_xlfn.XLOOKUP(W1410,Cadastros!$D$6:$D$90,Cadastros!$E$6:$E$90))*(1-_xlfn.XLOOKUP(_xlfn.XLOOKUP($F1410,Clientes!$B$4:$B$39,Clientes!$C$4:$C$39),Cadastros!$L$6:$L$12,Cadastros!$N$6:$N$12)))</f>
        <v/>
      </c>
      <c r="Z1410" s="168" t="str">
        <f t="shared" si="277"/>
        <v/>
      </c>
      <c r="AA1410" s="168" t="str">
        <f>IFERROR(Z1410/_xlfn.XLOOKUP(_xlfn.XLOOKUP($F1410,Clientes!$B$4:$B$39,Clientes!$C$4:$C$39),Cadastros!$L$6:$L$12,Cadastros!$M$6:$M$12)," ")</f>
        <v xml:space="preserve"> </v>
      </c>
      <c r="AB1410" s="28"/>
      <c r="AC1410" s="28"/>
      <c r="AD1410" s="20" t="str">
        <f>IF(AB1410="","",IF($F1410="Bernardino Furlan",_xlfn.XLOOKUP(AB1410,Cadastros!$G$6:$G$90,Cadastros!$H$6:$H$90)*(1-0.18),IF($F1410="Mauro José Salanti",_xlfn.XLOOKUP(AB1410,Cadastros!$G$6:$G$90,Cadastros!$H$6:$H$90)*(1-0.18),_xlfn.XLOOKUP(AB1410,Cadastros!$G$6:$G$90,Cadastros!$H$6:$H$90))))</f>
        <v/>
      </c>
      <c r="AE1410" s="168" t="str">
        <f t="shared" si="278"/>
        <v/>
      </c>
      <c r="AF1410" s="168" t="str">
        <f t="shared" si="279"/>
        <v/>
      </c>
      <c r="AG1410" s="28"/>
      <c r="AH1410" s="28"/>
      <c r="AI1410" s="20" t="str">
        <f>IF(AG1410="","",IF($F1410="Bernardino Furlan",_xlfn.XLOOKUP(AG1410,Cadastros!$G$6:$G$90,Cadastros!$H$6:$H$90)*(1-0.18),IF($F1410="Mauro José Salanti",_xlfn.XLOOKUP(AG1410,Cadastros!$G$6:$G$90,Cadastros!$H$6:$H$90)*(1-0.18),_xlfn.XLOOKUP(AG1410,Cadastros!$G$6:$G$90,Cadastros!$H$6:$H$90))))</f>
        <v/>
      </c>
      <c r="AJ1410" s="168" t="str">
        <f t="shared" si="280"/>
        <v/>
      </c>
      <c r="AK1410" s="168" t="str">
        <f t="shared" si="281"/>
        <v/>
      </c>
      <c r="AL1410" s="28"/>
      <c r="AM1410" s="28"/>
      <c r="AN1410" s="20" t="str">
        <f>IF(AL1410="","",IF($F1410="Bernardino Furlan",_xlfn.XLOOKUP(AL1410,Cadastros!$G$6:$G$90,Cadastros!$H$6:$H$90)*(1-0.18),IF($F1410="Mauro José Salanti",_xlfn.XLOOKUP(AL1410,Cadastros!$G$6:$G$90,Cadastros!$H$6:$H$90)*(1-0.18),_xlfn.XLOOKUP(AL1410,Cadastros!$G$6:$G$90,Cadastros!$H$6:$H$90))))</f>
        <v/>
      </c>
      <c r="AO1410" s="168" t="str">
        <f t="shared" si="282"/>
        <v/>
      </c>
      <c r="AP1410" s="168" t="str">
        <f t="shared" si="283"/>
        <v/>
      </c>
      <c r="AQ1410" s="28"/>
      <c r="AR1410" s="28"/>
      <c r="AS1410" s="20" t="str">
        <f>IF(AQ1410="","",IF($F1410="Bernardino Furlan",_xlfn.XLOOKUP(AQ1410,Cadastros!$G$6:$G$90,Cadastros!$H$6:$H$90)*(1-0.18),IF($F1410="Mauro José Salanti",_xlfn.XLOOKUP(AQ1410,Cadastros!$G$6:$G$90,Cadastros!$H$6:$H$90)*(1-0.18),_xlfn.XLOOKUP(AQ1410,Cadastros!$G$6:$G$90,Cadastros!$H$6:$H$90))))</f>
        <v/>
      </c>
      <c r="AT1410" s="168" t="str">
        <f t="shared" si="284"/>
        <v/>
      </c>
      <c r="AU1410" s="168" t="str">
        <f t="shared" si="285"/>
        <v/>
      </c>
      <c r="AV1410" s="227"/>
      <c r="AW1410" s="30"/>
      <c r="AX1410" s="267"/>
      <c r="AY1410" s="267"/>
      <c r="AZ1410" s="29"/>
      <c r="BA1410" s="30"/>
      <c r="BB1410" s="23" t="str" cm="1">
        <f t="array" ref="BB1410">_xlfn.IFS(AW1410="SIM",SUM(K1410,P1410,U1410,Z1410,AE1410,AJ1410,AO1410,AT1410,AX1410,AY1410),F1410&lt;&gt;"",SUM(K1410,P1410,U1410,Z1410,AE1410,AJ1410,,AO1410,AT1410),F1410="","")</f>
        <v/>
      </c>
      <c r="BC1410" s="211" t="str" cm="1">
        <f t="array" ref="BC1410">_xlfn.IFS(E1410="","",G1410&lt;=E1410,BB1410*(1-0.03),G1410&lt;(E1410+8),BB1410,AZ1410="Boleto",BB1410*(1+0.001)^DATEDIF(E1410,G1410,"D"),AZ1410="Cheque",BB1410,AZ1410="Dinheiro","Alterar forma pgto")</f>
        <v/>
      </c>
      <c r="BD1410" s="276" t="str" cm="1">
        <f t="array" ref="BD1410">IF(F1410=0," ",IF(BC1410&lt;BB1410,(_xlfn.IFS(AW1410="SIM",SUM(L1410,Q1410,V1410,AA1410,AF1410,AK1410,AP1410,AU1410)+AX1410/_xlfn.XLOOKUP(_xlfn.XLOOKUP($F1410,Clientes!$B$4:$B$39,Clientes!$C$4:$C$39),Cadastros!$L$6:$L$12,Cadastros!$M$6:$M$12)+IF($F1410="Bernardino Furlan",AY1410/2751.92,IF($F1410="Mauro José Salanti",AY1410/2751.92,AY1410/3356)),F1410&lt;&gt;0,SUM(L1410,Q1410,V1410,AA1410,AF1410,AK1410,AP1410,AU1410)))*(1-0.03),_xlfn.IFS(AW1410="SIM",SUM(L1410,Q1410,V1410,AA1410,AF1410,AK1410,AP1410,AU1410)+AX1410/_xlfn.XLOOKUP(_xlfn.XLOOKUP($F1410,Clientes!$B$4:$B$39,Clientes!$C$4:$C$39),Cadastros!$L$6:$L$12,Cadastros!$M$6:$M$12)+IF($F1410="Bernardino Furlan",AY1410/2751.92,IF($F1410="Mauro José Salanti",AY1410/2751.92,AY1410/3356)),F1410&lt;&gt;0,SUM(L1410,Q1410,V1410,AA1410,AF1410,AK1410,AP1410,AU1410))))</f>
        <v xml:space="preserve"> </v>
      </c>
      <c r="BE1410" s="120"/>
      <c r="BF1410" s="120"/>
      <c r="BG1410" s="120"/>
    </row>
    <row r="1411" spans="1:59" s="3" customFormat="1" x14ac:dyDescent="0.3">
      <c r="A1411" s="15" t="str">
        <f t="shared" si="273"/>
        <v/>
      </c>
      <c r="B1411" s="25"/>
      <c r="C1411" s="26"/>
      <c r="D1411" s="279"/>
      <c r="E1411" s="27"/>
      <c r="F1411" s="28"/>
      <c r="G1411" s="27"/>
      <c r="H1411" s="28"/>
      <c r="I1411" s="28"/>
      <c r="J1411" s="255" t="str">
        <f>IF(H1411="","",(_xlfn.XLOOKUP(H1411,Cadastros!$D$6:$D$90,Cadastros!$E$6:$E$90))*(1-_xlfn.XLOOKUP(_xlfn.XLOOKUP($F1411,Clientes!$B$4:$B$39,Clientes!$C$4:$C$39),Cadastros!$L$6:$L$12,Cadastros!$N$6:$N$12)))</f>
        <v/>
      </c>
      <c r="K1411" s="168" t="str">
        <f t="shared" si="274"/>
        <v/>
      </c>
      <c r="L1411" s="168" t="str">
        <f>IFERROR(K1411/_xlfn.XLOOKUP(_xlfn.XLOOKUP($F1411,Clientes!$B$4:$B$39,Clientes!$C$4:$C$39),Cadastros!$L$6:$L$12,Cadastros!$M$6:$M$12)," ")</f>
        <v xml:space="preserve"> </v>
      </c>
      <c r="M1411" s="28"/>
      <c r="N1411" s="28"/>
      <c r="O1411" s="255" t="str">
        <f>IF(M1411="","",(_xlfn.XLOOKUP(M1411,Cadastros!$D$6:$D$90,Cadastros!$E$6:$E$90))*(1-_xlfn.XLOOKUP(_xlfn.XLOOKUP($F1411,Clientes!$B$4:$B$39,Clientes!$C$4:$C$39),Cadastros!$L$6:$L$12,Cadastros!$N$6:$N$12)))</f>
        <v/>
      </c>
      <c r="P1411" s="168" t="str">
        <f t="shared" si="275"/>
        <v/>
      </c>
      <c r="Q1411" s="168" t="str">
        <f>IFERROR(P1411/_xlfn.XLOOKUP(_xlfn.XLOOKUP($F1411,Clientes!$B$4:$B$39,Clientes!$C$4:$C$39),Cadastros!$L$6:$L$12,Cadastros!$M$6:$M$12)," ")</f>
        <v xml:space="preserve"> </v>
      </c>
      <c r="R1411" s="28"/>
      <c r="S1411" s="28"/>
      <c r="T1411" s="255" t="str">
        <f>IF(R1411="","",(_xlfn.XLOOKUP(R1411,Cadastros!$D$6:$D$90,Cadastros!$E$6:$E$90))*(1-_xlfn.XLOOKUP(_xlfn.XLOOKUP($F1411,Clientes!$B$4:$B$39,Clientes!$C$4:$C$39),Cadastros!$L$6:$L$12,Cadastros!$N$6:$N$12)))</f>
        <v/>
      </c>
      <c r="U1411" s="168" t="str">
        <f t="shared" si="276"/>
        <v/>
      </c>
      <c r="V1411" s="168" t="str">
        <f>IFERROR(U1411/_xlfn.XLOOKUP(_xlfn.XLOOKUP($F1411,Clientes!$B$4:$B$39,Clientes!$C$4:$C$39),Cadastros!$L$6:$L$12,Cadastros!$M$6:$M$12)," ")</f>
        <v xml:space="preserve"> </v>
      </c>
      <c r="W1411" s="28"/>
      <c r="X1411" s="28"/>
      <c r="Y1411" s="255" t="str">
        <f>IF(W1411="","",(_xlfn.XLOOKUP(W1411,Cadastros!$D$6:$D$90,Cadastros!$E$6:$E$90))*(1-_xlfn.XLOOKUP(_xlfn.XLOOKUP($F1411,Clientes!$B$4:$B$39,Clientes!$C$4:$C$39),Cadastros!$L$6:$L$12,Cadastros!$N$6:$N$12)))</f>
        <v/>
      </c>
      <c r="Z1411" s="168" t="str">
        <f t="shared" si="277"/>
        <v/>
      </c>
      <c r="AA1411" s="168" t="str">
        <f>IFERROR(Z1411/_xlfn.XLOOKUP(_xlfn.XLOOKUP($F1411,Clientes!$B$4:$B$39,Clientes!$C$4:$C$39),Cadastros!$L$6:$L$12,Cadastros!$M$6:$M$12)," ")</f>
        <v xml:space="preserve"> </v>
      </c>
      <c r="AB1411" s="28"/>
      <c r="AC1411" s="28"/>
      <c r="AD1411" s="20" t="str">
        <f>IF(AB1411="","",IF($F1411="Bernardino Furlan",_xlfn.XLOOKUP(AB1411,Cadastros!$G$6:$G$90,Cadastros!$H$6:$H$90)*(1-0.18),IF($F1411="Mauro José Salanti",_xlfn.XLOOKUP(AB1411,Cadastros!$G$6:$G$90,Cadastros!$H$6:$H$90)*(1-0.18),_xlfn.XLOOKUP(AB1411,Cadastros!$G$6:$G$90,Cadastros!$H$6:$H$90))))</f>
        <v/>
      </c>
      <c r="AE1411" s="168" t="str">
        <f t="shared" si="278"/>
        <v/>
      </c>
      <c r="AF1411" s="168" t="str">
        <f t="shared" si="279"/>
        <v/>
      </c>
      <c r="AG1411" s="28"/>
      <c r="AH1411" s="28"/>
      <c r="AI1411" s="20" t="str">
        <f>IF(AG1411="","",IF($F1411="Bernardino Furlan",_xlfn.XLOOKUP(AG1411,Cadastros!$G$6:$G$90,Cadastros!$H$6:$H$90)*(1-0.18),IF($F1411="Mauro José Salanti",_xlfn.XLOOKUP(AG1411,Cadastros!$G$6:$G$90,Cadastros!$H$6:$H$90)*(1-0.18),_xlfn.XLOOKUP(AG1411,Cadastros!$G$6:$G$90,Cadastros!$H$6:$H$90))))</f>
        <v/>
      </c>
      <c r="AJ1411" s="168" t="str">
        <f t="shared" si="280"/>
        <v/>
      </c>
      <c r="AK1411" s="168" t="str">
        <f t="shared" si="281"/>
        <v/>
      </c>
      <c r="AL1411" s="28"/>
      <c r="AM1411" s="28"/>
      <c r="AN1411" s="20" t="str">
        <f>IF(AL1411="","",IF($F1411="Bernardino Furlan",_xlfn.XLOOKUP(AL1411,Cadastros!$G$6:$G$90,Cadastros!$H$6:$H$90)*(1-0.18),IF($F1411="Mauro José Salanti",_xlfn.XLOOKUP(AL1411,Cadastros!$G$6:$G$90,Cadastros!$H$6:$H$90)*(1-0.18),_xlfn.XLOOKUP(AL1411,Cadastros!$G$6:$G$90,Cadastros!$H$6:$H$90))))</f>
        <v/>
      </c>
      <c r="AO1411" s="168" t="str">
        <f t="shared" si="282"/>
        <v/>
      </c>
      <c r="AP1411" s="168" t="str">
        <f t="shared" si="283"/>
        <v/>
      </c>
      <c r="AQ1411" s="28"/>
      <c r="AR1411" s="28"/>
      <c r="AS1411" s="20" t="str">
        <f>IF(AQ1411="","",IF($F1411="Bernardino Furlan",_xlfn.XLOOKUP(AQ1411,Cadastros!$G$6:$G$90,Cadastros!$H$6:$H$90)*(1-0.18),IF($F1411="Mauro José Salanti",_xlfn.XLOOKUP(AQ1411,Cadastros!$G$6:$G$90,Cadastros!$H$6:$H$90)*(1-0.18),_xlfn.XLOOKUP(AQ1411,Cadastros!$G$6:$G$90,Cadastros!$H$6:$H$90))))</f>
        <v/>
      </c>
      <c r="AT1411" s="168" t="str">
        <f t="shared" si="284"/>
        <v/>
      </c>
      <c r="AU1411" s="168" t="str">
        <f t="shared" si="285"/>
        <v/>
      </c>
      <c r="AV1411" s="227"/>
      <c r="AW1411" s="30"/>
      <c r="AX1411" s="267"/>
      <c r="AY1411" s="267"/>
      <c r="AZ1411" s="29"/>
      <c r="BA1411" s="30"/>
      <c r="BB1411" s="23" t="str" cm="1">
        <f t="array" ref="BB1411">_xlfn.IFS(AW1411="SIM",SUM(K1411,P1411,U1411,Z1411,AE1411,AJ1411,AO1411,AT1411,AX1411,AY1411),F1411&lt;&gt;"",SUM(K1411,P1411,U1411,Z1411,AE1411,AJ1411,,AO1411,AT1411),F1411="","")</f>
        <v/>
      </c>
      <c r="BC1411" s="211" t="str" cm="1">
        <f t="array" ref="BC1411">_xlfn.IFS(E1411="","",G1411&lt;=E1411,BB1411*(1-0.03),G1411&lt;(E1411+8),BB1411,AZ1411="Boleto",BB1411*(1+0.001)^DATEDIF(E1411,G1411,"D"),AZ1411="Cheque",BB1411,AZ1411="Dinheiro","Alterar forma pgto")</f>
        <v/>
      </c>
      <c r="BD1411" s="276" t="str" cm="1">
        <f t="array" ref="BD1411">IF(F1411=0," ",IF(BC1411&lt;BB1411,(_xlfn.IFS(AW1411="SIM",SUM(L1411,Q1411,V1411,AA1411,AF1411,AK1411,AP1411,AU1411)+AX1411/_xlfn.XLOOKUP(_xlfn.XLOOKUP($F1411,Clientes!$B$4:$B$39,Clientes!$C$4:$C$39),Cadastros!$L$6:$L$12,Cadastros!$M$6:$M$12)+IF($F1411="Bernardino Furlan",AY1411/2751.92,IF($F1411="Mauro José Salanti",AY1411/2751.92,AY1411/3356)),F1411&lt;&gt;0,SUM(L1411,Q1411,V1411,AA1411,AF1411,AK1411,AP1411,AU1411)))*(1-0.03),_xlfn.IFS(AW1411="SIM",SUM(L1411,Q1411,V1411,AA1411,AF1411,AK1411,AP1411,AU1411)+AX1411/_xlfn.XLOOKUP(_xlfn.XLOOKUP($F1411,Clientes!$B$4:$B$39,Clientes!$C$4:$C$39),Cadastros!$L$6:$L$12,Cadastros!$M$6:$M$12)+IF($F1411="Bernardino Furlan",AY1411/2751.92,IF($F1411="Mauro José Salanti",AY1411/2751.92,AY1411/3356)),F1411&lt;&gt;0,SUM(L1411,Q1411,V1411,AA1411,AF1411,AK1411,AP1411,AU1411))))</f>
        <v xml:space="preserve"> </v>
      </c>
      <c r="BE1411" s="120"/>
      <c r="BF1411" s="120"/>
      <c r="BG1411" s="120"/>
    </row>
    <row r="1412" spans="1:59" s="3" customFormat="1" x14ac:dyDescent="0.3">
      <c r="A1412" s="15" t="str">
        <f t="shared" si="273"/>
        <v/>
      </c>
      <c r="B1412" s="25"/>
      <c r="C1412" s="26"/>
      <c r="D1412" s="279"/>
      <c r="E1412" s="27"/>
      <c r="F1412" s="28"/>
      <c r="G1412" s="27"/>
      <c r="H1412" s="28"/>
      <c r="I1412" s="28"/>
      <c r="J1412" s="255" t="str">
        <f>IF(H1412="","",(_xlfn.XLOOKUP(H1412,Cadastros!$D$6:$D$90,Cadastros!$E$6:$E$90))*(1-_xlfn.XLOOKUP(_xlfn.XLOOKUP($F1412,Clientes!$B$4:$B$39,Clientes!$C$4:$C$39),Cadastros!$L$6:$L$12,Cadastros!$N$6:$N$12)))</f>
        <v/>
      </c>
      <c r="K1412" s="168" t="str">
        <f t="shared" si="274"/>
        <v/>
      </c>
      <c r="L1412" s="168" t="str">
        <f>IFERROR(K1412/_xlfn.XLOOKUP(_xlfn.XLOOKUP($F1412,Clientes!$B$4:$B$39,Clientes!$C$4:$C$39),Cadastros!$L$6:$L$12,Cadastros!$M$6:$M$12)," ")</f>
        <v xml:space="preserve"> </v>
      </c>
      <c r="M1412" s="28"/>
      <c r="N1412" s="28"/>
      <c r="O1412" s="255" t="str">
        <f>IF(M1412="","",(_xlfn.XLOOKUP(M1412,Cadastros!$D$6:$D$90,Cadastros!$E$6:$E$90))*(1-_xlfn.XLOOKUP(_xlfn.XLOOKUP($F1412,Clientes!$B$4:$B$39,Clientes!$C$4:$C$39),Cadastros!$L$6:$L$12,Cadastros!$N$6:$N$12)))</f>
        <v/>
      </c>
      <c r="P1412" s="168" t="str">
        <f t="shared" si="275"/>
        <v/>
      </c>
      <c r="Q1412" s="168" t="str">
        <f>IFERROR(P1412/_xlfn.XLOOKUP(_xlfn.XLOOKUP($F1412,Clientes!$B$4:$B$39,Clientes!$C$4:$C$39),Cadastros!$L$6:$L$12,Cadastros!$M$6:$M$12)," ")</f>
        <v xml:space="preserve"> </v>
      </c>
      <c r="R1412" s="28"/>
      <c r="S1412" s="28"/>
      <c r="T1412" s="255" t="str">
        <f>IF(R1412="","",(_xlfn.XLOOKUP(R1412,Cadastros!$D$6:$D$90,Cadastros!$E$6:$E$90))*(1-_xlfn.XLOOKUP(_xlfn.XLOOKUP($F1412,Clientes!$B$4:$B$39,Clientes!$C$4:$C$39),Cadastros!$L$6:$L$12,Cadastros!$N$6:$N$12)))</f>
        <v/>
      </c>
      <c r="U1412" s="168" t="str">
        <f t="shared" si="276"/>
        <v/>
      </c>
      <c r="V1412" s="168" t="str">
        <f>IFERROR(U1412/_xlfn.XLOOKUP(_xlfn.XLOOKUP($F1412,Clientes!$B$4:$B$39,Clientes!$C$4:$C$39),Cadastros!$L$6:$L$12,Cadastros!$M$6:$M$12)," ")</f>
        <v xml:space="preserve"> </v>
      </c>
      <c r="W1412" s="28"/>
      <c r="X1412" s="28"/>
      <c r="Y1412" s="255" t="str">
        <f>IF(W1412="","",(_xlfn.XLOOKUP(W1412,Cadastros!$D$6:$D$90,Cadastros!$E$6:$E$90))*(1-_xlfn.XLOOKUP(_xlfn.XLOOKUP($F1412,Clientes!$B$4:$B$39,Clientes!$C$4:$C$39),Cadastros!$L$6:$L$12,Cadastros!$N$6:$N$12)))</f>
        <v/>
      </c>
      <c r="Z1412" s="168" t="str">
        <f t="shared" si="277"/>
        <v/>
      </c>
      <c r="AA1412" s="168" t="str">
        <f>IFERROR(Z1412/_xlfn.XLOOKUP(_xlfn.XLOOKUP($F1412,Clientes!$B$4:$B$39,Clientes!$C$4:$C$39),Cadastros!$L$6:$L$12,Cadastros!$M$6:$M$12)," ")</f>
        <v xml:space="preserve"> </v>
      </c>
      <c r="AB1412" s="28"/>
      <c r="AC1412" s="28"/>
      <c r="AD1412" s="20" t="str">
        <f>IF(AB1412="","",IF($F1412="Bernardino Furlan",_xlfn.XLOOKUP(AB1412,Cadastros!$G$6:$G$90,Cadastros!$H$6:$H$90)*(1-0.18),IF($F1412="Mauro José Salanti",_xlfn.XLOOKUP(AB1412,Cadastros!$G$6:$G$90,Cadastros!$H$6:$H$90)*(1-0.18),_xlfn.XLOOKUP(AB1412,Cadastros!$G$6:$G$90,Cadastros!$H$6:$H$90))))</f>
        <v/>
      </c>
      <c r="AE1412" s="168" t="str">
        <f t="shared" si="278"/>
        <v/>
      </c>
      <c r="AF1412" s="168" t="str">
        <f t="shared" si="279"/>
        <v/>
      </c>
      <c r="AG1412" s="28"/>
      <c r="AH1412" s="28"/>
      <c r="AI1412" s="20" t="str">
        <f>IF(AG1412="","",IF($F1412="Bernardino Furlan",_xlfn.XLOOKUP(AG1412,Cadastros!$G$6:$G$90,Cadastros!$H$6:$H$90)*(1-0.18),IF($F1412="Mauro José Salanti",_xlfn.XLOOKUP(AG1412,Cadastros!$G$6:$G$90,Cadastros!$H$6:$H$90)*(1-0.18),_xlfn.XLOOKUP(AG1412,Cadastros!$G$6:$G$90,Cadastros!$H$6:$H$90))))</f>
        <v/>
      </c>
      <c r="AJ1412" s="168" t="str">
        <f t="shared" si="280"/>
        <v/>
      </c>
      <c r="AK1412" s="168" t="str">
        <f t="shared" si="281"/>
        <v/>
      </c>
      <c r="AL1412" s="28"/>
      <c r="AM1412" s="28"/>
      <c r="AN1412" s="20" t="str">
        <f>IF(AL1412="","",IF($F1412="Bernardino Furlan",_xlfn.XLOOKUP(AL1412,Cadastros!$G$6:$G$90,Cadastros!$H$6:$H$90)*(1-0.18),IF($F1412="Mauro José Salanti",_xlfn.XLOOKUP(AL1412,Cadastros!$G$6:$G$90,Cadastros!$H$6:$H$90)*(1-0.18),_xlfn.XLOOKUP(AL1412,Cadastros!$G$6:$G$90,Cadastros!$H$6:$H$90))))</f>
        <v/>
      </c>
      <c r="AO1412" s="168" t="str">
        <f t="shared" si="282"/>
        <v/>
      </c>
      <c r="AP1412" s="168" t="str">
        <f t="shared" si="283"/>
        <v/>
      </c>
      <c r="AQ1412" s="28"/>
      <c r="AR1412" s="28"/>
      <c r="AS1412" s="20" t="str">
        <f>IF(AQ1412="","",IF($F1412="Bernardino Furlan",_xlfn.XLOOKUP(AQ1412,Cadastros!$G$6:$G$90,Cadastros!$H$6:$H$90)*(1-0.18),IF($F1412="Mauro José Salanti",_xlfn.XLOOKUP(AQ1412,Cadastros!$G$6:$G$90,Cadastros!$H$6:$H$90)*(1-0.18),_xlfn.XLOOKUP(AQ1412,Cadastros!$G$6:$G$90,Cadastros!$H$6:$H$90))))</f>
        <v/>
      </c>
      <c r="AT1412" s="168" t="str">
        <f t="shared" si="284"/>
        <v/>
      </c>
      <c r="AU1412" s="168" t="str">
        <f t="shared" si="285"/>
        <v/>
      </c>
      <c r="AV1412" s="227"/>
      <c r="AW1412" s="30"/>
      <c r="AX1412" s="267"/>
      <c r="AY1412" s="267"/>
      <c r="AZ1412" s="29"/>
      <c r="BA1412" s="30"/>
      <c r="BB1412" s="23" t="str" cm="1">
        <f t="array" ref="BB1412">_xlfn.IFS(AW1412="SIM",SUM(K1412,P1412,U1412,Z1412,AE1412,AJ1412,AO1412,AT1412,AX1412,AY1412),F1412&lt;&gt;"",SUM(K1412,P1412,U1412,Z1412,AE1412,AJ1412,,AO1412,AT1412),F1412="","")</f>
        <v/>
      </c>
      <c r="BC1412" s="211" t="str" cm="1">
        <f t="array" ref="BC1412">_xlfn.IFS(E1412="","",G1412&lt;=E1412,BB1412*(1-0.03),G1412&lt;(E1412+8),BB1412,AZ1412="Boleto",BB1412*(1+0.001)^DATEDIF(E1412,G1412,"D"),AZ1412="Cheque",BB1412,AZ1412="Dinheiro","Alterar forma pgto")</f>
        <v/>
      </c>
      <c r="BD1412" s="276" t="str" cm="1">
        <f t="array" ref="BD1412">IF(F1412=0," ",IF(BC1412&lt;BB1412,(_xlfn.IFS(AW1412="SIM",SUM(L1412,Q1412,V1412,AA1412,AF1412,AK1412,AP1412,AU1412)+AX1412/_xlfn.XLOOKUP(_xlfn.XLOOKUP($F1412,Clientes!$B$4:$B$39,Clientes!$C$4:$C$39),Cadastros!$L$6:$L$12,Cadastros!$M$6:$M$12)+IF($F1412="Bernardino Furlan",AY1412/2751.92,IF($F1412="Mauro José Salanti",AY1412/2751.92,AY1412/3356)),F1412&lt;&gt;0,SUM(L1412,Q1412,V1412,AA1412,AF1412,AK1412,AP1412,AU1412)))*(1-0.03),_xlfn.IFS(AW1412="SIM",SUM(L1412,Q1412,V1412,AA1412,AF1412,AK1412,AP1412,AU1412)+AX1412/_xlfn.XLOOKUP(_xlfn.XLOOKUP($F1412,Clientes!$B$4:$B$39,Clientes!$C$4:$C$39),Cadastros!$L$6:$L$12,Cadastros!$M$6:$M$12)+IF($F1412="Bernardino Furlan",AY1412/2751.92,IF($F1412="Mauro José Salanti",AY1412/2751.92,AY1412/3356)),F1412&lt;&gt;0,SUM(L1412,Q1412,V1412,AA1412,AF1412,AK1412,AP1412,AU1412))))</f>
        <v xml:space="preserve"> </v>
      </c>
      <c r="BE1412" s="120"/>
      <c r="BF1412" s="120"/>
      <c r="BG1412" s="120"/>
    </row>
    <row r="1413" spans="1:59" s="3" customFormat="1" x14ac:dyDescent="0.3">
      <c r="A1413" s="15" t="str">
        <f t="shared" si="273"/>
        <v/>
      </c>
      <c r="B1413" s="25"/>
      <c r="C1413" s="26"/>
      <c r="D1413" s="279"/>
      <c r="E1413" s="27"/>
      <c r="F1413" s="28"/>
      <c r="G1413" s="27"/>
      <c r="H1413" s="28"/>
      <c r="I1413" s="28"/>
      <c r="J1413" s="255" t="str">
        <f>IF(H1413="","",(_xlfn.XLOOKUP(H1413,Cadastros!$D$6:$D$90,Cadastros!$E$6:$E$90))*(1-_xlfn.XLOOKUP(_xlfn.XLOOKUP($F1413,Clientes!$B$4:$B$39,Clientes!$C$4:$C$39),Cadastros!$L$6:$L$12,Cadastros!$N$6:$N$12)))</f>
        <v/>
      </c>
      <c r="K1413" s="168" t="str">
        <f t="shared" si="274"/>
        <v/>
      </c>
      <c r="L1413" s="168" t="str">
        <f>IFERROR(K1413/_xlfn.XLOOKUP(_xlfn.XLOOKUP($F1413,Clientes!$B$4:$B$39,Clientes!$C$4:$C$39),Cadastros!$L$6:$L$12,Cadastros!$M$6:$M$12)," ")</f>
        <v xml:space="preserve"> </v>
      </c>
      <c r="M1413" s="28"/>
      <c r="N1413" s="28"/>
      <c r="O1413" s="255" t="str">
        <f>IF(M1413="","",(_xlfn.XLOOKUP(M1413,Cadastros!$D$6:$D$90,Cadastros!$E$6:$E$90))*(1-_xlfn.XLOOKUP(_xlfn.XLOOKUP($F1413,Clientes!$B$4:$B$39,Clientes!$C$4:$C$39),Cadastros!$L$6:$L$12,Cadastros!$N$6:$N$12)))</f>
        <v/>
      </c>
      <c r="P1413" s="168" t="str">
        <f t="shared" si="275"/>
        <v/>
      </c>
      <c r="Q1413" s="168" t="str">
        <f>IFERROR(P1413/_xlfn.XLOOKUP(_xlfn.XLOOKUP($F1413,Clientes!$B$4:$B$39,Clientes!$C$4:$C$39),Cadastros!$L$6:$L$12,Cadastros!$M$6:$M$12)," ")</f>
        <v xml:space="preserve"> </v>
      </c>
      <c r="R1413" s="28"/>
      <c r="S1413" s="28"/>
      <c r="T1413" s="255" t="str">
        <f>IF(R1413="","",(_xlfn.XLOOKUP(R1413,Cadastros!$D$6:$D$90,Cadastros!$E$6:$E$90))*(1-_xlfn.XLOOKUP(_xlfn.XLOOKUP($F1413,Clientes!$B$4:$B$39,Clientes!$C$4:$C$39),Cadastros!$L$6:$L$12,Cadastros!$N$6:$N$12)))</f>
        <v/>
      </c>
      <c r="U1413" s="168" t="str">
        <f t="shared" si="276"/>
        <v/>
      </c>
      <c r="V1413" s="168" t="str">
        <f>IFERROR(U1413/_xlfn.XLOOKUP(_xlfn.XLOOKUP($F1413,Clientes!$B$4:$B$39,Clientes!$C$4:$C$39),Cadastros!$L$6:$L$12,Cadastros!$M$6:$M$12)," ")</f>
        <v xml:space="preserve"> </v>
      </c>
      <c r="W1413" s="28"/>
      <c r="X1413" s="28"/>
      <c r="Y1413" s="255" t="str">
        <f>IF(W1413="","",(_xlfn.XLOOKUP(W1413,Cadastros!$D$6:$D$90,Cadastros!$E$6:$E$90))*(1-_xlfn.XLOOKUP(_xlfn.XLOOKUP($F1413,Clientes!$B$4:$B$39,Clientes!$C$4:$C$39),Cadastros!$L$6:$L$12,Cadastros!$N$6:$N$12)))</f>
        <v/>
      </c>
      <c r="Z1413" s="168" t="str">
        <f t="shared" si="277"/>
        <v/>
      </c>
      <c r="AA1413" s="168" t="str">
        <f>IFERROR(Z1413/_xlfn.XLOOKUP(_xlfn.XLOOKUP($F1413,Clientes!$B$4:$B$39,Clientes!$C$4:$C$39),Cadastros!$L$6:$L$12,Cadastros!$M$6:$M$12)," ")</f>
        <v xml:space="preserve"> </v>
      </c>
      <c r="AB1413" s="28"/>
      <c r="AC1413" s="28"/>
      <c r="AD1413" s="20" t="str">
        <f>IF(AB1413="","",IF($F1413="Bernardino Furlan",_xlfn.XLOOKUP(AB1413,Cadastros!$G$6:$G$90,Cadastros!$H$6:$H$90)*(1-0.18),IF($F1413="Mauro José Salanti",_xlfn.XLOOKUP(AB1413,Cadastros!$G$6:$G$90,Cadastros!$H$6:$H$90)*(1-0.18),_xlfn.XLOOKUP(AB1413,Cadastros!$G$6:$G$90,Cadastros!$H$6:$H$90))))</f>
        <v/>
      </c>
      <c r="AE1413" s="168" t="str">
        <f t="shared" si="278"/>
        <v/>
      </c>
      <c r="AF1413" s="168" t="str">
        <f t="shared" si="279"/>
        <v/>
      </c>
      <c r="AG1413" s="28"/>
      <c r="AH1413" s="28"/>
      <c r="AI1413" s="20" t="str">
        <f>IF(AG1413="","",IF($F1413="Bernardino Furlan",_xlfn.XLOOKUP(AG1413,Cadastros!$G$6:$G$90,Cadastros!$H$6:$H$90)*(1-0.18),IF($F1413="Mauro José Salanti",_xlfn.XLOOKUP(AG1413,Cadastros!$G$6:$G$90,Cadastros!$H$6:$H$90)*(1-0.18),_xlfn.XLOOKUP(AG1413,Cadastros!$G$6:$G$90,Cadastros!$H$6:$H$90))))</f>
        <v/>
      </c>
      <c r="AJ1413" s="168" t="str">
        <f t="shared" si="280"/>
        <v/>
      </c>
      <c r="AK1413" s="168" t="str">
        <f t="shared" si="281"/>
        <v/>
      </c>
      <c r="AL1413" s="28"/>
      <c r="AM1413" s="28"/>
      <c r="AN1413" s="20" t="str">
        <f>IF(AL1413="","",IF($F1413="Bernardino Furlan",_xlfn.XLOOKUP(AL1413,Cadastros!$G$6:$G$90,Cadastros!$H$6:$H$90)*(1-0.18),IF($F1413="Mauro José Salanti",_xlfn.XLOOKUP(AL1413,Cadastros!$G$6:$G$90,Cadastros!$H$6:$H$90)*(1-0.18),_xlfn.XLOOKUP(AL1413,Cadastros!$G$6:$G$90,Cadastros!$H$6:$H$90))))</f>
        <v/>
      </c>
      <c r="AO1413" s="168" t="str">
        <f t="shared" si="282"/>
        <v/>
      </c>
      <c r="AP1413" s="168" t="str">
        <f t="shared" si="283"/>
        <v/>
      </c>
      <c r="AQ1413" s="28"/>
      <c r="AR1413" s="28"/>
      <c r="AS1413" s="20" t="str">
        <f>IF(AQ1413="","",IF($F1413="Bernardino Furlan",_xlfn.XLOOKUP(AQ1413,Cadastros!$G$6:$G$90,Cadastros!$H$6:$H$90)*(1-0.18),IF($F1413="Mauro José Salanti",_xlfn.XLOOKUP(AQ1413,Cadastros!$G$6:$G$90,Cadastros!$H$6:$H$90)*(1-0.18),_xlfn.XLOOKUP(AQ1413,Cadastros!$G$6:$G$90,Cadastros!$H$6:$H$90))))</f>
        <v/>
      </c>
      <c r="AT1413" s="168" t="str">
        <f t="shared" si="284"/>
        <v/>
      </c>
      <c r="AU1413" s="168" t="str">
        <f t="shared" si="285"/>
        <v/>
      </c>
      <c r="AV1413" s="227"/>
      <c r="AW1413" s="30"/>
      <c r="AX1413" s="267"/>
      <c r="AY1413" s="267"/>
      <c r="AZ1413" s="29"/>
      <c r="BA1413" s="30"/>
      <c r="BB1413" s="23" t="str" cm="1">
        <f t="array" ref="BB1413">_xlfn.IFS(AW1413="SIM",SUM(K1413,P1413,U1413,Z1413,AE1413,AJ1413,AO1413,AT1413,AX1413,AY1413),F1413&lt;&gt;"",SUM(K1413,P1413,U1413,Z1413,AE1413,AJ1413,,AO1413,AT1413),F1413="","")</f>
        <v/>
      </c>
      <c r="BC1413" s="211" t="str" cm="1">
        <f t="array" ref="BC1413">_xlfn.IFS(E1413="","",G1413&lt;=E1413,BB1413*(1-0.03),G1413&lt;(E1413+8),BB1413,AZ1413="Boleto",BB1413*(1+0.001)^DATEDIF(E1413,G1413,"D"),AZ1413="Cheque",BB1413,AZ1413="Dinheiro","Alterar forma pgto")</f>
        <v/>
      </c>
      <c r="BD1413" s="276" t="str" cm="1">
        <f t="array" ref="BD1413">IF(F1413=0," ",IF(BC1413&lt;BB1413,(_xlfn.IFS(AW1413="SIM",SUM(L1413,Q1413,V1413,AA1413,AF1413,AK1413,AP1413,AU1413)+AX1413/_xlfn.XLOOKUP(_xlfn.XLOOKUP($F1413,Clientes!$B$4:$B$39,Clientes!$C$4:$C$39),Cadastros!$L$6:$L$12,Cadastros!$M$6:$M$12)+IF($F1413="Bernardino Furlan",AY1413/2751.92,IF($F1413="Mauro José Salanti",AY1413/2751.92,AY1413/3356)),F1413&lt;&gt;0,SUM(L1413,Q1413,V1413,AA1413,AF1413,AK1413,AP1413,AU1413)))*(1-0.03),_xlfn.IFS(AW1413="SIM",SUM(L1413,Q1413,V1413,AA1413,AF1413,AK1413,AP1413,AU1413)+AX1413/_xlfn.XLOOKUP(_xlfn.XLOOKUP($F1413,Clientes!$B$4:$B$39,Clientes!$C$4:$C$39),Cadastros!$L$6:$L$12,Cadastros!$M$6:$M$12)+IF($F1413="Bernardino Furlan",AY1413/2751.92,IF($F1413="Mauro José Salanti",AY1413/2751.92,AY1413/3356)),F1413&lt;&gt;0,SUM(L1413,Q1413,V1413,AA1413,AF1413,AK1413,AP1413,AU1413))))</f>
        <v xml:space="preserve"> </v>
      </c>
      <c r="BE1413" s="120"/>
      <c r="BF1413" s="120"/>
      <c r="BG1413" s="120"/>
    </row>
    <row r="1414" spans="1:59" s="3" customFormat="1" x14ac:dyDescent="0.3">
      <c r="A1414" s="15" t="str">
        <f t="shared" si="273"/>
        <v/>
      </c>
      <c r="B1414" s="25"/>
      <c r="C1414" s="26"/>
      <c r="D1414" s="279"/>
      <c r="E1414" s="27"/>
      <c r="F1414" s="28"/>
      <c r="G1414" s="27"/>
      <c r="H1414" s="28"/>
      <c r="I1414" s="28"/>
      <c r="J1414" s="255" t="str">
        <f>IF(H1414="","",(_xlfn.XLOOKUP(H1414,Cadastros!$D$6:$D$90,Cadastros!$E$6:$E$90))*(1-_xlfn.XLOOKUP(_xlfn.XLOOKUP($F1414,Clientes!$B$4:$B$39,Clientes!$C$4:$C$39),Cadastros!$L$6:$L$12,Cadastros!$N$6:$N$12)))</f>
        <v/>
      </c>
      <c r="K1414" s="168" t="str">
        <f t="shared" si="274"/>
        <v/>
      </c>
      <c r="L1414" s="168" t="str">
        <f>IFERROR(K1414/_xlfn.XLOOKUP(_xlfn.XLOOKUP($F1414,Clientes!$B$4:$B$39,Clientes!$C$4:$C$39),Cadastros!$L$6:$L$12,Cadastros!$M$6:$M$12)," ")</f>
        <v xml:space="preserve"> </v>
      </c>
      <c r="M1414" s="28"/>
      <c r="N1414" s="28"/>
      <c r="O1414" s="255" t="str">
        <f>IF(M1414="","",(_xlfn.XLOOKUP(M1414,Cadastros!$D$6:$D$90,Cadastros!$E$6:$E$90))*(1-_xlfn.XLOOKUP(_xlfn.XLOOKUP($F1414,Clientes!$B$4:$B$39,Clientes!$C$4:$C$39),Cadastros!$L$6:$L$12,Cadastros!$N$6:$N$12)))</f>
        <v/>
      </c>
      <c r="P1414" s="168" t="str">
        <f t="shared" si="275"/>
        <v/>
      </c>
      <c r="Q1414" s="168" t="str">
        <f>IFERROR(P1414/_xlfn.XLOOKUP(_xlfn.XLOOKUP($F1414,Clientes!$B$4:$B$39,Clientes!$C$4:$C$39),Cadastros!$L$6:$L$12,Cadastros!$M$6:$M$12)," ")</f>
        <v xml:space="preserve"> </v>
      </c>
      <c r="R1414" s="28"/>
      <c r="S1414" s="28"/>
      <c r="T1414" s="255" t="str">
        <f>IF(R1414="","",(_xlfn.XLOOKUP(R1414,Cadastros!$D$6:$D$90,Cadastros!$E$6:$E$90))*(1-_xlfn.XLOOKUP(_xlfn.XLOOKUP($F1414,Clientes!$B$4:$B$39,Clientes!$C$4:$C$39),Cadastros!$L$6:$L$12,Cadastros!$N$6:$N$12)))</f>
        <v/>
      </c>
      <c r="U1414" s="168" t="str">
        <f t="shared" si="276"/>
        <v/>
      </c>
      <c r="V1414" s="168" t="str">
        <f>IFERROR(U1414/_xlfn.XLOOKUP(_xlfn.XLOOKUP($F1414,Clientes!$B$4:$B$39,Clientes!$C$4:$C$39),Cadastros!$L$6:$L$12,Cadastros!$M$6:$M$12)," ")</f>
        <v xml:space="preserve"> </v>
      </c>
      <c r="W1414" s="28"/>
      <c r="X1414" s="28"/>
      <c r="Y1414" s="255" t="str">
        <f>IF(W1414="","",(_xlfn.XLOOKUP(W1414,Cadastros!$D$6:$D$90,Cadastros!$E$6:$E$90))*(1-_xlfn.XLOOKUP(_xlfn.XLOOKUP($F1414,Clientes!$B$4:$B$39,Clientes!$C$4:$C$39),Cadastros!$L$6:$L$12,Cadastros!$N$6:$N$12)))</f>
        <v/>
      </c>
      <c r="Z1414" s="168" t="str">
        <f t="shared" si="277"/>
        <v/>
      </c>
      <c r="AA1414" s="168" t="str">
        <f>IFERROR(Z1414/_xlfn.XLOOKUP(_xlfn.XLOOKUP($F1414,Clientes!$B$4:$B$39,Clientes!$C$4:$C$39),Cadastros!$L$6:$L$12,Cadastros!$M$6:$M$12)," ")</f>
        <v xml:space="preserve"> </v>
      </c>
      <c r="AB1414" s="28"/>
      <c r="AC1414" s="28"/>
      <c r="AD1414" s="20" t="str">
        <f>IF(AB1414="","",IF($F1414="Bernardino Furlan",_xlfn.XLOOKUP(AB1414,Cadastros!$G$6:$G$90,Cadastros!$H$6:$H$90)*(1-0.18),IF($F1414="Mauro José Salanti",_xlfn.XLOOKUP(AB1414,Cadastros!$G$6:$G$90,Cadastros!$H$6:$H$90)*(1-0.18),_xlfn.XLOOKUP(AB1414,Cadastros!$G$6:$G$90,Cadastros!$H$6:$H$90))))</f>
        <v/>
      </c>
      <c r="AE1414" s="168" t="str">
        <f t="shared" si="278"/>
        <v/>
      </c>
      <c r="AF1414" s="168" t="str">
        <f t="shared" si="279"/>
        <v/>
      </c>
      <c r="AG1414" s="28"/>
      <c r="AH1414" s="28"/>
      <c r="AI1414" s="20" t="str">
        <f>IF(AG1414="","",IF($F1414="Bernardino Furlan",_xlfn.XLOOKUP(AG1414,Cadastros!$G$6:$G$90,Cadastros!$H$6:$H$90)*(1-0.18),IF($F1414="Mauro José Salanti",_xlfn.XLOOKUP(AG1414,Cadastros!$G$6:$G$90,Cadastros!$H$6:$H$90)*(1-0.18),_xlfn.XLOOKUP(AG1414,Cadastros!$G$6:$G$90,Cadastros!$H$6:$H$90))))</f>
        <v/>
      </c>
      <c r="AJ1414" s="168" t="str">
        <f t="shared" si="280"/>
        <v/>
      </c>
      <c r="AK1414" s="168" t="str">
        <f t="shared" si="281"/>
        <v/>
      </c>
      <c r="AL1414" s="28"/>
      <c r="AM1414" s="28"/>
      <c r="AN1414" s="20" t="str">
        <f>IF(AL1414="","",IF($F1414="Bernardino Furlan",_xlfn.XLOOKUP(AL1414,Cadastros!$G$6:$G$90,Cadastros!$H$6:$H$90)*(1-0.18),IF($F1414="Mauro José Salanti",_xlfn.XLOOKUP(AL1414,Cadastros!$G$6:$G$90,Cadastros!$H$6:$H$90)*(1-0.18),_xlfn.XLOOKUP(AL1414,Cadastros!$G$6:$G$90,Cadastros!$H$6:$H$90))))</f>
        <v/>
      </c>
      <c r="AO1414" s="168" t="str">
        <f t="shared" si="282"/>
        <v/>
      </c>
      <c r="AP1414" s="168" t="str">
        <f t="shared" si="283"/>
        <v/>
      </c>
      <c r="AQ1414" s="28"/>
      <c r="AR1414" s="28"/>
      <c r="AS1414" s="20" t="str">
        <f>IF(AQ1414="","",IF($F1414="Bernardino Furlan",_xlfn.XLOOKUP(AQ1414,Cadastros!$G$6:$G$90,Cadastros!$H$6:$H$90)*(1-0.18),IF($F1414="Mauro José Salanti",_xlfn.XLOOKUP(AQ1414,Cadastros!$G$6:$G$90,Cadastros!$H$6:$H$90)*(1-0.18),_xlfn.XLOOKUP(AQ1414,Cadastros!$G$6:$G$90,Cadastros!$H$6:$H$90))))</f>
        <v/>
      </c>
      <c r="AT1414" s="168" t="str">
        <f t="shared" si="284"/>
        <v/>
      </c>
      <c r="AU1414" s="168" t="str">
        <f t="shared" si="285"/>
        <v/>
      </c>
      <c r="AV1414" s="227"/>
      <c r="AW1414" s="30"/>
      <c r="AX1414" s="267"/>
      <c r="AY1414" s="267"/>
      <c r="AZ1414" s="29"/>
      <c r="BA1414" s="30"/>
      <c r="BB1414" s="23" t="str" cm="1">
        <f t="array" ref="BB1414">_xlfn.IFS(AW1414="SIM",SUM(K1414,P1414,U1414,Z1414,AE1414,AJ1414,AO1414,AT1414,AX1414,AY1414),F1414&lt;&gt;"",SUM(K1414,P1414,U1414,Z1414,AE1414,AJ1414,,AO1414,AT1414),F1414="","")</f>
        <v/>
      </c>
      <c r="BC1414" s="211" t="str" cm="1">
        <f t="array" ref="BC1414">_xlfn.IFS(E1414="","",G1414&lt;=E1414,BB1414*(1-0.03),G1414&lt;(E1414+8),BB1414,AZ1414="Boleto",BB1414*(1+0.001)^DATEDIF(E1414,G1414,"D"),AZ1414="Cheque",BB1414,AZ1414="Dinheiro","Alterar forma pgto")</f>
        <v/>
      </c>
      <c r="BD1414" s="276" t="str" cm="1">
        <f t="array" ref="BD1414">IF(F1414=0," ",IF(BC1414&lt;BB1414,(_xlfn.IFS(AW1414="SIM",SUM(L1414,Q1414,V1414,AA1414,AF1414,AK1414,AP1414,AU1414)+AX1414/_xlfn.XLOOKUP(_xlfn.XLOOKUP($F1414,Clientes!$B$4:$B$39,Clientes!$C$4:$C$39),Cadastros!$L$6:$L$12,Cadastros!$M$6:$M$12)+IF($F1414="Bernardino Furlan",AY1414/2751.92,IF($F1414="Mauro José Salanti",AY1414/2751.92,AY1414/3356)),F1414&lt;&gt;0,SUM(L1414,Q1414,V1414,AA1414,AF1414,AK1414,AP1414,AU1414)))*(1-0.03),_xlfn.IFS(AW1414="SIM",SUM(L1414,Q1414,V1414,AA1414,AF1414,AK1414,AP1414,AU1414)+AX1414/_xlfn.XLOOKUP(_xlfn.XLOOKUP($F1414,Clientes!$B$4:$B$39,Clientes!$C$4:$C$39),Cadastros!$L$6:$L$12,Cadastros!$M$6:$M$12)+IF($F1414="Bernardino Furlan",AY1414/2751.92,IF($F1414="Mauro José Salanti",AY1414/2751.92,AY1414/3356)),F1414&lt;&gt;0,SUM(L1414,Q1414,V1414,AA1414,AF1414,AK1414,AP1414,AU1414))))</f>
        <v xml:space="preserve"> </v>
      </c>
      <c r="BE1414" s="120"/>
      <c r="BF1414" s="120"/>
      <c r="BG1414" s="120"/>
    </row>
    <row r="1415" spans="1:59" s="3" customFormat="1" x14ac:dyDescent="0.3">
      <c r="A1415" s="15" t="str">
        <f t="shared" si="273"/>
        <v/>
      </c>
      <c r="B1415" s="25"/>
      <c r="C1415" s="26"/>
      <c r="D1415" s="279"/>
      <c r="E1415" s="27"/>
      <c r="F1415" s="28"/>
      <c r="G1415" s="27"/>
      <c r="H1415" s="28"/>
      <c r="I1415" s="28"/>
      <c r="J1415" s="255" t="str">
        <f>IF(H1415="","",(_xlfn.XLOOKUP(H1415,Cadastros!$D$6:$D$90,Cadastros!$E$6:$E$90))*(1-_xlfn.XLOOKUP(_xlfn.XLOOKUP($F1415,Clientes!$B$4:$B$39,Clientes!$C$4:$C$39),Cadastros!$L$6:$L$12,Cadastros!$N$6:$N$12)))</f>
        <v/>
      </c>
      <c r="K1415" s="168" t="str">
        <f t="shared" si="274"/>
        <v/>
      </c>
      <c r="L1415" s="168" t="str">
        <f>IFERROR(K1415/_xlfn.XLOOKUP(_xlfn.XLOOKUP($F1415,Clientes!$B$4:$B$39,Clientes!$C$4:$C$39),Cadastros!$L$6:$L$12,Cadastros!$M$6:$M$12)," ")</f>
        <v xml:space="preserve"> </v>
      </c>
      <c r="M1415" s="28"/>
      <c r="N1415" s="28"/>
      <c r="O1415" s="255" t="str">
        <f>IF(M1415="","",(_xlfn.XLOOKUP(M1415,Cadastros!$D$6:$D$90,Cadastros!$E$6:$E$90))*(1-_xlfn.XLOOKUP(_xlfn.XLOOKUP($F1415,Clientes!$B$4:$B$39,Clientes!$C$4:$C$39),Cadastros!$L$6:$L$12,Cadastros!$N$6:$N$12)))</f>
        <v/>
      </c>
      <c r="P1415" s="168" t="str">
        <f t="shared" si="275"/>
        <v/>
      </c>
      <c r="Q1415" s="168" t="str">
        <f>IFERROR(P1415/_xlfn.XLOOKUP(_xlfn.XLOOKUP($F1415,Clientes!$B$4:$B$39,Clientes!$C$4:$C$39),Cadastros!$L$6:$L$12,Cadastros!$M$6:$M$12)," ")</f>
        <v xml:space="preserve"> </v>
      </c>
      <c r="R1415" s="28"/>
      <c r="S1415" s="28"/>
      <c r="T1415" s="255" t="str">
        <f>IF(R1415="","",(_xlfn.XLOOKUP(R1415,Cadastros!$D$6:$D$90,Cadastros!$E$6:$E$90))*(1-_xlfn.XLOOKUP(_xlfn.XLOOKUP($F1415,Clientes!$B$4:$B$39,Clientes!$C$4:$C$39),Cadastros!$L$6:$L$12,Cadastros!$N$6:$N$12)))</f>
        <v/>
      </c>
      <c r="U1415" s="168" t="str">
        <f t="shared" si="276"/>
        <v/>
      </c>
      <c r="V1415" s="168" t="str">
        <f>IFERROR(U1415/_xlfn.XLOOKUP(_xlfn.XLOOKUP($F1415,Clientes!$B$4:$B$39,Clientes!$C$4:$C$39),Cadastros!$L$6:$L$12,Cadastros!$M$6:$M$12)," ")</f>
        <v xml:space="preserve"> </v>
      </c>
      <c r="W1415" s="28"/>
      <c r="X1415" s="28"/>
      <c r="Y1415" s="255" t="str">
        <f>IF(W1415="","",(_xlfn.XLOOKUP(W1415,Cadastros!$D$6:$D$90,Cadastros!$E$6:$E$90))*(1-_xlfn.XLOOKUP(_xlfn.XLOOKUP($F1415,Clientes!$B$4:$B$39,Clientes!$C$4:$C$39),Cadastros!$L$6:$L$12,Cadastros!$N$6:$N$12)))</f>
        <v/>
      </c>
      <c r="Z1415" s="168" t="str">
        <f t="shared" si="277"/>
        <v/>
      </c>
      <c r="AA1415" s="168" t="str">
        <f>IFERROR(Z1415/_xlfn.XLOOKUP(_xlfn.XLOOKUP($F1415,Clientes!$B$4:$B$39,Clientes!$C$4:$C$39),Cadastros!$L$6:$L$12,Cadastros!$M$6:$M$12)," ")</f>
        <v xml:space="preserve"> </v>
      </c>
      <c r="AB1415" s="28"/>
      <c r="AC1415" s="28"/>
      <c r="AD1415" s="20" t="str">
        <f>IF(AB1415="","",IF($F1415="Bernardino Furlan",_xlfn.XLOOKUP(AB1415,Cadastros!$G$6:$G$90,Cadastros!$H$6:$H$90)*(1-0.18),IF($F1415="Mauro José Salanti",_xlfn.XLOOKUP(AB1415,Cadastros!$G$6:$G$90,Cadastros!$H$6:$H$90)*(1-0.18),_xlfn.XLOOKUP(AB1415,Cadastros!$G$6:$G$90,Cadastros!$H$6:$H$90))))</f>
        <v/>
      </c>
      <c r="AE1415" s="168" t="str">
        <f t="shared" si="278"/>
        <v/>
      </c>
      <c r="AF1415" s="168" t="str">
        <f t="shared" si="279"/>
        <v/>
      </c>
      <c r="AG1415" s="28"/>
      <c r="AH1415" s="28"/>
      <c r="AI1415" s="20" t="str">
        <f>IF(AG1415="","",IF($F1415="Bernardino Furlan",_xlfn.XLOOKUP(AG1415,Cadastros!$G$6:$G$90,Cadastros!$H$6:$H$90)*(1-0.18),IF($F1415="Mauro José Salanti",_xlfn.XLOOKUP(AG1415,Cadastros!$G$6:$G$90,Cadastros!$H$6:$H$90)*(1-0.18),_xlfn.XLOOKUP(AG1415,Cadastros!$G$6:$G$90,Cadastros!$H$6:$H$90))))</f>
        <v/>
      </c>
      <c r="AJ1415" s="168" t="str">
        <f t="shared" si="280"/>
        <v/>
      </c>
      <c r="AK1415" s="168" t="str">
        <f t="shared" si="281"/>
        <v/>
      </c>
      <c r="AL1415" s="28"/>
      <c r="AM1415" s="28"/>
      <c r="AN1415" s="20" t="str">
        <f>IF(AL1415="","",IF($F1415="Bernardino Furlan",_xlfn.XLOOKUP(AL1415,Cadastros!$G$6:$G$90,Cadastros!$H$6:$H$90)*(1-0.18),IF($F1415="Mauro José Salanti",_xlfn.XLOOKUP(AL1415,Cadastros!$G$6:$G$90,Cadastros!$H$6:$H$90)*(1-0.18),_xlfn.XLOOKUP(AL1415,Cadastros!$G$6:$G$90,Cadastros!$H$6:$H$90))))</f>
        <v/>
      </c>
      <c r="AO1415" s="168" t="str">
        <f t="shared" si="282"/>
        <v/>
      </c>
      <c r="AP1415" s="168" t="str">
        <f t="shared" si="283"/>
        <v/>
      </c>
      <c r="AQ1415" s="28"/>
      <c r="AR1415" s="28"/>
      <c r="AS1415" s="20" t="str">
        <f>IF(AQ1415="","",IF($F1415="Bernardino Furlan",_xlfn.XLOOKUP(AQ1415,Cadastros!$G$6:$G$90,Cadastros!$H$6:$H$90)*(1-0.18),IF($F1415="Mauro José Salanti",_xlfn.XLOOKUP(AQ1415,Cadastros!$G$6:$G$90,Cadastros!$H$6:$H$90)*(1-0.18),_xlfn.XLOOKUP(AQ1415,Cadastros!$G$6:$G$90,Cadastros!$H$6:$H$90))))</f>
        <v/>
      </c>
      <c r="AT1415" s="168" t="str">
        <f t="shared" si="284"/>
        <v/>
      </c>
      <c r="AU1415" s="168" t="str">
        <f t="shared" si="285"/>
        <v/>
      </c>
      <c r="AV1415" s="227"/>
      <c r="AW1415" s="30"/>
      <c r="AX1415" s="267"/>
      <c r="AY1415" s="267"/>
      <c r="AZ1415" s="29"/>
      <c r="BA1415" s="30"/>
      <c r="BB1415" s="23" t="str" cm="1">
        <f t="array" ref="BB1415">_xlfn.IFS(AW1415="SIM",SUM(K1415,P1415,U1415,Z1415,AE1415,AJ1415,AO1415,AT1415,AX1415,AY1415),F1415&lt;&gt;"",SUM(K1415,P1415,U1415,Z1415,AE1415,AJ1415,,AO1415,AT1415),F1415="","")</f>
        <v/>
      </c>
      <c r="BC1415" s="211" t="str" cm="1">
        <f t="array" ref="BC1415">_xlfn.IFS(E1415="","",G1415&lt;=E1415,BB1415*(1-0.03),G1415&lt;(E1415+8),BB1415,AZ1415="Boleto",BB1415*(1+0.001)^DATEDIF(E1415,G1415,"D"),AZ1415="Cheque",BB1415,AZ1415="Dinheiro","Alterar forma pgto")</f>
        <v/>
      </c>
      <c r="BD1415" s="276" t="str" cm="1">
        <f t="array" ref="BD1415">IF(F1415=0," ",IF(BC1415&lt;BB1415,(_xlfn.IFS(AW1415="SIM",SUM(L1415,Q1415,V1415,AA1415,AF1415,AK1415,AP1415,AU1415)+AX1415/_xlfn.XLOOKUP(_xlfn.XLOOKUP($F1415,Clientes!$B$4:$B$39,Clientes!$C$4:$C$39),Cadastros!$L$6:$L$12,Cadastros!$M$6:$M$12)+IF($F1415="Bernardino Furlan",AY1415/2751.92,IF($F1415="Mauro José Salanti",AY1415/2751.92,AY1415/3356)),F1415&lt;&gt;0,SUM(L1415,Q1415,V1415,AA1415,AF1415,AK1415,AP1415,AU1415)))*(1-0.03),_xlfn.IFS(AW1415="SIM",SUM(L1415,Q1415,V1415,AA1415,AF1415,AK1415,AP1415,AU1415)+AX1415/_xlfn.XLOOKUP(_xlfn.XLOOKUP($F1415,Clientes!$B$4:$B$39,Clientes!$C$4:$C$39),Cadastros!$L$6:$L$12,Cadastros!$M$6:$M$12)+IF($F1415="Bernardino Furlan",AY1415/2751.92,IF($F1415="Mauro José Salanti",AY1415/2751.92,AY1415/3356)),F1415&lt;&gt;0,SUM(L1415,Q1415,V1415,AA1415,AF1415,AK1415,AP1415,AU1415))))</f>
        <v xml:space="preserve"> </v>
      </c>
      <c r="BE1415" s="120"/>
      <c r="BF1415" s="120"/>
      <c r="BG1415" s="120"/>
    </row>
    <row r="1416" spans="1:59" s="3" customFormat="1" x14ac:dyDescent="0.3">
      <c r="A1416" s="15" t="str">
        <f t="shared" ref="A1416:A1479" si="286">IF(C1416="orçamento",25%,IF(C1416="aprovado",50%,IF(C1416="entregue",100%,IF(C1416="não aceito",0%,""))))</f>
        <v/>
      </c>
      <c r="B1416" s="25"/>
      <c r="C1416" s="26"/>
      <c r="D1416" s="279"/>
      <c r="E1416" s="27"/>
      <c r="F1416" s="28"/>
      <c r="G1416" s="27"/>
      <c r="H1416" s="28"/>
      <c r="I1416" s="28"/>
      <c r="J1416" s="255" t="str">
        <f>IF(H1416="","",(_xlfn.XLOOKUP(H1416,Cadastros!$D$6:$D$90,Cadastros!$E$6:$E$90))*(1-_xlfn.XLOOKUP(_xlfn.XLOOKUP($F1416,Clientes!$B$4:$B$39,Clientes!$C$4:$C$39),Cadastros!$L$6:$L$12,Cadastros!$N$6:$N$12)))</f>
        <v/>
      </c>
      <c r="K1416" s="168" t="str">
        <f t="shared" ref="K1416:K1479" si="287">IF(J1416="","",I1416*J1416)</f>
        <v/>
      </c>
      <c r="L1416" s="168" t="str">
        <f>IFERROR(K1416/_xlfn.XLOOKUP(_xlfn.XLOOKUP($F1416,Clientes!$B$4:$B$39,Clientes!$C$4:$C$39),Cadastros!$L$6:$L$12,Cadastros!$M$6:$M$12)," ")</f>
        <v xml:space="preserve"> </v>
      </c>
      <c r="M1416" s="28"/>
      <c r="N1416" s="28"/>
      <c r="O1416" s="255" t="str">
        <f>IF(M1416="","",(_xlfn.XLOOKUP(M1416,Cadastros!$D$6:$D$90,Cadastros!$E$6:$E$90))*(1-_xlfn.XLOOKUP(_xlfn.XLOOKUP($F1416,Clientes!$B$4:$B$39,Clientes!$C$4:$C$39),Cadastros!$L$6:$L$12,Cadastros!$N$6:$N$12)))</f>
        <v/>
      </c>
      <c r="P1416" s="168" t="str">
        <f t="shared" ref="P1416:P1479" si="288">IF(O1416="","",N1416*O1416)</f>
        <v/>
      </c>
      <c r="Q1416" s="168" t="str">
        <f>IFERROR(P1416/_xlfn.XLOOKUP(_xlfn.XLOOKUP($F1416,Clientes!$B$4:$B$39,Clientes!$C$4:$C$39),Cadastros!$L$6:$L$12,Cadastros!$M$6:$M$12)," ")</f>
        <v xml:space="preserve"> </v>
      </c>
      <c r="R1416" s="28"/>
      <c r="S1416" s="28"/>
      <c r="T1416" s="255" t="str">
        <f>IF(R1416="","",(_xlfn.XLOOKUP(R1416,Cadastros!$D$6:$D$90,Cadastros!$E$6:$E$90))*(1-_xlfn.XLOOKUP(_xlfn.XLOOKUP($F1416,Clientes!$B$4:$B$39,Clientes!$C$4:$C$39),Cadastros!$L$6:$L$12,Cadastros!$N$6:$N$12)))</f>
        <v/>
      </c>
      <c r="U1416" s="168" t="str">
        <f t="shared" ref="U1416:U1479" si="289">IF(T1416="","",S1416*T1416)</f>
        <v/>
      </c>
      <c r="V1416" s="168" t="str">
        <f>IFERROR(U1416/_xlfn.XLOOKUP(_xlfn.XLOOKUP($F1416,Clientes!$B$4:$B$39,Clientes!$C$4:$C$39),Cadastros!$L$6:$L$12,Cadastros!$M$6:$M$12)," ")</f>
        <v xml:space="preserve"> </v>
      </c>
      <c r="W1416" s="28"/>
      <c r="X1416" s="28"/>
      <c r="Y1416" s="255" t="str">
        <f>IF(W1416="","",(_xlfn.XLOOKUP(W1416,Cadastros!$D$6:$D$90,Cadastros!$E$6:$E$90))*(1-_xlfn.XLOOKUP(_xlfn.XLOOKUP($F1416,Clientes!$B$4:$B$39,Clientes!$C$4:$C$39),Cadastros!$L$6:$L$12,Cadastros!$N$6:$N$12)))</f>
        <v/>
      </c>
      <c r="Z1416" s="168" t="str">
        <f t="shared" ref="Z1416:Z1479" si="290">IF(Y1416="","",X1416*Y1416)</f>
        <v/>
      </c>
      <c r="AA1416" s="168" t="str">
        <f>IFERROR(Z1416/_xlfn.XLOOKUP(_xlfn.XLOOKUP($F1416,Clientes!$B$4:$B$39,Clientes!$C$4:$C$39),Cadastros!$L$6:$L$12,Cadastros!$M$6:$M$12)," ")</f>
        <v xml:space="preserve"> </v>
      </c>
      <c r="AB1416" s="28"/>
      <c r="AC1416" s="28"/>
      <c r="AD1416" s="20" t="str">
        <f>IF(AB1416="","",IF($F1416="Bernardino Furlan",_xlfn.XLOOKUP(AB1416,Cadastros!$G$6:$G$90,Cadastros!$H$6:$H$90)*(1-0.18),IF($F1416="Mauro José Salanti",_xlfn.XLOOKUP(AB1416,Cadastros!$G$6:$G$90,Cadastros!$H$6:$H$90)*(1-0.18),_xlfn.XLOOKUP(AB1416,Cadastros!$G$6:$G$90,Cadastros!$H$6:$H$90))))</f>
        <v/>
      </c>
      <c r="AE1416" s="168" t="str">
        <f t="shared" ref="AE1416:AE1479" si="291">IF(AD1416="","",AC1416*AD1416)</f>
        <v/>
      </c>
      <c r="AF1416" s="168" t="str">
        <f t="shared" ref="AF1416:AF1479" si="292">IFERROR(IF($F1416="Bernardino Furlan",AE1416/2751.92,IF($F1416="Mauro José Salanti",AE1416/2751.92,AE1416/3356)),"")</f>
        <v/>
      </c>
      <c r="AG1416" s="28"/>
      <c r="AH1416" s="28"/>
      <c r="AI1416" s="20" t="str">
        <f>IF(AG1416="","",IF($F1416="Bernardino Furlan",_xlfn.XLOOKUP(AG1416,Cadastros!$G$6:$G$90,Cadastros!$H$6:$H$90)*(1-0.18),IF($F1416="Mauro José Salanti",_xlfn.XLOOKUP(AG1416,Cadastros!$G$6:$G$90,Cadastros!$H$6:$H$90)*(1-0.18),_xlfn.XLOOKUP(AG1416,Cadastros!$G$6:$G$90,Cadastros!$H$6:$H$90))))</f>
        <v/>
      </c>
      <c r="AJ1416" s="168" t="str">
        <f t="shared" ref="AJ1416:AJ1479" si="293">IF(AI1416="","",AH1416*AI1416)</f>
        <v/>
      </c>
      <c r="AK1416" s="168" t="str">
        <f t="shared" ref="AK1416:AK1479" si="294">IFERROR(IF($F1416="Bernardino Furlan",AJ1416/2751.92,IF($F1416="Mauro José Salanti",AJ1416/2751.92,AJ1416/3356)),"")</f>
        <v/>
      </c>
      <c r="AL1416" s="28"/>
      <c r="AM1416" s="28"/>
      <c r="AN1416" s="20" t="str">
        <f>IF(AL1416="","",IF($F1416="Bernardino Furlan",_xlfn.XLOOKUP(AL1416,Cadastros!$G$6:$G$90,Cadastros!$H$6:$H$90)*(1-0.18),IF($F1416="Mauro José Salanti",_xlfn.XLOOKUP(AL1416,Cadastros!$G$6:$G$90,Cadastros!$H$6:$H$90)*(1-0.18),_xlfn.XLOOKUP(AL1416,Cadastros!$G$6:$G$90,Cadastros!$H$6:$H$90))))</f>
        <v/>
      </c>
      <c r="AO1416" s="168" t="str">
        <f t="shared" ref="AO1416:AO1479" si="295">IF(AN1416="","",AM1416*AN1416)</f>
        <v/>
      </c>
      <c r="AP1416" s="168" t="str">
        <f t="shared" ref="AP1416:AP1479" si="296">IFERROR(IF($F1416="Bernardino Furlan",AO1416/2751.92,IF($F1416="Mauro José Salanti",AO1416/2751.92,AO1416/3356)),"")</f>
        <v/>
      </c>
      <c r="AQ1416" s="28"/>
      <c r="AR1416" s="28"/>
      <c r="AS1416" s="20" t="str">
        <f>IF(AQ1416="","",IF($F1416="Bernardino Furlan",_xlfn.XLOOKUP(AQ1416,Cadastros!$G$6:$G$90,Cadastros!$H$6:$H$90)*(1-0.18),IF($F1416="Mauro José Salanti",_xlfn.XLOOKUP(AQ1416,Cadastros!$G$6:$G$90,Cadastros!$H$6:$H$90)*(1-0.18),_xlfn.XLOOKUP(AQ1416,Cadastros!$G$6:$G$90,Cadastros!$H$6:$H$90))))</f>
        <v/>
      </c>
      <c r="AT1416" s="168" t="str">
        <f t="shared" ref="AT1416:AT1479" si="297">IF(AS1416="","",AR1416*AS1416)</f>
        <v/>
      </c>
      <c r="AU1416" s="168" t="str">
        <f t="shared" ref="AU1416:AU1479" si="298">IFERROR(IF($F1416="Bernardino Furlan",AT1416/2751.92,IF($F1416="Mauro José Salanti",AT1416/2751.92,AT1416/3356)),"")</f>
        <v/>
      </c>
      <c r="AV1416" s="227"/>
      <c r="AW1416" s="30"/>
      <c r="AX1416" s="267"/>
      <c r="AY1416" s="267"/>
      <c r="AZ1416" s="29"/>
      <c r="BA1416" s="30"/>
      <c r="BB1416" s="23" t="str" cm="1">
        <f t="array" ref="BB1416">_xlfn.IFS(AW1416="SIM",SUM(K1416,P1416,U1416,Z1416,AE1416,AJ1416,AO1416,AT1416,AX1416,AY1416),F1416&lt;&gt;"",SUM(K1416,P1416,U1416,Z1416,AE1416,AJ1416,,AO1416,AT1416),F1416="","")</f>
        <v/>
      </c>
      <c r="BC1416" s="211" t="str" cm="1">
        <f t="array" ref="BC1416">_xlfn.IFS(E1416="","",G1416&lt;=E1416,BB1416*(1-0.03),G1416&lt;(E1416+8),BB1416,AZ1416="Boleto",BB1416*(1+0.001)^DATEDIF(E1416,G1416,"D"),AZ1416="Cheque",BB1416,AZ1416="Dinheiro","Alterar forma pgto")</f>
        <v/>
      </c>
      <c r="BD1416" s="276" t="str" cm="1">
        <f t="array" ref="BD1416">IF(F1416=0," ",IF(BC1416&lt;BB1416,(_xlfn.IFS(AW1416="SIM",SUM(L1416,Q1416,V1416,AA1416,AF1416,AK1416,AP1416,AU1416)+AX1416/_xlfn.XLOOKUP(_xlfn.XLOOKUP($F1416,Clientes!$B$4:$B$39,Clientes!$C$4:$C$39),Cadastros!$L$6:$L$12,Cadastros!$M$6:$M$12)+IF($F1416="Bernardino Furlan",AY1416/2751.92,IF($F1416="Mauro José Salanti",AY1416/2751.92,AY1416/3356)),F1416&lt;&gt;0,SUM(L1416,Q1416,V1416,AA1416,AF1416,AK1416,AP1416,AU1416)))*(1-0.03),_xlfn.IFS(AW1416="SIM",SUM(L1416,Q1416,V1416,AA1416,AF1416,AK1416,AP1416,AU1416)+AX1416/_xlfn.XLOOKUP(_xlfn.XLOOKUP($F1416,Clientes!$B$4:$B$39,Clientes!$C$4:$C$39),Cadastros!$L$6:$L$12,Cadastros!$M$6:$M$12)+IF($F1416="Bernardino Furlan",AY1416/2751.92,IF($F1416="Mauro José Salanti",AY1416/2751.92,AY1416/3356)),F1416&lt;&gt;0,SUM(L1416,Q1416,V1416,AA1416,AF1416,AK1416,AP1416,AU1416))))</f>
        <v xml:space="preserve"> </v>
      </c>
      <c r="BE1416" s="120"/>
      <c r="BF1416" s="120"/>
      <c r="BG1416" s="120"/>
    </row>
    <row r="1417" spans="1:59" s="3" customFormat="1" x14ac:dyDescent="0.3">
      <c r="A1417" s="15" t="str">
        <f t="shared" si="286"/>
        <v/>
      </c>
      <c r="B1417" s="25"/>
      <c r="C1417" s="26"/>
      <c r="D1417" s="279"/>
      <c r="E1417" s="27"/>
      <c r="F1417" s="28"/>
      <c r="G1417" s="27"/>
      <c r="H1417" s="28"/>
      <c r="I1417" s="28"/>
      <c r="J1417" s="255" t="str">
        <f>IF(H1417="","",(_xlfn.XLOOKUP(H1417,Cadastros!$D$6:$D$90,Cadastros!$E$6:$E$90))*(1-_xlfn.XLOOKUP(_xlfn.XLOOKUP($F1417,Clientes!$B$4:$B$39,Clientes!$C$4:$C$39),Cadastros!$L$6:$L$12,Cadastros!$N$6:$N$12)))</f>
        <v/>
      </c>
      <c r="K1417" s="168" t="str">
        <f t="shared" si="287"/>
        <v/>
      </c>
      <c r="L1417" s="168" t="str">
        <f>IFERROR(K1417/_xlfn.XLOOKUP(_xlfn.XLOOKUP($F1417,Clientes!$B$4:$B$39,Clientes!$C$4:$C$39),Cadastros!$L$6:$L$12,Cadastros!$M$6:$M$12)," ")</f>
        <v xml:space="preserve"> </v>
      </c>
      <c r="M1417" s="28"/>
      <c r="N1417" s="28"/>
      <c r="O1417" s="255" t="str">
        <f>IF(M1417="","",(_xlfn.XLOOKUP(M1417,Cadastros!$D$6:$D$90,Cadastros!$E$6:$E$90))*(1-_xlfn.XLOOKUP(_xlfn.XLOOKUP($F1417,Clientes!$B$4:$B$39,Clientes!$C$4:$C$39),Cadastros!$L$6:$L$12,Cadastros!$N$6:$N$12)))</f>
        <v/>
      </c>
      <c r="P1417" s="168" t="str">
        <f t="shared" si="288"/>
        <v/>
      </c>
      <c r="Q1417" s="168" t="str">
        <f>IFERROR(P1417/_xlfn.XLOOKUP(_xlfn.XLOOKUP($F1417,Clientes!$B$4:$B$39,Clientes!$C$4:$C$39),Cadastros!$L$6:$L$12,Cadastros!$M$6:$M$12)," ")</f>
        <v xml:space="preserve"> </v>
      </c>
      <c r="R1417" s="28"/>
      <c r="S1417" s="28"/>
      <c r="T1417" s="255" t="str">
        <f>IF(R1417="","",(_xlfn.XLOOKUP(R1417,Cadastros!$D$6:$D$90,Cadastros!$E$6:$E$90))*(1-_xlfn.XLOOKUP(_xlfn.XLOOKUP($F1417,Clientes!$B$4:$B$39,Clientes!$C$4:$C$39),Cadastros!$L$6:$L$12,Cadastros!$N$6:$N$12)))</f>
        <v/>
      </c>
      <c r="U1417" s="168" t="str">
        <f t="shared" si="289"/>
        <v/>
      </c>
      <c r="V1417" s="168" t="str">
        <f>IFERROR(U1417/_xlfn.XLOOKUP(_xlfn.XLOOKUP($F1417,Clientes!$B$4:$B$39,Clientes!$C$4:$C$39),Cadastros!$L$6:$L$12,Cadastros!$M$6:$M$12)," ")</f>
        <v xml:space="preserve"> </v>
      </c>
      <c r="W1417" s="28"/>
      <c r="X1417" s="28"/>
      <c r="Y1417" s="255" t="str">
        <f>IF(W1417="","",(_xlfn.XLOOKUP(W1417,Cadastros!$D$6:$D$90,Cadastros!$E$6:$E$90))*(1-_xlfn.XLOOKUP(_xlfn.XLOOKUP($F1417,Clientes!$B$4:$B$39,Clientes!$C$4:$C$39),Cadastros!$L$6:$L$12,Cadastros!$N$6:$N$12)))</f>
        <v/>
      </c>
      <c r="Z1417" s="168" t="str">
        <f t="shared" si="290"/>
        <v/>
      </c>
      <c r="AA1417" s="168" t="str">
        <f>IFERROR(Z1417/_xlfn.XLOOKUP(_xlfn.XLOOKUP($F1417,Clientes!$B$4:$B$39,Clientes!$C$4:$C$39),Cadastros!$L$6:$L$12,Cadastros!$M$6:$M$12)," ")</f>
        <v xml:space="preserve"> </v>
      </c>
      <c r="AB1417" s="28"/>
      <c r="AC1417" s="28"/>
      <c r="AD1417" s="20" t="str">
        <f>IF(AB1417="","",IF($F1417="Bernardino Furlan",_xlfn.XLOOKUP(AB1417,Cadastros!$G$6:$G$90,Cadastros!$H$6:$H$90)*(1-0.18),IF($F1417="Mauro José Salanti",_xlfn.XLOOKUP(AB1417,Cadastros!$G$6:$G$90,Cadastros!$H$6:$H$90)*(1-0.18),_xlfn.XLOOKUP(AB1417,Cadastros!$G$6:$G$90,Cadastros!$H$6:$H$90))))</f>
        <v/>
      </c>
      <c r="AE1417" s="168" t="str">
        <f t="shared" si="291"/>
        <v/>
      </c>
      <c r="AF1417" s="168" t="str">
        <f t="shared" si="292"/>
        <v/>
      </c>
      <c r="AG1417" s="28"/>
      <c r="AH1417" s="28"/>
      <c r="AI1417" s="20" t="str">
        <f>IF(AG1417="","",IF($F1417="Bernardino Furlan",_xlfn.XLOOKUP(AG1417,Cadastros!$G$6:$G$90,Cadastros!$H$6:$H$90)*(1-0.18),IF($F1417="Mauro José Salanti",_xlfn.XLOOKUP(AG1417,Cadastros!$G$6:$G$90,Cadastros!$H$6:$H$90)*(1-0.18),_xlfn.XLOOKUP(AG1417,Cadastros!$G$6:$G$90,Cadastros!$H$6:$H$90))))</f>
        <v/>
      </c>
      <c r="AJ1417" s="168" t="str">
        <f t="shared" si="293"/>
        <v/>
      </c>
      <c r="AK1417" s="168" t="str">
        <f t="shared" si="294"/>
        <v/>
      </c>
      <c r="AL1417" s="28"/>
      <c r="AM1417" s="28"/>
      <c r="AN1417" s="20" t="str">
        <f>IF(AL1417="","",IF($F1417="Bernardino Furlan",_xlfn.XLOOKUP(AL1417,Cadastros!$G$6:$G$90,Cadastros!$H$6:$H$90)*(1-0.18),IF($F1417="Mauro José Salanti",_xlfn.XLOOKUP(AL1417,Cadastros!$G$6:$G$90,Cadastros!$H$6:$H$90)*(1-0.18),_xlfn.XLOOKUP(AL1417,Cadastros!$G$6:$G$90,Cadastros!$H$6:$H$90))))</f>
        <v/>
      </c>
      <c r="AO1417" s="168" t="str">
        <f t="shared" si="295"/>
        <v/>
      </c>
      <c r="AP1417" s="168" t="str">
        <f t="shared" si="296"/>
        <v/>
      </c>
      <c r="AQ1417" s="28"/>
      <c r="AR1417" s="28"/>
      <c r="AS1417" s="20" t="str">
        <f>IF(AQ1417="","",IF($F1417="Bernardino Furlan",_xlfn.XLOOKUP(AQ1417,Cadastros!$G$6:$G$90,Cadastros!$H$6:$H$90)*(1-0.18),IF($F1417="Mauro José Salanti",_xlfn.XLOOKUP(AQ1417,Cadastros!$G$6:$G$90,Cadastros!$H$6:$H$90)*(1-0.18),_xlfn.XLOOKUP(AQ1417,Cadastros!$G$6:$G$90,Cadastros!$H$6:$H$90))))</f>
        <v/>
      </c>
      <c r="AT1417" s="168" t="str">
        <f t="shared" si="297"/>
        <v/>
      </c>
      <c r="AU1417" s="168" t="str">
        <f t="shared" si="298"/>
        <v/>
      </c>
      <c r="AV1417" s="227"/>
      <c r="AW1417" s="30"/>
      <c r="AX1417" s="267"/>
      <c r="AY1417" s="267"/>
      <c r="AZ1417" s="29"/>
      <c r="BA1417" s="30"/>
      <c r="BB1417" s="23" t="str" cm="1">
        <f t="array" ref="BB1417">_xlfn.IFS(AW1417="SIM",SUM(K1417,P1417,U1417,Z1417,AE1417,AJ1417,AO1417,AT1417,AX1417,AY1417),F1417&lt;&gt;"",SUM(K1417,P1417,U1417,Z1417,AE1417,AJ1417,,AO1417,AT1417),F1417="","")</f>
        <v/>
      </c>
      <c r="BC1417" s="211" t="str" cm="1">
        <f t="array" ref="BC1417">_xlfn.IFS(E1417="","",G1417&lt;=E1417,BB1417*(1-0.03),G1417&lt;(E1417+8),BB1417,AZ1417="Boleto",BB1417*(1+0.001)^DATEDIF(E1417,G1417,"D"),AZ1417="Cheque",BB1417,AZ1417="Dinheiro","Alterar forma pgto")</f>
        <v/>
      </c>
      <c r="BD1417" s="276" t="str" cm="1">
        <f t="array" ref="BD1417">IF(F1417=0," ",IF(BC1417&lt;BB1417,(_xlfn.IFS(AW1417="SIM",SUM(L1417,Q1417,V1417,AA1417,AF1417,AK1417,AP1417,AU1417)+AX1417/_xlfn.XLOOKUP(_xlfn.XLOOKUP($F1417,Clientes!$B$4:$B$39,Clientes!$C$4:$C$39),Cadastros!$L$6:$L$12,Cadastros!$M$6:$M$12)+IF($F1417="Bernardino Furlan",AY1417/2751.92,IF($F1417="Mauro José Salanti",AY1417/2751.92,AY1417/3356)),F1417&lt;&gt;0,SUM(L1417,Q1417,V1417,AA1417,AF1417,AK1417,AP1417,AU1417)))*(1-0.03),_xlfn.IFS(AW1417="SIM",SUM(L1417,Q1417,V1417,AA1417,AF1417,AK1417,AP1417,AU1417)+AX1417/_xlfn.XLOOKUP(_xlfn.XLOOKUP($F1417,Clientes!$B$4:$B$39,Clientes!$C$4:$C$39),Cadastros!$L$6:$L$12,Cadastros!$M$6:$M$12)+IF($F1417="Bernardino Furlan",AY1417/2751.92,IF($F1417="Mauro José Salanti",AY1417/2751.92,AY1417/3356)),F1417&lt;&gt;0,SUM(L1417,Q1417,V1417,AA1417,AF1417,AK1417,AP1417,AU1417))))</f>
        <v xml:space="preserve"> </v>
      </c>
      <c r="BE1417" s="120"/>
      <c r="BF1417" s="120"/>
      <c r="BG1417" s="120"/>
    </row>
    <row r="1418" spans="1:59" s="3" customFormat="1" x14ac:dyDescent="0.3">
      <c r="A1418" s="15" t="str">
        <f t="shared" si="286"/>
        <v/>
      </c>
      <c r="B1418" s="25"/>
      <c r="C1418" s="26"/>
      <c r="D1418" s="279"/>
      <c r="E1418" s="27"/>
      <c r="F1418" s="28"/>
      <c r="G1418" s="27"/>
      <c r="H1418" s="28"/>
      <c r="I1418" s="28"/>
      <c r="J1418" s="255" t="str">
        <f>IF(H1418="","",(_xlfn.XLOOKUP(H1418,Cadastros!$D$6:$D$90,Cadastros!$E$6:$E$90))*(1-_xlfn.XLOOKUP(_xlfn.XLOOKUP($F1418,Clientes!$B$4:$B$39,Clientes!$C$4:$C$39),Cadastros!$L$6:$L$12,Cadastros!$N$6:$N$12)))</f>
        <v/>
      </c>
      <c r="K1418" s="168" t="str">
        <f t="shared" si="287"/>
        <v/>
      </c>
      <c r="L1418" s="168" t="str">
        <f>IFERROR(K1418/_xlfn.XLOOKUP(_xlfn.XLOOKUP($F1418,Clientes!$B$4:$B$39,Clientes!$C$4:$C$39),Cadastros!$L$6:$L$12,Cadastros!$M$6:$M$12)," ")</f>
        <v xml:space="preserve"> </v>
      </c>
      <c r="M1418" s="28"/>
      <c r="N1418" s="28"/>
      <c r="O1418" s="255" t="str">
        <f>IF(M1418="","",(_xlfn.XLOOKUP(M1418,Cadastros!$D$6:$D$90,Cadastros!$E$6:$E$90))*(1-_xlfn.XLOOKUP(_xlfn.XLOOKUP($F1418,Clientes!$B$4:$B$39,Clientes!$C$4:$C$39),Cadastros!$L$6:$L$12,Cadastros!$N$6:$N$12)))</f>
        <v/>
      </c>
      <c r="P1418" s="168" t="str">
        <f t="shared" si="288"/>
        <v/>
      </c>
      <c r="Q1418" s="168" t="str">
        <f>IFERROR(P1418/_xlfn.XLOOKUP(_xlfn.XLOOKUP($F1418,Clientes!$B$4:$B$39,Clientes!$C$4:$C$39),Cadastros!$L$6:$L$12,Cadastros!$M$6:$M$12)," ")</f>
        <v xml:space="preserve"> </v>
      </c>
      <c r="R1418" s="28"/>
      <c r="S1418" s="28"/>
      <c r="T1418" s="255" t="str">
        <f>IF(R1418="","",(_xlfn.XLOOKUP(R1418,Cadastros!$D$6:$D$90,Cadastros!$E$6:$E$90))*(1-_xlfn.XLOOKUP(_xlfn.XLOOKUP($F1418,Clientes!$B$4:$B$39,Clientes!$C$4:$C$39),Cadastros!$L$6:$L$12,Cadastros!$N$6:$N$12)))</f>
        <v/>
      </c>
      <c r="U1418" s="168" t="str">
        <f t="shared" si="289"/>
        <v/>
      </c>
      <c r="V1418" s="168" t="str">
        <f>IFERROR(U1418/_xlfn.XLOOKUP(_xlfn.XLOOKUP($F1418,Clientes!$B$4:$B$39,Clientes!$C$4:$C$39),Cadastros!$L$6:$L$12,Cadastros!$M$6:$M$12)," ")</f>
        <v xml:space="preserve"> </v>
      </c>
      <c r="W1418" s="28"/>
      <c r="X1418" s="28"/>
      <c r="Y1418" s="255" t="str">
        <f>IF(W1418="","",(_xlfn.XLOOKUP(W1418,Cadastros!$D$6:$D$90,Cadastros!$E$6:$E$90))*(1-_xlfn.XLOOKUP(_xlfn.XLOOKUP($F1418,Clientes!$B$4:$B$39,Clientes!$C$4:$C$39),Cadastros!$L$6:$L$12,Cadastros!$N$6:$N$12)))</f>
        <v/>
      </c>
      <c r="Z1418" s="168" t="str">
        <f t="shared" si="290"/>
        <v/>
      </c>
      <c r="AA1418" s="168" t="str">
        <f>IFERROR(Z1418/_xlfn.XLOOKUP(_xlfn.XLOOKUP($F1418,Clientes!$B$4:$B$39,Clientes!$C$4:$C$39),Cadastros!$L$6:$L$12,Cadastros!$M$6:$M$12)," ")</f>
        <v xml:space="preserve"> </v>
      </c>
      <c r="AB1418" s="28"/>
      <c r="AC1418" s="28"/>
      <c r="AD1418" s="20" t="str">
        <f>IF(AB1418="","",IF($F1418="Bernardino Furlan",_xlfn.XLOOKUP(AB1418,Cadastros!$G$6:$G$90,Cadastros!$H$6:$H$90)*(1-0.18),IF($F1418="Mauro José Salanti",_xlfn.XLOOKUP(AB1418,Cadastros!$G$6:$G$90,Cadastros!$H$6:$H$90)*(1-0.18),_xlfn.XLOOKUP(AB1418,Cadastros!$G$6:$G$90,Cadastros!$H$6:$H$90))))</f>
        <v/>
      </c>
      <c r="AE1418" s="168" t="str">
        <f t="shared" si="291"/>
        <v/>
      </c>
      <c r="AF1418" s="168" t="str">
        <f t="shared" si="292"/>
        <v/>
      </c>
      <c r="AG1418" s="28"/>
      <c r="AH1418" s="28"/>
      <c r="AI1418" s="20" t="str">
        <f>IF(AG1418="","",IF($F1418="Bernardino Furlan",_xlfn.XLOOKUP(AG1418,Cadastros!$G$6:$G$90,Cadastros!$H$6:$H$90)*(1-0.18),IF($F1418="Mauro José Salanti",_xlfn.XLOOKUP(AG1418,Cadastros!$G$6:$G$90,Cadastros!$H$6:$H$90)*(1-0.18),_xlfn.XLOOKUP(AG1418,Cadastros!$G$6:$G$90,Cadastros!$H$6:$H$90))))</f>
        <v/>
      </c>
      <c r="AJ1418" s="168" t="str">
        <f t="shared" si="293"/>
        <v/>
      </c>
      <c r="AK1418" s="168" t="str">
        <f t="shared" si="294"/>
        <v/>
      </c>
      <c r="AL1418" s="28"/>
      <c r="AM1418" s="28"/>
      <c r="AN1418" s="20" t="str">
        <f>IF(AL1418="","",IF($F1418="Bernardino Furlan",_xlfn.XLOOKUP(AL1418,Cadastros!$G$6:$G$90,Cadastros!$H$6:$H$90)*(1-0.18),IF($F1418="Mauro José Salanti",_xlfn.XLOOKUP(AL1418,Cadastros!$G$6:$G$90,Cadastros!$H$6:$H$90)*(1-0.18),_xlfn.XLOOKUP(AL1418,Cadastros!$G$6:$G$90,Cadastros!$H$6:$H$90))))</f>
        <v/>
      </c>
      <c r="AO1418" s="168" t="str">
        <f t="shared" si="295"/>
        <v/>
      </c>
      <c r="AP1418" s="168" t="str">
        <f t="shared" si="296"/>
        <v/>
      </c>
      <c r="AQ1418" s="28"/>
      <c r="AR1418" s="28"/>
      <c r="AS1418" s="20" t="str">
        <f>IF(AQ1418="","",IF($F1418="Bernardino Furlan",_xlfn.XLOOKUP(AQ1418,Cadastros!$G$6:$G$90,Cadastros!$H$6:$H$90)*(1-0.18),IF($F1418="Mauro José Salanti",_xlfn.XLOOKUP(AQ1418,Cadastros!$G$6:$G$90,Cadastros!$H$6:$H$90)*(1-0.18),_xlfn.XLOOKUP(AQ1418,Cadastros!$G$6:$G$90,Cadastros!$H$6:$H$90))))</f>
        <v/>
      </c>
      <c r="AT1418" s="168" t="str">
        <f t="shared" si="297"/>
        <v/>
      </c>
      <c r="AU1418" s="168" t="str">
        <f t="shared" si="298"/>
        <v/>
      </c>
      <c r="AV1418" s="227"/>
      <c r="AW1418" s="30"/>
      <c r="AX1418" s="267"/>
      <c r="AY1418" s="267"/>
      <c r="AZ1418" s="29"/>
      <c r="BA1418" s="30"/>
      <c r="BB1418" s="23" t="str" cm="1">
        <f t="array" ref="BB1418">_xlfn.IFS(AW1418="SIM",SUM(K1418,P1418,U1418,Z1418,AE1418,AJ1418,AO1418,AT1418,AX1418,AY1418),F1418&lt;&gt;"",SUM(K1418,P1418,U1418,Z1418,AE1418,AJ1418,,AO1418,AT1418),F1418="","")</f>
        <v/>
      </c>
      <c r="BC1418" s="211" t="str" cm="1">
        <f t="array" ref="BC1418">_xlfn.IFS(E1418="","",G1418&lt;=E1418,BB1418*(1-0.03),G1418&lt;(E1418+8),BB1418,AZ1418="Boleto",BB1418*(1+0.001)^DATEDIF(E1418,G1418,"D"),AZ1418="Cheque",BB1418,AZ1418="Dinheiro","Alterar forma pgto")</f>
        <v/>
      </c>
      <c r="BD1418" s="276" t="str" cm="1">
        <f t="array" ref="BD1418">IF(F1418=0," ",IF(BC1418&lt;BB1418,(_xlfn.IFS(AW1418="SIM",SUM(L1418,Q1418,V1418,AA1418,AF1418,AK1418,AP1418,AU1418)+AX1418/_xlfn.XLOOKUP(_xlfn.XLOOKUP($F1418,Clientes!$B$4:$B$39,Clientes!$C$4:$C$39),Cadastros!$L$6:$L$12,Cadastros!$M$6:$M$12)+IF($F1418="Bernardino Furlan",AY1418/2751.92,IF($F1418="Mauro José Salanti",AY1418/2751.92,AY1418/3356)),F1418&lt;&gt;0,SUM(L1418,Q1418,V1418,AA1418,AF1418,AK1418,AP1418,AU1418)))*(1-0.03),_xlfn.IFS(AW1418="SIM",SUM(L1418,Q1418,V1418,AA1418,AF1418,AK1418,AP1418,AU1418)+AX1418/_xlfn.XLOOKUP(_xlfn.XLOOKUP($F1418,Clientes!$B$4:$B$39,Clientes!$C$4:$C$39),Cadastros!$L$6:$L$12,Cadastros!$M$6:$M$12)+IF($F1418="Bernardino Furlan",AY1418/2751.92,IF($F1418="Mauro José Salanti",AY1418/2751.92,AY1418/3356)),F1418&lt;&gt;0,SUM(L1418,Q1418,V1418,AA1418,AF1418,AK1418,AP1418,AU1418))))</f>
        <v xml:space="preserve"> </v>
      </c>
      <c r="BE1418" s="120"/>
      <c r="BF1418" s="120"/>
      <c r="BG1418" s="120"/>
    </row>
    <row r="1419" spans="1:59" s="3" customFormat="1" x14ac:dyDescent="0.3">
      <c r="A1419" s="15" t="str">
        <f t="shared" si="286"/>
        <v/>
      </c>
      <c r="B1419" s="25"/>
      <c r="C1419" s="26"/>
      <c r="D1419" s="279"/>
      <c r="E1419" s="27"/>
      <c r="F1419" s="28"/>
      <c r="G1419" s="27"/>
      <c r="H1419" s="28"/>
      <c r="I1419" s="28"/>
      <c r="J1419" s="255" t="str">
        <f>IF(H1419="","",(_xlfn.XLOOKUP(H1419,Cadastros!$D$6:$D$90,Cadastros!$E$6:$E$90))*(1-_xlfn.XLOOKUP(_xlfn.XLOOKUP($F1419,Clientes!$B$4:$B$39,Clientes!$C$4:$C$39),Cadastros!$L$6:$L$12,Cadastros!$N$6:$N$12)))</f>
        <v/>
      </c>
      <c r="K1419" s="168" t="str">
        <f t="shared" si="287"/>
        <v/>
      </c>
      <c r="L1419" s="168" t="str">
        <f>IFERROR(K1419/_xlfn.XLOOKUP(_xlfn.XLOOKUP($F1419,Clientes!$B$4:$B$39,Clientes!$C$4:$C$39),Cadastros!$L$6:$L$12,Cadastros!$M$6:$M$12)," ")</f>
        <v xml:space="preserve"> </v>
      </c>
      <c r="M1419" s="28"/>
      <c r="N1419" s="28"/>
      <c r="O1419" s="255" t="str">
        <f>IF(M1419="","",(_xlfn.XLOOKUP(M1419,Cadastros!$D$6:$D$90,Cadastros!$E$6:$E$90))*(1-_xlfn.XLOOKUP(_xlfn.XLOOKUP($F1419,Clientes!$B$4:$B$39,Clientes!$C$4:$C$39),Cadastros!$L$6:$L$12,Cadastros!$N$6:$N$12)))</f>
        <v/>
      </c>
      <c r="P1419" s="168" t="str">
        <f t="shared" si="288"/>
        <v/>
      </c>
      <c r="Q1419" s="168" t="str">
        <f>IFERROR(P1419/_xlfn.XLOOKUP(_xlfn.XLOOKUP($F1419,Clientes!$B$4:$B$39,Clientes!$C$4:$C$39),Cadastros!$L$6:$L$12,Cadastros!$M$6:$M$12)," ")</f>
        <v xml:space="preserve"> </v>
      </c>
      <c r="R1419" s="28"/>
      <c r="S1419" s="28"/>
      <c r="T1419" s="255" t="str">
        <f>IF(R1419="","",(_xlfn.XLOOKUP(R1419,Cadastros!$D$6:$D$90,Cadastros!$E$6:$E$90))*(1-_xlfn.XLOOKUP(_xlfn.XLOOKUP($F1419,Clientes!$B$4:$B$39,Clientes!$C$4:$C$39),Cadastros!$L$6:$L$12,Cadastros!$N$6:$N$12)))</f>
        <v/>
      </c>
      <c r="U1419" s="168" t="str">
        <f t="shared" si="289"/>
        <v/>
      </c>
      <c r="V1419" s="168" t="str">
        <f>IFERROR(U1419/_xlfn.XLOOKUP(_xlfn.XLOOKUP($F1419,Clientes!$B$4:$B$39,Clientes!$C$4:$C$39),Cadastros!$L$6:$L$12,Cadastros!$M$6:$M$12)," ")</f>
        <v xml:space="preserve"> </v>
      </c>
      <c r="W1419" s="28"/>
      <c r="X1419" s="28"/>
      <c r="Y1419" s="255" t="str">
        <f>IF(W1419="","",(_xlfn.XLOOKUP(W1419,Cadastros!$D$6:$D$90,Cadastros!$E$6:$E$90))*(1-_xlfn.XLOOKUP(_xlfn.XLOOKUP($F1419,Clientes!$B$4:$B$39,Clientes!$C$4:$C$39),Cadastros!$L$6:$L$12,Cadastros!$N$6:$N$12)))</f>
        <v/>
      </c>
      <c r="Z1419" s="168" t="str">
        <f t="shared" si="290"/>
        <v/>
      </c>
      <c r="AA1419" s="168" t="str">
        <f>IFERROR(Z1419/_xlfn.XLOOKUP(_xlfn.XLOOKUP($F1419,Clientes!$B$4:$B$39,Clientes!$C$4:$C$39),Cadastros!$L$6:$L$12,Cadastros!$M$6:$M$12)," ")</f>
        <v xml:space="preserve"> </v>
      </c>
      <c r="AB1419" s="28"/>
      <c r="AC1419" s="28"/>
      <c r="AD1419" s="20" t="str">
        <f>IF(AB1419="","",IF($F1419="Bernardino Furlan",_xlfn.XLOOKUP(AB1419,Cadastros!$G$6:$G$90,Cadastros!$H$6:$H$90)*(1-0.18),IF($F1419="Mauro José Salanti",_xlfn.XLOOKUP(AB1419,Cadastros!$G$6:$G$90,Cadastros!$H$6:$H$90)*(1-0.18),_xlfn.XLOOKUP(AB1419,Cadastros!$G$6:$G$90,Cadastros!$H$6:$H$90))))</f>
        <v/>
      </c>
      <c r="AE1419" s="168" t="str">
        <f t="shared" si="291"/>
        <v/>
      </c>
      <c r="AF1419" s="168" t="str">
        <f t="shared" si="292"/>
        <v/>
      </c>
      <c r="AG1419" s="28"/>
      <c r="AH1419" s="28"/>
      <c r="AI1419" s="20" t="str">
        <f>IF(AG1419="","",IF($F1419="Bernardino Furlan",_xlfn.XLOOKUP(AG1419,Cadastros!$G$6:$G$90,Cadastros!$H$6:$H$90)*(1-0.18),IF($F1419="Mauro José Salanti",_xlfn.XLOOKUP(AG1419,Cadastros!$G$6:$G$90,Cadastros!$H$6:$H$90)*(1-0.18),_xlfn.XLOOKUP(AG1419,Cadastros!$G$6:$G$90,Cadastros!$H$6:$H$90))))</f>
        <v/>
      </c>
      <c r="AJ1419" s="168" t="str">
        <f t="shared" si="293"/>
        <v/>
      </c>
      <c r="AK1419" s="168" t="str">
        <f t="shared" si="294"/>
        <v/>
      </c>
      <c r="AL1419" s="28"/>
      <c r="AM1419" s="28"/>
      <c r="AN1419" s="20" t="str">
        <f>IF(AL1419="","",IF($F1419="Bernardino Furlan",_xlfn.XLOOKUP(AL1419,Cadastros!$G$6:$G$90,Cadastros!$H$6:$H$90)*(1-0.18),IF($F1419="Mauro José Salanti",_xlfn.XLOOKUP(AL1419,Cadastros!$G$6:$G$90,Cadastros!$H$6:$H$90)*(1-0.18),_xlfn.XLOOKUP(AL1419,Cadastros!$G$6:$G$90,Cadastros!$H$6:$H$90))))</f>
        <v/>
      </c>
      <c r="AO1419" s="168" t="str">
        <f t="shared" si="295"/>
        <v/>
      </c>
      <c r="AP1419" s="168" t="str">
        <f t="shared" si="296"/>
        <v/>
      </c>
      <c r="AQ1419" s="28"/>
      <c r="AR1419" s="28"/>
      <c r="AS1419" s="20" t="str">
        <f>IF(AQ1419="","",IF($F1419="Bernardino Furlan",_xlfn.XLOOKUP(AQ1419,Cadastros!$G$6:$G$90,Cadastros!$H$6:$H$90)*(1-0.18),IF($F1419="Mauro José Salanti",_xlfn.XLOOKUP(AQ1419,Cadastros!$G$6:$G$90,Cadastros!$H$6:$H$90)*(1-0.18),_xlfn.XLOOKUP(AQ1419,Cadastros!$G$6:$G$90,Cadastros!$H$6:$H$90))))</f>
        <v/>
      </c>
      <c r="AT1419" s="168" t="str">
        <f t="shared" si="297"/>
        <v/>
      </c>
      <c r="AU1419" s="168" t="str">
        <f t="shared" si="298"/>
        <v/>
      </c>
      <c r="AV1419" s="227"/>
      <c r="AW1419" s="30"/>
      <c r="AX1419" s="267"/>
      <c r="AY1419" s="267"/>
      <c r="AZ1419" s="29"/>
      <c r="BA1419" s="30"/>
      <c r="BB1419" s="23" t="str" cm="1">
        <f t="array" ref="BB1419">_xlfn.IFS(AW1419="SIM",SUM(K1419,P1419,U1419,Z1419,AE1419,AJ1419,AO1419,AT1419,AX1419,AY1419),F1419&lt;&gt;"",SUM(K1419,P1419,U1419,Z1419,AE1419,AJ1419,,AO1419,AT1419),F1419="","")</f>
        <v/>
      </c>
      <c r="BC1419" s="211" t="str" cm="1">
        <f t="array" ref="BC1419">_xlfn.IFS(E1419="","",G1419&lt;=E1419,BB1419*(1-0.03),G1419&lt;(E1419+8),BB1419,AZ1419="Boleto",BB1419*(1+0.001)^DATEDIF(E1419,G1419,"D"),AZ1419="Cheque",BB1419,AZ1419="Dinheiro","Alterar forma pgto")</f>
        <v/>
      </c>
      <c r="BD1419" s="276" t="str" cm="1">
        <f t="array" ref="BD1419">IF(F1419=0," ",IF(BC1419&lt;BB1419,(_xlfn.IFS(AW1419="SIM",SUM(L1419,Q1419,V1419,AA1419,AF1419,AK1419,AP1419,AU1419)+AX1419/_xlfn.XLOOKUP(_xlfn.XLOOKUP($F1419,Clientes!$B$4:$B$39,Clientes!$C$4:$C$39),Cadastros!$L$6:$L$12,Cadastros!$M$6:$M$12)+IF($F1419="Bernardino Furlan",AY1419/2751.92,IF($F1419="Mauro José Salanti",AY1419/2751.92,AY1419/3356)),F1419&lt;&gt;0,SUM(L1419,Q1419,V1419,AA1419,AF1419,AK1419,AP1419,AU1419)))*(1-0.03),_xlfn.IFS(AW1419="SIM",SUM(L1419,Q1419,V1419,AA1419,AF1419,AK1419,AP1419,AU1419)+AX1419/_xlfn.XLOOKUP(_xlfn.XLOOKUP($F1419,Clientes!$B$4:$B$39,Clientes!$C$4:$C$39),Cadastros!$L$6:$L$12,Cadastros!$M$6:$M$12)+IF($F1419="Bernardino Furlan",AY1419/2751.92,IF($F1419="Mauro José Salanti",AY1419/2751.92,AY1419/3356)),F1419&lt;&gt;0,SUM(L1419,Q1419,V1419,AA1419,AF1419,AK1419,AP1419,AU1419))))</f>
        <v xml:space="preserve"> </v>
      </c>
      <c r="BE1419" s="120"/>
      <c r="BF1419" s="120"/>
      <c r="BG1419" s="120"/>
    </row>
    <row r="1420" spans="1:59" s="3" customFormat="1" x14ac:dyDescent="0.3">
      <c r="A1420" s="15" t="str">
        <f t="shared" si="286"/>
        <v/>
      </c>
      <c r="B1420" s="25"/>
      <c r="C1420" s="26"/>
      <c r="D1420" s="279"/>
      <c r="E1420" s="27"/>
      <c r="F1420" s="28"/>
      <c r="G1420" s="27"/>
      <c r="H1420" s="28"/>
      <c r="I1420" s="28"/>
      <c r="J1420" s="255" t="str">
        <f>IF(H1420="","",(_xlfn.XLOOKUP(H1420,Cadastros!$D$6:$D$90,Cadastros!$E$6:$E$90))*(1-_xlfn.XLOOKUP(_xlfn.XLOOKUP($F1420,Clientes!$B$4:$B$39,Clientes!$C$4:$C$39),Cadastros!$L$6:$L$12,Cadastros!$N$6:$N$12)))</f>
        <v/>
      </c>
      <c r="K1420" s="168" t="str">
        <f t="shared" si="287"/>
        <v/>
      </c>
      <c r="L1420" s="168" t="str">
        <f>IFERROR(K1420/_xlfn.XLOOKUP(_xlfn.XLOOKUP($F1420,Clientes!$B$4:$B$39,Clientes!$C$4:$C$39),Cadastros!$L$6:$L$12,Cadastros!$M$6:$M$12)," ")</f>
        <v xml:space="preserve"> </v>
      </c>
      <c r="M1420" s="28"/>
      <c r="N1420" s="28"/>
      <c r="O1420" s="255" t="str">
        <f>IF(M1420="","",(_xlfn.XLOOKUP(M1420,Cadastros!$D$6:$D$90,Cadastros!$E$6:$E$90))*(1-_xlfn.XLOOKUP(_xlfn.XLOOKUP($F1420,Clientes!$B$4:$B$39,Clientes!$C$4:$C$39),Cadastros!$L$6:$L$12,Cadastros!$N$6:$N$12)))</f>
        <v/>
      </c>
      <c r="P1420" s="168" t="str">
        <f t="shared" si="288"/>
        <v/>
      </c>
      <c r="Q1420" s="168" t="str">
        <f>IFERROR(P1420/_xlfn.XLOOKUP(_xlfn.XLOOKUP($F1420,Clientes!$B$4:$B$39,Clientes!$C$4:$C$39),Cadastros!$L$6:$L$12,Cadastros!$M$6:$M$12)," ")</f>
        <v xml:space="preserve"> </v>
      </c>
      <c r="R1420" s="28"/>
      <c r="S1420" s="28"/>
      <c r="T1420" s="255" t="str">
        <f>IF(R1420="","",(_xlfn.XLOOKUP(R1420,Cadastros!$D$6:$D$90,Cadastros!$E$6:$E$90))*(1-_xlfn.XLOOKUP(_xlfn.XLOOKUP($F1420,Clientes!$B$4:$B$39,Clientes!$C$4:$C$39),Cadastros!$L$6:$L$12,Cadastros!$N$6:$N$12)))</f>
        <v/>
      </c>
      <c r="U1420" s="168" t="str">
        <f t="shared" si="289"/>
        <v/>
      </c>
      <c r="V1420" s="168" t="str">
        <f>IFERROR(U1420/_xlfn.XLOOKUP(_xlfn.XLOOKUP($F1420,Clientes!$B$4:$B$39,Clientes!$C$4:$C$39),Cadastros!$L$6:$L$12,Cadastros!$M$6:$M$12)," ")</f>
        <v xml:space="preserve"> </v>
      </c>
      <c r="W1420" s="28"/>
      <c r="X1420" s="28"/>
      <c r="Y1420" s="255" t="str">
        <f>IF(W1420="","",(_xlfn.XLOOKUP(W1420,Cadastros!$D$6:$D$90,Cadastros!$E$6:$E$90))*(1-_xlfn.XLOOKUP(_xlfn.XLOOKUP($F1420,Clientes!$B$4:$B$39,Clientes!$C$4:$C$39),Cadastros!$L$6:$L$12,Cadastros!$N$6:$N$12)))</f>
        <v/>
      </c>
      <c r="Z1420" s="168" t="str">
        <f t="shared" si="290"/>
        <v/>
      </c>
      <c r="AA1420" s="168" t="str">
        <f>IFERROR(Z1420/_xlfn.XLOOKUP(_xlfn.XLOOKUP($F1420,Clientes!$B$4:$B$39,Clientes!$C$4:$C$39),Cadastros!$L$6:$L$12,Cadastros!$M$6:$M$12)," ")</f>
        <v xml:space="preserve"> </v>
      </c>
      <c r="AB1420" s="28"/>
      <c r="AC1420" s="28"/>
      <c r="AD1420" s="20" t="str">
        <f>IF(AB1420="","",IF($F1420="Bernardino Furlan",_xlfn.XLOOKUP(AB1420,Cadastros!$G$6:$G$90,Cadastros!$H$6:$H$90)*(1-0.18),IF($F1420="Mauro José Salanti",_xlfn.XLOOKUP(AB1420,Cadastros!$G$6:$G$90,Cadastros!$H$6:$H$90)*(1-0.18),_xlfn.XLOOKUP(AB1420,Cadastros!$G$6:$G$90,Cadastros!$H$6:$H$90))))</f>
        <v/>
      </c>
      <c r="AE1420" s="168" t="str">
        <f t="shared" si="291"/>
        <v/>
      </c>
      <c r="AF1420" s="168" t="str">
        <f t="shared" si="292"/>
        <v/>
      </c>
      <c r="AG1420" s="28"/>
      <c r="AH1420" s="28"/>
      <c r="AI1420" s="20" t="str">
        <f>IF(AG1420="","",IF($F1420="Bernardino Furlan",_xlfn.XLOOKUP(AG1420,Cadastros!$G$6:$G$90,Cadastros!$H$6:$H$90)*(1-0.18),IF($F1420="Mauro José Salanti",_xlfn.XLOOKUP(AG1420,Cadastros!$G$6:$G$90,Cadastros!$H$6:$H$90)*(1-0.18),_xlfn.XLOOKUP(AG1420,Cadastros!$G$6:$G$90,Cadastros!$H$6:$H$90))))</f>
        <v/>
      </c>
      <c r="AJ1420" s="168" t="str">
        <f t="shared" si="293"/>
        <v/>
      </c>
      <c r="AK1420" s="168" t="str">
        <f t="shared" si="294"/>
        <v/>
      </c>
      <c r="AL1420" s="28"/>
      <c r="AM1420" s="28"/>
      <c r="AN1420" s="20" t="str">
        <f>IF(AL1420="","",IF($F1420="Bernardino Furlan",_xlfn.XLOOKUP(AL1420,Cadastros!$G$6:$G$90,Cadastros!$H$6:$H$90)*(1-0.18),IF($F1420="Mauro José Salanti",_xlfn.XLOOKUP(AL1420,Cadastros!$G$6:$G$90,Cadastros!$H$6:$H$90)*(1-0.18),_xlfn.XLOOKUP(AL1420,Cadastros!$G$6:$G$90,Cadastros!$H$6:$H$90))))</f>
        <v/>
      </c>
      <c r="AO1420" s="168" t="str">
        <f t="shared" si="295"/>
        <v/>
      </c>
      <c r="AP1420" s="168" t="str">
        <f t="shared" si="296"/>
        <v/>
      </c>
      <c r="AQ1420" s="28"/>
      <c r="AR1420" s="28"/>
      <c r="AS1420" s="20" t="str">
        <f>IF(AQ1420="","",IF($F1420="Bernardino Furlan",_xlfn.XLOOKUP(AQ1420,Cadastros!$G$6:$G$90,Cadastros!$H$6:$H$90)*(1-0.18),IF($F1420="Mauro José Salanti",_xlfn.XLOOKUP(AQ1420,Cadastros!$G$6:$G$90,Cadastros!$H$6:$H$90)*(1-0.18),_xlfn.XLOOKUP(AQ1420,Cadastros!$G$6:$G$90,Cadastros!$H$6:$H$90))))</f>
        <v/>
      </c>
      <c r="AT1420" s="168" t="str">
        <f t="shared" si="297"/>
        <v/>
      </c>
      <c r="AU1420" s="168" t="str">
        <f t="shared" si="298"/>
        <v/>
      </c>
      <c r="AV1420" s="227"/>
      <c r="AW1420" s="30"/>
      <c r="AX1420" s="267"/>
      <c r="AY1420" s="267"/>
      <c r="AZ1420" s="29"/>
      <c r="BA1420" s="30"/>
      <c r="BB1420" s="23" t="str" cm="1">
        <f t="array" ref="BB1420">_xlfn.IFS(AW1420="SIM",SUM(K1420,P1420,U1420,Z1420,AE1420,AJ1420,AO1420,AT1420,AX1420,AY1420),F1420&lt;&gt;"",SUM(K1420,P1420,U1420,Z1420,AE1420,AJ1420,,AO1420,AT1420),F1420="","")</f>
        <v/>
      </c>
      <c r="BC1420" s="211" t="str" cm="1">
        <f t="array" ref="BC1420">_xlfn.IFS(E1420="","",G1420&lt;=E1420,BB1420*(1-0.03),G1420&lt;(E1420+8),BB1420,AZ1420="Boleto",BB1420*(1+0.001)^DATEDIF(E1420,G1420,"D"),AZ1420="Cheque",BB1420,AZ1420="Dinheiro","Alterar forma pgto")</f>
        <v/>
      </c>
      <c r="BD1420" s="276" t="str" cm="1">
        <f t="array" ref="BD1420">IF(F1420=0," ",IF(BC1420&lt;BB1420,(_xlfn.IFS(AW1420="SIM",SUM(L1420,Q1420,V1420,AA1420,AF1420,AK1420,AP1420,AU1420)+AX1420/_xlfn.XLOOKUP(_xlfn.XLOOKUP($F1420,Clientes!$B$4:$B$39,Clientes!$C$4:$C$39),Cadastros!$L$6:$L$12,Cadastros!$M$6:$M$12)+IF($F1420="Bernardino Furlan",AY1420/2751.92,IF($F1420="Mauro José Salanti",AY1420/2751.92,AY1420/3356)),F1420&lt;&gt;0,SUM(L1420,Q1420,V1420,AA1420,AF1420,AK1420,AP1420,AU1420)))*(1-0.03),_xlfn.IFS(AW1420="SIM",SUM(L1420,Q1420,V1420,AA1420,AF1420,AK1420,AP1420,AU1420)+AX1420/_xlfn.XLOOKUP(_xlfn.XLOOKUP($F1420,Clientes!$B$4:$B$39,Clientes!$C$4:$C$39),Cadastros!$L$6:$L$12,Cadastros!$M$6:$M$12)+IF($F1420="Bernardino Furlan",AY1420/2751.92,IF($F1420="Mauro José Salanti",AY1420/2751.92,AY1420/3356)),F1420&lt;&gt;0,SUM(L1420,Q1420,V1420,AA1420,AF1420,AK1420,AP1420,AU1420))))</f>
        <v xml:space="preserve"> </v>
      </c>
      <c r="BE1420" s="120"/>
      <c r="BF1420" s="120"/>
      <c r="BG1420" s="120"/>
    </row>
    <row r="1421" spans="1:59" s="3" customFormat="1" x14ac:dyDescent="0.3">
      <c r="A1421" s="15" t="str">
        <f t="shared" si="286"/>
        <v/>
      </c>
      <c r="B1421" s="25"/>
      <c r="C1421" s="26"/>
      <c r="D1421" s="279"/>
      <c r="E1421" s="27"/>
      <c r="F1421" s="28"/>
      <c r="G1421" s="27"/>
      <c r="H1421" s="28"/>
      <c r="I1421" s="28"/>
      <c r="J1421" s="255" t="str">
        <f>IF(H1421="","",(_xlfn.XLOOKUP(H1421,Cadastros!$D$6:$D$90,Cadastros!$E$6:$E$90))*(1-_xlfn.XLOOKUP(_xlfn.XLOOKUP($F1421,Clientes!$B$4:$B$39,Clientes!$C$4:$C$39),Cadastros!$L$6:$L$12,Cadastros!$N$6:$N$12)))</f>
        <v/>
      </c>
      <c r="K1421" s="168" t="str">
        <f t="shared" si="287"/>
        <v/>
      </c>
      <c r="L1421" s="168" t="str">
        <f>IFERROR(K1421/_xlfn.XLOOKUP(_xlfn.XLOOKUP($F1421,Clientes!$B$4:$B$39,Clientes!$C$4:$C$39),Cadastros!$L$6:$L$12,Cadastros!$M$6:$M$12)," ")</f>
        <v xml:space="preserve"> </v>
      </c>
      <c r="M1421" s="28"/>
      <c r="N1421" s="28"/>
      <c r="O1421" s="255" t="str">
        <f>IF(M1421="","",(_xlfn.XLOOKUP(M1421,Cadastros!$D$6:$D$90,Cadastros!$E$6:$E$90))*(1-_xlfn.XLOOKUP(_xlfn.XLOOKUP($F1421,Clientes!$B$4:$B$39,Clientes!$C$4:$C$39),Cadastros!$L$6:$L$12,Cadastros!$N$6:$N$12)))</f>
        <v/>
      </c>
      <c r="P1421" s="168" t="str">
        <f t="shared" si="288"/>
        <v/>
      </c>
      <c r="Q1421" s="168" t="str">
        <f>IFERROR(P1421/_xlfn.XLOOKUP(_xlfn.XLOOKUP($F1421,Clientes!$B$4:$B$39,Clientes!$C$4:$C$39),Cadastros!$L$6:$L$12,Cadastros!$M$6:$M$12)," ")</f>
        <v xml:space="preserve"> </v>
      </c>
      <c r="R1421" s="28"/>
      <c r="S1421" s="28"/>
      <c r="T1421" s="255" t="str">
        <f>IF(R1421="","",(_xlfn.XLOOKUP(R1421,Cadastros!$D$6:$D$90,Cadastros!$E$6:$E$90))*(1-_xlfn.XLOOKUP(_xlfn.XLOOKUP($F1421,Clientes!$B$4:$B$39,Clientes!$C$4:$C$39),Cadastros!$L$6:$L$12,Cadastros!$N$6:$N$12)))</f>
        <v/>
      </c>
      <c r="U1421" s="168" t="str">
        <f t="shared" si="289"/>
        <v/>
      </c>
      <c r="V1421" s="168" t="str">
        <f>IFERROR(U1421/_xlfn.XLOOKUP(_xlfn.XLOOKUP($F1421,Clientes!$B$4:$B$39,Clientes!$C$4:$C$39),Cadastros!$L$6:$L$12,Cadastros!$M$6:$M$12)," ")</f>
        <v xml:space="preserve"> </v>
      </c>
      <c r="W1421" s="28"/>
      <c r="X1421" s="28"/>
      <c r="Y1421" s="255" t="str">
        <f>IF(W1421="","",(_xlfn.XLOOKUP(W1421,Cadastros!$D$6:$D$90,Cadastros!$E$6:$E$90))*(1-_xlfn.XLOOKUP(_xlfn.XLOOKUP($F1421,Clientes!$B$4:$B$39,Clientes!$C$4:$C$39),Cadastros!$L$6:$L$12,Cadastros!$N$6:$N$12)))</f>
        <v/>
      </c>
      <c r="Z1421" s="168" t="str">
        <f t="shared" si="290"/>
        <v/>
      </c>
      <c r="AA1421" s="168" t="str">
        <f>IFERROR(Z1421/_xlfn.XLOOKUP(_xlfn.XLOOKUP($F1421,Clientes!$B$4:$B$39,Clientes!$C$4:$C$39),Cadastros!$L$6:$L$12,Cadastros!$M$6:$M$12)," ")</f>
        <v xml:space="preserve"> </v>
      </c>
      <c r="AB1421" s="28"/>
      <c r="AC1421" s="28"/>
      <c r="AD1421" s="20" t="str">
        <f>IF(AB1421="","",IF($F1421="Bernardino Furlan",_xlfn.XLOOKUP(AB1421,Cadastros!$G$6:$G$90,Cadastros!$H$6:$H$90)*(1-0.18),IF($F1421="Mauro José Salanti",_xlfn.XLOOKUP(AB1421,Cadastros!$G$6:$G$90,Cadastros!$H$6:$H$90)*(1-0.18),_xlfn.XLOOKUP(AB1421,Cadastros!$G$6:$G$90,Cadastros!$H$6:$H$90))))</f>
        <v/>
      </c>
      <c r="AE1421" s="168" t="str">
        <f t="shared" si="291"/>
        <v/>
      </c>
      <c r="AF1421" s="168" t="str">
        <f t="shared" si="292"/>
        <v/>
      </c>
      <c r="AG1421" s="28"/>
      <c r="AH1421" s="28"/>
      <c r="AI1421" s="20" t="str">
        <f>IF(AG1421="","",IF($F1421="Bernardino Furlan",_xlfn.XLOOKUP(AG1421,Cadastros!$G$6:$G$90,Cadastros!$H$6:$H$90)*(1-0.18),IF($F1421="Mauro José Salanti",_xlfn.XLOOKUP(AG1421,Cadastros!$G$6:$G$90,Cadastros!$H$6:$H$90)*(1-0.18),_xlfn.XLOOKUP(AG1421,Cadastros!$G$6:$G$90,Cadastros!$H$6:$H$90))))</f>
        <v/>
      </c>
      <c r="AJ1421" s="168" t="str">
        <f t="shared" si="293"/>
        <v/>
      </c>
      <c r="AK1421" s="168" t="str">
        <f t="shared" si="294"/>
        <v/>
      </c>
      <c r="AL1421" s="28"/>
      <c r="AM1421" s="28"/>
      <c r="AN1421" s="20" t="str">
        <f>IF(AL1421="","",IF($F1421="Bernardino Furlan",_xlfn.XLOOKUP(AL1421,Cadastros!$G$6:$G$90,Cadastros!$H$6:$H$90)*(1-0.18),IF($F1421="Mauro José Salanti",_xlfn.XLOOKUP(AL1421,Cadastros!$G$6:$G$90,Cadastros!$H$6:$H$90)*(1-0.18),_xlfn.XLOOKUP(AL1421,Cadastros!$G$6:$G$90,Cadastros!$H$6:$H$90))))</f>
        <v/>
      </c>
      <c r="AO1421" s="168" t="str">
        <f t="shared" si="295"/>
        <v/>
      </c>
      <c r="AP1421" s="168" t="str">
        <f t="shared" si="296"/>
        <v/>
      </c>
      <c r="AQ1421" s="28"/>
      <c r="AR1421" s="28"/>
      <c r="AS1421" s="20" t="str">
        <f>IF(AQ1421="","",IF($F1421="Bernardino Furlan",_xlfn.XLOOKUP(AQ1421,Cadastros!$G$6:$G$90,Cadastros!$H$6:$H$90)*(1-0.18),IF($F1421="Mauro José Salanti",_xlfn.XLOOKUP(AQ1421,Cadastros!$G$6:$G$90,Cadastros!$H$6:$H$90)*(1-0.18),_xlfn.XLOOKUP(AQ1421,Cadastros!$G$6:$G$90,Cadastros!$H$6:$H$90))))</f>
        <v/>
      </c>
      <c r="AT1421" s="168" t="str">
        <f t="shared" si="297"/>
        <v/>
      </c>
      <c r="AU1421" s="168" t="str">
        <f t="shared" si="298"/>
        <v/>
      </c>
      <c r="AV1421" s="227"/>
      <c r="AW1421" s="30"/>
      <c r="AX1421" s="267"/>
      <c r="AY1421" s="267"/>
      <c r="AZ1421" s="29"/>
      <c r="BA1421" s="30"/>
      <c r="BB1421" s="23" t="str" cm="1">
        <f t="array" ref="BB1421">_xlfn.IFS(AW1421="SIM",SUM(K1421,P1421,U1421,Z1421,AE1421,AJ1421,AO1421,AT1421,AX1421,AY1421),F1421&lt;&gt;"",SUM(K1421,P1421,U1421,Z1421,AE1421,AJ1421,,AO1421,AT1421),F1421="","")</f>
        <v/>
      </c>
      <c r="BC1421" s="211" t="str" cm="1">
        <f t="array" ref="BC1421">_xlfn.IFS(E1421="","",G1421&lt;=E1421,BB1421*(1-0.03),G1421&lt;(E1421+8),BB1421,AZ1421="Boleto",BB1421*(1+0.001)^DATEDIF(E1421,G1421,"D"),AZ1421="Cheque",BB1421,AZ1421="Dinheiro","Alterar forma pgto")</f>
        <v/>
      </c>
      <c r="BD1421" s="276" t="str" cm="1">
        <f t="array" ref="BD1421">IF(F1421=0," ",IF(BC1421&lt;BB1421,(_xlfn.IFS(AW1421="SIM",SUM(L1421,Q1421,V1421,AA1421,AF1421,AK1421,AP1421,AU1421)+AX1421/_xlfn.XLOOKUP(_xlfn.XLOOKUP($F1421,Clientes!$B$4:$B$39,Clientes!$C$4:$C$39),Cadastros!$L$6:$L$12,Cadastros!$M$6:$M$12)+IF($F1421="Bernardino Furlan",AY1421/2751.92,IF($F1421="Mauro José Salanti",AY1421/2751.92,AY1421/3356)),F1421&lt;&gt;0,SUM(L1421,Q1421,V1421,AA1421,AF1421,AK1421,AP1421,AU1421)))*(1-0.03),_xlfn.IFS(AW1421="SIM",SUM(L1421,Q1421,V1421,AA1421,AF1421,AK1421,AP1421,AU1421)+AX1421/_xlfn.XLOOKUP(_xlfn.XLOOKUP($F1421,Clientes!$B$4:$B$39,Clientes!$C$4:$C$39),Cadastros!$L$6:$L$12,Cadastros!$M$6:$M$12)+IF($F1421="Bernardino Furlan",AY1421/2751.92,IF($F1421="Mauro José Salanti",AY1421/2751.92,AY1421/3356)),F1421&lt;&gt;0,SUM(L1421,Q1421,V1421,AA1421,AF1421,AK1421,AP1421,AU1421))))</f>
        <v xml:space="preserve"> </v>
      </c>
      <c r="BE1421" s="120"/>
      <c r="BF1421" s="120"/>
      <c r="BG1421" s="120"/>
    </row>
    <row r="1422" spans="1:59" s="3" customFormat="1" x14ac:dyDescent="0.3">
      <c r="A1422" s="15" t="str">
        <f t="shared" si="286"/>
        <v/>
      </c>
      <c r="B1422" s="25"/>
      <c r="C1422" s="26"/>
      <c r="D1422" s="279"/>
      <c r="E1422" s="27"/>
      <c r="F1422" s="28"/>
      <c r="G1422" s="27"/>
      <c r="H1422" s="28"/>
      <c r="I1422" s="28"/>
      <c r="J1422" s="255" t="str">
        <f>IF(H1422="","",(_xlfn.XLOOKUP(H1422,Cadastros!$D$6:$D$90,Cadastros!$E$6:$E$90))*(1-_xlfn.XLOOKUP(_xlfn.XLOOKUP($F1422,Clientes!$B$4:$B$39,Clientes!$C$4:$C$39),Cadastros!$L$6:$L$12,Cadastros!$N$6:$N$12)))</f>
        <v/>
      </c>
      <c r="K1422" s="168" t="str">
        <f t="shared" si="287"/>
        <v/>
      </c>
      <c r="L1422" s="168" t="str">
        <f>IFERROR(K1422/_xlfn.XLOOKUP(_xlfn.XLOOKUP($F1422,Clientes!$B$4:$B$39,Clientes!$C$4:$C$39),Cadastros!$L$6:$L$12,Cadastros!$M$6:$M$12)," ")</f>
        <v xml:space="preserve"> </v>
      </c>
      <c r="M1422" s="28"/>
      <c r="N1422" s="28"/>
      <c r="O1422" s="255" t="str">
        <f>IF(M1422="","",(_xlfn.XLOOKUP(M1422,Cadastros!$D$6:$D$90,Cadastros!$E$6:$E$90))*(1-_xlfn.XLOOKUP(_xlfn.XLOOKUP($F1422,Clientes!$B$4:$B$39,Clientes!$C$4:$C$39),Cadastros!$L$6:$L$12,Cadastros!$N$6:$N$12)))</f>
        <v/>
      </c>
      <c r="P1422" s="168" t="str">
        <f t="shared" si="288"/>
        <v/>
      </c>
      <c r="Q1422" s="168" t="str">
        <f>IFERROR(P1422/_xlfn.XLOOKUP(_xlfn.XLOOKUP($F1422,Clientes!$B$4:$B$39,Clientes!$C$4:$C$39),Cadastros!$L$6:$L$12,Cadastros!$M$6:$M$12)," ")</f>
        <v xml:space="preserve"> </v>
      </c>
      <c r="R1422" s="28"/>
      <c r="S1422" s="28"/>
      <c r="T1422" s="255" t="str">
        <f>IF(R1422="","",(_xlfn.XLOOKUP(R1422,Cadastros!$D$6:$D$90,Cadastros!$E$6:$E$90))*(1-_xlfn.XLOOKUP(_xlfn.XLOOKUP($F1422,Clientes!$B$4:$B$39,Clientes!$C$4:$C$39),Cadastros!$L$6:$L$12,Cadastros!$N$6:$N$12)))</f>
        <v/>
      </c>
      <c r="U1422" s="168" t="str">
        <f t="shared" si="289"/>
        <v/>
      </c>
      <c r="V1422" s="168" t="str">
        <f>IFERROR(U1422/_xlfn.XLOOKUP(_xlfn.XLOOKUP($F1422,Clientes!$B$4:$B$39,Clientes!$C$4:$C$39),Cadastros!$L$6:$L$12,Cadastros!$M$6:$M$12)," ")</f>
        <v xml:space="preserve"> </v>
      </c>
      <c r="W1422" s="28"/>
      <c r="X1422" s="28"/>
      <c r="Y1422" s="255" t="str">
        <f>IF(W1422="","",(_xlfn.XLOOKUP(W1422,Cadastros!$D$6:$D$90,Cadastros!$E$6:$E$90))*(1-_xlfn.XLOOKUP(_xlfn.XLOOKUP($F1422,Clientes!$B$4:$B$39,Clientes!$C$4:$C$39),Cadastros!$L$6:$L$12,Cadastros!$N$6:$N$12)))</f>
        <v/>
      </c>
      <c r="Z1422" s="168" t="str">
        <f t="shared" si="290"/>
        <v/>
      </c>
      <c r="AA1422" s="168" t="str">
        <f>IFERROR(Z1422/_xlfn.XLOOKUP(_xlfn.XLOOKUP($F1422,Clientes!$B$4:$B$39,Clientes!$C$4:$C$39),Cadastros!$L$6:$L$12,Cadastros!$M$6:$M$12)," ")</f>
        <v xml:space="preserve"> </v>
      </c>
      <c r="AB1422" s="28"/>
      <c r="AC1422" s="28"/>
      <c r="AD1422" s="20" t="str">
        <f>IF(AB1422="","",IF($F1422="Bernardino Furlan",_xlfn.XLOOKUP(AB1422,Cadastros!$G$6:$G$90,Cadastros!$H$6:$H$90)*(1-0.18),IF($F1422="Mauro José Salanti",_xlfn.XLOOKUP(AB1422,Cadastros!$G$6:$G$90,Cadastros!$H$6:$H$90)*(1-0.18),_xlfn.XLOOKUP(AB1422,Cadastros!$G$6:$G$90,Cadastros!$H$6:$H$90))))</f>
        <v/>
      </c>
      <c r="AE1422" s="168" t="str">
        <f t="shared" si="291"/>
        <v/>
      </c>
      <c r="AF1422" s="168" t="str">
        <f t="shared" si="292"/>
        <v/>
      </c>
      <c r="AG1422" s="28"/>
      <c r="AH1422" s="28"/>
      <c r="AI1422" s="20" t="str">
        <f>IF(AG1422="","",IF($F1422="Bernardino Furlan",_xlfn.XLOOKUP(AG1422,Cadastros!$G$6:$G$90,Cadastros!$H$6:$H$90)*(1-0.18),IF($F1422="Mauro José Salanti",_xlfn.XLOOKUP(AG1422,Cadastros!$G$6:$G$90,Cadastros!$H$6:$H$90)*(1-0.18),_xlfn.XLOOKUP(AG1422,Cadastros!$G$6:$G$90,Cadastros!$H$6:$H$90))))</f>
        <v/>
      </c>
      <c r="AJ1422" s="168" t="str">
        <f t="shared" si="293"/>
        <v/>
      </c>
      <c r="AK1422" s="168" t="str">
        <f t="shared" si="294"/>
        <v/>
      </c>
      <c r="AL1422" s="28"/>
      <c r="AM1422" s="28"/>
      <c r="AN1422" s="20" t="str">
        <f>IF(AL1422="","",IF($F1422="Bernardino Furlan",_xlfn.XLOOKUP(AL1422,Cadastros!$G$6:$G$90,Cadastros!$H$6:$H$90)*(1-0.18),IF($F1422="Mauro José Salanti",_xlfn.XLOOKUP(AL1422,Cadastros!$G$6:$G$90,Cadastros!$H$6:$H$90)*(1-0.18),_xlfn.XLOOKUP(AL1422,Cadastros!$G$6:$G$90,Cadastros!$H$6:$H$90))))</f>
        <v/>
      </c>
      <c r="AO1422" s="168" t="str">
        <f t="shared" si="295"/>
        <v/>
      </c>
      <c r="AP1422" s="168" t="str">
        <f t="shared" si="296"/>
        <v/>
      </c>
      <c r="AQ1422" s="28"/>
      <c r="AR1422" s="28"/>
      <c r="AS1422" s="20" t="str">
        <f>IF(AQ1422="","",IF($F1422="Bernardino Furlan",_xlfn.XLOOKUP(AQ1422,Cadastros!$G$6:$G$90,Cadastros!$H$6:$H$90)*(1-0.18),IF($F1422="Mauro José Salanti",_xlfn.XLOOKUP(AQ1422,Cadastros!$G$6:$G$90,Cadastros!$H$6:$H$90)*(1-0.18),_xlfn.XLOOKUP(AQ1422,Cadastros!$G$6:$G$90,Cadastros!$H$6:$H$90))))</f>
        <v/>
      </c>
      <c r="AT1422" s="168" t="str">
        <f t="shared" si="297"/>
        <v/>
      </c>
      <c r="AU1422" s="168" t="str">
        <f t="shared" si="298"/>
        <v/>
      </c>
      <c r="AV1422" s="227"/>
      <c r="AW1422" s="30"/>
      <c r="AX1422" s="267"/>
      <c r="AY1422" s="267"/>
      <c r="AZ1422" s="29"/>
      <c r="BA1422" s="30"/>
      <c r="BB1422" s="23" t="str" cm="1">
        <f t="array" ref="BB1422">_xlfn.IFS(AW1422="SIM",SUM(K1422,P1422,U1422,Z1422,AE1422,AJ1422,AO1422,AT1422,AX1422,AY1422),F1422&lt;&gt;"",SUM(K1422,P1422,U1422,Z1422,AE1422,AJ1422,,AO1422,AT1422),F1422="","")</f>
        <v/>
      </c>
      <c r="BC1422" s="211" t="str" cm="1">
        <f t="array" ref="BC1422">_xlfn.IFS(E1422="","",G1422&lt;=E1422,BB1422*(1-0.03),G1422&lt;(E1422+8),BB1422,AZ1422="Boleto",BB1422*(1+0.001)^DATEDIF(E1422,G1422,"D"),AZ1422="Cheque",BB1422,AZ1422="Dinheiro","Alterar forma pgto")</f>
        <v/>
      </c>
      <c r="BD1422" s="276" t="str" cm="1">
        <f t="array" ref="BD1422">IF(F1422=0," ",IF(BC1422&lt;BB1422,(_xlfn.IFS(AW1422="SIM",SUM(L1422,Q1422,V1422,AA1422,AF1422,AK1422,AP1422,AU1422)+AX1422/_xlfn.XLOOKUP(_xlfn.XLOOKUP($F1422,Clientes!$B$4:$B$39,Clientes!$C$4:$C$39),Cadastros!$L$6:$L$12,Cadastros!$M$6:$M$12)+IF($F1422="Bernardino Furlan",AY1422/2751.92,IF($F1422="Mauro José Salanti",AY1422/2751.92,AY1422/3356)),F1422&lt;&gt;0,SUM(L1422,Q1422,V1422,AA1422,AF1422,AK1422,AP1422,AU1422)))*(1-0.03),_xlfn.IFS(AW1422="SIM",SUM(L1422,Q1422,V1422,AA1422,AF1422,AK1422,AP1422,AU1422)+AX1422/_xlfn.XLOOKUP(_xlfn.XLOOKUP($F1422,Clientes!$B$4:$B$39,Clientes!$C$4:$C$39),Cadastros!$L$6:$L$12,Cadastros!$M$6:$M$12)+IF($F1422="Bernardino Furlan",AY1422/2751.92,IF($F1422="Mauro José Salanti",AY1422/2751.92,AY1422/3356)),F1422&lt;&gt;0,SUM(L1422,Q1422,V1422,AA1422,AF1422,AK1422,AP1422,AU1422))))</f>
        <v xml:space="preserve"> </v>
      </c>
      <c r="BE1422" s="120"/>
      <c r="BF1422" s="120"/>
      <c r="BG1422" s="120"/>
    </row>
    <row r="1423" spans="1:59" s="3" customFormat="1" x14ac:dyDescent="0.3">
      <c r="A1423" s="15" t="str">
        <f t="shared" si="286"/>
        <v/>
      </c>
      <c r="B1423" s="25"/>
      <c r="C1423" s="26"/>
      <c r="D1423" s="279"/>
      <c r="E1423" s="27"/>
      <c r="F1423" s="28"/>
      <c r="G1423" s="27"/>
      <c r="H1423" s="28"/>
      <c r="I1423" s="28"/>
      <c r="J1423" s="255" t="str">
        <f>IF(H1423="","",(_xlfn.XLOOKUP(H1423,Cadastros!$D$6:$D$90,Cadastros!$E$6:$E$90))*(1-_xlfn.XLOOKUP(_xlfn.XLOOKUP($F1423,Clientes!$B$4:$B$39,Clientes!$C$4:$C$39),Cadastros!$L$6:$L$12,Cadastros!$N$6:$N$12)))</f>
        <v/>
      </c>
      <c r="K1423" s="168" t="str">
        <f t="shared" si="287"/>
        <v/>
      </c>
      <c r="L1423" s="168" t="str">
        <f>IFERROR(K1423/_xlfn.XLOOKUP(_xlfn.XLOOKUP($F1423,Clientes!$B$4:$B$39,Clientes!$C$4:$C$39),Cadastros!$L$6:$L$12,Cadastros!$M$6:$M$12)," ")</f>
        <v xml:space="preserve"> </v>
      </c>
      <c r="M1423" s="28"/>
      <c r="N1423" s="28"/>
      <c r="O1423" s="255" t="str">
        <f>IF(M1423="","",(_xlfn.XLOOKUP(M1423,Cadastros!$D$6:$D$90,Cadastros!$E$6:$E$90))*(1-_xlfn.XLOOKUP(_xlfn.XLOOKUP($F1423,Clientes!$B$4:$B$39,Clientes!$C$4:$C$39),Cadastros!$L$6:$L$12,Cadastros!$N$6:$N$12)))</f>
        <v/>
      </c>
      <c r="P1423" s="168" t="str">
        <f t="shared" si="288"/>
        <v/>
      </c>
      <c r="Q1423" s="168" t="str">
        <f>IFERROR(P1423/_xlfn.XLOOKUP(_xlfn.XLOOKUP($F1423,Clientes!$B$4:$B$39,Clientes!$C$4:$C$39),Cadastros!$L$6:$L$12,Cadastros!$M$6:$M$12)," ")</f>
        <v xml:space="preserve"> </v>
      </c>
      <c r="R1423" s="28"/>
      <c r="S1423" s="28"/>
      <c r="T1423" s="255" t="str">
        <f>IF(R1423="","",(_xlfn.XLOOKUP(R1423,Cadastros!$D$6:$D$90,Cadastros!$E$6:$E$90))*(1-_xlfn.XLOOKUP(_xlfn.XLOOKUP($F1423,Clientes!$B$4:$B$39,Clientes!$C$4:$C$39),Cadastros!$L$6:$L$12,Cadastros!$N$6:$N$12)))</f>
        <v/>
      </c>
      <c r="U1423" s="168" t="str">
        <f t="shared" si="289"/>
        <v/>
      </c>
      <c r="V1423" s="168" t="str">
        <f>IFERROR(U1423/_xlfn.XLOOKUP(_xlfn.XLOOKUP($F1423,Clientes!$B$4:$B$39,Clientes!$C$4:$C$39),Cadastros!$L$6:$L$12,Cadastros!$M$6:$M$12)," ")</f>
        <v xml:space="preserve"> </v>
      </c>
      <c r="W1423" s="28"/>
      <c r="X1423" s="28"/>
      <c r="Y1423" s="255" t="str">
        <f>IF(W1423="","",(_xlfn.XLOOKUP(W1423,Cadastros!$D$6:$D$90,Cadastros!$E$6:$E$90))*(1-_xlfn.XLOOKUP(_xlfn.XLOOKUP($F1423,Clientes!$B$4:$B$39,Clientes!$C$4:$C$39),Cadastros!$L$6:$L$12,Cadastros!$N$6:$N$12)))</f>
        <v/>
      </c>
      <c r="Z1423" s="168" t="str">
        <f t="shared" si="290"/>
        <v/>
      </c>
      <c r="AA1423" s="168" t="str">
        <f>IFERROR(Z1423/_xlfn.XLOOKUP(_xlfn.XLOOKUP($F1423,Clientes!$B$4:$B$39,Clientes!$C$4:$C$39),Cadastros!$L$6:$L$12,Cadastros!$M$6:$M$12)," ")</f>
        <v xml:space="preserve"> </v>
      </c>
      <c r="AB1423" s="28"/>
      <c r="AC1423" s="28"/>
      <c r="AD1423" s="20" t="str">
        <f>IF(AB1423="","",IF($F1423="Bernardino Furlan",_xlfn.XLOOKUP(AB1423,Cadastros!$G$6:$G$90,Cadastros!$H$6:$H$90)*(1-0.18),IF($F1423="Mauro José Salanti",_xlfn.XLOOKUP(AB1423,Cadastros!$G$6:$G$90,Cadastros!$H$6:$H$90)*(1-0.18),_xlfn.XLOOKUP(AB1423,Cadastros!$G$6:$G$90,Cadastros!$H$6:$H$90))))</f>
        <v/>
      </c>
      <c r="AE1423" s="168" t="str">
        <f t="shared" si="291"/>
        <v/>
      </c>
      <c r="AF1423" s="168" t="str">
        <f t="shared" si="292"/>
        <v/>
      </c>
      <c r="AG1423" s="28"/>
      <c r="AH1423" s="28"/>
      <c r="AI1423" s="20" t="str">
        <f>IF(AG1423="","",IF($F1423="Bernardino Furlan",_xlfn.XLOOKUP(AG1423,Cadastros!$G$6:$G$90,Cadastros!$H$6:$H$90)*(1-0.18),IF($F1423="Mauro José Salanti",_xlfn.XLOOKUP(AG1423,Cadastros!$G$6:$G$90,Cadastros!$H$6:$H$90)*(1-0.18),_xlfn.XLOOKUP(AG1423,Cadastros!$G$6:$G$90,Cadastros!$H$6:$H$90))))</f>
        <v/>
      </c>
      <c r="AJ1423" s="168" t="str">
        <f t="shared" si="293"/>
        <v/>
      </c>
      <c r="AK1423" s="168" t="str">
        <f t="shared" si="294"/>
        <v/>
      </c>
      <c r="AL1423" s="28"/>
      <c r="AM1423" s="28"/>
      <c r="AN1423" s="20" t="str">
        <f>IF(AL1423="","",IF($F1423="Bernardino Furlan",_xlfn.XLOOKUP(AL1423,Cadastros!$G$6:$G$90,Cadastros!$H$6:$H$90)*(1-0.18),IF($F1423="Mauro José Salanti",_xlfn.XLOOKUP(AL1423,Cadastros!$G$6:$G$90,Cadastros!$H$6:$H$90)*(1-0.18),_xlfn.XLOOKUP(AL1423,Cadastros!$G$6:$G$90,Cadastros!$H$6:$H$90))))</f>
        <v/>
      </c>
      <c r="AO1423" s="168" t="str">
        <f t="shared" si="295"/>
        <v/>
      </c>
      <c r="AP1423" s="168" t="str">
        <f t="shared" si="296"/>
        <v/>
      </c>
      <c r="AQ1423" s="28"/>
      <c r="AR1423" s="28"/>
      <c r="AS1423" s="20" t="str">
        <f>IF(AQ1423="","",IF($F1423="Bernardino Furlan",_xlfn.XLOOKUP(AQ1423,Cadastros!$G$6:$G$90,Cadastros!$H$6:$H$90)*(1-0.18),IF($F1423="Mauro José Salanti",_xlfn.XLOOKUP(AQ1423,Cadastros!$G$6:$G$90,Cadastros!$H$6:$H$90)*(1-0.18),_xlfn.XLOOKUP(AQ1423,Cadastros!$G$6:$G$90,Cadastros!$H$6:$H$90))))</f>
        <v/>
      </c>
      <c r="AT1423" s="168" t="str">
        <f t="shared" si="297"/>
        <v/>
      </c>
      <c r="AU1423" s="168" t="str">
        <f t="shared" si="298"/>
        <v/>
      </c>
      <c r="AV1423" s="227"/>
      <c r="AW1423" s="30"/>
      <c r="AX1423" s="267"/>
      <c r="AY1423" s="267"/>
      <c r="AZ1423" s="29"/>
      <c r="BA1423" s="30"/>
      <c r="BB1423" s="23" t="str" cm="1">
        <f t="array" ref="BB1423">_xlfn.IFS(AW1423="SIM",SUM(K1423,P1423,U1423,Z1423,AE1423,AJ1423,AO1423,AT1423,AX1423,AY1423),F1423&lt;&gt;"",SUM(K1423,P1423,U1423,Z1423,AE1423,AJ1423,,AO1423,AT1423),F1423="","")</f>
        <v/>
      </c>
      <c r="BC1423" s="211" t="str" cm="1">
        <f t="array" ref="BC1423">_xlfn.IFS(E1423="","",G1423&lt;=E1423,BB1423*(1-0.03),G1423&lt;(E1423+8),BB1423,AZ1423="Boleto",BB1423*(1+0.001)^DATEDIF(E1423,G1423,"D"),AZ1423="Cheque",BB1423,AZ1423="Dinheiro","Alterar forma pgto")</f>
        <v/>
      </c>
      <c r="BD1423" s="276" t="str" cm="1">
        <f t="array" ref="BD1423">IF(F1423=0," ",IF(BC1423&lt;BB1423,(_xlfn.IFS(AW1423="SIM",SUM(L1423,Q1423,V1423,AA1423,AF1423,AK1423,AP1423,AU1423)+AX1423/_xlfn.XLOOKUP(_xlfn.XLOOKUP($F1423,Clientes!$B$4:$B$39,Clientes!$C$4:$C$39),Cadastros!$L$6:$L$12,Cadastros!$M$6:$M$12)+IF($F1423="Bernardino Furlan",AY1423/2751.92,IF($F1423="Mauro José Salanti",AY1423/2751.92,AY1423/3356)),F1423&lt;&gt;0,SUM(L1423,Q1423,V1423,AA1423,AF1423,AK1423,AP1423,AU1423)))*(1-0.03),_xlfn.IFS(AW1423="SIM",SUM(L1423,Q1423,V1423,AA1423,AF1423,AK1423,AP1423,AU1423)+AX1423/_xlfn.XLOOKUP(_xlfn.XLOOKUP($F1423,Clientes!$B$4:$B$39,Clientes!$C$4:$C$39),Cadastros!$L$6:$L$12,Cadastros!$M$6:$M$12)+IF($F1423="Bernardino Furlan",AY1423/2751.92,IF($F1423="Mauro José Salanti",AY1423/2751.92,AY1423/3356)),F1423&lt;&gt;0,SUM(L1423,Q1423,V1423,AA1423,AF1423,AK1423,AP1423,AU1423))))</f>
        <v xml:space="preserve"> </v>
      </c>
      <c r="BE1423" s="120"/>
      <c r="BF1423" s="120"/>
      <c r="BG1423" s="120"/>
    </row>
    <row r="1424" spans="1:59" s="3" customFormat="1" x14ac:dyDescent="0.3">
      <c r="A1424" s="15" t="str">
        <f t="shared" si="286"/>
        <v/>
      </c>
      <c r="B1424" s="25"/>
      <c r="C1424" s="26"/>
      <c r="D1424" s="279"/>
      <c r="E1424" s="27"/>
      <c r="F1424" s="28"/>
      <c r="G1424" s="27"/>
      <c r="H1424" s="28"/>
      <c r="I1424" s="28"/>
      <c r="J1424" s="255" t="str">
        <f>IF(H1424="","",(_xlfn.XLOOKUP(H1424,Cadastros!$D$6:$D$90,Cadastros!$E$6:$E$90))*(1-_xlfn.XLOOKUP(_xlfn.XLOOKUP($F1424,Clientes!$B$4:$B$39,Clientes!$C$4:$C$39),Cadastros!$L$6:$L$12,Cadastros!$N$6:$N$12)))</f>
        <v/>
      </c>
      <c r="K1424" s="168" t="str">
        <f t="shared" si="287"/>
        <v/>
      </c>
      <c r="L1424" s="168" t="str">
        <f>IFERROR(K1424/_xlfn.XLOOKUP(_xlfn.XLOOKUP($F1424,Clientes!$B$4:$B$39,Clientes!$C$4:$C$39),Cadastros!$L$6:$L$12,Cadastros!$M$6:$M$12)," ")</f>
        <v xml:space="preserve"> </v>
      </c>
      <c r="M1424" s="28"/>
      <c r="N1424" s="28"/>
      <c r="O1424" s="255" t="str">
        <f>IF(M1424="","",(_xlfn.XLOOKUP(M1424,Cadastros!$D$6:$D$90,Cadastros!$E$6:$E$90))*(1-_xlfn.XLOOKUP(_xlfn.XLOOKUP($F1424,Clientes!$B$4:$B$39,Clientes!$C$4:$C$39),Cadastros!$L$6:$L$12,Cadastros!$N$6:$N$12)))</f>
        <v/>
      </c>
      <c r="P1424" s="168" t="str">
        <f t="shared" si="288"/>
        <v/>
      </c>
      <c r="Q1424" s="168" t="str">
        <f>IFERROR(P1424/_xlfn.XLOOKUP(_xlfn.XLOOKUP($F1424,Clientes!$B$4:$B$39,Clientes!$C$4:$C$39),Cadastros!$L$6:$L$12,Cadastros!$M$6:$M$12)," ")</f>
        <v xml:space="preserve"> </v>
      </c>
      <c r="R1424" s="28"/>
      <c r="S1424" s="28"/>
      <c r="T1424" s="255" t="str">
        <f>IF(R1424="","",(_xlfn.XLOOKUP(R1424,Cadastros!$D$6:$D$90,Cadastros!$E$6:$E$90))*(1-_xlfn.XLOOKUP(_xlfn.XLOOKUP($F1424,Clientes!$B$4:$B$39,Clientes!$C$4:$C$39),Cadastros!$L$6:$L$12,Cadastros!$N$6:$N$12)))</f>
        <v/>
      </c>
      <c r="U1424" s="168" t="str">
        <f t="shared" si="289"/>
        <v/>
      </c>
      <c r="V1424" s="168" t="str">
        <f>IFERROR(U1424/_xlfn.XLOOKUP(_xlfn.XLOOKUP($F1424,Clientes!$B$4:$B$39,Clientes!$C$4:$C$39),Cadastros!$L$6:$L$12,Cadastros!$M$6:$M$12)," ")</f>
        <v xml:space="preserve"> </v>
      </c>
      <c r="W1424" s="28"/>
      <c r="X1424" s="28"/>
      <c r="Y1424" s="255" t="str">
        <f>IF(W1424="","",(_xlfn.XLOOKUP(W1424,Cadastros!$D$6:$D$90,Cadastros!$E$6:$E$90))*(1-_xlfn.XLOOKUP(_xlfn.XLOOKUP($F1424,Clientes!$B$4:$B$39,Clientes!$C$4:$C$39),Cadastros!$L$6:$L$12,Cadastros!$N$6:$N$12)))</f>
        <v/>
      </c>
      <c r="Z1424" s="168" t="str">
        <f t="shared" si="290"/>
        <v/>
      </c>
      <c r="AA1424" s="168" t="str">
        <f>IFERROR(Z1424/_xlfn.XLOOKUP(_xlfn.XLOOKUP($F1424,Clientes!$B$4:$B$39,Clientes!$C$4:$C$39),Cadastros!$L$6:$L$12,Cadastros!$M$6:$M$12)," ")</f>
        <v xml:space="preserve"> </v>
      </c>
      <c r="AB1424" s="28"/>
      <c r="AC1424" s="28"/>
      <c r="AD1424" s="20" t="str">
        <f>IF(AB1424="","",IF($F1424="Bernardino Furlan",_xlfn.XLOOKUP(AB1424,Cadastros!$G$6:$G$90,Cadastros!$H$6:$H$90)*(1-0.18),IF($F1424="Mauro José Salanti",_xlfn.XLOOKUP(AB1424,Cadastros!$G$6:$G$90,Cadastros!$H$6:$H$90)*(1-0.18),_xlfn.XLOOKUP(AB1424,Cadastros!$G$6:$G$90,Cadastros!$H$6:$H$90))))</f>
        <v/>
      </c>
      <c r="AE1424" s="168" t="str">
        <f t="shared" si="291"/>
        <v/>
      </c>
      <c r="AF1424" s="168" t="str">
        <f t="shared" si="292"/>
        <v/>
      </c>
      <c r="AG1424" s="28"/>
      <c r="AH1424" s="28"/>
      <c r="AI1424" s="20" t="str">
        <f>IF(AG1424="","",IF($F1424="Bernardino Furlan",_xlfn.XLOOKUP(AG1424,Cadastros!$G$6:$G$90,Cadastros!$H$6:$H$90)*(1-0.18),IF($F1424="Mauro José Salanti",_xlfn.XLOOKUP(AG1424,Cadastros!$G$6:$G$90,Cadastros!$H$6:$H$90)*(1-0.18),_xlfn.XLOOKUP(AG1424,Cadastros!$G$6:$G$90,Cadastros!$H$6:$H$90))))</f>
        <v/>
      </c>
      <c r="AJ1424" s="168" t="str">
        <f t="shared" si="293"/>
        <v/>
      </c>
      <c r="AK1424" s="168" t="str">
        <f t="shared" si="294"/>
        <v/>
      </c>
      <c r="AL1424" s="28"/>
      <c r="AM1424" s="28"/>
      <c r="AN1424" s="20" t="str">
        <f>IF(AL1424="","",IF($F1424="Bernardino Furlan",_xlfn.XLOOKUP(AL1424,Cadastros!$G$6:$G$90,Cadastros!$H$6:$H$90)*(1-0.18),IF($F1424="Mauro José Salanti",_xlfn.XLOOKUP(AL1424,Cadastros!$G$6:$G$90,Cadastros!$H$6:$H$90)*(1-0.18),_xlfn.XLOOKUP(AL1424,Cadastros!$G$6:$G$90,Cadastros!$H$6:$H$90))))</f>
        <v/>
      </c>
      <c r="AO1424" s="168" t="str">
        <f t="shared" si="295"/>
        <v/>
      </c>
      <c r="AP1424" s="168" t="str">
        <f t="shared" si="296"/>
        <v/>
      </c>
      <c r="AQ1424" s="28"/>
      <c r="AR1424" s="28"/>
      <c r="AS1424" s="20" t="str">
        <f>IF(AQ1424="","",IF($F1424="Bernardino Furlan",_xlfn.XLOOKUP(AQ1424,Cadastros!$G$6:$G$90,Cadastros!$H$6:$H$90)*(1-0.18),IF($F1424="Mauro José Salanti",_xlfn.XLOOKUP(AQ1424,Cadastros!$G$6:$G$90,Cadastros!$H$6:$H$90)*(1-0.18),_xlfn.XLOOKUP(AQ1424,Cadastros!$G$6:$G$90,Cadastros!$H$6:$H$90))))</f>
        <v/>
      </c>
      <c r="AT1424" s="168" t="str">
        <f t="shared" si="297"/>
        <v/>
      </c>
      <c r="AU1424" s="168" t="str">
        <f t="shared" si="298"/>
        <v/>
      </c>
      <c r="AV1424" s="227"/>
      <c r="AW1424" s="30"/>
      <c r="AX1424" s="267"/>
      <c r="AY1424" s="267"/>
      <c r="AZ1424" s="29"/>
      <c r="BA1424" s="30"/>
      <c r="BB1424" s="23" t="str" cm="1">
        <f t="array" ref="BB1424">_xlfn.IFS(AW1424="SIM",SUM(K1424,P1424,U1424,Z1424,AE1424,AJ1424,AO1424,AT1424,AX1424,AY1424),F1424&lt;&gt;"",SUM(K1424,P1424,U1424,Z1424,AE1424,AJ1424,,AO1424,AT1424),F1424="","")</f>
        <v/>
      </c>
      <c r="BC1424" s="211" t="str" cm="1">
        <f t="array" ref="BC1424">_xlfn.IFS(E1424="","",G1424&lt;=E1424,BB1424*(1-0.03),G1424&lt;(E1424+8),BB1424,AZ1424="Boleto",BB1424*(1+0.001)^DATEDIF(E1424,G1424,"D"),AZ1424="Cheque",BB1424,AZ1424="Dinheiro","Alterar forma pgto")</f>
        <v/>
      </c>
      <c r="BD1424" s="276" t="str" cm="1">
        <f t="array" ref="BD1424">IF(F1424=0," ",IF(BC1424&lt;BB1424,(_xlfn.IFS(AW1424="SIM",SUM(L1424,Q1424,V1424,AA1424,AF1424,AK1424,AP1424,AU1424)+AX1424/_xlfn.XLOOKUP(_xlfn.XLOOKUP($F1424,Clientes!$B$4:$B$39,Clientes!$C$4:$C$39),Cadastros!$L$6:$L$12,Cadastros!$M$6:$M$12)+IF($F1424="Bernardino Furlan",AY1424/2751.92,IF($F1424="Mauro José Salanti",AY1424/2751.92,AY1424/3356)),F1424&lt;&gt;0,SUM(L1424,Q1424,V1424,AA1424,AF1424,AK1424,AP1424,AU1424)))*(1-0.03),_xlfn.IFS(AW1424="SIM",SUM(L1424,Q1424,V1424,AA1424,AF1424,AK1424,AP1424,AU1424)+AX1424/_xlfn.XLOOKUP(_xlfn.XLOOKUP($F1424,Clientes!$B$4:$B$39,Clientes!$C$4:$C$39),Cadastros!$L$6:$L$12,Cadastros!$M$6:$M$12)+IF($F1424="Bernardino Furlan",AY1424/2751.92,IF($F1424="Mauro José Salanti",AY1424/2751.92,AY1424/3356)),F1424&lt;&gt;0,SUM(L1424,Q1424,V1424,AA1424,AF1424,AK1424,AP1424,AU1424))))</f>
        <v xml:space="preserve"> </v>
      </c>
      <c r="BE1424" s="120"/>
      <c r="BF1424" s="120"/>
      <c r="BG1424" s="120"/>
    </row>
    <row r="1425" spans="1:59" s="3" customFormat="1" x14ac:dyDescent="0.3">
      <c r="A1425" s="15" t="str">
        <f t="shared" si="286"/>
        <v/>
      </c>
      <c r="B1425" s="25"/>
      <c r="C1425" s="26"/>
      <c r="D1425" s="279"/>
      <c r="E1425" s="27"/>
      <c r="F1425" s="28"/>
      <c r="G1425" s="27"/>
      <c r="H1425" s="28"/>
      <c r="I1425" s="28"/>
      <c r="J1425" s="255" t="str">
        <f>IF(H1425="","",(_xlfn.XLOOKUP(H1425,Cadastros!$D$6:$D$90,Cadastros!$E$6:$E$90))*(1-_xlfn.XLOOKUP(_xlfn.XLOOKUP($F1425,Clientes!$B$4:$B$39,Clientes!$C$4:$C$39),Cadastros!$L$6:$L$12,Cadastros!$N$6:$N$12)))</f>
        <v/>
      </c>
      <c r="K1425" s="168" t="str">
        <f t="shared" si="287"/>
        <v/>
      </c>
      <c r="L1425" s="168" t="str">
        <f>IFERROR(K1425/_xlfn.XLOOKUP(_xlfn.XLOOKUP($F1425,Clientes!$B$4:$B$39,Clientes!$C$4:$C$39),Cadastros!$L$6:$L$12,Cadastros!$M$6:$M$12)," ")</f>
        <v xml:space="preserve"> </v>
      </c>
      <c r="M1425" s="28"/>
      <c r="N1425" s="28"/>
      <c r="O1425" s="255" t="str">
        <f>IF(M1425="","",(_xlfn.XLOOKUP(M1425,Cadastros!$D$6:$D$90,Cadastros!$E$6:$E$90))*(1-_xlfn.XLOOKUP(_xlfn.XLOOKUP($F1425,Clientes!$B$4:$B$39,Clientes!$C$4:$C$39),Cadastros!$L$6:$L$12,Cadastros!$N$6:$N$12)))</f>
        <v/>
      </c>
      <c r="P1425" s="168" t="str">
        <f t="shared" si="288"/>
        <v/>
      </c>
      <c r="Q1425" s="168" t="str">
        <f>IFERROR(P1425/_xlfn.XLOOKUP(_xlfn.XLOOKUP($F1425,Clientes!$B$4:$B$39,Clientes!$C$4:$C$39),Cadastros!$L$6:$L$12,Cadastros!$M$6:$M$12)," ")</f>
        <v xml:space="preserve"> </v>
      </c>
      <c r="R1425" s="28"/>
      <c r="S1425" s="28"/>
      <c r="T1425" s="255" t="str">
        <f>IF(R1425="","",(_xlfn.XLOOKUP(R1425,Cadastros!$D$6:$D$90,Cadastros!$E$6:$E$90))*(1-_xlfn.XLOOKUP(_xlfn.XLOOKUP($F1425,Clientes!$B$4:$B$39,Clientes!$C$4:$C$39),Cadastros!$L$6:$L$12,Cadastros!$N$6:$N$12)))</f>
        <v/>
      </c>
      <c r="U1425" s="168" t="str">
        <f t="shared" si="289"/>
        <v/>
      </c>
      <c r="V1425" s="168" t="str">
        <f>IFERROR(U1425/_xlfn.XLOOKUP(_xlfn.XLOOKUP($F1425,Clientes!$B$4:$B$39,Clientes!$C$4:$C$39),Cadastros!$L$6:$L$12,Cadastros!$M$6:$M$12)," ")</f>
        <v xml:space="preserve"> </v>
      </c>
      <c r="W1425" s="28"/>
      <c r="X1425" s="28"/>
      <c r="Y1425" s="255" t="str">
        <f>IF(W1425="","",(_xlfn.XLOOKUP(W1425,Cadastros!$D$6:$D$90,Cadastros!$E$6:$E$90))*(1-_xlfn.XLOOKUP(_xlfn.XLOOKUP($F1425,Clientes!$B$4:$B$39,Clientes!$C$4:$C$39),Cadastros!$L$6:$L$12,Cadastros!$N$6:$N$12)))</f>
        <v/>
      </c>
      <c r="Z1425" s="168" t="str">
        <f t="shared" si="290"/>
        <v/>
      </c>
      <c r="AA1425" s="168" t="str">
        <f>IFERROR(Z1425/_xlfn.XLOOKUP(_xlfn.XLOOKUP($F1425,Clientes!$B$4:$B$39,Clientes!$C$4:$C$39),Cadastros!$L$6:$L$12,Cadastros!$M$6:$M$12)," ")</f>
        <v xml:space="preserve"> </v>
      </c>
      <c r="AB1425" s="28"/>
      <c r="AC1425" s="28"/>
      <c r="AD1425" s="20" t="str">
        <f>IF(AB1425="","",IF($F1425="Bernardino Furlan",_xlfn.XLOOKUP(AB1425,Cadastros!$G$6:$G$90,Cadastros!$H$6:$H$90)*(1-0.18),IF($F1425="Mauro José Salanti",_xlfn.XLOOKUP(AB1425,Cadastros!$G$6:$G$90,Cadastros!$H$6:$H$90)*(1-0.18),_xlfn.XLOOKUP(AB1425,Cadastros!$G$6:$G$90,Cadastros!$H$6:$H$90))))</f>
        <v/>
      </c>
      <c r="AE1425" s="168" t="str">
        <f t="shared" si="291"/>
        <v/>
      </c>
      <c r="AF1425" s="168" t="str">
        <f t="shared" si="292"/>
        <v/>
      </c>
      <c r="AG1425" s="28"/>
      <c r="AH1425" s="28"/>
      <c r="AI1425" s="20" t="str">
        <f>IF(AG1425="","",IF($F1425="Bernardino Furlan",_xlfn.XLOOKUP(AG1425,Cadastros!$G$6:$G$90,Cadastros!$H$6:$H$90)*(1-0.18),IF($F1425="Mauro José Salanti",_xlfn.XLOOKUP(AG1425,Cadastros!$G$6:$G$90,Cadastros!$H$6:$H$90)*(1-0.18),_xlfn.XLOOKUP(AG1425,Cadastros!$G$6:$G$90,Cadastros!$H$6:$H$90))))</f>
        <v/>
      </c>
      <c r="AJ1425" s="168" t="str">
        <f t="shared" si="293"/>
        <v/>
      </c>
      <c r="AK1425" s="168" t="str">
        <f t="shared" si="294"/>
        <v/>
      </c>
      <c r="AL1425" s="28"/>
      <c r="AM1425" s="28"/>
      <c r="AN1425" s="20" t="str">
        <f>IF(AL1425="","",IF($F1425="Bernardino Furlan",_xlfn.XLOOKUP(AL1425,Cadastros!$G$6:$G$90,Cadastros!$H$6:$H$90)*(1-0.18),IF($F1425="Mauro José Salanti",_xlfn.XLOOKUP(AL1425,Cadastros!$G$6:$G$90,Cadastros!$H$6:$H$90)*(1-0.18),_xlfn.XLOOKUP(AL1425,Cadastros!$G$6:$G$90,Cadastros!$H$6:$H$90))))</f>
        <v/>
      </c>
      <c r="AO1425" s="168" t="str">
        <f t="shared" si="295"/>
        <v/>
      </c>
      <c r="AP1425" s="168" t="str">
        <f t="shared" si="296"/>
        <v/>
      </c>
      <c r="AQ1425" s="28"/>
      <c r="AR1425" s="28"/>
      <c r="AS1425" s="20" t="str">
        <f>IF(AQ1425="","",IF($F1425="Bernardino Furlan",_xlfn.XLOOKUP(AQ1425,Cadastros!$G$6:$G$90,Cadastros!$H$6:$H$90)*(1-0.18),IF($F1425="Mauro José Salanti",_xlfn.XLOOKUP(AQ1425,Cadastros!$G$6:$G$90,Cadastros!$H$6:$H$90)*(1-0.18),_xlfn.XLOOKUP(AQ1425,Cadastros!$G$6:$G$90,Cadastros!$H$6:$H$90))))</f>
        <v/>
      </c>
      <c r="AT1425" s="168" t="str">
        <f t="shared" si="297"/>
        <v/>
      </c>
      <c r="AU1425" s="168" t="str">
        <f t="shared" si="298"/>
        <v/>
      </c>
      <c r="AV1425" s="227"/>
      <c r="AW1425" s="30"/>
      <c r="AX1425" s="267"/>
      <c r="AY1425" s="267"/>
      <c r="AZ1425" s="29"/>
      <c r="BA1425" s="30"/>
      <c r="BB1425" s="23" t="str" cm="1">
        <f t="array" ref="BB1425">_xlfn.IFS(AW1425="SIM",SUM(K1425,P1425,U1425,Z1425,AE1425,AJ1425,AO1425,AT1425,AX1425,AY1425),F1425&lt;&gt;"",SUM(K1425,P1425,U1425,Z1425,AE1425,AJ1425,,AO1425,AT1425),F1425="","")</f>
        <v/>
      </c>
      <c r="BC1425" s="211" t="str" cm="1">
        <f t="array" ref="BC1425">_xlfn.IFS(E1425="","",G1425&lt;=E1425,BB1425*(1-0.03),G1425&lt;(E1425+8),BB1425,AZ1425="Boleto",BB1425*(1+0.001)^DATEDIF(E1425,G1425,"D"),AZ1425="Cheque",BB1425,AZ1425="Dinheiro","Alterar forma pgto")</f>
        <v/>
      </c>
      <c r="BD1425" s="276" t="str" cm="1">
        <f t="array" ref="BD1425">IF(F1425=0," ",IF(BC1425&lt;BB1425,(_xlfn.IFS(AW1425="SIM",SUM(L1425,Q1425,V1425,AA1425,AF1425,AK1425,AP1425,AU1425)+AX1425/_xlfn.XLOOKUP(_xlfn.XLOOKUP($F1425,Clientes!$B$4:$B$39,Clientes!$C$4:$C$39),Cadastros!$L$6:$L$12,Cadastros!$M$6:$M$12)+IF($F1425="Bernardino Furlan",AY1425/2751.92,IF($F1425="Mauro José Salanti",AY1425/2751.92,AY1425/3356)),F1425&lt;&gt;0,SUM(L1425,Q1425,V1425,AA1425,AF1425,AK1425,AP1425,AU1425)))*(1-0.03),_xlfn.IFS(AW1425="SIM",SUM(L1425,Q1425,V1425,AA1425,AF1425,AK1425,AP1425,AU1425)+AX1425/_xlfn.XLOOKUP(_xlfn.XLOOKUP($F1425,Clientes!$B$4:$B$39,Clientes!$C$4:$C$39),Cadastros!$L$6:$L$12,Cadastros!$M$6:$M$12)+IF($F1425="Bernardino Furlan",AY1425/2751.92,IF($F1425="Mauro José Salanti",AY1425/2751.92,AY1425/3356)),F1425&lt;&gt;0,SUM(L1425,Q1425,V1425,AA1425,AF1425,AK1425,AP1425,AU1425))))</f>
        <v xml:space="preserve"> </v>
      </c>
      <c r="BE1425" s="120"/>
      <c r="BF1425" s="120"/>
      <c r="BG1425" s="120"/>
    </row>
    <row r="1426" spans="1:59" s="3" customFormat="1" x14ac:dyDescent="0.3">
      <c r="A1426" s="15" t="str">
        <f t="shared" si="286"/>
        <v/>
      </c>
      <c r="B1426" s="25"/>
      <c r="C1426" s="26"/>
      <c r="D1426" s="279"/>
      <c r="E1426" s="27"/>
      <c r="F1426" s="28"/>
      <c r="G1426" s="27"/>
      <c r="H1426" s="28"/>
      <c r="I1426" s="28"/>
      <c r="J1426" s="255" t="str">
        <f>IF(H1426="","",(_xlfn.XLOOKUP(H1426,Cadastros!$D$6:$D$90,Cadastros!$E$6:$E$90))*(1-_xlfn.XLOOKUP(_xlfn.XLOOKUP($F1426,Clientes!$B$4:$B$39,Clientes!$C$4:$C$39),Cadastros!$L$6:$L$12,Cadastros!$N$6:$N$12)))</f>
        <v/>
      </c>
      <c r="K1426" s="168" t="str">
        <f t="shared" si="287"/>
        <v/>
      </c>
      <c r="L1426" s="168" t="str">
        <f>IFERROR(K1426/_xlfn.XLOOKUP(_xlfn.XLOOKUP($F1426,Clientes!$B$4:$B$39,Clientes!$C$4:$C$39),Cadastros!$L$6:$L$12,Cadastros!$M$6:$M$12)," ")</f>
        <v xml:space="preserve"> </v>
      </c>
      <c r="M1426" s="28"/>
      <c r="N1426" s="28"/>
      <c r="O1426" s="255" t="str">
        <f>IF(M1426="","",(_xlfn.XLOOKUP(M1426,Cadastros!$D$6:$D$90,Cadastros!$E$6:$E$90))*(1-_xlfn.XLOOKUP(_xlfn.XLOOKUP($F1426,Clientes!$B$4:$B$39,Clientes!$C$4:$C$39),Cadastros!$L$6:$L$12,Cadastros!$N$6:$N$12)))</f>
        <v/>
      </c>
      <c r="P1426" s="168" t="str">
        <f t="shared" si="288"/>
        <v/>
      </c>
      <c r="Q1426" s="168" t="str">
        <f>IFERROR(P1426/_xlfn.XLOOKUP(_xlfn.XLOOKUP($F1426,Clientes!$B$4:$B$39,Clientes!$C$4:$C$39),Cadastros!$L$6:$L$12,Cadastros!$M$6:$M$12)," ")</f>
        <v xml:space="preserve"> </v>
      </c>
      <c r="R1426" s="28"/>
      <c r="S1426" s="28"/>
      <c r="T1426" s="255" t="str">
        <f>IF(R1426="","",(_xlfn.XLOOKUP(R1426,Cadastros!$D$6:$D$90,Cadastros!$E$6:$E$90))*(1-_xlfn.XLOOKUP(_xlfn.XLOOKUP($F1426,Clientes!$B$4:$B$39,Clientes!$C$4:$C$39),Cadastros!$L$6:$L$12,Cadastros!$N$6:$N$12)))</f>
        <v/>
      </c>
      <c r="U1426" s="168" t="str">
        <f t="shared" si="289"/>
        <v/>
      </c>
      <c r="V1426" s="168" t="str">
        <f>IFERROR(U1426/_xlfn.XLOOKUP(_xlfn.XLOOKUP($F1426,Clientes!$B$4:$B$39,Clientes!$C$4:$C$39),Cadastros!$L$6:$L$12,Cadastros!$M$6:$M$12)," ")</f>
        <v xml:space="preserve"> </v>
      </c>
      <c r="W1426" s="28"/>
      <c r="X1426" s="28"/>
      <c r="Y1426" s="255" t="str">
        <f>IF(W1426="","",(_xlfn.XLOOKUP(W1426,Cadastros!$D$6:$D$90,Cadastros!$E$6:$E$90))*(1-_xlfn.XLOOKUP(_xlfn.XLOOKUP($F1426,Clientes!$B$4:$B$39,Clientes!$C$4:$C$39),Cadastros!$L$6:$L$12,Cadastros!$N$6:$N$12)))</f>
        <v/>
      </c>
      <c r="Z1426" s="168" t="str">
        <f t="shared" si="290"/>
        <v/>
      </c>
      <c r="AA1426" s="168" t="str">
        <f>IFERROR(Z1426/_xlfn.XLOOKUP(_xlfn.XLOOKUP($F1426,Clientes!$B$4:$B$39,Clientes!$C$4:$C$39),Cadastros!$L$6:$L$12,Cadastros!$M$6:$M$12)," ")</f>
        <v xml:space="preserve"> </v>
      </c>
      <c r="AB1426" s="28"/>
      <c r="AC1426" s="28"/>
      <c r="AD1426" s="20" t="str">
        <f>IF(AB1426="","",IF($F1426="Bernardino Furlan",_xlfn.XLOOKUP(AB1426,Cadastros!$G$6:$G$90,Cadastros!$H$6:$H$90)*(1-0.18),IF($F1426="Mauro José Salanti",_xlfn.XLOOKUP(AB1426,Cadastros!$G$6:$G$90,Cadastros!$H$6:$H$90)*(1-0.18),_xlfn.XLOOKUP(AB1426,Cadastros!$G$6:$G$90,Cadastros!$H$6:$H$90))))</f>
        <v/>
      </c>
      <c r="AE1426" s="168" t="str">
        <f t="shared" si="291"/>
        <v/>
      </c>
      <c r="AF1426" s="168" t="str">
        <f t="shared" si="292"/>
        <v/>
      </c>
      <c r="AG1426" s="28"/>
      <c r="AH1426" s="28"/>
      <c r="AI1426" s="20" t="str">
        <f>IF(AG1426="","",IF($F1426="Bernardino Furlan",_xlfn.XLOOKUP(AG1426,Cadastros!$G$6:$G$90,Cadastros!$H$6:$H$90)*(1-0.18),IF($F1426="Mauro José Salanti",_xlfn.XLOOKUP(AG1426,Cadastros!$G$6:$G$90,Cadastros!$H$6:$H$90)*(1-0.18),_xlfn.XLOOKUP(AG1426,Cadastros!$G$6:$G$90,Cadastros!$H$6:$H$90))))</f>
        <v/>
      </c>
      <c r="AJ1426" s="168" t="str">
        <f t="shared" si="293"/>
        <v/>
      </c>
      <c r="AK1426" s="168" t="str">
        <f t="shared" si="294"/>
        <v/>
      </c>
      <c r="AL1426" s="28"/>
      <c r="AM1426" s="28"/>
      <c r="AN1426" s="20" t="str">
        <f>IF(AL1426="","",IF($F1426="Bernardino Furlan",_xlfn.XLOOKUP(AL1426,Cadastros!$G$6:$G$90,Cadastros!$H$6:$H$90)*(1-0.18),IF($F1426="Mauro José Salanti",_xlfn.XLOOKUP(AL1426,Cadastros!$G$6:$G$90,Cadastros!$H$6:$H$90)*(1-0.18),_xlfn.XLOOKUP(AL1426,Cadastros!$G$6:$G$90,Cadastros!$H$6:$H$90))))</f>
        <v/>
      </c>
      <c r="AO1426" s="168" t="str">
        <f t="shared" si="295"/>
        <v/>
      </c>
      <c r="AP1426" s="168" t="str">
        <f t="shared" si="296"/>
        <v/>
      </c>
      <c r="AQ1426" s="28"/>
      <c r="AR1426" s="28"/>
      <c r="AS1426" s="20" t="str">
        <f>IF(AQ1426="","",IF($F1426="Bernardino Furlan",_xlfn.XLOOKUP(AQ1426,Cadastros!$G$6:$G$90,Cadastros!$H$6:$H$90)*(1-0.18),IF($F1426="Mauro José Salanti",_xlfn.XLOOKUP(AQ1426,Cadastros!$G$6:$G$90,Cadastros!$H$6:$H$90)*(1-0.18),_xlfn.XLOOKUP(AQ1426,Cadastros!$G$6:$G$90,Cadastros!$H$6:$H$90))))</f>
        <v/>
      </c>
      <c r="AT1426" s="168" t="str">
        <f t="shared" si="297"/>
        <v/>
      </c>
      <c r="AU1426" s="168" t="str">
        <f t="shared" si="298"/>
        <v/>
      </c>
      <c r="AV1426" s="227"/>
      <c r="AW1426" s="30"/>
      <c r="AX1426" s="267"/>
      <c r="AY1426" s="267"/>
      <c r="AZ1426" s="29"/>
      <c r="BA1426" s="30"/>
      <c r="BB1426" s="23" t="str" cm="1">
        <f t="array" ref="BB1426">_xlfn.IFS(AW1426="SIM",SUM(K1426,P1426,U1426,Z1426,AE1426,AJ1426,AO1426,AT1426,AX1426,AY1426),F1426&lt;&gt;"",SUM(K1426,P1426,U1426,Z1426,AE1426,AJ1426,,AO1426,AT1426),F1426="","")</f>
        <v/>
      </c>
      <c r="BC1426" s="211" t="str" cm="1">
        <f t="array" ref="BC1426">_xlfn.IFS(E1426="","",G1426&lt;=E1426,BB1426*(1-0.03),G1426&lt;(E1426+8),BB1426,AZ1426="Boleto",BB1426*(1+0.001)^DATEDIF(E1426,G1426,"D"),AZ1426="Cheque",BB1426,AZ1426="Dinheiro","Alterar forma pgto")</f>
        <v/>
      </c>
      <c r="BD1426" s="276" t="str" cm="1">
        <f t="array" ref="BD1426">IF(F1426=0," ",IF(BC1426&lt;BB1426,(_xlfn.IFS(AW1426="SIM",SUM(L1426,Q1426,V1426,AA1426,AF1426,AK1426,AP1426,AU1426)+AX1426/_xlfn.XLOOKUP(_xlfn.XLOOKUP($F1426,Clientes!$B$4:$B$39,Clientes!$C$4:$C$39),Cadastros!$L$6:$L$12,Cadastros!$M$6:$M$12)+IF($F1426="Bernardino Furlan",AY1426/2751.92,IF($F1426="Mauro José Salanti",AY1426/2751.92,AY1426/3356)),F1426&lt;&gt;0,SUM(L1426,Q1426,V1426,AA1426,AF1426,AK1426,AP1426,AU1426)))*(1-0.03),_xlfn.IFS(AW1426="SIM",SUM(L1426,Q1426,V1426,AA1426,AF1426,AK1426,AP1426,AU1426)+AX1426/_xlfn.XLOOKUP(_xlfn.XLOOKUP($F1426,Clientes!$B$4:$B$39,Clientes!$C$4:$C$39),Cadastros!$L$6:$L$12,Cadastros!$M$6:$M$12)+IF($F1426="Bernardino Furlan",AY1426/2751.92,IF($F1426="Mauro José Salanti",AY1426/2751.92,AY1426/3356)),F1426&lt;&gt;0,SUM(L1426,Q1426,V1426,AA1426,AF1426,AK1426,AP1426,AU1426))))</f>
        <v xml:space="preserve"> </v>
      </c>
      <c r="BE1426" s="120"/>
      <c r="BF1426" s="120"/>
      <c r="BG1426" s="120"/>
    </row>
    <row r="1427" spans="1:59" s="3" customFormat="1" x14ac:dyDescent="0.3">
      <c r="A1427" s="15" t="str">
        <f t="shared" si="286"/>
        <v/>
      </c>
      <c r="B1427" s="25"/>
      <c r="C1427" s="26"/>
      <c r="D1427" s="279"/>
      <c r="E1427" s="27"/>
      <c r="F1427" s="28"/>
      <c r="G1427" s="27"/>
      <c r="H1427" s="28"/>
      <c r="I1427" s="28"/>
      <c r="J1427" s="255" t="str">
        <f>IF(H1427="","",(_xlfn.XLOOKUP(H1427,Cadastros!$D$6:$D$90,Cadastros!$E$6:$E$90))*(1-_xlfn.XLOOKUP(_xlfn.XLOOKUP($F1427,Clientes!$B$4:$B$39,Clientes!$C$4:$C$39),Cadastros!$L$6:$L$12,Cadastros!$N$6:$N$12)))</f>
        <v/>
      </c>
      <c r="K1427" s="168" t="str">
        <f t="shared" si="287"/>
        <v/>
      </c>
      <c r="L1427" s="168" t="str">
        <f>IFERROR(K1427/_xlfn.XLOOKUP(_xlfn.XLOOKUP($F1427,Clientes!$B$4:$B$39,Clientes!$C$4:$C$39),Cadastros!$L$6:$L$12,Cadastros!$M$6:$M$12)," ")</f>
        <v xml:space="preserve"> </v>
      </c>
      <c r="M1427" s="28"/>
      <c r="N1427" s="28"/>
      <c r="O1427" s="255" t="str">
        <f>IF(M1427="","",(_xlfn.XLOOKUP(M1427,Cadastros!$D$6:$D$90,Cadastros!$E$6:$E$90))*(1-_xlfn.XLOOKUP(_xlfn.XLOOKUP($F1427,Clientes!$B$4:$B$39,Clientes!$C$4:$C$39),Cadastros!$L$6:$L$12,Cadastros!$N$6:$N$12)))</f>
        <v/>
      </c>
      <c r="P1427" s="168" t="str">
        <f t="shared" si="288"/>
        <v/>
      </c>
      <c r="Q1427" s="168" t="str">
        <f>IFERROR(P1427/_xlfn.XLOOKUP(_xlfn.XLOOKUP($F1427,Clientes!$B$4:$B$39,Clientes!$C$4:$C$39),Cadastros!$L$6:$L$12,Cadastros!$M$6:$M$12)," ")</f>
        <v xml:space="preserve"> </v>
      </c>
      <c r="R1427" s="28"/>
      <c r="S1427" s="28"/>
      <c r="T1427" s="255" t="str">
        <f>IF(R1427="","",(_xlfn.XLOOKUP(R1427,Cadastros!$D$6:$D$90,Cadastros!$E$6:$E$90))*(1-_xlfn.XLOOKUP(_xlfn.XLOOKUP($F1427,Clientes!$B$4:$B$39,Clientes!$C$4:$C$39),Cadastros!$L$6:$L$12,Cadastros!$N$6:$N$12)))</f>
        <v/>
      </c>
      <c r="U1427" s="168" t="str">
        <f t="shared" si="289"/>
        <v/>
      </c>
      <c r="V1427" s="168" t="str">
        <f>IFERROR(U1427/_xlfn.XLOOKUP(_xlfn.XLOOKUP($F1427,Clientes!$B$4:$B$39,Clientes!$C$4:$C$39),Cadastros!$L$6:$L$12,Cadastros!$M$6:$M$12)," ")</f>
        <v xml:space="preserve"> </v>
      </c>
      <c r="W1427" s="28"/>
      <c r="X1427" s="28"/>
      <c r="Y1427" s="255" t="str">
        <f>IF(W1427="","",(_xlfn.XLOOKUP(W1427,Cadastros!$D$6:$D$90,Cadastros!$E$6:$E$90))*(1-_xlfn.XLOOKUP(_xlfn.XLOOKUP($F1427,Clientes!$B$4:$B$39,Clientes!$C$4:$C$39),Cadastros!$L$6:$L$12,Cadastros!$N$6:$N$12)))</f>
        <v/>
      </c>
      <c r="Z1427" s="168" t="str">
        <f t="shared" si="290"/>
        <v/>
      </c>
      <c r="AA1427" s="168" t="str">
        <f>IFERROR(Z1427/_xlfn.XLOOKUP(_xlfn.XLOOKUP($F1427,Clientes!$B$4:$B$39,Clientes!$C$4:$C$39),Cadastros!$L$6:$L$12,Cadastros!$M$6:$M$12)," ")</f>
        <v xml:space="preserve"> </v>
      </c>
      <c r="AB1427" s="28"/>
      <c r="AC1427" s="28"/>
      <c r="AD1427" s="20" t="str">
        <f>IF(AB1427="","",IF($F1427="Bernardino Furlan",_xlfn.XLOOKUP(AB1427,Cadastros!$G$6:$G$90,Cadastros!$H$6:$H$90)*(1-0.18),IF($F1427="Mauro José Salanti",_xlfn.XLOOKUP(AB1427,Cadastros!$G$6:$G$90,Cadastros!$H$6:$H$90)*(1-0.18),_xlfn.XLOOKUP(AB1427,Cadastros!$G$6:$G$90,Cadastros!$H$6:$H$90))))</f>
        <v/>
      </c>
      <c r="AE1427" s="168" t="str">
        <f t="shared" si="291"/>
        <v/>
      </c>
      <c r="AF1427" s="168" t="str">
        <f t="shared" si="292"/>
        <v/>
      </c>
      <c r="AG1427" s="28"/>
      <c r="AH1427" s="28"/>
      <c r="AI1427" s="20" t="str">
        <f>IF(AG1427="","",IF($F1427="Bernardino Furlan",_xlfn.XLOOKUP(AG1427,Cadastros!$G$6:$G$90,Cadastros!$H$6:$H$90)*(1-0.18),IF($F1427="Mauro José Salanti",_xlfn.XLOOKUP(AG1427,Cadastros!$G$6:$G$90,Cadastros!$H$6:$H$90)*(1-0.18),_xlfn.XLOOKUP(AG1427,Cadastros!$G$6:$G$90,Cadastros!$H$6:$H$90))))</f>
        <v/>
      </c>
      <c r="AJ1427" s="168" t="str">
        <f t="shared" si="293"/>
        <v/>
      </c>
      <c r="AK1427" s="168" t="str">
        <f t="shared" si="294"/>
        <v/>
      </c>
      <c r="AL1427" s="28"/>
      <c r="AM1427" s="28"/>
      <c r="AN1427" s="20" t="str">
        <f>IF(AL1427="","",IF($F1427="Bernardino Furlan",_xlfn.XLOOKUP(AL1427,Cadastros!$G$6:$G$90,Cadastros!$H$6:$H$90)*(1-0.18),IF($F1427="Mauro José Salanti",_xlfn.XLOOKUP(AL1427,Cadastros!$G$6:$G$90,Cadastros!$H$6:$H$90)*(1-0.18),_xlfn.XLOOKUP(AL1427,Cadastros!$G$6:$G$90,Cadastros!$H$6:$H$90))))</f>
        <v/>
      </c>
      <c r="AO1427" s="168" t="str">
        <f t="shared" si="295"/>
        <v/>
      </c>
      <c r="AP1427" s="168" t="str">
        <f t="shared" si="296"/>
        <v/>
      </c>
      <c r="AQ1427" s="28"/>
      <c r="AR1427" s="28"/>
      <c r="AS1427" s="20" t="str">
        <f>IF(AQ1427="","",IF($F1427="Bernardino Furlan",_xlfn.XLOOKUP(AQ1427,Cadastros!$G$6:$G$90,Cadastros!$H$6:$H$90)*(1-0.18),IF($F1427="Mauro José Salanti",_xlfn.XLOOKUP(AQ1427,Cadastros!$G$6:$G$90,Cadastros!$H$6:$H$90)*(1-0.18),_xlfn.XLOOKUP(AQ1427,Cadastros!$G$6:$G$90,Cadastros!$H$6:$H$90))))</f>
        <v/>
      </c>
      <c r="AT1427" s="168" t="str">
        <f t="shared" si="297"/>
        <v/>
      </c>
      <c r="AU1427" s="168" t="str">
        <f t="shared" si="298"/>
        <v/>
      </c>
      <c r="AV1427" s="227"/>
      <c r="AW1427" s="30"/>
      <c r="AX1427" s="267"/>
      <c r="AY1427" s="267"/>
      <c r="AZ1427" s="29"/>
      <c r="BA1427" s="30"/>
      <c r="BB1427" s="23" t="str" cm="1">
        <f t="array" ref="BB1427">_xlfn.IFS(AW1427="SIM",SUM(K1427,P1427,U1427,Z1427,AE1427,AJ1427,AO1427,AT1427,AX1427,AY1427),F1427&lt;&gt;"",SUM(K1427,P1427,U1427,Z1427,AE1427,AJ1427,,AO1427,AT1427),F1427="","")</f>
        <v/>
      </c>
      <c r="BC1427" s="211" t="str" cm="1">
        <f t="array" ref="BC1427">_xlfn.IFS(E1427="","",G1427&lt;=E1427,BB1427*(1-0.03),G1427&lt;(E1427+8),BB1427,AZ1427="Boleto",BB1427*(1+0.001)^DATEDIF(E1427,G1427,"D"),AZ1427="Cheque",BB1427,AZ1427="Dinheiro","Alterar forma pgto")</f>
        <v/>
      </c>
      <c r="BD1427" s="276" t="str" cm="1">
        <f t="array" ref="BD1427">IF(F1427=0," ",IF(BC1427&lt;BB1427,(_xlfn.IFS(AW1427="SIM",SUM(L1427,Q1427,V1427,AA1427,AF1427,AK1427,AP1427,AU1427)+AX1427/_xlfn.XLOOKUP(_xlfn.XLOOKUP($F1427,Clientes!$B$4:$B$39,Clientes!$C$4:$C$39),Cadastros!$L$6:$L$12,Cadastros!$M$6:$M$12)+IF($F1427="Bernardino Furlan",AY1427/2751.92,IF($F1427="Mauro José Salanti",AY1427/2751.92,AY1427/3356)),F1427&lt;&gt;0,SUM(L1427,Q1427,V1427,AA1427,AF1427,AK1427,AP1427,AU1427)))*(1-0.03),_xlfn.IFS(AW1427="SIM",SUM(L1427,Q1427,V1427,AA1427,AF1427,AK1427,AP1427,AU1427)+AX1427/_xlfn.XLOOKUP(_xlfn.XLOOKUP($F1427,Clientes!$B$4:$B$39,Clientes!$C$4:$C$39),Cadastros!$L$6:$L$12,Cadastros!$M$6:$M$12)+IF($F1427="Bernardino Furlan",AY1427/2751.92,IF($F1427="Mauro José Salanti",AY1427/2751.92,AY1427/3356)),F1427&lt;&gt;0,SUM(L1427,Q1427,V1427,AA1427,AF1427,AK1427,AP1427,AU1427))))</f>
        <v xml:space="preserve"> </v>
      </c>
      <c r="BE1427" s="120"/>
      <c r="BF1427" s="120"/>
      <c r="BG1427" s="120"/>
    </row>
    <row r="1428" spans="1:59" s="3" customFormat="1" x14ac:dyDescent="0.3">
      <c r="A1428" s="15" t="str">
        <f t="shared" si="286"/>
        <v/>
      </c>
      <c r="B1428" s="25"/>
      <c r="C1428" s="26"/>
      <c r="D1428" s="279"/>
      <c r="E1428" s="27"/>
      <c r="F1428" s="28"/>
      <c r="G1428" s="27"/>
      <c r="H1428" s="28"/>
      <c r="I1428" s="28"/>
      <c r="J1428" s="255" t="str">
        <f>IF(H1428="","",(_xlfn.XLOOKUP(H1428,Cadastros!$D$6:$D$90,Cadastros!$E$6:$E$90))*(1-_xlfn.XLOOKUP(_xlfn.XLOOKUP($F1428,Clientes!$B$4:$B$39,Clientes!$C$4:$C$39),Cadastros!$L$6:$L$12,Cadastros!$N$6:$N$12)))</f>
        <v/>
      </c>
      <c r="K1428" s="168" t="str">
        <f t="shared" si="287"/>
        <v/>
      </c>
      <c r="L1428" s="168" t="str">
        <f>IFERROR(K1428/_xlfn.XLOOKUP(_xlfn.XLOOKUP($F1428,Clientes!$B$4:$B$39,Clientes!$C$4:$C$39),Cadastros!$L$6:$L$12,Cadastros!$M$6:$M$12)," ")</f>
        <v xml:space="preserve"> </v>
      </c>
      <c r="M1428" s="28"/>
      <c r="N1428" s="28"/>
      <c r="O1428" s="255" t="str">
        <f>IF(M1428="","",(_xlfn.XLOOKUP(M1428,Cadastros!$D$6:$D$90,Cadastros!$E$6:$E$90))*(1-_xlfn.XLOOKUP(_xlfn.XLOOKUP($F1428,Clientes!$B$4:$B$39,Clientes!$C$4:$C$39),Cadastros!$L$6:$L$12,Cadastros!$N$6:$N$12)))</f>
        <v/>
      </c>
      <c r="P1428" s="168" t="str">
        <f t="shared" si="288"/>
        <v/>
      </c>
      <c r="Q1428" s="168" t="str">
        <f>IFERROR(P1428/_xlfn.XLOOKUP(_xlfn.XLOOKUP($F1428,Clientes!$B$4:$B$39,Clientes!$C$4:$C$39),Cadastros!$L$6:$L$12,Cadastros!$M$6:$M$12)," ")</f>
        <v xml:space="preserve"> </v>
      </c>
      <c r="R1428" s="28"/>
      <c r="S1428" s="28"/>
      <c r="T1428" s="255" t="str">
        <f>IF(R1428="","",(_xlfn.XLOOKUP(R1428,Cadastros!$D$6:$D$90,Cadastros!$E$6:$E$90))*(1-_xlfn.XLOOKUP(_xlfn.XLOOKUP($F1428,Clientes!$B$4:$B$39,Clientes!$C$4:$C$39),Cadastros!$L$6:$L$12,Cadastros!$N$6:$N$12)))</f>
        <v/>
      </c>
      <c r="U1428" s="168" t="str">
        <f t="shared" si="289"/>
        <v/>
      </c>
      <c r="V1428" s="168" t="str">
        <f>IFERROR(U1428/_xlfn.XLOOKUP(_xlfn.XLOOKUP($F1428,Clientes!$B$4:$B$39,Clientes!$C$4:$C$39),Cadastros!$L$6:$L$12,Cadastros!$M$6:$M$12)," ")</f>
        <v xml:space="preserve"> </v>
      </c>
      <c r="W1428" s="28"/>
      <c r="X1428" s="28"/>
      <c r="Y1428" s="255" t="str">
        <f>IF(W1428="","",(_xlfn.XLOOKUP(W1428,Cadastros!$D$6:$D$90,Cadastros!$E$6:$E$90))*(1-_xlfn.XLOOKUP(_xlfn.XLOOKUP($F1428,Clientes!$B$4:$B$39,Clientes!$C$4:$C$39),Cadastros!$L$6:$L$12,Cadastros!$N$6:$N$12)))</f>
        <v/>
      </c>
      <c r="Z1428" s="168" t="str">
        <f t="shared" si="290"/>
        <v/>
      </c>
      <c r="AA1428" s="168" t="str">
        <f>IFERROR(Z1428/_xlfn.XLOOKUP(_xlfn.XLOOKUP($F1428,Clientes!$B$4:$B$39,Clientes!$C$4:$C$39),Cadastros!$L$6:$L$12,Cadastros!$M$6:$M$12)," ")</f>
        <v xml:space="preserve"> </v>
      </c>
      <c r="AB1428" s="28"/>
      <c r="AC1428" s="28"/>
      <c r="AD1428" s="20" t="str">
        <f>IF(AB1428="","",IF($F1428="Bernardino Furlan",_xlfn.XLOOKUP(AB1428,Cadastros!$G$6:$G$90,Cadastros!$H$6:$H$90)*(1-0.18),IF($F1428="Mauro José Salanti",_xlfn.XLOOKUP(AB1428,Cadastros!$G$6:$G$90,Cadastros!$H$6:$H$90)*(1-0.18),_xlfn.XLOOKUP(AB1428,Cadastros!$G$6:$G$90,Cadastros!$H$6:$H$90))))</f>
        <v/>
      </c>
      <c r="AE1428" s="168" t="str">
        <f t="shared" si="291"/>
        <v/>
      </c>
      <c r="AF1428" s="168" t="str">
        <f t="shared" si="292"/>
        <v/>
      </c>
      <c r="AG1428" s="28"/>
      <c r="AH1428" s="28"/>
      <c r="AI1428" s="20" t="str">
        <f>IF(AG1428="","",IF($F1428="Bernardino Furlan",_xlfn.XLOOKUP(AG1428,Cadastros!$G$6:$G$90,Cadastros!$H$6:$H$90)*(1-0.18),IF($F1428="Mauro José Salanti",_xlfn.XLOOKUP(AG1428,Cadastros!$G$6:$G$90,Cadastros!$H$6:$H$90)*(1-0.18),_xlfn.XLOOKUP(AG1428,Cadastros!$G$6:$G$90,Cadastros!$H$6:$H$90))))</f>
        <v/>
      </c>
      <c r="AJ1428" s="168" t="str">
        <f t="shared" si="293"/>
        <v/>
      </c>
      <c r="AK1428" s="168" t="str">
        <f t="shared" si="294"/>
        <v/>
      </c>
      <c r="AL1428" s="28"/>
      <c r="AM1428" s="28"/>
      <c r="AN1428" s="20" t="str">
        <f>IF(AL1428="","",IF($F1428="Bernardino Furlan",_xlfn.XLOOKUP(AL1428,Cadastros!$G$6:$G$90,Cadastros!$H$6:$H$90)*(1-0.18),IF($F1428="Mauro José Salanti",_xlfn.XLOOKUP(AL1428,Cadastros!$G$6:$G$90,Cadastros!$H$6:$H$90)*(1-0.18),_xlfn.XLOOKUP(AL1428,Cadastros!$G$6:$G$90,Cadastros!$H$6:$H$90))))</f>
        <v/>
      </c>
      <c r="AO1428" s="168" t="str">
        <f t="shared" si="295"/>
        <v/>
      </c>
      <c r="AP1428" s="168" t="str">
        <f t="shared" si="296"/>
        <v/>
      </c>
      <c r="AQ1428" s="28"/>
      <c r="AR1428" s="28"/>
      <c r="AS1428" s="20" t="str">
        <f>IF(AQ1428="","",IF($F1428="Bernardino Furlan",_xlfn.XLOOKUP(AQ1428,Cadastros!$G$6:$G$90,Cadastros!$H$6:$H$90)*(1-0.18),IF($F1428="Mauro José Salanti",_xlfn.XLOOKUP(AQ1428,Cadastros!$G$6:$G$90,Cadastros!$H$6:$H$90)*(1-0.18),_xlfn.XLOOKUP(AQ1428,Cadastros!$G$6:$G$90,Cadastros!$H$6:$H$90))))</f>
        <v/>
      </c>
      <c r="AT1428" s="168" t="str">
        <f t="shared" si="297"/>
        <v/>
      </c>
      <c r="AU1428" s="168" t="str">
        <f t="shared" si="298"/>
        <v/>
      </c>
      <c r="AV1428" s="227"/>
      <c r="AW1428" s="30"/>
      <c r="AX1428" s="267"/>
      <c r="AY1428" s="267"/>
      <c r="AZ1428" s="29"/>
      <c r="BA1428" s="30"/>
      <c r="BB1428" s="23" t="str" cm="1">
        <f t="array" ref="BB1428">_xlfn.IFS(AW1428="SIM",SUM(K1428,P1428,U1428,Z1428,AE1428,AJ1428,AO1428,AT1428,AX1428,AY1428),F1428&lt;&gt;"",SUM(K1428,P1428,U1428,Z1428,AE1428,AJ1428,,AO1428,AT1428),F1428="","")</f>
        <v/>
      </c>
      <c r="BC1428" s="211" t="str" cm="1">
        <f t="array" ref="BC1428">_xlfn.IFS(E1428="","",G1428&lt;=E1428,BB1428*(1-0.03),G1428&lt;(E1428+8),BB1428,AZ1428="Boleto",BB1428*(1+0.001)^DATEDIF(E1428,G1428,"D"),AZ1428="Cheque",BB1428,AZ1428="Dinheiro","Alterar forma pgto")</f>
        <v/>
      </c>
      <c r="BD1428" s="276" t="str" cm="1">
        <f t="array" ref="BD1428">IF(F1428=0," ",IF(BC1428&lt;BB1428,(_xlfn.IFS(AW1428="SIM",SUM(L1428,Q1428,V1428,AA1428,AF1428,AK1428,AP1428,AU1428)+AX1428/_xlfn.XLOOKUP(_xlfn.XLOOKUP($F1428,Clientes!$B$4:$B$39,Clientes!$C$4:$C$39),Cadastros!$L$6:$L$12,Cadastros!$M$6:$M$12)+IF($F1428="Bernardino Furlan",AY1428/2751.92,IF($F1428="Mauro José Salanti",AY1428/2751.92,AY1428/3356)),F1428&lt;&gt;0,SUM(L1428,Q1428,V1428,AA1428,AF1428,AK1428,AP1428,AU1428)))*(1-0.03),_xlfn.IFS(AW1428="SIM",SUM(L1428,Q1428,V1428,AA1428,AF1428,AK1428,AP1428,AU1428)+AX1428/_xlfn.XLOOKUP(_xlfn.XLOOKUP($F1428,Clientes!$B$4:$B$39,Clientes!$C$4:$C$39),Cadastros!$L$6:$L$12,Cadastros!$M$6:$M$12)+IF($F1428="Bernardino Furlan",AY1428/2751.92,IF($F1428="Mauro José Salanti",AY1428/2751.92,AY1428/3356)),F1428&lt;&gt;0,SUM(L1428,Q1428,V1428,AA1428,AF1428,AK1428,AP1428,AU1428))))</f>
        <v xml:space="preserve"> </v>
      </c>
      <c r="BE1428" s="120"/>
      <c r="BF1428" s="120"/>
      <c r="BG1428" s="120"/>
    </row>
    <row r="1429" spans="1:59" s="3" customFormat="1" x14ac:dyDescent="0.3">
      <c r="A1429" s="15" t="str">
        <f t="shared" si="286"/>
        <v/>
      </c>
      <c r="B1429" s="25"/>
      <c r="C1429" s="26"/>
      <c r="D1429" s="279"/>
      <c r="E1429" s="27"/>
      <c r="F1429" s="28"/>
      <c r="G1429" s="27"/>
      <c r="H1429" s="28"/>
      <c r="I1429" s="28"/>
      <c r="J1429" s="255" t="str">
        <f>IF(H1429="","",(_xlfn.XLOOKUP(H1429,Cadastros!$D$6:$D$90,Cadastros!$E$6:$E$90))*(1-_xlfn.XLOOKUP(_xlfn.XLOOKUP($F1429,Clientes!$B$4:$B$39,Clientes!$C$4:$C$39),Cadastros!$L$6:$L$12,Cadastros!$N$6:$N$12)))</f>
        <v/>
      </c>
      <c r="K1429" s="168" t="str">
        <f t="shared" si="287"/>
        <v/>
      </c>
      <c r="L1429" s="168" t="str">
        <f>IFERROR(K1429/_xlfn.XLOOKUP(_xlfn.XLOOKUP($F1429,Clientes!$B$4:$B$39,Clientes!$C$4:$C$39),Cadastros!$L$6:$L$12,Cadastros!$M$6:$M$12)," ")</f>
        <v xml:space="preserve"> </v>
      </c>
      <c r="M1429" s="28"/>
      <c r="N1429" s="28"/>
      <c r="O1429" s="255" t="str">
        <f>IF(M1429="","",(_xlfn.XLOOKUP(M1429,Cadastros!$D$6:$D$90,Cadastros!$E$6:$E$90))*(1-_xlfn.XLOOKUP(_xlfn.XLOOKUP($F1429,Clientes!$B$4:$B$39,Clientes!$C$4:$C$39),Cadastros!$L$6:$L$12,Cadastros!$N$6:$N$12)))</f>
        <v/>
      </c>
      <c r="P1429" s="168" t="str">
        <f t="shared" si="288"/>
        <v/>
      </c>
      <c r="Q1429" s="168" t="str">
        <f>IFERROR(P1429/_xlfn.XLOOKUP(_xlfn.XLOOKUP($F1429,Clientes!$B$4:$B$39,Clientes!$C$4:$C$39),Cadastros!$L$6:$L$12,Cadastros!$M$6:$M$12)," ")</f>
        <v xml:space="preserve"> </v>
      </c>
      <c r="R1429" s="28"/>
      <c r="S1429" s="28"/>
      <c r="T1429" s="255" t="str">
        <f>IF(R1429="","",(_xlfn.XLOOKUP(R1429,Cadastros!$D$6:$D$90,Cadastros!$E$6:$E$90))*(1-_xlfn.XLOOKUP(_xlfn.XLOOKUP($F1429,Clientes!$B$4:$B$39,Clientes!$C$4:$C$39),Cadastros!$L$6:$L$12,Cadastros!$N$6:$N$12)))</f>
        <v/>
      </c>
      <c r="U1429" s="168" t="str">
        <f t="shared" si="289"/>
        <v/>
      </c>
      <c r="V1429" s="168" t="str">
        <f>IFERROR(U1429/_xlfn.XLOOKUP(_xlfn.XLOOKUP($F1429,Clientes!$B$4:$B$39,Clientes!$C$4:$C$39),Cadastros!$L$6:$L$12,Cadastros!$M$6:$M$12)," ")</f>
        <v xml:space="preserve"> </v>
      </c>
      <c r="W1429" s="28"/>
      <c r="X1429" s="28"/>
      <c r="Y1429" s="255" t="str">
        <f>IF(W1429="","",(_xlfn.XLOOKUP(W1429,Cadastros!$D$6:$D$90,Cadastros!$E$6:$E$90))*(1-_xlfn.XLOOKUP(_xlfn.XLOOKUP($F1429,Clientes!$B$4:$B$39,Clientes!$C$4:$C$39),Cadastros!$L$6:$L$12,Cadastros!$N$6:$N$12)))</f>
        <v/>
      </c>
      <c r="Z1429" s="168" t="str">
        <f t="shared" si="290"/>
        <v/>
      </c>
      <c r="AA1429" s="168" t="str">
        <f>IFERROR(Z1429/_xlfn.XLOOKUP(_xlfn.XLOOKUP($F1429,Clientes!$B$4:$B$39,Clientes!$C$4:$C$39),Cadastros!$L$6:$L$12,Cadastros!$M$6:$M$12)," ")</f>
        <v xml:space="preserve"> </v>
      </c>
      <c r="AB1429" s="28"/>
      <c r="AC1429" s="28"/>
      <c r="AD1429" s="20" t="str">
        <f>IF(AB1429="","",IF($F1429="Bernardino Furlan",_xlfn.XLOOKUP(AB1429,Cadastros!$G$6:$G$90,Cadastros!$H$6:$H$90)*(1-0.18),IF($F1429="Mauro José Salanti",_xlfn.XLOOKUP(AB1429,Cadastros!$G$6:$G$90,Cadastros!$H$6:$H$90)*(1-0.18),_xlfn.XLOOKUP(AB1429,Cadastros!$G$6:$G$90,Cadastros!$H$6:$H$90))))</f>
        <v/>
      </c>
      <c r="AE1429" s="168" t="str">
        <f t="shared" si="291"/>
        <v/>
      </c>
      <c r="AF1429" s="168" t="str">
        <f t="shared" si="292"/>
        <v/>
      </c>
      <c r="AG1429" s="28"/>
      <c r="AH1429" s="28"/>
      <c r="AI1429" s="20" t="str">
        <f>IF(AG1429="","",IF($F1429="Bernardino Furlan",_xlfn.XLOOKUP(AG1429,Cadastros!$G$6:$G$90,Cadastros!$H$6:$H$90)*(1-0.18),IF($F1429="Mauro José Salanti",_xlfn.XLOOKUP(AG1429,Cadastros!$G$6:$G$90,Cadastros!$H$6:$H$90)*(1-0.18),_xlfn.XLOOKUP(AG1429,Cadastros!$G$6:$G$90,Cadastros!$H$6:$H$90))))</f>
        <v/>
      </c>
      <c r="AJ1429" s="168" t="str">
        <f t="shared" si="293"/>
        <v/>
      </c>
      <c r="AK1429" s="168" t="str">
        <f t="shared" si="294"/>
        <v/>
      </c>
      <c r="AL1429" s="28"/>
      <c r="AM1429" s="28"/>
      <c r="AN1429" s="20" t="str">
        <f>IF(AL1429="","",IF($F1429="Bernardino Furlan",_xlfn.XLOOKUP(AL1429,Cadastros!$G$6:$G$90,Cadastros!$H$6:$H$90)*(1-0.18),IF($F1429="Mauro José Salanti",_xlfn.XLOOKUP(AL1429,Cadastros!$G$6:$G$90,Cadastros!$H$6:$H$90)*(1-0.18),_xlfn.XLOOKUP(AL1429,Cadastros!$G$6:$G$90,Cadastros!$H$6:$H$90))))</f>
        <v/>
      </c>
      <c r="AO1429" s="168" t="str">
        <f t="shared" si="295"/>
        <v/>
      </c>
      <c r="AP1429" s="168" t="str">
        <f t="shared" si="296"/>
        <v/>
      </c>
      <c r="AQ1429" s="28"/>
      <c r="AR1429" s="28"/>
      <c r="AS1429" s="20" t="str">
        <f>IF(AQ1429="","",IF($F1429="Bernardino Furlan",_xlfn.XLOOKUP(AQ1429,Cadastros!$G$6:$G$90,Cadastros!$H$6:$H$90)*(1-0.18),IF($F1429="Mauro José Salanti",_xlfn.XLOOKUP(AQ1429,Cadastros!$G$6:$G$90,Cadastros!$H$6:$H$90)*(1-0.18),_xlfn.XLOOKUP(AQ1429,Cadastros!$G$6:$G$90,Cadastros!$H$6:$H$90))))</f>
        <v/>
      </c>
      <c r="AT1429" s="168" t="str">
        <f t="shared" si="297"/>
        <v/>
      </c>
      <c r="AU1429" s="168" t="str">
        <f t="shared" si="298"/>
        <v/>
      </c>
      <c r="AV1429" s="227"/>
      <c r="AW1429" s="30"/>
      <c r="AX1429" s="267"/>
      <c r="AY1429" s="267"/>
      <c r="AZ1429" s="29"/>
      <c r="BA1429" s="30"/>
      <c r="BB1429" s="23" t="str" cm="1">
        <f t="array" ref="BB1429">_xlfn.IFS(AW1429="SIM",SUM(K1429,P1429,U1429,Z1429,AE1429,AJ1429,AO1429,AT1429,AX1429,AY1429),F1429&lt;&gt;"",SUM(K1429,P1429,U1429,Z1429,AE1429,AJ1429,,AO1429,AT1429),F1429="","")</f>
        <v/>
      </c>
      <c r="BC1429" s="211" t="str" cm="1">
        <f t="array" ref="BC1429">_xlfn.IFS(E1429="","",G1429&lt;=E1429,BB1429*(1-0.03),G1429&lt;(E1429+8),BB1429,AZ1429="Boleto",BB1429*(1+0.001)^DATEDIF(E1429,G1429,"D"),AZ1429="Cheque",BB1429,AZ1429="Dinheiro","Alterar forma pgto")</f>
        <v/>
      </c>
      <c r="BD1429" s="276" t="str" cm="1">
        <f t="array" ref="BD1429">IF(F1429=0," ",IF(BC1429&lt;BB1429,(_xlfn.IFS(AW1429="SIM",SUM(L1429,Q1429,V1429,AA1429,AF1429,AK1429,AP1429,AU1429)+AX1429/_xlfn.XLOOKUP(_xlfn.XLOOKUP($F1429,Clientes!$B$4:$B$39,Clientes!$C$4:$C$39),Cadastros!$L$6:$L$12,Cadastros!$M$6:$M$12)+IF($F1429="Bernardino Furlan",AY1429/2751.92,IF($F1429="Mauro José Salanti",AY1429/2751.92,AY1429/3356)),F1429&lt;&gt;0,SUM(L1429,Q1429,V1429,AA1429,AF1429,AK1429,AP1429,AU1429)))*(1-0.03),_xlfn.IFS(AW1429="SIM",SUM(L1429,Q1429,V1429,AA1429,AF1429,AK1429,AP1429,AU1429)+AX1429/_xlfn.XLOOKUP(_xlfn.XLOOKUP($F1429,Clientes!$B$4:$B$39,Clientes!$C$4:$C$39),Cadastros!$L$6:$L$12,Cadastros!$M$6:$M$12)+IF($F1429="Bernardino Furlan",AY1429/2751.92,IF($F1429="Mauro José Salanti",AY1429/2751.92,AY1429/3356)),F1429&lt;&gt;0,SUM(L1429,Q1429,V1429,AA1429,AF1429,AK1429,AP1429,AU1429))))</f>
        <v xml:space="preserve"> </v>
      </c>
      <c r="BE1429" s="120"/>
      <c r="BF1429" s="120"/>
      <c r="BG1429" s="120"/>
    </row>
    <row r="1430" spans="1:59" s="3" customFormat="1" x14ac:dyDescent="0.3">
      <c r="A1430" s="15" t="str">
        <f t="shared" si="286"/>
        <v/>
      </c>
      <c r="B1430" s="25"/>
      <c r="C1430" s="26"/>
      <c r="D1430" s="279"/>
      <c r="E1430" s="27"/>
      <c r="F1430" s="28"/>
      <c r="G1430" s="27"/>
      <c r="H1430" s="28"/>
      <c r="I1430" s="28"/>
      <c r="J1430" s="255" t="str">
        <f>IF(H1430="","",(_xlfn.XLOOKUP(H1430,Cadastros!$D$6:$D$90,Cadastros!$E$6:$E$90))*(1-_xlfn.XLOOKUP(_xlfn.XLOOKUP($F1430,Clientes!$B$4:$B$39,Clientes!$C$4:$C$39),Cadastros!$L$6:$L$12,Cadastros!$N$6:$N$12)))</f>
        <v/>
      </c>
      <c r="K1430" s="168" t="str">
        <f t="shared" si="287"/>
        <v/>
      </c>
      <c r="L1430" s="168" t="str">
        <f>IFERROR(K1430/_xlfn.XLOOKUP(_xlfn.XLOOKUP($F1430,Clientes!$B$4:$B$39,Clientes!$C$4:$C$39),Cadastros!$L$6:$L$12,Cadastros!$M$6:$M$12)," ")</f>
        <v xml:space="preserve"> </v>
      </c>
      <c r="M1430" s="28"/>
      <c r="N1430" s="28"/>
      <c r="O1430" s="255" t="str">
        <f>IF(M1430="","",(_xlfn.XLOOKUP(M1430,Cadastros!$D$6:$D$90,Cadastros!$E$6:$E$90))*(1-_xlfn.XLOOKUP(_xlfn.XLOOKUP($F1430,Clientes!$B$4:$B$39,Clientes!$C$4:$C$39),Cadastros!$L$6:$L$12,Cadastros!$N$6:$N$12)))</f>
        <v/>
      </c>
      <c r="P1430" s="168" t="str">
        <f t="shared" si="288"/>
        <v/>
      </c>
      <c r="Q1430" s="168" t="str">
        <f>IFERROR(P1430/_xlfn.XLOOKUP(_xlfn.XLOOKUP($F1430,Clientes!$B$4:$B$39,Clientes!$C$4:$C$39),Cadastros!$L$6:$L$12,Cadastros!$M$6:$M$12)," ")</f>
        <v xml:space="preserve"> </v>
      </c>
      <c r="R1430" s="28"/>
      <c r="S1430" s="28"/>
      <c r="T1430" s="255" t="str">
        <f>IF(R1430="","",(_xlfn.XLOOKUP(R1430,Cadastros!$D$6:$D$90,Cadastros!$E$6:$E$90))*(1-_xlfn.XLOOKUP(_xlfn.XLOOKUP($F1430,Clientes!$B$4:$B$39,Clientes!$C$4:$C$39),Cadastros!$L$6:$L$12,Cadastros!$N$6:$N$12)))</f>
        <v/>
      </c>
      <c r="U1430" s="168" t="str">
        <f t="shared" si="289"/>
        <v/>
      </c>
      <c r="V1430" s="168" t="str">
        <f>IFERROR(U1430/_xlfn.XLOOKUP(_xlfn.XLOOKUP($F1430,Clientes!$B$4:$B$39,Clientes!$C$4:$C$39),Cadastros!$L$6:$L$12,Cadastros!$M$6:$M$12)," ")</f>
        <v xml:space="preserve"> </v>
      </c>
      <c r="W1430" s="28"/>
      <c r="X1430" s="28"/>
      <c r="Y1430" s="255" t="str">
        <f>IF(W1430="","",(_xlfn.XLOOKUP(W1430,Cadastros!$D$6:$D$90,Cadastros!$E$6:$E$90))*(1-_xlfn.XLOOKUP(_xlfn.XLOOKUP($F1430,Clientes!$B$4:$B$39,Clientes!$C$4:$C$39),Cadastros!$L$6:$L$12,Cadastros!$N$6:$N$12)))</f>
        <v/>
      </c>
      <c r="Z1430" s="168" t="str">
        <f t="shared" si="290"/>
        <v/>
      </c>
      <c r="AA1430" s="168" t="str">
        <f>IFERROR(Z1430/_xlfn.XLOOKUP(_xlfn.XLOOKUP($F1430,Clientes!$B$4:$B$39,Clientes!$C$4:$C$39),Cadastros!$L$6:$L$12,Cadastros!$M$6:$M$12)," ")</f>
        <v xml:space="preserve"> </v>
      </c>
      <c r="AB1430" s="28"/>
      <c r="AC1430" s="28"/>
      <c r="AD1430" s="20" t="str">
        <f>IF(AB1430="","",IF($F1430="Bernardino Furlan",_xlfn.XLOOKUP(AB1430,Cadastros!$G$6:$G$90,Cadastros!$H$6:$H$90)*(1-0.18),IF($F1430="Mauro José Salanti",_xlfn.XLOOKUP(AB1430,Cadastros!$G$6:$G$90,Cadastros!$H$6:$H$90)*(1-0.18),_xlfn.XLOOKUP(AB1430,Cadastros!$G$6:$G$90,Cadastros!$H$6:$H$90))))</f>
        <v/>
      </c>
      <c r="AE1430" s="168" t="str">
        <f t="shared" si="291"/>
        <v/>
      </c>
      <c r="AF1430" s="168" t="str">
        <f t="shared" si="292"/>
        <v/>
      </c>
      <c r="AG1430" s="28"/>
      <c r="AH1430" s="28"/>
      <c r="AI1430" s="20" t="str">
        <f>IF(AG1430="","",IF($F1430="Bernardino Furlan",_xlfn.XLOOKUP(AG1430,Cadastros!$G$6:$G$90,Cadastros!$H$6:$H$90)*(1-0.18),IF($F1430="Mauro José Salanti",_xlfn.XLOOKUP(AG1430,Cadastros!$G$6:$G$90,Cadastros!$H$6:$H$90)*(1-0.18),_xlfn.XLOOKUP(AG1430,Cadastros!$G$6:$G$90,Cadastros!$H$6:$H$90))))</f>
        <v/>
      </c>
      <c r="AJ1430" s="168" t="str">
        <f t="shared" si="293"/>
        <v/>
      </c>
      <c r="AK1430" s="168" t="str">
        <f t="shared" si="294"/>
        <v/>
      </c>
      <c r="AL1430" s="28"/>
      <c r="AM1430" s="28"/>
      <c r="AN1430" s="20" t="str">
        <f>IF(AL1430="","",IF($F1430="Bernardino Furlan",_xlfn.XLOOKUP(AL1430,Cadastros!$G$6:$G$90,Cadastros!$H$6:$H$90)*(1-0.18),IF($F1430="Mauro José Salanti",_xlfn.XLOOKUP(AL1430,Cadastros!$G$6:$G$90,Cadastros!$H$6:$H$90)*(1-0.18),_xlfn.XLOOKUP(AL1430,Cadastros!$G$6:$G$90,Cadastros!$H$6:$H$90))))</f>
        <v/>
      </c>
      <c r="AO1430" s="168" t="str">
        <f t="shared" si="295"/>
        <v/>
      </c>
      <c r="AP1430" s="168" t="str">
        <f t="shared" si="296"/>
        <v/>
      </c>
      <c r="AQ1430" s="28"/>
      <c r="AR1430" s="28"/>
      <c r="AS1430" s="20" t="str">
        <f>IF(AQ1430="","",IF($F1430="Bernardino Furlan",_xlfn.XLOOKUP(AQ1430,Cadastros!$G$6:$G$90,Cadastros!$H$6:$H$90)*(1-0.18),IF($F1430="Mauro José Salanti",_xlfn.XLOOKUP(AQ1430,Cadastros!$G$6:$G$90,Cadastros!$H$6:$H$90)*(1-0.18),_xlfn.XLOOKUP(AQ1430,Cadastros!$G$6:$G$90,Cadastros!$H$6:$H$90))))</f>
        <v/>
      </c>
      <c r="AT1430" s="168" t="str">
        <f t="shared" si="297"/>
        <v/>
      </c>
      <c r="AU1430" s="168" t="str">
        <f t="shared" si="298"/>
        <v/>
      </c>
      <c r="AV1430" s="227"/>
      <c r="AW1430" s="30"/>
      <c r="AX1430" s="267"/>
      <c r="AY1430" s="267"/>
      <c r="AZ1430" s="29"/>
      <c r="BA1430" s="30"/>
      <c r="BB1430" s="23" t="str" cm="1">
        <f t="array" ref="BB1430">_xlfn.IFS(AW1430="SIM",SUM(K1430,P1430,U1430,Z1430,AE1430,AJ1430,AO1430,AT1430,AX1430,AY1430),F1430&lt;&gt;"",SUM(K1430,P1430,U1430,Z1430,AE1430,AJ1430,,AO1430,AT1430),F1430="","")</f>
        <v/>
      </c>
      <c r="BC1430" s="211" t="str" cm="1">
        <f t="array" ref="BC1430">_xlfn.IFS(E1430="","",G1430&lt;=E1430,BB1430*(1-0.03),G1430&lt;(E1430+8),BB1430,AZ1430="Boleto",BB1430*(1+0.001)^DATEDIF(E1430,G1430,"D"),AZ1430="Cheque",BB1430,AZ1430="Dinheiro","Alterar forma pgto")</f>
        <v/>
      </c>
      <c r="BD1430" s="276" t="str" cm="1">
        <f t="array" ref="BD1430">IF(F1430=0," ",IF(BC1430&lt;BB1430,(_xlfn.IFS(AW1430="SIM",SUM(L1430,Q1430,V1430,AA1430,AF1430,AK1430,AP1430,AU1430)+AX1430/_xlfn.XLOOKUP(_xlfn.XLOOKUP($F1430,Clientes!$B$4:$B$39,Clientes!$C$4:$C$39),Cadastros!$L$6:$L$12,Cadastros!$M$6:$M$12)+IF($F1430="Bernardino Furlan",AY1430/2751.92,IF($F1430="Mauro José Salanti",AY1430/2751.92,AY1430/3356)),F1430&lt;&gt;0,SUM(L1430,Q1430,V1430,AA1430,AF1430,AK1430,AP1430,AU1430)))*(1-0.03),_xlfn.IFS(AW1430="SIM",SUM(L1430,Q1430,V1430,AA1430,AF1430,AK1430,AP1430,AU1430)+AX1430/_xlfn.XLOOKUP(_xlfn.XLOOKUP($F1430,Clientes!$B$4:$B$39,Clientes!$C$4:$C$39),Cadastros!$L$6:$L$12,Cadastros!$M$6:$M$12)+IF($F1430="Bernardino Furlan",AY1430/2751.92,IF($F1430="Mauro José Salanti",AY1430/2751.92,AY1430/3356)),F1430&lt;&gt;0,SUM(L1430,Q1430,V1430,AA1430,AF1430,AK1430,AP1430,AU1430))))</f>
        <v xml:space="preserve"> </v>
      </c>
      <c r="BE1430" s="120"/>
      <c r="BF1430" s="120"/>
      <c r="BG1430" s="120"/>
    </row>
    <row r="1431" spans="1:59" s="3" customFormat="1" x14ac:dyDescent="0.3">
      <c r="A1431" s="15" t="str">
        <f t="shared" si="286"/>
        <v/>
      </c>
      <c r="B1431" s="25"/>
      <c r="C1431" s="26"/>
      <c r="D1431" s="279"/>
      <c r="E1431" s="27"/>
      <c r="F1431" s="28"/>
      <c r="G1431" s="27"/>
      <c r="H1431" s="28"/>
      <c r="I1431" s="28"/>
      <c r="J1431" s="255" t="str">
        <f>IF(H1431="","",(_xlfn.XLOOKUP(H1431,Cadastros!$D$6:$D$90,Cadastros!$E$6:$E$90))*(1-_xlfn.XLOOKUP(_xlfn.XLOOKUP($F1431,Clientes!$B$4:$B$39,Clientes!$C$4:$C$39),Cadastros!$L$6:$L$12,Cadastros!$N$6:$N$12)))</f>
        <v/>
      </c>
      <c r="K1431" s="168" t="str">
        <f t="shared" si="287"/>
        <v/>
      </c>
      <c r="L1431" s="168" t="str">
        <f>IFERROR(K1431/_xlfn.XLOOKUP(_xlfn.XLOOKUP($F1431,Clientes!$B$4:$B$39,Clientes!$C$4:$C$39),Cadastros!$L$6:$L$12,Cadastros!$M$6:$M$12)," ")</f>
        <v xml:space="preserve"> </v>
      </c>
      <c r="M1431" s="28"/>
      <c r="N1431" s="28"/>
      <c r="O1431" s="255" t="str">
        <f>IF(M1431="","",(_xlfn.XLOOKUP(M1431,Cadastros!$D$6:$D$90,Cadastros!$E$6:$E$90))*(1-_xlfn.XLOOKUP(_xlfn.XLOOKUP($F1431,Clientes!$B$4:$B$39,Clientes!$C$4:$C$39),Cadastros!$L$6:$L$12,Cadastros!$N$6:$N$12)))</f>
        <v/>
      </c>
      <c r="P1431" s="168" t="str">
        <f t="shared" si="288"/>
        <v/>
      </c>
      <c r="Q1431" s="168" t="str">
        <f>IFERROR(P1431/_xlfn.XLOOKUP(_xlfn.XLOOKUP($F1431,Clientes!$B$4:$B$39,Clientes!$C$4:$C$39),Cadastros!$L$6:$L$12,Cadastros!$M$6:$M$12)," ")</f>
        <v xml:space="preserve"> </v>
      </c>
      <c r="R1431" s="28"/>
      <c r="S1431" s="28"/>
      <c r="T1431" s="255" t="str">
        <f>IF(R1431="","",(_xlfn.XLOOKUP(R1431,Cadastros!$D$6:$D$90,Cadastros!$E$6:$E$90))*(1-_xlfn.XLOOKUP(_xlfn.XLOOKUP($F1431,Clientes!$B$4:$B$39,Clientes!$C$4:$C$39),Cadastros!$L$6:$L$12,Cadastros!$N$6:$N$12)))</f>
        <v/>
      </c>
      <c r="U1431" s="168" t="str">
        <f t="shared" si="289"/>
        <v/>
      </c>
      <c r="V1431" s="168" t="str">
        <f>IFERROR(U1431/_xlfn.XLOOKUP(_xlfn.XLOOKUP($F1431,Clientes!$B$4:$B$39,Clientes!$C$4:$C$39),Cadastros!$L$6:$L$12,Cadastros!$M$6:$M$12)," ")</f>
        <v xml:space="preserve"> </v>
      </c>
      <c r="W1431" s="28"/>
      <c r="X1431" s="28"/>
      <c r="Y1431" s="255" t="str">
        <f>IF(W1431="","",(_xlfn.XLOOKUP(W1431,Cadastros!$D$6:$D$90,Cadastros!$E$6:$E$90))*(1-_xlfn.XLOOKUP(_xlfn.XLOOKUP($F1431,Clientes!$B$4:$B$39,Clientes!$C$4:$C$39),Cadastros!$L$6:$L$12,Cadastros!$N$6:$N$12)))</f>
        <v/>
      </c>
      <c r="Z1431" s="168" t="str">
        <f t="shared" si="290"/>
        <v/>
      </c>
      <c r="AA1431" s="168" t="str">
        <f>IFERROR(Z1431/_xlfn.XLOOKUP(_xlfn.XLOOKUP($F1431,Clientes!$B$4:$B$39,Clientes!$C$4:$C$39),Cadastros!$L$6:$L$12,Cadastros!$M$6:$M$12)," ")</f>
        <v xml:space="preserve"> </v>
      </c>
      <c r="AB1431" s="28"/>
      <c r="AC1431" s="28"/>
      <c r="AD1431" s="20" t="str">
        <f>IF(AB1431="","",IF($F1431="Bernardino Furlan",_xlfn.XLOOKUP(AB1431,Cadastros!$G$6:$G$90,Cadastros!$H$6:$H$90)*(1-0.18),IF($F1431="Mauro José Salanti",_xlfn.XLOOKUP(AB1431,Cadastros!$G$6:$G$90,Cadastros!$H$6:$H$90)*(1-0.18),_xlfn.XLOOKUP(AB1431,Cadastros!$G$6:$G$90,Cadastros!$H$6:$H$90))))</f>
        <v/>
      </c>
      <c r="AE1431" s="168" t="str">
        <f t="shared" si="291"/>
        <v/>
      </c>
      <c r="AF1431" s="168" t="str">
        <f t="shared" si="292"/>
        <v/>
      </c>
      <c r="AG1431" s="28"/>
      <c r="AH1431" s="28"/>
      <c r="AI1431" s="20" t="str">
        <f>IF(AG1431="","",IF($F1431="Bernardino Furlan",_xlfn.XLOOKUP(AG1431,Cadastros!$G$6:$G$90,Cadastros!$H$6:$H$90)*(1-0.18),IF($F1431="Mauro José Salanti",_xlfn.XLOOKUP(AG1431,Cadastros!$G$6:$G$90,Cadastros!$H$6:$H$90)*(1-0.18),_xlfn.XLOOKUP(AG1431,Cadastros!$G$6:$G$90,Cadastros!$H$6:$H$90))))</f>
        <v/>
      </c>
      <c r="AJ1431" s="168" t="str">
        <f t="shared" si="293"/>
        <v/>
      </c>
      <c r="AK1431" s="168" t="str">
        <f t="shared" si="294"/>
        <v/>
      </c>
      <c r="AL1431" s="28"/>
      <c r="AM1431" s="28"/>
      <c r="AN1431" s="20" t="str">
        <f>IF(AL1431="","",IF($F1431="Bernardino Furlan",_xlfn.XLOOKUP(AL1431,Cadastros!$G$6:$G$90,Cadastros!$H$6:$H$90)*(1-0.18),IF($F1431="Mauro José Salanti",_xlfn.XLOOKUP(AL1431,Cadastros!$G$6:$G$90,Cadastros!$H$6:$H$90)*(1-0.18),_xlfn.XLOOKUP(AL1431,Cadastros!$G$6:$G$90,Cadastros!$H$6:$H$90))))</f>
        <v/>
      </c>
      <c r="AO1431" s="168" t="str">
        <f t="shared" si="295"/>
        <v/>
      </c>
      <c r="AP1431" s="168" t="str">
        <f t="shared" si="296"/>
        <v/>
      </c>
      <c r="AQ1431" s="28"/>
      <c r="AR1431" s="28"/>
      <c r="AS1431" s="20" t="str">
        <f>IF(AQ1431="","",IF($F1431="Bernardino Furlan",_xlfn.XLOOKUP(AQ1431,Cadastros!$G$6:$G$90,Cadastros!$H$6:$H$90)*(1-0.18),IF($F1431="Mauro José Salanti",_xlfn.XLOOKUP(AQ1431,Cadastros!$G$6:$G$90,Cadastros!$H$6:$H$90)*(1-0.18),_xlfn.XLOOKUP(AQ1431,Cadastros!$G$6:$G$90,Cadastros!$H$6:$H$90))))</f>
        <v/>
      </c>
      <c r="AT1431" s="168" t="str">
        <f t="shared" si="297"/>
        <v/>
      </c>
      <c r="AU1431" s="168" t="str">
        <f t="shared" si="298"/>
        <v/>
      </c>
      <c r="AV1431" s="227"/>
      <c r="AW1431" s="30"/>
      <c r="AX1431" s="267"/>
      <c r="AY1431" s="267"/>
      <c r="AZ1431" s="29"/>
      <c r="BA1431" s="30"/>
      <c r="BB1431" s="23" t="str" cm="1">
        <f t="array" ref="BB1431">_xlfn.IFS(AW1431="SIM",SUM(K1431,P1431,U1431,Z1431,AE1431,AJ1431,AO1431,AT1431,AX1431,AY1431),F1431&lt;&gt;"",SUM(K1431,P1431,U1431,Z1431,AE1431,AJ1431,,AO1431,AT1431),F1431="","")</f>
        <v/>
      </c>
      <c r="BC1431" s="211" t="str" cm="1">
        <f t="array" ref="BC1431">_xlfn.IFS(E1431="","",G1431&lt;=E1431,BB1431*(1-0.03),G1431&lt;(E1431+8),BB1431,AZ1431="Boleto",BB1431*(1+0.001)^DATEDIF(E1431,G1431,"D"),AZ1431="Cheque",BB1431,AZ1431="Dinheiro","Alterar forma pgto")</f>
        <v/>
      </c>
      <c r="BD1431" s="276" t="str" cm="1">
        <f t="array" ref="BD1431">IF(F1431=0," ",IF(BC1431&lt;BB1431,(_xlfn.IFS(AW1431="SIM",SUM(L1431,Q1431,V1431,AA1431,AF1431,AK1431,AP1431,AU1431)+AX1431/_xlfn.XLOOKUP(_xlfn.XLOOKUP($F1431,Clientes!$B$4:$B$39,Clientes!$C$4:$C$39),Cadastros!$L$6:$L$12,Cadastros!$M$6:$M$12)+IF($F1431="Bernardino Furlan",AY1431/2751.92,IF($F1431="Mauro José Salanti",AY1431/2751.92,AY1431/3356)),F1431&lt;&gt;0,SUM(L1431,Q1431,V1431,AA1431,AF1431,AK1431,AP1431,AU1431)))*(1-0.03),_xlfn.IFS(AW1431="SIM",SUM(L1431,Q1431,V1431,AA1431,AF1431,AK1431,AP1431,AU1431)+AX1431/_xlfn.XLOOKUP(_xlfn.XLOOKUP($F1431,Clientes!$B$4:$B$39,Clientes!$C$4:$C$39),Cadastros!$L$6:$L$12,Cadastros!$M$6:$M$12)+IF($F1431="Bernardino Furlan",AY1431/2751.92,IF($F1431="Mauro José Salanti",AY1431/2751.92,AY1431/3356)),F1431&lt;&gt;0,SUM(L1431,Q1431,V1431,AA1431,AF1431,AK1431,AP1431,AU1431))))</f>
        <v xml:space="preserve"> </v>
      </c>
      <c r="BE1431" s="120"/>
      <c r="BF1431" s="120"/>
      <c r="BG1431" s="120"/>
    </row>
    <row r="1432" spans="1:59" s="3" customFormat="1" x14ac:dyDescent="0.3">
      <c r="A1432" s="15" t="str">
        <f t="shared" si="286"/>
        <v/>
      </c>
      <c r="B1432" s="25"/>
      <c r="C1432" s="26"/>
      <c r="D1432" s="279"/>
      <c r="E1432" s="27"/>
      <c r="F1432" s="28"/>
      <c r="G1432" s="27"/>
      <c r="H1432" s="28"/>
      <c r="I1432" s="28"/>
      <c r="J1432" s="255" t="str">
        <f>IF(H1432="","",(_xlfn.XLOOKUP(H1432,Cadastros!$D$6:$D$90,Cadastros!$E$6:$E$90))*(1-_xlfn.XLOOKUP(_xlfn.XLOOKUP($F1432,Clientes!$B$4:$B$39,Clientes!$C$4:$C$39),Cadastros!$L$6:$L$12,Cadastros!$N$6:$N$12)))</f>
        <v/>
      </c>
      <c r="K1432" s="168" t="str">
        <f t="shared" si="287"/>
        <v/>
      </c>
      <c r="L1432" s="168" t="str">
        <f>IFERROR(K1432/_xlfn.XLOOKUP(_xlfn.XLOOKUP($F1432,Clientes!$B$4:$B$39,Clientes!$C$4:$C$39),Cadastros!$L$6:$L$12,Cadastros!$M$6:$M$12)," ")</f>
        <v xml:space="preserve"> </v>
      </c>
      <c r="M1432" s="28"/>
      <c r="N1432" s="28"/>
      <c r="O1432" s="255" t="str">
        <f>IF(M1432="","",(_xlfn.XLOOKUP(M1432,Cadastros!$D$6:$D$90,Cadastros!$E$6:$E$90))*(1-_xlfn.XLOOKUP(_xlfn.XLOOKUP($F1432,Clientes!$B$4:$B$39,Clientes!$C$4:$C$39),Cadastros!$L$6:$L$12,Cadastros!$N$6:$N$12)))</f>
        <v/>
      </c>
      <c r="P1432" s="168" t="str">
        <f t="shared" si="288"/>
        <v/>
      </c>
      <c r="Q1432" s="168" t="str">
        <f>IFERROR(P1432/_xlfn.XLOOKUP(_xlfn.XLOOKUP($F1432,Clientes!$B$4:$B$39,Clientes!$C$4:$C$39),Cadastros!$L$6:$L$12,Cadastros!$M$6:$M$12)," ")</f>
        <v xml:space="preserve"> </v>
      </c>
      <c r="R1432" s="28"/>
      <c r="S1432" s="28"/>
      <c r="T1432" s="255" t="str">
        <f>IF(R1432="","",(_xlfn.XLOOKUP(R1432,Cadastros!$D$6:$D$90,Cadastros!$E$6:$E$90))*(1-_xlfn.XLOOKUP(_xlfn.XLOOKUP($F1432,Clientes!$B$4:$B$39,Clientes!$C$4:$C$39),Cadastros!$L$6:$L$12,Cadastros!$N$6:$N$12)))</f>
        <v/>
      </c>
      <c r="U1432" s="168" t="str">
        <f t="shared" si="289"/>
        <v/>
      </c>
      <c r="V1432" s="168" t="str">
        <f>IFERROR(U1432/_xlfn.XLOOKUP(_xlfn.XLOOKUP($F1432,Clientes!$B$4:$B$39,Clientes!$C$4:$C$39),Cadastros!$L$6:$L$12,Cadastros!$M$6:$M$12)," ")</f>
        <v xml:space="preserve"> </v>
      </c>
      <c r="W1432" s="28"/>
      <c r="X1432" s="28"/>
      <c r="Y1432" s="255" t="str">
        <f>IF(W1432="","",(_xlfn.XLOOKUP(W1432,Cadastros!$D$6:$D$90,Cadastros!$E$6:$E$90))*(1-_xlfn.XLOOKUP(_xlfn.XLOOKUP($F1432,Clientes!$B$4:$B$39,Clientes!$C$4:$C$39),Cadastros!$L$6:$L$12,Cadastros!$N$6:$N$12)))</f>
        <v/>
      </c>
      <c r="Z1432" s="168" t="str">
        <f t="shared" si="290"/>
        <v/>
      </c>
      <c r="AA1432" s="168" t="str">
        <f>IFERROR(Z1432/_xlfn.XLOOKUP(_xlfn.XLOOKUP($F1432,Clientes!$B$4:$B$39,Clientes!$C$4:$C$39),Cadastros!$L$6:$L$12,Cadastros!$M$6:$M$12)," ")</f>
        <v xml:space="preserve"> </v>
      </c>
      <c r="AB1432" s="28"/>
      <c r="AC1432" s="28"/>
      <c r="AD1432" s="20" t="str">
        <f>IF(AB1432="","",IF($F1432="Bernardino Furlan",_xlfn.XLOOKUP(AB1432,Cadastros!$G$6:$G$90,Cadastros!$H$6:$H$90)*(1-0.18),IF($F1432="Mauro José Salanti",_xlfn.XLOOKUP(AB1432,Cadastros!$G$6:$G$90,Cadastros!$H$6:$H$90)*(1-0.18),_xlfn.XLOOKUP(AB1432,Cadastros!$G$6:$G$90,Cadastros!$H$6:$H$90))))</f>
        <v/>
      </c>
      <c r="AE1432" s="168" t="str">
        <f t="shared" si="291"/>
        <v/>
      </c>
      <c r="AF1432" s="168" t="str">
        <f t="shared" si="292"/>
        <v/>
      </c>
      <c r="AG1432" s="28"/>
      <c r="AH1432" s="28"/>
      <c r="AI1432" s="20" t="str">
        <f>IF(AG1432="","",IF($F1432="Bernardino Furlan",_xlfn.XLOOKUP(AG1432,Cadastros!$G$6:$G$90,Cadastros!$H$6:$H$90)*(1-0.18),IF($F1432="Mauro José Salanti",_xlfn.XLOOKUP(AG1432,Cadastros!$G$6:$G$90,Cadastros!$H$6:$H$90)*(1-0.18),_xlfn.XLOOKUP(AG1432,Cadastros!$G$6:$G$90,Cadastros!$H$6:$H$90))))</f>
        <v/>
      </c>
      <c r="AJ1432" s="168" t="str">
        <f t="shared" si="293"/>
        <v/>
      </c>
      <c r="AK1432" s="168" t="str">
        <f t="shared" si="294"/>
        <v/>
      </c>
      <c r="AL1432" s="28"/>
      <c r="AM1432" s="28"/>
      <c r="AN1432" s="20" t="str">
        <f>IF(AL1432="","",IF($F1432="Bernardino Furlan",_xlfn.XLOOKUP(AL1432,Cadastros!$G$6:$G$90,Cadastros!$H$6:$H$90)*(1-0.18),IF($F1432="Mauro José Salanti",_xlfn.XLOOKUP(AL1432,Cadastros!$G$6:$G$90,Cadastros!$H$6:$H$90)*(1-0.18),_xlfn.XLOOKUP(AL1432,Cadastros!$G$6:$G$90,Cadastros!$H$6:$H$90))))</f>
        <v/>
      </c>
      <c r="AO1432" s="168" t="str">
        <f t="shared" si="295"/>
        <v/>
      </c>
      <c r="AP1432" s="168" t="str">
        <f t="shared" si="296"/>
        <v/>
      </c>
      <c r="AQ1432" s="28"/>
      <c r="AR1432" s="28"/>
      <c r="AS1432" s="20" t="str">
        <f>IF(AQ1432="","",IF($F1432="Bernardino Furlan",_xlfn.XLOOKUP(AQ1432,Cadastros!$G$6:$G$90,Cadastros!$H$6:$H$90)*(1-0.18),IF($F1432="Mauro José Salanti",_xlfn.XLOOKUP(AQ1432,Cadastros!$G$6:$G$90,Cadastros!$H$6:$H$90)*(1-0.18),_xlfn.XLOOKUP(AQ1432,Cadastros!$G$6:$G$90,Cadastros!$H$6:$H$90))))</f>
        <v/>
      </c>
      <c r="AT1432" s="168" t="str">
        <f t="shared" si="297"/>
        <v/>
      </c>
      <c r="AU1432" s="168" t="str">
        <f t="shared" si="298"/>
        <v/>
      </c>
      <c r="AV1432" s="227"/>
      <c r="AW1432" s="30"/>
      <c r="AX1432" s="267"/>
      <c r="AY1432" s="267"/>
      <c r="AZ1432" s="29"/>
      <c r="BA1432" s="30"/>
      <c r="BB1432" s="23" t="str" cm="1">
        <f t="array" ref="BB1432">_xlfn.IFS(AW1432="SIM",SUM(K1432,P1432,U1432,Z1432,AE1432,AJ1432,AO1432,AT1432,AX1432,AY1432),F1432&lt;&gt;"",SUM(K1432,P1432,U1432,Z1432,AE1432,AJ1432,,AO1432,AT1432),F1432="","")</f>
        <v/>
      </c>
      <c r="BC1432" s="211" t="str" cm="1">
        <f t="array" ref="BC1432">_xlfn.IFS(E1432="","",G1432&lt;=E1432,BB1432*(1-0.03),G1432&lt;(E1432+8),BB1432,AZ1432="Boleto",BB1432*(1+0.001)^DATEDIF(E1432,G1432,"D"),AZ1432="Cheque",BB1432,AZ1432="Dinheiro","Alterar forma pgto")</f>
        <v/>
      </c>
      <c r="BD1432" s="276" t="str" cm="1">
        <f t="array" ref="BD1432">IF(F1432=0," ",IF(BC1432&lt;BB1432,(_xlfn.IFS(AW1432="SIM",SUM(L1432,Q1432,V1432,AA1432,AF1432,AK1432,AP1432,AU1432)+AX1432/_xlfn.XLOOKUP(_xlfn.XLOOKUP($F1432,Clientes!$B$4:$B$39,Clientes!$C$4:$C$39),Cadastros!$L$6:$L$12,Cadastros!$M$6:$M$12)+IF($F1432="Bernardino Furlan",AY1432/2751.92,IF($F1432="Mauro José Salanti",AY1432/2751.92,AY1432/3356)),F1432&lt;&gt;0,SUM(L1432,Q1432,V1432,AA1432,AF1432,AK1432,AP1432,AU1432)))*(1-0.03),_xlfn.IFS(AW1432="SIM",SUM(L1432,Q1432,V1432,AA1432,AF1432,AK1432,AP1432,AU1432)+AX1432/_xlfn.XLOOKUP(_xlfn.XLOOKUP($F1432,Clientes!$B$4:$B$39,Clientes!$C$4:$C$39),Cadastros!$L$6:$L$12,Cadastros!$M$6:$M$12)+IF($F1432="Bernardino Furlan",AY1432/2751.92,IF($F1432="Mauro José Salanti",AY1432/2751.92,AY1432/3356)),F1432&lt;&gt;0,SUM(L1432,Q1432,V1432,AA1432,AF1432,AK1432,AP1432,AU1432))))</f>
        <v xml:space="preserve"> </v>
      </c>
      <c r="BE1432" s="120"/>
      <c r="BF1432" s="120"/>
      <c r="BG1432" s="120"/>
    </row>
    <row r="1433" spans="1:59" s="3" customFormat="1" x14ac:dyDescent="0.3">
      <c r="A1433" s="15" t="str">
        <f t="shared" si="286"/>
        <v/>
      </c>
      <c r="B1433" s="25"/>
      <c r="C1433" s="26"/>
      <c r="D1433" s="279"/>
      <c r="E1433" s="27"/>
      <c r="F1433" s="28"/>
      <c r="G1433" s="27"/>
      <c r="H1433" s="28"/>
      <c r="I1433" s="28"/>
      <c r="J1433" s="255" t="str">
        <f>IF(H1433="","",(_xlfn.XLOOKUP(H1433,Cadastros!$D$6:$D$90,Cadastros!$E$6:$E$90))*(1-_xlfn.XLOOKUP(_xlfn.XLOOKUP($F1433,Clientes!$B$4:$B$39,Clientes!$C$4:$C$39),Cadastros!$L$6:$L$12,Cadastros!$N$6:$N$12)))</f>
        <v/>
      </c>
      <c r="K1433" s="168" t="str">
        <f t="shared" si="287"/>
        <v/>
      </c>
      <c r="L1433" s="168" t="str">
        <f>IFERROR(K1433/_xlfn.XLOOKUP(_xlfn.XLOOKUP($F1433,Clientes!$B$4:$B$39,Clientes!$C$4:$C$39),Cadastros!$L$6:$L$12,Cadastros!$M$6:$M$12)," ")</f>
        <v xml:space="preserve"> </v>
      </c>
      <c r="M1433" s="28"/>
      <c r="N1433" s="28"/>
      <c r="O1433" s="255" t="str">
        <f>IF(M1433="","",(_xlfn.XLOOKUP(M1433,Cadastros!$D$6:$D$90,Cadastros!$E$6:$E$90))*(1-_xlfn.XLOOKUP(_xlfn.XLOOKUP($F1433,Clientes!$B$4:$B$39,Clientes!$C$4:$C$39),Cadastros!$L$6:$L$12,Cadastros!$N$6:$N$12)))</f>
        <v/>
      </c>
      <c r="P1433" s="168" t="str">
        <f t="shared" si="288"/>
        <v/>
      </c>
      <c r="Q1433" s="168" t="str">
        <f>IFERROR(P1433/_xlfn.XLOOKUP(_xlfn.XLOOKUP($F1433,Clientes!$B$4:$B$39,Clientes!$C$4:$C$39),Cadastros!$L$6:$L$12,Cadastros!$M$6:$M$12)," ")</f>
        <v xml:space="preserve"> </v>
      </c>
      <c r="R1433" s="28"/>
      <c r="S1433" s="28"/>
      <c r="T1433" s="255" t="str">
        <f>IF(R1433="","",(_xlfn.XLOOKUP(R1433,Cadastros!$D$6:$D$90,Cadastros!$E$6:$E$90))*(1-_xlfn.XLOOKUP(_xlfn.XLOOKUP($F1433,Clientes!$B$4:$B$39,Clientes!$C$4:$C$39),Cadastros!$L$6:$L$12,Cadastros!$N$6:$N$12)))</f>
        <v/>
      </c>
      <c r="U1433" s="168" t="str">
        <f t="shared" si="289"/>
        <v/>
      </c>
      <c r="V1433" s="168" t="str">
        <f>IFERROR(U1433/_xlfn.XLOOKUP(_xlfn.XLOOKUP($F1433,Clientes!$B$4:$B$39,Clientes!$C$4:$C$39),Cadastros!$L$6:$L$12,Cadastros!$M$6:$M$12)," ")</f>
        <v xml:space="preserve"> </v>
      </c>
      <c r="W1433" s="28"/>
      <c r="X1433" s="28"/>
      <c r="Y1433" s="255" t="str">
        <f>IF(W1433="","",(_xlfn.XLOOKUP(W1433,Cadastros!$D$6:$D$90,Cadastros!$E$6:$E$90))*(1-_xlfn.XLOOKUP(_xlfn.XLOOKUP($F1433,Clientes!$B$4:$B$39,Clientes!$C$4:$C$39),Cadastros!$L$6:$L$12,Cadastros!$N$6:$N$12)))</f>
        <v/>
      </c>
      <c r="Z1433" s="168" t="str">
        <f t="shared" si="290"/>
        <v/>
      </c>
      <c r="AA1433" s="168" t="str">
        <f>IFERROR(Z1433/_xlfn.XLOOKUP(_xlfn.XLOOKUP($F1433,Clientes!$B$4:$B$39,Clientes!$C$4:$C$39),Cadastros!$L$6:$L$12,Cadastros!$M$6:$M$12)," ")</f>
        <v xml:space="preserve"> </v>
      </c>
      <c r="AB1433" s="28"/>
      <c r="AC1433" s="28"/>
      <c r="AD1433" s="20" t="str">
        <f>IF(AB1433="","",IF($F1433="Bernardino Furlan",_xlfn.XLOOKUP(AB1433,Cadastros!$G$6:$G$90,Cadastros!$H$6:$H$90)*(1-0.18),IF($F1433="Mauro José Salanti",_xlfn.XLOOKUP(AB1433,Cadastros!$G$6:$G$90,Cadastros!$H$6:$H$90)*(1-0.18),_xlfn.XLOOKUP(AB1433,Cadastros!$G$6:$G$90,Cadastros!$H$6:$H$90))))</f>
        <v/>
      </c>
      <c r="AE1433" s="168" t="str">
        <f t="shared" si="291"/>
        <v/>
      </c>
      <c r="AF1433" s="168" t="str">
        <f t="shared" si="292"/>
        <v/>
      </c>
      <c r="AG1433" s="28"/>
      <c r="AH1433" s="28"/>
      <c r="AI1433" s="20" t="str">
        <f>IF(AG1433="","",IF($F1433="Bernardino Furlan",_xlfn.XLOOKUP(AG1433,Cadastros!$G$6:$G$90,Cadastros!$H$6:$H$90)*(1-0.18),IF($F1433="Mauro José Salanti",_xlfn.XLOOKUP(AG1433,Cadastros!$G$6:$G$90,Cadastros!$H$6:$H$90)*(1-0.18),_xlfn.XLOOKUP(AG1433,Cadastros!$G$6:$G$90,Cadastros!$H$6:$H$90))))</f>
        <v/>
      </c>
      <c r="AJ1433" s="168" t="str">
        <f t="shared" si="293"/>
        <v/>
      </c>
      <c r="AK1433" s="168" t="str">
        <f t="shared" si="294"/>
        <v/>
      </c>
      <c r="AL1433" s="28"/>
      <c r="AM1433" s="28"/>
      <c r="AN1433" s="20" t="str">
        <f>IF(AL1433="","",IF($F1433="Bernardino Furlan",_xlfn.XLOOKUP(AL1433,Cadastros!$G$6:$G$90,Cadastros!$H$6:$H$90)*(1-0.18),IF($F1433="Mauro José Salanti",_xlfn.XLOOKUP(AL1433,Cadastros!$G$6:$G$90,Cadastros!$H$6:$H$90)*(1-0.18),_xlfn.XLOOKUP(AL1433,Cadastros!$G$6:$G$90,Cadastros!$H$6:$H$90))))</f>
        <v/>
      </c>
      <c r="AO1433" s="168" t="str">
        <f t="shared" si="295"/>
        <v/>
      </c>
      <c r="AP1433" s="168" t="str">
        <f t="shared" si="296"/>
        <v/>
      </c>
      <c r="AQ1433" s="28"/>
      <c r="AR1433" s="28"/>
      <c r="AS1433" s="20" t="str">
        <f>IF(AQ1433="","",IF($F1433="Bernardino Furlan",_xlfn.XLOOKUP(AQ1433,Cadastros!$G$6:$G$90,Cadastros!$H$6:$H$90)*(1-0.18),IF($F1433="Mauro José Salanti",_xlfn.XLOOKUP(AQ1433,Cadastros!$G$6:$G$90,Cadastros!$H$6:$H$90)*(1-0.18),_xlfn.XLOOKUP(AQ1433,Cadastros!$G$6:$G$90,Cadastros!$H$6:$H$90))))</f>
        <v/>
      </c>
      <c r="AT1433" s="168" t="str">
        <f t="shared" si="297"/>
        <v/>
      </c>
      <c r="AU1433" s="168" t="str">
        <f t="shared" si="298"/>
        <v/>
      </c>
      <c r="AV1433" s="227"/>
      <c r="AW1433" s="30"/>
      <c r="AX1433" s="267"/>
      <c r="AY1433" s="267"/>
      <c r="AZ1433" s="29"/>
      <c r="BA1433" s="30"/>
      <c r="BB1433" s="23" t="str" cm="1">
        <f t="array" ref="BB1433">_xlfn.IFS(AW1433="SIM",SUM(K1433,P1433,U1433,Z1433,AE1433,AJ1433,AO1433,AT1433,AX1433,AY1433),F1433&lt;&gt;"",SUM(K1433,P1433,U1433,Z1433,AE1433,AJ1433,,AO1433,AT1433),F1433="","")</f>
        <v/>
      </c>
      <c r="BC1433" s="211" t="str" cm="1">
        <f t="array" ref="BC1433">_xlfn.IFS(E1433="","",G1433&lt;=E1433,BB1433*(1-0.03),G1433&lt;(E1433+8),BB1433,AZ1433="Boleto",BB1433*(1+0.001)^DATEDIF(E1433,G1433,"D"),AZ1433="Cheque",BB1433,AZ1433="Dinheiro","Alterar forma pgto")</f>
        <v/>
      </c>
      <c r="BD1433" s="276" t="str" cm="1">
        <f t="array" ref="BD1433">IF(F1433=0," ",IF(BC1433&lt;BB1433,(_xlfn.IFS(AW1433="SIM",SUM(L1433,Q1433,V1433,AA1433,AF1433,AK1433,AP1433,AU1433)+AX1433/_xlfn.XLOOKUP(_xlfn.XLOOKUP($F1433,Clientes!$B$4:$B$39,Clientes!$C$4:$C$39),Cadastros!$L$6:$L$12,Cadastros!$M$6:$M$12)+IF($F1433="Bernardino Furlan",AY1433/2751.92,IF($F1433="Mauro José Salanti",AY1433/2751.92,AY1433/3356)),F1433&lt;&gt;0,SUM(L1433,Q1433,V1433,AA1433,AF1433,AK1433,AP1433,AU1433)))*(1-0.03),_xlfn.IFS(AW1433="SIM",SUM(L1433,Q1433,V1433,AA1433,AF1433,AK1433,AP1433,AU1433)+AX1433/_xlfn.XLOOKUP(_xlfn.XLOOKUP($F1433,Clientes!$B$4:$B$39,Clientes!$C$4:$C$39),Cadastros!$L$6:$L$12,Cadastros!$M$6:$M$12)+IF($F1433="Bernardino Furlan",AY1433/2751.92,IF($F1433="Mauro José Salanti",AY1433/2751.92,AY1433/3356)),F1433&lt;&gt;0,SUM(L1433,Q1433,V1433,AA1433,AF1433,AK1433,AP1433,AU1433))))</f>
        <v xml:space="preserve"> </v>
      </c>
      <c r="BE1433" s="120"/>
      <c r="BF1433" s="120"/>
      <c r="BG1433" s="120"/>
    </row>
    <row r="1434" spans="1:59" s="3" customFormat="1" x14ac:dyDescent="0.3">
      <c r="A1434" s="15" t="str">
        <f t="shared" si="286"/>
        <v/>
      </c>
      <c r="B1434" s="25"/>
      <c r="C1434" s="26"/>
      <c r="D1434" s="279"/>
      <c r="E1434" s="27"/>
      <c r="F1434" s="28"/>
      <c r="G1434" s="27"/>
      <c r="H1434" s="28"/>
      <c r="I1434" s="28"/>
      <c r="J1434" s="255" t="str">
        <f>IF(H1434="","",(_xlfn.XLOOKUP(H1434,Cadastros!$D$6:$D$90,Cadastros!$E$6:$E$90))*(1-_xlfn.XLOOKUP(_xlfn.XLOOKUP($F1434,Clientes!$B$4:$B$39,Clientes!$C$4:$C$39),Cadastros!$L$6:$L$12,Cadastros!$N$6:$N$12)))</f>
        <v/>
      </c>
      <c r="K1434" s="168" t="str">
        <f t="shared" si="287"/>
        <v/>
      </c>
      <c r="L1434" s="168" t="str">
        <f>IFERROR(K1434/_xlfn.XLOOKUP(_xlfn.XLOOKUP($F1434,Clientes!$B$4:$B$39,Clientes!$C$4:$C$39),Cadastros!$L$6:$L$12,Cadastros!$M$6:$M$12)," ")</f>
        <v xml:space="preserve"> </v>
      </c>
      <c r="M1434" s="28"/>
      <c r="N1434" s="28"/>
      <c r="O1434" s="255" t="str">
        <f>IF(M1434="","",(_xlfn.XLOOKUP(M1434,Cadastros!$D$6:$D$90,Cadastros!$E$6:$E$90))*(1-_xlfn.XLOOKUP(_xlfn.XLOOKUP($F1434,Clientes!$B$4:$B$39,Clientes!$C$4:$C$39),Cadastros!$L$6:$L$12,Cadastros!$N$6:$N$12)))</f>
        <v/>
      </c>
      <c r="P1434" s="168" t="str">
        <f t="shared" si="288"/>
        <v/>
      </c>
      <c r="Q1434" s="168" t="str">
        <f>IFERROR(P1434/_xlfn.XLOOKUP(_xlfn.XLOOKUP($F1434,Clientes!$B$4:$B$39,Clientes!$C$4:$C$39),Cadastros!$L$6:$L$12,Cadastros!$M$6:$M$12)," ")</f>
        <v xml:space="preserve"> </v>
      </c>
      <c r="R1434" s="28"/>
      <c r="S1434" s="28"/>
      <c r="T1434" s="255" t="str">
        <f>IF(R1434="","",(_xlfn.XLOOKUP(R1434,Cadastros!$D$6:$D$90,Cadastros!$E$6:$E$90))*(1-_xlfn.XLOOKUP(_xlfn.XLOOKUP($F1434,Clientes!$B$4:$B$39,Clientes!$C$4:$C$39),Cadastros!$L$6:$L$12,Cadastros!$N$6:$N$12)))</f>
        <v/>
      </c>
      <c r="U1434" s="168" t="str">
        <f t="shared" si="289"/>
        <v/>
      </c>
      <c r="V1434" s="168" t="str">
        <f>IFERROR(U1434/_xlfn.XLOOKUP(_xlfn.XLOOKUP($F1434,Clientes!$B$4:$B$39,Clientes!$C$4:$C$39),Cadastros!$L$6:$L$12,Cadastros!$M$6:$M$12)," ")</f>
        <v xml:space="preserve"> </v>
      </c>
      <c r="W1434" s="28"/>
      <c r="X1434" s="28"/>
      <c r="Y1434" s="255" t="str">
        <f>IF(W1434="","",(_xlfn.XLOOKUP(W1434,Cadastros!$D$6:$D$90,Cadastros!$E$6:$E$90))*(1-_xlfn.XLOOKUP(_xlfn.XLOOKUP($F1434,Clientes!$B$4:$B$39,Clientes!$C$4:$C$39),Cadastros!$L$6:$L$12,Cadastros!$N$6:$N$12)))</f>
        <v/>
      </c>
      <c r="Z1434" s="168" t="str">
        <f t="shared" si="290"/>
        <v/>
      </c>
      <c r="AA1434" s="168" t="str">
        <f>IFERROR(Z1434/_xlfn.XLOOKUP(_xlfn.XLOOKUP($F1434,Clientes!$B$4:$B$39,Clientes!$C$4:$C$39),Cadastros!$L$6:$L$12,Cadastros!$M$6:$M$12)," ")</f>
        <v xml:space="preserve"> </v>
      </c>
      <c r="AB1434" s="28"/>
      <c r="AC1434" s="28"/>
      <c r="AD1434" s="20" t="str">
        <f>IF(AB1434="","",IF($F1434="Bernardino Furlan",_xlfn.XLOOKUP(AB1434,Cadastros!$G$6:$G$90,Cadastros!$H$6:$H$90)*(1-0.18),IF($F1434="Mauro José Salanti",_xlfn.XLOOKUP(AB1434,Cadastros!$G$6:$G$90,Cadastros!$H$6:$H$90)*(1-0.18),_xlfn.XLOOKUP(AB1434,Cadastros!$G$6:$G$90,Cadastros!$H$6:$H$90))))</f>
        <v/>
      </c>
      <c r="AE1434" s="168" t="str">
        <f t="shared" si="291"/>
        <v/>
      </c>
      <c r="AF1434" s="168" t="str">
        <f t="shared" si="292"/>
        <v/>
      </c>
      <c r="AG1434" s="28"/>
      <c r="AH1434" s="28"/>
      <c r="AI1434" s="20" t="str">
        <f>IF(AG1434="","",IF($F1434="Bernardino Furlan",_xlfn.XLOOKUP(AG1434,Cadastros!$G$6:$G$90,Cadastros!$H$6:$H$90)*(1-0.18),IF($F1434="Mauro José Salanti",_xlfn.XLOOKUP(AG1434,Cadastros!$G$6:$G$90,Cadastros!$H$6:$H$90)*(1-0.18),_xlfn.XLOOKUP(AG1434,Cadastros!$G$6:$G$90,Cadastros!$H$6:$H$90))))</f>
        <v/>
      </c>
      <c r="AJ1434" s="168" t="str">
        <f t="shared" si="293"/>
        <v/>
      </c>
      <c r="AK1434" s="168" t="str">
        <f t="shared" si="294"/>
        <v/>
      </c>
      <c r="AL1434" s="28"/>
      <c r="AM1434" s="28"/>
      <c r="AN1434" s="20" t="str">
        <f>IF(AL1434="","",IF($F1434="Bernardino Furlan",_xlfn.XLOOKUP(AL1434,Cadastros!$G$6:$G$90,Cadastros!$H$6:$H$90)*(1-0.18),IF($F1434="Mauro José Salanti",_xlfn.XLOOKUP(AL1434,Cadastros!$G$6:$G$90,Cadastros!$H$6:$H$90)*(1-0.18),_xlfn.XLOOKUP(AL1434,Cadastros!$G$6:$G$90,Cadastros!$H$6:$H$90))))</f>
        <v/>
      </c>
      <c r="AO1434" s="168" t="str">
        <f t="shared" si="295"/>
        <v/>
      </c>
      <c r="AP1434" s="168" t="str">
        <f t="shared" si="296"/>
        <v/>
      </c>
      <c r="AQ1434" s="28"/>
      <c r="AR1434" s="28"/>
      <c r="AS1434" s="20" t="str">
        <f>IF(AQ1434="","",IF($F1434="Bernardino Furlan",_xlfn.XLOOKUP(AQ1434,Cadastros!$G$6:$G$90,Cadastros!$H$6:$H$90)*(1-0.18),IF($F1434="Mauro José Salanti",_xlfn.XLOOKUP(AQ1434,Cadastros!$G$6:$G$90,Cadastros!$H$6:$H$90)*(1-0.18),_xlfn.XLOOKUP(AQ1434,Cadastros!$G$6:$G$90,Cadastros!$H$6:$H$90))))</f>
        <v/>
      </c>
      <c r="AT1434" s="168" t="str">
        <f t="shared" si="297"/>
        <v/>
      </c>
      <c r="AU1434" s="168" t="str">
        <f t="shared" si="298"/>
        <v/>
      </c>
      <c r="AV1434" s="227"/>
      <c r="AW1434" s="30"/>
      <c r="AX1434" s="267"/>
      <c r="AY1434" s="267"/>
      <c r="AZ1434" s="29"/>
      <c r="BA1434" s="30"/>
      <c r="BB1434" s="23" t="str" cm="1">
        <f t="array" ref="BB1434">_xlfn.IFS(AW1434="SIM",SUM(K1434,P1434,U1434,Z1434,AE1434,AJ1434,AO1434,AT1434,AX1434,AY1434),F1434&lt;&gt;"",SUM(K1434,P1434,U1434,Z1434,AE1434,AJ1434,,AO1434,AT1434),F1434="","")</f>
        <v/>
      </c>
      <c r="BC1434" s="211" t="str" cm="1">
        <f t="array" ref="BC1434">_xlfn.IFS(E1434="","",G1434&lt;=E1434,BB1434*(1-0.03),G1434&lt;(E1434+8),BB1434,AZ1434="Boleto",BB1434*(1+0.001)^DATEDIF(E1434,G1434,"D"),AZ1434="Cheque",BB1434,AZ1434="Dinheiro","Alterar forma pgto")</f>
        <v/>
      </c>
      <c r="BD1434" s="276" t="str" cm="1">
        <f t="array" ref="BD1434">IF(F1434=0," ",IF(BC1434&lt;BB1434,(_xlfn.IFS(AW1434="SIM",SUM(L1434,Q1434,V1434,AA1434,AF1434,AK1434,AP1434,AU1434)+AX1434/_xlfn.XLOOKUP(_xlfn.XLOOKUP($F1434,Clientes!$B$4:$B$39,Clientes!$C$4:$C$39),Cadastros!$L$6:$L$12,Cadastros!$M$6:$M$12)+IF($F1434="Bernardino Furlan",AY1434/2751.92,IF($F1434="Mauro José Salanti",AY1434/2751.92,AY1434/3356)),F1434&lt;&gt;0,SUM(L1434,Q1434,V1434,AA1434,AF1434,AK1434,AP1434,AU1434)))*(1-0.03),_xlfn.IFS(AW1434="SIM",SUM(L1434,Q1434,V1434,AA1434,AF1434,AK1434,AP1434,AU1434)+AX1434/_xlfn.XLOOKUP(_xlfn.XLOOKUP($F1434,Clientes!$B$4:$B$39,Clientes!$C$4:$C$39),Cadastros!$L$6:$L$12,Cadastros!$M$6:$M$12)+IF($F1434="Bernardino Furlan",AY1434/2751.92,IF($F1434="Mauro José Salanti",AY1434/2751.92,AY1434/3356)),F1434&lt;&gt;0,SUM(L1434,Q1434,V1434,AA1434,AF1434,AK1434,AP1434,AU1434))))</f>
        <v xml:space="preserve"> </v>
      </c>
      <c r="BE1434" s="120"/>
      <c r="BF1434" s="120"/>
      <c r="BG1434" s="120"/>
    </row>
    <row r="1435" spans="1:59" s="3" customFormat="1" x14ac:dyDescent="0.3">
      <c r="A1435" s="15" t="str">
        <f t="shared" si="286"/>
        <v/>
      </c>
      <c r="B1435" s="25"/>
      <c r="C1435" s="26"/>
      <c r="D1435" s="279"/>
      <c r="E1435" s="27"/>
      <c r="F1435" s="28"/>
      <c r="G1435" s="27"/>
      <c r="H1435" s="28"/>
      <c r="I1435" s="28"/>
      <c r="J1435" s="255" t="str">
        <f>IF(H1435="","",(_xlfn.XLOOKUP(H1435,Cadastros!$D$6:$D$90,Cadastros!$E$6:$E$90))*(1-_xlfn.XLOOKUP(_xlfn.XLOOKUP($F1435,Clientes!$B$4:$B$39,Clientes!$C$4:$C$39),Cadastros!$L$6:$L$12,Cadastros!$N$6:$N$12)))</f>
        <v/>
      </c>
      <c r="K1435" s="168" t="str">
        <f t="shared" si="287"/>
        <v/>
      </c>
      <c r="L1435" s="168" t="str">
        <f>IFERROR(K1435/_xlfn.XLOOKUP(_xlfn.XLOOKUP($F1435,Clientes!$B$4:$B$39,Clientes!$C$4:$C$39),Cadastros!$L$6:$L$12,Cadastros!$M$6:$M$12)," ")</f>
        <v xml:space="preserve"> </v>
      </c>
      <c r="M1435" s="28"/>
      <c r="N1435" s="28"/>
      <c r="O1435" s="255" t="str">
        <f>IF(M1435="","",(_xlfn.XLOOKUP(M1435,Cadastros!$D$6:$D$90,Cadastros!$E$6:$E$90))*(1-_xlfn.XLOOKUP(_xlfn.XLOOKUP($F1435,Clientes!$B$4:$B$39,Clientes!$C$4:$C$39),Cadastros!$L$6:$L$12,Cadastros!$N$6:$N$12)))</f>
        <v/>
      </c>
      <c r="P1435" s="168" t="str">
        <f t="shared" si="288"/>
        <v/>
      </c>
      <c r="Q1435" s="168" t="str">
        <f>IFERROR(P1435/_xlfn.XLOOKUP(_xlfn.XLOOKUP($F1435,Clientes!$B$4:$B$39,Clientes!$C$4:$C$39),Cadastros!$L$6:$L$12,Cadastros!$M$6:$M$12)," ")</f>
        <v xml:space="preserve"> </v>
      </c>
      <c r="R1435" s="28"/>
      <c r="S1435" s="28"/>
      <c r="T1435" s="255" t="str">
        <f>IF(R1435="","",(_xlfn.XLOOKUP(R1435,Cadastros!$D$6:$D$90,Cadastros!$E$6:$E$90))*(1-_xlfn.XLOOKUP(_xlfn.XLOOKUP($F1435,Clientes!$B$4:$B$39,Clientes!$C$4:$C$39),Cadastros!$L$6:$L$12,Cadastros!$N$6:$N$12)))</f>
        <v/>
      </c>
      <c r="U1435" s="168" t="str">
        <f t="shared" si="289"/>
        <v/>
      </c>
      <c r="V1435" s="168" t="str">
        <f>IFERROR(U1435/_xlfn.XLOOKUP(_xlfn.XLOOKUP($F1435,Clientes!$B$4:$B$39,Clientes!$C$4:$C$39),Cadastros!$L$6:$L$12,Cadastros!$M$6:$M$12)," ")</f>
        <v xml:space="preserve"> </v>
      </c>
      <c r="W1435" s="28"/>
      <c r="X1435" s="28"/>
      <c r="Y1435" s="255" t="str">
        <f>IF(W1435="","",(_xlfn.XLOOKUP(W1435,Cadastros!$D$6:$D$90,Cadastros!$E$6:$E$90))*(1-_xlfn.XLOOKUP(_xlfn.XLOOKUP($F1435,Clientes!$B$4:$B$39,Clientes!$C$4:$C$39),Cadastros!$L$6:$L$12,Cadastros!$N$6:$N$12)))</f>
        <v/>
      </c>
      <c r="Z1435" s="168" t="str">
        <f t="shared" si="290"/>
        <v/>
      </c>
      <c r="AA1435" s="168" t="str">
        <f>IFERROR(Z1435/_xlfn.XLOOKUP(_xlfn.XLOOKUP($F1435,Clientes!$B$4:$B$39,Clientes!$C$4:$C$39),Cadastros!$L$6:$L$12,Cadastros!$M$6:$M$12)," ")</f>
        <v xml:space="preserve"> </v>
      </c>
      <c r="AB1435" s="28"/>
      <c r="AC1435" s="28"/>
      <c r="AD1435" s="20" t="str">
        <f>IF(AB1435="","",IF($F1435="Bernardino Furlan",_xlfn.XLOOKUP(AB1435,Cadastros!$G$6:$G$90,Cadastros!$H$6:$H$90)*(1-0.18),IF($F1435="Mauro José Salanti",_xlfn.XLOOKUP(AB1435,Cadastros!$G$6:$G$90,Cadastros!$H$6:$H$90)*(1-0.18),_xlfn.XLOOKUP(AB1435,Cadastros!$G$6:$G$90,Cadastros!$H$6:$H$90))))</f>
        <v/>
      </c>
      <c r="AE1435" s="168" t="str">
        <f t="shared" si="291"/>
        <v/>
      </c>
      <c r="AF1435" s="168" t="str">
        <f t="shared" si="292"/>
        <v/>
      </c>
      <c r="AG1435" s="28"/>
      <c r="AH1435" s="28"/>
      <c r="AI1435" s="20" t="str">
        <f>IF(AG1435="","",IF($F1435="Bernardino Furlan",_xlfn.XLOOKUP(AG1435,Cadastros!$G$6:$G$90,Cadastros!$H$6:$H$90)*(1-0.18),IF($F1435="Mauro José Salanti",_xlfn.XLOOKUP(AG1435,Cadastros!$G$6:$G$90,Cadastros!$H$6:$H$90)*(1-0.18),_xlfn.XLOOKUP(AG1435,Cadastros!$G$6:$G$90,Cadastros!$H$6:$H$90))))</f>
        <v/>
      </c>
      <c r="AJ1435" s="168" t="str">
        <f t="shared" si="293"/>
        <v/>
      </c>
      <c r="AK1435" s="168" t="str">
        <f t="shared" si="294"/>
        <v/>
      </c>
      <c r="AL1435" s="28"/>
      <c r="AM1435" s="28"/>
      <c r="AN1435" s="20" t="str">
        <f>IF(AL1435="","",IF($F1435="Bernardino Furlan",_xlfn.XLOOKUP(AL1435,Cadastros!$G$6:$G$90,Cadastros!$H$6:$H$90)*(1-0.18),IF($F1435="Mauro José Salanti",_xlfn.XLOOKUP(AL1435,Cadastros!$G$6:$G$90,Cadastros!$H$6:$H$90)*(1-0.18),_xlfn.XLOOKUP(AL1435,Cadastros!$G$6:$G$90,Cadastros!$H$6:$H$90))))</f>
        <v/>
      </c>
      <c r="AO1435" s="168" t="str">
        <f t="shared" si="295"/>
        <v/>
      </c>
      <c r="AP1435" s="168" t="str">
        <f t="shared" si="296"/>
        <v/>
      </c>
      <c r="AQ1435" s="28"/>
      <c r="AR1435" s="28"/>
      <c r="AS1435" s="20" t="str">
        <f>IF(AQ1435="","",IF($F1435="Bernardino Furlan",_xlfn.XLOOKUP(AQ1435,Cadastros!$G$6:$G$90,Cadastros!$H$6:$H$90)*(1-0.18),IF($F1435="Mauro José Salanti",_xlfn.XLOOKUP(AQ1435,Cadastros!$G$6:$G$90,Cadastros!$H$6:$H$90)*(1-0.18),_xlfn.XLOOKUP(AQ1435,Cadastros!$G$6:$G$90,Cadastros!$H$6:$H$90))))</f>
        <v/>
      </c>
      <c r="AT1435" s="168" t="str">
        <f t="shared" si="297"/>
        <v/>
      </c>
      <c r="AU1435" s="168" t="str">
        <f t="shared" si="298"/>
        <v/>
      </c>
      <c r="AV1435" s="227"/>
      <c r="AW1435" s="30"/>
      <c r="AX1435" s="267"/>
      <c r="AY1435" s="267"/>
      <c r="AZ1435" s="29"/>
      <c r="BA1435" s="30"/>
      <c r="BB1435" s="23" t="str" cm="1">
        <f t="array" ref="BB1435">_xlfn.IFS(AW1435="SIM",SUM(K1435,P1435,U1435,Z1435,AE1435,AJ1435,AO1435,AT1435,AX1435,AY1435),F1435&lt;&gt;"",SUM(K1435,P1435,U1435,Z1435,AE1435,AJ1435,,AO1435,AT1435),F1435="","")</f>
        <v/>
      </c>
      <c r="BC1435" s="211" t="str" cm="1">
        <f t="array" ref="BC1435">_xlfn.IFS(E1435="","",G1435&lt;=E1435,BB1435*(1-0.03),G1435&lt;(E1435+8),BB1435,AZ1435="Boleto",BB1435*(1+0.001)^DATEDIF(E1435,G1435,"D"),AZ1435="Cheque",BB1435,AZ1435="Dinheiro","Alterar forma pgto")</f>
        <v/>
      </c>
      <c r="BD1435" s="276" t="str" cm="1">
        <f t="array" ref="BD1435">IF(F1435=0," ",IF(BC1435&lt;BB1435,(_xlfn.IFS(AW1435="SIM",SUM(L1435,Q1435,V1435,AA1435,AF1435,AK1435,AP1435,AU1435)+AX1435/_xlfn.XLOOKUP(_xlfn.XLOOKUP($F1435,Clientes!$B$4:$B$39,Clientes!$C$4:$C$39),Cadastros!$L$6:$L$12,Cadastros!$M$6:$M$12)+IF($F1435="Bernardino Furlan",AY1435/2751.92,IF($F1435="Mauro José Salanti",AY1435/2751.92,AY1435/3356)),F1435&lt;&gt;0,SUM(L1435,Q1435,V1435,AA1435,AF1435,AK1435,AP1435,AU1435)))*(1-0.03),_xlfn.IFS(AW1435="SIM",SUM(L1435,Q1435,V1435,AA1435,AF1435,AK1435,AP1435,AU1435)+AX1435/_xlfn.XLOOKUP(_xlfn.XLOOKUP($F1435,Clientes!$B$4:$B$39,Clientes!$C$4:$C$39),Cadastros!$L$6:$L$12,Cadastros!$M$6:$M$12)+IF($F1435="Bernardino Furlan",AY1435/2751.92,IF($F1435="Mauro José Salanti",AY1435/2751.92,AY1435/3356)),F1435&lt;&gt;0,SUM(L1435,Q1435,V1435,AA1435,AF1435,AK1435,AP1435,AU1435))))</f>
        <v xml:space="preserve"> </v>
      </c>
      <c r="BE1435" s="120"/>
      <c r="BF1435" s="120"/>
      <c r="BG1435" s="120"/>
    </row>
    <row r="1436" spans="1:59" s="3" customFormat="1" x14ac:dyDescent="0.3">
      <c r="A1436" s="15" t="str">
        <f t="shared" si="286"/>
        <v/>
      </c>
      <c r="B1436" s="25"/>
      <c r="C1436" s="26"/>
      <c r="D1436" s="279"/>
      <c r="E1436" s="27"/>
      <c r="F1436" s="28"/>
      <c r="G1436" s="27"/>
      <c r="H1436" s="28"/>
      <c r="I1436" s="28"/>
      <c r="J1436" s="255" t="str">
        <f>IF(H1436="","",(_xlfn.XLOOKUP(H1436,Cadastros!$D$6:$D$90,Cadastros!$E$6:$E$90))*(1-_xlfn.XLOOKUP(_xlfn.XLOOKUP($F1436,Clientes!$B$4:$B$39,Clientes!$C$4:$C$39),Cadastros!$L$6:$L$12,Cadastros!$N$6:$N$12)))</f>
        <v/>
      </c>
      <c r="K1436" s="168" t="str">
        <f t="shared" si="287"/>
        <v/>
      </c>
      <c r="L1436" s="168" t="str">
        <f>IFERROR(K1436/_xlfn.XLOOKUP(_xlfn.XLOOKUP($F1436,Clientes!$B$4:$B$39,Clientes!$C$4:$C$39),Cadastros!$L$6:$L$12,Cadastros!$M$6:$M$12)," ")</f>
        <v xml:space="preserve"> </v>
      </c>
      <c r="M1436" s="28"/>
      <c r="N1436" s="28"/>
      <c r="O1436" s="255" t="str">
        <f>IF(M1436="","",(_xlfn.XLOOKUP(M1436,Cadastros!$D$6:$D$90,Cadastros!$E$6:$E$90))*(1-_xlfn.XLOOKUP(_xlfn.XLOOKUP($F1436,Clientes!$B$4:$B$39,Clientes!$C$4:$C$39),Cadastros!$L$6:$L$12,Cadastros!$N$6:$N$12)))</f>
        <v/>
      </c>
      <c r="P1436" s="168" t="str">
        <f t="shared" si="288"/>
        <v/>
      </c>
      <c r="Q1436" s="168" t="str">
        <f>IFERROR(P1436/_xlfn.XLOOKUP(_xlfn.XLOOKUP($F1436,Clientes!$B$4:$B$39,Clientes!$C$4:$C$39),Cadastros!$L$6:$L$12,Cadastros!$M$6:$M$12)," ")</f>
        <v xml:space="preserve"> </v>
      </c>
      <c r="R1436" s="28"/>
      <c r="S1436" s="28"/>
      <c r="T1436" s="255" t="str">
        <f>IF(R1436="","",(_xlfn.XLOOKUP(R1436,Cadastros!$D$6:$D$90,Cadastros!$E$6:$E$90))*(1-_xlfn.XLOOKUP(_xlfn.XLOOKUP($F1436,Clientes!$B$4:$B$39,Clientes!$C$4:$C$39),Cadastros!$L$6:$L$12,Cadastros!$N$6:$N$12)))</f>
        <v/>
      </c>
      <c r="U1436" s="168" t="str">
        <f t="shared" si="289"/>
        <v/>
      </c>
      <c r="V1436" s="168" t="str">
        <f>IFERROR(U1436/_xlfn.XLOOKUP(_xlfn.XLOOKUP($F1436,Clientes!$B$4:$B$39,Clientes!$C$4:$C$39),Cadastros!$L$6:$L$12,Cadastros!$M$6:$M$12)," ")</f>
        <v xml:space="preserve"> </v>
      </c>
      <c r="W1436" s="28"/>
      <c r="X1436" s="28"/>
      <c r="Y1436" s="255" t="str">
        <f>IF(W1436="","",(_xlfn.XLOOKUP(W1436,Cadastros!$D$6:$D$90,Cadastros!$E$6:$E$90))*(1-_xlfn.XLOOKUP(_xlfn.XLOOKUP($F1436,Clientes!$B$4:$B$39,Clientes!$C$4:$C$39),Cadastros!$L$6:$L$12,Cadastros!$N$6:$N$12)))</f>
        <v/>
      </c>
      <c r="Z1436" s="168" t="str">
        <f t="shared" si="290"/>
        <v/>
      </c>
      <c r="AA1436" s="168" t="str">
        <f>IFERROR(Z1436/_xlfn.XLOOKUP(_xlfn.XLOOKUP($F1436,Clientes!$B$4:$B$39,Clientes!$C$4:$C$39),Cadastros!$L$6:$L$12,Cadastros!$M$6:$M$12)," ")</f>
        <v xml:space="preserve"> </v>
      </c>
      <c r="AB1436" s="28"/>
      <c r="AC1436" s="28"/>
      <c r="AD1436" s="20" t="str">
        <f>IF(AB1436="","",IF($F1436="Bernardino Furlan",_xlfn.XLOOKUP(AB1436,Cadastros!$G$6:$G$90,Cadastros!$H$6:$H$90)*(1-0.18),IF($F1436="Mauro José Salanti",_xlfn.XLOOKUP(AB1436,Cadastros!$G$6:$G$90,Cadastros!$H$6:$H$90)*(1-0.18),_xlfn.XLOOKUP(AB1436,Cadastros!$G$6:$G$90,Cadastros!$H$6:$H$90))))</f>
        <v/>
      </c>
      <c r="AE1436" s="168" t="str">
        <f t="shared" si="291"/>
        <v/>
      </c>
      <c r="AF1436" s="168" t="str">
        <f t="shared" si="292"/>
        <v/>
      </c>
      <c r="AG1436" s="28"/>
      <c r="AH1436" s="28"/>
      <c r="AI1436" s="20" t="str">
        <f>IF(AG1436="","",IF($F1436="Bernardino Furlan",_xlfn.XLOOKUP(AG1436,Cadastros!$G$6:$G$90,Cadastros!$H$6:$H$90)*(1-0.18),IF($F1436="Mauro José Salanti",_xlfn.XLOOKUP(AG1436,Cadastros!$G$6:$G$90,Cadastros!$H$6:$H$90)*(1-0.18),_xlfn.XLOOKUP(AG1436,Cadastros!$G$6:$G$90,Cadastros!$H$6:$H$90))))</f>
        <v/>
      </c>
      <c r="AJ1436" s="168" t="str">
        <f t="shared" si="293"/>
        <v/>
      </c>
      <c r="AK1436" s="168" t="str">
        <f t="shared" si="294"/>
        <v/>
      </c>
      <c r="AL1436" s="28"/>
      <c r="AM1436" s="28"/>
      <c r="AN1436" s="20" t="str">
        <f>IF(AL1436="","",IF($F1436="Bernardino Furlan",_xlfn.XLOOKUP(AL1436,Cadastros!$G$6:$G$90,Cadastros!$H$6:$H$90)*(1-0.18),IF($F1436="Mauro José Salanti",_xlfn.XLOOKUP(AL1436,Cadastros!$G$6:$G$90,Cadastros!$H$6:$H$90)*(1-0.18),_xlfn.XLOOKUP(AL1436,Cadastros!$G$6:$G$90,Cadastros!$H$6:$H$90))))</f>
        <v/>
      </c>
      <c r="AO1436" s="168" t="str">
        <f t="shared" si="295"/>
        <v/>
      </c>
      <c r="AP1436" s="168" t="str">
        <f t="shared" si="296"/>
        <v/>
      </c>
      <c r="AQ1436" s="28"/>
      <c r="AR1436" s="28"/>
      <c r="AS1436" s="20" t="str">
        <f>IF(AQ1436="","",IF($F1436="Bernardino Furlan",_xlfn.XLOOKUP(AQ1436,Cadastros!$G$6:$G$90,Cadastros!$H$6:$H$90)*(1-0.18),IF($F1436="Mauro José Salanti",_xlfn.XLOOKUP(AQ1436,Cadastros!$G$6:$G$90,Cadastros!$H$6:$H$90)*(1-0.18),_xlfn.XLOOKUP(AQ1436,Cadastros!$G$6:$G$90,Cadastros!$H$6:$H$90))))</f>
        <v/>
      </c>
      <c r="AT1436" s="168" t="str">
        <f t="shared" si="297"/>
        <v/>
      </c>
      <c r="AU1436" s="168" t="str">
        <f t="shared" si="298"/>
        <v/>
      </c>
      <c r="AV1436" s="227"/>
      <c r="AW1436" s="30"/>
      <c r="AX1436" s="267"/>
      <c r="AY1436" s="267"/>
      <c r="AZ1436" s="29"/>
      <c r="BA1436" s="30"/>
      <c r="BB1436" s="23" t="str" cm="1">
        <f t="array" ref="BB1436">_xlfn.IFS(AW1436="SIM",SUM(K1436,P1436,U1436,Z1436,AE1436,AJ1436,AO1436,AT1436,AX1436,AY1436),F1436&lt;&gt;"",SUM(K1436,P1436,U1436,Z1436,AE1436,AJ1436,,AO1436,AT1436),F1436="","")</f>
        <v/>
      </c>
      <c r="BC1436" s="211" t="str" cm="1">
        <f t="array" ref="BC1436">_xlfn.IFS(E1436="","",G1436&lt;=E1436,BB1436*(1-0.03),G1436&lt;(E1436+8),BB1436,AZ1436="Boleto",BB1436*(1+0.001)^DATEDIF(E1436,G1436,"D"),AZ1436="Cheque",BB1436,AZ1436="Dinheiro","Alterar forma pgto")</f>
        <v/>
      </c>
      <c r="BD1436" s="276" t="str" cm="1">
        <f t="array" ref="BD1436">IF(F1436=0," ",IF(BC1436&lt;BB1436,(_xlfn.IFS(AW1436="SIM",SUM(L1436,Q1436,V1436,AA1436,AF1436,AK1436,AP1436,AU1436)+AX1436/_xlfn.XLOOKUP(_xlfn.XLOOKUP($F1436,Clientes!$B$4:$B$39,Clientes!$C$4:$C$39),Cadastros!$L$6:$L$12,Cadastros!$M$6:$M$12)+IF($F1436="Bernardino Furlan",AY1436/2751.92,IF($F1436="Mauro José Salanti",AY1436/2751.92,AY1436/3356)),F1436&lt;&gt;0,SUM(L1436,Q1436,V1436,AA1436,AF1436,AK1436,AP1436,AU1436)))*(1-0.03),_xlfn.IFS(AW1436="SIM",SUM(L1436,Q1436,V1436,AA1436,AF1436,AK1436,AP1436,AU1436)+AX1436/_xlfn.XLOOKUP(_xlfn.XLOOKUP($F1436,Clientes!$B$4:$B$39,Clientes!$C$4:$C$39),Cadastros!$L$6:$L$12,Cadastros!$M$6:$M$12)+IF($F1436="Bernardino Furlan",AY1436/2751.92,IF($F1436="Mauro José Salanti",AY1436/2751.92,AY1436/3356)),F1436&lt;&gt;0,SUM(L1436,Q1436,V1436,AA1436,AF1436,AK1436,AP1436,AU1436))))</f>
        <v xml:space="preserve"> </v>
      </c>
      <c r="BE1436" s="120"/>
      <c r="BF1436" s="120"/>
      <c r="BG1436" s="120"/>
    </row>
    <row r="1437" spans="1:59" s="3" customFormat="1" x14ac:dyDescent="0.3">
      <c r="A1437" s="15" t="str">
        <f t="shared" si="286"/>
        <v/>
      </c>
      <c r="B1437" s="25"/>
      <c r="C1437" s="26"/>
      <c r="D1437" s="279"/>
      <c r="E1437" s="27"/>
      <c r="F1437" s="28"/>
      <c r="G1437" s="27"/>
      <c r="H1437" s="28"/>
      <c r="I1437" s="28"/>
      <c r="J1437" s="255" t="str">
        <f>IF(H1437="","",(_xlfn.XLOOKUP(H1437,Cadastros!$D$6:$D$90,Cadastros!$E$6:$E$90))*(1-_xlfn.XLOOKUP(_xlfn.XLOOKUP($F1437,Clientes!$B$4:$B$39,Clientes!$C$4:$C$39),Cadastros!$L$6:$L$12,Cadastros!$N$6:$N$12)))</f>
        <v/>
      </c>
      <c r="K1437" s="168" t="str">
        <f t="shared" si="287"/>
        <v/>
      </c>
      <c r="L1437" s="168" t="str">
        <f>IFERROR(K1437/_xlfn.XLOOKUP(_xlfn.XLOOKUP($F1437,Clientes!$B$4:$B$39,Clientes!$C$4:$C$39),Cadastros!$L$6:$L$12,Cadastros!$M$6:$M$12)," ")</f>
        <v xml:space="preserve"> </v>
      </c>
      <c r="M1437" s="28"/>
      <c r="N1437" s="28"/>
      <c r="O1437" s="255" t="str">
        <f>IF(M1437="","",(_xlfn.XLOOKUP(M1437,Cadastros!$D$6:$D$90,Cadastros!$E$6:$E$90))*(1-_xlfn.XLOOKUP(_xlfn.XLOOKUP($F1437,Clientes!$B$4:$B$39,Clientes!$C$4:$C$39),Cadastros!$L$6:$L$12,Cadastros!$N$6:$N$12)))</f>
        <v/>
      </c>
      <c r="P1437" s="168" t="str">
        <f t="shared" si="288"/>
        <v/>
      </c>
      <c r="Q1437" s="168" t="str">
        <f>IFERROR(P1437/_xlfn.XLOOKUP(_xlfn.XLOOKUP($F1437,Clientes!$B$4:$B$39,Clientes!$C$4:$C$39),Cadastros!$L$6:$L$12,Cadastros!$M$6:$M$12)," ")</f>
        <v xml:space="preserve"> </v>
      </c>
      <c r="R1437" s="28"/>
      <c r="S1437" s="28"/>
      <c r="T1437" s="255" t="str">
        <f>IF(R1437="","",(_xlfn.XLOOKUP(R1437,Cadastros!$D$6:$D$90,Cadastros!$E$6:$E$90))*(1-_xlfn.XLOOKUP(_xlfn.XLOOKUP($F1437,Clientes!$B$4:$B$39,Clientes!$C$4:$C$39),Cadastros!$L$6:$L$12,Cadastros!$N$6:$N$12)))</f>
        <v/>
      </c>
      <c r="U1437" s="168" t="str">
        <f t="shared" si="289"/>
        <v/>
      </c>
      <c r="V1437" s="168" t="str">
        <f>IFERROR(U1437/_xlfn.XLOOKUP(_xlfn.XLOOKUP($F1437,Clientes!$B$4:$B$39,Clientes!$C$4:$C$39),Cadastros!$L$6:$L$12,Cadastros!$M$6:$M$12)," ")</f>
        <v xml:space="preserve"> </v>
      </c>
      <c r="W1437" s="28"/>
      <c r="X1437" s="28"/>
      <c r="Y1437" s="255" t="str">
        <f>IF(W1437="","",(_xlfn.XLOOKUP(W1437,Cadastros!$D$6:$D$90,Cadastros!$E$6:$E$90))*(1-_xlfn.XLOOKUP(_xlfn.XLOOKUP($F1437,Clientes!$B$4:$B$39,Clientes!$C$4:$C$39),Cadastros!$L$6:$L$12,Cadastros!$N$6:$N$12)))</f>
        <v/>
      </c>
      <c r="Z1437" s="168" t="str">
        <f t="shared" si="290"/>
        <v/>
      </c>
      <c r="AA1437" s="168" t="str">
        <f>IFERROR(Z1437/_xlfn.XLOOKUP(_xlfn.XLOOKUP($F1437,Clientes!$B$4:$B$39,Clientes!$C$4:$C$39),Cadastros!$L$6:$L$12,Cadastros!$M$6:$M$12)," ")</f>
        <v xml:space="preserve"> </v>
      </c>
      <c r="AB1437" s="28"/>
      <c r="AC1437" s="28"/>
      <c r="AD1437" s="20" t="str">
        <f>IF(AB1437="","",IF($F1437="Bernardino Furlan",_xlfn.XLOOKUP(AB1437,Cadastros!$G$6:$G$90,Cadastros!$H$6:$H$90)*(1-0.18),IF($F1437="Mauro José Salanti",_xlfn.XLOOKUP(AB1437,Cadastros!$G$6:$G$90,Cadastros!$H$6:$H$90)*(1-0.18),_xlfn.XLOOKUP(AB1437,Cadastros!$G$6:$G$90,Cadastros!$H$6:$H$90))))</f>
        <v/>
      </c>
      <c r="AE1437" s="168" t="str">
        <f t="shared" si="291"/>
        <v/>
      </c>
      <c r="AF1437" s="168" t="str">
        <f t="shared" si="292"/>
        <v/>
      </c>
      <c r="AG1437" s="28"/>
      <c r="AH1437" s="28"/>
      <c r="AI1437" s="20" t="str">
        <f>IF(AG1437="","",IF($F1437="Bernardino Furlan",_xlfn.XLOOKUP(AG1437,Cadastros!$G$6:$G$90,Cadastros!$H$6:$H$90)*(1-0.18),IF($F1437="Mauro José Salanti",_xlfn.XLOOKUP(AG1437,Cadastros!$G$6:$G$90,Cadastros!$H$6:$H$90)*(1-0.18),_xlfn.XLOOKUP(AG1437,Cadastros!$G$6:$G$90,Cadastros!$H$6:$H$90))))</f>
        <v/>
      </c>
      <c r="AJ1437" s="168" t="str">
        <f t="shared" si="293"/>
        <v/>
      </c>
      <c r="AK1437" s="168" t="str">
        <f t="shared" si="294"/>
        <v/>
      </c>
      <c r="AL1437" s="28"/>
      <c r="AM1437" s="28"/>
      <c r="AN1437" s="20" t="str">
        <f>IF(AL1437="","",IF($F1437="Bernardino Furlan",_xlfn.XLOOKUP(AL1437,Cadastros!$G$6:$G$90,Cadastros!$H$6:$H$90)*(1-0.18),IF($F1437="Mauro José Salanti",_xlfn.XLOOKUP(AL1437,Cadastros!$G$6:$G$90,Cadastros!$H$6:$H$90)*(1-0.18),_xlfn.XLOOKUP(AL1437,Cadastros!$G$6:$G$90,Cadastros!$H$6:$H$90))))</f>
        <v/>
      </c>
      <c r="AO1437" s="168" t="str">
        <f t="shared" si="295"/>
        <v/>
      </c>
      <c r="AP1437" s="168" t="str">
        <f t="shared" si="296"/>
        <v/>
      </c>
      <c r="AQ1437" s="28"/>
      <c r="AR1437" s="28"/>
      <c r="AS1437" s="20" t="str">
        <f>IF(AQ1437="","",IF($F1437="Bernardino Furlan",_xlfn.XLOOKUP(AQ1437,Cadastros!$G$6:$G$90,Cadastros!$H$6:$H$90)*(1-0.18),IF($F1437="Mauro José Salanti",_xlfn.XLOOKUP(AQ1437,Cadastros!$G$6:$G$90,Cadastros!$H$6:$H$90)*(1-0.18),_xlfn.XLOOKUP(AQ1437,Cadastros!$G$6:$G$90,Cadastros!$H$6:$H$90))))</f>
        <v/>
      </c>
      <c r="AT1437" s="168" t="str">
        <f t="shared" si="297"/>
        <v/>
      </c>
      <c r="AU1437" s="168" t="str">
        <f t="shared" si="298"/>
        <v/>
      </c>
      <c r="AV1437" s="227"/>
      <c r="AW1437" s="30"/>
      <c r="AX1437" s="267"/>
      <c r="AY1437" s="267"/>
      <c r="AZ1437" s="29"/>
      <c r="BA1437" s="30"/>
      <c r="BB1437" s="23" t="str" cm="1">
        <f t="array" ref="BB1437">_xlfn.IFS(AW1437="SIM",SUM(K1437,P1437,U1437,Z1437,AE1437,AJ1437,AO1437,AT1437,AX1437,AY1437),F1437&lt;&gt;"",SUM(K1437,P1437,U1437,Z1437,AE1437,AJ1437,,AO1437,AT1437),F1437="","")</f>
        <v/>
      </c>
      <c r="BC1437" s="211" t="str" cm="1">
        <f t="array" ref="BC1437">_xlfn.IFS(E1437="","",G1437&lt;=E1437,BB1437*(1-0.03),G1437&lt;(E1437+8),BB1437,AZ1437="Boleto",BB1437*(1+0.001)^DATEDIF(E1437,G1437,"D"),AZ1437="Cheque",BB1437,AZ1437="Dinheiro","Alterar forma pgto")</f>
        <v/>
      </c>
      <c r="BD1437" s="276" t="str" cm="1">
        <f t="array" ref="BD1437">IF(F1437=0," ",IF(BC1437&lt;BB1437,(_xlfn.IFS(AW1437="SIM",SUM(L1437,Q1437,V1437,AA1437,AF1437,AK1437,AP1437,AU1437)+AX1437/_xlfn.XLOOKUP(_xlfn.XLOOKUP($F1437,Clientes!$B$4:$B$39,Clientes!$C$4:$C$39),Cadastros!$L$6:$L$12,Cadastros!$M$6:$M$12)+IF($F1437="Bernardino Furlan",AY1437/2751.92,IF($F1437="Mauro José Salanti",AY1437/2751.92,AY1437/3356)),F1437&lt;&gt;0,SUM(L1437,Q1437,V1437,AA1437,AF1437,AK1437,AP1437,AU1437)))*(1-0.03),_xlfn.IFS(AW1437="SIM",SUM(L1437,Q1437,V1437,AA1437,AF1437,AK1437,AP1437,AU1437)+AX1437/_xlfn.XLOOKUP(_xlfn.XLOOKUP($F1437,Clientes!$B$4:$B$39,Clientes!$C$4:$C$39),Cadastros!$L$6:$L$12,Cadastros!$M$6:$M$12)+IF($F1437="Bernardino Furlan",AY1437/2751.92,IF($F1437="Mauro José Salanti",AY1437/2751.92,AY1437/3356)),F1437&lt;&gt;0,SUM(L1437,Q1437,V1437,AA1437,AF1437,AK1437,AP1437,AU1437))))</f>
        <v xml:space="preserve"> </v>
      </c>
      <c r="BE1437" s="120"/>
      <c r="BF1437" s="120"/>
      <c r="BG1437" s="120"/>
    </row>
    <row r="1438" spans="1:59" s="3" customFormat="1" x14ac:dyDescent="0.3">
      <c r="A1438" s="15" t="str">
        <f t="shared" si="286"/>
        <v/>
      </c>
      <c r="B1438" s="25"/>
      <c r="C1438" s="26"/>
      <c r="D1438" s="279"/>
      <c r="E1438" s="27"/>
      <c r="F1438" s="28"/>
      <c r="G1438" s="27"/>
      <c r="H1438" s="28"/>
      <c r="I1438" s="28"/>
      <c r="J1438" s="255" t="str">
        <f>IF(H1438="","",(_xlfn.XLOOKUP(H1438,Cadastros!$D$6:$D$90,Cadastros!$E$6:$E$90))*(1-_xlfn.XLOOKUP(_xlfn.XLOOKUP($F1438,Clientes!$B$4:$B$39,Clientes!$C$4:$C$39),Cadastros!$L$6:$L$12,Cadastros!$N$6:$N$12)))</f>
        <v/>
      </c>
      <c r="K1438" s="168" t="str">
        <f t="shared" si="287"/>
        <v/>
      </c>
      <c r="L1438" s="168" t="str">
        <f>IFERROR(K1438/_xlfn.XLOOKUP(_xlfn.XLOOKUP($F1438,Clientes!$B$4:$B$39,Clientes!$C$4:$C$39),Cadastros!$L$6:$L$12,Cadastros!$M$6:$M$12)," ")</f>
        <v xml:space="preserve"> </v>
      </c>
      <c r="M1438" s="28"/>
      <c r="N1438" s="28"/>
      <c r="O1438" s="255" t="str">
        <f>IF(M1438="","",(_xlfn.XLOOKUP(M1438,Cadastros!$D$6:$D$90,Cadastros!$E$6:$E$90))*(1-_xlfn.XLOOKUP(_xlfn.XLOOKUP($F1438,Clientes!$B$4:$B$39,Clientes!$C$4:$C$39),Cadastros!$L$6:$L$12,Cadastros!$N$6:$N$12)))</f>
        <v/>
      </c>
      <c r="P1438" s="168" t="str">
        <f t="shared" si="288"/>
        <v/>
      </c>
      <c r="Q1438" s="168" t="str">
        <f>IFERROR(P1438/_xlfn.XLOOKUP(_xlfn.XLOOKUP($F1438,Clientes!$B$4:$B$39,Clientes!$C$4:$C$39),Cadastros!$L$6:$L$12,Cadastros!$M$6:$M$12)," ")</f>
        <v xml:space="preserve"> </v>
      </c>
      <c r="R1438" s="28"/>
      <c r="S1438" s="28"/>
      <c r="T1438" s="255" t="str">
        <f>IF(R1438="","",(_xlfn.XLOOKUP(R1438,Cadastros!$D$6:$D$90,Cadastros!$E$6:$E$90))*(1-_xlfn.XLOOKUP(_xlfn.XLOOKUP($F1438,Clientes!$B$4:$B$39,Clientes!$C$4:$C$39),Cadastros!$L$6:$L$12,Cadastros!$N$6:$N$12)))</f>
        <v/>
      </c>
      <c r="U1438" s="168" t="str">
        <f t="shared" si="289"/>
        <v/>
      </c>
      <c r="V1438" s="168" t="str">
        <f>IFERROR(U1438/_xlfn.XLOOKUP(_xlfn.XLOOKUP($F1438,Clientes!$B$4:$B$39,Clientes!$C$4:$C$39),Cadastros!$L$6:$L$12,Cadastros!$M$6:$M$12)," ")</f>
        <v xml:space="preserve"> </v>
      </c>
      <c r="W1438" s="28"/>
      <c r="X1438" s="28"/>
      <c r="Y1438" s="255" t="str">
        <f>IF(W1438="","",(_xlfn.XLOOKUP(W1438,Cadastros!$D$6:$D$90,Cadastros!$E$6:$E$90))*(1-_xlfn.XLOOKUP(_xlfn.XLOOKUP($F1438,Clientes!$B$4:$B$39,Clientes!$C$4:$C$39),Cadastros!$L$6:$L$12,Cadastros!$N$6:$N$12)))</f>
        <v/>
      </c>
      <c r="Z1438" s="168" t="str">
        <f t="shared" si="290"/>
        <v/>
      </c>
      <c r="AA1438" s="168" t="str">
        <f>IFERROR(Z1438/_xlfn.XLOOKUP(_xlfn.XLOOKUP($F1438,Clientes!$B$4:$B$39,Clientes!$C$4:$C$39),Cadastros!$L$6:$L$12,Cadastros!$M$6:$M$12)," ")</f>
        <v xml:space="preserve"> </v>
      </c>
      <c r="AB1438" s="28"/>
      <c r="AC1438" s="28"/>
      <c r="AD1438" s="20" t="str">
        <f>IF(AB1438="","",IF($F1438="Bernardino Furlan",_xlfn.XLOOKUP(AB1438,Cadastros!$G$6:$G$90,Cadastros!$H$6:$H$90)*(1-0.18),IF($F1438="Mauro José Salanti",_xlfn.XLOOKUP(AB1438,Cadastros!$G$6:$G$90,Cadastros!$H$6:$H$90)*(1-0.18),_xlfn.XLOOKUP(AB1438,Cadastros!$G$6:$G$90,Cadastros!$H$6:$H$90))))</f>
        <v/>
      </c>
      <c r="AE1438" s="168" t="str">
        <f t="shared" si="291"/>
        <v/>
      </c>
      <c r="AF1438" s="168" t="str">
        <f t="shared" si="292"/>
        <v/>
      </c>
      <c r="AG1438" s="28"/>
      <c r="AH1438" s="28"/>
      <c r="AI1438" s="20" t="str">
        <f>IF(AG1438="","",IF($F1438="Bernardino Furlan",_xlfn.XLOOKUP(AG1438,Cadastros!$G$6:$G$90,Cadastros!$H$6:$H$90)*(1-0.18),IF($F1438="Mauro José Salanti",_xlfn.XLOOKUP(AG1438,Cadastros!$G$6:$G$90,Cadastros!$H$6:$H$90)*(1-0.18),_xlfn.XLOOKUP(AG1438,Cadastros!$G$6:$G$90,Cadastros!$H$6:$H$90))))</f>
        <v/>
      </c>
      <c r="AJ1438" s="168" t="str">
        <f t="shared" si="293"/>
        <v/>
      </c>
      <c r="AK1438" s="168" t="str">
        <f t="shared" si="294"/>
        <v/>
      </c>
      <c r="AL1438" s="28"/>
      <c r="AM1438" s="28"/>
      <c r="AN1438" s="20" t="str">
        <f>IF(AL1438="","",IF($F1438="Bernardino Furlan",_xlfn.XLOOKUP(AL1438,Cadastros!$G$6:$G$90,Cadastros!$H$6:$H$90)*(1-0.18),IF($F1438="Mauro José Salanti",_xlfn.XLOOKUP(AL1438,Cadastros!$G$6:$G$90,Cadastros!$H$6:$H$90)*(1-0.18),_xlfn.XLOOKUP(AL1438,Cadastros!$G$6:$G$90,Cadastros!$H$6:$H$90))))</f>
        <v/>
      </c>
      <c r="AO1438" s="168" t="str">
        <f t="shared" si="295"/>
        <v/>
      </c>
      <c r="AP1438" s="168" t="str">
        <f t="shared" si="296"/>
        <v/>
      </c>
      <c r="AQ1438" s="28"/>
      <c r="AR1438" s="28"/>
      <c r="AS1438" s="20" t="str">
        <f>IF(AQ1438="","",IF($F1438="Bernardino Furlan",_xlfn.XLOOKUP(AQ1438,Cadastros!$G$6:$G$90,Cadastros!$H$6:$H$90)*(1-0.18),IF($F1438="Mauro José Salanti",_xlfn.XLOOKUP(AQ1438,Cadastros!$G$6:$G$90,Cadastros!$H$6:$H$90)*(1-0.18),_xlfn.XLOOKUP(AQ1438,Cadastros!$G$6:$G$90,Cadastros!$H$6:$H$90))))</f>
        <v/>
      </c>
      <c r="AT1438" s="168" t="str">
        <f t="shared" si="297"/>
        <v/>
      </c>
      <c r="AU1438" s="168" t="str">
        <f t="shared" si="298"/>
        <v/>
      </c>
      <c r="AV1438" s="227"/>
      <c r="AW1438" s="30"/>
      <c r="AX1438" s="267"/>
      <c r="AY1438" s="267"/>
      <c r="AZ1438" s="29"/>
      <c r="BA1438" s="30"/>
      <c r="BB1438" s="23" t="str" cm="1">
        <f t="array" ref="BB1438">_xlfn.IFS(AW1438="SIM",SUM(K1438,P1438,U1438,Z1438,AE1438,AJ1438,AO1438,AT1438,AX1438,AY1438),F1438&lt;&gt;"",SUM(K1438,P1438,U1438,Z1438,AE1438,AJ1438,,AO1438,AT1438),F1438="","")</f>
        <v/>
      </c>
      <c r="BC1438" s="211" t="str" cm="1">
        <f t="array" ref="BC1438">_xlfn.IFS(E1438="","",G1438&lt;=E1438,BB1438*(1-0.03),G1438&lt;(E1438+8),BB1438,AZ1438="Boleto",BB1438*(1+0.001)^DATEDIF(E1438,G1438,"D"),AZ1438="Cheque",BB1438,AZ1438="Dinheiro","Alterar forma pgto")</f>
        <v/>
      </c>
      <c r="BD1438" s="276" t="str" cm="1">
        <f t="array" ref="BD1438">IF(F1438=0," ",IF(BC1438&lt;BB1438,(_xlfn.IFS(AW1438="SIM",SUM(L1438,Q1438,V1438,AA1438,AF1438,AK1438,AP1438,AU1438)+AX1438/_xlfn.XLOOKUP(_xlfn.XLOOKUP($F1438,Clientes!$B$4:$B$39,Clientes!$C$4:$C$39),Cadastros!$L$6:$L$12,Cadastros!$M$6:$M$12)+IF($F1438="Bernardino Furlan",AY1438/2751.92,IF($F1438="Mauro José Salanti",AY1438/2751.92,AY1438/3356)),F1438&lt;&gt;0,SUM(L1438,Q1438,V1438,AA1438,AF1438,AK1438,AP1438,AU1438)))*(1-0.03),_xlfn.IFS(AW1438="SIM",SUM(L1438,Q1438,V1438,AA1438,AF1438,AK1438,AP1438,AU1438)+AX1438/_xlfn.XLOOKUP(_xlfn.XLOOKUP($F1438,Clientes!$B$4:$B$39,Clientes!$C$4:$C$39),Cadastros!$L$6:$L$12,Cadastros!$M$6:$M$12)+IF($F1438="Bernardino Furlan",AY1438/2751.92,IF($F1438="Mauro José Salanti",AY1438/2751.92,AY1438/3356)),F1438&lt;&gt;0,SUM(L1438,Q1438,V1438,AA1438,AF1438,AK1438,AP1438,AU1438))))</f>
        <v xml:space="preserve"> </v>
      </c>
      <c r="BE1438" s="120"/>
      <c r="BF1438" s="120"/>
      <c r="BG1438" s="120"/>
    </row>
    <row r="1439" spans="1:59" s="3" customFormat="1" x14ac:dyDescent="0.3">
      <c r="A1439" s="15" t="str">
        <f t="shared" si="286"/>
        <v/>
      </c>
      <c r="B1439" s="25"/>
      <c r="C1439" s="26"/>
      <c r="D1439" s="279"/>
      <c r="E1439" s="27"/>
      <c r="F1439" s="28"/>
      <c r="G1439" s="27"/>
      <c r="H1439" s="28"/>
      <c r="I1439" s="28"/>
      <c r="J1439" s="255" t="str">
        <f>IF(H1439="","",(_xlfn.XLOOKUP(H1439,Cadastros!$D$6:$D$90,Cadastros!$E$6:$E$90))*(1-_xlfn.XLOOKUP(_xlfn.XLOOKUP($F1439,Clientes!$B$4:$B$39,Clientes!$C$4:$C$39),Cadastros!$L$6:$L$12,Cadastros!$N$6:$N$12)))</f>
        <v/>
      </c>
      <c r="K1439" s="168" t="str">
        <f t="shared" si="287"/>
        <v/>
      </c>
      <c r="L1439" s="168" t="str">
        <f>IFERROR(K1439/_xlfn.XLOOKUP(_xlfn.XLOOKUP($F1439,Clientes!$B$4:$B$39,Clientes!$C$4:$C$39),Cadastros!$L$6:$L$12,Cadastros!$M$6:$M$12)," ")</f>
        <v xml:space="preserve"> </v>
      </c>
      <c r="M1439" s="28"/>
      <c r="N1439" s="28"/>
      <c r="O1439" s="255" t="str">
        <f>IF(M1439="","",(_xlfn.XLOOKUP(M1439,Cadastros!$D$6:$D$90,Cadastros!$E$6:$E$90))*(1-_xlfn.XLOOKUP(_xlfn.XLOOKUP($F1439,Clientes!$B$4:$B$39,Clientes!$C$4:$C$39),Cadastros!$L$6:$L$12,Cadastros!$N$6:$N$12)))</f>
        <v/>
      </c>
      <c r="P1439" s="168" t="str">
        <f t="shared" si="288"/>
        <v/>
      </c>
      <c r="Q1439" s="168" t="str">
        <f>IFERROR(P1439/_xlfn.XLOOKUP(_xlfn.XLOOKUP($F1439,Clientes!$B$4:$B$39,Clientes!$C$4:$C$39),Cadastros!$L$6:$L$12,Cadastros!$M$6:$M$12)," ")</f>
        <v xml:space="preserve"> </v>
      </c>
      <c r="R1439" s="28"/>
      <c r="S1439" s="28"/>
      <c r="T1439" s="255" t="str">
        <f>IF(R1439="","",(_xlfn.XLOOKUP(R1439,Cadastros!$D$6:$D$90,Cadastros!$E$6:$E$90))*(1-_xlfn.XLOOKUP(_xlfn.XLOOKUP($F1439,Clientes!$B$4:$B$39,Clientes!$C$4:$C$39),Cadastros!$L$6:$L$12,Cadastros!$N$6:$N$12)))</f>
        <v/>
      </c>
      <c r="U1439" s="168" t="str">
        <f t="shared" si="289"/>
        <v/>
      </c>
      <c r="V1439" s="168" t="str">
        <f>IFERROR(U1439/_xlfn.XLOOKUP(_xlfn.XLOOKUP($F1439,Clientes!$B$4:$B$39,Clientes!$C$4:$C$39),Cadastros!$L$6:$L$12,Cadastros!$M$6:$M$12)," ")</f>
        <v xml:space="preserve"> </v>
      </c>
      <c r="W1439" s="28"/>
      <c r="X1439" s="28"/>
      <c r="Y1439" s="255" t="str">
        <f>IF(W1439="","",(_xlfn.XLOOKUP(W1439,Cadastros!$D$6:$D$90,Cadastros!$E$6:$E$90))*(1-_xlfn.XLOOKUP(_xlfn.XLOOKUP($F1439,Clientes!$B$4:$B$39,Clientes!$C$4:$C$39),Cadastros!$L$6:$L$12,Cadastros!$N$6:$N$12)))</f>
        <v/>
      </c>
      <c r="Z1439" s="168" t="str">
        <f t="shared" si="290"/>
        <v/>
      </c>
      <c r="AA1439" s="168" t="str">
        <f>IFERROR(Z1439/_xlfn.XLOOKUP(_xlfn.XLOOKUP($F1439,Clientes!$B$4:$B$39,Clientes!$C$4:$C$39),Cadastros!$L$6:$L$12,Cadastros!$M$6:$M$12)," ")</f>
        <v xml:space="preserve"> </v>
      </c>
      <c r="AB1439" s="28"/>
      <c r="AC1439" s="28"/>
      <c r="AD1439" s="20" t="str">
        <f>IF(AB1439="","",IF($F1439="Bernardino Furlan",_xlfn.XLOOKUP(AB1439,Cadastros!$G$6:$G$90,Cadastros!$H$6:$H$90)*(1-0.18),IF($F1439="Mauro José Salanti",_xlfn.XLOOKUP(AB1439,Cadastros!$G$6:$G$90,Cadastros!$H$6:$H$90)*(1-0.18),_xlfn.XLOOKUP(AB1439,Cadastros!$G$6:$G$90,Cadastros!$H$6:$H$90))))</f>
        <v/>
      </c>
      <c r="AE1439" s="168" t="str">
        <f t="shared" si="291"/>
        <v/>
      </c>
      <c r="AF1439" s="168" t="str">
        <f t="shared" si="292"/>
        <v/>
      </c>
      <c r="AG1439" s="28"/>
      <c r="AH1439" s="28"/>
      <c r="AI1439" s="20" t="str">
        <f>IF(AG1439="","",IF($F1439="Bernardino Furlan",_xlfn.XLOOKUP(AG1439,Cadastros!$G$6:$G$90,Cadastros!$H$6:$H$90)*(1-0.18),IF($F1439="Mauro José Salanti",_xlfn.XLOOKUP(AG1439,Cadastros!$G$6:$G$90,Cadastros!$H$6:$H$90)*(1-0.18),_xlfn.XLOOKUP(AG1439,Cadastros!$G$6:$G$90,Cadastros!$H$6:$H$90))))</f>
        <v/>
      </c>
      <c r="AJ1439" s="168" t="str">
        <f t="shared" si="293"/>
        <v/>
      </c>
      <c r="AK1439" s="168" t="str">
        <f t="shared" si="294"/>
        <v/>
      </c>
      <c r="AL1439" s="28"/>
      <c r="AM1439" s="28"/>
      <c r="AN1439" s="20" t="str">
        <f>IF(AL1439="","",IF($F1439="Bernardino Furlan",_xlfn.XLOOKUP(AL1439,Cadastros!$G$6:$G$90,Cadastros!$H$6:$H$90)*(1-0.18),IF($F1439="Mauro José Salanti",_xlfn.XLOOKUP(AL1439,Cadastros!$G$6:$G$90,Cadastros!$H$6:$H$90)*(1-0.18),_xlfn.XLOOKUP(AL1439,Cadastros!$G$6:$G$90,Cadastros!$H$6:$H$90))))</f>
        <v/>
      </c>
      <c r="AO1439" s="168" t="str">
        <f t="shared" si="295"/>
        <v/>
      </c>
      <c r="AP1439" s="168" t="str">
        <f t="shared" si="296"/>
        <v/>
      </c>
      <c r="AQ1439" s="28"/>
      <c r="AR1439" s="28"/>
      <c r="AS1439" s="20" t="str">
        <f>IF(AQ1439="","",IF($F1439="Bernardino Furlan",_xlfn.XLOOKUP(AQ1439,Cadastros!$G$6:$G$90,Cadastros!$H$6:$H$90)*(1-0.18),IF($F1439="Mauro José Salanti",_xlfn.XLOOKUP(AQ1439,Cadastros!$G$6:$G$90,Cadastros!$H$6:$H$90)*(1-0.18),_xlfn.XLOOKUP(AQ1439,Cadastros!$G$6:$G$90,Cadastros!$H$6:$H$90))))</f>
        <v/>
      </c>
      <c r="AT1439" s="168" t="str">
        <f t="shared" si="297"/>
        <v/>
      </c>
      <c r="AU1439" s="168" t="str">
        <f t="shared" si="298"/>
        <v/>
      </c>
      <c r="AV1439" s="227"/>
      <c r="AW1439" s="30"/>
      <c r="AX1439" s="267"/>
      <c r="AY1439" s="267"/>
      <c r="AZ1439" s="29"/>
      <c r="BA1439" s="30"/>
      <c r="BB1439" s="23" t="str" cm="1">
        <f t="array" ref="BB1439">_xlfn.IFS(AW1439="SIM",SUM(K1439,P1439,U1439,Z1439,AE1439,AJ1439,AO1439,AT1439,AX1439,AY1439),F1439&lt;&gt;"",SUM(K1439,P1439,U1439,Z1439,AE1439,AJ1439,,AO1439,AT1439),F1439="","")</f>
        <v/>
      </c>
      <c r="BC1439" s="211" t="str" cm="1">
        <f t="array" ref="BC1439">_xlfn.IFS(E1439="","",G1439&lt;=E1439,BB1439*(1-0.03),G1439&lt;(E1439+8),BB1439,AZ1439="Boleto",BB1439*(1+0.001)^DATEDIF(E1439,G1439,"D"),AZ1439="Cheque",BB1439,AZ1439="Dinheiro","Alterar forma pgto")</f>
        <v/>
      </c>
      <c r="BD1439" s="276" t="str" cm="1">
        <f t="array" ref="BD1439">IF(F1439=0," ",IF(BC1439&lt;BB1439,(_xlfn.IFS(AW1439="SIM",SUM(L1439,Q1439,V1439,AA1439,AF1439,AK1439,AP1439,AU1439)+AX1439/_xlfn.XLOOKUP(_xlfn.XLOOKUP($F1439,Clientes!$B$4:$B$39,Clientes!$C$4:$C$39),Cadastros!$L$6:$L$12,Cadastros!$M$6:$M$12)+IF($F1439="Bernardino Furlan",AY1439/2751.92,IF($F1439="Mauro José Salanti",AY1439/2751.92,AY1439/3356)),F1439&lt;&gt;0,SUM(L1439,Q1439,V1439,AA1439,AF1439,AK1439,AP1439,AU1439)))*(1-0.03),_xlfn.IFS(AW1439="SIM",SUM(L1439,Q1439,V1439,AA1439,AF1439,AK1439,AP1439,AU1439)+AX1439/_xlfn.XLOOKUP(_xlfn.XLOOKUP($F1439,Clientes!$B$4:$B$39,Clientes!$C$4:$C$39),Cadastros!$L$6:$L$12,Cadastros!$M$6:$M$12)+IF($F1439="Bernardino Furlan",AY1439/2751.92,IF($F1439="Mauro José Salanti",AY1439/2751.92,AY1439/3356)),F1439&lt;&gt;0,SUM(L1439,Q1439,V1439,AA1439,AF1439,AK1439,AP1439,AU1439))))</f>
        <v xml:space="preserve"> </v>
      </c>
      <c r="BE1439" s="120"/>
      <c r="BF1439" s="120"/>
      <c r="BG1439" s="120"/>
    </row>
    <row r="1440" spans="1:59" s="3" customFormat="1" x14ac:dyDescent="0.3">
      <c r="A1440" s="15" t="str">
        <f t="shared" si="286"/>
        <v/>
      </c>
      <c r="B1440" s="25"/>
      <c r="C1440" s="26"/>
      <c r="D1440" s="279"/>
      <c r="E1440" s="27"/>
      <c r="F1440" s="28"/>
      <c r="G1440" s="27"/>
      <c r="H1440" s="28"/>
      <c r="I1440" s="28"/>
      <c r="J1440" s="255" t="str">
        <f>IF(H1440="","",(_xlfn.XLOOKUP(H1440,Cadastros!$D$6:$D$90,Cadastros!$E$6:$E$90))*(1-_xlfn.XLOOKUP(_xlfn.XLOOKUP($F1440,Clientes!$B$4:$B$39,Clientes!$C$4:$C$39),Cadastros!$L$6:$L$12,Cadastros!$N$6:$N$12)))</f>
        <v/>
      </c>
      <c r="K1440" s="168" t="str">
        <f t="shared" si="287"/>
        <v/>
      </c>
      <c r="L1440" s="168" t="str">
        <f>IFERROR(K1440/_xlfn.XLOOKUP(_xlfn.XLOOKUP($F1440,Clientes!$B$4:$B$39,Clientes!$C$4:$C$39),Cadastros!$L$6:$L$12,Cadastros!$M$6:$M$12)," ")</f>
        <v xml:space="preserve"> </v>
      </c>
      <c r="M1440" s="28"/>
      <c r="N1440" s="28"/>
      <c r="O1440" s="255" t="str">
        <f>IF(M1440="","",(_xlfn.XLOOKUP(M1440,Cadastros!$D$6:$D$90,Cadastros!$E$6:$E$90))*(1-_xlfn.XLOOKUP(_xlfn.XLOOKUP($F1440,Clientes!$B$4:$B$39,Clientes!$C$4:$C$39),Cadastros!$L$6:$L$12,Cadastros!$N$6:$N$12)))</f>
        <v/>
      </c>
      <c r="P1440" s="168" t="str">
        <f t="shared" si="288"/>
        <v/>
      </c>
      <c r="Q1440" s="168" t="str">
        <f>IFERROR(P1440/_xlfn.XLOOKUP(_xlfn.XLOOKUP($F1440,Clientes!$B$4:$B$39,Clientes!$C$4:$C$39),Cadastros!$L$6:$L$12,Cadastros!$M$6:$M$12)," ")</f>
        <v xml:space="preserve"> </v>
      </c>
      <c r="R1440" s="28"/>
      <c r="S1440" s="28"/>
      <c r="T1440" s="255" t="str">
        <f>IF(R1440="","",(_xlfn.XLOOKUP(R1440,Cadastros!$D$6:$D$90,Cadastros!$E$6:$E$90))*(1-_xlfn.XLOOKUP(_xlfn.XLOOKUP($F1440,Clientes!$B$4:$B$39,Clientes!$C$4:$C$39),Cadastros!$L$6:$L$12,Cadastros!$N$6:$N$12)))</f>
        <v/>
      </c>
      <c r="U1440" s="168" t="str">
        <f t="shared" si="289"/>
        <v/>
      </c>
      <c r="V1440" s="168" t="str">
        <f>IFERROR(U1440/_xlfn.XLOOKUP(_xlfn.XLOOKUP($F1440,Clientes!$B$4:$B$39,Clientes!$C$4:$C$39),Cadastros!$L$6:$L$12,Cadastros!$M$6:$M$12)," ")</f>
        <v xml:space="preserve"> </v>
      </c>
      <c r="W1440" s="28"/>
      <c r="X1440" s="28"/>
      <c r="Y1440" s="255" t="str">
        <f>IF(W1440="","",(_xlfn.XLOOKUP(W1440,Cadastros!$D$6:$D$90,Cadastros!$E$6:$E$90))*(1-_xlfn.XLOOKUP(_xlfn.XLOOKUP($F1440,Clientes!$B$4:$B$39,Clientes!$C$4:$C$39),Cadastros!$L$6:$L$12,Cadastros!$N$6:$N$12)))</f>
        <v/>
      </c>
      <c r="Z1440" s="168" t="str">
        <f t="shared" si="290"/>
        <v/>
      </c>
      <c r="AA1440" s="168" t="str">
        <f>IFERROR(Z1440/_xlfn.XLOOKUP(_xlfn.XLOOKUP($F1440,Clientes!$B$4:$B$39,Clientes!$C$4:$C$39),Cadastros!$L$6:$L$12,Cadastros!$M$6:$M$12)," ")</f>
        <v xml:space="preserve"> </v>
      </c>
      <c r="AB1440" s="28"/>
      <c r="AC1440" s="28"/>
      <c r="AD1440" s="20" t="str">
        <f>IF(AB1440="","",IF($F1440="Bernardino Furlan",_xlfn.XLOOKUP(AB1440,Cadastros!$G$6:$G$90,Cadastros!$H$6:$H$90)*(1-0.18),IF($F1440="Mauro José Salanti",_xlfn.XLOOKUP(AB1440,Cadastros!$G$6:$G$90,Cadastros!$H$6:$H$90)*(1-0.18),_xlfn.XLOOKUP(AB1440,Cadastros!$G$6:$G$90,Cadastros!$H$6:$H$90))))</f>
        <v/>
      </c>
      <c r="AE1440" s="168" t="str">
        <f t="shared" si="291"/>
        <v/>
      </c>
      <c r="AF1440" s="168" t="str">
        <f t="shared" si="292"/>
        <v/>
      </c>
      <c r="AG1440" s="28"/>
      <c r="AH1440" s="28"/>
      <c r="AI1440" s="20" t="str">
        <f>IF(AG1440="","",IF($F1440="Bernardino Furlan",_xlfn.XLOOKUP(AG1440,Cadastros!$G$6:$G$90,Cadastros!$H$6:$H$90)*(1-0.18),IF($F1440="Mauro José Salanti",_xlfn.XLOOKUP(AG1440,Cadastros!$G$6:$G$90,Cadastros!$H$6:$H$90)*(1-0.18),_xlfn.XLOOKUP(AG1440,Cadastros!$G$6:$G$90,Cadastros!$H$6:$H$90))))</f>
        <v/>
      </c>
      <c r="AJ1440" s="168" t="str">
        <f t="shared" si="293"/>
        <v/>
      </c>
      <c r="AK1440" s="168" t="str">
        <f t="shared" si="294"/>
        <v/>
      </c>
      <c r="AL1440" s="28"/>
      <c r="AM1440" s="28"/>
      <c r="AN1440" s="20" t="str">
        <f>IF(AL1440="","",IF($F1440="Bernardino Furlan",_xlfn.XLOOKUP(AL1440,Cadastros!$G$6:$G$90,Cadastros!$H$6:$H$90)*(1-0.18),IF($F1440="Mauro José Salanti",_xlfn.XLOOKUP(AL1440,Cadastros!$G$6:$G$90,Cadastros!$H$6:$H$90)*(1-0.18),_xlfn.XLOOKUP(AL1440,Cadastros!$G$6:$G$90,Cadastros!$H$6:$H$90))))</f>
        <v/>
      </c>
      <c r="AO1440" s="168" t="str">
        <f t="shared" si="295"/>
        <v/>
      </c>
      <c r="AP1440" s="168" t="str">
        <f t="shared" si="296"/>
        <v/>
      </c>
      <c r="AQ1440" s="28"/>
      <c r="AR1440" s="28"/>
      <c r="AS1440" s="20" t="str">
        <f>IF(AQ1440="","",IF($F1440="Bernardino Furlan",_xlfn.XLOOKUP(AQ1440,Cadastros!$G$6:$G$90,Cadastros!$H$6:$H$90)*(1-0.18),IF($F1440="Mauro José Salanti",_xlfn.XLOOKUP(AQ1440,Cadastros!$G$6:$G$90,Cadastros!$H$6:$H$90)*(1-0.18),_xlfn.XLOOKUP(AQ1440,Cadastros!$G$6:$G$90,Cadastros!$H$6:$H$90))))</f>
        <v/>
      </c>
      <c r="AT1440" s="168" t="str">
        <f t="shared" si="297"/>
        <v/>
      </c>
      <c r="AU1440" s="168" t="str">
        <f t="shared" si="298"/>
        <v/>
      </c>
      <c r="AV1440" s="227"/>
      <c r="AW1440" s="30"/>
      <c r="AX1440" s="267"/>
      <c r="AY1440" s="267"/>
      <c r="AZ1440" s="29"/>
      <c r="BA1440" s="30"/>
      <c r="BB1440" s="23" t="str" cm="1">
        <f t="array" ref="BB1440">_xlfn.IFS(AW1440="SIM",SUM(K1440,P1440,U1440,Z1440,AE1440,AJ1440,AO1440,AT1440,AX1440,AY1440),F1440&lt;&gt;"",SUM(K1440,P1440,U1440,Z1440,AE1440,AJ1440,,AO1440,AT1440),F1440="","")</f>
        <v/>
      </c>
      <c r="BC1440" s="211" t="str" cm="1">
        <f t="array" ref="BC1440">_xlfn.IFS(E1440="","",G1440&lt;=E1440,BB1440*(1-0.03),G1440&lt;(E1440+8),BB1440,AZ1440="Boleto",BB1440*(1+0.001)^DATEDIF(E1440,G1440,"D"),AZ1440="Cheque",BB1440,AZ1440="Dinheiro","Alterar forma pgto")</f>
        <v/>
      </c>
      <c r="BD1440" s="276" t="str" cm="1">
        <f t="array" ref="BD1440">IF(F1440=0," ",IF(BC1440&lt;BB1440,(_xlfn.IFS(AW1440="SIM",SUM(L1440,Q1440,V1440,AA1440,AF1440,AK1440,AP1440,AU1440)+AX1440/_xlfn.XLOOKUP(_xlfn.XLOOKUP($F1440,Clientes!$B$4:$B$39,Clientes!$C$4:$C$39),Cadastros!$L$6:$L$12,Cadastros!$M$6:$M$12)+IF($F1440="Bernardino Furlan",AY1440/2751.92,IF($F1440="Mauro José Salanti",AY1440/2751.92,AY1440/3356)),F1440&lt;&gt;0,SUM(L1440,Q1440,V1440,AA1440,AF1440,AK1440,AP1440,AU1440)))*(1-0.03),_xlfn.IFS(AW1440="SIM",SUM(L1440,Q1440,V1440,AA1440,AF1440,AK1440,AP1440,AU1440)+AX1440/_xlfn.XLOOKUP(_xlfn.XLOOKUP($F1440,Clientes!$B$4:$B$39,Clientes!$C$4:$C$39),Cadastros!$L$6:$L$12,Cadastros!$M$6:$M$12)+IF($F1440="Bernardino Furlan",AY1440/2751.92,IF($F1440="Mauro José Salanti",AY1440/2751.92,AY1440/3356)),F1440&lt;&gt;0,SUM(L1440,Q1440,V1440,AA1440,AF1440,AK1440,AP1440,AU1440))))</f>
        <v xml:space="preserve"> </v>
      </c>
      <c r="BE1440" s="120"/>
      <c r="BF1440" s="120"/>
      <c r="BG1440" s="120"/>
    </row>
    <row r="1441" spans="1:59" s="3" customFormat="1" x14ac:dyDescent="0.3">
      <c r="A1441" s="15" t="str">
        <f t="shared" si="286"/>
        <v/>
      </c>
      <c r="B1441" s="25"/>
      <c r="C1441" s="26"/>
      <c r="D1441" s="279"/>
      <c r="E1441" s="27"/>
      <c r="F1441" s="28"/>
      <c r="G1441" s="27"/>
      <c r="H1441" s="28"/>
      <c r="I1441" s="28"/>
      <c r="J1441" s="255" t="str">
        <f>IF(H1441="","",(_xlfn.XLOOKUP(H1441,Cadastros!$D$6:$D$90,Cadastros!$E$6:$E$90))*(1-_xlfn.XLOOKUP(_xlfn.XLOOKUP($F1441,Clientes!$B$4:$B$39,Clientes!$C$4:$C$39),Cadastros!$L$6:$L$12,Cadastros!$N$6:$N$12)))</f>
        <v/>
      </c>
      <c r="K1441" s="168" t="str">
        <f t="shared" si="287"/>
        <v/>
      </c>
      <c r="L1441" s="168" t="str">
        <f>IFERROR(K1441/_xlfn.XLOOKUP(_xlfn.XLOOKUP($F1441,Clientes!$B$4:$B$39,Clientes!$C$4:$C$39),Cadastros!$L$6:$L$12,Cadastros!$M$6:$M$12)," ")</f>
        <v xml:space="preserve"> </v>
      </c>
      <c r="M1441" s="28"/>
      <c r="N1441" s="28"/>
      <c r="O1441" s="255" t="str">
        <f>IF(M1441="","",(_xlfn.XLOOKUP(M1441,Cadastros!$D$6:$D$90,Cadastros!$E$6:$E$90))*(1-_xlfn.XLOOKUP(_xlfn.XLOOKUP($F1441,Clientes!$B$4:$B$39,Clientes!$C$4:$C$39),Cadastros!$L$6:$L$12,Cadastros!$N$6:$N$12)))</f>
        <v/>
      </c>
      <c r="P1441" s="168" t="str">
        <f t="shared" si="288"/>
        <v/>
      </c>
      <c r="Q1441" s="168" t="str">
        <f>IFERROR(P1441/_xlfn.XLOOKUP(_xlfn.XLOOKUP($F1441,Clientes!$B$4:$B$39,Clientes!$C$4:$C$39),Cadastros!$L$6:$L$12,Cadastros!$M$6:$M$12)," ")</f>
        <v xml:space="preserve"> </v>
      </c>
      <c r="R1441" s="28"/>
      <c r="S1441" s="28"/>
      <c r="T1441" s="255" t="str">
        <f>IF(R1441="","",(_xlfn.XLOOKUP(R1441,Cadastros!$D$6:$D$90,Cadastros!$E$6:$E$90))*(1-_xlfn.XLOOKUP(_xlfn.XLOOKUP($F1441,Clientes!$B$4:$B$39,Clientes!$C$4:$C$39),Cadastros!$L$6:$L$12,Cadastros!$N$6:$N$12)))</f>
        <v/>
      </c>
      <c r="U1441" s="168" t="str">
        <f t="shared" si="289"/>
        <v/>
      </c>
      <c r="V1441" s="168" t="str">
        <f>IFERROR(U1441/_xlfn.XLOOKUP(_xlfn.XLOOKUP($F1441,Clientes!$B$4:$B$39,Clientes!$C$4:$C$39),Cadastros!$L$6:$L$12,Cadastros!$M$6:$M$12)," ")</f>
        <v xml:space="preserve"> </v>
      </c>
      <c r="W1441" s="28"/>
      <c r="X1441" s="28"/>
      <c r="Y1441" s="255" t="str">
        <f>IF(W1441="","",(_xlfn.XLOOKUP(W1441,Cadastros!$D$6:$D$90,Cadastros!$E$6:$E$90))*(1-_xlfn.XLOOKUP(_xlfn.XLOOKUP($F1441,Clientes!$B$4:$B$39,Clientes!$C$4:$C$39),Cadastros!$L$6:$L$12,Cadastros!$N$6:$N$12)))</f>
        <v/>
      </c>
      <c r="Z1441" s="168" t="str">
        <f t="shared" si="290"/>
        <v/>
      </c>
      <c r="AA1441" s="168" t="str">
        <f>IFERROR(Z1441/_xlfn.XLOOKUP(_xlfn.XLOOKUP($F1441,Clientes!$B$4:$B$39,Clientes!$C$4:$C$39),Cadastros!$L$6:$L$12,Cadastros!$M$6:$M$12)," ")</f>
        <v xml:space="preserve"> </v>
      </c>
      <c r="AB1441" s="28"/>
      <c r="AC1441" s="28"/>
      <c r="AD1441" s="20" t="str">
        <f>IF(AB1441="","",IF($F1441="Bernardino Furlan",_xlfn.XLOOKUP(AB1441,Cadastros!$G$6:$G$90,Cadastros!$H$6:$H$90)*(1-0.18),IF($F1441="Mauro José Salanti",_xlfn.XLOOKUP(AB1441,Cadastros!$G$6:$G$90,Cadastros!$H$6:$H$90)*(1-0.18),_xlfn.XLOOKUP(AB1441,Cadastros!$G$6:$G$90,Cadastros!$H$6:$H$90))))</f>
        <v/>
      </c>
      <c r="AE1441" s="168" t="str">
        <f t="shared" si="291"/>
        <v/>
      </c>
      <c r="AF1441" s="168" t="str">
        <f t="shared" si="292"/>
        <v/>
      </c>
      <c r="AG1441" s="28"/>
      <c r="AH1441" s="28"/>
      <c r="AI1441" s="20" t="str">
        <f>IF(AG1441="","",IF($F1441="Bernardino Furlan",_xlfn.XLOOKUP(AG1441,Cadastros!$G$6:$G$90,Cadastros!$H$6:$H$90)*(1-0.18),IF($F1441="Mauro José Salanti",_xlfn.XLOOKUP(AG1441,Cadastros!$G$6:$G$90,Cadastros!$H$6:$H$90)*(1-0.18),_xlfn.XLOOKUP(AG1441,Cadastros!$G$6:$G$90,Cadastros!$H$6:$H$90))))</f>
        <v/>
      </c>
      <c r="AJ1441" s="168" t="str">
        <f t="shared" si="293"/>
        <v/>
      </c>
      <c r="AK1441" s="168" t="str">
        <f t="shared" si="294"/>
        <v/>
      </c>
      <c r="AL1441" s="28"/>
      <c r="AM1441" s="28"/>
      <c r="AN1441" s="20" t="str">
        <f>IF(AL1441="","",IF($F1441="Bernardino Furlan",_xlfn.XLOOKUP(AL1441,Cadastros!$G$6:$G$90,Cadastros!$H$6:$H$90)*(1-0.18),IF($F1441="Mauro José Salanti",_xlfn.XLOOKUP(AL1441,Cadastros!$G$6:$G$90,Cadastros!$H$6:$H$90)*(1-0.18),_xlfn.XLOOKUP(AL1441,Cadastros!$G$6:$G$90,Cadastros!$H$6:$H$90))))</f>
        <v/>
      </c>
      <c r="AO1441" s="168" t="str">
        <f t="shared" si="295"/>
        <v/>
      </c>
      <c r="AP1441" s="168" t="str">
        <f t="shared" si="296"/>
        <v/>
      </c>
      <c r="AQ1441" s="28"/>
      <c r="AR1441" s="28"/>
      <c r="AS1441" s="20" t="str">
        <f>IF(AQ1441="","",IF($F1441="Bernardino Furlan",_xlfn.XLOOKUP(AQ1441,Cadastros!$G$6:$G$90,Cadastros!$H$6:$H$90)*(1-0.18),IF($F1441="Mauro José Salanti",_xlfn.XLOOKUP(AQ1441,Cadastros!$G$6:$G$90,Cadastros!$H$6:$H$90)*(1-0.18),_xlfn.XLOOKUP(AQ1441,Cadastros!$G$6:$G$90,Cadastros!$H$6:$H$90))))</f>
        <v/>
      </c>
      <c r="AT1441" s="168" t="str">
        <f t="shared" si="297"/>
        <v/>
      </c>
      <c r="AU1441" s="168" t="str">
        <f t="shared" si="298"/>
        <v/>
      </c>
      <c r="AV1441" s="227"/>
      <c r="AW1441" s="30"/>
      <c r="AX1441" s="267"/>
      <c r="AY1441" s="267"/>
      <c r="AZ1441" s="29"/>
      <c r="BA1441" s="30"/>
      <c r="BB1441" s="23" t="str" cm="1">
        <f t="array" ref="BB1441">_xlfn.IFS(AW1441="SIM",SUM(K1441,P1441,U1441,Z1441,AE1441,AJ1441,AO1441,AT1441,AX1441,AY1441),F1441&lt;&gt;"",SUM(K1441,P1441,U1441,Z1441,AE1441,AJ1441,,AO1441,AT1441),F1441="","")</f>
        <v/>
      </c>
      <c r="BC1441" s="211" t="str" cm="1">
        <f t="array" ref="BC1441">_xlfn.IFS(E1441="","",G1441&lt;=E1441,BB1441*(1-0.03),G1441&lt;(E1441+8),BB1441,AZ1441="Boleto",BB1441*(1+0.001)^DATEDIF(E1441,G1441,"D"),AZ1441="Cheque",BB1441,AZ1441="Dinheiro","Alterar forma pgto")</f>
        <v/>
      </c>
      <c r="BD1441" s="276" t="str" cm="1">
        <f t="array" ref="BD1441">IF(F1441=0," ",IF(BC1441&lt;BB1441,(_xlfn.IFS(AW1441="SIM",SUM(L1441,Q1441,V1441,AA1441,AF1441,AK1441,AP1441,AU1441)+AX1441/_xlfn.XLOOKUP(_xlfn.XLOOKUP($F1441,Clientes!$B$4:$B$39,Clientes!$C$4:$C$39),Cadastros!$L$6:$L$12,Cadastros!$M$6:$M$12)+IF($F1441="Bernardino Furlan",AY1441/2751.92,IF($F1441="Mauro José Salanti",AY1441/2751.92,AY1441/3356)),F1441&lt;&gt;0,SUM(L1441,Q1441,V1441,AA1441,AF1441,AK1441,AP1441,AU1441)))*(1-0.03),_xlfn.IFS(AW1441="SIM",SUM(L1441,Q1441,V1441,AA1441,AF1441,AK1441,AP1441,AU1441)+AX1441/_xlfn.XLOOKUP(_xlfn.XLOOKUP($F1441,Clientes!$B$4:$B$39,Clientes!$C$4:$C$39),Cadastros!$L$6:$L$12,Cadastros!$M$6:$M$12)+IF($F1441="Bernardino Furlan",AY1441/2751.92,IF($F1441="Mauro José Salanti",AY1441/2751.92,AY1441/3356)),F1441&lt;&gt;0,SUM(L1441,Q1441,V1441,AA1441,AF1441,AK1441,AP1441,AU1441))))</f>
        <v xml:space="preserve"> </v>
      </c>
      <c r="BE1441" s="120"/>
      <c r="BF1441" s="120"/>
      <c r="BG1441" s="120"/>
    </row>
    <row r="1442" spans="1:59" s="3" customFormat="1" x14ac:dyDescent="0.3">
      <c r="A1442" s="15" t="str">
        <f t="shared" si="286"/>
        <v/>
      </c>
      <c r="B1442" s="25"/>
      <c r="C1442" s="26"/>
      <c r="D1442" s="279"/>
      <c r="E1442" s="27"/>
      <c r="F1442" s="28"/>
      <c r="G1442" s="27"/>
      <c r="H1442" s="28"/>
      <c r="I1442" s="28"/>
      <c r="J1442" s="255" t="str">
        <f>IF(H1442="","",(_xlfn.XLOOKUP(H1442,Cadastros!$D$6:$D$90,Cadastros!$E$6:$E$90))*(1-_xlfn.XLOOKUP(_xlfn.XLOOKUP($F1442,Clientes!$B$4:$B$39,Clientes!$C$4:$C$39),Cadastros!$L$6:$L$12,Cadastros!$N$6:$N$12)))</f>
        <v/>
      </c>
      <c r="K1442" s="168" t="str">
        <f t="shared" si="287"/>
        <v/>
      </c>
      <c r="L1442" s="168" t="str">
        <f>IFERROR(K1442/_xlfn.XLOOKUP(_xlfn.XLOOKUP($F1442,Clientes!$B$4:$B$39,Clientes!$C$4:$C$39),Cadastros!$L$6:$L$12,Cadastros!$M$6:$M$12)," ")</f>
        <v xml:space="preserve"> </v>
      </c>
      <c r="M1442" s="28"/>
      <c r="N1442" s="28"/>
      <c r="O1442" s="255" t="str">
        <f>IF(M1442="","",(_xlfn.XLOOKUP(M1442,Cadastros!$D$6:$D$90,Cadastros!$E$6:$E$90))*(1-_xlfn.XLOOKUP(_xlfn.XLOOKUP($F1442,Clientes!$B$4:$B$39,Clientes!$C$4:$C$39),Cadastros!$L$6:$L$12,Cadastros!$N$6:$N$12)))</f>
        <v/>
      </c>
      <c r="P1442" s="168" t="str">
        <f t="shared" si="288"/>
        <v/>
      </c>
      <c r="Q1442" s="168" t="str">
        <f>IFERROR(P1442/_xlfn.XLOOKUP(_xlfn.XLOOKUP($F1442,Clientes!$B$4:$B$39,Clientes!$C$4:$C$39),Cadastros!$L$6:$L$12,Cadastros!$M$6:$M$12)," ")</f>
        <v xml:space="preserve"> </v>
      </c>
      <c r="R1442" s="28"/>
      <c r="S1442" s="28"/>
      <c r="T1442" s="255" t="str">
        <f>IF(R1442="","",(_xlfn.XLOOKUP(R1442,Cadastros!$D$6:$D$90,Cadastros!$E$6:$E$90))*(1-_xlfn.XLOOKUP(_xlfn.XLOOKUP($F1442,Clientes!$B$4:$B$39,Clientes!$C$4:$C$39),Cadastros!$L$6:$L$12,Cadastros!$N$6:$N$12)))</f>
        <v/>
      </c>
      <c r="U1442" s="168" t="str">
        <f t="shared" si="289"/>
        <v/>
      </c>
      <c r="V1442" s="168" t="str">
        <f>IFERROR(U1442/_xlfn.XLOOKUP(_xlfn.XLOOKUP($F1442,Clientes!$B$4:$B$39,Clientes!$C$4:$C$39),Cadastros!$L$6:$L$12,Cadastros!$M$6:$M$12)," ")</f>
        <v xml:space="preserve"> </v>
      </c>
      <c r="W1442" s="28"/>
      <c r="X1442" s="28"/>
      <c r="Y1442" s="255" t="str">
        <f>IF(W1442="","",(_xlfn.XLOOKUP(W1442,Cadastros!$D$6:$D$90,Cadastros!$E$6:$E$90))*(1-_xlfn.XLOOKUP(_xlfn.XLOOKUP($F1442,Clientes!$B$4:$B$39,Clientes!$C$4:$C$39),Cadastros!$L$6:$L$12,Cadastros!$N$6:$N$12)))</f>
        <v/>
      </c>
      <c r="Z1442" s="168" t="str">
        <f t="shared" si="290"/>
        <v/>
      </c>
      <c r="AA1442" s="168" t="str">
        <f>IFERROR(Z1442/_xlfn.XLOOKUP(_xlfn.XLOOKUP($F1442,Clientes!$B$4:$B$39,Clientes!$C$4:$C$39),Cadastros!$L$6:$L$12,Cadastros!$M$6:$M$12)," ")</f>
        <v xml:space="preserve"> </v>
      </c>
      <c r="AB1442" s="28"/>
      <c r="AC1442" s="28"/>
      <c r="AD1442" s="20" t="str">
        <f>IF(AB1442="","",IF($F1442="Bernardino Furlan",_xlfn.XLOOKUP(AB1442,Cadastros!$G$6:$G$90,Cadastros!$H$6:$H$90)*(1-0.18),IF($F1442="Mauro José Salanti",_xlfn.XLOOKUP(AB1442,Cadastros!$G$6:$G$90,Cadastros!$H$6:$H$90)*(1-0.18),_xlfn.XLOOKUP(AB1442,Cadastros!$G$6:$G$90,Cadastros!$H$6:$H$90))))</f>
        <v/>
      </c>
      <c r="AE1442" s="168" t="str">
        <f t="shared" si="291"/>
        <v/>
      </c>
      <c r="AF1442" s="168" t="str">
        <f t="shared" si="292"/>
        <v/>
      </c>
      <c r="AG1442" s="28"/>
      <c r="AH1442" s="28"/>
      <c r="AI1442" s="20" t="str">
        <f>IF(AG1442="","",IF($F1442="Bernardino Furlan",_xlfn.XLOOKUP(AG1442,Cadastros!$G$6:$G$90,Cadastros!$H$6:$H$90)*(1-0.18),IF($F1442="Mauro José Salanti",_xlfn.XLOOKUP(AG1442,Cadastros!$G$6:$G$90,Cadastros!$H$6:$H$90)*(1-0.18),_xlfn.XLOOKUP(AG1442,Cadastros!$G$6:$G$90,Cadastros!$H$6:$H$90))))</f>
        <v/>
      </c>
      <c r="AJ1442" s="168" t="str">
        <f t="shared" si="293"/>
        <v/>
      </c>
      <c r="AK1442" s="168" t="str">
        <f t="shared" si="294"/>
        <v/>
      </c>
      <c r="AL1442" s="28"/>
      <c r="AM1442" s="28"/>
      <c r="AN1442" s="20" t="str">
        <f>IF(AL1442="","",IF($F1442="Bernardino Furlan",_xlfn.XLOOKUP(AL1442,Cadastros!$G$6:$G$90,Cadastros!$H$6:$H$90)*(1-0.18),IF($F1442="Mauro José Salanti",_xlfn.XLOOKUP(AL1442,Cadastros!$G$6:$G$90,Cadastros!$H$6:$H$90)*(1-0.18),_xlfn.XLOOKUP(AL1442,Cadastros!$G$6:$G$90,Cadastros!$H$6:$H$90))))</f>
        <v/>
      </c>
      <c r="AO1442" s="168" t="str">
        <f t="shared" si="295"/>
        <v/>
      </c>
      <c r="AP1442" s="168" t="str">
        <f t="shared" si="296"/>
        <v/>
      </c>
      <c r="AQ1442" s="28"/>
      <c r="AR1442" s="28"/>
      <c r="AS1442" s="20" t="str">
        <f>IF(AQ1442="","",IF($F1442="Bernardino Furlan",_xlfn.XLOOKUP(AQ1442,Cadastros!$G$6:$G$90,Cadastros!$H$6:$H$90)*(1-0.18),IF($F1442="Mauro José Salanti",_xlfn.XLOOKUP(AQ1442,Cadastros!$G$6:$G$90,Cadastros!$H$6:$H$90)*(1-0.18),_xlfn.XLOOKUP(AQ1442,Cadastros!$G$6:$G$90,Cadastros!$H$6:$H$90))))</f>
        <v/>
      </c>
      <c r="AT1442" s="168" t="str">
        <f t="shared" si="297"/>
        <v/>
      </c>
      <c r="AU1442" s="168" t="str">
        <f t="shared" si="298"/>
        <v/>
      </c>
      <c r="AV1442" s="227"/>
      <c r="AW1442" s="30"/>
      <c r="AX1442" s="267"/>
      <c r="AY1442" s="267"/>
      <c r="AZ1442" s="29"/>
      <c r="BA1442" s="30"/>
      <c r="BB1442" s="23" t="str" cm="1">
        <f t="array" ref="BB1442">_xlfn.IFS(AW1442="SIM",SUM(K1442,P1442,U1442,Z1442,AE1442,AJ1442,AO1442,AT1442,AX1442,AY1442),F1442&lt;&gt;"",SUM(K1442,P1442,U1442,Z1442,AE1442,AJ1442,,AO1442,AT1442),F1442="","")</f>
        <v/>
      </c>
      <c r="BC1442" s="211" t="str" cm="1">
        <f t="array" ref="BC1442">_xlfn.IFS(E1442="","",G1442&lt;=E1442,BB1442*(1-0.03),G1442&lt;(E1442+8),BB1442,AZ1442="Boleto",BB1442*(1+0.001)^DATEDIF(E1442,G1442,"D"),AZ1442="Cheque",BB1442,AZ1442="Dinheiro","Alterar forma pgto")</f>
        <v/>
      </c>
      <c r="BD1442" s="276" t="str" cm="1">
        <f t="array" ref="BD1442">IF(F1442=0," ",IF(BC1442&lt;BB1442,(_xlfn.IFS(AW1442="SIM",SUM(L1442,Q1442,V1442,AA1442,AF1442,AK1442,AP1442,AU1442)+AX1442/_xlfn.XLOOKUP(_xlfn.XLOOKUP($F1442,Clientes!$B$4:$B$39,Clientes!$C$4:$C$39),Cadastros!$L$6:$L$12,Cadastros!$M$6:$M$12)+IF($F1442="Bernardino Furlan",AY1442/2751.92,IF($F1442="Mauro José Salanti",AY1442/2751.92,AY1442/3356)),F1442&lt;&gt;0,SUM(L1442,Q1442,V1442,AA1442,AF1442,AK1442,AP1442,AU1442)))*(1-0.03),_xlfn.IFS(AW1442="SIM",SUM(L1442,Q1442,V1442,AA1442,AF1442,AK1442,AP1442,AU1442)+AX1442/_xlfn.XLOOKUP(_xlfn.XLOOKUP($F1442,Clientes!$B$4:$B$39,Clientes!$C$4:$C$39),Cadastros!$L$6:$L$12,Cadastros!$M$6:$M$12)+IF($F1442="Bernardino Furlan",AY1442/2751.92,IF($F1442="Mauro José Salanti",AY1442/2751.92,AY1442/3356)),F1442&lt;&gt;0,SUM(L1442,Q1442,V1442,AA1442,AF1442,AK1442,AP1442,AU1442))))</f>
        <v xml:space="preserve"> </v>
      </c>
      <c r="BE1442" s="120"/>
      <c r="BF1442" s="120"/>
      <c r="BG1442" s="120"/>
    </row>
    <row r="1443" spans="1:59" s="3" customFormat="1" x14ac:dyDescent="0.3">
      <c r="A1443" s="15" t="str">
        <f t="shared" si="286"/>
        <v/>
      </c>
      <c r="B1443" s="25"/>
      <c r="C1443" s="26"/>
      <c r="D1443" s="279"/>
      <c r="E1443" s="27"/>
      <c r="F1443" s="28"/>
      <c r="G1443" s="27"/>
      <c r="H1443" s="28"/>
      <c r="I1443" s="28"/>
      <c r="J1443" s="255" t="str">
        <f>IF(H1443="","",(_xlfn.XLOOKUP(H1443,Cadastros!$D$6:$D$90,Cadastros!$E$6:$E$90))*(1-_xlfn.XLOOKUP(_xlfn.XLOOKUP($F1443,Clientes!$B$4:$B$39,Clientes!$C$4:$C$39),Cadastros!$L$6:$L$12,Cadastros!$N$6:$N$12)))</f>
        <v/>
      </c>
      <c r="K1443" s="168" t="str">
        <f t="shared" si="287"/>
        <v/>
      </c>
      <c r="L1443" s="168" t="str">
        <f>IFERROR(K1443/_xlfn.XLOOKUP(_xlfn.XLOOKUP($F1443,Clientes!$B$4:$B$39,Clientes!$C$4:$C$39),Cadastros!$L$6:$L$12,Cadastros!$M$6:$M$12)," ")</f>
        <v xml:space="preserve"> </v>
      </c>
      <c r="M1443" s="28"/>
      <c r="N1443" s="28"/>
      <c r="O1443" s="255" t="str">
        <f>IF(M1443="","",(_xlfn.XLOOKUP(M1443,Cadastros!$D$6:$D$90,Cadastros!$E$6:$E$90))*(1-_xlfn.XLOOKUP(_xlfn.XLOOKUP($F1443,Clientes!$B$4:$B$39,Clientes!$C$4:$C$39),Cadastros!$L$6:$L$12,Cadastros!$N$6:$N$12)))</f>
        <v/>
      </c>
      <c r="P1443" s="168" t="str">
        <f t="shared" si="288"/>
        <v/>
      </c>
      <c r="Q1443" s="168" t="str">
        <f>IFERROR(P1443/_xlfn.XLOOKUP(_xlfn.XLOOKUP($F1443,Clientes!$B$4:$B$39,Clientes!$C$4:$C$39),Cadastros!$L$6:$L$12,Cadastros!$M$6:$M$12)," ")</f>
        <v xml:space="preserve"> </v>
      </c>
      <c r="R1443" s="28"/>
      <c r="S1443" s="28"/>
      <c r="T1443" s="255" t="str">
        <f>IF(R1443="","",(_xlfn.XLOOKUP(R1443,Cadastros!$D$6:$D$90,Cadastros!$E$6:$E$90))*(1-_xlfn.XLOOKUP(_xlfn.XLOOKUP($F1443,Clientes!$B$4:$B$39,Clientes!$C$4:$C$39),Cadastros!$L$6:$L$12,Cadastros!$N$6:$N$12)))</f>
        <v/>
      </c>
      <c r="U1443" s="168" t="str">
        <f t="shared" si="289"/>
        <v/>
      </c>
      <c r="V1443" s="168" t="str">
        <f>IFERROR(U1443/_xlfn.XLOOKUP(_xlfn.XLOOKUP($F1443,Clientes!$B$4:$B$39,Clientes!$C$4:$C$39),Cadastros!$L$6:$L$12,Cadastros!$M$6:$M$12)," ")</f>
        <v xml:space="preserve"> </v>
      </c>
      <c r="W1443" s="28"/>
      <c r="X1443" s="28"/>
      <c r="Y1443" s="255" t="str">
        <f>IF(W1443="","",(_xlfn.XLOOKUP(W1443,Cadastros!$D$6:$D$90,Cadastros!$E$6:$E$90))*(1-_xlfn.XLOOKUP(_xlfn.XLOOKUP($F1443,Clientes!$B$4:$B$39,Clientes!$C$4:$C$39),Cadastros!$L$6:$L$12,Cadastros!$N$6:$N$12)))</f>
        <v/>
      </c>
      <c r="Z1443" s="168" t="str">
        <f t="shared" si="290"/>
        <v/>
      </c>
      <c r="AA1443" s="168" t="str">
        <f>IFERROR(Z1443/_xlfn.XLOOKUP(_xlfn.XLOOKUP($F1443,Clientes!$B$4:$B$39,Clientes!$C$4:$C$39),Cadastros!$L$6:$L$12,Cadastros!$M$6:$M$12)," ")</f>
        <v xml:space="preserve"> </v>
      </c>
      <c r="AB1443" s="28"/>
      <c r="AC1443" s="28"/>
      <c r="AD1443" s="20" t="str">
        <f>IF(AB1443="","",IF($F1443="Bernardino Furlan",_xlfn.XLOOKUP(AB1443,Cadastros!$G$6:$G$90,Cadastros!$H$6:$H$90)*(1-0.18),IF($F1443="Mauro José Salanti",_xlfn.XLOOKUP(AB1443,Cadastros!$G$6:$G$90,Cadastros!$H$6:$H$90)*(1-0.18),_xlfn.XLOOKUP(AB1443,Cadastros!$G$6:$G$90,Cadastros!$H$6:$H$90))))</f>
        <v/>
      </c>
      <c r="AE1443" s="168" t="str">
        <f t="shared" si="291"/>
        <v/>
      </c>
      <c r="AF1443" s="168" t="str">
        <f t="shared" si="292"/>
        <v/>
      </c>
      <c r="AG1443" s="28"/>
      <c r="AH1443" s="28"/>
      <c r="AI1443" s="20" t="str">
        <f>IF(AG1443="","",IF($F1443="Bernardino Furlan",_xlfn.XLOOKUP(AG1443,Cadastros!$G$6:$G$90,Cadastros!$H$6:$H$90)*(1-0.18),IF($F1443="Mauro José Salanti",_xlfn.XLOOKUP(AG1443,Cadastros!$G$6:$G$90,Cadastros!$H$6:$H$90)*(1-0.18),_xlfn.XLOOKUP(AG1443,Cadastros!$G$6:$G$90,Cadastros!$H$6:$H$90))))</f>
        <v/>
      </c>
      <c r="AJ1443" s="168" t="str">
        <f t="shared" si="293"/>
        <v/>
      </c>
      <c r="AK1443" s="168" t="str">
        <f t="shared" si="294"/>
        <v/>
      </c>
      <c r="AL1443" s="28"/>
      <c r="AM1443" s="28"/>
      <c r="AN1443" s="20" t="str">
        <f>IF(AL1443="","",IF($F1443="Bernardino Furlan",_xlfn.XLOOKUP(AL1443,Cadastros!$G$6:$G$90,Cadastros!$H$6:$H$90)*(1-0.18),IF($F1443="Mauro José Salanti",_xlfn.XLOOKUP(AL1443,Cadastros!$G$6:$G$90,Cadastros!$H$6:$H$90)*(1-0.18),_xlfn.XLOOKUP(AL1443,Cadastros!$G$6:$G$90,Cadastros!$H$6:$H$90))))</f>
        <v/>
      </c>
      <c r="AO1443" s="168" t="str">
        <f t="shared" si="295"/>
        <v/>
      </c>
      <c r="AP1443" s="168" t="str">
        <f t="shared" si="296"/>
        <v/>
      </c>
      <c r="AQ1443" s="28"/>
      <c r="AR1443" s="28"/>
      <c r="AS1443" s="20" t="str">
        <f>IF(AQ1443="","",IF($F1443="Bernardino Furlan",_xlfn.XLOOKUP(AQ1443,Cadastros!$G$6:$G$90,Cadastros!$H$6:$H$90)*(1-0.18),IF($F1443="Mauro José Salanti",_xlfn.XLOOKUP(AQ1443,Cadastros!$G$6:$G$90,Cadastros!$H$6:$H$90)*(1-0.18),_xlfn.XLOOKUP(AQ1443,Cadastros!$G$6:$G$90,Cadastros!$H$6:$H$90))))</f>
        <v/>
      </c>
      <c r="AT1443" s="168" t="str">
        <f t="shared" si="297"/>
        <v/>
      </c>
      <c r="AU1443" s="168" t="str">
        <f t="shared" si="298"/>
        <v/>
      </c>
      <c r="AV1443" s="227"/>
      <c r="AW1443" s="30"/>
      <c r="AX1443" s="267"/>
      <c r="AY1443" s="267"/>
      <c r="AZ1443" s="29"/>
      <c r="BA1443" s="30"/>
      <c r="BB1443" s="23" t="str" cm="1">
        <f t="array" ref="BB1443">_xlfn.IFS(AW1443="SIM",SUM(K1443,P1443,U1443,Z1443,AE1443,AJ1443,AO1443,AT1443,AX1443,AY1443),F1443&lt;&gt;"",SUM(K1443,P1443,U1443,Z1443,AE1443,AJ1443,,AO1443,AT1443),F1443="","")</f>
        <v/>
      </c>
      <c r="BC1443" s="211" t="str" cm="1">
        <f t="array" ref="BC1443">_xlfn.IFS(E1443="","",G1443&lt;=E1443,BB1443*(1-0.03),G1443&lt;(E1443+8),BB1443,AZ1443="Boleto",BB1443*(1+0.001)^DATEDIF(E1443,G1443,"D"),AZ1443="Cheque",BB1443,AZ1443="Dinheiro","Alterar forma pgto")</f>
        <v/>
      </c>
      <c r="BD1443" s="276" t="str" cm="1">
        <f t="array" ref="BD1443">IF(F1443=0," ",IF(BC1443&lt;BB1443,(_xlfn.IFS(AW1443="SIM",SUM(L1443,Q1443,V1443,AA1443,AF1443,AK1443,AP1443,AU1443)+AX1443/_xlfn.XLOOKUP(_xlfn.XLOOKUP($F1443,Clientes!$B$4:$B$39,Clientes!$C$4:$C$39),Cadastros!$L$6:$L$12,Cadastros!$M$6:$M$12)+IF($F1443="Bernardino Furlan",AY1443/2751.92,IF($F1443="Mauro José Salanti",AY1443/2751.92,AY1443/3356)),F1443&lt;&gt;0,SUM(L1443,Q1443,V1443,AA1443,AF1443,AK1443,AP1443,AU1443)))*(1-0.03),_xlfn.IFS(AW1443="SIM",SUM(L1443,Q1443,V1443,AA1443,AF1443,AK1443,AP1443,AU1443)+AX1443/_xlfn.XLOOKUP(_xlfn.XLOOKUP($F1443,Clientes!$B$4:$B$39,Clientes!$C$4:$C$39),Cadastros!$L$6:$L$12,Cadastros!$M$6:$M$12)+IF($F1443="Bernardino Furlan",AY1443/2751.92,IF($F1443="Mauro José Salanti",AY1443/2751.92,AY1443/3356)),F1443&lt;&gt;0,SUM(L1443,Q1443,V1443,AA1443,AF1443,AK1443,AP1443,AU1443))))</f>
        <v xml:space="preserve"> </v>
      </c>
      <c r="BE1443" s="120"/>
      <c r="BF1443" s="120"/>
      <c r="BG1443" s="120"/>
    </row>
    <row r="1444" spans="1:59" s="3" customFormat="1" x14ac:dyDescent="0.3">
      <c r="A1444" s="15" t="str">
        <f t="shared" si="286"/>
        <v/>
      </c>
      <c r="B1444" s="25"/>
      <c r="C1444" s="26"/>
      <c r="D1444" s="279"/>
      <c r="E1444" s="27"/>
      <c r="F1444" s="28"/>
      <c r="G1444" s="27"/>
      <c r="H1444" s="28"/>
      <c r="I1444" s="28"/>
      <c r="J1444" s="255" t="str">
        <f>IF(H1444="","",(_xlfn.XLOOKUP(H1444,Cadastros!$D$6:$D$90,Cadastros!$E$6:$E$90))*(1-_xlfn.XLOOKUP(_xlfn.XLOOKUP($F1444,Clientes!$B$4:$B$39,Clientes!$C$4:$C$39),Cadastros!$L$6:$L$12,Cadastros!$N$6:$N$12)))</f>
        <v/>
      </c>
      <c r="K1444" s="168" t="str">
        <f t="shared" si="287"/>
        <v/>
      </c>
      <c r="L1444" s="168" t="str">
        <f>IFERROR(K1444/_xlfn.XLOOKUP(_xlfn.XLOOKUP($F1444,Clientes!$B$4:$B$39,Clientes!$C$4:$C$39),Cadastros!$L$6:$L$12,Cadastros!$M$6:$M$12)," ")</f>
        <v xml:space="preserve"> </v>
      </c>
      <c r="M1444" s="28"/>
      <c r="N1444" s="28"/>
      <c r="O1444" s="255" t="str">
        <f>IF(M1444="","",(_xlfn.XLOOKUP(M1444,Cadastros!$D$6:$D$90,Cadastros!$E$6:$E$90))*(1-_xlfn.XLOOKUP(_xlfn.XLOOKUP($F1444,Clientes!$B$4:$B$39,Clientes!$C$4:$C$39),Cadastros!$L$6:$L$12,Cadastros!$N$6:$N$12)))</f>
        <v/>
      </c>
      <c r="P1444" s="168" t="str">
        <f t="shared" si="288"/>
        <v/>
      </c>
      <c r="Q1444" s="168" t="str">
        <f>IFERROR(P1444/_xlfn.XLOOKUP(_xlfn.XLOOKUP($F1444,Clientes!$B$4:$B$39,Clientes!$C$4:$C$39),Cadastros!$L$6:$L$12,Cadastros!$M$6:$M$12)," ")</f>
        <v xml:space="preserve"> </v>
      </c>
      <c r="R1444" s="28"/>
      <c r="S1444" s="28"/>
      <c r="T1444" s="255" t="str">
        <f>IF(R1444="","",(_xlfn.XLOOKUP(R1444,Cadastros!$D$6:$D$90,Cadastros!$E$6:$E$90))*(1-_xlfn.XLOOKUP(_xlfn.XLOOKUP($F1444,Clientes!$B$4:$B$39,Clientes!$C$4:$C$39),Cadastros!$L$6:$L$12,Cadastros!$N$6:$N$12)))</f>
        <v/>
      </c>
      <c r="U1444" s="168" t="str">
        <f t="shared" si="289"/>
        <v/>
      </c>
      <c r="V1444" s="168" t="str">
        <f>IFERROR(U1444/_xlfn.XLOOKUP(_xlfn.XLOOKUP($F1444,Clientes!$B$4:$B$39,Clientes!$C$4:$C$39),Cadastros!$L$6:$L$12,Cadastros!$M$6:$M$12)," ")</f>
        <v xml:space="preserve"> </v>
      </c>
      <c r="W1444" s="28"/>
      <c r="X1444" s="28"/>
      <c r="Y1444" s="255" t="str">
        <f>IF(W1444="","",(_xlfn.XLOOKUP(W1444,Cadastros!$D$6:$D$90,Cadastros!$E$6:$E$90))*(1-_xlfn.XLOOKUP(_xlfn.XLOOKUP($F1444,Clientes!$B$4:$B$39,Clientes!$C$4:$C$39),Cadastros!$L$6:$L$12,Cadastros!$N$6:$N$12)))</f>
        <v/>
      </c>
      <c r="Z1444" s="168" t="str">
        <f t="shared" si="290"/>
        <v/>
      </c>
      <c r="AA1444" s="168" t="str">
        <f>IFERROR(Z1444/_xlfn.XLOOKUP(_xlfn.XLOOKUP($F1444,Clientes!$B$4:$B$39,Clientes!$C$4:$C$39),Cadastros!$L$6:$L$12,Cadastros!$M$6:$M$12)," ")</f>
        <v xml:space="preserve"> </v>
      </c>
      <c r="AB1444" s="28"/>
      <c r="AC1444" s="28"/>
      <c r="AD1444" s="20" t="str">
        <f>IF(AB1444="","",IF($F1444="Bernardino Furlan",_xlfn.XLOOKUP(AB1444,Cadastros!$G$6:$G$90,Cadastros!$H$6:$H$90)*(1-0.18),IF($F1444="Mauro José Salanti",_xlfn.XLOOKUP(AB1444,Cadastros!$G$6:$G$90,Cadastros!$H$6:$H$90)*(1-0.18),_xlfn.XLOOKUP(AB1444,Cadastros!$G$6:$G$90,Cadastros!$H$6:$H$90))))</f>
        <v/>
      </c>
      <c r="AE1444" s="168" t="str">
        <f t="shared" si="291"/>
        <v/>
      </c>
      <c r="AF1444" s="168" t="str">
        <f t="shared" si="292"/>
        <v/>
      </c>
      <c r="AG1444" s="28"/>
      <c r="AH1444" s="28"/>
      <c r="AI1444" s="20" t="str">
        <f>IF(AG1444="","",IF($F1444="Bernardino Furlan",_xlfn.XLOOKUP(AG1444,Cadastros!$G$6:$G$90,Cadastros!$H$6:$H$90)*(1-0.18),IF($F1444="Mauro José Salanti",_xlfn.XLOOKUP(AG1444,Cadastros!$G$6:$G$90,Cadastros!$H$6:$H$90)*(1-0.18),_xlfn.XLOOKUP(AG1444,Cadastros!$G$6:$G$90,Cadastros!$H$6:$H$90))))</f>
        <v/>
      </c>
      <c r="AJ1444" s="168" t="str">
        <f t="shared" si="293"/>
        <v/>
      </c>
      <c r="AK1444" s="168" t="str">
        <f t="shared" si="294"/>
        <v/>
      </c>
      <c r="AL1444" s="28"/>
      <c r="AM1444" s="28"/>
      <c r="AN1444" s="20" t="str">
        <f>IF(AL1444="","",IF($F1444="Bernardino Furlan",_xlfn.XLOOKUP(AL1444,Cadastros!$G$6:$G$90,Cadastros!$H$6:$H$90)*(1-0.18),IF($F1444="Mauro José Salanti",_xlfn.XLOOKUP(AL1444,Cadastros!$G$6:$G$90,Cadastros!$H$6:$H$90)*(1-0.18),_xlfn.XLOOKUP(AL1444,Cadastros!$G$6:$G$90,Cadastros!$H$6:$H$90))))</f>
        <v/>
      </c>
      <c r="AO1444" s="168" t="str">
        <f t="shared" si="295"/>
        <v/>
      </c>
      <c r="AP1444" s="168" t="str">
        <f t="shared" si="296"/>
        <v/>
      </c>
      <c r="AQ1444" s="28"/>
      <c r="AR1444" s="28"/>
      <c r="AS1444" s="20" t="str">
        <f>IF(AQ1444="","",IF($F1444="Bernardino Furlan",_xlfn.XLOOKUP(AQ1444,Cadastros!$G$6:$G$90,Cadastros!$H$6:$H$90)*(1-0.18),IF($F1444="Mauro José Salanti",_xlfn.XLOOKUP(AQ1444,Cadastros!$G$6:$G$90,Cadastros!$H$6:$H$90)*(1-0.18),_xlfn.XLOOKUP(AQ1444,Cadastros!$G$6:$G$90,Cadastros!$H$6:$H$90))))</f>
        <v/>
      </c>
      <c r="AT1444" s="168" t="str">
        <f t="shared" si="297"/>
        <v/>
      </c>
      <c r="AU1444" s="168" t="str">
        <f t="shared" si="298"/>
        <v/>
      </c>
      <c r="AV1444" s="227"/>
      <c r="AW1444" s="30"/>
      <c r="AX1444" s="267"/>
      <c r="AY1444" s="267"/>
      <c r="AZ1444" s="29"/>
      <c r="BA1444" s="30"/>
      <c r="BB1444" s="23" t="str" cm="1">
        <f t="array" ref="BB1444">_xlfn.IFS(AW1444="SIM",SUM(K1444,P1444,U1444,Z1444,AE1444,AJ1444,AO1444,AT1444,AX1444,AY1444),F1444&lt;&gt;"",SUM(K1444,P1444,U1444,Z1444,AE1444,AJ1444,,AO1444,AT1444),F1444="","")</f>
        <v/>
      </c>
      <c r="BC1444" s="211" t="str" cm="1">
        <f t="array" ref="BC1444">_xlfn.IFS(E1444="","",G1444&lt;=E1444,BB1444*(1-0.03),G1444&lt;(E1444+8),BB1444,AZ1444="Boleto",BB1444*(1+0.001)^DATEDIF(E1444,G1444,"D"),AZ1444="Cheque",BB1444,AZ1444="Dinheiro","Alterar forma pgto")</f>
        <v/>
      </c>
      <c r="BD1444" s="276" t="str" cm="1">
        <f t="array" ref="BD1444">IF(F1444=0," ",IF(BC1444&lt;BB1444,(_xlfn.IFS(AW1444="SIM",SUM(L1444,Q1444,V1444,AA1444,AF1444,AK1444,AP1444,AU1444)+AX1444/_xlfn.XLOOKUP(_xlfn.XLOOKUP($F1444,Clientes!$B$4:$B$39,Clientes!$C$4:$C$39),Cadastros!$L$6:$L$12,Cadastros!$M$6:$M$12)+IF($F1444="Bernardino Furlan",AY1444/2751.92,IF($F1444="Mauro José Salanti",AY1444/2751.92,AY1444/3356)),F1444&lt;&gt;0,SUM(L1444,Q1444,V1444,AA1444,AF1444,AK1444,AP1444,AU1444)))*(1-0.03),_xlfn.IFS(AW1444="SIM",SUM(L1444,Q1444,V1444,AA1444,AF1444,AK1444,AP1444,AU1444)+AX1444/_xlfn.XLOOKUP(_xlfn.XLOOKUP($F1444,Clientes!$B$4:$B$39,Clientes!$C$4:$C$39),Cadastros!$L$6:$L$12,Cadastros!$M$6:$M$12)+IF($F1444="Bernardino Furlan",AY1444/2751.92,IF($F1444="Mauro José Salanti",AY1444/2751.92,AY1444/3356)),F1444&lt;&gt;0,SUM(L1444,Q1444,V1444,AA1444,AF1444,AK1444,AP1444,AU1444))))</f>
        <v xml:space="preserve"> </v>
      </c>
      <c r="BE1444" s="120"/>
      <c r="BF1444" s="120"/>
      <c r="BG1444" s="120"/>
    </row>
    <row r="1445" spans="1:59" s="3" customFormat="1" x14ac:dyDescent="0.3">
      <c r="A1445" s="15" t="str">
        <f t="shared" si="286"/>
        <v/>
      </c>
      <c r="B1445" s="25"/>
      <c r="C1445" s="26"/>
      <c r="D1445" s="279"/>
      <c r="E1445" s="27"/>
      <c r="F1445" s="28"/>
      <c r="G1445" s="27"/>
      <c r="H1445" s="28"/>
      <c r="I1445" s="28"/>
      <c r="J1445" s="255" t="str">
        <f>IF(H1445="","",(_xlfn.XLOOKUP(H1445,Cadastros!$D$6:$D$90,Cadastros!$E$6:$E$90))*(1-_xlfn.XLOOKUP(_xlfn.XLOOKUP($F1445,Clientes!$B$4:$B$39,Clientes!$C$4:$C$39),Cadastros!$L$6:$L$12,Cadastros!$N$6:$N$12)))</f>
        <v/>
      </c>
      <c r="K1445" s="168" t="str">
        <f t="shared" si="287"/>
        <v/>
      </c>
      <c r="L1445" s="168" t="str">
        <f>IFERROR(K1445/_xlfn.XLOOKUP(_xlfn.XLOOKUP($F1445,Clientes!$B$4:$B$39,Clientes!$C$4:$C$39),Cadastros!$L$6:$L$12,Cadastros!$M$6:$M$12)," ")</f>
        <v xml:space="preserve"> </v>
      </c>
      <c r="M1445" s="28"/>
      <c r="N1445" s="28"/>
      <c r="O1445" s="255" t="str">
        <f>IF(M1445="","",(_xlfn.XLOOKUP(M1445,Cadastros!$D$6:$D$90,Cadastros!$E$6:$E$90))*(1-_xlfn.XLOOKUP(_xlfn.XLOOKUP($F1445,Clientes!$B$4:$B$39,Clientes!$C$4:$C$39),Cadastros!$L$6:$L$12,Cadastros!$N$6:$N$12)))</f>
        <v/>
      </c>
      <c r="P1445" s="168" t="str">
        <f t="shared" si="288"/>
        <v/>
      </c>
      <c r="Q1445" s="168" t="str">
        <f>IFERROR(P1445/_xlfn.XLOOKUP(_xlfn.XLOOKUP($F1445,Clientes!$B$4:$B$39,Clientes!$C$4:$C$39),Cadastros!$L$6:$L$12,Cadastros!$M$6:$M$12)," ")</f>
        <v xml:space="preserve"> </v>
      </c>
      <c r="R1445" s="28"/>
      <c r="S1445" s="28"/>
      <c r="T1445" s="255" t="str">
        <f>IF(R1445="","",(_xlfn.XLOOKUP(R1445,Cadastros!$D$6:$D$90,Cadastros!$E$6:$E$90))*(1-_xlfn.XLOOKUP(_xlfn.XLOOKUP($F1445,Clientes!$B$4:$B$39,Clientes!$C$4:$C$39),Cadastros!$L$6:$L$12,Cadastros!$N$6:$N$12)))</f>
        <v/>
      </c>
      <c r="U1445" s="168" t="str">
        <f t="shared" si="289"/>
        <v/>
      </c>
      <c r="V1445" s="168" t="str">
        <f>IFERROR(U1445/_xlfn.XLOOKUP(_xlfn.XLOOKUP($F1445,Clientes!$B$4:$B$39,Clientes!$C$4:$C$39),Cadastros!$L$6:$L$12,Cadastros!$M$6:$M$12)," ")</f>
        <v xml:space="preserve"> </v>
      </c>
      <c r="W1445" s="28"/>
      <c r="X1445" s="28"/>
      <c r="Y1445" s="255" t="str">
        <f>IF(W1445="","",(_xlfn.XLOOKUP(W1445,Cadastros!$D$6:$D$90,Cadastros!$E$6:$E$90))*(1-_xlfn.XLOOKUP(_xlfn.XLOOKUP($F1445,Clientes!$B$4:$B$39,Clientes!$C$4:$C$39),Cadastros!$L$6:$L$12,Cadastros!$N$6:$N$12)))</f>
        <v/>
      </c>
      <c r="Z1445" s="168" t="str">
        <f t="shared" si="290"/>
        <v/>
      </c>
      <c r="AA1445" s="168" t="str">
        <f>IFERROR(Z1445/_xlfn.XLOOKUP(_xlfn.XLOOKUP($F1445,Clientes!$B$4:$B$39,Clientes!$C$4:$C$39),Cadastros!$L$6:$L$12,Cadastros!$M$6:$M$12)," ")</f>
        <v xml:space="preserve"> </v>
      </c>
      <c r="AB1445" s="28"/>
      <c r="AC1445" s="28"/>
      <c r="AD1445" s="20" t="str">
        <f>IF(AB1445="","",IF($F1445="Bernardino Furlan",_xlfn.XLOOKUP(AB1445,Cadastros!$G$6:$G$90,Cadastros!$H$6:$H$90)*(1-0.18),IF($F1445="Mauro José Salanti",_xlfn.XLOOKUP(AB1445,Cadastros!$G$6:$G$90,Cadastros!$H$6:$H$90)*(1-0.18),_xlfn.XLOOKUP(AB1445,Cadastros!$G$6:$G$90,Cadastros!$H$6:$H$90))))</f>
        <v/>
      </c>
      <c r="AE1445" s="168" t="str">
        <f t="shared" si="291"/>
        <v/>
      </c>
      <c r="AF1445" s="168" t="str">
        <f t="shared" si="292"/>
        <v/>
      </c>
      <c r="AG1445" s="28"/>
      <c r="AH1445" s="28"/>
      <c r="AI1445" s="20" t="str">
        <f>IF(AG1445="","",IF($F1445="Bernardino Furlan",_xlfn.XLOOKUP(AG1445,Cadastros!$G$6:$G$90,Cadastros!$H$6:$H$90)*(1-0.18),IF($F1445="Mauro José Salanti",_xlfn.XLOOKUP(AG1445,Cadastros!$G$6:$G$90,Cadastros!$H$6:$H$90)*(1-0.18),_xlfn.XLOOKUP(AG1445,Cadastros!$G$6:$G$90,Cadastros!$H$6:$H$90))))</f>
        <v/>
      </c>
      <c r="AJ1445" s="168" t="str">
        <f t="shared" si="293"/>
        <v/>
      </c>
      <c r="AK1445" s="168" t="str">
        <f t="shared" si="294"/>
        <v/>
      </c>
      <c r="AL1445" s="28"/>
      <c r="AM1445" s="28"/>
      <c r="AN1445" s="20" t="str">
        <f>IF(AL1445="","",IF($F1445="Bernardino Furlan",_xlfn.XLOOKUP(AL1445,Cadastros!$G$6:$G$90,Cadastros!$H$6:$H$90)*(1-0.18),IF($F1445="Mauro José Salanti",_xlfn.XLOOKUP(AL1445,Cadastros!$G$6:$G$90,Cadastros!$H$6:$H$90)*(1-0.18),_xlfn.XLOOKUP(AL1445,Cadastros!$G$6:$G$90,Cadastros!$H$6:$H$90))))</f>
        <v/>
      </c>
      <c r="AO1445" s="168" t="str">
        <f t="shared" si="295"/>
        <v/>
      </c>
      <c r="AP1445" s="168" t="str">
        <f t="shared" si="296"/>
        <v/>
      </c>
      <c r="AQ1445" s="28"/>
      <c r="AR1445" s="28"/>
      <c r="AS1445" s="20" t="str">
        <f>IF(AQ1445="","",IF($F1445="Bernardino Furlan",_xlfn.XLOOKUP(AQ1445,Cadastros!$G$6:$G$90,Cadastros!$H$6:$H$90)*(1-0.18),IF($F1445="Mauro José Salanti",_xlfn.XLOOKUP(AQ1445,Cadastros!$G$6:$G$90,Cadastros!$H$6:$H$90)*(1-0.18),_xlfn.XLOOKUP(AQ1445,Cadastros!$G$6:$G$90,Cadastros!$H$6:$H$90))))</f>
        <v/>
      </c>
      <c r="AT1445" s="168" t="str">
        <f t="shared" si="297"/>
        <v/>
      </c>
      <c r="AU1445" s="168" t="str">
        <f t="shared" si="298"/>
        <v/>
      </c>
      <c r="AV1445" s="227"/>
      <c r="AW1445" s="30"/>
      <c r="AX1445" s="267"/>
      <c r="AY1445" s="267"/>
      <c r="AZ1445" s="29"/>
      <c r="BA1445" s="30"/>
      <c r="BB1445" s="23" t="str" cm="1">
        <f t="array" ref="BB1445">_xlfn.IFS(AW1445="SIM",SUM(K1445,P1445,U1445,Z1445,AE1445,AJ1445,AO1445,AT1445,AX1445,AY1445),F1445&lt;&gt;"",SUM(K1445,P1445,U1445,Z1445,AE1445,AJ1445,,AO1445,AT1445),F1445="","")</f>
        <v/>
      </c>
      <c r="BC1445" s="211" t="str" cm="1">
        <f t="array" ref="BC1445">_xlfn.IFS(E1445="","",G1445&lt;=E1445,BB1445*(1-0.03),G1445&lt;(E1445+8),BB1445,AZ1445="Boleto",BB1445*(1+0.001)^DATEDIF(E1445,G1445,"D"),AZ1445="Cheque",BB1445,AZ1445="Dinheiro","Alterar forma pgto")</f>
        <v/>
      </c>
      <c r="BD1445" s="276" t="str" cm="1">
        <f t="array" ref="BD1445">IF(F1445=0," ",IF(BC1445&lt;BB1445,(_xlfn.IFS(AW1445="SIM",SUM(L1445,Q1445,V1445,AA1445,AF1445,AK1445,AP1445,AU1445)+AX1445/_xlfn.XLOOKUP(_xlfn.XLOOKUP($F1445,Clientes!$B$4:$B$39,Clientes!$C$4:$C$39),Cadastros!$L$6:$L$12,Cadastros!$M$6:$M$12)+IF($F1445="Bernardino Furlan",AY1445/2751.92,IF($F1445="Mauro José Salanti",AY1445/2751.92,AY1445/3356)),F1445&lt;&gt;0,SUM(L1445,Q1445,V1445,AA1445,AF1445,AK1445,AP1445,AU1445)))*(1-0.03),_xlfn.IFS(AW1445="SIM",SUM(L1445,Q1445,V1445,AA1445,AF1445,AK1445,AP1445,AU1445)+AX1445/_xlfn.XLOOKUP(_xlfn.XLOOKUP($F1445,Clientes!$B$4:$B$39,Clientes!$C$4:$C$39),Cadastros!$L$6:$L$12,Cadastros!$M$6:$M$12)+IF($F1445="Bernardino Furlan",AY1445/2751.92,IF($F1445="Mauro José Salanti",AY1445/2751.92,AY1445/3356)),F1445&lt;&gt;0,SUM(L1445,Q1445,V1445,AA1445,AF1445,AK1445,AP1445,AU1445))))</f>
        <v xml:space="preserve"> </v>
      </c>
      <c r="BE1445" s="120"/>
      <c r="BF1445" s="120"/>
      <c r="BG1445" s="120"/>
    </row>
    <row r="1446" spans="1:59" s="3" customFormat="1" x14ac:dyDescent="0.3">
      <c r="A1446" s="15" t="str">
        <f t="shared" si="286"/>
        <v/>
      </c>
      <c r="B1446" s="25"/>
      <c r="C1446" s="26"/>
      <c r="D1446" s="279"/>
      <c r="E1446" s="27"/>
      <c r="F1446" s="28"/>
      <c r="G1446" s="27"/>
      <c r="H1446" s="28"/>
      <c r="I1446" s="28"/>
      <c r="J1446" s="255" t="str">
        <f>IF(H1446="","",(_xlfn.XLOOKUP(H1446,Cadastros!$D$6:$D$90,Cadastros!$E$6:$E$90))*(1-_xlfn.XLOOKUP(_xlfn.XLOOKUP($F1446,Clientes!$B$4:$B$39,Clientes!$C$4:$C$39),Cadastros!$L$6:$L$12,Cadastros!$N$6:$N$12)))</f>
        <v/>
      </c>
      <c r="K1446" s="168" t="str">
        <f t="shared" si="287"/>
        <v/>
      </c>
      <c r="L1446" s="168" t="str">
        <f>IFERROR(K1446/_xlfn.XLOOKUP(_xlfn.XLOOKUP($F1446,Clientes!$B$4:$B$39,Clientes!$C$4:$C$39),Cadastros!$L$6:$L$12,Cadastros!$M$6:$M$12)," ")</f>
        <v xml:space="preserve"> </v>
      </c>
      <c r="M1446" s="28"/>
      <c r="N1446" s="28"/>
      <c r="O1446" s="255" t="str">
        <f>IF(M1446="","",(_xlfn.XLOOKUP(M1446,Cadastros!$D$6:$D$90,Cadastros!$E$6:$E$90))*(1-_xlfn.XLOOKUP(_xlfn.XLOOKUP($F1446,Clientes!$B$4:$B$39,Clientes!$C$4:$C$39),Cadastros!$L$6:$L$12,Cadastros!$N$6:$N$12)))</f>
        <v/>
      </c>
      <c r="P1446" s="168" t="str">
        <f t="shared" si="288"/>
        <v/>
      </c>
      <c r="Q1446" s="168" t="str">
        <f>IFERROR(P1446/_xlfn.XLOOKUP(_xlfn.XLOOKUP($F1446,Clientes!$B$4:$B$39,Clientes!$C$4:$C$39),Cadastros!$L$6:$L$12,Cadastros!$M$6:$M$12)," ")</f>
        <v xml:space="preserve"> </v>
      </c>
      <c r="R1446" s="28"/>
      <c r="S1446" s="28"/>
      <c r="T1446" s="255" t="str">
        <f>IF(R1446="","",(_xlfn.XLOOKUP(R1446,Cadastros!$D$6:$D$90,Cadastros!$E$6:$E$90))*(1-_xlfn.XLOOKUP(_xlfn.XLOOKUP($F1446,Clientes!$B$4:$B$39,Clientes!$C$4:$C$39),Cadastros!$L$6:$L$12,Cadastros!$N$6:$N$12)))</f>
        <v/>
      </c>
      <c r="U1446" s="168" t="str">
        <f t="shared" si="289"/>
        <v/>
      </c>
      <c r="V1446" s="168" t="str">
        <f>IFERROR(U1446/_xlfn.XLOOKUP(_xlfn.XLOOKUP($F1446,Clientes!$B$4:$B$39,Clientes!$C$4:$C$39),Cadastros!$L$6:$L$12,Cadastros!$M$6:$M$12)," ")</f>
        <v xml:space="preserve"> </v>
      </c>
      <c r="W1446" s="28"/>
      <c r="X1446" s="28"/>
      <c r="Y1446" s="255" t="str">
        <f>IF(W1446="","",(_xlfn.XLOOKUP(W1446,Cadastros!$D$6:$D$90,Cadastros!$E$6:$E$90))*(1-_xlfn.XLOOKUP(_xlfn.XLOOKUP($F1446,Clientes!$B$4:$B$39,Clientes!$C$4:$C$39),Cadastros!$L$6:$L$12,Cadastros!$N$6:$N$12)))</f>
        <v/>
      </c>
      <c r="Z1446" s="168" t="str">
        <f t="shared" si="290"/>
        <v/>
      </c>
      <c r="AA1446" s="168" t="str">
        <f>IFERROR(Z1446/_xlfn.XLOOKUP(_xlfn.XLOOKUP($F1446,Clientes!$B$4:$B$39,Clientes!$C$4:$C$39),Cadastros!$L$6:$L$12,Cadastros!$M$6:$M$12)," ")</f>
        <v xml:space="preserve"> </v>
      </c>
      <c r="AB1446" s="28"/>
      <c r="AC1446" s="28"/>
      <c r="AD1446" s="20" t="str">
        <f>IF(AB1446="","",IF($F1446="Bernardino Furlan",_xlfn.XLOOKUP(AB1446,Cadastros!$G$6:$G$90,Cadastros!$H$6:$H$90)*(1-0.18),IF($F1446="Mauro José Salanti",_xlfn.XLOOKUP(AB1446,Cadastros!$G$6:$G$90,Cadastros!$H$6:$H$90)*(1-0.18),_xlfn.XLOOKUP(AB1446,Cadastros!$G$6:$G$90,Cadastros!$H$6:$H$90))))</f>
        <v/>
      </c>
      <c r="AE1446" s="168" t="str">
        <f t="shared" si="291"/>
        <v/>
      </c>
      <c r="AF1446" s="168" t="str">
        <f t="shared" si="292"/>
        <v/>
      </c>
      <c r="AG1446" s="28"/>
      <c r="AH1446" s="28"/>
      <c r="AI1446" s="20" t="str">
        <f>IF(AG1446="","",IF($F1446="Bernardino Furlan",_xlfn.XLOOKUP(AG1446,Cadastros!$G$6:$G$90,Cadastros!$H$6:$H$90)*(1-0.18),IF($F1446="Mauro José Salanti",_xlfn.XLOOKUP(AG1446,Cadastros!$G$6:$G$90,Cadastros!$H$6:$H$90)*(1-0.18),_xlfn.XLOOKUP(AG1446,Cadastros!$G$6:$G$90,Cadastros!$H$6:$H$90))))</f>
        <v/>
      </c>
      <c r="AJ1446" s="168" t="str">
        <f t="shared" si="293"/>
        <v/>
      </c>
      <c r="AK1446" s="168" t="str">
        <f t="shared" si="294"/>
        <v/>
      </c>
      <c r="AL1446" s="28"/>
      <c r="AM1446" s="28"/>
      <c r="AN1446" s="20" t="str">
        <f>IF(AL1446="","",IF($F1446="Bernardino Furlan",_xlfn.XLOOKUP(AL1446,Cadastros!$G$6:$G$90,Cadastros!$H$6:$H$90)*(1-0.18),IF($F1446="Mauro José Salanti",_xlfn.XLOOKUP(AL1446,Cadastros!$G$6:$G$90,Cadastros!$H$6:$H$90)*(1-0.18),_xlfn.XLOOKUP(AL1446,Cadastros!$G$6:$G$90,Cadastros!$H$6:$H$90))))</f>
        <v/>
      </c>
      <c r="AO1446" s="168" t="str">
        <f t="shared" si="295"/>
        <v/>
      </c>
      <c r="AP1446" s="168" t="str">
        <f t="shared" si="296"/>
        <v/>
      </c>
      <c r="AQ1446" s="28"/>
      <c r="AR1446" s="28"/>
      <c r="AS1446" s="20" t="str">
        <f>IF(AQ1446="","",IF($F1446="Bernardino Furlan",_xlfn.XLOOKUP(AQ1446,Cadastros!$G$6:$G$90,Cadastros!$H$6:$H$90)*(1-0.18),IF($F1446="Mauro José Salanti",_xlfn.XLOOKUP(AQ1446,Cadastros!$G$6:$G$90,Cadastros!$H$6:$H$90)*(1-0.18),_xlfn.XLOOKUP(AQ1446,Cadastros!$G$6:$G$90,Cadastros!$H$6:$H$90))))</f>
        <v/>
      </c>
      <c r="AT1446" s="168" t="str">
        <f t="shared" si="297"/>
        <v/>
      </c>
      <c r="AU1446" s="168" t="str">
        <f t="shared" si="298"/>
        <v/>
      </c>
      <c r="AV1446" s="227"/>
      <c r="AW1446" s="30"/>
      <c r="AX1446" s="267"/>
      <c r="AY1446" s="267"/>
      <c r="AZ1446" s="29"/>
      <c r="BA1446" s="30"/>
      <c r="BB1446" s="23" t="str" cm="1">
        <f t="array" ref="BB1446">_xlfn.IFS(AW1446="SIM",SUM(K1446,P1446,U1446,Z1446,AE1446,AJ1446,AO1446,AT1446,AX1446,AY1446),F1446&lt;&gt;"",SUM(K1446,P1446,U1446,Z1446,AE1446,AJ1446,,AO1446,AT1446),F1446="","")</f>
        <v/>
      </c>
      <c r="BC1446" s="211" t="str" cm="1">
        <f t="array" ref="BC1446">_xlfn.IFS(E1446="","",G1446&lt;=E1446,BB1446*(1-0.03),G1446&lt;(E1446+8),BB1446,AZ1446="Boleto",BB1446*(1+0.001)^DATEDIF(E1446,G1446,"D"),AZ1446="Cheque",BB1446,AZ1446="Dinheiro","Alterar forma pgto")</f>
        <v/>
      </c>
      <c r="BD1446" s="276" t="str" cm="1">
        <f t="array" ref="BD1446">IF(F1446=0," ",IF(BC1446&lt;BB1446,(_xlfn.IFS(AW1446="SIM",SUM(L1446,Q1446,V1446,AA1446,AF1446,AK1446,AP1446,AU1446)+AX1446/_xlfn.XLOOKUP(_xlfn.XLOOKUP($F1446,Clientes!$B$4:$B$39,Clientes!$C$4:$C$39),Cadastros!$L$6:$L$12,Cadastros!$M$6:$M$12)+IF($F1446="Bernardino Furlan",AY1446/2751.92,IF($F1446="Mauro José Salanti",AY1446/2751.92,AY1446/3356)),F1446&lt;&gt;0,SUM(L1446,Q1446,V1446,AA1446,AF1446,AK1446,AP1446,AU1446)))*(1-0.03),_xlfn.IFS(AW1446="SIM",SUM(L1446,Q1446,V1446,AA1446,AF1446,AK1446,AP1446,AU1446)+AX1446/_xlfn.XLOOKUP(_xlfn.XLOOKUP($F1446,Clientes!$B$4:$B$39,Clientes!$C$4:$C$39),Cadastros!$L$6:$L$12,Cadastros!$M$6:$M$12)+IF($F1446="Bernardino Furlan",AY1446/2751.92,IF($F1446="Mauro José Salanti",AY1446/2751.92,AY1446/3356)),F1446&lt;&gt;0,SUM(L1446,Q1446,V1446,AA1446,AF1446,AK1446,AP1446,AU1446))))</f>
        <v xml:space="preserve"> </v>
      </c>
      <c r="BE1446" s="120"/>
      <c r="BF1446" s="120"/>
      <c r="BG1446" s="120"/>
    </row>
    <row r="1447" spans="1:59" s="3" customFormat="1" x14ac:dyDescent="0.3">
      <c r="A1447" s="15" t="str">
        <f t="shared" si="286"/>
        <v/>
      </c>
      <c r="B1447" s="25"/>
      <c r="C1447" s="26"/>
      <c r="D1447" s="279"/>
      <c r="E1447" s="27"/>
      <c r="F1447" s="28"/>
      <c r="G1447" s="27"/>
      <c r="H1447" s="28"/>
      <c r="I1447" s="28"/>
      <c r="J1447" s="255" t="str">
        <f>IF(H1447="","",(_xlfn.XLOOKUP(H1447,Cadastros!$D$6:$D$90,Cadastros!$E$6:$E$90))*(1-_xlfn.XLOOKUP(_xlfn.XLOOKUP($F1447,Clientes!$B$4:$B$39,Clientes!$C$4:$C$39),Cadastros!$L$6:$L$12,Cadastros!$N$6:$N$12)))</f>
        <v/>
      </c>
      <c r="K1447" s="168" t="str">
        <f t="shared" si="287"/>
        <v/>
      </c>
      <c r="L1447" s="168" t="str">
        <f>IFERROR(K1447/_xlfn.XLOOKUP(_xlfn.XLOOKUP($F1447,Clientes!$B$4:$B$39,Clientes!$C$4:$C$39),Cadastros!$L$6:$L$12,Cadastros!$M$6:$M$12)," ")</f>
        <v xml:space="preserve"> </v>
      </c>
      <c r="M1447" s="28"/>
      <c r="N1447" s="28"/>
      <c r="O1447" s="255" t="str">
        <f>IF(M1447="","",(_xlfn.XLOOKUP(M1447,Cadastros!$D$6:$D$90,Cadastros!$E$6:$E$90))*(1-_xlfn.XLOOKUP(_xlfn.XLOOKUP($F1447,Clientes!$B$4:$B$39,Clientes!$C$4:$C$39),Cadastros!$L$6:$L$12,Cadastros!$N$6:$N$12)))</f>
        <v/>
      </c>
      <c r="P1447" s="168" t="str">
        <f t="shared" si="288"/>
        <v/>
      </c>
      <c r="Q1447" s="168" t="str">
        <f>IFERROR(P1447/_xlfn.XLOOKUP(_xlfn.XLOOKUP($F1447,Clientes!$B$4:$B$39,Clientes!$C$4:$C$39),Cadastros!$L$6:$L$12,Cadastros!$M$6:$M$12)," ")</f>
        <v xml:space="preserve"> </v>
      </c>
      <c r="R1447" s="28"/>
      <c r="S1447" s="28"/>
      <c r="T1447" s="255" t="str">
        <f>IF(R1447="","",(_xlfn.XLOOKUP(R1447,Cadastros!$D$6:$D$90,Cadastros!$E$6:$E$90))*(1-_xlfn.XLOOKUP(_xlfn.XLOOKUP($F1447,Clientes!$B$4:$B$39,Clientes!$C$4:$C$39),Cadastros!$L$6:$L$12,Cadastros!$N$6:$N$12)))</f>
        <v/>
      </c>
      <c r="U1447" s="168" t="str">
        <f t="shared" si="289"/>
        <v/>
      </c>
      <c r="V1447" s="168" t="str">
        <f>IFERROR(U1447/_xlfn.XLOOKUP(_xlfn.XLOOKUP($F1447,Clientes!$B$4:$B$39,Clientes!$C$4:$C$39),Cadastros!$L$6:$L$12,Cadastros!$M$6:$M$12)," ")</f>
        <v xml:space="preserve"> </v>
      </c>
      <c r="W1447" s="28"/>
      <c r="X1447" s="28"/>
      <c r="Y1447" s="255" t="str">
        <f>IF(W1447="","",(_xlfn.XLOOKUP(W1447,Cadastros!$D$6:$D$90,Cadastros!$E$6:$E$90))*(1-_xlfn.XLOOKUP(_xlfn.XLOOKUP($F1447,Clientes!$B$4:$B$39,Clientes!$C$4:$C$39),Cadastros!$L$6:$L$12,Cadastros!$N$6:$N$12)))</f>
        <v/>
      </c>
      <c r="Z1447" s="168" t="str">
        <f t="shared" si="290"/>
        <v/>
      </c>
      <c r="AA1447" s="168" t="str">
        <f>IFERROR(Z1447/_xlfn.XLOOKUP(_xlfn.XLOOKUP($F1447,Clientes!$B$4:$B$39,Clientes!$C$4:$C$39),Cadastros!$L$6:$L$12,Cadastros!$M$6:$M$12)," ")</f>
        <v xml:space="preserve"> </v>
      </c>
      <c r="AB1447" s="28"/>
      <c r="AC1447" s="28"/>
      <c r="AD1447" s="20" t="str">
        <f>IF(AB1447="","",IF($F1447="Bernardino Furlan",_xlfn.XLOOKUP(AB1447,Cadastros!$G$6:$G$90,Cadastros!$H$6:$H$90)*(1-0.18),IF($F1447="Mauro José Salanti",_xlfn.XLOOKUP(AB1447,Cadastros!$G$6:$G$90,Cadastros!$H$6:$H$90)*(1-0.18),_xlfn.XLOOKUP(AB1447,Cadastros!$G$6:$G$90,Cadastros!$H$6:$H$90))))</f>
        <v/>
      </c>
      <c r="AE1447" s="168" t="str">
        <f t="shared" si="291"/>
        <v/>
      </c>
      <c r="AF1447" s="168" t="str">
        <f t="shared" si="292"/>
        <v/>
      </c>
      <c r="AG1447" s="28"/>
      <c r="AH1447" s="28"/>
      <c r="AI1447" s="20" t="str">
        <f>IF(AG1447="","",IF($F1447="Bernardino Furlan",_xlfn.XLOOKUP(AG1447,Cadastros!$G$6:$G$90,Cadastros!$H$6:$H$90)*(1-0.18),IF($F1447="Mauro José Salanti",_xlfn.XLOOKUP(AG1447,Cadastros!$G$6:$G$90,Cadastros!$H$6:$H$90)*(1-0.18),_xlfn.XLOOKUP(AG1447,Cadastros!$G$6:$G$90,Cadastros!$H$6:$H$90))))</f>
        <v/>
      </c>
      <c r="AJ1447" s="168" t="str">
        <f t="shared" si="293"/>
        <v/>
      </c>
      <c r="AK1447" s="168" t="str">
        <f t="shared" si="294"/>
        <v/>
      </c>
      <c r="AL1447" s="28"/>
      <c r="AM1447" s="28"/>
      <c r="AN1447" s="20" t="str">
        <f>IF(AL1447="","",IF($F1447="Bernardino Furlan",_xlfn.XLOOKUP(AL1447,Cadastros!$G$6:$G$90,Cadastros!$H$6:$H$90)*(1-0.18),IF($F1447="Mauro José Salanti",_xlfn.XLOOKUP(AL1447,Cadastros!$G$6:$G$90,Cadastros!$H$6:$H$90)*(1-0.18),_xlfn.XLOOKUP(AL1447,Cadastros!$G$6:$G$90,Cadastros!$H$6:$H$90))))</f>
        <v/>
      </c>
      <c r="AO1447" s="168" t="str">
        <f t="shared" si="295"/>
        <v/>
      </c>
      <c r="AP1447" s="168" t="str">
        <f t="shared" si="296"/>
        <v/>
      </c>
      <c r="AQ1447" s="28"/>
      <c r="AR1447" s="28"/>
      <c r="AS1447" s="20" t="str">
        <f>IF(AQ1447="","",IF($F1447="Bernardino Furlan",_xlfn.XLOOKUP(AQ1447,Cadastros!$G$6:$G$90,Cadastros!$H$6:$H$90)*(1-0.18),IF($F1447="Mauro José Salanti",_xlfn.XLOOKUP(AQ1447,Cadastros!$G$6:$G$90,Cadastros!$H$6:$H$90)*(1-0.18),_xlfn.XLOOKUP(AQ1447,Cadastros!$G$6:$G$90,Cadastros!$H$6:$H$90))))</f>
        <v/>
      </c>
      <c r="AT1447" s="168" t="str">
        <f t="shared" si="297"/>
        <v/>
      </c>
      <c r="AU1447" s="168" t="str">
        <f t="shared" si="298"/>
        <v/>
      </c>
      <c r="AV1447" s="227"/>
      <c r="AW1447" s="30"/>
      <c r="AX1447" s="267"/>
      <c r="AY1447" s="267"/>
      <c r="AZ1447" s="29"/>
      <c r="BA1447" s="30"/>
      <c r="BB1447" s="23" t="str" cm="1">
        <f t="array" ref="BB1447">_xlfn.IFS(AW1447="SIM",SUM(K1447,P1447,U1447,Z1447,AE1447,AJ1447,AO1447,AT1447,AX1447,AY1447),F1447&lt;&gt;"",SUM(K1447,P1447,U1447,Z1447,AE1447,AJ1447,,AO1447,AT1447),F1447="","")</f>
        <v/>
      </c>
      <c r="BC1447" s="211" t="str" cm="1">
        <f t="array" ref="BC1447">_xlfn.IFS(E1447="","",G1447&lt;=E1447,BB1447*(1-0.03),G1447&lt;(E1447+8),BB1447,AZ1447="Boleto",BB1447*(1+0.001)^DATEDIF(E1447,G1447,"D"),AZ1447="Cheque",BB1447,AZ1447="Dinheiro","Alterar forma pgto")</f>
        <v/>
      </c>
      <c r="BD1447" s="276" t="str" cm="1">
        <f t="array" ref="BD1447">IF(F1447=0," ",IF(BC1447&lt;BB1447,(_xlfn.IFS(AW1447="SIM",SUM(L1447,Q1447,V1447,AA1447,AF1447,AK1447,AP1447,AU1447)+AX1447/_xlfn.XLOOKUP(_xlfn.XLOOKUP($F1447,Clientes!$B$4:$B$39,Clientes!$C$4:$C$39),Cadastros!$L$6:$L$12,Cadastros!$M$6:$M$12)+IF($F1447="Bernardino Furlan",AY1447/2751.92,IF($F1447="Mauro José Salanti",AY1447/2751.92,AY1447/3356)),F1447&lt;&gt;0,SUM(L1447,Q1447,V1447,AA1447,AF1447,AK1447,AP1447,AU1447)))*(1-0.03),_xlfn.IFS(AW1447="SIM",SUM(L1447,Q1447,V1447,AA1447,AF1447,AK1447,AP1447,AU1447)+AX1447/_xlfn.XLOOKUP(_xlfn.XLOOKUP($F1447,Clientes!$B$4:$B$39,Clientes!$C$4:$C$39),Cadastros!$L$6:$L$12,Cadastros!$M$6:$M$12)+IF($F1447="Bernardino Furlan",AY1447/2751.92,IF($F1447="Mauro José Salanti",AY1447/2751.92,AY1447/3356)),F1447&lt;&gt;0,SUM(L1447,Q1447,V1447,AA1447,AF1447,AK1447,AP1447,AU1447))))</f>
        <v xml:space="preserve"> </v>
      </c>
      <c r="BE1447" s="120"/>
      <c r="BF1447" s="120"/>
      <c r="BG1447" s="120"/>
    </row>
    <row r="1448" spans="1:59" s="3" customFormat="1" x14ac:dyDescent="0.3">
      <c r="A1448" s="15" t="str">
        <f t="shared" si="286"/>
        <v/>
      </c>
      <c r="B1448" s="25"/>
      <c r="C1448" s="26"/>
      <c r="D1448" s="279"/>
      <c r="E1448" s="27"/>
      <c r="F1448" s="28"/>
      <c r="G1448" s="27"/>
      <c r="H1448" s="28"/>
      <c r="I1448" s="28"/>
      <c r="J1448" s="255" t="str">
        <f>IF(H1448="","",(_xlfn.XLOOKUP(H1448,Cadastros!$D$6:$D$90,Cadastros!$E$6:$E$90))*(1-_xlfn.XLOOKUP(_xlfn.XLOOKUP($F1448,Clientes!$B$4:$B$39,Clientes!$C$4:$C$39),Cadastros!$L$6:$L$12,Cadastros!$N$6:$N$12)))</f>
        <v/>
      </c>
      <c r="K1448" s="168" t="str">
        <f t="shared" si="287"/>
        <v/>
      </c>
      <c r="L1448" s="168" t="str">
        <f>IFERROR(K1448/_xlfn.XLOOKUP(_xlfn.XLOOKUP($F1448,Clientes!$B$4:$B$39,Clientes!$C$4:$C$39),Cadastros!$L$6:$L$12,Cadastros!$M$6:$M$12)," ")</f>
        <v xml:space="preserve"> </v>
      </c>
      <c r="M1448" s="28"/>
      <c r="N1448" s="28"/>
      <c r="O1448" s="255" t="str">
        <f>IF(M1448="","",(_xlfn.XLOOKUP(M1448,Cadastros!$D$6:$D$90,Cadastros!$E$6:$E$90))*(1-_xlfn.XLOOKUP(_xlfn.XLOOKUP($F1448,Clientes!$B$4:$B$39,Clientes!$C$4:$C$39),Cadastros!$L$6:$L$12,Cadastros!$N$6:$N$12)))</f>
        <v/>
      </c>
      <c r="P1448" s="168" t="str">
        <f t="shared" si="288"/>
        <v/>
      </c>
      <c r="Q1448" s="168" t="str">
        <f>IFERROR(P1448/_xlfn.XLOOKUP(_xlfn.XLOOKUP($F1448,Clientes!$B$4:$B$39,Clientes!$C$4:$C$39),Cadastros!$L$6:$L$12,Cadastros!$M$6:$M$12)," ")</f>
        <v xml:space="preserve"> </v>
      </c>
      <c r="R1448" s="28"/>
      <c r="S1448" s="28"/>
      <c r="T1448" s="255" t="str">
        <f>IF(R1448="","",(_xlfn.XLOOKUP(R1448,Cadastros!$D$6:$D$90,Cadastros!$E$6:$E$90))*(1-_xlfn.XLOOKUP(_xlfn.XLOOKUP($F1448,Clientes!$B$4:$B$39,Clientes!$C$4:$C$39),Cadastros!$L$6:$L$12,Cadastros!$N$6:$N$12)))</f>
        <v/>
      </c>
      <c r="U1448" s="168" t="str">
        <f t="shared" si="289"/>
        <v/>
      </c>
      <c r="V1448" s="168" t="str">
        <f>IFERROR(U1448/_xlfn.XLOOKUP(_xlfn.XLOOKUP($F1448,Clientes!$B$4:$B$39,Clientes!$C$4:$C$39),Cadastros!$L$6:$L$12,Cadastros!$M$6:$M$12)," ")</f>
        <v xml:space="preserve"> </v>
      </c>
      <c r="W1448" s="28"/>
      <c r="X1448" s="28"/>
      <c r="Y1448" s="255" t="str">
        <f>IF(W1448="","",(_xlfn.XLOOKUP(W1448,Cadastros!$D$6:$D$90,Cadastros!$E$6:$E$90))*(1-_xlfn.XLOOKUP(_xlfn.XLOOKUP($F1448,Clientes!$B$4:$B$39,Clientes!$C$4:$C$39),Cadastros!$L$6:$L$12,Cadastros!$N$6:$N$12)))</f>
        <v/>
      </c>
      <c r="Z1448" s="168" t="str">
        <f t="shared" si="290"/>
        <v/>
      </c>
      <c r="AA1448" s="168" t="str">
        <f>IFERROR(Z1448/_xlfn.XLOOKUP(_xlfn.XLOOKUP($F1448,Clientes!$B$4:$B$39,Clientes!$C$4:$C$39),Cadastros!$L$6:$L$12,Cadastros!$M$6:$M$12)," ")</f>
        <v xml:space="preserve"> </v>
      </c>
      <c r="AB1448" s="28"/>
      <c r="AC1448" s="28"/>
      <c r="AD1448" s="20" t="str">
        <f>IF(AB1448="","",IF($F1448="Bernardino Furlan",_xlfn.XLOOKUP(AB1448,Cadastros!$G$6:$G$90,Cadastros!$H$6:$H$90)*(1-0.18),IF($F1448="Mauro José Salanti",_xlfn.XLOOKUP(AB1448,Cadastros!$G$6:$G$90,Cadastros!$H$6:$H$90)*(1-0.18),_xlfn.XLOOKUP(AB1448,Cadastros!$G$6:$G$90,Cadastros!$H$6:$H$90))))</f>
        <v/>
      </c>
      <c r="AE1448" s="168" t="str">
        <f t="shared" si="291"/>
        <v/>
      </c>
      <c r="AF1448" s="168" t="str">
        <f t="shared" si="292"/>
        <v/>
      </c>
      <c r="AG1448" s="28"/>
      <c r="AH1448" s="28"/>
      <c r="AI1448" s="20" t="str">
        <f>IF(AG1448="","",IF($F1448="Bernardino Furlan",_xlfn.XLOOKUP(AG1448,Cadastros!$G$6:$G$90,Cadastros!$H$6:$H$90)*(1-0.18),IF($F1448="Mauro José Salanti",_xlfn.XLOOKUP(AG1448,Cadastros!$G$6:$G$90,Cadastros!$H$6:$H$90)*(1-0.18),_xlfn.XLOOKUP(AG1448,Cadastros!$G$6:$G$90,Cadastros!$H$6:$H$90))))</f>
        <v/>
      </c>
      <c r="AJ1448" s="168" t="str">
        <f t="shared" si="293"/>
        <v/>
      </c>
      <c r="AK1448" s="168" t="str">
        <f t="shared" si="294"/>
        <v/>
      </c>
      <c r="AL1448" s="28"/>
      <c r="AM1448" s="28"/>
      <c r="AN1448" s="20" t="str">
        <f>IF(AL1448="","",IF($F1448="Bernardino Furlan",_xlfn.XLOOKUP(AL1448,Cadastros!$G$6:$G$90,Cadastros!$H$6:$H$90)*(1-0.18),IF($F1448="Mauro José Salanti",_xlfn.XLOOKUP(AL1448,Cadastros!$G$6:$G$90,Cadastros!$H$6:$H$90)*(1-0.18),_xlfn.XLOOKUP(AL1448,Cadastros!$G$6:$G$90,Cadastros!$H$6:$H$90))))</f>
        <v/>
      </c>
      <c r="AO1448" s="168" t="str">
        <f t="shared" si="295"/>
        <v/>
      </c>
      <c r="AP1448" s="168" t="str">
        <f t="shared" si="296"/>
        <v/>
      </c>
      <c r="AQ1448" s="28"/>
      <c r="AR1448" s="28"/>
      <c r="AS1448" s="20" t="str">
        <f>IF(AQ1448="","",IF($F1448="Bernardino Furlan",_xlfn.XLOOKUP(AQ1448,Cadastros!$G$6:$G$90,Cadastros!$H$6:$H$90)*(1-0.18),IF($F1448="Mauro José Salanti",_xlfn.XLOOKUP(AQ1448,Cadastros!$G$6:$G$90,Cadastros!$H$6:$H$90)*(1-0.18),_xlfn.XLOOKUP(AQ1448,Cadastros!$G$6:$G$90,Cadastros!$H$6:$H$90))))</f>
        <v/>
      </c>
      <c r="AT1448" s="168" t="str">
        <f t="shared" si="297"/>
        <v/>
      </c>
      <c r="AU1448" s="168" t="str">
        <f t="shared" si="298"/>
        <v/>
      </c>
      <c r="AV1448" s="227"/>
      <c r="AW1448" s="30"/>
      <c r="AX1448" s="267"/>
      <c r="AY1448" s="267"/>
      <c r="AZ1448" s="29"/>
      <c r="BA1448" s="30"/>
      <c r="BB1448" s="23" t="str" cm="1">
        <f t="array" ref="BB1448">_xlfn.IFS(AW1448="SIM",SUM(K1448,P1448,U1448,Z1448,AE1448,AJ1448,AO1448,AT1448,AX1448,AY1448),F1448&lt;&gt;"",SUM(K1448,P1448,U1448,Z1448,AE1448,AJ1448,,AO1448,AT1448),F1448="","")</f>
        <v/>
      </c>
      <c r="BC1448" s="211" t="str" cm="1">
        <f t="array" ref="BC1448">_xlfn.IFS(E1448="","",G1448&lt;=E1448,BB1448*(1-0.03),G1448&lt;(E1448+8),BB1448,AZ1448="Boleto",BB1448*(1+0.001)^DATEDIF(E1448,G1448,"D"),AZ1448="Cheque",BB1448,AZ1448="Dinheiro","Alterar forma pgto")</f>
        <v/>
      </c>
      <c r="BD1448" s="276" t="str" cm="1">
        <f t="array" ref="BD1448">IF(F1448=0," ",IF(BC1448&lt;BB1448,(_xlfn.IFS(AW1448="SIM",SUM(L1448,Q1448,V1448,AA1448,AF1448,AK1448,AP1448,AU1448)+AX1448/_xlfn.XLOOKUP(_xlfn.XLOOKUP($F1448,Clientes!$B$4:$B$39,Clientes!$C$4:$C$39),Cadastros!$L$6:$L$12,Cadastros!$M$6:$M$12)+IF($F1448="Bernardino Furlan",AY1448/2751.92,IF($F1448="Mauro José Salanti",AY1448/2751.92,AY1448/3356)),F1448&lt;&gt;0,SUM(L1448,Q1448,V1448,AA1448,AF1448,AK1448,AP1448,AU1448)))*(1-0.03),_xlfn.IFS(AW1448="SIM",SUM(L1448,Q1448,V1448,AA1448,AF1448,AK1448,AP1448,AU1448)+AX1448/_xlfn.XLOOKUP(_xlfn.XLOOKUP($F1448,Clientes!$B$4:$B$39,Clientes!$C$4:$C$39),Cadastros!$L$6:$L$12,Cadastros!$M$6:$M$12)+IF($F1448="Bernardino Furlan",AY1448/2751.92,IF($F1448="Mauro José Salanti",AY1448/2751.92,AY1448/3356)),F1448&lt;&gt;0,SUM(L1448,Q1448,V1448,AA1448,AF1448,AK1448,AP1448,AU1448))))</f>
        <v xml:space="preserve"> </v>
      </c>
      <c r="BE1448" s="120"/>
      <c r="BF1448" s="120"/>
      <c r="BG1448" s="120"/>
    </row>
    <row r="1449" spans="1:59" s="3" customFormat="1" x14ac:dyDescent="0.3">
      <c r="A1449" s="15" t="str">
        <f t="shared" si="286"/>
        <v/>
      </c>
      <c r="B1449" s="25"/>
      <c r="C1449" s="26"/>
      <c r="D1449" s="279"/>
      <c r="E1449" s="27"/>
      <c r="F1449" s="28"/>
      <c r="G1449" s="27"/>
      <c r="H1449" s="28"/>
      <c r="I1449" s="28"/>
      <c r="J1449" s="255" t="str">
        <f>IF(H1449="","",(_xlfn.XLOOKUP(H1449,Cadastros!$D$6:$D$90,Cadastros!$E$6:$E$90))*(1-_xlfn.XLOOKUP(_xlfn.XLOOKUP($F1449,Clientes!$B$4:$B$39,Clientes!$C$4:$C$39),Cadastros!$L$6:$L$12,Cadastros!$N$6:$N$12)))</f>
        <v/>
      </c>
      <c r="K1449" s="168" t="str">
        <f t="shared" si="287"/>
        <v/>
      </c>
      <c r="L1449" s="168" t="str">
        <f>IFERROR(K1449/_xlfn.XLOOKUP(_xlfn.XLOOKUP($F1449,Clientes!$B$4:$B$39,Clientes!$C$4:$C$39),Cadastros!$L$6:$L$12,Cadastros!$M$6:$M$12)," ")</f>
        <v xml:space="preserve"> </v>
      </c>
      <c r="M1449" s="28"/>
      <c r="N1449" s="28"/>
      <c r="O1449" s="255" t="str">
        <f>IF(M1449="","",(_xlfn.XLOOKUP(M1449,Cadastros!$D$6:$D$90,Cadastros!$E$6:$E$90))*(1-_xlfn.XLOOKUP(_xlfn.XLOOKUP($F1449,Clientes!$B$4:$B$39,Clientes!$C$4:$C$39),Cadastros!$L$6:$L$12,Cadastros!$N$6:$N$12)))</f>
        <v/>
      </c>
      <c r="P1449" s="168" t="str">
        <f t="shared" si="288"/>
        <v/>
      </c>
      <c r="Q1449" s="168" t="str">
        <f>IFERROR(P1449/_xlfn.XLOOKUP(_xlfn.XLOOKUP($F1449,Clientes!$B$4:$B$39,Clientes!$C$4:$C$39),Cadastros!$L$6:$L$12,Cadastros!$M$6:$M$12)," ")</f>
        <v xml:space="preserve"> </v>
      </c>
      <c r="R1449" s="28"/>
      <c r="S1449" s="28"/>
      <c r="T1449" s="255" t="str">
        <f>IF(R1449="","",(_xlfn.XLOOKUP(R1449,Cadastros!$D$6:$D$90,Cadastros!$E$6:$E$90))*(1-_xlfn.XLOOKUP(_xlfn.XLOOKUP($F1449,Clientes!$B$4:$B$39,Clientes!$C$4:$C$39),Cadastros!$L$6:$L$12,Cadastros!$N$6:$N$12)))</f>
        <v/>
      </c>
      <c r="U1449" s="168" t="str">
        <f t="shared" si="289"/>
        <v/>
      </c>
      <c r="V1449" s="168" t="str">
        <f>IFERROR(U1449/_xlfn.XLOOKUP(_xlfn.XLOOKUP($F1449,Clientes!$B$4:$B$39,Clientes!$C$4:$C$39),Cadastros!$L$6:$L$12,Cadastros!$M$6:$M$12)," ")</f>
        <v xml:space="preserve"> </v>
      </c>
      <c r="W1449" s="28"/>
      <c r="X1449" s="28"/>
      <c r="Y1449" s="255" t="str">
        <f>IF(W1449="","",(_xlfn.XLOOKUP(W1449,Cadastros!$D$6:$D$90,Cadastros!$E$6:$E$90))*(1-_xlfn.XLOOKUP(_xlfn.XLOOKUP($F1449,Clientes!$B$4:$B$39,Clientes!$C$4:$C$39),Cadastros!$L$6:$L$12,Cadastros!$N$6:$N$12)))</f>
        <v/>
      </c>
      <c r="Z1449" s="168" t="str">
        <f t="shared" si="290"/>
        <v/>
      </c>
      <c r="AA1449" s="168" t="str">
        <f>IFERROR(Z1449/_xlfn.XLOOKUP(_xlfn.XLOOKUP($F1449,Clientes!$B$4:$B$39,Clientes!$C$4:$C$39),Cadastros!$L$6:$L$12,Cadastros!$M$6:$M$12)," ")</f>
        <v xml:space="preserve"> </v>
      </c>
      <c r="AB1449" s="28"/>
      <c r="AC1449" s="28"/>
      <c r="AD1449" s="20" t="str">
        <f>IF(AB1449="","",IF($F1449="Bernardino Furlan",_xlfn.XLOOKUP(AB1449,Cadastros!$G$6:$G$90,Cadastros!$H$6:$H$90)*(1-0.18),IF($F1449="Mauro José Salanti",_xlfn.XLOOKUP(AB1449,Cadastros!$G$6:$G$90,Cadastros!$H$6:$H$90)*(1-0.18),_xlfn.XLOOKUP(AB1449,Cadastros!$G$6:$G$90,Cadastros!$H$6:$H$90))))</f>
        <v/>
      </c>
      <c r="AE1449" s="168" t="str">
        <f t="shared" si="291"/>
        <v/>
      </c>
      <c r="AF1449" s="168" t="str">
        <f t="shared" si="292"/>
        <v/>
      </c>
      <c r="AG1449" s="28"/>
      <c r="AH1449" s="28"/>
      <c r="AI1449" s="20" t="str">
        <f>IF(AG1449="","",IF($F1449="Bernardino Furlan",_xlfn.XLOOKUP(AG1449,Cadastros!$G$6:$G$90,Cadastros!$H$6:$H$90)*(1-0.18),IF($F1449="Mauro José Salanti",_xlfn.XLOOKUP(AG1449,Cadastros!$G$6:$G$90,Cadastros!$H$6:$H$90)*(1-0.18),_xlfn.XLOOKUP(AG1449,Cadastros!$G$6:$G$90,Cadastros!$H$6:$H$90))))</f>
        <v/>
      </c>
      <c r="AJ1449" s="168" t="str">
        <f t="shared" si="293"/>
        <v/>
      </c>
      <c r="AK1449" s="168" t="str">
        <f t="shared" si="294"/>
        <v/>
      </c>
      <c r="AL1449" s="28"/>
      <c r="AM1449" s="28"/>
      <c r="AN1449" s="20" t="str">
        <f>IF(AL1449="","",IF($F1449="Bernardino Furlan",_xlfn.XLOOKUP(AL1449,Cadastros!$G$6:$G$90,Cadastros!$H$6:$H$90)*(1-0.18),IF($F1449="Mauro José Salanti",_xlfn.XLOOKUP(AL1449,Cadastros!$G$6:$G$90,Cadastros!$H$6:$H$90)*(1-0.18),_xlfn.XLOOKUP(AL1449,Cadastros!$G$6:$G$90,Cadastros!$H$6:$H$90))))</f>
        <v/>
      </c>
      <c r="AO1449" s="168" t="str">
        <f t="shared" si="295"/>
        <v/>
      </c>
      <c r="AP1449" s="168" t="str">
        <f t="shared" si="296"/>
        <v/>
      </c>
      <c r="AQ1449" s="28"/>
      <c r="AR1449" s="28"/>
      <c r="AS1449" s="20" t="str">
        <f>IF(AQ1449="","",IF($F1449="Bernardino Furlan",_xlfn.XLOOKUP(AQ1449,Cadastros!$G$6:$G$90,Cadastros!$H$6:$H$90)*(1-0.18),IF($F1449="Mauro José Salanti",_xlfn.XLOOKUP(AQ1449,Cadastros!$G$6:$G$90,Cadastros!$H$6:$H$90)*(1-0.18),_xlfn.XLOOKUP(AQ1449,Cadastros!$G$6:$G$90,Cadastros!$H$6:$H$90))))</f>
        <v/>
      </c>
      <c r="AT1449" s="168" t="str">
        <f t="shared" si="297"/>
        <v/>
      </c>
      <c r="AU1449" s="168" t="str">
        <f t="shared" si="298"/>
        <v/>
      </c>
      <c r="AV1449" s="227"/>
      <c r="AW1449" s="30"/>
      <c r="AX1449" s="267"/>
      <c r="AY1449" s="267"/>
      <c r="AZ1449" s="29"/>
      <c r="BA1449" s="30"/>
      <c r="BB1449" s="23" t="str" cm="1">
        <f t="array" ref="BB1449">_xlfn.IFS(AW1449="SIM",SUM(K1449,P1449,U1449,Z1449,AE1449,AJ1449,AO1449,AT1449,AX1449,AY1449),F1449&lt;&gt;"",SUM(K1449,P1449,U1449,Z1449,AE1449,AJ1449,,AO1449,AT1449),F1449="","")</f>
        <v/>
      </c>
      <c r="BC1449" s="211" t="str" cm="1">
        <f t="array" ref="BC1449">_xlfn.IFS(E1449="","",G1449&lt;=E1449,BB1449*(1-0.03),G1449&lt;(E1449+8),BB1449,AZ1449="Boleto",BB1449*(1+0.001)^DATEDIF(E1449,G1449,"D"),AZ1449="Cheque",BB1449,AZ1449="Dinheiro","Alterar forma pgto")</f>
        <v/>
      </c>
      <c r="BD1449" s="276" t="str" cm="1">
        <f t="array" ref="BD1449">IF(F1449=0," ",IF(BC1449&lt;BB1449,(_xlfn.IFS(AW1449="SIM",SUM(L1449,Q1449,V1449,AA1449,AF1449,AK1449,AP1449,AU1449)+AX1449/_xlfn.XLOOKUP(_xlfn.XLOOKUP($F1449,Clientes!$B$4:$B$39,Clientes!$C$4:$C$39),Cadastros!$L$6:$L$12,Cadastros!$M$6:$M$12)+IF($F1449="Bernardino Furlan",AY1449/2751.92,IF($F1449="Mauro José Salanti",AY1449/2751.92,AY1449/3356)),F1449&lt;&gt;0,SUM(L1449,Q1449,V1449,AA1449,AF1449,AK1449,AP1449,AU1449)))*(1-0.03),_xlfn.IFS(AW1449="SIM",SUM(L1449,Q1449,V1449,AA1449,AF1449,AK1449,AP1449,AU1449)+AX1449/_xlfn.XLOOKUP(_xlfn.XLOOKUP($F1449,Clientes!$B$4:$B$39,Clientes!$C$4:$C$39),Cadastros!$L$6:$L$12,Cadastros!$M$6:$M$12)+IF($F1449="Bernardino Furlan",AY1449/2751.92,IF($F1449="Mauro José Salanti",AY1449/2751.92,AY1449/3356)),F1449&lt;&gt;0,SUM(L1449,Q1449,V1449,AA1449,AF1449,AK1449,AP1449,AU1449))))</f>
        <v xml:space="preserve"> </v>
      </c>
      <c r="BE1449" s="120"/>
      <c r="BF1449" s="120"/>
      <c r="BG1449" s="120"/>
    </row>
    <row r="1450" spans="1:59" s="3" customFormat="1" x14ac:dyDescent="0.3">
      <c r="A1450" s="15" t="str">
        <f t="shared" si="286"/>
        <v/>
      </c>
      <c r="B1450" s="25"/>
      <c r="C1450" s="26"/>
      <c r="D1450" s="279"/>
      <c r="E1450" s="27"/>
      <c r="F1450" s="28"/>
      <c r="G1450" s="27"/>
      <c r="H1450" s="28"/>
      <c r="I1450" s="28"/>
      <c r="J1450" s="255" t="str">
        <f>IF(H1450="","",(_xlfn.XLOOKUP(H1450,Cadastros!$D$6:$D$90,Cadastros!$E$6:$E$90))*(1-_xlfn.XLOOKUP(_xlfn.XLOOKUP($F1450,Clientes!$B$4:$B$39,Clientes!$C$4:$C$39),Cadastros!$L$6:$L$12,Cadastros!$N$6:$N$12)))</f>
        <v/>
      </c>
      <c r="K1450" s="168" t="str">
        <f t="shared" si="287"/>
        <v/>
      </c>
      <c r="L1450" s="168" t="str">
        <f>IFERROR(K1450/_xlfn.XLOOKUP(_xlfn.XLOOKUP($F1450,Clientes!$B$4:$B$39,Clientes!$C$4:$C$39),Cadastros!$L$6:$L$12,Cadastros!$M$6:$M$12)," ")</f>
        <v xml:space="preserve"> </v>
      </c>
      <c r="M1450" s="28"/>
      <c r="N1450" s="28"/>
      <c r="O1450" s="255" t="str">
        <f>IF(M1450="","",(_xlfn.XLOOKUP(M1450,Cadastros!$D$6:$D$90,Cadastros!$E$6:$E$90))*(1-_xlfn.XLOOKUP(_xlfn.XLOOKUP($F1450,Clientes!$B$4:$B$39,Clientes!$C$4:$C$39),Cadastros!$L$6:$L$12,Cadastros!$N$6:$N$12)))</f>
        <v/>
      </c>
      <c r="P1450" s="168" t="str">
        <f t="shared" si="288"/>
        <v/>
      </c>
      <c r="Q1450" s="168" t="str">
        <f>IFERROR(P1450/_xlfn.XLOOKUP(_xlfn.XLOOKUP($F1450,Clientes!$B$4:$B$39,Clientes!$C$4:$C$39),Cadastros!$L$6:$L$12,Cadastros!$M$6:$M$12)," ")</f>
        <v xml:space="preserve"> </v>
      </c>
      <c r="R1450" s="28"/>
      <c r="S1450" s="28"/>
      <c r="T1450" s="255" t="str">
        <f>IF(R1450="","",(_xlfn.XLOOKUP(R1450,Cadastros!$D$6:$D$90,Cadastros!$E$6:$E$90))*(1-_xlfn.XLOOKUP(_xlfn.XLOOKUP($F1450,Clientes!$B$4:$B$39,Clientes!$C$4:$C$39),Cadastros!$L$6:$L$12,Cadastros!$N$6:$N$12)))</f>
        <v/>
      </c>
      <c r="U1450" s="168" t="str">
        <f t="shared" si="289"/>
        <v/>
      </c>
      <c r="V1450" s="168" t="str">
        <f>IFERROR(U1450/_xlfn.XLOOKUP(_xlfn.XLOOKUP($F1450,Clientes!$B$4:$B$39,Clientes!$C$4:$C$39),Cadastros!$L$6:$L$12,Cadastros!$M$6:$M$12)," ")</f>
        <v xml:space="preserve"> </v>
      </c>
      <c r="W1450" s="28"/>
      <c r="X1450" s="28"/>
      <c r="Y1450" s="255" t="str">
        <f>IF(W1450="","",(_xlfn.XLOOKUP(W1450,Cadastros!$D$6:$D$90,Cadastros!$E$6:$E$90))*(1-_xlfn.XLOOKUP(_xlfn.XLOOKUP($F1450,Clientes!$B$4:$B$39,Clientes!$C$4:$C$39),Cadastros!$L$6:$L$12,Cadastros!$N$6:$N$12)))</f>
        <v/>
      </c>
      <c r="Z1450" s="168" t="str">
        <f t="shared" si="290"/>
        <v/>
      </c>
      <c r="AA1450" s="168" t="str">
        <f>IFERROR(Z1450/_xlfn.XLOOKUP(_xlfn.XLOOKUP($F1450,Clientes!$B$4:$B$39,Clientes!$C$4:$C$39),Cadastros!$L$6:$L$12,Cadastros!$M$6:$M$12)," ")</f>
        <v xml:space="preserve"> </v>
      </c>
      <c r="AB1450" s="28"/>
      <c r="AC1450" s="28"/>
      <c r="AD1450" s="20" t="str">
        <f>IF(AB1450="","",IF($F1450="Bernardino Furlan",_xlfn.XLOOKUP(AB1450,Cadastros!$G$6:$G$90,Cadastros!$H$6:$H$90)*(1-0.18),IF($F1450="Mauro José Salanti",_xlfn.XLOOKUP(AB1450,Cadastros!$G$6:$G$90,Cadastros!$H$6:$H$90)*(1-0.18),_xlfn.XLOOKUP(AB1450,Cadastros!$G$6:$G$90,Cadastros!$H$6:$H$90))))</f>
        <v/>
      </c>
      <c r="AE1450" s="168" t="str">
        <f t="shared" si="291"/>
        <v/>
      </c>
      <c r="AF1450" s="168" t="str">
        <f t="shared" si="292"/>
        <v/>
      </c>
      <c r="AG1450" s="28"/>
      <c r="AH1450" s="28"/>
      <c r="AI1450" s="20" t="str">
        <f>IF(AG1450="","",IF($F1450="Bernardino Furlan",_xlfn.XLOOKUP(AG1450,Cadastros!$G$6:$G$90,Cadastros!$H$6:$H$90)*(1-0.18),IF($F1450="Mauro José Salanti",_xlfn.XLOOKUP(AG1450,Cadastros!$G$6:$G$90,Cadastros!$H$6:$H$90)*(1-0.18),_xlfn.XLOOKUP(AG1450,Cadastros!$G$6:$G$90,Cadastros!$H$6:$H$90))))</f>
        <v/>
      </c>
      <c r="AJ1450" s="168" t="str">
        <f t="shared" si="293"/>
        <v/>
      </c>
      <c r="AK1450" s="168" t="str">
        <f t="shared" si="294"/>
        <v/>
      </c>
      <c r="AL1450" s="28"/>
      <c r="AM1450" s="28"/>
      <c r="AN1450" s="20" t="str">
        <f>IF(AL1450="","",IF($F1450="Bernardino Furlan",_xlfn.XLOOKUP(AL1450,Cadastros!$G$6:$G$90,Cadastros!$H$6:$H$90)*(1-0.18),IF($F1450="Mauro José Salanti",_xlfn.XLOOKUP(AL1450,Cadastros!$G$6:$G$90,Cadastros!$H$6:$H$90)*(1-0.18),_xlfn.XLOOKUP(AL1450,Cadastros!$G$6:$G$90,Cadastros!$H$6:$H$90))))</f>
        <v/>
      </c>
      <c r="AO1450" s="168" t="str">
        <f t="shared" si="295"/>
        <v/>
      </c>
      <c r="AP1450" s="168" t="str">
        <f t="shared" si="296"/>
        <v/>
      </c>
      <c r="AQ1450" s="28"/>
      <c r="AR1450" s="28"/>
      <c r="AS1450" s="20" t="str">
        <f>IF(AQ1450="","",IF($F1450="Bernardino Furlan",_xlfn.XLOOKUP(AQ1450,Cadastros!$G$6:$G$90,Cadastros!$H$6:$H$90)*(1-0.18),IF($F1450="Mauro José Salanti",_xlfn.XLOOKUP(AQ1450,Cadastros!$G$6:$G$90,Cadastros!$H$6:$H$90)*(1-0.18),_xlfn.XLOOKUP(AQ1450,Cadastros!$G$6:$G$90,Cadastros!$H$6:$H$90))))</f>
        <v/>
      </c>
      <c r="AT1450" s="168" t="str">
        <f t="shared" si="297"/>
        <v/>
      </c>
      <c r="AU1450" s="168" t="str">
        <f t="shared" si="298"/>
        <v/>
      </c>
      <c r="AV1450" s="227"/>
      <c r="AW1450" s="30"/>
      <c r="AX1450" s="267"/>
      <c r="AY1450" s="267"/>
      <c r="AZ1450" s="29"/>
      <c r="BA1450" s="30"/>
      <c r="BB1450" s="23" t="str" cm="1">
        <f t="array" ref="BB1450">_xlfn.IFS(AW1450="SIM",SUM(K1450,P1450,U1450,Z1450,AE1450,AJ1450,AO1450,AT1450,AX1450,AY1450),F1450&lt;&gt;"",SUM(K1450,P1450,U1450,Z1450,AE1450,AJ1450,,AO1450,AT1450),F1450="","")</f>
        <v/>
      </c>
      <c r="BC1450" s="211" t="str" cm="1">
        <f t="array" ref="BC1450">_xlfn.IFS(E1450="","",G1450&lt;=E1450,BB1450*(1-0.03),G1450&lt;(E1450+8),BB1450,AZ1450="Boleto",BB1450*(1+0.001)^DATEDIF(E1450,G1450,"D"),AZ1450="Cheque",BB1450,AZ1450="Dinheiro","Alterar forma pgto")</f>
        <v/>
      </c>
      <c r="BD1450" s="276" t="str" cm="1">
        <f t="array" ref="BD1450">IF(F1450=0," ",IF(BC1450&lt;BB1450,(_xlfn.IFS(AW1450="SIM",SUM(L1450,Q1450,V1450,AA1450,AF1450,AK1450,AP1450,AU1450)+AX1450/_xlfn.XLOOKUP(_xlfn.XLOOKUP($F1450,Clientes!$B$4:$B$39,Clientes!$C$4:$C$39),Cadastros!$L$6:$L$12,Cadastros!$M$6:$M$12)+IF($F1450="Bernardino Furlan",AY1450/2751.92,IF($F1450="Mauro José Salanti",AY1450/2751.92,AY1450/3356)),F1450&lt;&gt;0,SUM(L1450,Q1450,V1450,AA1450,AF1450,AK1450,AP1450,AU1450)))*(1-0.03),_xlfn.IFS(AW1450="SIM",SUM(L1450,Q1450,V1450,AA1450,AF1450,AK1450,AP1450,AU1450)+AX1450/_xlfn.XLOOKUP(_xlfn.XLOOKUP($F1450,Clientes!$B$4:$B$39,Clientes!$C$4:$C$39),Cadastros!$L$6:$L$12,Cadastros!$M$6:$M$12)+IF($F1450="Bernardino Furlan",AY1450/2751.92,IF($F1450="Mauro José Salanti",AY1450/2751.92,AY1450/3356)),F1450&lt;&gt;0,SUM(L1450,Q1450,V1450,AA1450,AF1450,AK1450,AP1450,AU1450))))</f>
        <v xml:space="preserve"> </v>
      </c>
      <c r="BE1450" s="120"/>
      <c r="BF1450" s="120"/>
      <c r="BG1450" s="120"/>
    </row>
    <row r="1451" spans="1:59" s="3" customFormat="1" x14ac:dyDescent="0.3">
      <c r="A1451" s="15" t="str">
        <f t="shared" si="286"/>
        <v/>
      </c>
      <c r="B1451" s="25"/>
      <c r="C1451" s="26"/>
      <c r="D1451" s="279"/>
      <c r="E1451" s="27"/>
      <c r="F1451" s="28"/>
      <c r="G1451" s="27"/>
      <c r="H1451" s="28"/>
      <c r="I1451" s="28"/>
      <c r="J1451" s="255" t="str">
        <f>IF(H1451="","",(_xlfn.XLOOKUP(H1451,Cadastros!$D$6:$D$90,Cadastros!$E$6:$E$90))*(1-_xlfn.XLOOKUP(_xlfn.XLOOKUP($F1451,Clientes!$B$4:$B$39,Clientes!$C$4:$C$39),Cadastros!$L$6:$L$12,Cadastros!$N$6:$N$12)))</f>
        <v/>
      </c>
      <c r="K1451" s="168" t="str">
        <f t="shared" si="287"/>
        <v/>
      </c>
      <c r="L1451" s="168" t="str">
        <f>IFERROR(K1451/_xlfn.XLOOKUP(_xlfn.XLOOKUP($F1451,Clientes!$B$4:$B$39,Clientes!$C$4:$C$39),Cadastros!$L$6:$L$12,Cadastros!$M$6:$M$12)," ")</f>
        <v xml:space="preserve"> </v>
      </c>
      <c r="M1451" s="28"/>
      <c r="N1451" s="28"/>
      <c r="O1451" s="255" t="str">
        <f>IF(M1451="","",(_xlfn.XLOOKUP(M1451,Cadastros!$D$6:$D$90,Cadastros!$E$6:$E$90))*(1-_xlfn.XLOOKUP(_xlfn.XLOOKUP($F1451,Clientes!$B$4:$B$39,Clientes!$C$4:$C$39),Cadastros!$L$6:$L$12,Cadastros!$N$6:$N$12)))</f>
        <v/>
      </c>
      <c r="P1451" s="168" t="str">
        <f t="shared" si="288"/>
        <v/>
      </c>
      <c r="Q1451" s="168" t="str">
        <f>IFERROR(P1451/_xlfn.XLOOKUP(_xlfn.XLOOKUP($F1451,Clientes!$B$4:$B$39,Clientes!$C$4:$C$39),Cadastros!$L$6:$L$12,Cadastros!$M$6:$M$12)," ")</f>
        <v xml:space="preserve"> </v>
      </c>
      <c r="R1451" s="28"/>
      <c r="S1451" s="28"/>
      <c r="T1451" s="255" t="str">
        <f>IF(R1451="","",(_xlfn.XLOOKUP(R1451,Cadastros!$D$6:$D$90,Cadastros!$E$6:$E$90))*(1-_xlfn.XLOOKUP(_xlfn.XLOOKUP($F1451,Clientes!$B$4:$B$39,Clientes!$C$4:$C$39),Cadastros!$L$6:$L$12,Cadastros!$N$6:$N$12)))</f>
        <v/>
      </c>
      <c r="U1451" s="168" t="str">
        <f t="shared" si="289"/>
        <v/>
      </c>
      <c r="V1451" s="168" t="str">
        <f>IFERROR(U1451/_xlfn.XLOOKUP(_xlfn.XLOOKUP($F1451,Clientes!$B$4:$B$39,Clientes!$C$4:$C$39),Cadastros!$L$6:$L$12,Cadastros!$M$6:$M$12)," ")</f>
        <v xml:space="preserve"> </v>
      </c>
      <c r="W1451" s="28"/>
      <c r="X1451" s="28"/>
      <c r="Y1451" s="255" t="str">
        <f>IF(W1451="","",(_xlfn.XLOOKUP(W1451,Cadastros!$D$6:$D$90,Cadastros!$E$6:$E$90))*(1-_xlfn.XLOOKUP(_xlfn.XLOOKUP($F1451,Clientes!$B$4:$B$39,Clientes!$C$4:$C$39),Cadastros!$L$6:$L$12,Cadastros!$N$6:$N$12)))</f>
        <v/>
      </c>
      <c r="Z1451" s="168" t="str">
        <f t="shared" si="290"/>
        <v/>
      </c>
      <c r="AA1451" s="168" t="str">
        <f>IFERROR(Z1451/_xlfn.XLOOKUP(_xlfn.XLOOKUP($F1451,Clientes!$B$4:$B$39,Clientes!$C$4:$C$39),Cadastros!$L$6:$L$12,Cadastros!$M$6:$M$12)," ")</f>
        <v xml:space="preserve"> </v>
      </c>
      <c r="AB1451" s="28"/>
      <c r="AC1451" s="28"/>
      <c r="AD1451" s="20" t="str">
        <f>IF(AB1451="","",IF($F1451="Bernardino Furlan",_xlfn.XLOOKUP(AB1451,Cadastros!$G$6:$G$90,Cadastros!$H$6:$H$90)*(1-0.18),IF($F1451="Mauro José Salanti",_xlfn.XLOOKUP(AB1451,Cadastros!$G$6:$G$90,Cadastros!$H$6:$H$90)*(1-0.18),_xlfn.XLOOKUP(AB1451,Cadastros!$G$6:$G$90,Cadastros!$H$6:$H$90))))</f>
        <v/>
      </c>
      <c r="AE1451" s="168" t="str">
        <f t="shared" si="291"/>
        <v/>
      </c>
      <c r="AF1451" s="168" t="str">
        <f t="shared" si="292"/>
        <v/>
      </c>
      <c r="AG1451" s="28"/>
      <c r="AH1451" s="28"/>
      <c r="AI1451" s="20" t="str">
        <f>IF(AG1451="","",IF($F1451="Bernardino Furlan",_xlfn.XLOOKUP(AG1451,Cadastros!$G$6:$G$90,Cadastros!$H$6:$H$90)*(1-0.18),IF($F1451="Mauro José Salanti",_xlfn.XLOOKUP(AG1451,Cadastros!$G$6:$G$90,Cadastros!$H$6:$H$90)*(1-0.18),_xlfn.XLOOKUP(AG1451,Cadastros!$G$6:$G$90,Cadastros!$H$6:$H$90))))</f>
        <v/>
      </c>
      <c r="AJ1451" s="168" t="str">
        <f t="shared" si="293"/>
        <v/>
      </c>
      <c r="AK1451" s="168" t="str">
        <f t="shared" si="294"/>
        <v/>
      </c>
      <c r="AL1451" s="28"/>
      <c r="AM1451" s="28"/>
      <c r="AN1451" s="20" t="str">
        <f>IF(AL1451="","",IF($F1451="Bernardino Furlan",_xlfn.XLOOKUP(AL1451,Cadastros!$G$6:$G$90,Cadastros!$H$6:$H$90)*(1-0.18),IF($F1451="Mauro José Salanti",_xlfn.XLOOKUP(AL1451,Cadastros!$G$6:$G$90,Cadastros!$H$6:$H$90)*(1-0.18),_xlfn.XLOOKUP(AL1451,Cadastros!$G$6:$G$90,Cadastros!$H$6:$H$90))))</f>
        <v/>
      </c>
      <c r="AO1451" s="168" t="str">
        <f t="shared" si="295"/>
        <v/>
      </c>
      <c r="AP1451" s="168" t="str">
        <f t="shared" si="296"/>
        <v/>
      </c>
      <c r="AQ1451" s="28"/>
      <c r="AR1451" s="28"/>
      <c r="AS1451" s="20" t="str">
        <f>IF(AQ1451="","",IF($F1451="Bernardino Furlan",_xlfn.XLOOKUP(AQ1451,Cadastros!$G$6:$G$90,Cadastros!$H$6:$H$90)*(1-0.18),IF($F1451="Mauro José Salanti",_xlfn.XLOOKUP(AQ1451,Cadastros!$G$6:$G$90,Cadastros!$H$6:$H$90)*(1-0.18),_xlfn.XLOOKUP(AQ1451,Cadastros!$G$6:$G$90,Cadastros!$H$6:$H$90))))</f>
        <v/>
      </c>
      <c r="AT1451" s="168" t="str">
        <f t="shared" si="297"/>
        <v/>
      </c>
      <c r="AU1451" s="168" t="str">
        <f t="shared" si="298"/>
        <v/>
      </c>
      <c r="AV1451" s="227"/>
      <c r="AW1451" s="30"/>
      <c r="AX1451" s="267"/>
      <c r="AY1451" s="267"/>
      <c r="AZ1451" s="29"/>
      <c r="BA1451" s="30"/>
      <c r="BB1451" s="23" t="str" cm="1">
        <f t="array" ref="BB1451">_xlfn.IFS(AW1451="SIM",SUM(K1451,P1451,U1451,Z1451,AE1451,AJ1451,AO1451,AT1451,AX1451,AY1451),F1451&lt;&gt;"",SUM(K1451,P1451,U1451,Z1451,AE1451,AJ1451,,AO1451,AT1451),F1451="","")</f>
        <v/>
      </c>
      <c r="BC1451" s="211" t="str" cm="1">
        <f t="array" ref="BC1451">_xlfn.IFS(E1451="","",G1451&lt;=E1451,BB1451*(1-0.03),G1451&lt;(E1451+8),BB1451,AZ1451="Boleto",BB1451*(1+0.001)^DATEDIF(E1451,G1451,"D"),AZ1451="Cheque",BB1451,AZ1451="Dinheiro","Alterar forma pgto")</f>
        <v/>
      </c>
      <c r="BD1451" s="276" t="str" cm="1">
        <f t="array" ref="BD1451">IF(F1451=0," ",IF(BC1451&lt;BB1451,(_xlfn.IFS(AW1451="SIM",SUM(L1451,Q1451,V1451,AA1451,AF1451,AK1451,AP1451,AU1451)+AX1451/_xlfn.XLOOKUP(_xlfn.XLOOKUP($F1451,Clientes!$B$4:$B$39,Clientes!$C$4:$C$39),Cadastros!$L$6:$L$12,Cadastros!$M$6:$M$12)+IF($F1451="Bernardino Furlan",AY1451/2751.92,IF($F1451="Mauro José Salanti",AY1451/2751.92,AY1451/3356)),F1451&lt;&gt;0,SUM(L1451,Q1451,V1451,AA1451,AF1451,AK1451,AP1451,AU1451)))*(1-0.03),_xlfn.IFS(AW1451="SIM",SUM(L1451,Q1451,V1451,AA1451,AF1451,AK1451,AP1451,AU1451)+AX1451/_xlfn.XLOOKUP(_xlfn.XLOOKUP($F1451,Clientes!$B$4:$B$39,Clientes!$C$4:$C$39),Cadastros!$L$6:$L$12,Cadastros!$M$6:$M$12)+IF($F1451="Bernardino Furlan",AY1451/2751.92,IF($F1451="Mauro José Salanti",AY1451/2751.92,AY1451/3356)),F1451&lt;&gt;0,SUM(L1451,Q1451,V1451,AA1451,AF1451,AK1451,AP1451,AU1451))))</f>
        <v xml:space="preserve"> </v>
      </c>
      <c r="BE1451" s="120"/>
      <c r="BF1451" s="120"/>
      <c r="BG1451" s="120"/>
    </row>
    <row r="1452" spans="1:59" s="3" customFormat="1" x14ac:dyDescent="0.3">
      <c r="A1452" s="15" t="str">
        <f t="shared" si="286"/>
        <v/>
      </c>
      <c r="B1452" s="25"/>
      <c r="C1452" s="26"/>
      <c r="D1452" s="279"/>
      <c r="E1452" s="27"/>
      <c r="F1452" s="28"/>
      <c r="G1452" s="27"/>
      <c r="H1452" s="28"/>
      <c r="I1452" s="28"/>
      <c r="J1452" s="255" t="str">
        <f>IF(H1452="","",(_xlfn.XLOOKUP(H1452,Cadastros!$D$6:$D$90,Cadastros!$E$6:$E$90))*(1-_xlfn.XLOOKUP(_xlfn.XLOOKUP($F1452,Clientes!$B$4:$B$39,Clientes!$C$4:$C$39),Cadastros!$L$6:$L$12,Cadastros!$N$6:$N$12)))</f>
        <v/>
      </c>
      <c r="K1452" s="168" t="str">
        <f t="shared" si="287"/>
        <v/>
      </c>
      <c r="L1452" s="168" t="str">
        <f>IFERROR(K1452/_xlfn.XLOOKUP(_xlfn.XLOOKUP($F1452,Clientes!$B$4:$B$39,Clientes!$C$4:$C$39),Cadastros!$L$6:$L$12,Cadastros!$M$6:$M$12)," ")</f>
        <v xml:space="preserve"> </v>
      </c>
      <c r="M1452" s="28"/>
      <c r="N1452" s="28"/>
      <c r="O1452" s="255" t="str">
        <f>IF(M1452="","",(_xlfn.XLOOKUP(M1452,Cadastros!$D$6:$D$90,Cadastros!$E$6:$E$90))*(1-_xlfn.XLOOKUP(_xlfn.XLOOKUP($F1452,Clientes!$B$4:$B$39,Clientes!$C$4:$C$39),Cadastros!$L$6:$L$12,Cadastros!$N$6:$N$12)))</f>
        <v/>
      </c>
      <c r="P1452" s="168" t="str">
        <f t="shared" si="288"/>
        <v/>
      </c>
      <c r="Q1452" s="168" t="str">
        <f>IFERROR(P1452/_xlfn.XLOOKUP(_xlfn.XLOOKUP($F1452,Clientes!$B$4:$B$39,Clientes!$C$4:$C$39),Cadastros!$L$6:$L$12,Cadastros!$M$6:$M$12)," ")</f>
        <v xml:space="preserve"> </v>
      </c>
      <c r="R1452" s="28"/>
      <c r="S1452" s="28"/>
      <c r="T1452" s="255" t="str">
        <f>IF(R1452="","",(_xlfn.XLOOKUP(R1452,Cadastros!$D$6:$D$90,Cadastros!$E$6:$E$90))*(1-_xlfn.XLOOKUP(_xlfn.XLOOKUP($F1452,Clientes!$B$4:$B$39,Clientes!$C$4:$C$39),Cadastros!$L$6:$L$12,Cadastros!$N$6:$N$12)))</f>
        <v/>
      </c>
      <c r="U1452" s="168" t="str">
        <f t="shared" si="289"/>
        <v/>
      </c>
      <c r="V1452" s="168" t="str">
        <f>IFERROR(U1452/_xlfn.XLOOKUP(_xlfn.XLOOKUP($F1452,Clientes!$B$4:$B$39,Clientes!$C$4:$C$39),Cadastros!$L$6:$L$12,Cadastros!$M$6:$M$12)," ")</f>
        <v xml:space="preserve"> </v>
      </c>
      <c r="W1452" s="28"/>
      <c r="X1452" s="28"/>
      <c r="Y1452" s="255" t="str">
        <f>IF(W1452="","",(_xlfn.XLOOKUP(W1452,Cadastros!$D$6:$D$90,Cadastros!$E$6:$E$90))*(1-_xlfn.XLOOKUP(_xlfn.XLOOKUP($F1452,Clientes!$B$4:$B$39,Clientes!$C$4:$C$39),Cadastros!$L$6:$L$12,Cadastros!$N$6:$N$12)))</f>
        <v/>
      </c>
      <c r="Z1452" s="168" t="str">
        <f t="shared" si="290"/>
        <v/>
      </c>
      <c r="AA1452" s="168" t="str">
        <f>IFERROR(Z1452/_xlfn.XLOOKUP(_xlfn.XLOOKUP($F1452,Clientes!$B$4:$B$39,Clientes!$C$4:$C$39),Cadastros!$L$6:$L$12,Cadastros!$M$6:$M$12)," ")</f>
        <v xml:space="preserve"> </v>
      </c>
      <c r="AB1452" s="28"/>
      <c r="AC1452" s="28"/>
      <c r="AD1452" s="20" t="str">
        <f>IF(AB1452="","",IF($F1452="Bernardino Furlan",_xlfn.XLOOKUP(AB1452,Cadastros!$G$6:$G$90,Cadastros!$H$6:$H$90)*(1-0.18),IF($F1452="Mauro José Salanti",_xlfn.XLOOKUP(AB1452,Cadastros!$G$6:$G$90,Cadastros!$H$6:$H$90)*(1-0.18),_xlfn.XLOOKUP(AB1452,Cadastros!$G$6:$G$90,Cadastros!$H$6:$H$90))))</f>
        <v/>
      </c>
      <c r="AE1452" s="168" t="str">
        <f t="shared" si="291"/>
        <v/>
      </c>
      <c r="AF1452" s="168" t="str">
        <f t="shared" si="292"/>
        <v/>
      </c>
      <c r="AG1452" s="28"/>
      <c r="AH1452" s="28"/>
      <c r="AI1452" s="20" t="str">
        <f>IF(AG1452="","",IF($F1452="Bernardino Furlan",_xlfn.XLOOKUP(AG1452,Cadastros!$G$6:$G$90,Cadastros!$H$6:$H$90)*(1-0.18),IF($F1452="Mauro José Salanti",_xlfn.XLOOKUP(AG1452,Cadastros!$G$6:$G$90,Cadastros!$H$6:$H$90)*(1-0.18),_xlfn.XLOOKUP(AG1452,Cadastros!$G$6:$G$90,Cadastros!$H$6:$H$90))))</f>
        <v/>
      </c>
      <c r="AJ1452" s="168" t="str">
        <f t="shared" si="293"/>
        <v/>
      </c>
      <c r="AK1452" s="168" t="str">
        <f t="shared" si="294"/>
        <v/>
      </c>
      <c r="AL1452" s="28"/>
      <c r="AM1452" s="28"/>
      <c r="AN1452" s="20" t="str">
        <f>IF(AL1452="","",IF($F1452="Bernardino Furlan",_xlfn.XLOOKUP(AL1452,Cadastros!$G$6:$G$90,Cadastros!$H$6:$H$90)*(1-0.18),IF($F1452="Mauro José Salanti",_xlfn.XLOOKUP(AL1452,Cadastros!$G$6:$G$90,Cadastros!$H$6:$H$90)*(1-0.18),_xlfn.XLOOKUP(AL1452,Cadastros!$G$6:$G$90,Cadastros!$H$6:$H$90))))</f>
        <v/>
      </c>
      <c r="AO1452" s="168" t="str">
        <f t="shared" si="295"/>
        <v/>
      </c>
      <c r="AP1452" s="168" t="str">
        <f t="shared" si="296"/>
        <v/>
      </c>
      <c r="AQ1452" s="28"/>
      <c r="AR1452" s="28"/>
      <c r="AS1452" s="20" t="str">
        <f>IF(AQ1452="","",IF($F1452="Bernardino Furlan",_xlfn.XLOOKUP(AQ1452,Cadastros!$G$6:$G$90,Cadastros!$H$6:$H$90)*(1-0.18),IF($F1452="Mauro José Salanti",_xlfn.XLOOKUP(AQ1452,Cadastros!$G$6:$G$90,Cadastros!$H$6:$H$90)*(1-0.18),_xlfn.XLOOKUP(AQ1452,Cadastros!$G$6:$G$90,Cadastros!$H$6:$H$90))))</f>
        <v/>
      </c>
      <c r="AT1452" s="168" t="str">
        <f t="shared" si="297"/>
        <v/>
      </c>
      <c r="AU1452" s="168" t="str">
        <f t="shared" si="298"/>
        <v/>
      </c>
      <c r="AV1452" s="227"/>
      <c r="AW1452" s="30"/>
      <c r="AX1452" s="267"/>
      <c r="AY1452" s="267"/>
      <c r="AZ1452" s="29"/>
      <c r="BA1452" s="30"/>
      <c r="BB1452" s="23" t="str" cm="1">
        <f t="array" ref="BB1452">_xlfn.IFS(AW1452="SIM",SUM(K1452,P1452,U1452,Z1452,AE1452,AJ1452,AO1452,AT1452,AX1452,AY1452),F1452&lt;&gt;"",SUM(K1452,P1452,U1452,Z1452,AE1452,AJ1452,,AO1452,AT1452),F1452="","")</f>
        <v/>
      </c>
      <c r="BC1452" s="211" t="str" cm="1">
        <f t="array" ref="BC1452">_xlfn.IFS(E1452="","",G1452&lt;=E1452,BB1452*(1-0.03),G1452&lt;(E1452+8),BB1452,AZ1452="Boleto",BB1452*(1+0.001)^DATEDIF(E1452,G1452,"D"),AZ1452="Cheque",BB1452,AZ1452="Dinheiro","Alterar forma pgto")</f>
        <v/>
      </c>
      <c r="BD1452" s="276" t="str" cm="1">
        <f t="array" ref="BD1452">IF(F1452=0," ",IF(BC1452&lt;BB1452,(_xlfn.IFS(AW1452="SIM",SUM(L1452,Q1452,V1452,AA1452,AF1452,AK1452,AP1452,AU1452)+AX1452/_xlfn.XLOOKUP(_xlfn.XLOOKUP($F1452,Clientes!$B$4:$B$39,Clientes!$C$4:$C$39),Cadastros!$L$6:$L$12,Cadastros!$M$6:$M$12)+IF($F1452="Bernardino Furlan",AY1452/2751.92,IF($F1452="Mauro José Salanti",AY1452/2751.92,AY1452/3356)),F1452&lt;&gt;0,SUM(L1452,Q1452,V1452,AA1452,AF1452,AK1452,AP1452,AU1452)))*(1-0.03),_xlfn.IFS(AW1452="SIM",SUM(L1452,Q1452,V1452,AA1452,AF1452,AK1452,AP1452,AU1452)+AX1452/_xlfn.XLOOKUP(_xlfn.XLOOKUP($F1452,Clientes!$B$4:$B$39,Clientes!$C$4:$C$39),Cadastros!$L$6:$L$12,Cadastros!$M$6:$M$12)+IF($F1452="Bernardino Furlan",AY1452/2751.92,IF($F1452="Mauro José Salanti",AY1452/2751.92,AY1452/3356)),F1452&lt;&gt;0,SUM(L1452,Q1452,V1452,AA1452,AF1452,AK1452,AP1452,AU1452))))</f>
        <v xml:space="preserve"> </v>
      </c>
      <c r="BE1452" s="120"/>
      <c r="BF1452" s="120"/>
      <c r="BG1452" s="120"/>
    </row>
    <row r="1453" spans="1:59" s="3" customFormat="1" x14ac:dyDescent="0.3">
      <c r="A1453" s="15" t="str">
        <f t="shared" si="286"/>
        <v/>
      </c>
      <c r="B1453" s="25"/>
      <c r="C1453" s="26"/>
      <c r="D1453" s="279"/>
      <c r="E1453" s="27"/>
      <c r="F1453" s="28"/>
      <c r="G1453" s="27"/>
      <c r="H1453" s="28"/>
      <c r="I1453" s="28"/>
      <c r="J1453" s="255" t="str">
        <f>IF(H1453="","",(_xlfn.XLOOKUP(H1453,Cadastros!$D$6:$D$90,Cadastros!$E$6:$E$90))*(1-_xlfn.XLOOKUP(_xlfn.XLOOKUP($F1453,Clientes!$B$4:$B$39,Clientes!$C$4:$C$39),Cadastros!$L$6:$L$12,Cadastros!$N$6:$N$12)))</f>
        <v/>
      </c>
      <c r="K1453" s="168" t="str">
        <f t="shared" si="287"/>
        <v/>
      </c>
      <c r="L1453" s="168" t="str">
        <f>IFERROR(K1453/_xlfn.XLOOKUP(_xlfn.XLOOKUP($F1453,Clientes!$B$4:$B$39,Clientes!$C$4:$C$39),Cadastros!$L$6:$L$12,Cadastros!$M$6:$M$12)," ")</f>
        <v xml:space="preserve"> </v>
      </c>
      <c r="M1453" s="28"/>
      <c r="N1453" s="28"/>
      <c r="O1453" s="255" t="str">
        <f>IF(M1453="","",(_xlfn.XLOOKUP(M1453,Cadastros!$D$6:$D$90,Cadastros!$E$6:$E$90))*(1-_xlfn.XLOOKUP(_xlfn.XLOOKUP($F1453,Clientes!$B$4:$B$39,Clientes!$C$4:$C$39),Cadastros!$L$6:$L$12,Cadastros!$N$6:$N$12)))</f>
        <v/>
      </c>
      <c r="P1453" s="168" t="str">
        <f t="shared" si="288"/>
        <v/>
      </c>
      <c r="Q1453" s="168" t="str">
        <f>IFERROR(P1453/_xlfn.XLOOKUP(_xlfn.XLOOKUP($F1453,Clientes!$B$4:$B$39,Clientes!$C$4:$C$39),Cadastros!$L$6:$L$12,Cadastros!$M$6:$M$12)," ")</f>
        <v xml:space="preserve"> </v>
      </c>
      <c r="R1453" s="28"/>
      <c r="S1453" s="28"/>
      <c r="T1453" s="255" t="str">
        <f>IF(R1453="","",(_xlfn.XLOOKUP(R1453,Cadastros!$D$6:$D$90,Cadastros!$E$6:$E$90))*(1-_xlfn.XLOOKUP(_xlfn.XLOOKUP($F1453,Clientes!$B$4:$B$39,Clientes!$C$4:$C$39),Cadastros!$L$6:$L$12,Cadastros!$N$6:$N$12)))</f>
        <v/>
      </c>
      <c r="U1453" s="168" t="str">
        <f t="shared" si="289"/>
        <v/>
      </c>
      <c r="V1453" s="168" t="str">
        <f>IFERROR(U1453/_xlfn.XLOOKUP(_xlfn.XLOOKUP($F1453,Clientes!$B$4:$B$39,Clientes!$C$4:$C$39),Cadastros!$L$6:$L$12,Cadastros!$M$6:$M$12)," ")</f>
        <v xml:space="preserve"> </v>
      </c>
      <c r="W1453" s="28"/>
      <c r="X1453" s="28"/>
      <c r="Y1453" s="255" t="str">
        <f>IF(W1453="","",(_xlfn.XLOOKUP(W1453,Cadastros!$D$6:$D$90,Cadastros!$E$6:$E$90))*(1-_xlfn.XLOOKUP(_xlfn.XLOOKUP($F1453,Clientes!$B$4:$B$39,Clientes!$C$4:$C$39),Cadastros!$L$6:$L$12,Cadastros!$N$6:$N$12)))</f>
        <v/>
      </c>
      <c r="Z1453" s="168" t="str">
        <f t="shared" si="290"/>
        <v/>
      </c>
      <c r="AA1453" s="168" t="str">
        <f>IFERROR(Z1453/_xlfn.XLOOKUP(_xlfn.XLOOKUP($F1453,Clientes!$B$4:$B$39,Clientes!$C$4:$C$39),Cadastros!$L$6:$L$12,Cadastros!$M$6:$M$12)," ")</f>
        <v xml:space="preserve"> </v>
      </c>
      <c r="AB1453" s="28"/>
      <c r="AC1453" s="28"/>
      <c r="AD1453" s="20" t="str">
        <f>IF(AB1453="","",IF($F1453="Bernardino Furlan",_xlfn.XLOOKUP(AB1453,Cadastros!$G$6:$G$90,Cadastros!$H$6:$H$90)*(1-0.18),IF($F1453="Mauro José Salanti",_xlfn.XLOOKUP(AB1453,Cadastros!$G$6:$G$90,Cadastros!$H$6:$H$90)*(1-0.18),_xlfn.XLOOKUP(AB1453,Cadastros!$G$6:$G$90,Cadastros!$H$6:$H$90))))</f>
        <v/>
      </c>
      <c r="AE1453" s="168" t="str">
        <f t="shared" si="291"/>
        <v/>
      </c>
      <c r="AF1453" s="168" t="str">
        <f t="shared" si="292"/>
        <v/>
      </c>
      <c r="AG1453" s="28"/>
      <c r="AH1453" s="28"/>
      <c r="AI1453" s="20" t="str">
        <f>IF(AG1453="","",IF($F1453="Bernardino Furlan",_xlfn.XLOOKUP(AG1453,Cadastros!$G$6:$G$90,Cadastros!$H$6:$H$90)*(1-0.18),IF($F1453="Mauro José Salanti",_xlfn.XLOOKUP(AG1453,Cadastros!$G$6:$G$90,Cadastros!$H$6:$H$90)*(1-0.18),_xlfn.XLOOKUP(AG1453,Cadastros!$G$6:$G$90,Cadastros!$H$6:$H$90))))</f>
        <v/>
      </c>
      <c r="AJ1453" s="168" t="str">
        <f t="shared" si="293"/>
        <v/>
      </c>
      <c r="AK1453" s="168" t="str">
        <f t="shared" si="294"/>
        <v/>
      </c>
      <c r="AL1453" s="28"/>
      <c r="AM1453" s="28"/>
      <c r="AN1453" s="20" t="str">
        <f>IF(AL1453="","",IF($F1453="Bernardino Furlan",_xlfn.XLOOKUP(AL1453,Cadastros!$G$6:$G$90,Cadastros!$H$6:$H$90)*(1-0.18),IF($F1453="Mauro José Salanti",_xlfn.XLOOKUP(AL1453,Cadastros!$G$6:$G$90,Cadastros!$H$6:$H$90)*(1-0.18),_xlfn.XLOOKUP(AL1453,Cadastros!$G$6:$G$90,Cadastros!$H$6:$H$90))))</f>
        <v/>
      </c>
      <c r="AO1453" s="168" t="str">
        <f t="shared" si="295"/>
        <v/>
      </c>
      <c r="AP1453" s="168" t="str">
        <f t="shared" si="296"/>
        <v/>
      </c>
      <c r="AQ1453" s="28"/>
      <c r="AR1453" s="28"/>
      <c r="AS1453" s="20" t="str">
        <f>IF(AQ1453="","",IF($F1453="Bernardino Furlan",_xlfn.XLOOKUP(AQ1453,Cadastros!$G$6:$G$90,Cadastros!$H$6:$H$90)*(1-0.18),IF($F1453="Mauro José Salanti",_xlfn.XLOOKUP(AQ1453,Cadastros!$G$6:$G$90,Cadastros!$H$6:$H$90)*(1-0.18),_xlfn.XLOOKUP(AQ1453,Cadastros!$G$6:$G$90,Cadastros!$H$6:$H$90))))</f>
        <v/>
      </c>
      <c r="AT1453" s="168" t="str">
        <f t="shared" si="297"/>
        <v/>
      </c>
      <c r="AU1453" s="168" t="str">
        <f t="shared" si="298"/>
        <v/>
      </c>
      <c r="AV1453" s="227"/>
      <c r="AW1453" s="30"/>
      <c r="AX1453" s="267"/>
      <c r="AY1453" s="267"/>
      <c r="AZ1453" s="29"/>
      <c r="BA1453" s="30"/>
      <c r="BB1453" s="23" t="str" cm="1">
        <f t="array" ref="BB1453">_xlfn.IFS(AW1453="SIM",SUM(K1453,P1453,U1453,Z1453,AE1453,AJ1453,AO1453,AT1453,AX1453,AY1453),F1453&lt;&gt;"",SUM(K1453,P1453,U1453,Z1453,AE1453,AJ1453,,AO1453,AT1453),F1453="","")</f>
        <v/>
      </c>
      <c r="BC1453" s="211" t="str" cm="1">
        <f t="array" ref="BC1453">_xlfn.IFS(E1453="","",G1453&lt;=E1453,BB1453*(1-0.03),G1453&lt;(E1453+8),BB1453,AZ1453="Boleto",BB1453*(1+0.001)^DATEDIF(E1453,G1453,"D"),AZ1453="Cheque",BB1453,AZ1453="Dinheiro","Alterar forma pgto")</f>
        <v/>
      </c>
      <c r="BD1453" s="276" t="str" cm="1">
        <f t="array" ref="BD1453">IF(F1453=0," ",IF(BC1453&lt;BB1453,(_xlfn.IFS(AW1453="SIM",SUM(L1453,Q1453,V1453,AA1453,AF1453,AK1453,AP1453,AU1453)+AX1453/_xlfn.XLOOKUP(_xlfn.XLOOKUP($F1453,Clientes!$B$4:$B$39,Clientes!$C$4:$C$39),Cadastros!$L$6:$L$12,Cadastros!$M$6:$M$12)+IF($F1453="Bernardino Furlan",AY1453/2751.92,IF($F1453="Mauro José Salanti",AY1453/2751.92,AY1453/3356)),F1453&lt;&gt;0,SUM(L1453,Q1453,V1453,AA1453,AF1453,AK1453,AP1453,AU1453)))*(1-0.03),_xlfn.IFS(AW1453="SIM",SUM(L1453,Q1453,V1453,AA1453,AF1453,AK1453,AP1453,AU1453)+AX1453/_xlfn.XLOOKUP(_xlfn.XLOOKUP($F1453,Clientes!$B$4:$B$39,Clientes!$C$4:$C$39),Cadastros!$L$6:$L$12,Cadastros!$M$6:$M$12)+IF($F1453="Bernardino Furlan",AY1453/2751.92,IF($F1453="Mauro José Salanti",AY1453/2751.92,AY1453/3356)),F1453&lt;&gt;0,SUM(L1453,Q1453,V1453,AA1453,AF1453,AK1453,AP1453,AU1453))))</f>
        <v xml:space="preserve"> </v>
      </c>
      <c r="BE1453" s="120"/>
      <c r="BF1453" s="120"/>
      <c r="BG1453" s="120"/>
    </row>
    <row r="1454" spans="1:59" s="3" customFormat="1" x14ac:dyDescent="0.3">
      <c r="A1454" s="15" t="str">
        <f t="shared" si="286"/>
        <v/>
      </c>
      <c r="B1454" s="25"/>
      <c r="C1454" s="26"/>
      <c r="D1454" s="279"/>
      <c r="E1454" s="27"/>
      <c r="F1454" s="28"/>
      <c r="G1454" s="27"/>
      <c r="H1454" s="28"/>
      <c r="I1454" s="28"/>
      <c r="J1454" s="255" t="str">
        <f>IF(H1454="","",(_xlfn.XLOOKUP(H1454,Cadastros!$D$6:$D$90,Cadastros!$E$6:$E$90))*(1-_xlfn.XLOOKUP(_xlfn.XLOOKUP($F1454,Clientes!$B$4:$B$39,Clientes!$C$4:$C$39),Cadastros!$L$6:$L$12,Cadastros!$N$6:$N$12)))</f>
        <v/>
      </c>
      <c r="K1454" s="168" t="str">
        <f t="shared" si="287"/>
        <v/>
      </c>
      <c r="L1454" s="168" t="str">
        <f>IFERROR(K1454/_xlfn.XLOOKUP(_xlfn.XLOOKUP($F1454,Clientes!$B$4:$B$39,Clientes!$C$4:$C$39),Cadastros!$L$6:$L$12,Cadastros!$M$6:$M$12)," ")</f>
        <v xml:space="preserve"> </v>
      </c>
      <c r="M1454" s="28"/>
      <c r="N1454" s="28"/>
      <c r="O1454" s="255" t="str">
        <f>IF(M1454="","",(_xlfn.XLOOKUP(M1454,Cadastros!$D$6:$D$90,Cadastros!$E$6:$E$90))*(1-_xlfn.XLOOKUP(_xlfn.XLOOKUP($F1454,Clientes!$B$4:$B$39,Clientes!$C$4:$C$39),Cadastros!$L$6:$L$12,Cadastros!$N$6:$N$12)))</f>
        <v/>
      </c>
      <c r="P1454" s="168" t="str">
        <f t="shared" si="288"/>
        <v/>
      </c>
      <c r="Q1454" s="168" t="str">
        <f>IFERROR(P1454/_xlfn.XLOOKUP(_xlfn.XLOOKUP($F1454,Clientes!$B$4:$B$39,Clientes!$C$4:$C$39),Cadastros!$L$6:$L$12,Cadastros!$M$6:$M$12)," ")</f>
        <v xml:space="preserve"> </v>
      </c>
      <c r="R1454" s="28"/>
      <c r="S1454" s="28"/>
      <c r="T1454" s="255" t="str">
        <f>IF(R1454="","",(_xlfn.XLOOKUP(R1454,Cadastros!$D$6:$D$90,Cadastros!$E$6:$E$90))*(1-_xlfn.XLOOKUP(_xlfn.XLOOKUP($F1454,Clientes!$B$4:$B$39,Clientes!$C$4:$C$39),Cadastros!$L$6:$L$12,Cadastros!$N$6:$N$12)))</f>
        <v/>
      </c>
      <c r="U1454" s="168" t="str">
        <f t="shared" si="289"/>
        <v/>
      </c>
      <c r="V1454" s="168" t="str">
        <f>IFERROR(U1454/_xlfn.XLOOKUP(_xlfn.XLOOKUP($F1454,Clientes!$B$4:$B$39,Clientes!$C$4:$C$39),Cadastros!$L$6:$L$12,Cadastros!$M$6:$M$12)," ")</f>
        <v xml:space="preserve"> </v>
      </c>
      <c r="W1454" s="28"/>
      <c r="X1454" s="28"/>
      <c r="Y1454" s="255" t="str">
        <f>IF(W1454="","",(_xlfn.XLOOKUP(W1454,Cadastros!$D$6:$D$90,Cadastros!$E$6:$E$90))*(1-_xlfn.XLOOKUP(_xlfn.XLOOKUP($F1454,Clientes!$B$4:$B$39,Clientes!$C$4:$C$39),Cadastros!$L$6:$L$12,Cadastros!$N$6:$N$12)))</f>
        <v/>
      </c>
      <c r="Z1454" s="168" t="str">
        <f t="shared" si="290"/>
        <v/>
      </c>
      <c r="AA1454" s="168" t="str">
        <f>IFERROR(Z1454/_xlfn.XLOOKUP(_xlfn.XLOOKUP($F1454,Clientes!$B$4:$B$39,Clientes!$C$4:$C$39),Cadastros!$L$6:$L$12,Cadastros!$M$6:$M$12)," ")</f>
        <v xml:space="preserve"> </v>
      </c>
      <c r="AB1454" s="28"/>
      <c r="AC1454" s="28"/>
      <c r="AD1454" s="20" t="str">
        <f>IF(AB1454="","",IF($F1454="Bernardino Furlan",_xlfn.XLOOKUP(AB1454,Cadastros!$G$6:$G$90,Cadastros!$H$6:$H$90)*(1-0.18),IF($F1454="Mauro José Salanti",_xlfn.XLOOKUP(AB1454,Cadastros!$G$6:$G$90,Cadastros!$H$6:$H$90)*(1-0.18),_xlfn.XLOOKUP(AB1454,Cadastros!$G$6:$G$90,Cadastros!$H$6:$H$90))))</f>
        <v/>
      </c>
      <c r="AE1454" s="168" t="str">
        <f t="shared" si="291"/>
        <v/>
      </c>
      <c r="AF1454" s="168" t="str">
        <f t="shared" si="292"/>
        <v/>
      </c>
      <c r="AG1454" s="28"/>
      <c r="AH1454" s="28"/>
      <c r="AI1454" s="20" t="str">
        <f>IF(AG1454="","",IF($F1454="Bernardino Furlan",_xlfn.XLOOKUP(AG1454,Cadastros!$G$6:$G$90,Cadastros!$H$6:$H$90)*(1-0.18),IF($F1454="Mauro José Salanti",_xlfn.XLOOKUP(AG1454,Cadastros!$G$6:$G$90,Cadastros!$H$6:$H$90)*(1-0.18),_xlfn.XLOOKUP(AG1454,Cadastros!$G$6:$G$90,Cadastros!$H$6:$H$90))))</f>
        <v/>
      </c>
      <c r="AJ1454" s="168" t="str">
        <f t="shared" si="293"/>
        <v/>
      </c>
      <c r="AK1454" s="168" t="str">
        <f t="shared" si="294"/>
        <v/>
      </c>
      <c r="AL1454" s="28"/>
      <c r="AM1454" s="28"/>
      <c r="AN1454" s="20" t="str">
        <f>IF(AL1454="","",IF($F1454="Bernardino Furlan",_xlfn.XLOOKUP(AL1454,Cadastros!$G$6:$G$90,Cadastros!$H$6:$H$90)*(1-0.18),IF($F1454="Mauro José Salanti",_xlfn.XLOOKUP(AL1454,Cadastros!$G$6:$G$90,Cadastros!$H$6:$H$90)*(1-0.18),_xlfn.XLOOKUP(AL1454,Cadastros!$G$6:$G$90,Cadastros!$H$6:$H$90))))</f>
        <v/>
      </c>
      <c r="AO1454" s="168" t="str">
        <f t="shared" si="295"/>
        <v/>
      </c>
      <c r="AP1454" s="168" t="str">
        <f t="shared" si="296"/>
        <v/>
      </c>
      <c r="AQ1454" s="28"/>
      <c r="AR1454" s="28"/>
      <c r="AS1454" s="20" t="str">
        <f>IF(AQ1454="","",IF($F1454="Bernardino Furlan",_xlfn.XLOOKUP(AQ1454,Cadastros!$G$6:$G$90,Cadastros!$H$6:$H$90)*(1-0.18),IF($F1454="Mauro José Salanti",_xlfn.XLOOKUP(AQ1454,Cadastros!$G$6:$G$90,Cadastros!$H$6:$H$90)*(1-0.18),_xlfn.XLOOKUP(AQ1454,Cadastros!$G$6:$G$90,Cadastros!$H$6:$H$90))))</f>
        <v/>
      </c>
      <c r="AT1454" s="168" t="str">
        <f t="shared" si="297"/>
        <v/>
      </c>
      <c r="AU1454" s="168" t="str">
        <f t="shared" si="298"/>
        <v/>
      </c>
      <c r="AV1454" s="227"/>
      <c r="AW1454" s="30"/>
      <c r="AX1454" s="267"/>
      <c r="AY1454" s="267"/>
      <c r="AZ1454" s="29"/>
      <c r="BA1454" s="30"/>
      <c r="BB1454" s="23" t="str" cm="1">
        <f t="array" ref="BB1454">_xlfn.IFS(AW1454="SIM",SUM(K1454,P1454,U1454,Z1454,AE1454,AJ1454,AO1454,AT1454,AX1454,AY1454),F1454&lt;&gt;"",SUM(K1454,P1454,U1454,Z1454,AE1454,AJ1454,,AO1454,AT1454),F1454="","")</f>
        <v/>
      </c>
      <c r="BC1454" s="211" t="str" cm="1">
        <f t="array" ref="BC1454">_xlfn.IFS(E1454="","",G1454&lt;=E1454,BB1454*(1-0.03),G1454&lt;(E1454+8),BB1454,AZ1454="Boleto",BB1454*(1+0.001)^DATEDIF(E1454,G1454,"D"),AZ1454="Cheque",BB1454,AZ1454="Dinheiro","Alterar forma pgto")</f>
        <v/>
      </c>
      <c r="BD1454" s="276" t="str" cm="1">
        <f t="array" ref="BD1454">IF(F1454=0," ",IF(BC1454&lt;BB1454,(_xlfn.IFS(AW1454="SIM",SUM(L1454,Q1454,V1454,AA1454,AF1454,AK1454,AP1454,AU1454)+AX1454/_xlfn.XLOOKUP(_xlfn.XLOOKUP($F1454,Clientes!$B$4:$B$39,Clientes!$C$4:$C$39),Cadastros!$L$6:$L$12,Cadastros!$M$6:$M$12)+IF($F1454="Bernardino Furlan",AY1454/2751.92,IF($F1454="Mauro José Salanti",AY1454/2751.92,AY1454/3356)),F1454&lt;&gt;0,SUM(L1454,Q1454,V1454,AA1454,AF1454,AK1454,AP1454,AU1454)))*(1-0.03),_xlfn.IFS(AW1454="SIM",SUM(L1454,Q1454,V1454,AA1454,AF1454,AK1454,AP1454,AU1454)+AX1454/_xlfn.XLOOKUP(_xlfn.XLOOKUP($F1454,Clientes!$B$4:$B$39,Clientes!$C$4:$C$39),Cadastros!$L$6:$L$12,Cadastros!$M$6:$M$12)+IF($F1454="Bernardino Furlan",AY1454/2751.92,IF($F1454="Mauro José Salanti",AY1454/2751.92,AY1454/3356)),F1454&lt;&gt;0,SUM(L1454,Q1454,V1454,AA1454,AF1454,AK1454,AP1454,AU1454))))</f>
        <v xml:space="preserve"> </v>
      </c>
      <c r="BE1454" s="120"/>
      <c r="BF1454" s="120"/>
      <c r="BG1454" s="120"/>
    </row>
    <row r="1455" spans="1:59" s="3" customFormat="1" x14ac:dyDescent="0.3">
      <c r="A1455" s="15" t="str">
        <f t="shared" si="286"/>
        <v/>
      </c>
      <c r="B1455" s="25"/>
      <c r="C1455" s="26"/>
      <c r="D1455" s="279"/>
      <c r="E1455" s="27"/>
      <c r="F1455" s="28"/>
      <c r="G1455" s="27"/>
      <c r="H1455" s="28"/>
      <c r="I1455" s="28"/>
      <c r="J1455" s="255" t="str">
        <f>IF(H1455="","",(_xlfn.XLOOKUP(H1455,Cadastros!$D$6:$D$90,Cadastros!$E$6:$E$90))*(1-_xlfn.XLOOKUP(_xlfn.XLOOKUP($F1455,Clientes!$B$4:$B$39,Clientes!$C$4:$C$39),Cadastros!$L$6:$L$12,Cadastros!$N$6:$N$12)))</f>
        <v/>
      </c>
      <c r="K1455" s="168" t="str">
        <f t="shared" si="287"/>
        <v/>
      </c>
      <c r="L1455" s="168" t="str">
        <f>IFERROR(K1455/_xlfn.XLOOKUP(_xlfn.XLOOKUP($F1455,Clientes!$B$4:$B$39,Clientes!$C$4:$C$39),Cadastros!$L$6:$L$12,Cadastros!$M$6:$M$12)," ")</f>
        <v xml:space="preserve"> </v>
      </c>
      <c r="M1455" s="28"/>
      <c r="N1455" s="28"/>
      <c r="O1455" s="255" t="str">
        <f>IF(M1455="","",(_xlfn.XLOOKUP(M1455,Cadastros!$D$6:$D$90,Cadastros!$E$6:$E$90))*(1-_xlfn.XLOOKUP(_xlfn.XLOOKUP($F1455,Clientes!$B$4:$B$39,Clientes!$C$4:$C$39),Cadastros!$L$6:$L$12,Cadastros!$N$6:$N$12)))</f>
        <v/>
      </c>
      <c r="P1455" s="168" t="str">
        <f t="shared" si="288"/>
        <v/>
      </c>
      <c r="Q1455" s="168" t="str">
        <f>IFERROR(P1455/_xlfn.XLOOKUP(_xlfn.XLOOKUP($F1455,Clientes!$B$4:$B$39,Clientes!$C$4:$C$39),Cadastros!$L$6:$L$12,Cadastros!$M$6:$M$12)," ")</f>
        <v xml:space="preserve"> </v>
      </c>
      <c r="R1455" s="28"/>
      <c r="S1455" s="28"/>
      <c r="T1455" s="255" t="str">
        <f>IF(R1455="","",(_xlfn.XLOOKUP(R1455,Cadastros!$D$6:$D$90,Cadastros!$E$6:$E$90))*(1-_xlfn.XLOOKUP(_xlfn.XLOOKUP($F1455,Clientes!$B$4:$B$39,Clientes!$C$4:$C$39),Cadastros!$L$6:$L$12,Cadastros!$N$6:$N$12)))</f>
        <v/>
      </c>
      <c r="U1455" s="168" t="str">
        <f t="shared" si="289"/>
        <v/>
      </c>
      <c r="V1455" s="168" t="str">
        <f>IFERROR(U1455/_xlfn.XLOOKUP(_xlfn.XLOOKUP($F1455,Clientes!$B$4:$B$39,Clientes!$C$4:$C$39),Cadastros!$L$6:$L$12,Cadastros!$M$6:$M$12)," ")</f>
        <v xml:space="preserve"> </v>
      </c>
      <c r="W1455" s="28"/>
      <c r="X1455" s="28"/>
      <c r="Y1455" s="255" t="str">
        <f>IF(W1455="","",(_xlfn.XLOOKUP(W1455,Cadastros!$D$6:$D$90,Cadastros!$E$6:$E$90))*(1-_xlfn.XLOOKUP(_xlfn.XLOOKUP($F1455,Clientes!$B$4:$B$39,Clientes!$C$4:$C$39),Cadastros!$L$6:$L$12,Cadastros!$N$6:$N$12)))</f>
        <v/>
      </c>
      <c r="Z1455" s="168" t="str">
        <f t="shared" si="290"/>
        <v/>
      </c>
      <c r="AA1455" s="168" t="str">
        <f>IFERROR(Z1455/_xlfn.XLOOKUP(_xlfn.XLOOKUP($F1455,Clientes!$B$4:$B$39,Clientes!$C$4:$C$39),Cadastros!$L$6:$L$12,Cadastros!$M$6:$M$12)," ")</f>
        <v xml:space="preserve"> </v>
      </c>
      <c r="AB1455" s="28"/>
      <c r="AC1455" s="28"/>
      <c r="AD1455" s="20" t="str">
        <f>IF(AB1455="","",IF($F1455="Bernardino Furlan",_xlfn.XLOOKUP(AB1455,Cadastros!$G$6:$G$90,Cadastros!$H$6:$H$90)*(1-0.18),IF($F1455="Mauro José Salanti",_xlfn.XLOOKUP(AB1455,Cadastros!$G$6:$G$90,Cadastros!$H$6:$H$90)*(1-0.18),_xlfn.XLOOKUP(AB1455,Cadastros!$G$6:$G$90,Cadastros!$H$6:$H$90))))</f>
        <v/>
      </c>
      <c r="AE1455" s="168" t="str">
        <f t="shared" si="291"/>
        <v/>
      </c>
      <c r="AF1455" s="168" t="str">
        <f t="shared" si="292"/>
        <v/>
      </c>
      <c r="AG1455" s="28"/>
      <c r="AH1455" s="28"/>
      <c r="AI1455" s="20" t="str">
        <f>IF(AG1455="","",IF($F1455="Bernardino Furlan",_xlfn.XLOOKUP(AG1455,Cadastros!$G$6:$G$90,Cadastros!$H$6:$H$90)*(1-0.18),IF($F1455="Mauro José Salanti",_xlfn.XLOOKUP(AG1455,Cadastros!$G$6:$G$90,Cadastros!$H$6:$H$90)*(1-0.18),_xlfn.XLOOKUP(AG1455,Cadastros!$G$6:$G$90,Cadastros!$H$6:$H$90))))</f>
        <v/>
      </c>
      <c r="AJ1455" s="168" t="str">
        <f t="shared" si="293"/>
        <v/>
      </c>
      <c r="AK1455" s="168" t="str">
        <f t="shared" si="294"/>
        <v/>
      </c>
      <c r="AL1455" s="28"/>
      <c r="AM1455" s="28"/>
      <c r="AN1455" s="20" t="str">
        <f>IF(AL1455="","",IF($F1455="Bernardino Furlan",_xlfn.XLOOKUP(AL1455,Cadastros!$G$6:$G$90,Cadastros!$H$6:$H$90)*(1-0.18),IF($F1455="Mauro José Salanti",_xlfn.XLOOKUP(AL1455,Cadastros!$G$6:$G$90,Cadastros!$H$6:$H$90)*(1-0.18),_xlfn.XLOOKUP(AL1455,Cadastros!$G$6:$G$90,Cadastros!$H$6:$H$90))))</f>
        <v/>
      </c>
      <c r="AO1455" s="168" t="str">
        <f t="shared" si="295"/>
        <v/>
      </c>
      <c r="AP1455" s="168" t="str">
        <f t="shared" si="296"/>
        <v/>
      </c>
      <c r="AQ1455" s="28"/>
      <c r="AR1455" s="28"/>
      <c r="AS1455" s="20" t="str">
        <f>IF(AQ1455="","",IF($F1455="Bernardino Furlan",_xlfn.XLOOKUP(AQ1455,Cadastros!$G$6:$G$90,Cadastros!$H$6:$H$90)*(1-0.18),IF($F1455="Mauro José Salanti",_xlfn.XLOOKUP(AQ1455,Cadastros!$G$6:$G$90,Cadastros!$H$6:$H$90)*(1-0.18),_xlfn.XLOOKUP(AQ1455,Cadastros!$G$6:$G$90,Cadastros!$H$6:$H$90))))</f>
        <v/>
      </c>
      <c r="AT1455" s="168" t="str">
        <f t="shared" si="297"/>
        <v/>
      </c>
      <c r="AU1455" s="168" t="str">
        <f t="shared" si="298"/>
        <v/>
      </c>
      <c r="AV1455" s="227"/>
      <c r="AW1455" s="30"/>
      <c r="AX1455" s="267"/>
      <c r="AY1455" s="267"/>
      <c r="AZ1455" s="29"/>
      <c r="BA1455" s="30"/>
      <c r="BB1455" s="23" t="str" cm="1">
        <f t="array" ref="BB1455">_xlfn.IFS(AW1455="SIM",SUM(K1455,P1455,U1455,Z1455,AE1455,AJ1455,AO1455,AT1455,AX1455,AY1455),F1455&lt;&gt;"",SUM(K1455,P1455,U1455,Z1455,AE1455,AJ1455,,AO1455,AT1455),F1455="","")</f>
        <v/>
      </c>
      <c r="BC1455" s="211" t="str" cm="1">
        <f t="array" ref="BC1455">_xlfn.IFS(E1455="","",G1455&lt;=E1455,BB1455*(1-0.03),G1455&lt;(E1455+8),BB1455,AZ1455="Boleto",BB1455*(1+0.001)^DATEDIF(E1455,G1455,"D"),AZ1455="Cheque",BB1455,AZ1455="Dinheiro","Alterar forma pgto")</f>
        <v/>
      </c>
      <c r="BD1455" s="276" t="str" cm="1">
        <f t="array" ref="BD1455">IF(F1455=0," ",IF(BC1455&lt;BB1455,(_xlfn.IFS(AW1455="SIM",SUM(L1455,Q1455,V1455,AA1455,AF1455,AK1455,AP1455,AU1455)+AX1455/_xlfn.XLOOKUP(_xlfn.XLOOKUP($F1455,Clientes!$B$4:$B$39,Clientes!$C$4:$C$39),Cadastros!$L$6:$L$12,Cadastros!$M$6:$M$12)+IF($F1455="Bernardino Furlan",AY1455/2751.92,IF($F1455="Mauro José Salanti",AY1455/2751.92,AY1455/3356)),F1455&lt;&gt;0,SUM(L1455,Q1455,V1455,AA1455,AF1455,AK1455,AP1455,AU1455)))*(1-0.03),_xlfn.IFS(AW1455="SIM",SUM(L1455,Q1455,V1455,AA1455,AF1455,AK1455,AP1455,AU1455)+AX1455/_xlfn.XLOOKUP(_xlfn.XLOOKUP($F1455,Clientes!$B$4:$B$39,Clientes!$C$4:$C$39),Cadastros!$L$6:$L$12,Cadastros!$M$6:$M$12)+IF($F1455="Bernardino Furlan",AY1455/2751.92,IF($F1455="Mauro José Salanti",AY1455/2751.92,AY1455/3356)),F1455&lt;&gt;0,SUM(L1455,Q1455,V1455,AA1455,AF1455,AK1455,AP1455,AU1455))))</f>
        <v xml:space="preserve"> </v>
      </c>
      <c r="BE1455" s="120"/>
      <c r="BF1455" s="120"/>
      <c r="BG1455" s="120"/>
    </row>
    <row r="1456" spans="1:59" s="3" customFormat="1" x14ac:dyDescent="0.3">
      <c r="A1456" s="15" t="str">
        <f t="shared" si="286"/>
        <v/>
      </c>
      <c r="B1456" s="25"/>
      <c r="C1456" s="26"/>
      <c r="D1456" s="279"/>
      <c r="E1456" s="27"/>
      <c r="F1456" s="28"/>
      <c r="G1456" s="27"/>
      <c r="H1456" s="28"/>
      <c r="I1456" s="28"/>
      <c r="J1456" s="255" t="str">
        <f>IF(H1456="","",(_xlfn.XLOOKUP(H1456,Cadastros!$D$6:$D$90,Cadastros!$E$6:$E$90))*(1-_xlfn.XLOOKUP(_xlfn.XLOOKUP($F1456,Clientes!$B$4:$B$39,Clientes!$C$4:$C$39),Cadastros!$L$6:$L$12,Cadastros!$N$6:$N$12)))</f>
        <v/>
      </c>
      <c r="K1456" s="168" t="str">
        <f t="shared" si="287"/>
        <v/>
      </c>
      <c r="L1456" s="168" t="str">
        <f>IFERROR(K1456/_xlfn.XLOOKUP(_xlfn.XLOOKUP($F1456,Clientes!$B$4:$B$39,Clientes!$C$4:$C$39),Cadastros!$L$6:$L$12,Cadastros!$M$6:$M$12)," ")</f>
        <v xml:space="preserve"> </v>
      </c>
      <c r="M1456" s="28"/>
      <c r="N1456" s="28"/>
      <c r="O1456" s="255" t="str">
        <f>IF(M1456="","",(_xlfn.XLOOKUP(M1456,Cadastros!$D$6:$D$90,Cadastros!$E$6:$E$90))*(1-_xlfn.XLOOKUP(_xlfn.XLOOKUP($F1456,Clientes!$B$4:$B$39,Clientes!$C$4:$C$39),Cadastros!$L$6:$L$12,Cadastros!$N$6:$N$12)))</f>
        <v/>
      </c>
      <c r="P1456" s="168" t="str">
        <f t="shared" si="288"/>
        <v/>
      </c>
      <c r="Q1456" s="168" t="str">
        <f>IFERROR(P1456/_xlfn.XLOOKUP(_xlfn.XLOOKUP($F1456,Clientes!$B$4:$B$39,Clientes!$C$4:$C$39),Cadastros!$L$6:$L$12,Cadastros!$M$6:$M$12)," ")</f>
        <v xml:space="preserve"> </v>
      </c>
      <c r="R1456" s="28"/>
      <c r="S1456" s="28"/>
      <c r="T1456" s="255" t="str">
        <f>IF(R1456="","",(_xlfn.XLOOKUP(R1456,Cadastros!$D$6:$D$90,Cadastros!$E$6:$E$90))*(1-_xlfn.XLOOKUP(_xlfn.XLOOKUP($F1456,Clientes!$B$4:$B$39,Clientes!$C$4:$C$39),Cadastros!$L$6:$L$12,Cadastros!$N$6:$N$12)))</f>
        <v/>
      </c>
      <c r="U1456" s="168" t="str">
        <f t="shared" si="289"/>
        <v/>
      </c>
      <c r="V1456" s="168" t="str">
        <f>IFERROR(U1456/_xlfn.XLOOKUP(_xlfn.XLOOKUP($F1456,Clientes!$B$4:$B$39,Clientes!$C$4:$C$39),Cadastros!$L$6:$L$12,Cadastros!$M$6:$M$12)," ")</f>
        <v xml:space="preserve"> </v>
      </c>
      <c r="W1456" s="28"/>
      <c r="X1456" s="28"/>
      <c r="Y1456" s="255" t="str">
        <f>IF(W1456="","",(_xlfn.XLOOKUP(W1456,Cadastros!$D$6:$D$90,Cadastros!$E$6:$E$90))*(1-_xlfn.XLOOKUP(_xlfn.XLOOKUP($F1456,Clientes!$B$4:$B$39,Clientes!$C$4:$C$39),Cadastros!$L$6:$L$12,Cadastros!$N$6:$N$12)))</f>
        <v/>
      </c>
      <c r="Z1456" s="168" t="str">
        <f t="shared" si="290"/>
        <v/>
      </c>
      <c r="AA1456" s="168" t="str">
        <f>IFERROR(Z1456/_xlfn.XLOOKUP(_xlfn.XLOOKUP($F1456,Clientes!$B$4:$B$39,Clientes!$C$4:$C$39),Cadastros!$L$6:$L$12,Cadastros!$M$6:$M$12)," ")</f>
        <v xml:space="preserve"> </v>
      </c>
      <c r="AB1456" s="28"/>
      <c r="AC1456" s="28"/>
      <c r="AD1456" s="20" t="str">
        <f>IF(AB1456="","",IF($F1456="Bernardino Furlan",_xlfn.XLOOKUP(AB1456,Cadastros!$G$6:$G$90,Cadastros!$H$6:$H$90)*(1-0.18),IF($F1456="Mauro José Salanti",_xlfn.XLOOKUP(AB1456,Cadastros!$G$6:$G$90,Cadastros!$H$6:$H$90)*(1-0.18),_xlfn.XLOOKUP(AB1456,Cadastros!$G$6:$G$90,Cadastros!$H$6:$H$90))))</f>
        <v/>
      </c>
      <c r="AE1456" s="168" t="str">
        <f t="shared" si="291"/>
        <v/>
      </c>
      <c r="AF1456" s="168" t="str">
        <f t="shared" si="292"/>
        <v/>
      </c>
      <c r="AG1456" s="28"/>
      <c r="AH1456" s="28"/>
      <c r="AI1456" s="20" t="str">
        <f>IF(AG1456="","",IF($F1456="Bernardino Furlan",_xlfn.XLOOKUP(AG1456,Cadastros!$G$6:$G$90,Cadastros!$H$6:$H$90)*(1-0.18),IF($F1456="Mauro José Salanti",_xlfn.XLOOKUP(AG1456,Cadastros!$G$6:$G$90,Cadastros!$H$6:$H$90)*(1-0.18),_xlfn.XLOOKUP(AG1456,Cadastros!$G$6:$G$90,Cadastros!$H$6:$H$90))))</f>
        <v/>
      </c>
      <c r="AJ1456" s="168" t="str">
        <f t="shared" si="293"/>
        <v/>
      </c>
      <c r="AK1456" s="168" t="str">
        <f t="shared" si="294"/>
        <v/>
      </c>
      <c r="AL1456" s="28"/>
      <c r="AM1456" s="28"/>
      <c r="AN1456" s="20" t="str">
        <f>IF(AL1456="","",IF($F1456="Bernardino Furlan",_xlfn.XLOOKUP(AL1456,Cadastros!$G$6:$G$90,Cadastros!$H$6:$H$90)*(1-0.18),IF($F1456="Mauro José Salanti",_xlfn.XLOOKUP(AL1456,Cadastros!$G$6:$G$90,Cadastros!$H$6:$H$90)*(1-0.18),_xlfn.XLOOKUP(AL1456,Cadastros!$G$6:$G$90,Cadastros!$H$6:$H$90))))</f>
        <v/>
      </c>
      <c r="AO1456" s="168" t="str">
        <f t="shared" si="295"/>
        <v/>
      </c>
      <c r="AP1456" s="168" t="str">
        <f t="shared" si="296"/>
        <v/>
      </c>
      <c r="AQ1456" s="28"/>
      <c r="AR1456" s="28"/>
      <c r="AS1456" s="20" t="str">
        <f>IF(AQ1456="","",IF($F1456="Bernardino Furlan",_xlfn.XLOOKUP(AQ1456,Cadastros!$G$6:$G$90,Cadastros!$H$6:$H$90)*(1-0.18),IF($F1456="Mauro José Salanti",_xlfn.XLOOKUP(AQ1456,Cadastros!$G$6:$G$90,Cadastros!$H$6:$H$90)*(1-0.18),_xlfn.XLOOKUP(AQ1456,Cadastros!$G$6:$G$90,Cadastros!$H$6:$H$90))))</f>
        <v/>
      </c>
      <c r="AT1456" s="168" t="str">
        <f t="shared" si="297"/>
        <v/>
      </c>
      <c r="AU1456" s="168" t="str">
        <f t="shared" si="298"/>
        <v/>
      </c>
      <c r="AV1456" s="227"/>
      <c r="AW1456" s="30"/>
      <c r="AX1456" s="267"/>
      <c r="AY1456" s="267"/>
      <c r="AZ1456" s="29"/>
      <c r="BA1456" s="30"/>
      <c r="BB1456" s="23" t="str" cm="1">
        <f t="array" ref="BB1456">_xlfn.IFS(AW1456="SIM",SUM(K1456,P1456,U1456,Z1456,AE1456,AJ1456,AO1456,AT1456,AX1456,AY1456),F1456&lt;&gt;"",SUM(K1456,P1456,U1456,Z1456,AE1456,AJ1456,,AO1456,AT1456),F1456="","")</f>
        <v/>
      </c>
      <c r="BC1456" s="211" t="str" cm="1">
        <f t="array" ref="BC1456">_xlfn.IFS(E1456="","",G1456&lt;=E1456,BB1456*(1-0.03),G1456&lt;(E1456+8),BB1456,AZ1456="Boleto",BB1456*(1+0.001)^DATEDIF(E1456,G1456,"D"),AZ1456="Cheque",BB1456,AZ1456="Dinheiro","Alterar forma pgto")</f>
        <v/>
      </c>
      <c r="BD1456" s="276" t="str" cm="1">
        <f t="array" ref="BD1456">IF(F1456=0," ",IF(BC1456&lt;BB1456,(_xlfn.IFS(AW1456="SIM",SUM(L1456,Q1456,V1456,AA1456,AF1456,AK1456,AP1456,AU1456)+AX1456/_xlfn.XLOOKUP(_xlfn.XLOOKUP($F1456,Clientes!$B$4:$B$39,Clientes!$C$4:$C$39),Cadastros!$L$6:$L$12,Cadastros!$M$6:$M$12)+IF($F1456="Bernardino Furlan",AY1456/2751.92,IF($F1456="Mauro José Salanti",AY1456/2751.92,AY1456/3356)),F1456&lt;&gt;0,SUM(L1456,Q1456,V1456,AA1456,AF1456,AK1456,AP1456,AU1456)))*(1-0.03),_xlfn.IFS(AW1456="SIM",SUM(L1456,Q1456,V1456,AA1456,AF1456,AK1456,AP1456,AU1456)+AX1456/_xlfn.XLOOKUP(_xlfn.XLOOKUP($F1456,Clientes!$B$4:$B$39,Clientes!$C$4:$C$39),Cadastros!$L$6:$L$12,Cadastros!$M$6:$M$12)+IF($F1456="Bernardino Furlan",AY1456/2751.92,IF($F1456="Mauro José Salanti",AY1456/2751.92,AY1456/3356)),F1456&lt;&gt;0,SUM(L1456,Q1456,V1456,AA1456,AF1456,AK1456,AP1456,AU1456))))</f>
        <v xml:space="preserve"> </v>
      </c>
      <c r="BE1456" s="120"/>
      <c r="BF1456" s="120"/>
      <c r="BG1456" s="120"/>
    </row>
    <row r="1457" spans="1:59" s="3" customFormat="1" x14ac:dyDescent="0.3">
      <c r="A1457" s="15" t="str">
        <f t="shared" si="286"/>
        <v/>
      </c>
      <c r="B1457" s="25"/>
      <c r="C1457" s="26"/>
      <c r="D1457" s="279"/>
      <c r="E1457" s="27"/>
      <c r="F1457" s="28"/>
      <c r="G1457" s="27"/>
      <c r="H1457" s="28"/>
      <c r="I1457" s="28"/>
      <c r="J1457" s="255" t="str">
        <f>IF(H1457="","",(_xlfn.XLOOKUP(H1457,Cadastros!$D$6:$D$90,Cadastros!$E$6:$E$90))*(1-_xlfn.XLOOKUP(_xlfn.XLOOKUP($F1457,Clientes!$B$4:$B$39,Clientes!$C$4:$C$39),Cadastros!$L$6:$L$12,Cadastros!$N$6:$N$12)))</f>
        <v/>
      </c>
      <c r="K1457" s="168" t="str">
        <f t="shared" si="287"/>
        <v/>
      </c>
      <c r="L1457" s="168" t="str">
        <f>IFERROR(K1457/_xlfn.XLOOKUP(_xlfn.XLOOKUP($F1457,Clientes!$B$4:$B$39,Clientes!$C$4:$C$39),Cadastros!$L$6:$L$12,Cadastros!$M$6:$M$12)," ")</f>
        <v xml:space="preserve"> </v>
      </c>
      <c r="M1457" s="28"/>
      <c r="N1457" s="28"/>
      <c r="O1457" s="255" t="str">
        <f>IF(M1457="","",(_xlfn.XLOOKUP(M1457,Cadastros!$D$6:$D$90,Cadastros!$E$6:$E$90))*(1-_xlfn.XLOOKUP(_xlfn.XLOOKUP($F1457,Clientes!$B$4:$B$39,Clientes!$C$4:$C$39),Cadastros!$L$6:$L$12,Cadastros!$N$6:$N$12)))</f>
        <v/>
      </c>
      <c r="P1457" s="168" t="str">
        <f t="shared" si="288"/>
        <v/>
      </c>
      <c r="Q1457" s="168" t="str">
        <f>IFERROR(P1457/_xlfn.XLOOKUP(_xlfn.XLOOKUP($F1457,Clientes!$B$4:$B$39,Clientes!$C$4:$C$39),Cadastros!$L$6:$L$12,Cadastros!$M$6:$M$12)," ")</f>
        <v xml:space="preserve"> </v>
      </c>
      <c r="R1457" s="28"/>
      <c r="S1457" s="28"/>
      <c r="T1457" s="255" t="str">
        <f>IF(R1457="","",(_xlfn.XLOOKUP(R1457,Cadastros!$D$6:$D$90,Cadastros!$E$6:$E$90))*(1-_xlfn.XLOOKUP(_xlfn.XLOOKUP($F1457,Clientes!$B$4:$B$39,Clientes!$C$4:$C$39),Cadastros!$L$6:$L$12,Cadastros!$N$6:$N$12)))</f>
        <v/>
      </c>
      <c r="U1457" s="168" t="str">
        <f t="shared" si="289"/>
        <v/>
      </c>
      <c r="V1457" s="168" t="str">
        <f>IFERROR(U1457/_xlfn.XLOOKUP(_xlfn.XLOOKUP($F1457,Clientes!$B$4:$B$39,Clientes!$C$4:$C$39),Cadastros!$L$6:$L$12,Cadastros!$M$6:$M$12)," ")</f>
        <v xml:space="preserve"> </v>
      </c>
      <c r="W1457" s="28"/>
      <c r="X1457" s="28"/>
      <c r="Y1457" s="255" t="str">
        <f>IF(W1457="","",(_xlfn.XLOOKUP(W1457,Cadastros!$D$6:$D$90,Cadastros!$E$6:$E$90))*(1-_xlfn.XLOOKUP(_xlfn.XLOOKUP($F1457,Clientes!$B$4:$B$39,Clientes!$C$4:$C$39),Cadastros!$L$6:$L$12,Cadastros!$N$6:$N$12)))</f>
        <v/>
      </c>
      <c r="Z1457" s="168" t="str">
        <f t="shared" si="290"/>
        <v/>
      </c>
      <c r="AA1457" s="168" t="str">
        <f>IFERROR(Z1457/_xlfn.XLOOKUP(_xlfn.XLOOKUP($F1457,Clientes!$B$4:$B$39,Clientes!$C$4:$C$39),Cadastros!$L$6:$L$12,Cadastros!$M$6:$M$12)," ")</f>
        <v xml:space="preserve"> </v>
      </c>
      <c r="AB1457" s="28"/>
      <c r="AC1457" s="28"/>
      <c r="AD1457" s="20" t="str">
        <f>IF(AB1457="","",IF($F1457="Bernardino Furlan",_xlfn.XLOOKUP(AB1457,Cadastros!$G$6:$G$90,Cadastros!$H$6:$H$90)*(1-0.18),IF($F1457="Mauro José Salanti",_xlfn.XLOOKUP(AB1457,Cadastros!$G$6:$G$90,Cadastros!$H$6:$H$90)*(1-0.18),_xlfn.XLOOKUP(AB1457,Cadastros!$G$6:$G$90,Cadastros!$H$6:$H$90))))</f>
        <v/>
      </c>
      <c r="AE1457" s="168" t="str">
        <f t="shared" si="291"/>
        <v/>
      </c>
      <c r="AF1457" s="168" t="str">
        <f t="shared" si="292"/>
        <v/>
      </c>
      <c r="AG1457" s="28"/>
      <c r="AH1457" s="28"/>
      <c r="AI1457" s="20" t="str">
        <f>IF(AG1457="","",IF($F1457="Bernardino Furlan",_xlfn.XLOOKUP(AG1457,Cadastros!$G$6:$G$90,Cadastros!$H$6:$H$90)*(1-0.18),IF($F1457="Mauro José Salanti",_xlfn.XLOOKUP(AG1457,Cadastros!$G$6:$G$90,Cadastros!$H$6:$H$90)*(1-0.18),_xlfn.XLOOKUP(AG1457,Cadastros!$G$6:$G$90,Cadastros!$H$6:$H$90))))</f>
        <v/>
      </c>
      <c r="AJ1457" s="168" t="str">
        <f t="shared" si="293"/>
        <v/>
      </c>
      <c r="AK1457" s="168" t="str">
        <f t="shared" si="294"/>
        <v/>
      </c>
      <c r="AL1457" s="28"/>
      <c r="AM1457" s="28"/>
      <c r="AN1457" s="20" t="str">
        <f>IF(AL1457="","",IF($F1457="Bernardino Furlan",_xlfn.XLOOKUP(AL1457,Cadastros!$G$6:$G$90,Cadastros!$H$6:$H$90)*(1-0.18),IF($F1457="Mauro José Salanti",_xlfn.XLOOKUP(AL1457,Cadastros!$G$6:$G$90,Cadastros!$H$6:$H$90)*(1-0.18),_xlfn.XLOOKUP(AL1457,Cadastros!$G$6:$G$90,Cadastros!$H$6:$H$90))))</f>
        <v/>
      </c>
      <c r="AO1457" s="168" t="str">
        <f t="shared" si="295"/>
        <v/>
      </c>
      <c r="AP1457" s="168" t="str">
        <f t="shared" si="296"/>
        <v/>
      </c>
      <c r="AQ1457" s="28"/>
      <c r="AR1457" s="28"/>
      <c r="AS1457" s="20" t="str">
        <f>IF(AQ1457="","",IF($F1457="Bernardino Furlan",_xlfn.XLOOKUP(AQ1457,Cadastros!$G$6:$G$90,Cadastros!$H$6:$H$90)*(1-0.18),IF($F1457="Mauro José Salanti",_xlfn.XLOOKUP(AQ1457,Cadastros!$G$6:$G$90,Cadastros!$H$6:$H$90)*(1-0.18),_xlfn.XLOOKUP(AQ1457,Cadastros!$G$6:$G$90,Cadastros!$H$6:$H$90))))</f>
        <v/>
      </c>
      <c r="AT1457" s="168" t="str">
        <f t="shared" si="297"/>
        <v/>
      </c>
      <c r="AU1457" s="168" t="str">
        <f t="shared" si="298"/>
        <v/>
      </c>
      <c r="AV1457" s="227"/>
      <c r="AW1457" s="30"/>
      <c r="AX1457" s="267"/>
      <c r="AY1457" s="267"/>
      <c r="AZ1457" s="29"/>
      <c r="BA1457" s="30"/>
      <c r="BB1457" s="23" t="str" cm="1">
        <f t="array" ref="BB1457">_xlfn.IFS(AW1457="SIM",SUM(K1457,P1457,U1457,Z1457,AE1457,AJ1457,AO1457,AT1457,AX1457,AY1457),F1457&lt;&gt;"",SUM(K1457,P1457,U1457,Z1457,AE1457,AJ1457,,AO1457,AT1457),F1457="","")</f>
        <v/>
      </c>
      <c r="BC1457" s="211" t="str" cm="1">
        <f t="array" ref="BC1457">_xlfn.IFS(E1457="","",G1457&lt;=E1457,BB1457*(1-0.03),G1457&lt;(E1457+8),BB1457,AZ1457="Boleto",BB1457*(1+0.001)^DATEDIF(E1457,G1457,"D"),AZ1457="Cheque",BB1457,AZ1457="Dinheiro","Alterar forma pgto")</f>
        <v/>
      </c>
      <c r="BD1457" s="276" t="str" cm="1">
        <f t="array" ref="BD1457">IF(F1457=0," ",IF(BC1457&lt;BB1457,(_xlfn.IFS(AW1457="SIM",SUM(L1457,Q1457,V1457,AA1457,AF1457,AK1457,AP1457,AU1457)+AX1457/_xlfn.XLOOKUP(_xlfn.XLOOKUP($F1457,Clientes!$B$4:$B$39,Clientes!$C$4:$C$39),Cadastros!$L$6:$L$12,Cadastros!$M$6:$M$12)+IF($F1457="Bernardino Furlan",AY1457/2751.92,IF($F1457="Mauro José Salanti",AY1457/2751.92,AY1457/3356)),F1457&lt;&gt;0,SUM(L1457,Q1457,V1457,AA1457,AF1457,AK1457,AP1457,AU1457)))*(1-0.03),_xlfn.IFS(AW1457="SIM",SUM(L1457,Q1457,V1457,AA1457,AF1457,AK1457,AP1457,AU1457)+AX1457/_xlfn.XLOOKUP(_xlfn.XLOOKUP($F1457,Clientes!$B$4:$B$39,Clientes!$C$4:$C$39),Cadastros!$L$6:$L$12,Cadastros!$M$6:$M$12)+IF($F1457="Bernardino Furlan",AY1457/2751.92,IF($F1457="Mauro José Salanti",AY1457/2751.92,AY1457/3356)),F1457&lt;&gt;0,SUM(L1457,Q1457,V1457,AA1457,AF1457,AK1457,AP1457,AU1457))))</f>
        <v xml:space="preserve"> </v>
      </c>
      <c r="BE1457" s="120"/>
      <c r="BF1457" s="120"/>
      <c r="BG1457" s="120"/>
    </row>
    <row r="1458" spans="1:59" s="3" customFormat="1" x14ac:dyDescent="0.3">
      <c r="A1458" s="15" t="str">
        <f t="shared" si="286"/>
        <v/>
      </c>
      <c r="B1458" s="25"/>
      <c r="C1458" s="26"/>
      <c r="D1458" s="279"/>
      <c r="E1458" s="27"/>
      <c r="F1458" s="28"/>
      <c r="G1458" s="27"/>
      <c r="H1458" s="28"/>
      <c r="I1458" s="28"/>
      <c r="J1458" s="255" t="str">
        <f>IF(H1458="","",(_xlfn.XLOOKUP(H1458,Cadastros!$D$6:$D$90,Cadastros!$E$6:$E$90))*(1-_xlfn.XLOOKUP(_xlfn.XLOOKUP($F1458,Clientes!$B$4:$B$39,Clientes!$C$4:$C$39),Cadastros!$L$6:$L$12,Cadastros!$N$6:$N$12)))</f>
        <v/>
      </c>
      <c r="K1458" s="168" t="str">
        <f t="shared" si="287"/>
        <v/>
      </c>
      <c r="L1458" s="168" t="str">
        <f>IFERROR(K1458/_xlfn.XLOOKUP(_xlfn.XLOOKUP($F1458,Clientes!$B$4:$B$39,Clientes!$C$4:$C$39),Cadastros!$L$6:$L$12,Cadastros!$M$6:$M$12)," ")</f>
        <v xml:space="preserve"> </v>
      </c>
      <c r="M1458" s="28"/>
      <c r="N1458" s="28"/>
      <c r="O1458" s="255" t="str">
        <f>IF(M1458="","",(_xlfn.XLOOKUP(M1458,Cadastros!$D$6:$D$90,Cadastros!$E$6:$E$90))*(1-_xlfn.XLOOKUP(_xlfn.XLOOKUP($F1458,Clientes!$B$4:$B$39,Clientes!$C$4:$C$39),Cadastros!$L$6:$L$12,Cadastros!$N$6:$N$12)))</f>
        <v/>
      </c>
      <c r="P1458" s="168" t="str">
        <f t="shared" si="288"/>
        <v/>
      </c>
      <c r="Q1458" s="168" t="str">
        <f>IFERROR(P1458/_xlfn.XLOOKUP(_xlfn.XLOOKUP($F1458,Clientes!$B$4:$B$39,Clientes!$C$4:$C$39),Cadastros!$L$6:$L$12,Cadastros!$M$6:$M$12)," ")</f>
        <v xml:space="preserve"> </v>
      </c>
      <c r="R1458" s="28"/>
      <c r="S1458" s="28"/>
      <c r="T1458" s="255" t="str">
        <f>IF(R1458="","",(_xlfn.XLOOKUP(R1458,Cadastros!$D$6:$D$90,Cadastros!$E$6:$E$90))*(1-_xlfn.XLOOKUP(_xlfn.XLOOKUP($F1458,Clientes!$B$4:$B$39,Clientes!$C$4:$C$39),Cadastros!$L$6:$L$12,Cadastros!$N$6:$N$12)))</f>
        <v/>
      </c>
      <c r="U1458" s="168" t="str">
        <f t="shared" si="289"/>
        <v/>
      </c>
      <c r="V1458" s="168" t="str">
        <f>IFERROR(U1458/_xlfn.XLOOKUP(_xlfn.XLOOKUP($F1458,Clientes!$B$4:$B$39,Clientes!$C$4:$C$39),Cadastros!$L$6:$L$12,Cadastros!$M$6:$M$12)," ")</f>
        <v xml:space="preserve"> </v>
      </c>
      <c r="W1458" s="28"/>
      <c r="X1458" s="28"/>
      <c r="Y1458" s="255" t="str">
        <f>IF(W1458="","",(_xlfn.XLOOKUP(W1458,Cadastros!$D$6:$D$90,Cadastros!$E$6:$E$90))*(1-_xlfn.XLOOKUP(_xlfn.XLOOKUP($F1458,Clientes!$B$4:$B$39,Clientes!$C$4:$C$39),Cadastros!$L$6:$L$12,Cadastros!$N$6:$N$12)))</f>
        <v/>
      </c>
      <c r="Z1458" s="168" t="str">
        <f t="shared" si="290"/>
        <v/>
      </c>
      <c r="AA1458" s="168" t="str">
        <f>IFERROR(Z1458/_xlfn.XLOOKUP(_xlfn.XLOOKUP($F1458,Clientes!$B$4:$B$39,Clientes!$C$4:$C$39),Cadastros!$L$6:$L$12,Cadastros!$M$6:$M$12)," ")</f>
        <v xml:space="preserve"> </v>
      </c>
      <c r="AB1458" s="28"/>
      <c r="AC1458" s="28"/>
      <c r="AD1458" s="20" t="str">
        <f>IF(AB1458="","",IF($F1458="Bernardino Furlan",_xlfn.XLOOKUP(AB1458,Cadastros!$G$6:$G$90,Cadastros!$H$6:$H$90)*(1-0.18),IF($F1458="Mauro José Salanti",_xlfn.XLOOKUP(AB1458,Cadastros!$G$6:$G$90,Cadastros!$H$6:$H$90)*(1-0.18),_xlfn.XLOOKUP(AB1458,Cadastros!$G$6:$G$90,Cadastros!$H$6:$H$90))))</f>
        <v/>
      </c>
      <c r="AE1458" s="168" t="str">
        <f t="shared" si="291"/>
        <v/>
      </c>
      <c r="AF1458" s="168" t="str">
        <f t="shared" si="292"/>
        <v/>
      </c>
      <c r="AG1458" s="28"/>
      <c r="AH1458" s="28"/>
      <c r="AI1458" s="20" t="str">
        <f>IF(AG1458="","",IF($F1458="Bernardino Furlan",_xlfn.XLOOKUP(AG1458,Cadastros!$G$6:$G$90,Cadastros!$H$6:$H$90)*(1-0.18),IF($F1458="Mauro José Salanti",_xlfn.XLOOKUP(AG1458,Cadastros!$G$6:$G$90,Cadastros!$H$6:$H$90)*(1-0.18),_xlfn.XLOOKUP(AG1458,Cadastros!$G$6:$G$90,Cadastros!$H$6:$H$90))))</f>
        <v/>
      </c>
      <c r="AJ1458" s="168" t="str">
        <f t="shared" si="293"/>
        <v/>
      </c>
      <c r="AK1458" s="168" t="str">
        <f t="shared" si="294"/>
        <v/>
      </c>
      <c r="AL1458" s="28"/>
      <c r="AM1458" s="28"/>
      <c r="AN1458" s="20" t="str">
        <f>IF(AL1458="","",IF($F1458="Bernardino Furlan",_xlfn.XLOOKUP(AL1458,Cadastros!$G$6:$G$90,Cadastros!$H$6:$H$90)*(1-0.18),IF($F1458="Mauro José Salanti",_xlfn.XLOOKUP(AL1458,Cadastros!$G$6:$G$90,Cadastros!$H$6:$H$90)*(1-0.18),_xlfn.XLOOKUP(AL1458,Cadastros!$G$6:$G$90,Cadastros!$H$6:$H$90))))</f>
        <v/>
      </c>
      <c r="AO1458" s="168" t="str">
        <f t="shared" si="295"/>
        <v/>
      </c>
      <c r="AP1458" s="168" t="str">
        <f t="shared" si="296"/>
        <v/>
      </c>
      <c r="AQ1458" s="28"/>
      <c r="AR1458" s="28"/>
      <c r="AS1458" s="20" t="str">
        <f>IF(AQ1458="","",IF($F1458="Bernardino Furlan",_xlfn.XLOOKUP(AQ1458,Cadastros!$G$6:$G$90,Cadastros!$H$6:$H$90)*(1-0.18),IF($F1458="Mauro José Salanti",_xlfn.XLOOKUP(AQ1458,Cadastros!$G$6:$G$90,Cadastros!$H$6:$H$90)*(1-0.18),_xlfn.XLOOKUP(AQ1458,Cadastros!$G$6:$G$90,Cadastros!$H$6:$H$90))))</f>
        <v/>
      </c>
      <c r="AT1458" s="168" t="str">
        <f t="shared" si="297"/>
        <v/>
      </c>
      <c r="AU1458" s="168" t="str">
        <f t="shared" si="298"/>
        <v/>
      </c>
      <c r="AV1458" s="227"/>
      <c r="AW1458" s="30"/>
      <c r="AX1458" s="267"/>
      <c r="AY1458" s="267"/>
      <c r="AZ1458" s="29"/>
      <c r="BA1458" s="30"/>
      <c r="BB1458" s="23" t="str" cm="1">
        <f t="array" ref="BB1458">_xlfn.IFS(AW1458="SIM",SUM(K1458,P1458,U1458,Z1458,AE1458,AJ1458,AO1458,AT1458,AX1458,AY1458),F1458&lt;&gt;"",SUM(K1458,P1458,U1458,Z1458,AE1458,AJ1458,,AO1458,AT1458),F1458="","")</f>
        <v/>
      </c>
      <c r="BC1458" s="211" t="str" cm="1">
        <f t="array" ref="BC1458">_xlfn.IFS(E1458="","",G1458&lt;=E1458,BB1458*(1-0.03),G1458&lt;(E1458+8),BB1458,AZ1458="Boleto",BB1458*(1+0.001)^DATEDIF(E1458,G1458,"D"),AZ1458="Cheque",BB1458,AZ1458="Dinheiro","Alterar forma pgto")</f>
        <v/>
      </c>
      <c r="BD1458" s="276" t="str" cm="1">
        <f t="array" ref="BD1458">IF(F1458=0," ",IF(BC1458&lt;BB1458,(_xlfn.IFS(AW1458="SIM",SUM(L1458,Q1458,V1458,AA1458,AF1458,AK1458,AP1458,AU1458)+AX1458/_xlfn.XLOOKUP(_xlfn.XLOOKUP($F1458,Clientes!$B$4:$B$39,Clientes!$C$4:$C$39),Cadastros!$L$6:$L$12,Cadastros!$M$6:$M$12)+IF($F1458="Bernardino Furlan",AY1458/2751.92,IF($F1458="Mauro José Salanti",AY1458/2751.92,AY1458/3356)),F1458&lt;&gt;0,SUM(L1458,Q1458,V1458,AA1458,AF1458,AK1458,AP1458,AU1458)))*(1-0.03),_xlfn.IFS(AW1458="SIM",SUM(L1458,Q1458,V1458,AA1458,AF1458,AK1458,AP1458,AU1458)+AX1458/_xlfn.XLOOKUP(_xlfn.XLOOKUP($F1458,Clientes!$B$4:$B$39,Clientes!$C$4:$C$39),Cadastros!$L$6:$L$12,Cadastros!$M$6:$M$12)+IF($F1458="Bernardino Furlan",AY1458/2751.92,IF($F1458="Mauro José Salanti",AY1458/2751.92,AY1458/3356)),F1458&lt;&gt;0,SUM(L1458,Q1458,V1458,AA1458,AF1458,AK1458,AP1458,AU1458))))</f>
        <v xml:space="preserve"> </v>
      </c>
      <c r="BE1458" s="120"/>
      <c r="BF1458" s="120"/>
      <c r="BG1458" s="120"/>
    </row>
    <row r="1459" spans="1:59" s="3" customFormat="1" x14ac:dyDescent="0.3">
      <c r="A1459" s="15" t="str">
        <f t="shared" si="286"/>
        <v/>
      </c>
      <c r="B1459" s="25"/>
      <c r="C1459" s="26"/>
      <c r="D1459" s="279"/>
      <c r="E1459" s="27"/>
      <c r="F1459" s="28"/>
      <c r="G1459" s="27"/>
      <c r="H1459" s="28"/>
      <c r="I1459" s="28"/>
      <c r="J1459" s="255" t="str">
        <f>IF(H1459="","",(_xlfn.XLOOKUP(H1459,Cadastros!$D$6:$D$90,Cadastros!$E$6:$E$90))*(1-_xlfn.XLOOKUP(_xlfn.XLOOKUP($F1459,Clientes!$B$4:$B$39,Clientes!$C$4:$C$39),Cadastros!$L$6:$L$12,Cadastros!$N$6:$N$12)))</f>
        <v/>
      </c>
      <c r="K1459" s="168" t="str">
        <f t="shared" si="287"/>
        <v/>
      </c>
      <c r="L1459" s="168" t="str">
        <f>IFERROR(K1459/_xlfn.XLOOKUP(_xlfn.XLOOKUP($F1459,Clientes!$B$4:$B$39,Clientes!$C$4:$C$39),Cadastros!$L$6:$L$12,Cadastros!$M$6:$M$12)," ")</f>
        <v xml:space="preserve"> </v>
      </c>
      <c r="M1459" s="28"/>
      <c r="N1459" s="28"/>
      <c r="O1459" s="255" t="str">
        <f>IF(M1459="","",(_xlfn.XLOOKUP(M1459,Cadastros!$D$6:$D$90,Cadastros!$E$6:$E$90))*(1-_xlfn.XLOOKUP(_xlfn.XLOOKUP($F1459,Clientes!$B$4:$B$39,Clientes!$C$4:$C$39),Cadastros!$L$6:$L$12,Cadastros!$N$6:$N$12)))</f>
        <v/>
      </c>
      <c r="P1459" s="168" t="str">
        <f t="shared" si="288"/>
        <v/>
      </c>
      <c r="Q1459" s="168" t="str">
        <f>IFERROR(P1459/_xlfn.XLOOKUP(_xlfn.XLOOKUP($F1459,Clientes!$B$4:$B$39,Clientes!$C$4:$C$39),Cadastros!$L$6:$L$12,Cadastros!$M$6:$M$12)," ")</f>
        <v xml:space="preserve"> </v>
      </c>
      <c r="R1459" s="28"/>
      <c r="S1459" s="28"/>
      <c r="T1459" s="255" t="str">
        <f>IF(R1459="","",(_xlfn.XLOOKUP(R1459,Cadastros!$D$6:$D$90,Cadastros!$E$6:$E$90))*(1-_xlfn.XLOOKUP(_xlfn.XLOOKUP($F1459,Clientes!$B$4:$B$39,Clientes!$C$4:$C$39),Cadastros!$L$6:$L$12,Cadastros!$N$6:$N$12)))</f>
        <v/>
      </c>
      <c r="U1459" s="168" t="str">
        <f t="shared" si="289"/>
        <v/>
      </c>
      <c r="V1459" s="168" t="str">
        <f>IFERROR(U1459/_xlfn.XLOOKUP(_xlfn.XLOOKUP($F1459,Clientes!$B$4:$B$39,Clientes!$C$4:$C$39),Cadastros!$L$6:$L$12,Cadastros!$M$6:$M$12)," ")</f>
        <v xml:space="preserve"> </v>
      </c>
      <c r="W1459" s="28"/>
      <c r="X1459" s="28"/>
      <c r="Y1459" s="255" t="str">
        <f>IF(W1459="","",(_xlfn.XLOOKUP(W1459,Cadastros!$D$6:$D$90,Cadastros!$E$6:$E$90))*(1-_xlfn.XLOOKUP(_xlfn.XLOOKUP($F1459,Clientes!$B$4:$B$39,Clientes!$C$4:$C$39),Cadastros!$L$6:$L$12,Cadastros!$N$6:$N$12)))</f>
        <v/>
      </c>
      <c r="Z1459" s="168" t="str">
        <f t="shared" si="290"/>
        <v/>
      </c>
      <c r="AA1459" s="168" t="str">
        <f>IFERROR(Z1459/_xlfn.XLOOKUP(_xlfn.XLOOKUP($F1459,Clientes!$B$4:$B$39,Clientes!$C$4:$C$39),Cadastros!$L$6:$L$12,Cadastros!$M$6:$M$12)," ")</f>
        <v xml:space="preserve"> </v>
      </c>
      <c r="AB1459" s="28"/>
      <c r="AC1459" s="28"/>
      <c r="AD1459" s="20" t="str">
        <f>IF(AB1459="","",IF($F1459="Bernardino Furlan",_xlfn.XLOOKUP(AB1459,Cadastros!$G$6:$G$90,Cadastros!$H$6:$H$90)*(1-0.18),IF($F1459="Mauro José Salanti",_xlfn.XLOOKUP(AB1459,Cadastros!$G$6:$G$90,Cadastros!$H$6:$H$90)*(1-0.18),_xlfn.XLOOKUP(AB1459,Cadastros!$G$6:$G$90,Cadastros!$H$6:$H$90))))</f>
        <v/>
      </c>
      <c r="AE1459" s="168" t="str">
        <f t="shared" si="291"/>
        <v/>
      </c>
      <c r="AF1459" s="168" t="str">
        <f t="shared" si="292"/>
        <v/>
      </c>
      <c r="AG1459" s="28"/>
      <c r="AH1459" s="28"/>
      <c r="AI1459" s="20" t="str">
        <f>IF(AG1459="","",IF($F1459="Bernardino Furlan",_xlfn.XLOOKUP(AG1459,Cadastros!$G$6:$G$90,Cadastros!$H$6:$H$90)*(1-0.18),IF($F1459="Mauro José Salanti",_xlfn.XLOOKUP(AG1459,Cadastros!$G$6:$G$90,Cadastros!$H$6:$H$90)*(1-0.18),_xlfn.XLOOKUP(AG1459,Cadastros!$G$6:$G$90,Cadastros!$H$6:$H$90))))</f>
        <v/>
      </c>
      <c r="AJ1459" s="168" t="str">
        <f t="shared" si="293"/>
        <v/>
      </c>
      <c r="AK1459" s="168" t="str">
        <f t="shared" si="294"/>
        <v/>
      </c>
      <c r="AL1459" s="28"/>
      <c r="AM1459" s="28"/>
      <c r="AN1459" s="20" t="str">
        <f>IF(AL1459="","",IF($F1459="Bernardino Furlan",_xlfn.XLOOKUP(AL1459,Cadastros!$G$6:$G$90,Cadastros!$H$6:$H$90)*(1-0.18),IF($F1459="Mauro José Salanti",_xlfn.XLOOKUP(AL1459,Cadastros!$G$6:$G$90,Cadastros!$H$6:$H$90)*(1-0.18),_xlfn.XLOOKUP(AL1459,Cadastros!$G$6:$G$90,Cadastros!$H$6:$H$90))))</f>
        <v/>
      </c>
      <c r="AO1459" s="168" t="str">
        <f t="shared" si="295"/>
        <v/>
      </c>
      <c r="AP1459" s="168" t="str">
        <f t="shared" si="296"/>
        <v/>
      </c>
      <c r="AQ1459" s="28"/>
      <c r="AR1459" s="28"/>
      <c r="AS1459" s="20" t="str">
        <f>IF(AQ1459="","",IF($F1459="Bernardino Furlan",_xlfn.XLOOKUP(AQ1459,Cadastros!$G$6:$G$90,Cadastros!$H$6:$H$90)*(1-0.18),IF($F1459="Mauro José Salanti",_xlfn.XLOOKUP(AQ1459,Cadastros!$G$6:$G$90,Cadastros!$H$6:$H$90)*(1-0.18),_xlfn.XLOOKUP(AQ1459,Cadastros!$G$6:$G$90,Cadastros!$H$6:$H$90))))</f>
        <v/>
      </c>
      <c r="AT1459" s="168" t="str">
        <f t="shared" si="297"/>
        <v/>
      </c>
      <c r="AU1459" s="168" t="str">
        <f t="shared" si="298"/>
        <v/>
      </c>
      <c r="AV1459" s="227"/>
      <c r="AW1459" s="30"/>
      <c r="AX1459" s="267"/>
      <c r="AY1459" s="267"/>
      <c r="AZ1459" s="29"/>
      <c r="BA1459" s="30"/>
      <c r="BB1459" s="23" t="str" cm="1">
        <f t="array" ref="BB1459">_xlfn.IFS(AW1459="SIM",SUM(K1459,P1459,U1459,Z1459,AE1459,AJ1459,AO1459,AT1459,AX1459,AY1459),F1459&lt;&gt;"",SUM(K1459,P1459,U1459,Z1459,AE1459,AJ1459,,AO1459,AT1459),F1459="","")</f>
        <v/>
      </c>
      <c r="BC1459" s="211" t="str" cm="1">
        <f t="array" ref="BC1459">_xlfn.IFS(E1459="","",G1459&lt;=E1459,BB1459*(1-0.03),G1459&lt;(E1459+8),BB1459,AZ1459="Boleto",BB1459*(1+0.001)^DATEDIF(E1459,G1459,"D"),AZ1459="Cheque",BB1459,AZ1459="Dinheiro","Alterar forma pgto")</f>
        <v/>
      </c>
      <c r="BD1459" s="276" t="str" cm="1">
        <f t="array" ref="BD1459">IF(F1459=0," ",IF(BC1459&lt;BB1459,(_xlfn.IFS(AW1459="SIM",SUM(L1459,Q1459,V1459,AA1459,AF1459,AK1459,AP1459,AU1459)+AX1459/_xlfn.XLOOKUP(_xlfn.XLOOKUP($F1459,Clientes!$B$4:$B$39,Clientes!$C$4:$C$39),Cadastros!$L$6:$L$12,Cadastros!$M$6:$M$12)+IF($F1459="Bernardino Furlan",AY1459/2751.92,IF($F1459="Mauro José Salanti",AY1459/2751.92,AY1459/3356)),F1459&lt;&gt;0,SUM(L1459,Q1459,V1459,AA1459,AF1459,AK1459,AP1459,AU1459)))*(1-0.03),_xlfn.IFS(AW1459="SIM",SUM(L1459,Q1459,V1459,AA1459,AF1459,AK1459,AP1459,AU1459)+AX1459/_xlfn.XLOOKUP(_xlfn.XLOOKUP($F1459,Clientes!$B$4:$B$39,Clientes!$C$4:$C$39),Cadastros!$L$6:$L$12,Cadastros!$M$6:$M$12)+IF($F1459="Bernardino Furlan",AY1459/2751.92,IF($F1459="Mauro José Salanti",AY1459/2751.92,AY1459/3356)),F1459&lt;&gt;0,SUM(L1459,Q1459,V1459,AA1459,AF1459,AK1459,AP1459,AU1459))))</f>
        <v xml:space="preserve"> </v>
      </c>
      <c r="BE1459" s="120"/>
      <c r="BF1459" s="120"/>
      <c r="BG1459" s="120"/>
    </row>
    <row r="1460" spans="1:59" s="3" customFormat="1" x14ac:dyDescent="0.3">
      <c r="A1460" s="15" t="str">
        <f t="shared" si="286"/>
        <v/>
      </c>
      <c r="B1460" s="25"/>
      <c r="C1460" s="26"/>
      <c r="D1460" s="279"/>
      <c r="E1460" s="27"/>
      <c r="F1460" s="28"/>
      <c r="G1460" s="27"/>
      <c r="H1460" s="28"/>
      <c r="I1460" s="28"/>
      <c r="J1460" s="255" t="str">
        <f>IF(H1460="","",(_xlfn.XLOOKUP(H1460,Cadastros!$D$6:$D$90,Cadastros!$E$6:$E$90))*(1-_xlfn.XLOOKUP(_xlfn.XLOOKUP($F1460,Clientes!$B$4:$B$39,Clientes!$C$4:$C$39),Cadastros!$L$6:$L$12,Cadastros!$N$6:$N$12)))</f>
        <v/>
      </c>
      <c r="K1460" s="168" t="str">
        <f t="shared" si="287"/>
        <v/>
      </c>
      <c r="L1460" s="168" t="str">
        <f>IFERROR(K1460/_xlfn.XLOOKUP(_xlfn.XLOOKUP($F1460,Clientes!$B$4:$B$39,Clientes!$C$4:$C$39),Cadastros!$L$6:$L$12,Cadastros!$M$6:$M$12)," ")</f>
        <v xml:space="preserve"> </v>
      </c>
      <c r="M1460" s="28"/>
      <c r="N1460" s="28"/>
      <c r="O1460" s="255" t="str">
        <f>IF(M1460="","",(_xlfn.XLOOKUP(M1460,Cadastros!$D$6:$D$90,Cadastros!$E$6:$E$90))*(1-_xlfn.XLOOKUP(_xlfn.XLOOKUP($F1460,Clientes!$B$4:$B$39,Clientes!$C$4:$C$39),Cadastros!$L$6:$L$12,Cadastros!$N$6:$N$12)))</f>
        <v/>
      </c>
      <c r="P1460" s="168" t="str">
        <f t="shared" si="288"/>
        <v/>
      </c>
      <c r="Q1460" s="168" t="str">
        <f>IFERROR(P1460/_xlfn.XLOOKUP(_xlfn.XLOOKUP($F1460,Clientes!$B$4:$B$39,Clientes!$C$4:$C$39),Cadastros!$L$6:$L$12,Cadastros!$M$6:$M$12)," ")</f>
        <v xml:space="preserve"> </v>
      </c>
      <c r="R1460" s="28"/>
      <c r="S1460" s="28"/>
      <c r="T1460" s="255" t="str">
        <f>IF(R1460="","",(_xlfn.XLOOKUP(R1460,Cadastros!$D$6:$D$90,Cadastros!$E$6:$E$90))*(1-_xlfn.XLOOKUP(_xlfn.XLOOKUP($F1460,Clientes!$B$4:$B$39,Clientes!$C$4:$C$39),Cadastros!$L$6:$L$12,Cadastros!$N$6:$N$12)))</f>
        <v/>
      </c>
      <c r="U1460" s="168" t="str">
        <f t="shared" si="289"/>
        <v/>
      </c>
      <c r="V1460" s="168" t="str">
        <f>IFERROR(U1460/_xlfn.XLOOKUP(_xlfn.XLOOKUP($F1460,Clientes!$B$4:$B$39,Clientes!$C$4:$C$39),Cadastros!$L$6:$L$12,Cadastros!$M$6:$M$12)," ")</f>
        <v xml:space="preserve"> </v>
      </c>
      <c r="W1460" s="28"/>
      <c r="X1460" s="28"/>
      <c r="Y1460" s="255" t="str">
        <f>IF(W1460="","",(_xlfn.XLOOKUP(W1460,Cadastros!$D$6:$D$90,Cadastros!$E$6:$E$90))*(1-_xlfn.XLOOKUP(_xlfn.XLOOKUP($F1460,Clientes!$B$4:$B$39,Clientes!$C$4:$C$39),Cadastros!$L$6:$L$12,Cadastros!$N$6:$N$12)))</f>
        <v/>
      </c>
      <c r="Z1460" s="168" t="str">
        <f t="shared" si="290"/>
        <v/>
      </c>
      <c r="AA1460" s="168" t="str">
        <f>IFERROR(Z1460/_xlfn.XLOOKUP(_xlfn.XLOOKUP($F1460,Clientes!$B$4:$B$39,Clientes!$C$4:$C$39),Cadastros!$L$6:$L$12,Cadastros!$M$6:$M$12)," ")</f>
        <v xml:space="preserve"> </v>
      </c>
      <c r="AB1460" s="28"/>
      <c r="AC1460" s="28"/>
      <c r="AD1460" s="20" t="str">
        <f>IF(AB1460="","",IF($F1460="Bernardino Furlan",_xlfn.XLOOKUP(AB1460,Cadastros!$G$6:$G$90,Cadastros!$H$6:$H$90)*(1-0.18),IF($F1460="Mauro José Salanti",_xlfn.XLOOKUP(AB1460,Cadastros!$G$6:$G$90,Cadastros!$H$6:$H$90)*(1-0.18),_xlfn.XLOOKUP(AB1460,Cadastros!$G$6:$G$90,Cadastros!$H$6:$H$90))))</f>
        <v/>
      </c>
      <c r="AE1460" s="168" t="str">
        <f t="shared" si="291"/>
        <v/>
      </c>
      <c r="AF1460" s="168" t="str">
        <f t="shared" si="292"/>
        <v/>
      </c>
      <c r="AG1460" s="28"/>
      <c r="AH1460" s="28"/>
      <c r="AI1460" s="20" t="str">
        <f>IF(AG1460="","",IF($F1460="Bernardino Furlan",_xlfn.XLOOKUP(AG1460,Cadastros!$G$6:$G$90,Cadastros!$H$6:$H$90)*(1-0.18),IF($F1460="Mauro José Salanti",_xlfn.XLOOKUP(AG1460,Cadastros!$G$6:$G$90,Cadastros!$H$6:$H$90)*(1-0.18),_xlfn.XLOOKUP(AG1460,Cadastros!$G$6:$G$90,Cadastros!$H$6:$H$90))))</f>
        <v/>
      </c>
      <c r="AJ1460" s="168" t="str">
        <f t="shared" si="293"/>
        <v/>
      </c>
      <c r="AK1460" s="168" t="str">
        <f t="shared" si="294"/>
        <v/>
      </c>
      <c r="AL1460" s="28"/>
      <c r="AM1460" s="28"/>
      <c r="AN1460" s="20" t="str">
        <f>IF(AL1460="","",IF($F1460="Bernardino Furlan",_xlfn.XLOOKUP(AL1460,Cadastros!$G$6:$G$90,Cadastros!$H$6:$H$90)*(1-0.18),IF($F1460="Mauro José Salanti",_xlfn.XLOOKUP(AL1460,Cadastros!$G$6:$G$90,Cadastros!$H$6:$H$90)*(1-0.18),_xlfn.XLOOKUP(AL1460,Cadastros!$G$6:$G$90,Cadastros!$H$6:$H$90))))</f>
        <v/>
      </c>
      <c r="AO1460" s="168" t="str">
        <f t="shared" si="295"/>
        <v/>
      </c>
      <c r="AP1460" s="168" t="str">
        <f t="shared" si="296"/>
        <v/>
      </c>
      <c r="AQ1460" s="28"/>
      <c r="AR1460" s="28"/>
      <c r="AS1460" s="20" t="str">
        <f>IF(AQ1460="","",IF($F1460="Bernardino Furlan",_xlfn.XLOOKUP(AQ1460,Cadastros!$G$6:$G$90,Cadastros!$H$6:$H$90)*(1-0.18),IF($F1460="Mauro José Salanti",_xlfn.XLOOKUP(AQ1460,Cadastros!$G$6:$G$90,Cadastros!$H$6:$H$90)*(1-0.18),_xlfn.XLOOKUP(AQ1460,Cadastros!$G$6:$G$90,Cadastros!$H$6:$H$90))))</f>
        <v/>
      </c>
      <c r="AT1460" s="168" t="str">
        <f t="shared" si="297"/>
        <v/>
      </c>
      <c r="AU1460" s="168" t="str">
        <f t="shared" si="298"/>
        <v/>
      </c>
      <c r="AV1460" s="227"/>
      <c r="AW1460" s="30"/>
      <c r="AX1460" s="267"/>
      <c r="AY1460" s="267"/>
      <c r="AZ1460" s="29"/>
      <c r="BA1460" s="30"/>
      <c r="BB1460" s="23" t="str" cm="1">
        <f t="array" ref="BB1460">_xlfn.IFS(AW1460="SIM",SUM(K1460,P1460,U1460,Z1460,AE1460,AJ1460,AO1460,AT1460,AX1460,AY1460),F1460&lt;&gt;"",SUM(K1460,P1460,U1460,Z1460,AE1460,AJ1460,,AO1460,AT1460),F1460="","")</f>
        <v/>
      </c>
      <c r="BC1460" s="211" t="str" cm="1">
        <f t="array" ref="BC1460">_xlfn.IFS(E1460="","",G1460&lt;=E1460,BB1460*(1-0.03),G1460&lt;(E1460+8),BB1460,AZ1460="Boleto",BB1460*(1+0.001)^DATEDIF(E1460,G1460,"D"),AZ1460="Cheque",BB1460,AZ1460="Dinheiro","Alterar forma pgto")</f>
        <v/>
      </c>
      <c r="BD1460" s="276" t="str" cm="1">
        <f t="array" ref="BD1460">IF(F1460=0," ",IF(BC1460&lt;BB1460,(_xlfn.IFS(AW1460="SIM",SUM(L1460,Q1460,V1460,AA1460,AF1460,AK1460,AP1460,AU1460)+AX1460/_xlfn.XLOOKUP(_xlfn.XLOOKUP($F1460,Clientes!$B$4:$B$39,Clientes!$C$4:$C$39),Cadastros!$L$6:$L$12,Cadastros!$M$6:$M$12)+IF($F1460="Bernardino Furlan",AY1460/2751.92,IF($F1460="Mauro José Salanti",AY1460/2751.92,AY1460/3356)),F1460&lt;&gt;0,SUM(L1460,Q1460,V1460,AA1460,AF1460,AK1460,AP1460,AU1460)))*(1-0.03),_xlfn.IFS(AW1460="SIM",SUM(L1460,Q1460,V1460,AA1460,AF1460,AK1460,AP1460,AU1460)+AX1460/_xlfn.XLOOKUP(_xlfn.XLOOKUP($F1460,Clientes!$B$4:$B$39,Clientes!$C$4:$C$39),Cadastros!$L$6:$L$12,Cadastros!$M$6:$M$12)+IF($F1460="Bernardino Furlan",AY1460/2751.92,IF($F1460="Mauro José Salanti",AY1460/2751.92,AY1460/3356)),F1460&lt;&gt;0,SUM(L1460,Q1460,V1460,AA1460,AF1460,AK1460,AP1460,AU1460))))</f>
        <v xml:space="preserve"> </v>
      </c>
      <c r="BE1460" s="120"/>
      <c r="BF1460" s="120"/>
      <c r="BG1460" s="120"/>
    </row>
    <row r="1461" spans="1:59" s="3" customFormat="1" x14ac:dyDescent="0.3">
      <c r="A1461" s="15" t="str">
        <f t="shared" si="286"/>
        <v/>
      </c>
      <c r="B1461" s="25"/>
      <c r="C1461" s="26"/>
      <c r="D1461" s="279"/>
      <c r="E1461" s="27"/>
      <c r="F1461" s="28"/>
      <c r="G1461" s="27"/>
      <c r="H1461" s="28"/>
      <c r="I1461" s="28"/>
      <c r="J1461" s="255" t="str">
        <f>IF(H1461="","",(_xlfn.XLOOKUP(H1461,Cadastros!$D$6:$D$90,Cadastros!$E$6:$E$90))*(1-_xlfn.XLOOKUP(_xlfn.XLOOKUP($F1461,Clientes!$B$4:$B$39,Clientes!$C$4:$C$39),Cadastros!$L$6:$L$12,Cadastros!$N$6:$N$12)))</f>
        <v/>
      </c>
      <c r="K1461" s="168" t="str">
        <f t="shared" si="287"/>
        <v/>
      </c>
      <c r="L1461" s="168" t="str">
        <f>IFERROR(K1461/_xlfn.XLOOKUP(_xlfn.XLOOKUP($F1461,Clientes!$B$4:$B$39,Clientes!$C$4:$C$39),Cadastros!$L$6:$L$12,Cadastros!$M$6:$M$12)," ")</f>
        <v xml:space="preserve"> </v>
      </c>
      <c r="M1461" s="28"/>
      <c r="N1461" s="28"/>
      <c r="O1461" s="255" t="str">
        <f>IF(M1461="","",(_xlfn.XLOOKUP(M1461,Cadastros!$D$6:$D$90,Cadastros!$E$6:$E$90))*(1-_xlfn.XLOOKUP(_xlfn.XLOOKUP($F1461,Clientes!$B$4:$B$39,Clientes!$C$4:$C$39),Cadastros!$L$6:$L$12,Cadastros!$N$6:$N$12)))</f>
        <v/>
      </c>
      <c r="P1461" s="168" t="str">
        <f t="shared" si="288"/>
        <v/>
      </c>
      <c r="Q1461" s="168" t="str">
        <f>IFERROR(P1461/_xlfn.XLOOKUP(_xlfn.XLOOKUP($F1461,Clientes!$B$4:$B$39,Clientes!$C$4:$C$39),Cadastros!$L$6:$L$12,Cadastros!$M$6:$M$12)," ")</f>
        <v xml:space="preserve"> </v>
      </c>
      <c r="R1461" s="28"/>
      <c r="S1461" s="28"/>
      <c r="T1461" s="255" t="str">
        <f>IF(R1461="","",(_xlfn.XLOOKUP(R1461,Cadastros!$D$6:$D$90,Cadastros!$E$6:$E$90))*(1-_xlfn.XLOOKUP(_xlfn.XLOOKUP($F1461,Clientes!$B$4:$B$39,Clientes!$C$4:$C$39),Cadastros!$L$6:$L$12,Cadastros!$N$6:$N$12)))</f>
        <v/>
      </c>
      <c r="U1461" s="168" t="str">
        <f t="shared" si="289"/>
        <v/>
      </c>
      <c r="V1461" s="168" t="str">
        <f>IFERROR(U1461/_xlfn.XLOOKUP(_xlfn.XLOOKUP($F1461,Clientes!$B$4:$B$39,Clientes!$C$4:$C$39),Cadastros!$L$6:$L$12,Cadastros!$M$6:$M$12)," ")</f>
        <v xml:space="preserve"> </v>
      </c>
      <c r="W1461" s="28"/>
      <c r="X1461" s="28"/>
      <c r="Y1461" s="255" t="str">
        <f>IF(W1461="","",(_xlfn.XLOOKUP(W1461,Cadastros!$D$6:$D$90,Cadastros!$E$6:$E$90))*(1-_xlfn.XLOOKUP(_xlfn.XLOOKUP($F1461,Clientes!$B$4:$B$39,Clientes!$C$4:$C$39),Cadastros!$L$6:$L$12,Cadastros!$N$6:$N$12)))</f>
        <v/>
      </c>
      <c r="Z1461" s="168" t="str">
        <f t="shared" si="290"/>
        <v/>
      </c>
      <c r="AA1461" s="168" t="str">
        <f>IFERROR(Z1461/_xlfn.XLOOKUP(_xlfn.XLOOKUP($F1461,Clientes!$B$4:$B$39,Clientes!$C$4:$C$39),Cadastros!$L$6:$L$12,Cadastros!$M$6:$M$12)," ")</f>
        <v xml:space="preserve"> </v>
      </c>
      <c r="AB1461" s="28"/>
      <c r="AC1461" s="28"/>
      <c r="AD1461" s="20" t="str">
        <f>IF(AB1461="","",IF($F1461="Bernardino Furlan",_xlfn.XLOOKUP(AB1461,Cadastros!$G$6:$G$90,Cadastros!$H$6:$H$90)*(1-0.18),IF($F1461="Mauro José Salanti",_xlfn.XLOOKUP(AB1461,Cadastros!$G$6:$G$90,Cadastros!$H$6:$H$90)*(1-0.18),_xlfn.XLOOKUP(AB1461,Cadastros!$G$6:$G$90,Cadastros!$H$6:$H$90))))</f>
        <v/>
      </c>
      <c r="AE1461" s="168" t="str">
        <f t="shared" si="291"/>
        <v/>
      </c>
      <c r="AF1461" s="168" t="str">
        <f t="shared" si="292"/>
        <v/>
      </c>
      <c r="AG1461" s="28"/>
      <c r="AH1461" s="28"/>
      <c r="AI1461" s="20" t="str">
        <f>IF(AG1461="","",IF($F1461="Bernardino Furlan",_xlfn.XLOOKUP(AG1461,Cadastros!$G$6:$G$90,Cadastros!$H$6:$H$90)*(1-0.18),IF($F1461="Mauro José Salanti",_xlfn.XLOOKUP(AG1461,Cadastros!$G$6:$G$90,Cadastros!$H$6:$H$90)*(1-0.18),_xlfn.XLOOKUP(AG1461,Cadastros!$G$6:$G$90,Cadastros!$H$6:$H$90))))</f>
        <v/>
      </c>
      <c r="AJ1461" s="168" t="str">
        <f t="shared" si="293"/>
        <v/>
      </c>
      <c r="AK1461" s="168" t="str">
        <f t="shared" si="294"/>
        <v/>
      </c>
      <c r="AL1461" s="28"/>
      <c r="AM1461" s="28"/>
      <c r="AN1461" s="20" t="str">
        <f>IF(AL1461="","",IF($F1461="Bernardino Furlan",_xlfn.XLOOKUP(AL1461,Cadastros!$G$6:$G$90,Cadastros!$H$6:$H$90)*(1-0.18),IF($F1461="Mauro José Salanti",_xlfn.XLOOKUP(AL1461,Cadastros!$G$6:$G$90,Cadastros!$H$6:$H$90)*(1-0.18),_xlfn.XLOOKUP(AL1461,Cadastros!$G$6:$G$90,Cadastros!$H$6:$H$90))))</f>
        <v/>
      </c>
      <c r="AO1461" s="168" t="str">
        <f t="shared" si="295"/>
        <v/>
      </c>
      <c r="AP1461" s="168" t="str">
        <f t="shared" si="296"/>
        <v/>
      </c>
      <c r="AQ1461" s="28"/>
      <c r="AR1461" s="28"/>
      <c r="AS1461" s="20" t="str">
        <f>IF(AQ1461="","",IF($F1461="Bernardino Furlan",_xlfn.XLOOKUP(AQ1461,Cadastros!$G$6:$G$90,Cadastros!$H$6:$H$90)*(1-0.18),IF($F1461="Mauro José Salanti",_xlfn.XLOOKUP(AQ1461,Cadastros!$G$6:$G$90,Cadastros!$H$6:$H$90)*(1-0.18),_xlfn.XLOOKUP(AQ1461,Cadastros!$G$6:$G$90,Cadastros!$H$6:$H$90))))</f>
        <v/>
      </c>
      <c r="AT1461" s="168" t="str">
        <f t="shared" si="297"/>
        <v/>
      </c>
      <c r="AU1461" s="168" t="str">
        <f t="shared" si="298"/>
        <v/>
      </c>
      <c r="AV1461" s="227"/>
      <c r="AW1461" s="30"/>
      <c r="AX1461" s="267"/>
      <c r="AY1461" s="267"/>
      <c r="AZ1461" s="29"/>
      <c r="BA1461" s="30"/>
      <c r="BB1461" s="23" t="str" cm="1">
        <f t="array" ref="BB1461">_xlfn.IFS(AW1461="SIM",SUM(K1461,P1461,U1461,Z1461,AE1461,AJ1461,AO1461,AT1461,AX1461,AY1461),F1461&lt;&gt;"",SUM(K1461,P1461,U1461,Z1461,AE1461,AJ1461,,AO1461,AT1461),F1461="","")</f>
        <v/>
      </c>
      <c r="BC1461" s="211" t="str" cm="1">
        <f t="array" ref="BC1461">_xlfn.IFS(E1461="","",G1461&lt;=E1461,BB1461*(1-0.03),G1461&lt;(E1461+8),BB1461,AZ1461="Boleto",BB1461*(1+0.001)^DATEDIF(E1461,G1461,"D"),AZ1461="Cheque",BB1461,AZ1461="Dinheiro","Alterar forma pgto")</f>
        <v/>
      </c>
      <c r="BD1461" s="276" t="str" cm="1">
        <f t="array" ref="BD1461">IF(F1461=0," ",IF(BC1461&lt;BB1461,(_xlfn.IFS(AW1461="SIM",SUM(L1461,Q1461,V1461,AA1461,AF1461,AK1461,AP1461,AU1461)+AX1461/_xlfn.XLOOKUP(_xlfn.XLOOKUP($F1461,Clientes!$B$4:$B$39,Clientes!$C$4:$C$39),Cadastros!$L$6:$L$12,Cadastros!$M$6:$M$12)+IF($F1461="Bernardino Furlan",AY1461/2751.92,IF($F1461="Mauro José Salanti",AY1461/2751.92,AY1461/3356)),F1461&lt;&gt;0,SUM(L1461,Q1461,V1461,AA1461,AF1461,AK1461,AP1461,AU1461)))*(1-0.03),_xlfn.IFS(AW1461="SIM",SUM(L1461,Q1461,V1461,AA1461,AF1461,AK1461,AP1461,AU1461)+AX1461/_xlfn.XLOOKUP(_xlfn.XLOOKUP($F1461,Clientes!$B$4:$B$39,Clientes!$C$4:$C$39),Cadastros!$L$6:$L$12,Cadastros!$M$6:$M$12)+IF($F1461="Bernardino Furlan",AY1461/2751.92,IF($F1461="Mauro José Salanti",AY1461/2751.92,AY1461/3356)),F1461&lt;&gt;0,SUM(L1461,Q1461,V1461,AA1461,AF1461,AK1461,AP1461,AU1461))))</f>
        <v xml:space="preserve"> </v>
      </c>
      <c r="BE1461" s="120"/>
      <c r="BF1461" s="120"/>
      <c r="BG1461" s="120"/>
    </row>
    <row r="1462" spans="1:59" s="3" customFormat="1" x14ac:dyDescent="0.3">
      <c r="A1462" s="15" t="str">
        <f t="shared" si="286"/>
        <v/>
      </c>
      <c r="B1462" s="25"/>
      <c r="C1462" s="26"/>
      <c r="D1462" s="279"/>
      <c r="E1462" s="27"/>
      <c r="F1462" s="28"/>
      <c r="G1462" s="27"/>
      <c r="H1462" s="28"/>
      <c r="I1462" s="28"/>
      <c r="J1462" s="255" t="str">
        <f>IF(H1462="","",(_xlfn.XLOOKUP(H1462,Cadastros!$D$6:$D$90,Cadastros!$E$6:$E$90))*(1-_xlfn.XLOOKUP(_xlfn.XLOOKUP($F1462,Clientes!$B$4:$B$39,Clientes!$C$4:$C$39),Cadastros!$L$6:$L$12,Cadastros!$N$6:$N$12)))</f>
        <v/>
      </c>
      <c r="K1462" s="168" t="str">
        <f t="shared" si="287"/>
        <v/>
      </c>
      <c r="L1462" s="168" t="str">
        <f>IFERROR(K1462/_xlfn.XLOOKUP(_xlfn.XLOOKUP($F1462,Clientes!$B$4:$B$39,Clientes!$C$4:$C$39),Cadastros!$L$6:$L$12,Cadastros!$M$6:$M$12)," ")</f>
        <v xml:space="preserve"> </v>
      </c>
      <c r="M1462" s="28"/>
      <c r="N1462" s="28"/>
      <c r="O1462" s="255" t="str">
        <f>IF(M1462="","",(_xlfn.XLOOKUP(M1462,Cadastros!$D$6:$D$90,Cadastros!$E$6:$E$90))*(1-_xlfn.XLOOKUP(_xlfn.XLOOKUP($F1462,Clientes!$B$4:$B$39,Clientes!$C$4:$C$39),Cadastros!$L$6:$L$12,Cadastros!$N$6:$N$12)))</f>
        <v/>
      </c>
      <c r="P1462" s="168" t="str">
        <f t="shared" si="288"/>
        <v/>
      </c>
      <c r="Q1462" s="168" t="str">
        <f>IFERROR(P1462/_xlfn.XLOOKUP(_xlfn.XLOOKUP($F1462,Clientes!$B$4:$B$39,Clientes!$C$4:$C$39),Cadastros!$L$6:$L$12,Cadastros!$M$6:$M$12)," ")</f>
        <v xml:space="preserve"> </v>
      </c>
      <c r="R1462" s="28"/>
      <c r="S1462" s="28"/>
      <c r="T1462" s="255" t="str">
        <f>IF(R1462="","",(_xlfn.XLOOKUP(R1462,Cadastros!$D$6:$D$90,Cadastros!$E$6:$E$90))*(1-_xlfn.XLOOKUP(_xlfn.XLOOKUP($F1462,Clientes!$B$4:$B$39,Clientes!$C$4:$C$39),Cadastros!$L$6:$L$12,Cadastros!$N$6:$N$12)))</f>
        <v/>
      </c>
      <c r="U1462" s="168" t="str">
        <f t="shared" si="289"/>
        <v/>
      </c>
      <c r="V1462" s="168" t="str">
        <f>IFERROR(U1462/_xlfn.XLOOKUP(_xlfn.XLOOKUP($F1462,Clientes!$B$4:$B$39,Clientes!$C$4:$C$39),Cadastros!$L$6:$L$12,Cadastros!$M$6:$M$12)," ")</f>
        <v xml:space="preserve"> </v>
      </c>
      <c r="W1462" s="28"/>
      <c r="X1462" s="28"/>
      <c r="Y1462" s="255" t="str">
        <f>IF(W1462="","",(_xlfn.XLOOKUP(W1462,Cadastros!$D$6:$D$90,Cadastros!$E$6:$E$90))*(1-_xlfn.XLOOKUP(_xlfn.XLOOKUP($F1462,Clientes!$B$4:$B$39,Clientes!$C$4:$C$39),Cadastros!$L$6:$L$12,Cadastros!$N$6:$N$12)))</f>
        <v/>
      </c>
      <c r="Z1462" s="168" t="str">
        <f t="shared" si="290"/>
        <v/>
      </c>
      <c r="AA1462" s="168" t="str">
        <f>IFERROR(Z1462/_xlfn.XLOOKUP(_xlfn.XLOOKUP($F1462,Clientes!$B$4:$B$39,Clientes!$C$4:$C$39),Cadastros!$L$6:$L$12,Cadastros!$M$6:$M$12)," ")</f>
        <v xml:space="preserve"> </v>
      </c>
      <c r="AB1462" s="28"/>
      <c r="AC1462" s="28"/>
      <c r="AD1462" s="20" t="str">
        <f>IF(AB1462="","",IF($F1462="Bernardino Furlan",_xlfn.XLOOKUP(AB1462,Cadastros!$G$6:$G$90,Cadastros!$H$6:$H$90)*(1-0.18),IF($F1462="Mauro José Salanti",_xlfn.XLOOKUP(AB1462,Cadastros!$G$6:$G$90,Cadastros!$H$6:$H$90)*(1-0.18),_xlfn.XLOOKUP(AB1462,Cadastros!$G$6:$G$90,Cadastros!$H$6:$H$90))))</f>
        <v/>
      </c>
      <c r="AE1462" s="168" t="str">
        <f t="shared" si="291"/>
        <v/>
      </c>
      <c r="AF1462" s="168" t="str">
        <f t="shared" si="292"/>
        <v/>
      </c>
      <c r="AG1462" s="28"/>
      <c r="AH1462" s="28"/>
      <c r="AI1462" s="20" t="str">
        <f>IF(AG1462="","",IF($F1462="Bernardino Furlan",_xlfn.XLOOKUP(AG1462,Cadastros!$G$6:$G$90,Cadastros!$H$6:$H$90)*(1-0.18),IF($F1462="Mauro José Salanti",_xlfn.XLOOKUP(AG1462,Cadastros!$G$6:$G$90,Cadastros!$H$6:$H$90)*(1-0.18),_xlfn.XLOOKUP(AG1462,Cadastros!$G$6:$G$90,Cadastros!$H$6:$H$90))))</f>
        <v/>
      </c>
      <c r="AJ1462" s="168" t="str">
        <f t="shared" si="293"/>
        <v/>
      </c>
      <c r="AK1462" s="168" t="str">
        <f t="shared" si="294"/>
        <v/>
      </c>
      <c r="AL1462" s="28"/>
      <c r="AM1462" s="28"/>
      <c r="AN1462" s="20" t="str">
        <f>IF(AL1462="","",IF($F1462="Bernardino Furlan",_xlfn.XLOOKUP(AL1462,Cadastros!$G$6:$G$90,Cadastros!$H$6:$H$90)*(1-0.18),IF($F1462="Mauro José Salanti",_xlfn.XLOOKUP(AL1462,Cadastros!$G$6:$G$90,Cadastros!$H$6:$H$90)*(1-0.18),_xlfn.XLOOKUP(AL1462,Cadastros!$G$6:$G$90,Cadastros!$H$6:$H$90))))</f>
        <v/>
      </c>
      <c r="AO1462" s="168" t="str">
        <f t="shared" si="295"/>
        <v/>
      </c>
      <c r="AP1462" s="168" t="str">
        <f t="shared" si="296"/>
        <v/>
      </c>
      <c r="AQ1462" s="28"/>
      <c r="AR1462" s="28"/>
      <c r="AS1462" s="20" t="str">
        <f>IF(AQ1462="","",IF($F1462="Bernardino Furlan",_xlfn.XLOOKUP(AQ1462,Cadastros!$G$6:$G$90,Cadastros!$H$6:$H$90)*(1-0.18),IF($F1462="Mauro José Salanti",_xlfn.XLOOKUP(AQ1462,Cadastros!$G$6:$G$90,Cadastros!$H$6:$H$90)*(1-0.18),_xlfn.XLOOKUP(AQ1462,Cadastros!$G$6:$G$90,Cadastros!$H$6:$H$90))))</f>
        <v/>
      </c>
      <c r="AT1462" s="168" t="str">
        <f t="shared" si="297"/>
        <v/>
      </c>
      <c r="AU1462" s="168" t="str">
        <f t="shared" si="298"/>
        <v/>
      </c>
      <c r="AV1462" s="227"/>
      <c r="AW1462" s="30"/>
      <c r="AX1462" s="267"/>
      <c r="AY1462" s="267"/>
      <c r="AZ1462" s="29"/>
      <c r="BA1462" s="30"/>
      <c r="BB1462" s="23" t="str" cm="1">
        <f t="array" ref="BB1462">_xlfn.IFS(AW1462="SIM",SUM(K1462,P1462,U1462,Z1462,AE1462,AJ1462,AO1462,AT1462,AX1462,AY1462),F1462&lt;&gt;"",SUM(K1462,P1462,U1462,Z1462,AE1462,AJ1462,,AO1462,AT1462),F1462="","")</f>
        <v/>
      </c>
      <c r="BC1462" s="211" t="str" cm="1">
        <f t="array" ref="BC1462">_xlfn.IFS(E1462="","",G1462&lt;=E1462,BB1462*(1-0.03),G1462&lt;(E1462+8),BB1462,AZ1462="Boleto",BB1462*(1+0.001)^DATEDIF(E1462,G1462,"D"),AZ1462="Cheque",BB1462,AZ1462="Dinheiro","Alterar forma pgto")</f>
        <v/>
      </c>
      <c r="BD1462" s="276" t="str" cm="1">
        <f t="array" ref="BD1462">IF(F1462=0," ",IF(BC1462&lt;BB1462,(_xlfn.IFS(AW1462="SIM",SUM(L1462,Q1462,V1462,AA1462,AF1462,AK1462,AP1462,AU1462)+AX1462/_xlfn.XLOOKUP(_xlfn.XLOOKUP($F1462,Clientes!$B$4:$B$39,Clientes!$C$4:$C$39),Cadastros!$L$6:$L$12,Cadastros!$M$6:$M$12)+IF($F1462="Bernardino Furlan",AY1462/2751.92,IF($F1462="Mauro José Salanti",AY1462/2751.92,AY1462/3356)),F1462&lt;&gt;0,SUM(L1462,Q1462,V1462,AA1462,AF1462,AK1462,AP1462,AU1462)))*(1-0.03),_xlfn.IFS(AW1462="SIM",SUM(L1462,Q1462,V1462,AA1462,AF1462,AK1462,AP1462,AU1462)+AX1462/_xlfn.XLOOKUP(_xlfn.XLOOKUP($F1462,Clientes!$B$4:$B$39,Clientes!$C$4:$C$39),Cadastros!$L$6:$L$12,Cadastros!$M$6:$M$12)+IF($F1462="Bernardino Furlan",AY1462/2751.92,IF($F1462="Mauro José Salanti",AY1462/2751.92,AY1462/3356)),F1462&lt;&gt;0,SUM(L1462,Q1462,V1462,AA1462,AF1462,AK1462,AP1462,AU1462))))</f>
        <v xml:space="preserve"> </v>
      </c>
      <c r="BE1462" s="120"/>
      <c r="BF1462" s="120"/>
      <c r="BG1462" s="120"/>
    </row>
    <row r="1463" spans="1:59" s="3" customFormat="1" x14ac:dyDescent="0.3">
      <c r="A1463" s="15" t="str">
        <f t="shared" si="286"/>
        <v/>
      </c>
      <c r="B1463" s="25"/>
      <c r="C1463" s="26"/>
      <c r="D1463" s="279"/>
      <c r="E1463" s="27"/>
      <c r="F1463" s="28"/>
      <c r="G1463" s="27"/>
      <c r="H1463" s="28"/>
      <c r="I1463" s="28"/>
      <c r="J1463" s="255" t="str">
        <f>IF(H1463="","",(_xlfn.XLOOKUP(H1463,Cadastros!$D$6:$D$90,Cadastros!$E$6:$E$90))*(1-_xlfn.XLOOKUP(_xlfn.XLOOKUP($F1463,Clientes!$B$4:$B$39,Clientes!$C$4:$C$39),Cadastros!$L$6:$L$12,Cadastros!$N$6:$N$12)))</f>
        <v/>
      </c>
      <c r="K1463" s="168" t="str">
        <f t="shared" si="287"/>
        <v/>
      </c>
      <c r="L1463" s="168" t="str">
        <f>IFERROR(K1463/_xlfn.XLOOKUP(_xlfn.XLOOKUP($F1463,Clientes!$B$4:$B$39,Clientes!$C$4:$C$39),Cadastros!$L$6:$L$12,Cadastros!$M$6:$M$12)," ")</f>
        <v xml:space="preserve"> </v>
      </c>
      <c r="M1463" s="28"/>
      <c r="N1463" s="28"/>
      <c r="O1463" s="255" t="str">
        <f>IF(M1463="","",(_xlfn.XLOOKUP(M1463,Cadastros!$D$6:$D$90,Cadastros!$E$6:$E$90))*(1-_xlfn.XLOOKUP(_xlfn.XLOOKUP($F1463,Clientes!$B$4:$B$39,Clientes!$C$4:$C$39),Cadastros!$L$6:$L$12,Cadastros!$N$6:$N$12)))</f>
        <v/>
      </c>
      <c r="P1463" s="168" t="str">
        <f t="shared" si="288"/>
        <v/>
      </c>
      <c r="Q1463" s="168" t="str">
        <f>IFERROR(P1463/_xlfn.XLOOKUP(_xlfn.XLOOKUP($F1463,Clientes!$B$4:$B$39,Clientes!$C$4:$C$39),Cadastros!$L$6:$L$12,Cadastros!$M$6:$M$12)," ")</f>
        <v xml:space="preserve"> </v>
      </c>
      <c r="R1463" s="28"/>
      <c r="S1463" s="28"/>
      <c r="T1463" s="255" t="str">
        <f>IF(R1463="","",(_xlfn.XLOOKUP(R1463,Cadastros!$D$6:$D$90,Cadastros!$E$6:$E$90))*(1-_xlfn.XLOOKUP(_xlfn.XLOOKUP($F1463,Clientes!$B$4:$B$39,Clientes!$C$4:$C$39),Cadastros!$L$6:$L$12,Cadastros!$N$6:$N$12)))</f>
        <v/>
      </c>
      <c r="U1463" s="168" t="str">
        <f t="shared" si="289"/>
        <v/>
      </c>
      <c r="V1463" s="168" t="str">
        <f>IFERROR(U1463/_xlfn.XLOOKUP(_xlfn.XLOOKUP($F1463,Clientes!$B$4:$B$39,Clientes!$C$4:$C$39),Cadastros!$L$6:$L$12,Cadastros!$M$6:$M$12)," ")</f>
        <v xml:space="preserve"> </v>
      </c>
      <c r="W1463" s="28"/>
      <c r="X1463" s="28"/>
      <c r="Y1463" s="255" t="str">
        <f>IF(W1463="","",(_xlfn.XLOOKUP(W1463,Cadastros!$D$6:$D$90,Cadastros!$E$6:$E$90))*(1-_xlfn.XLOOKUP(_xlfn.XLOOKUP($F1463,Clientes!$B$4:$B$39,Clientes!$C$4:$C$39),Cadastros!$L$6:$L$12,Cadastros!$N$6:$N$12)))</f>
        <v/>
      </c>
      <c r="Z1463" s="168" t="str">
        <f t="shared" si="290"/>
        <v/>
      </c>
      <c r="AA1463" s="168" t="str">
        <f>IFERROR(Z1463/_xlfn.XLOOKUP(_xlfn.XLOOKUP($F1463,Clientes!$B$4:$B$39,Clientes!$C$4:$C$39),Cadastros!$L$6:$L$12,Cadastros!$M$6:$M$12)," ")</f>
        <v xml:space="preserve"> </v>
      </c>
      <c r="AB1463" s="28"/>
      <c r="AC1463" s="28"/>
      <c r="AD1463" s="20" t="str">
        <f>IF(AB1463="","",IF($F1463="Bernardino Furlan",_xlfn.XLOOKUP(AB1463,Cadastros!$G$6:$G$90,Cadastros!$H$6:$H$90)*(1-0.18),IF($F1463="Mauro José Salanti",_xlfn.XLOOKUP(AB1463,Cadastros!$G$6:$G$90,Cadastros!$H$6:$H$90)*(1-0.18),_xlfn.XLOOKUP(AB1463,Cadastros!$G$6:$G$90,Cadastros!$H$6:$H$90))))</f>
        <v/>
      </c>
      <c r="AE1463" s="168" t="str">
        <f t="shared" si="291"/>
        <v/>
      </c>
      <c r="AF1463" s="168" t="str">
        <f t="shared" si="292"/>
        <v/>
      </c>
      <c r="AG1463" s="28"/>
      <c r="AH1463" s="28"/>
      <c r="AI1463" s="20" t="str">
        <f>IF(AG1463="","",IF($F1463="Bernardino Furlan",_xlfn.XLOOKUP(AG1463,Cadastros!$G$6:$G$90,Cadastros!$H$6:$H$90)*(1-0.18),IF($F1463="Mauro José Salanti",_xlfn.XLOOKUP(AG1463,Cadastros!$G$6:$G$90,Cadastros!$H$6:$H$90)*(1-0.18),_xlfn.XLOOKUP(AG1463,Cadastros!$G$6:$G$90,Cadastros!$H$6:$H$90))))</f>
        <v/>
      </c>
      <c r="AJ1463" s="168" t="str">
        <f t="shared" si="293"/>
        <v/>
      </c>
      <c r="AK1463" s="168" t="str">
        <f t="shared" si="294"/>
        <v/>
      </c>
      <c r="AL1463" s="28"/>
      <c r="AM1463" s="28"/>
      <c r="AN1463" s="20" t="str">
        <f>IF(AL1463="","",IF($F1463="Bernardino Furlan",_xlfn.XLOOKUP(AL1463,Cadastros!$G$6:$G$90,Cadastros!$H$6:$H$90)*(1-0.18),IF($F1463="Mauro José Salanti",_xlfn.XLOOKUP(AL1463,Cadastros!$G$6:$G$90,Cadastros!$H$6:$H$90)*(1-0.18),_xlfn.XLOOKUP(AL1463,Cadastros!$G$6:$G$90,Cadastros!$H$6:$H$90))))</f>
        <v/>
      </c>
      <c r="AO1463" s="168" t="str">
        <f t="shared" si="295"/>
        <v/>
      </c>
      <c r="AP1463" s="168" t="str">
        <f t="shared" si="296"/>
        <v/>
      </c>
      <c r="AQ1463" s="28"/>
      <c r="AR1463" s="28"/>
      <c r="AS1463" s="20" t="str">
        <f>IF(AQ1463="","",IF($F1463="Bernardino Furlan",_xlfn.XLOOKUP(AQ1463,Cadastros!$G$6:$G$90,Cadastros!$H$6:$H$90)*(1-0.18),IF($F1463="Mauro José Salanti",_xlfn.XLOOKUP(AQ1463,Cadastros!$G$6:$G$90,Cadastros!$H$6:$H$90)*(1-0.18),_xlfn.XLOOKUP(AQ1463,Cadastros!$G$6:$G$90,Cadastros!$H$6:$H$90))))</f>
        <v/>
      </c>
      <c r="AT1463" s="168" t="str">
        <f t="shared" si="297"/>
        <v/>
      </c>
      <c r="AU1463" s="168" t="str">
        <f t="shared" si="298"/>
        <v/>
      </c>
      <c r="AV1463" s="227"/>
      <c r="AW1463" s="30"/>
      <c r="AX1463" s="267"/>
      <c r="AY1463" s="267"/>
      <c r="AZ1463" s="29"/>
      <c r="BA1463" s="30"/>
      <c r="BB1463" s="23" t="str" cm="1">
        <f t="array" ref="BB1463">_xlfn.IFS(AW1463="SIM",SUM(K1463,P1463,U1463,Z1463,AE1463,AJ1463,AO1463,AT1463,AX1463,AY1463),F1463&lt;&gt;"",SUM(K1463,P1463,U1463,Z1463,AE1463,AJ1463,,AO1463,AT1463),F1463="","")</f>
        <v/>
      </c>
      <c r="BC1463" s="211" t="str" cm="1">
        <f t="array" ref="BC1463">_xlfn.IFS(E1463="","",G1463&lt;=E1463,BB1463*(1-0.03),G1463&lt;(E1463+8),BB1463,AZ1463="Boleto",BB1463*(1+0.001)^DATEDIF(E1463,G1463,"D"),AZ1463="Cheque",BB1463,AZ1463="Dinheiro","Alterar forma pgto")</f>
        <v/>
      </c>
      <c r="BD1463" s="276" t="str" cm="1">
        <f t="array" ref="BD1463">IF(F1463=0," ",IF(BC1463&lt;BB1463,(_xlfn.IFS(AW1463="SIM",SUM(L1463,Q1463,V1463,AA1463,AF1463,AK1463,AP1463,AU1463)+AX1463/_xlfn.XLOOKUP(_xlfn.XLOOKUP($F1463,Clientes!$B$4:$B$39,Clientes!$C$4:$C$39),Cadastros!$L$6:$L$12,Cadastros!$M$6:$M$12)+IF($F1463="Bernardino Furlan",AY1463/2751.92,IF($F1463="Mauro José Salanti",AY1463/2751.92,AY1463/3356)),F1463&lt;&gt;0,SUM(L1463,Q1463,V1463,AA1463,AF1463,AK1463,AP1463,AU1463)))*(1-0.03),_xlfn.IFS(AW1463="SIM",SUM(L1463,Q1463,V1463,AA1463,AF1463,AK1463,AP1463,AU1463)+AX1463/_xlfn.XLOOKUP(_xlfn.XLOOKUP($F1463,Clientes!$B$4:$B$39,Clientes!$C$4:$C$39),Cadastros!$L$6:$L$12,Cadastros!$M$6:$M$12)+IF($F1463="Bernardino Furlan",AY1463/2751.92,IF($F1463="Mauro José Salanti",AY1463/2751.92,AY1463/3356)),F1463&lt;&gt;0,SUM(L1463,Q1463,V1463,AA1463,AF1463,AK1463,AP1463,AU1463))))</f>
        <v xml:space="preserve"> </v>
      </c>
      <c r="BE1463" s="120"/>
      <c r="BF1463" s="120"/>
      <c r="BG1463" s="120"/>
    </row>
    <row r="1464" spans="1:59" s="3" customFormat="1" x14ac:dyDescent="0.3">
      <c r="A1464" s="15" t="str">
        <f t="shared" si="286"/>
        <v/>
      </c>
      <c r="B1464" s="25"/>
      <c r="C1464" s="26"/>
      <c r="D1464" s="279"/>
      <c r="E1464" s="27"/>
      <c r="F1464" s="28"/>
      <c r="G1464" s="27"/>
      <c r="H1464" s="28"/>
      <c r="I1464" s="28"/>
      <c r="J1464" s="255" t="str">
        <f>IF(H1464="","",(_xlfn.XLOOKUP(H1464,Cadastros!$D$6:$D$90,Cadastros!$E$6:$E$90))*(1-_xlfn.XLOOKUP(_xlfn.XLOOKUP($F1464,Clientes!$B$4:$B$39,Clientes!$C$4:$C$39),Cadastros!$L$6:$L$12,Cadastros!$N$6:$N$12)))</f>
        <v/>
      </c>
      <c r="K1464" s="168" t="str">
        <f t="shared" si="287"/>
        <v/>
      </c>
      <c r="L1464" s="168" t="str">
        <f>IFERROR(K1464/_xlfn.XLOOKUP(_xlfn.XLOOKUP($F1464,Clientes!$B$4:$B$39,Clientes!$C$4:$C$39),Cadastros!$L$6:$L$12,Cadastros!$M$6:$M$12)," ")</f>
        <v xml:space="preserve"> </v>
      </c>
      <c r="M1464" s="28"/>
      <c r="N1464" s="28"/>
      <c r="O1464" s="255" t="str">
        <f>IF(M1464="","",(_xlfn.XLOOKUP(M1464,Cadastros!$D$6:$D$90,Cadastros!$E$6:$E$90))*(1-_xlfn.XLOOKUP(_xlfn.XLOOKUP($F1464,Clientes!$B$4:$B$39,Clientes!$C$4:$C$39),Cadastros!$L$6:$L$12,Cadastros!$N$6:$N$12)))</f>
        <v/>
      </c>
      <c r="P1464" s="168" t="str">
        <f t="shared" si="288"/>
        <v/>
      </c>
      <c r="Q1464" s="168" t="str">
        <f>IFERROR(P1464/_xlfn.XLOOKUP(_xlfn.XLOOKUP($F1464,Clientes!$B$4:$B$39,Clientes!$C$4:$C$39),Cadastros!$L$6:$L$12,Cadastros!$M$6:$M$12)," ")</f>
        <v xml:space="preserve"> </v>
      </c>
      <c r="R1464" s="28"/>
      <c r="S1464" s="28"/>
      <c r="T1464" s="255" t="str">
        <f>IF(R1464="","",(_xlfn.XLOOKUP(R1464,Cadastros!$D$6:$D$90,Cadastros!$E$6:$E$90))*(1-_xlfn.XLOOKUP(_xlfn.XLOOKUP($F1464,Clientes!$B$4:$B$39,Clientes!$C$4:$C$39),Cadastros!$L$6:$L$12,Cadastros!$N$6:$N$12)))</f>
        <v/>
      </c>
      <c r="U1464" s="168" t="str">
        <f t="shared" si="289"/>
        <v/>
      </c>
      <c r="V1464" s="168" t="str">
        <f>IFERROR(U1464/_xlfn.XLOOKUP(_xlfn.XLOOKUP($F1464,Clientes!$B$4:$B$39,Clientes!$C$4:$C$39),Cadastros!$L$6:$L$12,Cadastros!$M$6:$M$12)," ")</f>
        <v xml:space="preserve"> </v>
      </c>
      <c r="W1464" s="28"/>
      <c r="X1464" s="28"/>
      <c r="Y1464" s="255" t="str">
        <f>IF(W1464="","",(_xlfn.XLOOKUP(W1464,Cadastros!$D$6:$D$90,Cadastros!$E$6:$E$90))*(1-_xlfn.XLOOKUP(_xlfn.XLOOKUP($F1464,Clientes!$B$4:$B$39,Clientes!$C$4:$C$39),Cadastros!$L$6:$L$12,Cadastros!$N$6:$N$12)))</f>
        <v/>
      </c>
      <c r="Z1464" s="168" t="str">
        <f t="shared" si="290"/>
        <v/>
      </c>
      <c r="AA1464" s="168" t="str">
        <f>IFERROR(Z1464/_xlfn.XLOOKUP(_xlfn.XLOOKUP($F1464,Clientes!$B$4:$B$39,Clientes!$C$4:$C$39),Cadastros!$L$6:$L$12,Cadastros!$M$6:$M$12)," ")</f>
        <v xml:space="preserve"> </v>
      </c>
      <c r="AB1464" s="28"/>
      <c r="AC1464" s="28"/>
      <c r="AD1464" s="20" t="str">
        <f>IF(AB1464="","",IF($F1464="Bernardino Furlan",_xlfn.XLOOKUP(AB1464,Cadastros!$G$6:$G$90,Cadastros!$H$6:$H$90)*(1-0.18),IF($F1464="Mauro José Salanti",_xlfn.XLOOKUP(AB1464,Cadastros!$G$6:$G$90,Cadastros!$H$6:$H$90)*(1-0.18),_xlfn.XLOOKUP(AB1464,Cadastros!$G$6:$G$90,Cadastros!$H$6:$H$90))))</f>
        <v/>
      </c>
      <c r="AE1464" s="168" t="str">
        <f t="shared" si="291"/>
        <v/>
      </c>
      <c r="AF1464" s="168" t="str">
        <f t="shared" si="292"/>
        <v/>
      </c>
      <c r="AG1464" s="28"/>
      <c r="AH1464" s="28"/>
      <c r="AI1464" s="20" t="str">
        <f>IF(AG1464="","",IF($F1464="Bernardino Furlan",_xlfn.XLOOKUP(AG1464,Cadastros!$G$6:$G$90,Cadastros!$H$6:$H$90)*(1-0.18),IF($F1464="Mauro José Salanti",_xlfn.XLOOKUP(AG1464,Cadastros!$G$6:$G$90,Cadastros!$H$6:$H$90)*(1-0.18),_xlfn.XLOOKUP(AG1464,Cadastros!$G$6:$G$90,Cadastros!$H$6:$H$90))))</f>
        <v/>
      </c>
      <c r="AJ1464" s="168" t="str">
        <f t="shared" si="293"/>
        <v/>
      </c>
      <c r="AK1464" s="168" t="str">
        <f t="shared" si="294"/>
        <v/>
      </c>
      <c r="AL1464" s="28"/>
      <c r="AM1464" s="28"/>
      <c r="AN1464" s="20" t="str">
        <f>IF(AL1464="","",IF($F1464="Bernardino Furlan",_xlfn.XLOOKUP(AL1464,Cadastros!$G$6:$G$90,Cadastros!$H$6:$H$90)*(1-0.18),IF($F1464="Mauro José Salanti",_xlfn.XLOOKUP(AL1464,Cadastros!$G$6:$G$90,Cadastros!$H$6:$H$90)*(1-0.18),_xlfn.XLOOKUP(AL1464,Cadastros!$G$6:$G$90,Cadastros!$H$6:$H$90))))</f>
        <v/>
      </c>
      <c r="AO1464" s="168" t="str">
        <f t="shared" si="295"/>
        <v/>
      </c>
      <c r="AP1464" s="168" t="str">
        <f t="shared" si="296"/>
        <v/>
      </c>
      <c r="AQ1464" s="28"/>
      <c r="AR1464" s="28"/>
      <c r="AS1464" s="20" t="str">
        <f>IF(AQ1464="","",IF($F1464="Bernardino Furlan",_xlfn.XLOOKUP(AQ1464,Cadastros!$G$6:$G$90,Cadastros!$H$6:$H$90)*(1-0.18),IF($F1464="Mauro José Salanti",_xlfn.XLOOKUP(AQ1464,Cadastros!$G$6:$G$90,Cadastros!$H$6:$H$90)*(1-0.18),_xlfn.XLOOKUP(AQ1464,Cadastros!$G$6:$G$90,Cadastros!$H$6:$H$90))))</f>
        <v/>
      </c>
      <c r="AT1464" s="168" t="str">
        <f t="shared" si="297"/>
        <v/>
      </c>
      <c r="AU1464" s="168" t="str">
        <f t="shared" si="298"/>
        <v/>
      </c>
      <c r="AV1464" s="227"/>
      <c r="AW1464" s="30"/>
      <c r="AX1464" s="267"/>
      <c r="AY1464" s="267"/>
      <c r="AZ1464" s="29"/>
      <c r="BA1464" s="30"/>
      <c r="BB1464" s="23" t="str" cm="1">
        <f t="array" ref="BB1464">_xlfn.IFS(AW1464="SIM",SUM(K1464,P1464,U1464,Z1464,AE1464,AJ1464,AO1464,AT1464,AX1464,AY1464),F1464&lt;&gt;"",SUM(K1464,P1464,U1464,Z1464,AE1464,AJ1464,,AO1464,AT1464),F1464="","")</f>
        <v/>
      </c>
      <c r="BC1464" s="211" t="str" cm="1">
        <f t="array" ref="BC1464">_xlfn.IFS(E1464="","",G1464&lt;=E1464,BB1464*(1-0.03),G1464&lt;(E1464+8),BB1464,AZ1464="Boleto",BB1464*(1+0.001)^DATEDIF(E1464,G1464,"D"),AZ1464="Cheque",BB1464,AZ1464="Dinheiro","Alterar forma pgto")</f>
        <v/>
      </c>
      <c r="BD1464" s="276" t="str" cm="1">
        <f t="array" ref="BD1464">IF(F1464=0," ",IF(BC1464&lt;BB1464,(_xlfn.IFS(AW1464="SIM",SUM(L1464,Q1464,V1464,AA1464,AF1464,AK1464,AP1464,AU1464)+AX1464/_xlfn.XLOOKUP(_xlfn.XLOOKUP($F1464,Clientes!$B$4:$B$39,Clientes!$C$4:$C$39),Cadastros!$L$6:$L$12,Cadastros!$M$6:$M$12)+IF($F1464="Bernardino Furlan",AY1464/2751.92,IF($F1464="Mauro José Salanti",AY1464/2751.92,AY1464/3356)),F1464&lt;&gt;0,SUM(L1464,Q1464,V1464,AA1464,AF1464,AK1464,AP1464,AU1464)))*(1-0.03),_xlfn.IFS(AW1464="SIM",SUM(L1464,Q1464,V1464,AA1464,AF1464,AK1464,AP1464,AU1464)+AX1464/_xlfn.XLOOKUP(_xlfn.XLOOKUP($F1464,Clientes!$B$4:$B$39,Clientes!$C$4:$C$39),Cadastros!$L$6:$L$12,Cadastros!$M$6:$M$12)+IF($F1464="Bernardino Furlan",AY1464/2751.92,IF($F1464="Mauro José Salanti",AY1464/2751.92,AY1464/3356)),F1464&lt;&gt;0,SUM(L1464,Q1464,V1464,AA1464,AF1464,AK1464,AP1464,AU1464))))</f>
        <v xml:space="preserve"> </v>
      </c>
      <c r="BE1464" s="120"/>
      <c r="BF1464" s="120"/>
      <c r="BG1464" s="120"/>
    </row>
    <row r="1465" spans="1:59" s="3" customFormat="1" x14ac:dyDescent="0.3">
      <c r="A1465" s="15" t="str">
        <f t="shared" si="286"/>
        <v/>
      </c>
      <c r="B1465" s="25"/>
      <c r="C1465" s="26"/>
      <c r="D1465" s="279"/>
      <c r="E1465" s="27"/>
      <c r="F1465" s="28"/>
      <c r="G1465" s="27"/>
      <c r="H1465" s="28"/>
      <c r="I1465" s="28"/>
      <c r="J1465" s="255" t="str">
        <f>IF(H1465="","",(_xlfn.XLOOKUP(H1465,Cadastros!$D$6:$D$90,Cadastros!$E$6:$E$90))*(1-_xlfn.XLOOKUP(_xlfn.XLOOKUP($F1465,Clientes!$B$4:$B$39,Clientes!$C$4:$C$39),Cadastros!$L$6:$L$12,Cadastros!$N$6:$N$12)))</f>
        <v/>
      </c>
      <c r="K1465" s="168" t="str">
        <f t="shared" si="287"/>
        <v/>
      </c>
      <c r="L1465" s="168" t="str">
        <f>IFERROR(K1465/_xlfn.XLOOKUP(_xlfn.XLOOKUP($F1465,Clientes!$B$4:$B$39,Clientes!$C$4:$C$39),Cadastros!$L$6:$L$12,Cadastros!$M$6:$M$12)," ")</f>
        <v xml:space="preserve"> </v>
      </c>
      <c r="M1465" s="28"/>
      <c r="N1465" s="28"/>
      <c r="O1465" s="255" t="str">
        <f>IF(M1465="","",(_xlfn.XLOOKUP(M1465,Cadastros!$D$6:$D$90,Cadastros!$E$6:$E$90))*(1-_xlfn.XLOOKUP(_xlfn.XLOOKUP($F1465,Clientes!$B$4:$B$39,Clientes!$C$4:$C$39),Cadastros!$L$6:$L$12,Cadastros!$N$6:$N$12)))</f>
        <v/>
      </c>
      <c r="P1465" s="168" t="str">
        <f t="shared" si="288"/>
        <v/>
      </c>
      <c r="Q1465" s="168" t="str">
        <f>IFERROR(P1465/_xlfn.XLOOKUP(_xlfn.XLOOKUP($F1465,Clientes!$B$4:$B$39,Clientes!$C$4:$C$39),Cadastros!$L$6:$L$12,Cadastros!$M$6:$M$12)," ")</f>
        <v xml:space="preserve"> </v>
      </c>
      <c r="R1465" s="28"/>
      <c r="S1465" s="28"/>
      <c r="T1465" s="255" t="str">
        <f>IF(R1465="","",(_xlfn.XLOOKUP(R1465,Cadastros!$D$6:$D$90,Cadastros!$E$6:$E$90))*(1-_xlfn.XLOOKUP(_xlfn.XLOOKUP($F1465,Clientes!$B$4:$B$39,Clientes!$C$4:$C$39),Cadastros!$L$6:$L$12,Cadastros!$N$6:$N$12)))</f>
        <v/>
      </c>
      <c r="U1465" s="168" t="str">
        <f t="shared" si="289"/>
        <v/>
      </c>
      <c r="V1465" s="168" t="str">
        <f>IFERROR(U1465/_xlfn.XLOOKUP(_xlfn.XLOOKUP($F1465,Clientes!$B$4:$B$39,Clientes!$C$4:$C$39),Cadastros!$L$6:$L$12,Cadastros!$M$6:$M$12)," ")</f>
        <v xml:space="preserve"> </v>
      </c>
      <c r="W1465" s="28"/>
      <c r="X1465" s="28"/>
      <c r="Y1465" s="255" t="str">
        <f>IF(W1465="","",(_xlfn.XLOOKUP(W1465,Cadastros!$D$6:$D$90,Cadastros!$E$6:$E$90))*(1-_xlfn.XLOOKUP(_xlfn.XLOOKUP($F1465,Clientes!$B$4:$B$39,Clientes!$C$4:$C$39),Cadastros!$L$6:$L$12,Cadastros!$N$6:$N$12)))</f>
        <v/>
      </c>
      <c r="Z1465" s="168" t="str">
        <f t="shared" si="290"/>
        <v/>
      </c>
      <c r="AA1465" s="168" t="str">
        <f>IFERROR(Z1465/_xlfn.XLOOKUP(_xlfn.XLOOKUP($F1465,Clientes!$B$4:$B$39,Clientes!$C$4:$C$39),Cadastros!$L$6:$L$12,Cadastros!$M$6:$M$12)," ")</f>
        <v xml:space="preserve"> </v>
      </c>
      <c r="AB1465" s="28"/>
      <c r="AC1465" s="28"/>
      <c r="AD1465" s="20" t="str">
        <f>IF(AB1465="","",IF($F1465="Bernardino Furlan",_xlfn.XLOOKUP(AB1465,Cadastros!$G$6:$G$90,Cadastros!$H$6:$H$90)*(1-0.18),IF($F1465="Mauro José Salanti",_xlfn.XLOOKUP(AB1465,Cadastros!$G$6:$G$90,Cadastros!$H$6:$H$90)*(1-0.18),_xlfn.XLOOKUP(AB1465,Cadastros!$G$6:$G$90,Cadastros!$H$6:$H$90))))</f>
        <v/>
      </c>
      <c r="AE1465" s="168" t="str">
        <f t="shared" si="291"/>
        <v/>
      </c>
      <c r="AF1465" s="168" t="str">
        <f t="shared" si="292"/>
        <v/>
      </c>
      <c r="AG1465" s="28"/>
      <c r="AH1465" s="28"/>
      <c r="AI1465" s="20" t="str">
        <f>IF(AG1465="","",IF($F1465="Bernardino Furlan",_xlfn.XLOOKUP(AG1465,Cadastros!$G$6:$G$90,Cadastros!$H$6:$H$90)*(1-0.18),IF($F1465="Mauro José Salanti",_xlfn.XLOOKUP(AG1465,Cadastros!$G$6:$G$90,Cadastros!$H$6:$H$90)*(1-0.18),_xlfn.XLOOKUP(AG1465,Cadastros!$G$6:$G$90,Cadastros!$H$6:$H$90))))</f>
        <v/>
      </c>
      <c r="AJ1465" s="168" t="str">
        <f t="shared" si="293"/>
        <v/>
      </c>
      <c r="AK1465" s="168" t="str">
        <f t="shared" si="294"/>
        <v/>
      </c>
      <c r="AL1465" s="28"/>
      <c r="AM1465" s="28"/>
      <c r="AN1465" s="20" t="str">
        <f>IF(AL1465="","",IF($F1465="Bernardino Furlan",_xlfn.XLOOKUP(AL1465,Cadastros!$G$6:$G$90,Cadastros!$H$6:$H$90)*(1-0.18),IF($F1465="Mauro José Salanti",_xlfn.XLOOKUP(AL1465,Cadastros!$G$6:$G$90,Cadastros!$H$6:$H$90)*(1-0.18),_xlfn.XLOOKUP(AL1465,Cadastros!$G$6:$G$90,Cadastros!$H$6:$H$90))))</f>
        <v/>
      </c>
      <c r="AO1465" s="168" t="str">
        <f t="shared" si="295"/>
        <v/>
      </c>
      <c r="AP1465" s="168" t="str">
        <f t="shared" si="296"/>
        <v/>
      </c>
      <c r="AQ1465" s="28"/>
      <c r="AR1465" s="28"/>
      <c r="AS1465" s="20" t="str">
        <f>IF(AQ1465="","",IF($F1465="Bernardino Furlan",_xlfn.XLOOKUP(AQ1465,Cadastros!$G$6:$G$90,Cadastros!$H$6:$H$90)*(1-0.18),IF($F1465="Mauro José Salanti",_xlfn.XLOOKUP(AQ1465,Cadastros!$G$6:$G$90,Cadastros!$H$6:$H$90)*(1-0.18),_xlfn.XLOOKUP(AQ1465,Cadastros!$G$6:$G$90,Cadastros!$H$6:$H$90))))</f>
        <v/>
      </c>
      <c r="AT1465" s="168" t="str">
        <f t="shared" si="297"/>
        <v/>
      </c>
      <c r="AU1465" s="168" t="str">
        <f t="shared" si="298"/>
        <v/>
      </c>
      <c r="AV1465" s="227"/>
      <c r="AW1465" s="30"/>
      <c r="AX1465" s="267"/>
      <c r="AY1465" s="267"/>
      <c r="AZ1465" s="29"/>
      <c r="BA1465" s="30"/>
      <c r="BB1465" s="23" t="str" cm="1">
        <f t="array" ref="BB1465">_xlfn.IFS(AW1465="SIM",SUM(K1465,P1465,U1465,Z1465,AE1465,AJ1465,AO1465,AT1465,AX1465,AY1465),F1465&lt;&gt;"",SUM(K1465,P1465,U1465,Z1465,AE1465,AJ1465,,AO1465,AT1465),F1465="","")</f>
        <v/>
      </c>
      <c r="BC1465" s="211" t="str" cm="1">
        <f t="array" ref="BC1465">_xlfn.IFS(E1465="","",G1465&lt;=E1465,BB1465*(1-0.03),G1465&lt;(E1465+8),BB1465,AZ1465="Boleto",BB1465*(1+0.001)^DATEDIF(E1465,G1465,"D"),AZ1465="Cheque",BB1465,AZ1465="Dinheiro","Alterar forma pgto")</f>
        <v/>
      </c>
      <c r="BD1465" s="276" t="str" cm="1">
        <f t="array" ref="BD1465">IF(F1465=0," ",IF(BC1465&lt;BB1465,(_xlfn.IFS(AW1465="SIM",SUM(L1465,Q1465,V1465,AA1465,AF1465,AK1465,AP1465,AU1465)+AX1465/_xlfn.XLOOKUP(_xlfn.XLOOKUP($F1465,Clientes!$B$4:$B$39,Clientes!$C$4:$C$39),Cadastros!$L$6:$L$12,Cadastros!$M$6:$M$12)+IF($F1465="Bernardino Furlan",AY1465/2751.92,IF($F1465="Mauro José Salanti",AY1465/2751.92,AY1465/3356)),F1465&lt;&gt;0,SUM(L1465,Q1465,V1465,AA1465,AF1465,AK1465,AP1465,AU1465)))*(1-0.03),_xlfn.IFS(AW1465="SIM",SUM(L1465,Q1465,V1465,AA1465,AF1465,AK1465,AP1465,AU1465)+AX1465/_xlfn.XLOOKUP(_xlfn.XLOOKUP($F1465,Clientes!$B$4:$B$39,Clientes!$C$4:$C$39),Cadastros!$L$6:$L$12,Cadastros!$M$6:$M$12)+IF($F1465="Bernardino Furlan",AY1465/2751.92,IF($F1465="Mauro José Salanti",AY1465/2751.92,AY1465/3356)),F1465&lt;&gt;0,SUM(L1465,Q1465,V1465,AA1465,AF1465,AK1465,AP1465,AU1465))))</f>
        <v xml:space="preserve"> </v>
      </c>
      <c r="BE1465" s="120"/>
      <c r="BF1465" s="120"/>
      <c r="BG1465" s="120"/>
    </row>
    <row r="1466" spans="1:59" s="3" customFormat="1" x14ac:dyDescent="0.3">
      <c r="A1466" s="15" t="str">
        <f t="shared" si="286"/>
        <v/>
      </c>
      <c r="B1466" s="25"/>
      <c r="C1466" s="26"/>
      <c r="D1466" s="279"/>
      <c r="E1466" s="27"/>
      <c r="F1466" s="28"/>
      <c r="G1466" s="27"/>
      <c r="H1466" s="28"/>
      <c r="I1466" s="28"/>
      <c r="J1466" s="255" t="str">
        <f>IF(H1466="","",(_xlfn.XLOOKUP(H1466,Cadastros!$D$6:$D$90,Cadastros!$E$6:$E$90))*(1-_xlfn.XLOOKUP(_xlfn.XLOOKUP($F1466,Clientes!$B$4:$B$39,Clientes!$C$4:$C$39),Cadastros!$L$6:$L$12,Cadastros!$N$6:$N$12)))</f>
        <v/>
      </c>
      <c r="K1466" s="168" t="str">
        <f t="shared" si="287"/>
        <v/>
      </c>
      <c r="L1466" s="168" t="str">
        <f>IFERROR(K1466/_xlfn.XLOOKUP(_xlfn.XLOOKUP($F1466,Clientes!$B$4:$B$39,Clientes!$C$4:$C$39),Cadastros!$L$6:$L$12,Cadastros!$M$6:$M$12)," ")</f>
        <v xml:space="preserve"> </v>
      </c>
      <c r="M1466" s="28"/>
      <c r="N1466" s="28"/>
      <c r="O1466" s="255" t="str">
        <f>IF(M1466="","",(_xlfn.XLOOKUP(M1466,Cadastros!$D$6:$D$90,Cadastros!$E$6:$E$90))*(1-_xlfn.XLOOKUP(_xlfn.XLOOKUP($F1466,Clientes!$B$4:$B$39,Clientes!$C$4:$C$39),Cadastros!$L$6:$L$12,Cadastros!$N$6:$N$12)))</f>
        <v/>
      </c>
      <c r="P1466" s="168" t="str">
        <f t="shared" si="288"/>
        <v/>
      </c>
      <c r="Q1466" s="168" t="str">
        <f>IFERROR(P1466/_xlfn.XLOOKUP(_xlfn.XLOOKUP($F1466,Clientes!$B$4:$B$39,Clientes!$C$4:$C$39),Cadastros!$L$6:$L$12,Cadastros!$M$6:$M$12)," ")</f>
        <v xml:space="preserve"> </v>
      </c>
      <c r="R1466" s="28"/>
      <c r="S1466" s="28"/>
      <c r="T1466" s="255" t="str">
        <f>IF(R1466="","",(_xlfn.XLOOKUP(R1466,Cadastros!$D$6:$D$90,Cadastros!$E$6:$E$90))*(1-_xlfn.XLOOKUP(_xlfn.XLOOKUP($F1466,Clientes!$B$4:$B$39,Clientes!$C$4:$C$39),Cadastros!$L$6:$L$12,Cadastros!$N$6:$N$12)))</f>
        <v/>
      </c>
      <c r="U1466" s="168" t="str">
        <f t="shared" si="289"/>
        <v/>
      </c>
      <c r="V1466" s="168" t="str">
        <f>IFERROR(U1466/_xlfn.XLOOKUP(_xlfn.XLOOKUP($F1466,Clientes!$B$4:$B$39,Clientes!$C$4:$C$39),Cadastros!$L$6:$L$12,Cadastros!$M$6:$M$12)," ")</f>
        <v xml:space="preserve"> </v>
      </c>
      <c r="W1466" s="28"/>
      <c r="X1466" s="28"/>
      <c r="Y1466" s="255" t="str">
        <f>IF(W1466="","",(_xlfn.XLOOKUP(W1466,Cadastros!$D$6:$D$90,Cadastros!$E$6:$E$90))*(1-_xlfn.XLOOKUP(_xlfn.XLOOKUP($F1466,Clientes!$B$4:$B$39,Clientes!$C$4:$C$39),Cadastros!$L$6:$L$12,Cadastros!$N$6:$N$12)))</f>
        <v/>
      </c>
      <c r="Z1466" s="168" t="str">
        <f t="shared" si="290"/>
        <v/>
      </c>
      <c r="AA1466" s="168" t="str">
        <f>IFERROR(Z1466/_xlfn.XLOOKUP(_xlfn.XLOOKUP($F1466,Clientes!$B$4:$B$39,Clientes!$C$4:$C$39),Cadastros!$L$6:$L$12,Cadastros!$M$6:$M$12)," ")</f>
        <v xml:space="preserve"> </v>
      </c>
      <c r="AB1466" s="28"/>
      <c r="AC1466" s="28"/>
      <c r="AD1466" s="20" t="str">
        <f>IF(AB1466="","",IF($F1466="Bernardino Furlan",_xlfn.XLOOKUP(AB1466,Cadastros!$G$6:$G$90,Cadastros!$H$6:$H$90)*(1-0.18),IF($F1466="Mauro José Salanti",_xlfn.XLOOKUP(AB1466,Cadastros!$G$6:$G$90,Cadastros!$H$6:$H$90)*(1-0.18),_xlfn.XLOOKUP(AB1466,Cadastros!$G$6:$G$90,Cadastros!$H$6:$H$90))))</f>
        <v/>
      </c>
      <c r="AE1466" s="168" t="str">
        <f t="shared" si="291"/>
        <v/>
      </c>
      <c r="AF1466" s="168" t="str">
        <f t="shared" si="292"/>
        <v/>
      </c>
      <c r="AG1466" s="28"/>
      <c r="AH1466" s="28"/>
      <c r="AI1466" s="20" t="str">
        <f>IF(AG1466="","",IF($F1466="Bernardino Furlan",_xlfn.XLOOKUP(AG1466,Cadastros!$G$6:$G$90,Cadastros!$H$6:$H$90)*(1-0.18),IF($F1466="Mauro José Salanti",_xlfn.XLOOKUP(AG1466,Cadastros!$G$6:$G$90,Cadastros!$H$6:$H$90)*(1-0.18),_xlfn.XLOOKUP(AG1466,Cadastros!$G$6:$G$90,Cadastros!$H$6:$H$90))))</f>
        <v/>
      </c>
      <c r="AJ1466" s="168" t="str">
        <f t="shared" si="293"/>
        <v/>
      </c>
      <c r="AK1466" s="168" t="str">
        <f t="shared" si="294"/>
        <v/>
      </c>
      <c r="AL1466" s="28"/>
      <c r="AM1466" s="28"/>
      <c r="AN1466" s="20" t="str">
        <f>IF(AL1466="","",IF($F1466="Bernardino Furlan",_xlfn.XLOOKUP(AL1466,Cadastros!$G$6:$G$90,Cadastros!$H$6:$H$90)*(1-0.18),IF($F1466="Mauro José Salanti",_xlfn.XLOOKUP(AL1466,Cadastros!$G$6:$G$90,Cadastros!$H$6:$H$90)*(1-0.18),_xlfn.XLOOKUP(AL1466,Cadastros!$G$6:$G$90,Cadastros!$H$6:$H$90))))</f>
        <v/>
      </c>
      <c r="AO1466" s="168" t="str">
        <f t="shared" si="295"/>
        <v/>
      </c>
      <c r="AP1466" s="168" t="str">
        <f t="shared" si="296"/>
        <v/>
      </c>
      <c r="AQ1466" s="28"/>
      <c r="AR1466" s="28"/>
      <c r="AS1466" s="20" t="str">
        <f>IF(AQ1466="","",IF($F1466="Bernardino Furlan",_xlfn.XLOOKUP(AQ1466,Cadastros!$G$6:$G$90,Cadastros!$H$6:$H$90)*(1-0.18),IF($F1466="Mauro José Salanti",_xlfn.XLOOKUP(AQ1466,Cadastros!$G$6:$G$90,Cadastros!$H$6:$H$90)*(1-0.18),_xlfn.XLOOKUP(AQ1466,Cadastros!$G$6:$G$90,Cadastros!$H$6:$H$90))))</f>
        <v/>
      </c>
      <c r="AT1466" s="168" t="str">
        <f t="shared" si="297"/>
        <v/>
      </c>
      <c r="AU1466" s="168" t="str">
        <f t="shared" si="298"/>
        <v/>
      </c>
      <c r="AV1466" s="227"/>
      <c r="AW1466" s="30"/>
      <c r="AX1466" s="267"/>
      <c r="AY1466" s="267"/>
      <c r="AZ1466" s="29"/>
      <c r="BA1466" s="30"/>
      <c r="BB1466" s="23" t="str" cm="1">
        <f t="array" ref="BB1466">_xlfn.IFS(AW1466="SIM",SUM(K1466,P1466,U1466,Z1466,AE1466,AJ1466,AO1466,AT1466,AX1466,AY1466),F1466&lt;&gt;"",SUM(K1466,P1466,U1466,Z1466,AE1466,AJ1466,,AO1466,AT1466),F1466="","")</f>
        <v/>
      </c>
      <c r="BC1466" s="211" t="str" cm="1">
        <f t="array" ref="BC1466">_xlfn.IFS(E1466="","",G1466&lt;=E1466,BB1466*(1-0.03),G1466&lt;(E1466+8),BB1466,AZ1466="Boleto",BB1466*(1+0.001)^DATEDIF(E1466,G1466,"D"),AZ1466="Cheque",BB1466,AZ1466="Dinheiro","Alterar forma pgto")</f>
        <v/>
      </c>
      <c r="BD1466" s="276" t="str" cm="1">
        <f t="array" ref="BD1466">IF(F1466=0," ",IF(BC1466&lt;BB1466,(_xlfn.IFS(AW1466="SIM",SUM(L1466,Q1466,V1466,AA1466,AF1466,AK1466,AP1466,AU1466)+AX1466/_xlfn.XLOOKUP(_xlfn.XLOOKUP($F1466,Clientes!$B$4:$B$39,Clientes!$C$4:$C$39),Cadastros!$L$6:$L$12,Cadastros!$M$6:$M$12)+IF($F1466="Bernardino Furlan",AY1466/2751.92,IF($F1466="Mauro José Salanti",AY1466/2751.92,AY1466/3356)),F1466&lt;&gt;0,SUM(L1466,Q1466,V1466,AA1466,AF1466,AK1466,AP1466,AU1466)))*(1-0.03),_xlfn.IFS(AW1466="SIM",SUM(L1466,Q1466,V1466,AA1466,AF1466,AK1466,AP1466,AU1466)+AX1466/_xlfn.XLOOKUP(_xlfn.XLOOKUP($F1466,Clientes!$B$4:$B$39,Clientes!$C$4:$C$39),Cadastros!$L$6:$L$12,Cadastros!$M$6:$M$12)+IF($F1466="Bernardino Furlan",AY1466/2751.92,IF($F1466="Mauro José Salanti",AY1466/2751.92,AY1466/3356)),F1466&lt;&gt;0,SUM(L1466,Q1466,V1466,AA1466,AF1466,AK1466,AP1466,AU1466))))</f>
        <v xml:space="preserve"> </v>
      </c>
      <c r="BE1466" s="120"/>
      <c r="BF1466" s="120"/>
      <c r="BG1466" s="120"/>
    </row>
    <row r="1467" spans="1:59" s="3" customFormat="1" x14ac:dyDescent="0.3">
      <c r="A1467" s="15" t="str">
        <f t="shared" si="286"/>
        <v/>
      </c>
      <c r="B1467" s="25"/>
      <c r="C1467" s="26"/>
      <c r="D1467" s="279"/>
      <c r="E1467" s="27"/>
      <c r="F1467" s="28"/>
      <c r="G1467" s="27"/>
      <c r="H1467" s="28"/>
      <c r="I1467" s="28"/>
      <c r="J1467" s="255" t="str">
        <f>IF(H1467="","",(_xlfn.XLOOKUP(H1467,Cadastros!$D$6:$D$90,Cadastros!$E$6:$E$90))*(1-_xlfn.XLOOKUP(_xlfn.XLOOKUP($F1467,Clientes!$B$4:$B$39,Clientes!$C$4:$C$39),Cadastros!$L$6:$L$12,Cadastros!$N$6:$N$12)))</f>
        <v/>
      </c>
      <c r="K1467" s="168" t="str">
        <f t="shared" si="287"/>
        <v/>
      </c>
      <c r="L1467" s="168" t="str">
        <f>IFERROR(K1467/_xlfn.XLOOKUP(_xlfn.XLOOKUP($F1467,Clientes!$B$4:$B$39,Clientes!$C$4:$C$39),Cadastros!$L$6:$L$12,Cadastros!$M$6:$M$12)," ")</f>
        <v xml:space="preserve"> </v>
      </c>
      <c r="M1467" s="28"/>
      <c r="N1467" s="28"/>
      <c r="O1467" s="255" t="str">
        <f>IF(M1467="","",(_xlfn.XLOOKUP(M1467,Cadastros!$D$6:$D$90,Cadastros!$E$6:$E$90))*(1-_xlfn.XLOOKUP(_xlfn.XLOOKUP($F1467,Clientes!$B$4:$B$39,Clientes!$C$4:$C$39),Cadastros!$L$6:$L$12,Cadastros!$N$6:$N$12)))</f>
        <v/>
      </c>
      <c r="P1467" s="168" t="str">
        <f t="shared" si="288"/>
        <v/>
      </c>
      <c r="Q1467" s="168" t="str">
        <f>IFERROR(P1467/_xlfn.XLOOKUP(_xlfn.XLOOKUP($F1467,Clientes!$B$4:$B$39,Clientes!$C$4:$C$39),Cadastros!$L$6:$L$12,Cadastros!$M$6:$M$12)," ")</f>
        <v xml:space="preserve"> </v>
      </c>
      <c r="R1467" s="28"/>
      <c r="S1467" s="28"/>
      <c r="T1467" s="255" t="str">
        <f>IF(R1467="","",(_xlfn.XLOOKUP(R1467,Cadastros!$D$6:$D$90,Cadastros!$E$6:$E$90))*(1-_xlfn.XLOOKUP(_xlfn.XLOOKUP($F1467,Clientes!$B$4:$B$39,Clientes!$C$4:$C$39),Cadastros!$L$6:$L$12,Cadastros!$N$6:$N$12)))</f>
        <v/>
      </c>
      <c r="U1467" s="168" t="str">
        <f t="shared" si="289"/>
        <v/>
      </c>
      <c r="V1467" s="168" t="str">
        <f>IFERROR(U1467/_xlfn.XLOOKUP(_xlfn.XLOOKUP($F1467,Clientes!$B$4:$B$39,Clientes!$C$4:$C$39),Cadastros!$L$6:$L$12,Cadastros!$M$6:$M$12)," ")</f>
        <v xml:space="preserve"> </v>
      </c>
      <c r="W1467" s="28"/>
      <c r="X1467" s="28"/>
      <c r="Y1467" s="255" t="str">
        <f>IF(W1467="","",(_xlfn.XLOOKUP(W1467,Cadastros!$D$6:$D$90,Cadastros!$E$6:$E$90))*(1-_xlfn.XLOOKUP(_xlfn.XLOOKUP($F1467,Clientes!$B$4:$B$39,Clientes!$C$4:$C$39),Cadastros!$L$6:$L$12,Cadastros!$N$6:$N$12)))</f>
        <v/>
      </c>
      <c r="Z1467" s="168" t="str">
        <f t="shared" si="290"/>
        <v/>
      </c>
      <c r="AA1467" s="168" t="str">
        <f>IFERROR(Z1467/_xlfn.XLOOKUP(_xlfn.XLOOKUP($F1467,Clientes!$B$4:$B$39,Clientes!$C$4:$C$39),Cadastros!$L$6:$L$12,Cadastros!$M$6:$M$12)," ")</f>
        <v xml:space="preserve"> </v>
      </c>
      <c r="AB1467" s="28"/>
      <c r="AC1467" s="28"/>
      <c r="AD1467" s="20" t="str">
        <f>IF(AB1467="","",IF($F1467="Bernardino Furlan",_xlfn.XLOOKUP(AB1467,Cadastros!$G$6:$G$90,Cadastros!$H$6:$H$90)*(1-0.18),IF($F1467="Mauro José Salanti",_xlfn.XLOOKUP(AB1467,Cadastros!$G$6:$G$90,Cadastros!$H$6:$H$90)*(1-0.18),_xlfn.XLOOKUP(AB1467,Cadastros!$G$6:$G$90,Cadastros!$H$6:$H$90))))</f>
        <v/>
      </c>
      <c r="AE1467" s="168" t="str">
        <f t="shared" si="291"/>
        <v/>
      </c>
      <c r="AF1467" s="168" t="str">
        <f t="shared" si="292"/>
        <v/>
      </c>
      <c r="AG1467" s="28"/>
      <c r="AH1467" s="28"/>
      <c r="AI1467" s="20" t="str">
        <f>IF(AG1467="","",IF($F1467="Bernardino Furlan",_xlfn.XLOOKUP(AG1467,Cadastros!$G$6:$G$90,Cadastros!$H$6:$H$90)*(1-0.18),IF($F1467="Mauro José Salanti",_xlfn.XLOOKUP(AG1467,Cadastros!$G$6:$G$90,Cadastros!$H$6:$H$90)*(1-0.18),_xlfn.XLOOKUP(AG1467,Cadastros!$G$6:$G$90,Cadastros!$H$6:$H$90))))</f>
        <v/>
      </c>
      <c r="AJ1467" s="168" t="str">
        <f t="shared" si="293"/>
        <v/>
      </c>
      <c r="AK1467" s="168" t="str">
        <f t="shared" si="294"/>
        <v/>
      </c>
      <c r="AL1467" s="28"/>
      <c r="AM1467" s="28"/>
      <c r="AN1467" s="20" t="str">
        <f>IF(AL1467="","",IF($F1467="Bernardino Furlan",_xlfn.XLOOKUP(AL1467,Cadastros!$G$6:$G$90,Cadastros!$H$6:$H$90)*(1-0.18),IF($F1467="Mauro José Salanti",_xlfn.XLOOKUP(AL1467,Cadastros!$G$6:$G$90,Cadastros!$H$6:$H$90)*(1-0.18),_xlfn.XLOOKUP(AL1467,Cadastros!$G$6:$G$90,Cadastros!$H$6:$H$90))))</f>
        <v/>
      </c>
      <c r="AO1467" s="168" t="str">
        <f t="shared" si="295"/>
        <v/>
      </c>
      <c r="AP1467" s="168" t="str">
        <f t="shared" si="296"/>
        <v/>
      </c>
      <c r="AQ1467" s="28"/>
      <c r="AR1467" s="28"/>
      <c r="AS1467" s="20" t="str">
        <f>IF(AQ1467="","",IF($F1467="Bernardino Furlan",_xlfn.XLOOKUP(AQ1467,Cadastros!$G$6:$G$90,Cadastros!$H$6:$H$90)*(1-0.18),IF($F1467="Mauro José Salanti",_xlfn.XLOOKUP(AQ1467,Cadastros!$G$6:$G$90,Cadastros!$H$6:$H$90)*(1-0.18),_xlfn.XLOOKUP(AQ1467,Cadastros!$G$6:$G$90,Cadastros!$H$6:$H$90))))</f>
        <v/>
      </c>
      <c r="AT1467" s="168" t="str">
        <f t="shared" si="297"/>
        <v/>
      </c>
      <c r="AU1467" s="168" t="str">
        <f t="shared" si="298"/>
        <v/>
      </c>
      <c r="AV1467" s="227"/>
      <c r="AW1467" s="30"/>
      <c r="AX1467" s="267"/>
      <c r="AY1467" s="267"/>
      <c r="AZ1467" s="29"/>
      <c r="BA1467" s="30"/>
      <c r="BB1467" s="23" t="str" cm="1">
        <f t="array" ref="BB1467">_xlfn.IFS(AW1467="SIM",SUM(K1467,P1467,U1467,Z1467,AE1467,AJ1467,AO1467,AT1467,AX1467,AY1467),F1467&lt;&gt;"",SUM(K1467,P1467,U1467,Z1467,AE1467,AJ1467,,AO1467,AT1467),F1467="","")</f>
        <v/>
      </c>
      <c r="BC1467" s="211" t="str" cm="1">
        <f t="array" ref="BC1467">_xlfn.IFS(E1467="","",G1467&lt;=E1467,BB1467*(1-0.03),G1467&lt;(E1467+8),BB1467,AZ1467="Boleto",BB1467*(1+0.001)^DATEDIF(E1467,G1467,"D"),AZ1467="Cheque",BB1467,AZ1467="Dinheiro","Alterar forma pgto")</f>
        <v/>
      </c>
      <c r="BD1467" s="276" t="str" cm="1">
        <f t="array" ref="BD1467">IF(F1467=0," ",IF(BC1467&lt;BB1467,(_xlfn.IFS(AW1467="SIM",SUM(L1467,Q1467,V1467,AA1467,AF1467,AK1467,AP1467,AU1467)+AX1467/_xlfn.XLOOKUP(_xlfn.XLOOKUP($F1467,Clientes!$B$4:$B$39,Clientes!$C$4:$C$39),Cadastros!$L$6:$L$12,Cadastros!$M$6:$M$12)+IF($F1467="Bernardino Furlan",AY1467/2751.92,IF($F1467="Mauro José Salanti",AY1467/2751.92,AY1467/3356)),F1467&lt;&gt;0,SUM(L1467,Q1467,V1467,AA1467,AF1467,AK1467,AP1467,AU1467)))*(1-0.03),_xlfn.IFS(AW1467="SIM",SUM(L1467,Q1467,V1467,AA1467,AF1467,AK1467,AP1467,AU1467)+AX1467/_xlfn.XLOOKUP(_xlfn.XLOOKUP($F1467,Clientes!$B$4:$B$39,Clientes!$C$4:$C$39),Cadastros!$L$6:$L$12,Cadastros!$M$6:$M$12)+IF($F1467="Bernardino Furlan",AY1467/2751.92,IF($F1467="Mauro José Salanti",AY1467/2751.92,AY1467/3356)),F1467&lt;&gt;0,SUM(L1467,Q1467,V1467,AA1467,AF1467,AK1467,AP1467,AU1467))))</f>
        <v xml:space="preserve"> </v>
      </c>
      <c r="BE1467" s="120"/>
      <c r="BF1467" s="120"/>
      <c r="BG1467" s="120"/>
    </row>
    <row r="1468" spans="1:59" s="3" customFormat="1" x14ac:dyDescent="0.3">
      <c r="A1468" s="15" t="str">
        <f t="shared" si="286"/>
        <v/>
      </c>
      <c r="B1468" s="25"/>
      <c r="C1468" s="26"/>
      <c r="D1468" s="279"/>
      <c r="E1468" s="27"/>
      <c r="F1468" s="28"/>
      <c r="G1468" s="27"/>
      <c r="H1468" s="28"/>
      <c r="I1468" s="28"/>
      <c r="J1468" s="255" t="str">
        <f>IF(H1468="","",(_xlfn.XLOOKUP(H1468,Cadastros!$D$6:$D$90,Cadastros!$E$6:$E$90))*(1-_xlfn.XLOOKUP(_xlfn.XLOOKUP($F1468,Clientes!$B$4:$B$39,Clientes!$C$4:$C$39),Cadastros!$L$6:$L$12,Cadastros!$N$6:$N$12)))</f>
        <v/>
      </c>
      <c r="K1468" s="168" t="str">
        <f t="shared" si="287"/>
        <v/>
      </c>
      <c r="L1468" s="168" t="str">
        <f>IFERROR(K1468/_xlfn.XLOOKUP(_xlfn.XLOOKUP($F1468,Clientes!$B$4:$B$39,Clientes!$C$4:$C$39),Cadastros!$L$6:$L$12,Cadastros!$M$6:$M$12)," ")</f>
        <v xml:space="preserve"> </v>
      </c>
      <c r="M1468" s="28"/>
      <c r="N1468" s="28"/>
      <c r="O1468" s="255" t="str">
        <f>IF(M1468="","",(_xlfn.XLOOKUP(M1468,Cadastros!$D$6:$D$90,Cadastros!$E$6:$E$90))*(1-_xlfn.XLOOKUP(_xlfn.XLOOKUP($F1468,Clientes!$B$4:$B$39,Clientes!$C$4:$C$39),Cadastros!$L$6:$L$12,Cadastros!$N$6:$N$12)))</f>
        <v/>
      </c>
      <c r="P1468" s="168" t="str">
        <f t="shared" si="288"/>
        <v/>
      </c>
      <c r="Q1468" s="168" t="str">
        <f>IFERROR(P1468/_xlfn.XLOOKUP(_xlfn.XLOOKUP($F1468,Clientes!$B$4:$B$39,Clientes!$C$4:$C$39),Cadastros!$L$6:$L$12,Cadastros!$M$6:$M$12)," ")</f>
        <v xml:space="preserve"> </v>
      </c>
      <c r="R1468" s="28"/>
      <c r="S1468" s="28"/>
      <c r="T1468" s="255" t="str">
        <f>IF(R1468="","",(_xlfn.XLOOKUP(R1468,Cadastros!$D$6:$D$90,Cadastros!$E$6:$E$90))*(1-_xlfn.XLOOKUP(_xlfn.XLOOKUP($F1468,Clientes!$B$4:$B$39,Clientes!$C$4:$C$39),Cadastros!$L$6:$L$12,Cadastros!$N$6:$N$12)))</f>
        <v/>
      </c>
      <c r="U1468" s="168" t="str">
        <f t="shared" si="289"/>
        <v/>
      </c>
      <c r="V1468" s="168" t="str">
        <f>IFERROR(U1468/_xlfn.XLOOKUP(_xlfn.XLOOKUP($F1468,Clientes!$B$4:$B$39,Clientes!$C$4:$C$39),Cadastros!$L$6:$L$12,Cadastros!$M$6:$M$12)," ")</f>
        <v xml:space="preserve"> </v>
      </c>
      <c r="W1468" s="28"/>
      <c r="X1468" s="28"/>
      <c r="Y1468" s="255" t="str">
        <f>IF(W1468="","",(_xlfn.XLOOKUP(W1468,Cadastros!$D$6:$D$90,Cadastros!$E$6:$E$90))*(1-_xlfn.XLOOKUP(_xlfn.XLOOKUP($F1468,Clientes!$B$4:$B$39,Clientes!$C$4:$C$39),Cadastros!$L$6:$L$12,Cadastros!$N$6:$N$12)))</f>
        <v/>
      </c>
      <c r="Z1468" s="168" t="str">
        <f t="shared" si="290"/>
        <v/>
      </c>
      <c r="AA1468" s="168" t="str">
        <f>IFERROR(Z1468/_xlfn.XLOOKUP(_xlfn.XLOOKUP($F1468,Clientes!$B$4:$B$39,Clientes!$C$4:$C$39),Cadastros!$L$6:$L$12,Cadastros!$M$6:$M$12)," ")</f>
        <v xml:space="preserve"> </v>
      </c>
      <c r="AB1468" s="28"/>
      <c r="AC1468" s="28"/>
      <c r="AD1468" s="20" t="str">
        <f>IF(AB1468="","",IF($F1468="Bernardino Furlan",_xlfn.XLOOKUP(AB1468,Cadastros!$G$6:$G$90,Cadastros!$H$6:$H$90)*(1-0.18),IF($F1468="Mauro José Salanti",_xlfn.XLOOKUP(AB1468,Cadastros!$G$6:$G$90,Cadastros!$H$6:$H$90)*(1-0.18),_xlfn.XLOOKUP(AB1468,Cadastros!$G$6:$G$90,Cadastros!$H$6:$H$90))))</f>
        <v/>
      </c>
      <c r="AE1468" s="168" t="str">
        <f t="shared" si="291"/>
        <v/>
      </c>
      <c r="AF1468" s="168" t="str">
        <f t="shared" si="292"/>
        <v/>
      </c>
      <c r="AG1468" s="28"/>
      <c r="AH1468" s="28"/>
      <c r="AI1468" s="20" t="str">
        <f>IF(AG1468="","",IF($F1468="Bernardino Furlan",_xlfn.XLOOKUP(AG1468,Cadastros!$G$6:$G$90,Cadastros!$H$6:$H$90)*(1-0.18),IF($F1468="Mauro José Salanti",_xlfn.XLOOKUP(AG1468,Cadastros!$G$6:$G$90,Cadastros!$H$6:$H$90)*(1-0.18),_xlfn.XLOOKUP(AG1468,Cadastros!$G$6:$G$90,Cadastros!$H$6:$H$90))))</f>
        <v/>
      </c>
      <c r="AJ1468" s="168" t="str">
        <f t="shared" si="293"/>
        <v/>
      </c>
      <c r="AK1468" s="168" t="str">
        <f t="shared" si="294"/>
        <v/>
      </c>
      <c r="AL1468" s="28"/>
      <c r="AM1468" s="28"/>
      <c r="AN1468" s="20" t="str">
        <f>IF(AL1468="","",IF($F1468="Bernardino Furlan",_xlfn.XLOOKUP(AL1468,Cadastros!$G$6:$G$90,Cadastros!$H$6:$H$90)*(1-0.18),IF($F1468="Mauro José Salanti",_xlfn.XLOOKUP(AL1468,Cadastros!$G$6:$G$90,Cadastros!$H$6:$H$90)*(1-0.18),_xlfn.XLOOKUP(AL1468,Cadastros!$G$6:$G$90,Cadastros!$H$6:$H$90))))</f>
        <v/>
      </c>
      <c r="AO1468" s="168" t="str">
        <f t="shared" si="295"/>
        <v/>
      </c>
      <c r="AP1468" s="168" t="str">
        <f t="shared" si="296"/>
        <v/>
      </c>
      <c r="AQ1468" s="28"/>
      <c r="AR1468" s="28"/>
      <c r="AS1468" s="20" t="str">
        <f>IF(AQ1468="","",IF($F1468="Bernardino Furlan",_xlfn.XLOOKUP(AQ1468,Cadastros!$G$6:$G$90,Cadastros!$H$6:$H$90)*(1-0.18),IF($F1468="Mauro José Salanti",_xlfn.XLOOKUP(AQ1468,Cadastros!$G$6:$G$90,Cadastros!$H$6:$H$90)*(1-0.18),_xlfn.XLOOKUP(AQ1468,Cadastros!$G$6:$G$90,Cadastros!$H$6:$H$90))))</f>
        <v/>
      </c>
      <c r="AT1468" s="168" t="str">
        <f t="shared" si="297"/>
        <v/>
      </c>
      <c r="AU1468" s="168" t="str">
        <f t="shared" si="298"/>
        <v/>
      </c>
      <c r="AV1468" s="227"/>
      <c r="AW1468" s="30"/>
      <c r="AX1468" s="267"/>
      <c r="AY1468" s="267"/>
      <c r="AZ1468" s="29"/>
      <c r="BA1468" s="30"/>
      <c r="BB1468" s="23" t="str" cm="1">
        <f t="array" ref="BB1468">_xlfn.IFS(AW1468="SIM",SUM(K1468,P1468,U1468,Z1468,AE1468,AJ1468,AO1468,AT1468,AX1468,AY1468),F1468&lt;&gt;"",SUM(K1468,P1468,U1468,Z1468,AE1468,AJ1468,,AO1468,AT1468),F1468="","")</f>
        <v/>
      </c>
      <c r="BC1468" s="211" t="str" cm="1">
        <f t="array" ref="BC1468">_xlfn.IFS(E1468="","",G1468&lt;=E1468,BB1468*(1-0.03),G1468&lt;(E1468+8),BB1468,AZ1468="Boleto",BB1468*(1+0.001)^DATEDIF(E1468,G1468,"D"),AZ1468="Cheque",BB1468,AZ1468="Dinheiro","Alterar forma pgto")</f>
        <v/>
      </c>
      <c r="BD1468" s="276" t="str" cm="1">
        <f t="array" ref="BD1468">IF(F1468=0," ",IF(BC1468&lt;BB1468,(_xlfn.IFS(AW1468="SIM",SUM(L1468,Q1468,V1468,AA1468,AF1468,AK1468,AP1468,AU1468)+AX1468/_xlfn.XLOOKUP(_xlfn.XLOOKUP($F1468,Clientes!$B$4:$B$39,Clientes!$C$4:$C$39),Cadastros!$L$6:$L$12,Cadastros!$M$6:$M$12)+IF($F1468="Bernardino Furlan",AY1468/2751.92,IF($F1468="Mauro José Salanti",AY1468/2751.92,AY1468/3356)),F1468&lt;&gt;0,SUM(L1468,Q1468,V1468,AA1468,AF1468,AK1468,AP1468,AU1468)))*(1-0.03),_xlfn.IFS(AW1468="SIM",SUM(L1468,Q1468,V1468,AA1468,AF1468,AK1468,AP1468,AU1468)+AX1468/_xlfn.XLOOKUP(_xlfn.XLOOKUP($F1468,Clientes!$B$4:$B$39,Clientes!$C$4:$C$39),Cadastros!$L$6:$L$12,Cadastros!$M$6:$M$12)+IF($F1468="Bernardino Furlan",AY1468/2751.92,IF($F1468="Mauro José Salanti",AY1468/2751.92,AY1468/3356)),F1468&lt;&gt;0,SUM(L1468,Q1468,V1468,AA1468,AF1468,AK1468,AP1468,AU1468))))</f>
        <v xml:space="preserve"> </v>
      </c>
      <c r="BE1468" s="120"/>
      <c r="BF1468" s="120"/>
      <c r="BG1468" s="120"/>
    </row>
    <row r="1469" spans="1:59" s="3" customFormat="1" x14ac:dyDescent="0.3">
      <c r="A1469" s="15" t="str">
        <f t="shared" si="286"/>
        <v/>
      </c>
      <c r="B1469" s="25"/>
      <c r="C1469" s="26"/>
      <c r="D1469" s="279"/>
      <c r="E1469" s="27"/>
      <c r="F1469" s="28"/>
      <c r="G1469" s="27"/>
      <c r="H1469" s="28"/>
      <c r="I1469" s="28"/>
      <c r="J1469" s="255" t="str">
        <f>IF(H1469="","",(_xlfn.XLOOKUP(H1469,Cadastros!$D$6:$D$90,Cadastros!$E$6:$E$90))*(1-_xlfn.XLOOKUP(_xlfn.XLOOKUP($F1469,Clientes!$B$4:$B$39,Clientes!$C$4:$C$39),Cadastros!$L$6:$L$12,Cadastros!$N$6:$N$12)))</f>
        <v/>
      </c>
      <c r="K1469" s="168" t="str">
        <f t="shared" si="287"/>
        <v/>
      </c>
      <c r="L1469" s="168" t="str">
        <f>IFERROR(K1469/_xlfn.XLOOKUP(_xlfn.XLOOKUP($F1469,Clientes!$B$4:$B$39,Clientes!$C$4:$C$39),Cadastros!$L$6:$L$12,Cadastros!$M$6:$M$12)," ")</f>
        <v xml:space="preserve"> </v>
      </c>
      <c r="M1469" s="28"/>
      <c r="N1469" s="28"/>
      <c r="O1469" s="255" t="str">
        <f>IF(M1469="","",(_xlfn.XLOOKUP(M1469,Cadastros!$D$6:$D$90,Cadastros!$E$6:$E$90))*(1-_xlfn.XLOOKUP(_xlfn.XLOOKUP($F1469,Clientes!$B$4:$B$39,Clientes!$C$4:$C$39),Cadastros!$L$6:$L$12,Cadastros!$N$6:$N$12)))</f>
        <v/>
      </c>
      <c r="P1469" s="168" t="str">
        <f t="shared" si="288"/>
        <v/>
      </c>
      <c r="Q1469" s="168" t="str">
        <f>IFERROR(P1469/_xlfn.XLOOKUP(_xlfn.XLOOKUP($F1469,Clientes!$B$4:$B$39,Clientes!$C$4:$C$39),Cadastros!$L$6:$L$12,Cadastros!$M$6:$M$12)," ")</f>
        <v xml:space="preserve"> </v>
      </c>
      <c r="R1469" s="28"/>
      <c r="S1469" s="28"/>
      <c r="T1469" s="255" t="str">
        <f>IF(R1469="","",(_xlfn.XLOOKUP(R1469,Cadastros!$D$6:$D$90,Cadastros!$E$6:$E$90))*(1-_xlfn.XLOOKUP(_xlfn.XLOOKUP($F1469,Clientes!$B$4:$B$39,Clientes!$C$4:$C$39),Cadastros!$L$6:$L$12,Cadastros!$N$6:$N$12)))</f>
        <v/>
      </c>
      <c r="U1469" s="168" t="str">
        <f t="shared" si="289"/>
        <v/>
      </c>
      <c r="V1469" s="168" t="str">
        <f>IFERROR(U1469/_xlfn.XLOOKUP(_xlfn.XLOOKUP($F1469,Clientes!$B$4:$B$39,Clientes!$C$4:$C$39),Cadastros!$L$6:$L$12,Cadastros!$M$6:$M$12)," ")</f>
        <v xml:space="preserve"> </v>
      </c>
      <c r="W1469" s="28"/>
      <c r="X1469" s="28"/>
      <c r="Y1469" s="255" t="str">
        <f>IF(W1469="","",(_xlfn.XLOOKUP(W1469,Cadastros!$D$6:$D$90,Cadastros!$E$6:$E$90))*(1-_xlfn.XLOOKUP(_xlfn.XLOOKUP($F1469,Clientes!$B$4:$B$39,Clientes!$C$4:$C$39),Cadastros!$L$6:$L$12,Cadastros!$N$6:$N$12)))</f>
        <v/>
      </c>
      <c r="Z1469" s="168" t="str">
        <f t="shared" si="290"/>
        <v/>
      </c>
      <c r="AA1469" s="168" t="str">
        <f>IFERROR(Z1469/_xlfn.XLOOKUP(_xlfn.XLOOKUP($F1469,Clientes!$B$4:$B$39,Clientes!$C$4:$C$39),Cadastros!$L$6:$L$12,Cadastros!$M$6:$M$12)," ")</f>
        <v xml:space="preserve"> </v>
      </c>
      <c r="AB1469" s="28"/>
      <c r="AC1469" s="28"/>
      <c r="AD1469" s="20" t="str">
        <f>IF(AB1469="","",IF($F1469="Bernardino Furlan",_xlfn.XLOOKUP(AB1469,Cadastros!$G$6:$G$90,Cadastros!$H$6:$H$90)*(1-0.18),IF($F1469="Mauro José Salanti",_xlfn.XLOOKUP(AB1469,Cadastros!$G$6:$G$90,Cadastros!$H$6:$H$90)*(1-0.18),_xlfn.XLOOKUP(AB1469,Cadastros!$G$6:$G$90,Cadastros!$H$6:$H$90))))</f>
        <v/>
      </c>
      <c r="AE1469" s="168" t="str">
        <f t="shared" si="291"/>
        <v/>
      </c>
      <c r="AF1469" s="168" t="str">
        <f t="shared" si="292"/>
        <v/>
      </c>
      <c r="AG1469" s="28"/>
      <c r="AH1469" s="28"/>
      <c r="AI1469" s="20" t="str">
        <f>IF(AG1469="","",IF($F1469="Bernardino Furlan",_xlfn.XLOOKUP(AG1469,Cadastros!$G$6:$G$90,Cadastros!$H$6:$H$90)*(1-0.18),IF($F1469="Mauro José Salanti",_xlfn.XLOOKUP(AG1469,Cadastros!$G$6:$G$90,Cadastros!$H$6:$H$90)*(1-0.18),_xlfn.XLOOKUP(AG1469,Cadastros!$G$6:$G$90,Cadastros!$H$6:$H$90))))</f>
        <v/>
      </c>
      <c r="AJ1469" s="168" t="str">
        <f t="shared" si="293"/>
        <v/>
      </c>
      <c r="AK1469" s="168" t="str">
        <f t="shared" si="294"/>
        <v/>
      </c>
      <c r="AL1469" s="28"/>
      <c r="AM1469" s="28"/>
      <c r="AN1469" s="20" t="str">
        <f>IF(AL1469="","",IF($F1469="Bernardino Furlan",_xlfn.XLOOKUP(AL1469,Cadastros!$G$6:$G$90,Cadastros!$H$6:$H$90)*(1-0.18),IF($F1469="Mauro José Salanti",_xlfn.XLOOKUP(AL1469,Cadastros!$G$6:$G$90,Cadastros!$H$6:$H$90)*(1-0.18),_xlfn.XLOOKUP(AL1469,Cadastros!$G$6:$G$90,Cadastros!$H$6:$H$90))))</f>
        <v/>
      </c>
      <c r="AO1469" s="168" t="str">
        <f t="shared" si="295"/>
        <v/>
      </c>
      <c r="AP1469" s="168" t="str">
        <f t="shared" si="296"/>
        <v/>
      </c>
      <c r="AQ1469" s="28"/>
      <c r="AR1469" s="28"/>
      <c r="AS1469" s="20" t="str">
        <f>IF(AQ1469="","",IF($F1469="Bernardino Furlan",_xlfn.XLOOKUP(AQ1469,Cadastros!$G$6:$G$90,Cadastros!$H$6:$H$90)*(1-0.18),IF($F1469="Mauro José Salanti",_xlfn.XLOOKUP(AQ1469,Cadastros!$G$6:$G$90,Cadastros!$H$6:$H$90)*(1-0.18),_xlfn.XLOOKUP(AQ1469,Cadastros!$G$6:$G$90,Cadastros!$H$6:$H$90))))</f>
        <v/>
      </c>
      <c r="AT1469" s="168" t="str">
        <f t="shared" si="297"/>
        <v/>
      </c>
      <c r="AU1469" s="168" t="str">
        <f t="shared" si="298"/>
        <v/>
      </c>
      <c r="AV1469" s="227"/>
      <c r="AW1469" s="30"/>
      <c r="AX1469" s="267"/>
      <c r="AY1469" s="267"/>
      <c r="AZ1469" s="29"/>
      <c r="BA1469" s="30"/>
      <c r="BB1469" s="23" t="str" cm="1">
        <f t="array" ref="BB1469">_xlfn.IFS(AW1469="SIM",SUM(K1469,P1469,U1469,Z1469,AE1469,AJ1469,AO1469,AT1469,AX1469,AY1469),F1469&lt;&gt;"",SUM(K1469,P1469,U1469,Z1469,AE1469,AJ1469,,AO1469,AT1469),F1469="","")</f>
        <v/>
      </c>
      <c r="BC1469" s="211" t="str" cm="1">
        <f t="array" ref="BC1469">_xlfn.IFS(E1469="","",G1469&lt;=E1469,BB1469*(1-0.03),G1469&lt;(E1469+8),BB1469,AZ1469="Boleto",BB1469*(1+0.001)^DATEDIF(E1469,G1469,"D"),AZ1469="Cheque",BB1469,AZ1469="Dinheiro","Alterar forma pgto")</f>
        <v/>
      </c>
      <c r="BD1469" s="276" t="str" cm="1">
        <f t="array" ref="BD1469">IF(F1469=0," ",IF(BC1469&lt;BB1469,(_xlfn.IFS(AW1469="SIM",SUM(L1469,Q1469,V1469,AA1469,AF1469,AK1469,AP1469,AU1469)+AX1469/_xlfn.XLOOKUP(_xlfn.XLOOKUP($F1469,Clientes!$B$4:$B$39,Clientes!$C$4:$C$39),Cadastros!$L$6:$L$12,Cadastros!$M$6:$M$12)+IF($F1469="Bernardino Furlan",AY1469/2751.92,IF($F1469="Mauro José Salanti",AY1469/2751.92,AY1469/3356)),F1469&lt;&gt;0,SUM(L1469,Q1469,V1469,AA1469,AF1469,AK1469,AP1469,AU1469)))*(1-0.03),_xlfn.IFS(AW1469="SIM",SUM(L1469,Q1469,V1469,AA1469,AF1469,AK1469,AP1469,AU1469)+AX1469/_xlfn.XLOOKUP(_xlfn.XLOOKUP($F1469,Clientes!$B$4:$B$39,Clientes!$C$4:$C$39),Cadastros!$L$6:$L$12,Cadastros!$M$6:$M$12)+IF($F1469="Bernardino Furlan",AY1469/2751.92,IF($F1469="Mauro José Salanti",AY1469/2751.92,AY1469/3356)),F1469&lt;&gt;0,SUM(L1469,Q1469,V1469,AA1469,AF1469,AK1469,AP1469,AU1469))))</f>
        <v xml:space="preserve"> </v>
      </c>
      <c r="BE1469" s="120"/>
      <c r="BF1469" s="120"/>
      <c r="BG1469" s="120"/>
    </row>
    <row r="1470" spans="1:59" s="3" customFormat="1" x14ac:dyDescent="0.3">
      <c r="A1470" s="15" t="str">
        <f t="shared" si="286"/>
        <v/>
      </c>
      <c r="B1470" s="25"/>
      <c r="C1470" s="26"/>
      <c r="D1470" s="279"/>
      <c r="E1470" s="27"/>
      <c r="F1470" s="28"/>
      <c r="G1470" s="27"/>
      <c r="H1470" s="28"/>
      <c r="I1470" s="28"/>
      <c r="J1470" s="255" t="str">
        <f>IF(H1470="","",(_xlfn.XLOOKUP(H1470,Cadastros!$D$6:$D$90,Cadastros!$E$6:$E$90))*(1-_xlfn.XLOOKUP(_xlfn.XLOOKUP($F1470,Clientes!$B$4:$B$39,Clientes!$C$4:$C$39),Cadastros!$L$6:$L$12,Cadastros!$N$6:$N$12)))</f>
        <v/>
      </c>
      <c r="K1470" s="168" t="str">
        <f t="shared" si="287"/>
        <v/>
      </c>
      <c r="L1470" s="168" t="str">
        <f>IFERROR(K1470/_xlfn.XLOOKUP(_xlfn.XLOOKUP($F1470,Clientes!$B$4:$B$39,Clientes!$C$4:$C$39),Cadastros!$L$6:$L$12,Cadastros!$M$6:$M$12)," ")</f>
        <v xml:space="preserve"> </v>
      </c>
      <c r="M1470" s="28"/>
      <c r="N1470" s="28"/>
      <c r="O1470" s="255" t="str">
        <f>IF(M1470="","",(_xlfn.XLOOKUP(M1470,Cadastros!$D$6:$D$90,Cadastros!$E$6:$E$90))*(1-_xlfn.XLOOKUP(_xlfn.XLOOKUP($F1470,Clientes!$B$4:$B$39,Clientes!$C$4:$C$39),Cadastros!$L$6:$L$12,Cadastros!$N$6:$N$12)))</f>
        <v/>
      </c>
      <c r="P1470" s="168" t="str">
        <f t="shared" si="288"/>
        <v/>
      </c>
      <c r="Q1470" s="168" t="str">
        <f>IFERROR(P1470/_xlfn.XLOOKUP(_xlfn.XLOOKUP($F1470,Clientes!$B$4:$B$39,Clientes!$C$4:$C$39),Cadastros!$L$6:$L$12,Cadastros!$M$6:$M$12)," ")</f>
        <v xml:space="preserve"> </v>
      </c>
      <c r="R1470" s="28"/>
      <c r="S1470" s="28"/>
      <c r="T1470" s="255" t="str">
        <f>IF(R1470="","",(_xlfn.XLOOKUP(R1470,Cadastros!$D$6:$D$90,Cadastros!$E$6:$E$90))*(1-_xlfn.XLOOKUP(_xlfn.XLOOKUP($F1470,Clientes!$B$4:$B$39,Clientes!$C$4:$C$39),Cadastros!$L$6:$L$12,Cadastros!$N$6:$N$12)))</f>
        <v/>
      </c>
      <c r="U1470" s="168" t="str">
        <f t="shared" si="289"/>
        <v/>
      </c>
      <c r="V1470" s="168" t="str">
        <f>IFERROR(U1470/_xlfn.XLOOKUP(_xlfn.XLOOKUP($F1470,Clientes!$B$4:$B$39,Clientes!$C$4:$C$39),Cadastros!$L$6:$L$12,Cadastros!$M$6:$M$12)," ")</f>
        <v xml:space="preserve"> </v>
      </c>
      <c r="W1470" s="28"/>
      <c r="X1470" s="28"/>
      <c r="Y1470" s="255" t="str">
        <f>IF(W1470="","",(_xlfn.XLOOKUP(W1470,Cadastros!$D$6:$D$90,Cadastros!$E$6:$E$90))*(1-_xlfn.XLOOKUP(_xlfn.XLOOKUP($F1470,Clientes!$B$4:$B$39,Clientes!$C$4:$C$39),Cadastros!$L$6:$L$12,Cadastros!$N$6:$N$12)))</f>
        <v/>
      </c>
      <c r="Z1470" s="168" t="str">
        <f t="shared" si="290"/>
        <v/>
      </c>
      <c r="AA1470" s="168" t="str">
        <f>IFERROR(Z1470/_xlfn.XLOOKUP(_xlfn.XLOOKUP($F1470,Clientes!$B$4:$B$39,Clientes!$C$4:$C$39),Cadastros!$L$6:$L$12,Cadastros!$M$6:$M$12)," ")</f>
        <v xml:space="preserve"> </v>
      </c>
      <c r="AB1470" s="28"/>
      <c r="AC1470" s="28"/>
      <c r="AD1470" s="20" t="str">
        <f>IF(AB1470="","",IF($F1470="Bernardino Furlan",_xlfn.XLOOKUP(AB1470,Cadastros!$G$6:$G$90,Cadastros!$H$6:$H$90)*(1-0.18),IF($F1470="Mauro José Salanti",_xlfn.XLOOKUP(AB1470,Cadastros!$G$6:$G$90,Cadastros!$H$6:$H$90)*(1-0.18),_xlfn.XLOOKUP(AB1470,Cadastros!$G$6:$G$90,Cadastros!$H$6:$H$90))))</f>
        <v/>
      </c>
      <c r="AE1470" s="168" t="str">
        <f t="shared" si="291"/>
        <v/>
      </c>
      <c r="AF1470" s="168" t="str">
        <f t="shared" si="292"/>
        <v/>
      </c>
      <c r="AG1470" s="28"/>
      <c r="AH1470" s="28"/>
      <c r="AI1470" s="20" t="str">
        <f>IF(AG1470="","",IF($F1470="Bernardino Furlan",_xlfn.XLOOKUP(AG1470,Cadastros!$G$6:$G$90,Cadastros!$H$6:$H$90)*(1-0.18),IF($F1470="Mauro José Salanti",_xlfn.XLOOKUP(AG1470,Cadastros!$G$6:$G$90,Cadastros!$H$6:$H$90)*(1-0.18),_xlfn.XLOOKUP(AG1470,Cadastros!$G$6:$G$90,Cadastros!$H$6:$H$90))))</f>
        <v/>
      </c>
      <c r="AJ1470" s="168" t="str">
        <f t="shared" si="293"/>
        <v/>
      </c>
      <c r="AK1470" s="168" t="str">
        <f t="shared" si="294"/>
        <v/>
      </c>
      <c r="AL1470" s="28"/>
      <c r="AM1470" s="28"/>
      <c r="AN1470" s="20" t="str">
        <f>IF(AL1470="","",IF($F1470="Bernardino Furlan",_xlfn.XLOOKUP(AL1470,Cadastros!$G$6:$G$90,Cadastros!$H$6:$H$90)*(1-0.18),IF($F1470="Mauro José Salanti",_xlfn.XLOOKUP(AL1470,Cadastros!$G$6:$G$90,Cadastros!$H$6:$H$90)*(1-0.18),_xlfn.XLOOKUP(AL1470,Cadastros!$G$6:$G$90,Cadastros!$H$6:$H$90))))</f>
        <v/>
      </c>
      <c r="AO1470" s="168" t="str">
        <f t="shared" si="295"/>
        <v/>
      </c>
      <c r="AP1470" s="168" t="str">
        <f t="shared" si="296"/>
        <v/>
      </c>
      <c r="AQ1470" s="28"/>
      <c r="AR1470" s="28"/>
      <c r="AS1470" s="20" t="str">
        <f>IF(AQ1470="","",IF($F1470="Bernardino Furlan",_xlfn.XLOOKUP(AQ1470,Cadastros!$G$6:$G$90,Cadastros!$H$6:$H$90)*(1-0.18),IF($F1470="Mauro José Salanti",_xlfn.XLOOKUP(AQ1470,Cadastros!$G$6:$G$90,Cadastros!$H$6:$H$90)*(1-0.18),_xlfn.XLOOKUP(AQ1470,Cadastros!$G$6:$G$90,Cadastros!$H$6:$H$90))))</f>
        <v/>
      </c>
      <c r="AT1470" s="168" t="str">
        <f t="shared" si="297"/>
        <v/>
      </c>
      <c r="AU1470" s="168" t="str">
        <f t="shared" si="298"/>
        <v/>
      </c>
      <c r="AV1470" s="227"/>
      <c r="AW1470" s="30"/>
      <c r="AX1470" s="267"/>
      <c r="AY1470" s="267"/>
      <c r="AZ1470" s="29"/>
      <c r="BA1470" s="30"/>
      <c r="BB1470" s="23" t="str" cm="1">
        <f t="array" ref="BB1470">_xlfn.IFS(AW1470="SIM",SUM(K1470,P1470,U1470,Z1470,AE1470,AJ1470,AO1470,AT1470,AX1470,AY1470),F1470&lt;&gt;"",SUM(K1470,P1470,U1470,Z1470,AE1470,AJ1470,,AO1470,AT1470),F1470="","")</f>
        <v/>
      </c>
      <c r="BC1470" s="211" t="str" cm="1">
        <f t="array" ref="BC1470">_xlfn.IFS(E1470="","",G1470&lt;=E1470,BB1470*(1-0.03),G1470&lt;(E1470+8),BB1470,AZ1470="Boleto",BB1470*(1+0.001)^DATEDIF(E1470,G1470,"D"),AZ1470="Cheque",BB1470,AZ1470="Dinheiro","Alterar forma pgto")</f>
        <v/>
      </c>
      <c r="BD1470" s="276" t="str" cm="1">
        <f t="array" ref="BD1470">IF(F1470=0," ",IF(BC1470&lt;BB1470,(_xlfn.IFS(AW1470="SIM",SUM(L1470,Q1470,V1470,AA1470,AF1470,AK1470,AP1470,AU1470)+AX1470/_xlfn.XLOOKUP(_xlfn.XLOOKUP($F1470,Clientes!$B$4:$B$39,Clientes!$C$4:$C$39),Cadastros!$L$6:$L$12,Cadastros!$M$6:$M$12)+IF($F1470="Bernardino Furlan",AY1470/2751.92,IF($F1470="Mauro José Salanti",AY1470/2751.92,AY1470/3356)),F1470&lt;&gt;0,SUM(L1470,Q1470,V1470,AA1470,AF1470,AK1470,AP1470,AU1470)))*(1-0.03),_xlfn.IFS(AW1470="SIM",SUM(L1470,Q1470,V1470,AA1470,AF1470,AK1470,AP1470,AU1470)+AX1470/_xlfn.XLOOKUP(_xlfn.XLOOKUP($F1470,Clientes!$B$4:$B$39,Clientes!$C$4:$C$39),Cadastros!$L$6:$L$12,Cadastros!$M$6:$M$12)+IF($F1470="Bernardino Furlan",AY1470/2751.92,IF($F1470="Mauro José Salanti",AY1470/2751.92,AY1470/3356)),F1470&lt;&gt;0,SUM(L1470,Q1470,V1470,AA1470,AF1470,AK1470,AP1470,AU1470))))</f>
        <v xml:space="preserve"> </v>
      </c>
      <c r="BE1470" s="120"/>
      <c r="BF1470" s="120"/>
      <c r="BG1470" s="120"/>
    </row>
    <row r="1471" spans="1:59" s="3" customFormat="1" x14ac:dyDescent="0.3">
      <c r="A1471" s="15" t="str">
        <f t="shared" si="286"/>
        <v/>
      </c>
      <c r="B1471" s="25"/>
      <c r="C1471" s="26"/>
      <c r="D1471" s="279"/>
      <c r="E1471" s="27"/>
      <c r="F1471" s="28"/>
      <c r="G1471" s="27"/>
      <c r="H1471" s="28"/>
      <c r="I1471" s="28"/>
      <c r="J1471" s="255" t="str">
        <f>IF(H1471="","",(_xlfn.XLOOKUP(H1471,Cadastros!$D$6:$D$90,Cadastros!$E$6:$E$90))*(1-_xlfn.XLOOKUP(_xlfn.XLOOKUP($F1471,Clientes!$B$4:$B$39,Clientes!$C$4:$C$39),Cadastros!$L$6:$L$12,Cadastros!$N$6:$N$12)))</f>
        <v/>
      </c>
      <c r="K1471" s="168" t="str">
        <f t="shared" si="287"/>
        <v/>
      </c>
      <c r="L1471" s="168" t="str">
        <f>IFERROR(K1471/_xlfn.XLOOKUP(_xlfn.XLOOKUP($F1471,Clientes!$B$4:$B$39,Clientes!$C$4:$C$39),Cadastros!$L$6:$L$12,Cadastros!$M$6:$M$12)," ")</f>
        <v xml:space="preserve"> </v>
      </c>
      <c r="M1471" s="28"/>
      <c r="N1471" s="28"/>
      <c r="O1471" s="255" t="str">
        <f>IF(M1471="","",(_xlfn.XLOOKUP(M1471,Cadastros!$D$6:$D$90,Cadastros!$E$6:$E$90))*(1-_xlfn.XLOOKUP(_xlfn.XLOOKUP($F1471,Clientes!$B$4:$B$39,Clientes!$C$4:$C$39),Cadastros!$L$6:$L$12,Cadastros!$N$6:$N$12)))</f>
        <v/>
      </c>
      <c r="P1471" s="168" t="str">
        <f t="shared" si="288"/>
        <v/>
      </c>
      <c r="Q1471" s="168" t="str">
        <f>IFERROR(P1471/_xlfn.XLOOKUP(_xlfn.XLOOKUP($F1471,Clientes!$B$4:$B$39,Clientes!$C$4:$C$39),Cadastros!$L$6:$L$12,Cadastros!$M$6:$M$12)," ")</f>
        <v xml:space="preserve"> </v>
      </c>
      <c r="R1471" s="28"/>
      <c r="S1471" s="28"/>
      <c r="T1471" s="255" t="str">
        <f>IF(R1471="","",(_xlfn.XLOOKUP(R1471,Cadastros!$D$6:$D$90,Cadastros!$E$6:$E$90))*(1-_xlfn.XLOOKUP(_xlfn.XLOOKUP($F1471,Clientes!$B$4:$B$39,Clientes!$C$4:$C$39),Cadastros!$L$6:$L$12,Cadastros!$N$6:$N$12)))</f>
        <v/>
      </c>
      <c r="U1471" s="168" t="str">
        <f t="shared" si="289"/>
        <v/>
      </c>
      <c r="V1471" s="168" t="str">
        <f>IFERROR(U1471/_xlfn.XLOOKUP(_xlfn.XLOOKUP($F1471,Clientes!$B$4:$B$39,Clientes!$C$4:$C$39),Cadastros!$L$6:$L$12,Cadastros!$M$6:$M$12)," ")</f>
        <v xml:space="preserve"> </v>
      </c>
      <c r="W1471" s="28"/>
      <c r="X1471" s="28"/>
      <c r="Y1471" s="255" t="str">
        <f>IF(W1471="","",(_xlfn.XLOOKUP(W1471,Cadastros!$D$6:$D$90,Cadastros!$E$6:$E$90))*(1-_xlfn.XLOOKUP(_xlfn.XLOOKUP($F1471,Clientes!$B$4:$B$39,Clientes!$C$4:$C$39),Cadastros!$L$6:$L$12,Cadastros!$N$6:$N$12)))</f>
        <v/>
      </c>
      <c r="Z1471" s="168" t="str">
        <f t="shared" si="290"/>
        <v/>
      </c>
      <c r="AA1471" s="168" t="str">
        <f>IFERROR(Z1471/_xlfn.XLOOKUP(_xlfn.XLOOKUP($F1471,Clientes!$B$4:$B$39,Clientes!$C$4:$C$39),Cadastros!$L$6:$L$12,Cadastros!$M$6:$M$12)," ")</f>
        <v xml:space="preserve"> </v>
      </c>
      <c r="AB1471" s="28"/>
      <c r="AC1471" s="28"/>
      <c r="AD1471" s="20" t="str">
        <f>IF(AB1471="","",IF($F1471="Bernardino Furlan",_xlfn.XLOOKUP(AB1471,Cadastros!$G$6:$G$90,Cadastros!$H$6:$H$90)*(1-0.18),IF($F1471="Mauro José Salanti",_xlfn.XLOOKUP(AB1471,Cadastros!$G$6:$G$90,Cadastros!$H$6:$H$90)*(1-0.18),_xlfn.XLOOKUP(AB1471,Cadastros!$G$6:$G$90,Cadastros!$H$6:$H$90))))</f>
        <v/>
      </c>
      <c r="AE1471" s="168" t="str">
        <f t="shared" si="291"/>
        <v/>
      </c>
      <c r="AF1471" s="168" t="str">
        <f t="shared" si="292"/>
        <v/>
      </c>
      <c r="AG1471" s="28"/>
      <c r="AH1471" s="28"/>
      <c r="AI1471" s="20" t="str">
        <f>IF(AG1471="","",IF($F1471="Bernardino Furlan",_xlfn.XLOOKUP(AG1471,Cadastros!$G$6:$G$90,Cadastros!$H$6:$H$90)*(1-0.18),IF($F1471="Mauro José Salanti",_xlfn.XLOOKUP(AG1471,Cadastros!$G$6:$G$90,Cadastros!$H$6:$H$90)*(1-0.18),_xlfn.XLOOKUP(AG1471,Cadastros!$G$6:$G$90,Cadastros!$H$6:$H$90))))</f>
        <v/>
      </c>
      <c r="AJ1471" s="168" t="str">
        <f t="shared" si="293"/>
        <v/>
      </c>
      <c r="AK1471" s="168" t="str">
        <f t="shared" si="294"/>
        <v/>
      </c>
      <c r="AL1471" s="28"/>
      <c r="AM1471" s="28"/>
      <c r="AN1471" s="20" t="str">
        <f>IF(AL1471="","",IF($F1471="Bernardino Furlan",_xlfn.XLOOKUP(AL1471,Cadastros!$G$6:$G$90,Cadastros!$H$6:$H$90)*(1-0.18),IF($F1471="Mauro José Salanti",_xlfn.XLOOKUP(AL1471,Cadastros!$G$6:$G$90,Cadastros!$H$6:$H$90)*(1-0.18),_xlfn.XLOOKUP(AL1471,Cadastros!$G$6:$G$90,Cadastros!$H$6:$H$90))))</f>
        <v/>
      </c>
      <c r="AO1471" s="168" t="str">
        <f t="shared" si="295"/>
        <v/>
      </c>
      <c r="AP1471" s="168" t="str">
        <f t="shared" si="296"/>
        <v/>
      </c>
      <c r="AQ1471" s="28"/>
      <c r="AR1471" s="28"/>
      <c r="AS1471" s="20" t="str">
        <f>IF(AQ1471="","",IF($F1471="Bernardino Furlan",_xlfn.XLOOKUP(AQ1471,Cadastros!$G$6:$G$90,Cadastros!$H$6:$H$90)*(1-0.18),IF($F1471="Mauro José Salanti",_xlfn.XLOOKUP(AQ1471,Cadastros!$G$6:$G$90,Cadastros!$H$6:$H$90)*(1-0.18),_xlfn.XLOOKUP(AQ1471,Cadastros!$G$6:$G$90,Cadastros!$H$6:$H$90))))</f>
        <v/>
      </c>
      <c r="AT1471" s="168" t="str">
        <f t="shared" si="297"/>
        <v/>
      </c>
      <c r="AU1471" s="168" t="str">
        <f t="shared" si="298"/>
        <v/>
      </c>
      <c r="AV1471" s="227"/>
      <c r="AW1471" s="30"/>
      <c r="AX1471" s="267"/>
      <c r="AY1471" s="267"/>
      <c r="AZ1471" s="29"/>
      <c r="BA1471" s="30"/>
      <c r="BB1471" s="23" t="str" cm="1">
        <f t="array" ref="BB1471">_xlfn.IFS(AW1471="SIM",SUM(K1471,P1471,U1471,Z1471,AE1471,AJ1471,AO1471,AT1471,AX1471,AY1471),F1471&lt;&gt;"",SUM(K1471,P1471,U1471,Z1471,AE1471,AJ1471,,AO1471,AT1471),F1471="","")</f>
        <v/>
      </c>
      <c r="BC1471" s="211" t="str" cm="1">
        <f t="array" ref="BC1471">_xlfn.IFS(E1471="","",G1471&lt;=E1471,BB1471*(1-0.03),G1471&lt;(E1471+8),BB1471,AZ1471="Boleto",BB1471*(1+0.001)^DATEDIF(E1471,G1471,"D"),AZ1471="Cheque",BB1471,AZ1471="Dinheiro","Alterar forma pgto")</f>
        <v/>
      </c>
      <c r="BD1471" s="276" t="str" cm="1">
        <f t="array" ref="BD1471">IF(F1471=0," ",IF(BC1471&lt;BB1471,(_xlfn.IFS(AW1471="SIM",SUM(L1471,Q1471,V1471,AA1471,AF1471,AK1471,AP1471,AU1471)+AX1471/_xlfn.XLOOKUP(_xlfn.XLOOKUP($F1471,Clientes!$B$4:$B$39,Clientes!$C$4:$C$39),Cadastros!$L$6:$L$12,Cadastros!$M$6:$M$12)+IF($F1471="Bernardino Furlan",AY1471/2751.92,IF($F1471="Mauro José Salanti",AY1471/2751.92,AY1471/3356)),F1471&lt;&gt;0,SUM(L1471,Q1471,V1471,AA1471,AF1471,AK1471,AP1471,AU1471)))*(1-0.03),_xlfn.IFS(AW1471="SIM",SUM(L1471,Q1471,V1471,AA1471,AF1471,AK1471,AP1471,AU1471)+AX1471/_xlfn.XLOOKUP(_xlfn.XLOOKUP($F1471,Clientes!$B$4:$B$39,Clientes!$C$4:$C$39),Cadastros!$L$6:$L$12,Cadastros!$M$6:$M$12)+IF($F1471="Bernardino Furlan",AY1471/2751.92,IF($F1471="Mauro José Salanti",AY1471/2751.92,AY1471/3356)),F1471&lt;&gt;0,SUM(L1471,Q1471,V1471,AA1471,AF1471,AK1471,AP1471,AU1471))))</f>
        <v xml:space="preserve"> </v>
      </c>
      <c r="BE1471" s="120"/>
      <c r="BF1471" s="120"/>
      <c r="BG1471" s="120"/>
    </row>
    <row r="1472" spans="1:59" s="3" customFormat="1" x14ac:dyDescent="0.3">
      <c r="A1472" s="15" t="str">
        <f t="shared" si="286"/>
        <v/>
      </c>
      <c r="B1472" s="25"/>
      <c r="C1472" s="26"/>
      <c r="D1472" s="279"/>
      <c r="E1472" s="27"/>
      <c r="F1472" s="28"/>
      <c r="G1472" s="27"/>
      <c r="H1472" s="28"/>
      <c r="I1472" s="28"/>
      <c r="J1472" s="255" t="str">
        <f>IF(H1472="","",(_xlfn.XLOOKUP(H1472,Cadastros!$D$6:$D$90,Cadastros!$E$6:$E$90))*(1-_xlfn.XLOOKUP(_xlfn.XLOOKUP($F1472,Clientes!$B$4:$B$39,Clientes!$C$4:$C$39),Cadastros!$L$6:$L$12,Cadastros!$N$6:$N$12)))</f>
        <v/>
      </c>
      <c r="K1472" s="168" t="str">
        <f t="shared" si="287"/>
        <v/>
      </c>
      <c r="L1472" s="168" t="str">
        <f>IFERROR(K1472/_xlfn.XLOOKUP(_xlfn.XLOOKUP($F1472,Clientes!$B$4:$B$39,Clientes!$C$4:$C$39),Cadastros!$L$6:$L$12,Cadastros!$M$6:$M$12)," ")</f>
        <v xml:space="preserve"> </v>
      </c>
      <c r="M1472" s="28"/>
      <c r="N1472" s="28"/>
      <c r="O1472" s="255" t="str">
        <f>IF(M1472="","",(_xlfn.XLOOKUP(M1472,Cadastros!$D$6:$D$90,Cadastros!$E$6:$E$90))*(1-_xlfn.XLOOKUP(_xlfn.XLOOKUP($F1472,Clientes!$B$4:$B$39,Clientes!$C$4:$C$39),Cadastros!$L$6:$L$12,Cadastros!$N$6:$N$12)))</f>
        <v/>
      </c>
      <c r="P1472" s="168" t="str">
        <f t="shared" si="288"/>
        <v/>
      </c>
      <c r="Q1472" s="168" t="str">
        <f>IFERROR(P1472/_xlfn.XLOOKUP(_xlfn.XLOOKUP($F1472,Clientes!$B$4:$B$39,Clientes!$C$4:$C$39),Cadastros!$L$6:$L$12,Cadastros!$M$6:$M$12)," ")</f>
        <v xml:space="preserve"> </v>
      </c>
      <c r="R1472" s="28"/>
      <c r="S1472" s="28"/>
      <c r="T1472" s="255" t="str">
        <f>IF(R1472="","",(_xlfn.XLOOKUP(R1472,Cadastros!$D$6:$D$90,Cadastros!$E$6:$E$90))*(1-_xlfn.XLOOKUP(_xlfn.XLOOKUP($F1472,Clientes!$B$4:$B$39,Clientes!$C$4:$C$39),Cadastros!$L$6:$L$12,Cadastros!$N$6:$N$12)))</f>
        <v/>
      </c>
      <c r="U1472" s="168" t="str">
        <f t="shared" si="289"/>
        <v/>
      </c>
      <c r="V1472" s="168" t="str">
        <f>IFERROR(U1472/_xlfn.XLOOKUP(_xlfn.XLOOKUP($F1472,Clientes!$B$4:$B$39,Clientes!$C$4:$C$39),Cadastros!$L$6:$L$12,Cadastros!$M$6:$M$12)," ")</f>
        <v xml:space="preserve"> </v>
      </c>
      <c r="W1472" s="28"/>
      <c r="X1472" s="28"/>
      <c r="Y1472" s="255" t="str">
        <f>IF(W1472="","",(_xlfn.XLOOKUP(W1472,Cadastros!$D$6:$D$90,Cadastros!$E$6:$E$90))*(1-_xlfn.XLOOKUP(_xlfn.XLOOKUP($F1472,Clientes!$B$4:$B$39,Clientes!$C$4:$C$39),Cadastros!$L$6:$L$12,Cadastros!$N$6:$N$12)))</f>
        <v/>
      </c>
      <c r="Z1472" s="168" t="str">
        <f t="shared" si="290"/>
        <v/>
      </c>
      <c r="AA1472" s="168" t="str">
        <f>IFERROR(Z1472/_xlfn.XLOOKUP(_xlfn.XLOOKUP($F1472,Clientes!$B$4:$B$39,Clientes!$C$4:$C$39),Cadastros!$L$6:$L$12,Cadastros!$M$6:$M$12)," ")</f>
        <v xml:space="preserve"> </v>
      </c>
      <c r="AB1472" s="28"/>
      <c r="AC1472" s="28"/>
      <c r="AD1472" s="20" t="str">
        <f>IF(AB1472="","",IF($F1472="Bernardino Furlan",_xlfn.XLOOKUP(AB1472,Cadastros!$G$6:$G$90,Cadastros!$H$6:$H$90)*(1-0.18),IF($F1472="Mauro José Salanti",_xlfn.XLOOKUP(AB1472,Cadastros!$G$6:$G$90,Cadastros!$H$6:$H$90)*(1-0.18),_xlfn.XLOOKUP(AB1472,Cadastros!$G$6:$G$90,Cadastros!$H$6:$H$90))))</f>
        <v/>
      </c>
      <c r="AE1472" s="168" t="str">
        <f t="shared" si="291"/>
        <v/>
      </c>
      <c r="AF1472" s="168" t="str">
        <f t="shared" si="292"/>
        <v/>
      </c>
      <c r="AG1472" s="28"/>
      <c r="AH1472" s="28"/>
      <c r="AI1472" s="20" t="str">
        <f>IF(AG1472="","",IF($F1472="Bernardino Furlan",_xlfn.XLOOKUP(AG1472,Cadastros!$G$6:$G$90,Cadastros!$H$6:$H$90)*(1-0.18),IF($F1472="Mauro José Salanti",_xlfn.XLOOKUP(AG1472,Cadastros!$G$6:$G$90,Cadastros!$H$6:$H$90)*(1-0.18),_xlfn.XLOOKUP(AG1472,Cadastros!$G$6:$G$90,Cadastros!$H$6:$H$90))))</f>
        <v/>
      </c>
      <c r="AJ1472" s="168" t="str">
        <f t="shared" si="293"/>
        <v/>
      </c>
      <c r="AK1472" s="168" t="str">
        <f t="shared" si="294"/>
        <v/>
      </c>
      <c r="AL1472" s="28"/>
      <c r="AM1472" s="28"/>
      <c r="AN1472" s="20" t="str">
        <f>IF(AL1472="","",IF($F1472="Bernardino Furlan",_xlfn.XLOOKUP(AL1472,Cadastros!$G$6:$G$90,Cadastros!$H$6:$H$90)*(1-0.18),IF($F1472="Mauro José Salanti",_xlfn.XLOOKUP(AL1472,Cadastros!$G$6:$G$90,Cadastros!$H$6:$H$90)*(1-0.18),_xlfn.XLOOKUP(AL1472,Cadastros!$G$6:$G$90,Cadastros!$H$6:$H$90))))</f>
        <v/>
      </c>
      <c r="AO1472" s="168" t="str">
        <f t="shared" si="295"/>
        <v/>
      </c>
      <c r="AP1472" s="168" t="str">
        <f t="shared" si="296"/>
        <v/>
      </c>
      <c r="AQ1472" s="28"/>
      <c r="AR1472" s="28"/>
      <c r="AS1472" s="20" t="str">
        <f>IF(AQ1472="","",IF($F1472="Bernardino Furlan",_xlfn.XLOOKUP(AQ1472,Cadastros!$G$6:$G$90,Cadastros!$H$6:$H$90)*(1-0.18),IF($F1472="Mauro José Salanti",_xlfn.XLOOKUP(AQ1472,Cadastros!$G$6:$G$90,Cadastros!$H$6:$H$90)*(1-0.18),_xlfn.XLOOKUP(AQ1472,Cadastros!$G$6:$G$90,Cadastros!$H$6:$H$90))))</f>
        <v/>
      </c>
      <c r="AT1472" s="168" t="str">
        <f t="shared" si="297"/>
        <v/>
      </c>
      <c r="AU1472" s="168" t="str">
        <f t="shared" si="298"/>
        <v/>
      </c>
      <c r="AV1472" s="227"/>
      <c r="AW1472" s="30"/>
      <c r="AX1472" s="267"/>
      <c r="AY1472" s="267"/>
      <c r="AZ1472" s="29"/>
      <c r="BA1472" s="30"/>
      <c r="BB1472" s="23" t="str" cm="1">
        <f t="array" ref="BB1472">_xlfn.IFS(AW1472="SIM",SUM(K1472,P1472,U1472,Z1472,AE1472,AJ1472,AO1472,AT1472,AX1472,AY1472),F1472&lt;&gt;"",SUM(K1472,P1472,U1472,Z1472,AE1472,AJ1472,,AO1472,AT1472),F1472="","")</f>
        <v/>
      </c>
      <c r="BC1472" s="211" t="str" cm="1">
        <f t="array" ref="BC1472">_xlfn.IFS(E1472="","",G1472&lt;=E1472,BB1472*(1-0.03),G1472&lt;(E1472+8),BB1472,AZ1472="Boleto",BB1472*(1+0.001)^DATEDIF(E1472,G1472,"D"),AZ1472="Cheque",BB1472,AZ1472="Dinheiro","Alterar forma pgto")</f>
        <v/>
      </c>
      <c r="BD1472" s="276" t="str" cm="1">
        <f t="array" ref="BD1472">IF(F1472=0," ",IF(BC1472&lt;BB1472,(_xlfn.IFS(AW1472="SIM",SUM(L1472,Q1472,V1472,AA1472,AF1472,AK1472,AP1472,AU1472)+AX1472/_xlfn.XLOOKUP(_xlfn.XLOOKUP($F1472,Clientes!$B$4:$B$39,Clientes!$C$4:$C$39),Cadastros!$L$6:$L$12,Cadastros!$M$6:$M$12)+IF($F1472="Bernardino Furlan",AY1472/2751.92,IF($F1472="Mauro José Salanti",AY1472/2751.92,AY1472/3356)),F1472&lt;&gt;0,SUM(L1472,Q1472,V1472,AA1472,AF1472,AK1472,AP1472,AU1472)))*(1-0.03),_xlfn.IFS(AW1472="SIM",SUM(L1472,Q1472,V1472,AA1472,AF1472,AK1472,AP1472,AU1472)+AX1472/_xlfn.XLOOKUP(_xlfn.XLOOKUP($F1472,Clientes!$B$4:$B$39,Clientes!$C$4:$C$39),Cadastros!$L$6:$L$12,Cadastros!$M$6:$M$12)+IF($F1472="Bernardino Furlan",AY1472/2751.92,IF($F1472="Mauro José Salanti",AY1472/2751.92,AY1472/3356)),F1472&lt;&gt;0,SUM(L1472,Q1472,V1472,AA1472,AF1472,AK1472,AP1472,AU1472))))</f>
        <v xml:space="preserve"> </v>
      </c>
      <c r="BE1472" s="120"/>
      <c r="BF1472" s="120"/>
      <c r="BG1472" s="120"/>
    </row>
    <row r="1473" spans="1:59" s="3" customFormat="1" x14ac:dyDescent="0.3">
      <c r="A1473" s="15" t="str">
        <f t="shared" si="286"/>
        <v/>
      </c>
      <c r="B1473" s="25"/>
      <c r="C1473" s="26"/>
      <c r="D1473" s="279"/>
      <c r="E1473" s="27"/>
      <c r="F1473" s="28"/>
      <c r="G1473" s="27"/>
      <c r="H1473" s="28"/>
      <c r="I1473" s="28"/>
      <c r="J1473" s="255" t="str">
        <f>IF(H1473="","",(_xlfn.XLOOKUP(H1473,Cadastros!$D$6:$D$90,Cadastros!$E$6:$E$90))*(1-_xlfn.XLOOKUP(_xlfn.XLOOKUP($F1473,Clientes!$B$4:$B$39,Clientes!$C$4:$C$39),Cadastros!$L$6:$L$12,Cadastros!$N$6:$N$12)))</f>
        <v/>
      </c>
      <c r="K1473" s="168" t="str">
        <f t="shared" si="287"/>
        <v/>
      </c>
      <c r="L1473" s="168" t="str">
        <f>IFERROR(K1473/_xlfn.XLOOKUP(_xlfn.XLOOKUP($F1473,Clientes!$B$4:$B$39,Clientes!$C$4:$C$39),Cadastros!$L$6:$L$12,Cadastros!$M$6:$M$12)," ")</f>
        <v xml:space="preserve"> </v>
      </c>
      <c r="M1473" s="28"/>
      <c r="N1473" s="28"/>
      <c r="O1473" s="255" t="str">
        <f>IF(M1473="","",(_xlfn.XLOOKUP(M1473,Cadastros!$D$6:$D$90,Cadastros!$E$6:$E$90))*(1-_xlfn.XLOOKUP(_xlfn.XLOOKUP($F1473,Clientes!$B$4:$B$39,Clientes!$C$4:$C$39),Cadastros!$L$6:$L$12,Cadastros!$N$6:$N$12)))</f>
        <v/>
      </c>
      <c r="P1473" s="168" t="str">
        <f t="shared" si="288"/>
        <v/>
      </c>
      <c r="Q1473" s="168" t="str">
        <f>IFERROR(P1473/_xlfn.XLOOKUP(_xlfn.XLOOKUP($F1473,Clientes!$B$4:$B$39,Clientes!$C$4:$C$39),Cadastros!$L$6:$L$12,Cadastros!$M$6:$M$12)," ")</f>
        <v xml:space="preserve"> </v>
      </c>
      <c r="R1473" s="28"/>
      <c r="S1473" s="28"/>
      <c r="T1473" s="255" t="str">
        <f>IF(R1473="","",(_xlfn.XLOOKUP(R1473,Cadastros!$D$6:$D$90,Cadastros!$E$6:$E$90))*(1-_xlfn.XLOOKUP(_xlfn.XLOOKUP($F1473,Clientes!$B$4:$B$39,Clientes!$C$4:$C$39),Cadastros!$L$6:$L$12,Cadastros!$N$6:$N$12)))</f>
        <v/>
      </c>
      <c r="U1473" s="168" t="str">
        <f t="shared" si="289"/>
        <v/>
      </c>
      <c r="V1473" s="168" t="str">
        <f>IFERROR(U1473/_xlfn.XLOOKUP(_xlfn.XLOOKUP($F1473,Clientes!$B$4:$B$39,Clientes!$C$4:$C$39),Cadastros!$L$6:$L$12,Cadastros!$M$6:$M$12)," ")</f>
        <v xml:space="preserve"> </v>
      </c>
      <c r="W1473" s="28"/>
      <c r="X1473" s="28"/>
      <c r="Y1473" s="255" t="str">
        <f>IF(W1473="","",(_xlfn.XLOOKUP(W1473,Cadastros!$D$6:$D$90,Cadastros!$E$6:$E$90))*(1-_xlfn.XLOOKUP(_xlfn.XLOOKUP($F1473,Clientes!$B$4:$B$39,Clientes!$C$4:$C$39),Cadastros!$L$6:$L$12,Cadastros!$N$6:$N$12)))</f>
        <v/>
      </c>
      <c r="Z1473" s="168" t="str">
        <f t="shared" si="290"/>
        <v/>
      </c>
      <c r="AA1473" s="168" t="str">
        <f>IFERROR(Z1473/_xlfn.XLOOKUP(_xlfn.XLOOKUP($F1473,Clientes!$B$4:$B$39,Clientes!$C$4:$C$39),Cadastros!$L$6:$L$12,Cadastros!$M$6:$M$12)," ")</f>
        <v xml:space="preserve"> </v>
      </c>
      <c r="AB1473" s="28"/>
      <c r="AC1473" s="28"/>
      <c r="AD1473" s="20" t="str">
        <f>IF(AB1473="","",IF($F1473="Bernardino Furlan",_xlfn.XLOOKUP(AB1473,Cadastros!$G$6:$G$90,Cadastros!$H$6:$H$90)*(1-0.18),IF($F1473="Mauro José Salanti",_xlfn.XLOOKUP(AB1473,Cadastros!$G$6:$G$90,Cadastros!$H$6:$H$90)*(1-0.18),_xlfn.XLOOKUP(AB1473,Cadastros!$G$6:$G$90,Cadastros!$H$6:$H$90))))</f>
        <v/>
      </c>
      <c r="AE1473" s="168" t="str">
        <f t="shared" si="291"/>
        <v/>
      </c>
      <c r="AF1473" s="168" t="str">
        <f t="shared" si="292"/>
        <v/>
      </c>
      <c r="AG1473" s="28"/>
      <c r="AH1473" s="28"/>
      <c r="AI1473" s="20" t="str">
        <f>IF(AG1473="","",IF($F1473="Bernardino Furlan",_xlfn.XLOOKUP(AG1473,Cadastros!$G$6:$G$90,Cadastros!$H$6:$H$90)*(1-0.18),IF($F1473="Mauro José Salanti",_xlfn.XLOOKUP(AG1473,Cadastros!$G$6:$G$90,Cadastros!$H$6:$H$90)*(1-0.18),_xlfn.XLOOKUP(AG1473,Cadastros!$G$6:$G$90,Cadastros!$H$6:$H$90))))</f>
        <v/>
      </c>
      <c r="AJ1473" s="168" t="str">
        <f t="shared" si="293"/>
        <v/>
      </c>
      <c r="AK1473" s="168" t="str">
        <f t="shared" si="294"/>
        <v/>
      </c>
      <c r="AL1473" s="28"/>
      <c r="AM1473" s="28"/>
      <c r="AN1473" s="20" t="str">
        <f>IF(AL1473="","",IF($F1473="Bernardino Furlan",_xlfn.XLOOKUP(AL1473,Cadastros!$G$6:$G$90,Cadastros!$H$6:$H$90)*(1-0.18),IF($F1473="Mauro José Salanti",_xlfn.XLOOKUP(AL1473,Cadastros!$G$6:$G$90,Cadastros!$H$6:$H$90)*(1-0.18),_xlfn.XLOOKUP(AL1473,Cadastros!$G$6:$G$90,Cadastros!$H$6:$H$90))))</f>
        <v/>
      </c>
      <c r="AO1473" s="168" t="str">
        <f t="shared" si="295"/>
        <v/>
      </c>
      <c r="AP1473" s="168" t="str">
        <f t="shared" si="296"/>
        <v/>
      </c>
      <c r="AQ1473" s="28"/>
      <c r="AR1473" s="28"/>
      <c r="AS1473" s="20" t="str">
        <f>IF(AQ1473="","",IF($F1473="Bernardino Furlan",_xlfn.XLOOKUP(AQ1473,Cadastros!$G$6:$G$90,Cadastros!$H$6:$H$90)*(1-0.18),IF($F1473="Mauro José Salanti",_xlfn.XLOOKUP(AQ1473,Cadastros!$G$6:$G$90,Cadastros!$H$6:$H$90)*(1-0.18),_xlfn.XLOOKUP(AQ1473,Cadastros!$G$6:$G$90,Cadastros!$H$6:$H$90))))</f>
        <v/>
      </c>
      <c r="AT1473" s="168" t="str">
        <f t="shared" si="297"/>
        <v/>
      </c>
      <c r="AU1473" s="168" t="str">
        <f t="shared" si="298"/>
        <v/>
      </c>
      <c r="AV1473" s="227"/>
      <c r="AW1473" s="30"/>
      <c r="AX1473" s="267"/>
      <c r="AY1473" s="267"/>
      <c r="AZ1473" s="29"/>
      <c r="BA1473" s="30"/>
      <c r="BB1473" s="23" t="str" cm="1">
        <f t="array" ref="BB1473">_xlfn.IFS(AW1473="SIM",SUM(K1473,P1473,U1473,Z1473,AE1473,AJ1473,AO1473,AT1473,AX1473,AY1473),F1473&lt;&gt;"",SUM(K1473,P1473,U1473,Z1473,AE1473,AJ1473,,AO1473,AT1473),F1473="","")</f>
        <v/>
      </c>
      <c r="BC1473" s="211" t="str" cm="1">
        <f t="array" ref="BC1473">_xlfn.IFS(E1473="","",G1473&lt;=E1473,BB1473*(1-0.03),G1473&lt;(E1473+8),BB1473,AZ1473="Boleto",BB1473*(1+0.001)^DATEDIF(E1473,G1473,"D"),AZ1473="Cheque",BB1473,AZ1473="Dinheiro","Alterar forma pgto")</f>
        <v/>
      </c>
      <c r="BD1473" s="276" t="str" cm="1">
        <f t="array" ref="BD1473">IF(F1473=0," ",IF(BC1473&lt;BB1473,(_xlfn.IFS(AW1473="SIM",SUM(L1473,Q1473,V1473,AA1473,AF1473,AK1473,AP1473,AU1473)+AX1473/_xlfn.XLOOKUP(_xlfn.XLOOKUP($F1473,Clientes!$B$4:$B$39,Clientes!$C$4:$C$39),Cadastros!$L$6:$L$12,Cadastros!$M$6:$M$12)+IF($F1473="Bernardino Furlan",AY1473/2751.92,IF($F1473="Mauro José Salanti",AY1473/2751.92,AY1473/3356)),F1473&lt;&gt;0,SUM(L1473,Q1473,V1473,AA1473,AF1473,AK1473,AP1473,AU1473)))*(1-0.03),_xlfn.IFS(AW1473="SIM",SUM(L1473,Q1473,V1473,AA1473,AF1473,AK1473,AP1473,AU1473)+AX1473/_xlfn.XLOOKUP(_xlfn.XLOOKUP($F1473,Clientes!$B$4:$B$39,Clientes!$C$4:$C$39),Cadastros!$L$6:$L$12,Cadastros!$M$6:$M$12)+IF($F1473="Bernardino Furlan",AY1473/2751.92,IF($F1473="Mauro José Salanti",AY1473/2751.92,AY1473/3356)),F1473&lt;&gt;0,SUM(L1473,Q1473,V1473,AA1473,AF1473,AK1473,AP1473,AU1473))))</f>
        <v xml:space="preserve"> </v>
      </c>
      <c r="BE1473" s="120"/>
      <c r="BF1473" s="120"/>
      <c r="BG1473" s="120"/>
    </row>
    <row r="1474" spans="1:59" s="3" customFormat="1" x14ac:dyDescent="0.3">
      <c r="A1474" s="15" t="str">
        <f t="shared" si="286"/>
        <v/>
      </c>
      <c r="B1474" s="25"/>
      <c r="C1474" s="26"/>
      <c r="D1474" s="279"/>
      <c r="E1474" s="27"/>
      <c r="F1474" s="28"/>
      <c r="G1474" s="27"/>
      <c r="H1474" s="28"/>
      <c r="I1474" s="28"/>
      <c r="J1474" s="255" t="str">
        <f>IF(H1474="","",(_xlfn.XLOOKUP(H1474,Cadastros!$D$6:$D$90,Cadastros!$E$6:$E$90))*(1-_xlfn.XLOOKUP(_xlfn.XLOOKUP($F1474,Clientes!$B$4:$B$39,Clientes!$C$4:$C$39),Cadastros!$L$6:$L$12,Cadastros!$N$6:$N$12)))</f>
        <v/>
      </c>
      <c r="K1474" s="168" t="str">
        <f t="shared" si="287"/>
        <v/>
      </c>
      <c r="L1474" s="168" t="str">
        <f>IFERROR(K1474/_xlfn.XLOOKUP(_xlfn.XLOOKUP($F1474,Clientes!$B$4:$B$39,Clientes!$C$4:$C$39),Cadastros!$L$6:$L$12,Cadastros!$M$6:$M$12)," ")</f>
        <v xml:space="preserve"> </v>
      </c>
      <c r="M1474" s="28"/>
      <c r="N1474" s="28"/>
      <c r="O1474" s="255" t="str">
        <f>IF(M1474="","",(_xlfn.XLOOKUP(M1474,Cadastros!$D$6:$D$90,Cadastros!$E$6:$E$90))*(1-_xlfn.XLOOKUP(_xlfn.XLOOKUP($F1474,Clientes!$B$4:$B$39,Clientes!$C$4:$C$39),Cadastros!$L$6:$L$12,Cadastros!$N$6:$N$12)))</f>
        <v/>
      </c>
      <c r="P1474" s="168" t="str">
        <f t="shared" si="288"/>
        <v/>
      </c>
      <c r="Q1474" s="168" t="str">
        <f>IFERROR(P1474/_xlfn.XLOOKUP(_xlfn.XLOOKUP($F1474,Clientes!$B$4:$B$39,Clientes!$C$4:$C$39),Cadastros!$L$6:$L$12,Cadastros!$M$6:$M$12)," ")</f>
        <v xml:space="preserve"> </v>
      </c>
      <c r="R1474" s="28"/>
      <c r="S1474" s="28"/>
      <c r="T1474" s="255" t="str">
        <f>IF(R1474="","",(_xlfn.XLOOKUP(R1474,Cadastros!$D$6:$D$90,Cadastros!$E$6:$E$90))*(1-_xlfn.XLOOKUP(_xlfn.XLOOKUP($F1474,Clientes!$B$4:$B$39,Clientes!$C$4:$C$39),Cadastros!$L$6:$L$12,Cadastros!$N$6:$N$12)))</f>
        <v/>
      </c>
      <c r="U1474" s="168" t="str">
        <f t="shared" si="289"/>
        <v/>
      </c>
      <c r="V1474" s="168" t="str">
        <f>IFERROR(U1474/_xlfn.XLOOKUP(_xlfn.XLOOKUP($F1474,Clientes!$B$4:$B$39,Clientes!$C$4:$C$39),Cadastros!$L$6:$L$12,Cadastros!$M$6:$M$12)," ")</f>
        <v xml:space="preserve"> </v>
      </c>
      <c r="W1474" s="28"/>
      <c r="X1474" s="28"/>
      <c r="Y1474" s="255" t="str">
        <f>IF(W1474="","",(_xlfn.XLOOKUP(W1474,Cadastros!$D$6:$D$90,Cadastros!$E$6:$E$90))*(1-_xlfn.XLOOKUP(_xlfn.XLOOKUP($F1474,Clientes!$B$4:$B$39,Clientes!$C$4:$C$39),Cadastros!$L$6:$L$12,Cadastros!$N$6:$N$12)))</f>
        <v/>
      </c>
      <c r="Z1474" s="168" t="str">
        <f t="shared" si="290"/>
        <v/>
      </c>
      <c r="AA1474" s="168" t="str">
        <f>IFERROR(Z1474/_xlfn.XLOOKUP(_xlfn.XLOOKUP($F1474,Clientes!$B$4:$B$39,Clientes!$C$4:$C$39),Cadastros!$L$6:$L$12,Cadastros!$M$6:$M$12)," ")</f>
        <v xml:space="preserve"> </v>
      </c>
      <c r="AB1474" s="28"/>
      <c r="AC1474" s="28"/>
      <c r="AD1474" s="20" t="str">
        <f>IF(AB1474="","",IF($F1474="Bernardino Furlan",_xlfn.XLOOKUP(AB1474,Cadastros!$G$6:$G$90,Cadastros!$H$6:$H$90)*(1-0.18),IF($F1474="Mauro José Salanti",_xlfn.XLOOKUP(AB1474,Cadastros!$G$6:$G$90,Cadastros!$H$6:$H$90)*(1-0.18),_xlfn.XLOOKUP(AB1474,Cadastros!$G$6:$G$90,Cadastros!$H$6:$H$90))))</f>
        <v/>
      </c>
      <c r="AE1474" s="168" t="str">
        <f t="shared" si="291"/>
        <v/>
      </c>
      <c r="AF1474" s="168" t="str">
        <f t="shared" si="292"/>
        <v/>
      </c>
      <c r="AG1474" s="28"/>
      <c r="AH1474" s="28"/>
      <c r="AI1474" s="20" t="str">
        <f>IF(AG1474="","",IF($F1474="Bernardino Furlan",_xlfn.XLOOKUP(AG1474,Cadastros!$G$6:$G$90,Cadastros!$H$6:$H$90)*(1-0.18),IF($F1474="Mauro José Salanti",_xlfn.XLOOKUP(AG1474,Cadastros!$G$6:$G$90,Cadastros!$H$6:$H$90)*(1-0.18),_xlfn.XLOOKUP(AG1474,Cadastros!$G$6:$G$90,Cadastros!$H$6:$H$90))))</f>
        <v/>
      </c>
      <c r="AJ1474" s="168" t="str">
        <f t="shared" si="293"/>
        <v/>
      </c>
      <c r="AK1474" s="168" t="str">
        <f t="shared" si="294"/>
        <v/>
      </c>
      <c r="AL1474" s="28"/>
      <c r="AM1474" s="28"/>
      <c r="AN1474" s="20" t="str">
        <f>IF(AL1474="","",IF($F1474="Bernardino Furlan",_xlfn.XLOOKUP(AL1474,Cadastros!$G$6:$G$90,Cadastros!$H$6:$H$90)*(1-0.18),IF($F1474="Mauro José Salanti",_xlfn.XLOOKUP(AL1474,Cadastros!$G$6:$G$90,Cadastros!$H$6:$H$90)*(1-0.18),_xlfn.XLOOKUP(AL1474,Cadastros!$G$6:$G$90,Cadastros!$H$6:$H$90))))</f>
        <v/>
      </c>
      <c r="AO1474" s="168" t="str">
        <f t="shared" si="295"/>
        <v/>
      </c>
      <c r="AP1474" s="168" t="str">
        <f t="shared" si="296"/>
        <v/>
      </c>
      <c r="AQ1474" s="28"/>
      <c r="AR1474" s="28"/>
      <c r="AS1474" s="20" t="str">
        <f>IF(AQ1474="","",IF($F1474="Bernardino Furlan",_xlfn.XLOOKUP(AQ1474,Cadastros!$G$6:$G$90,Cadastros!$H$6:$H$90)*(1-0.18),IF($F1474="Mauro José Salanti",_xlfn.XLOOKUP(AQ1474,Cadastros!$G$6:$G$90,Cadastros!$H$6:$H$90)*(1-0.18),_xlfn.XLOOKUP(AQ1474,Cadastros!$G$6:$G$90,Cadastros!$H$6:$H$90))))</f>
        <v/>
      </c>
      <c r="AT1474" s="168" t="str">
        <f t="shared" si="297"/>
        <v/>
      </c>
      <c r="AU1474" s="168" t="str">
        <f t="shared" si="298"/>
        <v/>
      </c>
      <c r="AV1474" s="227"/>
      <c r="AW1474" s="30"/>
      <c r="AX1474" s="267"/>
      <c r="AY1474" s="267"/>
      <c r="AZ1474" s="29"/>
      <c r="BA1474" s="30"/>
      <c r="BB1474" s="23" t="str" cm="1">
        <f t="array" ref="BB1474">_xlfn.IFS(AW1474="SIM",SUM(K1474,P1474,U1474,Z1474,AE1474,AJ1474,AO1474,AT1474,AX1474,AY1474),F1474&lt;&gt;"",SUM(K1474,P1474,U1474,Z1474,AE1474,AJ1474,,AO1474,AT1474),F1474="","")</f>
        <v/>
      </c>
      <c r="BC1474" s="211" t="str" cm="1">
        <f t="array" ref="BC1474">_xlfn.IFS(E1474="","",G1474&lt;=E1474,BB1474*(1-0.03),G1474&lt;(E1474+8),BB1474,AZ1474="Boleto",BB1474*(1+0.001)^DATEDIF(E1474,G1474,"D"),AZ1474="Cheque",BB1474,AZ1474="Dinheiro","Alterar forma pgto")</f>
        <v/>
      </c>
      <c r="BD1474" s="276" t="str" cm="1">
        <f t="array" ref="BD1474">IF(F1474=0," ",IF(BC1474&lt;BB1474,(_xlfn.IFS(AW1474="SIM",SUM(L1474,Q1474,V1474,AA1474,AF1474,AK1474,AP1474,AU1474)+AX1474/_xlfn.XLOOKUP(_xlfn.XLOOKUP($F1474,Clientes!$B$4:$B$39,Clientes!$C$4:$C$39),Cadastros!$L$6:$L$12,Cadastros!$M$6:$M$12)+IF($F1474="Bernardino Furlan",AY1474/2751.92,IF($F1474="Mauro José Salanti",AY1474/2751.92,AY1474/3356)),F1474&lt;&gt;0,SUM(L1474,Q1474,V1474,AA1474,AF1474,AK1474,AP1474,AU1474)))*(1-0.03),_xlfn.IFS(AW1474="SIM",SUM(L1474,Q1474,V1474,AA1474,AF1474,AK1474,AP1474,AU1474)+AX1474/_xlfn.XLOOKUP(_xlfn.XLOOKUP($F1474,Clientes!$B$4:$B$39,Clientes!$C$4:$C$39),Cadastros!$L$6:$L$12,Cadastros!$M$6:$M$12)+IF($F1474="Bernardino Furlan",AY1474/2751.92,IF($F1474="Mauro José Salanti",AY1474/2751.92,AY1474/3356)),F1474&lt;&gt;0,SUM(L1474,Q1474,V1474,AA1474,AF1474,AK1474,AP1474,AU1474))))</f>
        <v xml:space="preserve"> </v>
      </c>
      <c r="BE1474" s="120"/>
      <c r="BF1474" s="120"/>
      <c r="BG1474" s="120"/>
    </row>
    <row r="1475" spans="1:59" s="3" customFormat="1" x14ac:dyDescent="0.3">
      <c r="A1475" s="15" t="str">
        <f t="shared" si="286"/>
        <v/>
      </c>
      <c r="B1475" s="25"/>
      <c r="C1475" s="26"/>
      <c r="D1475" s="279"/>
      <c r="E1475" s="27"/>
      <c r="F1475" s="28"/>
      <c r="G1475" s="27"/>
      <c r="H1475" s="28"/>
      <c r="I1475" s="28"/>
      <c r="J1475" s="255" t="str">
        <f>IF(H1475="","",(_xlfn.XLOOKUP(H1475,Cadastros!$D$6:$D$90,Cadastros!$E$6:$E$90))*(1-_xlfn.XLOOKUP(_xlfn.XLOOKUP($F1475,Clientes!$B$4:$B$39,Clientes!$C$4:$C$39),Cadastros!$L$6:$L$12,Cadastros!$N$6:$N$12)))</f>
        <v/>
      </c>
      <c r="K1475" s="168" t="str">
        <f t="shared" si="287"/>
        <v/>
      </c>
      <c r="L1475" s="168" t="str">
        <f>IFERROR(K1475/_xlfn.XLOOKUP(_xlfn.XLOOKUP($F1475,Clientes!$B$4:$B$39,Clientes!$C$4:$C$39),Cadastros!$L$6:$L$12,Cadastros!$M$6:$M$12)," ")</f>
        <v xml:space="preserve"> </v>
      </c>
      <c r="M1475" s="28"/>
      <c r="N1475" s="28"/>
      <c r="O1475" s="255" t="str">
        <f>IF(M1475="","",(_xlfn.XLOOKUP(M1475,Cadastros!$D$6:$D$90,Cadastros!$E$6:$E$90))*(1-_xlfn.XLOOKUP(_xlfn.XLOOKUP($F1475,Clientes!$B$4:$B$39,Clientes!$C$4:$C$39),Cadastros!$L$6:$L$12,Cadastros!$N$6:$N$12)))</f>
        <v/>
      </c>
      <c r="P1475" s="168" t="str">
        <f t="shared" si="288"/>
        <v/>
      </c>
      <c r="Q1475" s="168" t="str">
        <f>IFERROR(P1475/_xlfn.XLOOKUP(_xlfn.XLOOKUP($F1475,Clientes!$B$4:$B$39,Clientes!$C$4:$C$39),Cadastros!$L$6:$L$12,Cadastros!$M$6:$M$12)," ")</f>
        <v xml:space="preserve"> </v>
      </c>
      <c r="R1475" s="28"/>
      <c r="S1475" s="28"/>
      <c r="T1475" s="255" t="str">
        <f>IF(R1475="","",(_xlfn.XLOOKUP(R1475,Cadastros!$D$6:$D$90,Cadastros!$E$6:$E$90))*(1-_xlfn.XLOOKUP(_xlfn.XLOOKUP($F1475,Clientes!$B$4:$B$39,Clientes!$C$4:$C$39),Cadastros!$L$6:$L$12,Cadastros!$N$6:$N$12)))</f>
        <v/>
      </c>
      <c r="U1475" s="168" t="str">
        <f t="shared" si="289"/>
        <v/>
      </c>
      <c r="V1475" s="168" t="str">
        <f>IFERROR(U1475/_xlfn.XLOOKUP(_xlfn.XLOOKUP($F1475,Clientes!$B$4:$B$39,Clientes!$C$4:$C$39),Cadastros!$L$6:$L$12,Cadastros!$M$6:$M$12)," ")</f>
        <v xml:space="preserve"> </v>
      </c>
      <c r="W1475" s="28"/>
      <c r="X1475" s="28"/>
      <c r="Y1475" s="255" t="str">
        <f>IF(W1475="","",(_xlfn.XLOOKUP(W1475,Cadastros!$D$6:$D$90,Cadastros!$E$6:$E$90))*(1-_xlfn.XLOOKUP(_xlfn.XLOOKUP($F1475,Clientes!$B$4:$B$39,Clientes!$C$4:$C$39),Cadastros!$L$6:$L$12,Cadastros!$N$6:$N$12)))</f>
        <v/>
      </c>
      <c r="Z1475" s="168" t="str">
        <f t="shared" si="290"/>
        <v/>
      </c>
      <c r="AA1475" s="168" t="str">
        <f>IFERROR(Z1475/_xlfn.XLOOKUP(_xlfn.XLOOKUP($F1475,Clientes!$B$4:$B$39,Clientes!$C$4:$C$39),Cadastros!$L$6:$L$12,Cadastros!$M$6:$M$12)," ")</f>
        <v xml:space="preserve"> </v>
      </c>
      <c r="AB1475" s="28"/>
      <c r="AC1475" s="28"/>
      <c r="AD1475" s="20" t="str">
        <f>IF(AB1475="","",IF($F1475="Bernardino Furlan",_xlfn.XLOOKUP(AB1475,Cadastros!$G$6:$G$90,Cadastros!$H$6:$H$90)*(1-0.18),IF($F1475="Mauro José Salanti",_xlfn.XLOOKUP(AB1475,Cadastros!$G$6:$G$90,Cadastros!$H$6:$H$90)*(1-0.18),_xlfn.XLOOKUP(AB1475,Cadastros!$G$6:$G$90,Cadastros!$H$6:$H$90))))</f>
        <v/>
      </c>
      <c r="AE1475" s="168" t="str">
        <f t="shared" si="291"/>
        <v/>
      </c>
      <c r="AF1475" s="168" t="str">
        <f t="shared" si="292"/>
        <v/>
      </c>
      <c r="AG1475" s="28"/>
      <c r="AH1475" s="28"/>
      <c r="AI1475" s="20" t="str">
        <f>IF(AG1475="","",IF($F1475="Bernardino Furlan",_xlfn.XLOOKUP(AG1475,Cadastros!$G$6:$G$90,Cadastros!$H$6:$H$90)*(1-0.18),IF($F1475="Mauro José Salanti",_xlfn.XLOOKUP(AG1475,Cadastros!$G$6:$G$90,Cadastros!$H$6:$H$90)*(1-0.18),_xlfn.XLOOKUP(AG1475,Cadastros!$G$6:$G$90,Cadastros!$H$6:$H$90))))</f>
        <v/>
      </c>
      <c r="AJ1475" s="168" t="str">
        <f t="shared" si="293"/>
        <v/>
      </c>
      <c r="AK1475" s="168" t="str">
        <f t="shared" si="294"/>
        <v/>
      </c>
      <c r="AL1475" s="28"/>
      <c r="AM1475" s="28"/>
      <c r="AN1475" s="20" t="str">
        <f>IF(AL1475="","",IF($F1475="Bernardino Furlan",_xlfn.XLOOKUP(AL1475,Cadastros!$G$6:$G$90,Cadastros!$H$6:$H$90)*(1-0.18),IF($F1475="Mauro José Salanti",_xlfn.XLOOKUP(AL1475,Cadastros!$G$6:$G$90,Cadastros!$H$6:$H$90)*(1-0.18),_xlfn.XLOOKUP(AL1475,Cadastros!$G$6:$G$90,Cadastros!$H$6:$H$90))))</f>
        <v/>
      </c>
      <c r="AO1475" s="168" t="str">
        <f t="shared" si="295"/>
        <v/>
      </c>
      <c r="AP1475" s="168" t="str">
        <f t="shared" si="296"/>
        <v/>
      </c>
      <c r="AQ1475" s="28"/>
      <c r="AR1475" s="28"/>
      <c r="AS1475" s="20" t="str">
        <f>IF(AQ1475="","",IF($F1475="Bernardino Furlan",_xlfn.XLOOKUP(AQ1475,Cadastros!$G$6:$G$90,Cadastros!$H$6:$H$90)*(1-0.18),IF($F1475="Mauro José Salanti",_xlfn.XLOOKUP(AQ1475,Cadastros!$G$6:$G$90,Cadastros!$H$6:$H$90)*(1-0.18),_xlfn.XLOOKUP(AQ1475,Cadastros!$G$6:$G$90,Cadastros!$H$6:$H$90))))</f>
        <v/>
      </c>
      <c r="AT1475" s="168" t="str">
        <f t="shared" si="297"/>
        <v/>
      </c>
      <c r="AU1475" s="168" t="str">
        <f t="shared" si="298"/>
        <v/>
      </c>
      <c r="AV1475" s="227"/>
      <c r="AW1475" s="30"/>
      <c r="AX1475" s="267"/>
      <c r="AY1475" s="267"/>
      <c r="AZ1475" s="29"/>
      <c r="BA1475" s="30"/>
      <c r="BB1475" s="23" t="str" cm="1">
        <f t="array" ref="BB1475">_xlfn.IFS(AW1475="SIM",SUM(K1475,P1475,U1475,Z1475,AE1475,AJ1475,AO1475,AT1475,AX1475,AY1475),F1475&lt;&gt;"",SUM(K1475,P1475,U1475,Z1475,AE1475,AJ1475,,AO1475,AT1475),F1475="","")</f>
        <v/>
      </c>
      <c r="BC1475" s="211" t="str" cm="1">
        <f t="array" ref="BC1475">_xlfn.IFS(E1475="","",G1475&lt;=E1475,BB1475*(1-0.03),G1475&lt;(E1475+8),BB1475,AZ1475="Boleto",BB1475*(1+0.001)^DATEDIF(E1475,G1475,"D"),AZ1475="Cheque",BB1475,AZ1475="Dinheiro","Alterar forma pgto")</f>
        <v/>
      </c>
      <c r="BD1475" s="276" t="str" cm="1">
        <f t="array" ref="BD1475">IF(F1475=0," ",IF(BC1475&lt;BB1475,(_xlfn.IFS(AW1475="SIM",SUM(L1475,Q1475,V1475,AA1475,AF1475,AK1475,AP1475,AU1475)+AX1475/_xlfn.XLOOKUP(_xlfn.XLOOKUP($F1475,Clientes!$B$4:$B$39,Clientes!$C$4:$C$39),Cadastros!$L$6:$L$12,Cadastros!$M$6:$M$12)+IF($F1475="Bernardino Furlan",AY1475/2751.92,IF($F1475="Mauro José Salanti",AY1475/2751.92,AY1475/3356)),F1475&lt;&gt;0,SUM(L1475,Q1475,V1475,AA1475,AF1475,AK1475,AP1475,AU1475)))*(1-0.03),_xlfn.IFS(AW1475="SIM",SUM(L1475,Q1475,V1475,AA1475,AF1475,AK1475,AP1475,AU1475)+AX1475/_xlfn.XLOOKUP(_xlfn.XLOOKUP($F1475,Clientes!$B$4:$B$39,Clientes!$C$4:$C$39),Cadastros!$L$6:$L$12,Cadastros!$M$6:$M$12)+IF($F1475="Bernardino Furlan",AY1475/2751.92,IF($F1475="Mauro José Salanti",AY1475/2751.92,AY1475/3356)),F1475&lt;&gt;0,SUM(L1475,Q1475,V1475,AA1475,AF1475,AK1475,AP1475,AU1475))))</f>
        <v xml:space="preserve"> </v>
      </c>
      <c r="BE1475" s="120"/>
      <c r="BF1475" s="120"/>
      <c r="BG1475" s="120"/>
    </row>
    <row r="1476" spans="1:59" s="3" customFormat="1" x14ac:dyDescent="0.3">
      <c r="A1476" s="15" t="str">
        <f t="shared" si="286"/>
        <v/>
      </c>
      <c r="B1476" s="25"/>
      <c r="C1476" s="26"/>
      <c r="D1476" s="279"/>
      <c r="E1476" s="27"/>
      <c r="F1476" s="28"/>
      <c r="G1476" s="27"/>
      <c r="H1476" s="28"/>
      <c r="I1476" s="28"/>
      <c r="J1476" s="255" t="str">
        <f>IF(H1476="","",(_xlfn.XLOOKUP(H1476,Cadastros!$D$6:$D$90,Cadastros!$E$6:$E$90))*(1-_xlfn.XLOOKUP(_xlfn.XLOOKUP($F1476,Clientes!$B$4:$B$39,Clientes!$C$4:$C$39),Cadastros!$L$6:$L$12,Cadastros!$N$6:$N$12)))</f>
        <v/>
      </c>
      <c r="K1476" s="168" t="str">
        <f t="shared" si="287"/>
        <v/>
      </c>
      <c r="L1476" s="168" t="str">
        <f>IFERROR(K1476/_xlfn.XLOOKUP(_xlfn.XLOOKUP($F1476,Clientes!$B$4:$B$39,Clientes!$C$4:$C$39),Cadastros!$L$6:$L$12,Cadastros!$M$6:$M$12)," ")</f>
        <v xml:space="preserve"> </v>
      </c>
      <c r="M1476" s="28"/>
      <c r="N1476" s="28"/>
      <c r="O1476" s="255" t="str">
        <f>IF(M1476="","",(_xlfn.XLOOKUP(M1476,Cadastros!$D$6:$D$90,Cadastros!$E$6:$E$90))*(1-_xlfn.XLOOKUP(_xlfn.XLOOKUP($F1476,Clientes!$B$4:$B$39,Clientes!$C$4:$C$39),Cadastros!$L$6:$L$12,Cadastros!$N$6:$N$12)))</f>
        <v/>
      </c>
      <c r="P1476" s="168" t="str">
        <f t="shared" si="288"/>
        <v/>
      </c>
      <c r="Q1476" s="168" t="str">
        <f>IFERROR(P1476/_xlfn.XLOOKUP(_xlfn.XLOOKUP($F1476,Clientes!$B$4:$B$39,Clientes!$C$4:$C$39),Cadastros!$L$6:$L$12,Cadastros!$M$6:$M$12)," ")</f>
        <v xml:space="preserve"> </v>
      </c>
      <c r="R1476" s="28"/>
      <c r="S1476" s="28"/>
      <c r="T1476" s="255" t="str">
        <f>IF(R1476="","",(_xlfn.XLOOKUP(R1476,Cadastros!$D$6:$D$90,Cadastros!$E$6:$E$90))*(1-_xlfn.XLOOKUP(_xlfn.XLOOKUP($F1476,Clientes!$B$4:$B$39,Clientes!$C$4:$C$39),Cadastros!$L$6:$L$12,Cadastros!$N$6:$N$12)))</f>
        <v/>
      </c>
      <c r="U1476" s="168" t="str">
        <f t="shared" si="289"/>
        <v/>
      </c>
      <c r="V1476" s="168" t="str">
        <f>IFERROR(U1476/_xlfn.XLOOKUP(_xlfn.XLOOKUP($F1476,Clientes!$B$4:$B$39,Clientes!$C$4:$C$39),Cadastros!$L$6:$L$12,Cadastros!$M$6:$M$12)," ")</f>
        <v xml:space="preserve"> </v>
      </c>
      <c r="W1476" s="28"/>
      <c r="X1476" s="28"/>
      <c r="Y1476" s="255" t="str">
        <f>IF(W1476="","",(_xlfn.XLOOKUP(W1476,Cadastros!$D$6:$D$90,Cadastros!$E$6:$E$90))*(1-_xlfn.XLOOKUP(_xlfn.XLOOKUP($F1476,Clientes!$B$4:$B$39,Clientes!$C$4:$C$39),Cadastros!$L$6:$L$12,Cadastros!$N$6:$N$12)))</f>
        <v/>
      </c>
      <c r="Z1476" s="168" t="str">
        <f t="shared" si="290"/>
        <v/>
      </c>
      <c r="AA1476" s="168" t="str">
        <f>IFERROR(Z1476/_xlfn.XLOOKUP(_xlfn.XLOOKUP($F1476,Clientes!$B$4:$B$39,Clientes!$C$4:$C$39),Cadastros!$L$6:$L$12,Cadastros!$M$6:$M$12)," ")</f>
        <v xml:space="preserve"> </v>
      </c>
      <c r="AB1476" s="28"/>
      <c r="AC1476" s="28"/>
      <c r="AD1476" s="20" t="str">
        <f>IF(AB1476="","",IF($F1476="Bernardino Furlan",_xlfn.XLOOKUP(AB1476,Cadastros!$G$6:$G$90,Cadastros!$H$6:$H$90)*(1-0.18),IF($F1476="Mauro José Salanti",_xlfn.XLOOKUP(AB1476,Cadastros!$G$6:$G$90,Cadastros!$H$6:$H$90)*(1-0.18),_xlfn.XLOOKUP(AB1476,Cadastros!$G$6:$G$90,Cadastros!$H$6:$H$90))))</f>
        <v/>
      </c>
      <c r="AE1476" s="168" t="str">
        <f t="shared" si="291"/>
        <v/>
      </c>
      <c r="AF1476" s="168" t="str">
        <f t="shared" si="292"/>
        <v/>
      </c>
      <c r="AG1476" s="28"/>
      <c r="AH1476" s="28"/>
      <c r="AI1476" s="20" t="str">
        <f>IF(AG1476="","",IF($F1476="Bernardino Furlan",_xlfn.XLOOKUP(AG1476,Cadastros!$G$6:$G$90,Cadastros!$H$6:$H$90)*(1-0.18),IF($F1476="Mauro José Salanti",_xlfn.XLOOKUP(AG1476,Cadastros!$G$6:$G$90,Cadastros!$H$6:$H$90)*(1-0.18),_xlfn.XLOOKUP(AG1476,Cadastros!$G$6:$G$90,Cadastros!$H$6:$H$90))))</f>
        <v/>
      </c>
      <c r="AJ1476" s="168" t="str">
        <f t="shared" si="293"/>
        <v/>
      </c>
      <c r="AK1476" s="168" t="str">
        <f t="shared" si="294"/>
        <v/>
      </c>
      <c r="AL1476" s="28"/>
      <c r="AM1476" s="28"/>
      <c r="AN1476" s="20" t="str">
        <f>IF(AL1476="","",IF($F1476="Bernardino Furlan",_xlfn.XLOOKUP(AL1476,Cadastros!$G$6:$G$90,Cadastros!$H$6:$H$90)*(1-0.18),IF($F1476="Mauro José Salanti",_xlfn.XLOOKUP(AL1476,Cadastros!$G$6:$G$90,Cadastros!$H$6:$H$90)*(1-0.18),_xlfn.XLOOKUP(AL1476,Cadastros!$G$6:$G$90,Cadastros!$H$6:$H$90))))</f>
        <v/>
      </c>
      <c r="AO1476" s="168" t="str">
        <f t="shared" si="295"/>
        <v/>
      </c>
      <c r="AP1476" s="168" t="str">
        <f t="shared" si="296"/>
        <v/>
      </c>
      <c r="AQ1476" s="28"/>
      <c r="AR1476" s="28"/>
      <c r="AS1476" s="20" t="str">
        <f>IF(AQ1476="","",IF($F1476="Bernardino Furlan",_xlfn.XLOOKUP(AQ1476,Cadastros!$G$6:$G$90,Cadastros!$H$6:$H$90)*(1-0.18),IF($F1476="Mauro José Salanti",_xlfn.XLOOKUP(AQ1476,Cadastros!$G$6:$G$90,Cadastros!$H$6:$H$90)*(1-0.18),_xlfn.XLOOKUP(AQ1476,Cadastros!$G$6:$G$90,Cadastros!$H$6:$H$90))))</f>
        <v/>
      </c>
      <c r="AT1476" s="168" t="str">
        <f t="shared" si="297"/>
        <v/>
      </c>
      <c r="AU1476" s="168" t="str">
        <f t="shared" si="298"/>
        <v/>
      </c>
      <c r="AV1476" s="227"/>
      <c r="AW1476" s="30"/>
      <c r="AX1476" s="267"/>
      <c r="AY1476" s="267"/>
      <c r="AZ1476" s="29"/>
      <c r="BA1476" s="30"/>
      <c r="BB1476" s="23" t="str" cm="1">
        <f t="array" ref="BB1476">_xlfn.IFS(AW1476="SIM",SUM(K1476,P1476,U1476,Z1476,AE1476,AJ1476,AO1476,AT1476,AX1476,AY1476),F1476&lt;&gt;"",SUM(K1476,P1476,U1476,Z1476,AE1476,AJ1476,,AO1476,AT1476),F1476="","")</f>
        <v/>
      </c>
      <c r="BC1476" s="211" t="str" cm="1">
        <f t="array" ref="BC1476">_xlfn.IFS(E1476="","",G1476&lt;=E1476,BB1476*(1-0.03),G1476&lt;(E1476+8),BB1476,AZ1476="Boleto",BB1476*(1+0.001)^DATEDIF(E1476,G1476,"D"),AZ1476="Cheque",BB1476,AZ1476="Dinheiro","Alterar forma pgto")</f>
        <v/>
      </c>
      <c r="BD1476" s="276" t="str" cm="1">
        <f t="array" ref="BD1476">IF(F1476=0," ",IF(BC1476&lt;BB1476,(_xlfn.IFS(AW1476="SIM",SUM(L1476,Q1476,V1476,AA1476,AF1476,AK1476,AP1476,AU1476)+AX1476/_xlfn.XLOOKUP(_xlfn.XLOOKUP($F1476,Clientes!$B$4:$B$39,Clientes!$C$4:$C$39),Cadastros!$L$6:$L$12,Cadastros!$M$6:$M$12)+IF($F1476="Bernardino Furlan",AY1476/2751.92,IF($F1476="Mauro José Salanti",AY1476/2751.92,AY1476/3356)),F1476&lt;&gt;0,SUM(L1476,Q1476,V1476,AA1476,AF1476,AK1476,AP1476,AU1476)))*(1-0.03),_xlfn.IFS(AW1476="SIM",SUM(L1476,Q1476,V1476,AA1476,AF1476,AK1476,AP1476,AU1476)+AX1476/_xlfn.XLOOKUP(_xlfn.XLOOKUP($F1476,Clientes!$B$4:$B$39,Clientes!$C$4:$C$39),Cadastros!$L$6:$L$12,Cadastros!$M$6:$M$12)+IF($F1476="Bernardino Furlan",AY1476/2751.92,IF($F1476="Mauro José Salanti",AY1476/2751.92,AY1476/3356)),F1476&lt;&gt;0,SUM(L1476,Q1476,V1476,AA1476,AF1476,AK1476,AP1476,AU1476))))</f>
        <v xml:space="preserve"> </v>
      </c>
      <c r="BE1476" s="120"/>
      <c r="BF1476" s="120"/>
      <c r="BG1476" s="120"/>
    </row>
    <row r="1477" spans="1:59" s="3" customFormat="1" x14ac:dyDescent="0.3">
      <c r="A1477" s="15" t="str">
        <f t="shared" si="286"/>
        <v/>
      </c>
      <c r="B1477" s="25"/>
      <c r="C1477" s="26"/>
      <c r="D1477" s="279"/>
      <c r="E1477" s="27"/>
      <c r="F1477" s="28"/>
      <c r="G1477" s="27"/>
      <c r="H1477" s="28"/>
      <c r="I1477" s="28"/>
      <c r="J1477" s="255" t="str">
        <f>IF(H1477="","",(_xlfn.XLOOKUP(H1477,Cadastros!$D$6:$D$90,Cadastros!$E$6:$E$90))*(1-_xlfn.XLOOKUP(_xlfn.XLOOKUP($F1477,Clientes!$B$4:$B$39,Clientes!$C$4:$C$39),Cadastros!$L$6:$L$12,Cadastros!$N$6:$N$12)))</f>
        <v/>
      </c>
      <c r="K1477" s="168" t="str">
        <f t="shared" si="287"/>
        <v/>
      </c>
      <c r="L1477" s="168" t="str">
        <f>IFERROR(K1477/_xlfn.XLOOKUP(_xlfn.XLOOKUP($F1477,Clientes!$B$4:$B$39,Clientes!$C$4:$C$39),Cadastros!$L$6:$L$12,Cadastros!$M$6:$M$12)," ")</f>
        <v xml:space="preserve"> </v>
      </c>
      <c r="M1477" s="28"/>
      <c r="N1477" s="28"/>
      <c r="O1477" s="255" t="str">
        <f>IF(M1477="","",(_xlfn.XLOOKUP(M1477,Cadastros!$D$6:$D$90,Cadastros!$E$6:$E$90))*(1-_xlfn.XLOOKUP(_xlfn.XLOOKUP($F1477,Clientes!$B$4:$B$39,Clientes!$C$4:$C$39),Cadastros!$L$6:$L$12,Cadastros!$N$6:$N$12)))</f>
        <v/>
      </c>
      <c r="P1477" s="168" t="str">
        <f t="shared" si="288"/>
        <v/>
      </c>
      <c r="Q1477" s="168" t="str">
        <f>IFERROR(P1477/_xlfn.XLOOKUP(_xlfn.XLOOKUP($F1477,Clientes!$B$4:$B$39,Clientes!$C$4:$C$39),Cadastros!$L$6:$L$12,Cadastros!$M$6:$M$12)," ")</f>
        <v xml:space="preserve"> </v>
      </c>
      <c r="R1477" s="28"/>
      <c r="S1477" s="28"/>
      <c r="T1477" s="255" t="str">
        <f>IF(R1477="","",(_xlfn.XLOOKUP(R1477,Cadastros!$D$6:$D$90,Cadastros!$E$6:$E$90))*(1-_xlfn.XLOOKUP(_xlfn.XLOOKUP($F1477,Clientes!$B$4:$B$39,Clientes!$C$4:$C$39),Cadastros!$L$6:$L$12,Cadastros!$N$6:$N$12)))</f>
        <v/>
      </c>
      <c r="U1477" s="168" t="str">
        <f t="shared" si="289"/>
        <v/>
      </c>
      <c r="V1477" s="168" t="str">
        <f>IFERROR(U1477/_xlfn.XLOOKUP(_xlfn.XLOOKUP($F1477,Clientes!$B$4:$B$39,Clientes!$C$4:$C$39),Cadastros!$L$6:$L$12,Cadastros!$M$6:$M$12)," ")</f>
        <v xml:space="preserve"> </v>
      </c>
      <c r="W1477" s="28"/>
      <c r="X1477" s="28"/>
      <c r="Y1477" s="255" t="str">
        <f>IF(W1477="","",(_xlfn.XLOOKUP(W1477,Cadastros!$D$6:$D$90,Cadastros!$E$6:$E$90))*(1-_xlfn.XLOOKUP(_xlfn.XLOOKUP($F1477,Clientes!$B$4:$B$39,Clientes!$C$4:$C$39),Cadastros!$L$6:$L$12,Cadastros!$N$6:$N$12)))</f>
        <v/>
      </c>
      <c r="Z1477" s="168" t="str">
        <f t="shared" si="290"/>
        <v/>
      </c>
      <c r="AA1477" s="168" t="str">
        <f>IFERROR(Z1477/_xlfn.XLOOKUP(_xlfn.XLOOKUP($F1477,Clientes!$B$4:$B$39,Clientes!$C$4:$C$39),Cadastros!$L$6:$L$12,Cadastros!$M$6:$M$12)," ")</f>
        <v xml:space="preserve"> </v>
      </c>
      <c r="AB1477" s="28"/>
      <c r="AC1477" s="28"/>
      <c r="AD1477" s="20" t="str">
        <f>IF(AB1477="","",IF($F1477="Bernardino Furlan",_xlfn.XLOOKUP(AB1477,Cadastros!$G$6:$G$90,Cadastros!$H$6:$H$90)*(1-0.18),IF($F1477="Mauro José Salanti",_xlfn.XLOOKUP(AB1477,Cadastros!$G$6:$G$90,Cadastros!$H$6:$H$90)*(1-0.18),_xlfn.XLOOKUP(AB1477,Cadastros!$G$6:$G$90,Cadastros!$H$6:$H$90))))</f>
        <v/>
      </c>
      <c r="AE1477" s="168" t="str">
        <f t="shared" si="291"/>
        <v/>
      </c>
      <c r="AF1477" s="168" t="str">
        <f t="shared" si="292"/>
        <v/>
      </c>
      <c r="AG1477" s="28"/>
      <c r="AH1477" s="28"/>
      <c r="AI1477" s="20" t="str">
        <f>IF(AG1477="","",IF($F1477="Bernardino Furlan",_xlfn.XLOOKUP(AG1477,Cadastros!$G$6:$G$90,Cadastros!$H$6:$H$90)*(1-0.18),IF($F1477="Mauro José Salanti",_xlfn.XLOOKUP(AG1477,Cadastros!$G$6:$G$90,Cadastros!$H$6:$H$90)*(1-0.18),_xlfn.XLOOKUP(AG1477,Cadastros!$G$6:$G$90,Cadastros!$H$6:$H$90))))</f>
        <v/>
      </c>
      <c r="AJ1477" s="168" t="str">
        <f t="shared" si="293"/>
        <v/>
      </c>
      <c r="AK1477" s="168" t="str">
        <f t="shared" si="294"/>
        <v/>
      </c>
      <c r="AL1477" s="28"/>
      <c r="AM1477" s="28"/>
      <c r="AN1477" s="20" t="str">
        <f>IF(AL1477="","",IF($F1477="Bernardino Furlan",_xlfn.XLOOKUP(AL1477,Cadastros!$G$6:$G$90,Cadastros!$H$6:$H$90)*(1-0.18),IF($F1477="Mauro José Salanti",_xlfn.XLOOKUP(AL1477,Cadastros!$G$6:$G$90,Cadastros!$H$6:$H$90)*(1-0.18),_xlfn.XLOOKUP(AL1477,Cadastros!$G$6:$G$90,Cadastros!$H$6:$H$90))))</f>
        <v/>
      </c>
      <c r="AO1477" s="168" t="str">
        <f t="shared" si="295"/>
        <v/>
      </c>
      <c r="AP1477" s="168" t="str">
        <f t="shared" si="296"/>
        <v/>
      </c>
      <c r="AQ1477" s="28"/>
      <c r="AR1477" s="28"/>
      <c r="AS1477" s="20" t="str">
        <f>IF(AQ1477="","",IF($F1477="Bernardino Furlan",_xlfn.XLOOKUP(AQ1477,Cadastros!$G$6:$G$90,Cadastros!$H$6:$H$90)*(1-0.18),IF($F1477="Mauro José Salanti",_xlfn.XLOOKUP(AQ1477,Cadastros!$G$6:$G$90,Cadastros!$H$6:$H$90)*(1-0.18),_xlfn.XLOOKUP(AQ1477,Cadastros!$G$6:$G$90,Cadastros!$H$6:$H$90))))</f>
        <v/>
      </c>
      <c r="AT1477" s="168" t="str">
        <f t="shared" si="297"/>
        <v/>
      </c>
      <c r="AU1477" s="168" t="str">
        <f t="shared" si="298"/>
        <v/>
      </c>
      <c r="AV1477" s="227"/>
      <c r="AW1477" s="30"/>
      <c r="AX1477" s="267"/>
      <c r="AY1477" s="267"/>
      <c r="AZ1477" s="29"/>
      <c r="BA1477" s="30"/>
      <c r="BB1477" s="23" t="str" cm="1">
        <f t="array" ref="BB1477">_xlfn.IFS(AW1477="SIM",SUM(K1477,P1477,U1477,Z1477,AE1477,AJ1477,AO1477,AT1477,AX1477,AY1477),F1477&lt;&gt;"",SUM(K1477,P1477,U1477,Z1477,AE1477,AJ1477,,AO1477,AT1477),F1477="","")</f>
        <v/>
      </c>
      <c r="BC1477" s="211" t="str" cm="1">
        <f t="array" ref="BC1477">_xlfn.IFS(E1477="","",G1477&lt;=E1477,BB1477*(1-0.03),G1477&lt;(E1477+8),BB1477,AZ1477="Boleto",BB1477*(1+0.001)^DATEDIF(E1477,G1477,"D"),AZ1477="Cheque",BB1477,AZ1477="Dinheiro","Alterar forma pgto")</f>
        <v/>
      </c>
      <c r="BD1477" s="276" t="str" cm="1">
        <f t="array" ref="BD1477">IF(F1477=0," ",IF(BC1477&lt;BB1477,(_xlfn.IFS(AW1477="SIM",SUM(L1477,Q1477,V1477,AA1477,AF1477,AK1477,AP1477,AU1477)+AX1477/_xlfn.XLOOKUP(_xlfn.XLOOKUP($F1477,Clientes!$B$4:$B$39,Clientes!$C$4:$C$39),Cadastros!$L$6:$L$12,Cadastros!$M$6:$M$12)+IF($F1477="Bernardino Furlan",AY1477/2751.92,IF($F1477="Mauro José Salanti",AY1477/2751.92,AY1477/3356)),F1477&lt;&gt;0,SUM(L1477,Q1477,V1477,AA1477,AF1477,AK1477,AP1477,AU1477)))*(1-0.03),_xlfn.IFS(AW1477="SIM",SUM(L1477,Q1477,V1477,AA1477,AF1477,AK1477,AP1477,AU1477)+AX1477/_xlfn.XLOOKUP(_xlfn.XLOOKUP($F1477,Clientes!$B$4:$B$39,Clientes!$C$4:$C$39),Cadastros!$L$6:$L$12,Cadastros!$M$6:$M$12)+IF($F1477="Bernardino Furlan",AY1477/2751.92,IF($F1477="Mauro José Salanti",AY1477/2751.92,AY1477/3356)),F1477&lt;&gt;0,SUM(L1477,Q1477,V1477,AA1477,AF1477,AK1477,AP1477,AU1477))))</f>
        <v xml:space="preserve"> </v>
      </c>
      <c r="BE1477" s="120"/>
      <c r="BF1477" s="120"/>
      <c r="BG1477" s="120"/>
    </row>
    <row r="1478" spans="1:59" s="3" customFormat="1" x14ac:dyDescent="0.3">
      <c r="A1478" s="15" t="str">
        <f t="shared" si="286"/>
        <v/>
      </c>
      <c r="B1478" s="25"/>
      <c r="C1478" s="26"/>
      <c r="D1478" s="279"/>
      <c r="E1478" s="27"/>
      <c r="F1478" s="28"/>
      <c r="G1478" s="27"/>
      <c r="H1478" s="28"/>
      <c r="I1478" s="28"/>
      <c r="J1478" s="255" t="str">
        <f>IF(H1478="","",(_xlfn.XLOOKUP(H1478,Cadastros!$D$6:$D$90,Cadastros!$E$6:$E$90))*(1-_xlfn.XLOOKUP(_xlfn.XLOOKUP($F1478,Clientes!$B$4:$B$39,Clientes!$C$4:$C$39),Cadastros!$L$6:$L$12,Cadastros!$N$6:$N$12)))</f>
        <v/>
      </c>
      <c r="K1478" s="168" t="str">
        <f t="shared" si="287"/>
        <v/>
      </c>
      <c r="L1478" s="168" t="str">
        <f>IFERROR(K1478/_xlfn.XLOOKUP(_xlfn.XLOOKUP($F1478,Clientes!$B$4:$B$39,Clientes!$C$4:$C$39),Cadastros!$L$6:$L$12,Cadastros!$M$6:$M$12)," ")</f>
        <v xml:space="preserve"> </v>
      </c>
      <c r="M1478" s="28"/>
      <c r="N1478" s="28"/>
      <c r="O1478" s="255" t="str">
        <f>IF(M1478="","",(_xlfn.XLOOKUP(M1478,Cadastros!$D$6:$D$90,Cadastros!$E$6:$E$90))*(1-_xlfn.XLOOKUP(_xlfn.XLOOKUP($F1478,Clientes!$B$4:$B$39,Clientes!$C$4:$C$39),Cadastros!$L$6:$L$12,Cadastros!$N$6:$N$12)))</f>
        <v/>
      </c>
      <c r="P1478" s="168" t="str">
        <f t="shared" si="288"/>
        <v/>
      </c>
      <c r="Q1478" s="168" t="str">
        <f>IFERROR(P1478/_xlfn.XLOOKUP(_xlfn.XLOOKUP($F1478,Clientes!$B$4:$B$39,Clientes!$C$4:$C$39),Cadastros!$L$6:$L$12,Cadastros!$M$6:$M$12)," ")</f>
        <v xml:space="preserve"> </v>
      </c>
      <c r="R1478" s="28"/>
      <c r="S1478" s="28"/>
      <c r="T1478" s="255" t="str">
        <f>IF(R1478="","",(_xlfn.XLOOKUP(R1478,Cadastros!$D$6:$D$90,Cadastros!$E$6:$E$90))*(1-_xlfn.XLOOKUP(_xlfn.XLOOKUP($F1478,Clientes!$B$4:$B$39,Clientes!$C$4:$C$39),Cadastros!$L$6:$L$12,Cadastros!$N$6:$N$12)))</f>
        <v/>
      </c>
      <c r="U1478" s="168" t="str">
        <f t="shared" si="289"/>
        <v/>
      </c>
      <c r="V1478" s="168" t="str">
        <f>IFERROR(U1478/_xlfn.XLOOKUP(_xlfn.XLOOKUP($F1478,Clientes!$B$4:$B$39,Clientes!$C$4:$C$39),Cadastros!$L$6:$L$12,Cadastros!$M$6:$M$12)," ")</f>
        <v xml:space="preserve"> </v>
      </c>
      <c r="W1478" s="28"/>
      <c r="X1478" s="28"/>
      <c r="Y1478" s="255" t="str">
        <f>IF(W1478="","",(_xlfn.XLOOKUP(W1478,Cadastros!$D$6:$D$90,Cadastros!$E$6:$E$90))*(1-_xlfn.XLOOKUP(_xlfn.XLOOKUP($F1478,Clientes!$B$4:$B$39,Clientes!$C$4:$C$39),Cadastros!$L$6:$L$12,Cadastros!$N$6:$N$12)))</f>
        <v/>
      </c>
      <c r="Z1478" s="168" t="str">
        <f t="shared" si="290"/>
        <v/>
      </c>
      <c r="AA1478" s="168" t="str">
        <f>IFERROR(Z1478/_xlfn.XLOOKUP(_xlfn.XLOOKUP($F1478,Clientes!$B$4:$B$39,Clientes!$C$4:$C$39),Cadastros!$L$6:$L$12,Cadastros!$M$6:$M$12)," ")</f>
        <v xml:space="preserve"> </v>
      </c>
      <c r="AB1478" s="28"/>
      <c r="AC1478" s="28"/>
      <c r="AD1478" s="20" t="str">
        <f>IF(AB1478="","",IF($F1478="Bernardino Furlan",_xlfn.XLOOKUP(AB1478,Cadastros!$G$6:$G$90,Cadastros!$H$6:$H$90)*(1-0.18),IF($F1478="Mauro José Salanti",_xlfn.XLOOKUP(AB1478,Cadastros!$G$6:$G$90,Cadastros!$H$6:$H$90)*(1-0.18),_xlfn.XLOOKUP(AB1478,Cadastros!$G$6:$G$90,Cadastros!$H$6:$H$90))))</f>
        <v/>
      </c>
      <c r="AE1478" s="168" t="str">
        <f t="shared" si="291"/>
        <v/>
      </c>
      <c r="AF1478" s="168" t="str">
        <f t="shared" si="292"/>
        <v/>
      </c>
      <c r="AG1478" s="28"/>
      <c r="AH1478" s="28"/>
      <c r="AI1478" s="20" t="str">
        <f>IF(AG1478="","",IF($F1478="Bernardino Furlan",_xlfn.XLOOKUP(AG1478,Cadastros!$G$6:$G$90,Cadastros!$H$6:$H$90)*(1-0.18),IF($F1478="Mauro José Salanti",_xlfn.XLOOKUP(AG1478,Cadastros!$G$6:$G$90,Cadastros!$H$6:$H$90)*(1-0.18),_xlfn.XLOOKUP(AG1478,Cadastros!$G$6:$G$90,Cadastros!$H$6:$H$90))))</f>
        <v/>
      </c>
      <c r="AJ1478" s="168" t="str">
        <f t="shared" si="293"/>
        <v/>
      </c>
      <c r="AK1478" s="168" t="str">
        <f t="shared" si="294"/>
        <v/>
      </c>
      <c r="AL1478" s="28"/>
      <c r="AM1478" s="28"/>
      <c r="AN1478" s="20" t="str">
        <f>IF(AL1478="","",IF($F1478="Bernardino Furlan",_xlfn.XLOOKUP(AL1478,Cadastros!$G$6:$G$90,Cadastros!$H$6:$H$90)*(1-0.18),IF($F1478="Mauro José Salanti",_xlfn.XLOOKUP(AL1478,Cadastros!$G$6:$G$90,Cadastros!$H$6:$H$90)*(1-0.18),_xlfn.XLOOKUP(AL1478,Cadastros!$G$6:$G$90,Cadastros!$H$6:$H$90))))</f>
        <v/>
      </c>
      <c r="AO1478" s="168" t="str">
        <f t="shared" si="295"/>
        <v/>
      </c>
      <c r="AP1478" s="168" t="str">
        <f t="shared" si="296"/>
        <v/>
      </c>
      <c r="AQ1478" s="28"/>
      <c r="AR1478" s="28"/>
      <c r="AS1478" s="20" t="str">
        <f>IF(AQ1478="","",IF($F1478="Bernardino Furlan",_xlfn.XLOOKUP(AQ1478,Cadastros!$G$6:$G$90,Cadastros!$H$6:$H$90)*(1-0.18),IF($F1478="Mauro José Salanti",_xlfn.XLOOKUP(AQ1478,Cadastros!$G$6:$G$90,Cadastros!$H$6:$H$90)*(1-0.18),_xlfn.XLOOKUP(AQ1478,Cadastros!$G$6:$G$90,Cadastros!$H$6:$H$90))))</f>
        <v/>
      </c>
      <c r="AT1478" s="168" t="str">
        <f t="shared" si="297"/>
        <v/>
      </c>
      <c r="AU1478" s="168" t="str">
        <f t="shared" si="298"/>
        <v/>
      </c>
      <c r="AV1478" s="227"/>
      <c r="AW1478" s="30"/>
      <c r="AX1478" s="267"/>
      <c r="AY1478" s="267"/>
      <c r="AZ1478" s="29"/>
      <c r="BA1478" s="30"/>
      <c r="BB1478" s="23" t="str" cm="1">
        <f t="array" ref="BB1478">_xlfn.IFS(AW1478="SIM",SUM(K1478,P1478,U1478,Z1478,AE1478,AJ1478,AO1478,AT1478,AX1478,AY1478),F1478&lt;&gt;"",SUM(K1478,P1478,U1478,Z1478,AE1478,AJ1478,,AO1478,AT1478),F1478="","")</f>
        <v/>
      </c>
      <c r="BC1478" s="211" t="str" cm="1">
        <f t="array" ref="BC1478">_xlfn.IFS(E1478="","",G1478&lt;=E1478,BB1478*(1-0.03),G1478&lt;(E1478+8),BB1478,AZ1478="Boleto",BB1478*(1+0.001)^DATEDIF(E1478,G1478,"D"),AZ1478="Cheque",BB1478,AZ1478="Dinheiro","Alterar forma pgto")</f>
        <v/>
      </c>
      <c r="BD1478" s="276" t="str" cm="1">
        <f t="array" ref="BD1478">IF(F1478=0," ",IF(BC1478&lt;BB1478,(_xlfn.IFS(AW1478="SIM",SUM(L1478,Q1478,V1478,AA1478,AF1478,AK1478,AP1478,AU1478)+AX1478/_xlfn.XLOOKUP(_xlfn.XLOOKUP($F1478,Clientes!$B$4:$B$39,Clientes!$C$4:$C$39),Cadastros!$L$6:$L$12,Cadastros!$M$6:$M$12)+IF($F1478="Bernardino Furlan",AY1478/2751.92,IF($F1478="Mauro José Salanti",AY1478/2751.92,AY1478/3356)),F1478&lt;&gt;0,SUM(L1478,Q1478,V1478,AA1478,AF1478,AK1478,AP1478,AU1478)))*(1-0.03),_xlfn.IFS(AW1478="SIM",SUM(L1478,Q1478,V1478,AA1478,AF1478,AK1478,AP1478,AU1478)+AX1478/_xlfn.XLOOKUP(_xlfn.XLOOKUP($F1478,Clientes!$B$4:$B$39,Clientes!$C$4:$C$39),Cadastros!$L$6:$L$12,Cadastros!$M$6:$M$12)+IF($F1478="Bernardino Furlan",AY1478/2751.92,IF($F1478="Mauro José Salanti",AY1478/2751.92,AY1478/3356)),F1478&lt;&gt;0,SUM(L1478,Q1478,V1478,AA1478,AF1478,AK1478,AP1478,AU1478))))</f>
        <v xml:space="preserve"> </v>
      </c>
      <c r="BE1478" s="120"/>
      <c r="BF1478" s="120"/>
      <c r="BG1478" s="120"/>
    </row>
    <row r="1479" spans="1:59" s="3" customFormat="1" x14ac:dyDescent="0.3">
      <c r="A1479" s="15" t="str">
        <f t="shared" si="286"/>
        <v/>
      </c>
      <c r="B1479" s="25"/>
      <c r="C1479" s="26"/>
      <c r="D1479" s="279"/>
      <c r="E1479" s="27"/>
      <c r="F1479" s="28"/>
      <c r="G1479" s="27"/>
      <c r="H1479" s="28"/>
      <c r="I1479" s="28"/>
      <c r="J1479" s="255" t="str">
        <f>IF(H1479="","",(_xlfn.XLOOKUP(H1479,Cadastros!$D$6:$D$90,Cadastros!$E$6:$E$90))*(1-_xlfn.XLOOKUP(_xlfn.XLOOKUP($F1479,Clientes!$B$4:$B$39,Clientes!$C$4:$C$39),Cadastros!$L$6:$L$12,Cadastros!$N$6:$N$12)))</f>
        <v/>
      </c>
      <c r="K1479" s="168" t="str">
        <f t="shared" si="287"/>
        <v/>
      </c>
      <c r="L1479" s="168" t="str">
        <f>IFERROR(K1479/_xlfn.XLOOKUP(_xlfn.XLOOKUP($F1479,Clientes!$B$4:$B$39,Clientes!$C$4:$C$39),Cadastros!$L$6:$L$12,Cadastros!$M$6:$M$12)," ")</f>
        <v xml:space="preserve"> </v>
      </c>
      <c r="M1479" s="28"/>
      <c r="N1479" s="28"/>
      <c r="O1479" s="255" t="str">
        <f>IF(M1479="","",(_xlfn.XLOOKUP(M1479,Cadastros!$D$6:$D$90,Cadastros!$E$6:$E$90))*(1-_xlfn.XLOOKUP(_xlfn.XLOOKUP($F1479,Clientes!$B$4:$B$39,Clientes!$C$4:$C$39),Cadastros!$L$6:$L$12,Cadastros!$N$6:$N$12)))</f>
        <v/>
      </c>
      <c r="P1479" s="168" t="str">
        <f t="shared" si="288"/>
        <v/>
      </c>
      <c r="Q1479" s="168" t="str">
        <f>IFERROR(P1479/_xlfn.XLOOKUP(_xlfn.XLOOKUP($F1479,Clientes!$B$4:$B$39,Clientes!$C$4:$C$39),Cadastros!$L$6:$L$12,Cadastros!$M$6:$M$12)," ")</f>
        <v xml:space="preserve"> </v>
      </c>
      <c r="R1479" s="28"/>
      <c r="S1479" s="28"/>
      <c r="T1479" s="255" t="str">
        <f>IF(R1479="","",(_xlfn.XLOOKUP(R1479,Cadastros!$D$6:$D$90,Cadastros!$E$6:$E$90))*(1-_xlfn.XLOOKUP(_xlfn.XLOOKUP($F1479,Clientes!$B$4:$B$39,Clientes!$C$4:$C$39),Cadastros!$L$6:$L$12,Cadastros!$N$6:$N$12)))</f>
        <v/>
      </c>
      <c r="U1479" s="168" t="str">
        <f t="shared" si="289"/>
        <v/>
      </c>
      <c r="V1479" s="168" t="str">
        <f>IFERROR(U1479/_xlfn.XLOOKUP(_xlfn.XLOOKUP($F1479,Clientes!$B$4:$B$39,Clientes!$C$4:$C$39),Cadastros!$L$6:$L$12,Cadastros!$M$6:$M$12)," ")</f>
        <v xml:space="preserve"> </v>
      </c>
      <c r="W1479" s="28"/>
      <c r="X1479" s="28"/>
      <c r="Y1479" s="255" t="str">
        <f>IF(W1479="","",(_xlfn.XLOOKUP(W1479,Cadastros!$D$6:$D$90,Cadastros!$E$6:$E$90))*(1-_xlfn.XLOOKUP(_xlfn.XLOOKUP($F1479,Clientes!$B$4:$B$39,Clientes!$C$4:$C$39),Cadastros!$L$6:$L$12,Cadastros!$N$6:$N$12)))</f>
        <v/>
      </c>
      <c r="Z1479" s="168" t="str">
        <f t="shared" si="290"/>
        <v/>
      </c>
      <c r="AA1479" s="168" t="str">
        <f>IFERROR(Z1479/_xlfn.XLOOKUP(_xlfn.XLOOKUP($F1479,Clientes!$B$4:$B$39,Clientes!$C$4:$C$39),Cadastros!$L$6:$L$12,Cadastros!$M$6:$M$12)," ")</f>
        <v xml:space="preserve"> </v>
      </c>
      <c r="AB1479" s="28"/>
      <c r="AC1479" s="28"/>
      <c r="AD1479" s="20" t="str">
        <f>IF(AB1479="","",IF($F1479="Bernardino Furlan",_xlfn.XLOOKUP(AB1479,Cadastros!$G$6:$G$90,Cadastros!$H$6:$H$90)*(1-0.18),IF($F1479="Mauro José Salanti",_xlfn.XLOOKUP(AB1479,Cadastros!$G$6:$G$90,Cadastros!$H$6:$H$90)*(1-0.18),_xlfn.XLOOKUP(AB1479,Cadastros!$G$6:$G$90,Cadastros!$H$6:$H$90))))</f>
        <v/>
      </c>
      <c r="AE1479" s="168" t="str">
        <f t="shared" si="291"/>
        <v/>
      </c>
      <c r="AF1479" s="168" t="str">
        <f t="shared" si="292"/>
        <v/>
      </c>
      <c r="AG1479" s="28"/>
      <c r="AH1479" s="28"/>
      <c r="AI1479" s="20" t="str">
        <f>IF(AG1479="","",IF($F1479="Bernardino Furlan",_xlfn.XLOOKUP(AG1479,Cadastros!$G$6:$G$90,Cadastros!$H$6:$H$90)*(1-0.18),IF($F1479="Mauro José Salanti",_xlfn.XLOOKUP(AG1479,Cadastros!$G$6:$G$90,Cadastros!$H$6:$H$90)*(1-0.18),_xlfn.XLOOKUP(AG1479,Cadastros!$G$6:$G$90,Cadastros!$H$6:$H$90))))</f>
        <v/>
      </c>
      <c r="AJ1479" s="168" t="str">
        <f t="shared" si="293"/>
        <v/>
      </c>
      <c r="AK1479" s="168" t="str">
        <f t="shared" si="294"/>
        <v/>
      </c>
      <c r="AL1479" s="28"/>
      <c r="AM1479" s="28"/>
      <c r="AN1479" s="20" t="str">
        <f>IF(AL1479="","",IF($F1479="Bernardino Furlan",_xlfn.XLOOKUP(AL1479,Cadastros!$G$6:$G$90,Cadastros!$H$6:$H$90)*(1-0.18),IF($F1479="Mauro José Salanti",_xlfn.XLOOKUP(AL1479,Cadastros!$G$6:$G$90,Cadastros!$H$6:$H$90)*(1-0.18),_xlfn.XLOOKUP(AL1479,Cadastros!$G$6:$G$90,Cadastros!$H$6:$H$90))))</f>
        <v/>
      </c>
      <c r="AO1479" s="168" t="str">
        <f t="shared" si="295"/>
        <v/>
      </c>
      <c r="AP1479" s="168" t="str">
        <f t="shared" si="296"/>
        <v/>
      </c>
      <c r="AQ1479" s="28"/>
      <c r="AR1479" s="28"/>
      <c r="AS1479" s="20" t="str">
        <f>IF(AQ1479="","",IF($F1479="Bernardino Furlan",_xlfn.XLOOKUP(AQ1479,Cadastros!$G$6:$G$90,Cadastros!$H$6:$H$90)*(1-0.18),IF($F1479="Mauro José Salanti",_xlfn.XLOOKUP(AQ1479,Cadastros!$G$6:$G$90,Cadastros!$H$6:$H$90)*(1-0.18),_xlfn.XLOOKUP(AQ1479,Cadastros!$G$6:$G$90,Cadastros!$H$6:$H$90))))</f>
        <v/>
      </c>
      <c r="AT1479" s="168" t="str">
        <f t="shared" si="297"/>
        <v/>
      </c>
      <c r="AU1479" s="168" t="str">
        <f t="shared" si="298"/>
        <v/>
      </c>
      <c r="AV1479" s="227"/>
      <c r="AW1479" s="30"/>
      <c r="AX1479" s="267"/>
      <c r="AY1479" s="267"/>
      <c r="AZ1479" s="29"/>
      <c r="BA1479" s="30"/>
      <c r="BB1479" s="23" t="str" cm="1">
        <f t="array" ref="BB1479">_xlfn.IFS(AW1479="SIM",SUM(K1479,P1479,U1479,Z1479,AE1479,AJ1479,AO1479,AT1479,AX1479,AY1479),F1479&lt;&gt;"",SUM(K1479,P1479,U1479,Z1479,AE1479,AJ1479,,AO1479,AT1479),F1479="","")</f>
        <v/>
      </c>
      <c r="BC1479" s="211" t="str" cm="1">
        <f t="array" ref="BC1479">_xlfn.IFS(E1479="","",G1479&lt;=E1479,BB1479*(1-0.03),G1479&lt;(E1479+8),BB1479,AZ1479="Boleto",BB1479*(1+0.001)^DATEDIF(E1479,G1479,"D"),AZ1479="Cheque",BB1479,AZ1479="Dinheiro","Alterar forma pgto")</f>
        <v/>
      </c>
      <c r="BD1479" s="276" t="str" cm="1">
        <f t="array" ref="BD1479">IF(F1479=0," ",IF(BC1479&lt;BB1479,(_xlfn.IFS(AW1479="SIM",SUM(L1479,Q1479,V1479,AA1479,AF1479,AK1479,AP1479,AU1479)+AX1479/_xlfn.XLOOKUP(_xlfn.XLOOKUP($F1479,Clientes!$B$4:$B$39,Clientes!$C$4:$C$39),Cadastros!$L$6:$L$12,Cadastros!$M$6:$M$12)+IF($F1479="Bernardino Furlan",AY1479/2751.92,IF($F1479="Mauro José Salanti",AY1479/2751.92,AY1479/3356)),F1479&lt;&gt;0,SUM(L1479,Q1479,V1479,AA1479,AF1479,AK1479,AP1479,AU1479)))*(1-0.03),_xlfn.IFS(AW1479="SIM",SUM(L1479,Q1479,V1479,AA1479,AF1479,AK1479,AP1479,AU1479)+AX1479/_xlfn.XLOOKUP(_xlfn.XLOOKUP($F1479,Clientes!$B$4:$B$39,Clientes!$C$4:$C$39),Cadastros!$L$6:$L$12,Cadastros!$M$6:$M$12)+IF($F1479="Bernardino Furlan",AY1479/2751.92,IF($F1479="Mauro José Salanti",AY1479/2751.92,AY1479/3356)),F1479&lt;&gt;0,SUM(L1479,Q1479,V1479,AA1479,AF1479,AK1479,AP1479,AU1479))))</f>
        <v xml:space="preserve"> </v>
      </c>
      <c r="BE1479" s="120"/>
      <c r="BF1479" s="120"/>
      <c r="BG1479" s="120"/>
    </row>
    <row r="1480" spans="1:59" s="3" customFormat="1" x14ac:dyDescent="0.3">
      <c r="A1480" s="15" t="str">
        <f t="shared" ref="A1480:A1543" si="299">IF(C1480="orçamento",25%,IF(C1480="aprovado",50%,IF(C1480="entregue",100%,IF(C1480="não aceito",0%,""))))</f>
        <v/>
      </c>
      <c r="B1480" s="25"/>
      <c r="C1480" s="26"/>
      <c r="D1480" s="279"/>
      <c r="E1480" s="27"/>
      <c r="F1480" s="28"/>
      <c r="G1480" s="27"/>
      <c r="H1480" s="28"/>
      <c r="I1480" s="28"/>
      <c r="J1480" s="255" t="str">
        <f>IF(H1480="","",(_xlfn.XLOOKUP(H1480,Cadastros!$D$6:$D$90,Cadastros!$E$6:$E$90))*(1-_xlfn.XLOOKUP(_xlfn.XLOOKUP($F1480,Clientes!$B$4:$B$39,Clientes!$C$4:$C$39),Cadastros!$L$6:$L$12,Cadastros!$N$6:$N$12)))</f>
        <v/>
      </c>
      <c r="K1480" s="168" t="str">
        <f t="shared" ref="K1480:K1543" si="300">IF(J1480="","",I1480*J1480)</f>
        <v/>
      </c>
      <c r="L1480" s="168" t="str">
        <f>IFERROR(K1480/_xlfn.XLOOKUP(_xlfn.XLOOKUP($F1480,Clientes!$B$4:$B$39,Clientes!$C$4:$C$39),Cadastros!$L$6:$L$12,Cadastros!$M$6:$M$12)," ")</f>
        <v xml:space="preserve"> </v>
      </c>
      <c r="M1480" s="28"/>
      <c r="N1480" s="28"/>
      <c r="O1480" s="255" t="str">
        <f>IF(M1480="","",(_xlfn.XLOOKUP(M1480,Cadastros!$D$6:$D$90,Cadastros!$E$6:$E$90))*(1-_xlfn.XLOOKUP(_xlfn.XLOOKUP($F1480,Clientes!$B$4:$B$39,Clientes!$C$4:$C$39),Cadastros!$L$6:$L$12,Cadastros!$N$6:$N$12)))</f>
        <v/>
      </c>
      <c r="P1480" s="168" t="str">
        <f t="shared" ref="P1480:P1543" si="301">IF(O1480="","",N1480*O1480)</f>
        <v/>
      </c>
      <c r="Q1480" s="168" t="str">
        <f>IFERROR(P1480/_xlfn.XLOOKUP(_xlfn.XLOOKUP($F1480,Clientes!$B$4:$B$39,Clientes!$C$4:$C$39),Cadastros!$L$6:$L$12,Cadastros!$M$6:$M$12)," ")</f>
        <v xml:space="preserve"> </v>
      </c>
      <c r="R1480" s="28"/>
      <c r="S1480" s="28"/>
      <c r="T1480" s="255" t="str">
        <f>IF(R1480="","",(_xlfn.XLOOKUP(R1480,Cadastros!$D$6:$D$90,Cadastros!$E$6:$E$90))*(1-_xlfn.XLOOKUP(_xlfn.XLOOKUP($F1480,Clientes!$B$4:$B$39,Clientes!$C$4:$C$39),Cadastros!$L$6:$L$12,Cadastros!$N$6:$N$12)))</f>
        <v/>
      </c>
      <c r="U1480" s="168" t="str">
        <f t="shared" ref="U1480:U1543" si="302">IF(T1480="","",S1480*T1480)</f>
        <v/>
      </c>
      <c r="V1480" s="168" t="str">
        <f>IFERROR(U1480/_xlfn.XLOOKUP(_xlfn.XLOOKUP($F1480,Clientes!$B$4:$B$39,Clientes!$C$4:$C$39),Cadastros!$L$6:$L$12,Cadastros!$M$6:$M$12)," ")</f>
        <v xml:space="preserve"> </v>
      </c>
      <c r="W1480" s="28"/>
      <c r="X1480" s="28"/>
      <c r="Y1480" s="255" t="str">
        <f>IF(W1480="","",(_xlfn.XLOOKUP(W1480,Cadastros!$D$6:$D$90,Cadastros!$E$6:$E$90))*(1-_xlfn.XLOOKUP(_xlfn.XLOOKUP($F1480,Clientes!$B$4:$B$39,Clientes!$C$4:$C$39),Cadastros!$L$6:$L$12,Cadastros!$N$6:$N$12)))</f>
        <v/>
      </c>
      <c r="Z1480" s="168" t="str">
        <f t="shared" ref="Z1480:Z1543" si="303">IF(Y1480="","",X1480*Y1480)</f>
        <v/>
      </c>
      <c r="AA1480" s="168" t="str">
        <f>IFERROR(Z1480/_xlfn.XLOOKUP(_xlfn.XLOOKUP($F1480,Clientes!$B$4:$B$39,Clientes!$C$4:$C$39),Cadastros!$L$6:$L$12,Cadastros!$M$6:$M$12)," ")</f>
        <v xml:space="preserve"> </v>
      </c>
      <c r="AB1480" s="28"/>
      <c r="AC1480" s="28"/>
      <c r="AD1480" s="20" t="str">
        <f>IF(AB1480="","",IF($F1480="Bernardino Furlan",_xlfn.XLOOKUP(AB1480,Cadastros!$G$6:$G$90,Cadastros!$H$6:$H$90)*(1-0.18),IF($F1480="Mauro José Salanti",_xlfn.XLOOKUP(AB1480,Cadastros!$G$6:$G$90,Cadastros!$H$6:$H$90)*(1-0.18),_xlfn.XLOOKUP(AB1480,Cadastros!$G$6:$G$90,Cadastros!$H$6:$H$90))))</f>
        <v/>
      </c>
      <c r="AE1480" s="168" t="str">
        <f t="shared" ref="AE1480:AE1543" si="304">IF(AD1480="","",AC1480*AD1480)</f>
        <v/>
      </c>
      <c r="AF1480" s="168" t="str">
        <f t="shared" ref="AF1480:AF1543" si="305">IFERROR(IF($F1480="Bernardino Furlan",AE1480/2751.92,IF($F1480="Mauro José Salanti",AE1480/2751.92,AE1480/3356)),"")</f>
        <v/>
      </c>
      <c r="AG1480" s="28"/>
      <c r="AH1480" s="28"/>
      <c r="AI1480" s="20" t="str">
        <f>IF(AG1480="","",IF($F1480="Bernardino Furlan",_xlfn.XLOOKUP(AG1480,Cadastros!$G$6:$G$90,Cadastros!$H$6:$H$90)*(1-0.18),IF($F1480="Mauro José Salanti",_xlfn.XLOOKUP(AG1480,Cadastros!$G$6:$G$90,Cadastros!$H$6:$H$90)*(1-0.18),_xlfn.XLOOKUP(AG1480,Cadastros!$G$6:$G$90,Cadastros!$H$6:$H$90))))</f>
        <v/>
      </c>
      <c r="AJ1480" s="168" t="str">
        <f t="shared" ref="AJ1480:AJ1543" si="306">IF(AI1480="","",AH1480*AI1480)</f>
        <v/>
      </c>
      <c r="AK1480" s="168" t="str">
        <f t="shared" ref="AK1480:AK1543" si="307">IFERROR(IF($F1480="Bernardino Furlan",AJ1480/2751.92,IF($F1480="Mauro José Salanti",AJ1480/2751.92,AJ1480/3356)),"")</f>
        <v/>
      </c>
      <c r="AL1480" s="28"/>
      <c r="AM1480" s="28"/>
      <c r="AN1480" s="20" t="str">
        <f>IF(AL1480="","",IF($F1480="Bernardino Furlan",_xlfn.XLOOKUP(AL1480,Cadastros!$G$6:$G$90,Cadastros!$H$6:$H$90)*(1-0.18),IF($F1480="Mauro José Salanti",_xlfn.XLOOKUP(AL1480,Cadastros!$G$6:$G$90,Cadastros!$H$6:$H$90)*(1-0.18),_xlfn.XLOOKUP(AL1480,Cadastros!$G$6:$G$90,Cadastros!$H$6:$H$90))))</f>
        <v/>
      </c>
      <c r="AO1480" s="168" t="str">
        <f t="shared" ref="AO1480:AO1543" si="308">IF(AN1480="","",AM1480*AN1480)</f>
        <v/>
      </c>
      <c r="AP1480" s="168" t="str">
        <f t="shared" ref="AP1480:AP1543" si="309">IFERROR(IF($F1480="Bernardino Furlan",AO1480/2751.92,IF($F1480="Mauro José Salanti",AO1480/2751.92,AO1480/3356)),"")</f>
        <v/>
      </c>
      <c r="AQ1480" s="28"/>
      <c r="AR1480" s="28"/>
      <c r="AS1480" s="20" t="str">
        <f>IF(AQ1480="","",IF($F1480="Bernardino Furlan",_xlfn.XLOOKUP(AQ1480,Cadastros!$G$6:$G$90,Cadastros!$H$6:$H$90)*(1-0.18),IF($F1480="Mauro José Salanti",_xlfn.XLOOKUP(AQ1480,Cadastros!$G$6:$G$90,Cadastros!$H$6:$H$90)*(1-0.18),_xlfn.XLOOKUP(AQ1480,Cadastros!$G$6:$G$90,Cadastros!$H$6:$H$90))))</f>
        <v/>
      </c>
      <c r="AT1480" s="168" t="str">
        <f t="shared" ref="AT1480:AT1543" si="310">IF(AS1480="","",AR1480*AS1480)</f>
        <v/>
      </c>
      <c r="AU1480" s="168" t="str">
        <f t="shared" ref="AU1480:AU1543" si="311">IFERROR(IF($F1480="Bernardino Furlan",AT1480/2751.92,IF($F1480="Mauro José Salanti",AT1480/2751.92,AT1480/3356)),"")</f>
        <v/>
      </c>
      <c r="AV1480" s="227"/>
      <c r="AW1480" s="30"/>
      <c r="AX1480" s="267"/>
      <c r="AY1480" s="267"/>
      <c r="AZ1480" s="29"/>
      <c r="BA1480" s="30"/>
      <c r="BB1480" s="23" t="str" cm="1">
        <f t="array" ref="BB1480">_xlfn.IFS(AW1480="SIM",SUM(K1480,P1480,U1480,Z1480,AE1480,AJ1480,AO1480,AT1480,AX1480,AY1480),F1480&lt;&gt;"",SUM(K1480,P1480,U1480,Z1480,AE1480,AJ1480,,AO1480,AT1480),F1480="","")</f>
        <v/>
      </c>
      <c r="BC1480" s="211" t="str" cm="1">
        <f t="array" ref="BC1480">_xlfn.IFS(E1480="","",G1480&lt;=E1480,BB1480*(1-0.03),G1480&lt;(E1480+8),BB1480,AZ1480="Boleto",BB1480*(1+0.001)^DATEDIF(E1480,G1480,"D"),AZ1480="Cheque",BB1480,AZ1480="Dinheiro","Alterar forma pgto")</f>
        <v/>
      </c>
      <c r="BD1480" s="276" t="str" cm="1">
        <f t="array" ref="BD1480">IF(F1480=0," ",IF(BC1480&lt;BB1480,(_xlfn.IFS(AW1480="SIM",SUM(L1480,Q1480,V1480,AA1480,AF1480,AK1480,AP1480,AU1480)+AX1480/_xlfn.XLOOKUP(_xlfn.XLOOKUP($F1480,Clientes!$B$4:$B$39,Clientes!$C$4:$C$39),Cadastros!$L$6:$L$12,Cadastros!$M$6:$M$12)+IF($F1480="Bernardino Furlan",AY1480/2751.92,IF($F1480="Mauro José Salanti",AY1480/2751.92,AY1480/3356)),F1480&lt;&gt;0,SUM(L1480,Q1480,V1480,AA1480,AF1480,AK1480,AP1480,AU1480)))*(1-0.03),_xlfn.IFS(AW1480="SIM",SUM(L1480,Q1480,V1480,AA1480,AF1480,AK1480,AP1480,AU1480)+AX1480/_xlfn.XLOOKUP(_xlfn.XLOOKUP($F1480,Clientes!$B$4:$B$39,Clientes!$C$4:$C$39),Cadastros!$L$6:$L$12,Cadastros!$M$6:$M$12)+IF($F1480="Bernardino Furlan",AY1480/2751.92,IF($F1480="Mauro José Salanti",AY1480/2751.92,AY1480/3356)),F1480&lt;&gt;0,SUM(L1480,Q1480,V1480,AA1480,AF1480,AK1480,AP1480,AU1480))))</f>
        <v xml:space="preserve"> </v>
      </c>
      <c r="BE1480" s="120"/>
      <c r="BF1480" s="120"/>
      <c r="BG1480" s="120"/>
    </row>
    <row r="1481" spans="1:59" s="3" customFormat="1" x14ac:dyDescent="0.3">
      <c r="A1481" s="15" t="str">
        <f t="shared" si="299"/>
        <v/>
      </c>
      <c r="B1481" s="25"/>
      <c r="C1481" s="26"/>
      <c r="D1481" s="279"/>
      <c r="E1481" s="27"/>
      <c r="F1481" s="28"/>
      <c r="G1481" s="27"/>
      <c r="H1481" s="28"/>
      <c r="I1481" s="28"/>
      <c r="J1481" s="255" t="str">
        <f>IF(H1481="","",(_xlfn.XLOOKUP(H1481,Cadastros!$D$6:$D$90,Cadastros!$E$6:$E$90))*(1-_xlfn.XLOOKUP(_xlfn.XLOOKUP($F1481,Clientes!$B$4:$B$39,Clientes!$C$4:$C$39),Cadastros!$L$6:$L$12,Cadastros!$N$6:$N$12)))</f>
        <v/>
      </c>
      <c r="K1481" s="168" t="str">
        <f t="shared" si="300"/>
        <v/>
      </c>
      <c r="L1481" s="168" t="str">
        <f>IFERROR(K1481/_xlfn.XLOOKUP(_xlfn.XLOOKUP($F1481,Clientes!$B$4:$B$39,Clientes!$C$4:$C$39),Cadastros!$L$6:$L$12,Cadastros!$M$6:$M$12)," ")</f>
        <v xml:space="preserve"> </v>
      </c>
      <c r="M1481" s="28"/>
      <c r="N1481" s="28"/>
      <c r="O1481" s="255" t="str">
        <f>IF(M1481="","",(_xlfn.XLOOKUP(M1481,Cadastros!$D$6:$D$90,Cadastros!$E$6:$E$90))*(1-_xlfn.XLOOKUP(_xlfn.XLOOKUP($F1481,Clientes!$B$4:$B$39,Clientes!$C$4:$C$39),Cadastros!$L$6:$L$12,Cadastros!$N$6:$N$12)))</f>
        <v/>
      </c>
      <c r="P1481" s="168" t="str">
        <f t="shared" si="301"/>
        <v/>
      </c>
      <c r="Q1481" s="168" t="str">
        <f>IFERROR(P1481/_xlfn.XLOOKUP(_xlfn.XLOOKUP($F1481,Clientes!$B$4:$B$39,Clientes!$C$4:$C$39),Cadastros!$L$6:$L$12,Cadastros!$M$6:$M$12)," ")</f>
        <v xml:space="preserve"> </v>
      </c>
      <c r="R1481" s="28"/>
      <c r="S1481" s="28"/>
      <c r="T1481" s="255" t="str">
        <f>IF(R1481="","",(_xlfn.XLOOKUP(R1481,Cadastros!$D$6:$D$90,Cadastros!$E$6:$E$90))*(1-_xlfn.XLOOKUP(_xlfn.XLOOKUP($F1481,Clientes!$B$4:$B$39,Clientes!$C$4:$C$39),Cadastros!$L$6:$L$12,Cadastros!$N$6:$N$12)))</f>
        <v/>
      </c>
      <c r="U1481" s="168" t="str">
        <f t="shared" si="302"/>
        <v/>
      </c>
      <c r="V1481" s="168" t="str">
        <f>IFERROR(U1481/_xlfn.XLOOKUP(_xlfn.XLOOKUP($F1481,Clientes!$B$4:$B$39,Clientes!$C$4:$C$39),Cadastros!$L$6:$L$12,Cadastros!$M$6:$M$12)," ")</f>
        <v xml:space="preserve"> </v>
      </c>
      <c r="W1481" s="28"/>
      <c r="X1481" s="28"/>
      <c r="Y1481" s="255" t="str">
        <f>IF(W1481="","",(_xlfn.XLOOKUP(W1481,Cadastros!$D$6:$D$90,Cadastros!$E$6:$E$90))*(1-_xlfn.XLOOKUP(_xlfn.XLOOKUP($F1481,Clientes!$B$4:$B$39,Clientes!$C$4:$C$39),Cadastros!$L$6:$L$12,Cadastros!$N$6:$N$12)))</f>
        <v/>
      </c>
      <c r="Z1481" s="168" t="str">
        <f t="shared" si="303"/>
        <v/>
      </c>
      <c r="AA1481" s="168" t="str">
        <f>IFERROR(Z1481/_xlfn.XLOOKUP(_xlfn.XLOOKUP($F1481,Clientes!$B$4:$B$39,Clientes!$C$4:$C$39),Cadastros!$L$6:$L$12,Cadastros!$M$6:$M$12)," ")</f>
        <v xml:space="preserve"> </v>
      </c>
      <c r="AB1481" s="28"/>
      <c r="AC1481" s="28"/>
      <c r="AD1481" s="20" t="str">
        <f>IF(AB1481="","",IF($F1481="Bernardino Furlan",_xlfn.XLOOKUP(AB1481,Cadastros!$G$6:$G$90,Cadastros!$H$6:$H$90)*(1-0.18),IF($F1481="Mauro José Salanti",_xlfn.XLOOKUP(AB1481,Cadastros!$G$6:$G$90,Cadastros!$H$6:$H$90)*(1-0.18),_xlfn.XLOOKUP(AB1481,Cadastros!$G$6:$G$90,Cadastros!$H$6:$H$90))))</f>
        <v/>
      </c>
      <c r="AE1481" s="168" t="str">
        <f t="shared" si="304"/>
        <v/>
      </c>
      <c r="AF1481" s="168" t="str">
        <f t="shared" si="305"/>
        <v/>
      </c>
      <c r="AG1481" s="28"/>
      <c r="AH1481" s="28"/>
      <c r="AI1481" s="20" t="str">
        <f>IF(AG1481="","",IF($F1481="Bernardino Furlan",_xlfn.XLOOKUP(AG1481,Cadastros!$G$6:$G$90,Cadastros!$H$6:$H$90)*(1-0.18),IF($F1481="Mauro José Salanti",_xlfn.XLOOKUP(AG1481,Cadastros!$G$6:$G$90,Cadastros!$H$6:$H$90)*(1-0.18),_xlfn.XLOOKUP(AG1481,Cadastros!$G$6:$G$90,Cadastros!$H$6:$H$90))))</f>
        <v/>
      </c>
      <c r="AJ1481" s="168" t="str">
        <f t="shared" si="306"/>
        <v/>
      </c>
      <c r="AK1481" s="168" t="str">
        <f t="shared" si="307"/>
        <v/>
      </c>
      <c r="AL1481" s="28"/>
      <c r="AM1481" s="28"/>
      <c r="AN1481" s="20" t="str">
        <f>IF(AL1481="","",IF($F1481="Bernardino Furlan",_xlfn.XLOOKUP(AL1481,Cadastros!$G$6:$G$90,Cadastros!$H$6:$H$90)*(1-0.18),IF($F1481="Mauro José Salanti",_xlfn.XLOOKUP(AL1481,Cadastros!$G$6:$G$90,Cadastros!$H$6:$H$90)*(1-0.18),_xlfn.XLOOKUP(AL1481,Cadastros!$G$6:$G$90,Cadastros!$H$6:$H$90))))</f>
        <v/>
      </c>
      <c r="AO1481" s="168" t="str">
        <f t="shared" si="308"/>
        <v/>
      </c>
      <c r="AP1481" s="168" t="str">
        <f t="shared" si="309"/>
        <v/>
      </c>
      <c r="AQ1481" s="28"/>
      <c r="AR1481" s="28"/>
      <c r="AS1481" s="20" t="str">
        <f>IF(AQ1481="","",IF($F1481="Bernardino Furlan",_xlfn.XLOOKUP(AQ1481,Cadastros!$G$6:$G$90,Cadastros!$H$6:$H$90)*(1-0.18),IF($F1481="Mauro José Salanti",_xlfn.XLOOKUP(AQ1481,Cadastros!$G$6:$G$90,Cadastros!$H$6:$H$90)*(1-0.18),_xlfn.XLOOKUP(AQ1481,Cadastros!$G$6:$G$90,Cadastros!$H$6:$H$90))))</f>
        <v/>
      </c>
      <c r="AT1481" s="168" t="str">
        <f t="shared" si="310"/>
        <v/>
      </c>
      <c r="AU1481" s="168" t="str">
        <f t="shared" si="311"/>
        <v/>
      </c>
      <c r="AV1481" s="227"/>
      <c r="AW1481" s="30"/>
      <c r="AX1481" s="267"/>
      <c r="AY1481" s="267"/>
      <c r="AZ1481" s="29"/>
      <c r="BA1481" s="30"/>
      <c r="BB1481" s="23" t="str" cm="1">
        <f t="array" ref="BB1481">_xlfn.IFS(AW1481="SIM",SUM(K1481,P1481,U1481,Z1481,AE1481,AJ1481,AO1481,AT1481,AX1481,AY1481),F1481&lt;&gt;"",SUM(K1481,P1481,U1481,Z1481,AE1481,AJ1481,,AO1481,AT1481),F1481="","")</f>
        <v/>
      </c>
      <c r="BC1481" s="211" t="str" cm="1">
        <f t="array" ref="BC1481">_xlfn.IFS(E1481="","",G1481&lt;=E1481,BB1481*(1-0.03),G1481&lt;(E1481+8),BB1481,AZ1481="Boleto",BB1481*(1+0.001)^DATEDIF(E1481,G1481,"D"),AZ1481="Cheque",BB1481,AZ1481="Dinheiro","Alterar forma pgto")</f>
        <v/>
      </c>
      <c r="BD1481" s="276" t="str" cm="1">
        <f t="array" ref="BD1481">IF(F1481=0," ",IF(BC1481&lt;BB1481,(_xlfn.IFS(AW1481="SIM",SUM(L1481,Q1481,V1481,AA1481,AF1481,AK1481,AP1481,AU1481)+AX1481/_xlfn.XLOOKUP(_xlfn.XLOOKUP($F1481,Clientes!$B$4:$B$39,Clientes!$C$4:$C$39),Cadastros!$L$6:$L$12,Cadastros!$M$6:$M$12)+IF($F1481="Bernardino Furlan",AY1481/2751.92,IF($F1481="Mauro José Salanti",AY1481/2751.92,AY1481/3356)),F1481&lt;&gt;0,SUM(L1481,Q1481,V1481,AA1481,AF1481,AK1481,AP1481,AU1481)))*(1-0.03),_xlfn.IFS(AW1481="SIM",SUM(L1481,Q1481,V1481,AA1481,AF1481,AK1481,AP1481,AU1481)+AX1481/_xlfn.XLOOKUP(_xlfn.XLOOKUP($F1481,Clientes!$B$4:$B$39,Clientes!$C$4:$C$39),Cadastros!$L$6:$L$12,Cadastros!$M$6:$M$12)+IF($F1481="Bernardino Furlan",AY1481/2751.92,IF($F1481="Mauro José Salanti",AY1481/2751.92,AY1481/3356)),F1481&lt;&gt;0,SUM(L1481,Q1481,V1481,AA1481,AF1481,AK1481,AP1481,AU1481))))</f>
        <v xml:space="preserve"> </v>
      </c>
      <c r="BE1481" s="120"/>
      <c r="BF1481" s="120"/>
      <c r="BG1481" s="120"/>
    </row>
    <row r="1482" spans="1:59" s="3" customFormat="1" x14ac:dyDescent="0.3">
      <c r="A1482" s="15" t="str">
        <f t="shared" si="299"/>
        <v/>
      </c>
      <c r="B1482" s="25"/>
      <c r="C1482" s="26"/>
      <c r="D1482" s="279"/>
      <c r="E1482" s="27"/>
      <c r="F1482" s="28"/>
      <c r="G1482" s="27"/>
      <c r="H1482" s="28"/>
      <c r="I1482" s="28"/>
      <c r="J1482" s="255" t="str">
        <f>IF(H1482="","",(_xlfn.XLOOKUP(H1482,Cadastros!$D$6:$D$90,Cadastros!$E$6:$E$90))*(1-_xlfn.XLOOKUP(_xlfn.XLOOKUP($F1482,Clientes!$B$4:$B$39,Clientes!$C$4:$C$39),Cadastros!$L$6:$L$12,Cadastros!$N$6:$N$12)))</f>
        <v/>
      </c>
      <c r="K1482" s="168" t="str">
        <f t="shared" si="300"/>
        <v/>
      </c>
      <c r="L1482" s="168" t="str">
        <f>IFERROR(K1482/_xlfn.XLOOKUP(_xlfn.XLOOKUP($F1482,Clientes!$B$4:$B$39,Clientes!$C$4:$C$39),Cadastros!$L$6:$L$12,Cadastros!$M$6:$M$12)," ")</f>
        <v xml:space="preserve"> </v>
      </c>
      <c r="M1482" s="28"/>
      <c r="N1482" s="28"/>
      <c r="O1482" s="255" t="str">
        <f>IF(M1482="","",(_xlfn.XLOOKUP(M1482,Cadastros!$D$6:$D$90,Cadastros!$E$6:$E$90))*(1-_xlfn.XLOOKUP(_xlfn.XLOOKUP($F1482,Clientes!$B$4:$B$39,Clientes!$C$4:$C$39),Cadastros!$L$6:$L$12,Cadastros!$N$6:$N$12)))</f>
        <v/>
      </c>
      <c r="P1482" s="168" t="str">
        <f t="shared" si="301"/>
        <v/>
      </c>
      <c r="Q1482" s="168" t="str">
        <f>IFERROR(P1482/_xlfn.XLOOKUP(_xlfn.XLOOKUP($F1482,Clientes!$B$4:$B$39,Clientes!$C$4:$C$39),Cadastros!$L$6:$L$12,Cadastros!$M$6:$M$12)," ")</f>
        <v xml:space="preserve"> </v>
      </c>
      <c r="R1482" s="28"/>
      <c r="S1482" s="28"/>
      <c r="T1482" s="255" t="str">
        <f>IF(R1482="","",(_xlfn.XLOOKUP(R1482,Cadastros!$D$6:$D$90,Cadastros!$E$6:$E$90))*(1-_xlfn.XLOOKUP(_xlfn.XLOOKUP($F1482,Clientes!$B$4:$B$39,Clientes!$C$4:$C$39),Cadastros!$L$6:$L$12,Cadastros!$N$6:$N$12)))</f>
        <v/>
      </c>
      <c r="U1482" s="168" t="str">
        <f t="shared" si="302"/>
        <v/>
      </c>
      <c r="V1482" s="168" t="str">
        <f>IFERROR(U1482/_xlfn.XLOOKUP(_xlfn.XLOOKUP($F1482,Clientes!$B$4:$B$39,Clientes!$C$4:$C$39),Cadastros!$L$6:$L$12,Cadastros!$M$6:$M$12)," ")</f>
        <v xml:space="preserve"> </v>
      </c>
      <c r="W1482" s="28"/>
      <c r="X1482" s="28"/>
      <c r="Y1482" s="255" t="str">
        <f>IF(W1482="","",(_xlfn.XLOOKUP(W1482,Cadastros!$D$6:$D$90,Cadastros!$E$6:$E$90))*(1-_xlfn.XLOOKUP(_xlfn.XLOOKUP($F1482,Clientes!$B$4:$B$39,Clientes!$C$4:$C$39),Cadastros!$L$6:$L$12,Cadastros!$N$6:$N$12)))</f>
        <v/>
      </c>
      <c r="Z1482" s="168" t="str">
        <f t="shared" si="303"/>
        <v/>
      </c>
      <c r="AA1482" s="168" t="str">
        <f>IFERROR(Z1482/_xlfn.XLOOKUP(_xlfn.XLOOKUP($F1482,Clientes!$B$4:$B$39,Clientes!$C$4:$C$39),Cadastros!$L$6:$L$12,Cadastros!$M$6:$M$12)," ")</f>
        <v xml:space="preserve"> </v>
      </c>
      <c r="AB1482" s="28"/>
      <c r="AC1482" s="28"/>
      <c r="AD1482" s="20" t="str">
        <f>IF(AB1482="","",IF($F1482="Bernardino Furlan",_xlfn.XLOOKUP(AB1482,Cadastros!$G$6:$G$90,Cadastros!$H$6:$H$90)*(1-0.18),IF($F1482="Mauro José Salanti",_xlfn.XLOOKUP(AB1482,Cadastros!$G$6:$G$90,Cadastros!$H$6:$H$90)*(1-0.18),_xlfn.XLOOKUP(AB1482,Cadastros!$G$6:$G$90,Cadastros!$H$6:$H$90))))</f>
        <v/>
      </c>
      <c r="AE1482" s="168" t="str">
        <f t="shared" si="304"/>
        <v/>
      </c>
      <c r="AF1482" s="168" t="str">
        <f t="shared" si="305"/>
        <v/>
      </c>
      <c r="AG1482" s="28"/>
      <c r="AH1482" s="28"/>
      <c r="AI1482" s="20" t="str">
        <f>IF(AG1482="","",IF($F1482="Bernardino Furlan",_xlfn.XLOOKUP(AG1482,Cadastros!$G$6:$G$90,Cadastros!$H$6:$H$90)*(1-0.18),IF($F1482="Mauro José Salanti",_xlfn.XLOOKUP(AG1482,Cadastros!$G$6:$G$90,Cadastros!$H$6:$H$90)*(1-0.18),_xlfn.XLOOKUP(AG1482,Cadastros!$G$6:$G$90,Cadastros!$H$6:$H$90))))</f>
        <v/>
      </c>
      <c r="AJ1482" s="168" t="str">
        <f t="shared" si="306"/>
        <v/>
      </c>
      <c r="AK1482" s="168" t="str">
        <f t="shared" si="307"/>
        <v/>
      </c>
      <c r="AL1482" s="28"/>
      <c r="AM1482" s="28"/>
      <c r="AN1482" s="20" t="str">
        <f>IF(AL1482="","",IF($F1482="Bernardino Furlan",_xlfn.XLOOKUP(AL1482,Cadastros!$G$6:$G$90,Cadastros!$H$6:$H$90)*(1-0.18),IF($F1482="Mauro José Salanti",_xlfn.XLOOKUP(AL1482,Cadastros!$G$6:$G$90,Cadastros!$H$6:$H$90)*(1-0.18),_xlfn.XLOOKUP(AL1482,Cadastros!$G$6:$G$90,Cadastros!$H$6:$H$90))))</f>
        <v/>
      </c>
      <c r="AO1482" s="168" t="str">
        <f t="shared" si="308"/>
        <v/>
      </c>
      <c r="AP1482" s="168" t="str">
        <f t="shared" si="309"/>
        <v/>
      </c>
      <c r="AQ1482" s="28"/>
      <c r="AR1482" s="28"/>
      <c r="AS1482" s="20" t="str">
        <f>IF(AQ1482="","",IF($F1482="Bernardino Furlan",_xlfn.XLOOKUP(AQ1482,Cadastros!$G$6:$G$90,Cadastros!$H$6:$H$90)*(1-0.18),IF($F1482="Mauro José Salanti",_xlfn.XLOOKUP(AQ1482,Cadastros!$G$6:$G$90,Cadastros!$H$6:$H$90)*(1-0.18),_xlfn.XLOOKUP(AQ1482,Cadastros!$G$6:$G$90,Cadastros!$H$6:$H$90))))</f>
        <v/>
      </c>
      <c r="AT1482" s="168" t="str">
        <f t="shared" si="310"/>
        <v/>
      </c>
      <c r="AU1482" s="168" t="str">
        <f t="shared" si="311"/>
        <v/>
      </c>
      <c r="AV1482" s="227"/>
      <c r="AW1482" s="30"/>
      <c r="AX1482" s="267"/>
      <c r="AY1482" s="267"/>
      <c r="AZ1482" s="29"/>
      <c r="BA1482" s="30"/>
      <c r="BB1482" s="23" t="str" cm="1">
        <f t="array" ref="BB1482">_xlfn.IFS(AW1482="SIM",SUM(K1482,P1482,U1482,Z1482,AE1482,AJ1482,AO1482,AT1482,AX1482,AY1482),F1482&lt;&gt;"",SUM(K1482,P1482,U1482,Z1482,AE1482,AJ1482,,AO1482,AT1482),F1482="","")</f>
        <v/>
      </c>
      <c r="BC1482" s="211" t="str" cm="1">
        <f t="array" ref="BC1482">_xlfn.IFS(E1482="","",G1482&lt;=E1482,BB1482*(1-0.03),G1482&lt;(E1482+8),BB1482,AZ1482="Boleto",BB1482*(1+0.001)^DATEDIF(E1482,G1482,"D"),AZ1482="Cheque",BB1482,AZ1482="Dinheiro","Alterar forma pgto")</f>
        <v/>
      </c>
      <c r="BD1482" s="276" t="str" cm="1">
        <f t="array" ref="BD1482">IF(F1482=0," ",IF(BC1482&lt;BB1482,(_xlfn.IFS(AW1482="SIM",SUM(L1482,Q1482,V1482,AA1482,AF1482,AK1482,AP1482,AU1482)+AX1482/_xlfn.XLOOKUP(_xlfn.XLOOKUP($F1482,Clientes!$B$4:$B$39,Clientes!$C$4:$C$39),Cadastros!$L$6:$L$12,Cadastros!$M$6:$M$12)+IF($F1482="Bernardino Furlan",AY1482/2751.92,IF($F1482="Mauro José Salanti",AY1482/2751.92,AY1482/3356)),F1482&lt;&gt;0,SUM(L1482,Q1482,V1482,AA1482,AF1482,AK1482,AP1482,AU1482)))*(1-0.03),_xlfn.IFS(AW1482="SIM",SUM(L1482,Q1482,V1482,AA1482,AF1482,AK1482,AP1482,AU1482)+AX1482/_xlfn.XLOOKUP(_xlfn.XLOOKUP($F1482,Clientes!$B$4:$B$39,Clientes!$C$4:$C$39),Cadastros!$L$6:$L$12,Cadastros!$M$6:$M$12)+IF($F1482="Bernardino Furlan",AY1482/2751.92,IF($F1482="Mauro José Salanti",AY1482/2751.92,AY1482/3356)),F1482&lt;&gt;0,SUM(L1482,Q1482,V1482,AA1482,AF1482,AK1482,AP1482,AU1482))))</f>
        <v xml:space="preserve"> </v>
      </c>
      <c r="BE1482" s="120"/>
      <c r="BF1482" s="120"/>
      <c r="BG1482" s="120"/>
    </row>
    <row r="1483" spans="1:59" s="3" customFormat="1" x14ac:dyDescent="0.3">
      <c r="A1483" s="15" t="str">
        <f t="shared" si="299"/>
        <v/>
      </c>
      <c r="B1483" s="25"/>
      <c r="C1483" s="26"/>
      <c r="D1483" s="279"/>
      <c r="E1483" s="27"/>
      <c r="F1483" s="28"/>
      <c r="G1483" s="27"/>
      <c r="H1483" s="28"/>
      <c r="I1483" s="28"/>
      <c r="J1483" s="255" t="str">
        <f>IF(H1483="","",(_xlfn.XLOOKUP(H1483,Cadastros!$D$6:$D$90,Cadastros!$E$6:$E$90))*(1-_xlfn.XLOOKUP(_xlfn.XLOOKUP($F1483,Clientes!$B$4:$B$39,Clientes!$C$4:$C$39),Cadastros!$L$6:$L$12,Cadastros!$N$6:$N$12)))</f>
        <v/>
      </c>
      <c r="K1483" s="168" t="str">
        <f t="shared" si="300"/>
        <v/>
      </c>
      <c r="L1483" s="168" t="str">
        <f>IFERROR(K1483/_xlfn.XLOOKUP(_xlfn.XLOOKUP($F1483,Clientes!$B$4:$B$39,Clientes!$C$4:$C$39),Cadastros!$L$6:$L$12,Cadastros!$M$6:$M$12)," ")</f>
        <v xml:space="preserve"> </v>
      </c>
      <c r="M1483" s="28"/>
      <c r="N1483" s="28"/>
      <c r="O1483" s="255" t="str">
        <f>IF(M1483="","",(_xlfn.XLOOKUP(M1483,Cadastros!$D$6:$D$90,Cadastros!$E$6:$E$90))*(1-_xlfn.XLOOKUP(_xlfn.XLOOKUP($F1483,Clientes!$B$4:$B$39,Clientes!$C$4:$C$39),Cadastros!$L$6:$L$12,Cadastros!$N$6:$N$12)))</f>
        <v/>
      </c>
      <c r="P1483" s="168" t="str">
        <f t="shared" si="301"/>
        <v/>
      </c>
      <c r="Q1483" s="168" t="str">
        <f>IFERROR(P1483/_xlfn.XLOOKUP(_xlfn.XLOOKUP($F1483,Clientes!$B$4:$B$39,Clientes!$C$4:$C$39),Cadastros!$L$6:$L$12,Cadastros!$M$6:$M$12)," ")</f>
        <v xml:space="preserve"> </v>
      </c>
      <c r="R1483" s="28"/>
      <c r="S1483" s="28"/>
      <c r="T1483" s="255" t="str">
        <f>IF(R1483="","",(_xlfn.XLOOKUP(R1483,Cadastros!$D$6:$D$90,Cadastros!$E$6:$E$90))*(1-_xlfn.XLOOKUP(_xlfn.XLOOKUP($F1483,Clientes!$B$4:$B$39,Clientes!$C$4:$C$39),Cadastros!$L$6:$L$12,Cadastros!$N$6:$N$12)))</f>
        <v/>
      </c>
      <c r="U1483" s="168" t="str">
        <f t="shared" si="302"/>
        <v/>
      </c>
      <c r="V1483" s="168" t="str">
        <f>IFERROR(U1483/_xlfn.XLOOKUP(_xlfn.XLOOKUP($F1483,Clientes!$B$4:$B$39,Clientes!$C$4:$C$39),Cadastros!$L$6:$L$12,Cadastros!$M$6:$M$12)," ")</f>
        <v xml:space="preserve"> </v>
      </c>
      <c r="W1483" s="28"/>
      <c r="X1483" s="28"/>
      <c r="Y1483" s="255" t="str">
        <f>IF(W1483="","",(_xlfn.XLOOKUP(W1483,Cadastros!$D$6:$D$90,Cadastros!$E$6:$E$90))*(1-_xlfn.XLOOKUP(_xlfn.XLOOKUP($F1483,Clientes!$B$4:$B$39,Clientes!$C$4:$C$39),Cadastros!$L$6:$L$12,Cadastros!$N$6:$N$12)))</f>
        <v/>
      </c>
      <c r="Z1483" s="168" t="str">
        <f t="shared" si="303"/>
        <v/>
      </c>
      <c r="AA1483" s="168" t="str">
        <f>IFERROR(Z1483/_xlfn.XLOOKUP(_xlfn.XLOOKUP($F1483,Clientes!$B$4:$B$39,Clientes!$C$4:$C$39),Cadastros!$L$6:$L$12,Cadastros!$M$6:$M$12)," ")</f>
        <v xml:space="preserve"> </v>
      </c>
      <c r="AB1483" s="28"/>
      <c r="AC1483" s="28"/>
      <c r="AD1483" s="20" t="str">
        <f>IF(AB1483="","",IF($F1483="Bernardino Furlan",_xlfn.XLOOKUP(AB1483,Cadastros!$G$6:$G$90,Cadastros!$H$6:$H$90)*(1-0.18),IF($F1483="Mauro José Salanti",_xlfn.XLOOKUP(AB1483,Cadastros!$G$6:$G$90,Cadastros!$H$6:$H$90)*(1-0.18),_xlfn.XLOOKUP(AB1483,Cadastros!$G$6:$G$90,Cadastros!$H$6:$H$90))))</f>
        <v/>
      </c>
      <c r="AE1483" s="168" t="str">
        <f t="shared" si="304"/>
        <v/>
      </c>
      <c r="AF1483" s="168" t="str">
        <f t="shared" si="305"/>
        <v/>
      </c>
      <c r="AG1483" s="28"/>
      <c r="AH1483" s="28"/>
      <c r="AI1483" s="20" t="str">
        <f>IF(AG1483="","",IF($F1483="Bernardino Furlan",_xlfn.XLOOKUP(AG1483,Cadastros!$G$6:$G$90,Cadastros!$H$6:$H$90)*(1-0.18),IF($F1483="Mauro José Salanti",_xlfn.XLOOKUP(AG1483,Cadastros!$G$6:$G$90,Cadastros!$H$6:$H$90)*(1-0.18),_xlfn.XLOOKUP(AG1483,Cadastros!$G$6:$G$90,Cadastros!$H$6:$H$90))))</f>
        <v/>
      </c>
      <c r="AJ1483" s="168" t="str">
        <f t="shared" si="306"/>
        <v/>
      </c>
      <c r="AK1483" s="168" t="str">
        <f t="shared" si="307"/>
        <v/>
      </c>
      <c r="AL1483" s="28"/>
      <c r="AM1483" s="28"/>
      <c r="AN1483" s="20" t="str">
        <f>IF(AL1483="","",IF($F1483="Bernardino Furlan",_xlfn.XLOOKUP(AL1483,Cadastros!$G$6:$G$90,Cadastros!$H$6:$H$90)*(1-0.18),IF($F1483="Mauro José Salanti",_xlfn.XLOOKUP(AL1483,Cadastros!$G$6:$G$90,Cadastros!$H$6:$H$90)*(1-0.18),_xlfn.XLOOKUP(AL1483,Cadastros!$G$6:$G$90,Cadastros!$H$6:$H$90))))</f>
        <v/>
      </c>
      <c r="AO1483" s="168" t="str">
        <f t="shared" si="308"/>
        <v/>
      </c>
      <c r="AP1483" s="168" t="str">
        <f t="shared" si="309"/>
        <v/>
      </c>
      <c r="AQ1483" s="28"/>
      <c r="AR1483" s="28"/>
      <c r="AS1483" s="20" t="str">
        <f>IF(AQ1483="","",IF($F1483="Bernardino Furlan",_xlfn.XLOOKUP(AQ1483,Cadastros!$G$6:$G$90,Cadastros!$H$6:$H$90)*(1-0.18),IF($F1483="Mauro José Salanti",_xlfn.XLOOKUP(AQ1483,Cadastros!$G$6:$G$90,Cadastros!$H$6:$H$90)*(1-0.18),_xlfn.XLOOKUP(AQ1483,Cadastros!$G$6:$G$90,Cadastros!$H$6:$H$90))))</f>
        <v/>
      </c>
      <c r="AT1483" s="168" t="str">
        <f t="shared" si="310"/>
        <v/>
      </c>
      <c r="AU1483" s="168" t="str">
        <f t="shared" si="311"/>
        <v/>
      </c>
      <c r="AV1483" s="227"/>
      <c r="AW1483" s="30"/>
      <c r="AX1483" s="267"/>
      <c r="AY1483" s="267"/>
      <c r="AZ1483" s="29"/>
      <c r="BA1483" s="30"/>
      <c r="BB1483" s="23" t="str" cm="1">
        <f t="array" ref="BB1483">_xlfn.IFS(AW1483="SIM",SUM(K1483,P1483,U1483,Z1483,AE1483,AJ1483,AO1483,AT1483,AX1483,AY1483),F1483&lt;&gt;"",SUM(K1483,P1483,U1483,Z1483,AE1483,AJ1483,,AO1483,AT1483),F1483="","")</f>
        <v/>
      </c>
      <c r="BC1483" s="211" t="str" cm="1">
        <f t="array" ref="BC1483">_xlfn.IFS(E1483="","",G1483&lt;=E1483,BB1483*(1-0.03),G1483&lt;(E1483+8),BB1483,AZ1483="Boleto",BB1483*(1+0.001)^DATEDIF(E1483,G1483,"D"),AZ1483="Cheque",BB1483,AZ1483="Dinheiro","Alterar forma pgto")</f>
        <v/>
      </c>
      <c r="BD1483" s="276" t="str" cm="1">
        <f t="array" ref="BD1483">IF(F1483=0," ",IF(BC1483&lt;BB1483,(_xlfn.IFS(AW1483="SIM",SUM(L1483,Q1483,V1483,AA1483,AF1483,AK1483,AP1483,AU1483)+AX1483/_xlfn.XLOOKUP(_xlfn.XLOOKUP($F1483,Clientes!$B$4:$B$39,Clientes!$C$4:$C$39),Cadastros!$L$6:$L$12,Cadastros!$M$6:$M$12)+IF($F1483="Bernardino Furlan",AY1483/2751.92,IF($F1483="Mauro José Salanti",AY1483/2751.92,AY1483/3356)),F1483&lt;&gt;0,SUM(L1483,Q1483,V1483,AA1483,AF1483,AK1483,AP1483,AU1483)))*(1-0.03),_xlfn.IFS(AW1483="SIM",SUM(L1483,Q1483,V1483,AA1483,AF1483,AK1483,AP1483,AU1483)+AX1483/_xlfn.XLOOKUP(_xlfn.XLOOKUP($F1483,Clientes!$B$4:$B$39,Clientes!$C$4:$C$39),Cadastros!$L$6:$L$12,Cadastros!$M$6:$M$12)+IF($F1483="Bernardino Furlan",AY1483/2751.92,IF($F1483="Mauro José Salanti",AY1483/2751.92,AY1483/3356)),F1483&lt;&gt;0,SUM(L1483,Q1483,V1483,AA1483,AF1483,AK1483,AP1483,AU1483))))</f>
        <v xml:space="preserve"> </v>
      </c>
      <c r="BE1483" s="120"/>
      <c r="BF1483" s="120"/>
      <c r="BG1483" s="120"/>
    </row>
    <row r="1484" spans="1:59" s="3" customFormat="1" x14ac:dyDescent="0.3">
      <c r="A1484" s="15" t="str">
        <f t="shared" si="299"/>
        <v/>
      </c>
      <c r="B1484" s="25"/>
      <c r="C1484" s="26"/>
      <c r="D1484" s="279"/>
      <c r="E1484" s="27"/>
      <c r="F1484" s="28"/>
      <c r="G1484" s="27"/>
      <c r="H1484" s="28"/>
      <c r="I1484" s="28"/>
      <c r="J1484" s="255" t="str">
        <f>IF(H1484="","",(_xlfn.XLOOKUP(H1484,Cadastros!$D$6:$D$90,Cadastros!$E$6:$E$90))*(1-_xlfn.XLOOKUP(_xlfn.XLOOKUP($F1484,Clientes!$B$4:$B$39,Clientes!$C$4:$C$39),Cadastros!$L$6:$L$12,Cadastros!$N$6:$N$12)))</f>
        <v/>
      </c>
      <c r="K1484" s="168" t="str">
        <f t="shared" si="300"/>
        <v/>
      </c>
      <c r="L1484" s="168" t="str">
        <f>IFERROR(K1484/_xlfn.XLOOKUP(_xlfn.XLOOKUP($F1484,Clientes!$B$4:$B$39,Clientes!$C$4:$C$39),Cadastros!$L$6:$L$12,Cadastros!$M$6:$M$12)," ")</f>
        <v xml:space="preserve"> </v>
      </c>
      <c r="M1484" s="28"/>
      <c r="N1484" s="28"/>
      <c r="O1484" s="255" t="str">
        <f>IF(M1484="","",(_xlfn.XLOOKUP(M1484,Cadastros!$D$6:$D$90,Cadastros!$E$6:$E$90))*(1-_xlfn.XLOOKUP(_xlfn.XLOOKUP($F1484,Clientes!$B$4:$B$39,Clientes!$C$4:$C$39),Cadastros!$L$6:$L$12,Cadastros!$N$6:$N$12)))</f>
        <v/>
      </c>
      <c r="P1484" s="168" t="str">
        <f t="shared" si="301"/>
        <v/>
      </c>
      <c r="Q1484" s="168" t="str">
        <f>IFERROR(P1484/_xlfn.XLOOKUP(_xlfn.XLOOKUP($F1484,Clientes!$B$4:$B$39,Clientes!$C$4:$C$39),Cadastros!$L$6:$L$12,Cadastros!$M$6:$M$12)," ")</f>
        <v xml:space="preserve"> </v>
      </c>
      <c r="R1484" s="28"/>
      <c r="S1484" s="28"/>
      <c r="T1484" s="255" t="str">
        <f>IF(R1484="","",(_xlfn.XLOOKUP(R1484,Cadastros!$D$6:$D$90,Cadastros!$E$6:$E$90))*(1-_xlfn.XLOOKUP(_xlfn.XLOOKUP($F1484,Clientes!$B$4:$B$39,Clientes!$C$4:$C$39),Cadastros!$L$6:$L$12,Cadastros!$N$6:$N$12)))</f>
        <v/>
      </c>
      <c r="U1484" s="168" t="str">
        <f t="shared" si="302"/>
        <v/>
      </c>
      <c r="V1484" s="168" t="str">
        <f>IFERROR(U1484/_xlfn.XLOOKUP(_xlfn.XLOOKUP($F1484,Clientes!$B$4:$B$39,Clientes!$C$4:$C$39),Cadastros!$L$6:$L$12,Cadastros!$M$6:$M$12)," ")</f>
        <v xml:space="preserve"> </v>
      </c>
      <c r="W1484" s="28"/>
      <c r="X1484" s="28"/>
      <c r="Y1484" s="255" t="str">
        <f>IF(W1484="","",(_xlfn.XLOOKUP(W1484,Cadastros!$D$6:$D$90,Cadastros!$E$6:$E$90))*(1-_xlfn.XLOOKUP(_xlfn.XLOOKUP($F1484,Clientes!$B$4:$B$39,Clientes!$C$4:$C$39),Cadastros!$L$6:$L$12,Cadastros!$N$6:$N$12)))</f>
        <v/>
      </c>
      <c r="Z1484" s="168" t="str">
        <f t="shared" si="303"/>
        <v/>
      </c>
      <c r="AA1484" s="168" t="str">
        <f>IFERROR(Z1484/_xlfn.XLOOKUP(_xlfn.XLOOKUP($F1484,Clientes!$B$4:$B$39,Clientes!$C$4:$C$39),Cadastros!$L$6:$L$12,Cadastros!$M$6:$M$12)," ")</f>
        <v xml:space="preserve"> </v>
      </c>
      <c r="AB1484" s="28"/>
      <c r="AC1484" s="28"/>
      <c r="AD1484" s="20" t="str">
        <f>IF(AB1484="","",IF($F1484="Bernardino Furlan",_xlfn.XLOOKUP(AB1484,Cadastros!$G$6:$G$90,Cadastros!$H$6:$H$90)*(1-0.18),IF($F1484="Mauro José Salanti",_xlfn.XLOOKUP(AB1484,Cadastros!$G$6:$G$90,Cadastros!$H$6:$H$90)*(1-0.18),_xlfn.XLOOKUP(AB1484,Cadastros!$G$6:$G$90,Cadastros!$H$6:$H$90))))</f>
        <v/>
      </c>
      <c r="AE1484" s="168" t="str">
        <f t="shared" si="304"/>
        <v/>
      </c>
      <c r="AF1484" s="168" t="str">
        <f t="shared" si="305"/>
        <v/>
      </c>
      <c r="AG1484" s="28"/>
      <c r="AH1484" s="28"/>
      <c r="AI1484" s="20" t="str">
        <f>IF(AG1484="","",IF($F1484="Bernardino Furlan",_xlfn.XLOOKUP(AG1484,Cadastros!$G$6:$G$90,Cadastros!$H$6:$H$90)*(1-0.18),IF($F1484="Mauro José Salanti",_xlfn.XLOOKUP(AG1484,Cadastros!$G$6:$G$90,Cadastros!$H$6:$H$90)*(1-0.18),_xlfn.XLOOKUP(AG1484,Cadastros!$G$6:$G$90,Cadastros!$H$6:$H$90))))</f>
        <v/>
      </c>
      <c r="AJ1484" s="168" t="str">
        <f t="shared" si="306"/>
        <v/>
      </c>
      <c r="AK1484" s="168" t="str">
        <f t="shared" si="307"/>
        <v/>
      </c>
      <c r="AL1484" s="28"/>
      <c r="AM1484" s="28"/>
      <c r="AN1484" s="20" t="str">
        <f>IF(AL1484="","",IF($F1484="Bernardino Furlan",_xlfn.XLOOKUP(AL1484,Cadastros!$G$6:$G$90,Cadastros!$H$6:$H$90)*(1-0.18),IF($F1484="Mauro José Salanti",_xlfn.XLOOKUP(AL1484,Cadastros!$G$6:$G$90,Cadastros!$H$6:$H$90)*(1-0.18),_xlfn.XLOOKUP(AL1484,Cadastros!$G$6:$G$90,Cadastros!$H$6:$H$90))))</f>
        <v/>
      </c>
      <c r="AO1484" s="168" t="str">
        <f t="shared" si="308"/>
        <v/>
      </c>
      <c r="AP1484" s="168" t="str">
        <f t="shared" si="309"/>
        <v/>
      </c>
      <c r="AQ1484" s="28"/>
      <c r="AR1484" s="28"/>
      <c r="AS1484" s="20" t="str">
        <f>IF(AQ1484="","",IF($F1484="Bernardino Furlan",_xlfn.XLOOKUP(AQ1484,Cadastros!$G$6:$G$90,Cadastros!$H$6:$H$90)*(1-0.18),IF($F1484="Mauro José Salanti",_xlfn.XLOOKUP(AQ1484,Cadastros!$G$6:$G$90,Cadastros!$H$6:$H$90)*(1-0.18),_xlfn.XLOOKUP(AQ1484,Cadastros!$G$6:$G$90,Cadastros!$H$6:$H$90))))</f>
        <v/>
      </c>
      <c r="AT1484" s="168" t="str">
        <f t="shared" si="310"/>
        <v/>
      </c>
      <c r="AU1484" s="168" t="str">
        <f t="shared" si="311"/>
        <v/>
      </c>
      <c r="AV1484" s="227"/>
      <c r="AW1484" s="30"/>
      <c r="AX1484" s="267"/>
      <c r="AY1484" s="267"/>
      <c r="AZ1484" s="29"/>
      <c r="BA1484" s="30"/>
      <c r="BB1484" s="23" t="str" cm="1">
        <f t="array" ref="BB1484">_xlfn.IFS(AW1484="SIM",SUM(K1484,P1484,U1484,Z1484,AE1484,AJ1484,AO1484,AT1484,AX1484,AY1484),F1484&lt;&gt;"",SUM(K1484,P1484,U1484,Z1484,AE1484,AJ1484,,AO1484,AT1484),F1484="","")</f>
        <v/>
      </c>
      <c r="BC1484" s="211" t="str" cm="1">
        <f t="array" ref="BC1484">_xlfn.IFS(E1484="","",G1484&lt;=E1484,BB1484*(1-0.03),G1484&lt;(E1484+8),BB1484,AZ1484="Boleto",BB1484*(1+0.001)^DATEDIF(E1484,G1484,"D"),AZ1484="Cheque",BB1484,AZ1484="Dinheiro","Alterar forma pgto")</f>
        <v/>
      </c>
      <c r="BD1484" s="276" t="str" cm="1">
        <f t="array" ref="BD1484">IF(F1484=0," ",IF(BC1484&lt;BB1484,(_xlfn.IFS(AW1484="SIM",SUM(L1484,Q1484,V1484,AA1484,AF1484,AK1484,AP1484,AU1484)+AX1484/_xlfn.XLOOKUP(_xlfn.XLOOKUP($F1484,Clientes!$B$4:$B$39,Clientes!$C$4:$C$39),Cadastros!$L$6:$L$12,Cadastros!$M$6:$M$12)+IF($F1484="Bernardino Furlan",AY1484/2751.92,IF($F1484="Mauro José Salanti",AY1484/2751.92,AY1484/3356)),F1484&lt;&gt;0,SUM(L1484,Q1484,V1484,AA1484,AF1484,AK1484,AP1484,AU1484)))*(1-0.03),_xlfn.IFS(AW1484="SIM",SUM(L1484,Q1484,V1484,AA1484,AF1484,AK1484,AP1484,AU1484)+AX1484/_xlfn.XLOOKUP(_xlfn.XLOOKUP($F1484,Clientes!$B$4:$B$39,Clientes!$C$4:$C$39),Cadastros!$L$6:$L$12,Cadastros!$M$6:$M$12)+IF($F1484="Bernardino Furlan",AY1484/2751.92,IF($F1484="Mauro José Salanti",AY1484/2751.92,AY1484/3356)),F1484&lt;&gt;0,SUM(L1484,Q1484,V1484,AA1484,AF1484,AK1484,AP1484,AU1484))))</f>
        <v xml:space="preserve"> </v>
      </c>
      <c r="BE1484" s="120"/>
      <c r="BF1484" s="120"/>
      <c r="BG1484" s="120"/>
    </row>
    <row r="1485" spans="1:59" s="3" customFormat="1" x14ac:dyDescent="0.3">
      <c r="A1485" s="15" t="str">
        <f t="shared" si="299"/>
        <v/>
      </c>
      <c r="B1485" s="25"/>
      <c r="C1485" s="26"/>
      <c r="D1485" s="279"/>
      <c r="E1485" s="27"/>
      <c r="F1485" s="28"/>
      <c r="G1485" s="27"/>
      <c r="H1485" s="28"/>
      <c r="I1485" s="28"/>
      <c r="J1485" s="255" t="str">
        <f>IF(H1485="","",(_xlfn.XLOOKUP(H1485,Cadastros!$D$6:$D$90,Cadastros!$E$6:$E$90))*(1-_xlfn.XLOOKUP(_xlfn.XLOOKUP($F1485,Clientes!$B$4:$B$39,Clientes!$C$4:$C$39),Cadastros!$L$6:$L$12,Cadastros!$N$6:$N$12)))</f>
        <v/>
      </c>
      <c r="K1485" s="168" t="str">
        <f t="shared" si="300"/>
        <v/>
      </c>
      <c r="L1485" s="168" t="str">
        <f>IFERROR(K1485/_xlfn.XLOOKUP(_xlfn.XLOOKUP($F1485,Clientes!$B$4:$B$39,Clientes!$C$4:$C$39),Cadastros!$L$6:$L$12,Cadastros!$M$6:$M$12)," ")</f>
        <v xml:space="preserve"> </v>
      </c>
      <c r="M1485" s="28"/>
      <c r="N1485" s="28"/>
      <c r="O1485" s="255" t="str">
        <f>IF(M1485="","",(_xlfn.XLOOKUP(M1485,Cadastros!$D$6:$D$90,Cadastros!$E$6:$E$90))*(1-_xlfn.XLOOKUP(_xlfn.XLOOKUP($F1485,Clientes!$B$4:$B$39,Clientes!$C$4:$C$39),Cadastros!$L$6:$L$12,Cadastros!$N$6:$N$12)))</f>
        <v/>
      </c>
      <c r="P1485" s="168" t="str">
        <f t="shared" si="301"/>
        <v/>
      </c>
      <c r="Q1485" s="168" t="str">
        <f>IFERROR(P1485/_xlfn.XLOOKUP(_xlfn.XLOOKUP($F1485,Clientes!$B$4:$B$39,Clientes!$C$4:$C$39),Cadastros!$L$6:$L$12,Cadastros!$M$6:$M$12)," ")</f>
        <v xml:space="preserve"> </v>
      </c>
      <c r="R1485" s="28"/>
      <c r="S1485" s="28"/>
      <c r="T1485" s="255" t="str">
        <f>IF(R1485="","",(_xlfn.XLOOKUP(R1485,Cadastros!$D$6:$D$90,Cadastros!$E$6:$E$90))*(1-_xlfn.XLOOKUP(_xlfn.XLOOKUP($F1485,Clientes!$B$4:$B$39,Clientes!$C$4:$C$39),Cadastros!$L$6:$L$12,Cadastros!$N$6:$N$12)))</f>
        <v/>
      </c>
      <c r="U1485" s="168" t="str">
        <f t="shared" si="302"/>
        <v/>
      </c>
      <c r="V1485" s="168" t="str">
        <f>IFERROR(U1485/_xlfn.XLOOKUP(_xlfn.XLOOKUP($F1485,Clientes!$B$4:$B$39,Clientes!$C$4:$C$39),Cadastros!$L$6:$L$12,Cadastros!$M$6:$M$12)," ")</f>
        <v xml:space="preserve"> </v>
      </c>
      <c r="W1485" s="28"/>
      <c r="X1485" s="28"/>
      <c r="Y1485" s="255" t="str">
        <f>IF(W1485="","",(_xlfn.XLOOKUP(W1485,Cadastros!$D$6:$D$90,Cadastros!$E$6:$E$90))*(1-_xlfn.XLOOKUP(_xlfn.XLOOKUP($F1485,Clientes!$B$4:$B$39,Clientes!$C$4:$C$39),Cadastros!$L$6:$L$12,Cadastros!$N$6:$N$12)))</f>
        <v/>
      </c>
      <c r="Z1485" s="168" t="str">
        <f t="shared" si="303"/>
        <v/>
      </c>
      <c r="AA1485" s="168" t="str">
        <f>IFERROR(Z1485/_xlfn.XLOOKUP(_xlfn.XLOOKUP($F1485,Clientes!$B$4:$B$39,Clientes!$C$4:$C$39),Cadastros!$L$6:$L$12,Cadastros!$M$6:$M$12)," ")</f>
        <v xml:space="preserve"> </v>
      </c>
      <c r="AB1485" s="28"/>
      <c r="AC1485" s="28"/>
      <c r="AD1485" s="20" t="str">
        <f>IF(AB1485="","",IF($F1485="Bernardino Furlan",_xlfn.XLOOKUP(AB1485,Cadastros!$G$6:$G$90,Cadastros!$H$6:$H$90)*(1-0.18),IF($F1485="Mauro José Salanti",_xlfn.XLOOKUP(AB1485,Cadastros!$G$6:$G$90,Cadastros!$H$6:$H$90)*(1-0.18),_xlfn.XLOOKUP(AB1485,Cadastros!$G$6:$G$90,Cadastros!$H$6:$H$90))))</f>
        <v/>
      </c>
      <c r="AE1485" s="168" t="str">
        <f t="shared" si="304"/>
        <v/>
      </c>
      <c r="AF1485" s="168" t="str">
        <f t="shared" si="305"/>
        <v/>
      </c>
      <c r="AG1485" s="28"/>
      <c r="AH1485" s="28"/>
      <c r="AI1485" s="20" t="str">
        <f>IF(AG1485="","",IF($F1485="Bernardino Furlan",_xlfn.XLOOKUP(AG1485,Cadastros!$G$6:$G$90,Cadastros!$H$6:$H$90)*(1-0.18),IF($F1485="Mauro José Salanti",_xlfn.XLOOKUP(AG1485,Cadastros!$G$6:$G$90,Cadastros!$H$6:$H$90)*(1-0.18),_xlfn.XLOOKUP(AG1485,Cadastros!$G$6:$G$90,Cadastros!$H$6:$H$90))))</f>
        <v/>
      </c>
      <c r="AJ1485" s="168" t="str">
        <f t="shared" si="306"/>
        <v/>
      </c>
      <c r="AK1485" s="168" t="str">
        <f t="shared" si="307"/>
        <v/>
      </c>
      <c r="AL1485" s="28"/>
      <c r="AM1485" s="28"/>
      <c r="AN1485" s="20" t="str">
        <f>IF(AL1485="","",IF($F1485="Bernardino Furlan",_xlfn.XLOOKUP(AL1485,Cadastros!$G$6:$G$90,Cadastros!$H$6:$H$90)*(1-0.18),IF($F1485="Mauro José Salanti",_xlfn.XLOOKUP(AL1485,Cadastros!$G$6:$G$90,Cadastros!$H$6:$H$90)*(1-0.18),_xlfn.XLOOKUP(AL1485,Cadastros!$G$6:$G$90,Cadastros!$H$6:$H$90))))</f>
        <v/>
      </c>
      <c r="AO1485" s="168" t="str">
        <f t="shared" si="308"/>
        <v/>
      </c>
      <c r="AP1485" s="168" t="str">
        <f t="shared" si="309"/>
        <v/>
      </c>
      <c r="AQ1485" s="28"/>
      <c r="AR1485" s="28"/>
      <c r="AS1485" s="20" t="str">
        <f>IF(AQ1485="","",IF($F1485="Bernardino Furlan",_xlfn.XLOOKUP(AQ1485,Cadastros!$G$6:$G$90,Cadastros!$H$6:$H$90)*(1-0.18),IF($F1485="Mauro José Salanti",_xlfn.XLOOKUP(AQ1485,Cadastros!$G$6:$G$90,Cadastros!$H$6:$H$90)*(1-0.18),_xlfn.XLOOKUP(AQ1485,Cadastros!$G$6:$G$90,Cadastros!$H$6:$H$90))))</f>
        <v/>
      </c>
      <c r="AT1485" s="168" t="str">
        <f t="shared" si="310"/>
        <v/>
      </c>
      <c r="AU1485" s="168" t="str">
        <f t="shared" si="311"/>
        <v/>
      </c>
      <c r="AV1485" s="227"/>
      <c r="AW1485" s="30"/>
      <c r="AX1485" s="267"/>
      <c r="AY1485" s="267"/>
      <c r="AZ1485" s="29"/>
      <c r="BA1485" s="30"/>
      <c r="BB1485" s="23" t="str" cm="1">
        <f t="array" ref="BB1485">_xlfn.IFS(AW1485="SIM",SUM(K1485,P1485,U1485,Z1485,AE1485,AJ1485,AO1485,AT1485,AX1485,AY1485),F1485&lt;&gt;"",SUM(K1485,P1485,U1485,Z1485,AE1485,AJ1485,,AO1485,AT1485),F1485="","")</f>
        <v/>
      </c>
      <c r="BC1485" s="211" t="str" cm="1">
        <f t="array" ref="BC1485">_xlfn.IFS(E1485="","",G1485&lt;=E1485,BB1485*(1-0.03),G1485&lt;(E1485+8),BB1485,AZ1485="Boleto",BB1485*(1+0.001)^DATEDIF(E1485,G1485,"D"),AZ1485="Cheque",BB1485,AZ1485="Dinheiro","Alterar forma pgto")</f>
        <v/>
      </c>
      <c r="BD1485" s="276" t="str" cm="1">
        <f t="array" ref="BD1485">IF(F1485=0," ",IF(BC1485&lt;BB1485,(_xlfn.IFS(AW1485="SIM",SUM(L1485,Q1485,V1485,AA1485,AF1485,AK1485,AP1485,AU1485)+AX1485/_xlfn.XLOOKUP(_xlfn.XLOOKUP($F1485,Clientes!$B$4:$B$39,Clientes!$C$4:$C$39),Cadastros!$L$6:$L$12,Cadastros!$M$6:$M$12)+IF($F1485="Bernardino Furlan",AY1485/2751.92,IF($F1485="Mauro José Salanti",AY1485/2751.92,AY1485/3356)),F1485&lt;&gt;0,SUM(L1485,Q1485,V1485,AA1485,AF1485,AK1485,AP1485,AU1485)))*(1-0.03),_xlfn.IFS(AW1485="SIM",SUM(L1485,Q1485,V1485,AA1485,AF1485,AK1485,AP1485,AU1485)+AX1485/_xlfn.XLOOKUP(_xlfn.XLOOKUP($F1485,Clientes!$B$4:$B$39,Clientes!$C$4:$C$39),Cadastros!$L$6:$L$12,Cadastros!$M$6:$M$12)+IF($F1485="Bernardino Furlan",AY1485/2751.92,IF($F1485="Mauro José Salanti",AY1485/2751.92,AY1485/3356)),F1485&lt;&gt;0,SUM(L1485,Q1485,V1485,AA1485,AF1485,AK1485,AP1485,AU1485))))</f>
        <v xml:space="preserve"> </v>
      </c>
      <c r="BE1485" s="120"/>
      <c r="BF1485" s="120"/>
      <c r="BG1485" s="120"/>
    </row>
    <row r="1486" spans="1:59" s="3" customFormat="1" x14ac:dyDescent="0.3">
      <c r="A1486" s="15" t="str">
        <f t="shared" si="299"/>
        <v/>
      </c>
      <c r="B1486" s="25"/>
      <c r="C1486" s="26"/>
      <c r="D1486" s="279"/>
      <c r="E1486" s="27"/>
      <c r="F1486" s="28"/>
      <c r="G1486" s="27"/>
      <c r="H1486" s="28"/>
      <c r="I1486" s="28"/>
      <c r="J1486" s="255" t="str">
        <f>IF(H1486="","",(_xlfn.XLOOKUP(H1486,Cadastros!$D$6:$D$90,Cadastros!$E$6:$E$90))*(1-_xlfn.XLOOKUP(_xlfn.XLOOKUP($F1486,Clientes!$B$4:$B$39,Clientes!$C$4:$C$39),Cadastros!$L$6:$L$12,Cadastros!$N$6:$N$12)))</f>
        <v/>
      </c>
      <c r="K1486" s="168" t="str">
        <f t="shared" si="300"/>
        <v/>
      </c>
      <c r="L1486" s="168" t="str">
        <f>IFERROR(K1486/_xlfn.XLOOKUP(_xlfn.XLOOKUP($F1486,Clientes!$B$4:$B$39,Clientes!$C$4:$C$39),Cadastros!$L$6:$L$12,Cadastros!$M$6:$M$12)," ")</f>
        <v xml:space="preserve"> </v>
      </c>
      <c r="M1486" s="28"/>
      <c r="N1486" s="28"/>
      <c r="O1486" s="255" t="str">
        <f>IF(M1486="","",(_xlfn.XLOOKUP(M1486,Cadastros!$D$6:$D$90,Cadastros!$E$6:$E$90))*(1-_xlfn.XLOOKUP(_xlfn.XLOOKUP($F1486,Clientes!$B$4:$B$39,Clientes!$C$4:$C$39),Cadastros!$L$6:$L$12,Cadastros!$N$6:$N$12)))</f>
        <v/>
      </c>
      <c r="P1486" s="168" t="str">
        <f t="shared" si="301"/>
        <v/>
      </c>
      <c r="Q1486" s="168" t="str">
        <f>IFERROR(P1486/_xlfn.XLOOKUP(_xlfn.XLOOKUP($F1486,Clientes!$B$4:$B$39,Clientes!$C$4:$C$39),Cadastros!$L$6:$L$12,Cadastros!$M$6:$M$12)," ")</f>
        <v xml:space="preserve"> </v>
      </c>
      <c r="R1486" s="28"/>
      <c r="S1486" s="28"/>
      <c r="T1486" s="255" t="str">
        <f>IF(R1486="","",(_xlfn.XLOOKUP(R1486,Cadastros!$D$6:$D$90,Cadastros!$E$6:$E$90))*(1-_xlfn.XLOOKUP(_xlfn.XLOOKUP($F1486,Clientes!$B$4:$B$39,Clientes!$C$4:$C$39),Cadastros!$L$6:$L$12,Cadastros!$N$6:$N$12)))</f>
        <v/>
      </c>
      <c r="U1486" s="168" t="str">
        <f t="shared" si="302"/>
        <v/>
      </c>
      <c r="V1486" s="168" t="str">
        <f>IFERROR(U1486/_xlfn.XLOOKUP(_xlfn.XLOOKUP($F1486,Clientes!$B$4:$B$39,Clientes!$C$4:$C$39),Cadastros!$L$6:$L$12,Cadastros!$M$6:$M$12)," ")</f>
        <v xml:space="preserve"> </v>
      </c>
      <c r="W1486" s="28"/>
      <c r="X1486" s="28"/>
      <c r="Y1486" s="255" t="str">
        <f>IF(W1486="","",(_xlfn.XLOOKUP(W1486,Cadastros!$D$6:$D$90,Cadastros!$E$6:$E$90))*(1-_xlfn.XLOOKUP(_xlfn.XLOOKUP($F1486,Clientes!$B$4:$B$39,Clientes!$C$4:$C$39),Cadastros!$L$6:$L$12,Cadastros!$N$6:$N$12)))</f>
        <v/>
      </c>
      <c r="Z1486" s="168" t="str">
        <f t="shared" si="303"/>
        <v/>
      </c>
      <c r="AA1486" s="168" t="str">
        <f>IFERROR(Z1486/_xlfn.XLOOKUP(_xlfn.XLOOKUP($F1486,Clientes!$B$4:$B$39,Clientes!$C$4:$C$39),Cadastros!$L$6:$L$12,Cadastros!$M$6:$M$12)," ")</f>
        <v xml:space="preserve"> </v>
      </c>
      <c r="AB1486" s="28"/>
      <c r="AC1486" s="28"/>
      <c r="AD1486" s="20" t="str">
        <f>IF(AB1486="","",IF($F1486="Bernardino Furlan",_xlfn.XLOOKUP(AB1486,Cadastros!$G$6:$G$90,Cadastros!$H$6:$H$90)*(1-0.18),IF($F1486="Mauro José Salanti",_xlfn.XLOOKUP(AB1486,Cadastros!$G$6:$G$90,Cadastros!$H$6:$H$90)*(1-0.18),_xlfn.XLOOKUP(AB1486,Cadastros!$G$6:$G$90,Cadastros!$H$6:$H$90))))</f>
        <v/>
      </c>
      <c r="AE1486" s="168" t="str">
        <f t="shared" si="304"/>
        <v/>
      </c>
      <c r="AF1486" s="168" t="str">
        <f t="shared" si="305"/>
        <v/>
      </c>
      <c r="AG1486" s="28"/>
      <c r="AH1486" s="28"/>
      <c r="AI1486" s="20" t="str">
        <f>IF(AG1486="","",IF($F1486="Bernardino Furlan",_xlfn.XLOOKUP(AG1486,Cadastros!$G$6:$G$90,Cadastros!$H$6:$H$90)*(1-0.18),IF($F1486="Mauro José Salanti",_xlfn.XLOOKUP(AG1486,Cadastros!$G$6:$G$90,Cadastros!$H$6:$H$90)*(1-0.18),_xlfn.XLOOKUP(AG1486,Cadastros!$G$6:$G$90,Cadastros!$H$6:$H$90))))</f>
        <v/>
      </c>
      <c r="AJ1486" s="168" t="str">
        <f t="shared" si="306"/>
        <v/>
      </c>
      <c r="AK1486" s="168" t="str">
        <f t="shared" si="307"/>
        <v/>
      </c>
      <c r="AL1486" s="28"/>
      <c r="AM1486" s="28"/>
      <c r="AN1486" s="20" t="str">
        <f>IF(AL1486="","",IF($F1486="Bernardino Furlan",_xlfn.XLOOKUP(AL1486,Cadastros!$G$6:$G$90,Cadastros!$H$6:$H$90)*(1-0.18),IF($F1486="Mauro José Salanti",_xlfn.XLOOKUP(AL1486,Cadastros!$G$6:$G$90,Cadastros!$H$6:$H$90)*(1-0.18),_xlfn.XLOOKUP(AL1486,Cadastros!$G$6:$G$90,Cadastros!$H$6:$H$90))))</f>
        <v/>
      </c>
      <c r="AO1486" s="168" t="str">
        <f t="shared" si="308"/>
        <v/>
      </c>
      <c r="AP1486" s="168" t="str">
        <f t="shared" si="309"/>
        <v/>
      </c>
      <c r="AQ1486" s="28"/>
      <c r="AR1486" s="28"/>
      <c r="AS1486" s="20" t="str">
        <f>IF(AQ1486="","",IF($F1486="Bernardino Furlan",_xlfn.XLOOKUP(AQ1486,Cadastros!$G$6:$G$90,Cadastros!$H$6:$H$90)*(1-0.18),IF($F1486="Mauro José Salanti",_xlfn.XLOOKUP(AQ1486,Cadastros!$G$6:$G$90,Cadastros!$H$6:$H$90)*(1-0.18),_xlfn.XLOOKUP(AQ1486,Cadastros!$G$6:$G$90,Cadastros!$H$6:$H$90))))</f>
        <v/>
      </c>
      <c r="AT1486" s="168" t="str">
        <f t="shared" si="310"/>
        <v/>
      </c>
      <c r="AU1486" s="168" t="str">
        <f t="shared" si="311"/>
        <v/>
      </c>
      <c r="AV1486" s="227"/>
      <c r="AW1486" s="30"/>
      <c r="AX1486" s="267"/>
      <c r="AY1486" s="267"/>
      <c r="AZ1486" s="29"/>
      <c r="BA1486" s="30"/>
      <c r="BB1486" s="23" t="str" cm="1">
        <f t="array" ref="BB1486">_xlfn.IFS(AW1486="SIM",SUM(K1486,P1486,U1486,Z1486,AE1486,AJ1486,AO1486,AT1486,AX1486,AY1486),F1486&lt;&gt;"",SUM(K1486,P1486,U1486,Z1486,AE1486,AJ1486,,AO1486,AT1486),F1486="","")</f>
        <v/>
      </c>
      <c r="BC1486" s="211" t="str" cm="1">
        <f t="array" ref="BC1486">_xlfn.IFS(E1486="","",G1486&lt;=E1486,BB1486*(1-0.03),G1486&lt;(E1486+8),BB1486,AZ1486="Boleto",BB1486*(1+0.001)^DATEDIF(E1486,G1486,"D"),AZ1486="Cheque",BB1486,AZ1486="Dinheiro","Alterar forma pgto")</f>
        <v/>
      </c>
      <c r="BD1486" s="276" t="str" cm="1">
        <f t="array" ref="BD1486">IF(F1486=0," ",IF(BC1486&lt;BB1486,(_xlfn.IFS(AW1486="SIM",SUM(L1486,Q1486,V1486,AA1486,AF1486,AK1486,AP1486,AU1486)+AX1486/_xlfn.XLOOKUP(_xlfn.XLOOKUP($F1486,Clientes!$B$4:$B$39,Clientes!$C$4:$C$39),Cadastros!$L$6:$L$12,Cadastros!$M$6:$M$12)+IF($F1486="Bernardino Furlan",AY1486/2751.92,IF($F1486="Mauro José Salanti",AY1486/2751.92,AY1486/3356)),F1486&lt;&gt;0,SUM(L1486,Q1486,V1486,AA1486,AF1486,AK1486,AP1486,AU1486)))*(1-0.03),_xlfn.IFS(AW1486="SIM",SUM(L1486,Q1486,V1486,AA1486,AF1486,AK1486,AP1486,AU1486)+AX1486/_xlfn.XLOOKUP(_xlfn.XLOOKUP($F1486,Clientes!$B$4:$B$39,Clientes!$C$4:$C$39),Cadastros!$L$6:$L$12,Cadastros!$M$6:$M$12)+IF($F1486="Bernardino Furlan",AY1486/2751.92,IF($F1486="Mauro José Salanti",AY1486/2751.92,AY1486/3356)),F1486&lt;&gt;0,SUM(L1486,Q1486,V1486,AA1486,AF1486,AK1486,AP1486,AU1486))))</f>
        <v xml:space="preserve"> </v>
      </c>
      <c r="BE1486" s="120"/>
      <c r="BF1486" s="120"/>
      <c r="BG1486" s="120"/>
    </row>
    <row r="1487" spans="1:59" s="3" customFormat="1" x14ac:dyDescent="0.3">
      <c r="A1487" s="15" t="str">
        <f t="shared" si="299"/>
        <v/>
      </c>
      <c r="B1487" s="25"/>
      <c r="C1487" s="26"/>
      <c r="D1487" s="279"/>
      <c r="E1487" s="27"/>
      <c r="F1487" s="28"/>
      <c r="G1487" s="27"/>
      <c r="H1487" s="28"/>
      <c r="I1487" s="28"/>
      <c r="J1487" s="255" t="str">
        <f>IF(H1487="","",(_xlfn.XLOOKUP(H1487,Cadastros!$D$6:$D$90,Cadastros!$E$6:$E$90))*(1-_xlfn.XLOOKUP(_xlfn.XLOOKUP($F1487,Clientes!$B$4:$B$39,Clientes!$C$4:$C$39),Cadastros!$L$6:$L$12,Cadastros!$N$6:$N$12)))</f>
        <v/>
      </c>
      <c r="K1487" s="168" t="str">
        <f t="shared" si="300"/>
        <v/>
      </c>
      <c r="L1487" s="168" t="str">
        <f>IFERROR(K1487/_xlfn.XLOOKUP(_xlfn.XLOOKUP($F1487,Clientes!$B$4:$B$39,Clientes!$C$4:$C$39),Cadastros!$L$6:$L$12,Cadastros!$M$6:$M$12)," ")</f>
        <v xml:space="preserve"> </v>
      </c>
      <c r="M1487" s="28"/>
      <c r="N1487" s="28"/>
      <c r="O1487" s="255" t="str">
        <f>IF(M1487="","",(_xlfn.XLOOKUP(M1487,Cadastros!$D$6:$D$90,Cadastros!$E$6:$E$90))*(1-_xlfn.XLOOKUP(_xlfn.XLOOKUP($F1487,Clientes!$B$4:$B$39,Clientes!$C$4:$C$39),Cadastros!$L$6:$L$12,Cadastros!$N$6:$N$12)))</f>
        <v/>
      </c>
      <c r="P1487" s="168" t="str">
        <f t="shared" si="301"/>
        <v/>
      </c>
      <c r="Q1487" s="168" t="str">
        <f>IFERROR(P1487/_xlfn.XLOOKUP(_xlfn.XLOOKUP($F1487,Clientes!$B$4:$B$39,Clientes!$C$4:$C$39),Cadastros!$L$6:$L$12,Cadastros!$M$6:$M$12)," ")</f>
        <v xml:space="preserve"> </v>
      </c>
      <c r="R1487" s="28"/>
      <c r="S1487" s="28"/>
      <c r="T1487" s="255" t="str">
        <f>IF(R1487="","",(_xlfn.XLOOKUP(R1487,Cadastros!$D$6:$D$90,Cadastros!$E$6:$E$90))*(1-_xlfn.XLOOKUP(_xlfn.XLOOKUP($F1487,Clientes!$B$4:$B$39,Clientes!$C$4:$C$39),Cadastros!$L$6:$L$12,Cadastros!$N$6:$N$12)))</f>
        <v/>
      </c>
      <c r="U1487" s="168" t="str">
        <f t="shared" si="302"/>
        <v/>
      </c>
      <c r="V1487" s="168" t="str">
        <f>IFERROR(U1487/_xlfn.XLOOKUP(_xlfn.XLOOKUP($F1487,Clientes!$B$4:$B$39,Clientes!$C$4:$C$39),Cadastros!$L$6:$L$12,Cadastros!$M$6:$M$12)," ")</f>
        <v xml:space="preserve"> </v>
      </c>
      <c r="W1487" s="28"/>
      <c r="X1487" s="28"/>
      <c r="Y1487" s="255" t="str">
        <f>IF(W1487="","",(_xlfn.XLOOKUP(W1487,Cadastros!$D$6:$D$90,Cadastros!$E$6:$E$90))*(1-_xlfn.XLOOKUP(_xlfn.XLOOKUP($F1487,Clientes!$B$4:$B$39,Clientes!$C$4:$C$39),Cadastros!$L$6:$L$12,Cadastros!$N$6:$N$12)))</f>
        <v/>
      </c>
      <c r="Z1487" s="168" t="str">
        <f t="shared" si="303"/>
        <v/>
      </c>
      <c r="AA1487" s="168" t="str">
        <f>IFERROR(Z1487/_xlfn.XLOOKUP(_xlfn.XLOOKUP($F1487,Clientes!$B$4:$B$39,Clientes!$C$4:$C$39),Cadastros!$L$6:$L$12,Cadastros!$M$6:$M$12)," ")</f>
        <v xml:space="preserve"> </v>
      </c>
      <c r="AB1487" s="28"/>
      <c r="AC1487" s="28"/>
      <c r="AD1487" s="20" t="str">
        <f>IF(AB1487="","",IF($F1487="Bernardino Furlan",_xlfn.XLOOKUP(AB1487,Cadastros!$G$6:$G$90,Cadastros!$H$6:$H$90)*(1-0.18),IF($F1487="Mauro José Salanti",_xlfn.XLOOKUP(AB1487,Cadastros!$G$6:$G$90,Cadastros!$H$6:$H$90)*(1-0.18),_xlfn.XLOOKUP(AB1487,Cadastros!$G$6:$G$90,Cadastros!$H$6:$H$90))))</f>
        <v/>
      </c>
      <c r="AE1487" s="168" t="str">
        <f t="shared" si="304"/>
        <v/>
      </c>
      <c r="AF1487" s="168" t="str">
        <f t="shared" si="305"/>
        <v/>
      </c>
      <c r="AG1487" s="28"/>
      <c r="AH1487" s="28"/>
      <c r="AI1487" s="20" t="str">
        <f>IF(AG1487="","",IF($F1487="Bernardino Furlan",_xlfn.XLOOKUP(AG1487,Cadastros!$G$6:$G$90,Cadastros!$H$6:$H$90)*(1-0.18),IF($F1487="Mauro José Salanti",_xlfn.XLOOKUP(AG1487,Cadastros!$G$6:$G$90,Cadastros!$H$6:$H$90)*(1-0.18),_xlfn.XLOOKUP(AG1487,Cadastros!$G$6:$G$90,Cadastros!$H$6:$H$90))))</f>
        <v/>
      </c>
      <c r="AJ1487" s="168" t="str">
        <f t="shared" si="306"/>
        <v/>
      </c>
      <c r="AK1487" s="168" t="str">
        <f t="shared" si="307"/>
        <v/>
      </c>
      <c r="AL1487" s="28"/>
      <c r="AM1487" s="28"/>
      <c r="AN1487" s="20" t="str">
        <f>IF(AL1487="","",IF($F1487="Bernardino Furlan",_xlfn.XLOOKUP(AL1487,Cadastros!$G$6:$G$90,Cadastros!$H$6:$H$90)*(1-0.18),IF($F1487="Mauro José Salanti",_xlfn.XLOOKUP(AL1487,Cadastros!$G$6:$G$90,Cadastros!$H$6:$H$90)*(1-0.18),_xlfn.XLOOKUP(AL1487,Cadastros!$G$6:$G$90,Cadastros!$H$6:$H$90))))</f>
        <v/>
      </c>
      <c r="AO1487" s="168" t="str">
        <f t="shared" si="308"/>
        <v/>
      </c>
      <c r="AP1487" s="168" t="str">
        <f t="shared" si="309"/>
        <v/>
      </c>
      <c r="AQ1487" s="28"/>
      <c r="AR1487" s="28"/>
      <c r="AS1487" s="20" t="str">
        <f>IF(AQ1487="","",IF($F1487="Bernardino Furlan",_xlfn.XLOOKUP(AQ1487,Cadastros!$G$6:$G$90,Cadastros!$H$6:$H$90)*(1-0.18),IF($F1487="Mauro José Salanti",_xlfn.XLOOKUP(AQ1487,Cadastros!$G$6:$G$90,Cadastros!$H$6:$H$90)*(1-0.18),_xlfn.XLOOKUP(AQ1487,Cadastros!$G$6:$G$90,Cadastros!$H$6:$H$90))))</f>
        <v/>
      </c>
      <c r="AT1487" s="168" t="str">
        <f t="shared" si="310"/>
        <v/>
      </c>
      <c r="AU1487" s="168" t="str">
        <f t="shared" si="311"/>
        <v/>
      </c>
      <c r="AV1487" s="227"/>
      <c r="AW1487" s="30"/>
      <c r="AX1487" s="267"/>
      <c r="AY1487" s="267"/>
      <c r="AZ1487" s="29"/>
      <c r="BA1487" s="30"/>
      <c r="BB1487" s="23" t="str" cm="1">
        <f t="array" ref="BB1487">_xlfn.IFS(AW1487="SIM",SUM(K1487,P1487,U1487,Z1487,AE1487,AJ1487,AO1487,AT1487,AX1487,AY1487),F1487&lt;&gt;"",SUM(K1487,P1487,U1487,Z1487,AE1487,AJ1487,,AO1487,AT1487),F1487="","")</f>
        <v/>
      </c>
      <c r="BC1487" s="211" t="str" cm="1">
        <f t="array" ref="BC1487">_xlfn.IFS(E1487="","",G1487&lt;=E1487,BB1487*(1-0.03),G1487&lt;(E1487+8),BB1487,AZ1487="Boleto",BB1487*(1+0.001)^DATEDIF(E1487,G1487,"D"),AZ1487="Cheque",BB1487,AZ1487="Dinheiro","Alterar forma pgto")</f>
        <v/>
      </c>
      <c r="BD1487" s="276" t="str" cm="1">
        <f t="array" ref="BD1487">IF(F1487=0," ",IF(BC1487&lt;BB1487,(_xlfn.IFS(AW1487="SIM",SUM(L1487,Q1487,V1487,AA1487,AF1487,AK1487,AP1487,AU1487)+AX1487/_xlfn.XLOOKUP(_xlfn.XLOOKUP($F1487,Clientes!$B$4:$B$39,Clientes!$C$4:$C$39),Cadastros!$L$6:$L$12,Cadastros!$M$6:$M$12)+IF($F1487="Bernardino Furlan",AY1487/2751.92,IF($F1487="Mauro José Salanti",AY1487/2751.92,AY1487/3356)),F1487&lt;&gt;0,SUM(L1487,Q1487,V1487,AA1487,AF1487,AK1487,AP1487,AU1487)))*(1-0.03),_xlfn.IFS(AW1487="SIM",SUM(L1487,Q1487,V1487,AA1487,AF1487,AK1487,AP1487,AU1487)+AX1487/_xlfn.XLOOKUP(_xlfn.XLOOKUP($F1487,Clientes!$B$4:$B$39,Clientes!$C$4:$C$39),Cadastros!$L$6:$L$12,Cadastros!$M$6:$M$12)+IF($F1487="Bernardino Furlan",AY1487/2751.92,IF($F1487="Mauro José Salanti",AY1487/2751.92,AY1487/3356)),F1487&lt;&gt;0,SUM(L1487,Q1487,V1487,AA1487,AF1487,AK1487,AP1487,AU1487))))</f>
        <v xml:space="preserve"> </v>
      </c>
      <c r="BE1487" s="120"/>
      <c r="BF1487" s="120"/>
      <c r="BG1487" s="120"/>
    </row>
    <row r="1488" spans="1:59" s="3" customFormat="1" x14ac:dyDescent="0.3">
      <c r="A1488" s="15" t="str">
        <f t="shared" si="299"/>
        <v/>
      </c>
      <c r="B1488" s="25"/>
      <c r="C1488" s="26"/>
      <c r="D1488" s="279"/>
      <c r="E1488" s="27"/>
      <c r="F1488" s="28"/>
      <c r="G1488" s="27"/>
      <c r="H1488" s="28"/>
      <c r="I1488" s="28"/>
      <c r="J1488" s="255" t="str">
        <f>IF(H1488="","",(_xlfn.XLOOKUP(H1488,Cadastros!$D$6:$D$90,Cadastros!$E$6:$E$90))*(1-_xlfn.XLOOKUP(_xlfn.XLOOKUP($F1488,Clientes!$B$4:$B$39,Clientes!$C$4:$C$39),Cadastros!$L$6:$L$12,Cadastros!$N$6:$N$12)))</f>
        <v/>
      </c>
      <c r="K1488" s="168" t="str">
        <f t="shared" si="300"/>
        <v/>
      </c>
      <c r="L1488" s="168" t="str">
        <f>IFERROR(K1488/_xlfn.XLOOKUP(_xlfn.XLOOKUP($F1488,Clientes!$B$4:$B$39,Clientes!$C$4:$C$39),Cadastros!$L$6:$L$12,Cadastros!$M$6:$M$12)," ")</f>
        <v xml:space="preserve"> </v>
      </c>
      <c r="M1488" s="28"/>
      <c r="N1488" s="28"/>
      <c r="O1488" s="255" t="str">
        <f>IF(M1488="","",(_xlfn.XLOOKUP(M1488,Cadastros!$D$6:$D$90,Cadastros!$E$6:$E$90))*(1-_xlfn.XLOOKUP(_xlfn.XLOOKUP($F1488,Clientes!$B$4:$B$39,Clientes!$C$4:$C$39),Cadastros!$L$6:$L$12,Cadastros!$N$6:$N$12)))</f>
        <v/>
      </c>
      <c r="P1488" s="168" t="str">
        <f t="shared" si="301"/>
        <v/>
      </c>
      <c r="Q1488" s="168" t="str">
        <f>IFERROR(P1488/_xlfn.XLOOKUP(_xlfn.XLOOKUP($F1488,Clientes!$B$4:$B$39,Clientes!$C$4:$C$39),Cadastros!$L$6:$L$12,Cadastros!$M$6:$M$12)," ")</f>
        <v xml:space="preserve"> </v>
      </c>
      <c r="R1488" s="28"/>
      <c r="S1488" s="28"/>
      <c r="T1488" s="255" t="str">
        <f>IF(R1488="","",(_xlfn.XLOOKUP(R1488,Cadastros!$D$6:$D$90,Cadastros!$E$6:$E$90))*(1-_xlfn.XLOOKUP(_xlfn.XLOOKUP($F1488,Clientes!$B$4:$B$39,Clientes!$C$4:$C$39),Cadastros!$L$6:$L$12,Cadastros!$N$6:$N$12)))</f>
        <v/>
      </c>
      <c r="U1488" s="168" t="str">
        <f t="shared" si="302"/>
        <v/>
      </c>
      <c r="V1488" s="168" t="str">
        <f>IFERROR(U1488/_xlfn.XLOOKUP(_xlfn.XLOOKUP($F1488,Clientes!$B$4:$B$39,Clientes!$C$4:$C$39),Cadastros!$L$6:$L$12,Cadastros!$M$6:$M$12)," ")</f>
        <v xml:space="preserve"> </v>
      </c>
      <c r="W1488" s="28"/>
      <c r="X1488" s="28"/>
      <c r="Y1488" s="255" t="str">
        <f>IF(W1488="","",(_xlfn.XLOOKUP(W1488,Cadastros!$D$6:$D$90,Cadastros!$E$6:$E$90))*(1-_xlfn.XLOOKUP(_xlfn.XLOOKUP($F1488,Clientes!$B$4:$B$39,Clientes!$C$4:$C$39),Cadastros!$L$6:$L$12,Cadastros!$N$6:$N$12)))</f>
        <v/>
      </c>
      <c r="Z1488" s="168" t="str">
        <f t="shared" si="303"/>
        <v/>
      </c>
      <c r="AA1488" s="168" t="str">
        <f>IFERROR(Z1488/_xlfn.XLOOKUP(_xlfn.XLOOKUP($F1488,Clientes!$B$4:$B$39,Clientes!$C$4:$C$39),Cadastros!$L$6:$L$12,Cadastros!$M$6:$M$12)," ")</f>
        <v xml:space="preserve"> </v>
      </c>
      <c r="AB1488" s="28"/>
      <c r="AC1488" s="28"/>
      <c r="AD1488" s="20" t="str">
        <f>IF(AB1488="","",IF($F1488="Bernardino Furlan",_xlfn.XLOOKUP(AB1488,Cadastros!$G$6:$G$90,Cadastros!$H$6:$H$90)*(1-0.18),IF($F1488="Mauro José Salanti",_xlfn.XLOOKUP(AB1488,Cadastros!$G$6:$G$90,Cadastros!$H$6:$H$90)*(1-0.18),_xlfn.XLOOKUP(AB1488,Cadastros!$G$6:$G$90,Cadastros!$H$6:$H$90))))</f>
        <v/>
      </c>
      <c r="AE1488" s="168" t="str">
        <f t="shared" si="304"/>
        <v/>
      </c>
      <c r="AF1488" s="168" t="str">
        <f t="shared" si="305"/>
        <v/>
      </c>
      <c r="AG1488" s="28"/>
      <c r="AH1488" s="28"/>
      <c r="AI1488" s="20" t="str">
        <f>IF(AG1488="","",IF($F1488="Bernardino Furlan",_xlfn.XLOOKUP(AG1488,Cadastros!$G$6:$G$90,Cadastros!$H$6:$H$90)*(1-0.18),IF($F1488="Mauro José Salanti",_xlfn.XLOOKUP(AG1488,Cadastros!$G$6:$G$90,Cadastros!$H$6:$H$90)*(1-0.18),_xlfn.XLOOKUP(AG1488,Cadastros!$G$6:$G$90,Cadastros!$H$6:$H$90))))</f>
        <v/>
      </c>
      <c r="AJ1488" s="168" t="str">
        <f t="shared" si="306"/>
        <v/>
      </c>
      <c r="AK1488" s="168" t="str">
        <f t="shared" si="307"/>
        <v/>
      </c>
      <c r="AL1488" s="28"/>
      <c r="AM1488" s="28"/>
      <c r="AN1488" s="20" t="str">
        <f>IF(AL1488="","",IF($F1488="Bernardino Furlan",_xlfn.XLOOKUP(AL1488,Cadastros!$G$6:$G$90,Cadastros!$H$6:$H$90)*(1-0.18),IF($F1488="Mauro José Salanti",_xlfn.XLOOKUP(AL1488,Cadastros!$G$6:$G$90,Cadastros!$H$6:$H$90)*(1-0.18),_xlfn.XLOOKUP(AL1488,Cadastros!$G$6:$G$90,Cadastros!$H$6:$H$90))))</f>
        <v/>
      </c>
      <c r="AO1488" s="168" t="str">
        <f t="shared" si="308"/>
        <v/>
      </c>
      <c r="AP1488" s="168" t="str">
        <f t="shared" si="309"/>
        <v/>
      </c>
      <c r="AQ1488" s="28"/>
      <c r="AR1488" s="28"/>
      <c r="AS1488" s="20" t="str">
        <f>IF(AQ1488="","",IF($F1488="Bernardino Furlan",_xlfn.XLOOKUP(AQ1488,Cadastros!$G$6:$G$90,Cadastros!$H$6:$H$90)*(1-0.18),IF($F1488="Mauro José Salanti",_xlfn.XLOOKUP(AQ1488,Cadastros!$G$6:$G$90,Cadastros!$H$6:$H$90)*(1-0.18),_xlfn.XLOOKUP(AQ1488,Cadastros!$G$6:$G$90,Cadastros!$H$6:$H$90))))</f>
        <v/>
      </c>
      <c r="AT1488" s="168" t="str">
        <f t="shared" si="310"/>
        <v/>
      </c>
      <c r="AU1488" s="168" t="str">
        <f t="shared" si="311"/>
        <v/>
      </c>
      <c r="AV1488" s="227"/>
      <c r="AW1488" s="30"/>
      <c r="AX1488" s="267"/>
      <c r="AY1488" s="267"/>
      <c r="AZ1488" s="29"/>
      <c r="BA1488" s="30"/>
      <c r="BB1488" s="23" t="str" cm="1">
        <f t="array" ref="BB1488">_xlfn.IFS(AW1488="SIM",SUM(K1488,P1488,U1488,Z1488,AE1488,AJ1488,AO1488,AT1488,AX1488,AY1488),F1488&lt;&gt;"",SUM(K1488,P1488,U1488,Z1488,AE1488,AJ1488,,AO1488,AT1488),F1488="","")</f>
        <v/>
      </c>
      <c r="BC1488" s="211" t="str" cm="1">
        <f t="array" ref="BC1488">_xlfn.IFS(E1488="","",G1488&lt;=E1488,BB1488*(1-0.03),G1488&lt;(E1488+8),BB1488,AZ1488="Boleto",BB1488*(1+0.001)^DATEDIF(E1488,G1488,"D"),AZ1488="Cheque",BB1488,AZ1488="Dinheiro","Alterar forma pgto")</f>
        <v/>
      </c>
      <c r="BD1488" s="276" t="str" cm="1">
        <f t="array" ref="BD1488">IF(F1488=0," ",IF(BC1488&lt;BB1488,(_xlfn.IFS(AW1488="SIM",SUM(L1488,Q1488,V1488,AA1488,AF1488,AK1488,AP1488,AU1488)+AX1488/_xlfn.XLOOKUP(_xlfn.XLOOKUP($F1488,Clientes!$B$4:$B$39,Clientes!$C$4:$C$39),Cadastros!$L$6:$L$12,Cadastros!$M$6:$M$12)+IF($F1488="Bernardino Furlan",AY1488/2751.92,IF($F1488="Mauro José Salanti",AY1488/2751.92,AY1488/3356)),F1488&lt;&gt;0,SUM(L1488,Q1488,V1488,AA1488,AF1488,AK1488,AP1488,AU1488)))*(1-0.03),_xlfn.IFS(AW1488="SIM",SUM(L1488,Q1488,V1488,AA1488,AF1488,AK1488,AP1488,AU1488)+AX1488/_xlfn.XLOOKUP(_xlfn.XLOOKUP($F1488,Clientes!$B$4:$B$39,Clientes!$C$4:$C$39),Cadastros!$L$6:$L$12,Cadastros!$M$6:$M$12)+IF($F1488="Bernardino Furlan",AY1488/2751.92,IF($F1488="Mauro José Salanti",AY1488/2751.92,AY1488/3356)),F1488&lt;&gt;0,SUM(L1488,Q1488,V1488,AA1488,AF1488,AK1488,AP1488,AU1488))))</f>
        <v xml:space="preserve"> </v>
      </c>
      <c r="BE1488" s="120"/>
      <c r="BF1488" s="120"/>
      <c r="BG1488" s="120"/>
    </row>
    <row r="1489" spans="1:59" s="3" customFormat="1" x14ac:dyDescent="0.3">
      <c r="A1489" s="15" t="str">
        <f t="shared" si="299"/>
        <v/>
      </c>
      <c r="B1489" s="25"/>
      <c r="C1489" s="26"/>
      <c r="D1489" s="279"/>
      <c r="E1489" s="27"/>
      <c r="F1489" s="28"/>
      <c r="G1489" s="27"/>
      <c r="H1489" s="28"/>
      <c r="I1489" s="28"/>
      <c r="J1489" s="255" t="str">
        <f>IF(H1489="","",(_xlfn.XLOOKUP(H1489,Cadastros!$D$6:$D$90,Cadastros!$E$6:$E$90))*(1-_xlfn.XLOOKUP(_xlfn.XLOOKUP($F1489,Clientes!$B$4:$B$39,Clientes!$C$4:$C$39),Cadastros!$L$6:$L$12,Cadastros!$N$6:$N$12)))</f>
        <v/>
      </c>
      <c r="K1489" s="168" t="str">
        <f t="shared" si="300"/>
        <v/>
      </c>
      <c r="L1489" s="168" t="str">
        <f>IFERROR(K1489/_xlfn.XLOOKUP(_xlfn.XLOOKUP($F1489,Clientes!$B$4:$B$39,Clientes!$C$4:$C$39),Cadastros!$L$6:$L$12,Cadastros!$M$6:$M$12)," ")</f>
        <v xml:space="preserve"> </v>
      </c>
      <c r="M1489" s="28"/>
      <c r="N1489" s="28"/>
      <c r="O1489" s="255" t="str">
        <f>IF(M1489="","",(_xlfn.XLOOKUP(M1489,Cadastros!$D$6:$D$90,Cadastros!$E$6:$E$90))*(1-_xlfn.XLOOKUP(_xlfn.XLOOKUP($F1489,Clientes!$B$4:$B$39,Clientes!$C$4:$C$39),Cadastros!$L$6:$L$12,Cadastros!$N$6:$N$12)))</f>
        <v/>
      </c>
      <c r="P1489" s="168" t="str">
        <f t="shared" si="301"/>
        <v/>
      </c>
      <c r="Q1489" s="168" t="str">
        <f>IFERROR(P1489/_xlfn.XLOOKUP(_xlfn.XLOOKUP($F1489,Clientes!$B$4:$B$39,Clientes!$C$4:$C$39),Cadastros!$L$6:$L$12,Cadastros!$M$6:$M$12)," ")</f>
        <v xml:space="preserve"> </v>
      </c>
      <c r="R1489" s="28"/>
      <c r="S1489" s="28"/>
      <c r="T1489" s="255" t="str">
        <f>IF(R1489="","",(_xlfn.XLOOKUP(R1489,Cadastros!$D$6:$D$90,Cadastros!$E$6:$E$90))*(1-_xlfn.XLOOKUP(_xlfn.XLOOKUP($F1489,Clientes!$B$4:$B$39,Clientes!$C$4:$C$39),Cadastros!$L$6:$L$12,Cadastros!$N$6:$N$12)))</f>
        <v/>
      </c>
      <c r="U1489" s="168" t="str">
        <f t="shared" si="302"/>
        <v/>
      </c>
      <c r="V1489" s="168" t="str">
        <f>IFERROR(U1489/_xlfn.XLOOKUP(_xlfn.XLOOKUP($F1489,Clientes!$B$4:$B$39,Clientes!$C$4:$C$39),Cadastros!$L$6:$L$12,Cadastros!$M$6:$M$12)," ")</f>
        <v xml:space="preserve"> </v>
      </c>
      <c r="W1489" s="28"/>
      <c r="X1489" s="28"/>
      <c r="Y1489" s="255" t="str">
        <f>IF(W1489="","",(_xlfn.XLOOKUP(W1489,Cadastros!$D$6:$D$90,Cadastros!$E$6:$E$90))*(1-_xlfn.XLOOKUP(_xlfn.XLOOKUP($F1489,Clientes!$B$4:$B$39,Clientes!$C$4:$C$39),Cadastros!$L$6:$L$12,Cadastros!$N$6:$N$12)))</f>
        <v/>
      </c>
      <c r="Z1489" s="168" t="str">
        <f t="shared" si="303"/>
        <v/>
      </c>
      <c r="AA1489" s="168" t="str">
        <f>IFERROR(Z1489/_xlfn.XLOOKUP(_xlfn.XLOOKUP($F1489,Clientes!$B$4:$B$39,Clientes!$C$4:$C$39),Cadastros!$L$6:$L$12,Cadastros!$M$6:$M$12)," ")</f>
        <v xml:space="preserve"> </v>
      </c>
      <c r="AB1489" s="28"/>
      <c r="AC1489" s="28"/>
      <c r="AD1489" s="20" t="str">
        <f>IF(AB1489="","",IF($F1489="Bernardino Furlan",_xlfn.XLOOKUP(AB1489,Cadastros!$G$6:$G$90,Cadastros!$H$6:$H$90)*(1-0.18),IF($F1489="Mauro José Salanti",_xlfn.XLOOKUP(AB1489,Cadastros!$G$6:$G$90,Cadastros!$H$6:$H$90)*(1-0.18),_xlfn.XLOOKUP(AB1489,Cadastros!$G$6:$G$90,Cadastros!$H$6:$H$90))))</f>
        <v/>
      </c>
      <c r="AE1489" s="168" t="str">
        <f t="shared" si="304"/>
        <v/>
      </c>
      <c r="AF1489" s="168" t="str">
        <f t="shared" si="305"/>
        <v/>
      </c>
      <c r="AG1489" s="28"/>
      <c r="AH1489" s="28"/>
      <c r="AI1489" s="20" t="str">
        <f>IF(AG1489="","",IF($F1489="Bernardino Furlan",_xlfn.XLOOKUP(AG1489,Cadastros!$G$6:$G$90,Cadastros!$H$6:$H$90)*(1-0.18),IF($F1489="Mauro José Salanti",_xlfn.XLOOKUP(AG1489,Cadastros!$G$6:$G$90,Cadastros!$H$6:$H$90)*(1-0.18),_xlfn.XLOOKUP(AG1489,Cadastros!$G$6:$G$90,Cadastros!$H$6:$H$90))))</f>
        <v/>
      </c>
      <c r="AJ1489" s="168" t="str">
        <f t="shared" si="306"/>
        <v/>
      </c>
      <c r="AK1489" s="168" t="str">
        <f t="shared" si="307"/>
        <v/>
      </c>
      <c r="AL1489" s="28"/>
      <c r="AM1489" s="28"/>
      <c r="AN1489" s="20" t="str">
        <f>IF(AL1489="","",IF($F1489="Bernardino Furlan",_xlfn.XLOOKUP(AL1489,Cadastros!$G$6:$G$90,Cadastros!$H$6:$H$90)*(1-0.18),IF($F1489="Mauro José Salanti",_xlfn.XLOOKUP(AL1489,Cadastros!$G$6:$G$90,Cadastros!$H$6:$H$90)*(1-0.18),_xlfn.XLOOKUP(AL1489,Cadastros!$G$6:$G$90,Cadastros!$H$6:$H$90))))</f>
        <v/>
      </c>
      <c r="AO1489" s="168" t="str">
        <f t="shared" si="308"/>
        <v/>
      </c>
      <c r="AP1489" s="168" t="str">
        <f t="shared" si="309"/>
        <v/>
      </c>
      <c r="AQ1489" s="28"/>
      <c r="AR1489" s="28"/>
      <c r="AS1489" s="20" t="str">
        <f>IF(AQ1489="","",IF($F1489="Bernardino Furlan",_xlfn.XLOOKUP(AQ1489,Cadastros!$G$6:$G$90,Cadastros!$H$6:$H$90)*(1-0.18),IF($F1489="Mauro José Salanti",_xlfn.XLOOKUP(AQ1489,Cadastros!$G$6:$G$90,Cadastros!$H$6:$H$90)*(1-0.18),_xlfn.XLOOKUP(AQ1489,Cadastros!$G$6:$G$90,Cadastros!$H$6:$H$90))))</f>
        <v/>
      </c>
      <c r="AT1489" s="168" t="str">
        <f t="shared" si="310"/>
        <v/>
      </c>
      <c r="AU1489" s="168" t="str">
        <f t="shared" si="311"/>
        <v/>
      </c>
      <c r="AV1489" s="227"/>
      <c r="AW1489" s="30"/>
      <c r="AX1489" s="267"/>
      <c r="AY1489" s="267"/>
      <c r="AZ1489" s="29"/>
      <c r="BA1489" s="30"/>
      <c r="BB1489" s="23" t="str" cm="1">
        <f t="array" ref="BB1489">_xlfn.IFS(AW1489="SIM",SUM(K1489,P1489,U1489,Z1489,AE1489,AJ1489,AO1489,AT1489,AX1489,AY1489),F1489&lt;&gt;"",SUM(K1489,P1489,U1489,Z1489,AE1489,AJ1489,,AO1489,AT1489),F1489="","")</f>
        <v/>
      </c>
      <c r="BC1489" s="211" t="str" cm="1">
        <f t="array" ref="BC1489">_xlfn.IFS(E1489="","",G1489&lt;=E1489,BB1489*(1-0.03),G1489&lt;(E1489+8),BB1489,AZ1489="Boleto",BB1489*(1+0.001)^DATEDIF(E1489,G1489,"D"),AZ1489="Cheque",BB1489,AZ1489="Dinheiro","Alterar forma pgto")</f>
        <v/>
      </c>
      <c r="BD1489" s="276" t="str" cm="1">
        <f t="array" ref="BD1489">IF(F1489=0," ",IF(BC1489&lt;BB1489,(_xlfn.IFS(AW1489="SIM",SUM(L1489,Q1489,V1489,AA1489,AF1489,AK1489,AP1489,AU1489)+AX1489/_xlfn.XLOOKUP(_xlfn.XLOOKUP($F1489,Clientes!$B$4:$B$39,Clientes!$C$4:$C$39),Cadastros!$L$6:$L$12,Cadastros!$M$6:$M$12)+IF($F1489="Bernardino Furlan",AY1489/2751.92,IF($F1489="Mauro José Salanti",AY1489/2751.92,AY1489/3356)),F1489&lt;&gt;0,SUM(L1489,Q1489,V1489,AA1489,AF1489,AK1489,AP1489,AU1489)))*(1-0.03),_xlfn.IFS(AW1489="SIM",SUM(L1489,Q1489,V1489,AA1489,AF1489,AK1489,AP1489,AU1489)+AX1489/_xlfn.XLOOKUP(_xlfn.XLOOKUP($F1489,Clientes!$B$4:$B$39,Clientes!$C$4:$C$39),Cadastros!$L$6:$L$12,Cadastros!$M$6:$M$12)+IF($F1489="Bernardino Furlan",AY1489/2751.92,IF($F1489="Mauro José Salanti",AY1489/2751.92,AY1489/3356)),F1489&lt;&gt;0,SUM(L1489,Q1489,V1489,AA1489,AF1489,AK1489,AP1489,AU1489))))</f>
        <v xml:space="preserve"> </v>
      </c>
      <c r="BE1489" s="120"/>
      <c r="BF1489" s="120"/>
      <c r="BG1489" s="120"/>
    </row>
    <row r="1490" spans="1:59" s="3" customFormat="1" x14ac:dyDescent="0.3">
      <c r="A1490" s="15" t="str">
        <f t="shared" si="299"/>
        <v/>
      </c>
      <c r="B1490" s="25"/>
      <c r="C1490" s="26"/>
      <c r="D1490" s="279"/>
      <c r="E1490" s="27"/>
      <c r="F1490" s="28"/>
      <c r="G1490" s="27"/>
      <c r="H1490" s="28"/>
      <c r="I1490" s="28"/>
      <c r="J1490" s="255" t="str">
        <f>IF(H1490="","",(_xlfn.XLOOKUP(H1490,Cadastros!$D$6:$D$90,Cadastros!$E$6:$E$90))*(1-_xlfn.XLOOKUP(_xlfn.XLOOKUP($F1490,Clientes!$B$4:$B$39,Clientes!$C$4:$C$39),Cadastros!$L$6:$L$12,Cadastros!$N$6:$N$12)))</f>
        <v/>
      </c>
      <c r="K1490" s="168" t="str">
        <f t="shared" si="300"/>
        <v/>
      </c>
      <c r="L1490" s="168" t="str">
        <f>IFERROR(K1490/_xlfn.XLOOKUP(_xlfn.XLOOKUP($F1490,Clientes!$B$4:$B$39,Clientes!$C$4:$C$39),Cadastros!$L$6:$L$12,Cadastros!$M$6:$M$12)," ")</f>
        <v xml:space="preserve"> </v>
      </c>
      <c r="M1490" s="28"/>
      <c r="N1490" s="28"/>
      <c r="O1490" s="255" t="str">
        <f>IF(M1490="","",(_xlfn.XLOOKUP(M1490,Cadastros!$D$6:$D$90,Cadastros!$E$6:$E$90))*(1-_xlfn.XLOOKUP(_xlfn.XLOOKUP($F1490,Clientes!$B$4:$B$39,Clientes!$C$4:$C$39),Cadastros!$L$6:$L$12,Cadastros!$N$6:$N$12)))</f>
        <v/>
      </c>
      <c r="P1490" s="168" t="str">
        <f t="shared" si="301"/>
        <v/>
      </c>
      <c r="Q1490" s="168" t="str">
        <f>IFERROR(P1490/_xlfn.XLOOKUP(_xlfn.XLOOKUP($F1490,Clientes!$B$4:$B$39,Clientes!$C$4:$C$39),Cadastros!$L$6:$L$12,Cadastros!$M$6:$M$12)," ")</f>
        <v xml:space="preserve"> </v>
      </c>
      <c r="R1490" s="28"/>
      <c r="S1490" s="28"/>
      <c r="T1490" s="255" t="str">
        <f>IF(R1490="","",(_xlfn.XLOOKUP(R1490,Cadastros!$D$6:$D$90,Cadastros!$E$6:$E$90))*(1-_xlfn.XLOOKUP(_xlfn.XLOOKUP($F1490,Clientes!$B$4:$B$39,Clientes!$C$4:$C$39),Cadastros!$L$6:$L$12,Cadastros!$N$6:$N$12)))</f>
        <v/>
      </c>
      <c r="U1490" s="168" t="str">
        <f t="shared" si="302"/>
        <v/>
      </c>
      <c r="V1490" s="168" t="str">
        <f>IFERROR(U1490/_xlfn.XLOOKUP(_xlfn.XLOOKUP($F1490,Clientes!$B$4:$B$39,Clientes!$C$4:$C$39),Cadastros!$L$6:$L$12,Cadastros!$M$6:$M$12)," ")</f>
        <v xml:space="preserve"> </v>
      </c>
      <c r="W1490" s="28"/>
      <c r="X1490" s="28"/>
      <c r="Y1490" s="255" t="str">
        <f>IF(W1490="","",(_xlfn.XLOOKUP(W1490,Cadastros!$D$6:$D$90,Cadastros!$E$6:$E$90))*(1-_xlfn.XLOOKUP(_xlfn.XLOOKUP($F1490,Clientes!$B$4:$B$39,Clientes!$C$4:$C$39),Cadastros!$L$6:$L$12,Cadastros!$N$6:$N$12)))</f>
        <v/>
      </c>
      <c r="Z1490" s="168" t="str">
        <f t="shared" si="303"/>
        <v/>
      </c>
      <c r="AA1490" s="168" t="str">
        <f>IFERROR(Z1490/_xlfn.XLOOKUP(_xlfn.XLOOKUP($F1490,Clientes!$B$4:$B$39,Clientes!$C$4:$C$39),Cadastros!$L$6:$L$12,Cadastros!$M$6:$M$12)," ")</f>
        <v xml:space="preserve"> </v>
      </c>
      <c r="AB1490" s="28"/>
      <c r="AC1490" s="28"/>
      <c r="AD1490" s="20" t="str">
        <f>IF(AB1490="","",IF($F1490="Bernardino Furlan",_xlfn.XLOOKUP(AB1490,Cadastros!$G$6:$G$90,Cadastros!$H$6:$H$90)*(1-0.18),IF($F1490="Mauro José Salanti",_xlfn.XLOOKUP(AB1490,Cadastros!$G$6:$G$90,Cadastros!$H$6:$H$90)*(1-0.18),_xlfn.XLOOKUP(AB1490,Cadastros!$G$6:$G$90,Cadastros!$H$6:$H$90))))</f>
        <v/>
      </c>
      <c r="AE1490" s="168" t="str">
        <f t="shared" si="304"/>
        <v/>
      </c>
      <c r="AF1490" s="168" t="str">
        <f t="shared" si="305"/>
        <v/>
      </c>
      <c r="AG1490" s="28"/>
      <c r="AH1490" s="28"/>
      <c r="AI1490" s="20" t="str">
        <f>IF(AG1490="","",IF($F1490="Bernardino Furlan",_xlfn.XLOOKUP(AG1490,Cadastros!$G$6:$G$90,Cadastros!$H$6:$H$90)*(1-0.18),IF($F1490="Mauro José Salanti",_xlfn.XLOOKUP(AG1490,Cadastros!$G$6:$G$90,Cadastros!$H$6:$H$90)*(1-0.18),_xlfn.XLOOKUP(AG1490,Cadastros!$G$6:$G$90,Cadastros!$H$6:$H$90))))</f>
        <v/>
      </c>
      <c r="AJ1490" s="168" t="str">
        <f t="shared" si="306"/>
        <v/>
      </c>
      <c r="AK1490" s="168" t="str">
        <f t="shared" si="307"/>
        <v/>
      </c>
      <c r="AL1490" s="28"/>
      <c r="AM1490" s="28"/>
      <c r="AN1490" s="20" t="str">
        <f>IF(AL1490="","",IF($F1490="Bernardino Furlan",_xlfn.XLOOKUP(AL1490,Cadastros!$G$6:$G$90,Cadastros!$H$6:$H$90)*(1-0.18),IF($F1490="Mauro José Salanti",_xlfn.XLOOKUP(AL1490,Cadastros!$G$6:$G$90,Cadastros!$H$6:$H$90)*(1-0.18),_xlfn.XLOOKUP(AL1490,Cadastros!$G$6:$G$90,Cadastros!$H$6:$H$90))))</f>
        <v/>
      </c>
      <c r="AO1490" s="168" t="str">
        <f t="shared" si="308"/>
        <v/>
      </c>
      <c r="AP1490" s="168" t="str">
        <f t="shared" si="309"/>
        <v/>
      </c>
      <c r="AQ1490" s="28"/>
      <c r="AR1490" s="28"/>
      <c r="AS1490" s="20" t="str">
        <f>IF(AQ1490="","",IF($F1490="Bernardino Furlan",_xlfn.XLOOKUP(AQ1490,Cadastros!$G$6:$G$90,Cadastros!$H$6:$H$90)*(1-0.18),IF($F1490="Mauro José Salanti",_xlfn.XLOOKUP(AQ1490,Cadastros!$G$6:$G$90,Cadastros!$H$6:$H$90)*(1-0.18),_xlfn.XLOOKUP(AQ1490,Cadastros!$G$6:$G$90,Cadastros!$H$6:$H$90))))</f>
        <v/>
      </c>
      <c r="AT1490" s="168" t="str">
        <f t="shared" si="310"/>
        <v/>
      </c>
      <c r="AU1490" s="168" t="str">
        <f t="shared" si="311"/>
        <v/>
      </c>
      <c r="AV1490" s="227"/>
      <c r="AW1490" s="30"/>
      <c r="AX1490" s="267"/>
      <c r="AY1490" s="267"/>
      <c r="AZ1490" s="29"/>
      <c r="BA1490" s="30"/>
      <c r="BB1490" s="23" t="str" cm="1">
        <f t="array" ref="BB1490">_xlfn.IFS(AW1490="SIM",SUM(K1490,P1490,U1490,Z1490,AE1490,AJ1490,AO1490,AT1490,AX1490,AY1490),F1490&lt;&gt;"",SUM(K1490,P1490,U1490,Z1490,AE1490,AJ1490,,AO1490,AT1490),F1490="","")</f>
        <v/>
      </c>
      <c r="BC1490" s="211" t="str" cm="1">
        <f t="array" ref="BC1490">_xlfn.IFS(E1490="","",G1490&lt;=E1490,BB1490*(1-0.03),G1490&lt;(E1490+8),BB1490,AZ1490="Boleto",BB1490*(1+0.001)^DATEDIF(E1490,G1490,"D"),AZ1490="Cheque",BB1490,AZ1490="Dinheiro","Alterar forma pgto")</f>
        <v/>
      </c>
      <c r="BD1490" s="276" t="str" cm="1">
        <f t="array" ref="BD1490">IF(F1490=0," ",IF(BC1490&lt;BB1490,(_xlfn.IFS(AW1490="SIM",SUM(L1490,Q1490,V1490,AA1490,AF1490,AK1490,AP1490,AU1490)+AX1490/_xlfn.XLOOKUP(_xlfn.XLOOKUP($F1490,Clientes!$B$4:$B$39,Clientes!$C$4:$C$39),Cadastros!$L$6:$L$12,Cadastros!$M$6:$M$12)+IF($F1490="Bernardino Furlan",AY1490/2751.92,IF($F1490="Mauro José Salanti",AY1490/2751.92,AY1490/3356)),F1490&lt;&gt;0,SUM(L1490,Q1490,V1490,AA1490,AF1490,AK1490,AP1490,AU1490)))*(1-0.03),_xlfn.IFS(AW1490="SIM",SUM(L1490,Q1490,V1490,AA1490,AF1490,AK1490,AP1490,AU1490)+AX1490/_xlfn.XLOOKUP(_xlfn.XLOOKUP($F1490,Clientes!$B$4:$B$39,Clientes!$C$4:$C$39),Cadastros!$L$6:$L$12,Cadastros!$M$6:$M$12)+IF($F1490="Bernardino Furlan",AY1490/2751.92,IF($F1490="Mauro José Salanti",AY1490/2751.92,AY1490/3356)),F1490&lt;&gt;0,SUM(L1490,Q1490,V1490,AA1490,AF1490,AK1490,AP1490,AU1490))))</f>
        <v xml:space="preserve"> </v>
      </c>
      <c r="BE1490" s="120"/>
      <c r="BF1490" s="120"/>
      <c r="BG1490" s="120"/>
    </row>
    <row r="1491" spans="1:59" s="3" customFormat="1" x14ac:dyDescent="0.3">
      <c r="A1491" s="15" t="str">
        <f t="shared" si="299"/>
        <v/>
      </c>
      <c r="B1491" s="25"/>
      <c r="C1491" s="26"/>
      <c r="D1491" s="279"/>
      <c r="E1491" s="27"/>
      <c r="F1491" s="28"/>
      <c r="G1491" s="27"/>
      <c r="H1491" s="28"/>
      <c r="I1491" s="28"/>
      <c r="J1491" s="255" t="str">
        <f>IF(H1491="","",(_xlfn.XLOOKUP(H1491,Cadastros!$D$6:$D$90,Cadastros!$E$6:$E$90))*(1-_xlfn.XLOOKUP(_xlfn.XLOOKUP($F1491,Clientes!$B$4:$B$39,Clientes!$C$4:$C$39),Cadastros!$L$6:$L$12,Cadastros!$N$6:$N$12)))</f>
        <v/>
      </c>
      <c r="K1491" s="168" t="str">
        <f t="shared" si="300"/>
        <v/>
      </c>
      <c r="L1491" s="168" t="str">
        <f>IFERROR(K1491/_xlfn.XLOOKUP(_xlfn.XLOOKUP($F1491,Clientes!$B$4:$B$39,Clientes!$C$4:$C$39),Cadastros!$L$6:$L$12,Cadastros!$M$6:$M$12)," ")</f>
        <v xml:space="preserve"> </v>
      </c>
      <c r="M1491" s="28"/>
      <c r="N1491" s="28"/>
      <c r="O1491" s="255" t="str">
        <f>IF(M1491="","",(_xlfn.XLOOKUP(M1491,Cadastros!$D$6:$D$90,Cadastros!$E$6:$E$90))*(1-_xlfn.XLOOKUP(_xlfn.XLOOKUP($F1491,Clientes!$B$4:$B$39,Clientes!$C$4:$C$39),Cadastros!$L$6:$L$12,Cadastros!$N$6:$N$12)))</f>
        <v/>
      </c>
      <c r="P1491" s="168" t="str">
        <f t="shared" si="301"/>
        <v/>
      </c>
      <c r="Q1491" s="168" t="str">
        <f>IFERROR(P1491/_xlfn.XLOOKUP(_xlfn.XLOOKUP($F1491,Clientes!$B$4:$B$39,Clientes!$C$4:$C$39),Cadastros!$L$6:$L$12,Cadastros!$M$6:$M$12)," ")</f>
        <v xml:space="preserve"> </v>
      </c>
      <c r="R1491" s="28"/>
      <c r="S1491" s="28"/>
      <c r="T1491" s="255" t="str">
        <f>IF(R1491="","",(_xlfn.XLOOKUP(R1491,Cadastros!$D$6:$D$90,Cadastros!$E$6:$E$90))*(1-_xlfn.XLOOKUP(_xlfn.XLOOKUP($F1491,Clientes!$B$4:$B$39,Clientes!$C$4:$C$39),Cadastros!$L$6:$L$12,Cadastros!$N$6:$N$12)))</f>
        <v/>
      </c>
      <c r="U1491" s="168" t="str">
        <f t="shared" si="302"/>
        <v/>
      </c>
      <c r="V1491" s="168" t="str">
        <f>IFERROR(U1491/_xlfn.XLOOKUP(_xlfn.XLOOKUP($F1491,Clientes!$B$4:$B$39,Clientes!$C$4:$C$39),Cadastros!$L$6:$L$12,Cadastros!$M$6:$M$12)," ")</f>
        <v xml:space="preserve"> </v>
      </c>
      <c r="W1491" s="28"/>
      <c r="X1491" s="28"/>
      <c r="Y1491" s="255" t="str">
        <f>IF(W1491="","",(_xlfn.XLOOKUP(W1491,Cadastros!$D$6:$D$90,Cadastros!$E$6:$E$90))*(1-_xlfn.XLOOKUP(_xlfn.XLOOKUP($F1491,Clientes!$B$4:$B$39,Clientes!$C$4:$C$39),Cadastros!$L$6:$L$12,Cadastros!$N$6:$N$12)))</f>
        <v/>
      </c>
      <c r="Z1491" s="168" t="str">
        <f t="shared" si="303"/>
        <v/>
      </c>
      <c r="AA1491" s="168" t="str">
        <f>IFERROR(Z1491/_xlfn.XLOOKUP(_xlfn.XLOOKUP($F1491,Clientes!$B$4:$B$39,Clientes!$C$4:$C$39),Cadastros!$L$6:$L$12,Cadastros!$M$6:$M$12)," ")</f>
        <v xml:space="preserve"> </v>
      </c>
      <c r="AB1491" s="28"/>
      <c r="AC1491" s="28"/>
      <c r="AD1491" s="20" t="str">
        <f>IF(AB1491="","",IF($F1491="Bernardino Furlan",_xlfn.XLOOKUP(AB1491,Cadastros!$G$6:$G$90,Cadastros!$H$6:$H$90)*(1-0.18),IF($F1491="Mauro José Salanti",_xlfn.XLOOKUP(AB1491,Cadastros!$G$6:$G$90,Cadastros!$H$6:$H$90)*(1-0.18),_xlfn.XLOOKUP(AB1491,Cadastros!$G$6:$G$90,Cadastros!$H$6:$H$90))))</f>
        <v/>
      </c>
      <c r="AE1491" s="168" t="str">
        <f t="shared" si="304"/>
        <v/>
      </c>
      <c r="AF1491" s="168" t="str">
        <f t="shared" si="305"/>
        <v/>
      </c>
      <c r="AG1491" s="28"/>
      <c r="AH1491" s="28"/>
      <c r="AI1491" s="20" t="str">
        <f>IF(AG1491="","",IF($F1491="Bernardino Furlan",_xlfn.XLOOKUP(AG1491,Cadastros!$G$6:$G$90,Cadastros!$H$6:$H$90)*(1-0.18),IF($F1491="Mauro José Salanti",_xlfn.XLOOKUP(AG1491,Cadastros!$G$6:$G$90,Cadastros!$H$6:$H$90)*(1-0.18),_xlfn.XLOOKUP(AG1491,Cadastros!$G$6:$G$90,Cadastros!$H$6:$H$90))))</f>
        <v/>
      </c>
      <c r="AJ1491" s="168" t="str">
        <f t="shared" si="306"/>
        <v/>
      </c>
      <c r="AK1491" s="168" t="str">
        <f t="shared" si="307"/>
        <v/>
      </c>
      <c r="AL1491" s="28"/>
      <c r="AM1491" s="28"/>
      <c r="AN1491" s="20" t="str">
        <f>IF(AL1491="","",IF($F1491="Bernardino Furlan",_xlfn.XLOOKUP(AL1491,Cadastros!$G$6:$G$90,Cadastros!$H$6:$H$90)*(1-0.18),IF($F1491="Mauro José Salanti",_xlfn.XLOOKUP(AL1491,Cadastros!$G$6:$G$90,Cadastros!$H$6:$H$90)*(1-0.18),_xlfn.XLOOKUP(AL1491,Cadastros!$G$6:$G$90,Cadastros!$H$6:$H$90))))</f>
        <v/>
      </c>
      <c r="AO1491" s="168" t="str">
        <f t="shared" si="308"/>
        <v/>
      </c>
      <c r="AP1491" s="168" t="str">
        <f t="shared" si="309"/>
        <v/>
      </c>
      <c r="AQ1491" s="28"/>
      <c r="AR1491" s="28"/>
      <c r="AS1491" s="20" t="str">
        <f>IF(AQ1491="","",IF($F1491="Bernardino Furlan",_xlfn.XLOOKUP(AQ1491,Cadastros!$G$6:$G$90,Cadastros!$H$6:$H$90)*(1-0.18),IF($F1491="Mauro José Salanti",_xlfn.XLOOKUP(AQ1491,Cadastros!$G$6:$G$90,Cadastros!$H$6:$H$90)*(1-0.18),_xlfn.XLOOKUP(AQ1491,Cadastros!$G$6:$G$90,Cadastros!$H$6:$H$90))))</f>
        <v/>
      </c>
      <c r="AT1491" s="168" t="str">
        <f t="shared" si="310"/>
        <v/>
      </c>
      <c r="AU1491" s="168" t="str">
        <f t="shared" si="311"/>
        <v/>
      </c>
      <c r="AV1491" s="227"/>
      <c r="AW1491" s="30"/>
      <c r="AX1491" s="267"/>
      <c r="AY1491" s="267"/>
      <c r="AZ1491" s="29"/>
      <c r="BA1491" s="30"/>
      <c r="BB1491" s="23" t="str" cm="1">
        <f t="array" ref="BB1491">_xlfn.IFS(AW1491="SIM",SUM(K1491,P1491,U1491,Z1491,AE1491,AJ1491,AO1491,AT1491,AX1491,AY1491),F1491&lt;&gt;"",SUM(K1491,P1491,U1491,Z1491,AE1491,AJ1491,,AO1491,AT1491),F1491="","")</f>
        <v/>
      </c>
      <c r="BC1491" s="211" t="str" cm="1">
        <f t="array" ref="BC1491">_xlfn.IFS(E1491="","",G1491&lt;=E1491,BB1491*(1-0.03),G1491&lt;(E1491+8),BB1491,AZ1491="Boleto",BB1491*(1+0.001)^DATEDIF(E1491,G1491,"D"),AZ1491="Cheque",BB1491,AZ1491="Dinheiro","Alterar forma pgto")</f>
        <v/>
      </c>
      <c r="BD1491" s="276" t="str" cm="1">
        <f t="array" ref="BD1491">IF(F1491=0," ",IF(BC1491&lt;BB1491,(_xlfn.IFS(AW1491="SIM",SUM(L1491,Q1491,V1491,AA1491,AF1491,AK1491,AP1491,AU1491)+AX1491/_xlfn.XLOOKUP(_xlfn.XLOOKUP($F1491,Clientes!$B$4:$B$39,Clientes!$C$4:$C$39),Cadastros!$L$6:$L$12,Cadastros!$M$6:$M$12)+IF($F1491="Bernardino Furlan",AY1491/2751.92,IF($F1491="Mauro José Salanti",AY1491/2751.92,AY1491/3356)),F1491&lt;&gt;0,SUM(L1491,Q1491,V1491,AA1491,AF1491,AK1491,AP1491,AU1491)))*(1-0.03),_xlfn.IFS(AW1491="SIM",SUM(L1491,Q1491,V1491,AA1491,AF1491,AK1491,AP1491,AU1491)+AX1491/_xlfn.XLOOKUP(_xlfn.XLOOKUP($F1491,Clientes!$B$4:$B$39,Clientes!$C$4:$C$39),Cadastros!$L$6:$L$12,Cadastros!$M$6:$M$12)+IF($F1491="Bernardino Furlan",AY1491/2751.92,IF($F1491="Mauro José Salanti",AY1491/2751.92,AY1491/3356)),F1491&lt;&gt;0,SUM(L1491,Q1491,V1491,AA1491,AF1491,AK1491,AP1491,AU1491))))</f>
        <v xml:space="preserve"> </v>
      </c>
      <c r="BE1491" s="120"/>
      <c r="BF1491" s="120"/>
      <c r="BG1491" s="120"/>
    </row>
    <row r="1492" spans="1:59" s="3" customFormat="1" x14ac:dyDescent="0.3">
      <c r="A1492" s="15" t="str">
        <f t="shared" si="299"/>
        <v/>
      </c>
      <c r="B1492" s="25"/>
      <c r="C1492" s="26"/>
      <c r="D1492" s="279"/>
      <c r="E1492" s="27"/>
      <c r="F1492" s="28"/>
      <c r="G1492" s="27"/>
      <c r="H1492" s="28"/>
      <c r="I1492" s="28"/>
      <c r="J1492" s="255" t="str">
        <f>IF(H1492="","",(_xlfn.XLOOKUP(H1492,Cadastros!$D$6:$D$90,Cadastros!$E$6:$E$90))*(1-_xlfn.XLOOKUP(_xlfn.XLOOKUP($F1492,Clientes!$B$4:$B$39,Clientes!$C$4:$C$39),Cadastros!$L$6:$L$12,Cadastros!$N$6:$N$12)))</f>
        <v/>
      </c>
      <c r="K1492" s="168" t="str">
        <f t="shared" si="300"/>
        <v/>
      </c>
      <c r="L1492" s="168" t="str">
        <f>IFERROR(K1492/_xlfn.XLOOKUP(_xlfn.XLOOKUP($F1492,Clientes!$B$4:$B$39,Clientes!$C$4:$C$39),Cadastros!$L$6:$L$12,Cadastros!$M$6:$M$12)," ")</f>
        <v xml:space="preserve"> </v>
      </c>
      <c r="M1492" s="28"/>
      <c r="N1492" s="28"/>
      <c r="O1492" s="255" t="str">
        <f>IF(M1492="","",(_xlfn.XLOOKUP(M1492,Cadastros!$D$6:$D$90,Cadastros!$E$6:$E$90))*(1-_xlfn.XLOOKUP(_xlfn.XLOOKUP($F1492,Clientes!$B$4:$B$39,Clientes!$C$4:$C$39),Cadastros!$L$6:$L$12,Cadastros!$N$6:$N$12)))</f>
        <v/>
      </c>
      <c r="P1492" s="168" t="str">
        <f t="shared" si="301"/>
        <v/>
      </c>
      <c r="Q1492" s="168" t="str">
        <f>IFERROR(P1492/_xlfn.XLOOKUP(_xlfn.XLOOKUP($F1492,Clientes!$B$4:$B$39,Clientes!$C$4:$C$39),Cadastros!$L$6:$L$12,Cadastros!$M$6:$M$12)," ")</f>
        <v xml:space="preserve"> </v>
      </c>
      <c r="R1492" s="28"/>
      <c r="S1492" s="28"/>
      <c r="T1492" s="255" t="str">
        <f>IF(R1492="","",(_xlfn.XLOOKUP(R1492,Cadastros!$D$6:$D$90,Cadastros!$E$6:$E$90))*(1-_xlfn.XLOOKUP(_xlfn.XLOOKUP($F1492,Clientes!$B$4:$B$39,Clientes!$C$4:$C$39),Cadastros!$L$6:$L$12,Cadastros!$N$6:$N$12)))</f>
        <v/>
      </c>
      <c r="U1492" s="168" t="str">
        <f t="shared" si="302"/>
        <v/>
      </c>
      <c r="V1492" s="168" t="str">
        <f>IFERROR(U1492/_xlfn.XLOOKUP(_xlfn.XLOOKUP($F1492,Clientes!$B$4:$B$39,Clientes!$C$4:$C$39),Cadastros!$L$6:$L$12,Cadastros!$M$6:$M$12)," ")</f>
        <v xml:space="preserve"> </v>
      </c>
      <c r="W1492" s="28"/>
      <c r="X1492" s="28"/>
      <c r="Y1492" s="255" t="str">
        <f>IF(W1492="","",(_xlfn.XLOOKUP(W1492,Cadastros!$D$6:$D$90,Cadastros!$E$6:$E$90))*(1-_xlfn.XLOOKUP(_xlfn.XLOOKUP($F1492,Clientes!$B$4:$B$39,Clientes!$C$4:$C$39),Cadastros!$L$6:$L$12,Cadastros!$N$6:$N$12)))</f>
        <v/>
      </c>
      <c r="Z1492" s="168" t="str">
        <f t="shared" si="303"/>
        <v/>
      </c>
      <c r="AA1492" s="168" t="str">
        <f>IFERROR(Z1492/_xlfn.XLOOKUP(_xlfn.XLOOKUP($F1492,Clientes!$B$4:$B$39,Clientes!$C$4:$C$39),Cadastros!$L$6:$L$12,Cadastros!$M$6:$M$12)," ")</f>
        <v xml:space="preserve"> </v>
      </c>
      <c r="AB1492" s="28"/>
      <c r="AC1492" s="28"/>
      <c r="AD1492" s="20" t="str">
        <f>IF(AB1492="","",IF($F1492="Bernardino Furlan",_xlfn.XLOOKUP(AB1492,Cadastros!$G$6:$G$90,Cadastros!$H$6:$H$90)*(1-0.18),IF($F1492="Mauro José Salanti",_xlfn.XLOOKUP(AB1492,Cadastros!$G$6:$G$90,Cadastros!$H$6:$H$90)*(1-0.18),_xlfn.XLOOKUP(AB1492,Cadastros!$G$6:$G$90,Cadastros!$H$6:$H$90))))</f>
        <v/>
      </c>
      <c r="AE1492" s="168" t="str">
        <f t="shared" si="304"/>
        <v/>
      </c>
      <c r="AF1492" s="168" t="str">
        <f t="shared" si="305"/>
        <v/>
      </c>
      <c r="AG1492" s="28"/>
      <c r="AH1492" s="28"/>
      <c r="AI1492" s="20" t="str">
        <f>IF(AG1492="","",IF($F1492="Bernardino Furlan",_xlfn.XLOOKUP(AG1492,Cadastros!$G$6:$G$90,Cadastros!$H$6:$H$90)*(1-0.18),IF($F1492="Mauro José Salanti",_xlfn.XLOOKUP(AG1492,Cadastros!$G$6:$G$90,Cadastros!$H$6:$H$90)*(1-0.18),_xlfn.XLOOKUP(AG1492,Cadastros!$G$6:$G$90,Cadastros!$H$6:$H$90))))</f>
        <v/>
      </c>
      <c r="AJ1492" s="168" t="str">
        <f t="shared" si="306"/>
        <v/>
      </c>
      <c r="AK1492" s="168" t="str">
        <f t="shared" si="307"/>
        <v/>
      </c>
      <c r="AL1492" s="28"/>
      <c r="AM1492" s="28"/>
      <c r="AN1492" s="20" t="str">
        <f>IF(AL1492="","",IF($F1492="Bernardino Furlan",_xlfn.XLOOKUP(AL1492,Cadastros!$G$6:$G$90,Cadastros!$H$6:$H$90)*(1-0.18),IF($F1492="Mauro José Salanti",_xlfn.XLOOKUP(AL1492,Cadastros!$G$6:$G$90,Cadastros!$H$6:$H$90)*(1-0.18),_xlfn.XLOOKUP(AL1492,Cadastros!$G$6:$G$90,Cadastros!$H$6:$H$90))))</f>
        <v/>
      </c>
      <c r="AO1492" s="168" t="str">
        <f t="shared" si="308"/>
        <v/>
      </c>
      <c r="AP1492" s="168" t="str">
        <f t="shared" si="309"/>
        <v/>
      </c>
      <c r="AQ1492" s="28"/>
      <c r="AR1492" s="28"/>
      <c r="AS1492" s="20" t="str">
        <f>IF(AQ1492="","",IF($F1492="Bernardino Furlan",_xlfn.XLOOKUP(AQ1492,Cadastros!$G$6:$G$90,Cadastros!$H$6:$H$90)*(1-0.18),IF($F1492="Mauro José Salanti",_xlfn.XLOOKUP(AQ1492,Cadastros!$G$6:$G$90,Cadastros!$H$6:$H$90)*(1-0.18),_xlfn.XLOOKUP(AQ1492,Cadastros!$G$6:$G$90,Cadastros!$H$6:$H$90))))</f>
        <v/>
      </c>
      <c r="AT1492" s="168" t="str">
        <f t="shared" si="310"/>
        <v/>
      </c>
      <c r="AU1492" s="168" t="str">
        <f t="shared" si="311"/>
        <v/>
      </c>
      <c r="AV1492" s="227"/>
      <c r="AW1492" s="30"/>
      <c r="AX1492" s="267"/>
      <c r="AY1492" s="267"/>
      <c r="AZ1492" s="29"/>
      <c r="BA1492" s="30"/>
      <c r="BB1492" s="23" t="str" cm="1">
        <f t="array" ref="BB1492">_xlfn.IFS(AW1492="SIM",SUM(K1492,P1492,U1492,Z1492,AE1492,AJ1492,AO1492,AT1492,AX1492,AY1492),F1492&lt;&gt;"",SUM(K1492,P1492,U1492,Z1492,AE1492,AJ1492,,AO1492,AT1492),F1492="","")</f>
        <v/>
      </c>
      <c r="BC1492" s="211" t="str" cm="1">
        <f t="array" ref="BC1492">_xlfn.IFS(E1492="","",G1492&lt;=E1492,BB1492*(1-0.03),G1492&lt;(E1492+8),BB1492,AZ1492="Boleto",BB1492*(1+0.001)^DATEDIF(E1492,G1492,"D"),AZ1492="Cheque",BB1492,AZ1492="Dinheiro","Alterar forma pgto")</f>
        <v/>
      </c>
      <c r="BD1492" s="276" t="str" cm="1">
        <f t="array" ref="BD1492">IF(F1492=0," ",IF(BC1492&lt;BB1492,(_xlfn.IFS(AW1492="SIM",SUM(L1492,Q1492,V1492,AA1492,AF1492,AK1492,AP1492,AU1492)+AX1492/_xlfn.XLOOKUP(_xlfn.XLOOKUP($F1492,Clientes!$B$4:$B$39,Clientes!$C$4:$C$39),Cadastros!$L$6:$L$12,Cadastros!$M$6:$M$12)+IF($F1492="Bernardino Furlan",AY1492/2751.92,IF($F1492="Mauro José Salanti",AY1492/2751.92,AY1492/3356)),F1492&lt;&gt;0,SUM(L1492,Q1492,V1492,AA1492,AF1492,AK1492,AP1492,AU1492)))*(1-0.03),_xlfn.IFS(AW1492="SIM",SUM(L1492,Q1492,V1492,AA1492,AF1492,AK1492,AP1492,AU1492)+AX1492/_xlfn.XLOOKUP(_xlfn.XLOOKUP($F1492,Clientes!$B$4:$B$39,Clientes!$C$4:$C$39),Cadastros!$L$6:$L$12,Cadastros!$M$6:$M$12)+IF($F1492="Bernardino Furlan",AY1492/2751.92,IF($F1492="Mauro José Salanti",AY1492/2751.92,AY1492/3356)),F1492&lt;&gt;0,SUM(L1492,Q1492,V1492,AA1492,AF1492,AK1492,AP1492,AU1492))))</f>
        <v xml:space="preserve"> </v>
      </c>
      <c r="BE1492" s="120"/>
      <c r="BF1492" s="120"/>
      <c r="BG1492" s="120"/>
    </row>
    <row r="1493" spans="1:59" s="3" customFormat="1" x14ac:dyDescent="0.3">
      <c r="A1493" s="15" t="str">
        <f t="shared" si="299"/>
        <v/>
      </c>
      <c r="B1493" s="25"/>
      <c r="C1493" s="26"/>
      <c r="D1493" s="279"/>
      <c r="E1493" s="27"/>
      <c r="F1493" s="28"/>
      <c r="G1493" s="27"/>
      <c r="H1493" s="28"/>
      <c r="I1493" s="28"/>
      <c r="J1493" s="255" t="str">
        <f>IF(H1493="","",(_xlfn.XLOOKUP(H1493,Cadastros!$D$6:$D$90,Cadastros!$E$6:$E$90))*(1-_xlfn.XLOOKUP(_xlfn.XLOOKUP($F1493,Clientes!$B$4:$B$39,Clientes!$C$4:$C$39),Cadastros!$L$6:$L$12,Cadastros!$N$6:$N$12)))</f>
        <v/>
      </c>
      <c r="K1493" s="168" t="str">
        <f t="shared" si="300"/>
        <v/>
      </c>
      <c r="L1493" s="168" t="str">
        <f>IFERROR(K1493/_xlfn.XLOOKUP(_xlfn.XLOOKUP($F1493,Clientes!$B$4:$B$39,Clientes!$C$4:$C$39),Cadastros!$L$6:$L$12,Cadastros!$M$6:$M$12)," ")</f>
        <v xml:space="preserve"> </v>
      </c>
      <c r="M1493" s="28"/>
      <c r="N1493" s="28"/>
      <c r="O1493" s="255" t="str">
        <f>IF(M1493="","",(_xlfn.XLOOKUP(M1493,Cadastros!$D$6:$D$90,Cadastros!$E$6:$E$90))*(1-_xlfn.XLOOKUP(_xlfn.XLOOKUP($F1493,Clientes!$B$4:$B$39,Clientes!$C$4:$C$39),Cadastros!$L$6:$L$12,Cadastros!$N$6:$N$12)))</f>
        <v/>
      </c>
      <c r="P1493" s="168" t="str">
        <f t="shared" si="301"/>
        <v/>
      </c>
      <c r="Q1493" s="168" t="str">
        <f>IFERROR(P1493/_xlfn.XLOOKUP(_xlfn.XLOOKUP($F1493,Clientes!$B$4:$B$39,Clientes!$C$4:$C$39),Cadastros!$L$6:$L$12,Cadastros!$M$6:$M$12)," ")</f>
        <v xml:space="preserve"> </v>
      </c>
      <c r="R1493" s="28"/>
      <c r="S1493" s="28"/>
      <c r="T1493" s="255" t="str">
        <f>IF(R1493="","",(_xlfn.XLOOKUP(R1493,Cadastros!$D$6:$D$90,Cadastros!$E$6:$E$90))*(1-_xlfn.XLOOKUP(_xlfn.XLOOKUP($F1493,Clientes!$B$4:$B$39,Clientes!$C$4:$C$39),Cadastros!$L$6:$L$12,Cadastros!$N$6:$N$12)))</f>
        <v/>
      </c>
      <c r="U1493" s="168" t="str">
        <f t="shared" si="302"/>
        <v/>
      </c>
      <c r="V1493" s="168" t="str">
        <f>IFERROR(U1493/_xlfn.XLOOKUP(_xlfn.XLOOKUP($F1493,Clientes!$B$4:$B$39,Clientes!$C$4:$C$39),Cadastros!$L$6:$L$12,Cadastros!$M$6:$M$12)," ")</f>
        <v xml:space="preserve"> </v>
      </c>
      <c r="W1493" s="28"/>
      <c r="X1493" s="28"/>
      <c r="Y1493" s="255" t="str">
        <f>IF(W1493="","",(_xlfn.XLOOKUP(W1493,Cadastros!$D$6:$D$90,Cadastros!$E$6:$E$90))*(1-_xlfn.XLOOKUP(_xlfn.XLOOKUP($F1493,Clientes!$B$4:$B$39,Clientes!$C$4:$C$39),Cadastros!$L$6:$L$12,Cadastros!$N$6:$N$12)))</f>
        <v/>
      </c>
      <c r="Z1493" s="168" t="str">
        <f t="shared" si="303"/>
        <v/>
      </c>
      <c r="AA1493" s="168" t="str">
        <f>IFERROR(Z1493/_xlfn.XLOOKUP(_xlfn.XLOOKUP($F1493,Clientes!$B$4:$B$39,Clientes!$C$4:$C$39),Cadastros!$L$6:$L$12,Cadastros!$M$6:$M$12)," ")</f>
        <v xml:space="preserve"> </v>
      </c>
      <c r="AB1493" s="28"/>
      <c r="AC1493" s="28"/>
      <c r="AD1493" s="20" t="str">
        <f>IF(AB1493="","",IF($F1493="Bernardino Furlan",_xlfn.XLOOKUP(AB1493,Cadastros!$G$6:$G$90,Cadastros!$H$6:$H$90)*(1-0.18),IF($F1493="Mauro José Salanti",_xlfn.XLOOKUP(AB1493,Cadastros!$G$6:$G$90,Cadastros!$H$6:$H$90)*(1-0.18),_xlfn.XLOOKUP(AB1493,Cadastros!$G$6:$G$90,Cadastros!$H$6:$H$90))))</f>
        <v/>
      </c>
      <c r="AE1493" s="168" t="str">
        <f t="shared" si="304"/>
        <v/>
      </c>
      <c r="AF1493" s="168" t="str">
        <f t="shared" si="305"/>
        <v/>
      </c>
      <c r="AG1493" s="28"/>
      <c r="AH1493" s="28"/>
      <c r="AI1493" s="20" t="str">
        <f>IF(AG1493="","",IF($F1493="Bernardino Furlan",_xlfn.XLOOKUP(AG1493,Cadastros!$G$6:$G$90,Cadastros!$H$6:$H$90)*(1-0.18),IF($F1493="Mauro José Salanti",_xlfn.XLOOKUP(AG1493,Cadastros!$G$6:$G$90,Cadastros!$H$6:$H$90)*(1-0.18),_xlfn.XLOOKUP(AG1493,Cadastros!$G$6:$G$90,Cadastros!$H$6:$H$90))))</f>
        <v/>
      </c>
      <c r="AJ1493" s="168" t="str">
        <f t="shared" si="306"/>
        <v/>
      </c>
      <c r="AK1493" s="168" t="str">
        <f t="shared" si="307"/>
        <v/>
      </c>
      <c r="AL1493" s="28"/>
      <c r="AM1493" s="28"/>
      <c r="AN1493" s="20" t="str">
        <f>IF(AL1493="","",IF($F1493="Bernardino Furlan",_xlfn.XLOOKUP(AL1493,Cadastros!$G$6:$G$90,Cadastros!$H$6:$H$90)*(1-0.18),IF($F1493="Mauro José Salanti",_xlfn.XLOOKUP(AL1493,Cadastros!$G$6:$G$90,Cadastros!$H$6:$H$90)*(1-0.18),_xlfn.XLOOKUP(AL1493,Cadastros!$G$6:$G$90,Cadastros!$H$6:$H$90))))</f>
        <v/>
      </c>
      <c r="AO1493" s="168" t="str">
        <f t="shared" si="308"/>
        <v/>
      </c>
      <c r="AP1493" s="168" t="str">
        <f t="shared" si="309"/>
        <v/>
      </c>
      <c r="AQ1493" s="28"/>
      <c r="AR1493" s="28"/>
      <c r="AS1493" s="20" t="str">
        <f>IF(AQ1493="","",IF($F1493="Bernardino Furlan",_xlfn.XLOOKUP(AQ1493,Cadastros!$G$6:$G$90,Cadastros!$H$6:$H$90)*(1-0.18),IF($F1493="Mauro José Salanti",_xlfn.XLOOKUP(AQ1493,Cadastros!$G$6:$G$90,Cadastros!$H$6:$H$90)*(1-0.18),_xlfn.XLOOKUP(AQ1493,Cadastros!$G$6:$G$90,Cadastros!$H$6:$H$90))))</f>
        <v/>
      </c>
      <c r="AT1493" s="168" t="str">
        <f t="shared" si="310"/>
        <v/>
      </c>
      <c r="AU1493" s="168" t="str">
        <f t="shared" si="311"/>
        <v/>
      </c>
      <c r="AV1493" s="227"/>
      <c r="AW1493" s="30"/>
      <c r="AX1493" s="267"/>
      <c r="AY1493" s="267"/>
      <c r="AZ1493" s="29"/>
      <c r="BA1493" s="30"/>
      <c r="BB1493" s="23" t="str" cm="1">
        <f t="array" ref="BB1493">_xlfn.IFS(AW1493="SIM",SUM(K1493,P1493,U1493,Z1493,AE1493,AJ1493,AO1493,AT1493,AX1493,AY1493),F1493&lt;&gt;"",SUM(K1493,P1493,U1493,Z1493,AE1493,AJ1493,,AO1493,AT1493),F1493="","")</f>
        <v/>
      </c>
      <c r="BC1493" s="211" t="str" cm="1">
        <f t="array" ref="BC1493">_xlfn.IFS(E1493="","",G1493&lt;=E1493,BB1493*(1-0.03),G1493&lt;(E1493+8),BB1493,AZ1493="Boleto",BB1493*(1+0.001)^DATEDIF(E1493,G1493,"D"),AZ1493="Cheque",BB1493,AZ1493="Dinheiro","Alterar forma pgto")</f>
        <v/>
      </c>
      <c r="BD1493" s="276" t="str" cm="1">
        <f t="array" ref="BD1493">IF(F1493=0," ",IF(BC1493&lt;BB1493,(_xlfn.IFS(AW1493="SIM",SUM(L1493,Q1493,V1493,AA1493,AF1493,AK1493,AP1493,AU1493)+AX1493/_xlfn.XLOOKUP(_xlfn.XLOOKUP($F1493,Clientes!$B$4:$B$39,Clientes!$C$4:$C$39),Cadastros!$L$6:$L$12,Cadastros!$M$6:$M$12)+IF($F1493="Bernardino Furlan",AY1493/2751.92,IF($F1493="Mauro José Salanti",AY1493/2751.92,AY1493/3356)),F1493&lt;&gt;0,SUM(L1493,Q1493,V1493,AA1493,AF1493,AK1493,AP1493,AU1493)))*(1-0.03),_xlfn.IFS(AW1493="SIM",SUM(L1493,Q1493,V1493,AA1493,AF1493,AK1493,AP1493,AU1493)+AX1493/_xlfn.XLOOKUP(_xlfn.XLOOKUP($F1493,Clientes!$B$4:$B$39,Clientes!$C$4:$C$39),Cadastros!$L$6:$L$12,Cadastros!$M$6:$M$12)+IF($F1493="Bernardino Furlan",AY1493/2751.92,IF($F1493="Mauro José Salanti",AY1493/2751.92,AY1493/3356)),F1493&lt;&gt;0,SUM(L1493,Q1493,V1493,AA1493,AF1493,AK1493,AP1493,AU1493))))</f>
        <v xml:space="preserve"> </v>
      </c>
      <c r="BE1493" s="120"/>
      <c r="BF1493" s="120"/>
      <c r="BG1493" s="120"/>
    </row>
    <row r="1494" spans="1:59" s="3" customFormat="1" x14ac:dyDescent="0.3">
      <c r="A1494" s="15" t="str">
        <f t="shared" si="299"/>
        <v/>
      </c>
      <c r="B1494" s="25"/>
      <c r="C1494" s="26"/>
      <c r="D1494" s="279"/>
      <c r="E1494" s="27"/>
      <c r="F1494" s="28"/>
      <c r="G1494" s="27"/>
      <c r="H1494" s="28"/>
      <c r="I1494" s="28"/>
      <c r="J1494" s="255" t="str">
        <f>IF(H1494="","",(_xlfn.XLOOKUP(H1494,Cadastros!$D$6:$D$90,Cadastros!$E$6:$E$90))*(1-_xlfn.XLOOKUP(_xlfn.XLOOKUP($F1494,Clientes!$B$4:$B$39,Clientes!$C$4:$C$39),Cadastros!$L$6:$L$12,Cadastros!$N$6:$N$12)))</f>
        <v/>
      </c>
      <c r="K1494" s="168" t="str">
        <f t="shared" si="300"/>
        <v/>
      </c>
      <c r="L1494" s="168" t="str">
        <f>IFERROR(K1494/_xlfn.XLOOKUP(_xlfn.XLOOKUP($F1494,Clientes!$B$4:$B$39,Clientes!$C$4:$C$39),Cadastros!$L$6:$L$12,Cadastros!$M$6:$M$12)," ")</f>
        <v xml:space="preserve"> </v>
      </c>
      <c r="M1494" s="28"/>
      <c r="N1494" s="28"/>
      <c r="O1494" s="255" t="str">
        <f>IF(M1494="","",(_xlfn.XLOOKUP(M1494,Cadastros!$D$6:$D$90,Cadastros!$E$6:$E$90))*(1-_xlfn.XLOOKUP(_xlfn.XLOOKUP($F1494,Clientes!$B$4:$B$39,Clientes!$C$4:$C$39),Cadastros!$L$6:$L$12,Cadastros!$N$6:$N$12)))</f>
        <v/>
      </c>
      <c r="P1494" s="168" t="str">
        <f t="shared" si="301"/>
        <v/>
      </c>
      <c r="Q1494" s="168" t="str">
        <f>IFERROR(P1494/_xlfn.XLOOKUP(_xlfn.XLOOKUP($F1494,Clientes!$B$4:$B$39,Clientes!$C$4:$C$39),Cadastros!$L$6:$L$12,Cadastros!$M$6:$M$12)," ")</f>
        <v xml:space="preserve"> </v>
      </c>
      <c r="R1494" s="28"/>
      <c r="S1494" s="28"/>
      <c r="T1494" s="255" t="str">
        <f>IF(R1494="","",(_xlfn.XLOOKUP(R1494,Cadastros!$D$6:$D$90,Cadastros!$E$6:$E$90))*(1-_xlfn.XLOOKUP(_xlfn.XLOOKUP($F1494,Clientes!$B$4:$B$39,Clientes!$C$4:$C$39),Cadastros!$L$6:$L$12,Cadastros!$N$6:$N$12)))</f>
        <v/>
      </c>
      <c r="U1494" s="168" t="str">
        <f t="shared" si="302"/>
        <v/>
      </c>
      <c r="V1494" s="168" t="str">
        <f>IFERROR(U1494/_xlfn.XLOOKUP(_xlfn.XLOOKUP($F1494,Clientes!$B$4:$B$39,Clientes!$C$4:$C$39),Cadastros!$L$6:$L$12,Cadastros!$M$6:$M$12)," ")</f>
        <v xml:space="preserve"> </v>
      </c>
      <c r="W1494" s="28"/>
      <c r="X1494" s="28"/>
      <c r="Y1494" s="255" t="str">
        <f>IF(W1494="","",(_xlfn.XLOOKUP(W1494,Cadastros!$D$6:$D$90,Cadastros!$E$6:$E$90))*(1-_xlfn.XLOOKUP(_xlfn.XLOOKUP($F1494,Clientes!$B$4:$B$39,Clientes!$C$4:$C$39),Cadastros!$L$6:$L$12,Cadastros!$N$6:$N$12)))</f>
        <v/>
      </c>
      <c r="Z1494" s="168" t="str">
        <f t="shared" si="303"/>
        <v/>
      </c>
      <c r="AA1494" s="168" t="str">
        <f>IFERROR(Z1494/_xlfn.XLOOKUP(_xlfn.XLOOKUP($F1494,Clientes!$B$4:$B$39,Clientes!$C$4:$C$39),Cadastros!$L$6:$L$12,Cadastros!$M$6:$M$12)," ")</f>
        <v xml:space="preserve"> </v>
      </c>
      <c r="AB1494" s="28"/>
      <c r="AC1494" s="28"/>
      <c r="AD1494" s="20" t="str">
        <f>IF(AB1494="","",IF($F1494="Bernardino Furlan",_xlfn.XLOOKUP(AB1494,Cadastros!$G$6:$G$90,Cadastros!$H$6:$H$90)*(1-0.18),IF($F1494="Mauro José Salanti",_xlfn.XLOOKUP(AB1494,Cadastros!$G$6:$G$90,Cadastros!$H$6:$H$90)*(1-0.18),_xlfn.XLOOKUP(AB1494,Cadastros!$G$6:$G$90,Cadastros!$H$6:$H$90))))</f>
        <v/>
      </c>
      <c r="AE1494" s="168" t="str">
        <f t="shared" si="304"/>
        <v/>
      </c>
      <c r="AF1494" s="168" t="str">
        <f t="shared" si="305"/>
        <v/>
      </c>
      <c r="AG1494" s="28"/>
      <c r="AH1494" s="28"/>
      <c r="AI1494" s="20" t="str">
        <f>IF(AG1494="","",IF($F1494="Bernardino Furlan",_xlfn.XLOOKUP(AG1494,Cadastros!$G$6:$G$90,Cadastros!$H$6:$H$90)*(1-0.18),IF($F1494="Mauro José Salanti",_xlfn.XLOOKUP(AG1494,Cadastros!$G$6:$G$90,Cadastros!$H$6:$H$90)*(1-0.18),_xlfn.XLOOKUP(AG1494,Cadastros!$G$6:$G$90,Cadastros!$H$6:$H$90))))</f>
        <v/>
      </c>
      <c r="AJ1494" s="168" t="str">
        <f t="shared" si="306"/>
        <v/>
      </c>
      <c r="AK1494" s="168" t="str">
        <f t="shared" si="307"/>
        <v/>
      </c>
      <c r="AL1494" s="28"/>
      <c r="AM1494" s="28"/>
      <c r="AN1494" s="20" t="str">
        <f>IF(AL1494="","",IF($F1494="Bernardino Furlan",_xlfn.XLOOKUP(AL1494,Cadastros!$G$6:$G$90,Cadastros!$H$6:$H$90)*(1-0.18),IF($F1494="Mauro José Salanti",_xlfn.XLOOKUP(AL1494,Cadastros!$G$6:$G$90,Cadastros!$H$6:$H$90)*(1-0.18),_xlfn.XLOOKUP(AL1494,Cadastros!$G$6:$G$90,Cadastros!$H$6:$H$90))))</f>
        <v/>
      </c>
      <c r="AO1494" s="168" t="str">
        <f t="shared" si="308"/>
        <v/>
      </c>
      <c r="AP1494" s="168" t="str">
        <f t="shared" si="309"/>
        <v/>
      </c>
      <c r="AQ1494" s="28"/>
      <c r="AR1494" s="28"/>
      <c r="AS1494" s="20" t="str">
        <f>IF(AQ1494="","",IF($F1494="Bernardino Furlan",_xlfn.XLOOKUP(AQ1494,Cadastros!$G$6:$G$90,Cadastros!$H$6:$H$90)*(1-0.18),IF($F1494="Mauro José Salanti",_xlfn.XLOOKUP(AQ1494,Cadastros!$G$6:$G$90,Cadastros!$H$6:$H$90)*(1-0.18),_xlfn.XLOOKUP(AQ1494,Cadastros!$G$6:$G$90,Cadastros!$H$6:$H$90))))</f>
        <v/>
      </c>
      <c r="AT1494" s="168" t="str">
        <f t="shared" si="310"/>
        <v/>
      </c>
      <c r="AU1494" s="168" t="str">
        <f t="shared" si="311"/>
        <v/>
      </c>
      <c r="AV1494" s="227"/>
      <c r="AW1494" s="30"/>
      <c r="AX1494" s="267"/>
      <c r="AY1494" s="267"/>
      <c r="AZ1494" s="29"/>
      <c r="BA1494" s="30"/>
      <c r="BB1494" s="23" t="str" cm="1">
        <f t="array" ref="BB1494">_xlfn.IFS(AW1494="SIM",SUM(K1494,P1494,U1494,Z1494,AE1494,AJ1494,AO1494,AT1494,AX1494,AY1494),F1494&lt;&gt;"",SUM(K1494,P1494,U1494,Z1494,AE1494,AJ1494,,AO1494,AT1494),F1494="","")</f>
        <v/>
      </c>
      <c r="BC1494" s="211" t="str" cm="1">
        <f t="array" ref="BC1494">_xlfn.IFS(E1494="","",G1494&lt;=E1494,BB1494*(1-0.03),G1494&lt;(E1494+8),BB1494,AZ1494="Boleto",BB1494*(1+0.001)^DATEDIF(E1494,G1494,"D"),AZ1494="Cheque",BB1494,AZ1494="Dinheiro","Alterar forma pgto")</f>
        <v/>
      </c>
      <c r="BD1494" s="276" t="str" cm="1">
        <f t="array" ref="BD1494">IF(F1494=0," ",IF(BC1494&lt;BB1494,(_xlfn.IFS(AW1494="SIM",SUM(L1494,Q1494,V1494,AA1494,AF1494,AK1494,AP1494,AU1494)+AX1494/_xlfn.XLOOKUP(_xlfn.XLOOKUP($F1494,Clientes!$B$4:$B$39,Clientes!$C$4:$C$39),Cadastros!$L$6:$L$12,Cadastros!$M$6:$M$12)+IF($F1494="Bernardino Furlan",AY1494/2751.92,IF($F1494="Mauro José Salanti",AY1494/2751.92,AY1494/3356)),F1494&lt;&gt;0,SUM(L1494,Q1494,V1494,AA1494,AF1494,AK1494,AP1494,AU1494)))*(1-0.03),_xlfn.IFS(AW1494="SIM",SUM(L1494,Q1494,V1494,AA1494,AF1494,AK1494,AP1494,AU1494)+AX1494/_xlfn.XLOOKUP(_xlfn.XLOOKUP($F1494,Clientes!$B$4:$B$39,Clientes!$C$4:$C$39),Cadastros!$L$6:$L$12,Cadastros!$M$6:$M$12)+IF($F1494="Bernardino Furlan",AY1494/2751.92,IF($F1494="Mauro José Salanti",AY1494/2751.92,AY1494/3356)),F1494&lt;&gt;0,SUM(L1494,Q1494,V1494,AA1494,AF1494,AK1494,AP1494,AU1494))))</f>
        <v xml:space="preserve"> </v>
      </c>
      <c r="BE1494" s="120"/>
      <c r="BF1494" s="120"/>
      <c r="BG1494" s="120"/>
    </row>
    <row r="1495" spans="1:59" s="3" customFormat="1" x14ac:dyDescent="0.3">
      <c r="A1495" s="15" t="str">
        <f t="shared" si="299"/>
        <v/>
      </c>
      <c r="B1495" s="25"/>
      <c r="C1495" s="26"/>
      <c r="D1495" s="279"/>
      <c r="E1495" s="27"/>
      <c r="F1495" s="28"/>
      <c r="G1495" s="27"/>
      <c r="H1495" s="28"/>
      <c r="I1495" s="28"/>
      <c r="J1495" s="255" t="str">
        <f>IF(H1495="","",(_xlfn.XLOOKUP(H1495,Cadastros!$D$6:$D$90,Cadastros!$E$6:$E$90))*(1-_xlfn.XLOOKUP(_xlfn.XLOOKUP($F1495,Clientes!$B$4:$B$39,Clientes!$C$4:$C$39),Cadastros!$L$6:$L$12,Cadastros!$N$6:$N$12)))</f>
        <v/>
      </c>
      <c r="K1495" s="168" t="str">
        <f t="shared" si="300"/>
        <v/>
      </c>
      <c r="L1495" s="168" t="str">
        <f>IFERROR(K1495/_xlfn.XLOOKUP(_xlfn.XLOOKUP($F1495,Clientes!$B$4:$B$39,Clientes!$C$4:$C$39),Cadastros!$L$6:$L$12,Cadastros!$M$6:$M$12)," ")</f>
        <v xml:space="preserve"> </v>
      </c>
      <c r="M1495" s="28"/>
      <c r="N1495" s="28"/>
      <c r="O1495" s="255" t="str">
        <f>IF(M1495="","",(_xlfn.XLOOKUP(M1495,Cadastros!$D$6:$D$90,Cadastros!$E$6:$E$90))*(1-_xlfn.XLOOKUP(_xlfn.XLOOKUP($F1495,Clientes!$B$4:$B$39,Clientes!$C$4:$C$39),Cadastros!$L$6:$L$12,Cadastros!$N$6:$N$12)))</f>
        <v/>
      </c>
      <c r="P1495" s="168" t="str">
        <f t="shared" si="301"/>
        <v/>
      </c>
      <c r="Q1495" s="168" t="str">
        <f>IFERROR(P1495/_xlfn.XLOOKUP(_xlfn.XLOOKUP($F1495,Clientes!$B$4:$B$39,Clientes!$C$4:$C$39),Cadastros!$L$6:$L$12,Cadastros!$M$6:$M$12)," ")</f>
        <v xml:space="preserve"> </v>
      </c>
      <c r="R1495" s="28"/>
      <c r="S1495" s="28"/>
      <c r="T1495" s="255" t="str">
        <f>IF(R1495="","",(_xlfn.XLOOKUP(R1495,Cadastros!$D$6:$D$90,Cadastros!$E$6:$E$90))*(1-_xlfn.XLOOKUP(_xlfn.XLOOKUP($F1495,Clientes!$B$4:$B$39,Clientes!$C$4:$C$39),Cadastros!$L$6:$L$12,Cadastros!$N$6:$N$12)))</f>
        <v/>
      </c>
      <c r="U1495" s="168" t="str">
        <f t="shared" si="302"/>
        <v/>
      </c>
      <c r="V1495" s="168" t="str">
        <f>IFERROR(U1495/_xlfn.XLOOKUP(_xlfn.XLOOKUP($F1495,Clientes!$B$4:$B$39,Clientes!$C$4:$C$39),Cadastros!$L$6:$L$12,Cadastros!$M$6:$M$12)," ")</f>
        <v xml:space="preserve"> </v>
      </c>
      <c r="W1495" s="28"/>
      <c r="X1495" s="28"/>
      <c r="Y1495" s="255" t="str">
        <f>IF(W1495="","",(_xlfn.XLOOKUP(W1495,Cadastros!$D$6:$D$90,Cadastros!$E$6:$E$90))*(1-_xlfn.XLOOKUP(_xlfn.XLOOKUP($F1495,Clientes!$B$4:$B$39,Clientes!$C$4:$C$39),Cadastros!$L$6:$L$12,Cadastros!$N$6:$N$12)))</f>
        <v/>
      </c>
      <c r="Z1495" s="168" t="str">
        <f t="shared" si="303"/>
        <v/>
      </c>
      <c r="AA1495" s="168" t="str">
        <f>IFERROR(Z1495/_xlfn.XLOOKUP(_xlfn.XLOOKUP($F1495,Clientes!$B$4:$B$39,Clientes!$C$4:$C$39),Cadastros!$L$6:$L$12,Cadastros!$M$6:$M$12)," ")</f>
        <v xml:space="preserve"> </v>
      </c>
      <c r="AB1495" s="28"/>
      <c r="AC1495" s="28"/>
      <c r="AD1495" s="20" t="str">
        <f>IF(AB1495="","",IF($F1495="Bernardino Furlan",_xlfn.XLOOKUP(AB1495,Cadastros!$G$6:$G$90,Cadastros!$H$6:$H$90)*(1-0.18),IF($F1495="Mauro José Salanti",_xlfn.XLOOKUP(AB1495,Cadastros!$G$6:$G$90,Cadastros!$H$6:$H$90)*(1-0.18),_xlfn.XLOOKUP(AB1495,Cadastros!$G$6:$G$90,Cadastros!$H$6:$H$90))))</f>
        <v/>
      </c>
      <c r="AE1495" s="168" t="str">
        <f t="shared" si="304"/>
        <v/>
      </c>
      <c r="AF1495" s="168" t="str">
        <f t="shared" si="305"/>
        <v/>
      </c>
      <c r="AG1495" s="28"/>
      <c r="AH1495" s="28"/>
      <c r="AI1495" s="20" t="str">
        <f>IF(AG1495="","",IF($F1495="Bernardino Furlan",_xlfn.XLOOKUP(AG1495,Cadastros!$G$6:$G$90,Cadastros!$H$6:$H$90)*(1-0.18),IF($F1495="Mauro José Salanti",_xlfn.XLOOKUP(AG1495,Cadastros!$G$6:$G$90,Cadastros!$H$6:$H$90)*(1-0.18),_xlfn.XLOOKUP(AG1495,Cadastros!$G$6:$G$90,Cadastros!$H$6:$H$90))))</f>
        <v/>
      </c>
      <c r="AJ1495" s="168" t="str">
        <f t="shared" si="306"/>
        <v/>
      </c>
      <c r="AK1495" s="168" t="str">
        <f t="shared" si="307"/>
        <v/>
      </c>
      <c r="AL1495" s="28"/>
      <c r="AM1495" s="28"/>
      <c r="AN1495" s="20" t="str">
        <f>IF(AL1495="","",IF($F1495="Bernardino Furlan",_xlfn.XLOOKUP(AL1495,Cadastros!$G$6:$G$90,Cadastros!$H$6:$H$90)*(1-0.18),IF($F1495="Mauro José Salanti",_xlfn.XLOOKUP(AL1495,Cadastros!$G$6:$G$90,Cadastros!$H$6:$H$90)*(1-0.18),_xlfn.XLOOKUP(AL1495,Cadastros!$G$6:$G$90,Cadastros!$H$6:$H$90))))</f>
        <v/>
      </c>
      <c r="AO1495" s="168" t="str">
        <f t="shared" si="308"/>
        <v/>
      </c>
      <c r="AP1495" s="168" t="str">
        <f t="shared" si="309"/>
        <v/>
      </c>
      <c r="AQ1495" s="28"/>
      <c r="AR1495" s="28"/>
      <c r="AS1495" s="20" t="str">
        <f>IF(AQ1495="","",IF($F1495="Bernardino Furlan",_xlfn.XLOOKUP(AQ1495,Cadastros!$G$6:$G$90,Cadastros!$H$6:$H$90)*(1-0.18),IF($F1495="Mauro José Salanti",_xlfn.XLOOKUP(AQ1495,Cadastros!$G$6:$G$90,Cadastros!$H$6:$H$90)*(1-0.18),_xlfn.XLOOKUP(AQ1495,Cadastros!$G$6:$G$90,Cadastros!$H$6:$H$90))))</f>
        <v/>
      </c>
      <c r="AT1495" s="168" t="str">
        <f t="shared" si="310"/>
        <v/>
      </c>
      <c r="AU1495" s="168" t="str">
        <f t="shared" si="311"/>
        <v/>
      </c>
      <c r="AV1495" s="227"/>
      <c r="AW1495" s="30"/>
      <c r="AX1495" s="267"/>
      <c r="AY1495" s="267"/>
      <c r="AZ1495" s="29"/>
      <c r="BA1495" s="30"/>
      <c r="BB1495" s="23" t="str" cm="1">
        <f t="array" ref="BB1495">_xlfn.IFS(AW1495="SIM",SUM(K1495,P1495,U1495,Z1495,AE1495,AJ1495,AO1495,AT1495,AX1495,AY1495),F1495&lt;&gt;"",SUM(K1495,P1495,U1495,Z1495,AE1495,AJ1495,,AO1495,AT1495),F1495="","")</f>
        <v/>
      </c>
      <c r="BC1495" s="211" t="str" cm="1">
        <f t="array" ref="BC1495">_xlfn.IFS(E1495="","",G1495&lt;=E1495,BB1495*(1-0.03),G1495&lt;(E1495+8),BB1495,AZ1495="Boleto",BB1495*(1+0.001)^DATEDIF(E1495,G1495,"D"),AZ1495="Cheque",BB1495,AZ1495="Dinheiro","Alterar forma pgto")</f>
        <v/>
      </c>
      <c r="BD1495" s="276" t="str" cm="1">
        <f t="array" ref="BD1495">IF(F1495=0," ",IF(BC1495&lt;BB1495,(_xlfn.IFS(AW1495="SIM",SUM(L1495,Q1495,V1495,AA1495,AF1495,AK1495,AP1495,AU1495)+AX1495/_xlfn.XLOOKUP(_xlfn.XLOOKUP($F1495,Clientes!$B$4:$B$39,Clientes!$C$4:$C$39),Cadastros!$L$6:$L$12,Cadastros!$M$6:$M$12)+IF($F1495="Bernardino Furlan",AY1495/2751.92,IF($F1495="Mauro José Salanti",AY1495/2751.92,AY1495/3356)),F1495&lt;&gt;0,SUM(L1495,Q1495,V1495,AA1495,AF1495,AK1495,AP1495,AU1495)))*(1-0.03),_xlfn.IFS(AW1495="SIM",SUM(L1495,Q1495,V1495,AA1495,AF1495,AK1495,AP1495,AU1495)+AX1495/_xlfn.XLOOKUP(_xlfn.XLOOKUP($F1495,Clientes!$B$4:$B$39,Clientes!$C$4:$C$39),Cadastros!$L$6:$L$12,Cadastros!$M$6:$M$12)+IF($F1495="Bernardino Furlan",AY1495/2751.92,IF($F1495="Mauro José Salanti",AY1495/2751.92,AY1495/3356)),F1495&lt;&gt;0,SUM(L1495,Q1495,V1495,AA1495,AF1495,AK1495,AP1495,AU1495))))</f>
        <v xml:space="preserve"> </v>
      </c>
      <c r="BE1495" s="120"/>
      <c r="BF1495" s="120"/>
      <c r="BG1495" s="120"/>
    </row>
    <row r="1496" spans="1:59" s="3" customFormat="1" x14ac:dyDescent="0.3">
      <c r="A1496" s="15" t="str">
        <f t="shared" si="299"/>
        <v/>
      </c>
      <c r="B1496" s="25"/>
      <c r="C1496" s="26"/>
      <c r="D1496" s="279"/>
      <c r="E1496" s="27"/>
      <c r="F1496" s="28"/>
      <c r="G1496" s="27"/>
      <c r="H1496" s="28"/>
      <c r="I1496" s="28"/>
      <c r="J1496" s="255" t="str">
        <f>IF(H1496="","",(_xlfn.XLOOKUP(H1496,Cadastros!$D$6:$D$90,Cadastros!$E$6:$E$90))*(1-_xlfn.XLOOKUP(_xlfn.XLOOKUP($F1496,Clientes!$B$4:$B$39,Clientes!$C$4:$C$39),Cadastros!$L$6:$L$12,Cadastros!$N$6:$N$12)))</f>
        <v/>
      </c>
      <c r="K1496" s="168" t="str">
        <f t="shared" si="300"/>
        <v/>
      </c>
      <c r="L1496" s="168" t="str">
        <f>IFERROR(K1496/_xlfn.XLOOKUP(_xlfn.XLOOKUP($F1496,Clientes!$B$4:$B$39,Clientes!$C$4:$C$39),Cadastros!$L$6:$L$12,Cadastros!$M$6:$M$12)," ")</f>
        <v xml:space="preserve"> </v>
      </c>
      <c r="M1496" s="28"/>
      <c r="N1496" s="28"/>
      <c r="O1496" s="255" t="str">
        <f>IF(M1496="","",(_xlfn.XLOOKUP(M1496,Cadastros!$D$6:$D$90,Cadastros!$E$6:$E$90))*(1-_xlfn.XLOOKUP(_xlfn.XLOOKUP($F1496,Clientes!$B$4:$B$39,Clientes!$C$4:$C$39),Cadastros!$L$6:$L$12,Cadastros!$N$6:$N$12)))</f>
        <v/>
      </c>
      <c r="P1496" s="168" t="str">
        <f t="shared" si="301"/>
        <v/>
      </c>
      <c r="Q1496" s="168" t="str">
        <f>IFERROR(P1496/_xlfn.XLOOKUP(_xlfn.XLOOKUP($F1496,Clientes!$B$4:$B$39,Clientes!$C$4:$C$39),Cadastros!$L$6:$L$12,Cadastros!$M$6:$M$12)," ")</f>
        <v xml:space="preserve"> </v>
      </c>
      <c r="R1496" s="28"/>
      <c r="S1496" s="28"/>
      <c r="T1496" s="255" t="str">
        <f>IF(R1496="","",(_xlfn.XLOOKUP(R1496,Cadastros!$D$6:$D$90,Cadastros!$E$6:$E$90))*(1-_xlfn.XLOOKUP(_xlfn.XLOOKUP($F1496,Clientes!$B$4:$B$39,Clientes!$C$4:$C$39),Cadastros!$L$6:$L$12,Cadastros!$N$6:$N$12)))</f>
        <v/>
      </c>
      <c r="U1496" s="168" t="str">
        <f t="shared" si="302"/>
        <v/>
      </c>
      <c r="V1496" s="168" t="str">
        <f>IFERROR(U1496/_xlfn.XLOOKUP(_xlfn.XLOOKUP($F1496,Clientes!$B$4:$B$39,Clientes!$C$4:$C$39),Cadastros!$L$6:$L$12,Cadastros!$M$6:$M$12)," ")</f>
        <v xml:space="preserve"> </v>
      </c>
      <c r="W1496" s="28"/>
      <c r="X1496" s="28"/>
      <c r="Y1496" s="255" t="str">
        <f>IF(W1496="","",(_xlfn.XLOOKUP(W1496,Cadastros!$D$6:$D$90,Cadastros!$E$6:$E$90))*(1-_xlfn.XLOOKUP(_xlfn.XLOOKUP($F1496,Clientes!$B$4:$B$39,Clientes!$C$4:$C$39),Cadastros!$L$6:$L$12,Cadastros!$N$6:$N$12)))</f>
        <v/>
      </c>
      <c r="Z1496" s="168" t="str">
        <f t="shared" si="303"/>
        <v/>
      </c>
      <c r="AA1496" s="168" t="str">
        <f>IFERROR(Z1496/_xlfn.XLOOKUP(_xlfn.XLOOKUP($F1496,Clientes!$B$4:$B$39,Clientes!$C$4:$C$39),Cadastros!$L$6:$L$12,Cadastros!$M$6:$M$12)," ")</f>
        <v xml:space="preserve"> </v>
      </c>
      <c r="AB1496" s="28"/>
      <c r="AC1496" s="28"/>
      <c r="AD1496" s="20" t="str">
        <f>IF(AB1496="","",IF($F1496="Bernardino Furlan",_xlfn.XLOOKUP(AB1496,Cadastros!$G$6:$G$90,Cadastros!$H$6:$H$90)*(1-0.18),IF($F1496="Mauro José Salanti",_xlfn.XLOOKUP(AB1496,Cadastros!$G$6:$G$90,Cadastros!$H$6:$H$90)*(1-0.18),_xlfn.XLOOKUP(AB1496,Cadastros!$G$6:$G$90,Cadastros!$H$6:$H$90))))</f>
        <v/>
      </c>
      <c r="AE1496" s="168" t="str">
        <f t="shared" si="304"/>
        <v/>
      </c>
      <c r="AF1496" s="168" t="str">
        <f t="shared" si="305"/>
        <v/>
      </c>
      <c r="AG1496" s="28"/>
      <c r="AH1496" s="28"/>
      <c r="AI1496" s="20" t="str">
        <f>IF(AG1496="","",IF($F1496="Bernardino Furlan",_xlfn.XLOOKUP(AG1496,Cadastros!$G$6:$G$90,Cadastros!$H$6:$H$90)*(1-0.18),IF($F1496="Mauro José Salanti",_xlfn.XLOOKUP(AG1496,Cadastros!$G$6:$G$90,Cadastros!$H$6:$H$90)*(1-0.18),_xlfn.XLOOKUP(AG1496,Cadastros!$G$6:$G$90,Cadastros!$H$6:$H$90))))</f>
        <v/>
      </c>
      <c r="AJ1496" s="168" t="str">
        <f t="shared" si="306"/>
        <v/>
      </c>
      <c r="AK1496" s="168" t="str">
        <f t="shared" si="307"/>
        <v/>
      </c>
      <c r="AL1496" s="28"/>
      <c r="AM1496" s="28"/>
      <c r="AN1496" s="20" t="str">
        <f>IF(AL1496="","",IF($F1496="Bernardino Furlan",_xlfn.XLOOKUP(AL1496,Cadastros!$G$6:$G$90,Cadastros!$H$6:$H$90)*(1-0.18),IF($F1496="Mauro José Salanti",_xlfn.XLOOKUP(AL1496,Cadastros!$G$6:$G$90,Cadastros!$H$6:$H$90)*(1-0.18),_xlfn.XLOOKUP(AL1496,Cadastros!$G$6:$G$90,Cadastros!$H$6:$H$90))))</f>
        <v/>
      </c>
      <c r="AO1496" s="168" t="str">
        <f t="shared" si="308"/>
        <v/>
      </c>
      <c r="AP1496" s="168" t="str">
        <f t="shared" si="309"/>
        <v/>
      </c>
      <c r="AQ1496" s="28"/>
      <c r="AR1496" s="28"/>
      <c r="AS1496" s="20" t="str">
        <f>IF(AQ1496="","",IF($F1496="Bernardino Furlan",_xlfn.XLOOKUP(AQ1496,Cadastros!$G$6:$G$90,Cadastros!$H$6:$H$90)*(1-0.18),IF($F1496="Mauro José Salanti",_xlfn.XLOOKUP(AQ1496,Cadastros!$G$6:$G$90,Cadastros!$H$6:$H$90)*(1-0.18),_xlfn.XLOOKUP(AQ1496,Cadastros!$G$6:$G$90,Cadastros!$H$6:$H$90))))</f>
        <v/>
      </c>
      <c r="AT1496" s="168" t="str">
        <f t="shared" si="310"/>
        <v/>
      </c>
      <c r="AU1496" s="168" t="str">
        <f t="shared" si="311"/>
        <v/>
      </c>
      <c r="AV1496" s="227"/>
      <c r="AW1496" s="30"/>
      <c r="AX1496" s="267"/>
      <c r="AY1496" s="267"/>
      <c r="AZ1496" s="29"/>
      <c r="BA1496" s="30"/>
      <c r="BB1496" s="23" t="str" cm="1">
        <f t="array" ref="BB1496">_xlfn.IFS(AW1496="SIM",SUM(K1496,P1496,U1496,Z1496,AE1496,AJ1496,AO1496,AT1496,AX1496,AY1496),F1496&lt;&gt;"",SUM(K1496,P1496,U1496,Z1496,AE1496,AJ1496,,AO1496,AT1496),F1496="","")</f>
        <v/>
      </c>
      <c r="BC1496" s="211" t="str" cm="1">
        <f t="array" ref="BC1496">_xlfn.IFS(E1496="","",G1496&lt;=E1496,BB1496*(1-0.03),G1496&lt;(E1496+8),BB1496,AZ1496="Boleto",BB1496*(1+0.001)^DATEDIF(E1496,G1496,"D"),AZ1496="Cheque",BB1496,AZ1496="Dinheiro","Alterar forma pgto")</f>
        <v/>
      </c>
      <c r="BD1496" s="276" t="str" cm="1">
        <f t="array" ref="BD1496">IF(F1496=0," ",IF(BC1496&lt;BB1496,(_xlfn.IFS(AW1496="SIM",SUM(L1496,Q1496,V1496,AA1496,AF1496,AK1496,AP1496,AU1496)+AX1496/_xlfn.XLOOKUP(_xlfn.XLOOKUP($F1496,Clientes!$B$4:$B$39,Clientes!$C$4:$C$39),Cadastros!$L$6:$L$12,Cadastros!$M$6:$M$12)+IF($F1496="Bernardino Furlan",AY1496/2751.92,IF($F1496="Mauro José Salanti",AY1496/2751.92,AY1496/3356)),F1496&lt;&gt;0,SUM(L1496,Q1496,V1496,AA1496,AF1496,AK1496,AP1496,AU1496)))*(1-0.03),_xlfn.IFS(AW1496="SIM",SUM(L1496,Q1496,V1496,AA1496,AF1496,AK1496,AP1496,AU1496)+AX1496/_xlfn.XLOOKUP(_xlfn.XLOOKUP($F1496,Clientes!$B$4:$B$39,Clientes!$C$4:$C$39),Cadastros!$L$6:$L$12,Cadastros!$M$6:$M$12)+IF($F1496="Bernardino Furlan",AY1496/2751.92,IF($F1496="Mauro José Salanti",AY1496/2751.92,AY1496/3356)),F1496&lt;&gt;0,SUM(L1496,Q1496,V1496,AA1496,AF1496,AK1496,AP1496,AU1496))))</f>
        <v xml:space="preserve"> </v>
      </c>
      <c r="BE1496" s="120"/>
      <c r="BF1496" s="120"/>
      <c r="BG1496" s="120"/>
    </row>
    <row r="1497" spans="1:59" s="3" customFormat="1" x14ac:dyDescent="0.3">
      <c r="A1497" s="15" t="str">
        <f t="shared" si="299"/>
        <v/>
      </c>
      <c r="B1497" s="25"/>
      <c r="C1497" s="26"/>
      <c r="D1497" s="279"/>
      <c r="E1497" s="27"/>
      <c r="F1497" s="28"/>
      <c r="G1497" s="27"/>
      <c r="H1497" s="28"/>
      <c r="I1497" s="28"/>
      <c r="J1497" s="255" t="str">
        <f>IF(H1497="","",(_xlfn.XLOOKUP(H1497,Cadastros!$D$6:$D$90,Cadastros!$E$6:$E$90))*(1-_xlfn.XLOOKUP(_xlfn.XLOOKUP($F1497,Clientes!$B$4:$B$39,Clientes!$C$4:$C$39),Cadastros!$L$6:$L$12,Cadastros!$N$6:$N$12)))</f>
        <v/>
      </c>
      <c r="K1497" s="168" t="str">
        <f t="shared" si="300"/>
        <v/>
      </c>
      <c r="L1497" s="168" t="str">
        <f>IFERROR(K1497/_xlfn.XLOOKUP(_xlfn.XLOOKUP($F1497,Clientes!$B$4:$B$39,Clientes!$C$4:$C$39),Cadastros!$L$6:$L$12,Cadastros!$M$6:$M$12)," ")</f>
        <v xml:space="preserve"> </v>
      </c>
      <c r="M1497" s="28"/>
      <c r="N1497" s="28"/>
      <c r="O1497" s="255" t="str">
        <f>IF(M1497="","",(_xlfn.XLOOKUP(M1497,Cadastros!$D$6:$D$90,Cadastros!$E$6:$E$90))*(1-_xlfn.XLOOKUP(_xlfn.XLOOKUP($F1497,Clientes!$B$4:$B$39,Clientes!$C$4:$C$39),Cadastros!$L$6:$L$12,Cadastros!$N$6:$N$12)))</f>
        <v/>
      </c>
      <c r="P1497" s="168" t="str">
        <f t="shared" si="301"/>
        <v/>
      </c>
      <c r="Q1497" s="168" t="str">
        <f>IFERROR(P1497/_xlfn.XLOOKUP(_xlfn.XLOOKUP($F1497,Clientes!$B$4:$B$39,Clientes!$C$4:$C$39),Cadastros!$L$6:$L$12,Cadastros!$M$6:$M$12)," ")</f>
        <v xml:space="preserve"> </v>
      </c>
      <c r="R1497" s="28"/>
      <c r="S1497" s="28"/>
      <c r="T1497" s="255" t="str">
        <f>IF(R1497="","",(_xlfn.XLOOKUP(R1497,Cadastros!$D$6:$D$90,Cadastros!$E$6:$E$90))*(1-_xlfn.XLOOKUP(_xlfn.XLOOKUP($F1497,Clientes!$B$4:$B$39,Clientes!$C$4:$C$39),Cadastros!$L$6:$L$12,Cadastros!$N$6:$N$12)))</f>
        <v/>
      </c>
      <c r="U1497" s="168" t="str">
        <f t="shared" si="302"/>
        <v/>
      </c>
      <c r="V1497" s="168" t="str">
        <f>IFERROR(U1497/_xlfn.XLOOKUP(_xlfn.XLOOKUP($F1497,Clientes!$B$4:$B$39,Clientes!$C$4:$C$39),Cadastros!$L$6:$L$12,Cadastros!$M$6:$M$12)," ")</f>
        <v xml:space="preserve"> </v>
      </c>
      <c r="W1497" s="28"/>
      <c r="X1497" s="28"/>
      <c r="Y1497" s="255" t="str">
        <f>IF(W1497="","",(_xlfn.XLOOKUP(W1497,Cadastros!$D$6:$D$90,Cadastros!$E$6:$E$90))*(1-_xlfn.XLOOKUP(_xlfn.XLOOKUP($F1497,Clientes!$B$4:$B$39,Clientes!$C$4:$C$39),Cadastros!$L$6:$L$12,Cadastros!$N$6:$N$12)))</f>
        <v/>
      </c>
      <c r="Z1497" s="168" t="str">
        <f t="shared" si="303"/>
        <v/>
      </c>
      <c r="AA1497" s="168" t="str">
        <f>IFERROR(Z1497/_xlfn.XLOOKUP(_xlfn.XLOOKUP($F1497,Clientes!$B$4:$B$39,Clientes!$C$4:$C$39),Cadastros!$L$6:$L$12,Cadastros!$M$6:$M$12)," ")</f>
        <v xml:space="preserve"> </v>
      </c>
      <c r="AB1497" s="28"/>
      <c r="AC1497" s="28"/>
      <c r="AD1497" s="20" t="str">
        <f>IF(AB1497="","",IF($F1497="Bernardino Furlan",_xlfn.XLOOKUP(AB1497,Cadastros!$G$6:$G$90,Cadastros!$H$6:$H$90)*(1-0.18),IF($F1497="Mauro José Salanti",_xlfn.XLOOKUP(AB1497,Cadastros!$G$6:$G$90,Cadastros!$H$6:$H$90)*(1-0.18),_xlfn.XLOOKUP(AB1497,Cadastros!$G$6:$G$90,Cadastros!$H$6:$H$90))))</f>
        <v/>
      </c>
      <c r="AE1497" s="168" t="str">
        <f t="shared" si="304"/>
        <v/>
      </c>
      <c r="AF1497" s="168" t="str">
        <f t="shared" si="305"/>
        <v/>
      </c>
      <c r="AG1497" s="28"/>
      <c r="AH1497" s="28"/>
      <c r="AI1497" s="20" t="str">
        <f>IF(AG1497="","",IF($F1497="Bernardino Furlan",_xlfn.XLOOKUP(AG1497,Cadastros!$G$6:$G$90,Cadastros!$H$6:$H$90)*(1-0.18),IF($F1497="Mauro José Salanti",_xlfn.XLOOKUP(AG1497,Cadastros!$G$6:$G$90,Cadastros!$H$6:$H$90)*(1-0.18),_xlfn.XLOOKUP(AG1497,Cadastros!$G$6:$G$90,Cadastros!$H$6:$H$90))))</f>
        <v/>
      </c>
      <c r="AJ1497" s="168" t="str">
        <f t="shared" si="306"/>
        <v/>
      </c>
      <c r="AK1497" s="168" t="str">
        <f t="shared" si="307"/>
        <v/>
      </c>
      <c r="AL1497" s="28"/>
      <c r="AM1497" s="28"/>
      <c r="AN1497" s="20" t="str">
        <f>IF(AL1497="","",IF($F1497="Bernardino Furlan",_xlfn.XLOOKUP(AL1497,Cadastros!$G$6:$G$90,Cadastros!$H$6:$H$90)*(1-0.18),IF($F1497="Mauro José Salanti",_xlfn.XLOOKUP(AL1497,Cadastros!$G$6:$G$90,Cadastros!$H$6:$H$90)*(1-0.18),_xlfn.XLOOKUP(AL1497,Cadastros!$G$6:$G$90,Cadastros!$H$6:$H$90))))</f>
        <v/>
      </c>
      <c r="AO1497" s="168" t="str">
        <f t="shared" si="308"/>
        <v/>
      </c>
      <c r="AP1497" s="168" t="str">
        <f t="shared" si="309"/>
        <v/>
      </c>
      <c r="AQ1497" s="28"/>
      <c r="AR1497" s="28"/>
      <c r="AS1497" s="20" t="str">
        <f>IF(AQ1497="","",IF($F1497="Bernardino Furlan",_xlfn.XLOOKUP(AQ1497,Cadastros!$G$6:$G$90,Cadastros!$H$6:$H$90)*(1-0.18),IF($F1497="Mauro José Salanti",_xlfn.XLOOKUP(AQ1497,Cadastros!$G$6:$G$90,Cadastros!$H$6:$H$90)*(1-0.18),_xlfn.XLOOKUP(AQ1497,Cadastros!$G$6:$G$90,Cadastros!$H$6:$H$90))))</f>
        <v/>
      </c>
      <c r="AT1497" s="168" t="str">
        <f t="shared" si="310"/>
        <v/>
      </c>
      <c r="AU1497" s="168" t="str">
        <f t="shared" si="311"/>
        <v/>
      </c>
      <c r="AV1497" s="227"/>
      <c r="AW1497" s="30"/>
      <c r="AX1497" s="267"/>
      <c r="AY1497" s="267"/>
      <c r="AZ1497" s="29"/>
      <c r="BA1497" s="30"/>
      <c r="BB1497" s="23" t="str" cm="1">
        <f t="array" ref="BB1497">_xlfn.IFS(AW1497="SIM",SUM(K1497,P1497,U1497,Z1497,AE1497,AJ1497,AO1497,AT1497,AX1497,AY1497),F1497&lt;&gt;"",SUM(K1497,P1497,U1497,Z1497,AE1497,AJ1497,,AO1497,AT1497),F1497="","")</f>
        <v/>
      </c>
      <c r="BC1497" s="211" t="str" cm="1">
        <f t="array" ref="BC1497">_xlfn.IFS(E1497="","",G1497&lt;=E1497,BB1497*(1-0.03),G1497&lt;(E1497+8),BB1497,AZ1497="Boleto",BB1497*(1+0.001)^DATEDIF(E1497,G1497,"D"),AZ1497="Cheque",BB1497,AZ1497="Dinheiro","Alterar forma pgto")</f>
        <v/>
      </c>
      <c r="BD1497" s="276" t="str" cm="1">
        <f t="array" ref="BD1497">IF(F1497=0," ",IF(BC1497&lt;BB1497,(_xlfn.IFS(AW1497="SIM",SUM(L1497,Q1497,V1497,AA1497,AF1497,AK1497,AP1497,AU1497)+AX1497/_xlfn.XLOOKUP(_xlfn.XLOOKUP($F1497,Clientes!$B$4:$B$39,Clientes!$C$4:$C$39),Cadastros!$L$6:$L$12,Cadastros!$M$6:$M$12)+IF($F1497="Bernardino Furlan",AY1497/2751.92,IF($F1497="Mauro José Salanti",AY1497/2751.92,AY1497/3356)),F1497&lt;&gt;0,SUM(L1497,Q1497,V1497,AA1497,AF1497,AK1497,AP1497,AU1497)))*(1-0.03),_xlfn.IFS(AW1497="SIM",SUM(L1497,Q1497,V1497,AA1497,AF1497,AK1497,AP1497,AU1497)+AX1497/_xlfn.XLOOKUP(_xlfn.XLOOKUP($F1497,Clientes!$B$4:$B$39,Clientes!$C$4:$C$39),Cadastros!$L$6:$L$12,Cadastros!$M$6:$M$12)+IF($F1497="Bernardino Furlan",AY1497/2751.92,IF($F1497="Mauro José Salanti",AY1497/2751.92,AY1497/3356)),F1497&lt;&gt;0,SUM(L1497,Q1497,V1497,AA1497,AF1497,AK1497,AP1497,AU1497))))</f>
        <v xml:space="preserve"> </v>
      </c>
      <c r="BE1497" s="120"/>
      <c r="BF1497" s="120"/>
      <c r="BG1497" s="120"/>
    </row>
    <row r="1498" spans="1:59" s="3" customFormat="1" x14ac:dyDescent="0.3">
      <c r="A1498" s="15" t="str">
        <f t="shared" si="299"/>
        <v/>
      </c>
      <c r="B1498" s="25"/>
      <c r="C1498" s="26"/>
      <c r="D1498" s="279"/>
      <c r="E1498" s="27"/>
      <c r="F1498" s="28"/>
      <c r="G1498" s="27"/>
      <c r="H1498" s="28"/>
      <c r="I1498" s="28"/>
      <c r="J1498" s="255" t="str">
        <f>IF(H1498="","",(_xlfn.XLOOKUP(H1498,Cadastros!$D$6:$D$90,Cadastros!$E$6:$E$90))*(1-_xlfn.XLOOKUP(_xlfn.XLOOKUP($F1498,Clientes!$B$4:$B$39,Clientes!$C$4:$C$39),Cadastros!$L$6:$L$12,Cadastros!$N$6:$N$12)))</f>
        <v/>
      </c>
      <c r="K1498" s="168" t="str">
        <f t="shared" si="300"/>
        <v/>
      </c>
      <c r="L1498" s="168" t="str">
        <f>IFERROR(K1498/_xlfn.XLOOKUP(_xlfn.XLOOKUP($F1498,Clientes!$B$4:$B$39,Clientes!$C$4:$C$39),Cadastros!$L$6:$L$12,Cadastros!$M$6:$M$12)," ")</f>
        <v xml:space="preserve"> </v>
      </c>
      <c r="M1498" s="28"/>
      <c r="N1498" s="28"/>
      <c r="O1498" s="255" t="str">
        <f>IF(M1498="","",(_xlfn.XLOOKUP(M1498,Cadastros!$D$6:$D$90,Cadastros!$E$6:$E$90))*(1-_xlfn.XLOOKUP(_xlfn.XLOOKUP($F1498,Clientes!$B$4:$B$39,Clientes!$C$4:$C$39),Cadastros!$L$6:$L$12,Cadastros!$N$6:$N$12)))</f>
        <v/>
      </c>
      <c r="P1498" s="168" t="str">
        <f t="shared" si="301"/>
        <v/>
      </c>
      <c r="Q1498" s="168" t="str">
        <f>IFERROR(P1498/_xlfn.XLOOKUP(_xlfn.XLOOKUP($F1498,Clientes!$B$4:$B$39,Clientes!$C$4:$C$39),Cadastros!$L$6:$L$12,Cadastros!$M$6:$M$12)," ")</f>
        <v xml:space="preserve"> </v>
      </c>
      <c r="R1498" s="28"/>
      <c r="S1498" s="28"/>
      <c r="T1498" s="255" t="str">
        <f>IF(R1498="","",(_xlfn.XLOOKUP(R1498,Cadastros!$D$6:$D$90,Cadastros!$E$6:$E$90))*(1-_xlfn.XLOOKUP(_xlfn.XLOOKUP($F1498,Clientes!$B$4:$B$39,Clientes!$C$4:$C$39),Cadastros!$L$6:$L$12,Cadastros!$N$6:$N$12)))</f>
        <v/>
      </c>
      <c r="U1498" s="168" t="str">
        <f t="shared" si="302"/>
        <v/>
      </c>
      <c r="V1498" s="168" t="str">
        <f>IFERROR(U1498/_xlfn.XLOOKUP(_xlfn.XLOOKUP($F1498,Clientes!$B$4:$B$39,Clientes!$C$4:$C$39),Cadastros!$L$6:$L$12,Cadastros!$M$6:$M$12)," ")</f>
        <v xml:space="preserve"> </v>
      </c>
      <c r="W1498" s="28"/>
      <c r="X1498" s="28"/>
      <c r="Y1498" s="255" t="str">
        <f>IF(W1498="","",(_xlfn.XLOOKUP(W1498,Cadastros!$D$6:$D$90,Cadastros!$E$6:$E$90))*(1-_xlfn.XLOOKUP(_xlfn.XLOOKUP($F1498,Clientes!$B$4:$B$39,Clientes!$C$4:$C$39),Cadastros!$L$6:$L$12,Cadastros!$N$6:$N$12)))</f>
        <v/>
      </c>
      <c r="Z1498" s="168" t="str">
        <f t="shared" si="303"/>
        <v/>
      </c>
      <c r="AA1498" s="168" t="str">
        <f>IFERROR(Z1498/_xlfn.XLOOKUP(_xlfn.XLOOKUP($F1498,Clientes!$B$4:$B$39,Clientes!$C$4:$C$39),Cadastros!$L$6:$L$12,Cadastros!$M$6:$M$12)," ")</f>
        <v xml:space="preserve"> </v>
      </c>
      <c r="AB1498" s="28"/>
      <c r="AC1498" s="28"/>
      <c r="AD1498" s="20" t="str">
        <f>IF(AB1498="","",IF($F1498="Bernardino Furlan",_xlfn.XLOOKUP(AB1498,Cadastros!$G$6:$G$90,Cadastros!$H$6:$H$90)*(1-0.18),IF($F1498="Mauro José Salanti",_xlfn.XLOOKUP(AB1498,Cadastros!$G$6:$G$90,Cadastros!$H$6:$H$90)*(1-0.18),_xlfn.XLOOKUP(AB1498,Cadastros!$G$6:$G$90,Cadastros!$H$6:$H$90))))</f>
        <v/>
      </c>
      <c r="AE1498" s="168" t="str">
        <f t="shared" si="304"/>
        <v/>
      </c>
      <c r="AF1498" s="168" t="str">
        <f t="shared" si="305"/>
        <v/>
      </c>
      <c r="AG1498" s="28"/>
      <c r="AH1498" s="28"/>
      <c r="AI1498" s="20" t="str">
        <f>IF(AG1498="","",IF($F1498="Bernardino Furlan",_xlfn.XLOOKUP(AG1498,Cadastros!$G$6:$G$90,Cadastros!$H$6:$H$90)*(1-0.18),IF($F1498="Mauro José Salanti",_xlfn.XLOOKUP(AG1498,Cadastros!$G$6:$G$90,Cadastros!$H$6:$H$90)*(1-0.18),_xlfn.XLOOKUP(AG1498,Cadastros!$G$6:$G$90,Cadastros!$H$6:$H$90))))</f>
        <v/>
      </c>
      <c r="AJ1498" s="168" t="str">
        <f t="shared" si="306"/>
        <v/>
      </c>
      <c r="AK1498" s="168" t="str">
        <f t="shared" si="307"/>
        <v/>
      </c>
      <c r="AL1498" s="28"/>
      <c r="AM1498" s="28"/>
      <c r="AN1498" s="20" t="str">
        <f>IF(AL1498="","",IF($F1498="Bernardino Furlan",_xlfn.XLOOKUP(AL1498,Cadastros!$G$6:$G$90,Cadastros!$H$6:$H$90)*(1-0.18),IF($F1498="Mauro José Salanti",_xlfn.XLOOKUP(AL1498,Cadastros!$G$6:$G$90,Cadastros!$H$6:$H$90)*(1-0.18),_xlfn.XLOOKUP(AL1498,Cadastros!$G$6:$G$90,Cadastros!$H$6:$H$90))))</f>
        <v/>
      </c>
      <c r="AO1498" s="168" t="str">
        <f t="shared" si="308"/>
        <v/>
      </c>
      <c r="AP1498" s="168" t="str">
        <f t="shared" si="309"/>
        <v/>
      </c>
      <c r="AQ1498" s="28"/>
      <c r="AR1498" s="28"/>
      <c r="AS1498" s="20" t="str">
        <f>IF(AQ1498="","",IF($F1498="Bernardino Furlan",_xlfn.XLOOKUP(AQ1498,Cadastros!$G$6:$G$90,Cadastros!$H$6:$H$90)*(1-0.18),IF($F1498="Mauro José Salanti",_xlfn.XLOOKUP(AQ1498,Cadastros!$G$6:$G$90,Cadastros!$H$6:$H$90)*(1-0.18),_xlfn.XLOOKUP(AQ1498,Cadastros!$G$6:$G$90,Cadastros!$H$6:$H$90))))</f>
        <v/>
      </c>
      <c r="AT1498" s="168" t="str">
        <f t="shared" si="310"/>
        <v/>
      </c>
      <c r="AU1498" s="168" t="str">
        <f t="shared" si="311"/>
        <v/>
      </c>
      <c r="AV1498" s="227"/>
      <c r="AW1498" s="30"/>
      <c r="AX1498" s="267"/>
      <c r="AY1498" s="267"/>
      <c r="AZ1498" s="29"/>
      <c r="BA1498" s="30"/>
      <c r="BB1498" s="23" t="str" cm="1">
        <f t="array" ref="BB1498">_xlfn.IFS(AW1498="SIM",SUM(K1498,P1498,U1498,Z1498,AE1498,AJ1498,AO1498,AT1498,AX1498,AY1498),F1498&lt;&gt;"",SUM(K1498,P1498,U1498,Z1498,AE1498,AJ1498,,AO1498,AT1498),F1498="","")</f>
        <v/>
      </c>
      <c r="BC1498" s="211" t="str" cm="1">
        <f t="array" ref="BC1498">_xlfn.IFS(E1498="","",G1498&lt;=E1498,BB1498*(1-0.03),G1498&lt;(E1498+8),BB1498,AZ1498="Boleto",BB1498*(1+0.001)^DATEDIF(E1498,G1498,"D"),AZ1498="Cheque",BB1498,AZ1498="Dinheiro","Alterar forma pgto")</f>
        <v/>
      </c>
      <c r="BD1498" s="276" t="str" cm="1">
        <f t="array" ref="BD1498">IF(F1498=0," ",IF(BC1498&lt;BB1498,(_xlfn.IFS(AW1498="SIM",SUM(L1498,Q1498,V1498,AA1498,AF1498,AK1498,AP1498,AU1498)+AX1498/_xlfn.XLOOKUP(_xlfn.XLOOKUP($F1498,Clientes!$B$4:$B$39,Clientes!$C$4:$C$39),Cadastros!$L$6:$L$12,Cadastros!$M$6:$M$12)+IF($F1498="Bernardino Furlan",AY1498/2751.92,IF($F1498="Mauro José Salanti",AY1498/2751.92,AY1498/3356)),F1498&lt;&gt;0,SUM(L1498,Q1498,V1498,AA1498,AF1498,AK1498,AP1498,AU1498)))*(1-0.03),_xlfn.IFS(AW1498="SIM",SUM(L1498,Q1498,V1498,AA1498,AF1498,AK1498,AP1498,AU1498)+AX1498/_xlfn.XLOOKUP(_xlfn.XLOOKUP($F1498,Clientes!$B$4:$B$39,Clientes!$C$4:$C$39),Cadastros!$L$6:$L$12,Cadastros!$M$6:$M$12)+IF($F1498="Bernardino Furlan",AY1498/2751.92,IF($F1498="Mauro José Salanti",AY1498/2751.92,AY1498/3356)),F1498&lt;&gt;0,SUM(L1498,Q1498,V1498,AA1498,AF1498,AK1498,AP1498,AU1498))))</f>
        <v xml:space="preserve"> </v>
      </c>
      <c r="BE1498" s="120"/>
      <c r="BF1498" s="120"/>
      <c r="BG1498" s="120"/>
    </row>
    <row r="1499" spans="1:59" s="3" customFormat="1" x14ac:dyDescent="0.3">
      <c r="A1499" s="15" t="str">
        <f t="shared" si="299"/>
        <v/>
      </c>
      <c r="B1499" s="25"/>
      <c r="C1499" s="26"/>
      <c r="D1499" s="279"/>
      <c r="E1499" s="27"/>
      <c r="F1499" s="28"/>
      <c r="G1499" s="27"/>
      <c r="H1499" s="28"/>
      <c r="I1499" s="28"/>
      <c r="J1499" s="255" t="str">
        <f>IF(H1499="","",(_xlfn.XLOOKUP(H1499,Cadastros!$D$6:$D$90,Cadastros!$E$6:$E$90))*(1-_xlfn.XLOOKUP(_xlfn.XLOOKUP($F1499,Clientes!$B$4:$B$39,Clientes!$C$4:$C$39),Cadastros!$L$6:$L$12,Cadastros!$N$6:$N$12)))</f>
        <v/>
      </c>
      <c r="K1499" s="168" t="str">
        <f t="shared" si="300"/>
        <v/>
      </c>
      <c r="L1499" s="168" t="str">
        <f>IFERROR(K1499/_xlfn.XLOOKUP(_xlfn.XLOOKUP($F1499,Clientes!$B$4:$B$39,Clientes!$C$4:$C$39),Cadastros!$L$6:$L$12,Cadastros!$M$6:$M$12)," ")</f>
        <v xml:space="preserve"> </v>
      </c>
      <c r="M1499" s="28"/>
      <c r="N1499" s="28"/>
      <c r="O1499" s="255" t="str">
        <f>IF(M1499="","",(_xlfn.XLOOKUP(M1499,Cadastros!$D$6:$D$90,Cadastros!$E$6:$E$90))*(1-_xlfn.XLOOKUP(_xlfn.XLOOKUP($F1499,Clientes!$B$4:$B$39,Clientes!$C$4:$C$39),Cadastros!$L$6:$L$12,Cadastros!$N$6:$N$12)))</f>
        <v/>
      </c>
      <c r="P1499" s="168" t="str">
        <f t="shared" si="301"/>
        <v/>
      </c>
      <c r="Q1499" s="168" t="str">
        <f>IFERROR(P1499/_xlfn.XLOOKUP(_xlfn.XLOOKUP($F1499,Clientes!$B$4:$B$39,Clientes!$C$4:$C$39),Cadastros!$L$6:$L$12,Cadastros!$M$6:$M$12)," ")</f>
        <v xml:space="preserve"> </v>
      </c>
      <c r="R1499" s="28"/>
      <c r="S1499" s="28"/>
      <c r="T1499" s="255" t="str">
        <f>IF(R1499="","",(_xlfn.XLOOKUP(R1499,Cadastros!$D$6:$D$90,Cadastros!$E$6:$E$90))*(1-_xlfn.XLOOKUP(_xlfn.XLOOKUP($F1499,Clientes!$B$4:$B$39,Clientes!$C$4:$C$39),Cadastros!$L$6:$L$12,Cadastros!$N$6:$N$12)))</f>
        <v/>
      </c>
      <c r="U1499" s="168" t="str">
        <f t="shared" si="302"/>
        <v/>
      </c>
      <c r="V1499" s="168" t="str">
        <f>IFERROR(U1499/_xlfn.XLOOKUP(_xlfn.XLOOKUP($F1499,Clientes!$B$4:$B$39,Clientes!$C$4:$C$39),Cadastros!$L$6:$L$12,Cadastros!$M$6:$M$12)," ")</f>
        <v xml:space="preserve"> </v>
      </c>
      <c r="W1499" s="28"/>
      <c r="X1499" s="28"/>
      <c r="Y1499" s="255" t="str">
        <f>IF(W1499="","",(_xlfn.XLOOKUP(W1499,Cadastros!$D$6:$D$90,Cadastros!$E$6:$E$90))*(1-_xlfn.XLOOKUP(_xlfn.XLOOKUP($F1499,Clientes!$B$4:$B$39,Clientes!$C$4:$C$39),Cadastros!$L$6:$L$12,Cadastros!$N$6:$N$12)))</f>
        <v/>
      </c>
      <c r="Z1499" s="168" t="str">
        <f t="shared" si="303"/>
        <v/>
      </c>
      <c r="AA1499" s="168" t="str">
        <f>IFERROR(Z1499/_xlfn.XLOOKUP(_xlfn.XLOOKUP($F1499,Clientes!$B$4:$B$39,Clientes!$C$4:$C$39),Cadastros!$L$6:$L$12,Cadastros!$M$6:$M$12)," ")</f>
        <v xml:space="preserve"> </v>
      </c>
      <c r="AB1499" s="28"/>
      <c r="AC1499" s="28"/>
      <c r="AD1499" s="20" t="str">
        <f>IF(AB1499="","",IF($F1499="Bernardino Furlan",_xlfn.XLOOKUP(AB1499,Cadastros!$G$6:$G$90,Cadastros!$H$6:$H$90)*(1-0.18),IF($F1499="Mauro José Salanti",_xlfn.XLOOKUP(AB1499,Cadastros!$G$6:$G$90,Cadastros!$H$6:$H$90)*(1-0.18),_xlfn.XLOOKUP(AB1499,Cadastros!$G$6:$G$90,Cadastros!$H$6:$H$90))))</f>
        <v/>
      </c>
      <c r="AE1499" s="168" t="str">
        <f t="shared" si="304"/>
        <v/>
      </c>
      <c r="AF1499" s="168" t="str">
        <f t="shared" si="305"/>
        <v/>
      </c>
      <c r="AG1499" s="28"/>
      <c r="AH1499" s="28"/>
      <c r="AI1499" s="20" t="str">
        <f>IF(AG1499="","",IF($F1499="Bernardino Furlan",_xlfn.XLOOKUP(AG1499,Cadastros!$G$6:$G$90,Cadastros!$H$6:$H$90)*(1-0.18),IF($F1499="Mauro José Salanti",_xlfn.XLOOKUP(AG1499,Cadastros!$G$6:$G$90,Cadastros!$H$6:$H$90)*(1-0.18),_xlfn.XLOOKUP(AG1499,Cadastros!$G$6:$G$90,Cadastros!$H$6:$H$90))))</f>
        <v/>
      </c>
      <c r="AJ1499" s="168" t="str">
        <f t="shared" si="306"/>
        <v/>
      </c>
      <c r="AK1499" s="168" t="str">
        <f t="shared" si="307"/>
        <v/>
      </c>
      <c r="AL1499" s="28"/>
      <c r="AM1499" s="28"/>
      <c r="AN1499" s="20" t="str">
        <f>IF(AL1499="","",IF($F1499="Bernardino Furlan",_xlfn.XLOOKUP(AL1499,Cadastros!$G$6:$G$90,Cadastros!$H$6:$H$90)*(1-0.18),IF($F1499="Mauro José Salanti",_xlfn.XLOOKUP(AL1499,Cadastros!$G$6:$G$90,Cadastros!$H$6:$H$90)*(1-0.18),_xlfn.XLOOKUP(AL1499,Cadastros!$G$6:$G$90,Cadastros!$H$6:$H$90))))</f>
        <v/>
      </c>
      <c r="AO1499" s="168" t="str">
        <f t="shared" si="308"/>
        <v/>
      </c>
      <c r="AP1499" s="168" t="str">
        <f t="shared" si="309"/>
        <v/>
      </c>
      <c r="AQ1499" s="28"/>
      <c r="AR1499" s="28"/>
      <c r="AS1499" s="20" t="str">
        <f>IF(AQ1499="","",IF($F1499="Bernardino Furlan",_xlfn.XLOOKUP(AQ1499,Cadastros!$G$6:$G$90,Cadastros!$H$6:$H$90)*(1-0.18),IF($F1499="Mauro José Salanti",_xlfn.XLOOKUP(AQ1499,Cadastros!$G$6:$G$90,Cadastros!$H$6:$H$90)*(1-0.18),_xlfn.XLOOKUP(AQ1499,Cadastros!$G$6:$G$90,Cadastros!$H$6:$H$90))))</f>
        <v/>
      </c>
      <c r="AT1499" s="168" t="str">
        <f t="shared" si="310"/>
        <v/>
      </c>
      <c r="AU1499" s="168" t="str">
        <f t="shared" si="311"/>
        <v/>
      </c>
      <c r="AV1499" s="227"/>
      <c r="AW1499" s="30"/>
      <c r="AX1499" s="267"/>
      <c r="AY1499" s="267"/>
      <c r="AZ1499" s="29"/>
      <c r="BA1499" s="30"/>
      <c r="BB1499" s="23" t="str" cm="1">
        <f t="array" ref="BB1499">_xlfn.IFS(AW1499="SIM",SUM(K1499,P1499,U1499,Z1499,AE1499,AJ1499,AO1499,AT1499,AX1499,AY1499),F1499&lt;&gt;"",SUM(K1499,P1499,U1499,Z1499,AE1499,AJ1499,,AO1499,AT1499),F1499="","")</f>
        <v/>
      </c>
      <c r="BC1499" s="211" t="str" cm="1">
        <f t="array" ref="BC1499">_xlfn.IFS(E1499="","",G1499&lt;=E1499,BB1499*(1-0.03),G1499&lt;(E1499+8),BB1499,AZ1499="Boleto",BB1499*(1+0.001)^DATEDIF(E1499,G1499,"D"),AZ1499="Cheque",BB1499,AZ1499="Dinheiro","Alterar forma pgto")</f>
        <v/>
      </c>
      <c r="BD1499" s="276" t="str" cm="1">
        <f t="array" ref="BD1499">IF(F1499=0," ",IF(BC1499&lt;BB1499,(_xlfn.IFS(AW1499="SIM",SUM(L1499,Q1499,V1499,AA1499,AF1499,AK1499,AP1499,AU1499)+AX1499/_xlfn.XLOOKUP(_xlfn.XLOOKUP($F1499,Clientes!$B$4:$B$39,Clientes!$C$4:$C$39),Cadastros!$L$6:$L$12,Cadastros!$M$6:$M$12)+IF($F1499="Bernardino Furlan",AY1499/2751.92,IF($F1499="Mauro José Salanti",AY1499/2751.92,AY1499/3356)),F1499&lt;&gt;0,SUM(L1499,Q1499,V1499,AA1499,AF1499,AK1499,AP1499,AU1499)))*(1-0.03),_xlfn.IFS(AW1499="SIM",SUM(L1499,Q1499,V1499,AA1499,AF1499,AK1499,AP1499,AU1499)+AX1499/_xlfn.XLOOKUP(_xlfn.XLOOKUP($F1499,Clientes!$B$4:$B$39,Clientes!$C$4:$C$39),Cadastros!$L$6:$L$12,Cadastros!$M$6:$M$12)+IF($F1499="Bernardino Furlan",AY1499/2751.92,IF($F1499="Mauro José Salanti",AY1499/2751.92,AY1499/3356)),F1499&lt;&gt;0,SUM(L1499,Q1499,V1499,AA1499,AF1499,AK1499,AP1499,AU1499))))</f>
        <v xml:space="preserve"> </v>
      </c>
      <c r="BE1499" s="120"/>
      <c r="BF1499" s="120"/>
      <c r="BG1499" s="120"/>
    </row>
    <row r="1500" spans="1:59" s="3" customFormat="1" x14ac:dyDescent="0.3">
      <c r="A1500" s="15" t="str">
        <f t="shared" si="299"/>
        <v/>
      </c>
      <c r="B1500" s="25"/>
      <c r="C1500" s="26"/>
      <c r="D1500" s="279"/>
      <c r="E1500" s="27"/>
      <c r="F1500" s="28"/>
      <c r="G1500" s="27"/>
      <c r="H1500" s="28"/>
      <c r="I1500" s="28"/>
      <c r="J1500" s="255" t="str">
        <f>IF(H1500="","",(_xlfn.XLOOKUP(H1500,Cadastros!$D$6:$D$90,Cadastros!$E$6:$E$90))*(1-_xlfn.XLOOKUP(_xlfn.XLOOKUP($F1500,Clientes!$B$4:$B$39,Clientes!$C$4:$C$39),Cadastros!$L$6:$L$12,Cadastros!$N$6:$N$12)))</f>
        <v/>
      </c>
      <c r="K1500" s="168" t="str">
        <f t="shared" si="300"/>
        <v/>
      </c>
      <c r="L1500" s="168" t="str">
        <f>IFERROR(K1500/_xlfn.XLOOKUP(_xlfn.XLOOKUP($F1500,Clientes!$B$4:$B$39,Clientes!$C$4:$C$39),Cadastros!$L$6:$L$12,Cadastros!$M$6:$M$12)," ")</f>
        <v xml:space="preserve"> </v>
      </c>
      <c r="M1500" s="28"/>
      <c r="N1500" s="28"/>
      <c r="O1500" s="255" t="str">
        <f>IF(M1500="","",(_xlfn.XLOOKUP(M1500,Cadastros!$D$6:$D$90,Cadastros!$E$6:$E$90))*(1-_xlfn.XLOOKUP(_xlfn.XLOOKUP($F1500,Clientes!$B$4:$B$39,Clientes!$C$4:$C$39),Cadastros!$L$6:$L$12,Cadastros!$N$6:$N$12)))</f>
        <v/>
      </c>
      <c r="P1500" s="168" t="str">
        <f t="shared" si="301"/>
        <v/>
      </c>
      <c r="Q1500" s="168" t="str">
        <f>IFERROR(P1500/_xlfn.XLOOKUP(_xlfn.XLOOKUP($F1500,Clientes!$B$4:$B$39,Clientes!$C$4:$C$39),Cadastros!$L$6:$L$12,Cadastros!$M$6:$M$12)," ")</f>
        <v xml:space="preserve"> </v>
      </c>
      <c r="R1500" s="28"/>
      <c r="S1500" s="28"/>
      <c r="T1500" s="255" t="str">
        <f>IF(R1500="","",(_xlfn.XLOOKUP(R1500,Cadastros!$D$6:$D$90,Cadastros!$E$6:$E$90))*(1-_xlfn.XLOOKUP(_xlfn.XLOOKUP($F1500,Clientes!$B$4:$B$39,Clientes!$C$4:$C$39),Cadastros!$L$6:$L$12,Cadastros!$N$6:$N$12)))</f>
        <v/>
      </c>
      <c r="U1500" s="168" t="str">
        <f t="shared" si="302"/>
        <v/>
      </c>
      <c r="V1500" s="168" t="str">
        <f>IFERROR(U1500/_xlfn.XLOOKUP(_xlfn.XLOOKUP($F1500,Clientes!$B$4:$B$39,Clientes!$C$4:$C$39),Cadastros!$L$6:$L$12,Cadastros!$M$6:$M$12)," ")</f>
        <v xml:space="preserve"> </v>
      </c>
      <c r="W1500" s="28"/>
      <c r="X1500" s="28"/>
      <c r="Y1500" s="255" t="str">
        <f>IF(W1500="","",(_xlfn.XLOOKUP(W1500,Cadastros!$D$6:$D$90,Cadastros!$E$6:$E$90))*(1-_xlfn.XLOOKUP(_xlfn.XLOOKUP($F1500,Clientes!$B$4:$B$39,Clientes!$C$4:$C$39),Cadastros!$L$6:$L$12,Cadastros!$N$6:$N$12)))</f>
        <v/>
      </c>
      <c r="Z1500" s="168" t="str">
        <f t="shared" si="303"/>
        <v/>
      </c>
      <c r="AA1500" s="168" t="str">
        <f>IFERROR(Z1500/_xlfn.XLOOKUP(_xlfn.XLOOKUP($F1500,Clientes!$B$4:$B$39,Clientes!$C$4:$C$39),Cadastros!$L$6:$L$12,Cadastros!$M$6:$M$12)," ")</f>
        <v xml:space="preserve"> </v>
      </c>
      <c r="AB1500" s="28"/>
      <c r="AC1500" s="28"/>
      <c r="AD1500" s="20" t="str">
        <f>IF(AB1500="","",IF($F1500="Bernardino Furlan",_xlfn.XLOOKUP(AB1500,Cadastros!$G$6:$G$90,Cadastros!$H$6:$H$90)*(1-0.18),IF($F1500="Mauro José Salanti",_xlfn.XLOOKUP(AB1500,Cadastros!$G$6:$G$90,Cadastros!$H$6:$H$90)*(1-0.18),_xlfn.XLOOKUP(AB1500,Cadastros!$G$6:$G$90,Cadastros!$H$6:$H$90))))</f>
        <v/>
      </c>
      <c r="AE1500" s="168" t="str">
        <f t="shared" si="304"/>
        <v/>
      </c>
      <c r="AF1500" s="168" t="str">
        <f t="shared" si="305"/>
        <v/>
      </c>
      <c r="AG1500" s="28"/>
      <c r="AH1500" s="28"/>
      <c r="AI1500" s="20" t="str">
        <f>IF(AG1500="","",IF($F1500="Bernardino Furlan",_xlfn.XLOOKUP(AG1500,Cadastros!$G$6:$G$90,Cadastros!$H$6:$H$90)*(1-0.18),IF($F1500="Mauro José Salanti",_xlfn.XLOOKUP(AG1500,Cadastros!$G$6:$G$90,Cadastros!$H$6:$H$90)*(1-0.18),_xlfn.XLOOKUP(AG1500,Cadastros!$G$6:$G$90,Cadastros!$H$6:$H$90))))</f>
        <v/>
      </c>
      <c r="AJ1500" s="168" t="str">
        <f t="shared" si="306"/>
        <v/>
      </c>
      <c r="AK1500" s="168" t="str">
        <f t="shared" si="307"/>
        <v/>
      </c>
      <c r="AL1500" s="28"/>
      <c r="AM1500" s="28"/>
      <c r="AN1500" s="20" t="str">
        <f>IF(AL1500="","",IF($F1500="Bernardino Furlan",_xlfn.XLOOKUP(AL1500,Cadastros!$G$6:$G$90,Cadastros!$H$6:$H$90)*(1-0.18),IF($F1500="Mauro José Salanti",_xlfn.XLOOKUP(AL1500,Cadastros!$G$6:$G$90,Cadastros!$H$6:$H$90)*(1-0.18),_xlfn.XLOOKUP(AL1500,Cadastros!$G$6:$G$90,Cadastros!$H$6:$H$90))))</f>
        <v/>
      </c>
      <c r="AO1500" s="168" t="str">
        <f t="shared" si="308"/>
        <v/>
      </c>
      <c r="AP1500" s="168" t="str">
        <f t="shared" si="309"/>
        <v/>
      </c>
      <c r="AQ1500" s="28"/>
      <c r="AR1500" s="28"/>
      <c r="AS1500" s="20" t="str">
        <f>IF(AQ1500="","",IF($F1500="Bernardino Furlan",_xlfn.XLOOKUP(AQ1500,Cadastros!$G$6:$G$90,Cadastros!$H$6:$H$90)*(1-0.18),IF($F1500="Mauro José Salanti",_xlfn.XLOOKUP(AQ1500,Cadastros!$G$6:$G$90,Cadastros!$H$6:$H$90)*(1-0.18),_xlfn.XLOOKUP(AQ1500,Cadastros!$G$6:$G$90,Cadastros!$H$6:$H$90))))</f>
        <v/>
      </c>
      <c r="AT1500" s="168" t="str">
        <f t="shared" si="310"/>
        <v/>
      </c>
      <c r="AU1500" s="168" t="str">
        <f t="shared" si="311"/>
        <v/>
      </c>
      <c r="AV1500" s="227"/>
      <c r="AW1500" s="30"/>
      <c r="AX1500" s="267"/>
      <c r="AY1500" s="267"/>
      <c r="AZ1500" s="29"/>
      <c r="BA1500" s="30"/>
      <c r="BB1500" s="23" t="str" cm="1">
        <f t="array" ref="BB1500">_xlfn.IFS(AW1500="SIM",SUM(K1500,P1500,U1500,Z1500,AE1500,AJ1500,AO1500,AT1500,AX1500,AY1500),F1500&lt;&gt;"",SUM(K1500,P1500,U1500,Z1500,AE1500,AJ1500,,AO1500,AT1500),F1500="","")</f>
        <v/>
      </c>
      <c r="BC1500" s="211" t="str" cm="1">
        <f t="array" ref="BC1500">_xlfn.IFS(E1500="","",G1500&lt;=E1500,BB1500*(1-0.03),G1500&lt;(E1500+8),BB1500,AZ1500="Boleto",BB1500*(1+0.001)^DATEDIF(E1500,G1500,"D"),AZ1500="Cheque",BB1500,AZ1500="Dinheiro","Alterar forma pgto")</f>
        <v/>
      </c>
      <c r="BD1500" s="276" t="str" cm="1">
        <f t="array" ref="BD1500">IF(F1500=0," ",IF(BC1500&lt;BB1500,(_xlfn.IFS(AW1500="SIM",SUM(L1500,Q1500,V1500,AA1500,AF1500,AK1500,AP1500,AU1500)+AX1500/_xlfn.XLOOKUP(_xlfn.XLOOKUP($F1500,Clientes!$B$4:$B$39,Clientes!$C$4:$C$39),Cadastros!$L$6:$L$12,Cadastros!$M$6:$M$12)+IF($F1500="Bernardino Furlan",AY1500/2751.92,IF($F1500="Mauro José Salanti",AY1500/2751.92,AY1500/3356)),F1500&lt;&gt;0,SUM(L1500,Q1500,V1500,AA1500,AF1500,AK1500,AP1500,AU1500)))*(1-0.03),_xlfn.IFS(AW1500="SIM",SUM(L1500,Q1500,V1500,AA1500,AF1500,AK1500,AP1500,AU1500)+AX1500/_xlfn.XLOOKUP(_xlfn.XLOOKUP($F1500,Clientes!$B$4:$B$39,Clientes!$C$4:$C$39),Cadastros!$L$6:$L$12,Cadastros!$M$6:$M$12)+IF($F1500="Bernardino Furlan",AY1500/2751.92,IF($F1500="Mauro José Salanti",AY1500/2751.92,AY1500/3356)),F1500&lt;&gt;0,SUM(L1500,Q1500,V1500,AA1500,AF1500,AK1500,AP1500,AU1500))))</f>
        <v xml:space="preserve"> </v>
      </c>
      <c r="BE1500" s="120"/>
      <c r="BF1500" s="120"/>
      <c r="BG1500" s="120"/>
    </row>
    <row r="1501" spans="1:59" s="3" customFormat="1" x14ac:dyDescent="0.3">
      <c r="A1501" s="15" t="str">
        <f t="shared" si="299"/>
        <v/>
      </c>
      <c r="B1501" s="25"/>
      <c r="C1501" s="26"/>
      <c r="D1501" s="279"/>
      <c r="E1501" s="27"/>
      <c r="F1501" s="28"/>
      <c r="G1501" s="27"/>
      <c r="H1501" s="28"/>
      <c r="I1501" s="28"/>
      <c r="J1501" s="255" t="str">
        <f>IF(H1501="","",(_xlfn.XLOOKUP(H1501,Cadastros!$D$6:$D$90,Cadastros!$E$6:$E$90))*(1-_xlfn.XLOOKUP(_xlfn.XLOOKUP($F1501,Clientes!$B$4:$B$39,Clientes!$C$4:$C$39),Cadastros!$L$6:$L$12,Cadastros!$N$6:$N$12)))</f>
        <v/>
      </c>
      <c r="K1501" s="168" t="str">
        <f t="shared" si="300"/>
        <v/>
      </c>
      <c r="L1501" s="168" t="str">
        <f>IFERROR(K1501/_xlfn.XLOOKUP(_xlfn.XLOOKUP($F1501,Clientes!$B$4:$B$39,Clientes!$C$4:$C$39),Cadastros!$L$6:$L$12,Cadastros!$M$6:$M$12)," ")</f>
        <v xml:space="preserve"> </v>
      </c>
      <c r="M1501" s="28"/>
      <c r="N1501" s="28"/>
      <c r="O1501" s="255" t="str">
        <f>IF(M1501="","",(_xlfn.XLOOKUP(M1501,Cadastros!$D$6:$D$90,Cadastros!$E$6:$E$90))*(1-_xlfn.XLOOKUP(_xlfn.XLOOKUP($F1501,Clientes!$B$4:$B$39,Clientes!$C$4:$C$39),Cadastros!$L$6:$L$12,Cadastros!$N$6:$N$12)))</f>
        <v/>
      </c>
      <c r="P1501" s="168" t="str">
        <f t="shared" si="301"/>
        <v/>
      </c>
      <c r="Q1501" s="168" t="str">
        <f>IFERROR(P1501/_xlfn.XLOOKUP(_xlfn.XLOOKUP($F1501,Clientes!$B$4:$B$39,Clientes!$C$4:$C$39),Cadastros!$L$6:$L$12,Cadastros!$M$6:$M$12)," ")</f>
        <v xml:space="preserve"> </v>
      </c>
      <c r="R1501" s="28"/>
      <c r="S1501" s="28"/>
      <c r="T1501" s="255" t="str">
        <f>IF(R1501="","",(_xlfn.XLOOKUP(R1501,Cadastros!$D$6:$D$90,Cadastros!$E$6:$E$90))*(1-_xlfn.XLOOKUP(_xlfn.XLOOKUP($F1501,Clientes!$B$4:$B$39,Clientes!$C$4:$C$39),Cadastros!$L$6:$L$12,Cadastros!$N$6:$N$12)))</f>
        <v/>
      </c>
      <c r="U1501" s="168" t="str">
        <f t="shared" si="302"/>
        <v/>
      </c>
      <c r="V1501" s="168" t="str">
        <f>IFERROR(U1501/_xlfn.XLOOKUP(_xlfn.XLOOKUP($F1501,Clientes!$B$4:$B$39,Clientes!$C$4:$C$39),Cadastros!$L$6:$L$12,Cadastros!$M$6:$M$12)," ")</f>
        <v xml:space="preserve"> </v>
      </c>
      <c r="W1501" s="28"/>
      <c r="X1501" s="28"/>
      <c r="Y1501" s="255" t="str">
        <f>IF(W1501="","",(_xlfn.XLOOKUP(W1501,Cadastros!$D$6:$D$90,Cadastros!$E$6:$E$90))*(1-_xlfn.XLOOKUP(_xlfn.XLOOKUP($F1501,Clientes!$B$4:$B$39,Clientes!$C$4:$C$39),Cadastros!$L$6:$L$12,Cadastros!$N$6:$N$12)))</f>
        <v/>
      </c>
      <c r="Z1501" s="168" t="str">
        <f t="shared" si="303"/>
        <v/>
      </c>
      <c r="AA1501" s="168" t="str">
        <f>IFERROR(Z1501/_xlfn.XLOOKUP(_xlfn.XLOOKUP($F1501,Clientes!$B$4:$B$39,Clientes!$C$4:$C$39),Cadastros!$L$6:$L$12,Cadastros!$M$6:$M$12)," ")</f>
        <v xml:space="preserve"> </v>
      </c>
      <c r="AB1501" s="28"/>
      <c r="AC1501" s="28"/>
      <c r="AD1501" s="20" t="str">
        <f>IF(AB1501="","",IF($F1501="Bernardino Furlan",_xlfn.XLOOKUP(AB1501,Cadastros!$G$6:$G$90,Cadastros!$H$6:$H$90)*(1-0.18),IF($F1501="Mauro José Salanti",_xlfn.XLOOKUP(AB1501,Cadastros!$G$6:$G$90,Cadastros!$H$6:$H$90)*(1-0.18),_xlfn.XLOOKUP(AB1501,Cadastros!$G$6:$G$90,Cadastros!$H$6:$H$90))))</f>
        <v/>
      </c>
      <c r="AE1501" s="168" t="str">
        <f t="shared" si="304"/>
        <v/>
      </c>
      <c r="AF1501" s="168" t="str">
        <f t="shared" si="305"/>
        <v/>
      </c>
      <c r="AG1501" s="28"/>
      <c r="AH1501" s="28"/>
      <c r="AI1501" s="20" t="str">
        <f>IF(AG1501="","",IF($F1501="Bernardino Furlan",_xlfn.XLOOKUP(AG1501,Cadastros!$G$6:$G$90,Cadastros!$H$6:$H$90)*(1-0.18),IF($F1501="Mauro José Salanti",_xlfn.XLOOKUP(AG1501,Cadastros!$G$6:$G$90,Cadastros!$H$6:$H$90)*(1-0.18),_xlfn.XLOOKUP(AG1501,Cadastros!$G$6:$G$90,Cadastros!$H$6:$H$90))))</f>
        <v/>
      </c>
      <c r="AJ1501" s="168" t="str">
        <f t="shared" si="306"/>
        <v/>
      </c>
      <c r="AK1501" s="168" t="str">
        <f t="shared" si="307"/>
        <v/>
      </c>
      <c r="AL1501" s="28"/>
      <c r="AM1501" s="28"/>
      <c r="AN1501" s="20" t="str">
        <f>IF(AL1501="","",IF($F1501="Bernardino Furlan",_xlfn.XLOOKUP(AL1501,Cadastros!$G$6:$G$90,Cadastros!$H$6:$H$90)*(1-0.18),IF($F1501="Mauro José Salanti",_xlfn.XLOOKUP(AL1501,Cadastros!$G$6:$G$90,Cadastros!$H$6:$H$90)*(1-0.18),_xlfn.XLOOKUP(AL1501,Cadastros!$G$6:$G$90,Cadastros!$H$6:$H$90))))</f>
        <v/>
      </c>
      <c r="AO1501" s="168" t="str">
        <f t="shared" si="308"/>
        <v/>
      </c>
      <c r="AP1501" s="168" t="str">
        <f t="shared" si="309"/>
        <v/>
      </c>
      <c r="AQ1501" s="28"/>
      <c r="AR1501" s="28"/>
      <c r="AS1501" s="20" t="str">
        <f>IF(AQ1501="","",IF($F1501="Bernardino Furlan",_xlfn.XLOOKUP(AQ1501,Cadastros!$G$6:$G$90,Cadastros!$H$6:$H$90)*(1-0.18),IF($F1501="Mauro José Salanti",_xlfn.XLOOKUP(AQ1501,Cadastros!$G$6:$G$90,Cadastros!$H$6:$H$90)*(1-0.18),_xlfn.XLOOKUP(AQ1501,Cadastros!$G$6:$G$90,Cadastros!$H$6:$H$90))))</f>
        <v/>
      </c>
      <c r="AT1501" s="168" t="str">
        <f t="shared" si="310"/>
        <v/>
      </c>
      <c r="AU1501" s="168" t="str">
        <f t="shared" si="311"/>
        <v/>
      </c>
      <c r="AV1501" s="227"/>
      <c r="AW1501" s="30"/>
      <c r="AX1501" s="267"/>
      <c r="AY1501" s="267"/>
      <c r="AZ1501" s="29"/>
      <c r="BA1501" s="30"/>
      <c r="BB1501" s="23" t="str" cm="1">
        <f t="array" ref="BB1501">_xlfn.IFS(AW1501="SIM",SUM(K1501,P1501,U1501,Z1501,AE1501,AJ1501,AO1501,AT1501,AX1501,AY1501),F1501&lt;&gt;"",SUM(K1501,P1501,U1501,Z1501,AE1501,AJ1501,,AO1501,AT1501),F1501="","")</f>
        <v/>
      </c>
      <c r="BC1501" s="211" t="str" cm="1">
        <f t="array" ref="BC1501">_xlfn.IFS(E1501="","",G1501&lt;=E1501,BB1501*(1-0.03),G1501&lt;(E1501+8),BB1501,AZ1501="Boleto",BB1501*(1+0.001)^DATEDIF(E1501,G1501,"D"),AZ1501="Cheque",BB1501,AZ1501="Dinheiro","Alterar forma pgto")</f>
        <v/>
      </c>
      <c r="BD1501" s="276" t="str" cm="1">
        <f t="array" ref="BD1501">IF(F1501=0," ",IF(BC1501&lt;BB1501,(_xlfn.IFS(AW1501="SIM",SUM(L1501,Q1501,V1501,AA1501,AF1501,AK1501,AP1501,AU1501)+AX1501/_xlfn.XLOOKUP(_xlfn.XLOOKUP($F1501,Clientes!$B$4:$B$39,Clientes!$C$4:$C$39),Cadastros!$L$6:$L$12,Cadastros!$M$6:$M$12)+IF($F1501="Bernardino Furlan",AY1501/2751.92,IF($F1501="Mauro José Salanti",AY1501/2751.92,AY1501/3356)),F1501&lt;&gt;0,SUM(L1501,Q1501,V1501,AA1501,AF1501,AK1501,AP1501,AU1501)))*(1-0.03),_xlfn.IFS(AW1501="SIM",SUM(L1501,Q1501,V1501,AA1501,AF1501,AK1501,AP1501,AU1501)+AX1501/_xlfn.XLOOKUP(_xlfn.XLOOKUP($F1501,Clientes!$B$4:$B$39,Clientes!$C$4:$C$39),Cadastros!$L$6:$L$12,Cadastros!$M$6:$M$12)+IF($F1501="Bernardino Furlan",AY1501/2751.92,IF($F1501="Mauro José Salanti",AY1501/2751.92,AY1501/3356)),F1501&lt;&gt;0,SUM(L1501,Q1501,V1501,AA1501,AF1501,AK1501,AP1501,AU1501))))</f>
        <v xml:space="preserve"> </v>
      </c>
      <c r="BE1501" s="120"/>
      <c r="BF1501" s="120"/>
      <c r="BG1501" s="120"/>
    </row>
    <row r="1502" spans="1:59" s="3" customFormat="1" x14ac:dyDescent="0.3">
      <c r="A1502" s="15" t="str">
        <f t="shared" si="299"/>
        <v/>
      </c>
      <c r="B1502" s="25"/>
      <c r="C1502" s="26"/>
      <c r="D1502" s="279"/>
      <c r="E1502" s="27"/>
      <c r="F1502" s="28"/>
      <c r="G1502" s="27"/>
      <c r="H1502" s="28"/>
      <c r="I1502" s="28"/>
      <c r="J1502" s="255" t="str">
        <f>IF(H1502="","",(_xlfn.XLOOKUP(H1502,Cadastros!$D$6:$D$90,Cadastros!$E$6:$E$90))*(1-_xlfn.XLOOKUP(_xlfn.XLOOKUP($F1502,Clientes!$B$4:$B$39,Clientes!$C$4:$C$39),Cadastros!$L$6:$L$12,Cadastros!$N$6:$N$12)))</f>
        <v/>
      </c>
      <c r="K1502" s="168" t="str">
        <f t="shared" si="300"/>
        <v/>
      </c>
      <c r="L1502" s="168" t="str">
        <f>IFERROR(K1502/_xlfn.XLOOKUP(_xlfn.XLOOKUP($F1502,Clientes!$B$4:$B$39,Clientes!$C$4:$C$39),Cadastros!$L$6:$L$12,Cadastros!$M$6:$M$12)," ")</f>
        <v xml:space="preserve"> </v>
      </c>
      <c r="M1502" s="28"/>
      <c r="N1502" s="28"/>
      <c r="O1502" s="255" t="str">
        <f>IF(M1502="","",(_xlfn.XLOOKUP(M1502,Cadastros!$D$6:$D$90,Cadastros!$E$6:$E$90))*(1-_xlfn.XLOOKUP(_xlfn.XLOOKUP($F1502,Clientes!$B$4:$B$39,Clientes!$C$4:$C$39),Cadastros!$L$6:$L$12,Cadastros!$N$6:$N$12)))</f>
        <v/>
      </c>
      <c r="P1502" s="168" t="str">
        <f t="shared" si="301"/>
        <v/>
      </c>
      <c r="Q1502" s="168" t="str">
        <f>IFERROR(P1502/_xlfn.XLOOKUP(_xlfn.XLOOKUP($F1502,Clientes!$B$4:$B$39,Clientes!$C$4:$C$39),Cadastros!$L$6:$L$12,Cadastros!$M$6:$M$12)," ")</f>
        <v xml:space="preserve"> </v>
      </c>
      <c r="R1502" s="28"/>
      <c r="S1502" s="28"/>
      <c r="T1502" s="255" t="str">
        <f>IF(R1502="","",(_xlfn.XLOOKUP(R1502,Cadastros!$D$6:$D$90,Cadastros!$E$6:$E$90))*(1-_xlfn.XLOOKUP(_xlfn.XLOOKUP($F1502,Clientes!$B$4:$B$39,Clientes!$C$4:$C$39),Cadastros!$L$6:$L$12,Cadastros!$N$6:$N$12)))</f>
        <v/>
      </c>
      <c r="U1502" s="168" t="str">
        <f t="shared" si="302"/>
        <v/>
      </c>
      <c r="V1502" s="168" t="str">
        <f>IFERROR(U1502/_xlfn.XLOOKUP(_xlfn.XLOOKUP($F1502,Clientes!$B$4:$B$39,Clientes!$C$4:$C$39),Cadastros!$L$6:$L$12,Cadastros!$M$6:$M$12)," ")</f>
        <v xml:space="preserve"> </v>
      </c>
      <c r="W1502" s="28"/>
      <c r="X1502" s="28"/>
      <c r="Y1502" s="255" t="str">
        <f>IF(W1502="","",(_xlfn.XLOOKUP(W1502,Cadastros!$D$6:$D$90,Cadastros!$E$6:$E$90))*(1-_xlfn.XLOOKUP(_xlfn.XLOOKUP($F1502,Clientes!$B$4:$B$39,Clientes!$C$4:$C$39),Cadastros!$L$6:$L$12,Cadastros!$N$6:$N$12)))</f>
        <v/>
      </c>
      <c r="Z1502" s="168" t="str">
        <f t="shared" si="303"/>
        <v/>
      </c>
      <c r="AA1502" s="168" t="str">
        <f>IFERROR(Z1502/_xlfn.XLOOKUP(_xlfn.XLOOKUP($F1502,Clientes!$B$4:$B$39,Clientes!$C$4:$C$39),Cadastros!$L$6:$L$12,Cadastros!$M$6:$M$12)," ")</f>
        <v xml:space="preserve"> </v>
      </c>
      <c r="AB1502" s="28"/>
      <c r="AC1502" s="28"/>
      <c r="AD1502" s="20" t="str">
        <f>IF(AB1502="","",IF($F1502="Bernardino Furlan",_xlfn.XLOOKUP(AB1502,Cadastros!$G$6:$G$90,Cadastros!$H$6:$H$90)*(1-0.18),IF($F1502="Mauro José Salanti",_xlfn.XLOOKUP(AB1502,Cadastros!$G$6:$G$90,Cadastros!$H$6:$H$90)*(1-0.18),_xlfn.XLOOKUP(AB1502,Cadastros!$G$6:$G$90,Cadastros!$H$6:$H$90))))</f>
        <v/>
      </c>
      <c r="AE1502" s="168" t="str">
        <f t="shared" si="304"/>
        <v/>
      </c>
      <c r="AF1502" s="168" t="str">
        <f t="shared" si="305"/>
        <v/>
      </c>
      <c r="AG1502" s="28"/>
      <c r="AH1502" s="28"/>
      <c r="AI1502" s="20" t="str">
        <f>IF(AG1502="","",IF($F1502="Bernardino Furlan",_xlfn.XLOOKUP(AG1502,Cadastros!$G$6:$G$90,Cadastros!$H$6:$H$90)*(1-0.18),IF($F1502="Mauro José Salanti",_xlfn.XLOOKUP(AG1502,Cadastros!$G$6:$G$90,Cadastros!$H$6:$H$90)*(1-0.18),_xlfn.XLOOKUP(AG1502,Cadastros!$G$6:$G$90,Cadastros!$H$6:$H$90))))</f>
        <v/>
      </c>
      <c r="AJ1502" s="168" t="str">
        <f t="shared" si="306"/>
        <v/>
      </c>
      <c r="AK1502" s="168" t="str">
        <f t="shared" si="307"/>
        <v/>
      </c>
      <c r="AL1502" s="28"/>
      <c r="AM1502" s="28"/>
      <c r="AN1502" s="20" t="str">
        <f>IF(AL1502="","",IF($F1502="Bernardino Furlan",_xlfn.XLOOKUP(AL1502,Cadastros!$G$6:$G$90,Cadastros!$H$6:$H$90)*(1-0.18),IF($F1502="Mauro José Salanti",_xlfn.XLOOKUP(AL1502,Cadastros!$G$6:$G$90,Cadastros!$H$6:$H$90)*(1-0.18),_xlfn.XLOOKUP(AL1502,Cadastros!$G$6:$G$90,Cadastros!$H$6:$H$90))))</f>
        <v/>
      </c>
      <c r="AO1502" s="168" t="str">
        <f t="shared" si="308"/>
        <v/>
      </c>
      <c r="AP1502" s="168" t="str">
        <f t="shared" si="309"/>
        <v/>
      </c>
      <c r="AQ1502" s="28"/>
      <c r="AR1502" s="28"/>
      <c r="AS1502" s="20" t="str">
        <f>IF(AQ1502="","",IF($F1502="Bernardino Furlan",_xlfn.XLOOKUP(AQ1502,Cadastros!$G$6:$G$90,Cadastros!$H$6:$H$90)*(1-0.18),IF($F1502="Mauro José Salanti",_xlfn.XLOOKUP(AQ1502,Cadastros!$G$6:$G$90,Cadastros!$H$6:$H$90)*(1-0.18),_xlfn.XLOOKUP(AQ1502,Cadastros!$G$6:$G$90,Cadastros!$H$6:$H$90))))</f>
        <v/>
      </c>
      <c r="AT1502" s="168" t="str">
        <f t="shared" si="310"/>
        <v/>
      </c>
      <c r="AU1502" s="168" t="str">
        <f t="shared" si="311"/>
        <v/>
      </c>
      <c r="AV1502" s="227"/>
      <c r="AW1502" s="30"/>
      <c r="AX1502" s="267"/>
      <c r="AY1502" s="267"/>
      <c r="AZ1502" s="29"/>
      <c r="BA1502" s="30"/>
      <c r="BB1502" s="23" t="str" cm="1">
        <f t="array" ref="BB1502">_xlfn.IFS(AW1502="SIM",SUM(K1502,P1502,U1502,Z1502,AE1502,AJ1502,AO1502,AT1502,AX1502,AY1502),F1502&lt;&gt;"",SUM(K1502,P1502,U1502,Z1502,AE1502,AJ1502,,AO1502,AT1502),F1502="","")</f>
        <v/>
      </c>
      <c r="BC1502" s="211" t="str" cm="1">
        <f t="array" ref="BC1502">_xlfn.IFS(E1502="","",G1502&lt;=E1502,BB1502*(1-0.03),G1502&lt;(E1502+8),BB1502,AZ1502="Boleto",BB1502*(1+0.001)^DATEDIF(E1502,G1502,"D"),AZ1502="Cheque",BB1502,AZ1502="Dinheiro","Alterar forma pgto")</f>
        <v/>
      </c>
      <c r="BD1502" s="276" t="str" cm="1">
        <f t="array" ref="BD1502">IF(F1502=0," ",IF(BC1502&lt;BB1502,(_xlfn.IFS(AW1502="SIM",SUM(L1502,Q1502,V1502,AA1502,AF1502,AK1502,AP1502,AU1502)+AX1502/_xlfn.XLOOKUP(_xlfn.XLOOKUP($F1502,Clientes!$B$4:$B$39,Clientes!$C$4:$C$39),Cadastros!$L$6:$L$12,Cadastros!$M$6:$M$12)+IF($F1502="Bernardino Furlan",AY1502/2751.92,IF($F1502="Mauro José Salanti",AY1502/2751.92,AY1502/3356)),F1502&lt;&gt;0,SUM(L1502,Q1502,V1502,AA1502,AF1502,AK1502,AP1502,AU1502)))*(1-0.03),_xlfn.IFS(AW1502="SIM",SUM(L1502,Q1502,V1502,AA1502,AF1502,AK1502,AP1502,AU1502)+AX1502/_xlfn.XLOOKUP(_xlfn.XLOOKUP($F1502,Clientes!$B$4:$B$39,Clientes!$C$4:$C$39),Cadastros!$L$6:$L$12,Cadastros!$M$6:$M$12)+IF($F1502="Bernardino Furlan",AY1502/2751.92,IF($F1502="Mauro José Salanti",AY1502/2751.92,AY1502/3356)),F1502&lt;&gt;0,SUM(L1502,Q1502,V1502,AA1502,AF1502,AK1502,AP1502,AU1502))))</f>
        <v xml:space="preserve"> </v>
      </c>
      <c r="BE1502" s="120"/>
      <c r="BF1502" s="120"/>
      <c r="BG1502" s="120"/>
    </row>
    <row r="1503" spans="1:59" s="3" customFormat="1" x14ac:dyDescent="0.3">
      <c r="A1503" s="15" t="str">
        <f t="shared" si="299"/>
        <v/>
      </c>
      <c r="B1503" s="25"/>
      <c r="C1503" s="26"/>
      <c r="D1503" s="279"/>
      <c r="E1503" s="27"/>
      <c r="F1503" s="28"/>
      <c r="G1503" s="27"/>
      <c r="H1503" s="28"/>
      <c r="I1503" s="28"/>
      <c r="J1503" s="255" t="str">
        <f>IF(H1503="","",(_xlfn.XLOOKUP(H1503,Cadastros!$D$6:$D$90,Cadastros!$E$6:$E$90))*(1-_xlfn.XLOOKUP(_xlfn.XLOOKUP($F1503,Clientes!$B$4:$B$39,Clientes!$C$4:$C$39),Cadastros!$L$6:$L$12,Cadastros!$N$6:$N$12)))</f>
        <v/>
      </c>
      <c r="K1503" s="168" t="str">
        <f t="shared" si="300"/>
        <v/>
      </c>
      <c r="L1503" s="168" t="str">
        <f>IFERROR(K1503/_xlfn.XLOOKUP(_xlfn.XLOOKUP($F1503,Clientes!$B$4:$B$39,Clientes!$C$4:$C$39),Cadastros!$L$6:$L$12,Cadastros!$M$6:$M$12)," ")</f>
        <v xml:space="preserve"> </v>
      </c>
      <c r="M1503" s="28"/>
      <c r="N1503" s="28"/>
      <c r="O1503" s="255" t="str">
        <f>IF(M1503="","",(_xlfn.XLOOKUP(M1503,Cadastros!$D$6:$D$90,Cadastros!$E$6:$E$90))*(1-_xlfn.XLOOKUP(_xlfn.XLOOKUP($F1503,Clientes!$B$4:$B$39,Clientes!$C$4:$C$39),Cadastros!$L$6:$L$12,Cadastros!$N$6:$N$12)))</f>
        <v/>
      </c>
      <c r="P1503" s="168" t="str">
        <f t="shared" si="301"/>
        <v/>
      </c>
      <c r="Q1503" s="168" t="str">
        <f>IFERROR(P1503/_xlfn.XLOOKUP(_xlfn.XLOOKUP($F1503,Clientes!$B$4:$B$39,Clientes!$C$4:$C$39),Cadastros!$L$6:$L$12,Cadastros!$M$6:$M$12)," ")</f>
        <v xml:space="preserve"> </v>
      </c>
      <c r="R1503" s="28"/>
      <c r="S1503" s="28"/>
      <c r="T1503" s="255" t="str">
        <f>IF(R1503="","",(_xlfn.XLOOKUP(R1503,Cadastros!$D$6:$D$90,Cadastros!$E$6:$E$90))*(1-_xlfn.XLOOKUP(_xlfn.XLOOKUP($F1503,Clientes!$B$4:$B$39,Clientes!$C$4:$C$39),Cadastros!$L$6:$L$12,Cadastros!$N$6:$N$12)))</f>
        <v/>
      </c>
      <c r="U1503" s="168" t="str">
        <f t="shared" si="302"/>
        <v/>
      </c>
      <c r="V1503" s="168" t="str">
        <f>IFERROR(U1503/_xlfn.XLOOKUP(_xlfn.XLOOKUP($F1503,Clientes!$B$4:$B$39,Clientes!$C$4:$C$39),Cadastros!$L$6:$L$12,Cadastros!$M$6:$M$12)," ")</f>
        <v xml:space="preserve"> </v>
      </c>
      <c r="W1503" s="28"/>
      <c r="X1503" s="28"/>
      <c r="Y1503" s="255" t="str">
        <f>IF(W1503="","",(_xlfn.XLOOKUP(W1503,Cadastros!$D$6:$D$90,Cadastros!$E$6:$E$90))*(1-_xlfn.XLOOKUP(_xlfn.XLOOKUP($F1503,Clientes!$B$4:$B$39,Clientes!$C$4:$C$39),Cadastros!$L$6:$L$12,Cadastros!$N$6:$N$12)))</f>
        <v/>
      </c>
      <c r="Z1503" s="168" t="str">
        <f t="shared" si="303"/>
        <v/>
      </c>
      <c r="AA1503" s="168" t="str">
        <f>IFERROR(Z1503/_xlfn.XLOOKUP(_xlfn.XLOOKUP($F1503,Clientes!$B$4:$B$39,Clientes!$C$4:$C$39),Cadastros!$L$6:$L$12,Cadastros!$M$6:$M$12)," ")</f>
        <v xml:space="preserve"> </v>
      </c>
      <c r="AB1503" s="28"/>
      <c r="AC1503" s="28"/>
      <c r="AD1503" s="20" t="str">
        <f>IF(AB1503="","",IF($F1503="Bernardino Furlan",_xlfn.XLOOKUP(AB1503,Cadastros!$G$6:$G$90,Cadastros!$H$6:$H$90)*(1-0.18),IF($F1503="Mauro José Salanti",_xlfn.XLOOKUP(AB1503,Cadastros!$G$6:$G$90,Cadastros!$H$6:$H$90)*(1-0.18),_xlfn.XLOOKUP(AB1503,Cadastros!$G$6:$G$90,Cadastros!$H$6:$H$90))))</f>
        <v/>
      </c>
      <c r="AE1503" s="168" t="str">
        <f t="shared" si="304"/>
        <v/>
      </c>
      <c r="AF1503" s="168" t="str">
        <f t="shared" si="305"/>
        <v/>
      </c>
      <c r="AG1503" s="28"/>
      <c r="AH1503" s="28"/>
      <c r="AI1503" s="20" t="str">
        <f>IF(AG1503="","",IF($F1503="Bernardino Furlan",_xlfn.XLOOKUP(AG1503,Cadastros!$G$6:$G$90,Cadastros!$H$6:$H$90)*(1-0.18),IF($F1503="Mauro José Salanti",_xlfn.XLOOKUP(AG1503,Cadastros!$G$6:$G$90,Cadastros!$H$6:$H$90)*(1-0.18),_xlfn.XLOOKUP(AG1503,Cadastros!$G$6:$G$90,Cadastros!$H$6:$H$90))))</f>
        <v/>
      </c>
      <c r="AJ1503" s="168" t="str">
        <f t="shared" si="306"/>
        <v/>
      </c>
      <c r="AK1503" s="168" t="str">
        <f t="shared" si="307"/>
        <v/>
      </c>
      <c r="AL1503" s="28"/>
      <c r="AM1503" s="28"/>
      <c r="AN1503" s="20" t="str">
        <f>IF(AL1503="","",IF($F1503="Bernardino Furlan",_xlfn.XLOOKUP(AL1503,Cadastros!$G$6:$G$90,Cadastros!$H$6:$H$90)*(1-0.18),IF($F1503="Mauro José Salanti",_xlfn.XLOOKUP(AL1503,Cadastros!$G$6:$G$90,Cadastros!$H$6:$H$90)*(1-0.18),_xlfn.XLOOKUP(AL1503,Cadastros!$G$6:$G$90,Cadastros!$H$6:$H$90))))</f>
        <v/>
      </c>
      <c r="AO1503" s="168" t="str">
        <f t="shared" si="308"/>
        <v/>
      </c>
      <c r="AP1503" s="168" t="str">
        <f t="shared" si="309"/>
        <v/>
      </c>
      <c r="AQ1503" s="28"/>
      <c r="AR1503" s="28"/>
      <c r="AS1503" s="20" t="str">
        <f>IF(AQ1503="","",IF($F1503="Bernardino Furlan",_xlfn.XLOOKUP(AQ1503,Cadastros!$G$6:$G$90,Cadastros!$H$6:$H$90)*(1-0.18),IF($F1503="Mauro José Salanti",_xlfn.XLOOKUP(AQ1503,Cadastros!$G$6:$G$90,Cadastros!$H$6:$H$90)*(1-0.18),_xlfn.XLOOKUP(AQ1503,Cadastros!$G$6:$G$90,Cadastros!$H$6:$H$90))))</f>
        <v/>
      </c>
      <c r="AT1503" s="168" t="str">
        <f t="shared" si="310"/>
        <v/>
      </c>
      <c r="AU1503" s="168" t="str">
        <f t="shared" si="311"/>
        <v/>
      </c>
      <c r="AV1503" s="227"/>
      <c r="AW1503" s="30"/>
      <c r="AX1503" s="267"/>
      <c r="AY1503" s="267"/>
      <c r="AZ1503" s="29"/>
      <c r="BA1503" s="30"/>
      <c r="BB1503" s="23" t="str" cm="1">
        <f t="array" ref="BB1503">_xlfn.IFS(AW1503="SIM",SUM(K1503,P1503,U1503,Z1503,AE1503,AJ1503,AO1503,AT1503,AX1503,AY1503),F1503&lt;&gt;"",SUM(K1503,P1503,U1503,Z1503,AE1503,AJ1503,,AO1503,AT1503),F1503="","")</f>
        <v/>
      </c>
      <c r="BC1503" s="211" t="str" cm="1">
        <f t="array" ref="BC1503">_xlfn.IFS(E1503="","",G1503&lt;=E1503,BB1503*(1-0.03),G1503&lt;(E1503+8),BB1503,AZ1503="Boleto",BB1503*(1+0.001)^DATEDIF(E1503,G1503,"D"),AZ1503="Cheque",BB1503,AZ1503="Dinheiro","Alterar forma pgto")</f>
        <v/>
      </c>
      <c r="BD1503" s="276" t="str" cm="1">
        <f t="array" ref="BD1503">IF(F1503=0," ",IF(BC1503&lt;BB1503,(_xlfn.IFS(AW1503="SIM",SUM(L1503,Q1503,V1503,AA1503,AF1503,AK1503,AP1503,AU1503)+AX1503/_xlfn.XLOOKUP(_xlfn.XLOOKUP($F1503,Clientes!$B$4:$B$39,Clientes!$C$4:$C$39),Cadastros!$L$6:$L$12,Cadastros!$M$6:$M$12)+IF($F1503="Bernardino Furlan",AY1503/2751.92,IF($F1503="Mauro José Salanti",AY1503/2751.92,AY1503/3356)),F1503&lt;&gt;0,SUM(L1503,Q1503,V1503,AA1503,AF1503,AK1503,AP1503,AU1503)))*(1-0.03),_xlfn.IFS(AW1503="SIM",SUM(L1503,Q1503,V1503,AA1503,AF1503,AK1503,AP1503,AU1503)+AX1503/_xlfn.XLOOKUP(_xlfn.XLOOKUP($F1503,Clientes!$B$4:$B$39,Clientes!$C$4:$C$39),Cadastros!$L$6:$L$12,Cadastros!$M$6:$M$12)+IF($F1503="Bernardino Furlan",AY1503/2751.92,IF($F1503="Mauro José Salanti",AY1503/2751.92,AY1503/3356)),F1503&lt;&gt;0,SUM(L1503,Q1503,V1503,AA1503,AF1503,AK1503,AP1503,AU1503))))</f>
        <v xml:space="preserve"> </v>
      </c>
      <c r="BE1503" s="120"/>
      <c r="BF1503" s="120"/>
      <c r="BG1503" s="120"/>
    </row>
    <row r="1504" spans="1:59" s="3" customFormat="1" x14ac:dyDescent="0.3">
      <c r="A1504" s="15" t="str">
        <f t="shared" si="299"/>
        <v/>
      </c>
      <c r="B1504" s="25"/>
      <c r="C1504" s="26"/>
      <c r="D1504" s="279"/>
      <c r="E1504" s="27"/>
      <c r="F1504" s="28"/>
      <c r="G1504" s="27"/>
      <c r="H1504" s="28"/>
      <c r="I1504" s="28"/>
      <c r="J1504" s="255" t="str">
        <f>IF(H1504="","",(_xlfn.XLOOKUP(H1504,Cadastros!$D$6:$D$90,Cadastros!$E$6:$E$90))*(1-_xlfn.XLOOKUP(_xlfn.XLOOKUP($F1504,Clientes!$B$4:$B$39,Clientes!$C$4:$C$39),Cadastros!$L$6:$L$12,Cadastros!$N$6:$N$12)))</f>
        <v/>
      </c>
      <c r="K1504" s="168" t="str">
        <f t="shared" si="300"/>
        <v/>
      </c>
      <c r="L1504" s="168" t="str">
        <f>IFERROR(K1504/_xlfn.XLOOKUP(_xlfn.XLOOKUP($F1504,Clientes!$B$4:$B$39,Clientes!$C$4:$C$39),Cadastros!$L$6:$L$12,Cadastros!$M$6:$M$12)," ")</f>
        <v xml:space="preserve"> </v>
      </c>
      <c r="M1504" s="28"/>
      <c r="N1504" s="28"/>
      <c r="O1504" s="255" t="str">
        <f>IF(M1504="","",(_xlfn.XLOOKUP(M1504,Cadastros!$D$6:$D$90,Cadastros!$E$6:$E$90))*(1-_xlfn.XLOOKUP(_xlfn.XLOOKUP($F1504,Clientes!$B$4:$B$39,Clientes!$C$4:$C$39),Cadastros!$L$6:$L$12,Cadastros!$N$6:$N$12)))</f>
        <v/>
      </c>
      <c r="P1504" s="168" t="str">
        <f t="shared" si="301"/>
        <v/>
      </c>
      <c r="Q1504" s="168" t="str">
        <f>IFERROR(P1504/_xlfn.XLOOKUP(_xlfn.XLOOKUP($F1504,Clientes!$B$4:$B$39,Clientes!$C$4:$C$39),Cadastros!$L$6:$L$12,Cadastros!$M$6:$M$12)," ")</f>
        <v xml:space="preserve"> </v>
      </c>
      <c r="R1504" s="28"/>
      <c r="S1504" s="28"/>
      <c r="T1504" s="255" t="str">
        <f>IF(R1504="","",(_xlfn.XLOOKUP(R1504,Cadastros!$D$6:$D$90,Cadastros!$E$6:$E$90))*(1-_xlfn.XLOOKUP(_xlfn.XLOOKUP($F1504,Clientes!$B$4:$B$39,Clientes!$C$4:$C$39),Cadastros!$L$6:$L$12,Cadastros!$N$6:$N$12)))</f>
        <v/>
      </c>
      <c r="U1504" s="168" t="str">
        <f t="shared" si="302"/>
        <v/>
      </c>
      <c r="V1504" s="168" t="str">
        <f>IFERROR(U1504/_xlfn.XLOOKUP(_xlfn.XLOOKUP($F1504,Clientes!$B$4:$B$39,Clientes!$C$4:$C$39),Cadastros!$L$6:$L$12,Cadastros!$M$6:$M$12)," ")</f>
        <v xml:space="preserve"> </v>
      </c>
      <c r="W1504" s="28"/>
      <c r="X1504" s="28"/>
      <c r="Y1504" s="255" t="str">
        <f>IF(W1504="","",(_xlfn.XLOOKUP(W1504,Cadastros!$D$6:$D$90,Cadastros!$E$6:$E$90))*(1-_xlfn.XLOOKUP(_xlfn.XLOOKUP($F1504,Clientes!$B$4:$B$39,Clientes!$C$4:$C$39),Cadastros!$L$6:$L$12,Cadastros!$N$6:$N$12)))</f>
        <v/>
      </c>
      <c r="Z1504" s="168" t="str">
        <f t="shared" si="303"/>
        <v/>
      </c>
      <c r="AA1504" s="168" t="str">
        <f>IFERROR(Z1504/_xlfn.XLOOKUP(_xlfn.XLOOKUP($F1504,Clientes!$B$4:$B$39,Clientes!$C$4:$C$39),Cadastros!$L$6:$L$12,Cadastros!$M$6:$M$12)," ")</f>
        <v xml:space="preserve"> </v>
      </c>
      <c r="AB1504" s="28"/>
      <c r="AC1504" s="28"/>
      <c r="AD1504" s="20" t="str">
        <f>IF(AB1504="","",IF($F1504="Bernardino Furlan",_xlfn.XLOOKUP(AB1504,Cadastros!$G$6:$G$90,Cadastros!$H$6:$H$90)*(1-0.18),IF($F1504="Mauro José Salanti",_xlfn.XLOOKUP(AB1504,Cadastros!$G$6:$G$90,Cadastros!$H$6:$H$90)*(1-0.18),_xlfn.XLOOKUP(AB1504,Cadastros!$G$6:$G$90,Cadastros!$H$6:$H$90))))</f>
        <v/>
      </c>
      <c r="AE1504" s="168" t="str">
        <f t="shared" si="304"/>
        <v/>
      </c>
      <c r="AF1504" s="168" t="str">
        <f t="shared" si="305"/>
        <v/>
      </c>
      <c r="AG1504" s="28"/>
      <c r="AH1504" s="28"/>
      <c r="AI1504" s="20" t="str">
        <f>IF(AG1504="","",IF($F1504="Bernardino Furlan",_xlfn.XLOOKUP(AG1504,Cadastros!$G$6:$G$90,Cadastros!$H$6:$H$90)*(1-0.18),IF($F1504="Mauro José Salanti",_xlfn.XLOOKUP(AG1504,Cadastros!$G$6:$G$90,Cadastros!$H$6:$H$90)*(1-0.18),_xlfn.XLOOKUP(AG1504,Cadastros!$G$6:$G$90,Cadastros!$H$6:$H$90))))</f>
        <v/>
      </c>
      <c r="AJ1504" s="168" t="str">
        <f t="shared" si="306"/>
        <v/>
      </c>
      <c r="AK1504" s="168" t="str">
        <f t="shared" si="307"/>
        <v/>
      </c>
      <c r="AL1504" s="28"/>
      <c r="AM1504" s="28"/>
      <c r="AN1504" s="20" t="str">
        <f>IF(AL1504="","",IF($F1504="Bernardino Furlan",_xlfn.XLOOKUP(AL1504,Cadastros!$G$6:$G$90,Cadastros!$H$6:$H$90)*(1-0.18),IF($F1504="Mauro José Salanti",_xlfn.XLOOKUP(AL1504,Cadastros!$G$6:$G$90,Cadastros!$H$6:$H$90)*(1-0.18),_xlfn.XLOOKUP(AL1504,Cadastros!$G$6:$G$90,Cadastros!$H$6:$H$90))))</f>
        <v/>
      </c>
      <c r="AO1504" s="168" t="str">
        <f t="shared" si="308"/>
        <v/>
      </c>
      <c r="AP1504" s="168" t="str">
        <f t="shared" si="309"/>
        <v/>
      </c>
      <c r="AQ1504" s="28"/>
      <c r="AR1504" s="28"/>
      <c r="AS1504" s="20" t="str">
        <f>IF(AQ1504="","",IF($F1504="Bernardino Furlan",_xlfn.XLOOKUP(AQ1504,Cadastros!$G$6:$G$90,Cadastros!$H$6:$H$90)*(1-0.18),IF($F1504="Mauro José Salanti",_xlfn.XLOOKUP(AQ1504,Cadastros!$G$6:$G$90,Cadastros!$H$6:$H$90)*(1-0.18),_xlfn.XLOOKUP(AQ1504,Cadastros!$G$6:$G$90,Cadastros!$H$6:$H$90))))</f>
        <v/>
      </c>
      <c r="AT1504" s="168" t="str">
        <f t="shared" si="310"/>
        <v/>
      </c>
      <c r="AU1504" s="168" t="str">
        <f t="shared" si="311"/>
        <v/>
      </c>
      <c r="AV1504" s="227"/>
      <c r="AW1504" s="30"/>
      <c r="AX1504" s="267"/>
      <c r="AY1504" s="267"/>
      <c r="AZ1504" s="29"/>
      <c r="BA1504" s="30"/>
      <c r="BB1504" s="23" t="str" cm="1">
        <f t="array" ref="BB1504">_xlfn.IFS(AW1504="SIM",SUM(K1504,P1504,U1504,Z1504,AE1504,AJ1504,AO1504,AT1504,AX1504,AY1504),F1504&lt;&gt;"",SUM(K1504,P1504,U1504,Z1504,AE1504,AJ1504,,AO1504,AT1504),F1504="","")</f>
        <v/>
      </c>
      <c r="BC1504" s="211" t="str" cm="1">
        <f t="array" ref="BC1504">_xlfn.IFS(E1504="","",G1504&lt;=E1504,BB1504*(1-0.03),G1504&lt;(E1504+8),BB1504,AZ1504="Boleto",BB1504*(1+0.001)^DATEDIF(E1504,G1504,"D"),AZ1504="Cheque",BB1504,AZ1504="Dinheiro","Alterar forma pgto")</f>
        <v/>
      </c>
      <c r="BD1504" s="276" t="str" cm="1">
        <f t="array" ref="BD1504">IF(F1504=0," ",IF(BC1504&lt;BB1504,(_xlfn.IFS(AW1504="SIM",SUM(L1504,Q1504,V1504,AA1504,AF1504,AK1504,AP1504,AU1504)+AX1504/_xlfn.XLOOKUP(_xlfn.XLOOKUP($F1504,Clientes!$B$4:$B$39,Clientes!$C$4:$C$39),Cadastros!$L$6:$L$12,Cadastros!$M$6:$M$12)+IF($F1504="Bernardino Furlan",AY1504/2751.92,IF($F1504="Mauro José Salanti",AY1504/2751.92,AY1504/3356)),F1504&lt;&gt;0,SUM(L1504,Q1504,V1504,AA1504,AF1504,AK1504,AP1504,AU1504)))*(1-0.03),_xlfn.IFS(AW1504="SIM",SUM(L1504,Q1504,V1504,AA1504,AF1504,AK1504,AP1504,AU1504)+AX1504/_xlfn.XLOOKUP(_xlfn.XLOOKUP($F1504,Clientes!$B$4:$B$39,Clientes!$C$4:$C$39),Cadastros!$L$6:$L$12,Cadastros!$M$6:$M$12)+IF($F1504="Bernardino Furlan",AY1504/2751.92,IF($F1504="Mauro José Salanti",AY1504/2751.92,AY1504/3356)),F1504&lt;&gt;0,SUM(L1504,Q1504,V1504,AA1504,AF1504,AK1504,AP1504,AU1504))))</f>
        <v xml:space="preserve"> </v>
      </c>
      <c r="BE1504" s="120"/>
      <c r="BF1504" s="120"/>
      <c r="BG1504" s="120"/>
    </row>
    <row r="1505" spans="1:59" s="3" customFormat="1" x14ac:dyDescent="0.3">
      <c r="A1505" s="15" t="str">
        <f t="shared" si="299"/>
        <v/>
      </c>
      <c r="B1505" s="25"/>
      <c r="C1505" s="26"/>
      <c r="D1505" s="279"/>
      <c r="E1505" s="27"/>
      <c r="F1505" s="28"/>
      <c r="G1505" s="27"/>
      <c r="H1505" s="28"/>
      <c r="I1505" s="28"/>
      <c r="J1505" s="255" t="str">
        <f>IF(H1505="","",(_xlfn.XLOOKUP(H1505,Cadastros!$D$6:$D$90,Cadastros!$E$6:$E$90))*(1-_xlfn.XLOOKUP(_xlfn.XLOOKUP($F1505,Clientes!$B$4:$B$39,Clientes!$C$4:$C$39),Cadastros!$L$6:$L$12,Cadastros!$N$6:$N$12)))</f>
        <v/>
      </c>
      <c r="K1505" s="168" t="str">
        <f t="shared" si="300"/>
        <v/>
      </c>
      <c r="L1505" s="168" t="str">
        <f>IFERROR(K1505/_xlfn.XLOOKUP(_xlfn.XLOOKUP($F1505,Clientes!$B$4:$B$39,Clientes!$C$4:$C$39),Cadastros!$L$6:$L$12,Cadastros!$M$6:$M$12)," ")</f>
        <v xml:space="preserve"> </v>
      </c>
      <c r="M1505" s="28"/>
      <c r="N1505" s="28"/>
      <c r="O1505" s="255" t="str">
        <f>IF(M1505="","",(_xlfn.XLOOKUP(M1505,Cadastros!$D$6:$D$90,Cadastros!$E$6:$E$90))*(1-_xlfn.XLOOKUP(_xlfn.XLOOKUP($F1505,Clientes!$B$4:$B$39,Clientes!$C$4:$C$39),Cadastros!$L$6:$L$12,Cadastros!$N$6:$N$12)))</f>
        <v/>
      </c>
      <c r="P1505" s="168" t="str">
        <f t="shared" si="301"/>
        <v/>
      </c>
      <c r="Q1505" s="168" t="str">
        <f>IFERROR(P1505/_xlfn.XLOOKUP(_xlfn.XLOOKUP($F1505,Clientes!$B$4:$B$39,Clientes!$C$4:$C$39),Cadastros!$L$6:$L$12,Cadastros!$M$6:$M$12)," ")</f>
        <v xml:space="preserve"> </v>
      </c>
      <c r="R1505" s="28"/>
      <c r="S1505" s="28"/>
      <c r="T1505" s="255" t="str">
        <f>IF(R1505="","",(_xlfn.XLOOKUP(R1505,Cadastros!$D$6:$D$90,Cadastros!$E$6:$E$90))*(1-_xlfn.XLOOKUP(_xlfn.XLOOKUP($F1505,Clientes!$B$4:$B$39,Clientes!$C$4:$C$39),Cadastros!$L$6:$L$12,Cadastros!$N$6:$N$12)))</f>
        <v/>
      </c>
      <c r="U1505" s="168" t="str">
        <f t="shared" si="302"/>
        <v/>
      </c>
      <c r="V1505" s="168" t="str">
        <f>IFERROR(U1505/_xlfn.XLOOKUP(_xlfn.XLOOKUP($F1505,Clientes!$B$4:$B$39,Clientes!$C$4:$C$39),Cadastros!$L$6:$L$12,Cadastros!$M$6:$M$12)," ")</f>
        <v xml:space="preserve"> </v>
      </c>
      <c r="W1505" s="28"/>
      <c r="X1505" s="28"/>
      <c r="Y1505" s="255" t="str">
        <f>IF(W1505="","",(_xlfn.XLOOKUP(W1505,Cadastros!$D$6:$D$90,Cadastros!$E$6:$E$90))*(1-_xlfn.XLOOKUP(_xlfn.XLOOKUP($F1505,Clientes!$B$4:$B$39,Clientes!$C$4:$C$39),Cadastros!$L$6:$L$12,Cadastros!$N$6:$N$12)))</f>
        <v/>
      </c>
      <c r="Z1505" s="168" t="str">
        <f t="shared" si="303"/>
        <v/>
      </c>
      <c r="AA1505" s="168" t="str">
        <f>IFERROR(Z1505/_xlfn.XLOOKUP(_xlfn.XLOOKUP($F1505,Clientes!$B$4:$B$39,Clientes!$C$4:$C$39),Cadastros!$L$6:$L$12,Cadastros!$M$6:$M$12)," ")</f>
        <v xml:space="preserve"> </v>
      </c>
      <c r="AB1505" s="28"/>
      <c r="AC1505" s="28"/>
      <c r="AD1505" s="20" t="str">
        <f>IF(AB1505="","",IF($F1505="Bernardino Furlan",_xlfn.XLOOKUP(AB1505,Cadastros!$G$6:$G$90,Cadastros!$H$6:$H$90)*(1-0.18),IF($F1505="Mauro José Salanti",_xlfn.XLOOKUP(AB1505,Cadastros!$G$6:$G$90,Cadastros!$H$6:$H$90)*(1-0.18),_xlfn.XLOOKUP(AB1505,Cadastros!$G$6:$G$90,Cadastros!$H$6:$H$90))))</f>
        <v/>
      </c>
      <c r="AE1505" s="168" t="str">
        <f t="shared" si="304"/>
        <v/>
      </c>
      <c r="AF1505" s="168" t="str">
        <f t="shared" si="305"/>
        <v/>
      </c>
      <c r="AG1505" s="28"/>
      <c r="AH1505" s="28"/>
      <c r="AI1505" s="20" t="str">
        <f>IF(AG1505="","",IF($F1505="Bernardino Furlan",_xlfn.XLOOKUP(AG1505,Cadastros!$G$6:$G$90,Cadastros!$H$6:$H$90)*(1-0.18),IF($F1505="Mauro José Salanti",_xlfn.XLOOKUP(AG1505,Cadastros!$G$6:$G$90,Cadastros!$H$6:$H$90)*(1-0.18),_xlfn.XLOOKUP(AG1505,Cadastros!$G$6:$G$90,Cadastros!$H$6:$H$90))))</f>
        <v/>
      </c>
      <c r="AJ1505" s="168" t="str">
        <f t="shared" si="306"/>
        <v/>
      </c>
      <c r="AK1505" s="168" t="str">
        <f t="shared" si="307"/>
        <v/>
      </c>
      <c r="AL1505" s="28"/>
      <c r="AM1505" s="28"/>
      <c r="AN1505" s="20" t="str">
        <f>IF(AL1505="","",IF($F1505="Bernardino Furlan",_xlfn.XLOOKUP(AL1505,Cadastros!$G$6:$G$90,Cadastros!$H$6:$H$90)*(1-0.18),IF($F1505="Mauro José Salanti",_xlfn.XLOOKUP(AL1505,Cadastros!$G$6:$G$90,Cadastros!$H$6:$H$90)*(1-0.18),_xlfn.XLOOKUP(AL1505,Cadastros!$G$6:$G$90,Cadastros!$H$6:$H$90))))</f>
        <v/>
      </c>
      <c r="AO1505" s="168" t="str">
        <f t="shared" si="308"/>
        <v/>
      </c>
      <c r="AP1505" s="168" t="str">
        <f t="shared" si="309"/>
        <v/>
      </c>
      <c r="AQ1505" s="28"/>
      <c r="AR1505" s="28"/>
      <c r="AS1505" s="20" t="str">
        <f>IF(AQ1505="","",IF($F1505="Bernardino Furlan",_xlfn.XLOOKUP(AQ1505,Cadastros!$G$6:$G$90,Cadastros!$H$6:$H$90)*(1-0.18),IF($F1505="Mauro José Salanti",_xlfn.XLOOKUP(AQ1505,Cadastros!$G$6:$G$90,Cadastros!$H$6:$H$90)*(1-0.18),_xlfn.XLOOKUP(AQ1505,Cadastros!$G$6:$G$90,Cadastros!$H$6:$H$90))))</f>
        <v/>
      </c>
      <c r="AT1505" s="168" t="str">
        <f t="shared" si="310"/>
        <v/>
      </c>
      <c r="AU1505" s="168" t="str">
        <f t="shared" si="311"/>
        <v/>
      </c>
      <c r="AV1505" s="227"/>
      <c r="AW1505" s="30"/>
      <c r="AX1505" s="267"/>
      <c r="AY1505" s="267"/>
      <c r="AZ1505" s="29"/>
      <c r="BA1505" s="30"/>
      <c r="BB1505" s="23" t="str" cm="1">
        <f t="array" ref="BB1505">_xlfn.IFS(AW1505="SIM",SUM(K1505,P1505,U1505,Z1505,AE1505,AJ1505,AO1505,AT1505,AX1505,AY1505),F1505&lt;&gt;"",SUM(K1505,P1505,U1505,Z1505,AE1505,AJ1505,,AO1505,AT1505),F1505="","")</f>
        <v/>
      </c>
      <c r="BC1505" s="211" t="str" cm="1">
        <f t="array" ref="BC1505">_xlfn.IFS(E1505="","",G1505&lt;=E1505,BB1505*(1-0.03),G1505&lt;(E1505+8),BB1505,AZ1505="Boleto",BB1505*(1+0.001)^DATEDIF(E1505,G1505,"D"),AZ1505="Cheque",BB1505,AZ1505="Dinheiro","Alterar forma pgto")</f>
        <v/>
      </c>
      <c r="BD1505" s="276" t="str" cm="1">
        <f t="array" ref="BD1505">IF(F1505=0," ",IF(BC1505&lt;BB1505,(_xlfn.IFS(AW1505="SIM",SUM(L1505,Q1505,V1505,AA1505,AF1505,AK1505,AP1505,AU1505)+AX1505/_xlfn.XLOOKUP(_xlfn.XLOOKUP($F1505,Clientes!$B$4:$B$39,Clientes!$C$4:$C$39),Cadastros!$L$6:$L$12,Cadastros!$M$6:$M$12)+IF($F1505="Bernardino Furlan",AY1505/2751.92,IF($F1505="Mauro José Salanti",AY1505/2751.92,AY1505/3356)),F1505&lt;&gt;0,SUM(L1505,Q1505,V1505,AA1505,AF1505,AK1505,AP1505,AU1505)))*(1-0.03),_xlfn.IFS(AW1505="SIM",SUM(L1505,Q1505,V1505,AA1505,AF1505,AK1505,AP1505,AU1505)+AX1505/_xlfn.XLOOKUP(_xlfn.XLOOKUP($F1505,Clientes!$B$4:$B$39,Clientes!$C$4:$C$39),Cadastros!$L$6:$L$12,Cadastros!$M$6:$M$12)+IF($F1505="Bernardino Furlan",AY1505/2751.92,IF($F1505="Mauro José Salanti",AY1505/2751.92,AY1505/3356)),F1505&lt;&gt;0,SUM(L1505,Q1505,V1505,AA1505,AF1505,AK1505,AP1505,AU1505))))</f>
        <v xml:space="preserve"> </v>
      </c>
      <c r="BE1505" s="120"/>
      <c r="BF1505" s="120"/>
      <c r="BG1505" s="120"/>
    </row>
    <row r="1506" spans="1:59" s="3" customFormat="1" x14ac:dyDescent="0.3">
      <c r="A1506" s="15" t="str">
        <f t="shared" si="299"/>
        <v/>
      </c>
      <c r="B1506" s="25"/>
      <c r="C1506" s="26"/>
      <c r="D1506" s="279"/>
      <c r="E1506" s="27"/>
      <c r="F1506" s="28"/>
      <c r="G1506" s="27"/>
      <c r="H1506" s="28"/>
      <c r="I1506" s="28"/>
      <c r="J1506" s="255" t="str">
        <f>IF(H1506="","",(_xlfn.XLOOKUP(H1506,Cadastros!$D$6:$D$90,Cadastros!$E$6:$E$90))*(1-_xlfn.XLOOKUP(_xlfn.XLOOKUP($F1506,Clientes!$B$4:$B$39,Clientes!$C$4:$C$39),Cadastros!$L$6:$L$12,Cadastros!$N$6:$N$12)))</f>
        <v/>
      </c>
      <c r="K1506" s="168" t="str">
        <f t="shared" si="300"/>
        <v/>
      </c>
      <c r="L1506" s="168" t="str">
        <f>IFERROR(K1506/_xlfn.XLOOKUP(_xlfn.XLOOKUP($F1506,Clientes!$B$4:$B$39,Clientes!$C$4:$C$39),Cadastros!$L$6:$L$12,Cadastros!$M$6:$M$12)," ")</f>
        <v xml:space="preserve"> </v>
      </c>
      <c r="M1506" s="28"/>
      <c r="N1506" s="28"/>
      <c r="O1506" s="255" t="str">
        <f>IF(M1506="","",(_xlfn.XLOOKUP(M1506,Cadastros!$D$6:$D$90,Cadastros!$E$6:$E$90))*(1-_xlfn.XLOOKUP(_xlfn.XLOOKUP($F1506,Clientes!$B$4:$B$39,Clientes!$C$4:$C$39),Cadastros!$L$6:$L$12,Cadastros!$N$6:$N$12)))</f>
        <v/>
      </c>
      <c r="P1506" s="168" t="str">
        <f t="shared" si="301"/>
        <v/>
      </c>
      <c r="Q1506" s="168" t="str">
        <f>IFERROR(P1506/_xlfn.XLOOKUP(_xlfn.XLOOKUP($F1506,Clientes!$B$4:$B$39,Clientes!$C$4:$C$39),Cadastros!$L$6:$L$12,Cadastros!$M$6:$M$12)," ")</f>
        <v xml:space="preserve"> </v>
      </c>
      <c r="R1506" s="28"/>
      <c r="S1506" s="28"/>
      <c r="T1506" s="255" t="str">
        <f>IF(R1506="","",(_xlfn.XLOOKUP(R1506,Cadastros!$D$6:$D$90,Cadastros!$E$6:$E$90))*(1-_xlfn.XLOOKUP(_xlfn.XLOOKUP($F1506,Clientes!$B$4:$B$39,Clientes!$C$4:$C$39),Cadastros!$L$6:$L$12,Cadastros!$N$6:$N$12)))</f>
        <v/>
      </c>
      <c r="U1506" s="168" t="str">
        <f t="shared" si="302"/>
        <v/>
      </c>
      <c r="V1506" s="168" t="str">
        <f>IFERROR(U1506/_xlfn.XLOOKUP(_xlfn.XLOOKUP($F1506,Clientes!$B$4:$B$39,Clientes!$C$4:$C$39),Cadastros!$L$6:$L$12,Cadastros!$M$6:$M$12)," ")</f>
        <v xml:space="preserve"> </v>
      </c>
      <c r="W1506" s="28"/>
      <c r="X1506" s="28"/>
      <c r="Y1506" s="255" t="str">
        <f>IF(W1506="","",(_xlfn.XLOOKUP(W1506,Cadastros!$D$6:$D$90,Cadastros!$E$6:$E$90))*(1-_xlfn.XLOOKUP(_xlfn.XLOOKUP($F1506,Clientes!$B$4:$B$39,Clientes!$C$4:$C$39),Cadastros!$L$6:$L$12,Cadastros!$N$6:$N$12)))</f>
        <v/>
      </c>
      <c r="Z1506" s="168" t="str">
        <f t="shared" si="303"/>
        <v/>
      </c>
      <c r="AA1506" s="168" t="str">
        <f>IFERROR(Z1506/_xlfn.XLOOKUP(_xlfn.XLOOKUP($F1506,Clientes!$B$4:$B$39,Clientes!$C$4:$C$39),Cadastros!$L$6:$L$12,Cadastros!$M$6:$M$12)," ")</f>
        <v xml:space="preserve"> </v>
      </c>
      <c r="AB1506" s="28"/>
      <c r="AC1506" s="28"/>
      <c r="AD1506" s="20" t="str">
        <f>IF(AB1506="","",IF($F1506="Bernardino Furlan",_xlfn.XLOOKUP(AB1506,Cadastros!$G$6:$G$90,Cadastros!$H$6:$H$90)*(1-0.18),IF($F1506="Mauro José Salanti",_xlfn.XLOOKUP(AB1506,Cadastros!$G$6:$G$90,Cadastros!$H$6:$H$90)*(1-0.18),_xlfn.XLOOKUP(AB1506,Cadastros!$G$6:$G$90,Cadastros!$H$6:$H$90))))</f>
        <v/>
      </c>
      <c r="AE1506" s="168" t="str">
        <f t="shared" si="304"/>
        <v/>
      </c>
      <c r="AF1506" s="168" t="str">
        <f t="shared" si="305"/>
        <v/>
      </c>
      <c r="AG1506" s="28"/>
      <c r="AH1506" s="28"/>
      <c r="AI1506" s="20" t="str">
        <f>IF(AG1506="","",IF($F1506="Bernardino Furlan",_xlfn.XLOOKUP(AG1506,Cadastros!$G$6:$G$90,Cadastros!$H$6:$H$90)*(1-0.18),IF($F1506="Mauro José Salanti",_xlfn.XLOOKUP(AG1506,Cadastros!$G$6:$G$90,Cadastros!$H$6:$H$90)*(1-0.18),_xlfn.XLOOKUP(AG1506,Cadastros!$G$6:$G$90,Cadastros!$H$6:$H$90))))</f>
        <v/>
      </c>
      <c r="AJ1506" s="168" t="str">
        <f t="shared" si="306"/>
        <v/>
      </c>
      <c r="AK1506" s="168" t="str">
        <f t="shared" si="307"/>
        <v/>
      </c>
      <c r="AL1506" s="28"/>
      <c r="AM1506" s="28"/>
      <c r="AN1506" s="20" t="str">
        <f>IF(AL1506="","",IF($F1506="Bernardino Furlan",_xlfn.XLOOKUP(AL1506,Cadastros!$G$6:$G$90,Cadastros!$H$6:$H$90)*(1-0.18),IF($F1506="Mauro José Salanti",_xlfn.XLOOKUP(AL1506,Cadastros!$G$6:$G$90,Cadastros!$H$6:$H$90)*(1-0.18),_xlfn.XLOOKUP(AL1506,Cadastros!$G$6:$G$90,Cadastros!$H$6:$H$90))))</f>
        <v/>
      </c>
      <c r="AO1506" s="168" t="str">
        <f t="shared" si="308"/>
        <v/>
      </c>
      <c r="AP1506" s="168" t="str">
        <f t="shared" si="309"/>
        <v/>
      </c>
      <c r="AQ1506" s="28"/>
      <c r="AR1506" s="28"/>
      <c r="AS1506" s="20" t="str">
        <f>IF(AQ1506="","",IF($F1506="Bernardino Furlan",_xlfn.XLOOKUP(AQ1506,Cadastros!$G$6:$G$90,Cadastros!$H$6:$H$90)*(1-0.18),IF($F1506="Mauro José Salanti",_xlfn.XLOOKUP(AQ1506,Cadastros!$G$6:$G$90,Cadastros!$H$6:$H$90)*(1-0.18),_xlfn.XLOOKUP(AQ1506,Cadastros!$G$6:$G$90,Cadastros!$H$6:$H$90))))</f>
        <v/>
      </c>
      <c r="AT1506" s="168" t="str">
        <f t="shared" si="310"/>
        <v/>
      </c>
      <c r="AU1506" s="168" t="str">
        <f t="shared" si="311"/>
        <v/>
      </c>
      <c r="AV1506" s="227"/>
      <c r="AW1506" s="30"/>
      <c r="AX1506" s="267"/>
      <c r="AY1506" s="267"/>
      <c r="AZ1506" s="29"/>
      <c r="BA1506" s="30"/>
      <c r="BB1506" s="23" t="str" cm="1">
        <f t="array" ref="BB1506">_xlfn.IFS(AW1506="SIM",SUM(K1506,P1506,U1506,Z1506,AE1506,AJ1506,AO1506,AT1506,AX1506,AY1506),F1506&lt;&gt;"",SUM(K1506,P1506,U1506,Z1506,AE1506,AJ1506,,AO1506,AT1506),F1506="","")</f>
        <v/>
      </c>
      <c r="BC1506" s="211" t="str" cm="1">
        <f t="array" ref="BC1506">_xlfn.IFS(E1506="","",G1506&lt;=E1506,BB1506*(1-0.03),G1506&lt;(E1506+8),BB1506,AZ1506="Boleto",BB1506*(1+0.001)^DATEDIF(E1506,G1506,"D"),AZ1506="Cheque",BB1506,AZ1506="Dinheiro","Alterar forma pgto")</f>
        <v/>
      </c>
      <c r="BD1506" s="276" t="str" cm="1">
        <f t="array" ref="BD1506">IF(F1506=0," ",IF(BC1506&lt;BB1506,(_xlfn.IFS(AW1506="SIM",SUM(L1506,Q1506,V1506,AA1506,AF1506,AK1506,AP1506,AU1506)+AX1506/_xlfn.XLOOKUP(_xlfn.XLOOKUP($F1506,Clientes!$B$4:$B$39,Clientes!$C$4:$C$39),Cadastros!$L$6:$L$12,Cadastros!$M$6:$M$12)+IF($F1506="Bernardino Furlan",AY1506/2751.92,IF($F1506="Mauro José Salanti",AY1506/2751.92,AY1506/3356)),F1506&lt;&gt;0,SUM(L1506,Q1506,V1506,AA1506,AF1506,AK1506,AP1506,AU1506)))*(1-0.03),_xlfn.IFS(AW1506="SIM",SUM(L1506,Q1506,V1506,AA1506,AF1506,AK1506,AP1506,AU1506)+AX1506/_xlfn.XLOOKUP(_xlfn.XLOOKUP($F1506,Clientes!$B$4:$B$39,Clientes!$C$4:$C$39),Cadastros!$L$6:$L$12,Cadastros!$M$6:$M$12)+IF($F1506="Bernardino Furlan",AY1506/2751.92,IF($F1506="Mauro José Salanti",AY1506/2751.92,AY1506/3356)),F1506&lt;&gt;0,SUM(L1506,Q1506,V1506,AA1506,AF1506,AK1506,AP1506,AU1506))))</f>
        <v xml:space="preserve"> </v>
      </c>
      <c r="BE1506" s="120"/>
      <c r="BF1506" s="120"/>
      <c r="BG1506" s="120"/>
    </row>
    <row r="1507" spans="1:59" s="3" customFormat="1" x14ac:dyDescent="0.3">
      <c r="A1507" s="15" t="str">
        <f t="shared" si="299"/>
        <v/>
      </c>
      <c r="B1507" s="25"/>
      <c r="C1507" s="26"/>
      <c r="D1507" s="279"/>
      <c r="E1507" s="27"/>
      <c r="F1507" s="28"/>
      <c r="G1507" s="27"/>
      <c r="H1507" s="28"/>
      <c r="I1507" s="28"/>
      <c r="J1507" s="255" t="str">
        <f>IF(H1507="","",(_xlfn.XLOOKUP(H1507,Cadastros!$D$6:$D$90,Cadastros!$E$6:$E$90))*(1-_xlfn.XLOOKUP(_xlfn.XLOOKUP($F1507,Clientes!$B$4:$B$39,Clientes!$C$4:$C$39),Cadastros!$L$6:$L$12,Cadastros!$N$6:$N$12)))</f>
        <v/>
      </c>
      <c r="K1507" s="168" t="str">
        <f t="shared" si="300"/>
        <v/>
      </c>
      <c r="L1507" s="168" t="str">
        <f>IFERROR(K1507/_xlfn.XLOOKUP(_xlfn.XLOOKUP($F1507,Clientes!$B$4:$B$39,Clientes!$C$4:$C$39),Cadastros!$L$6:$L$12,Cadastros!$M$6:$M$12)," ")</f>
        <v xml:space="preserve"> </v>
      </c>
      <c r="M1507" s="28"/>
      <c r="N1507" s="28"/>
      <c r="O1507" s="255" t="str">
        <f>IF(M1507="","",(_xlfn.XLOOKUP(M1507,Cadastros!$D$6:$D$90,Cadastros!$E$6:$E$90))*(1-_xlfn.XLOOKUP(_xlfn.XLOOKUP($F1507,Clientes!$B$4:$B$39,Clientes!$C$4:$C$39),Cadastros!$L$6:$L$12,Cadastros!$N$6:$N$12)))</f>
        <v/>
      </c>
      <c r="P1507" s="168" t="str">
        <f t="shared" si="301"/>
        <v/>
      </c>
      <c r="Q1507" s="168" t="str">
        <f>IFERROR(P1507/_xlfn.XLOOKUP(_xlfn.XLOOKUP($F1507,Clientes!$B$4:$B$39,Clientes!$C$4:$C$39),Cadastros!$L$6:$L$12,Cadastros!$M$6:$M$12)," ")</f>
        <v xml:space="preserve"> </v>
      </c>
      <c r="R1507" s="28"/>
      <c r="S1507" s="28"/>
      <c r="T1507" s="255" t="str">
        <f>IF(R1507="","",(_xlfn.XLOOKUP(R1507,Cadastros!$D$6:$D$90,Cadastros!$E$6:$E$90))*(1-_xlfn.XLOOKUP(_xlfn.XLOOKUP($F1507,Clientes!$B$4:$B$39,Clientes!$C$4:$C$39),Cadastros!$L$6:$L$12,Cadastros!$N$6:$N$12)))</f>
        <v/>
      </c>
      <c r="U1507" s="168" t="str">
        <f t="shared" si="302"/>
        <v/>
      </c>
      <c r="V1507" s="168" t="str">
        <f>IFERROR(U1507/_xlfn.XLOOKUP(_xlfn.XLOOKUP($F1507,Clientes!$B$4:$B$39,Clientes!$C$4:$C$39),Cadastros!$L$6:$L$12,Cadastros!$M$6:$M$12)," ")</f>
        <v xml:space="preserve"> </v>
      </c>
      <c r="W1507" s="28"/>
      <c r="X1507" s="28"/>
      <c r="Y1507" s="255" t="str">
        <f>IF(W1507="","",(_xlfn.XLOOKUP(W1507,Cadastros!$D$6:$D$90,Cadastros!$E$6:$E$90))*(1-_xlfn.XLOOKUP(_xlfn.XLOOKUP($F1507,Clientes!$B$4:$B$39,Clientes!$C$4:$C$39),Cadastros!$L$6:$L$12,Cadastros!$N$6:$N$12)))</f>
        <v/>
      </c>
      <c r="Z1507" s="168" t="str">
        <f t="shared" si="303"/>
        <v/>
      </c>
      <c r="AA1507" s="168" t="str">
        <f>IFERROR(Z1507/_xlfn.XLOOKUP(_xlfn.XLOOKUP($F1507,Clientes!$B$4:$B$39,Clientes!$C$4:$C$39),Cadastros!$L$6:$L$12,Cadastros!$M$6:$M$12)," ")</f>
        <v xml:space="preserve"> </v>
      </c>
      <c r="AB1507" s="28"/>
      <c r="AC1507" s="28"/>
      <c r="AD1507" s="20" t="str">
        <f>IF(AB1507="","",IF($F1507="Bernardino Furlan",_xlfn.XLOOKUP(AB1507,Cadastros!$G$6:$G$90,Cadastros!$H$6:$H$90)*(1-0.18),IF($F1507="Mauro José Salanti",_xlfn.XLOOKUP(AB1507,Cadastros!$G$6:$G$90,Cadastros!$H$6:$H$90)*(1-0.18),_xlfn.XLOOKUP(AB1507,Cadastros!$G$6:$G$90,Cadastros!$H$6:$H$90))))</f>
        <v/>
      </c>
      <c r="AE1507" s="168" t="str">
        <f t="shared" si="304"/>
        <v/>
      </c>
      <c r="AF1507" s="168" t="str">
        <f t="shared" si="305"/>
        <v/>
      </c>
      <c r="AG1507" s="28"/>
      <c r="AH1507" s="28"/>
      <c r="AI1507" s="20" t="str">
        <f>IF(AG1507="","",IF($F1507="Bernardino Furlan",_xlfn.XLOOKUP(AG1507,Cadastros!$G$6:$G$90,Cadastros!$H$6:$H$90)*(1-0.18),IF($F1507="Mauro José Salanti",_xlfn.XLOOKUP(AG1507,Cadastros!$G$6:$G$90,Cadastros!$H$6:$H$90)*(1-0.18),_xlfn.XLOOKUP(AG1507,Cadastros!$G$6:$G$90,Cadastros!$H$6:$H$90))))</f>
        <v/>
      </c>
      <c r="AJ1507" s="168" t="str">
        <f t="shared" si="306"/>
        <v/>
      </c>
      <c r="AK1507" s="168" t="str">
        <f t="shared" si="307"/>
        <v/>
      </c>
      <c r="AL1507" s="28"/>
      <c r="AM1507" s="28"/>
      <c r="AN1507" s="20" t="str">
        <f>IF(AL1507="","",IF($F1507="Bernardino Furlan",_xlfn.XLOOKUP(AL1507,Cadastros!$G$6:$G$90,Cadastros!$H$6:$H$90)*(1-0.18),IF($F1507="Mauro José Salanti",_xlfn.XLOOKUP(AL1507,Cadastros!$G$6:$G$90,Cadastros!$H$6:$H$90)*(1-0.18),_xlfn.XLOOKUP(AL1507,Cadastros!$G$6:$G$90,Cadastros!$H$6:$H$90))))</f>
        <v/>
      </c>
      <c r="AO1507" s="168" t="str">
        <f t="shared" si="308"/>
        <v/>
      </c>
      <c r="AP1507" s="168" t="str">
        <f t="shared" si="309"/>
        <v/>
      </c>
      <c r="AQ1507" s="28"/>
      <c r="AR1507" s="28"/>
      <c r="AS1507" s="20" t="str">
        <f>IF(AQ1507="","",IF($F1507="Bernardino Furlan",_xlfn.XLOOKUP(AQ1507,Cadastros!$G$6:$G$90,Cadastros!$H$6:$H$90)*(1-0.18),IF($F1507="Mauro José Salanti",_xlfn.XLOOKUP(AQ1507,Cadastros!$G$6:$G$90,Cadastros!$H$6:$H$90)*(1-0.18),_xlfn.XLOOKUP(AQ1507,Cadastros!$G$6:$G$90,Cadastros!$H$6:$H$90))))</f>
        <v/>
      </c>
      <c r="AT1507" s="168" t="str">
        <f t="shared" si="310"/>
        <v/>
      </c>
      <c r="AU1507" s="168" t="str">
        <f t="shared" si="311"/>
        <v/>
      </c>
      <c r="AV1507" s="227"/>
      <c r="AW1507" s="30"/>
      <c r="AX1507" s="267"/>
      <c r="AY1507" s="267"/>
      <c r="AZ1507" s="29"/>
      <c r="BA1507" s="30"/>
      <c r="BB1507" s="23" t="str" cm="1">
        <f t="array" ref="BB1507">_xlfn.IFS(AW1507="SIM",SUM(K1507,P1507,U1507,Z1507,AE1507,AJ1507,AO1507,AT1507,AX1507,AY1507),F1507&lt;&gt;"",SUM(K1507,P1507,U1507,Z1507,AE1507,AJ1507,,AO1507,AT1507),F1507="","")</f>
        <v/>
      </c>
      <c r="BC1507" s="211" t="str" cm="1">
        <f t="array" ref="BC1507">_xlfn.IFS(E1507="","",G1507&lt;=E1507,BB1507*(1-0.03),G1507&lt;(E1507+8),BB1507,AZ1507="Boleto",BB1507*(1+0.001)^DATEDIF(E1507,G1507,"D"),AZ1507="Cheque",BB1507,AZ1507="Dinheiro","Alterar forma pgto")</f>
        <v/>
      </c>
      <c r="BD1507" s="276" t="str" cm="1">
        <f t="array" ref="BD1507">IF(F1507=0," ",IF(BC1507&lt;BB1507,(_xlfn.IFS(AW1507="SIM",SUM(L1507,Q1507,V1507,AA1507,AF1507,AK1507,AP1507,AU1507)+AX1507/_xlfn.XLOOKUP(_xlfn.XLOOKUP($F1507,Clientes!$B$4:$B$39,Clientes!$C$4:$C$39),Cadastros!$L$6:$L$12,Cadastros!$M$6:$M$12)+IF($F1507="Bernardino Furlan",AY1507/2751.92,IF($F1507="Mauro José Salanti",AY1507/2751.92,AY1507/3356)),F1507&lt;&gt;0,SUM(L1507,Q1507,V1507,AA1507,AF1507,AK1507,AP1507,AU1507)))*(1-0.03),_xlfn.IFS(AW1507="SIM",SUM(L1507,Q1507,V1507,AA1507,AF1507,AK1507,AP1507,AU1507)+AX1507/_xlfn.XLOOKUP(_xlfn.XLOOKUP($F1507,Clientes!$B$4:$B$39,Clientes!$C$4:$C$39),Cadastros!$L$6:$L$12,Cadastros!$M$6:$M$12)+IF($F1507="Bernardino Furlan",AY1507/2751.92,IF($F1507="Mauro José Salanti",AY1507/2751.92,AY1507/3356)),F1507&lt;&gt;0,SUM(L1507,Q1507,V1507,AA1507,AF1507,AK1507,AP1507,AU1507))))</f>
        <v xml:space="preserve"> </v>
      </c>
      <c r="BE1507" s="120"/>
      <c r="BF1507" s="120"/>
      <c r="BG1507" s="120"/>
    </row>
    <row r="1508" spans="1:59" s="3" customFormat="1" x14ac:dyDescent="0.3">
      <c r="A1508" s="15" t="str">
        <f t="shared" si="299"/>
        <v/>
      </c>
      <c r="B1508" s="25"/>
      <c r="C1508" s="26"/>
      <c r="D1508" s="279"/>
      <c r="E1508" s="27"/>
      <c r="F1508" s="28"/>
      <c r="G1508" s="27"/>
      <c r="H1508" s="28"/>
      <c r="I1508" s="28"/>
      <c r="J1508" s="255" t="str">
        <f>IF(H1508="","",(_xlfn.XLOOKUP(H1508,Cadastros!$D$6:$D$90,Cadastros!$E$6:$E$90))*(1-_xlfn.XLOOKUP(_xlfn.XLOOKUP($F1508,Clientes!$B$4:$B$39,Clientes!$C$4:$C$39),Cadastros!$L$6:$L$12,Cadastros!$N$6:$N$12)))</f>
        <v/>
      </c>
      <c r="K1508" s="168" t="str">
        <f t="shared" si="300"/>
        <v/>
      </c>
      <c r="L1508" s="168" t="str">
        <f>IFERROR(K1508/_xlfn.XLOOKUP(_xlfn.XLOOKUP($F1508,Clientes!$B$4:$B$39,Clientes!$C$4:$C$39),Cadastros!$L$6:$L$12,Cadastros!$M$6:$M$12)," ")</f>
        <v xml:space="preserve"> </v>
      </c>
      <c r="M1508" s="28"/>
      <c r="N1508" s="28"/>
      <c r="O1508" s="255" t="str">
        <f>IF(M1508="","",(_xlfn.XLOOKUP(M1508,Cadastros!$D$6:$D$90,Cadastros!$E$6:$E$90))*(1-_xlfn.XLOOKUP(_xlfn.XLOOKUP($F1508,Clientes!$B$4:$B$39,Clientes!$C$4:$C$39),Cadastros!$L$6:$L$12,Cadastros!$N$6:$N$12)))</f>
        <v/>
      </c>
      <c r="P1508" s="168" t="str">
        <f t="shared" si="301"/>
        <v/>
      </c>
      <c r="Q1508" s="168" t="str">
        <f>IFERROR(P1508/_xlfn.XLOOKUP(_xlfn.XLOOKUP($F1508,Clientes!$B$4:$B$39,Clientes!$C$4:$C$39),Cadastros!$L$6:$L$12,Cadastros!$M$6:$M$12)," ")</f>
        <v xml:space="preserve"> </v>
      </c>
      <c r="R1508" s="28"/>
      <c r="S1508" s="28"/>
      <c r="T1508" s="255" t="str">
        <f>IF(R1508="","",(_xlfn.XLOOKUP(R1508,Cadastros!$D$6:$D$90,Cadastros!$E$6:$E$90))*(1-_xlfn.XLOOKUP(_xlfn.XLOOKUP($F1508,Clientes!$B$4:$B$39,Clientes!$C$4:$C$39),Cadastros!$L$6:$L$12,Cadastros!$N$6:$N$12)))</f>
        <v/>
      </c>
      <c r="U1508" s="168" t="str">
        <f t="shared" si="302"/>
        <v/>
      </c>
      <c r="V1508" s="168" t="str">
        <f>IFERROR(U1508/_xlfn.XLOOKUP(_xlfn.XLOOKUP($F1508,Clientes!$B$4:$B$39,Clientes!$C$4:$C$39),Cadastros!$L$6:$L$12,Cadastros!$M$6:$M$12)," ")</f>
        <v xml:space="preserve"> </v>
      </c>
      <c r="W1508" s="28"/>
      <c r="X1508" s="28"/>
      <c r="Y1508" s="255" t="str">
        <f>IF(W1508="","",(_xlfn.XLOOKUP(W1508,Cadastros!$D$6:$D$90,Cadastros!$E$6:$E$90))*(1-_xlfn.XLOOKUP(_xlfn.XLOOKUP($F1508,Clientes!$B$4:$B$39,Clientes!$C$4:$C$39),Cadastros!$L$6:$L$12,Cadastros!$N$6:$N$12)))</f>
        <v/>
      </c>
      <c r="Z1508" s="168" t="str">
        <f t="shared" si="303"/>
        <v/>
      </c>
      <c r="AA1508" s="168" t="str">
        <f>IFERROR(Z1508/_xlfn.XLOOKUP(_xlfn.XLOOKUP($F1508,Clientes!$B$4:$B$39,Clientes!$C$4:$C$39),Cadastros!$L$6:$L$12,Cadastros!$M$6:$M$12)," ")</f>
        <v xml:space="preserve"> </v>
      </c>
      <c r="AB1508" s="28"/>
      <c r="AC1508" s="28"/>
      <c r="AD1508" s="20" t="str">
        <f>IF(AB1508="","",IF($F1508="Bernardino Furlan",_xlfn.XLOOKUP(AB1508,Cadastros!$G$6:$G$90,Cadastros!$H$6:$H$90)*(1-0.18),IF($F1508="Mauro José Salanti",_xlfn.XLOOKUP(AB1508,Cadastros!$G$6:$G$90,Cadastros!$H$6:$H$90)*(1-0.18),_xlfn.XLOOKUP(AB1508,Cadastros!$G$6:$G$90,Cadastros!$H$6:$H$90))))</f>
        <v/>
      </c>
      <c r="AE1508" s="168" t="str">
        <f t="shared" si="304"/>
        <v/>
      </c>
      <c r="AF1508" s="168" t="str">
        <f t="shared" si="305"/>
        <v/>
      </c>
      <c r="AG1508" s="28"/>
      <c r="AH1508" s="28"/>
      <c r="AI1508" s="20" t="str">
        <f>IF(AG1508="","",IF($F1508="Bernardino Furlan",_xlfn.XLOOKUP(AG1508,Cadastros!$G$6:$G$90,Cadastros!$H$6:$H$90)*(1-0.18),IF($F1508="Mauro José Salanti",_xlfn.XLOOKUP(AG1508,Cadastros!$G$6:$G$90,Cadastros!$H$6:$H$90)*(1-0.18),_xlfn.XLOOKUP(AG1508,Cadastros!$G$6:$G$90,Cadastros!$H$6:$H$90))))</f>
        <v/>
      </c>
      <c r="AJ1508" s="168" t="str">
        <f t="shared" si="306"/>
        <v/>
      </c>
      <c r="AK1508" s="168" t="str">
        <f t="shared" si="307"/>
        <v/>
      </c>
      <c r="AL1508" s="28"/>
      <c r="AM1508" s="28"/>
      <c r="AN1508" s="20" t="str">
        <f>IF(AL1508="","",IF($F1508="Bernardino Furlan",_xlfn.XLOOKUP(AL1508,Cadastros!$G$6:$G$90,Cadastros!$H$6:$H$90)*(1-0.18),IF($F1508="Mauro José Salanti",_xlfn.XLOOKUP(AL1508,Cadastros!$G$6:$G$90,Cadastros!$H$6:$H$90)*(1-0.18),_xlfn.XLOOKUP(AL1508,Cadastros!$G$6:$G$90,Cadastros!$H$6:$H$90))))</f>
        <v/>
      </c>
      <c r="AO1508" s="168" t="str">
        <f t="shared" si="308"/>
        <v/>
      </c>
      <c r="AP1508" s="168" t="str">
        <f t="shared" si="309"/>
        <v/>
      </c>
      <c r="AQ1508" s="28"/>
      <c r="AR1508" s="28"/>
      <c r="AS1508" s="20" t="str">
        <f>IF(AQ1508="","",IF($F1508="Bernardino Furlan",_xlfn.XLOOKUP(AQ1508,Cadastros!$G$6:$G$90,Cadastros!$H$6:$H$90)*(1-0.18),IF($F1508="Mauro José Salanti",_xlfn.XLOOKUP(AQ1508,Cadastros!$G$6:$G$90,Cadastros!$H$6:$H$90)*(1-0.18),_xlfn.XLOOKUP(AQ1508,Cadastros!$G$6:$G$90,Cadastros!$H$6:$H$90))))</f>
        <v/>
      </c>
      <c r="AT1508" s="168" t="str">
        <f t="shared" si="310"/>
        <v/>
      </c>
      <c r="AU1508" s="168" t="str">
        <f t="shared" si="311"/>
        <v/>
      </c>
      <c r="AV1508" s="227"/>
      <c r="AW1508" s="30"/>
      <c r="AX1508" s="267"/>
      <c r="AY1508" s="267"/>
      <c r="AZ1508" s="29"/>
      <c r="BA1508" s="30"/>
      <c r="BB1508" s="23" t="str" cm="1">
        <f t="array" ref="BB1508">_xlfn.IFS(AW1508="SIM",SUM(K1508,P1508,U1508,Z1508,AE1508,AJ1508,AO1508,AT1508,AX1508,AY1508),F1508&lt;&gt;"",SUM(K1508,P1508,U1508,Z1508,AE1508,AJ1508,,AO1508,AT1508),F1508="","")</f>
        <v/>
      </c>
      <c r="BC1508" s="211" t="str" cm="1">
        <f t="array" ref="BC1508">_xlfn.IFS(E1508="","",G1508&lt;=E1508,BB1508*(1-0.03),G1508&lt;(E1508+8),BB1508,AZ1508="Boleto",BB1508*(1+0.001)^DATEDIF(E1508,G1508,"D"),AZ1508="Cheque",BB1508,AZ1508="Dinheiro","Alterar forma pgto")</f>
        <v/>
      </c>
      <c r="BD1508" s="276" t="str" cm="1">
        <f t="array" ref="BD1508">IF(F1508=0," ",IF(BC1508&lt;BB1508,(_xlfn.IFS(AW1508="SIM",SUM(L1508,Q1508,V1508,AA1508,AF1508,AK1508,AP1508,AU1508)+AX1508/_xlfn.XLOOKUP(_xlfn.XLOOKUP($F1508,Clientes!$B$4:$B$39,Clientes!$C$4:$C$39),Cadastros!$L$6:$L$12,Cadastros!$M$6:$M$12)+IF($F1508="Bernardino Furlan",AY1508/2751.92,IF($F1508="Mauro José Salanti",AY1508/2751.92,AY1508/3356)),F1508&lt;&gt;0,SUM(L1508,Q1508,V1508,AA1508,AF1508,AK1508,AP1508,AU1508)))*(1-0.03),_xlfn.IFS(AW1508="SIM",SUM(L1508,Q1508,V1508,AA1508,AF1508,AK1508,AP1508,AU1508)+AX1508/_xlfn.XLOOKUP(_xlfn.XLOOKUP($F1508,Clientes!$B$4:$B$39,Clientes!$C$4:$C$39),Cadastros!$L$6:$L$12,Cadastros!$M$6:$M$12)+IF($F1508="Bernardino Furlan",AY1508/2751.92,IF($F1508="Mauro José Salanti",AY1508/2751.92,AY1508/3356)),F1508&lt;&gt;0,SUM(L1508,Q1508,V1508,AA1508,AF1508,AK1508,AP1508,AU1508))))</f>
        <v xml:space="preserve"> </v>
      </c>
      <c r="BE1508" s="120"/>
      <c r="BF1508" s="120"/>
      <c r="BG1508" s="120"/>
    </row>
    <row r="1509" spans="1:59" s="3" customFormat="1" x14ac:dyDescent="0.3">
      <c r="A1509" s="15" t="str">
        <f t="shared" si="299"/>
        <v/>
      </c>
      <c r="B1509" s="25"/>
      <c r="C1509" s="26"/>
      <c r="D1509" s="279"/>
      <c r="E1509" s="27"/>
      <c r="F1509" s="28"/>
      <c r="G1509" s="27"/>
      <c r="H1509" s="28"/>
      <c r="I1509" s="28"/>
      <c r="J1509" s="255" t="str">
        <f>IF(H1509="","",(_xlfn.XLOOKUP(H1509,Cadastros!$D$6:$D$90,Cadastros!$E$6:$E$90))*(1-_xlfn.XLOOKUP(_xlfn.XLOOKUP($F1509,Clientes!$B$4:$B$39,Clientes!$C$4:$C$39),Cadastros!$L$6:$L$12,Cadastros!$N$6:$N$12)))</f>
        <v/>
      </c>
      <c r="K1509" s="168" t="str">
        <f t="shared" si="300"/>
        <v/>
      </c>
      <c r="L1509" s="168" t="str">
        <f>IFERROR(K1509/_xlfn.XLOOKUP(_xlfn.XLOOKUP($F1509,Clientes!$B$4:$B$39,Clientes!$C$4:$C$39),Cadastros!$L$6:$L$12,Cadastros!$M$6:$M$12)," ")</f>
        <v xml:space="preserve"> </v>
      </c>
      <c r="M1509" s="28"/>
      <c r="N1509" s="28"/>
      <c r="O1509" s="255" t="str">
        <f>IF(M1509="","",(_xlfn.XLOOKUP(M1509,Cadastros!$D$6:$D$90,Cadastros!$E$6:$E$90))*(1-_xlfn.XLOOKUP(_xlfn.XLOOKUP($F1509,Clientes!$B$4:$B$39,Clientes!$C$4:$C$39),Cadastros!$L$6:$L$12,Cadastros!$N$6:$N$12)))</f>
        <v/>
      </c>
      <c r="P1509" s="168" t="str">
        <f t="shared" si="301"/>
        <v/>
      </c>
      <c r="Q1509" s="168" t="str">
        <f>IFERROR(P1509/_xlfn.XLOOKUP(_xlfn.XLOOKUP($F1509,Clientes!$B$4:$B$39,Clientes!$C$4:$C$39),Cadastros!$L$6:$L$12,Cadastros!$M$6:$M$12)," ")</f>
        <v xml:space="preserve"> </v>
      </c>
      <c r="R1509" s="28"/>
      <c r="S1509" s="28"/>
      <c r="T1509" s="255" t="str">
        <f>IF(R1509="","",(_xlfn.XLOOKUP(R1509,Cadastros!$D$6:$D$90,Cadastros!$E$6:$E$90))*(1-_xlfn.XLOOKUP(_xlfn.XLOOKUP($F1509,Clientes!$B$4:$B$39,Clientes!$C$4:$C$39),Cadastros!$L$6:$L$12,Cadastros!$N$6:$N$12)))</f>
        <v/>
      </c>
      <c r="U1509" s="168" t="str">
        <f t="shared" si="302"/>
        <v/>
      </c>
      <c r="V1509" s="168" t="str">
        <f>IFERROR(U1509/_xlfn.XLOOKUP(_xlfn.XLOOKUP($F1509,Clientes!$B$4:$B$39,Clientes!$C$4:$C$39),Cadastros!$L$6:$L$12,Cadastros!$M$6:$M$12)," ")</f>
        <v xml:space="preserve"> </v>
      </c>
      <c r="W1509" s="28"/>
      <c r="X1509" s="28"/>
      <c r="Y1509" s="255" t="str">
        <f>IF(W1509="","",(_xlfn.XLOOKUP(W1509,Cadastros!$D$6:$D$90,Cadastros!$E$6:$E$90))*(1-_xlfn.XLOOKUP(_xlfn.XLOOKUP($F1509,Clientes!$B$4:$B$39,Clientes!$C$4:$C$39),Cadastros!$L$6:$L$12,Cadastros!$N$6:$N$12)))</f>
        <v/>
      </c>
      <c r="Z1509" s="168" t="str">
        <f t="shared" si="303"/>
        <v/>
      </c>
      <c r="AA1509" s="168" t="str">
        <f>IFERROR(Z1509/_xlfn.XLOOKUP(_xlfn.XLOOKUP($F1509,Clientes!$B$4:$B$39,Clientes!$C$4:$C$39),Cadastros!$L$6:$L$12,Cadastros!$M$6:$M$12)," ")</f>
        <v xml:space="preserve"> </v>
      </c>
      <c r="AB1509" s="28"/>
      <c r="AC1509" s="28"/>
      <c r="AD1509" s="20" t="str">
        <f>IF(AB1509="","",IF($F1509="Bernardino Furlan",_xlfn.XLOOKUP(AB1509,Cadastros!$G$6:$G$90,Cadastros!$H$6:$H$90)*(1-0.18),IF($F1509="Mauro José Salanti",_xlfn.XLOOKUP(AB1509,Cadastros!$G$6:$G$90,Cadastros!$H$6:$H$90)*(1-0.18),_xlfn.XLOOKUP(AB1509,Cadastros!$G$6:$G$90,Cadastros!$H$6:$H$90))))</f>
        <v/>
      </c>
      <c r="AE1509" s="168" t="str">
        <f t="shared" si="304"/>
        <v/>
      </c>
      <c r="AF1509" s="168" t="str">
        <f t="shared" si="305"/>
        <v/>
      </c>
      <c r="AG1509" s="28"/>
      <c r="AH1509" s="28"/>
      <c r="AI1509" s="20" t="str">
        <f>IF(AG1509="","",IF($F1509="Bernardino Furlan",_xlfn.XLOOKUP(AG1509,Cadastros!$G$6:$G$90,Cadastros!$H$6:$H$90)*(1-0.18),IF($F1509="Mauro José Salanti",_xlfn.XLOOKUP(AG1509,Cadastros!$G$6:$G$90,Cadastros!$H$6:$H$90)*(1-0.18),_xlfn.XLOOKUP(AG1509,Cadastros!$G$6:$G$90,Cadastros!$H$6:$H$90))))</f>
        <v/>
      </c>
      <c r="AJ1509" s="168" t="str">
        <f t="shared" si="306"/>
        <v/>
      </c>
      <c r="AK1509" s="168" t="str">
        <f t="shared" si="307"/>
        <v/>
      </c>
      <c r="AL1509" s="28"/>
      <c r="AM1509" s="28"/>
      <c r="AN1509" s="20" t="str">
        <f>IF(AL1509="","",IF($F1509="Bernardino Furlan",_xlfn.XLOOKUP(AL1509,Cadastros!$G$6:$G$90,Cadastros!$H$6:$H$90)*(1-0.18),IF($F1509="Mauro José Salanti",_xlfn.XLOOKUP(AL1509,Cadastros!$G$6:$G$90,Cadastros!$H$6:$H$90)*(1-0.18),_xlfn.XLOOKUP(AL1509,Cadastros!$G$6:$G$90,Cadastros!$H$6:$H$90))))</f>
        <v/>
      </c>
      <c r="AO1509" s="168" t="str">
        <f t="shared" si="308"/>
        <v/>
      </c>
      <c r="AP1509" s="168" t="str">
        <f t="shared" si="309"/>
        <v/>
      </c>
      <c r="AQ1509" s="28"/>
      <c r="AR1509" s="28"/>
      <c r="AS1509" s="20" t="str">
        <f>IF(AQ1509="","",IF($F1509="Bernardino Furlan",_xlfn.XLOOKUP(AQ1509,Cadastros!$G$6:$G$90,Cadastros!$H$6:$H$90)*(1-0.18),IF($F1509="Mauro José Salanti",_xlfn.XLOOKUP(AQ1509,Cadastros!$G$6:$G$90,Cadastros!$H$6:$H$90)*(1-0.18),_xlfn.XLOOKUP(AQ1509,Cadastros!$G$6:$G$90,Cadastros!$H$6:$H$90))))</f>
        <v/>
      </c>
      <c r="AT1509" s="168" t="str">
        <f t="shared" si="310"/>
        <v/>
      </c>
      <c r="AU1509" s="168" t="str">
        <f t="shared" si="311"/>
        <v/>
      </c>
      <c r="AV1509" s="227"/>
      <c r="AW1509" s="30"/>
      <c r="AX1509" s="267"/>
      <c r="AY1509" s="267"/>
      <c r="AZ1509" s="29"/>
      <c r="BA1509" s="30"/>
      <c r="BB1509" s="23" t="str" cm="1">
        <f t="array" ref="BB1509">_xlfn.IFS(AW1509="SIM",SUM(K1509,P1509,U1509,Z1509,AE1509,AJ1509,AO1509,AT1509,AX1509,AY1509),F1509&lt;&gt;"",SUM(K1509,P1509,U1509,Z1509,AE1509,AJ1509,,AO1509,AT1509),F1509="","")</f>
        <v/>
      </c>
      <c r="BC1509" s="211" t="str" cm="1">
        <f t="array" ref="BC1509">_xlfn.IFS(E1509="","",G1509&lt;=E1509,BB1509*(1-0.03),G1509&lt;(E1509+8),BB1509,AZ1509="Boleto",BB1509*(1+0.001)^DATEDIF(E1509,G1509,"D"),AZ1509="Cheque",BB1509,AZ1509="Dinheiro","Alterar forma pgto")</f>
        <v/>
      </c>
      <c r="BD1509" s="276" t="str" cm="1">
        <f t="array" ref="BD1509">IF(F1509=0," ",IF(BC1509&lt;BB1509,(_xlfn.IFS(AW1509="SIM",SUM(L1509,Q1509,V1509,AA1509,AF1509,AK1509,AP1509,AU1509)+AX1509/_xlfn.XLOOKUP(_xlfn.XLOOKUP($F1509,Clientes!$B$4:$B$39,Clientes!$C$4:$C$39),Cadastros!$L$6:$L$12,Cadastros!$M$6:$M$12)+IF($F1509="Bernardino Furlan",AY1509/2751.92,IF($F1509="Mauro José Salanti",AY1509/2751.92,AY1509/3356)),F1509&lt;&gt;0,SUM(L1509,Q1509,V1509,AA1509,AF1509,AK1509,AP1509,AU1509)))*(1-0.03),_xlfn.IFS(AW1509="SIM",SUM(L1509,Q1509,V1509,AA1509,AF1509,AK1509,AP1509,AU1509)+AX1509/_xlfn.XLOOKUP(_xlfn.XLOOKUP($F1509,Clientes!$B$4:$B$39,Clientes!$C$4:$C$39),Cadastros!$L$6:$L$12,Cadastros!$M$6:$M$12)+IF($F1509="Bernardino Furlan",AY1509/2751.92,IF($F1509="Mauro José Salanti",AY1509/2751.92,AY1509/3356)),F1509&lt;&gt;0,SUM(L1509,Q1509,V1509,AA1509,AF1509,AK1509,AP1509,AU1509))))</f>
        <v xml:space="preserve"> </v>
      </c>
      <c r="BE1509" s="120"/>
      <c r="BF1509" s="120"/>
      <c r="BG1509" s="120"/>
    </row>
    <row r="1510" spans="1:59" s="3" customFormat="1" x14ac:dyDescent="0.3">
      <c r="A1510" s="15" t="str">
        <f t="shared" si="299"/>
        <v/>
      </c>
      <c r="B1510" s="25"/>
      <c r="C1510" s="26"/>
      <c r="D1510" s="279"/>
      <c r="E1510" s="27"/>
      <c r="F1510" s="28"/>
      <c r="G1510" s="27"/>
      <c r="H1510" s="28"/>
      <c r="I1510" s="28"/>
      <c r="J1510" s="255" t="str">
        <f>IF(H1510="","",(_xlfn.XLOOKUP(H1510,Cadastros!$D$6:$D$90,Cadastros!$E$6:$E$90))*(1-_xlfn.XLOOKUP(_xlfn.XLOOKUP($F1510,Clientes!$B$4:$B$39,Clientes!$C$4:$C$39),Cadastros!$L$6:$L$12,Cadastros!$N$6:$N$12)))</f>
        <v/>
      </c>
      <c r="K1510" s="168" t="str">
        <f t="shared" si="300"/>
        <v/>
      </c>
      <c r="L1510" s="168" t="str">
        <f>IFERROR(K1510/_xlfn.XLOOKUP(_xlfn.XLOOKUP($F1510,Clientes!$B$4:$B$39,Clientes!$C$4:$C$39),Cadastros!$L$6:$L$12,Cadastros!$M$6:$M$12)," ")</f>
        <v xml:space="preserve"> </v>
      </c>
      <c r="M1510" s="28"/>
      <c r="N1510" s="28"/>
      <c r="O1510" s="255" t="str">
        <f>IF(M1510="","",(_xlfn.XLOOKUP(M1510,Cadastros!$D$6:$D$90,Cadastros!$E$6:$E$90))*(1-_xlfn.XLOOKUP(_xlfn.XLOOKUP($F1510,Clientes!$B$4:$B$39,Clientes!$C$4:$C$39),Cadastros!$L$6:$L$12,Cadastros!$N$6:$N$12)))</f>
        <v/>
      </c>
      <c r="P1510" s="168" t="str">
        <f t="shared" si="301"/>
        <v/>
      </c>
      <c r="Q1510" s="168" t="str">
        <f>IFERROR(P1510/_xlfn.XLOOKUP(_xlfn.XLOOKUP($F1510,Clientes!$B$4:$B$39,Clientes!$C$4:$C$39),Cadastros!$L$6:$L$12,Cadastros!$M$6:$M$12)," ")</f>
        <v xml:space="preserve"> </v>
      </c>
      <c r="R1510" s="28"/>
      <c r="S1510" s="28"/>
      <c r="T1510" s="255" t="str">
        <f>IF(R1510="","",(_xlfn.XLOOKUP(R1510,Cadastros!$D$6:$D$90,Cadastros!$E$6:$E$90))*(1-_xlfn.XLOOKUP(_xlfn.XLOOKUP($F1510,Clientes!$B$4:$B$39,Clientes!$C$4:$C$39),Cadastros!$L$6:$L$12,Cadastros!$N$6:$N$12)))</f>
        <v/>
      </c>
      <c r="U1510" s="168" t="str">
        <f t="shared" si="302"/>
        <v/>
      </c>
      <c r="V1510" s="168" t="str">
        <f>IFERROR(U1510/_xlfn.XLOOKUP(_xlfn.XLOOKUP($F1510,Clientes!$B$4:$B$39,Clientes!$C$4:$C$39),Cadastros!$L$6:$L$12,Cadastros!$M$6:$M$12)," ")</f>
        <v xml:space="preserve"> </v>
      </c>
      <c r="W1510" s="28"/>
      <c r="X1510" s="28"/>
      <c r="Y1510" s="255" t="str">
        <f>IF(W1510="","",(_xlfn.XLOOKUP(W1510,Cadastros!$D$6:$D$90,Cadastros!$E$6:$E$90))*(1-_xlfn.XLOOKUP(_xlfn.XLOOKUP($F1510,Clientes!$B$4:$B$39,Clientes!$C$4:$C$39),Cadastros!$L$6:$L$12,Cadastros!$N$6:$N$12)))</f>
        <v/>
      </c>
      <c r="Z1510" s="168" t="str">
        <f t="shared" si="303"/>
        <v/>
      </c>
      <c r="AA1510" s="168" t="str">
        <f>IFERROR(Z1510/_xlfn.XLOOKUP(_xlfn.XLOOKUP($F1510,Clientes!$B$4:$B$39,Clientes!$C$4:$C$39),Cadastros!$L$6:$L$12,Cadastros!$M$6:$M$12)," ")</f>
        <v xml:space="preserve"> </v>
      </c>
      <c r="AB1510" s="28"/>
      <c r="AC1510" s="28"/>
      <c r="AD1510" s="20" t="str">
        <f>IF(AB1510="","",IF($F1510="Bernardino Furlan",_xlfn.XLOOKUP(AB1510,Cadastros!$G$6:$G$90,Cadastros!$H$6:$H$90)*(1-0.18),IF($F1510="Mauro José Salanti",_xlfn.XLOOKUP(AB1510,Cadastros!$G$6:$G$90,Cadastros!$H$6:$H$90)*(1-0.18),_xlfn.XLOOKUP(AB1510,Cadastros!$G$6:$G$90,Cadastros!$H$6:$H$90))))</f>
        <v/>
      </c>
      <c r="AE1510" s="168" t="str">
        <f t="shared" si="304"/>
        <v/>
      </c>
      <c r="AF1510" s="168" t="str">
        <f t="shared" si="305"/>
        <v/>
      </c>
      <c r="AG1510" s="28"/>
      <c r="AH1510" s="28"/>
      <c r="AI1510" s="20" t="str">
        <f>IF(AG1510="","",IF($F1510="Bernardino Furlan",_xlfn.XLOOKUP(AG1510,Cadastros!$G$6:$G$90,Cadastros!$H$6:$H$90)*(1-0.18),IF($F1510="Mauro José Salanti",_xlfn.XLOOKUP(AG1510,Cadastros!$G$6:$G$90,Cadastros!$H$6:$H$90)*(1-0.18),_xlfn.XLOOKUP(AG1510,Cadastros!$G$6:$G$90,Cadastros!$H$6:$H$90))))</f>
        <v/>
      </c>
      <c r="AJ1510" s="168" t="str">
        <f t="shared" si="306"/>
        <v/>
      </c>
      <c r="AK1510" s="168" t="str">
        <f t="shared" si="307"/>
        <v/>
      </c>
      <c r="AL1510" s="28"/>
      <c r="AM1510" s="28"/>
      <c r="AN1510" s="20" t="str">
        <f>IF(AL1510="","",IF($F1510="Bernardino Furlan",_xlfn.XLOOKUP(AL1510,Cadastros!$G$6:$G$90,Cadastros!$H$6:$H$90)*(1-0.18),IF($F1510="Mauro José Salanti",_xlfn.XLOOKUP(AL1510,Cadastros!$G$6:$G$90,Cadastros!$H$6:$H$90)*(1-0.18),_xlfn.XLOOKUP(AL1510,Cadastros!$G$6:$G$90,Cadastros!$H$6:$H$90))))</f>
        <v/>
      </c>
      <c r="AO1510" s="168" t="str">
        <f t="shared" si="308"/>
        <v/>
      </c>
      <c r="AP1510" s="168" t="str">
        <f t="shared" si="309"/>
        <v/>
      </c>
      <c r="AQ1510" s="28"/>
      <c r="AR1510" s="28"/>
      <c r="AS1510" s="20" t="str">
        <f>IF(AQ1510="","",IF($F1510="Bernardino Furlan",_xlfn.XLOOKUP(AQ1510,Cadastros!$G$6:$G$90,Cadastros!$H$6:$H$90)*(1-0.18),IF($F1510="Mauro José Salanti",_xlfn.XLOOKUP(AQ1510,Cadastros!$G$6:$G$90,Cadastros!$H$6:$H$90)*(1-0.18),_xlfn.XLOOKUP(AQ1510,Cadastros!$G$6:$G$90,Cadastros!$H$6:$H$90))))</f>
        <v/>
      </c>
      <c r="AT1510" s="168" t="str">
        <f t="shared" si="310"/>
        <v/>
      </c>
      <c r="AU1510" s="168" t="str">
        <f t="shared" si="311"/>
        <v/>
      </c>
      <c r="AV1510" s="227"/>
      <c r="AW1510" s="30"/>
      <c r="AX1510" s="267"/>
      <c r="AY1510" s="267"/>
      <c r="AZ1510" s="29"/>
      <c r="BA1510" s="30"/>
      <c r="BB1510" s="23" t="str" cm="1">
        <f t="array" ref="BB1510">_xlfn.IFS(AW1510="SIM",SUM(K1510,P1510,U1510,Z1510,AE1510,AJ1510,AO1510,AT1510,AX1510,AY1510),F1510&lt;&gt;"",SUM(K1510,P1510,U1510,Z1510,AE1510,AJ1510,,AO1510,AT1510),F1510="","")</f>
        <v/>
      </c>
      <c r="BC1510" s="211" t="str" cm="1">
        <f t="array" ref="BC1510">_xlfn.IFS(E1510="","",G1510&lt;=E1510,BB1510*(1-0.03),G1510&lt;(E1510+8),BB1510,AZ1510="Boleto",BB1510*(1+0.001)^DATEDIF(E1510,G1510,"D"),AZ1510="Cheque",BB1510,AZ1510="Dinheiro","Alterar forma pgto")</f>
        <v/>
      </c>
      <c r="BD1510" s="276" t="str" cm="1">
        <f t="array" ref="BD1510">IF(F1510=0," ",IF(BC1510&lt;BB1510,(_xlfn.IFS(AW1510="SIM",SUM(L1510,Q1510,V1510,AA1510,AF1510,AK1510,AP1510,AU1510)+AX1510/_xlfn.XLOOKUP(_xlfn.XLOOKUP($F1510,Clientes!$B$4:$B$39,Clientes!$C$4:$C$39),Cadastros!$L$6:$L$12,Cadastros!$M$6:$M$12)+IF($F1510="Bernardino Furlan",AY1510/2751.92,IF($F1510="Mauro José Salanti",AY1510/2751.92,AY1510/3356)),F1510&lt;&gt;0,SUM(L1510,Q1510,V1510,AA1510,AF1510,AK1510,AP1510,AU1510)))*(1-0.03),_xlfn.IFS(AW1510="SIM",SUM(L1510,Q1510,V1510,AA1510,AF1510,AK1510,AP1510,AU1510)+AX1510/_xlfn.XLOOKUP(_xlfn.XLOOKUP($F1510,Clientes!$B$4:$B$39,Clientes!$C$4:$C$39),Cadastros!$L$6:$L$12,Cadastros!$M$6:$M$12)+IF($F1510="Bernardino Furlan",AY1510/2751.92,IF($F1510="Mauro José Salanti",AY1510/2751.92,AY1510/3356)),F1510&lt;&gt;0,SUM(L1510,Q1510,V1510,AA1510,AF1510,AK1510,AP1510,AU1510))))</f>
        <v xml:space="preserve"> </v>
      </c>
      <c r="BE1510" s="120"/>
      <c r="BF1510" s="120"/>
      <c r="BG1510" s="120"/>
    </row>
    <row r="1511" spans="1:59" s="3" customFormat="1" x14ac:dyDescent="0.3">
      <c r="A1511" s="15" t="str">
        <f t="shared" si="299"/>
        <v/>
      </c>
      <c r="B1511" s="25"/>
      <c r="C1511" s="26"/>
      <c r="D1511" s="279"/>
      <c r="E1511" s="27"/>
      <c r="F1511" s="28"/>
      <c r="G1511" s="27"/>
      <c r="H1511" s="28"/>
      <c r="I1511" s="28"/>
      <c r="J1511" s="255" t="str">
        <f>IF(H1511="","",(_xlfn.XLOOKUP(H1511,Cadastros!$D$6:$D$90,Cadastros!$E$6:$E$90))*(1-_xlfn.XLOOKUP(_xlfn.XLOOKUP($F1511,Clientes!$B$4:$B$39,Clientes!$C$4:$C$39),Cadastros!$L$6:$L$12,Cadastros!$N$6:$N$12)))</f>
        <v/>
      </c>
      <c r="K1511" s="168" t="str">
        <f t="shared" si="300"/>
        <v/>
      </c>
      <c r="L1511" s="168" t="str">
        <f>IFERROR(K1511/_xlfn.XLOOKUP(_xlfn.XLOOKUP($F1511,Clientes!$B$4:$B$39,Clientes!$C$4:$C$39),Cadastros!$L$6:$L$12,Cadastros!$M$6:$M$12)," ")</f>
        <v xml:space="preserve"> </v>
      </c>
      <c r="M1511" s="28"/>
      <c r="N1511" s="28"/>
      <c r="O1511" s="255" t="str">
        <f>IF(M1511="","",(_xlfn.XLOOKUP(M1511,Cadastros!$D$6:$D$90,Cadastros!$E$6:$E$90))*(1-_xlfn.XLOOKUP(_xlfn.XLOOKUP($F1511,Clientes!$B$4:$B$39,Clientes!$C$4:$C$39),Cadastros!$L$6:$L$12,Cadastros!$N$6:$N$12)))</f>
        <v/>
      </c>
      <c r="P1511" s="168" t="str">
        <f t="shared" si="301"/>
        <v/>
      </c>
      <c r="Q1511" s="168" t="str">
        <f>IFERROR(P1511/_xlfn.XLOOKUP(_xlfn.XLOOKUP($F1511,Clientes!$B$4:$B$39,Clientes!$C$4:$C$39),Cadastros!$L$6:$L$12,Cadastros!$M$6:$M$12)," ")</f>
        <v xml:space="preserve"> </v>
      </c>
      <c r="R1511" s="28"/>
      <c r="S1511" s="28"/>
      <c r="T1511" s="255" t="str">
        <f>IF(R1511="","",(_xlfn.XLOOKUP(R1511,Cadastros!$D$6:$D$90,Cadastros!$E$6:$E$90))*(1-_xlfn.XLOOKUP(_xlfn.XLOOKUP($F1511,Clientes!$B$4:$B$39,Clientes!$C$4:$C$39),Cadastros!$L$6:$L$12,Cadastros!$N$6:$N$12)))</f>
        <v/>
      </c>
      <c r="U1511" s="168" t="str">
        <f t="shared" si="302"/>
        <v/>
      </c>
      <c r="V1511" s="168" t="str">
        <f>IFERROR(U1511/_xlfn.XLOOKUP(_xlfn.XLOOKUP($F1511,Clientes!$B$4:$B$39,Clientes!$C$4:$C$39),Cadastros!$L$6:$L$12,Cadastros!$M$6:$M$12)," ")</f>
        <v xml:space="preserve"> </v>
      </c>
      <c r="W1511" s="28"/>
      <c r="X1511" s="28"/>
      <c r="Y1511" s="255" t="str">
        <f>IF(W1511="","",(_xlfn.XLOOKUP(W1511,Cadastros!$D$6:$D$90,Cadastros!$E$6:$E$90))*(1-_xlfn.XLOOKUP(_xlfn.XLOOKUP($F1511,Clientes!$B$4:$B$39,Clientes!$C$4:$C$39),Cadastros!$L$6:$L$12,Cadastros!$N$6:$N$12)))</f>
        <v/>
      </c>
      <c r="Z1511" s="168" t="str">
        <f t="shared" si="303"/>
        <v/>
      </c>
      <c r="AA1511" s="168" t="str">
        <f>IFERROR(Z1511/_xlfn.XLOOKUP(_xlfn.XLOOKUP($F1511,Clientes!$B$4:$B$39,Clientes!$C$4:$C$39),Cadastros!$L$6:$L$12,Cadastros!$M$6:$M$12)," ")</f>
        <v xml:space="preserve"> </v>
      </c>
      <c r="AB1511" s="28"/>
      <c r="AC1511" s="28"/>
      <c r="AD1511" s="20" t="str">
        <f>IF(AB1511="","",IF($F1511="Bernardino Furlan",_xlfn.XLOOKUP(AB1511,Cadastros!$G$6:$G$90,Cadastros!$H$6:$H$90)*(1-0.18),IF($F1511="Mauro José Salanti",_xlfn.XLOOKUP(AB1511,Cadastros!$G$6:$G$90,Cadastros!$H$6:$H$90)*(1-0.18),_xlfn.XLOOKUP(AB1511,Cadastros!$G$6:$G$90,Cadastros!$H$6:$H$90))))</f>
        <v/>
      </c>
      <c r="AE1511" s="168" t="str">
        <f t="shared" si="304"/>
        <v/>
      </c>
      <c r="AF1511" s="168" t="str">
        <f t="shared" si="305"/>
        <v/>
      </c>
      <c r="AG1511" s="28"/>
      <c r="AH1511" s="28"/>
      <c r="AI1511" s="20" t="str">
        <f>IF(AG1511="","",IF($F1511="Bernardino Furlan",_xlfn.XLOOKUP(AG1511,Cadastros!$G$6:$G$90,Cadastros!$H$6:$H$90)*(1-0.18),IF($F1511="Mauro José Salanti",_xlfn.XLOOKUP(AG1511,Cadastros!$G$6:$G$90,Cadastros!$H$6:$H$90)*(1-0.18),_xlfn.XLOOKUP(AG1511,Cadastros!$G$6:$G$90,Cadastros!$H$6:$H$90))))</f>
        <v/>
      </c>
      <c r="AJ1511" s="168" t="str">
        <f t="shared" si="306"/>
        <v/>
      </c>
      <c r="AK1511" s="168" t="str">
        <f t="shared" si="307"/>
        <v/>
      </c>
      <c r="AL1511" s="28"/>
      <c r="AM1511" s="28"/>
      <c r="AN1511" s="20" t="str">
        <f>IF(AL1511="","",IF($F1511="Bernardino Furlan",_xlfn.XLOOKUP(AL1511,Cadastros!$G$6:$G$90,Cadastros!$H$6:$H$90)*(1-0.18),IF($F1511="Mauro José Salanti",_xlfn.XLOOKUP(AL1511,Cadastros!$G$6:$G$90,Cadastros!$H$6:$H$90)*(1-0.18),_xlfn.XLOOKUP(AL1511,Cadastros!$G$6:$G$90,Cadastros!$H$6:$H$90))))</f>
        <v/>
      </c>
      <c r="AO1511" s="168" t="str">
        <f t="shared" si="308"/>
        <v/>
      </c>
      <c r="AP1511" s="168" t="str">
        <f t="shared" si="309"/>
        <v/>
      </c>
      <c r="AQ1511" s="28"/>
      <c r="AR1511" s="28"/>
      <c r="AS1511" s="20" t="str">
        <f>IF(AQ1511="","",IF($F1511="Bernardino Furlan",_xlfn.XLOOKUP(AQ1511,Cadastros!$G$6:$G$90,Cadastros!$H$6:$H$90)*(1-0.18),IF($F1511="Mauro José Salanti",_xlfn.XLOOKUP(AQ1511,Cadastros!$G$6:$G$90,Cadastros!$H$6:$H$90)*(1-0.18),_xlfn.XLOOKUP(AQ1511,Cadastros!$G$6:$G$90,Cadastros!$H$6:$H$90))))</f>
        <v/>
      </c>
      <c r="AT1511" s="168" t="str">
        <f t="shared" si="310"/>
        <v/>
      </c>
      <c r="AU1511" s="168" t="str">
        <f t="shared" si="311"/>
        <v/>
      </c>
      <c r="AV1511" s="227"/>
      <c r="AW1511" s="30"/>
      <c r="AX1511" s="267"/>
      <c r="AY1511" s="267"/>
      <c r="AZ1511" s="29"/>
      <c r="BA1511" s="30"/>
      <c r="BB1511" s="23" t="str" cm="1">
        <f t="array" ref="BB1511">_xlfn.IFS(AW1511="SIM",SUM(K1511,P1511,U1511,Z1511,AE1511,AJ1511,AO1511,AT1511,AX1511,AY1511),F1511&lt;&gt;"",SUM(K1511,P1511,U1511,Z1511,AE1511,AJ1511,,AO1511,AT1511),F1511="","")</f>
        <v/>
      </c>
      <c r="BC1511" s="211" t="str" cm="1">
        <f t="array" ref="BC1511">_xlfn.IFS(E1511="","",G1511&lt;=E1511,BB1511*(1-0.03),G1511&lt;(E1511+8),BB1511,AZ1511="Boleto",BB1511*(1+0.001)^DATEDIF(E1511,G1511,"D"),AZ1511="Cheque",BB1511,AZ1511="Dinheiro","Alterar forma pgto")</f>
        <v/>
      </c>
      <c r="BD1511" s="276" t="str" cm="1">
        <f t="array" ref="BD1511">IF(F1511=0," ",IF(BC1511&lt;BB1511,(_xlfn.IFS(AW1511="SIM",SUM(L1511,Q1511,V1511,AA1511,AF1511,AK1511,AP1511,AU1511)+AX1511/_xlfn.XLOOKUP(_xlfn.XLOOKUP($F1511,Clientes!$B$4:$B$39,Clientes!$C$4:$C$39),Cadastros!$L$6:$L$12,Cadastros!$M$6:$M$12)+IF($F1511="Bernardino Furlan",AY1511/2751.92,IF($F1511="Mauro José Salanti",AY1511/2751.92,AY1511/3356)),F1511&lt;&gt;0,SUM(L1511,Q1511,V1511,AA1511,AF1511,AK1511,AP1511,AU1511)))*(1-0.03),_xlfn.IFS(AW1511="SIM",SUM(L1511,Q1511,V1511,AA1511,AF1511,AK1511,AP1511,AU1511)+AX1511/_xlfn.XLOOKUP(_xlfn.XLOOKUP($F1511,Clientes!$B$4:$B$39,Clientes!$C$4:$C$39),Cadastros!$L$6:$L$12,Cadastros!$M$6:$M$12)+IF($F1511="Bernardino Furlan",AY1511/2751.92,IF($F1511="Mauro José Salanti",AY1511/2751.92,AY1511/3356)),F1511&lt;&gt;0,SUM(L1511,Q1511,V1511,AA1511,AF1511,AK1511,AP1511,AU1511))))</f>
        <v xml:space="preserve"> </v>
      </c>
      <c r="BE1511" s="120"/>
      <c r="BF1511" s="120"/>
      <c r="BG1511" s="120"/>
    </row>
    <row r="1512" spans="1:59" s="3" customFormat="1" x14ac:dyDescent="0.3">
      <c r="A1512" s="15" t="str">
        <f t="shared" si="299"/>
        <v/>
      </c>
      <c r="B1512" s="25"/>
      <c r="C1512" s="26"/>
      <c r="D1512" s="279"/>
      <c r="E1512" s="27"/>
      <c r="F1512" s="28"/>
      <c r="G1512" s="27"/>
      <c r="H1512" s="28"/>
      <c r="I1512" s="28"/>
      <c r="J1512" s="255" t="str">
        <f>IF(H1512="","",(_xlfn.XLOOKUP(H1512,Cadastros!$D$6:$D$90,Cadastros!$E$6:$E$90))*(1-_xlfn.XLOOKUP(_xlfn.XLOOKUP($F1512,Clientes!$B$4:$B$39,Clientes!$C$4:$C$39),Cadastros!$L$6:$L$12,Cadastros!$N$6:$N$12)))</f>
        <v/>
      </c>
      <c r="K1512" s="168" t="str">
        <f t="shared" si="300"/>
        <v/>
      </c>
      <c r="L1512" s="168" t="str">
        <f>IFERROR(K1512/_xlfn.XLOOKUP(_xlfn.XLOOKUP($F1512,Clientes!$B$4:$B$39,Clientes!$C$4:$C$39),Cadastros!$L$6:$L$12,Cadastros!$M$6:$M$12)," ")</f>
        <v xml:space="preserve"> </v>
      </c>
      <c r="M1512" s="28"/>
      <c r="N1512" s="28"/>
      <c r="O1512" s="255" t="str">
        <f>IF(M1512="","",(_xlfn.XLOOKUP(M1512,Cadastros!$D$6:$D$90,Cadastros!$E$6:$E$90))*(1-_xlfn.XLOOKUP(_xlfn.XLOOKUP($F1512,Clientes!$B$4:$B$39,Clientes!$C$4:$C$39),Cadastros!$L$6:$L$12,Cadastros!$N$6:$N$12)))</f>
        <v/>
      </c>
      <c r="P1512" s="168" t="str">
        <f t="shared" si="301"/>
        <v/>
      </c>
      <c r="Q1512" s="168" t="str">
        <f>IFERROR(P1512/_xlfn.XLOOKUP(_xlfn.XLOOKUP($F1512,Clientes!$B$4:$B$39,Clientes!$C$4:$C$39),Cadastros!$L$6:$L$12,Cadastros!$M$6:$M$12)," ")</f>
        <v xml:space="preserve"> </v>
      </c>
      <c r="R1512" s="28"/>
      <c r="S1512" s="28"/>
      <c r="T1512" s="255" t="str">
        <f>IF(R1512="","",(_xlfn.XLOOKUP(R1512,Cadastros!$D$6:$D$90,Cadastros!$E$6:$E$90))*(1-_xlfn.XLOOKUP(_xlfn.XLOOKUP($F1512,Clientes!$B$4:$B$39,Clientes!$C$4:$C$39),Cadastros!$L$6:$L$12,Cadastros!$N$6:$N$12)))</f>
        <v/>
      </c>
      <c r="U1512" s="168" t="str">
        <f t="shared" si="302"/>
        <v/>
      </c>
      <c r="V1512" s="168" t="str">
        <f>IFERROR(U1512/_xlfn.XLOOKUP(_xlfn.XLOOKUP($F1512,Clientes!$B$4:$B$39,Clientes!$C$4:$C$39),Cadastros!$L$6:$L$12,Cadastros!$M$6:$M$12)," ")</f>
        <v xml:space="preserve"> </v>
      </c>
      <c r="W1512" s="28"/>
      <c r="X1512" s="28"/>
      <c r="Y1512" s="255" t="str">
        <f>IF(W1512="","",(_xlfn.XLOOKUP(W1512,Cadastros!$D$6:$D$90,Cadastros!$E$6:$E$90))*(1-_xlfn.XLOOKUP(_xlfn.XLOOKUP($F1512,Clientes!$B$4:$B$39,Clientes!$C$4:$C$39),Cadastros!$L$6:$L$12,Cadastros!$N$6:$N$12)))</f>
        <v/>
      </c>
      <c r="Z1512" s="168" t="str">
        <f t="shared" si="303"/>
        <v/>
      </c>
      <c r="AA1512" s="168" t="str">
        <f>IFERROR(Z1512/_xlfn.XLOOKUP(_xlfn.XLOOKUP($F1512,Clientes!$B$4:$B$39,Clientes!$C$4:$C$39),Cadastros!$L$6:$L$12,Cadastros!$M$6:$M$12)," ")</f>
        <v xml:space="preserve"> </v>
      </c>
      <c r="AB1512" s="28"/>
      <c r="AC1512" s="28"/>
      <c r="AD1512" s="20" t="str">
        <f>IF(AB1512="","",IF($F1512="Bernardino Furlan",_xlfn.XLOOKUP(AB1512,Cadastros!$G$6:$G$90,Cadastros!$H$6:$H$90)*(1-0.18),IF($F1512="Mauro José Salanti",_xlfn.XLOOKUP(AB1512,Cadastros!$G$6:$G$90,Cadastros!$H$6:$H$90)*(1-0.18),_xlfn.XLOOKUP(AB1512,Cadastros!$G$6:$G$90,Cadastros!$H$6:$H$90))))</f>
        <v/>
      </c>
      <c r="AE1512" s="168" t="str">
        <f t="shared" si="304"/>
        <v/>
      </c>
      <c r="AF1512" s="168" t="str">
        <f t="shared" si="305"/>
        <v/>
      </c>
      <c r="AG1512" s="28"/>
      <c r="AH1512" s="28"/>
      <c r="AI1512" s="20" t="str">
        <f>IF(AG1512="","",IF($F1512="Bernardino Furlan",_xlfn.XLOOKUP(AG1512,Cadastros!$G$6:$G$90,Cadastros!$H$6:$H$90)*(1-0.18),IF($F1512="Mauro José Salanti",_xlfn.XLOOKUP(AG1512,Cadastros!$G$6:$G$90,Cadastros!$H$6:$H$90)*(1-0.18),_xlfn.XLOOKUP(AG1512,Cadastros!$G$6:$G$90,Cadastros!$H$6:$H$90))))</f>
        <v/>
      </c>
      <c r="AJ1512" s="168" t="str">
        <f t="shared" si="306"/>
        <v/>
      </c>
      <c r="AK1512" s="168" t="str">
        <f t="shared" si="307"/>
        <v/>
      </c>
      <c r="AL1512" s="28"/>
      <c r="AM1512" s="28"/>
      <c r="AN1512" s="20" t="str">
        <f>IF(AL1512="","",IF($F1512="Bernardino Furlan",_xlfn.XLOOKUP(AL1512,Cadastros!$G$6:$G$90,Cadastros!$H$6:$H$90)*(1-0.18),IF($F1512="Mauro José Salanti",_xlfn.XLOOKUP(AL1512,Cadastros!$G$6:$G$90,Cadastros!$H$6:$H$90)*(1-0.18),_xlfn.XLOOKUP(AL1512,Cadastros!$G$6:$G$90,Cadastros!$H$6:$H$90))))</f>
        <v/>
      </c>
      <c r="AO1512" s="168" t="str">
        <f t="shared" si="308"/>
        <v/>
      </c>
      <c r="AP1512" s="168" t="str">
        <f t="shared" si="309"/>
        <v/>
      </c>
      <c r="AQ1512" s="28"/>
      <c r="AR1512" s="28"/>
      <c r="AS1512" s="20" t="str">
        <f>IF(AQ1512="","",IF($F1512="Bernardino Furlan",_xlfn.XLOOKUP(AQ1512,Cadastros!$G$6:$G$90,Cadastros!$H$6:$H$90)*(1-0.18),IF($F1512="Mauro José Salanti",_xlfn.XLOOKUP(AQ1512,Cadastros!$G$6:$G$90,Cadastros!$H$6:$H$90)*(1-0.18),_xlfn.XLOOKUP(AQ1512,Cadastros!$G$6:$G$90,Cadastros!$H$6:$H$90))))</f>
        <v/>
      </c>
      <c r="AT1512" s="168" t="str">
        <f t="shared" si="310"/>
        <v/>
      </c>
      <c r="AU1512" s="168" t="str">
        <f t="shared" si="311"/>
        <v/>
      </c>
      <c r="AV1512" s="227"/>
      <c r="AW1512" s="30"/>
      <c r="AX1512" s="267"/>
      <c r="AY1512" s="267"/>
      <c r="AZ1512" s="29"/>
      <c r="BA1512" s="30"/>
      <c r="BB1512" s="23" t="str" cm="1">
        <f t="array" ref="BB1512">_xlfn.IFS(AW1512="SIM",SUM(K1512,P1512,U1512,Z1512,AE1512,AJ1512,AO1512,AT1512,AX1512,AY1512),F1512&lt;&gt;"",SUM(K1512,P1512,U1512,Z1512,AE1512,AJ1512,,AO1512,AT1512),F1512="","")</f>
        <v/>
      </c>
      <c r="BC1512" s="211" t="str" cm="1">
        <f t="array" ref="BC1512">_xlfn.IFS(E1512="","",G1512&lt;=E1512,BB1512*(1-0.03),G1512&lt;(E1512+8),BB1512,AZ1512="Boleto",BB1512*(1+0.001)^DATEDIF(E1512,G1512,"D"),AZ1512="Cheque",BB1512,AZ1512="Dinheiro","Alterar forma pgto")</f>
        <v/>
      </c>
      <c r="BD1512" s="276" t="str" cm="1">
        <f t="array" ref="BD1512">IF(F1512=0," ",IF(BC1512&lt;BB1512,(_xlfn.IFS(AW1512="SIM",SUM(L1512,Q1512,V1512,AA1512,AF1512,AK1512,AP1512,AU1512)+AX1512/_xlfn.XLOOKUP(_xlfn.XLOOKUP($F1512,Clientes!$B$4:$B$39,Clientes!$C$4:$C$39),Cadastros!$L$6:$L$12,Cadastros!$M$6:$M$12)+IF($F1512="Bernardino Furlan",AY1512/2751.92,IF($F1512="Mauro José Salanti",AY1512/2751.92,AY1512/3356)),F1512&lt;&gt;0,SUM(L1512,Q1512,V1512,AA1512,AF1512,AK1512,AP1512,AU1512)))*(1-0.03),_xlfn.IFS(AW1512="SIM",SUM(L1512,Q1512,V1512,AA1512,AF1512,AK1512,AP1512,AU1512)+AX1512/_xlfn.XLOOKUP(_xlfn.XLOOKUP($F1512,Clientes!$B$4:$B$39,Clientes!$C$4:$C$39),Cadastros!$L$6:$L$12,Cadastros!$M$6:$M$12)+IF($F1512="Bernardino Furlan",AY1512/2751.92,IF($F1512="Mauro José Salanti",AY1512/2751.92,AY1512/3356)),F1512&lt;&gt;0,SUM(L1512,Q1512,V1512,AA1512,AF1512,AK1512,AP1512,AU1512))))</f>
        <v xml:space="preserve"> </v>
      </c>
      <c r="BE1512" s="120"/>
      <c r="BF1512" s="120"/>
      <c r="BG1512" s="120"/>
    </row>
    <row r="1513" spans="1:59" s="3" customFormat="1" x14ac:dyDescent="0.3">
      <c r="A1513" s="15" t="str">
        <f t="shared" si="299"/>
        <v/>
      </c>
      <c r="B1513" s="25"/>
      <c r="C1513" s="26"/>
      <c r="D1513" s="279"/>
      <c r="E1513" s="27"/>
      <c r="F1513" s="28"/>
      <c r="G1513" s="27"/>
      <c r="H1513" s="28"/>
      <c r="I1513" s="28"/>
      <c r="J1513" s="255" t="str">
        <f>IF(H1513="","",(_xlfn.XLOOKUP(H1513,Cadastros!$D$6:$D$90,Cadastros!$E$6:$E$90))*(1-_xlfn.XLOOKUP(_xlfn.XLOOKUP($F1513,Clientes!$B$4:$B$39,Clientes!$C$4:$C$39),Cadastros!$L$6:$L$12,Cadastros!$N$6:$N$12)))</f>
        <v/>
      </c>
      <c r="K1513" s="168" t="str">
        <f t="shared" si="300"/>
        <v/>
      </c>
      <c r="L1513" s="168" t="str">
        <f>IFERROR(K1513/_xlfn.XLOOKUP(_xlfn.XLOOKUP($F1513,Clientes!$B$4:$B$39,Clientes!$C$4:$C$39),Cadastros!$L$6:$L$12,Cadastros!$M$6:$M$12)," ")</f>
        <v xml:space="preserve"> </v>
      </c>
      <c r="M1513" s="28"/>
      <c r="N1513" s="28"/>
      <c r="O1513" s="255" t="str">
        <f>IF(M1513="","",(_xlfn.XLOOKUP(M1513,Cadastros!$D$6:$D$90,Cadastros!$E$6:$E$90))*(1-_xlfn.XLOOKUP(_xlfn.XLOOKUP($F1513,Clientes!$B$4:$B$39,Clientes!$C$4:$C$39),Cadastros!$L$6:$L$12,Cadastros!$N$6:$N$12)))</f>
        <v/>
      </c>
      <c r="P1513" s="168" t="str">
        <f t="shared" si="301"/>
        <v/>
      </c>
      <c r="Q1513" s="168" t="str">
        <f>IFERROR(P1513/_xlfn.XLOOKUP(_xlfn.XLOOKUP($F1513,Clientes!$B$4:$B$39,Clientes!$C$4:$C$39),Cadastros!$L$6:$L$12,Cadastros!$M$6:$M$12)," ")</f>
        <v xml:space="preserve"> </v>
      </c>
      <c r="R1513" s="28"/>
      <c r="S1513" s="28"/>
      <c r="T1513" s="255" t="str">
        <f>IF(R1513="","",(_xlfn.XLOOKUP(R1513,Cadastros!$D$6:$D$90,Cadastros!$E$6:$E$90))*(1-_xlfn.XLOOKUP(_xlfn.XLOOKUP($F1513,Clientes!$B$4:$B$39,Clientes!$C$4:$C$39),Cadastros!$L$6:$L$12,Cadastros!$N$6:$N$12)))</f>
        <v/>
      </c>
      <c r="U1513" s="168" t="str">
        <f t="shared" si="302"/>
        <v/>
      </c>
      <c r="V1513" s="168" t="str">
        <f>IFERROR(U1513/_xlfn.XLOOKUP(_xlfn.XLOOKUP($F1513,Clientes!$B$4:$B$39,Clientes!$C$4:$C$39),Cadastros!$L$6:$L$12,Cadastros!$M$6:$M$12)," ")</f>
        <v xml:space="preserve"> </v>
      </c>
      <c r="W1513" s="28"/>
      <c r="X1513" s="28"/>
      <c r="Y1513" s="255" t="str">
        <f>IF(W1513="","",(_xlfn.XLOOKUP(W1513,Cadastros!$D$6:$D$90,Cadastros!$E$6:$E$90))*(1-_xlfn.XLOOKUP(_xlfn.XLOOKUP($F1513,Clientes!$B$4:$B$39,Clientes!$C$4:$C$39),Cadastros!$L$6:$L$12,Cadastros!$N$6:$N$12)))</f>
        <v/>
      </c>
      <c r="Z1513" s="168" t="str">
        <f t="shared" si="303"/>
        <v/>
      </c>
      <c r="AA1513" s="168" t="str">
        <f>IFERROR(Z1513/_xlfn.XLOOKUP(_xlfn.XLOOKUP($F1513,Clientes!$B$4:$B$39,Clientes!$C$4:$C$39),Cadastros!$L$6:$L$12,Cadastros!$M$6:$M$12)," ")</f>
        <v xml:space="preserve"> </v>
      </c>
      <c r="AB1513" s="28"/>
      <c r="AC1513" s="28"/>
      <c r="AD1513" s="20" t="str">
        <f>IF(AB1513="","",IF($F1513="Bernardino Furlan",_xlfn.XLOOKUP(AB1513,Cadastros!$G$6:$G$90,Cadastros!$H$6:$H$90)*(1-0.18),IF($F1513="Mauro José Salanti",_xlfn.XLOOKUP(AB1513,Cadastros!$G$6:$G$90,Cadastros!$H$6:$H$90)*(1-0.18),_xlfn.XLOOKUP(AB1513,Cadastros!$G$6:$G$90,Cadastros!$H$6:$H$90))))</f>
        <v/>
      </c>
      <c r="AE1513" s="168" t="str">
        <f t="shared" si="304"/>
        <v/>
      </c>
      <c r="AF1513" s="168" t="str">
        <f t="shared" si="305"/>
        <v/>
      </c>
      <c r="AG1513" s="28"/>
      <c r="AH1513" s="28"/>
      <c r="AI1513" s="20" t="str">
        <f>IF(AG1513="","",IF($F1513="Bernardino Furlan",_xlfn.XLOOKUP(AG1513,Cadastros!$G$6:$G$90,Cadastros!$H$6:$H$90)*(1-0.18),IF($F1513="Mauro José Salanti",_xlfn.XLOOKUP(AG1513,Cadastros!$G$6:$G$90,Cadastros!$H$6:$H$90)*(1-0.18),_xlfn.XLOOKUP(AG1513,Cadastros!$G$6:$G$90,Cadastros!$H$6:$H$90))))</f>
        <v/>
      </c>
      <c r="AJ1513" s="168" t="str">
        <f t="shared" si="306"/>
        <v/>
      </c>
      <c r="AK1513" s="168" t="str">
        <f t="shared" si="307"/>
        <v/>
      </c>
      <c r="AL1513" s="28"/>
      <c r="AM1513" s="28"/>
      <c r="AN1513" s="20" t="str">
        <f>IF(AL1513="","",IF($F1513="Bernardino Furlan",_xlfn.XLOOKUP(AL1513,Cadastros!$G$6:$G$90,Cadastros!$H$6:$H$90)*(1-0.18),IF($F1513="Mauro José Salanti",_xlfn.XLOOKUP(AL1513,Cadastros!$G$6:$G$90,Cadastros!$H$6:$H$90)*(1-0.18),_xlfn.XLOOKUP(AL1513,Cadastros!$G$6:$G$90,Cadastros!$H$6:$H$90))))</f>
        <v/>
      </c>
      <c r="AO1513" s="168" t="str">
        <f t="shared" si="308"/>
        <v/>
      </c>
      <c r="AP1513" s="168" t="str">
        <f t="shared" si="309"/>
        <v/>
      </c>
      <c r="AQ1513" s="28"/>
      <c r="AR1513" s="28"/>
      <c r="AS1513" s="20" t="str">
        <f>IF(AQ1513="","",IF($F1513="Bernardino Furlan",_xlfn.XLOOKUP(AQ1513,Cadastros!$G$6:$G$90,Cadastros!$H$6:$H$90)*(1-0.18),IF($F1513="Mauro José Salanti",_xlfn.XLOOKUP(AQ1513,Cadastros!$G$6:$G$90,Cadastros!$H$6:$H$90)*(1-0.18),_xlfn.XLOOKUP(AQ1513,Cadastros!$G$6:$G$90,Cadastros!$H$6:$H$90))))</f>
        <v/>
      </c>
      <c r="AT1513" s="168" t="str">
        <f t="shared" si="310"/>
        <v/>
      </c>
      <c r="AU1513" s="168" t="str">
        <f t="shared" si="311"/>
        <v/>
      </c>
      <c r="AV1513" s="227"/>
      <c r="AW1513" s="30"/>
      <c r="AX1513" s="267"/>
      <c r="AY1513" s="267"/>
      <c r="AZ1513" s="29"/>
      <c r="BA1513" s="30"/>
      <c r="BB1513" s="23" t="str" cm="1">
        <f t="array" ref="BB1513">_xlfn.IFS(AW1513="SIM",SUM(K1513,P1513,U1513,Z1513,AE1513,AJ1513,AO1513,AT1513,AX1513,AY1513),F1513&lt;&gt;"",SUM(K1513,P1513,U1513,Z1513,AE1513,AJ1513,,AO1513,AT1513),F1513="","")</f>
        <v/>
      </c>
      <c r="BC1513" s="211" t="str" cm="1">
        <f t="array" ref="BC1513">_xlfn.IFS(E1513="","",G1513&lt;=E1513,BB1513*(1-0.03),G1513&lt;(E1513+8),BB1513,AZ1513="Boleto",BB1513*(1+0.001)^DATEDIF(E1513,G1513,"D"),AZ1513="Cheque",BB1513,AZ1513="Dinheiro","Alterar forma pgto")</f>
        <v/>
      </c>
      <c r="BD1513" s="276" t="str" cm="1">
        <f t="array" ref="BD1513">IF(F1513=0," ",IF(BC1513&lt;BB1513,(_xlfn.IFS(AW1513="SIM",SUM(L1513,Q1513,V1513,AA1513,AF1513,AK1513,AP1513,AU1513)+AX1513/_xlfn.XLOOKUP(_xlfn.XLOOKUP($F1513,Clientes!$B$4:$B$39,Clientes!$C$4:$C$39),Cadastros!$L$6:$L$12,Cadastros!$M$6:$M$12)+IF($F1513="Bernardino Furlan",AY1513/2751.92,IF($F1513="Mauro José Salanti",AY1513/2751.92,AY1513/3356)),F1513&lt;&gt;0,SUM(L1513,Q1513,V1513,AA1513,AF1513,AK1513,AP1513,AU1513)))*(1-0.03),_xlfn.IFS(AW1513="SIM",SUM(L1513,Q1513,V1513,AA1513,AF1513,AK1513,AP1513,AU1513)+AX1513/_xlfn.XLOOKUP(_xlfn.XLOOKUP($F1513,Clientes!$B$4:$B$39,Clientes!$C$4:$C$39),Cadastros!$L$6:$L$12,Cadastros!$M$6:$M$12)+IF($F1513="Bernardino Furlan",AY1513/2751.92,IF($F1513="Mauro José Salanti",AY1513/2751.92,AY1513/3356)),F1513&lt;&gt;0,SUM(L1513,Q1513,V1513,AA1513,AF1513,AK1513,AP1513,AU1513))))</f>
        <v xml:space="preserve"> </v>
      </c>
      <c r="BE1513" s="120"/>
      <c r="BF1513" s="120"/>
      <c r="BG1513" s="120"/>
    </row>
    <row r="1514" spans="1:59" s="3" customFormat="1" x14ac:dyDescent="0.3">
      <c r="A1514" s="15" t="str">
        <f t="shared" si="299"/>
        <v/>
      </c>
      <c r="B1514" s="25"/>
      <c r="C1514" s="26"/>
      <c r="D1514" s="279"/>
      <c r="E1514" s="27"/>
      <c r="F1514" s="28"/>
      <c r="G1514" s="27"/>
      <c r="H1514" s="28"/>
      <c r="I1514" s="28"/>
      <c r="J1514" s="255" t="str">
        <f>IF(H1514="","",(_xlfn.XLOOKUP(H1514,Cadastros!$D$6:$D$90,Cadastros!$E$6:$E$90))*(1-_xlfn.XLOOKUP(_xlfn.XLOOKUP($F1514,Clientes!$B$4:$B$39,Clientes!$C$4:$C$39),Cadastros!$L$6:$L$12,Cadastros!$N$6:$N$12)))</f>
        <v/>
      </c>
      <c r="K1514" s="168" t="str">
        <f t="shared" si="300"/>
        <v/>
      </c>
      <c r="L1514" s="168" t="str">
        <f>IFERROR(K1514/_xlfn.XLOOKUP(_xlfn.XLOOKUP($F1514,Clientes!$B$4:$B$39,Clientes!$C$4:$C$39),Cadastros!$L$6:$L$12,Cadastros!$M$6:$M$12)," ")</f>
        <v xml:space="preserve"> </v>
      </c>
      <c r="M1514" s="28"/>
      <c r="N1514" s="28"/>
      <c r="O1514" s="255" t="str">
        <f>IF(M1514="","",(_xlfn.XLOOKUP(M1514,Cadastros!$D$6:$D$90,Cadastros!$E$6:$E$90))*(1-_xlfn.XLOOKUP(_xlfn.XLOOKUP($F1514,Clientes!$B$4:$B$39,Clientes!$C$4:$C$39),Cadastros!$L$6:$L$12,Cadastros!$N$6:$N$12)))</f>
        <v/>
      </c>
      <c r="P1514" s="168" t="str">
        <f t="shared" si="301"/>
        <v/>
      </c>
      <c r="Q1514" s="168" t="str">
        <f>IFERROR(P1514/_xlfn.XLOOKUP(_xlfn.XLOOKUP($F1514,Clientes!$B$4:$B$39,Clientes!$C$4:$C$39),Cadastros!$L$6:$L$12,Cadastros!$M$6:$M$12)," ")</f>
        <v xml:space="preserve"> </v>
      </c>
      <c r="R1514" s="28"/>
      <c r="S1514" s="28"/>
      <c r="T1514" s="255" t="str">
        <f>IF(R1514="","",(_xlfn.XLOOKUP(R1514,Cadastros!$D$6:$D$90,Cadastros!$E$6:$E$90))*(1-_xlfn.XLOOKUP(_xlfn.XLOOKUP($F1514,Clientes!$B$4:$B$39,Clientes!$C$4:$C$39),Cadastros!$L$6:$L$12,Cadastros!$N$6:$N$12)))</f>
        <v/>
      </c>
      <c r="U1514" s="168" t="str">
        <f t="shared" si="302"/>
        <v/>
      </c>
      <c r="V1514" s="168" t="str">
        <f>IFERROR(U1514/_xlfn.XLOOKUP(_xlfn.XLOOKUP($F1514,Clientes!$B$4:$B$39,Clientes!$C$4:$C$39),Cadastros!$L$6:$L$12,Cadastros!$M$6:$M$12)," ")</f>
        <v xml:space="preserve"> </v>
      </c>
      <c r="W1514" s="28"/>
      <c r="X1514" s="28"/>
      <c r="Y1514" s="255" t="str">
        <f>IF(W1514="","",(_xlfn.XLOOKUP(W1514,Cadastros!$D$6:$D$90,Cadastros!$E$6:$E$90))*(1-_xlfn.XLOOKUP(_xlfn.XLOOKUP($F1514,Clientes!$B$4:$B$39,Clientes!$C$4:$C$39),Cadastros!$L$6:$L$12,Cadastros!$N$6:$N$12)))</f>
        <v/>
      </c>
      <c r="Z1514" s="168" t="str">
        <f t="shared" si="303"/>
        <v/>
      </c>
      <c r="AA1514" s="168" t="str">
        <f>IFERROR(Z1514/_xlfn.XLOOKUP(_xlfn.XLOOKUP($F1514,Clientes!$B$4:$B$39,Clientes!$C$4:$C$39),Cadastros!$L$6:$L$12,Cadastros!$M$6:$M$12)," ")</f>
        <v xml:space="preserve"> </v>
      </c>
      <c r="AB1514" s="28"/>
      <c r="AC1514" s="28"/>
      <c r="AD1514" s="20" t="str">
        <f>IF(AB1514="","",IF($F1514="Bernardino Furlan",_xlfn.XLOOKUP(AB1514,Cadastros!$G$6:$G$90,Cadastros!$H$6:$H$90)*(1-0.18),IF($F1514="Mauro José Salanti",_xlfn.XLOOKUP(AB1514,Cadastros!$G$6:$G$90,Cadastros!$H$6:$H$90)*(1-0.18),_xlfn.XLOOKUP(AB1514,Cadastros!$G$6:$G$90,Cadastros!$H$6:$H$90))))</f>
        <v/>
      </c>
      <c r="AE1514" s="168" t="str">
        <f t="shared" si="304"/>
        <v/>
      </c>
      <c r="AF1514" s="168" t="str">
        <f t="shared" si="305"/>
        <v/>
      </c>
      <c r="AG1514" s="28"/>
      <c r="AH1514" s="28"/>
      <c r="AI1514" s="20" t="str">
        <f>IF(AG1514="","",IF($F1514="Bernardino Furlan",_xlfn.XLOOKUP(AG1514,Cadastros!$G$6:$G$90,Cadastros!$H$6:$H$90)*(1-0.18),IF($F1514="Mauro José Salanti",_xlfn.XLOOKUP(AG1514,Cadastros!$G$6:$G$90,Cadastros!$H$6:$H$90)*(1-0.18),_xlfn.XLOOKUP(AG1514,Cadastros!$G$6:$G$90,Cadastros!$H$6:$H$90))))</f>
        <v/>
      </c>
      <c r="AJ1514" s="168" t="str">
        <f t="shared" si="306"/>
        <v/>
      </c>
      <c r="AK1514" s="168" t="str">
        <f t="shared" si="307"/>
        <v/>
      </c>
      <c r="AL1514" s="28"/>
      <c r="AM1514" s="28"/>
      <c r="AN1514" s="20" t="str">
        <f>IF(AL1514="","",IF($F1514="Bernardino Furlan",_xlfn.XLOOKUP(AL1514,Cadastros!$G$6:$G$90,Cadastros!$H$6:$H$90)*(1-0.18),IF($F1514="Mauro José Salanti",_xlfn.XLOOKUP(AL1514,Cadastros!$G$6:$G$90,Cadastros!$H$6:$H$90)*(1-0.18),_xlfn.XLOOKUP(AL1514,Cadastros!$G$6:$G$90,Cadastros!$H$6:$H$90))))</f>
        <v/>
      </c>
      <c r="AO1514" s="168" t="str">
        <f t="shared" si="308"/>
        <v/>
      </c>
      <c r="AP1514" s="168" t="str">
        <f t="shared" si="309"/>
        <v/>
      </c>
      <c r="AQ1514" s="28"/>
      <c r="AR1514" s="28"/>
      <c r="AS1514" s="20" t="str">
        <f>IF(AQ1514="","",IF($F1514="Bernardino Furlan",_xlfn.XLOOKUP(AQ1514,Cadastros!$G$6:$G$90,Cadastros!$H$6:$H$90)*(1-0.18),IF($F1514="Mauro José Salanti",_xlfn.XLOOKUP(AQ1514,Cadastros!$G$6:$G$90,Cadastros!$H$6:$H$90)*(1-0.18),_xlfn.XLOOKUP(AQ1514,Cadastros!$G$6:$G$90,Cadastros!$H$6:$H$90))))</f>
        <v/>
      </c>
      <c r="AT1514" s="168" t="str">
        <f t="shared" si="310"/>
        <v/>
      </c>
      <c r="AU1514" s="168" t="str">
        <f t="shared" si="311"/>
        <v/>
      </c>
      <c r="AV1514" s="227"/>
      <c r="AW1514" s="30"/>
      <c r="AX1514" s="267"/>
      <c r="AY1514" s="267"/>
      <c r="AZ1514" s="29"/>
      <c r="BA1514" s="30"/>
      <c r="BB1514" s="23" t="str" cm="1">
        <f t="array" ref="BB1514">_xlfn.IFS(AW1514="SIM",SUM(K1514,P1514,U1514,Z1514,AE1514,AJ1514,AO1514,AT1514,AX1514,AY1514),F1514&lt;&gt;"",SUM(K1514,P1514,U1514,Z1514,AE1514,AJ1514,,AO1514,AT1514),F1514="","")</f>
        <v/>
      </c>
      <c r="BC1514" s="211" t="str" cm="1">
        <f t="array" ref="BC1514">_xlfn.IFS(E1514="","",G1514&lt;=E1514,BB1514*(1-0.03),G1514&lt;(E1514+8),BB1514,AZ1514="Boleto",BB1514*(1+0.001)^DATEDIF(E1514,G1514,"D"),AZ1514="Cheque",BB1514,AZ1514="Dinheiro","Alterar forma pgto")</f>
        <v/>
      </c>
      <c r="BD1514" s="276" t="str" cm="1">
        <f t="array" ref="BD1514">IF(F1514=0," ",IF(BC1514&lt;BB1514,(_xlfn.IFS(AW1514="SIM",SUM(L1514,Q1514,V1514,AA1514,AF1514,AK1514,AP1514,AU1514)+AX1514/_xlfn.XLOOKUP(_xlfn.XLOOKUP($F1514,Clientes!$B$4:$B$39,Clientes!$C$4:$C$39),Cadastros!$L$6:$L$12,Cadastros!$M$6:$M$12)+IF($F1514="Bernardino Furlan",AY1514/2751.92,IF($F1514="Mauro José Salanti",AY1514/2751.92,AY1514/3356)),F1514&lt;&gt;0,SUM(L1514,Q1514,V1514,AA1514,AF1514,AK1514,AP1514,AU1514)))*(1-0.03),_xlfn.IFS(AW1514="SIM",SUM(L1514,Q1514,V1514,AA1514,AF1514,AK1514,AP1514,AU1514)+AX1514/_xlfn.XLOOKUP(_xlfn.XLOOKUP($F1514,Clientes!$B$4:$B$39,Clientes!$C$4:$C$39),Cadastros!$L$6:$L$12,Cadastros!$M$6:$M$12)+IF($F1514="Bernardino Furlan",AY1514/2751.92,IF($F1514="Mauro José Salanti",AY1514/2751.92,AY1514/3356)),F1514&lt;&gt;0,SUM(L1514,Q1514,V1514,AA1514,AF1514,AK1514,AP1514,AU1514))))</f>
        <v xml:space="preserve"> </v>
      </c>
      <c r="BE1514" s="120"/>
      <c r="BF1514" s="120"/>
      <c r="BG1514" s="120"/>
    </row>
    <row r="1515" spans="1:59" s="3" customFormat="1" x14ac:dyDescent="0.3">
      <c r="A1515" s="15" t="str">
        <f t="shared" si="299"/>
        <v/>
      </c>
      <c r="B1515" s="25"/>
      <c r="C1515" s="26"/>
      <c r="D1515" s="279"/>
      <c r="E1515" s="27"/>
      <c r="F1515" s="28"/>
      <c r="G1515" s="27"/>
      <c r="H1515" s="28"/>
      <c r="I1515" s="28"/>
      <c r="J1515" s="255" t="str">
        <f>IF(H1515="","",(_xlfn.XLOOKUP(H1515,Cadastros!$D$6:$D$90,Cadastros!$E$6:$E$90))*(1-_xlfn.XLOOKUP(_xlfn.XLOOKUP($F1515,Clientes!$B$4:$B$39,Clientes!$C$4:$C$39),Cadastros!$L$6:$L$12,Cadastros!$N$6:$N$12)))</f>
        <v/>
      </c>
      <c r="K1515" s="168" t="str">
        <f t="shared" si="300"/>
        <v/>
      </c>
      <c r="L1515" s="168" t="str">
        <f>IFERROR(K1515/_xlfn.XLOOKUP(_xlfn.XLOOKUP($F1515,Clientes!$B$4:$B$39,Clientes!$C$4:$C$39),Cadastros!$L$6:$L$12,Cadastros!$M$6:$M$12)," ")</f>
        <v xml:space="preserve"> </v>
      </c>
      <c r="M1515" s="28"/>
      <c r="N1515" s="28"/>
      <c r="O1515" s="255" t="str">
        <f>IF(M1515="","",(_xlfn.XLOOKUP(M1515,Cadastros!$D$6:$D$90,Cadastros!$E$6:$E$90))*(1-_xlfn.XLOOKUP(_xlfn.XLOOKUP($F1515,Clientes!$B$4:$B$39,Clientes!$C$4:$C$39),Cadastros!$L$6:$L$12,Cadastros!$N$6:$N$12)))</f>
        <v/>
      </c>
      <c r="P1515" s="168" t="str">
        <f t="shared" si="301"/>
        <v/>
      </c>
      <c r="Q1515" s="168" t="str">
        <f>IFERROR(P1515/_xlfn.XLOOKUP(_xlfn.XLOOKUP($F1515,Clientes!$B$4:$B$39,Clientes!$C$4:$C$39),Cadastros!$L$6:$L$12,Cadastros!$M$6:$M$12)," ")</f>
        <v xml:space="preserve"> </v>
      </c>
      <c r="R1515" s="28"/>
      <c r="S1515" s="28"/>
      <c r="T1515" s="255" t="str">
        <f>IF(R1515="","",(_xlfn.XLOOKUP(R1515,Cadastros!$D$6:$D$90,Cadastros!$E$6:$E$90))*(1-_xlfn.XLOOKUP(_xlfn.XLOOKUP($F1515,Clientes!$B$4:$B$39,Clientes!$C$4:$C$39),Cadastros!$L$6:$L$12,Cadastros!$N$6:$N$12)))</f>
        <v/>
      </c>
      <c r="U1515" s="168" t="str">
        <f t="shared" si="302"/>
        <v/>
      </c>
      <c r="V1515" s="168" t="str">
        <f>IFERROR(U1515/_xlfn.XLOOKUP(_xlfn.XLOOKUP($F1515,Clientes!$B$4:$B$39,Clientes!$C$4:$C$39),Cadastros!$L$6:$L$12,Cadastros!$M$6:$M$12)," ")</f>
        <v xml:space="preserve"> </v>
      </c>
      <c r="W1515" s="28"/>
      <c r="X1515" s="28"/>
      <c r="Y1515" s="255" t="str">
        <f>IF(W1515="","",(_xlfn.XLOOKUP(W1515,Cadastros!$D$6:$D$90,Cadastros!$E$6:$E$90))*(1-_xlfn.XLOOKUP(_xlfn.XLOOKUP($F1515,Clientes!$B$4:$B$39,Clientes!$C$4:$C$39),Cadastros!$L$6:$L$12,Cadastros!$N$6:$N$12)))</f>
        <v/>
      </c>
      <c r="Z1515" s="168" t="str">
        <f t="shared" si="303"/>
        <v/>
      </c>
      <c r="AA1515" s="168" t="str">
        <f>IFERROR(Z1515/_xlfn.XLOOKUP(_xlfn.XLOOKUP($F1515,Clientes!$B$4:$B$39,Clientes!$C$4:$C$39),Cadastros!$L$6:$L$12,Cadastros!$M$6:$M$12)," ")</f>
        <v xml:space="preserve"> </v>
      </c>
      <c r="AB1515" s="28"/>
      <c r="AC1515" s="28"/>
      <c r="AD1515" s="20" t="str">
        <f>IF(AB1515="","",IF($F1515="Bernardino Furlan",_xlfn.XLOOKUP(AB1515,Cadastros!$G$6:$G$90,Cadastros!$H$6:$H$90)*(1-0.18),IF($F1515="Mauro José Salanti",_xlfn.XLOOKUP(AB1515,Cadastros!$G$6:$G$90,Cadastros!$H$6:$H$90)*(1-0.18),_xlfn.XLOOKUP(AB1515,Cadastros!$G$6:$G$90,Cadastros!$H$6:$H$90))))</f>
        <v/>
      </c>
      <c r="AE1515" s="168" t="str">
        <f t="shared" si="304"/>
        <v/>
      </c>
      <c r="AF1515" s="168" t="str">
        <f t="shared" si="305"/>
        <v/>
      </c>
      <c r="AG1515" s="28"/>
      <c r="AH1515" s="28"/>
      <c r="AI1515" s="20" t="str">
        <f>IF(AG1515="","",IF($F1515="Bernardino Furlan",_xlfn.XLOOKUP(AG1515,Cadastros!$G$6:$G$90,Cadastros!$H$6:$H$90)*(1-0.18),IF($F1515="Mauro José Salanti",_xlfn.XLOOKUP(AG1515,Cadastros!$G$6:$G$90,Cadastros!$H$6:$H$90)*(1-0.18),_xlfn.XLOOKUP(AG1515,Cadastros!$G$6:$G$90,Cadastros!$H$6:$H$90))))</f>
        <v/>
      </c>
      <c r="AJ1515" s="168" t="str">
        <f t="shared" si="306"/>
        <v/>
      </c>
      <c r="AK1515" s="168" t="str">
        <f t="shared" si="307"/>
        <v/>
      </c>
      <c r="AL1515" s="28"/>
      <c r="AM1515" s="28"/>
      <c r="AN1515" s="20" t="str">
        <f>IF(AL1515="","",IF($F1515="Bernardino Furlan",_xlfn.XLOOKUP(AL1515,Cadastros!$G$6:$G$90,Cadastros!$H$6:$H$90)*(1-0.18),IF($F1515="Mauro José Salanti",_xlfn.XLOOKUP(AL1515,Cadastros!$G$6:$G$90,Cadastros!$H$6:$H$90)*(1-0.18),_xlfn.XLOOKUP(AL1515,Cadastros!$G$6:$G$90,Cadastros!$H$6:$H$90))))</f>
        <v/>
      </c>
      <c r="AO1515" s="168" t="str">
        <f t="shared" si="308"/>
        <v/>
      </c>
      <c r="AP1515" s="168" t="str">
        <f t="shared" si="309"/>
        <v/>
      </c>
      <c r="AQ1515" s="28"/>
      <c r="AR1515" s="28"/>
      <c r="AS1515" s="20" t="str">
        <f>IF(AQ1515="","",IF($F1515="Bernardino Furlan",_xlfn.XLOOKUP(AQ1515,Cadastros!$G$6:$G$90,Cadastros!$H$6:$H$90)*(1-0.18),IF($F1515="Mauro José Salanti",_xlfn.XLOOKUP(AQ1515,Cadastros!$G$6:$G$90,Cadastros!$H$6:$H$90)*(1-0.18),_xlfn.XLOOKUP(AQ1515,Cadastros!$G$6:$G$90,Cadastros!$H$6:$H$90))))</f>
        <v/>
      </c>
      <c r="AT1515" s="168" t="str">
        <f t="shared" si="310"/>
        <v/>
      </c>
      <c r="AU1515" s="168" t="str">
        <f t="shared" si="311"/>
        <v/>
      </c>
      <c r="AV1515" s="227"/>
      <c r="AW1515" s="30"/>
      <c r="AX1515" s="267"/>
      <c r="AY1515" s="267"/>
      <c r="AZ1515" s="29"/>
      <c r="BA1515" s="30"/>
      <c r="BB1515" s="23" t="str" cm="1">
        <f t="array" ref="BB1515">_xlfn.IFS(AW1515="SIM",SUM(K1515,P1515,U1515,Z1515,AE1515,AJ1515,AO1515,AT1515,AX1515,AY1515),F1515&lt;&gt;"",SUM(K1515,P1515,U1515,Z1515,AE1515,AJ1515,,AO1515,AT1515),F1515="","")</f>
        <v/>
      </c>
      <c r="BC1515" s="211" t="str" cm="1">
        <f t="array" ref="BC1515">_xlfn.IFS(E1515="","",G1515&lt;=E1515,BB1515*(1-0.03),G1515&lt;(E1515+8),BB1515,AZ1515="Boleto",BB1515*(1+0.001)^DATEDIF(E1515,G1515,"D"),AZ1515="Cheque",BB1515,AZ1515="Dinheiro","Alterar forma pgto")</f>
        <v/>
      </c>
      <c r="BD1515" s="276" t="str" cm="1">
        <f t="array" ref="BD1515">IF(F1515=0," ",IF(BC1515&lt;BB1515,(_xlfn.IFS(AW1515="SIM",SUM(L1515,Q1515,V1515,AA1515,AF1515,AK1515,AP1515,AU1515)+AX1515/_xlfn.XLOOKUP(_xlfn.XLOOKUP($F1515,Clientes!$B$4:$B$39,Clientes!$C$4:$C$39),Cadastros!$L$6:$L$12,Cadastros!$M$6:$M$12)+IF($F1515="Bernardino Furlan",AY1515/2751.92,IF($F1515="Mauro José Salanti",AY1515/2751.92,AY1515/3356)),F1515&lt;&gt;0,SUM(L1515,Q1515,V1515,AA1515,AF1515,AK1515,AP1515,AU1515)))*(1-0.03),_xlfn.IFS(AW1515="SIM",SUM(L1515,Q1515,V1515,AA1515,AF1515,AK1515,AP1515,AU1515)+AX1515/_xlfn.XLOOKUP(_xlfn.XLOOKUP($F1515,Clientes!$B$4:$B$39,Clientes!$C$4:$C$39),Cadastros!$L$6:$L$12,Cadastros!$M$6:$M$12)+IF($F1515="Bernardino Furlan",AY1515/2751.92,IF($F1515="Mauro José Salanti",AY1515/2751.92,AY1515/3356)),F1515&lt;&gt;0,SUM(L1515,Q1515,V1515,AA1515,AF1515,AK1515,AP1515,AU1515))))</f>
        <v xml:space="preserve"> </v>
      </c>
      <c r="BE1515" s="120"/>
      <c r="BF1515" s="120"/>
      <c r="BG1515" s="120"/>
    </row>
    <row r="1516" spans="1:59" s="3" customFormat="1" x14ac:dyDescent="0.3">
      <c r="A1516" s="15" t="str">
        <f t="shared" si="299"/>
        <v/>
      </c>
      <c r="B1516" s="25"/>
      <c r="C1516" s="26"/>
      <c r="D1516" s="279"/>
      <c r="E1516" s="27"/>
      <c r="F1516" s="28"/>
      <c r="G1516" s="27"/>
      <c r="H1516" s="28"/>
      <c r="I1516" s="28"/>
      <c r="J1516" s="255" t="str">
        <f>IF(H1516="","",(_xlfn.XLOOKUP(H1516,Cadastros!$D$6:$D$90,Cadastros!$E$6:$E$90))*(1-_xlfn.XLOOKUP(_xlfn.XLOOKUP($F1516,Clientes!$B$4:$B$39,Clientes!$C$4:$C$39),Cadastros!$L$6:$L$12,Cadastros!$N$6:$N$12)))</f>
        <v/>
      </c>
      <c r="K1516" s="168" t="str">
        <f t="shared" si="300"/>
        <v/>
      </c>
      <c r="L1516" s="168" t="str">
        <f>IFERROR(K1516/_xlfn.XLOOKUP(_xlfn.XLOOKUP($F1516,Clientes!$B$4:$B$39,Clientes!$C$4:$C$39),Cadastros!$L$6:$L$12,Cadastros!$M$6:$M$12)," ")</f>
        <v xml:space="preserve"> </v>
      </c>
      <c r="M1516" s="28"/>
      <c r="N1516" s="28"/>
      <c r="O1516" s="255" t="str">
        <f>IF(M1516="","",(_xlfn.XLOOKUP(M1516,Cadastros!$D$6:$D$90,Cadastros!$E$6:$E$90))*(1-_xlfn.XLOOKUP(_xlfn.XLOOKUP($F1516,Clientes!$B$4:$B$39,Clientes!$C$4:$C$39),Cadastros!$L$6:$L$12,Cadastros!$N$6:$N$12)))</f>
        <v/>
      </c>
      <c r="P1516" s="168" t="str">
        <f t="shared" si="301"/>
        <v/>
      </c>
      <c r="Q1516" s="168" t="str">
        <f>IFERROR(P1516/_xlfn.XLOOKUP(_xlfn.XLOOKUP($F1516,Clientes!$B$4:$B$39,Clientes!$C$4:$C$39),Cadastros!$L$6:$L$12,Cadastros!$M$6:$M$12)," ")</f>
        <v xml:space="preserve"> </v>
      </c>
      <c r="R1516" s="28"/>
      <c r="S1516" s="28"/>
      <c r="T1516" s="255" t="str">
        <f>IF(R1516="","",(_xlfn.XLOOKUP(R1516,Cadastros!$D$6:$D$90,Cadastros!$E$6:$E$90))*(1-_xlfn.XLOOKUP(_xlfn.XLOOKUP($F1516,Clientes!$B$4:$B$39,Clientes!$C$4:$C$39),Cadastros!$L$6:$L$12,Cadastros!$N$6:$N$12)))</f>
        <v/>
      </c>
      <c r="U1516" s="168" t="str">
        <f t="shared" si="302"/>
        <v/>
      </c>
      <c r="V1516" s="168" t="str">
        <f>IFERROR(U1516/_xlfn.XLOOKUP(_xlfn.XLOOKUP($F1516,Clientes!$B$4:$B$39,Clientes!$C$4:$C$39),Cadastros!$L$6:$L$12,Cadastros!$M$6:$M$12)," ")</f>
        <v xml:space="preserve"> </v>
      </c>
      <c r="W1516" s="28"/>
      <c r="X1516" s="28"/>
      <c r="Y1516" s="255" t="str">
        <f>IF(W1516="","",(_xlfn.XLOOKUP(W1516,Cadastros!$D$6:$D$90,Cadastros!$E$6:$E$90))*(1-_xlfn.XLOOKUP(_xlfn.XLOOKUP($F1516,Clientes!$B$4:$B$39,Clientes!$C$4:$C$39),Cadastros!$L$6:$L$12,Cadastros!$N$6:$N$12)))</f>
        <v/>
      </c>
      <c r="Z1516" s="168" t="str">
        <f t="shared" si="303"/>
        <v/>
      </c>
      <c r="AA1516" s="168" t="str">
        <f>IFERROR(Z1516/_xlfn.XLOOKUP(_xlfn.XLOOKUP($F1516,Clientes!$B$4:$B$39,Clientes!$C$4:$C$39),Cadastros!$L$6:$L$12,Cadastros!$M$6:$M$12)," ")</f>
        <v xml:space="preserve"> </v>
      </c>
      <c r="AB1516" s="28"/>
      <c r="AC1516" s="28"/>
      <c r="AD1516" s="20" t="str">
        <f>IF(AB1516="","",IF($F1516="Bernardino Furlan",_xlfn.XLOOKUP(AB1516,Cadastros!$G$6:$G$90,Cadastros!$H$6:$H$90)*(1-0.18),IF($F1516="Mauro José Salanti",_xlfn.XLOOKUP(AB1516,Cadastros!$G$6:$G$90,Cadastros!$H$6:$H$90)*(1-0.18),_xlfn.XLOOKUP(AB1516,Cadastros!$G$6:$G$90,Cadastros!$H$6:$H$90))))</f>
        <v/>
      </c>
      <c r="AE1516" s="168" t="str">
        <f t="shared" si="304"/>
        <v/>
      </c>
      <c r="AF1516" s="168" t="str">
        <f t="shared" si="305"/>
        <v/>
      </c>
      <c r="AG1516" s="28"/>
      <c r="AH1516" s="28"/>
      <c r="AI1516" s="20" t="str">
        <f>IF(AG1516="","",IF($F1516="Bernardino Furlan",_xlfn.XLOOKUP(AG1516,Cadastros!$G$6:$G$90,Cadastros!$H$6:$H$90)*(1-0.18),IF($F1516="Mauro José Salanti",_xlfn.XLOOKUP(AG1516,Cadastros!$G$6:$G$90,Cadastros!$H$6:$H$90)*(1-0.18),_xlfn.XLOOKUP(AG1516,Cadastros!$G$6:$G$90,Cadastros!$H$6:$H$90))))</f>
        <v/>
      </c>
      <c r="AJ1516" s="168" t="str">
        <f t="shared" si="306"/>
        <v/>
      </c>
      <c r="AK1516" s="168" t="str">
        <f t="shared" si="307"/>
        <v/>
      </c>
      <c r="AL1516" s="28"/>
      <c r="AM1516" s="28"/>
      <c r="AN1516" s="20" t="str">
        <f>IF(AL1516="","",IF($F1516="Bernardino Furlan",_xlfn.XLOOKUP(AL1516,Cadastros!$G$6:$G$90,Cadastros!$H$6:$H$90)*(1-0.18),IF($F1516="Mauro José Salanti",_xlfn.XLOOKUP(AL1516,Cadastros!$G$6:$G$90,Cadastros!$H$6:$H$90)*(1-0.18),_xlfn.XLOOKUP(AL1516,Cadastros!$G$6:$G$90,Cadastros!$H$6:$H$90))))</f>
        <v/>
      </c>
      <c r="AO1516" s="168" t="str">
        <f t="shared" si="308"/>
        <v/>
      </c>
      <c r="AP1516" s="168" t="str">
        <f t="shared" si="309"/>
        <v/>
      </c>
      <c r="AQ1516" s="28"/>
      <c r="AR1516" s="28"/>
      <c r="AS1516" s="20" t="str">
        <f>IF(AQ1516="","",IF($F1516="Bernardino Furlan",_xlfn.XLOOKUP(AQ1516,Cadastros!$G$6:$G$90,Cadastros!$H$6:$H$90)*(1-0.18),IF($F1516="Mauro José Salanti",_xlfn.XLOOKUP(AQ1516,Cadastros!$G$6:$G$90,Cadastros!$H$6:$H$90)*(1-0.18),_xlfn.XLOOKUP(AQ1516,Cadastros!$G$6:$G$90,Cadastros!$H$6:$H$90))))</f>
        <v/>
      </c>
      <c r="AT1516" s="168" t="str">
        <f t="shared" si="310"/>
        <v/>
      </c>
      <c r="AU1516" s="168" t="str">
        <f t="shared" si="311"/>
        <v/>
      </c>
      <c r="AV1516" s="227"/>
      <c r="AW1516" s="30"/>
      <c r="AX1516" s="267"/>
      <c r="AY1516" s="267"/>
      <c r="AZ1516" s="29"/>
      <c r="BA1516" s="30"/>
      <c r="BB1516" s="23" t="str" cm="1">
        <f t="array" ref="BB1516">_xlfn.IFS(AW1516="SIM",SUM(K1516,P1516,U1516,Z1516,AE1516,AJ1516,AO1516,AT1516,AX1516,AY1516),F1516&lt;&gt;"",SUM(K1516,P1516,U1516,Z1516,AE1516,AJ1516,,AO1516,AT1516),F1516="","")</f>
        <v/>
      </c>
      <c r="BC1516" s="211" t="str" cm="1">
        <f t="array" ref="BC1516">_xlfn.IFS(E1516="","",G1516&lt;=E1516,BB1516*(1-0.03),G1516&lt;(E1516+8),BB1516,AZ1516="Boleto",BB1516*(1+0.001)^DATEDIF(E1516,G1516,"D"),AZ1516="Cheque",BB1516,AZ1516="Dinheiro","Alterar forma pgto")</f>
        <v/>
      </c>
      <c r="BD1516" s="276" t="str" cm="1">
        <f t="array" ref="BD1516">IF(F1516=0," ",IF(BC1516&lt;BB1516,(_xlfn.IFS(AW1516="SIM",SUM(L1516,Q1516,V1516,AA1516,AF1516,AK1516,AP1516,AU1516)+AX1516/_xlfn.XLOOKUP(_xlfn.XLOOKUP($F1516,Clientes!$B$4:$B$39,Clientes!$C$4:$C$39),Cadastros!$L$6:$L$12,Cadastros!$M$6:$M$12)+IF($F1516="Bernardino Furlan",AY1516/2751.92,IF($F1516="Mauro José Salanti",AY1516/2751.92,AY1516/3356)),F1516&lt;&gt;0,SUM(L1516,Q1516,V1516,AA1516,AF1516,AK1516,AP1516,AU1516)))*(1-0.03),_xlfn.IFS(AW1516="SIM",SUM(L1516,Q1516,V1516,AA1516,AF1516,AK1516,AP1516,AU1516)+AX1516/_xlfn.XLOOKUP(_xlfn.XLOOKUP($F1516,Clientes!$B$4:$B$39,Clientes!$C$4:$C$39),Cadastros!$L$6:$L$12,Cadastros!$M$6:$M$12)+IF($F1516="Bernardino Furlan",AY1516/2751.92,IF($F1516="Mauro José Salanti",AY1516/2751.92,AY1516/3356)),F1516&lt;&gt;0,SUM(L1516,Q1516,V1516,AA1516,AF1516,AK1516,AP1516,AU1516))))</f>
        <v xml:space="preserve"> </v>
      </c>
      <c r="BE1516" s="120"/>
      <c r="BF1516" s="120"/>
      <c r="BG1516" s="120"/>
    </row>
    <row r="1517" spans="1:59" s="3" customFormat="1" x14ac:dyDescent="0.3">
      <c r="A1517" s="15" t="str">
        <f t="shared" si="299"/>
        <v/>
      </c>
      <c r="B1517" s="25"/>
      <c r="C1517" s="26"/>
      <c r="D1517" s="279"/>
      <c r="E1517" s="27"/>
      <c r="F1517" s="28"/>
      <c r="G1517" s="27"/>
      <c r="H1517" s="28"/>
      <c r="I1517" s="28"/>
      <c r="J1517" s="255" t="str">
        <f>IF(H1517="","",(_xlfn.XLOOKUP(H1517,Cadastros!$D$6:$D$90,Cadastros!$E$6:$E$90))*(1-_xlfn.XLOOKUP(_xlfn.XLOOKUP($F1517,Clientes!$B$4:$B$39,Clientes!$C$4:$C$39),Cadastros!$L$6:$L$12,Cadastros!$N$6:$N$12)))</f>
        <v/>
      </c>
      <c r="K1517" s="168" t="str">
        <f t="shared" si="300"/>
        <v/>
      </c>
      <c r="L1517" s="168" t="str">
        <f>IFERROR(K1517/_xlfn.XLOOKUP(_xlfn.XLOOKUP($F1517,Clientes!$B$4:$B$39,Clientes!$C$4:$C$39),Cadastros!$L$6:$L$12,Cadastros!$M$6:$M$12)," ")</f>
        <v xml:space="preserve"> </v>
      </c>
      <c r="M1517" s="28"/>
      <c r="N1517" s="28"/>
      <c r="O1517" s="255" t="str">
        <f>IF(M1517="","",(_xlfn.XLOOKUP(M1517,Cadastros!$D$6:$D$90,Cadastros!$E$6:$E$90))*(1-_xlfn.XLOOKUP(_xlfn.XLOOKUP($F1517,Clientes!$B$4:$B$39,Clientes!$C$4:$C$39),Cadastros!$L$6:$L$12,Cadastros!$N$6:$N$12)))</f>
        <v/>
      </c>
      <c r="P1517" s="168" t="str">
        <f t="shared" si="301"/>
        <v/>
      </c>
      <c r="Q1517" s="168" t="str">
        <f>IFERROR(P1517/_xlfn.XLOOKUP(_xlfn.XLOOKUP($F1517,Clientes!$B$4:$B$39,Clientes!$C$4:$C$39),Cadastros!$L$6:$L$12,Cadastros!$M$6:$M$12)," ")</f>
        <v xml:space="preserve"> </v>
      </c>
      <c r="R1517" s="28"/>
      <c r="S1517" s="28"/>
      <c r="T1517" s="255" t="str">
        <f>IF(R1517="","",(_xlfn.XLOOKUP(R1517,Cadastros!$D$6:$D$90,Cadastros!$E$6:$E$90))*(1-_xlfn.XLOOKUP(_xlfn.XLOOKUP($F1517,Clientes!$B$4:$B$39,Clientes!$C$4:$C$39),Cadastros!$L$6:$L$12,Cadastros!$N$6:$N$12)))</f>
        <v/>
      </c>
      <c r="U1517" s="168" t="str">
        <f t="shared" si="302"/>
        <v/>
      </c>
      <c r="V1517" s="168" t="str">
        <f>IFERROR(U1517/_xlfn.XLOOKUP(_xlfn.XLOOKUP($F1517,Clientes!$B$4:$B$39,Clientes!$C$4:$C$39),Cadastros!$L$6:$L$12,Cadastros!$M$6:$M$12)," ")</f>
        <v xml:space="preserve"> </v>
      </c>
      <c r="W1517" s="28"/>
      <c r="X1517" s="28"/>
      <c r="Y1517" s="255" t="str">
        <f>IF(W1517="","",(_xlfn.XLOOKUP(W1517,Cadastros!$D$6:$D$90,Cadastros!$E$6:$E$90))*(1-_xlfn.XLOOKUP(_xlfn.XLOOKUP($F1517,Clientes!$B$4:$B$39,Clientes!$C$4:$C$39),Cadastros!$L$6:$L$12,Cadastros!$N$6:$N$12)))</f>
        <v/>
      </c>
      <c r="Z1517" s="168" t="str">
        <f t="shared" si="303"/>
        <v/>
      </c>
      <c r="AA1517" s="168" t="str">
        <f>IFERROR(Z1517/_xlfn.XLOOKUP(_xlfn.XLOOKUP($F1517,Clientes!$B$4:$B$39,Clientes!$C$4:$C$39),Cadastros!$L$6:$L$12,Cadastros!$M$6:$M$12)," ")</f>
        <v xml:space="preserve"> </v>
      </c>
      <c r="AB1517" s="28"/>
      <c r="AC1517" s="28"/>
      <c r="AD1517" s="20" t="str">
        <f>IF(AB1517="","",IF($F1517="Bernardino Furlan",_xlfn.XLOOKUP(AB1517,Cadastros!$G$6:$G$90,Cadastros!$H$6:$H$90)*(1-0.18),IF($F1517="Mauro José Salanti",_xlfn.XLOOKUP(AB1517,Cadastros!$G$6:$G$90,Cadastros!$H$6:$H$90)*(1-0.18),_xlfn.XLOOKUP(AB1517,Cadastros!$G$6:$G$90,Cadastros!$H$6:$H$90))))</f>
        <v/>
      </c>
      <c r="AE1517" s="168" t="str">
        <f t="shared" si="304"/>
        <v/>
      </c>
      <c r="AF1517" s="168" t="str">
        <f t="shared" si="305"/>
        <v/>
      </c>
      <c r="AG1517" s="28"/>
      <c r="AH1517" s="28"/>
      <c r="AI1517" s="20" t="str">
        <f>IF(AG1517="","",IF($F1517="Bernardino Furlan",_xlfn.XLOOKUP(AG1517,Cadastros!$G$6:$G$90,Cadastros!$H$6:$H$90)*(1-0.18),IF($F1517="Mauro José Salanti",_xlfn.XLOOKUP(AG1517,Cadastros!$G$6:$G$90,Cadastros!$H$6:$H$90)*(1-0.18),_xlfn.XLOOKUP(AG1517,Cadastros!$G$6:$G$90,Cadastros!$H$6:$H$90))))</f>
        <v/>
      </c>
      <c r="AJ1517" s="168" t="str">
        <f t="shared" si="306"/>
        <v/>
      </c>
      <c r="AK1517" s="168" t="str">
        <f t="shared" si="307"/>
        <v/>
      </c>
      <c r="AL1517" s="28"/>
      <c r="AM1517" s="28"/>
      <c r="AN1517" s="20" t="str">
        <f>IF(AL1517="","",IF($F1517="Bernardino Furlan",_xlfn.XLOOKUP(AL1517,Cadastros!$G$6:$G$90,Cadastros!$H$6:$H$90)*(1-0.18),IF($F1517="Mauro José Salanti",_xlfn.XLOOKUP(AL1517,Cadastros!$G$6:$G$90,Cadastros!$H$6:$H$90)*(1-0.18),_xlfn.XLOOKUP(AL1517,Cadastros!$G$6:$G$90,Cadastros!$H$6:$H$90))))</f>
        <v/>
      </c>
      <c r="AO1517" s="168" t="str">
        <f t="shared" si="308"/>
        <v/>
      </c>
      <c r="AP1517" s="168" t="str">
        <f t="shared" si="309"/>
        <v/>
      </c>
      <c r="AQ1517" s="28"/>
      <c r="AR1517" s="28"/>
      <c r="AS1517" s="20" t="str">
        <f>IF(AQ1517="","",IF($F1517="Bernardino Furlan",_xlfn.XLOOKUP(AQ1517,Cadastros!$G$6:$G$90,Cadastros!$H$6:$H$90)*(1-0.18),IF($F1517="Mauro José Salanti",_xlfn.XLOOKUP(AQ1517,Cadastros!$G$6:$G$90,Cadastros!$H$6:$H$90)*(1-0.18),_xlfn.XLOOKUP(AQ1517,Cadastros!$G$6:$G$90,Cadastros!$H$6:$H$90))))</f>
        <v/>
      </c>
      <c r="AT1517" s="168" t="str">
        <f t="shared" si="310"/>
        <v/>
      </c>
      <c r="AU1517" s="168" t="str">
        <f t="shared" si="311"/>
        <v/>
      </c>
      <c r="AV1517" s="227"/>
      <c r="AW1517" s="30"/>
      <c r="AX1517" s="267"/>
      <c r="AY1517" s="267"/>
      <c r="AZ1517" s="29"/>
      <c r="BA1517" s="30"/>
      <c r="BB1517" s="23" t="str" cm="1">
        <f t="array" ref="BB1517">_xlfn.IFS(AW1517="SIM",SUM(K1517,P1517,U1517,Z1517,AE1517,AJ1517,AO1517,AT1517,AX1517,AY1517),F1517&lt;&gt;"",SUM(K1517,P1517,U1517,Z1517,AE1517,AJ1517,,AO1517,AT1517),F1517="","")</f>
        <v/>
      </c>
      <c r="BC1517" s="211" t="str" cm="1">
        <f t="array" ref="BC1517">_xlfn.IFS(E1517="","",G1517&lt;=E1517,BB1517*(1-0.03),G1517&lt;(E1517+8),BB1517,AZ1517="Boleto",BB1517*(1+0.001)^DATEDIF(E1517,G1517,"D"),AZ1517="Cheque",BB1517,AZ1517="Dinheiro","Alterar forma pgto")</f>
        <v/>
      </c>
      <c r="BD1517" s="276" t="str" cm="1">
        <f t="array" ref="BD1517">IF(F1517=0," ",IF(BC1517&lt;BB1517,(_xlfn.IFS(AW1517="SIM",SUM(L1517,Q1517,V1517,AA1517,AF1517,AK1517,AP1517,AU1517)+AX1517/_xlfn.XLOOKUP(_xlfn.XLOOKUP($F1517,Clientes!$B$4:$B$39,Clientes!$C$4:$C$39),Cadastros!$L$6:$L$12,Cadastros!$M$6:$M$12)+IF($F1517="Bernardino Furlan",AY1517/2751.92,IF($F1517="Mauro José Salanti",AY1517/2751.92,AY1517/3356)),F1517&lt;&gt;0,SUM(L1517,Q1517,V1517,AA1517,AF1517,AK1517,AP1517,AU1517)))*(1-0.03),_xlfn.IFS(AW1517="SIM",SUM(L1517,Q1517,V1517,AA1517,AF1517,AK1517,AP1517,AU1517)+AX1517/_xlfn.XLOOKUP(_xlfn.XLOOKUP($F1517,Clientes!$B$4:$B$39,Clientes!$C$4:$C$39),Cadastros!$L$6:$L$12,Cadastros!$M$6:$M$12)+IF($F1517="Bernardino Furlan",AY1517/2751.92,IF($F1517="Mauro José Salanti",AY1517/2751.92,AY1517/3356)),F1517&lt;&gt;0,SUM(L1517,Q1517,V1517,AA1517,AF1517,AK1517,AP1517,AU1517))))</f>
        <v xml:space="preserve"> </v>
      </c>
      <c r="BE1517" s="120"/>
      <c r="BF1517" s="120"/>
      <c r="BG1517" s="120"/>
    </row>
    <row r="1518" spans="1:59" s="3" customFormat="1" x14ac:dyDescent="0.3">
      <c r="A1518" s="15" t="str">
        <f t="shared" si="299"/>
        <v/>
      </c>
      <c r="B1518" s="25"/>
      <c r="C1518" s="26"/>
      <c r="D1518" s="279"/>
      <c r="E1518" s="27"/>
      <c r="F1518" s="28"/>
      <c r="G1518" s="27"/>
      <c r="H1518" s="28"/>
      <c r="I1518" s="28"/>
      <c r="J1518" s="255" t="str">
        <f>IF(H1518="","",(_xlfn.XLOOKUP(H1518,Cadastros!$D$6:$D$90,Cadastros!$E$6:$E$90))*(1-_xlfn.XLOOKUP(_xlfn.XLOOKUP($F1518,Clientes!$B$4:$B$39,Clientes!$C$4:$C$39),Cadastros!$L$6:$L$12,Cadastros!$N$6:$N$12)))</f>
        <v/>
      </c>
      <c r="K1518" s="168" t="str">
        <f t="shared" si="300"/>
        <v/>
      </c>
      <c r="L1518" s="168" t="str">
        <f>IFERROR(K1518/_xlfn.XLOOKUP(_xlfn.XLOOKUP($F1518,Clientes!$B$4:$B$39,Clientes!$C$4:$C$39),Cadastros!$L$6:$L$12,Cadastros!$M$6:$M$12)," ")</f>
        <v xml:space="preserve"> </v>
      </c>
      <c r="M1518" s="28"/>
      <c r="N1518" s="28"/>
      <c r="O1518" s="255" t="str">
        <f>IF(M1518="","",(_xlfn.XLOOKUP(M1518,Cadastros!$D$6:$D$90,Cadastros!$E$6:$E$90))*(1-_xlfn.XLOOKUP(_xlfn.XLOOKUP($F1518,Clientes!$B$4:$B$39,Clientes!$C$4:$C$39),Cadastros!$L$6:$L$12,Cadastros!$N$6:$N$12)))</f>
        <v/>
      </c>
      <c r="P1518" s="168" t="str">
        <f t="shared" si="301"/>
        <v/>
      </c>
      <c r="Q1518" s="168" t="str">
        <f>IFERROR(P1518/_xlfn.XLOOKUP(_xlfn.XLOOKUP($F1518,Clientes!$B$4:$B$39,Clientes!$C$4:$C$39),Cadastros!$L$6:$L$12,Cadastros!$M$6:$M$12)," ")</f>
        <v xml:space="preserve"> </v>
      </c>
      <c r="R1518" s="28"/>
      <c r="S1518" s="28"/>
      <c r="T1518" s="255" t="str">
        <f>IF(R1518="","",(_xlfn.XLOOKUP(R1518,Cadastros!$D$6:$D$90,Cadastros!$E$6:$E$90))*(1-_xlfn.XLOOKUP(_xlfn.XLOOKUP($F1518,Clientes!$B$4:$B$39,Clientes!$C$4:$C$39),Cadastros!$L$6:$L$12,Cadastros!$N$6:$N$12)))</f>
        <v/>
      </c>
      <c r="U1518" s="168" t="str">
        <f t="shared" si="302"/>
        <v/>
      </c>
      <c r="V1518" s="168" t="str">
        <f>IFERROR(U1518/_xlfn.XLOOKUP(_xlfn.XLOOKUP($F1518,Clientes!$B$4:$B$39,Clientes!$C$4:$C$39),Cadastros!$L$6:$L$12,Cadastros!$M$6:$M$12)," ")</f>
        <v xml:space="preserve"> </v>
      </c>
      <c r="W1518" s="28"/>
      <c r="X1518" s="28"/>
      <c r="Y1518" s="255" t="str">
        <f>IF(W1518="","",(_xlfn.XLOOKUP(W1518,Cadastros!$D$6:$D$90,Cadastros!$E$6:$E$90))*(1-_xlfn.XLOOKUP(_xlfn.XLOOKUP($F1518,Clientes!$B$4:$B$39,Clientes!$C$4:$C$39),Cadastros!$L$6:$L$12,Cadastros!$N$6:$N$12)))</f>
        <v/>
      </c>
      <c r="Z1518" s="168" t="str">
        <f t="shared" si="303"/>
        <v/>
      </c>
      <c r="AA1518" s="168" t="str">
        <f>IFERROR(Z1518/_xlfn.XLOOKUP(_xlfn.XLOOKUP($F1518,Clientes!$B$4:$B$39,Clientes!$C$4:$C$39),Cadastros!$L$6:$L$12,Cadastros!$M$6:$M$12)," ")</f>
        <v xml:space="preserve"> </v>
      </c>
      <c r="AB1518" s="28"/>
      <c r="AC1518" s="28"/>
      <c r="AD1518" s="20" t="str">
        <f>IF(AB1518="","",IF($F1518="Bernardino Furlan",_xlfn.XLOOKUP(AB1518,Cadastros!$G$6:$G$90,Cadastros!$H$6:$H$90)*(1-0.18),IF($F1518="Mauro José Salanti",_xlfn.XLOOKUP(AB1518,Cadastros!$G$6:$G$90,Cadastros!$H$6:$H$90)*(1-0.18),_xlfn.XLOOKUP(AB1518,Cadastros!$G$6:$G$90,Cadastros!$H$6:$H$90))))</f>
        <v/>
      </c>
      <c r="AE1518" s="168" t="str">
        <f t="shared" si="304"/>
        <v/>
      </c>
      <c r="AF1518" s="168" t="str">
        <f t="shared" si="305"/>
        <v/>
      </c>
      <c r="AG1518" s="28"/>
      <c r="AH1518" s="28"/>
      <c r="AI1518" s="20" t="str">
        <f>IF(AG1518="","",IF($F1518="Bernardino Furlan",_xlfn.XLOOKUP(AG1518,Cadastros!$G$6:$G$90,Cadastros!$H$6:$H$90)*(1-0.18),IF($F1518="Mauro José Salanti",_xlfn.XLOOKUP(AG1518,Cadastros!$G$6:$G$90,Cadastros!$H$6:$H$90)*(1-0.18),_xlfn.XLOOKUP(AG1518,Cadastros!$G$6:$G$90,Cadastros!$H$6:$H$90))))</f>
        <v/>
      </c>
      <c r="AJ1518" s="168" t="str">
        <f t="shared" si="306"/>
        <v/>
      </c>
      <c r="AK1518" s="168" t="str">
        <f t="shared" si="307"/>
        <v/>
      </c>
      <c r="AL1518" s="28"/>
      <c r="AM1518" s="28"/>
      <c r="AN1518" s="20" t="str">
        <f>IF(AL1518="","",IF($F1518="Bernardino Furlan",_xlfn.XLOOKUP(AL1518,Cadastros!$G$6:$G$90,Cadastros!$H$6:$H$90)*(1-0.18),IF($F1518="Mauro José Salanti",_xlfn.XLOOKUP(AL1518,Cadastros!$G$6:$G$90,Cadastros!$H$6:$H$90)*(1-0.18),_xlfn.XLOOKUP(AL1518,Cadastros!$G$6:$G$90,Cadastros!$H$6:$H$90))))</f>
        <v/>
      </c>
      <c r="AO1518" s="168" t="str">
        <f t="shared" si="308"/>
        <v/>
      </c>
      <c r="AP1518" s="168" t="str">
        <f t="shared" si="309"/>
        <v/>
      </c>
      <c r="AQ1518" s="28"/>
      <c r="AR1518" s="28"/>
      <c r="AS1518" s="20" t="str">
        <f>IF(AQ1518="","",IF($F1518="Bernardino Furlan",_xlfn.XLOOKUP(AQ1518,Cadastros!$G$6:$G$90,Cadastros!$H$6:$H$90)*(1-0.18),IF($F1518="Mauro José Salanti",_xlfn.XLOOKUP(AQ1518,Cadastros!$G$6:$G$90,Cadastros!$H$6:$H$90)*(1-0.18),_xlfn.XLOOKUP(AQ1518,Cadastros!$G$6:$G$90,Cadastros!$H$6:$H$90))))</f>
        <v/>
      </c>
      <c r="AT1518" s="168" t="str">
        <f t="shared" si="310"/>
        <v/>
      </c>
      <c r="AU1518" s="168" t="str">
        <f t="shared" si="311"/>
        <v/>
      </c>
      <c r="AV1518" s="227"/>
      <c r="AW1518" s="30"/>
      <c r="AX1518" s="267"/>
      <c r="AY1518" s="267"/>
      <c r="AZ1518" s="29"/>
      <c r="BA1518" s="30"/>
      <c r="BB1518" s="23" t="str" cm="1">
        <f t="array" ref="BB1518">_xlfn.IFS(AW1518="SIM",SUM(K1518,P1518,U1518,Z1518,AE1518,AJ1518,AO1518,AT1518,AX1518,AY1518),F1518&lt;&gt;"",SUM(K1518,P1518,U1518,Z1518,AE1518,AJ1518,,AO1518,AT1518),F1518="","")</f>
        <v/>
      </c>
      <c r="BC1518" s="211" t="str" cm="1">
        <f t="array" ref="BC1518">_xlfn.IFS(E1518="","",G1518&lt;=E1518,BB1518*(1-0.03),G1518&lt;(E1518+8),BB1518,AZ1518="Boleto",BB1518*(1+0.001)^DATEDIF(E1518,G1518,"D"),AZ1518="Cheque",BB1518,AZ1518="Dinheiro","Alterar forma pgto")</f>
        <v/>
      </c>
      <c r="BD1518" s="276" t="str" cm="1">
        <f t="array" ref="BD1518">IF(F1518=0," ",IF(BC1518&lt;BB1518,(_xlfn.IFS(AW1518="SIM",SUM(L1518,Q1518,V1518,AA1518,AF1518,AK1518,AP1518,AU1518)+AX1518/_xlfn.XLOOKUP(_xlfn.XLOOKUP($F1518,Clientes!$B$4:$B$39,Clientes!$C$4:$C$39),Cadastros!$L$6:$L$12,Cadastros!$M$6:$M$12)+IF($F1518="Bernardino Furlan",AY1518/2751.92,IF($F1518="Mauro José Salanti",AY1518/2751.92,AY1518/3356)),F1518&lt;&gt;0,SUM(L1518,Q1518,V1518,AA1518,AF1518,AK1518,AP1518,AU1518)))*(1-0.03),_xlfn.IFS(AW1518="SIM",SUM(L1518,Q1518,V1518,AA1518,AF1518,AK1518,AP1518,AU1518)+AX1518/_xlfn.XLOOKUP(_xlfn.XLOOKUP($F1518,Clientes!$B$4:$B$39,Clientes!$C$4:$C$39),Cadastros!$L$6:$L$12,Cadastros!$M$6:$M$12)+IF($F1518="Bernardino Furlan",AY1518/2751.92,IF($F1518="Mauro José Salanti",AY1518/2751.92,AY1518/3356)),F1518&lt;&gt;0,SUM(L1518,Q1518,V1518,AA1518,AF1518,AK1518,AP1518,AU1518))))</f>
        <v xml:space="preserve"> </v>
      </c>
      <c r="BE1518" s="120"/>
      <c r="BF1518" s="120"/>
      <c r="BG1518" s="120"/>
    </row>
    <row r="1519" spans="1:59" s="3" customFormat="1" x14ac:dyDescent="0.3">
      <c r="A1519" s="15" t="str">
        <f t="shared" si="299"/>
        <v/>
      </c>
      <c r="B1519" s="25"/>
      <c r="C1519" s="26"/>
      <c r="D1519" s="279"/>
      <c r="E1519" s="27"/>
      <c r="F1519" s="28"/>
      <c r="G1519" s="27"/>
      <c r="H1519" s="28"/>
      <c r="I1519" s="28"/>
      <c r="J1519" s="255" t="str">
        <f>IF(H1519="","",(_xlfn.XLOOKUP(H1519,Cadastros!$D$6:$D$90,Cadastros!$E$6:$E$90))*(1-_xlfn.XLOOKUP(_xlfn.XLOOKUP($F1519,Clientes!$B$4:$B$39,Clientes!$C$4:$C$39),Cadastros!$L$6:$L$12,Cadastros!$N$6:$N$12)))</f>
        <v/>
      </c>
      <c r="K1519" s="168" t="str">
        <f t="shared" si="300"/>
        <v/>
      </c>
      <c r="L1519" s="168" t="str">
        <f>IFERROR(K1519/_xlfn.XLOOKUP(_xlfn.XLOOKUP($F1519,Clientes!$B$4:$B$39,Clientes!$C$4:$C$39),Cadastros!$L$6:$L$12,Cadastros!$M$6:$M$12)," ")</f>
        <v xml:space="preserve"> </v>
      </c>
      <c r="M1519" s="28"/>
      <c r="N1519" s="28"/>
      <c r="O1519" s="255" t="str">
        <f>IF(M1519="","",(_xlfn.XLOOKUP(M1519,Cadastros!$D$6:$D$90,Cadastros!$E$6:$E$90))*(1-_xlfn.XLOOKUP(_xlfn.XLOOKUP($F1519,Clientes!$B$4:$B$39,Clientes!$C$4:$C$39),Cadastros!$L$6:$L$12,Cadastros!$N$6:$N$12)))</f>
        <v/>
      </c>
      <c r="P1519" s="168" t="str">
        <f t="shared" si="301"/>
        <v/>
      </c>
      <c r="Q1519" s="168" t="str">
        <f>IFERROR(P1519/_xlfn.XLOOKUP(_xlfn.XLOOKUP($F1519,Clientes!$B$4:$B$39,Clientes!$C$4:$C$39),Cadastros!$L$6:$L$12,Cadastros!$M$6:$M$12)," ")</f>
        <v xml:space="preserve"> </v>
      </c>
      <c r="R1519" s="28"/>
      <c r="S1519" s="28"/>
      <c r="T1519" s="255" t="str">
        <f>IF(R1519="","",(_xlfn.XLOOKUP(R1519,Cadastros!$D$6:$D$90,Cadastros!$E$6:$E$90))*(1-_xlfn.XLOOKUP(_xlfn.XLOOKUP($F1519,Clientes!$B$4:$B$39,Clientes!$C$4:$C$39),Cadastros!$L$6:$L$12,Cadastros!$N$6:$N$12)))</f>
        <v/>
      </c>
      <c r="U1519" s="168" t="str">
        <f t="shared" si="302"/>
        <v/>
      </c>
      <c r="V1519" s="168" t="str">
        <f>IFERROR(U1519/_xlfn.XLOOKUP(_xlfn.XLOOKUP($F1519,Clientes!$B$4:$B$39,Clientes!$C$4:$C$39),Cadastros!$L$6:$L$12,Cadastros!$M$6:$M$12)," ")</f>
        <v xml:space="preserve"> </v>
      </c>
      <c r="W1519" s="28"/>
      <c r="X1519" s="28"/>
      <c r="Y1519" s="255" t="str">
        <f>IF(W1519="","",(_xlfn.XLOOKUP(W1519,Cadastros!$D$6:$D$90,Cadastros!$E$6:$E$90))*(1-_xlfn.XLOOKUP(_xlfn.XLOOKUP($F1519,Clientes!$B$4:$B$39,Clientes!$C$4:$C$39),Cadastros!$L$6:$L$12,Cadastros!$N$6:$N$12)))</f>
        <v/>
      </c>
      <c r="Z1519" s="168" t="str">
        <f t="shared" si="303"/>
        <v/>
      </c>
      <c r="AA1519" s="168" t="str">
        <f>IFERROR(Z1519/_xlfn.XLOOKUP(_xlfn.XLOOKUP($F1519,Clientes!$B$4:$B$39,Clientes!$C$4:$C$39),Cadastros!$L$6:$L$12,Cadastros!$M$6:$M$12)," ")</f>
        <v xml:space="preserve"> </v>
      </c>
      <c r="AB1519" s="28"/>
      <c r="AC1519" s="28"/>
      <c r="AD1519" s="20" t="str">
        <f>IF(AB1519="","",IF($F1519="Bernardino Furlan",_xlfn.XLOOKUP(AB1519,Cadastros!$G$6:$G$90,Cadastros!$H$6:$H$90)*(1-0.18),IF($F1519="Mauro José Salanti",_xlfn.XLOOKUP(AB1519,Cadastros!$G$6:$G$90,Cadastros!$H$6:$H$90)*(1-0.18),_xlfn.XLOOKUP(AB1519,Cadastros!$G$6:$G$90,Cadastros!$H$6:$H$90))))</f>
        <v/>
      </c>
      <c r="AE1519" s="168" t="str">
        <f t="shared" si="304"/>
        <v/>
      </c>
      <c r="AF1519" s="168" t="str">
        <f t="shared" si="305"/>
        <v/>
      </c>
      <c r="AG1519" s="28"/>
      <c r="AH1519" s="28"/>
      <c r="AI1519" s="20" t="str">
        <f>IF(AG1519="","",IF($F1519="Bernardino Furlan",_xlfn.XLOOKUP(AG1519,Cadastros!$G$6:$G$90,Cadastros!$H$6:$H$90)*(1-0.18),IF($F1519="Mauro José Salanti",_xlfn.XLOOKUP(AG1519,Cadastros!$G$6:$G$90,Cadastros!$H$6:$H$90)*(1-0.18),_xlfn.XLOOKUP(AG1519,Cadastros!$G$6:$G$90,Cadastros!$H$6:$H$90))))</f>
        <v/>
      </c>
      <c r="AJ1519" s="168" t="str">
        <f t="shared" si="306"/>
        <v/>
      </c>
      <c r="AK1519" s="168" t="str">
        <f t="shared" si="307"/>
        <v/>
      </c>
      <c r="AL1519" s="28"/>
      <c r="AM1519" s="28"/>
      <c r="AN1519" s="20" t="str">
        <f>IF(AL1519="","",IF($F1519="Bernardino Furlan",_xlfn.XLOOKUP(AL1519,Cadastros!$G$6:$G$90,Cadastros!$H$6:$H$90)*(1-0.18),IF($F1519="Mauro José Salanti",_xlfn.XLOOKUP(AL1519,Cadastros!$G$6:$G$90,Cadastros!$H$6:$H$90)*(1-0.18),_xlfn.XLOOKUP(AL1519,Cadastros!$G$6:$G$90,Cadastros!$H$6:$H$90))))</f>
        <v/>
      </c>
      <c r="AO1519" s="168" t="str">
        <f t="shared" si="308"/>
        <v/>
      </c>
      <c r="AP1519" s="168" t="str">
        <f t="shared" si="309"/>
        <v/>
      </c>
      <c r="AQ1519" s="28"/>
      <c r="AR1519" s="28"/>
      <c r="AS1519" s="20" t="str">
        <f>IF(AQ1519="","",IF($F1519="Bernardino Furlan",_xlfn.XLOOKUP(AQ1519,Cadastros!$G$6:$G$90,Cadastros!$H$6:$H$90)*(1-0.18),IF($F1519="Mauro José Salanti",_xlfn.XLOOKUP(AQ1519,Cadastros!$G$6:$G$90,Cadastros!$H$6:$H$90)*(1-0.18),_xlfn.XLOOKUP(AQ1519,Cadastros!$G$6:$G$90,Cadastros!$H$6:$H$90))))</f>
        <v/>
      </c>
      <c r="AT1519" s="168" t="str">
        <f t="shared" si="310"/>
        <v/>
      </c>
      <c r="AU1519" s="168" t="str">
        <f t="shared" si="311"/>
        <v/>
      </c>
      <c r="AV1519" s="227"/>
      <c r="AW1519" s="30"/>
      <c r="AX1519" s="267"/>
      <c r="AY1519" s="267"/>
      <c r="AZ1519" s="29"/>
      <c r="BA1519" s="30"/>
      <c r="BB1519" s="23" t="str" cm="1">
        <f t="array" ref="BB1519">_xlfn.IFS(AW1519="SIM",SUM(K1519,P1519,U1519,Z1519,AE1519,AJ1519,AO1519,AT1519,AX1519,AY1519),F1519&lt;&gt;"",SUM(K1519,P1519,U1519,Z1519,AE1519,AJ1519,,AO1519,AT1519),F1519="","")</f>
        <v/>
      </c>
      <c r="BC1519" s="211" t="str" cm="1">
        <f t="array" ref="BC1519">_xlfn.IFS(E1519="","",G1519&lt;=E1519,BB1519*(1-0.03),G1519&lt;(E1519+8),BB1519,AZ1519="Boleto",BB1519*(1+0.001)^DATEDIF(E1519,G1519,"D"),AZ1519="Cheque",BB1519,AZ1519="Dinheiro","Alterar forma pgto")</f>
        <v/>
      </c>
      <c r="BD1519" s="276" t="str" cm="1">
        <f t="array" ref="BD1519">IF(F1519=0," ",IF(BC1519&lt;BB1519,(_xlfn.IFS(AW1519="SIM",SUM(L1519,Q1519,V1519,AA1519,AF1519,AK1519,AP1519,AU1519)+AX1519/_xlfn.XLOOKUP(_xlfn.XLOOKUP($F1519,Clientes!$B$4:$B$39,Clientes!$C$4:$C$39),Cadastros!$L$6:$L$12,Cadastros!$M$6:$M$12)+IF($F1519="Bernardino Furlan",AY1519/2751.92,IF($F1519="Mauro José Salanti",AY1519/2751.92,AY1519/3356)),F1519&lt;&gt;0,SUM(L1519,Q1519,V1519,AA1519,AF1519,AK1519,AP1519,AU1519)))*(1-0.03),_xlfn.IFS(AW1519="SIM",SUM(L1519,Q1519,V1519,AA1519,AF1519,AK1519,AP1519,AU1519)+AX1519/_xlfn.XLOOKUP(_xlfn.XLOOKUP($F1519,Clientes!$B$4:$B$39,Clientes!$C$4:$C$39),Cadastros!$L$6:$L$12,Cadastros!$M$6:$M$12)+IF($F1519="Bernardino Furlan",AY1519/2751.92,IF($F1519="Mauro José Salanti",AY1519/2751.92,AY1519/3356)),F1519&lt;&gt;0,SUM(L1519,Q1519,V1519,AA1519,AF1519,AK1519,AP1519,AU1519))))</f>
        <v xml:space="preserve"> </v>
      </c>
      <c r="BE1519" s="120"/>
      <c r="BF1519" s="120"/>
      <c r="BG1519" s="120"/>
    </row>
    <row r="1520" spans="1:59" s="3" customFormat="1" x14ac:dyDescent="0.3">
      <c r="A1520" s="15" t="str">
        <f t="shared" si="299"/>
        <v/>
      </c>
      <c r="B1520" s="25"/>
      <c r="C1520" s="26"/>
      <c r="D1520" s="279"/>
      <c r="E1520" s="27"/>
      <c r="F1520" s="28"/>
      <c r="G1520" s="27"/>
      <c r="H1520" s="28"/>
      <c r="I1520" s="28"/>
      <c r="J1520" s="255" t="str">
        <f>IF(H1520="","",(_xlfn.XLOOKUP(H1520,Cadastros!$D$6:$D$90,Cadastros!$E$6:$E$90))*(1-_xlfn.XLOOKUP(_xlfn.XLOOKUP($F1520,Clientes!$B$4:$B$39,Clientes!$C$4:$C$39),Cadastros!$L$6:$L$12,Cadastros!$N$6:$N$12)))</f>
        <v/>
      </c>
      <c r="K1520" s="168" t="str">
        <f t="shared" si="300"/>
        <v/>
      </c>
      <c r="L1520" s="168" t="str">
        <f>IFERROR(K1520/_xlfn.XLOOKUP(_xlfn.XLOOKUP($F1520,Clientes!$B$4:$B$39,Clientes!$C$4:$C$39),Cadastros!$L$6:$L$12,Cadastros!$M$6:$M$12)," ")</f>
        <v xml:space="preserve"> </v>
      </c>
      <c r="M1520" s="28"/>
      <c r="N1520" s="28"/>
      <c r="O1520" s="255" t="str">
        <f>IF(M1520="","",(_xlfn.XLOOKUP(M1520,Cadastros!$D$6:$D$90,Cadastros!$E$6:$E$90))*(1-_xlfn.XLOOKUP(_xlfn.XLOOKUP($F1520,Clientes!$B$4:$B$39,Clientes!$C$4:$C$39),Cadastros!$L$6:$L$12,Cadastros!$N$6:$N$12)))</f>
        <v/>
      </c>
      <c r="P1520" s="168" t="str">
        <f t="shared" si="301"/>
        <v/>
      </c>
      <c r="Q1520" s="168" t="str">
        <f>IFERROR(P1520/_xlfn.XLOOKUP(_xlfn.XLOOKUP($F1520,Clientes!$B$4:$B$39,Clientes!$C$4:$C$39),Cadastros!$L$6:$L$12,Cadastros!$M$6:$M$12)," ")</f>
        <v xml:space="preserve"> </v>
      </c>
      <c r="R1520" s="28"/>
      <c r="S1520" s="28"/>
      <c r="T1520" s="255" t="str">
        <f>IF(R1520="","",(_xlfn.XLOOKUP(R1520,Cadastros!$D$6:$D$90,Cadastros!$E$6:$E$90))*(1-_xlfn.XLOOKUP(_xlfn.XLOOKUP($F1520,Clientes!$B$4:$B$39,Clientes!$C$4:$C$39),Cadastros!$L$6:$L$12,Cadastros!$N$6:$N$12)))</f>
        <v/>
      </c>
      <c r="U1520" s="168" t="str">
        <f t="shared" si="302"/>
        <v/>
      </c>
      <c r="V1520" s="168" t="str">
        <f>IFERROR(U1520/_xlfn.XLOOKUP(_xlfn.XLOOKUP($F1520,Clientes!$B$4:$B$39,Clientes!$C$4:$C$39),Cadastros!$L$6:$L$12,Cadastros!$M$6:$M$12)," ")</f>
        <v xml:space="preserve"> </v>
      </c>
      <c r="W1520" s="28"/>
      <c r="X1520" s="28"/>
      <c r="Y1520" s="255" t="str">
        <f>IF(W1520="","",(_xlfn.XLOOKUP(W1520,Cadastros!$D$6:$D$90,Cadastros!$E$6:$E$90))*(1-_xlfn.XLOOKUP(_xlfn.XLOOKUP($F1520,Clientes!$B$4:$B$39,Clientes!$C$4:$C$39),Cadastros!$L$6:$L$12,Cadastros!$N$6:$N$12)))</f>
        <v/>
      </c>
      <c r="Z1520" s="168" t="str">
        <f t="shared" si="303"/>
        <v/>
      </c>
      <c r="AA1520" s="168" t="str">
        <f>IFERROR(Z1520/_xlfn.XLOOKUP(_xlfn.XLOOKUP($F1520,Clientes!$B$4:$B$39,Clientes!$C$4:$C$39),Cadastros!$L$6:$L$12,Cadastros!$M$6:$M$12)," ")</f>
        <v xml:space="preserve"> </v>
      </c>
      <c r="AB1520" s="28"/>
      <c r="AC1520" s="28"/>
      <c r="AD1520" s="20" t="str">
        <f>IF(AB1520="","",IF($F1520="Bernardino Furlan",_xlfn.XLOOKUP(AB1520,Cadastros!$G$6:$G$90,Cadastros!$H$6:$H$90)*(1-0.18),IF($F1520="Mauro José Salanti",_xlfn.XLOOKUP(AB1520,Cadastros!$G$6:$G$90,Cadastros!$H$6:$H$90)*(1-0.18),_xlfn.XLOOKUP(AB1520,Cadastros!$G$6:$G$90,Cadastros!$H$6:$H$90))))</f>
        <v/>
      </c>
      <c r="AE1520" s="168" t="str">
        <f t="shared" si="304"/>
        <v/>
      </c>
      <c r="AF1520" s="168" t="str">
        <f t="shared" si="305"/>
        <v/>
      </c>
      <c r="AG1520" s="28"/>
      <c r="AH1520" s="28"/>
      <c r="AI1520" s="20" t="str">
        <f>IF(AG1520="","",IF($F1520="Bernardino Furlan",_xlfn.XLOOKUP(AG1520,Cadastros!$G$6:$G$90,Cadastros!$H$6:$H$90)*(1-0.18),IF($F1520="Mauro José Salanti",_xlfn.XLOOKUP(AG1520,Cadastros!$G$6:$G$90,Cadastros!$H$6:$H$90)*(1-0.18),_xlfn.XLOOKUP(AG1520,Cadastros!$G$6:$G$90,Cadastros!$H$6:$H$90))))</f>
        <v/>
      </c>
      <c r="AJ1520" s="168" t="str">
        <f t="shared" si="306"/>
        <v/>
      </c>
      <c r="AK1520" s="168" t="str">
        <f t="shared" si="307"/>
        <v/>
      </c>
      <c r="AL1520" s="28"/>
      <c r="AM1520" s="28"/>
      <c r="AN1520" s="20" t="str">
        <f>IF(AL1520="","",IF($F1520="Bernardino Furlan",_xlfn.XLOOKUP(AL1520,Cadastros!$G$6:$G$90,Cadastros!$H$6:$H$90)*(1-0.18),IF($F1520="Mauro José Salanti",_xlfn.XLOOKUP(AL1520,Cadastros!$G$6:$G$90,Cadastros!$H$6:$H$90)*(1-0.18),_xlfn.XLOOKUP(AL1520,Cadastros!$G$6:$G$90,Cadastros!$H$6:$H$90))))</f>
        <v/>
      </c>
      <c r="AO1520" s="168" t="str">
        <f t="shared" si="308"/>
        <v/>
      </c>
      <c r="AP1520" s="168" t="str">
        <f t="shared" si="309"/>
        <v/>
      </c>
      <c r="AQ1520" s="28"/>
      <c r="AR1520" s="28"/>
      <c r="AS1520" s="20" t="str">
        <f>IF(AQ1520="","",IF($F1520="Bernardino Furlan",_xlfn.XLOOKUP(AQ1520,Cadastros!$G$6:$G$90,Cadastros!$H$6:$H$90)*(1-0.18),IF($F1520="Mauro José Salanti",_xlfn.XLOOKUP(AQ1520,Cadastros!$G$6:$G$90,Cadastros!$H$6:$H$90)*(1-0.18),_xlfn.XLOOKUP(AQ1520,Cadastros!$G$6:$G$90,Cadastros!$H$6:$H$90))))</f>
        <v/>
      </c>
      <c r="AT1520" s="168" t="str">
        <f t="shared" si="310"/>
        <v/>
      </c>
      <c r="AU1520" s="168" t="str">
        <f t="shared" si="311"/>
        <v/>
      </c>
      <c r="AV1520" s="227"/>
      <c r="AW1520" s="30"/>
      <c r="AX1520" s="267"/>
      <c r="AY1520" s="267"/>
      <c r="AZ1520" s="29"/>
      <c r="BA1520" s="30"/>
      <c r="BB1520" s="23" t="str" cm="1">
        <f t="array" ref="BB1520">_xlfn.IFS(AW1520="SIM",SUM(K1520,P1520,U1520,Z1520,AE1520,AJ1520,AO1520,AT1520,AX1520,AY1520),F1520&lt;&gt;"",SUM(K1520,P1520,U1520,Z1520,AE1520,AJ1520,,AO1520,AT1520),F1520="","")</f>
        <v/>
      </c>
      <c r="BC1520" s="211" t="str" cm="1">
        <f t="array" ref="BC1520">_xlfn.IFS(E1520="","",G1520&lt;=E1520,BB1520*(1-0.03),G1520&lt;(E1520+8),BB1520,AZ1520="Boleto",BB1520*(1+0.001)^DATEDIF(E1520,G1520,"D"),AZ1520="Cheque",BB1520,AZ1520="Dinheiro","Alterar forma pgto")</f>
        <v/>
      </c>
      <c r="BD1520" s="276" t="str" cm="1">
        <f t="array" ref="BD1520">IF(F1520=0," ",IF(BC1520&lt;BB1520,(_xlfn.IFS(AW1520="SIM",SUM(L1520,Q1520,V1520,AA1520,AF1520,AK1520,AP1520,AU1520)+AX1520/_xlfn.XLOOKUP(_xlfn.XLOOKUP($F1520,Clientes!$B$4:$B$39,Clientes!$C$4:$C$39),Cadastros!$L$6:$L$12,Cadastros!$M$6:$M$12)+IF($F1520="Bernardino Furlan",AY1520/2751.92,IF($F1520="Mauro José Salanti",AY1520/2751.92,AY1520/3356)),F1520&lt;&gt;0,SUM(L1520,Q1520,V1520,AA1520,AF1520,AK1520,AP1520,AU1520)))*(1-0.03),_xlfn.IFS(AW1520="SIM",SUM(L1520,Q1520,V1520,AA1520,AF1520,AK1520,AP1520,AU1520)+AX1520/_xlfn.XLOOKUP(_xlfn.XLOOKUP($F1520,Clientes!$B$4:$B$39,Clientes!$C$4:$C$39),Cadastros!$L$6:$L$12,Cadastros!$M$6:$M$12)+IF($F1520="Bernardino Furlan",AY1520/2751.92,IF($F1520="Mauro José Salanti",AY1520/2751.92,AY1520/3356)),F1520&lt;&gt;0,SUM(L1520,Q1520,V1520,AA1520,AF1520,AK1520,AP1520,AU1520))))</f>
        <v xml:space="preserve"> </v>
      </c>
      <c r="BE1520" s="120"/>
      <c r="BF1520" s="120"/>
      <c r="BG1520" s="120"/>
    </row>
    <row r="1521" spans="1:59" s="3" customFormat="1" x14ac:dyDescent="0.3">
      <c r="A1521" s="15" t="str">
        <f t="shared" si="299"/>
        <v/>
      </c>
      <c r="B1521" s="25"/>
      <c r="C1521" s="26"/>
      <c r="D1521" s="279"/>
      <c r="E1521" s="27"/>
      <c r="F1521" s="28"/>
      <c r="G1521" s="27"/>
      <c r="H1521" s="28"/>
      <c r="I1521" s="28"/>
      <c r="J1521" s="255" t="str">
        <f>IF(H1521="","",(_xlfn.XLOOKUP(H1521,Cadastros!$D$6:$D$90,Cadastros!$E$6:$E$90))*(1-_xlfn.XLOOKUP(_xlfn.XLOOKUP($F1521,Clientes!$B$4:$B$39,Clientes!$C$4:$C$39),Cadastros!$L$6:$L$12,Cadastros!$N$6:$N$12)))</f>
        <v/>
      </c>
      <c r="K1521" s="168" t="str">
        <f t="shared" si="300"/>
        <v/>
      </c>
      <c r="L1521" s="168" t="str">
        <f>IFERROR(K1521/_xlfn.XLOOKUP(_xlfn.XLOOKUP($F1521,Clientes!$B$4:$B$39,Clientes!$C$4:$C$39),Cadastros!$L$6:$L$12,Cadastros!$M$6:$M$12)," ")</f>
        <v xml:space="preserve"> </v>
      </c>
      <c r="M1521" s="28"/>
      <c r="N1521" s="28"/>
      <c r="O1521" s="255" t="str">
        <f>IF(M1521="","",(_xlfn.XLOOKUP(M1521,Cadastros!$D$6:$D$90,Cadastros!$E$6:$E$90))*(1-_xlfn.XLOOKUP(_xlfn.XLOOKUP($F1521,Clientes!$B$4:$B$39,Clientes!$C$4:$C$39),Cadastros!$L$6:$L$12,Cadastros!$N$6:$N$12)))</f>
        <v/>
      </c>
      <c r="P1521" s="168" t="str">
        <f t="shared" si="301"/>
        <v/>
      </c>
      <c r="Q1521" s="168" t="str">
        <f>IFERROR(P1521/_xlfn.XLOOKUP(_xlfn.XLOOKUP($F1521,Clientes!$B$4:$B$39,Clientes!$C$4:$C$39),Cadastros!$L$6:$L$12,Cadastros!$M$6:$M$12)," ")</f>
        <v xml:space="preserve"> </v>
      </c>
      <c r="R1521" s="28"/>
      <c r="S1521" s="28"/>
      <c r="T1521" s="255" t="str">
        <f>IF(R1521="","",(_xlfn.XLOOKUP(R1521,Cadastros!$D$6:$D$90,Cadastros!$E$6:$E$90))*(1-_xlfn.XLOOKUP(_xlfn.XLOOKUP($F1521,Clientes!$B$4:$B$39,Clientes!$C$4:$C$39),Cadastros!$L$6:$L$12,Cadastros!$N$6:$N$12)))</f>
        <v/>
      </c>
      <c r="U1521" s="168" t="str">
        <f t="shared" si="302"/>
        <v/>
      </c>
      <c r="V1521" s="168" t="str">
        <f>IFERROR(U1521/_xlfn.XLOOKUP(_xlfn.XLOOKUP($F1521,Clientes!$B$4:$B$39,Clientes!$C$4:$C$39),Cadastros!$L$6:$L$12,Cadastros!$M$6:$M$12)," ")</f>
        <v xml:space="preserve"> </v>
      </c>
      <c r="W1521" s="28"/>
      <c r="X1521" s="28"/>
      <c r="Y1521" s="255" t="str">
        <f>IF(W1521="","",(_xlfn.XLOOKUP(W1521,Cadastros!$D$6:$D$90,Cadastros!$E$6:$E$90))*(1-_xlfn.XLOOKUP(_xlfn.XLOOKUP($F1521,Clientes!$B$4:$B$39,Clientes!$C$4:$C$39),Cadastros!$L$6:$L$12,Cadastros!$N$6:$N$12)))</f>
        <v/>
      </c>
      <c r="Z1521" s="168" t="str">
        <f t="shared" si="303"/>
        <v/>
      </c>
      <c r="AA1521" s="168" t="str">
        <f>IFERROR(Z1521/_xlfn.XLOOKUP(_xlfn.XLOOKUP($F1521,Clientes!$B$4:$B$39,Clientes!$C$4:$C$39),Cadastros!$L$6:$L$12,Cadastros!$M$6:$M$12)," ")</f>
        <v xml:space="preserve"> </v>
      </c>
      <c r="AB1521" s="28"/>
      <c r="AC1521" s="28"/>
      <c r="AD1521" s="20" t="str">
        <f>IF(AB1521="","",IF($F1521="Bernardino Furlan",_xlfn.XLOOKUP(AB1521,Cadastros!$G$6:$G$90,Cadastros!$H$6:$H$90)*(1-0.18),IF($F1521="Mauro José Salanti",_xlfn.XLOOKUP(AB1521,Cadastros!$G$6:$G$90,Cadastros!$H$6:$H$90)*(1-0.18),_xlfn.XLOOKUP(AB1521,Cadastros!$G$6:$G$90,Cadastros!$H$6:$H$90))))</f>
        <v/>
      </c>
      <c r="AE1521" s="168" t="str">
        <f t="shared" si="304"/>
        <v/>
      </c>
      <c r="AF1521" s="168" t="str">
        <f t="shared" si="305"/>
        <v/>
      </c>
      <c r="AG1521" s="28"/>
      <c r="AH1521" s="28"/>
      <c r="AI1521" s="20" t="str">
        <f>IF(AG1521="","",IF($F1521="Bernardino Furlan",_xlfn.XLOOKUP(AG1521,Cadastros!$G$6:$G$90,Cadastros!$H$6:$H$90)*(1-0.18),IF($F1521="Mauro José Salanti",_xlfn.XLOOKUP(AG1521,Cadastros!$G$6:$G$90,Cadastros!$H$6:$H$90)*(1-0.18),_xlfn.XLOOKUP(AG1521,Cadastros!$G$6:$G$90,Cadastros!$H$6:$H$90))))</f>
        <v/>
      </c>
      <c r="AJ1521" s="168" t="str">
        <f t="shared" si="306"/>
        <v/>
      </c>
      <c r="AK1521" s="168" t="str">
        <f t="shared" si="307"/>
        <v/>
      </c>
      <c r="AL1521" s="28"/>
      <c r="AM1521" s="28"/>
      <c r="AN1521" s="20" t="str">
        <f>IF(AL1521="","",IF($F1521="Bernardino Furlan",_xlfn.XLOOKUP(AL1521,Cadastros!$G$6:$G$90,Cadastros!$H$6:$H$90)*(1-0.18),IF($F1521="Mauro José Salanti",_xlfn.XLOOKUP(AL1521,Cadastros!$G$6:$G$90,Cadastros!$H$6:$H$90)*(1-0.18),_xlfn.XLOOKUP(AL1521,Cadastros!$G$6:$G$90,Cadastros!$H$6:$H$90))))</f>
        <v/>
      </c>
      <c r="AO1521" s="168" t="str">
        <f t="shared" si="308"/>
        <v/>
      </c>
      <c r="AP1521" s="168" t="str">
        <f t="shared" si="309"/>
        <v/>
      </c>
      <c r="AQ1521" s="28"/>
      <c r="AR1521" s="28"/>
      <c r="AS1521" s="20" t="str">
        <f>IF(AQ1521="","",IF($F1521="Bernardino Furlan",_xlfn.XLOOKUP(AQ1521,Cadastros!$G$6:$G$90,Cadastros!$H$6:$H$90)*(1-0.18),IF($F1521="Mauro José Salanti",_xlfn.XLOOKUP(AQ1521,Cadastros!$G$6:$G$90,Cadastros!$H$6:$H$90)*(1-0.18),_xlfn.XLOOKUP(AQ1521,Cadastros!$G$6:$G$90,Cadastros!$H$6:$H$90))))</f>
        <v/>
      </c>
      <c r="AT1521" s="168" t="str">
        <f t="shared" si="310"/>
        <v/>
      </c>
      <c r="AU1521" s="168" t="str">
        <f t="shared" si="311"/>
        <v/>
      </c>
      <c r="AV1521" s="227"/>
      <c r="AW1521" s="30"/>
      <c r="AX1521" s="267"/>
      <c r="AY1521" s="267"/>
      <c r="AZ1521" s="29"/>
      <c r="BA1521" s="30"/>
      <c r="BB1521" s="23" t="str" cm="1">
        <f t="array" ref="BB1521">_xlfn.IFS(AW1521="SIM",SUM(K1521,P1521,U1521,Z1521,AE1521,AJ1521,AO1521,AT1521,AX1521,AY1521),F1521&lt;&gt;"",SUM(K1521,P1521,U1521,Z1521,AE1521,AJ1521,,AO1521,AT1521),F1521="","")</f>
        <v/>
      </c>
      <c r="BC1521" s="211" t="str" cm="1">
        <f t="array" ref="BC1521">_xlfn.IFS(E1521="","",G1521&lt;=E1521,BB1521*(1-0.03),G1521&lt;(E1521+8),BB1521,AZ1521="Boleto",BB1521*(1+0.001)^DATEDIF(E1521,G1521,"D"),AZ1521="Cheque",BB1521,AZ1521="Dinheiro","Alterar forma pgto")</f>
        <v/>
      </c>
      <c r="BD1521" s="276" t="str" cm="1">
        <f t="array" ref="BD1521">IF(F1521=0," ",IF(BC1521&lt;BB1521,(_xlfn.IFS(AW1521="SIM",SUM(L1521,Q1521,V1521,AA1521,AF1521,AK1521,AP1521,AU1521)+AX1521/_xlfn.XLOOKUP(_xlfn.XLOOKUP($F1521,Clientes!$B$4:$B$39,Clientes!$C$4:$C$39),Cadastros!$L$6:$L$12,Cadastros!$M$6:$M$12)+IF($F1521="Bernardino Furlan",AY1521/2751.92,IF($F1521="Mauro José Salanti",AY1521/2751.92,AY1521/3356)),F1521&lt;&gt;0,SUM(L1521,Q1521,V1521,AA1521,AF1521,AK1521,AP1521,AU1521)))*(1-0.03),_xlfn.IFS(AW1521="SIM",SUM(L1521,Q1521,V1521,AA1521,AF1521,AK1521,AP1521,AU1521)+AX1521/_xlfn.XLOOKUP(_xlfn.XLOOKUP($F1521,Clientes!$B$4:$B$39,Clientes!$C$4:$C$39),Cadastros!$L$6:$L$12,Cadastros!$M$6:$M$12)+IF($F1521="Bernardino Furlan",AY1521/2751.92,IF($F1521="Mauro José Salanti",AY1521/2751.92,AY1521/3356)),F1521&lt;&gt;0,SUM(L1521,Q1521,V1521,AA1521,AF1521,AK1521,AP1521,AU1521))))</f>
        <v xml:space="preserve"> </v>
      </c>
      <c r="BE1521" s="120"/>
      <c r="BF1521" s="120"/>
      <c r="BG1521" s="120"/>
    </row>
    <row r="1522" spans="1:59" s="3" customFormat="1" x14ac:dyDescent="0.3">
      <c r="A1522" s="15" t="str">
        <f t="shared" si="299"/>
        <v/>
      </c>
      <c r="B1522" s="25"/>
      <c r="C1522" s="26"/>
      <c r="D1522" s="279"/>
      <c r="E1522" s="27"/>
      <c r="F1522" s="28"/>
      <c r="G1522" s="27"/>
      <c r="H1522" s="28"/>
      <c r="I1522" s="28"/>
      <c r="J1522" s="255" t="str">
        <f>IF(H1522="","",(_xlfn.XLOOKUP(H1522,Cadastros!$D$6:$D$90,Cadastros!$E$6:$E$90))*(1-_xlfn.XLOOKUP(_xlfn.XLOOKUP($F1522,Clientes!$B$4:$B$39,Clientes!$C$4:$C$39),Cadastros!$L$6:$L$12,Cadastros!$N$6:$N$12)))</f>
        <v/>
      </c>
      <c r="K1522" s="168" t="str">
        <f t="shared" si="300"/>
        <v/>
      </c>
      <c r="L1522" s="168" t="str">
        <f>IFERROR(K1522/_xlfn.XLOOKUP(_xlfn.XLOOKUP($F1522,Clientes!$B$4:$B$39,Clientes!$C$4:$C$39),Cadastros!$L$6:$L$12,Cadastros!$M$6:$M$12)," ")</f>
        <v xml:space="preserve"> </v>
      </c>
      <c r="M1522" s="28"/>
      <c r="N1522" s="28"/>
      <c r="O1522" s="255" t="str">
        <f>IF(M1522="","",(_xlfn.XLOOKUP(M1522,Cadastros!$D$6:$D$90,Cadastros!$E$6:$E$90))*(1-_xlfn.XLOOKUP(_xlfn.XLOOKUP($F1522,Clientes!$B$4:$B$39,Clientes!$C$4:$C$39),Cadastros!$L$6:$L$12,Cadastros!$N$6:$N$12)))</f>
        <v/>
      </c>
      <c r="P1522" s="168" t="str">
        <f t="shared" si="301"/>
        <v/>
      </c>
      <c r="Q1522" s="168" t="str">
        <f>IFERROR(P1522/_xlfn.XLOOKUP(_xlfn.XLOOKUP($F1522,Clientes!$B$4:$B$39,Clientes!$C$4:$C$39),Cadastros!$L$6:$L$12,Cadastros!$M$6:$M$12)," ")</f>
        <v xml:space="preserve"> </v>
      </c>
      <c r="R1522" s="28"/>
      <c r="S1522" s="28"/>
      <c r="T1522" s="255" t="str">
        <f>IF(R1522="","",(_xlfn.XLOOKUP(R1522,Cadastros!$D$6:$D$90,Cadastros!$E$6:$E$90))*(1-_xlfn.XLOOKUP(_xlfn.XLOOKUP($F1522,Clientes!$B$4:$B$39,Clientes!$C$4:$C$39),Cadastros!$L$6:$L$12,Cadastros!$N$6:$N$12)))</f>
        <v/>
      </c>
      <c r="U1522" s="168" t="str">
        <f t="shared" si="302"/>
        <v/>
      </c>
      <c r="V1522" s="168" t="str">
        <f>IFERROR(U1522/_xlfn.XLOOKUP(_xlfn.XLOOKUP($F1522,Clientes!$B$4:$B$39,Clientes!$C$4:$C$39),Cadastros!$L$6:$L$12,Cadastros!$M$6:$M$12)," ")</f>
        <v xml:space="preserve"> </v>
      </c>
      <c r="W1522" s="28"/>
      <c r="X1522" s="28"/>
      <c r="Y1522" s="255" t="str">
        <f>IF(W1522="","",(_xlfn.XLOOKUP(W1522,Cadastros!$D$6:$D$90,Cadastros!$E$6:$E$90))*(1-_xlfn.XLOOKUP(_xlfn.XLOOKUP($F1522,Clientes!$B$4:$B$39,Clientes!$C$4:$C$39),Cadastros!$L$6:$L$12,Cadastros!$N$6:$N$12)))</f>
        <v/>
      </c>
      <c r="Z1522" s="168" t="str">
        <f t="shared" si="303"/>
        <v/>
      </c>
      <c r="AA1522" s="168" t="str">
        <f>IFERROR(Z1522/_xlfn.XLOOKUP(_xlfn.XLOOKUP($F1522,Clientes!$B$4:$B$39,Clientes!$C$4:$C$39),Cadastros!$L$6:$L$12,Cadastros!$M$6:$M$12)," ")</f>
        <v xml:space="preserve"> </v>
      </c>
      <c r="AB1522" s="28"/>
      <c r="AC1522" s="28"/>
      <c r="AD1522" s="20" t="str">
        <f>IF(AB1522="","",IF($F1522="Bernardino Furlan",_xlfn.XLOOKUP(AB1522,Cadastros!$G$6:$G$90,Cadastros!$H$6:$H$90)*(1-0.18),IF($F1522="Mauro José Salanti",_xlfn.XLOOKUP(AB1522,Cadastros!$G$6:$G$90,Cadastros!$H$6:$H$90)*(1-0.18),_xlfn.XLOOKUP(AB1522,Cadastros!$G$6:$G$90,Cadastros!$H$6:$H$90))))</f>
        <v/>
      </c>
      <c r="AE1522" s="168" t="str">
        <f t="shared" si="304"/>
        <v/>
      </c>
      <c r="AF1522" s="168" t="str">
        <f t="shared" si="305"/>
        <v/>
      </c>
      <c r="AG1522" s="28"/>
      <c r="AH1522" s="28"/>
      <c r="AI1522" s="20" t="str">
        <f>IF(AG1522="","",IF($F1522="Bernardino Furlan",_xlfn.XLOOKUP(AG1522,Cadastros!$G$6:$G$90,Cadastros!$H$6:$H$90)*(1-0.18),IF($F1522="Mauro José Salanti",_xlfn.XLOOKUP(AG1522,Cadastros!$G$6:$G$90,Cadastros!$H$6:$H$90)*(1-0.18),_xlfn.XLOOKUP(AG1522,Cadastros!$G$6:$G$90,Cadastros!$H$6:$H$90))))</f>
        <v/>
      </c>
      <c r="AJ1522" s="168" t="str">
        <f t="shared" si="306"/>
        <v/>
      </c>
      <c r="AK1522" s="168" t="str">
        <f t="shared" si="307"/>
        <v/>
      </c>
      <c r="AL1522" s="28"/>
      <c r="AM1522" s="28"/>
      <c r="AN1522" s="20" t="str">
        <f>IF(AL1522="","",IF($F1522="Bernardino Furlan",_xlfn.XLOOKUP(AL1522,Cadastros!$G$6:$G$90,Cadastros!$H$6:$H$90)*(1-0.18),IF($F1522="Mauro José Salanti",_xlfn.XLOOKUP(AL1522,Cadastros!$G$6:$G$90,Cadastros!$H$6:$H$90)*(1-0.18),_xlfn.XLOOKUP(AL1522,Cadastros!$G$6:$G$90,Cadastros!$H$6:$H$90))))</f>
        <v/>
      </c>
      <c r="AO1522" s="168" t="str">
        <f t="shared" si="308"/>
        <v/>
      </c>
      <c r="AP1522" s="168" t="str">
        <f t="shared" si="309"/>
        <v/>
      </c>
      <c r="AQ1522" s="28"/>
      <c r="AR1522" s="28"/>
      <c r="AS1522" s="20" t="str">
        <f>IF(AQ1522="","",IF($F1522="Bernardino Furlan",_xlfn.XLOOKUP(AQ1522,Cadastros!$G$6:$G$90,Cadastros!$H$6:$H$90)*(1-0.18),IF($F1522="Mauro José Salanti",_xlfn.XLOOKUP(AQ1522,Cadastros!$G$6:$G$90,Cadastros!$H$6:$H$90)*(1-0.18),_xlfn.XLOOKUP(AQ1522,Cadastros!$G$6:$G$90,Cadastros!$H$6:$H$90))))</f>
        <v/>
      </c>
      <c r="AT1522" s="168" t="str">
        <f t="shared" si="310"/>
        <v/>
      </c>
      <c r="AU1522" s="168" t="str">
        <f t="shared" si="311"/>
        <v/>
      </c>
      <c r="AV1522" s="227"/>
      <c r="AW1522" s="30"/>
      <c r="AX1522" s="267"/>
      <c r="AY1522" s="267"/>
      <c r="AZ1522" s="29"/>
      <c r="BA1522" s="30"/>
      <c r="BB1522" s="23" t="str" cm="1">
        <f t="array" ref="BB1522">_xlfn.IFS(AW1522="SIM",SUM(K1522,P1522,U1522,Z1522,AE1522,AJ1522,AO1522,AT1522,AX1522,AY1522),F1522&lt;&gt;"",SUM(K1522,P1522,U1522,Z1522,AE1522,AJ1522,,AO1522,AT1522),F1522="","")</f>
        <v/>
      </c>
      <c r="BC1522" s="211" t="str" cm="1">
        <f t="array" ref="BC1522">_xlfn.IFS(E1522="","",G1522&lt;=E1522,BB1522*(1-0.03),G1522&lt;(E1522+8),BB1522,AZ1522="Boleto",BB1522*(1+0.001)^DATEDIF(E1522,G1522,"D"),AZ1522="Cheque",BB1522,AZ1522="Dinheiro","Alterar forma pgto")</f>
        <v/>
      </c>
      <c r="BD1522" s="276" t="str" cm="1">
        <f t="array" ref="BD1522">IF(F1522=0," ",IF(BC1522&lt;BB1522,(_xlfn.IFS(AW1522="SIM",SUM(L1522,Q1522,V1522,AA1522,AF1522,AK1522,AP1522,AU1522)+AX1522/_xlfn.XLOOKUP(_xlfn.XLOOKUP($F1522,Clientes!$B$4:$B$39,Clientes!$C$4:$C$39),Cadastros!$L$6:$L$12,Cadastros!$M$6:$M$12)+IF($F1522="Bernardino Furlan",AY1522/2751.92,IF($F1522="Mauro José Salanti",AY1522/2751.92,AY1522/3356)),F1522&lt;&gt;0,SUM(L1522,Q1522,V1522,AA1522,AF1522,AK1522,AP1522,AU1522)))*(1-0.03),_xlfn.IFS(AW1522="SIM",SUM(L1522,Q1522,V1522,AA1522,AF1522,AK1522,AP1522,AU1522)+AX1522/_xlfn.XLOOKUP(_xlfn.XLOOKUP($F1522,Clientes!$B$4:$B$39,Clientes!$C$4:$C$39),Cadastros!$L$6:$L$12,Cadastros!$M$6:$M$12)+IF($F1522="Bernardino Furlan",AY1522/2751.92,IF($F1522="Mauro José Salanti",AY1522/2751.92,AY1522/3356)),F1522&lt;&gt;0,SUM(L1522,Q1522,V1522,AA1522,AF1522,AK1522,AP1522,AU1522))))</f>
        <v xml:space="preserve"> </v>
      </c>
      <c r="BE1522" s="120"/>
      <c r="BF1522" s="120"/>
      <c r="BG1522" s="120"/>
    </row>
    <row r="1523" spans="1:59" s="3" customFormat="1" x14ac:dyDescent="0.3">
      <c r="A1523" s="15" t="str">
        <f t="shared" si="299"/>
        <v/>
      </c>
      <c r="B1523" s="25"/>
      <c r="C1523" s="26"/>
      <c r="D1523" s="279"/>
      <c r="E1523" s="27"/>
      <c r="F1523" s="28"/>
      <c r="G1523" s="27"/>
      <c r="H1523" s="28"/>
      <c r="I1523" s="28"/>
      <c r="J1523" s="255" t="str">
        <f>IF(H1523="","",(_xlfn.XLOOKUP(H1523,Cadastros!$D$6:$D$90,Cadastros!$E$6:$E$90))*(1-_xlfn.XLOOKUP(_xlfn.XLOOKUP($F1523,Clientes!$B$4:$B$39,Clientes!$C$4:$C$39),Cadastros!$L$6:$L$12,Cadastros!$N$6:$N$12)))</f>
        <v/>
      </c>
      <c r="K1523" s="168" t="str">
        <f t="shared" si="300"/>
        <v/>
      </c>
      <c r="L1523" s="168" t="str">
        <f>IFERROR(K1523/_xlfn.XLOOKUP(_xlfn.XLOOKUP($F1523,Clientes!$B$4:$B$39,Clientes!$C$4:$C$39),Cadastros!$L$6:$L$12,Cadastros!$M$6:$M$12)," ")</f>
        <v xml:space="preserve"> </v>
      </c>
      <c r="M1523" s="28"/>
      <c r="N1523" s="28"/>
      <c r="O1523" s="255" t="str">
        <f>IF(M1523="","",(_xlfn.XLOOKUP(M1523,Cadastros!$D$6:$D$90,Cadastros!$E$6:$E$90))*(1-_xlfn.XLOOKUP(_xlfn.XLOOKUP($F1523,Clientes!$B$4:$B$39,Clientes!$C$4:$C$39),Cadastros!$L$6:$L$12,Cadastros!$N$6:$N$12)))</f>
        <v/>
      </c>
      <c r="P1523" s="168" t="str">
        <f t="shared" si="301"/>
        <v/>
      </c>
      <c r="Q1523" s="168" t="str">
        <f>IFERROR(P1523/_xlfn.XLOOKUP(_xlfn.XLOOKUP($F1523,Clientes!$B$4:$B$39,Clientes!$C$4:$C$39),Cadastros!$L$6:$L$12,Cadastros!$M$6:$M$12)," ")</f>
        <v xml:space="preserve"> </v>
      </c>
      <c r="R1523" s="28"/>
      <c r="S1523" s="28"/>
      <c r="T1523" s="255" t="str">
        <f>IF(R1523="","",(_xlfn.XLOOKUP(R1523,Cadastros!$D$6:$D$90,Cadastros!$E$6:$E$90))*(1-_xlfn.XLOOKUP(_xlfn.XLOOKUP($F1523,Clientes!$B$4:$B$39,Clientes!$C$4:$C$39),Cadastros!$L$6:$L$12,Cadastros!$N$6:$N$12)))</f>
        <v/>
      </c>
      <c r="U1523" s="168" t="str">
        <f t="shared" si="302"/>
        <v/>
      </c>
      <c r="V1523" s="168" t="str">
        <f>IFERROR(U1523/_xlfn.XLOOKUP(_xlfn.XLOOKUP($F1523,Clientes!$B$4:$B$39,Clientes!$C$4:$C$39),Cadastros!$L$6:$L$12,Cadastros!$M$6:$M$12)," ")</f>
        <v xml:space="preserve"> </v>
      </c>
      <c r="W1523" s="28"/>
      <c r="X1523" s="28"/>
      <c r="Y1523" s="255" t="str">
        <f>IF(W1523="","",(_xlfn.XLOOKUP(W1523,Cadastros!$D$6:$D$90,Cadastros!$E$6:$E$90))*(1-_xlfn.XLOOKUP(_xlfn.XLOOKUP($F1523,Clientes!$B$4:$B$39,Clientes!$C$4:$C$39),Cadastros!$L$6:$L$12,Cadastros!$N$6:$N$12)))</f>
        <v/>
      </c>
      <c r="Z1523" s="168" t="str">
        <f t="shared" si="303"/>
        <v/>
      </c>
      <c r="AA1523" s="168" t="str">
        <f>IFERROR(Z1523/_xlfn.XLOOKUP(_xlfn.XLOOKUP($F1523,Clientes!$B$4:$B$39,Clientes!$C$4:$C$39),Cadastros!$L$6:$L$12,Cadastros!$M$6:$M$12)," ")</f>
        <v xml:space="preserve"> </v>
      </c>
      <c r="AB1523" s="28"/>
      <c r="AC1523" s="28"/>
      <c r="AD1523" s="20" t="str">
        <f>IF(AB1523="","",IF($F1523="Bernardino Furlan",_xlfn.XLOOKUP(AB1523,Cadastros!$G$6:$G$90,Cadastros!$H$6:$H$90)*(1-0.18),IF($F1523="Mauro José Salanti",_xlfn.XLOOKUP(AB1523,Cadastros!$G$6:$G$90,Cadastros!$H$6:$H$90)*(1-0.18),_xlfn.XLOOKUP(AB1523,Cadastros!$G$6:$G$90,Cadastros!$H$6:$H$90))))</f>
        <v/>
      </c>
      <c r="AE1523" s="168" t="str">
        <f t="shared" si="304"/>
        <v/>
      </c>
      <c r="AF1523" s="168" t="str">
        <f t="shared" si="305"/>
        <v/>
      </c>
      <c r="AG1523" s="28"/>
      <c r="AH1523" s="28"/>
      <c r="AI1523" s="20" t="str">
        <f>IF(AG1523="","",IF($F1523="Bernardino Furlan",_xlfn.XLOOKUP(AG1523,Cadastros!$G$6:$G$90,Cadastros!$H$6:$H$90)*(1-0.18),IF($F1523="Mauro José Salanti",_xlfn.XLOOKUP(AG1523,Cadastros!$G$6:$G$90,Cadastros!$H$6:$H$90)*(1-0.18),_xlfn.XLOOKUP(AG1523,Cadastros!$G$6:$G$90,Cadastros!$H$6:$H$90))))</f>
        <v/>
      </c>
      <c r="AJ1523" s="168" t="str">
        <f t="shared" si="306"/>
        <v/>
      </c>
      <c r="AK1523" s="168" t="str">
        <f t="shared" si="307"/>
        <v/>
      </c>
      <c r="AL1523" s="28"/>
      <c r="AM1523" s="28"/>
      <c r="AN1523" s="20" t="str">
        <f>IF(AL1523="","",IF($F1523="Bernardino Furlan",_xlfn.XLOOKUP(AL1523,Cadastros!$G$6:$G$90,Cadastros!$H$6:$H$90)*(1-0.18),IF($F1523="Mauro José Salanti",_xlfn.XLOOKUP(AL1523,Cadastros!$G$6:$G$90,Cadastros!$H$6:$H$90)*(1-0.18),_xlfn.XLOOKUP(AL1523,Cadastros!$G$6:$G$90,Cadastros!$H$6:$H$90))))</f>
        <v/>
      </c>
      <c r="AO1523" s="168" t="str">
        <f t="shared" si="308"/>
        <v/>
      </c>
      <c r="AP1523" s="168" t="str">
        <f t="shared" si="309"/>
        <v/>
      </c>
      <c r="AQ1523" s="28"/>
      <c r="AR1523" s="28"/>
      <c r="AS1523" s="20" t="str">
        <f>IF(AQ1523="","",IF($F1523="Bernardino Furlan",_xlfn.XLOOKUP(AQ1523,Cadastros!$G$6:$G$90,Cadastros!$H$6:$H$90)*(1-0.18),IF($F1523="Mauro José Salanti",_xlfn.XLOOKUP(AQ1523,Cadastros!$G$6:$G$90,Cadastros!$H$6:$H$90)*(1-0.18),_xlfn.XLOOKUP(AQ1523,Cadastros!$G$6:$G$90,Cadastros!$H$6:$H$90))))</f>
        <v/>
      </c>
      <c r="AT1523" s="168" t="str">
        <f t="shared" si="310"/>
        <v/>
      </c>
      <c r="AU1523" s="168" t="str">
        <f t="shared" si="311"/>
        <v/>
      </c>
      <c r="AV1523" s="227"/>
      <c r="AW1523" s="30"/>
      <c r="AX1523" s="267"/>
      <c r="AY1523" s="267"/>
      <c r="AZ1523" s="29"/>
      <c r="BA1523" s="30"/>
      <c r="BB1523" s="23" t="str" cm="1">
        <f t="array" ref="BB1523">_xlfn.IFS(AW1523="SIM",SUM(K1523,P1523,U1523,Z1523,AE1523,AJ1523,AO1523,AT1523,AX1523,AY1523),F1523&lt;&gt;"",SUM(K1523,P1523,U1523,Z1523,AE1523,AJ1523,,AO1523,AT1523),F1523="","")</f>
        <v/>
      </c>
      <c r="BC1523" s="211" t="str" cm="1">
        <f t="array" ref="BC1523">_xlfn.IFS(E1523="","",G1523&lt;=E1523,BB1523*(1-0.03),G1523&lt;(E1523+8),BB1523,AZ1523="Boleto",BB1523*(1+0.001)^DATEDIF(E1523,G1523,"D"),AZ1523="Cheque",BB1523,AZ1523="Dinheiro","Alterar forma pgto")</f>
        <v/>
      </c>
      <c r="BD1523" s="276" t="str" cm="1">
        <f t="array" ref="BD1523">IF(F1523=0," ",IF(BC1523&lt;BB1523,(_xlfn.IFS(AW1523="SIM",SUM(L1523,Q1523,V1523,AA1523,AF1523,AK1523,AP1523,AU1523)+AX1523/_xlfn.XLOOKUP(_xlfn.XLOOKUP($F1523,Clientes!$B$4:$B$39,Clientes!$C$4:$C$39),Cadastros!$L$6:$L$12,Cadastros!$M$6:$M$12)+IF($F1523="Bernardino Furlan",AY1523/2751.92,IF($F1523="Mauro José Salanti",AY1523/2751.92,AY1523/3356)),F1523&lt;&gt;0,SUM(L1523,Q1523,V1523,AA1523,AF1523,AK1523,AP1523,AU1523)))*(1-0.03),_xlfn.IFS(AW1523="SIM",SUM(L1523,Q1523,V1523,AA1523,AF1523,AK1523,AP1523,AU1523)+AX1523/_xlfn.XLOOKUP(_xlfn.XLOOKUP($F1523,Clientes!$B$4:$B$39,Clientes!$C$4:$C$39),Cadastros!$L$6:$L$12,Cadastros!$M$6:$M$12)+IF($F1523="Bernardino Furlan",AY1523/2751.92,IF($F1523="Mauro José Salanti",AY1523/2751.92,AY1523/3356)),F1523&lt;&gt;0,SUM(L1523,Q1523,V1523,AA1523,AF1523,AK1523,AP1523,AU1523))))</f>
        <v xml:space="preserve"> </v>
      </c>
      <c r="BE1523" s="120"/>
      <c r="BF1523" s="120"/>
      <c r="BG1523" s="120"/>
    </row>
    <row r="1524" spans="1:59" s="3" customFormat="1" x14ac:dyDescent="0.3">
      <c r="A1524" s="15" t="str">
        <f t="shared" si="299"/>
        <v/>
      </c>
      <c r="B1524" s="25"/>
      <c r="C1524" s="26"/>
      <c r="D1524" s="279"/>
      <c r="E1524" s="27"/>
      <c r="F1524" s="28"/>
      <c r="G1524" s="27"/>
      <c r="H1524" s="28"/>
      <c r="I1524" s="28"/>
      <c r="J1524" s="255" t="str">
        <f>IF(H1524="","",(_xlfn.XLOOKUP(H1524,Cadastros!$D$6:$D$90,Cadastros!$E$6:$E$90))*(1-_xlfn.XLOOKUP(_xlfn.XLOOKUP($F1524,Clientes!$B$4:$B$39,Clientes!$C$4:$C$39),Cadastros!$L$6:$L$12,Cadastros!$N$6:$N$12)))</f>
        <v/>
      </c>
      <c r="K1524" s="168" t="str">
        <f t="shared" si="300"/>
        <v/>
      </c>
      <c r="L1524" s="168" t="str">
        <f>IFERROR(K1524/_xlfn.XLOOKUP(_xlfn.XLOOKUP($F1524,Clientes!$B$4:$B$39,Clientes!$C$4:$C$39),Cadastros!$L$6:$L$12,Cadastros!$M$6:$M$12)," ")</f>
        <v xml:space="preserve"> </v>
      </c>
      <c r="M1524" s="28"/>
      <c r="N1524" s="28"/>
      <c r="O1524" s="255" t="str">
        <f>IF(M1524="","",(_xlfn.XLOOKUP(M1524,Cadastros!$D$6:$D$90,Cadastros!$E$6:$E$90))*(1-_xlfn.XLOOKUP(_xlfn.XLOOKUP($F1524,Clientes!$B$4:$B$39,Clientes!$C$4:$C$39),Cadastros!$L$6:$L$12,Cadastros!$N$6:$N$12)))</f>
        <v/>
      </c>
      <c r="P1524" s="168" t="str">
        <f t="shared" si="301"/>
        <v/>
      </c>
      <c r="Q1524" s="168" t="str">
        <f>IFERROR(P1524/_xlfn.XLOOKUP(_xlfn.XLOOKUP($F1524,Clientes!$B$4:$B$39,Clientes!$C$4:$C$39),Cadastros!$L$6:$L$12,Cadastros!$M$6:$M$12)," ")</f>
        <v xml:space="preserve"> </v>
      </c>
      <c r="R1524" s="28"/>
      <c r="S1524" s="28"/>
      <c r="T1524" s="255" t="str">
        <f>IF(R1524="","",(_xlfn.XLOOKUP(R1524,Cadastros!$D$6:$D$90,Cadastros!$E$6:$E$90))*(1-_xlfn.XLOOKUP(_xlfn.XLOOKUP($F1524,Clientes!$B$4:$B$39,Clientes!$C$4:$C$39),Cadastros!$L$6:$L$12,Cadastros!$N$6:$N$12)))</f>
        <v/>
      </c>
      <c r="U1524" s="168" t="str">
        <f t="shared" si="302"/>
        <v/>
      </c>
      <c r="V1524" s="168" t="str">
        <f>IFERROR(U1524/_xlfn.XLOOKUP(_xlfn.XLOOKUP($F1524,Clientes!$B$4:$B$39,Clientes!$C$4:$C$39),Cadastros!$L$6:$L$12,Cadastros!$M$6:$M$12)," ")</f>
        <v xml:space="preserve"> </v>
      </c>
      <c r="W1524" s="28"/>
      <c r="X1524" s="28"/>
      <c r="Y1524" s="255" t="str">
        <f>IF(W1524="","",(_xlfn.XLOOKUP(W1524,Cadastros!$D$6:$D$90,Cadastros!$E$6:$E$90))*(1-_xlfn.XLOOKUP(_xlfn.XLOOKUP($F1524,Clientes!$B$4:$B$39,Clientes!$C$4:$C$39),Cadastros!$L$6:$L$12,Cadastros!$N$6:$N$12)))</f>
        <v/>
      </c>
      <c r="Z1524" s="168" t="str">
        <f t="shared" si="303"/>
        <v/>
      </c>
      <c r="AA1524" s="168" t="str">
        <f>IFERROR(Z1524/_xlfn.XLOOKUP(_xlfn.XLOOKUP($F1524,Clientes!$B$4:$B$39,Clientes!$C$4:$C$39),Cadastros!$L$6:$L$12,Cadastros!$M$6:$M$12)," ")</f>
        <v xml:space="preserve"> </v>
      </c>
      <c r="AB1524" s="28"/>
      <c r="AC1524" s="28"/>
      <c r="AD1524" s="20" t="str">
        <f>IF(AB1524="","",IF($F1524="Bernardino Furlan",_xlfn.XLOOKUP(AB1524,Cadastros!$G$6:$G$90,Cadastros!$H$6:$H$90)*(1-0.18),IF($F1524="Mauro José Salanti",_xlfn.XLOOKUP(AB1524,Cadastros!$G$6:$G$90,Cadastros!$H$6:$H$90)*(1-0.18),_xlfn.XLOOKUP(AB1524,Cadastros!$G$6:$G$90,Cadastros!$H$6:$H$90))))</f>
        <v/>
      </c>
      <c r="AE1524" s="168" t="str">
        <f t="shared" si="304"/>
        <v/>
      </c>
      <c r="AF1524" s="168" t="str">
        <f t="shared" si="305"/>
        <v/>
      </c>
      <c r="AG1524" s="28"/>
      <c r="AH1524" s="28"/>
      <c r="AI1524" s="20" t="str">
        <f>IF(AG1524="","",IF($F1524="Bernardino Furlan",_xlfn.XLOOKUP(AG1524,Cadastros!$G$6:$G$90,Cadastros!$H$6:$H$90)*(1-0.18),IF($F1524="Mauro José Salanti",_xlfn.XLOOKUP(AG1524,Cadastros!$G$6:$G$90,Cadastros!$H$6:$H$90)*(1-0.18),_xlfn.XLOOKUP(AG1524,Cadastros!$G$6:$G$90,Cadastros!$H$6:$H$90))))</f>
        <v/>
      </c>
      <c r="AJ1524" s="168" t="str">
        <f t="shared" si="306"/>
        <v/>
      </c>
      <c r="AK1524" s="168" t="str">
        <f t="shared" si="307"/>
        <v/>
      </c>
      <c r="AL1524" s="28"/>
      <c r="AM1524" s="28"/>
      <c r="AN1524" s="20" t="str">
        <f>IF(AL1524="","",IF($F1524="Bernardino Furlan",_xlfn.XLOOKUP(AL1524,Cadastros!$G$6:$G$90,Cadastros!$H$6:$H$90)*(1-0.18),IF($F1524="Mauro José Salanti",_xlfn.XLOOKUP(AL1524,Cadastros!$G$6:$G$90,Cadastros!$H$6:$H$90)*(1-0.18),_xlfn.XLOOKUP(AL1524,Cadastros!$G$6:$G$90,Cadastros!$H$6:$H$90))))</f>
        <v/>
      </c>
      <c r="AO1524" s="168" t="str">
        <f t="shared" si="308"/>
        <v/>
      </c>
      <c r="AP1524" s="168" t="str">
        <f t="shared" si="309"/>
        <v/>
      </c>
      <c r="AQ1524" s="28"/>
      <c r="AR1524" s="28"/>
      <c r="AS1524" s="20" t="str">
        <f>IF(AQ1524="","",IF($F1524="Bernardino Furlan",_xlfn.XLOOKUP(AQ1524,Cadastros!$G$6:$G$90,Cadastros!$H$6:$H$90)*(1-0.18),IF($F1524="Mauro José Salanti",_xlfn.XLOOKUP(AQ1524,Cadastros!$G$6:$G$90,Cadastros!$H$6:$H$90)*(1-0.18),_xlfn.XLOOKUP(AQ1524,Cadastros!$G$6:$G$90,Cadastros!$H$6:$H$90))))</f>
        <v/>
      </c>
      <c r="AT1524" s="168" t="str">
        <f t="shared" si="310"/>
        <v/>
      </c>
      <c r="AU1524" s="168" t="str">
        <f t="shared" si="311"/>
        <v/>
      </c>
      <c r="AV1524" s="227"/>
      <c r="AW1524" s="30"/>
      <c r="AX1524" s="267"/>
      <c r="AY1524" s="267"/>
      <c r="AZ1524" s="29"/>
      <c r="BA1524" s="30"/>
      <c r="BB1524" s="23" t="str" cm="1">
        <f t="array" ref="BB1524">_xlfn.IFS(AW1524="SIM",SUM(K1524,P1524,U1524,Z1524,AE1524,AJ1524,AO1524,AT1524,AX1524,AY1524),F1524&lt;&gt;"",SUM(K1524,P1524,U1524,Z1524,AE1524,AJ1524,,AO1524,AT1524),F1524="","")</f>
        <v/>
      </c>
      <c r="BC1524" s="211" t="str" cm="1">
        <f t="array" ref="BC1524">_xlfn.IFS(E1524="","",G1524&lt;=E1524,BB1524*(1-0.03),G1524&lt;(E1524+8),BB1524,AZ1524="Boleto",BB1524*(1+0.001)^DATEDIF(E1524,G1524,"D"),AZ1524="Cheque",BB1524,AZ1524="Dinheiro","Alterar forma pgto")</f>
        <v/>
      </c>
      <c r="BD1524" s="276" t="str" cm="1">
        <f t="array" ref="BD1524">IF(F1524=0," ",IF(BC1524&lt;BB1524,(_xlfn.IFS(AW1524="SIM",SUM(L1524,Q1524,V1524,AA1524,AF1524,AK1524,AP1524,AU1524)+AX1524/_xlfn.XLOOKUP(_xlfn.XLOOKUP($F1524,Clientes!$B$4:$B$39,Clientes!$C$4:$C$39),Cadastros!$L$6:$L$12,Cadastros!$M$6:$M$12)+IF($F1524="Bernardino Furlan",AY1524/2751.92,IF($F1524="Mauro José Salanti",AY1524/2751.92,AY1524/3356)),F1524&lt;&gt;0,SUM(L1524,Q1524,V1524,AA1524,AF1524,AK1524,AP1524,AU1524)))*(1-0.03),_xlfn.IFS(AW1524="SIM",SUM(L1524,Q1524,V1524,AA1524,AF1524,AK1524,AP1524,AU1524)+AX1524/_xlfn.XLOOKUP(_xlfn.XLOOKUP($F1524,Clientes!$B$4:$B$39,Clientes!$C$4:$C$39),Cadastros!$L$6:$L$12,Cadastros!$M$6:$M$12)+IF($F1524="Bernardino Furlan",AY1524/2751.92,IF($F1524="Mauro José Salanti",AY1524/2751.92,AY1524/3356)),F1524&lt;&gt;0,SUM(L1524,Q1524,V1524,AA1524,AF1524,AK1524,AP1524,AU1524))))</f>
        <v xml:space="preserve"> </v>
      </c>
      <c r="BE1524" s="120"/>
      <c r="BF1524" s="120"/>
      <c r="BG1524" s="120"/>
    </row>
    <row r="1525" spans="1:59" s="3" customFormat="1" x14ac:dyDescent="0.3">
      <c r="A1525" s="15" t="str">
        <f t="shared" si="299"/>
        <v/>
      </c>
      <c r="B1525" s="25"/>
      <c r="C1525" s="26"/>
      <c r="D1525" s="279"/>
      <c r="E1525" s="27"/>
      <c r="F1525" s="28"/>
      <c r="G1525" s="27"/>
      <c r="H1525" s="28"/>
      <c r="I1525" s="28"/>
      <c r="J1525" s="255" t="str">
        <f>IF(H1525="","",(_xlfn.XLOOKUP(H1525,Cadastros!$D$6:$D$90,Cadastros!$E$6:$E$90))*(1-_xlfn.XLOOKUP(_xlfn.XLOOKUP($F1525,Clientes!$B$4:$B$39,Clientes!$C$4:$C$39),Cadastros!$L$6:$L$12,Cadastros!$N$6:$N$12)))</f>
        <v/>
      </c>
      <c r="K1525" s="168" t="str">
        <f t="shared" si="300"/>
        <v/>
      </c>
      <c r="L1525" s="168" t="str">
        <f>IFERROR(K1525/_xlfn.XLOOKUP(_xlfn.XLOOKUP($F1525,Clientes!$B$4:$B$39,Clientes!$C$4:$C$39),Cadastros!$L$6:$L$12,Cadastros!$M$6:$M$12)," ")</f>
        <v xml:space="preserve"> </v>
      </c>
      <c r="M1525" s="28"/>
      <c r="N1525" s="28"/>
      <c r="O1525" s="255" t="str">
        <f>IF(M1525="","",(_xlfn.XLOOKUP(M1525,Cadastros!$D$6:$D$90,Cadastros!$E$6:$E$90))*(1-_xlfn.XLOOKUP(_xlfn.XLOOKUP($F1525,Clientes!$B$4:$B$39,Clientes!$C$4:$C$39),Cadastros!$L$6:$L$12,Cadastros!$N$6:$N$12)))</f>
        <v/>
      </c>
      <c r="P1525" s="168" t="str">
        <f t="shared" si="301"/>
        <v/>
      </c>
      <c r="Q1525" s="168" t="str">
        <f>IFERROR(P1525/_xlfn.XLOOKUP(_xlfn.XLOOKUP($F1525,Clientes!$B$4:$B$39,Clientes!$C$4:$C$39),Cadastros!$L$6:$L$12,Cadastros!$M$6:$M$12)," ")</f>
        <v xml:space="preserve"> </v>
      </c>
      <c r="R1525" s="28"/>
      <c r="S1525" s="28"/>
      <c r="T1525" s="255" t="str">
        <f>IF(R1525="","",(_xlfn.XLOOKUP(R1525,Cadastros!$D$6:$D$90,Cadastros!$E$6:$E$90))*(1-_xlfn.XLOOKUP(_xlfn.XLOOKUP($F1525,Clientes!$B$4:$B$39,Clientes!$C$4:$C$39),Cadastros!$L$6:$L$12,Cadastros!$N$6:$N$12)))</f>
        <v/>
      </c>
      <c r="U1525" s="168" t="str">
        <f t="shared" si="302"/>
        <v/>
      </c>
      <c r="V1525" s="168" t="str">
        <f>IFERROR(U1525/_xlfn.XLOOKUP(_xlfn.XLOOKUP($F1525,Clientes!$B$4:$B$39,Clientes!$C$4:$C$39),Cadastros!$L$6:$L$12,Cadastros!$M$6:$M$12)," ")</f>
        <v xml:space="preserve"> </v>
      </c>
      <c r="W1525" s="28"/>
      <c r="X1525" s="28"/>
      <c r="Y1525" s="255" t="str">
        <f>IF(W1525="","",(_xlfn.XLOOKUP(W1525,Cadastros!$D$6:$D$90,Cadastros!$E$6:$E$90))*(1-_xlfn.XLOOKUP(_xlfn.XLOOKUP($F1525,Clientes!$B$4:$B$39,Clientes!$C$4:$C$39),Cadastros!$L$6:$L$12,Cadastros!$N$6:$N$12)))</f>
        <v/>
      </c>
      <c r="Z1525" s="168" t="str">
        <f t="shared" si="303"/>
        <v/>
      </c>
      <c r="AA1525" s="168" t="str">
        <f>IFERROR(Z1525/_xlfn.XLOOKUP(_xlfn.XLOOKUP($F1525,Clientes!$B$4:$B$39,Clientes!$C$4:$C$39),Cadastros!$L$6:$L$12,Cadastros!$M$6:$M$12)," ")</f>
        <v xml:space="preserve"> </v>
      </c>
      <c r="AB1525" s="28"/>
      <c r="AC1525" s="28"/>
      <c r="AD1525" s="20" t="str">
        <f>IF(AB1525="","",IF($F1525="Bernardino Furlan",_xlfn.XLOOKUP(AB1525,Cadastros!$G$6:$G$90,Cadastros!$H$6:$H$90)*(1-0.18),IF($F1525="Mauro José Salanti",_xlfn.XLOOKUP(AB1525,Cadastros!$G$6:$G$90,Cadastros!$H$6:$H$90)*(1-0.18),_xlfn.XLOOKUP(AB1525,Cadastros!$G$6:$G$90,Cadastros!$H$6:$H$90))))</f>
        <v/>
      </c>
      <c r="AE1525" s="168" t="str">
        <f t="shared" si="304"/>
        <v/>
      </c>
      <c r="AF1525" s="168" t="str">
        <f t="shared" si="305"/>
        <v/>
      </c>
      <c r="AG1525" s="28"/>
      <c r="AH1525" s="28"/>
      <c r="AI1525" s="20" t="str">
        <f>IF(AG1525="","",IF($F1525="Bernardino Furlan",_xlfn.XLOOKUP(AG1525,Cadastros!$G$6:$G$90,Cadastros!$H$6:$H$90)*(1-0.18),IF($F1525="Mauro José Salanti",_xlfn.XLOOKUP(AG1525,Cadastros!$G$6:$G$90,Cadastros!$H$6:$H$90)*(1-0.18),_xlfn.XLOOKUP(AG1525,Cadastros!$G$6:$G$90,Cadastros!$H$6:$H$90))))</f>
        <v/>
      </c>
      <c r="AJ1525" s="168" t="str">
        <f t="shared" si="306"/>
        <v/>
      </c>
      <c r="AK1525" s="168" t="str">
        <f t="shared" si="307"/>
        <v/>
      </c>
      <c r="AL1525" s="28"/>
      <c r="AM1525" s="28"/>
      <c r="AN1525" s="20" t="str">
        <f>IF(AL1525="","",IF($F1525="Bernardino Furlan",_xlfn.XLOOKUP(AL1525,Cadastros!$G$6:$G$90,Cadastros!$H$6:$H$90)*(1-0.18),IF($F1525="Mauro José Salanti",_xlfn.XLOOKUP(AL1525,Cadastros!$G$6:$G$90,Cadastros!$H$6:$H$90)*(1-0.18),_xlfn.XLOOKUP(AL1525,Cadastros!$G$6:$G$90,Cadastros!$H$6:$H$90))))</f>
        <v/>
      </c>
      <c r="AO1525" s="168" t="str">
        <f t="shared" si="308"/>
        <v/>
      </c>
      <c r="AP1525" s="168" t="str">
        <f t="shared" si="309"/>
        <v/>
      </c>
      <c r="AQ1525" s="28"/>
      <c r="AR1525" s="28"/>
      <c r="AS1525" s="20" t="str">
        <f>IF(AQ1525="","",IF($F1525="Bernardino Furlan",_xlfn.XLOOKUP(AQ1525,Cadastros!$G$6:$G$90,Cadastros!$H$6:$H$90)*(1-0.18),IF($F1525="Mauro José Salanti",_xlfn.XLOOKUP(AQ1525,Cadastros!$G$6:$G$90,Cadastros!$H$6:$H$90)*(1-0.18),_xlfn.XLOOKUP(AQ1525,Cadastros!$G$6:$G$90,Cadastros!$H$6:$H$90))))</f>
        <v/>
      </c>
      <c r="AT1525" s="168" t="str">
        <f t="shared" si="310"/>
        <v/>
      </c>
      <c r="AU1525" s="168" t="str">
        <f t="shared" si="311"/>
        <v/>
      </c>
      <c r="AV1525" s="227"/>
      <c r="AW1525" s="30"/>
      <c r="AX1525" s="267"/>
      <c r="AY1525" s="267"/>
      <c r="AZ1525" s="29"/>
      <c r="BA1525" s="30"/>
      <c r="BB1525" s="23" t="str" cm="1">
        <f t="array" ref="BB1525">_xlfn.IFS(AW1525="SIM",SUM(K1525,P1525,U1525,Z1525,AE1525,AJ1525,AO1525,AT1525,AX1525,AY1525),F1525&lt;&gt;"",SUM(K1525,P1525,U1525,Z1525,AE1525,AJ1525,,AO1525,AT1525),F1525="","")</f>
        <v/>
      </c>
      <c r="BC1525" s="211" t="str" cm="1">
        <f t="array" ref="BC1525">_xlfn.IFS(E1525="","",G1525&lt;=E1525,BB1525*(1-0.03),G1525&lt;(E1525+8),BB1525,AZ1525="Boleto",BB1525*(1+0.001)^DATEDIF(E1525,G1525,"D"),AZ1525="Cheque",BB1525,AZ1525="Dinheiro","Alterar forma pgto")</f>
        <v/>
      </c>
      <c r="BD1525" s="276" t="str" cm="1">
        <f t="array" ref="BD1525">IF(F1525=0," ",IF(BC1525&lt;BB1525,(_xlfn.IFS(AW1525="SIM",SUM(L1525,Q1525,V1525,AA1525,AF1525,AK1525,AP1525,AU1525)+AX1525/_xlfn.XLOOKUP(_xlfn.XLOOKUP($F1525,Clientes!$B$4:$B$39,Clientes!$C$4:$C$39),Cadastros!$L$6:$L$12,Cadastros!$M$6:$M$12)+IF($F1525="Bernardino Furlan",AY1525/2751.92,IF($F1525="Mauro José Salanti",AY1525/2751.92,AY1525/3356)),F1525&lt;&gt;0,SUM(L1525,Q1525,V1525,AA1525,AF1525,AK1525,AP1525,AU1525)))*(1-0.03),_xlfn.IFS(AW1525="SIM",SUM(L1525,Q1525,V1525,AA1525,AF1525,AK1525,AP1525,AU1525)+AX1525/_xlfn.XLOOKUP(_xlfn.XLOOKUP($F1525,Clientes!$B$4:$B$39,Clientes!$C$4:$C$39),Cadastros!$L$6:$L$12,Cadastros!$M$6:$M$12)+IF($F1525="Bernardino Furlan",AY1525/2751.92,IF($F1525="Mauro José Salanti",AY1525/2751.92,AY1525/3356)),F1525&lt;&gt;0,SUM(L1525,Q1525,V1525,AA1525,AF1525,AK1525,AP1525,AU1525))))</f>
        <v xml:space="preserve"> </v>
      </c>
      <c r="BE1525" s="120"/>
      <c r="BF1525" s="120"/>
      <c r="BG1525" s="120"/>
    </row>
    <row r="1526" spans="1:59" s="3" customFormat="1" x14ac:dyDescent="0.3">
      <c r="A1526" s="15" t="str">
        <f t="shared" si="299"/>
        <v/>
      </c>
      <c r="B1526" s="25"/>
      <c r="C1526" s="26"/>
      <c r="D1526" s="279"/>
      <c r="E1526" s="27"/>
      <c r="F1526" s="28"/>
      <c r="G1526" s="27"/>
      <c r="H1526" s="28"/>
      <c r="I1526" s="28"/>
      <c r="J1526" s="255" t="str">
        <f>IF(H1526="","",(_xlfn.XLOOKUP(H1526,Cadastros!$D$6:$D$90,Cadastros!$E$6:$E$90))*(1-_xlfn.XLOOKUP(_xlfn.XLOOKUP($F1526,Clientes!$B$4:$B$39,Clientes!$C$4:$C$39),Cadastros!$L$6:$L$12,Cadastros!$N$6:$N$12)))</f>
        <v/>
      </c>
      <c r="K1526" s="168" t="str">
        <f t="shared" si="300"/>
        <v/>
      </c>
      <c r="L1526" s="168" t="str">
        <f>IFERROR(K1526/_xlfn.XLOOKUP(_xlfn.XLOOKUP($F1526,Clientes!$B$4:$B$39,Clientes!$C$4:$C$39),Cadastros!$L$6:$L$12,Cadastros!$M$6:$M$12)," ")</f>
        <v xml:space="preserve"> </v>
      </c>
      <c r="M1526" s="28"/>
      <c r="N1526" s="28"/>
      <c r="O1526" s="255" t="str">
        <f>IF(M1526="","",(_xlfn.XLOOKUP(M1526,Cadastros!$D$6:$D$90,Cadastros!$E$6:$E$90))*(1-_xlfn.XLOOKUP(_xlfn.XLOOKUP($F1526,Clientes!$B$4:$B$39,Clientes!$C$4:$C$39),Cadastros!$L$6:$L$12,Cadastros!$N$6:$N$12)))</f>
        <v/>
      </c>
      <c r="P1526" s="168" t="str">
        <f t="shared" si="301"/>
        <v/>
      </c>
      <c r="Q1526" s="168" t="str">
        <f>IFERROR(P1526/_xlfn.XLOOKUP(_xlfn.XLOOKUP($F1526,Clientes!$B$4:$B$39,Clientes!$C$4:$C$39),Cadastros!$L$6:$L$12,Cadastros!$M$6:$M$12)," ")</f>
        <v xml:space="preserve"> </v>
      </c>
      <c r="R1526" s="28"/>
      <c r="S1526" s="28"/>
      <c r="T1526" s="255" t="str">
        <f>IF(R1526="","",(_xlfn.XLOOKUP(R1526,Cadastros!$D$6:$D$90,Cadastros!$E$6:$E$90))*(1-_xlfn.XLOOKUP(_xlfn.XLOOKUP($F1526,Clientes!$B$4:$B$39,Clientes!$C$4:$C$39),Cadastros!$L$6:$L$12,Cadastros!$N$6:$N$12)))</f>
        <v/>
      </c>
      <c r="U1526" s="168" t="str">
        <f t="shared" si="302"/>
        <v/>
      </c>
      <c r="V1526" s="168" t="str">
        <f>IFERROR(U1526/_xlfn.XLOOKUP(_xlfn.XLOOKUP($F1526,Clientes!$B$4:$B$39,Clientes!$C$4:$C$39),Cadastros!$L$6:$L$12,Cadastros!$M$6:$M$12)," ")</f>
        <v xml:space="preserve"> </v>
      </c>
      <c r="W1526" s="28"/>
      <c r="X1526" s="28"/>
      <c r="Y1526" s="255" t="str">
        <f>IF(W1526="","",(_xlfn.XLOOKUP(W1526,Cadastros!$D$6:$D$90,Cadastros!$E$6:$E$90))*(1-_xlfn.XLOOKUP(_xlfn.XLOOKUP($F1526,Clientes!$B$4:$B$39,Clientes!$C$4:$C$39),Cadastros!$L$6:$L$12,Cadastros!$N$6:$N$12)))</f>
        <v/>
      </c>
      <c r="Z1526" s="168" t="str">
        <f t="shared" si="303"/>
        <v/>
      </c>
      <c r="AA1526" s="168" t="str">
        <f>IFERROR(Z1526/_xlfn.XLOOKUP(_xlfn.XLOOKUP($F1526,Clientes!$B$4:$B$39,Clientes!$C$4:$C$39),Cadastros!$L$6:$L$12,Cadastros!$M$6:$M$12)," ")</f>
        <v xml:space="preserve"> </v>
      </c>
      <c r="AB1526" s="28"/>
      <c r="AC1526" s="28"/>
      <c r="AD1526" s="20" t="str">
        <f>IF(AB1526="","",IF($F1526="Bernardino Furlan",_xlfn.XLOOKUP(AB1526,Cadastros!$G$6:$G$90,Cadastros!$H$6:$H$90)*(1-0.18),IF($F1526="Mauro José Salanti",_xlfn.XLOOKUP(AB1526,Cadastros!$G$6:$G$90,Cadastros!$H$6:$H$90)*(1-0.18),_xlfn.XLOOKUP(AB1526,Cadastros!$G$6:$G$90,Cadastros!$H$6:$H$90))))</f>
        <v/>
      </c>
      <c r="AE1526" s="168" t="str">
        <f t="shared" si="304"/>
        <v/>
      </c>
      <c r="AF1526" s="168" t="str">
        <f t="shared" si="305"/>
        <v/>
      </c>
      <c r="AG1526" s="28"/>
      <c r="AH1526" s="28"/>
      <c r="AI1526" s="20" t="str">
        <f>IF(AG1526="","",IF($F1526="Bernardino Furlan",_xlfn.XLOOKUP(AG1526,Cadastros!$G$6:$G$90,Cadastros!$H$6:$H$90)*(1-0.18),IF($F1526="Mauro José Salanti",_xlfn.XLOOKUP(AG1526,Cadastros!$G$6:$G$90,Cadastros!$H$6:$H$90)*(1-0.18),_xlfn.XLOOKUP(AG1526,Cadastros!$G$6:$G$90,Cadastros!$H$6:$H$90))))</f>
        <v/>
      </c>
      <c r="AJ1526" s="168" t="str">
        <f t="shared" si="306"/>
        <v/>
      </c>
      <c r="AK1526" s="168" t="str">
        <f t="shared" si="307"/>
        <v/>
      </c>
      <c r="AL1526" s="28"/>
      <c r="AM1526" s="28"/>
      <c r="AN1526" s="20" t="str">
        <f>IF(AL1526="","",IF($F1526="Bernardino Furlan",_xlfn.XLOOKUP(AL1526,Cadastros!$G$6:$G$90,Cadastros!$H$6:$H$90)*(1-0.18),IF($F1526="Mauro José Salanti",_xlfn.XLOOKUP(AL1526,Cadastros!$G$6:$G$90,Cadastros!$H$6:$H$90)*(1-0.18),_xlfn.XLOOKUP(AL1526,Cadastros!$G$6:$G$90,Cadastros!$H$6:$H$90))))</f>
        <v/>
      </c>
      <c r="AO1526" s="168" t="str">
        <f t="shared" si="308"/>
        <v/>
      </c>
      <c r="AP1526" s="168" t="str">
        <f t="shared" si="309"/>
        <v/>
      </c>
      <c r="AQ1526" s="28"/>
      <c r="AR1526" s="28"/>
      <c r="AS1526" s="20" t="str">
        <f>IF(AQ1526="","",IF($F1526="Bernardino Furlan",_xlfn.XLOOKUP(AQ1526,Cadastros!$G$6:$G$90,Cadastros!$H$6:$H$90)*(1-0.18),IF($F1526="Mauro José Salanti",_xlfn.XLOOKUP(AQ1526,Cadastros!$G$6:$G$90,Cadastros!$H$6:$H$90)*(1-0.18),_xlfn.XLOOKUP(AQ1526,Cadastros!$G$6:$G$90,Cadastros!$H$6:$H$90))))</f>
        <v/>
      </c>
      <c r="AT1526" s="168" t="str">
        <f t="shared" si="310"/>
        <v/>
      </c>
      <c r="AU1526" s="168" t="str">
        <f t="shared" si="311"/>
        <v/>
      </c>
      <c r="AV1526" s="227"/>
      <c r="AW1526" s="30"/>
      <c r="AX1526" s="267"/>
      <c r="AY1526" s="267"/>
      <c r="AZ1526" s="29"/>
      <c r="BA1526" s="30"/>
      <c r="BB1526" s="23" t="str" cm="1">
        <f t="array" ref="BB1526">_xlfn.IFS(AW1526="SIM",SUM(K1526,P1526,U1526,Z1526,AE1526,AJ1526,AO1526,AT1526,AX1526,AY1526),F1526&lt;&gt;"",SUM(K1526,P1526,U1526,Z1526,AE1526,AJ1526,,AO1526,AT1526),F1526="","")</f>
        <v/>
      </c>
      <c r="BC1526" s="211" t="str" cm="1">
        <f t="array" ref="BC1526">_xlfn.IFS(E1526="","",G1526&lt;=E1526,BB1526*(1-0.03),G1526&lt;(E1526+8),BB1526,AZ1526="Boleto",BB1526*(1+0.001)^DATEDIF(E1526,G1526,"D"),AZ1526="Cheque",BB1526,AZ1526="Dinheiro","Alterar forma pgto")</f>
        <v/>
      </c>
      <c r="BD1526" s="276" t="str" cm="1">
        <f t="array" ref="BD1526">IF(F1526=0," ",IF(BC1526&lt;BB1526,(_xlfn.IFS(AW1526="SIM",SUM(L1526,Q1526,V1526,AA1526,AF1526,AK1526,AP1526,AU1526)+AX1526/_xlfn.XLOOKUP(_xlfn.XLOOKUP($F1526,Clientes!$B$4:$B$39,Clientes!$C$4:$C$39),Cadastros!$L$6:$L$12,Cadastros!$M$6:$M$12)+IF($F1526="Bernardino Furlan",AY1526/2751.92,IF($F1526="Mauro José Salanti",AY1526/2751.92,AY1526/3356)),F1526&lt;&gt;0,SUM(L1526,Q1526,V1526,AA1526,AF1526,AK1526,AP1526,AU1526)))*(1-0.03),_xlfn.IFS(AW1526="SIM",SUM(L1526,Q1526,V1526,AA1526,AF1526,AK1526,AP1526,AU1526)+AX1526/_xlfn.XLOOKUP(_xlfn.XLOOKUP($F1526,Clientes!$B$4:$B$39,Clientes!$C$4:$C$39),Cadastros!$L$6:$L$12,Cadastros!$M$6:$M$12)+IF($F1526="Bernardino Furlan",AY1526/2751.92,IF($F1526="Mauro José Salanti",AY1526/2751.92,AY1526/3356)),F1526&lt;&gt;0,SUM(L1526,Q1526,V1526,AA1526,AF1526,AK1526,AP1526,AU1526))))</f>
        <v xml:space="preserve"> </v>
      </c>
      <c r="BE1526" s="120"/>
      <c r="BF1526" s="120"/>
      <c r="BG1526" s="120"/>
    </row>
    <row r="1527" spans="1:59" s="3" customFormat="1" x14ac:dyDescent="0.3">
      <c r="A1527" s="15" t="str">
        <f t="shared" si="299"/>
        <v/>
      </c>
      <c r="B1527" s="25"/>
      <c r="C1527" s="26"/>
      <c r="D1527" s="279"/>
      <c r="E1527" s="27"/>
      <c r="F1527" s="28"/>
      <c r="G1527" s="27"/>
      <c r="H1527" s="28"/>
      <c r="I1527" s="28"/>
      <c r="J1527" s="255" t="str">
        <f>IF(H1527="","",(_xlfn.XLOOKUP(H1527,Cadastros!$D$6:$D$90,Cadastros!$E$6:$E$90))*(1-_xlfn.XLOOKUP(_xlfn.XLOOKUP($F1527,Clientes!$B$4:$B$39,Clientes!$C$4:$C$39),Cadastros!$L$6:$L$12,Cadastros!$N$6:$N$12)))</f>
        <v/>
      </c>
      <c r="K1527" s="168" t="str">
        <f t="shared" si="300"/>
        <v/>
      </c>
      <c r="L1527" s="168" t="str">
        <f>IFERROR(K1527/_xlfn.XLOOKUP(_xlfn.XLOOKUP($F1527,Clientes!$B$4:$B$39,Clientes!$C$4:$C$39),Cadastros!$L$6:$L$12,Cadastros!$M$6:$M$12)," ")</f>
        <v xml:space="preserve"> </v>
      </c>
      <c r="M1527" s="28"/>
      <c r="N1527" s="28"/>
      <c r="O1527" s="255" t="str">
        <f>IF(M1527="","",(_xlfn.XLOOKUP(M1527,Cadastros!$D$6:$D$90,Cadastros!$E$6:$E$90))*(1-_xlfn.XLOOKUP(_xlfn.XLOOKUP($F1527,Clientes!$B$4:$B$39,Clientes!$C$4:$C$39),Cadastros!$L$6:$L$12,Cadastros!$N$6:$N$12)))</f>
        <v/>
      </c>
      <c r="P1527" s="168" t="str">
        <f t="shared" si="301"/>
        <v/>
      </c>
      <c r="Q1527" s="168" t="str">
        <f>IFERROR(P1527/_xlfn.XLOOKUP(_xlfn.XLOOKUP($F1527,Clientes!$B$4:$B$39,Clientes!$C$4:$C$39),Cadastros!$L$6:$L$12,Cadastros!$M$6:$M$12)," ")</f>
        <v xml:space="preserve"> </v>
      </c>
      <c r="R1527" s="28"/>
      <c r="S1527" s="28"/>
      <c r="T1527" s="255" t="str">
        <f>IF(R1527="","",(_xlfn.XLOOKUP(R1527,Cadastros!$D$6:$D$90,Cadastros!$E$6:$E$90))*(1-_xlfn.XLOOKUP(_xlfn.XLOOKUP($F1527,Clientes!$B$4:$B$39,Clientes!$C$4:$C$39),Cadastros!$L$6:$L$12,Cadastros!$N$6:$N$12)))</f>
        <v/>
      </c>
      <c r="U1527" s="168" t="str">
        <f t="shared" si="302"/>
        <v/>
      </c>
      <c r="V1527" s="168" t="str">
        <f>IFERROR(U1527/_xlfn.XLOOKUP(_xlfn.XLOOKUP($F1527,Clientes!$B$4:$B$39,Clientes!$C$4:$C$39),Cadastros!$L$6:$L$12,Cadastros!$M$6:$M$12)," ")</f>
        <v xml:space="preserve"> </v>
      </c>
      <c r="W1527" s="28"/>
      <c r="X1527" s="28"/>
      <c r="Y1527" s="255" t="str">
        <f>IF(W1527="","",(_xlfn.XLOOKUP(W1527,Cadastros!$D$6:$D$90,Cadastros!$E$6:$E$90))*(1-_xlfn.XLOOKUP(_xlfn.XLOOKUP($F1527,Clientes!$B$4:$B$39,Clientes!$C$4:$C$39),Cadastros!$L$6:$L$12,Cadastros!$N$6:$N$12)))</f>
        <v/>
      </c>
      <c r="Z1527" s="168" t="str">
        <f t="shared" si="303"/>
        <v/>
      </c>
      <c r="AA1527" s="168" t="str">
        <f>IFERROR(Z1527/_xlfn.XLOOKUP(_xlfn.XLOOKUP($F1527,Clientes!$B$4:$B$39,Clientes!$C$4:$C$39),Cadastros!$L$6:$L$12,Cadastros!$M$6:$M$12)," ")</f>
        <v xml:space="preserve"> </v>
      </c>
      <c r="AB1527" s="28"/>
      <c r="AC1527" s="28"/>
      <c r="AD1527" s="20" t="str">
        <f>IF(AB1527="","",IF($F1527="Bernardino Furlan",_xlfn.XLOOKUP(AB1527,Cadastros!$G$6:$G$90,Cadastros!$H$6:$H$90)*(1-0.18),IF($F1527="Mauro José Salanti",_xlfn.XLOOKUP(AB1527,Cadastros!$G$6:$G$90,Cadastros!$H$6:$H$90)*(1-0.18),_xlfn.XLOOKUP(AB1527,Cadastros!$G$6:$G$90,Cadastros!$H$6:$H$90))))</f>
        <v/>
      </c>
      <c r="AE1527" s="168" t="str">
        <f t="shared" si="304"/>
        <v/>
      </c>
      <c r="AF1527" s="168" t="str">
        <f t="shared" si="305"/>
        <v/>
      </c>
      <c r="AG1527" s="28"/>
      <c r="AH1527" s="28"/>
      <c r="AI1527" s="20" t="str">
        <f>IF(AG1527="","",IF($F1527="Bernardino Furlan",_xlfn.XLOOKUP(AG1527,Cadastros!$G$6:$G$90,Cadastros!$H$6:$H$90)*(1-0.18),IF($F1527="Mauro José Salanti",_xlfn.XLOOKUP(AG1527,Cadastros!$G$6:$G$90,Cadastros!$H$6:$H$90)*(1-0.18),_xlfn.XLOOKUP(AG1527,Cadastros!$G$6:$G$90,Cadastros!$H$6:$H$90))))</f>
        <v/>
      </c>
      <c r="AJ1527" s="168" t="str">
        <f t="shared" si="306"/>
        <v/>
      </c>
      <c r="AK1527" s="168" t="str">
        <f t="shared" si="307"/>
        <v/>
      </c>
      <c r="AL1527" s="28"/>
      <c r="AM1527" s="28"/>
      <c r="AN1527" s="20" t="str">
        <f>IF(AL1527="","",IF($F1527="Bernardino Furlan",_xlfn.XLOOKUP(AL1527,Cadastros!$G$6:$G$90,Cadastros!$H$6:$H$90)*(1-0.18),IF($F1527="Mauro José Salanti",_xlfn.XLOOKUP(AL1527,Cadastros!$G$6:$G$90,Cadastros!$H$6:$H$90)*(1-0.18),_xlfn.XLOOKUP(AL1527,Cadastros!$G$6:$G$90,Cadastros!$H$6:$H$90))))</f>
        <v/>
      </c>
      <c r="AO1527" s="168" t="str">
        <f t="shared" si="308"/>
        <v/>
      </c>
      <c r="AP1527" s="168" t="str">
        <f t="shared" si="309"/>
        <v/>
      </c>
      <c r="AQ1527" s="28"/>
      <c r="AR1527" s="28"/>
      <c r="AS1527" s="20" t="str">
        <f>IF(AQ1527="","",IF($F1527="Bernardino Furlan",_xlfn.XLOOKUP(AQ1527,Cadastros!$G$6:$G$90,Cadastros!$H$6:$H$90)*(1-0.18),IF($F1527="Mauro José Salanti",_xlfn.XLOOKUP(AQ1527,Cadastros!$G$6:$G$90,Cadastros!$H$6:$H$90)*(1-0.18),_xlfn.XLOOKUP(AQ1527,Cadastros!$G$6:$G$90,Cadastros!$H$6:$H$90))))</f>
        <v/>
      </c>
      <c r="AT1527" s="168" t="str">
        <f t="shared" si="310"/>
        <v/>
      </c>
      <c r="AU1527" s="168" t="str">
        <f t="shared" si="311"/>
        <v/>
      </c>
      <c r="AV1527" s="227"/>
      <c r="AW1527" s="30"/>
      <c r="AX1527" s="267"/>
      <c r="AY1527" s="267"/>
      <c r="AZ1527" s="29"/>
      <c r="BA1527" s="30"/>
      <c r="BB1527" s="23" t="str" cm="1">
        <f t="array" ref="BB1527">_xlfn.IFS(AW1527="SIM",SUM(K1527,P1527,U1527,Z1527,AE1527,AJ1527,AO1527,AT1527,AX1527,AY1527),F1527&lt;&gt;"",SUM(K1527,P1527,U1527,Z1527,AE1527,AJ1527,,AO1527,AT1527),F1527="","")</f>
        <v/>
      </c>
      <c r="BC1527" s="211" t="str" cm="1">
        <f t="array" ref="BC1527">_xlfn.IFS(E1527="","",G1527&lt;=E1527,BB1527*(1-0.03),G1527&lt;(E1527+8),BB1527,AZ1527="Boleto",BB1527*(1+0.001)^DATEDIF(E1527,G1527,"D"),AZ1527="Cheque",BB1527,AZ1527="Dinheiro","Alterar forma pgto")</f>
        <v/>
      </c>
      <c r="BD1527" s="276" t="str" cm="1">
        <f t="array" ref="BD1527">IF(F1527=0," ",IF(BC1527&lt;BB1527,(_xlfn.IFS(AW1527="SIM",SUM(L1527,Q1527,V1527,AA1527,AF1527,AK1527,AP1527,AU1527)+AX1527/_xlfn.XLOOKUP(_xlfn.XLOOKUP($F1527,Clientes!$B$4:$B$39,Clientes!$C$4:$C$39),Cadastros!$L$6:$L$12,Cadastros!$M$6:$M$12)+IF($F1527="Bernardino Furlan",AY1527/2751.92,IF($F1527="Mauro José Salanti",AY1527/2751.92,AY1527/3356)),F1527&lt;&gt;0,SUM(L1527,Q1527,V1527,AA1527,AF1527,AK1527,AP1527,AU1527)))*(1-0.03),_xlfn.IFS(AW1527="SIM",SUM(L1527,Q1527,V1527,AA1527,AF1527,AK1527,AP1527,AU1527)+AX1527/_xlfn.XLOOKUP(_xlfn.XLOOKUP($F1527,Clientes!$B$4:$B$39,Clientes!$C$4:$C$39),Cadastros!$L$6:$L$12,Cadastros!$M$6:$M$12)+IF($F1527="Bernardino Furlan",AY1527/2751.92,IF($F1527="Mauro José Salanti",AY1527/2751.92,AY1527/3356)),F1527&lt;&gt;0,SUM(L1527,Q1527,V1527,AA1527,AF1527,AK1527,AP1527,AU1527))))</f>
        <v xml:space="preserve"> </v>
      </c>
      <c r="BE1527" s="120"/>
      <c r="BF1527" s="120"/>
      <c r="BG1527" s="120"/>
    </row>
    <row r="1528" spans="1:59" s="3" customFormat="1" x14ac:dyDescent="0.3">
      <c r="A1528" s="15" t="str">
        <f t="shared" si="299"/>
        <v/>
      </c>
      <c r="B1528" s="25"/>
      <c r="C1528" s="26"/>
      <c r="D1528" s="279"/>
      <c r="E1528" s="27"/>
      <c r="F1528" s="28"/>
      <c r="G1528" s="27"/>
      <c r="H1528" s="28"/>
      <c r="I1528" s="28"/>
      <c r="J1528" s="255" t="str">
        <f>IF(H1528="","",(_xlfn.XLOOKUP(H1528,Cadastros!$D$6:$D$90,Cadastros!$E$6:$E$90))*(1-_xlfn.XLOOKUP(_xlfn.XLOOKUP($F1528,Clientes!$B$4:$B$39,Clientes!$C$4:$C$39),Cadastros!$L$6:$L$12,Cadastros!$N$6:$N$12)))</f>
        <v/>
      </c>
      <c r="K1528" s="168" t="str">
        <f t="shared" si="300"/>
        <v/>
      </c>
      <c r="L1528" s="168" t="str">
        <f>IFERROR(K1528/_xlfn.XLOOKUP(_xlfn.XLOOKUP($F1528,Clientes!$B$4:$B$39,Clientes!$C$4:$C$39),Cadastros!$L$6:$L$12,Cadastros!$M$6:$M$12)," ")</f>
        <v xml:space="preserve"> </v>
      </c>
      <c r="M1528" s="28"/>
      <c r="N1528" s="28"/>
      <c r="O1528" s="255" t="str">
        <f>IF(M1528="","",(_xlfn.XLOOKUP(M1528,Cadastros!$D$6:$D$90,Cadastros!$E$6:$E$90))*(1-_xlfn.XLOOKUP(_xlfn.XLOOKUP($F1528,Clientes!$B$4:$B$39,Clientes!$C$4:$C$39),Cadastros!$L$6:$L$12,Cadastros!$N$6:$N$12)))</f>
        <v/>
      </c>
      <c r="P1528" s="168" t="str">
        <f t="shared" si="301"/>
        <v/>
      </c>
      <c r="Q1528" s="168" t="str">
        <f>IFERROR(P1528/_xlfn.XLOOKUP(_xlfn.XLOOKUP($F1528,Clientes!$B$4:$B$39,Clientes!$C$4:$C$39),Cadastros!$L$6:$L$12,Cadastros!$M$6:$M$12)," ")</f>
        <v xml:space="preserve"> </v>
      </c>
      <c r="R1528" s="28"/>
      <c r="S1528" s="28"/>
      <c r="T1528" s="255" t="str">
        <f>IF(R1528="","",(_xlfn.XLOOKUP(R1528,Cadastros!$D$6:$D$90,Cadastros!$E$6:$E$90))*(1-_xlfn.XLOOKUP(_xlfn.XLOOKUP($F1528,Clientes!$B$4:$B$39,Clientes!$C$4:$C$39),Cadastros!$L$6:$L$12,Cadastros!$N$6:$N$12)))</f>
        <v/>
      </c>
      <c r="U1528" s="168" t="str">
        <f t="shared" si="302"/>
        <v/>
      </c>
      <c r="V1528" s="168" t="str">
        <f>IFERROR(U1528/_xlfn.XLOOKUP(_xlfn.XLOOKUP($F1528,Clientes!$B$4:$B$39,Clientes!$C$4:$C$39),Cadastros!$L$6:$L$12,Cadastros!$M$6:$M$12)," ")</f>
        <v xml:space="preserve"> </v>
      </c>
      <c r="W1528" s="28"/>
      <c r="X1528" s="28"/>
      <c r="Y1528" s="255" t="str">
        <f>IF(W1528="","",(_xlfn.XLOOKUP(W1528,Cadastros!$D$6:$D$90,Cadastros!$E$6:$E$90))*(1-_xlfn.XLOOKUP(_xlfn.XLOOKUP($F1528,Clientes!$B$4:$B$39,Clientes!$C$4:$C$39),Cadastros!$L$6:$L$12,Cadastros!$N$6:$N$12)))</f>
        <v/>
      </c>
      <c r="Z1528" s="168" t="str">
        <f t="shared" si="303"/>
        <v/>
      </c>
      <c r="AA1528" s="168" t="str">
        <f>IFERROR(Z1528/_xlfn.XLOOKUP(_xlfn.XLOOKUP($F1528,Clientes!$B$4:$B$39,Clientes!$C$4:$C$39),Cadastros!$L$6:$L$12,Cadastros!$M$6:$M$12)," ")</f>
        <v xml:space="preserve"> </v>
      </c>
      <c r="AB1528" s="28"/>
      <c r="AC1528" s="28"/>
      <c r="AD1528" s="20" t="str">
        <f>IF(AB1528="","",IF($F1528="Bernardino Furlan",_xlfn.XLOOKUP(AB1528,Cadastros!$G$6:$G$90,Cadastros!$H$6:$H$90)*(1-0.18),IF($F1528="Mauro José Salanti",_xlfn.XLOOKUP(AB1528,Cadastros!$G$6:$G$90,Cadastros!$H$6:$H$90)*(1-0.18),_xlfn.XLOOKUP(AB1528,Cadastros!$G$6:$G$90,Cadastros!$H$6:$H$90))))</f>
        <v/>
      </c>
      <c r="AE1528" s="168" t="str">
        <f t="shared" si="304"/>
        <v/>
      </c>
      <c r="AF1528" s="168" t="str">
        <f t="shared" si="305"/>
        <v/>
      </c>
      <c r="AG1528" s="28"/>
      <c r="AH1528" s="28"/>
      <c r="AI1528" s="20" t="str">
        <f>IF(AG1528="","",IF($F1528="Bernardino Furlan",_xlfn.XLOOKUP(AG1528,Cadastros!$G$6:$G$90,Cadastros!$H$6:$H$90)*(1-0.18),IF($F1528="Mauro José Salanti",_xlfn.XLOOKUP(AG1528,Cadastros!$G$6:$G$90,Cadastros!$H$6:$H$90)*(1-0.18),_xlfn.XLOOKUP(AG1528,Cadastros!$G$6:$G$90,Cadastros!$H$6:$H$90))))</f>
        <v/>
      </c>
      <c r="AJ1528" s="168" t="str">
        <f t="shared" si="306"/>
        <v/>
      </c>
      <c r="AK1528" s="168" t="str">
        <f t="shared" si="307"/>
        <v/>
      </c>
      <c r="AL1528" s="28"/>
      <c r="AM1528" s="28"/>
      <c r="AN1528" s="20" t="str">
        <f>IF(AL1528="","",IF($F1528="Bernardino Furlan",_xlfn.XLOOKUP(AL1528,Cadastros!$G$6:$G$90,Cadastros!$H$6:$H$90)*(1-0.18),IF($F1528="Mauro José Salanti",_xlfn.XLOOKUP(AL1528,Cadastros!$G$6:$G$90,Cadastros!$H$6:$H$90)*(1-0.18),_xlfn.XLOOKUP(AL1528,Cadastros!$G$6:$G$90,Cadastros!$H$6:$H$90))))</f>
        <v/>
      </c>
      <c r="AO1528" s="168" t="str">
        <f t="shared" si="308"/>
        <v/>
      </c>
      <c r="AP1528" s="168" t="str">
        <f t="shared" si="309"/>
        <v/>
      </c>
      <c r="AQ1528" s="28"/>
      <c r="AR1528" s="28"/>
      <c r="AS1528" s="20" t="str">
        <f>IF(AQ1528="","",IF($F1528="Bernardino Furlan",_xlfn.XLOOKUP(AQ1528,Cadastros!$G$6:$G$90,Cadastros!$H$6:$H$90)*(1-0.18),IF($F1528="Mauro José Salanti",_xlfn.XLOOKUP(AQ1528,Cadastros!$G$6:$G$90,Cadastros!$H$6:$H$90)*(1-0.18),_xlfn.XLOOKUP(AQ1528,Cadastros!$G$6:$G$90,Cadastros!$H$6:$H$90))))</f>
        <v/>
      </c>
      <c r="AT1528" s="168" t="str">
        <f t="shared" si="310"/>
        <v/>
      </c>
      <c r="AU1528" s="168" t="str">
        <f t="shared" si="311"/>
        <v/>
      </c>
      <c r="AV1528" s="227"/>
      <c r="AW1528" s="30"/>
      <c r="AX1528" s="267"/>
      <c r="AY1528" s="267"/>
      <c r="AZ1528" s="29"/>
      <c r="BA1528" s="30"/>
      <c r="BB1528" s="23" t="str" cm="1">
        <f t="array" ref="BB1528">_xlfn.IFS(AW1528="SIM",SUM(K1528,P1528,U1528,Z1528,AE1528,AJ1528,AO1528,AT1528,AX1528,AY1528),F1528&lt;&gt;"",SUM(K1528,P1528,U1528,Z1528,AE1528,AJ1528,,AO1528,AT1528),F1528="","")</f>
        <v/>
      </c>
      <c r="BC1528" s="211" t="str" cm="1">
        <f t="array" ref="BC1528">_xlfn.IFS(E1528="","",G1528&lt;=E1528,BB1528*(1-0.03),G1528&lt;(E1528+8),BB1528,AZ1528="Boleto",BB1528*(1+0.001)^DATEDIF(E1528,G1528,"D"),AZ1528="Cheque",BB1528,AZ1528="Dinheiro","Alterar forma pgto")</f>
        <v/>
      </c>
      <c r="BD1528" s="276" t="str" cm="1">
        <f t="array" ref="BD1528">IF(F1528=0," ",IF(BC1528&lt;BB1528,(_xlfn.IFS(AW1528="SIM",SUM(L1528,Q1528,V1528,AA1528,AF1528,AK1528,AP1528,AU1528)+AX1528/_xlfn.XLOOKUP(_xlfn.XLOOKUP($F1528,Clientes!$B$4:$B$39,Clientes!$C$4:$C$39),Cadastros!$L$6:$L$12,Cadastros!$M$6:$M$12)+IF($F1528="Bernardino Furlan",AY1528/2751.92,IF($F1528="Mauro José Salanti",AY1528/2751.92,AY1528/3356)),F1528&lt;&gt;0,SUM(L1528,Q1528,V1528,AA1528,AF1528,AK1528,AP1528,AU1528)))*(1-0.03),_xlfn.IFS(AW1528="SIM",SUM(L1528,Q1528,V1528,AA1528,AF1528,AK1528,AP1528,AU1528)+AX1528/_xlfn.XLOOKUP(_xlfn.XLOOKUP($F1528,Clientes!$B$4:$B$39,Clientes!$C$4:$C$39),Cadastros!$L$6:$L$12,Cadastros!$M$6:$M$12)+IF($F1528="Bernardino Furlan",AY1528/2751.92,IF($F1528="Mauro José Salanti",AY1528/2751.92,AY1528/3356)),F1528&lt;&gt;0,SUM(L1528,Q1528,V1528,AA1528,AF1528,AK1528,AP1528,AU1528))))</f>
        <v xml:space="preserve"> </v>
      </c>
      <c r="BE1528" s="120"/>
      <c r="BF1528" s="120"/>
      <c r="BG1528" s="120"/>
    </row>
    <row r="1529" spans="1:59" s="3" customFormat="1" x14ac:dyDescent="0.3">
      <c r="A1529" s="15" t="str">
        <f t="shared" si="299"/>
        <v/>
      </c>
      <c r="B1529" s="25"/>
      <c r="C1529" s="26"/>
      <c r="D1529" s="279"/>
      <c r="E1529" s="27"/>
      <c r="F1529" s="28"/>
      <c r="G1529" s="27"/>
      <c r="H1529" s="28"/>
      <c r="I1529" s="28"/>
      <c r="J1529" s="255" t="str">
        <f>IF(H1529="","",(_xlfn.XLOOKUP(H1529,Cadastros!$D$6:$D$90,Cadastros!$E$6:$E$90))*(1-_xlfn.XLOOKUP(_xlfn.XLOOKUP($F1529,Clientes!$B$4:$B$39,Clientes!$C$4:$C$39),Cadastros!$L$6:$L$12,Cadastros!$N$6:$N$12)))</f>
        <v/>
      </c>
      <c r="K1529" s="168" t="str">
        <f t="shared" si="300"/>
        <v/>
      </c>
      <c r="L1529" s="168" t="str">
        <f>IFERROR(K1529/_xlfn.XLOOKUP(_xlfn.XLOOKUP($F1529,Clientes!$B$4:$B$39,Clientes!$C$4:$C$39),Cadastros!$L$6:$L$12,Cadastros!$M$6:$M$12)," ")</f>
        <v xml:space="preserve"> </v>
      </c>
      <c r="M1529" s="28"/>
      <c r="N1529" s="28"/>
      <c r="O1529" s="255" t="str">
        <f>IF(M1529="","",(_xlfn.XLOOKUP(M1529,Cadastros!$D$6:$D$90,Cadastros!$E$6:$E$90))*(1-_xlfn.XLOOKUP(_xlfn.XLOOKUP($F1529,Clientes!$B$4:$B$39,Clientes!$C$4:$C$39),Cadastros!$L$6:$L$12,Cadastros!$N$6:$N$12)))</f>
        <v/>
      </c>
      <c r="P1529" s="168" t="str">
        <f t="shared" si="301"/>
        <v/>
      </c>
      <c r="Q1529" s="168" t="str">
        <f>IFERROR(P1529/_xlfn.XLOOKUP(_xlfn.XLOOKUP($F1529,Clientes!$B$4:$B$39,Clientes!$C$4:$C$39),Cadastros!$L$6:$L$12,Cadastros!$M$6:$M$12)," ")</f>
        <v xml:space="preserve"> </v>
      </c>
      <c r="R1529" s="28"/>
      <c r="S1529" s="28"/>
      <c r="T1529" s="255" t="str">
        <f>IF(R1529="","",(_xlfn.XLOOKUP(R1529,Cadastros!$D$6:$D$90,Cadastros!$E$6:$E$90))*(1-_xlfn.XLOOKUP(_xlfn.XLOOKUP($F1529,Clientes!$B$4:$B$39,Clientes!$C$4:$C$39),Cadastros!$L$6:$L$12,Cadastros!$N$6:$N$12)))</f>
        <v/>
      </c>
      <c r="U1529" s="168" t="str">
        <f t="shared" si="302"/>
        <v/>
      </c>
      <c r="V1529" s="168" t="str">
        <f>IFERROR(U1529/_xlfn.XLOOKUP(_xlfn.XLOOKUP($F1529,Clientes!$B$4:$B$39,Clientes!$C$4:$C$39),Cadastros!$L$6:$L$12,Cadastros!$M$6:$M$12)," ")</f>
        <v xml:space="preserve"> </v>
      </c>
      <c r="W1529" s="28"/>
      <c r="X1529" s="28"/>
      <c r="Y1529" s="255" t="str">
        <f>IF(W1529="","",(_xlfn.XLOOKUP(W1529,Cadastros!$D$6:$D$90,Cadastros!$E$6:$E$90))*(1-_xlfn.XLOOKUP(_xlfn.XLOOKUP($F1529,Clientes!$B$4:$B$39,Clientes!$C$4:$C$39),Cadastros!$L$6:$L$12,Cadastros!$N$6:$N$12)))</f>
        <v/>
      </c>
      <c r="Z1529" s="168" t="str">
        <f t="shared" si="303"/>
        <v/>
      </c>
      <c r="AA1529" s="168" t="str">
        <f>IFERROR(Z1529/_xlfn.XLOOKUP(_xlfn.XLOOKUP($F1529,Clientes!$B$4:$B$39,Clientes!$C$4:$C$39),Cadastros!$L$6:$L$12,Cadastros!$M$6:$M$12)," ")</f>
        <v xml:space="preserve"> </v>
      </c>
      <c r="AB1529" s="28"/>
      <c r="AC1529" s="28"/>
      <c r="AD1529" s="20" t="str">
        <f>IF(AB1529="","",IF($F1529="Bernardino Furlan",_xlfn.XLOOKUP(AB1529,Cadastros!$G$6:$G$90,Cadastros!$H$6:$H$90)*(1-0.18),IF($F1529="Mauro José Salanti",_xlfn.XLOOKUP(AB1529,Cadastros!$G$6:$G$90,Cadastros!$H$6:$H$90)*(1-0.18),_xlfn.XLOOKUP(AB1529,Cadastros!$G$6:$G$90,Cadastros!$H$6:$H$90))))</f>
        <v/>
      </c>
      <c r="AE1529" s="168" t="str">
        <f t="shared" si="304"/>
        <v/>
      </c>
      <c r="AF1529" s="168" t="str">
        <f t="shared" si="305"/>
        <v/>
      </c>
      <c r="AG1529" s="28"/>
      <c r="AH1529" s="28"/>
      <c r="AI1529" s="20" t="str">
        <f>IF(AG1529="","",IF($F1529="Bernardino Furlan",_xlfn.XLOOKUP(AG1529,Cadastros!$G$6:$G$90,Cadastros!$H$6:$H$90)*(1-0.18),IF($F1529="Mauro José Salanti",_xlfn.XLOOKUP(AG1529,Cadastros!$G$6:$G$90,Cadastros!$H$6:$H$90)*(1-0.18),_xlfn.XLOOKUP(AG1529,Cadastros!$G$6:$G$90,Cadastros!$H$6:$H$90))))</f>
        <v/>
      </c>
      <c r="AJ1529" s="168" t="str">
        <f t="shared" si="306"/>
        <v/>
      </c>
      <c r="AK1529" s="168" t="str">
        <f t="shared" si="307"/>
        <v/>
      </c>
      <c r="AL1529" s="28"/>
      <c r="AM1529" s="28"/>
      <c r="AN1529" s="20" t="str">
        <f>IF(AL1529="","",IF($F1529="Bernardino Furlan",_xlfn.XLOOKUP(AL1529,Cadastros!$G$6:$G$90,Cadastros!$H$6:$H$90)*(1-0.18),IF($F1529="Mauro José Salanti",_xlfn.XLOOKUP(AL1529,Cadastros!$G$6:$G$90,Cadastros!$H$6:$H$90)*(1-0.18),_xlfn.XLOOKUP(AL1529,Cadastros!$G$6:$G$90,Cadastros!$H$6:$H$90))))</f>
        <v/>
      </c>
      <c r="AO1529" s="168" t="str">
        <f t="shared" si="308"/>
        <v/>
      </c>
      <c r="AP1529" s="168" t="str">
        <f t="shared" si="309"/>
        <v/>
      </c>
      <c r="AQ1529" s="28"/>
      <c r="AR1529" s="28"/>
      <c r="AS1529" s="20" t="str">
        <f>IF(AQ1529="","",IF($F1529="Bernardino Furlan",_xlfn.XLOOKUP(AQ1529,Cadastros!$G$6:$G$90,Cadastros!$H$6:$H$90)*(1-0.18),IF($F1529="Mauro José Salanti",_xlfn.XLOOKUP(AQ1529,Cadastros!$G$6:$G$90,Cadastros!$H$6:$H$90)*(1-0.18),_xlfn.XLOOKUP(AQ1529,Cadastros!$G$6:$G$90,Cadastros!$H$6:$H$90))))</f>
        <v/>
      </c>
      <c r="AT1529" s="168" t="str">
        <f t="shared" si="310"/>
        <v/>
      </c>
      <c r="AU1529" s="168" t="str">
        <f t="shared" si="311"/>
        <v/>
      </c>
      <c r="AV1529" s="227"/>
      <c r="AW1529" s="30"/>
      <c r="AX1529" s="267"/>
      <c r="AY1529" s="267"/>
      <c r="AZ1529" s="29"/>
      <c r="BA1529" s="30"/>
      <c r="BB1529" s="23" t="str" cm="1">
        <f t="array" ref="BB1529">_xlfn.IFS(AW1529="SIM",SUM(K1529,P1529,U1529,Z1529,AE1529,AJ1529,AO1529,AT1529,AX1529,AY1529),F1529&lt;&gt;"",SUM(K1529,P1529,U1529,Z1529,AE1529,AJ1529,,AO1529,AT1529),F1529="","")</f>
        <v/>
      </c>
      <c r="BC1529" s="211" t="str" cm="1">
        <f t="array" ref="BC1529">_xlfn.IFS(E1529="","",G1529&lt;=E1529,BB1529*(1-0.03),G1529&lt;(E1529+8),BB1529,AZ1529="Boleto",BB1529*(1+0.001)^DATEDIF(E1529,G1529,"D"),AZ1529="Cheque",BB1529,AZ1529="Dinheiro","Alterar forma pgto")</f>
        <v/>
      </c>
      <c r="BD1529" s="276" t="str" cm="1">
        <f t="array" ref="BD1529">IF(F1529=0," ",IF(BC1529&lt;BB1529,(_xlfn.IFS(AW1529="SIM",SUM(L1529,Q1529,V1529,AA1529,AF1529,AK1529,AP1529,AU1529)+AX1529/_xlfn.XLOOKUP(_xlfn.XLOOKUP($F1529,Clientes!$B$4:$B$39,Clientes!$C$4:$C$39),Cadastros!$L$6:$L$12,Cadastros!$M$6:$M$12)+IF($F1529="Bernardino Furlan",AY1529/2751.92,IF($F1529="Mauro José Salanti",AY1529/2751.92,AY1529/3356)),F1529&lt;&gt;0,SUM(L1529,Q1529,V1529,AA1529,AF1529,AK1529,AP1529,AU1529)))*(1-0.03),_xlfn.IFS(AW1529="SIM",SUM(L1529,Q1529,V1529,AA1529,AF1529,AK1529,AP1529,AU1529)+AX1529/_xlfn.XLOOKUP(_xlfn.XLOOKUP($F1529,Clientes!$B$4:$B$39,Clientes!$C$4:$C$39),Cadastros!$L$6:$L$12,Cadastros!$M$6:$M$12)+IF($F1529="Bernardino Furlan",AY1529/2751.92,IF($F1529="Mauro José Salanti",AY1529/2751.92,AY1529/3356)),F1529&lt;&gt;0,SUM(L1529,Q1529,V1529,AA1529,AF1529,AK1529,AP1529,AU1529))))</f>
        <v xml:space="preserve"> </v>
      </c>
      <c r="BE1529" s="120"/>
      <c r="BF1529" s="120"/>
      <c r="BG1529" s="120"/>
    </row>
    <row r="1530" spans="1:59" s="3" customFormat="1" x14ac:dyDescent="0.3">
      <c r="A1530" s="15" t="str">
        <f t="shared" si="299"/>
        <v/>
      </c>
      <c r="B1530" s="25"/>
      <c r="C1530" s="26"/>
      <c r="D1530" s="279"/>
      <c r="E1530" s="27"/>
      <c r="F1530" s="28"/>
      <c r="G1530" s="27"/>
      <c r="H1530" s="28"/>
      <c r="I1530" s="28"/>
      <c r="J1530" s="255" t="str">
        <f>IF(H1530="","",(_xlfn.XLOOKUP(H1530,Cadastros!$D$6:$D$90,Cadastros!$E$6:$E$90))*(1-_xlfn.XLOOKUP(_xlfn.XLOOKUP($F1530,Clientes!$B$4:$B$39,Clientes!$C$4:$C$39),Cadastros!$L$6:$L$12,Cadastros!$N$6:$N$12)))</f>
        <v/>
      </c>
      <c r="K1530" s="168" t="str">
        <f t="shared" si="300"/>
        <v/>
      </c>
      <c r="L1530" s="168" t="str">
        <f>IFERROR(K1530/_xlfn.XLOOKUP(_xlfn.XLOOKUP($F1530,Clientes!$B$4:$B$39,Clientes!$C$4:$C$39),Cadastros!$L$6:$L$12,Cadastros!$M$6:$M$12)," ")</f>
        <v xml:space="preserve"> </v>
      </c>
      <c r="M1530" s="28"/>
      <c r="N1530" s="28"/>
      <c r="O1530" s="255" t="str">
        <f>IF(M1530="","",(_xlfn.XLOOKUP(M1530,Cadastros!$D$6:$D$90,Cadastros!$E$6:$E$90))*(1-_xlfn.XLOOKUP(_xlfn.XLOOKUP($F1530,Clientes!$B$4:$B$39,Clientes!$C$4:$C$39),Cadastros!$L$6:$L$12,Cadastros!$N$6:$N$12)))</f>
        <v/>
      </c>
      <c r="P1530" s="168" t="str">
        <f t="shared" si="301"/>
        <v/>
      </c>
      <c r="Q1530" s="168" t="str">
        <f>IFERROR(P1530/_xlfn.XLOOKUP(_xlfn.XLOOKUP($F1530,Clientes!$B$4:$B$39,Clientes!$C$4:$C$39),Cadastros!$L$6:$L$12,Cadastros!$M$6:$M$12)," ")</f>
        <v xml:space="preserve"> </v>
      </c>
      <c r="R1530" s="28"/>
      <c r="S1530" s="28"/>
      <c r="T1530" s="255" t="str">
        <f>IF(R1530="","",(_xlfn.XLOOKUP(R1530,Cadastros!$D$6:$D$90,Cadastros!$E$6:$E$90))*(1-_xlfn.XLOOKUP(_xlfn.XLOOKUP($F1530,Clientes!$B$4:$B$39,Clientes!$C$4:$C$39),Cadastros!$L$6:$L$12,Cadastros!$N$6:$N$12)))</f>
        <v/>
      </c>
      <c r="U1530" s="168" t="str">
        <f t="shared" si="302"/>
        <v/>
      </c>
      <c r="V1530" s="168" t="str">
        <f>IFERROR(U1530/_xlfn.XLOOKUP(_xlfn.XLOOKUP($F1530,Clientes!$B$4:$B$39,Clientes!$C$4:$C$39),Cadastros!$L$6:$L$12,Cadastros!$M$6:$M$12)," ")</f>
        <v xml:space="preserve"> </v>
      </c>
      <c r="W1530" s="28"/>
      <c r="X1530" s="28"/>
      <c r="Y1530" s="255" t="str">
        <f>IF(W1530="","",(_xlfn.XLOOKUP(W1530,Cadastros!$D$6:$D$90,Cadastros!$E$6:$E$90))*(1-_xlfn.XLOOKUP(_xlfn.XLOOKUP($F1530,Clientes!$B$4:$B$39,Clientes!$C$4:$C$39),Cadastros!$L$6:$L$12,Cadastros!$N$6:$N$12)))</f>
        <v/>
      </c>
      <c r="Z1530" s="168" t="str">
        <f t="shared" si="303"/>
        <v/>
      </c>
      <c r="AA1530" s="168" t="str">
        <f>IFERROR(Z1530/_xlfn.XLOOKUP(_xlfn.XLOOKUP($F1530,Clientes!$B$4:$B$39,Clientes!$C$4:$C$39),Cadastros!$L$6:$L$12,Cadastros!$M$6:$M$12)," ")</f>
        <v xml:space="preserve"> </v>
      </c>
      <c r="AB1530" s="28"/>
      <c r="AC1530" s="28"/>
      <c r="AD1530" s="20" t="str">
        <f>IF(AB1530="","",IF($F1530="Bernardino Furlan",_xlfn.XLOOKUP(AB1530,Cadastros!$G$6:$G$90,Cadastros!$H$6:$H$90)*(1-0.18),IF($F1530="Mauro José Salanti",_xlfn.XLOOKUP(AB1530,Cadastros!$G$6:$G$90,Cadastros!$H$6:$H$90)*(1-0.18),_xlfn.XLOOKUP(AB1530,Cadastros!$G$6:$G$90,Cadastros!$H$6:$H$90))))</f>
        <v/>
      </c>
      <c r="AE1530" s="168" t="str">
        <f t="shared" si="304"/>
        <v/>
      </c>
      <c r="AF1530" s="168" t="str">
        <f t="shared" si="305"/>
        <v/>
      </c>
      <c r="AG1530" s="28"/>
      <c r="AH1530" s="28"/>
      <c r="AI1530" s="20" t="str">
        <f>IF(AG1530="","",IF($F1530="Bernardino Furlan",_xlfn.XLOOKUP(AG1530,Cadastros!$G$6:$G$90,Cadastros!$H$6:$H$90)*(1-0.18),IF($F1530="Mauro José Salanti",_xlfn.XLOOKUP(AG1530,Cadastros!$G$6:$G$90,Cadastros!$H$6:$H$90)*(1-0.18),_xlfn.XLOOKUP(AG1530,Cadastros!$G$6:$G$90,Cadastros!$H$6:$H$90))))</f>
        <v/>
      </c>
      <c r="AJ1530" s="168" t="str">
        <f t="shared" si="306"/>
        <v/>
      </c>
      <c r="AK1530" s="168" t="str">
        <f t="shared" si="307"/>
        <v/>
      </c>
      <c r="AL1530" s="28"/>
      <c r="AM1530" s="28"/>
      <c r="AN1530" s="20" t="str">
        <f>IF(AL1530="","",IF($F1530="Bernardino Furlan",_xlfn.XLOOKUP(AL1530,Cadastros!$G$6:$G$90,Cadastros!$H$6:$H$90)*(1-0.18),IF($F1530="Mauro José Salanti",_xlfn.XLOOKUP(AL1530,Cadastros!$G$6:$G$90,Cadastros!$H$6:$H$90)*(1-0.18),_xlfn.XLOOKUP(AL1530,Cadastros!$G$6:$G$90,Cadastros!$H$6:$H$90))))</f>
        <v/>
      </c>
      <c r="AO1530" s="168" t="str">
        <f t="shared" si="308"/>
        <v/>
      </c>
      <c r="AP1530" s="168" t="str">
        <f t="shared" si="309"/>
        <v/>
      </c>
      <c r="AQ1530" s="28"/>
      <c r="AR1530" s="28"/>
      <c r="AS1530" s="20" t="str">
        <f>IF(AQ1530="","",IF($F1530="Bernardino Furlan",_xlfn.XLOOKUP(AQ1530,Cadastros!$G$6:$G$90,Cadastros!$H$6:$H$90)*(1-0.18),IF($F1530="Mauro José Salanti",_xlfn.XLOOKUP(AQ1530,Cadastros!$G$6:$G$90,Cadastros!$H$6:$H$90)*(1-0.18),_xlfn.XLOOKUP(AQ1530,Cadastros!$G$6:$G$90,Cadastros!$H$6:$H$90))))</f>
        <v/>
      </c>
      <c r="AT1530" s="168" t="str">
        <f t="shared" si="310"/>
        <v/>
      </c>
      <c r="AU1530" s="168" t="str">
        <f t="shared" si="311"/>
        <v/>
      </c>
      <c r="AV1530" s="227"/>
      <c r="AW1530" s="30"/>
      <c r="AX1530" s="267"/>
      <c r="AY1530" s="267"/>
      <c r="AZ1530" s="29"/>
      <c r="BA1530" s="30"/>
      <c r="BB1530" s="23" t="str" cm="1">
        <f t="array" ref="BB1530">_xlfn.IFS(AW1530="SIM",SUM(K1530,P1530,U1530,Z1530,AE1530,AJ1530,AO1530,AT1530,AX1530,AY1530),F1530&lt;&gt;"",SUM(K1530,P1530,U1530,Z1530,AE1530,AJ1530,,AO1530,AT1530),F1530="","")</f>
        <v/>
      </c>
      <c r="BC1530" s="211" t="str" cm="1">
        <f t="array" ref="BC1530">_xlfn.IFS(E1530="","",G1530&lt;=E1530,BB1530*(1-0.03),G1530&lt;(E1530+8),BB1530,AZ1530="Boleto",BB1530*(1+0.001)^DATEDIF(E1530,G1530,"D"),AZ1530="Cheque",BB1530,AZ1530="Dinheiro","Alterar forma pgto")</f>
        <v/>
      </c>
      <c r="BD1530" s="276" t="str" cm="1">
        <f t="array" ref="BD1530">IF(F1530=0," ",IF(BC1530&lt;BB1530,(_xlfn.IFS(AW1530="SIM",SUM(L1530,Q1530,V1530,AA1530,AF1530,AK1530,AP1530,AU1530)+AX1530/_xlfn.XLOOKUP(_xlfn.XLOOKUP($F1530,Clientes!$B$4:$B$39,Clientes!$C$4:$C$39),Cadastros!$L$6:$L$12,Cadastros!$M$6:$M$12)+IF($F1530="Bernardino Furlan",AY1530/2751.92,IF($F1530="Mauro José Salanti",AY1530/2751.92,AY1530/3356)),F1530&lt;&gt;0,SUM(L1530,Q1530,V1530,AA1530,AF1530,AK1530,AP1530,AU1530)))*(1-0.03),_xlfn.IFS(AW1530="SIM",SUM(L1530,Q1530,V1530,AA1530,AF1530,AK1530,AP1530,AU1530)+AX1530/_xlfn.XLOOKUP(_xlfn.XLOOKUP($F1530,Clientes!$B$4:$B$39,Clientes!$C$4:$C$39),Cadastros!$L$6:$L$12,Cadastros!$M$6:$M$12)+IF($F1530="Bernardino Furlan",AY1530/2751.92,IF($F1530="Mauro José Salanti",AY1530/2751.92,AY1530/3356)),F1530&lt;&gt;0,SUM(L1530,Q1530,V1530,AA1530,AF1530,AK1530,AP1530,AU1530))))</f>
        <v xml:space="preserve"> </v>
      </c>
      <c r="BE1530" s="120"/>
      <c r="BF1530" s="120"/>
      <c r="BG1530" s="120"/>
    </row>
    <row r="1531" spans="1:59" s="3" customFormat="1" x14ac:dyDescent="0.3">
      <c r="A1531" s="15" t="str">
        <f t="shared" si="299"/>
        <v/>
      </c>
      <c r="B1531" s="25"/>
      <c r="C1531" s="26"/>
      <c r="D1531" s="279"/>
      <c r="E1531" s="27"/>
      <c r="F1531" s="28"/>
      <c r="G1531" s="27"/>
      <c r="H1531" s="28"/>
      <c r="I1531" s="28"/>
      <c r="J1531" s="255" t="str">
        <f>IF(H1531="","",(_xlfn.XLOOKUP(H1531,Cadastros!$D$6:$D$90,Cadastros!$E$6:$E$90))*(1-_xlfn.XLOOKUP(_xlfn.XLOOKUP($F1531,Clientes!$B$4:$B$39,Clientes!$C$4:$C$39),Cadastros!$L$6:$L$12,Cadastros!$N$6:$N$12)))</f>
        <v/>
      </c>
      <c r="K1531" s="168" t="str">
        <f t="shared" si="300"/>
        <v/>
      </c>
      <c r="L1531" s="168" t="str">
        <f>IFERROR(K1531/_xlfn.XLOOKUP(_xlfn.XLOOKUP($F1531,Clientes!$B$4:$B$39,Clientes!$C$4:$C$39),Cadastros!$L$6:$L$12,Cadastros!$M$6:$M$12)," ")</f>
        <v xml:space="preserve"> </v>
      </c>
      <c r="M1531" s="28"/>
      <c r="N1531" s="28"/>
      <c r="O1531" s="255" t="str">
        <f>IF(M1531="","",(_xlfn.XLOOKUP(M1531,Cadastros!$D$6:$D$90,Cadastros!$E$6:$E$90))*(1-_xlfn.XLOOKUP(_xlfn.XLOOKUP($F1531,Clientes!$B$4:$B$39,Clientes!$C$4:$C$39),Cadastros!$L$6:$L$12,Cadastros!$N$6:$N$12)))</f>
        <v/>
      </c>
      <c r="P1531" s="168" t="str">
        <f t="shared" si="301"/>
        <v/>
      </c>
      <c r="Q1531" s="168" t="str">
        <f>IFERROR(P1531/_xlfn.XLOOKUP(_xlfn.XLOOKUP($F1531,Clientes!$B$4:$B$39,Clientes!$C$4:$C$39),Cadastros!$L$6:$L$12,Cadastros!$M$6:$M$12)," ")</f>
        <v xml:space="preserve"> </v>
      </c>
      <c r="R1531" s="28"/>
      <c r="S1531" s="28"/>
      <c r="T1531" s="255" t="str">
        <f>IF(R1531="","",(_xlfn.XLOOKUP(R1531,Cadastros!$D$6:$D$90,Cadastros!$E$6:$E$90))*(1-_xlfn.XLOOKUP(_xlfn.XLOOKUP($F1531,Clientes!$B$4:$B$39,Clientes!$C$4:$C$39),Cadastros!$L$6:$L$12,Cadastros!$N$6:$N$12)))</f>
        <v/>
      </c>
      <c r="U1531" s="168" t="str">
        <f t="shared" si="302"/>
        <v/>
      </c>
      <c r="V1531" s="168" t="str">
        <f>IFERROR(U1531/_xlfn.XLOOKUP(_xlfn.XLOOKUP($F1531,Clientes!$B$4:$B$39,Clientes!$C$4:$C$39),Cadastros!$L$6:$L$12,Cadastros!$M$6:$M$12)," ")</f>
        <v xml:space="preserve"> </v>
      </c>
      <c r="W1531" s="28"/>
      <c r="X1531" s="28"/>
      <c r="Y1531" s="255" t="str">
        <f>IF(W1531="","",(_xlfn.XLOOKUP(W1531,Cadastros!$D$6:$D$90,Cadastros!$E$6:$E$90))*(1-_xlfn.XLOOKUP(_xlfn.XLOOKUP($F1531,Clientes!$B$4:$B$39,Clientes!$C$4:$C$39),Cadastros!$L$6:$L$12,Cadastros!$N$6:$N$12)))</f>
        <v/>
      </c>
      <c r="Z1531" s="168" t="str">
        <f t="shared" si="303"/>
        <v/>
      </c>
      <c r="AA1531" s="168" t="str">
        <f>IFERROR(Z1531/_xlfn.XLOOKUP(_xlfn.XLOOKUP($F1531,Clientes!$B$4:$B$39,Clientes!$C$4:$C$39),Cadastros!$L$6:$L$12,Cadastros!$M$6:$M$12)," ")</f>
        <v xml:space="preserve"> </v>
      </c>
      <c r="AB1531" s="28"/>
      <c r="AC1531" s="28"/>
      <c r="AD1531" s="20" t="str">
        <f>IF(AB1531="","",IF($F1531="Bernardino Furlan",_xlfn.XLOOKUP(AB1531,Cadastros!$G$6:$G$90,Cadastros!$H$6:$H$90)*(1-0.18),IF($F1531="Mauro José Salanti",_xlfn.XLOOKUP(AB1531,Cadastros!$G$6:$G$90,Cadastros!$H$6:$H$90)*(1-0.18),_xlfn.XLOOKUP(AB1531,Cadastros!$G$6:$G$90,Cadastros!$H$6:$H$90))))</f>
        <v/>
      </c>
      <c r="AE1531" s="168" t="str">
        <f t="shared" si="304"/>
        <v/>
      </c>
      <c r="AF1531" s="168" t="str">
        <f t="shared" si="305"/>
        <v/>
      </c>
      <c r="AG1531" s="28"/>
      <c r="AH1531" s="28"/>
      <c r="AI1531" s="20" t="str">
        <f>IF(AG1531="","",IF($F1531="Bernardino Furlan",_xlfn.XLOOKUP(AG1531,Cadastros!$G$6:$G$90,Cadastros!$H$6:$H$90)*(1-0.18),IF($F1531="Mauro José Salanti",_xlfn.XLOOKUP(AG1531,Cadastros!$G$6:$G$90,Cadastros!$H$6:$H$90)*(1-0.18),_xlfn.XLOOKUP(AG1531,Cadastros!$G$6:$G$90,Cadastros!$H$6:$H$90))))</f>
        <v/>
      </c>
      <c r="AJ1531" s="168" t="str">
        <f t="shared" si="306"/>
        <v/>
      </c>
      <c r="AK1531" s="168" t="str">
        <f t="shared" si="307"/>
        <v/>
      </c>
      <c r="AL1531" s="28"/>
      <c r="AM1531" s="28"/>
      <c r="AN1531" s="20" t="str">
        <f>IF(AL1531="","",IF($F1531="Bernardino Furlan",_xlfn.XLOOKUP(AL1531,Cadastros!$G$6:$G$90,Cadastros!$H$6:$H$90)*(1-0.18),IF($F1531="Mauro José Salanti",_xlfn.XLOOKUP(AL1531,Cadastros!$G$6:$G$90,Cadastros!$H$6:$H$90)*(1-0.18),_xlfn.XLOOKUP(AL1531,Cadastros!$G$6:$G$90,Cadastros!$H$6:$H$90))))</f>
        <v/>
      </c>
      <c r="AO1531" s="168" t="str">
        <f t="shared" si="308"/>
        <v/>
      </c>
      <c r="AP1531" s="168" t="str">
        <f t="shared" si="309"/>
        <v/>
      </c>
      <c r="AQ1531" s="28"/>
      <c r="AR1531" s="28"/>
      <c r="AS1531" s="20" t="str">
        <f>IF(AQ1531="","",IF($F1531="Bernardino Furlan",_xlfn.XLOOKUP(AQ1531,Cadastros!$G$6:$G$90,Cadastros!$H$6:$H$90)*(1-0.18),IF($F1531="Mauro José Salanti",_xlfn.XLOOKUP(AQ1531,Cadastros!$G$6:$G$90,Cadastros!$H$6:$H$90)*(1-0.18),_xlfn.XLOOKUP(AQ1531,Cadastros!$G$6:$G$90,Cadastros!$H$6:$H$90))))</f>
        <v/>
      </c>
      <c r="AT1531" s="168" t="str">
        <f t="shared" si="310"/>
        <v/>
      </c>
      <c r="AU1531" s="168" t="str">
        <f t="shared" si="311"/>
        <v/>
      </c>
      <c r="AV1531" s="227"/>
      <c r="AW1531" s="30"/>
      <c r="AX1531" s="267"/>
      <c r="AY1531" s="267"/>
      <c r="AZ1531" s="29"/>
      <c r="BA1531" s="30"/>
      <c r="BB1531" s="23" t="str" cm="1">
        <f t="array" ref="BB1531">_xlfn.IFS(AW1531="SIM",SUM(K1531,P1531,U1531,Z1531,AE1531,AJ1531,AO1531,AT1531,AX1531,AY1531),F1531&lt;&gt;"",SUM(K1531,P1531,U1531,Z1531,AE1531,AJ1531,,AO1531,AT1531),F1531="","")</f>
        <v/>
      </c>
      <c r="BC1531" s="211" t="str" cm="1">
        <f t="array" ref="BC1531">_xlfn.IFS(E1531="","",G1531&lt;=E1531,BB1531*(1-0.03),G1531&lt;(E1531+8),BB1531,AZ1531="Boleto",BB1531*(1+0.001)^DATEDIF(E1531,G1531,"D"),AZ1531="Cheque",BB1531,AZ1531="Dinheiro","Alterar forma pgto")</f>
        <v/>
      </c>
      <c r="BD1531" s="276" t="str" cm="1">
        <f t="array" ref="BD1531">IF(F1531=0," ",IF(BC1531&lt;BB1531,(_xlfn.IFS(AW1531="SIM",SUM(L1531,Q1531,V1531,AA1531,AF1531,AK1531,AP1531,AU1531)+AX1531/_xlfn.XLOOKUP(_xlfn.XLOOKUP($F1531,Clientes!$B$4:$B$39,Clientes!$C$4:$C$39),Cadastros!$L$6:$L$12,Cadastros!$M$6:$M$12)+IF($F1531="Bernardino Furlan",AY1531/2751.92,IF($F1531="Mauro José Salanti",AY1531/2751.92,AY1531/3356)),F1531&lt;&gt;0,SUM(L1531,Q1531,V1531,AA1531,AF1531,AK1531,AP1531,AU1531)))*(1-0.03),_xlfn.IFS(AW1531="SIM",SUM(L1531,Q1531,V1531,AA1531,AF1531,AK1531,AP1531,AU1531)+AX1531/_xlfn.XLOOKUP(_xlfn.XLOOKUP($F1531,Clientes!$B$4:$B$39,Clientes!$C$4:$C$39),Cadastros!$L$6:$L$12,Cadastros!$M$6:$M$12)+IF($F1531="Bernardino Furlan",AY1531/2751.92,IF($F1531="Mauro José Salanti",AY1531/2751.92,AY1531/3356)),F1531&lt;&gt;0,SUM(L1531,Q1531,V1531,AA1531,AF1531,AK1531,AP1531,AU1531))))</f>
        <v xml:space="preserve"> </v>
      </c>
      <c r="BE1531" s="120"/>
      <c r="BF1531" s="120"/>
      <c r="BG1531" s="120"/>
    </row>
    <row r="1532" spans="1:59" s="3" customFormat="1" x14ac:dyDescent="0.3">
      <c r="A1532" s="15" t="str">
        <f t="shared" si="299"/>
        <v/>
      </c>
      <c r="B1532" s="25"/>
      <c r="C1532" s="26"/>
      <c r="D1532" s="279"/>
      <c r="E1532" s="27"/>
      <c r="F1532" s="28"/>
      <c r="G1532" s="27"/>
      <c r="H1532" s="28"/>
      <c r="I1532" s="28"/>
      <c r="J1532" s="255" t="str">
        <f>IF(H1532="","",(_xlfn.XLOOKUP(H1532,Cadastros!$D$6:$D$90,Cadastros!$E$6:$E$90))*(1-_xlfn.XLOOKUP(_xlfn.XLOOKUP($F1532,Clientes!$B$4:$B$39,Clientes!$C$4:$C$39),Cadastros!$L$6:$L$12,Cadastros!$N$6:$N$12)))</f>
        <v/>
      </c>
      <c r="K1532" s="168" t="str">
        <f t="shared" si="300"/>
        <v/>
      </c>
      <c r="L1532" s="168" t="str">
        <f>IFERROR(K1532/_xlfn.XLOOKUP(_xlfn.XLOOKUP($F1532,Clientes!$B$4:$B$39,Clientes!$C$4:$C$39),Cadastros!$L$6:$L$12,Cadastros!$M$6:$M$12)," ")</f>
        <v xml:space="preserve"> </v>
      </c>
      <c r="M1532" s="28"/>
      <c r="N1532" s="28"/>
      <c r="O1532" s="255" t="str">
        <f>IF(M1532="","",(_xlfn.XLOOKUP(M1532,Cadastros!$D$6:$D$90,Cadastros!$E$6:$E$90))*(1-_xlfn.XLOOKUP(_xlfn.XLOOKUP($F1532,Clientes!$B$4:$B$39,Clientes!$C$4:$C$39),Cadastros!$L$6:$L$12,Cadastros!$N$6:$N$12)))</f>
        <v/>
      </c>
      <c r="P1532" s="168" t="str">
        <f t="shared" si="301"/>
        <v/>
      </c>
      <c r="Q1532" s="168" t="str">
        <f>IFERROR(P1532/_xlfn.XLOOKUP(_xlfn.XLOOKUP($F1532,Clientes!$B$4:$B$39,Clientes!$C$4:$C$39),Cadastros!$L$6:$L$12,Cadastros!$M$6:$M$12)," ")</f>
        <v xml:space="preserve"> </v>
      </c>
      <c r="R1532" s="28"/>
      <c r="S1532" s="28"/>
      <c r="T1532" s="255" t="str">
        <f>IF(R1532="","",(_xlfn.XLOOKUP(R1532,Cadastros!$D$6:$D$90,Cadastros!$E$6:$E$90))*(1-_xlfn.XLOOKUP(_xlfn.XLOOKUP($F1532,Clientes!$B$4:$B$39,Clientes!$C$4:$C$39),Cadastros!$L$6:$L$12,Cadastros!$N$6:$N$12)))</f>
        <v/>
      </c>
      <c r="U1532" s="168" t="str">
        <f t="shared" si="302"/>
        <v/>
      </c>
      <c r="V1532" s="168" t="str">
        <f>IFERROR(U1532/_xlfn.XLOOKUP(_xlfn.XLOOKUP($F1532,Clientes!$B$4:$B$39,Clientes!$C$4:$C$39),Cadastros!$L$6:$L$12,Cadastros!$M$6:$M$12)," ")</f>
        <v xml:space="preserve"> </v>
      </c>
      <c r="W1532" s="28"/>
      <c r="X1532" s="28"/>
      <c r="Y1532" s="255" t="str">
        <f>IF(W1532="","",(_xlfn.XLOOKUP(W1532,Cadastros!$D$6:$D$90,Cadastros!$E$6:$E$90))*(1-_xlfn.XLOOKUP(_xlfn.XLOOKUP($F1532,Clientes!$B$4:$B$39,Clientes!$C$4:$C$39),Cadastros!$L$6:$L$12,Cadastros!$N$6:$N$12)))</f>
        <v/>
      </c>
      <c r="Z1532" s="168" t="str">
        <f t="shared" si="303"/>
        <v/>
      </c>
      <c r="AA1532" s="168" t="str">
        <f>IFERROR(Z1532/_xlfn.XLOOKUP(_xlfn.XLOOKUP($F1532,Clientes!$B$4:$B$39,Clientes!$C$4:$C$39),Cadastros!$L$6:$L$12,Cadastros!$M$6:$M$12)," ")</f>
        <v xml:space="preserve"> </v>
      </c>
      <c r="AB1532" s="28"/>
      <c r="AC1532" s="28"/>
      <c r="AD1532" s="20" t="str">
        <f>IF(AB1532="","",IF($F1532="Bernardino Furlan",_xlfn.XLOOKUP(AB1532,Cadastros!$G$6:$G$90,Cadastros!$H$6:$H$90)*(1-0.18),IF($F1532="Mauro José Salanti",_xlfn.XLOOKUP(AB1532,Cadastros!$G$6:$G$90,Cadastros!$H$6:$H$90)*(1-0.18),_xlfn.XLOOKUP(AB1532,Cadastros!$G$6:$G$90,Cadastros!$H$6:$H$90))))</f>
        <v/>
      </c>
      <c r="AE1532" s="168" t="str">
        <f t="shared" si="304"/>
        <v/>
      </c>
      <c r="AF1532" s="168" t="str">
        <f t="shared" si="305"/>
        <v/>
      </c>
      <c r="AG1532" s="28"/>
      <c r="AH1532" s="28"/>
      <c r="AI1532" s="20" t="str">
        <f>IF(AG1532="","",IF($F1532="Bernardino Furlan",_xlfn.XLOOKUP(AG1532,Cadastros!$G$6:$G$90,Cadastros!$H$6:$H$90)*(1-0.18),IF($F1532="Mauro José Salanti",_xlfn.XLOOKUP(AG1532,Cadastros!$G$6:$G$90,Cadastros!$H$6:$H$90)*(1-0.18),_xlfn.XLOOKUP(AG1532,Cadastros!$G$6:$G$90,Cadastros!$H$6:$H$90))))</f>
        <v/>
      </c>
      <c r="AJ1532" s="168" t="str">
        <f t="shared" si="306"/>
        <v/>
      </c>
      <c r="AK1532" s="168" t="str">
        <f t="shared" si="307"/>
        <v/>
      </c>
      <c r="AL1532" s="28"/>
      <c r="AM1532" s="28"/>
      <c r="AN1532" s="20" t="str">
        <f>IF(AL1532="","",IF($F1532="Bernardino Furlan",_xlfn.XLOOKUP(AL1532,Cadastros!$G$6:$G$90,Cadastros!$H$6:$H$90)*(1-0.18),IF($F1532="Mauro José Salanti",_xlfn.XLOOKUP(AL1532,Cadastros!$G$6:$G$90,Cadastros!$H$6:$H$90)*(1-0.18),_xlfn.XLOOKUP(AL1532,Cadastros!$G$6:$G$90,Cadastros!$H$6:$H$90))))</f>
        <v/>
      </c>
      <c r="AO1532" s="168" t="str">
        <f t="shared" si="308"/>
        <v/>
      </c>
      <c r="AP1532" s="168" t="str">
        <f t="shared" si="309"/>
        <v/>
      </c>
      <c r="AQ1532" s="28"/>
      <c r="AR1532" s="28"/>
      <c r="AS1532" s="20" t="str">
        <f>IF(AQ1532="","",IF($F1532="Bernardino Furlan",_xlfn.XLOOKUP(AQ1532,Cadastros!$G$6:$G$90,Cadastros!$H$6:$H$90)*(1-0.18),IF($F1532="Mauro José Salanti",_xlfn.XLOOKUP(AQ1532,Cadastros!$G$6:$G$90,Cadastros!$H$6:$H$90)*(1-0.18),_xlfn.XLOOKUP(AQ1532,Cadastros!$G$6:$G$90,Cadastros!$H$6:$H$90))))</f>
        <v/>
      </c>
      <c r="AT1532" s="168" t="str">
        <f t="shared" si="310"/>
        <v/>
      </c>
      <c r="AU1532" s="168" t="str">
        <f t="shared" si="311"/>
        <v/>
      </c>
      <c r="AV1532" s="227"/>
      <c r="AW1532" s="30"/>
      <c r="AX1532" s="267"/>
      <c r="AY1532" s="267"/>
      <c r="AZ1532" s="29"/>
      <c r="BA1532" s="30"/>
      <c r="BB1532" s="23" t="str" cm="1">
        <f t="array" ref="BB1532">_xlfn.IFS(AW1532="SIM",SUM(K1532,P1532,U1532,Z1532,AE1532,AJ1532,AO1532,AT1532,AX1532,AY1532),F1532&lt;&gt;"",SUM(K1532,P1532,U1532,Z1532,AE1532,AJ1532,,AO1532,AT1532),F1532="","")</f>
        <v/>
      </c>
      <c r="BC1532" s="211" t="str" cm="1">
        <f t="array" ref="BC1532">_xlfn.IFS(E1532="","",G1532&lt;=E1532,BB1532*(1-0.03),G1532&lt;(E1532+8),BB1532,AZ1532="Boleto",BB1532*(1+0.001)^DATEDIF(E1532,G1532,"D"),AZ1532="Cheque",BB1532,AZ1532="Dinheiro","Alterar forma pgto")</f>
        <v/>
      </c>
      <c r="BD1532" s="276" t="str" cm="1">
        <f t="array" ref="BD1532">IF(F1532=0," ",IF(BC1532&lt;BB1532,(_xlfn.IFS(AW1532="SIM",SUM(L1532,Q1532,V1532,AA1532,AF1532,AK1532,AP1532,AU1532)+AX1532/_xlfn.XLOOKUP(_xlfn.XLOOKUP($F1532,Clientes!$B$4:$B$39,Clientes!$C$4:$C$39),Cadastros!$L$6:$L$12,Cadastros!$M$6:$M$12)+IF($F1532="Bernardino Furlan",AY1532/2751.92,IF($F1532="Mauro José Salanti",AY1532/2751.92,AY1532/3356)),F1532&lt;&gt;0,SUM(L1532,Q1532,V1532,AA1532,AF1532,AK1532,AP1532,AU1532)))*(1-0.03),_xlfn.IFS(AW1532="SIM",SUM(L1532,Q1532,V1532,AA1532,AF1532,AK1532,AP1532,AU1532)+AX1532/_xlfn.XLOOKUP(_xlfn.XLOOKUP($F1532,Clientes!$B$4:$B$39,Clientes!$C$4:$C$39),Cadastros!$L$6:$L$12,Cadastros!$M$6:$M$12)+IF($F1532="Bernardino Furlan",AY1532/2751.92,IF($F1532="Mauro José Salanti",AY1532/2751.92,AY1532/3356)),F1532&lt;&gt;0,SUM(L1532,Q1532,V1532,AA1532,AF1532,AK1532,AP1532,AU1532))))</f>
        <v xml:space="preserve"> </v>
      </c>
      <c r="BE1532" s="120"/>
      <c r="BF1532" s="120"/>
      <c r="BG1532" s="120"/>
    </row>
    <row r="1533" spans="1:59" s="3" customFormat="1" x14ac:dyDescent="0.3">
      <c r="A1533" s="15" t="str">
        <f t="shared" si="299"/>
        <v/>
      </c>
      <c r="B1533" s="25"/>
      <c r="C1533" s="26"/>
      <c r="D1533" s="279"/>
      <c r="E1533" s="27"/>
      <c r="F1533" s="28"/>
      <c r="G1533" s="27"/>
      <c r="H1533" s="28"/>
      <c r="I1533" s="28"/>
      <c r="J1533" s="255" t="str">
        <f>IF(H1533="","",(_xlfn.XLOOKUP(H1533,Cadastros!$D$6:$D$90,Cadastros!$E$6:$E$90))*(1-_xlfn.XLOOKUP(_xlfn.XLOOKUP($F1533,Clientes!$B$4:$B$39,Clientes!$C$4:$C$39),Cadastros!$L$6:$L$12,Cadastros!$N$6:$N$12)))</f>
        <v/>
      </c>
      <c r="K1533" s="168" t="str">
        <f t="shared" si="300"/>
        <v/>
      </c>
      <c r="L1533" s="168" t="str">
        <f>IFERROR(K1533/_xlfn.XLOOKUP(_xlfn.XLOOKUP($F1533,Clientes!$B$4:$B$39,Clientes!$C$4:$C$39),Cadastros!$L$6:$L$12,Cadastros!$M$6:$M$12)," ")</f>
        <v xml:space="preserve"> </v>
      </c>
      <c r="M1533" s="28"/>
      <c r="N1533" s="28"/>
      <c r="O1533" s="255" t="str">
        <f>IF(M1533="","",(_xlfn.XLOOKUP(M1533,Cadastros!$D$6:$D$90,Cadastros!$E$6:$E$90))*(1-_xlfn.XLOOKUP(_xlfn.XLOOKUP($F1533,Clientes!$B$4:$B$39,Clientes!$C$4:$C$39),Cadastros!$L$6:$L$12,Cadastros!$N$6:$N$12)))</f>
        <v/>
      </c>
      <c r="P1533" s="168" t="str">
        <f t="shared" si="301"/>
        <v/>
      </c>
      <c r="Q1533" s="168" t="str">
        <f>IFERROR(P1533/_xlfn.XLOOKUP(_xlfn.XLOOKUP($F1533,Clientes!$B$4:$B$39,Clientes!$C$4:$C$39),Cadastros!$L$6:$L$12,Cadastros!$M$6:$M$12)," ")</f>
        <v xml:space="preserve"> </v>
      </c>
      <c r="R1533" s="28"/>
      <c r="S1533" s="28"/>
      <c r="T1533" s="255" t="str">
        <f>IF(R1533="","",(_xlfn.XLOOKUP(R1533,Cadastros!$D$6:$D$90,Cadastros!$E$6:$E$90))*(1-_xlfn.XLOOKUP(_xlfn.XLOOKUP($F1533,Clientes!$B$4:$B$39,Clientes!$C$4:$C$39),Cadastros!$L$6:$L$12,Cadastros!$N$6:$N$12)))</f>
        <v/>
      </c>
      <c r="U1533" s="168" t="str">
        <f t="shared" si="302"/>
        <v/>
      </c>
      <c r="V1533" s="168" t="str">
        <f>IFERROR(U1533/_xlfn.XLOOKUP(_xlfn.XLOOKUP($F1533,Clientes!$B$4:$B$39,Clientes!$C$4:$C$39),Cadastros!$L$6:$L$12,Cadastros!$M$6:$M$12)," ")</f>
        <v xml:space="preserve"> </v>
      </c>
      <c r="W1533" s="28"/>
      <c r="X1533" s="28"/>
      <c r="Y1533" s="255" t="str">
        <f>IF(W1533="","",(_xlfn.XLOOKUP(W1533,Cadastros!$D$6:$D$90,Cadastros!$E$6:$E$90))*(1-_xlfn.XLOOKUP(_xlfn.XLOOKUP($F1533,Clientes!$B$4:$B$39,Clientes!$C$4:$C$39),Cadastros!$L$6:$L$12,Cadastros!$N$6:$N$12)))</f>
        <v/>
      </c>
      <c r="Z1533" s="168" t="str">
        <f t="shared" si="303"/>
        <v/>
      </c>
      <c r="AA1533" s="168" t="str">
        <f>IFERROR(Z1533/_xlfn.XLOOKUP(_xlfn.XLOOKUP($F1533,Clientes!$B$4:$B$39,Clientes!$C$4:$C$39),Cadastros!$L$6:$L$12,Cadastros!$M$6:$M$12)," ")</f>
        <v xml:space="preserve"> </v>
      </c>
      <c r="AB1533" s="28"/>
      <c r="AC1533" s="28"/>
      <c r="AD1533" s="20" t="str">
        <f>IF(AB1533="","",IF($F1533="Bernardino Furlan",_xlfn.XLOOKUP(AB1533,Cadastros!$G$6:$G$90,Cadastros!$H$6:$H$90)*(1-0.18),IF($F1533="Mauro José Salanti",_xlfn.XLOOKUP(AB1533,Cadastros!$G$6:$G$90,Cadastros!$H$6:$H$90)*(1-0.18),_xlfn.XLOOKUP(AB1533,Cadastros!$G$6:$G$90,Cadastros!$H$6:$H$90))))</f>
        <v/>
      </c>
      <c r="AE1533" s="168" t="str">
        <f t="shared" si="304"/>
        <v/>
      </c>
      <c r="AF1533" s="168" t="str">
        <f t="shared" si="305"/>
        <v/>
      </c>
      <c r="AG1533" s="28"/>
      <c r="AH1533" s="28"/>
      <c r="AI1533" s="20" t="str">
        <f>IF(AG1533="","",IF($F1533="Bernardino Furlan",_xlfn.XLOOKUP(AG1533,Cadastros!$G$6:$G$90,Cadastros!$H$6:$H$90)*(1-0.18),IF($F1533="Mauro José Salanti",_xlfn.XLOOKUP(AG1533,Cadastros!$G$6:$G$90,Cadastros!$H$6:$H$90)*(1-0.18),_xlfn.XLOOKUP(AG1533,Cadastros!$G$6:$G$90,Cadastros!$H$6:$H$90))))</f>
        <v/>
      </c>
      <c r="AJ1533" s="168" t="str">
        <f t="shared" si="306"/>
        <v/>
      </c>
      <c r="AK1533" s="168" t="str">
        <f t="shared" si="307"/>
        <v/>
      </c>
      <c r="AL1533" s="28"/>
      <c r="AM1533" s="28"/>
      <c r="AN1533" s="20" t="str">
        <f>IF(AL1533="","",IF($F1533="Bernardino Furlan",_xlfn.XLOOKUP(AL1533,Cadastros!$G$6:$G$90,Cadastros!$H$6:$H$90)*(1-0.18),IF($F1533="Mauro José Salanti",_xlfn.XLOOKUP(AL1533,Cadastros!$G$6:$G$90,Cadastros!$H$6:$H$90)*(1-0.18),_xlfn.XLOOKUP(AL1533,Cadastros!$G$6:$G$90,Cadastros!$H$6:$H$90))))</f>
        <v/>
      </c>
      <c r="AO1533" s="168" t="str">
        <f t="shared" si="308"/>
        <v/>
      </c>
      <c r="AP1533" s="168" t="str">
        <f t="shared" si="309"/>
        <v/>
      </c>
      <c r="AQ1533" s="28"/>
      <c r="AR1533" s="28"/>
      <c r="AS1533" s="20" t="str">
        <f>IF(AQ1533="","",IF($F1533="Bernardino Furlan",_xlfn.XLOOKUP(AQ1533,Cadastros!$G$6:$G$90,Cadastros!$H$6:$H$90)*(1-0.18),IF($F1533="Mauro José Salanti",_xlfn.XLOOKUP(AQ1533,Cadastros!$G$6:$G$90,Cadastros!$H$6:$H$90)*(1-0.18),_xlfn.XLOOKUP(AQ1533,Cadastros!$G$6:$G$90,Cadastros!$H$6:$H$90))))</f>
        <v/>
      </c>
      <c r="AT1533" s="168" t="str">
        <f t="shared" si="310"/>
        <v/>
      </c>
      <c r="AU1533" s="168" t="str">
        <f t="shared" si="311"/>
        <v/>
      </c>
      <c r="AV1533" s="227"/>
      <c r="AW1533" s="30"/>
      <c r="AX1533" s="267"/>
      <c r="AY1533" s="267"/>
      <c r="AZ1533" s="29"/>
      <c r="BA1533" s="30"/>
      <c r="BB1533" s="23" t="str" cm="1">
        <f t="array" ref="BB1533">_xlfn.IFS(AW1533="SIM",SUM(K1533,P1533,U1533,Z1533,AE1533,AJ1533,AO1533,AT1533,AX1533,AY1533),F1533&lt;&gt;"",SUM(K1533,P1533,U1533,Z1533,AE1533,AJ1533,,AO1533,AT1533),F1533="","")</f>
        <v/>
      </c>
      <c r="BC1533" s="211" t="str" cm="1">
        <f t="array" ref="BC1533">_xlfn.IFS(E1533="","",G1533&lt;=E1533,BB1533*(1-0.03),G1533&lt;(E1533+8),BB1533,AZ1533="Boleto",BB1533*(1+0.001)^DATEDIF(E1533,G1533,"D"),AZ1533="Cheque",BB1533,AZ1533="Dinheiro","Alterar forma pgto")</f>
        <v/>
      </c>
      <c r="BD1533" s="276" t="str" cm="1">
        <f t="array" ref="BD1533">IF(F1533=0," ",IF(BC1533&lt;BB1533,(_xlfn.IFS(AW1533="SIM",SUM(L1533,Q1533,V1533,AA1533,AF1533,AK1533,AP1533,AU1533)+AX1533/_xlfn.XLOOKUP(_xlfn.XLOOKUP($F1533,Clientes!$B$4:$B$39,Clientes!$C$4:$C$39),Cadastros!$L$6:$L$12,Cadastros!$M$6:$M$12)+IF($F1533="Bernardino Furlan",AY1533/2751.92,IF($F1533="Mauro José Salanti",AY1533/2751.92,AY1533/3356)),F1533&lt;&gt;0,SUM(L1533,Q1533,V1533,AA1533,AF1533,AK1533,AP1533,AU1533)))*(1-0.03),_xlfn.IFS(AW1533="SIM",SUM(L1533,Q1533,V1533,AA1533,AF1533,AK1533,AP1533,AU1533)+AX1533/_xlfn.XLOOKUP(_xlfn.XLOOKUP($F1533,Clientes!$B$4:$B$39,Clientes!$C$4:$C$39),Cadastros!$L$6:$L$12,Cadastros!$M$6:$M$12)+IF($F1533="Bernardino Furlan",AY1533/2751.92,IF($F1533="Mauro José Salanti",AY1533/2751.92,AY1533/3356)),F1533&lt;&gt;0,SUM(L1533,Q1533,V1533,AA1533,AF1533,AK1533,AP1533,AU1533))))</f>
        <v xml:space="preserve"> </v>
      </c>
      <c r="BE1533" s="120"/>
      <c r="BF1533" s="120"/>
      <c r="BG1533" s="120"/>
    </row>
    <row r="1534" spans="1:59" s="3" customFormat="1" x14ac:dyDescent="0.3">
      <c r="A1534" s="15" t="str">
        <f t="shared" si="299"/>
        <v/>
      </c>
      <c r="B1534" s="25"/>
      <c r="C1534" s="26"/>
      <c r="D1534" s="279"/>
      <c r="E1534" s="27"/>
      <c r="F1534" s="28"/>
      <c r="G1534" s="27"/>
      <c r="H1534" s="28"/>
      <c r="I1534" s="28"/>
      <c r="J1534" s="255" t="str">
        <f>IF(H1534="","",(_xlfn.XLOOKUP(H1534,Cadastros!$D$6:$D$90,Cadastros!$E$6:$E$90))*(1-_xlfn.XLOOKUP(_xlfn.XLOOKUP($F1534,Clientes!$B$4:$B$39,Clientes!$C$4:$C$39),Cadastros!$L$6:$L$12,Cadastros!$N$6:$N$12)))</f>
        <v/>
      </c>
      <c r="K1534" s="168" t="str">
        <f t="shared" si="300"/>
        <v/>
      </c>
      <c r="L1534" s="168" t="str">
        <f>IFERROR(K1534/_xlfn.XLOOKUP(_xlfn.XLOOKUP($F1534,Clientes!$B$4:$B$39,Clientes!$C$4:$C$39),Cadastros!$L$6:$L$12,Cadastros!$M$6:$M$12)," ")</f>
        <v xml:space="preserve"> </v>
      </c>
      <c r="M1534" s="28"/>
      <c r="N1534" s="28"/>
      <c r="O1534" s="255" t="str">
        <f>IF(M1534="","",(_xlfn.XLOOKUP(M1534,Cadastros!$D$6:$D$90,Cadastros!$E$6:$E$90))*(1-_xlfn.XLOOKUP(_xlfn.XLOOKUP($F1534,Clientes!$B$4:$B$39,Clientes!$C$4:$C$39),Cadastros!$L$6:$L$12,Cadastros!$N$6:$N$12)))</f>
        <v/>
      </c>
      <c r="P1534" s="168" t="str">
        <f t="shared" si="301"/>
        <v/>
      </c>
      <c r="Q1534" s="168" t="str">
        <f>IFERROR(P1534/_xlfn.XLOOKUP(_xlfn.XLOOKUP($F1534,Clientes!$B$4:$B$39,Clientes!$C$4:$C$39),Cadastros!$L$6:$L$12,Cadastros!$M$6:$M$12)," ")</f>
        <v xml:space="preserve"> </v>
      </c>
      <c r="R1534" s="28"/>
      <c r="S1534" s="28"/>
      <c r="T1534" s="255" t="str">
        <f>IF(R1534="","",(_xlfn.XLOOKUP(R1534,Cadastros!$D$6:$D$90,Cadastros!$E$6:$E$90))*(1-_xlfn.XLOOKUP(_xlfn.XLOOKUP($F1534,Clientes!$B$4:$B$39,Clientes!$C$4:$C$39),Cadastros!$L$6:$L$12,Cadastros!$N$6:$N$12)))</f>
        <v/>
      </c>
      <c r="U1534" s="168" t="str">
        <f t="shared" si="302"/>
        <v/>
      </c>
      <c r="V1534" s="168" t="str">
        <f>IFERROR(U1534/_xlfn.XLOOKUP(_xlfn.XLOOKUP($F1534,Clientes!$B$4:$B$39,Clientes!$C$4:$C$39),Cadastros!$L$6:$L$12,Cadastros!$M$6:$M$12)," ")</f>
        <v xml:space="preserve"> </v>
      </c>
      <c r="W1534" s="28"/>
      <c r="X1534" s="28"/>
      <c r="Y1534" s="255" t="str">
        <f>IF(W1534="","",(_xlfn.XLOOKUP(W1534,Cadastros!$D$6:$D$90,Cadastros!$E$6:$E$90))*(1-_xlfn.XLOOKUP(_xlfn.XLOOKUP($F1534,Clientes!$B$4:$B$39,Clientes!$C$4:$C$39),Cadastros!$L$6:$L$12,Cadastros!$N$6:$N$12)))</f>
        <v/>
      </c>
      <c r="Z1534" s="168" t="str">
        <f t="shared" si="303"/>
        <v/>
      </c>
      <c r="AA1534" s="168" t="str">
        <f>IFERROR(Z1534/_xlfn.XLOOKUP(_xlfn.XLOOKUP($F1534,Clientes!$B$4:$B$39,Clientes!$C$4:$C$39),Cadastros!$L$6:$L$12,Cadastros!$M$6:$M$12)," ")</f>
        <v xml:space="preserve"> </v>
      </c>
      <c r="AB1534" s="28"/>
      <c r="AC1534" s="28"/>
      <c r="AD1534" s="20" t="str">
        <f>IF(AB1534="","",IF($F1534="Bernardino Furlan",_xlfn.XLOOKUP(AB1534,Cadastros!$G$6:$G$90,Cadastros!$H$6:$H$90)*(1-0.18),IF($F1534="Mauro José Salanti",_xlfn.XLOOKUP(AB1534,Cadastros!$G$6:$G$90,Cadastros!$H$6:$H$90)*(1-0.18),_xlfn.XLOOKUP(AB1534,Cadastros!$G$6:$G$90,Cadastros!$H$6:$H$90))))</f>
        <v/>
      </c>
      <c r="AE1534" s="168" t="str">
        <f t="shared" si="304"/>
        <v/>
      </c>
      <c r="AF1534" s="168" t="str">
        <f t="shared" si="305"/>
        <v/>
      </c>
      <c r="AG1534" s="28"/>
      <c r="AH1534" s="28"/>
      <c r="AI1534" s="20" t="str">
        <f>IF(AG1534="","",IF($F1534="Bernardino Furlan",_xlfn.XLOOKUP(AG1534,Cadastros!$G$6:$G$90,Cadastros!$H$6:$H$90)*(1-0.18),IF($F1534="Mauro José Salanti",_xlfn.XLOOKUP(AG1534,Cadastros!$G$6:$G$90,Cadastros!$H$6:$H$90)*(1-0.18),_xlfn.XLOOKUP(AG1534,Cadastros!$G$6:$G$90,Cadastros!$H$6:$H$90))))</f>
        <v/>
      </c>
      <c r="AJ1534" s="168" t="str">
        <f t="shared" si="306"/>
        <v/>
      </c>
      <c r="AK1534" s="168" t="str">
        <f t="shared" si="307"/>
        <v/>
      </c>
      <c r="AL1534" s="28"/>
      <c r="AM1534" s="28"/>
      <c r="AN1534" s="20" t="str">
        <f>IF(AL1534="","",IF($F1534="Bernardino Furlan",_xlfn.XLOOKUP(AL1534,Cadastros!$G$6:$G$90,Cadastros!$H$6:$H$90)*(1-0.18),IF($F1534="Mauro José Salanti",_xlfn.XLOOKUP(AL1534,Cadastros!$G$6:$G$90,Cadastros!$H$6:$H$90)*(1-0.18),_xlfn.XLOOKUP(AL1534,Cadastros!$G$6:$G$90,Cadastros!$H$6:$H$90))))</f>
        <v/>
      </c>
      <c r="AO1534" s="168" t="str">
        <f t="shared" si="308"/>
        <v/>
      </c>
      <c r="AP1534" s="168" t="str">
        <f t="shared" si="309"/>
        <v/>
      </c>
      <c r="AQ1534" s="28"/>
      <c r="AR1534" s="28"/>
      <c r="AS1534" s="20" t="str">
        <f>IF(AQ1534="","",IF($F1534="Bernardino Furlan",_xlfn.XLOOKUP(AQ1534,Cadastros!$G$6:$G$90,Cadastros!$H$6:$H$90)*(1-0.18),IF($F1534="Mauro José Salanti",_xlfn.XLOOKUP(AQ1534,Cadastros!$G$6:$G$90,Cadastros!$H$6:$H$90)*(1-0.18),_xlfn.XLOOKUP(AQ1534,Cadastros!$G$6:$G$90,Cadastros!$H$6:$H$90))))</f>
        <v/>
      </c>
      <c r="AT1534" s="168" t="str">
        <f t="shared" si="310"/>
        <v/>
      </c>
      <c r="AU1534" s="168" t="str">
        <f t="shared" si="311"/>
        <v/>
      </c>
      <c r="AV1534" s="227"/>
      <c r="AW1534" s="30"/>
      <c r="AX1534" s="267"/>
      <c r="AY1534" s="267"/>
      <c r="AZ1534" s="29"/>
      <c r="BA1534" s="30"/>
      <c r="BB1534" s="23" t="str" cm="1">
        <f t="array" ref="BB1534">_xlfn.IFS(AW1534="SIM",SUM(K1534,P1534,U1534,Z1534,AE1534,AJ1534,AO1534,AT1534,AX1534,AY1534),F1534&lt;&gt;"",SUM(K1534,P1534,U1534,Z1534,AE1534,AJ1534,,AO1534,AT1534),F1534="","")</f>
        <v/>
      </c>
      <c r="BC1534" s="211" t="str" cm="1">
        <f t="array" ref="BC1534">_xlfn.IFS(E1534="","",G1534&lt;=E1534,BB1534*(1-0.03),G1534&lt;(E1534+8),BB1534,AZ1534="Boleto",BB1534*(1+0.001)^DATEDIF(E1534,G1534,"D"),AZ1534="Cheque",BB1534,AZ1534="Dinheiro","Alterar forma pgto")</f>
        <v/>
      </c>
      <c r="BD1534" s="276" t="str" cm="1">
        <f t="array" ref="BD1534">IF(F1534=0," ",IF(BC1534&lt;BB1534,(_xlfn.IFS(AW1534="SIM",SUM(L1534,Q1534,V1534,AA1534,AF1534,AK1534,AP1534,AU1534)+AX1534/_xlfn.XLOOKUP(_xlfn.XLOOKUP($F1534,Clientes!$B$4:$B$39,Clientes!$C$4:$C$39),Cadastros!$L$6:$L$12,Cadastros!$M$6:$M$12)+IF($F1534="Bernardino Furlan",AY1534/2751.92,IF($F1534="Mauro José Salanti",AY1534/2751.92,AY1534/3356)),F1534&lt;&gt;0,SUM(L1534,Q1534,V1534,AA1534,AF1534,AK1534,AP1534,AU1534)))*(1-0.03),_xlfn.IFS(AW1534="SIM",SUM(L1534,Q1534,V1534,AA1534,AF1534,AK1534,AP1534,AU1534)+AX1534/_xlfn.XLOOKUP(_xlfn.XLOOKUP($F1534,Clientes!$B$4:$B$39,Clientes!$C$4:$C$39),Cadastros!$L$6:$L$12,Cadastros!$M$6:$M$12)+IF($F1534="Bernardino Furlan",AY1534/2751.92,IF($F1534="Mauro José Salanti",AY1534/2751.92,AY1534/3356)),F1534&lt;&gt;0,SUM(L1534,Q1534,V1534,AA1534,AF1534,AK1534,AP1534,AU1534))))</f>
        <v xml:space="preserve"> </v>
      </c>
      <c r="BE1534" s="120"/>
      <c r="BF1534" s="120"/>
      <c r="BG1534" s="120"/>
    </row>
    <row r="1535" spans="1:59" s="3" customFormat="1" x14ac:dyDescent="0.3">
      <c r="A1535" s="15" t="str">
        <f t="shared" si="299"/>
        <v/>
      </c>
      <c r="B1535" s="25"/>
      <c r="C1535" s="26"/>
      <c r="D1535" s="279"/>
      <c r="E1535" s="27"/>
      <c r="F1535" s="28"/>
      <c r="G1535" s="27"/>
      <c r="H1535" s="28"/>
      <c r="I1535" s="28"/>
      <c r="J1535" s="255" t="str">
        <f>IF(H1535="","",(_xlfn.XLOOKUP(H1535,Cadastros!$D$6:$D$90,Cadastros!$E$6:$E$90))*(1-_xlfn.XLOOKUP(_xlfn.XLOOKUP($F1535,Clientes!$B$4:$B$39,Clientes!$C$4:$C$39),Cadastros!$L$6:$L$12,Cadastros!$N$6:$N$12)))</f>
        <v/>
      </c>
      <c r="K1535" s="168" t="str">
        <f t="shared" si="300"/>
        <v/>
      </c>
      <c r="L1535" s="168" t="str">
        <f>IFERROR(K1535/_xlfn.XLOOKUP(_xlfn.XLOOKUP($F1535,Clientes!$B$4:$B$39,Clientes!$C$4:$C$39),Cadastros!$L$6:$L$12,Cadastros!$M$6:$M$12)," ")</f>
        <v xml:space="preserve"> </v>
      </c>
      <c r="M1535" s="28"/>
      <c r="N1535" s="28"/>
      <c r="O1535" s="255" t="str">
        <f>IF(M1535="","",(_xlfn.XLOOKUP(M1535,Cadastros!$D$6:$D$90,Cadastros!$E$6:$E$90))*(1-_xlfn.XLOOKUP(_xlfn.XLOOKUP($F1535,Clientes!$B$4:$B$39,Clientes!$C$4:$C$39),Cadastros!$L$6:$L$12,Cadastros!$N$6:$N$12)))</f>
        <v/>
      </c>
      <c r="P1535" s="168" t="str">
        <f t="shared" si="301"/>
        <v/>
      </c>
      <c r="Q1535" s="168" t="str">
        <f>IFERROR(P1535/_xlfn.XLOOKUP(_xlfn.XLOOKUP($F1535,Clientes!$B$4:$B$39,Clientes!$C$4:$C$39),Cadastros!$L$6:$L$12,Cadastros!$M$6:$M$12)," ")</f>
        <v xml:space="preserve"> </v>
      </c>
      <c r="R1535" s="28"/>
      <c r="S1535" s="28"/>
      <c r="T1535" s="255" t="str">
        <f>IF(R1535="","",(_xlfn.XLOOKUP(R1535,Cadastros!$D$6:$D$90,Cadastros!$E$6:$E$90))*(1-_xlfn.XLOOKUP(_xlfn.XLOOKUP($F1535,Clientes!$B$4:$B$39,Clientes!$C$4:$C$39),Cadastros!$L$6:$L$12,Cadastros!$N$6:$N$12)))</f>
        <v/>
      </c>
      <c r="U1535" s="168" t="str">
        <f t="shared" si="302"/>
        <v/>
      </c>
      <c r="V1535" s="168" t="str">
        <f>IFERROR(U1535/_xlfn.XLOOKUP(_xlfn.XLOOKUP($F1535,Clientes!$B$4:$B$39,Clientes!$C$4:$C$39),Cadastros!$L$6:$L$12,Cadastros!$M$6:$M$12)," ")</f>
        <v xml:space="preserve"> </v>
      </c>
      <c r="W1535" s="28"/>
      <c r="X1535" s="28"/>
      <c r="Y1535" s="255" t="str">
        <f>IF(W1535="","",(_xlfn.XLOOKUP(W1535,Cadastros!$D$6:$D$90,Cadastros!$E$6:$E$90))*(1-_xlfn.XLOOKUP(_xlfn.XLOOKUP($F1535,Clientes!$B$4:$B$39,Clientes!$C$4:$C$39),Cadastros!$L$6:$L$12,Cadastros!$N$6:$N$12)))</f>
        <v/>
      </c>
      <c r="Z1535" s="168" t="str">
        <f t="shared" si="303"/>
        <v/>
      </c>
      <c r="AA1535" s="168" t="str">
        <f>IFERROR(Z1535/_xlfn.XLOOKUP(_xlfn.XLOOKUP($F1535,Clientes!$B$4:$B$39,Clientes!$C$4:$C$39),Cadastros!$L$6:$L$12,Cadastros!$M$6:$M$12)," ")</f>
        <v xml:space="preserve"> </v>
      </c>
      <c r="AB1535" s="28"/>
      <c r="AC1535" s="28"/>
      <c r="AD1535" s="20" t="str">
        <f>IF(AB1535="","",IF($F1535="Bernardino Furlan",_xlfn.XLOOKUP(AB1535,Cadastros!$G$6:$G$90,Cadastros!$H$6:$H$90)*(1-0.18),IF($F1535="Mauro José Salanti",_xlfn.XLOOKUP(AB1535,Cadastros!$G$6:$G$90,Cadastros!$H$6:$H$90)*(1-0.18),_xlfn.XLOOKUP(AB1535,Cadastros!$G$6:$G$90,Cadastros!$H$6:$H$90))))</f>
        <v/>
      </c>
      <c r="AE1535" s="168" t="str">
        <f t="shared" si="304"/>
        <v/>
      </c>
      <c r="AF1535" s="168" t="str">
        <f t="shared" si="305"/>
        <v/>
      </c>
      <c r="AG1535" s="28"/>
      <c r="AH1535" s="28"/>
      <c r="AI1535" s="20" t="str">
        <f>IF(AG1535="","",IF($F1535="Bernardino Furlan",_xlfn.XLOOKUP(AG1535,Cadastros!$G$6:$G$90,Cadastros!$H$6:$H$90)*(1-0.18),IF($F1535="Mauro José Salanti",_xlfn.XLOOKUP(AG1535,Cadastros!$G$6:$G$90,Cadastros!$H$6:$H$90)*(1-0.18),_xlfn.XLOOKUP(AG1535,Cadastros!$G$6:$G$90,Cadastros!$H$6:$H$90))))</f>
        <v/>
      </c>
      <c r="AJ1535" s="168" t="str">
        <f t="shared" si="306"/>
        <v/>
      </c>
      <c r="AK1535" s="168" t="str">
        <f t="shared" si="307"/>
        <v/>
      </c>
      <c r="AL1535" s="28"/>
      <c r="AM1535" s="28"/>
      <c r="AN1535" s="20" t="str">
        <f>IF(AL1535="","",IF($F1535="Bernardino Furlan",_xlfn.XLOOKUP(AL1535,Cadastros!$G$6:$G$90,Cadastros!$H$6:$H$90)*(1-0.18),IF($F1535="Mauro José Salanti",_xlfn.XLOOKUP(AL1535,Cadastros!$G$6:$G$90,Cadastros!$H$6:$H$90)*(1-0.18),_xlfn.XLOOKUP(AL1535,Cadastros!$G$6:$G$90,Cadastros!$H$6:$H$90))))</f>
        <v/>
      </c>
      <c r="AO1535" s="168" t="str">
        <f t="shared" si="308"/>
        <v/>
      </c>
      <c r="AP1535" s="168" t="str">
        <f t="shared" si="309"/>
        <v/>
      </c>
      <c r="AQ1535" s="28"/>
      <c r="AR1535" s="28"/>
      <c r="AS1535" s="20" t="str">
        <f>IF(AQ1535="","",IF($F1535="Bernardino Furlan",_xlfn.XLOOKUP(AQ1535,Cadastros!$G$6:$G$90,Cadastros!$H$6:$H$90)*(1-0.18),IF($F1535="Mauro José Salanti",_xlfn.XLOOKUP(AQ1535,Cadastros!$G$6:$G$90,Cadastros!$H$6:$H$90)*(1-0.18),_xlfn.XLOOKUP(AQ1535,Cadastros!$G$6:$G$90,Cadastros!$H$6:$H$90))))</f>
        <v/>
      </c>
      <c r="AT1535" s="168" t="str">
        <f t="shared" si="310"/>
        <v/>
      </c>
      <c r="AU1535" s="168" t="str">
        <f t="shared" si="311"/>
        <v/>
      </c>
      <c r="AV1535" s="227"/>
      <c r="AW1535" s="30"/>
      <c r="AX1535" s="267"/>
      <c r="AY1535" s="267"/>
      <c r="AZ1535" s="29"/>
      <c r="BA1535" s="30"/>
      <c r="BB1535" s="23" t="str" cm="1">
        <f t="array" ref="BB1535">_xlfn.IFS(AW1535="SIM",SUM(K1535,P1535,U1535,Z1535,AE1535,AJ1535,AO1535,AT1535,AX1535,AY1535),F1535&lt;&gt;"",SUM(K1535,P1535,U1535,Z1535,AE1535,AJ1535,,AO1535,AT1535),F1535="","")</f>
        <v/>
      </c>
      <c r="BC1535" s="211" t="str" cm="1">
        <f t="array" ref="BC1535">_xlfn.IFS(E1535="","",G1535&lt;=E1535,BB1535*(1-0.03),G1535&lt;(E1535+8),BB1535,AZ1535="Boleto",BB1535*(1+0.001)^DATEDIF(E1535,G1535,"D"),AZ1535="Cheque",BB1535,AZ1535="Dinheiro","Alterar forma pgto")</f>
        <v/>
      </c>
      <c r="BD1535" s="276" t="str" cm="1">
        <f t="array" ref="BD1535">IF(F1535=0," ",IF(BC1535&lt;BB1535,(_xlfn.IFS(AW1535="SIM",SUM(L1535,Q1535,V1535,AA1535,AF1535,AK1535,AP1535,AU1535)+AX1535/_xlfn.XLOOKUP(_xlfn.XLOOKUP($F1535,Clientes!$B$4:$B$39,Clientes!$C$4:$C$39),Cadastros!$L$6:$L$12,Cadastros!$M$6:$M$12)+IF($F1535="Bernardino Furlan",AY1535/2751.92,IF($F1535="Mauro José Salanti",AY1535/2751.92,AY1535/3356)),F1535&lt;&gt;0,SUM(L1535,Q1535,V1535,AA1535,AF1535,AK1535,AP1535,AU1535)))*(1-0.03),_xlfn.IFS(AW1535="SIM",SUM(L1535,Q1535,V1535,AA1535,AF1535,AK1535,AP1535,AU1535)+AX1535/_xlfn.XLOOKUP(_xlfn.XLOOKUP($F1535,Clientes!$B$4:$B$39,Clientes!$C$4:$C$39),Cadastros!$L$6:$L$12,Cadastros!$M$6:$M$12)+IF($F1535="Bernardino Furlan",AY1535/2751.92,IF($F1535="Mauro José Salanti",AY1535/2751.92,AY1535/3356)),F1535&lt;&gt;0,SUM(L1535,Q1535,V1535,AA1535,AF1535,AK1535,AP1535,AU1535))))</f>
        <v xml:space="preserve"> </v>
      </c>
      <c r="BE1535" s="120"/>
      <c r="BF1535" s="120"/>
      <c r="BG1535" s="120"/>
    </row>
    <row r="1536" spans="1:59" s="3" customFormat="1" x14ac:dyDescent="0.3">
      <c r="A1536" s="15" t="str">
        <f t="shared" si="299"/>
        <v/>
      </c>
      <c r="B1536" s="25"/>
      <c r="C1536" s="26"/>
      <c r="D1536" s="279"/>
      <c r="E1536" s="27"/>
      <c r="F1536" s="28"/>
      <c r="G1536" s="27"/>
      <c r="H1536" s="28"/>
      <c r="I1536" s="28"/>
      <c r="J1536" s="255" t="str">
        <f>IF(H1536="","",(_xlfn.XLOOKUP(H1536,Cadastros!$D$6:$D$90,Cadastros!$E$6:$E$90))*(1-_xlfn.XLOOKUP(_xlfn.XLOOKUP($F1536,Clientes!$B$4:$B$39,Clientes!$C$4:$C$39),Cadastros!$L$6:$L$12,Cadastros!$N$6:$N$12)))</f>
        <v/>
      </c>
      <c r="K1536" s="168" t="str">
        <f t="shared" si="300"/>
        <v/>
      </c>
      <c r="L1536" s="168" t="str">
        <f>IFERROR(K1536/_xlfn.XLOOKUP(_xlfn.XLOOKUP($F1536,Clientes!$B$4:$B$39,Clientes!$C$4:$C$39),Cadastros!$L$6:$L$12,Cadastros!$M$6:$M$12)," ")</f>
        <v xml:space="preserve"> </v>
      </c>
      <c r="M1536" s="28"/>
      <c r="N1536" s="28"/>
      <c r="O1536" s="255" t="str">
        <f>IF(M1536="","",(_xlfn.XLOOKUP(M1536,Cadastros!$D$6:$D$90,Cadastros!$E$6:$E$90))*(1-_xlfn.XLOOKUP(_xlfn.XLOOKUP($F1536,Clientes!$B$4:$B$39,Clientes!$C$4:$C$39),Cadastros!$L$6:$L$12,Cadastros!$N$6:$N$12)))</f>
        <v/>
      </c>
      <c r="P1536" s="168" t="str">
        <f t="shared" si="301"/>
        <v/>
      </c>
      <c r="Q1536" s="168" t="str">
        <f>IFERROR(P1536/_xlfn.XLOOKUP(_xlfn.XLOOKUP($F1536,Clientes!$B$4:$B$39,Clientes!$C$4:$C$39),Cadastros!$L$6:$L$12,Cadastros!$M$6:$M$12)," ")</f>
        <v xml:space="preserve"> </v>
      </c>
      <c r="R1536" s="28"/>
      <c r="S1536" s="28"/>
      <c r="T1536" s="255" t="str">
        <f>IF(R1536="","",(_xlfn.XLOOKUP(R1536,Cadastros!$D$6:$D$90,Cadastros!$E$6:$E$90))*(1-_xlfn.XLOOKUP(_xlfn.XLOOKUP($F1536,Clientes!$B$4:$B$39,Clientes!$C$4:$C$39),Cadastros!$L$6:$L$12,Cadastros!$N$6:$N$12)))</f>
        <v/>
      </c>
      <c r="U1536" s="168" t="str">
        <f t="shared" si="302"/>
        <v/>
      </c>
      <c r="V1536" s="168" t="str">
        <f>IFERROR(U1536/_xlfn.XLOOKUP(_xlfn.XLOOKUP($F1536,Clientes!$B$4:$B$39,Clientes!$C$4:$C$39),Cadastros!$L$6:$L$12,Cadastros!$M$6:$M$12)," ")</f>
        <v xml:space="preserve"> </v>
      </c>
      <c r="W1536" s="28"/>
      <c r="X1536" s="28"/>
      <c r="Y1536" s="255" t="str">
        <f>IF(W1536="","",(_xlfn.XLOOKUP(W1536,Cadastros!$D$6:$D$90,Cadastros!$E$6:$E$90))*(1-_xlfn.XLOOKUP(_xlfn.XLOOKUP($F1536,Clientes!$B$4:$B$39,Clientes!$C$4:$C$39),Cadastros!$L$6:$L$12,Cadastros!$N$6:$N$12)))</f>
        <v/>
      </c>
      <c r="Z1536" s="168" t="str">
        <f t="shared" si="303"/>
        <v/>
      </c>
      <c r="AA1536" s="168" t="str">
        <f>IFERROR(Z1536/_xlfn.XLOOKUP(_xlfn.XLOOKUP($F1536,Clientes!$B$4:$B$39,Clientes!$C$4:$C$39),Cadastros!$L$6:$L$12,Cadastros!$M$6:$M$12)," ")</f>
        <v xml:space="preserve"> </v>
      </c>
      <c r="AB1536" s="28"/>
      <c r="AC1536" s="28"/>
      <c r="AD1536" s="20" t="str">
        <f>IF(AB1536="","",IF($F1536="Bernardino Furlan",_xlfn.XLOOKUP(AB1536,Cadastros!$G$6:$G$90,Cadastros!$H$6:$H$90)*(1-0.18),IF($F1536="Mauro José Salanti",_xlfn.XLOOKUP(AB1536,Cadastros!$G$6:$G$90,Cadastros!$H$6:$H$90)*(1-0.18),_xlfn.XLOOKUP(AB1536,Cadastros!$G$6:$G$90,Cadastros!$H$6:$H$90))))</f>
        <v/>
      </c>
      <c r="AE1536" s="168" t="str">
        <f t="shared" si="304"/>
        <v/>
      </c>
      <c r="AF1536" s="168" t="str">
        <f t="shared" si="305"/>
        <v/>
      </c>
      <c r="AG1536" s="28"/>
      <c r="AH1536" s="28"/>
      <c r="AI1536" s="20" t="str">
        <f>IF(AG1536="","",IF($F1536="Bernardino Furlan",_xlfn.XLOOKUP(AG1536,Cadastros!$G$6:$G$90,Cadastros!$H$6:$H$90)*(1-0.18),IF($F1536="Mauro José Salanti",_xlfn.XLOOKUP(AG1536,Cadastros!$G$6:$G$90,Cadastros!$H$6:$H$90)*(1-0.18),_xlfn.XLOOKUP(AG1536,Cadastros!$G$6:$G$90,Cadastros!$H$6:$H$90))))</f>
        <v/>
      </c>
      <c r="AJ1536" s="168" t="str">
        <f t="shared" si="306"/>
        <v/>
      </c>
      <c r="AK1536" s="168" t="str">
        <f t="shared" si="307"/>
        <v/>
      </c>
      <c r="AL1536" s="28"/>
      <c r="AM1536" s="28"/>
      <c r="AN1536" s="20" t="str">
        <f>IF(AL1536="","",IF($F1536="Bernardino Furlan",_xlfn.XLOOKUP(AL1536,Cadastros!$G$6:$G$90,Cadastros!$H$6:$H$90)*(1-0.18),IF($F1536="Mauro José Salanti",_xlfn.XLOOKUP(AL1536,Cadastros!$G$6:$G$90,Cadastros!$H$6:$H$90)*(1-0.18),_xlfn.XLOOKUP(AL1536,Cadastros!$G$6:$G$90,Cadastros!$H$6:$H$90))))</f>
        <v/>
      </c>
      <c r="AO1536" s="168" t="str">
        <f t="shared" si="308"/>
        <v/>
      </c>
      <c r="AP1536" s="168" t="str">
        <f t="shared" si="309"/>
        <v/>
      </c>
      <c r="AQ1536" s="28"/>
      <c r="AR1536" s="28"/>
      <c r="AS1536" s="20" t="str">
        <f>IF(AQ1536="","",IF($F1536="Bernardino Furlan",_xlfn.XLOOKUP(AQ1536,Cadastros!$G$6:$G$90,Cadastros!$H$6:$H$90)*(1-0.18),IF($F1536="Mauro José Salanti",_xlfn.XLOOKUP(AQ1536,Cadastros!$G$6:$G$90,Cadastros!$H$6:$H$90)*(1-0.18),_xlfn.XLOOKUP(AQ1536,Cadastros!$G$6:$G$90,Cadastros!$H$6:$H$90))))</f>
        <v/>
      </c>
      <c r="AT1536" s="168" t="str">
        <f t="shared" si="310"/>
        <v/>
      </c>
      <c r="AU1536" s="168" t="str">
        <f t="shared" si="311"/>
        <v/>
      </c>
      <c r="AV1536" s="227"/>
      <c r="AW1536" s="30"/>
      <c r="AX1536" s="267"/>
      <c r="AY1536" s="267"/>
      <c r="AZ1536" s="29"/>
      <c r="BA1536" s="30"/>
      <c r="BB1536" s="23" t="str" cm="1">
        <f t="array" ref="BB1536">_xlfn.IFS(AW1536="SIM",SUM(K1536,P1536,U1536,Z1536,AE1536,AJ1536,AO1536,AT1536,AX1536,AY1536),F1536&lt;&gt;"",SUM(K1536,P1536,U1536,Z1536,AE1536,AJ1536,,AO1536,AT1536),F1536="","")</f>
        <v/>
      </c>
      <c r="BC1536" s="211" t="str" cm="1">
        <f t="array" ref="BC1536">_xlfn.IFS(E1536="","",G1536&lt;=E1536,BB1536*(1-0.03),G1536&lt;(E1536+8),BB1536,AZ1536="Boleto",BB1536*(1+0.001)^DATEDIF(E1536,G1536,"D"),AZ1536="Cheque",BB1536,AZ1536="Dinheiro","Alterar forma pgto")</f>
        <v/>
      </c>
      <c r="BD1536" s="276" t="str" cm="1">
        <f t="array" ref="BD1536">IF(F1536=0," ",IF(BC1536&lt;BB1536,(_xlfn.IFS(AW1536="SIM",SUM(L1536,Q1536,V1536,AA1536,AF1536,AK1536,AP1536,AU1536)+AX1536/_xlfn.XLOOKUP(_xlfn.XLOOKUP($F1536,Clientes!$B$4:$B$39,Clientes!$C$4:$C$39),Cadastros!$L$6:$L$12,Cadastros!$M$6:$M$12)+IF($F1536="Bernardino Furlan",AY1536/2751.92,IF($F1536="Mauro José Salanti",AY1536/2751.92,AY1536/3356)),F1536&lt;&gt;0,SUM(L1536,Q1536,V1536,AA1536,AF1536,AK1536,AP1536,AU1536)))*(1-0.03),_xlfn.IFS(AW1536="SIM",SUM(L1536,Q1536,V1536,AA1536,AF1536,AK1536,AP1536,AU1536)+AX1536/_xlfn.XLOOKUP(_xlfn.XLOOKUP($F1536,Clientes!$B$4:$B$39,Clientes!$C$4:$C$39),Cadastros!$L$6:$L$12,Cadastros!$M$6:$M$12)+IF($F1536="Bernardino Furlan",AY1536/2751.92,IF($F1536="Mauro José Salanti",AY1536/2751.92,AY1536/3356)),F1536&lt;&gt;0,SUM(L1536,Q1536,V1536,AA1536,AF1536,AK1536,AP1536,AU1536))))</f>
        <v xml:space="preserve"> </v>
      </c>
      <c r="BE1536" s="120"/>
      <c r="BF1536" s="120"/>
      <c r="BG1536" s="120"/>
    </row>
    <row r="1537" spans="1:59" s="3" customFormat="1" x14ac:dyDescent="0.3">
      <c r="A1537" s="15" t="str">
        <f t="shared" si="299"/>
        <v/>
      </c>
      <c r="B1537" s="25"/>
      <c r="C1537" s="26"/>
      <c r="D1537" s="279"/>
      <c r="E1537" s="27"/>
      <c r="F1537" s="28"/>
      <c r="G1537" s="27"/>
      <c r="H1537" s="28"/>
      <c r="I1537" s="28"/>
      <c r="J1537" s="255" t="str">
        <f>IF(H1537="","",(_xlfn.XLOOKUP(H1537,Cadastros!$D$6:$D$90,Cadastros!$E$6:$E$90))*(1-_xlfn.XLOOKUP(_xlfn.XLOOKUP($F1537,Clientes!$B$4:$B$39,Clientes!$C$4:$C$39),Cadastros!$L$6:$L$12,Cadastros!$N$6:$N$12)))</f>
        <v/>
      </c>
      <c r="K1537" s="168" t="str">
        <f t="shared" si="300"/>
        <v/>
      </c>
      <c r="L1537" s="168" t="str">
        <f>IFERROR(K1537/_xlfn.XLOOKUP(_xlfn.XLOOKUP($F1537,Clientes!$B$4:$B$39,Clientes!$C$4:$C$39),Cadastros!$L$6:$L$12,Cadastros!$M$6:$M$12)," ")</f>
        <v xml:space="preserve"> </v>
      </c>
      <c r="M1537" s="28"/>
      <c r="N1537" s="28"/>
      <c r="O1537" s="255" t="str">
        <f>IF(M1537="","",(_xlfn.XLOOKUP(M1537,Cadastros!$D$6:$D$90,Cadastros!$E$6:$E$90))*(1-_xlfn.XLOOKUP(_xlfn.XLOOKUP($F1537,Clientes!$B$4:$B$39,Clientes!$C$4:$C$39),Cadastros!$L$6:$L$12,Cadastros!$N$6:$N$12)))</f>
        <v/>
      </c>
      <c r="P1537" s="168" t="str">
        <f t="shared" si="301"/>
        <v/>
      </c>
      <c r="Q1537" s="168" t="str">
        <f>IFERROR(P1537/_xlfn.XLOOKUP(_xlfn.XLOOKUP($F1537,Clientes!$B$4:$B$39,Clientes!$C$4:$C$39),Cadastros!$L$6:$L$12,Cadastros!$M$6:$M$12)," ")</f>
        <v xml:space="preserve"> </v>
      </c>
      <c r="R1537" s="28"/>
      <c r="S1537" s="28"/>
      <c r="T1537" s="255" t="str">
        <f>IF(R1537="","",(_xlfn.XLOOKUP(R1537,Cadastros!$D$6:$D$90,Cadastros!$E$6:$E$90))*(1-_xlfn.XLOOKUP(_xlfn.XLOOKUP($F1537,Clientes!$B$4:$B$39,Clientes!$C$4:$C$39),Cadastros!$L$6:$L$12,Cadastros!$N$6:$N$12)))</f>
        <v/>
      </c>
      <c r="U1537" s="168" t="str">
        <f t="shared" si="302"/>
        <v/>
      </c>
      <c r="V1537" s="168" t="str">
        <f>IFERROR(U1537/_xlfn.XLOOKUP(_xlfn.XLOOKUP($F1537,Clientes!$B$4:$B$39,Clientes!$C$4:$C$39),Cadastros!$L$6:$L$12,Cadastros!$M$6:$M$12)," ")</f>
        <v xml:space="preserve"> </v>
      </c>
      <c r="W1537" s="28"/>
      <c r="X1537" s="28"/>
      <c r="Y1537" s="255" t="str">
        <f>IF(W1537="","",(_xlfn.XLOOKUP(W1537,Cadastros!$D$6:$D$90,Cadastros!$E$6:$E$90))*(1-_xlfn.XLOOKUP(_xlfn.XLOOKUP($F1537,Clientes!$B$4:$B$39,Clientes!$C$4:$C$39),Cadastros!$L$6:$L$12,Cadastros!$N$6:$N$12)))</f>
        <v/>
      </c>
      <c r="Z1537" s="168" t="str">
        <f t="shared" si="303"/>
        <v/>
      </c>
      <c r="AA1537" s="168" t="str">
        <f>IFERROR(Z1537/_xlfn.XLOOKUP(_xlfn.XLOOKUP($F1537,Clientes!$B$4:$B$39,Clientes!$C$4:$C$39),Cadastros!$L$6:$L$12,Cadastros!$M$6:$M$12)," ")</f>
        <v xml:space="preserve"> </v>
      </c>
      <c r="AB1537" s="28"/>
      <c r="AC1537" s="28"/>
      <c r="AD1537" s="20" t="str">
        <f>IF(AB1537="","",IF($F1537="Bernardino Furlan",_xlfn.XLOOKUP(AB1537,Cadastros!$G$6:$G$90,Cadastros!$H$6:$H$90)*(1-0.18),IF($F1537="Mauro José Salanti",_xlfn.XLOOKUP(AB1537,Cadastros!$G$6:$G$90,Cadastros!$H$6:$H$90)*(1-0.18),_xlfn.XLOOKUP(AB1537,Cadastros!$G$6:$G$90,Cadastros!$H$6:$H$90))))</f>
        <v/>
      </c>
      <c r="AE1537" s="168" t="str">
        <f t="shared" si="304"/>
        <v/>
      </c>
      <c r="AF1537" s="168" t="str">
        <f t="shared" si="305"/>
        <v/>
      </c>
      <c r="AG1537" s="28"/>
      <c r="AH1537" s="28"/>
      <c r="AI1537" s="20" t="str">
        <f>IF(AG1537="","",IF($F1537="Bernardino Furlan",_xlfn.XLOOKUP(AG1537,Cadastros!$G$6:$G$90,Cadastros!$H$6:$H$90)*(1-0.18),IF($F1537="Mauro José Salanti",_xlfn.XLOOKUP(AG1537,Cadastros!$G$6:$G$90,Cadastros!$H$6:$H$90)*(1-0.18),_xlfn.XLOOKUP(AG1537,Cadastros!$G$6:$G$90,Cadastros!$H$6:$H$90))))</f>
        <v/>
      </c>
      <c r="AJ1537" s="168" t="str">
        <f t="shared" si="306"/>
        <v/>
      </c>
      <c r="AK1537" s="168" t="str">
        <f t="shared" si="307"/>
        <v/>
      </c>
      <c r="AL1537" s="28"/>
      <c r="AM1537" s="28"/>
      <c r="AN1537" s="20" t="str">
        <f>IF(AL1537="","",IF($F1537="Bernardino Furlan",_xlfn.XLOOKUP(AL1537,Cadastros!$G$6:$G$90,Cadastros!$H$6:$H$90)*(1-0.18),IF($F1537="Mauro José Salanti",_xlfn.XLOOKUP(AL1537,Cadastros!$G$6:$G$90,Cadastros!$H$6:$H$90)*(1-0.18),_xlfn.XLOOKUP(AL1537,Cadastros!$G$6:$G$90,Cadastros!$H$6:$H$90))))</f>
        <v/>
      </c>
      <c r="AO1537" s="168" t="str">
        <f t="shared" si="308"/>
        <v/>
      </c>
      <c r="AP1537" s="168" t="str">
        <f t="shared" si="309"/>
        <v/>
      </c>
      <c r="AQ1537" s="28"/>
      <c r="AR1537" s="28"/>
      <c r="AS1537" s="20" t="str">
        <f>IF(AQ1537="","",IF($F1537="Bernardino Furlan",_xlfn.XLOOKUP(AQ1537,Cadastros!$G$6:$G$90,Cadastros!$H$6:$H$90)*(1-0.18),IF($F1537="Mauro José Salanti",_xlfn.XLOOKUP(AQ1537,Cadastros!$G$6:$G$90,Cadastros!$H$6:$H$90)*(1-0.18),_xlfn.XLOOKUP(AQ1537,Cadastros!$G$6:$G$90,Cadastros!$H$6:$H$90))))</f>
        <v/>
      </c>
      <c r="AT1537" s="168" t="str">
        <f t="shared" si="310"/>
        <v/>
      </c>
      <c r="AU1537" s="168" t="str">
        <f t="shared" si="311"/>
        <v/>
      </c>
      <c r="AV1537" s="227"/>
      <c r="AW1537" s="30"/>
      <c r="AX1537" s="267"/>
      <c r="AY1537" s="267"/>
      <c r="AZ1537" s="29"/>
      <c r="BA1537" s="30"/>
      <c r="BB1537" s="23" t="str" cm="1">
        <f t="array" ref="BB1537">_xlfn.IFS(AW1537="SIM",SUM(K1537,P1537,U1537,Z1537,AE1537,AJ1537,AO1537,AT1537,AX1537,AY1537),F1537&lt;&gt;"",SUM(K1537,P1537,U1537,Z1537,AE1537,AJ1537,,AO1537,AT1537),F1537="","")</f>
        <v/>
      </c>
      <c r="BC1537" s="211" t="str" cm="1">
        <f t="array" ref="BC1537">_xlfn.IFS(E1537="","",G1537&lt;=E1537,BB1537*(1-0.03),G1537&lt;(E1537+8),BB1537,AZ1537="Boleto",BB1537*(1+0.001)^DATEDIF(E1537,G1537,"D"),AZ1537="Cheque",BB1537,AZ1537="Dinheiro","Alterar forma pgto")</f>
        <v/>
      </c>
      <c r="BD1537" s="276" t="str" cm="1">
        <f t="array" ref="BD1537">IF(F1537=0," ",IF(BC1537&lt;BB1537,(_xlfn.IFS(AW1537="SIM",SUM(L1537,Q1537,V1537,AA1537,AF1537,AK1537,AP1537,AU1537)+AX1537/_xlfn.XLOOKUP(_xlfn.XLOOKUP($F1537,Clientes!$B$4:$B$39,Clientes!$C$4:$C$39),Cadastros!$L$6:$L$12,Cadastros!$M$6:$M$12)+IF($F1537="Bernardino Furlan",AY1537/2751.92,IF($F1537="Mauro José Salanti",AY1537/2751.92,AY1537/3356)),F1537&lt;&gt;0,SUM(L1537,Q1537,V1537,AA1537,AF1537,AK1537,AP1537,AU1537)))*(1-0.03),_xlfn.IFS(AW1537="SIM",SUM(L1537,Q1537,V1537,AA1537,AF1537,AK1537,AP1537,AU1537)+AX1537/_xlfn.XLOOKUP(_xlfn.XLOOKUP($F1537,Clientes!$B$4:$B$39,Clientes!$C$4:$C$39),Cadastros!$L$6:$L$12,Cadastros!$M$6:$M$12)+IF($F1537="Bernardino Furlan",AY1537/2751.92,IF($F1537="Mauro José Salanti",AY1537/2751.92,AY1537/3356)),F1537&lt;&gt;0,SUM(L1537,Q1537,V1537,AA1537,AF1537,AK1537,AP1537,AU1537))))</f>
        <v xml:space="preserve"> </v>
      </c>
      <c r="BE1537" s="120"/>
      <c r="BF1537" s="120"/>
      <c r="BG1537" s="120"/>
    </row>
    <row r="1538" spans="1:59" s="3" customFormat="1" x14ac:dyDescent="0.3">
      <c r="A1538" s="15" t="str">
        <f t="shared" si="299"/>
        <v/>
      </c>
      <c r="B1538" s="25"/>
      <c r="C1538" s="26"/>
      <c r="D1538" s="279"/>
      <c r="E1538" s="27"/>
      <c r="F1538" s="28"/>
      <c r="G1538" s="27"/>
      <c r="H1538" s="28"/>
      <c r="I1538" s="28"/>
      <c r="J1538" s="255" t="str">
        <f>IF(H1538="","",(_xlfn.XLOOKUP(H1538,Cadastros!$D$6:$D$90,Cadastros!$E$6:$E$90))*(1-_xlfn.XLOOKUP(_xlfn.XLOOKUP($F1538,Clientes!$B$4:$B$39,Clientes!$C$4:$C$39),Cadastros!$L$6:$L$12,Cadastros!$N$6:$N$12)))</f>
        <v/>
      </c>
      <c r="K1538" s="168" t="str">
        <f t="shared" si="300"/>
        <v/>
      </c>
      <c r="L1538" s="168" t="str">
        <f>IFERROR(K1538/_xlfn.XLOOKUP(_xlfn.XLOOKUP($F1538,Clientes!$B$4:$B$39,Clientes!$C$4:$C$39),Cadastros!$L$6:$L$12,Cadastros!$M$6:$M$12)," ")</f>
        <v xml:space="preserve"> </v>
      </c>
      <c r="M1538" s="28"/>
      <c r="N1538" s="28"/>
      <c r="O1538" s="255" t="str">
        <f>IF(M1538="","",(_xlfn.XLOOKUP(M1538,Cadastros!$D$6:$D$90,Cadastros!$E$6:$E$90))*(1-_xlfn.XLOOKUP(_xlfn.XLOOKUP($F1538,Clientes!$B$4:$B$39,Clientes!$C$4:$C$39),Cadastros!$L$6:$L$12,Cadastros!$N$6:$N$12)))</f>
        <v/>
      </c>
      <c r="P1538" s="168" t="str">
        <f t="shared" si="301"/>
        <v/>
      </c>
      <c r="Q1538" s="168" t="str">
        <f>IFERROR(P1538/_xlfn.XLOOKUP(_xlfn.XLOOKUP($F1538,Clientes!$B$4:$B$39,Clientes!$C$4:$C$39),Cadastros!$L$6:$L$12,Cadastros!$M$6:$M$12)," ")</f>
        <v xml:space="preserve"> </v>
      </c>
      <c r="R1538" s="28"/>
      <c r="S1538" s="28"/>
      <c r="T1538" s="255" t="str">
        <f>IF(R1538="","",(_xlfn.XLOOKUP(R1538,Cadastros!$D$6:$D$90,Cadastros!$E$6:$E$90))*(1-_xlfn.XLOOKUP(_xlfn.XLOOKUP($F1538,Clientes!$B$4:$B$39,Clientes!$C$4:$C$39),Cadastros!$L$6:$L$12,Cadastros!$N$6:$N$12)))</f>
        <v/>
      </c>
      <c r="U1538" s="168" t="str">
        <f t="shared" si="302"/>
        <v/>
      </c>
      <c r="V1538" s="168" t="str">
        <f>IFERROR(U1538/_xlfn.XLOOKUP(_xlfn.XLOOKUP($F1538,Clientes!$B$4:$B$39,Clientes!$C$4:$C$39),Cadastros!$L$6:$L$12,Cadastros!$M$6:$M$12)," ")</f>
        <v xml:space="preserve"> </v>
      </c>
      <c r="W1538" s="28"/>
      <c r="X1538" s="28"/>
      <c r="Y1538" s="255" t="str">
        <f>IF(W1538="","",(_xlfn.XLOOKUP(W1538,Cadastros!$D$6:$D$90,Cadastros!$E$6:$E$90))*(1-_xlfn.XLOOKUP(_xlfn.XLOOKUP($F1538,Clientes!$B$4:$B$39,Clientes!$C$4:$C$39),Cadastros!$L$6:$L$12,Cadastros!$N$6:$N$12)))</f>
        <v/>
      </c>
      <c r="Z1538" s="168" t="str">
        <f t="shared" si="303"/>
        <v/>
      </c>
      <c r="AA1538" s="168" t="str">
        <f>IFERROR(Z1538/_xlfn.XLOOKUP(_xlfn.XLOOKUP($F1538,Clientes!$B$4:$B$39,Clientes!$C$4:$C$39),Cadastros!$L$6:$L$12,Cadastros!$M$6:$M$12)," ")</f>
        <v xml:space="preserve"> </v>
      </c>
      <c r="AB1538" s="28"/>
      <c r="AC1538" s="28"/>
      <c r="AD1538" s="20" t="str">
        <f>IF(AB1538="","",IF($F1538="Bernardino Furlan",_xlfn.XLOOKUP(AB1538,Cadastros!$G$6:$G$90,Cadastros!$H$6:$H$90)*(1-0.18),IF($F1538="Mauro José Salanti",_xlfn.XLOOKUP(AB1538,Cadastros!$G$6:$G$90,Cadastros!$H$6:$H$90)*(1-0.18),_xlfn.XLOOKUP(AB1538,Cadastros!$G$6:$G$90,Cadastros!$H$6:$H$90))))</f>
        <v/>
      </c>
      <c r="AE1538" s="168" t="str">
        <f t="shared" si="304"/>
        <v/>
      </c>
      <c r="AF1538" s="168" t="str">
        <f t="shared" si="305"/>
        <v/>
      </c>
      <c r="AG1538" s="28"/>
      <c r="AH1538" s="28"/>
      <c r="AI1538" s="20" t="str">
        <f>IF(AG1538="","",IF($F1538="Bernardino Furlan",_xlfn.XLOOKUP(AG1538,Cadastros!$G$6:$G$90,Cadastros!$H$6:$H$90)*(1-0.18),IF($F1538="Mauro José Salanti",_xlfn.XLOOKUP(AG1538,Cadastros!$G$6:$G$90,Cadastros!$H$6:$H$90)*(1-0.18),_xlfn.XLOOKUP(AG1538,Cadastros!$G$6:$G$90,Cadastros!$H$6:$H$90))))</f>
        <v/>
      </c>
      <c r="AJ1538" s="168" t="str">
        <f t="shared" si="306"/>
        <v/>
      </c>
      <c r="AK1538" s="168" t="str">
        <f t="shared" si="307"/>
        <v/>
      </c>
      <c r="AL1538" s="28"/>
      <c r="AM1538" s="28"/>
      <c r="AN1538" s="20" t="str">
        <f>IF(AL1538="","",IF($F1538="Bernardino Furlan",_xlfn.XLOOKUP(AL1538,Cadastros!$G$6:$G$90,Cadastros!$H$6:$H$90)*(1-0.18),IF($F1538="Mauro José Salanti",_xlfn.XLOOKUP(AL1538,Cadastros!$G$6:$G$90,Cadastros!$H$6:$H$90)*(1-0.18),_xlfn.XLOOKUP(AL1538,Cadastros!$G$6:$G$90,Cadastros!$H$6:$H$90))))</f>
        <v/>
      </c>
      <c r="AO1538" s="168" t="str">
        <f t="shared" si="308"/>
        <v/>
      </c>
      <c r="AP1538" s="168" t="str">
        <f t="shared" si="309"/>
        <v/>
      </c>
      <c r="AQ1538" s="28"/>
      <c r="AR1538" s="28"/>
      <c r="AS1538" s="20" t="str">
        <f>IF(AQ1538="","",IF($F1538="Bernardino Furlan",_xlfn.XLOOKUP(AQ1538,Cadastros!$G$6:$G$90,Cadastros!$H$6:$H$90)*(1-0.18),IF($F1538="Mauro José Salanti",_xlfn.XLOOKUP(AQ1538,Cadastros!$G$6:$G$90,Cadastros!$H$6:$H$90)*(1-0.18),_xlfn.XLOOKUP(AQ1538,Cadastros!$G$6:$G$90,Cadastros!$H$6:$H$90))))</f>
        <v/>
      </c>
      <c r="AT1538" s="168" t="str">
        <f t="shared" si="310"/>
        <v/>
      </c>
      <c r="AU1538" s="168" t="str">
        <f t="shared" si="311"/>
        <v/>
      </c>
      <c r="AV1538" s="227"/>
      <c r="AW1538" s="30"/>
      <c r="AX1538" s="267"/>
      <c r="AY1538" s="267"/>
      <c r="AZ1538" s="29"/>
      <c r="BA1538" s="30"/>
      <c r="BB1538" s="23" t="str" cm="1">
        <f t="array" ref="BB1538">_xlfn.IFS(AW1538="SIM",SUM(K1538,P1538,U1538,Z1538,AE1538,AJ1538,AO1538,AT1538,AX1538,AY1538),F1538&lt;&gt;"",SUM(K1538,P1538,U1538,Z1538,AE1538,AJ1538,,AO1538,AT1538),F1538="","")</f>
        <v/>
      </c>
      <c r="BC1538" s="211" t="str" cm="1">
        <f t="array" ref="BC1538">_xlfn.IFS(E1538="","",G1538&lt;=E1538,BB1538*(1-0.03),G1538&lt;(E1538+8),BB1538,AZ1538="Boleto",BB1538*(1+0.001)^DATEDIF(E1538,G1538,"D"),AZ1538="Cheque",BB1538,AZ1538="Dinheiro","Alterar forma pgto")</f>
        <v/>
      </c>
      <c r="BD1538" s="276" t="str" cm="1">
        <f t="array" ref="BD1538">IF(F1538=0," ",IF(BC1538&lt;BB1538,(_xlfn.IFS(AW1538="SIM",SUM(L1538,Q1538,V1538,AA1538,AF1538,AK1538,AP1538,AU1538)+AX1538/_xlfn.XLOOKUP(_xlfn.XLOOKUP($F1538,Clientes!$B$4:$B$39,Clientes!$C$4:$C$39),Cadastros!$L$6:$L$12,Cadastros!$M$6:$M$12)+IF($F1538="Bernardino Furlan",AY1538/2751.92,IF($F1538="Mauro José Salanti",AY1538/2751.92,AY1538/3356)),F1538&lt;&gt;0,SUM(L1538,Q1538,V1538,AA1538,AF1538,AK1538,AP1538,AU1538)))*(1-0.03),_xlfn.IFS(AW1538="SIM",SUM(L1538,Q1538,V1538,AA1538,AF1538,AK1538,AP1538,AU1538)+AX1538/_xlfn.XLOOKUP(_xlfn.XLOOKUP($F1538,Clientes!$B$4:$B$39,Clientes!$C$4:$C$39),Cadastros!$L$6:$L$12,Cadastros!$M$6:$M$12)+IF($F1538="Bernardino Furlan",AY1538/2751.92,IF($F1538="Mauro José Salanti",AY1538/2751.92,AY1538/3356)),F1538&lt;&gt;0,SUM(L1538,Q1538,V1538,AA1538,AF1538,AK1538,AP1538,AU1538))))</f>
        <v xml:space="preserve"> </v>
      </c>
      <c r="BE1538" s="120"/>
      <c r="BF1538" s="120"/>
      <c r="BG1538" s="120"/>
    </row>
    <row r="1539" spans="1:59" s="3" customFormat="1" x14ac:dyDescent="0.3">
      <c r="A1539" s="15" t="str">
        <f t="shared" si="299"/>
        <v/>
      </c>
      <c r="B1539" s="25"/>
      <c r="C1539" s="26"/>
      <c r="D1539" s="279"/>
      <c r="E1539" s="27"/>
      <c r="F1539" s="28"/>
      <c r="G1539" s="27"/>
      <c r="H1539" s="28"/>
      <c r="I1539" s="28"/>
      <c r="J1539" s="255" t="str">
        <f>IF(H1539="","",(_xlfn.XLOOKUP(H1539,Cadastros!$D$6:$D$90,Cadastros!$E$6:$E$90))*(1-_xlfn.XLOOKUP(_xlfn.XLOOKUP($F1539,Clientes!$B$4:$B$39,Clientes!$C$4:$C$39),Cadastros!$L$6:$L$12,Cadastros!$N$6:$N$12)))</f>
        <v/>
      </c>
      <c r="K1539" s="168" t="str">
        <f t="shared" si="300"/>
        <v/>
      </c>
      <c r="L1539" s="168" t="str">
        <f>IFERROR(K1539/_xlfn.XLOOKUP(_xlfn.XLOOKUP($F1539,Clientes!$B$4:$B$39,Clientes!$C$4:$C$39),Cadastros!$L$6:$L$12,Cadastros!$M$6:$M$12)," ")</f>
        <v xml:space="preserve"> </v>
      </c>
      <c r="M1539" s="28"/>
      <c r="N1539" s="28"/>
      <c r="O1539" s="255" t="str">
        <f>IF(M1539="","",(_xlfn.XLOOKUP(M1539,Cadastros!$D$6:$D$90,Cadastros!$E$6:$E$90))*(1-_xlfn.XLOOKUP(_xlfn.XLOOKUP($F1539,Clientes!$B$4:$B$39,Clientes!$C$4:$C$39),Cadastros!$L$6:$L$12,Cadastros!$N$6:$N$12)))</f>
        <v/>
      </c>
      <c r="P1539" s="168" t="str">
        <f t="shared" si="301"/>
        <v/>
      </c>
      <c r="Q1539" s="168" t="str">
        <f>IFERROR(P1539/_xlfn.XLOOKUP(_xlfn.XLOOKUP($F1539,Clientes!$B$4:$B$39,Clientes!$C$4:$C$39),Cadastros!$L$6:$L$12,Cadastros!$M$6:$M$12)," ")</f>
        <v xml:space="preserve"> </v>
      </c>
      <c r="R1539" s="28"/>
      <c r="S1539" s="28"/>
      <c r="T1539" s="255" t="str">
        <f>IF(R1539="","",(_xlfn.XLOOKUP(R1539,Cadastros!$D$6:$D$90,Cadastros!$E$6:$E$90))*(1-_xlfn.XLOOKUP(_xlfn.XLOOKUP($F1539,Clientes!$B$4:$B$39,Clientes!$C$4:$C$39),Cadastros!$L$6:$L$12,Cadastros!$N$6:$N$12)))</f>
        <v/>
      </c>
      <c r="U1539" s="168" t="str">
        <f t="shared" si="302"/>
        <v/>
      </c>
      <c r="V1539" s="168" t="str">
        <f>IFERROR(U1539/_xlfn.XLOOKUP(_xlfn.XLOOKUP($F1539,Clientes!$B$4:$B$39,Clientes!$C$4:$C$39),Cadastros!$L$6:$L$12,Cadastros!$M$6:$M$12)," ")</f>
        <v xml:space="preserve"> </v>
      </c>
      <c r="W1539" s="28"/>
      <c r="X1539" s="28"/>
      <c r="Y1539" s="255" t="str">
        <f>IF(W1539="","",(_xlfn.XLOOKUP(W1539,Cadastros!$D$6:$D$90,Cadastros!$E$6:$E$90))*(1-_xlfn.XLOOKUP(_xlfn.XLOOKUP($F1539,Clientes!$B$4:$B$39,Clientes!$C$4:$C$39),Cadastros!$L$6:$L$12,Cadastros!$N$6:$N$12)))</f>
        <v/>
      </c>
      <c r="Z1539" s="168" t="str">
        <f t="shared" si="303"/>
        <v/>
      </c>
      <c r="AA1539" s="168" t="str">
        <f>IFERROR(Z1539/_xlfn.XLOOKUP(_xlfn.XLOOKUP($F1539,Clientes!$B$4:$B$39,Clientes!$C$4:$C$39),Cadastros!$L$6:$L$12,Cadastros!$M$6:$M$12)," ")</f>
        <v xml:space="preserve"> </v>
      </c>
      <c r="AB1539" s="28"/>
      <c r="AC1539" s="28"/>
      <c r="AD1539" s="20" t="str">
        <f>IF(AB1539="","",IF($F1539="Bernardino Furlan",_xlfn.XLOOKUP(AB1539,Cadastros!$G$6:$G$90,Cadastros!$H$6:$H$90)*(1-0.18),IF($F1539="Mauro José Salanti",_xlfn.XLOOKUP(AB1539,Cadastros!$G$6:$G$90,Cadastros!$H$6:$H$90)*(1-0.18),_xlfn.XLOOKUP(AB1539,Cadastros!$G$6:$G$90,Cadastros!$H$6:$H$90))))</f>
        <v/>
      </c>
      <c r="AE1539" s="168" t="str">
        <f t="shared" si="304"/>
        <v/>
      </c>
      <c r="AF1539" s="168" t="str">
        <f t="shared" si="305"/>
        <v/>
      </c>
      <c r="AG1539" s="28"/>
      <c r="AH1539" s="28"/>
      <c r="AI1539" s="20" t="str">
        <f>IF(AG1539="","",IF($F1539="Bernardino Furlan",_xlfn.XLOOKUP(AG1539,Cadastros!$G$6:$G$90,Cadastros!$H$6:$H$90)*(1-0.18),IF($F1539="Mauro José Salanti",_xlfn.XLOOKUP(AG1539,Cadastros!$G$6:$G$90,Cadastros!$H$6:$H$90)*(1-0.18),_xlfn.XLOOKUP(AG1539,Cadastros!$G$6:$G$90,Cadastros!$H$6:$H$90))))</f>
        <v/>
      </c>
      <c r="AJ1539" s="168" t="str">
        <f t="shared" si="306"/>
        <v/>
      </c>
      <c r="AK1539" s="168" t="str">
        <f t="shared" si="307"/>
        <v/>
      </c>
      <c r="AL1539" s="28"/>
      <c r="AM1539" s="28"/>
      <c r="AN1539" s="20" t="str">
        <f>IF(AL1539="","",IF($F1539="Bernardino Furlan",_xlfn.XLOOKUP(AL1539,Cadastros!$G$6:$G$90,Cadastros!$H$6:$H$90)*(1-0.18),IF($F1539="Mauro José Salanti",_xlfn.XLOOKUP(AL1539,Cadastros!$G$6:$G$90,Cadastros!$H$6:$H$90)*(1-0.18),_xlfn.XLOOKUP(AL1539,Cadastros!$G$6:$G$90,Cadastros!$H$6:$H$90))))</f>
        <v/>
      </c>
      <c r="AO1539" s="168" t="str">
        <f t="shared" si="308"/>
        <v/>
      </c>
      <c r="AP1539" s="168" t="str">
        <f t="shared" si="309"/>
        <v/>
      </c>
      <c r="AQ1539" s="28"/>
      <c r="AR1539" s="28"/>
      <c r="AS1539" s="20" t="str">
        <f>IF(AQ1539="","",IF($F1539="Bernardino Furlan",_xlfn.XLOOKUP(AQ1539,Cadastros!$G$6:$G$90,Cadastros!$H$6:$H$90)*(1-0.18),IF($F1539="Mauro José Salanti",_xlfn.XLOOKUP(AQ1539,Cadastros!$G$6:$G$90,Cadastros!$H$6:$H$90)*(1-0.18),_xlfn.XLOOKUP(AQ1539,Cadastros!$G$6:$G$90,Cadastros!$H$6:$H$90))))</f>
        <v/>
      </c>
      <c r="AT1539" s="168" t="str">
        <f t="shared" si="310"/>
        <v/>
      </c>
      <c r="AU1539" s="168" t="str">
        <f t="shared" si="311"/>
        <v/>
      </c>
      <c r="AV1539" s="227"/>
      <c r="AW1539" s="30"/>
      <c r="AX1539" s="267"/>
      <c r="AY1539" s="267"/>
      <c r="AZ1539" s="29"/>
      <c r="BA1539" s="30"/>
      <c r="BB1539" s="23" t="str" cm="1">
        <f t="array" ref="BB1539">_xlfn.IFS(AW1539="SIM",SUM(K1539,P1539,U1539,Z1539,AE1539,AJ1539,AO1539,AT1539,AX1539,AY1539),F1539&lt;&gt;"",SUM(K1539,P1539,U1539,Z1539,AE1539,AJ1539,,AO1539,AT1539),F1539="","")</f>
        <v/>
      </c>
      <c r="BC1539" s="211" t="str" cm="1">
        <f t="array" ref="BC1539">_xlfn.IFS(E1539="","",G1539&lt;=E1539,BB1539*(1-0.03),G1539&lt;(E1539+8),BB1539,AZ1539="Boleto",BB1539*(1+0.001)^DATEDIF(E1539,G1539,"D"),AZ1539="Cheque",BB1539,AZ1539="Dinheiro","Alterar forma pgto")</f>
        <v/>
      </c>
      <c r="BD1539" s="276" t="str" cm="1">
        <f t="array" ref="BD1539">IF(F1539=0," ",IF(BC1539&lt;BB1539,(_xlfn.IFS(AW1539="SIM",SUM(L1539,Q1539,V1539,AA1539,AF1539,AK1539,AP1539,AU1539)+AX1539/_xlfn.XLOOKUP(_xlfn.XLOOKUP($F1539,Clientes!$B$4:$B$39,Clientes!$C$4:$C$39),Cadastros!$L$6:$L$12,Cadastros!$M$6:$M$12)+IF($F1539="Bernardino Furlan",AY1539/2751.92,IF($F1539="Mauro José Salanti",AY1539/2751.92,AY1539/3356)),F1539&lt;&gt;0,SUM(L1539,Q1539,V1539,AA1539,AF1539,AK1539,AP1539,AU1539)))*(1-0.03),_xlfn.IFS(AW1539="SIM",SUM(L1539,Q1539,V1539,AA1539,AF1539,AK1539,AP1539,AU1539)+AX1539/_xlfn.XLOOKUP(_xlfn.XLOOKUP($F1539,Clientes!$B$4:$B$39,Clientes!$C$4:$C$39),Cadastros!$L$6:$L$12,Cadastros!$M$6:$M$12)+IF($F1539="Bernardino Furlan",AY1539/2751.92,IF($F1539="Mauro José Salanti",AY1539/2751.92,AY1539/3356)),F1539&lt;&gt;0,SUM(L1539,Q1539,V1539,AA1539,AF1539,AK1539,AP1539,AU1539))))</f>
        <v xml:space="preserve"> </v>
      </c>
      <c r="BE1539" s="120"/>
      <c r="BF1539" s="120"/>
      <c r="BG1539" s="120"/>
    </row>
    <row r="1540" spans="1:59" s="3" customFormat="1" x14ac:dyDescent="0.3">
      <c r="A1540" s="15" t="str">
        <f t="shared" si="299"/>
        <v/>
      </c>
      <c r="B1540" s="25"/>
      <c r="C1540" s="26"/>
      <c r="D1540" s="279"/>
      <c r="E1540" s="27"/>
      <c r="F1540" s="28"/>
      <c r="G1540" s="27"/>
      <c r="H1540" s="28"/>
      <c r="I1540" s="28"/>
      <c r="J1540" s="255" t="str">
        <f>IF(H1540="","",(_xlfn.XLOOKUP(H1540,Cadastros!$D$6:$D$90,Cadastros!$E$6:$E$90))*(1-_xlfn.XLOOKUP(_xlfn.XLOOKUP($F1540,Clientes!$B$4:$B$39,Clientes!$C$4:$C$39),Cadastros!$L$6:$L$12,Cadastros!$N$6:$N$12)))</f>
        <v/>
      </c>
      <c r="K1540" s="168" t="str">
        <f t="shared" si="300"/>
        <v/>
      </c>
      <c r="L1540" s="168" t="str">
        <f>IFERROR(K1540/_xlfn.XLOOKUP(_xlfn.XLOOKUP($F1540,Clientes!$B$4:$B$39,Clientes!$C$4:$C$39),Cadastros!$L$6:$L$12,Cadastros!$M$6:$M$12)," ")</f>
        <v xml:space="preserve"> </v>
      </c>
      <c r="M1540" s="28"/>
      <c r="N1540" s="28"/>
      <c r="O1540" s="255" t="str">
        <f>IF(M1540="","",(_xlfn.XLOOKUP(M1540,Cadastros!$D$6:$D$90,Cadastros!$E$6:$E$90))*(1-_xlfn.XLOOKUP(_xlfn.XLOOKUP($F1540,Clientes!$B$4:$B$39,Clientes!$C$4:$C$39),Cadastros!$L$6:$L$12,Cadastros!$N$6:$N$12)))</f>
        <v/>
      </c>
      <c r="P1540" s="168" t="str">
        <f t="shared" si="301"/>
        <v/>
      </c>
      <c r="Q1540" s="168" t="str">
        <f>IFERROR(P1540/_xlfn.XLOOKUP(_xlfn.XLOOKUP($F1540,Clientes!$B$4:$B$39,Clientes!$C$4:$C$39),Cadastros!$L$6:$L$12,Cadastros!$M$6:$M$12)," ")</f>
        <v xml:space="preserve"> </v>
      </c>
      <c r="R1540" s="28"/>
      <c r="S1540" s="28"/>
      <c r="T1540" s="255" t="str">
        <f>IF(R1540="","",(_xlfn.XLOOKUP(R1540,Cadastros!$D$6:$D$90,Cadastros!$E$6:$E$90))*(1-_xlfn.XLOOKUP(_xlfn.XLOOKUP($F1540,Clientes!$B$4:$B$39,Clientes!$C$4:$C$39),Cadastros!$L$6:$L$12,Cadastros!$N$6:$N$12)))</f>
        <v/>
      </c>
      <c r="U1540" s="168" t="str">
        <f t="shared" si="302"/>
        <v/>
      </c>
      <c r="V1540" s="168" t="str">
        <f>IFERROR(U1540/_xlfn.XLOOKUP(_xlfn.XLOOKUP($F1540,Clientes!$B$4:$B$39,Clientes!$C$4:$C$39),Cadastros!$L$6:$L$12,Cadastros!$M$6:$M$12)," ")</f>
        <v xml:space="preserve"> </v>
      </c>
      <c r="W1540" s="28"/>
      <c r="X1540" s="28"/>
      <c r="Y1540" s="255" t="str">
        <f>IF(W1540="","",(_xlfn.XLOOKUP(W1540,Cadastros!$D$6:$D$90,Cadastros!$E$6:$E$90))*(1-_xlfn.XLOOKUP(_xlfn.XLOOKUP($F1540,Clientes!$B$4:$B$39,Clientes!$C$4:$C$39),Cadastros!$L$6:$L$12,Cadastros!$N$6:$N$12)))</f>
        <v/>
      </c>
      <c r="Z1540" s="168" t="str">
        <f t="shared" si="303"/>
        <v/>
      </c>
      <c r="AA1540" s="168" t="str">
        <f>IFERROR(Z1540/_xlfn.XLOOKUP(_xlfn.XLOOKUP($F1540,Clientes!$B$4:$B$39,Clientes!$C$4:$C$39),Cadastros!$L$6:$L$12,Cadastros!$M$6:$M$12)," ")</f>
        <v xml:space="preserve"> </v>
      </c>
      <c r="AB1540" s="28"/>
      <c r="AC1540" s="28"/>
      <c r="AD1540" s="20" t="str">
        <f>IF(AB1540="","",IF($F1540="Bernardino Furlan",_xlfn.XLOOKUP(AB1540,Cadastros!$G$6:$G$90,Cadastros!$H$6:$H$90)*(1-0.18),IF($F1540="Mauro José Salanti",_xlfn.XLOOKUP(AB1540,Cadastros!$G$6:$G$90,Cadastros!$H$6:$H$90)*(1-0.18),_xlfn.XLOOKUP(AB1540,Cadastros!$G$6:$G$90,Cadastros!$H$6:$H$90))))</f>
        <v/>
      </c>
      <c r="AE1540" s="168" t="str">
        <f t="shared" si="304"/>
        <v/>
      </c>
      <c r="AF1540" s="168" t="str">
        <f t="shared" si="305"/>
        <v/>
      </c>
      <c r="AG1540" s="28"/>
      <c r="AH1540" s="28"/>
      <c r="AI1540" s="20" t="str">
        <f>IF(AG1540="","",IF($F1540="Bernardino Furlan",_xlfn.XLOOKUP(AG1540,Cadastros!$G$6:$G$90,Cadastros!$H$6:$H$90)*(1-0.18),IF($F1540="Mauro José Salanti",_xlfn.XLOOKUP(AG1540,Cadastros!$G$6:$G$90,Cadastros!$H$6:$H$90)*(1-0.18),_xlfn.XLOOKUP(AG1540,Cadastros!$G$6:$G$90,Cadastros!$H$6:$H$90))))</f>
        <v/>
      </c>
      <c r="AJ1540" s="168" t="str">
        <f t="shared" si="306"/>
        <v/>
      </c>
      <c r="AK1540" s="168" t="str">
        <f t="shared" si="307"/>
        <v/>
      </c>
      <c r="AL1540" s="28"/>
      <c r="AM1540" s="28"/>
      <c r="AN1540" s="20" t="str">
        <f>IF(AL1540="","",IF($F1540="Bernardino Furlan",_xlfn.XLOOKUP(AL1540,Cadastros!$G$6:$G$90,Cadastros!$H$6:$H$90)*(1-0.18),IF($F1540="Mauro José Salanti",_xlfn.XLOOKUP(AL1540,Cadastros!$G$6:$G$90,Cadastros!$H$6:$H$90)*(1-0.18),_xlfn.XLOOKUP(AL1540,Cadastros!$G$6:$G$90,Cadastros!$H$6:$H$90))))</f>
        <v/>
      </c>
      <c r="AO1540" s="168" t="str">
        <f t="shared" si="308"/>
        <v/>
      </c>
      <c r="AP1540" s="168" t="str">
        <f t="shared" si="309"/>
        <v/>
      </c>
      <c r="AQ1540" s="28"/>
      <c r="AR1540" s="28"/>
      <c r="AS1540" s="20" t="str">
        <f>IF(AQ1540="","",IF($F1540="Bernardino Furlan",_xlfn.XLOOKUP(AQ1540,Cadastros!$G$6:$G$90,Cadastros!$H$6:$H$90)*(1-0.18),IF($F1540="Mauro José Salanti",_xlfn.XLOOKUP(AQ1540,Cadastros!$G$6:$G$90,Cadastros!$H$6:$H$90)*(1-0.18),_xlfn.XLOOKUP(AQ1540,Cadastros!$G$6:$G$90,Cadastros!$H$6:$H$90))))</f>
        <v/>
      </c>
      <c r="AT1540" s="168" t="str">
        <f t="shared" si="310"/>
        <v/>
      </c>
      <c r="AU1540" s="168" t="str">
        <f t="shared" si="311"/>
        <v/>
      </c>
      <c r="AV1540" s="227"/>
      <c r="AW1540" s="30"/>
      <c r="AX1540" s="267"/>
      <c r="AY1540" s="267"/>
      <c r="AZ1540" s="29"/>
      <c r="BA1540" s="30"/>
      <c r="BB1540" s="23" t="str" cm="1">
        <f t="array" ref="BB1540">_xlfn.IFS(AW1540="SIM",SUM(K1540,P1540,U1540,Z1540,AE1540,AJ1540,AO1540,AT1540,AX1540,AY1540),F1540&lt;&gt;"",SUM(K1540,P1540,U1540,Z1540,AE1540,AJ1540,,AO1540,AT1540),F1540="","")</f>
        <v/>
      </c>
      <c r="BC1540" s="211" t="str" cm="1">
        <f t="array" ref="BC1540">_xlfn.IFS(E1540="","",G1540&lt;=E1540,BB1540*(1-0.03),G1540&lt;(E1540+8),BB1540,AZ1540="Boleto",BB1540*(1+0.001)^DATEDIF(E1540,G1540,"D"),AZ1540="Cheque",BB1540,AZ1540="Dinheiro","Alterar forma pgto")</f>
        <v/>
      </c>
      <c r="BD1540" s="276" t="str" cm="1">
        <f t="array" ref="BD1540">IF(F1540=0," ",IF(BC1540&lt;BB1540,(_xlfn.IFS(AW1540="SIM",SUM(L1540,Q1540,V1540,AA1540,AF1540,AK1540,AP1540,AU1540)+AX1540/_xlfn.XLOOKUP(_xlfn.XLOOKUP($F1540,Clientes!$B$4:$B$39,Clientes!$C$4:$C$39),Cadastros!$L$6:$L$12,Cadastros!$M$6:$M$12)+IF($F1540="Bernardino Furlan",AY1540/2751.92,IF($F1540="Mauro José Salanti",AY1540/2751.92,AY1540/3356)),F1540&lt;&gt;0,SUM(L1540,Q1540,V1540,AA1540,AF1540,AK1540,AP1540,AU1540)))*(1-0.03),_xlfn.IFS(AW1540="SIM",SUM(L1540,Q1540,V1540,AA1540,AF1540,AK1540,AP1540,AU1540)+AX1540/_xlfn.XLOOKUP(_xlfn.XLOOKUP($F1540,Clientes!$B$4:$B$39,Clientes!$C$4:$C$39),Cadastros!$L$6:$L$12,Cadastros!$M$6:$M$12)+IF($F1540="Bernardino Furlan",AY1540/2751.92,IF($F1540="Mauro José Salanti",AY1540/2751.92,AY1540/3356)),F1540&lt;&gt;0,SUM(L1540,Q1540,V1540,AA1540,AF1540,AK1540,AP1540,AU1540))))</f>
        <v xml:space="preserve"> </v>
      </c>
      <c r="BE1540" s="120"/>
      <c r="BF1540" s="120"/>
      <c r="BG1540" s="120"/>
    </row>
    <row r="1541" spans="1:59" s="3" customFormat="1" x14ac:dyDescent="0.3">
      <c r="A1541" s="15" t="str">
        <f t="shared" si="299"/>
        <v/>
      </c>
      <c r="B1541" s="25"/>
      <c r="C1541" s="26"/>
      <c r="D1541" s="279"/>
      <c r="E1541" s="27"/>
      <c r="F1541" s="28"/>
      <c r="G1541" s="27"/>
      <c r="H1541" s="28"/>
      <c r="I1541" s="28"/>
      <c r="J1541" s="255" t="str">
        <f>IF(H1541="","",(_xlfn.XLOOKUP(H1541,Cadastros!$D$6:$D$90,Cadastros!$E$6:$E$90))*(1-_xlfn.XLOOKUP(_xlfn.XLOOKUP($F1541,Clientes!$B$4:$B$39,Clientes!$C$4:$C$39),Cadastros!$L$6:$L$12,Cadastros!$N$6:$N$12)))</f>
        <v/>
      </c>
      <c r="K1541" s="168" t="str">
        <f t="shared" si="300"/>
        <v/>
      </c>
      <c r="L1541" s="168" t="str">
        <f>IFERROR(K1541/_xlfn.XLOOKUP(_xlfn.XLOOKUP($F1541,Clientes!$B$4:$B$39,Clientes!$C$4:$C$39),Cadastros!$L$6:$L$12,Cadastros!$M$6:$M$12)," ")</f>
        <v xml:space="preserve"> </v>
      </c>
      <c r="M1541" s="28"/>
      <c r="N1541" s="28"/>
      <c r="O1541" s="255" t="str">
        <f>IF(M1541="","",(_xlfn.XLOOKUP(M1541,Cadastros!$D$6:$D$90,Cadastros!$E$6:$E$90))*(1-_xlfn.XLOOKUP(_xlfn.XLOOKUP($F1541,Clientes!$B$4:$B$39,Clientes!$C$4:$C$39),Cadastros!$L$6:$L$12,Cadastros!$N$6:$N$12)))</f>
        <v/>
      </c>
      <c r="P1541" s="168" t="str">
        <f t="shared" si="301"/>
        <v/>
      </c>
      <c r="Q1541" s="168" t="str">
        <f>IFERROR(P1541/_xlfn.XLOOKUP(_xlfn.XLOOKUP($F1541,Clientes!$B$4:$B$39,Clientes!$C$4:$C$39),Cadastros!$L$6:$L$12,Cadastros!$M$6:$M$12)," ")</f>
        <v xml:space="preserve"> </v>
      </c>
      <c r="R1541" s="28"/>
      <c r="S1541" s="28"/>
      <c r="T1541" s="255" t="str">
        <f>IF(R1541="","",(_xlfn.XLOOKUP(R1541,Cadastros!$D$6:$D$90,Cadastros!$E$6:$E$90))*(1-_xlfn.XLOOKUP(_xlfn.XLOOKUP($F1541,Clientes!$B$4:$B$39,Clientes!$C$4:$C$39),Cadastros!$L$6:$L$12,Cadastros!$N$6:$N$12)))</f>
        <v/>
      </c>
      <c r="U1541" s="168" t="str">
        <f t="shared" si="302"/>
        <v/>
      </c>
      <c r="V1541" s="168" t="str">
        <f>IFERROR(U1541/_xlfn.XLOOKUP(_xlfn.XLOOKUP($F1541,Clientes!$B$4:$B$39,Clientes!$C$4:$C$39),Cadastros!$L$6:$L$12,Cadastros!$M$6:$M$12)," ")</f>
        <v xml:space="preserve"> </v>
      </c>
      <c r="W1541" s="28"/>
      <c r="X1541" s="28"/>
      <c r="Y1541" s="255" t="str">
        <f>IF(W1541="","",(_xlfn.XLOOKUP(W1541,Cadastros!$D$6:$D$90,Cadastros!$E$6:$E$90))*(1-_xlfn.XLOOKUP(_xlfn.XLOOKUP($F1541,Clientes!$B$4:$B$39,Clientes!$C$4:$C$39),Cadastros!$L$6:$L$12,Cadastros!$N$6:$N$12)))</f>
        <v/>
      </c>
      <c r="Z1541" s="168" t="str">
        <f t="shared" si="303"/>
        <v/>
      </c>
      <c r="AA1541" s="168" t="str">
        <f>IFERROR(Z1541/_xlfn.XLOOKUP(_xlfn.XLOOKUP($F1541,Clientes!$B$4:$B$39,Clientes!$C$4:$C$39),Cadastros!$L$6:$L$12,Cadastros!$M$6:$M$12)," ")</f>
        <v xml:space="preserve"> </v>
      </c>
      <c r="AB1541" s="28"/>
      <c r="AC1541" s="28"/>
      <c r="AD1541" s="20" t="str">
        <f>IF(AB1541="","",IF($F1541="Bernardino Furlan",_xlfn.XLOOKUP(AB1541,Cadastros!$G$6:$G$90,Cadastros!$H$6:$H$90)*(1-0.18),IF($F1541="Mauro José Salanti",_xlfn.XLOOKUP(AB1541,Cadastros!$G$6:$G$90,Cadastros!$H$6:$H$90)*(1-0.18),_xlfn.XLOOKUP(AB1541,Cadastros!$G$6:$G$90,Cadastros!$H$6:$H$90))))</f>
        <v/>
      </c>
      <c r="AE1541" s="168" t="str">
        <f t="shared" si="304"/>
        <v/>
      </c>
      <c r="AF1541" s="168" t="str">
        <f t="shared" si="305"/>
        <v/>
      </c>
      <c r="AG1541" s="28"/>
      <c r="AH1541" s="28"/>
      <c r="AI1541" s="20" t="str">
        <f>IF(AG1541="","",IF($F1541="Bernardino Furlan",_xlfn.XLOOKUP(AG1541,Cadastros!$G$6:$G$90,Cadastros!$H$6:$H$90)*(1-0.18),IF($F1541="Mauro José Salanti",_xlfn.XLOOKUP(AG1541,Cadastros!$G$6:$G$90,Cadastros!$H$6:$H$90)*(1-0.18),_xlfn.XLOOKUP(AG1541,Cadastros!$G$6:$G$90,Cadastros!$H$6:$H$90))))</f>
        <v/>
      </c>
      <c r="AJ1541" s="168" t="str">
        <f t="shared" si="306"/>
        <v/>
      </c>
      <c r="AK1541" s="168" t="str">
        <f t="shared" si="307"/>
        <v/>
      </c>
      <c r="AL1541" s="28"/>
      <c r="AM1541" s="28"/>
      <c r="AN1541" s="20" t="str">
        <f>IF(AL1541="","",IF($F1541="Bernardino Furlan",_xlfn.XLOOKUP(AL1541,Cadastros!$G$6:$G$90,Cadastros!$H$6:$H$90)*(1-0.18),IF($F1541="Mauro José Salanti",_xlfn.XLOOKUP(AL1541,Cadastros!$G$6:$G$90,Cadastros!$H$6:$H$90)*(1-0.18),_xlfn.XLOOKUP(AL1541,Cadastros!$G$6:$G$90,Cadastros!$H$6:$H$90))))</f>
        <v/>
      </c>
      <c r="AO1541" s="168" t="str">
        <f t="shared" si="308"/>
        <v/>
      </c>
      <c r="AP1541" s="168" t="str">
        <f t="shared" si="309"/>
        <v/>
      </c>
      <c r="AQ1541" s="28"/>
      <c r="AR1541" s="28"/>
      <c r="AS1541" s="20" t="str">
        <f>IF(AQ1541="","",IF($F1541="Bernardino Furlan",_xlfn.XLOOKUP(AQ1541,Cadastros!$G$6:$G$90,Cadastros!$H$6:$H$90)*(1-0.18),IF($F1541="Mauro José Salanti",_xlfn.XLOOKUP(AQ1541,Cadastros!$G$6:$G$90,Cadastros!$H$6:$H$90)*(1-0.18),_xlfn.XLOOKUP(AQ1541,Cadastros!$G$6:$G$90,Cadastros!$H$6:$H$90))))</f>
        <v/>
      </c>
      <c r="AT1541" s="168" t="str">
        <f t="shared" si="310"/>
        <v/>
      </c>
      <c r="AU1541" s="168" t="str">
        <f t="shared" si="311"/>
        <v/>
      </c>
      <c r="AV1541" s="227"/>
      <c r="AW1541" s="30"/>
      <c r="AX1541" s="267"/>
      <c r="AY1541" s="267"/>
      <c r="AZ1541" s="29"/>
      <c r="BA1541" s="30"/>
      <c r="BB1541" s="23" t="str" cm="1">
        <f t="array" ref="BB1541">_xlfn.IFS(AW1541="SIM",SUM(K1541,P1541,U1541,Z1541,AE1541,AJ1541,AO1541,AT1541,AX1541,AY1541),F1541&lt;&gt;"",SUM(K1541,P1541,U1541,Z1541,AE1541,AJ1541,,AO1541,AT1541),F1541="","")</f>
        <v/>
      </c>
      <c r="BC1541" s="211" t="str" cm="1">
        <f t="array" ref="BC1541">_xlfn.IFS(E1541="","",G1541&lt;=E1541,BB1541*(1-0.03),G1541&lt;(E1541+8),BB1541,AZ1541="Boleto",BB1541*(1+0.001)^DATEDIF(E1541,G1541,"D"),AZ1541="Cheque",BB1541,AZ1541="Dinheiro","Alterar forma pgto")</f>
        <v/>
      </c>
      <c r="BD1541" s="276" t="str" cm="1">
        <f t="array" ref="BD1541">IF(F1541=0," ",IF(BC1541&lt;BB1541,(_xlfn.IFS(AW1541="SIM",SUM(L1541,Q1541,V1541,AA1541,AF1541,AK1541,AP1541,AU1541)+AX1541/_xlfn.XLOOKUP(_xlfn.XLOOKUP($F1541,Clientes!$B$4:$B$39,Clientes!$C$4:$C$39),Cadastros!$L$6:$L$12,Cadastros!$M$6:$M$12)+IF($F1541="Bernardino Furlan",AY1541/2751.92,IF($F1541="Mauro José Salanti",AY1541/2751.92,AY1541/3356)),F1541&lt;&gt;0,SUM(L1541,Q1541,V1541,AA1541,AF1541,AK1541,AP1541,AU1541)))*(1-0.03),_xlfn.IFS(AW1541="SIM",SUM(L1541,Q1541,V1541,AA1541,AF1541,AK1541,AP1541,AU1541)+AX1541/_xlfn.XLOOKUP(_xlfn.XLOOKUP($F1541,Clientes!$B$4:$B$39,Clientes!$C$4:$C$39),Cadastros!$L$6:$L$12,Cadastros!$M$6:$M$12)+IF($F1541="Bernardino Furlan",AY1541/2751.92,IF($F1541="Mauro José Salanti",AY1541/2751.92,AY1541/3356)),F1541&lt;&gt;0,SUM(L1541,Q1541,V1541,AA1541,AF1541,AK1541,AP1541,AU1541))))</f>
        <v xml:space="preserve"> </v>
      </c>
      <c r="BE1541" s="120"/>
      <c r="BF1541" s="120"/>
      <c r="BG1541" s="120"/>
    </row>
    <row r="1542" spans="1:59" s="3" customFormat="1" x14ac:dyDescent="0.3">
      <c r="A1542" s="15" t="str">
        <f t="shared" si="299"/>
        <v/>
      </c>
      <c r="B1542" s="25"/>
      <c r="C1542" s="26"/>
      <c r="D1542" s="279"/>
      <c r="E1542" s="27"/>
      <c r="F1542" s="28"/>
      <c r="G1542" s="27"/>
      <c r="H1542" s="28"/>
      <c r="I1542" s="28"/>
      <c r="J1542" s="255" t="str">
        <f>IF(H1542="","",(_xlfn.XLOOKUP(H1542,Cadastros!$D$6:$D$90,Cadastros!$E$6:$E$90))*(1-_xlfn.XLOOKUP(_xlfn.XLOOKUP($F1542,Clientes!$B$4:$B$39,Clientes!$C$4:$C$39),Cadastros!$L$6:$L$12,Cadastros!$N$6:$N$12)))</f>
        <v/>
      </c>
      <c r="K1542" s="168" t="str">
        <f t="shared" si="300"/>
        <v/>
      </c>
      <c r="L1542" s="168" t="str">
        <f>IFERROR(K1542/_xlfn.XLOOKUP(_xlfn.XLOOKUP($F1542,Clientes!$B$4:$B$39,Clientes!$C$4:$C$39),Cadastros!$L$6:$L$12,Cadastros!$M$6:$M$12)," ")</f>
        <v xml:space="preserve"> </v>
      </c>
      <c r="M1542" s="28"/>
      <c r="N1542" s="28"/>
      <c r="O1542" s="255" t="str">
        <f>IF(M1542="","",(_xlfn.XLOOKUP(M1542,Cadastros!$D$6:$D$90,Cadastros!$E$6:$E$90))*(1-_xlfn.XLOOKUP(_xlfn.XLOOKUP($F1542,Clientes!$B$4:$B$39,Clientes!$C$4:$C$39),Cadastros!$L$6:$L$12,Cadastros!$N$6:$N$12)))</f>
        <v/>
      </c>
      <c r="P1542" s="168" t="str">
        <f t="shared" si="301"/>
        <v/>
      </c>
      <c r="Q1542" s="168" t="str">
        <f>IFERROR(P1542/_xlfn.XLOOKUP(_xlfn.XLOOKUP($F1542,Clientes!$B$4:$B$39,Clientes!$C$4:$C$39),Cadastros!$L$6:$L$12,Cadastros!$M$6:$M$12)," ")</f>
        <v xml:space="preserve"> </v>
      </c>
      <c r="R1542" s="28"/>
      <c r="S1542" s="28"/>
      <c r="T1542" s="255" t="str">
        <f>IF(R1542="","",(_xlfn.XLOOKUP(R1542,Cadastros!$D$6:$D$90,Cadastros!$E$6:$E$90))*(1-_xlfn.XLOOKUP(_xlfn.XLOOKUP($F1542,Clientes!$B$4:$B$39,Clientes!$C$4:$C$39),Cadastros!$L$6:$L$12,Cadastros!$N$6:$N$12)))</f>
        <v/>
      </c>
      <c r="U1542" s="168" t="str">
        <f t="shared" si="302"/>
        <v/>
      </c>
      <c r="V1542" s="168" t="str">
        <f>IFERROR(U1542/_xlfn.XLOOKUP(_xlfn.XLOOKUP($F1542,Clientes!$B$4:$B$39,Clientes!$C$4:$C$39),Cadastros!$L$6:$L$12,Cadastros!$M$6:$M$12)," ")</f>
        <v xml:space="preserve"> </v>
      </c>
      <c r="W1542" s="28"/>
      <c r="X1542" s="28"/>
      <c r="Y1542" s="255" t="str">
        <f>IF(W1542="","",(_xlfn.XLOOKUP(W1542,Cadastros!$D$6:$D$90,Cadastros!$E$6:$E$90))*(1-_xlfn.XLOOKUP(_xlfn.XLOOKUP($F1542,Clientes!$B$4:$B$39,Clientes!$C$4:$C$39),Cadastros!$L$6:$L$12,Cadastros!$N$6:$N$12)))</f>
        <v/>
      </c>
      <c r="Z1542" s="168" t="str">
        <f t="shared" si="303"/>
        <v/>
      </c>
      <c r="AA1542" s="168" t="str">
        <f>IFERROR(Z1542/_xlfn.XLOOKUP(_xlfn.XLOOKUP($F1542,Clientes!$B$4:$B$39,Clientes!$C$4:$C$39),Cadastros!$L$6:$L$12,Cadastros!$M$6:$M$12)," ")</f>
        <v xml:space="preserve"> </v>
      </c>
      <c r="AB1542" s="28"/>
      <c r="AC1542" s="28"/>
      <c r="AD1542" s="20" t="str">
        <f>IF(AB1542="","",IF($F1542="Bernardino Furlan",_xlfn.XLOOKUP(AB1542,Cadastros!$G$6:$G$90,Cadastros!$H$6:$H$90)*(1-0.18),IF($F1542="Mauro José Salanti",_xlfn.XLOOKUP(AB1542,Cadastros!$G$6:$G$90,Cadastros!$H$6:$H$90)*(1-0.18),_xlfn.XLOOKUP(AB1542,Cadastros!$G$6:$G$90,Cadastros!$H$6:$H$90))))</f>
        <v/>
      </c>
      <c r="AE1542" s="168" t="str">
        <f t="shared" si="304"/>
        <v/>
      </c>
      <c r="AF1542" s="168" t="str">
        <f t="shared" si="305"/>
        <v/>
      </c>
      <c r="AG1542" s="28"/>
      <c r="AH1542" s="28"/>
      <c r="AI1542" s="20" t="str">
        <f>IF(AG1542="","",IF($F1542="Bernardino Furlan",_xlfn.XLOOKUP(AG1542,Cadastros!$G$6:$G$90,Cadastros!$H$6:$H$90)*(1-0.18),IF($F1542="Mauro José Salanti",_xlfn.XLOOKUP(AG1542,Cadastros!$G$6:$G$90,Cadastros!$H$6:$H$90)*(1-0.18),_xlfn.XLOOKUP(AG1542,Cadastros!$G$6:$G$90,Cadastros!$H$6:$H$90))))</f>
        <v/>
      </c>
      <c r="AJ1542" s="168" t="str">
        <f t="shared" si="306"/>
        <v/>
      </c>
      <c r="AK1542" s="168" t="str">
        <f t="shared" si="307"/>
        <v/>
      </c>
      <c r="AL1542" s="28"/>
      <c r="AM1542" s="28"/>
      <c r="AN1542" s="20" t="str">
        <f>IF(AL1542="","",IF($F1542="Bernardino Furlan",_xlfn.XLOOKUP(AL1542,Cadastros!$G$6:$G$90,Cadastros!$H$6:$H$90)*(1-0.18),IF($F1542="Mauro José Salanti",_xlfn.XLOOKUP(AL1542,Cadastros!$G$6:$G$90,Cadastros!$H$6:$H$90)*(1-0.18),_xlfn.XLOOKUP(AL1542,Cadastros!$G$6:$G$90,Cadastros!$H$6:$H$90))))</f>
        <v/>
      </c>
      <c r="AO1542" s="168" t="str">
        <f t="shared" si="308"/>
        <v/>
      </c>
      <c r="AP1542" s="168" t="str">
        <f t="shared" si="309"/>
        <v/>
      </c>
      <c r="AQ1542" s="28"/>
      <c r="AR1542" s="28"/>
      <c r="AS1542" s="20" t="str">
        <f>IF(AQ1542="","",IF($F1542="Bernardino Furlan",_xlfn.XLOOKUP(AQ1542,Cadastros!$G$6:$G$90,Cadastros!$H$6:$H$90)*(1-0.18),IF($F1542="Mauro José Salanti",_xlfn.XLOOKUP(AQ1542,Cadastros!$G$6:$G$90,Cadastros!$H$6:$H$90)*(1-0.18),_xlfn.XLOOKUP(AQ1542,Cadastros!$G$6:$G$90,Cadastros!$H$6:$H$90))))</f>
        <v/>
      </c>
      <c r="AT1542" s="168" t="str">
        <f t="shared" si="310"/>
        <v/>
      </c>
      <c r="AU1542" s="168" t="str">
        <f t="shared" si="311"/>
        <v/>
      </c>
      <c r="AV1542" s="227"/>
      <c r="AW1542" s="30"/>
      <c r="AX1542" s="267"/>
      <c r="AY1542" s="267"/>
      <c r="AZ1542" s="29"/>
      <c r="BA1542" s="30"/>
      <c r="BB1542" s="23" t="str" cm="1">
        <f t="array" ref="BB1542">_xlfn.IFS(AW1542="SIM",SUM(K1542,P1542,U1542,Z1542,AE1542,AJ1542,AO1542,AT1542,AX1542,AY1542),F1542&lt;&gt;"",SUM(K1542,P1542,U1542,Z1542,AE1542,AJ1542,,AO1542,AT1542),F1542="","")</f>
        <v/>
      </c>
      <c r="BC1542" s="211" t="str" cm="1">
        <f t="array" ref="BC1542">_xlfn.IFS(E1542="","",G1542&lt;=E1542,BB1542*(1-0.03),G1542&lt;(E1542+8),BB1542,AZ1542="Boleto",BB1542*(1+0.001)^DATEDIF(E1542,G1542,"D"),AZ1542="Cheque",BB1542,AZ1542="Dinheiro","Alterar forma pgto")</f>
        <v/>
      </c>
      <c r="BD1542" s="276" t="str" cm="1">
        <f t="array" ref="BD1542">IF(F1542=0," ",IF(BC1542&lt;BB1542,(_xlfn.IFS(AW1542="SIM",SUM(L1542,Q1542,V1542,AA1542,AF1542,AK1542,AP1542,AU1542)+AX1542/_xlfn.XLOOKUP(_xlfn.XLOOKUP($F1542,Clientes!$B$4:$B$39,Clientes!$C$4:$C$39),Cadastros!$L$6:$L$12,Cadastros!$M$6:$M$12)+IF($F1542="Bernardino Furlan",AY1542/2751.92,IF($F1542="Mauro José Salanti",AY1542/2751.92,AY1542/3356)),F1542&lt;&gt;0,SUM(L1542,Q1542,V1542,AA1542,AF1542,AK1542,AP1542,AU1542)))*(1-0.03),_xlfn.IFS(AW1542="SIM",SUM(L1542,Q1542,V1542,AA1542,AF1542,AK1542,AP1542,AU1542)+AX1542/_xlfn.XLOOKUP(_xlfn.XLOOKUP($F1542,Clientes!$B$4:$B$39,Clientes!$C$4:$C$39),Cadastros!$L$6:$L$12,Cadastros!$M$6:$M$12)+IF($F1542="Bernardino Furlan",AY1542/2751.92,IF($F1542="Mauro José Salanti",AY1542/2751.92,AY1542/3356)),F1542&lt;&gt;0,SUM(L1542,Q1542,V1542,AA1542,AF1542,AK1542,AP1542,AU1542))))</f>
        <v xml:space="preserve"> </v>
      </c>
      <c r="BE1542" s="120"/>
      <c r="BF1542" s="120"/>
      <c r="BG1542" s="120"/>
    </row>
    <row r="1543" spans="1:59" s="3" customFormat="1" x14ac:dyDescent="0.3">
      <c r="A1543" s="15" t="str">
        <f t="shared" si="299"/>
        <v/>
      </c>
      <c r="B1543" s="25"/>
      <c r="C1543" s="26"/>
      <c r="D1543" s="279"/>
      <c r="E1543" s="27"/>
      <c r="F1543" s="28"/>
      <c r="G1543" s="27"/>
      <c r="H1543" s="28"/>
      <c r="I1543" s="28"/>
      <c r="J1543" s="255" t="str">
        <f>IF(H1543="","",(_xlfn.XLOOKUP(H1543,Cadastros!$D$6:$D$90,Cadastros!$E$6:$E$90))*(1-_xlfn.XLOOKUP(_xlfn.XLOOKUP($F1543,Clientes!$B$4:$B$39,Clientes!$C$4:$C$39),Cadastros!$L$6:$L$12,Cadastros!$N$6:$N$12)))</f>
        <v/>
      </c>
      <c r="K1543" s="168" t="str">
        <f t="shared" si="300"/>
        <v/>
      </c>
      <c r="L1543" s="168" t="str">
        <f>IFERROR(K1543/_xlfn.XLOOKUP(_xlfn.XLOOKUP($F1543,Clientes!$B$4:$B$39,Clientes!$C$4:$C$39),Cadastros!$L$6:$L$12,Cadastros!$M$6:$M$12)," ")</f>
        <v xml:space="preserve"> </v>
      </c>
      <c r="M1543" s="28"/>
      <c r="N1543" s="28"/>
      <c r="O1543" s="255" t="str">
        <f>IF(M1543="","",(_xlfn.XLOOKUP(M1543,Cadastros!$D$6:$D$90,Cadastros!$E$6:$E$90))*(1-_xlfn.XLOOKUP(_xlfn.XLOOKUP($F1543,Clientes!$B$4:$B$39,Clientes!$C$4:$C$39),Cadastros!$L$6:$L$12,Cadastros!$N$6:$N$12)))</f>
        <v/>
      </c>
      <c r="P1543" s="168" t="str">
        <f t="shared" si="301"/>
        <v/>
      </c>
      <c r="Q1543" s="168" t="str">
        <f>IFERROR(P1543/_xlfn.XLOOKUP(_xlfn.XLOOKUP($F1543,Clientes!$B$4:$B$39,Clientes!$C$4:$C$39),Cadastros!$L$6:$L$12,Cadastros!$M$6:$M$12)," ")</f>
        <v xml:space="preserve"> </v>
      </c>
      <c r="R1543" s="28"/>
      <c r="S1543" s="28"/>
      <c r="T1543" s="255" t="str">
        <f>IF(R1543="","",(_xlfn.XLOOKUP(R1543,Cadastros!$D$6:$D$90,Cadastros!$E$6:$E$90))*(1-_xlfn.XLOOKUP(_xlfn.XLOOKUP($F1543,Clientes!$B$4:$B$39,Clientes!$C$4:$C$39),Cadastros!$L$6:$L$12,Cadastros!$N$6:$N$12)))</f>
        <v/>
      </c>
      <c r="U1543" s="168" t="str">
        <f t="shared" si="302"/>
        <v/>
      </c>
      <c r="V1543" s="168" t="str">
        <f>IFERROR(U1543/_xlfn.XLOOKUP(_xlfn.XLOOKUP($F1543,Clientes!$B$4:$B$39,Clientes!$C$4:$C$39),Cadastros!$L$6:$L$12,Cadastros!$M$6:$M$12)," ")</f>
        <v xml:space="preserve"> </v>
      </c>
      <c r="W1543" s="28"/>
      <c r="X1543" s="28"/>
      <c r="Y1543" s="255" t="str">
        <f>IF(W1543="","",(_xlfn.XLOOKUP(W1543,Cadastros!$D$6:$D$90,Cadastros!$E$6:$E$90))*(1-_xlfn.XLOOKUP(_xlfn.XLOOKUP($F1543,Clientes!$B$4:$B$39,Clientes!$C$4:$C$39),Cadastros!$L$6:$L$12,Cadastros!$N$6:$N$12)))</f>
        <v/>
      </c>
      <c r="Z1543" s="168" t="str">
        <f t="shared" si="303"/>
        <v/>
      </c>
      <c r="AA1543" s="168" t="str">
        <f>IFERROR(Z1543/_xlfn.XLOOKUP(_xlfn.XLOOKUP($F1543,Clientes!$B$4:$B$39,Clientes!$C$4:$C$39),Cadastros!$L$6:$L$12,Cadastros!$M$6:$M$12)," ")</f>
        <v xml:space="preserve"> </v>
      </c>
      <c r="AB1543" s="28"/>
      <c r="AC1543" s="28"/>
      <c r="AD1543" s="20" t="str">
        <f>IF(AB1543="","",IF($F1543="Bernardino Furlan",_xlfn.XLOOKUP(AB1543,Cadastros!$G$6:$G$90,Cadastros!$H$6:$H$90)*(1-0.18),IF($F1543="Mauro José Salanti",_xlfn.XLOOKUP(AB1543,Cadastros!$G$6:$G$90,Cadastros!$H$6:$H$90)*(1-0.18),_xlfn.XLOOKUP(AB1543,Cadastros!$G$6:$G$90,Cadastros!$H$6:$H$90))))</f>
        <v/>
      </c>
      <c r="AE1543" s="168" t="str">
        <f t="shared" si="304"/>
        <v/>
      </c>
      <c r="AF1543" s="168" t="str">
        <f t="shared" si="305"/>
        <v/>
      </c>
      <c r="AG1543" s="28"/>
      <c r="AH1543" s="28"/>
      <c r="AI1543" s="20" t="str">
        <f>IF(AG1543="","",IF($F1543="Bernardino Furlan",_xlfn.XLOOKUP(AG1543,Cadastros!$G$6:$G$90,Cadastros!$H$6:$H$90)*(1-0.18),IF($F1543="Mauro José Salanti",_xlfn.XLOOKUP(AG1543,Cadastros!$G$6:$G$90,Cadastros!$H$6:$H$90)*(1-0.18),_xlfn.XLOOKUP(AG1543,Cadastros!$G$6:$G$90,Cadastros!$H$6:$H$90))))</f>
        <v/>
      </c>
      <c r="AJ1543" s="168" t="str">
        <f t="shared" si="306"/>
        <v/>
      </c>
      <c r="AK1543" s="168" t="str">
        <f t="shared" si="307"/>
        <v/>
      </c>
      <c r="AL1543" s="28"/>
      <c r="AM1543" s="28"/>
      <c r="AN1543" s="20" t="str">
        <f>IF(AL1543="","",IF($F1543="Bernardino Furlan",_xlfn.XLOOKUP(AL1543,Cadastros!$G$6:$G$90,Cadastros!$H$6:$H$90)*(1-0.18),IF($F1543="Mauro José Salanti",_xlfn.XLOOKUP(AL1543,Cadastros!$G$6:$G$90,Cadastros!$H$6:$H$90)*(1-0.18),_xlfn.XLOOKUP(AL1543,Cadastros!$G$6:$G$90,Cadastros!$H$6:$H$90))))</f>
        <v/>
      </c>
      <c r="AO1543" s="168" t="str">
        <f t="shared" si="308"/>
        <v/>
      </c>
      <c r="AP1543" s="168" t="str">
        <f t="shared" si="309"/>
        <v/>
      </c>
      <c r="AQ1543" s="28"/>
      <c r="AR1543" s="28"/>
      <c r="AS1543" s="20" t="str">
        <f>IF(AQ1543="","",IF($F1543="Bernardino Furlan",_xlfn.XLOOKUP(AQ1543,Cadastros!$G$6:$G$90,Cadastros!$H$6:$H$90)*(1-0.18),IF($F1543="Mauro José Salanti",_xlfn.XLOOKUP(AQ1543,Cadastros!$G$6:$G$90,Cadastros!$H$6:$H$90)*(1-0.18),_xlfn.XLOOKUP(AQ1543,Cadastros!$G$6:$G$90,Cadastros!$H$6:$H$90))))</f>
        <v/>
      </c>
      <c r="AT1543" s="168" t="str">
        <f t="shared" si="310"/>
        <v/>
      </c>
      <c r="AU1543" s="168" t="str">
        <f t="shared" si="311"/>
        <v/>
      </c>
      <c r="AV1543" s="227"/>
      <c r="AW1543" s="30"/>
      <c r="AX1543" s="267"/>
      <c r="AY1543" s="267"/>
      <c r="AZ1543" s="29"/>
      <c r="BA1543" s="30"/>
      <c r="BB1543" s="23" t="str" cm="1">
        <f t="array" ref="BB1543">_xlfn.IFS(AW1543="SIM",SUM(K1543,P1543,U1543,Z1543,AE1543,AJ1543,AO1543,AT1543,AX1543,AY1543),F1543&lt;&gt;"",SUM(K1543,P1543,U1543,Z1543,AE1543,AJ1543,,AO1543,AT1543),F1543="","")</f>
        <v/>
      </c>
      <c r="BC1543" s="211" t="str" cm="1">
        <f t="array" ref="BC1543">_xlfn.IFS(E1543="","",G1543&lt;=E1543,BB1543*(1-0.03),G1543&lt;(E1543+8),BB1543,AZ1543="Boleto",BB1543*(1+0.001)^DATEDIF(E1543,G1543,"D"),AZ1543="Cheque",BB1543,AZ1543="Dinheiro","Alterar forma pgto")</f>
        <v/>
      </c>
      <c r="BD1543" s="276" t="str" cm="1">
        <f t="array" ref="BD1543">IF(F1543=0," ",IF(BC1543&lt;BB1543,(_xlfn.IFS(AW1543="SIM",SUM(L1543,Q1543,V1543,AA1543,AF1543,AK1543,AP1543,AU1543)+AX1543/_xlfn.XLOOKUP(_xlfn.XLOOKUP($F1543,Clientes!$B$4:$B$39,Clientes!$C$4:$C$39),Cadastros!$L$6:$L$12,Cadastros!$M$6:$M$12)+IF($F1543="Bernardino Furlan",AY1543/2751.92,IF($F1543="Mauro José Salanti",AY1543/2751.92,AY1543/3356)),F1543&lt;&gt;0,SUM(L1543,Q1543,V1543,AA1543,AF1543,AK1543,AP1543,AU1543)))*(1-0.03),_xlfn.IFS(AW1543="SIM",SUM(L1543,Q1543,V1543,AA1543,AF1543,AK1543,AP1543,AU1543)+AX1543/_xlfn.XLOOKUP(_xlfn.XLOOKUP($F1543,Clientes!$B$4:$B$39,Clientes!$C$4:$C$39),Cadastros!$L$6:$L$12,Cadastros!$M$6:$M$12)+IF($F1543="Bernardino Furlan",AY1543/2751.92,IF($F1543="Mauro José Salanti",AY1543/2751.92,AY1543/3356)),F1543&lt;&gt;0,SUM(L1543,Q1543,V1543,AA1543,AF1543,AK1543,AP1543,AU1543))))</f>
        <v xml:space="preserve"> </v>
      </c>
      <c r="BE1543" s="120"/>
      <c r="BF1543" s="120"/>
      <c r="BG1543" s="120"/>
    </row>
    <row r="1544" spans="1:59" s="3" customFormat="1" x14ac:dyDescent="0.3">
      <c r="A1544" s="15" t="str">
        <f t="shared" ref="A1544:A1607" si="312">IF(C1544="orçamento",25%,IF(C1544="aprovado",50%,IF(C1544="entregue",100%,IF(C1544="não aceito",0%,""))))</f>
        <v/>
      </c>
      <c r="B1544" s="25"/>
      <c r="C1544" s="26"/>
      <c r="D1544" s="279"/>
      <c r="E1544" s="27"/>
      <c r="F1544" s="28"/>
      <c r="G1544" s="27"/>
      <c r="H1544" s="28"/>
      <c r="I1544" s="28"/>
      <c r="J1544" s="255" t="str">
        <f>IF(H1544="","",(_xlfn.XLOOKUP(H1544,Cadastros!$D$6:$D$90,Cadastros!$E$6:$E$90))*(1-_xlfn.XLOOKUP(_xlfn.XLOOKUP($F1544,Clientes!$B$4:$B$39,Clientes!$C$4:$C$39),Cadastros!$L$6:$L$12,Cadastros!$N$6:$N$12)))</f>
        <v/>
      </c>
      <c r="K1544" s="168" t="str">
        <f t="shared" ref="K1544:K1607" si="313">IF(J1544="","",I1544*J1544)</f>
        <v/>
      </c>
      <c r="L1544" s="168" t="str">
        <f>IFERROR(K1544/_xlfn.XLOOKUP(_xlfn.XLOOKUP($F1544,Clientes!$B$4:$B$39,Clientes!$C$4:$C$39),Cadastros!$L$6:$L$12,Cadastros!$M$6:$M$12)," ")</f>
        <v xml:space="preserve"> </v>
      </c>
      <c r="M1544" s="28"/>
      <c r="N1544" s="28"/>
      <c r="O1544" s="255" t="str">
        <f>IF(M1544="","",(_xlfn.XLOOKUP(M1544,Cadastros!$D$6:$D$90,Cadastros!$E$6:$E$90))*(1-_xlfn.XLOOKUP(_xlfn.XLOOKUP($F1544,Clientes!$B$4:$B$39,Clientes!$C$4:$C$39),Cadastros!$L$6:$L$12,Cadastros!$N$6:$N$12)))</f>
        <v/>
      </c>
      <c r="P1544" s="168" t="str">
        <f t="shared" ref="P1544:P1607" si="314">IF(O1544="","",N1544*O1544)</f>
        <v/>
      </c>
      <c r="Q1544" s="168" t="str">
        <f>IFERROR(P1544/_xlfn.XLOOKUP(_xlfn.XLOOKUP($F1544,Clientes!$B$4:$B$39,Clientes!$C$4:$C$39),Cadastros!$L$6:$L$12,Cadastros!$M$6:$M$12)," ")</f>
        <v xml:space="preserve"> </v>
      </c>
      <c r="R1544" s="28"/>
      <c r="S1544" s="28"/>
      <c r="T1544" s="255" t="str">
        <f>IF(R1544="","",(_xlfn.XLOOKUP(R1544,Cadastros!$D$6:$D$90,Cadastros!$E$6:$E$90))*(1-_xlfn.XLOOKUP(_xlfn.XLOOKUP($F1544,Clientes!$B$4:$B$39,Clientes!$C$4:$C$39),Cadastros!$L$6:$L$12,Cadastros!$N$6:$N$12)))</f>
        <v/>
      </c>
      <c r="U1544" s="168" t="str">
        <f t="shared" ref="U1544:U1607" si="315">IF(T1544="","",S1544*T1544)</f>
        <v/>
      </c>
      <c r="V1544" s="168" t="str">
        <f>IFERROR(U1544/_xlfn.XLOOKUP(_xlfn.XLOOKUP($F1544,Clientes!$B$4:$B$39,Clientes!$C$4:$C$39),Cadastros!$L$6:$L$12,Cadastros!$M$6:$M$12)," ")</f>
        <v xml:space="preserve"> </v>
      </c>
      <c r="W1544" s="28"/>
      <c r="X1544" s="28"/>
      <c r="Y1544" s="255" t="str">
        <f>IF(W1544="","",(_xlfn.XLOOKUP(W1544,Cadastros!$D$6:$D$90,Cadastros!$E$6:$E$90))*(1-_xlfn.XLOOKUP(_xlfn.XLOOKUP($F1544,Clientes!$B$4:$B$39,Clientes!$C$4:$C$39),Cadastros!$L$6:$L$12,Cadastros!$N$6:$N$12)))</f>
        <v/>
      </c>
      <c r="Z1544" s="168" t="str">
        <f t="shared" ref="Z1544:Z1607" si="316">IF(Y1544="","",X1544*Y1544)</f>
        <v/>
      </c>
      <c r="AA1544" s="168" t="str">
        <f>IFERROR(Z1544/_xlfn.XLOOKUP(_xlfn.XLOOKUP($F1544,Clientes!$B$4:$B$39,Clientes!$C$4:$C$39),Cadastros!$L$6:$L$12,Cadastros!$M$6:$M$12)," ")</f>
        <v xml:space="preserve"> </v>
      </c>
      <c r="AB1544" s="28"/>
      <c r="AC1544" s="28"/>
      <c r="AD1544" s="20" t="str">
        <f>IF(AB1544="","",IF($F1544="Bernardino Furlan",_xlfn.XLOOKUP(AB1544,Cadastros!$G$6:$G$90,Cadastros!$H$6:$H$90)*(1-0.18),IF($F1544="Mauro José Salanti",_xlfn.XLOOKUP(AB1544,Cadastros!$G$6:$G$90,Cadastros!$H$6:$H$90)*(1-0.18),_xlfn.XLOOKUP(AB1544,Cadastros!$G$6:$G$90,Cadastros!$H$6:$H$90))))</f>
        <v/>
      </c>
      <c r="AE1544" s="168" t="str">
        <f t="shared" ref="AE1544:AE1607" si="317">IF(AD1544="","",AC1544*AD1544)</f>
        <v/>
      </c>
      <c r="AF1544" s="168" t="str">
        <f t="shared" ref="AF1544:AF1607" si="318">IFERROR(IF($F1544="Bernardino Furlan",AE1544/2751.92,IF($F1544="Mauro José Salanti",AE1544/2751.92,AE1544/3356)),"")</f>
        <v/>
      </c>
      <c r="AG1544" s="28"/>
      <c r="AH1544" s="28"/>
      <c r="AI1544" s="20" t="str">
        <f>IF(AG1544="","",IF($F1544="Bernardino Furlan",_xlfn.XLOOKUP(AG1544,Cadastros!$G$6:$G$90,Cadastros!$H$6:$H$90)*(1-0.18),IF($F1544="Mauro José Salanti",_xlfn.XLOOKUP(AG1544,Cadastros!$G$6:$G$90,Cadastros!$H$6:$H$90)*(1-0.18),_xlfn.XLOOKUP(AG1544,Cadastros!$G$6:$G$90,Cadastros!$H$6:$H$90))))</f>
        <v/>
      </c>
      <c r="AJ1544" s="168" t="str">
        <f t="shared" ref="AJ1544:AJ1607" si="319">IF(AI1544="","",AH1544*AI1544)</f>
        <v/>
      </c>
      <c r="AK1544" s="168" t="str">
        <f t="shared" ref="AK1544:AK1607" si="320">IFERROR(IF($F1544="Bernardino Furlan",AJ1544/2751.92,IF($F1544="Mauro José Salanti",AJ1544/2751.92,AJ1544/3356)),"")</f>
        <v/>
      </c>
      <c r="AL1544" s="28"/>
      <c r="AM1544" s="28"/>
      <c r="AN1544" s="20" t="str">
        <f>IF(AL1544="","",IF($F1544="Bernardino Furlan",_xlfn.XLOOKUP(AL1544,Cadastros!$G$6:$G$90,Cadastros!$H$6:$H$90)*(1-0.18),IF($F1544="Mauro José Salanti",_xlfn.XLOOKUP(AL1544,Cadastros!$G$6:$G$90,Cadastros!$H$6:$H$90)*(1-0.18),_xlfn.XLOOKUP(AL1544,Cadastros!$G$6:$G$90,Cadastros!$H$6:$H$90))))</f>
        <v/>
      </c>
      <c r="AO1544" s="168" t="str">
        <f t="shared" ref="AO1544:AO1607" si="321">IF(AN1544="","",AM1544*AN1544)</f>
        <v/>
      </c>
      <c r="AP1544" s="168" t="str">
        <f t="shared" ref="AP1544:AP1607" si="322">IFERROR(IF($F1544="Bernardino Furlan",AO1544/2751.92,IF($F1544="Mauro José Salanti",AO1544/2751.92,AO1544/3356)),"")</f>
        <v/>
      </c>
      <c r="AQ1544" s="28"/>
      <c r="AR1544" s="28"/>
      <c r="AS1544" s="20" t="str">
        <f>IF(AQ1544="","",IF($F1544="Bernardino Furlan",_xlfn.XLOOKUP(AQ1544,Cadastros!$G$6:$G$90,Cadastros!$H$6:$H$90)*(1-0.18),IF($F1544="Mauro José Salanti",_xlfn.XLOOKUP(AQ1544,Cadastros!$G$6:$G$90,Cadastros!$H$6:$H$90)*(1-0.18),_xlfn.XLOOKUP(AQ1544,Cadastros!$G$6:$G$90,Cadastros!$H$6:$H$90))))</f>
        <v/>
      </c>
      <c r="AT1544" s="168" t="str">
        <f t="shared" ref="AT1544:AT1607" si="323">IF(AS1544="","",AR1544*AS1544)</f>
        <v/>
      </c>
      <c r="AU1544" s="168" t="str">
        <f t="shared" ref="AU1544:AU1607" si="324">IFERROR(IF($F1544="Bernardino Furlan",AT1544/2751.92,IF($F1544="Mauro José Salanti",AT1544/2751.92,AT1544/3356)),"")</f>
        <v/>
      </c>
      <c r="AV1544" s="227"/>
      <c r="AW1544" s="30"/>
      <c r="AX1544" s="267"/>
      <c r="AY1544" s="267"/>
      <c r="AZ1544" s="29"/>
      <c r="BA1544" s="30"/>
      <c r="BB1544" s="23" t="str" cm="1">
        <f t="array" ref="BB1544">_xlfn.IFS(AW1544="SIM",SUM(K1544,P1544,U1544,Z1544,AE1544,AJ1544,AO1544,AT1544,AX1544,AY1544),F1544&lt;&gt;"",SUM(K1544,P1544,U1544,Z1544,AE1544,AJ1544,,AO1544,AT1544),F1544="","")</f>
        <v/>
      </c>
      <c r="BC1544" s="211" t="str" cm="1">
        <f t="array" ref="BC1544">_xlfn.IFS(E1544="","",G1544&lt;=E1544,BB1544*(1-0.03),G1544&lt;(E1544+8),BB1544,AZ1544="Boleto",BB1544*(1+0.001)^DATEDIF(E1544,G1544,"D"),AZ1544="Cheque",BB1544,AZ1544="Dinheiro","Alterar forma pgto")</f>
        <v/>
      </c>
      <c r="BD1544" s="276" t="str" cm="1">
        <f t="array" ref="BD1544">IF(F1544=0," ",IF(BC1544&lt;BB1544,(_xlfn.IFS(AW1544="SIM",SUM(L1544,Q1544,V1544,AA1544,AF1544,AK1544,AP1544,AU1544)+AX1544/_xlfn.XLOOKUP(_xlfn.XLOOKUP($F1544,Clientes!$B$4:$B$39,Clientes!$C$4:$C$39),Cadastros!$L$6:$L$12,Cadastros!$M$6:$M$12)+IF($F1544="Bernardino Furlan",AY1544/2751.92,IF($F1544="Mauro José Salanti",AY1544/2751.92,AY1544/3356)),F1544&lt;&gt;0,SUM(L1544,Q1544,V1544,AA1544,AF1544,AK1544,AP1544,AU1544)))*(1-0.03),_xlfn.IFS(AW1544="SIM",SUM(L1544,Q1544,V1544,AA1544,AF1544,AK1544,AP1544,AU1544)+AX1544/_xlfn.XLOOKUP(_xlfn.XLOOKUP($F1544,Clientes!$B$4:$B$39,Clientes!$C$4:$C$39),Cadastros!$L$6:$L$12,Cadastros!$M$6:$M$12)+IF($F1544="Bernardino Furlan",AY1544/2751.92,IF($F1544="Mauro José Salanti",AY1544/2751.92,AY1544/3356)),F1544&lt;&gt;0,SUM(L1544,Q1544,V1544,AA1544,AF1544,AK1544,AP1544,AU1544))))</f>
        <v xml:space="preserve"> </v>
      </c>
      <c r="BE1544" s="120"/>
      <c r="BF1544" s="120"/>
      <c r="BG1544" s="120"/>
    </row>
    <row r="1545" spans="1:59" s="3" customFormat="1" x14ac:dyDescent="0.3">
      <c r="A1545" s="15" t="str">
        <f t="shared" si="312"/>
        <v/>
      </c>
      <c r="B1545" s="25"/>
      <c r="C1545" s="26"/>
      <c r="D1545" s="279"/>
      <c r="E1545" s="27"/>
      <c r="F1545" s="28"/>
      <c r="G1545" s="27"/>
      <c r="H1545" s="28"/>
      <c r="I1545" s="28"/>
      <c r="J1545" s="255" t="str">
        <f>IF(H1545="","",(_xlfn.XLOOKUP(H1545,Cadastros!$D$6:$D$90,Cadastros!$E$6:$E$90))*(1-_xlfn.XLOOKUP(_xlfn.XLOOKUP($F1545,Clientes!$B$4:$B$39,Clientes!$C$4:$C$39),Cadastros!$L$6:$L$12,Cadastros!$N$6:$N$12)))</f>
        <v/>
      </c>
      <c r="K1545" s="168" t="str">
        <f t="shared" si="313"/>
        <v/>
      </c>
      <c r="L1545" s="168" t="str">
        <f>IFERROR(K1545/_xlfn.XLOOKUP(_xlfn.XLOOKUP($F1545,Clientes!$B$4:$B$39,Clientes!$C$4:$C$39),Cadastros!$L$6:$L$12,Cadastros!$M$6:$M$12)," ")</f>
        <v xml:space="preserve"> </v>
      </c>
      <c r="M1545" s="28"/>
      <c r="N1545" s="28"/>
      <c r="O1545" s="255" t="str">
        <f>IF(M1545="","",(_xlfn.XLOOKUP(M1545,Cadastros!$D$6:$D$90,Cadastros!$E$6:$E$90))*(1-_xlfn.XLOOKUP(_xlfn.XLOOKUP($F1545,Clientes!$B$4:$B$39,Clientes!$C$4:$C$39),Cadastros!$L$6:$L$12,Cadastros!$N$6:$N$12)))</f>
        <v/>
      </c>
      <c r="P1545" s="168" t="str">
        <f t="shared" si="314"/>
        <v/>
      </c>
      <c r="Q1545" s="168" t="str">
        <f>IFERROR(P1545/_xlfn.XLOOKUP(_xlfn.XLOOKUP($F1545,Clientes!$B$4:$B$39,Clientes!$C$4:$C$39),Cadastros!$L$6:$L$12,Cadastros!$M$6:$M$12)," ")</f>
        <v xml:space="preserve"> </v>
      </c>
      <c r="R1545" s="28"/>
      <c r="S1545" s="28"/>
      <c r="T1545" s="255" t="str">
        <f>IF(R1545="","",(_xlfn.XLOOKUP(R1545,Cadastros!$D$6:$D$90,Cadastros!$E$6:$E$90))*(1-_xlfn.XLOOKUP(_xlfn.XLOOKUP($F1545,Clientes!$B$4:$B$39,Clientes!$C$4:$C$39),Cadastros!$L$6:$L$12,Cadastros!$N$6:$N$12)))</f>
        <v/>
      </c>
      <c r="U1545" s="168" t="str">
        <f t="shared" si="315"/>
        <v/>
      </c>
      <c r="V1545" s="168" t="str">
        <f>IFERROR(U1545/_xlfn.XLOOKUP(_xlfn.XLOOKUP($F1545,Clientes!$B$4:$B$39,Clientes!$C$4:$C$39),Cadastros!$L$6:$L$12,Cadastros!$M$6:$M$12)," ")</f>
        <v xml:space="preserve"> </v>
      </c>
      <c r="W1545" s="28"/>
      <c r="X1545" s="28"/>
      <c r="Y1545" s="255" t="str">
        <f>IF(W1545="","",(_xlfn.XLOOKUP(W1545,Cadastros!$D$6:$D$90,Cadastros!$E$6:$E$90))*(1-_xlfn.XLOOKUP(_xlfn.XLOOKUP($F1545,Clientes!$B$4:$B$39,Clientes!$C$4:$C$39),Cadastros!$L$6:$L$12,Cadastros!$N$6:$N$12)))</f>
        <v/>
      </c>
      <c r="Z1545" s="168" t="str">
        <f t="shared" si="316"/>
        <v/>
      </c>
      <c r="AA1545" s="168" t="str">
        <f>IFERROR(Z1545/_xlfn.XLOOKUP(_xlfn.XLOOKUP($F1545,Clientes!$B$4:$B$39,Clientes!$C$4:$C$39),Cadastros!$L$6:$L$12,Cadastros!$M$6:$M$12)," ")</f>
        <v xml:space="preserve"> </v>
      </c>
      <c r="AB1545" s="28"/>
      <c r="AC1545" s="28"/>
      <c r="AD1545" s="20" t="str">
        <f>IF(AB1545="","",IF($F1545="Bernardino Furlan",_xlfn.XLOOKUP(AB1545,Cadastros!$G$6:$G$90,Cadastros!$H$6:$H$90)*(1-0.18),IF($F1545="Mauro José Salanti",_xlfn.XLOOKUP(AB1545,Cadastros!$G$6:$G$90,Cadastros!$H$6:$H$90)*(1-0.18),_xlfn.XLOOKUP(AB1545,Cadastros!$G$6:$G$90,Cadastros!$H$6:$H$90))))</f>
        <v/>
      </c>
      <c r="AE1545" s="168" t="str">
        <f t="shared" si="317"/>
        <v/>
      </c>
      <c r="AF1545" s="168" t="str">
        <f t="shared" si="318"/>
        <v/>
      </c>
      <c r="AG1545" s="28"/>
      <c r="AH1545" s="28"/>
      <c r="AI1545" s="20" t="str">
        <f>IF(AG1545="","",IF($F1545="Bernardino Furlan",_xlfn.XLOOKUP(AG1545,Cadastros!$G$6:$G$90,Cadastros!$H$6:$H$90)*(1-0.18),IF($F1545="Mauro José Salanti",_xlfn.XLOOKUP(AG1545,Cadastros!$G$6:$G$90,Cadastros!$H$6:$H$90)*(1-0.18),_xlfn.XLOOKUP(AG1545,Cadastros!$G$6:$G$90,Cadastros!$H$6:$H$90))))</f>
        <v/>
      </c>
      <c r="AJ1545" s="168" t="str">
        <f t="shared" si="319"/>
        <v/>
      </c>
      <c r="AK1545" s="168" t="str">
        <f t="shared" si="320"/>
        <v/>
      </c>
      <c r="AL1545" s="28"/>
      <c r="AM1545" s="28"/>
      <c r="AN1545" s="20" t="str">
        <f>IF(AL1545="","",IF($F1545="Bernardino Furlan",_xlfn.XLOOKUP(AL1545,Cadastros!$G$6:$G$90,Cadastros!$H$6:$H$90)*(1-0.18),IF($F1545="Mauro José Salanti",_xlfn.XLOOKUP(AL1545,Cadastros!$G$6:$G$90,Cadastros!$H$6:$H$90)*(1-0.18),_xlfn.XLOOKUP(AL1545,Cadastros!$G$6:$G$90,Cadastros!$H$6:$H$90))))</f>
        <v/>
      </c>
      <c r="AO1545" s="168" t="str">
        <f t="shared" si="321"/>
        <v/>
      </c>
      <c r="AP1545" s="168" t="str">
        <f t="shared" si="322"/>
        <v/>
      </c>
      <c r="AQ1545" s="28"/>
      <c r="AR1545" s="28"/>
      <c r="AS1545" s="20" t="str">
        <f>IF(AQ1545="","",IF($F1545="Bernardino Furlan",_xlfn.XLOOKUP(AQ1545,Cadastros!$G$6:$G$90,Cadastros!$H$6:$H$90)*(1-0.18),IF($F1545="Mauro José Salanti",_xlfn.XLOOKUP(AQ1545,Cadastros!$G$6:$G$90,Cadastros!$H$6:$H$90)*(1-0.18),_xlfn.XLOOKUP(AQ1545,Cadastros!$G$6:$G$90,Cadastros!$H$6:$H$90))))</f>
        <v/>
      </c>
      <c r="AT1545" s="168" t="str">
        <f t="shared" si="323"/>
        <v/>
      </c>
      <c r="AU1545" s="168" t="str">
        <f t="shared" si="324"/>
        <v/>
      </c>
      <c r="AV1545" s="227"/>
      <c r="AW1545" s="30"/>
      <c r="AX1545" s="267"/>
      <c r="AY1545" s="267"/>
      <c r="AZ1545" s="29"/>
      <c r="BA1545" s="30"/>
      <c r="BB1545" s="23" t="str" cm="1">
        <f t="array" ref="BB1545">_xlfn.IFS(AW1545="SIM",SUM(K1545,P1545,U1545,Z1545,AE1545,AJ1545,AO1545,AT1545,AX1545,AY1545),F1545&lt;&gt;"",SUM(K1545,P1545,U1545,Z1545,AE1545,AJ1545,,AO1545,AT1545),F1545="","")</f>
        <v/>
      </c>
      <c r="BC1545" s="211" t="str" cm="1">
        <f t="array" ref="BC1545">_xlfn.IFS(E1545="","",G1545&lt;=E1545,BB1545*(1-0.03),G1545&lt;(E1545+8),BB1545,AZ1545="Boleto",BB1545*(1+0.001)^DATEDIF(E1545,G1545,"D"),AZ1545="Cheque",BB1545,AZ1545="Dinheiro","Alterar forma pgto")</f>
        <v/>
      </c>
      <c r="BD1545" s="276" t="str" cm="1">
        <f t="array" ref="BD1545">IF(F1545=0," ",IF(BC1545&lt;BB1545,(_xlfn.IFS(AW1545="SIM",SUM(L1545,Q1545,V1545,AA1545,AF1545,AK1545,AP1545,AU1545)+AX1545/_xlfn.XLOOKUP(_xlfn.XLOOKUP($F1545,Clientes!$B$4:$B$39,Clientes!$C$4:$C$39),Cadastros!$L$6:$L$12,Cadastros!$M$6:$M$12)+IF($F1545="Bernardino Furlan",AY1545/2751.92,IF($F1545="Mauro José Salanti",AY1545/2751.92,AY1545/3356)),F1545&lt;&gt;0,SUM(L1545,Q1545,V1545,AA1545,AF1545,AK1545,AP1545,AU1545)))*(1-0.03),_xlfn.IFS(AW1545="SIM",SUM(L1545,Q1545,V1545,AA1545,AF1545,AK1545,AP1545,AU1545)+AX1545/_xlfn.XLOOKUP(_xlfn.XLOOKUP($F1545,Clientes!$B$4:$B$39,Clientes!$C$4:$C$39),Cadastros!$L$6:$L$12,Cadastros!$M$6:$M$12)+IF($F1545="Bernardino Furlan",AY1545/2751.92,IF($F1545="Mauro José Salanti",AY1545/2751.92,AY1545/3356)),F1545&lt;&gt;0,SUM(L1545,Q1545,V1545,AA1545,AF1545,AK1545,AP1545,AU1545))))</f>
        <v xml:space="preserve"> </v>
      </c>
      <c r="BE1545" s="120"/>
      <c r="BF1545" s="120"/>
      <c r="BG1545" s="120"/>
    </row>
    <row r="1546" spans="1:59" s="3" customFormat="1" x14ac:dyDescent="0.3">
      <c r="A1546" s="15" t="str">
        <f t="shared" si="312"/>
        <v/>
      </c>
      <c r="B1546" s="25"/>
      <c r="C1546" s="26"/>
      <c r="D1546" s="279"/>
      <c r="E1546" s="27"/>
      <c r="F1546" s="28"/>
      <c r="G1546" s="27"/>
      <c r="H1546" s="28"/>
      <c r="I1546" s="28"/>
      <c r="J1546" s="255" t="str">
        <f>IF(H1546="","",(_xlfn.XLOOKUP(H1546,Cadastros!$D$6:$D$90,Cadastros!$E$6:$E$90))*(1-_xlfn.XLOOKUP(_xlfn.XLOOKUP($F1546,Clientes!$B$4:$B$39,Clientes!$C$4:$C$39),Cadastros!$L$6:$L$12,Cadastros!$N$6:$N$12)))</f>
        <v/>
      </c>
      <c r="K1546" s="168" t="str">
        <f t="shared" si="313"/>
        <v/>
      </c>
      <c r="L1546" s="168" t="str">
        <f>IFERROR(K1546/_xlfn.XLOOKUP(_xlfn.XLOOKUP($F1546,Clientes!$B$4:$B$39,Clientes!$C$4:$C$39),Cadastros!$L$6:$L$12,Cadastros!$M$6:$M$12)," ")</f>
        <v xml:space="preserve"> </v>
      </c>
      <c r="M1546" s="28"/>
      <c r="N1546" s="28"/>
      <c r="O1546" s="255" t="str">
        <f>IF(M1546="","",(_xlfn.XLOOKUP(M1546,Cadastros!$D$6:$D$90,Cadastros!$E$6:$E$90))*(1-_xlfn.XLOOKUP(_xlfn.XLOOKUP($F1546,Clientes!$B$4:$B$39,Clientes!$C$4:$C$39),Cadastros!$L$6:$L$12,Cadastros!$N$6:$N$12)))</f>
        <v/>
      </c>
      <c r="P1546" s="168" t="str">
        <f t="shared" si="314"/>
        <v/>
      </c>
      <c r="Q1546" s="168" t="str">
        <f>IFERROR(P1546/_xlfn.XLOOKUP(_xlfn.XLOOKUP($F1546,Clientes!$B$4:$B$39,Clientes!$C$4:$C$39),Cadastros!$L$6:$L$12,Cadastros!$M$6:$M$12)," ")</f>
        <v xml:space="preserve"> </v>
      </c>
      <c r="R1546" s="28"/>
      <c r="S1546" s="28"/>
      <c r="T1546" s="255" t="str">
        <f>IF(R1546="","",(_xlfn.XLOOKUP(R1546,Cadastros!$D$6:$D$90,Cadastros!$E$6:$E$90))*(1-_xlfn.XLOOKUP(_xlfn.XLOOKUP($F1546,Clientes!$B$4:$B$39,Clientes!$C$4:$C$39),Cadastros!$L$6:$L$12,Cadastros!$N$6:$N$12)))</f>
        <v/>
      </c>
      <c r="U1546" s="168" t="str">
        <f t="shared" si="315"/>
        <v/>
      </c>
      <c r="V1546" s="168" t="str">
        <f>IFERROR(U1546/_xlfn.XLOOKUP(_xlfn.XLOOKUP($F1546,Clientes!$B$4:$B$39,Clientes!$C$4:$C$39),Cadastros!$L$6:$L$12,Cadastros!$M$6:$M$12)," ")</f>
        <v xml:space="preserve"> </v>
      </c>
      <c r="W1546" s="28"/>
      <c r="X1546" s="28"/>
      <c r="Y1546" s="255" t="str">
        <f>IF(W1546="","",(_xlfn.XLOOKUP(W1546,Cadastros!$D$6:$D$90,Cadastros!$E$6:$E$90))*(1-_xlfn.XLOOKUP(_xlfn.XLOOKUP($F1546,Clientes!$B$4:$B$39,Clientes!$C$4:$C$39),Cadastros!$L$6:$L$12,Cadastros!$N$6:$N$12)))</f>
        <v/>
      </c>
      <c r="Z1546" s="168" t="str">
        <f t="shared" si="316"/>
        <v/>
      </c>
      <c r="AA1546" s="168" t="str">
        <f>IFERROR(Z1546/_xlfn.XLOOKUP(_xlfn.XLOOKUP($F1546,Clientes!$B$4:$B$39,Clientes!$C$4:$C$39),Cadastros!$L$6:$L$12,Cadastros!$M$6:$M$12)," ")</f>
        <v xml:space="preserve"> </v>
      </c>
      <c r="AB1546" s="28"/>
      <c r="AC1546" s="28"/>
      <c r="AD1546" s="20" t="str">
        <f>IF(AB1546="","",IF($F1546="Bernardino Furlan",_xlfn.XLOOKUP(AB1546,Cadastros!$G$6:$G$90,Cadastros!$H$6:$H$90)*(1-0.18),IF($F1546="Mauro José Salanti",_xlfn.XLOOKUP(AB1546,Cadastros!$G$6:$G$90,Cadastros!$H$6:$H$90)*(1-0.18),_xlfn.XLOOKUP(AB1546,Cadastros!$G$6:$G$90,Cadastros!$H$6:$H$90))))</f>
        <v/>
      </c>
      <c r="AE1546" s="168" t="str">
        <f t="shared" si="317"/>
        <v/>
      </c>
      <c r="AF1546" s="168" t="str">
        <f t="shared" si="318"/>
        <v/>
      </c>
      <c r="AG1546" s="28"/>
      <c r="AH1546" s="28"/>
      <c r="AI1546" s="20" t="str">
        <f>IF(AG1546="","",IF($F1546="Bernardino Furlan",_xlfn.XLOOKUP(AG1546,Cadastros!$G$6:$G$90,Cadastros!$H$6:$H$90)*(1-0.18),IF($F1546="Mauro José Salanti",_xlfn.XLOOKUP(AG1546,Cadastros!$G$6:$G$90,Cadastros!$H$6:$H$90)*(1-0.18),_xlfn.XLOOKUP(AG1546,Cadastros!$G$6:$G$90,Cadastros!$H$6:$H$90))))</f>
        <v/>
      </c>
      <c r="AJ1546" s="168" t="str">
        <f t="shared" si="319"/>
        <v/>
      </c>
      <c r="AK1546" s="168" t="str">
        <f t="shared" si="320"/>
        <v/>
      </c>
      <c r="AL1546" s="28"/>
      <c r="AM1546" s="28"/>
      <c r="AN1546" s="20" t="str">
        <f>IF(AL1546="","",IF($F1546="Bernardino Furlan",_xlfn.XLOOKUP(AL1546,Cadastros!$G$6:$G$90,Cadastros!$H$6:$H$90)*(1-0.18),IF($F1546="Mauro José Salanti",_xlfn.XLOOKUP(AL1546,Cadastros!$G$6:$G$90,Cadastros!$H$6:$H$90)*(1-0.18),_xlfn.XLOOKUP(AL1546,Cadastros!$G$6:$G$90,Cadastros!$H$6:$H$90))))</f>
        <v/>
      </c>
      <c r="AO1546" s="168" t="str">
        <f t="shared" si="321"/>
        <v/>
      </c>
      <c r="AP1546" s="168" t="str">
        <f t="shared" si="322"/>
        <v/>
      </c>
      <c r="AQ1546" s="28"/>
      <c r="AR1546" s="28"/>
      <c r="AS1546" s="20" t="str">
        <f>IF(AQ1546="","",IF($F1546="Bernardino Furlan",_xlfn.XLOOKUP(AQ1546,Cadastros!$G$6:$G$90,Cadastros!$H$6:$H$90)*(1-0.18),IF($F1546="Mauro José Salanti",_xlfn.XLOOKUP(AQ1546,Cadastros!$G$6:$G$90,Cadastros!$H$6:$H$90)*(1-0.18),_xlfn.XLOOKUP(AQ1546,Cadastros!$G$6:$G$90,Cadastros!$H$6:$H$90))))</f>
        <v/>
      </c>
      <c r="AT1546" s="168" t="str">
        <f t="shared" si="323"/>
        <v/>
      </c>
      <c r="AU1546" s="168" t="str">
        <f t="shared" si="324"/>
        <v/>
      </c>
      <c r="AV1546" s="227"/>
      <c r="AW1546" s="30"/>
      <c r="AX1546" s="267"/>
      <c r="AY1546" s="267"/>
      <c r="AZ1546" s="29"/>
      <c r="BA1546" s="30"/>
      <c r="BB1546" s="23" t="str" cm="1">
        <f t="array" ref="BB1546">_xlfn.IFS(AW1546="SIM",SUM(K1546,P1546,U1546,Z1546,AE1546,AJ1546,AO1546,AT1546,AX1546,AY1546),F1546&lt;&gt;"",SUM(K1546,P1546,U1546,Z1546,AE1546,AJ1546,,AO1546,AT1546),F1546="","")</f>
        <v/>
      </c>
      <c r="BC1546" s="211" t="str" cm="1">
        <f t="array" ref="BC1546">_xlfn.IFS(E1546="","",G1546&lt;=E1546,BB1546*(1-0.03),G1546&lt;(E1546+8),BB1546,AZ1546="Boleto",BB1546*(1+0.001)^DATEDIF(E1546,G1546,"D"),AZ1546="Cheque",BB1546,AZ1546="Dinheiro","Alterar forma pgto")</f>
        <v/>
      </c>
      <c r="BD1546" s="276" t="str" cm="1">
        <f t="array" ref="BD1546">IF(F1546=0," ",IF(BC1546&lt;BB1546,(_xlfn.IFS(AW1546="SIM",SUM(L1546,Q1546,V1546,AA1546,AF1546,AK1546,AP1546,AU1546)+AX1546/_xlfn.XLOOKUP(_xlfn.XLOOKUP($F1546,Clientes!$B$4:$B$39,Clientes!$C$4:$C$39),Cadastros!$L$6:$L$12,Cadastros!$M$6:$M$12)+IF($F1546="Bernardino Furlan",AY1546/2751.92,IF($F1546="Mauro José Salanti",AY1546/2751.92,AY1546/3356)),F1546&lt;&gt;0,SUM(L1546,Q1546,V1546,AA1546,AF1546,AK1546,AP1546,AU1546)))*(1-0.03),_xlfn.IFS(AW1546="SIM",SUM(L1546,Q1546,V1546,AA1546,AF1546,AK1546,AP1546,AU1546)+AX1546/_xlfn.XLOOKUP(_xlfn.XLOOKUP($F1546,Clientes!$B$4:$B$39,Clientes!$C$4:$C$39),Cadastros!$L$6:$L$12,Cadastros!$M$6:$M$12)+IF($F1546="Bernardino Furlan",AY1546/2751.92,IF($F1546="Mauro José Salanti",AY1546/2751.92,AY1546/3356)),F1546&lt;&gt;0,SUM(L1546,Q1546,V1546,AA1546,AF1546,AK1546,AP1546,AU1546))))</f>
        <v xml:space="preserve"> </v>
      </c>
      <c r="BE1546" s="120"/>
      <c r="BF1546" s="120"/>
      <c r="BG1546" s="120"/>
    </row>
    <row r="1547" spans="1:59" s="3" customFormat="1" x14ac:dyDescent="0.3">
      <c r="A1547" s="15" t="str">
        <f t="shared" si="312"/>
        <v/>
      </c>
      <c r="B1547" s="25"/>
      <c r="C1547" s="26"/>
      <c r="D1547" s="279"/>
      <c r="E1547" s="27"/>
      <c r="F1547" s="28"/>
      <c r="G1547" s="27"/>
      <c r="H1547" s="28"/>
      <c r="I1547" s="28"/>
      <c r="J1547" s="255" t="str">
        <f>IF(H1547="","",(_xlfn.XLOOKUP(H1547,Cadastros!$D$6:$D$90,Cadastros!$E$6:$E$90))*(1-_xlfn.XLOOKUP(_xlfn.XLOOKUP($F1547,Clientes!$B$4:$B$39,Clientes!$C$4:$C$39),Cadastros!$L$6:$L$12,Cadastros!$N$6:$N$12)))</f>
        <v/>
      </c>
      <c r="K1547" s="168" t="str">
        <f t="shared" si="313"/>
        <v/>
      </c>
      <c r="L1547" s="168" t="str">
        <f>IFERROR(K1547/_xlfn.XLOOKUP(_xlfn.XLOOKUP($F1547,Clientes!$B$4:$B$39,Clientes!$C$4:$C$39),Cadastros!$L$6:$L$12,Cadastros!$M$6:$M$12)," ")</f>
        <v xml:space="preserve"> </v>
      </c>
      <c r="M1547" s="28"/>
      <c r="N1547" s="28"/>
      <c r="O1547" s="255" t="str">
        <f>IF(M1547="","",(_xlfn.XLOOKUP(M1547,Cadastros!$D$6:$D$90,Cadastros!$E$6:$E$90))*(1-_xlfn.XLOOKUP(_xlfn.XLOOKUP($F1547,Clientes!$B$4:$B$39,Clientes!$C$4:$C$39),Cadastros!$L$6:$L$12,Cadastros!$N$6:$N$12)))</f>
        <v/>
      </c>
      <c r="P1547" s="168" t="str">
        <f t="shared" si="314"/>
        <v/>
      </c>
      <c r="Q1547" s="168" t="str">
        <f>IFERROR(P1547/_xlfn.XLOOKUP(_xlfn.XLOOKUP($F1547,Clientes!$B$4:$B$39,Clientes!$C$4:$C$39),Cadastros!$L$6:$L$12,Cadastros!$M$6:$M$12)," ")</f>
        <v xml:space="preserve"> </v>
      </c>
      <c r="R1547" s="28"/>
      <c r="S1547" s="28"/>
      <c r="T1547" s="255" t="str">
        <f>IF(R1547="","",(_xlfn.XLOOKUP(R1547,Cadastros!$D$6:$D$90,Cadastros!$E$6:$E$90))*(1-_xlfn.XLOOKUP(_xlfn.XLOOKUP($F1547,Clientes!$B$4:$B$39,Clientes!$C$4:$C$39),Cadastros!$L$6:$L$12,Cadastros!$N$6:$N$12)))</f>
        <v/>
      </c>
      <c r="U1547" s="168" t="str">
        <f t="shared" si="315"/>
        <v/>
      </c>
      <c r="V1547" s="168" t="str">
        <f>IFERROR(U1547/_xlfn.XLOOKUP(_xlfn.XLOOKUP($F1547,Clientes!$B$4:$B$39,Clientes!$C$4:$C$39),Cadastros!$L$6:$L$12,Cadastros!$M$6:$M$12)," ")</f>
        <v xml:space="preserve"> </v>
      </c>
      <c r="W1547" s="28"/>
      <c r="X1547" s="28"/>
      <c r="Y1547" s="255" t="str">
        <f>IF(W1547="","",(_xlfn.XLOOKUP(W1547,Cadastros!$D$6:$D$90,Cadastros!$E$6:$E$90))*(1-_xlfn.XLOOKUP(_xlfn.XLOOKUP($F1547,Clientes!$B$4:$B$39,Clientes!$C$4:$C$39),Cadastros!$L$6:$L$12,Cadastros!$N$6:$N$12)))</f>
        <v/>
      </c>
      <c r="Z1547" s="168" t="str">
        <f t="shared" si="316"/>
        <v/>
      </c>
      <c r="AA1547" s="168" t="str">
        <f>IFERROR(Z1547/_xlfn.XLOOKUP(_xlfn.XLOOKUP($F1547,Clientes!$B$4:$B$39,Clientes!$C$4:$C$39),Cadastros!$L$6:$L$12,Cadastros!$M$6:$M$12)," ")</f>
        <v xml:space="preserve"> </v>
      </c>
      <c r="AB1547" s="28"/>
      <c r="AC1547" s="28"/>
      <c r="AD1547" s="20" t="str">
        <f>IF(AB1547="","",IF($F1547="Bernardino Furlan",_xlfn.XLOOKUP(AB1547,Cadastros!$G$6:$G$90,Cadastros!$H$6:$H$90)*(1-0.18),IF($F1547="Mauro José Salanti",_xlfn.XLOOKUP(AB1547,Cadastros!$G$6:$G$90,Cadastros!$H$6:$H$90)*(1-0.18),_xlfn.XLOOKUP(AB1547,Cadastros!$G$6:$G$90,Cadastros!$H$6:$H$90))))</f>
        <v/>
      </c>
      <c r="AE1547" s="168" t="str">
        <f t="shared" si="317"/>
        <v/>
      </c>
      <c r="AF1547" s="168" t="str">
        <f t="shared" si="318"/>
        <v/>
      </c>
      <c r="AG1547" s="28"/>
      <c r="AH1547" s="28"/>
      <c r="AI1547" s="20" t="str">
        <f>IF(AG1547="","",IF($F1547="Bernardino Furlan",_xlfn.XLOOKUP(AG1547,Cadastros!$G$6:$G$90,Cadastros!$H$6:$H$90)*(1-0.18),IF($F1547="Mauro José Salanti",_xlfn.XLOOKUP(AG1547,Cadastros!$G$6:$G$90,Cadastros!$H$6:$H$90)*(1-0.18),_xlfn.XLOOKUP(AG1547,Cadastros!$G$6:$G$90,Cadastros!$H$6:$H$90))))</f>
        <v/>
      </c>
      <c r="AJ1547" s="168" t="str">
        <f t="shared" si="319"/>
        <v/>
      </c>
      <c r="AK1547" s="168" t="str">
        <f t="shared" si="320"/>
        <v/>
      </c>
      <c r="AL1547" s="28"/>
      <c r="AM1547" s="28"/>
      <c r="AN1547" s="20" t="str">
        <f>IF(AL1547="","",IF($F1547="Bernardino Furlan",_xlfn.XLOOKUP(AL1547,Cadastros!$G$6:$G$90,Cadastros!$H$6:$H$90)*(1-0.18),IF($F1547="Mauro José Salanti",_xlfn.XLOOKUP(AL1547,Cadastros!$G$6:$G$90,Cadastros!$H$6:$H$90)*(1-0.18),_xlfn.XLOOKUP(AL1547,Cadastros!$G$6:$G$90,Cadastros!$H$6:$H$90))))</f>
        <v/>
      </c>
      <c r="AO1547" s="168" t="str">
        <f t="shared" si="321"/>
        <v/>
      </c>
      <c r="AP1547" s="168" t="str">
        <f t="shared" si="322"/>
        <v/>
      </c>
      <c r="AQ1547" s="28"/>
      <c r="AR1547" s="28"/>
      <c r="AS1547" s="20" t="str">
        <f>IF(AQ1547="","",IF($F1547="Bernardino Furlan",_xlfn.XLOOKUP(AQ1547,Cadastros!$G$6:$G$90,Cadastros!$H$6:$H$90)*(1-0.18),IF($F1547="Mauro José Salanti",_xlfn.XLOOKUP(AQ1547,Cadastros!$G$6:$G$90,Cadastros!$H$6:$H$90)*(1-0.18),_xlfn.XLOOKUP(AQ1547,Cadastros!$G$6:$G$90,Cadastros!$H$6:$H$90))))</f>
        <v/>
      </c>
      <c r="AT1547" s="168" t="str">
        <f t="shared" si="323"/>
        <v/>
      </c>
      <c r="AU1547" s="168" t="str">
        <f t="shared" si="324"/>
        <v/>
      </c>
      <c r="AV1547" s="227"/>
      <c r="AW1547" s="30"/>
      <c r="AX1547" s="267"/>
      <c r="AY1547" s="267"/>
      <c r="AZ1547" s="29"/>
      <c r="BA1547" s="30"/>
      <c r="BB1547" s="23" t="str" cm="1">
        <f t="array" ref="BB1547">_xlfn.IFS(AW1547="SIM",SUM(K1547,P1547,U1547,Z1547,AE1547,AJ1547,AO1547,AT1547,AX1547,AY1547),F1547&lt;&gt;"",SUM(K1547,P1547,U1547,Z1547,AE1547,AJ1547,,AO1547,AT1547),F1547="","")</f>
        <v/>
      </c>
      <c r="BC1547" s="211" t="str" cm="1">
        <f t="array" ref="BC1547">_xlfn.IFS(E1547="","",G1547&lt;=E1547,BB1547*(1-0.03),G1547&lt;(E1547+8),BB1547,AZ1547="Boleto",BB1547*(1+0.001)^DATEDIF(E1547,G1547,"D"),AZ1547="Cheque",BB1547,AZ1547="Dinheiro","Alterar forma pgto")</f>
        <v/>
      </c>
      <c r="BD1547" s="276" t="str" cm="1">
        <f t="array" ref="BD1547">IF(F1547=0," ",IF(BC1547&lt;BB1547,(_xlfn.IFS(AW1547="SIM",SUM(L1547,Q1547,V1547,AA1547,AF1547,AK1547,AP1547,AU1547)+AX1547/_xlfn.XLOOKUP(_xlfn.XLOOKUP($F1547,Clientes!$B$4:$B$39,Clientes!$C$4:$C$39),Cadastros!$L$6:$L$12,Cadastros!$M$6:$M$12)+IF($F1547="Bernardino Furlan",AY1547/2751.92,IF($F1547="Mauro José Salanti",AY1547/2751.92,AY1547/3356)),F1547&lt;&gt;0,SUM(L1547,Q1547,V1547,AA1547,AF1547,AK1547,AP1547,AU1547)))*(1-0.03),_xlfn.IFS(AW1547="SIM",SUM(L1547,Q1547,V1547,AA1547,AF1547,AK1547,AP1547,AU1547)+AX1547/_xlfn.XLOOKUP(_xlfn.XLOOKUP($F1547,Clientes!$B$4:$B$39,Clientes!$C$4:$C$39),Cadastros!$L$6:$L$12,Cadastros!$M$6:$M$12)+IF($F1547="Bernardino Furlan",AY1547/2751.92,IF($F1547="Mauro José Salanti",AY1547/2751.92,AY1547/3356)),F1547&lt;&gt;0,SUM(L1547,Q1547,V1547,AA1547,AF1547,AK1547,AP1547,AU1547))))</f>
        <v xml:space="preserve"> </v>
      </c>
      <c r="BE1547" s="120"/>
      <c r="BF1547" s="120"/>
      <c r="BG1547" s="120"/>
    </row>
    <row r="1548" spans="1:59" s="3" customFormat="1" x14ac:dyDescent="0.3">
      <c r="A1548" s="15" t="str">
        <f t="shared" si="312"/>
        <v/>
      </c>
      <c r="B1548" s="25"/>
      <c r="C1548" s="26"/>
      <c r="D1548" s="279"/>
      <c r="E1548" s="27"/>
      <c r="F1548" s="28"/>
      <c r="G1548" s="27"/>
      <c r="H1548" s="28"/>
      <c r="I1548" s="28"/>
      <c r="J1548" s="255" t="str">
        <f>IF(H1548="","",(_xlfn.XLOOKUP(H1548,Cadastros!$D$6:$D$90,Cadastros!$E$6:$E$90))*(1-_xlfn.XLOOKUP(_xlfn.XLOOKUP($F1548,Clientes!$B$4:$B$39,Clientes!$C$4:$C$39),Cadastros!$L$6:$L$12,Cadastros!$N$6:$N$12)))</f>
        <v/>
      </c>
      <c r="K1548" s="168" t="str">
        <f t="shared" si="313"/>
        <v/>
      </c>
      <c r="L1548" s="168" t="str">
        <f>IFERROR(K1548/_xlfn.XLOOKUP(_xlfn.XLOOKUP($F1548,Clientes!$B$4:$B$39,Clientes!$C$4:$C$39),Cadastros!$L$6:$L$12,Cadastros!$M$6:$M$12)," ")</f>
        <v xml:space="preserve"> </v>
      </c>
      <c r="M1548" s="28"/>
      <c r="N1548" s="28"/>
      <c r="O1548" s="255" t="str">
        <f>IF(M1548="","",(_xlfn.XLOOKUP(M1548,Cadastros!$D$6:$D$90,Cadastros!$E$6:$E$90))*(1-_xlfn.XLOOKUP(_xlfn.XLOOKUP($F1548,Clientes!$B$4:$B$39,Clientes!$C$4:$C$39),Cadastros!$L$6:$L$12,Cadastros!$N$6:$N$12)))</f>
        <v/>
      </c>
      <c r="P1548" s="168" t="str">
        <f t="shared" si="314"/>
        <v/>
      </c>
      <c r="Q1548" s="168" t="str">
        <f>IFERROR(P1548/_xlfn.XLOOKUP(_xlfn.XLOOKUP($F1548,Clientes!$B$4:$B$39,Clientes!$C$4:$C$39),Cadastros!$L$6:$L$12,Cadastros!$M$6:$M$12)," ")</f>
        <v xml:space="preserve"> </v>
      </c>
      <c r="R1548" s="28"/>
      <c r="S1548" s="28"/>
      <c r="T1548" s="255" t="str">
        <f>IF(R1548="","",(_xlfn.XLOOKUP(R1548,Cadastros!$D$6:$D$90,Cadastros!$E$6:$E$90))*(1-_xlfn.XLOOKUP(_xlfn.XLOOKUP($F1548,Clientes!$B$4:$B$39,Clientes!$C$4:$C$39),Cadastros!$L$6:$L$12,Cadastros!$N$6:$N$12)))</f>
        <v/>
      </c>
      <c r="U1548" s="168" t="str">
        <f t="shared" si="315"/>
        <v/>
      </c>
      <c r="V1548" s="168" t="str">
        <f>IFERROR(U1548/_xlfn.XLOOKUP(_xlfn.XLOOKUP($F1548,Clientes!$B$4:$B$39,Clientes!$C$4:$C$39),Cadastros!$L$6:$L$12,Cadastros!$M$6:$M$12)," ")</f>
        <v xml:space="preserve"> </v>
      </c>
      <c r="W1548" s="28"/>
      <c r="X1548" s="28"/>
      <c r="Y1548" s="255" t="str">
        <f>IF(W1548="","",(_xlfn.XLOOKUP(W1548,Cadastros!$D$6:$D$90,Cadastros!$E$6:$E$90))*(1-_xlfn.XLOOKUP(_xlfn.XLOOKUP($F1548,Clientes!$B$4:$B$39,Clientes!$C$4:$C$39),Cadastros!$L$6:$L$12,Cadastros!$N$6:$N$12)))</f>
        <v/>
      </c>
      <c r="Z1548" s="168" t="str">
        <f t="shared" si="316"/>
        <v/>
      </c>
      <c r="AA1548" s="168" t="str">
        <f>IFERROR(Z1548/_xlfn.XLOOKUP(_xlfn.XLOOKUP($F1548,Clientes!$B$4:$B$39,Clientes!$C$4:$C$39),Cadastros!$L$6:$L$12,Cadastros!$M$6:$M$12)," ")</f>
        <v xml:space="preserve"> </v>
      </c>
      <c r="AB1548" s="28"/>
      <c r="AC1548" s="28"/>
      <c r="AD1548" s="20" t="str">
        <f>IF(AB1548="","",IF($F1548="Bernardino Furlan",_xlfn.XLOOKUP(AB1548,Cadastros!$G$6:$G$90,Cadastros!$H$6:$H$90)*(1-0.18),IF($F1548="Mauro José Salanti",_xlfn.XLOOKUP(AB1548,Cadastros!$G$6:$G$90,Cadastros!$H$6:$H$90)*(1-0.18),_xlfn.XLOOKUP(AB1548,Cadastros!$G$6:$G$90,Cadastros!$H$6:$H$90))))</f>
        <v/>
      </c>
      <c r="AE1548" s="168" t="str">
        <f t="shared" si="317"/>
        <v/>
      </c>
      <c r="AF1548" s="168" t="str">
        <f t="shared" si="318"/>
        <v/>
      </c>
      <c r="AG1548" s="28"/>
      <c r="AH1548" s="28"/>
      <c r="AI1548" s="20" t="str">
        <f>IF(AG1548="","",IF($F1548="Bernardino Furlan",_xlfn.XLOOKUP(AG1548,Cadastros!$G$6:$G$90,Cadastros!$H$6:$H$90)*(1-0.18),IF($F1548="Mauro José Salanti",_xlfn.XLOOKUP(AG1548,Cadastros!$G$6:$G$90,Cadastros!$H$6:$H$90)*(1-0.18),_xlfn.XLOOKUP(AG1548,Cadastros!$G$6:$G$90,Cadastros!$H$6:$H$90))))</f>
        <v/>
      </c>
      <c r="AJ1548" s="168" t="str">
        <f t="shared" si="319"/>
        <v/>
      </c>
      <c r="AK1548" s="168" t="str">
        <f t="shared" si="320"/>
        <v/>
      </c>
      <c r="AL1548" s="28"/>
      <c r="AM1548" s="28"/>
      <c r="AN1548" s="20" t="str">
        <f>IF(AL1548="","",IF($F1548="Bernardino Furlan",_xlfn.XLOOKUP(AL1548,Cadastros!$G$6:$G$90,Cadastros!$H$6:$H$90)*(1-0.18),IF($F1548="Mauro José Salanti",_xlfn.XLOOKUP(AL1548,Cadastros!$G$6:$G$90,Cadastros!$H$6:$H$90)*(1-0.18),_xlfn.XLOOKUP(AL1548,Cadastros!$G$6:$G$90,Cadastros!$H$6:$H$90))))</f>
        <v/>
      </c>
      <c r="AO1548" s="168" t="str">
        <f t="shared" si="321"/>
        <v/>
      </c>
      <c r="AP1548" s="168" t="str">
        <f t="shared" si="322"/>
        <v/>
      </c>
      <c r="AQ1548" s="28"/>
      <c r="AR1548" s="28"/>
      <c r="AS1548" s="20" t="str">
        <f>IF(AQ1548="","",IF($F1548="Bernardino Furlan",_xlfn.XLOOKUP(AQ1548,Cadastros!$G$6:$G$90,Cadastros!$H$6:$H$90)*(1-0.18),IF($F1548="Mauro José Salanti",_xlfn.XLOOKUP(AQ1548,Cadastros!$G$6:$G$90,Cadastros!$H$6:$H$90)*(1-0.18),_xlfn.XLOOKUP(AQ1548,Cadastros!$G$6:$G$90,Cadastros!$H$6:$H$90))))</f>
        <v/>
      </c>
      <c r="AT1548" s="168" t="str">
        <f t="shared" si="323"/>
        <v/>
      </c>
      <c r="AU1548" s="168" t="str">
        <f t="shared" si="324"/>
        <v/>
      </c>
      <c r="AV1548" s="227"/>
      <c r="AW1548" s="30"/>
      <c r="AX1548" s="267"/>
      <c r="AY1548" s="267"/>
      <c r="AZ1548" s="29"/>
      <c r="BA1548" s="30"/>
      <c r="BB1548" s="23" t="str" cm="1">
        <f t="array" ref="BB1548">_xlfn.IFS(AW1548="SIM",SUM(K1548,P1548,U1548,Z1548,AE1548,AJ1548,AO1548,AT1548,AX1548,AY1548),F1548&lt;&gt;"",SUM(K1548,P1548,U1548,Z1548,AE1548,AJ1548,,AO1548,AT1548),F1548="","")</f>
        <v/>
      </c>
      <c r="BC1548" s="211" t="str" cm="1">
        <f t="array" ref="BC1548">_xlfn.IFS(E1548="","",G1548&lt;=E1548,BB1548*(1-0.03),G1548&lt;(E1548+8),BB1548,AZ1548="Boleto",BB1548*(1+0.001)^DATEDIF(E1548,G1548,"D"),AZ1548="Cheque",BB1548,AZ1548="Dinheiro","Alterar forma pgto")</f>
        <v/>
      </c>
      <c r="BD1548" s="276" t="str" cm="1">
        <f t="array" ref="BD1548">IF(F1548=0," ",IF(BC1548&lt;BB1548,(_xlfn.IFS(AW1548="SIM",SUM(L1548,Q1548,V1548,AA1548,AF1548,AK1548,AP1548,AU1548)+AX1548/_xlfn.XLOOKUP(_xlfn.XLOOKUP($F1548,Clientes!$B$4:$B$39,Clientes!$C$4:$C$39),Cadastros!$L$6:$L$12,Cadastros!$M$6:$M$12)+IF($F1548="Bernardino Furlan",AY1548/2751.92,IF($F1548="Mauro José Salanti",AY1548/2751.92,AY1548/3356)),F1548&lt;&gt;0,SUM(L1548,Q1548,V1548,AA1548,AF1548,AK1548,AP1548,AU1548)))*(1-0.03),_xlfn.IFS(AW1548="SIM",SUM(L1548,Q1548,V1548,AA1548,AF1548,AK1548,AP1548,AU1548)+AX1548/_xlfn.XLOOKUP(_xlfn.XLOOKUP($F1548,Clientes!$B$4:$B$39,Clientes!$C$4:$C$39),Cadastros!$L$6:$L$12,Cadastros!$M$6:$M$12)+IF($F1548="Bernardino Furlan",AY1548/2751.92,IF($F1548="Mauro José Salanti",AY1548/2751.92,AY1548/3356)),F1548&lt;&gt;0,SUM(L1548,Q1548,V1548,AA1548,AF1548,AK1548,AP1548,AU1548))))</f>
        <v xml:space="preserve"> </v>
      </c>
      <c r="BE1548" s="120"/>
      <c r="BF1548" s="120"/>
      <c r="BG1548" s="120"/>
    </row>
    <row r="1549" spans="1:59" s="3" customFormat="1" x14ac:dyDescent="0.3">
      <c r="A1549" s="15" t="str">
        <f t="shared" si="312"/>
        <v/>
      </c>
      <c r="B1549" s="25"/>
      <c r="C1549" s="26"/>
      <c r="D1549" s="279"/>
      <c r="E1549" s="27"/>
      <c r="F1549" s="28"/>
      <c r="G1549" s="27"/>
      <c r="H1549" s="28"/>
      <c r="I1549" s="28"/>
      <c r="J1549" s="255" t="str">
        <f>IF(H1549="","",(_xlfn.XLOOKUP(H1549,Cadastros!$D$6:$D$90,Cadastros!$E$6:$E$90))*(1-_xlfn.XLOOKUP(_xlfn.XLOOKUP($F1549,Clientes!$B$4:$B$39,Clientes!$C$4:$C$39),Cadastros!$L$6:$L$12,Cadastros!$N$6:$N$12)))</f>
        <v/>
      </c>
      <c r="K1549" s="168" t="str">
        <f t="shared" si="313"/>
        <v/>
      </c>
      <c r="L1549" s="168" t="str">
        <f>IFERROR(K1549/_xlfn.XLOOKUP(_xlfn.XLOOKUP($F1549,Clientes!$B$4:$B$39,Clientes!$C$4:$C$39),Cadastros!$L$6:$L$12,Cadastros!$M$6:$M$12)," ")</f>
        <v xml:space="preserve"> </v>
      </c>
      <c r="M1549" s="28"/>
      <c r="N1549" s="28"/>
      <c r="O1549" s="255" t="str">
        <f>IF(M1549="","",(_xlfn.XLOOKUP(M1549,Cadastros!$D$6:$D$90,Cadastros!$E$6:$E$90))*(1-_xlfn.XLOOKUP(_xlfn.XLOOKUP($F1549,Clientes!$B$4:$B$39,Clientes!$C$4:$C$39),Cadastros!$L$6:$L$12,Cadastros!$N$6:$N$12)))</f>
        <v/>
      </c>
      <c r="P1549" s="168" t="str">
        <f t="shared" si="314"/>
        <v/>
      </c>
      <c r="Q1549" s="168" t="str">
        <f>IFERROR(P1549/_xlfn.XLOOKUP(_xlfn.XLOOKUP($F1549,Clientes!$B$4:$B$39,Clientes!$C$4:$C$39),Cadastros!$L$6:$L$12,Cadastros!$M$6:$M$12)," ")</f>
        <v xml:space="preserve"> </v>
      </c>
      <c r="R1549" s="28"/>
      <c r="S1549" s="28"/>
      <c r="T1549" s="255" t="str">
        <f>IF(R1549="","",(_xlfn.XLOOKUP(R1549,Cadastros!$D$6:$D$90,Cadastros!$E$6:$E$90))*(1-_xlfn.XLOOKUP(_xlfn.XLOOKUP($F1549,Clientes!$B$4:$B$39,Clientes!$C$4:$C$39),Cadastros!$L$6:$L$12,Cadastros!$N$6:$N$12)))</f>
        <v/>
      </c>
      <c r="U1549" s="168" t="str">
        <f t="shared" si="315"/>
        <v/>
      </c>
      <c r="V1549" s="168" t="str">
        <f>IFERROR(U1549/_xlfn.XLOOKUP(_xlfn.XLOOKUP($F1549,Clientes!$B$4:$B$39,Clientes!$C$4:$C$39),Cadastros!$L$6:$L$12,Cadastros!$M$6:$M$12)," ")</f>
        <v xml:space="preserve"> </v>
      </c>
      <c r="W1549" s="28"/>
      <c r="X1549" s="28"/>
      <c r="Y1549" s="255" t="str">
        <f>IF(W1549="","",(_xlfn.XLOOKUP(W1549,Cadastros!$D$6:$D$90,Cadastros!$E$6:$E$90))*(1-_xlfn.XLOOKUP(_xlfn.XLOOKUP($F1549,Clientes!$B$4:$B$39,Clientes!$C$4:$C$39),Cadastros!$L$6:$L$12,Cadastros!$N$6:$N$12)))</f>
        <v/>
      </c>
      <c r="Z1549" s="168" t="str">
        <f t="shared" si="316"/>
        <v/>
      </c>
      <c r="AA1549" s="168" t="str">
        <f>IFERROR(Z1549/_xlfn.XLOOKUP(_xlfn.XLOOKUP($F1549,Clientes!$B$4:$B$39,Clientes!$C$4:$C$39),Cadastros!$L$6:$L$12,Cadastros!$M$6:$M$12)," ")</f>
        <v xml:space="preserve"> </v>
      </c>
      <c r="AB1549" s="28"/>
      <c r="AC1549" s="28"/>
      <c r="AD1549" s="20" t="str">
        <f>IF(AB1549="","",IF($F1549="Bernardino Furlan",_xlfn.XLOOKUP(AB1549,Cadastros!$G$6:$G$90,Cadastros!$H$6:$H$90)*(1-0.18),IF($F1549="Mauro José Salanti",_xlfn.XLOOKUP(AB1549,Cadastros!$G$6:$G$90,Cadastros!$H$6:$H$90)*(1-0.18),_xlfn.XLOOKUP(AB1549,Cadastros!$G$6:$G$90,Cadastros!$H$6:$H$90))))</f>
        <v/>
      </c>
      <c r="AE1549" s="168" t="str">
        <f t="shared" si="317"/>
        <v/>
      </c>
      <c r="AF1549" s="168" t="str">
        <f t="shared" si="318"/>
        <v/>
      </c>
      <c r="AG1549" s="28"/>
      <c r="AH1549" s="28"/>
      <c r="AI1549" s="20" t="str">
        <f>IF(AG1549="","",IF($F1549="Bernardino Furlan",_xlfn.XLOOKUP(AG1549,Cadastros!$G$6:$G$90,Cadastros!$H$6:$H$90)*(1-0.18),IF($F1549="Mauro José Salanti",_xlfn.XLOOKUP(AG1549,Cadastros!$G$6:$G$90,Cadastros!$H$6:$H$90)*(1-0.18),_xlfn.XLOOKUP(AG1549,Cadastros!$G$6:$G$90,Cadastros!$H$6:$H$90))))</f>
        <v/>
      </c>
      <c r="AJ1549" s="168" t="str">
        <f t="shared" si="319"/>
        <v/>
      </c>
      <c r="AK1549" s="168" t="str">
        <f t="shared" si="320"/>
        <v/>
      </c>
      <c r="AL1549" s="28"/>
      <c r="AM1549" s="28"/>
      <c r="AN1549" s="20" t="str">
        <f>IF(AL1549="","",IF($F1549="Bernardino Furlan",_xlfn.XLOOKUP(AL1549,Cadastros!$G$6:$G$90,Cadastros!$H$6:$H$90)*(1-0.18),IF($F1549="Mauro José Salanti",_xlfn.XLOOKUP(AL1549,Cadastros!$G$6:$G$90,Cadastros!$H$6:$H$90)*(1-0.18),_xlfn.XLOOKUP(AL1549,Cadastros!$G$6:$G$90,Cadastros!$H$6:$H$90))))</f>
        <v/>
      </c>
      <c r="AO1549" s="168" t="str">
        <f t="shared" si="321"/>
        <v/>
      </c>
      <c r="AP1549" s="168" t="str">
        <f t="shared" si="322"/>
        <v/>
      </c>
      <c r="AQ1549" s="28"/>
      <c r="AR1549" s="28"/>
      <c r="AS1549" s="20" t="str">
        <f>IF(AQ1549="","",IF($F1549="Bernardino Furlan",_xlfn.XLOOKUP(AQ1549,Cadastros!$G$6:$G$90,Cadastros!$H$6:$H$90)*(1-0.18),IF($F1549="Mauro José Salanti",_xlfn.XLOOKUP(AQ1549,Cadastros!$G$6:$G$90,Cadastros!$H$6:$H$90)*(1-0.18),_xlfn.XLOOKUP(AQ1549,Cadastros!$G$6:$G$90,Cadastros!$H$6:$H$90))))</f>
        <v/>
      </c>
      <c r="AT1549" s="168" t="str">
        <f t="shared" si="323"/>
        <v/>
      </c>
      <c r="AU1549" s="168" t="str">
        <f t="shared" si="324"/>
        <v/>
      </c>
      <c r="AV1549" s="227"/>
      <c r="AW1549" s="30"/>
      <c r="AX1549" s="267"/>
      <c r="AY1549" s="267"/>
      <c r="AZ1549" s="29"/>
      <c r="BA1549" s="30"/>
      <c r="BB1549" s="23" t="str" cm="1">
        <f t="array" ref="BB1549">_xlfn.IFS(AW1549="SIM",SUM(K1549,P1549,U1549,Z1549,AE1549,AJ1549,AO1549,AT1549,AX1549,AY1549),F1549&lt;&gt;"",SUM(K1549,P1549,U1549,Z1549,AE1549,AJ1549,,AO1549,AT1549),F1549="","")</f>
        <v/>
      </c>
      <c r="BC1549" s="211" t="str" cm="1">
        <f t="array" ref="BC1549">_xlfn.IFS(E1549="","",G1549&lt;=E1549,BB1549*(1-0.03),G1549&lt;(E1549+8),BB1549,AZ1549="Boleto",BB1549*(1+0.001)^DATEDIF(E1549,G1549,"D"),AZ1549="Cheque",BB1549,AZ1549="Dinheiro","Alterar forma pgto")</f>
        <v/>
      </c>
      <c r="BD1549" s="276" t="str" cm="1">
        <f t="array" ref="BD1549">IF(F1549=0," ",IF(BC1549&lt;BB1549,(_xlfn.IFS(AW1549="SIM",SUM(L1549,Q1549,V1549,AA1549,AF1549,AK1549,AP1549,AU1549)+AX1549/_xlfn.XLOOKUP(_xlfn.XLOOKUP($F1549,Clientes!$B$4:$B$39,Clientes!$C$4:$C$39),Cadastros!$L$6:$L$12,Cadastros!$M$6:$M$12)+IF($F1549="Bernardino Furlan",AY1549/2751.92,IF($F1549="Mauro José Salanti",AY1549/2751.92,AY1549/3356)),F1549&lt;&gt;0,SUM(L1549,Q1549,V1549,AA1549,AF1549,AK1549,AP1549,AU1549)))*(1-0.03),_xlfn.IFS(AW1549="SIM",SUM(L1549,Q1549,V1549,AA1549,AF1549,AK1549,AP1549,AU1549)+AX1549/_xlfn.XLOOKUP(_xlfn.XLOOKUP($F1549,Clientes!$B$4:$B$39,Clientes!$C$4:$C$39),Cadastros!$L$6:$L$12,Cadastros!$M$6:$M$12)+IF($F1549="Bernardino Furlan",AY1549/2751.92,IF($F1549="Mauro José Salanti",AY1549/2751.92,AY1549/3356)),F1549&lt;&gt;0,SUM(L1549,Q1549,V1549,AA1549,AF1549,AK1549,AP1549,AU1549))))</f>
        <v xml:space="preserve"> </v>
      </c>
      <c r="BE1549" s="120"/>
      <c r="BF1549" s="120"/>
      <c r="BG1549" s="120"/>
    </row>
    <row r="1550" spans="1:59" s="3" customFormat="1" x14ac:dyDescent="0.3">
      <c r="A1550" s="15" t="str">
        <f t="shared" si="312"/>
        <v/>
      </c>
      <c r="B1550" s="25"/>
      <c r="C1550" s="26"/>
      <c r="D1550" s="279"/>
      <c r="E1550" s="27"/>
      <c r="F1550" s="28"/>
      <c r="G1550" s="27"/>
      <c r="H1550" s="28"/>
      <c r="I1550" s="28"/>
      <c r="J1550" s="255" t="str">
        <f>IF(H1550="","",(_xlfn.XLOOKUP(H1550,Cadastros!$D$6:$D$90,Cadastros!$E$6:$E$90))*(1-_xlfn.XLOOKUP(_xlfn.XLOOKUP($F1550,Clientes!$B$4:$B$39,Clientes!$C$4:$C$39),Cadastros!$L$6:$L$12,Cadastros!$N$6:$N$12)))</f>
        <v/>
      </c>
      <c r="K1550" s="168" t="str">
        <f t="shared" si="313"/>
        <v/>
      </c>
      <c r="L1550" s="168" t="str">
        <f>IFERROR(K1550/_xlfn.XLOOKUP(_xlfn.XLOOKUP($F1550,Clientes!$B$4:$B$39,Clientes!$C$4:$C$39),Cadastros!$L$6:$L$12,Cadastros!$M$6:$M$12)," ")</f>
        <v xml:space="preserve"> </v>
      </c>
      <c r="M1550" s="28"/>
      <c r="N1550" s="28"/>
      <c r="O1550" s="255" t="str">
        <f>IF(M1550="","",(_xlfn.XLOOKUP(M1550,Cadastros!$D$6:$D$90,Cadastros!$E$6:$E$90))*(1-_xlfn.XLOOKUP(_xlfn.XLOOKUP($F1550,Clientes!$B$4:$B$39,Clientes!$C$4:$C$39),Cadastros!$L$6:$L$12,Cadastros!$N$6:$N$12)))</f>
        <v/>
      </c>
      <c r="P1550" s="168" t="str">
        <f t="shared" si="314"/>
        <v/>
      </c>
      <c r="Q1550" s="168" t="str">
        <f>IFERROR(P1550/_xlfn.XLOOKUP(_xlfn.XLOOKUP($F1550,Clientes!$B$4:$B$39,Clientes!$C$4:$C$39),Cadastros!$L$6:$L$12,Cadastros!$M$6:$M$12)," ")</f>
        <v xml:space="preserve"> </v>
      </c>
      <c r="R1550" s="28"/>
      <c r="S1550" s="28"/>
      <c r="T1550" s="255" t="str">
        <f>IF(R1550="","",(_xlfn.XLOOKUP(R1550,Cadastros!$D$6:$D$90,Cadastros!$E$6:$E$90))*(1-_xlfn.XLOOKUP(_xlfn.XLOOKUP($F1550,Clientes!$B$4:$B$39,Clientes!$C$4:$C$39),Cadastros!$L$6:$L$12,Cadastros!$N$6:$N$12)))</f>
        <v/>
      </c>
      <c r="U1550" s="168" t="str">
        <f t="shared" si="315"/>
        <v/>
      </c>
      <c r="V1550" s="168" t="str">
        <f>IFERROR(U1550/_xlfn.XLOOKUP(_xlfn.XLOOKUP($F1550,Clientes!$B$4:$B$39,Clientes!$C$4:$C$39),Cadastros!$L$6:$L$12,Cadastros!$M$6:$M$12)," ")</f>
        <v xml:space="preserve"> </v>
      </c>
      <c r="W1550" s="28"/>
      <c r="X1550" s="28"/>
      <c r="Y1550" s="255" t="str">
        <f>IF(W1550="","",(_xlfn.XLOOKUP(W1550,Cadastros!$D$6:$D$90,Cadastros!$E$6:$E$90))*(1-_xlfn.XLOOKUP(_xlfn.XLOOKUP($F1550,Clientes!$B$4:$B$39,Clientes!$C$4:$C$39),Cadastros!$L$6:$L$12,Cadastros!$N$6:$N$12)))</f>
        <v/>
      </c>
      <c r="Z1550" s="168" t="str">
        <f t="shared" si="316"/>
        <v/>
      </c>
      <c r="AA1550" s="168" t="str">
        <f>IFERROR(Z1550/_xlfn.XLOOKUP(_xlfn.XLOOKUP($F1550,Clientes!$B$4:$B$39,Clientes!$C$4:$C$39),Cadastros!$L$6:$L$12,Cadastros!$M$6:$M$12)," ")</f>
        <v xml:space="preserve"> </v>
      </c>
      <c r="AB1550" s="28"/>
      <c r="AC1550" s="28"/>
      <c r="AD1550" s="20" t="str">
        <f>IF(AB1550="","",IF($F1550="Bernardino Furlan",_xlfn.XLOOKUP(AB1550,Cadastros!$G$6:$G$90,Cadastros!$H$6:$H$90)*(1-0.18),IF($F1550="Mauro José Salanti",_xlfn.XLOOKUP(AB1550,Cadastros!$G$6:$G$90,Cadastros!$H$6:$H$90)*(1-0.18),_xlfn.XLOOKUP(AB1550,Cadastros!$G$6:$G$90,Cadastros!$H$6:$H$90))))</f>
        <v/>
      </c>
      <c r="AE1550" s="168" t="str">
        <f t="shared" si="317"/>
        <v/>
      </c>
      <c r="AF1550" s="168" t="str">
        <f t="shared" si="318"/>
        <v/>
      </c>
      <c r="AG1550" s="28"/>
      <c r="AH1550" s="28"/>
      <c r="AI1550" s="20" t="str">
        <f>IF(AG1550="","",IF($F1550="Bernardino Furlan",_xlfn.XLOOKUP(AG1550,Cadastros!$G$6:$G$90,Cadastros!$H$6:$H$90)*(1-0.18),IF($F1550="Mauro José Salanti",_xlfn.XLOOKUP(AG1550,Cadastros!$G$6:$G$90,Cadastros!$H$6:$H$90)*(1-0.18),_xlfn.XLOOKUP(AG1550,Cadastros!$G$6:$G$90,Cadastros!$H$6:$H$90))))</f>
        <v/>
      </c>
      <c r="AJ1550" s="168" t="str">
        <f t="shared" si="319"/>
        <v/>
      </c>
      <c r="AK1550" s="168" t="str">
        <f t="shared" si="320"/>
        <v/>
      </c>
      <c r="AL1550" s="28"/>
      <c r="AM1550" s="28"/>
      <c r="AN1550" s="20" t="str">
        <f>IF(AL1550="","",IF($F1550="Bernardino Furlan",_xlfn.XLOOKUP(AL1550,Cadastros!$G$6:$G$90,Cadastros!$H$6:$H$90)*(1-0.18),IF($F1550="Mauro José Salanti",_xlfn.XLOOKUP(AL1550,Cadastros!$G$6:$G$90,Cadastros!$H$6:$H$90)*(1-0.18),_xlfn.XLOOKUP(AL1550,Cadastros!$G$6:$G$90,Cadastros!$H$6:$H$90))))</f>
        <v/>
      </c>
      <c r="AO1550" s="168" t="str">
        <f t="shared" si="321"/>
        <v/>
      </c>
      <c r="AP1550" s="168" t="str">
        <f t="shared" si="322"/>
        <v/>
      </c>
      <c r="AQ1550" s="28"/>
      <c r="AR1550" s="28"/>
      <c r="AS1550" s="20" t="str">
        <f>IF(AQ1550="","",IF($F1550="Bernardino Furlan",_xlfn.XLOOKUP(AQ1550,Cadastros!$G$6:$G$90,Cadastros!$H$6:$H$90)*(1-0.18),IF($F1550="Mauro José Salanti",_xlfn.XLOOKUP(AQ1550,Cadastros!$G$6:$G$90,Cadastros!$H$6:$H$90)*(1-0.18),_xlfn.XLOOKUP(AQ1550,Cadastros!$G$6:$G$90,Cadastros!$H$6:$H$90))))</f>
        <v/>
      </c>
      <c r="AT1550" s="168" t="str">
        <f t="shared" si="323"/>
        <v/>
      </c>
      <c r="AU1550" s="168" t="str">
        <f t="shared" si="324"/>
        <v/>
      </c>
      <c r="AV1550" s="227"/>
      <c r="AW1550" s="30"/>
      <c r="AX1550" s="267"/>
      <c r="AY1550" s="267"/>
      <c r="AZ1550" s="29"/>
      <c r="BA1550" s="30"/>
      <c r="BB1550" s="23" t="str" cm="1">
        <f t="array" ref="BB1550">_xlfn.IFS(AW1550="SIM",SUM(K1550,P1550,U1550,Z1550,AE1550,AJ1550,AO1550,AT1550,AX1550,AY1550),F1550&lt;&gt;"",SUM(K1550,P1550,U1550,Z1550,AE1550,AJ1550,,AO1550,AT1550),F1550="","")</f>
        <v/>
      </c>
      <c r="BC1550" s="211" t="str" cm="1">
        <f t="array" ref="BC1550">_xlfn.IFS(E1550="","",G1550&lt;=E1550,BB1550*(1-0.03),G1550&lt;(E1550+8),BB1550,AZ1550="Boleto",BB1550*(1+0.001)^DATEDIF(E1550,G1550,"D"),AZ1550="Cheque",BB1550,AZ1550="Dinheiro","Alterar forma pgto")</f>
        <v/>
      </c>
      <c r="BD1550" s="276" t="str" cm="1">
        <f t="array" ref="BD1550">IF(F1550=0," ",IF(BC1550&lt;BB1550,(_xlfn.IFS(AW1550="SIM",SUM(L1550,Q1550,V1550,AA1550,AF1550,AK1550,AP1550,AU1550)+AX1550/_xlfn.XLOOKUP(_xlfn.XLOOKUP($F1550,Clientes!$B$4:$B$39,Clientes!$C$4:$C$39),Cadastros!$L$6:$L$12,Cadastros!$M$6:$M$12)+IF($F1550="Bernardino Furlan",AY1550/2751.92,IF($F1550="Mauro José Salanti",AY1550/2751.92,AY1550/3356)),F1550&lt;&gt;0,SUM(L1550,Q1550,V1550,AA1550,AF1550,AK1550,AP1550,AU1550)))*(1-0.03),_xlfn.IFS(AW1550="SIM",SUM(L1550,Q1550,V1550,AA1550,AF1550,AK1550,AP1550,AU1550)+AX1550/_xlfn.XLOOKUP(_xlfn.XLOOKUP($F1550,Clientes!$B$4:$B$39,Clientes!$C$4:$C$39),Cadastros!$L$6:$L$12,Cadastros!$M$6:$M$12)+IF($F1550="Bernardino Furlan",AY1550/2751.92,IF($F1550="Mauro José Salanti",AY1550/2751.92,AY1550/3356)),F1550&lt;&gt;0,SUM(L1550,Q1550,V1550,AA1550,AF1550,AK1550,AP1550,AU1550))))</f>
        <v xml:space="preserve"> </v>
      </c>
      <c r="BE1550" s="120"/>
      <c r="BF1550" s="120"/>
      <c r="BG1550" s="120"/>
    </row>
    <row r="1551" spans="1:59" s="3" customFormat="1" x14ac:dyDescent="0.3">
      <c r="A1551" s="15" t="str">
        <f t="shared" si="312"/>
        <v/>
      </c>
      <c r="B1551" s="25"/>
      <c r="C1551" s="26"/>
      <c r="D1551" s="279"/>
      <c r="E1551" s="27"/>
      <c r="F1551" s="28"/>
      <c r="G1551" s="27"/>
      <c r="H1551" s="28"/>
      <c r="I1551" s="28"/>
      <c r="J1551" s="255" t="str">
        <f>IF(H1551="","",(_xlfn.XLOOKUP(H1551,Cadastros!$D$6:$D$90,Cadastros!$E$6:$E$90))*(1-_xlfn.XLOOKUP(_xlfn.XLOOKUP($F1551,Clientes!$B$4:$B$39,Clientes!$C$4:$C$39),Cadastros!$L$6:$L$12,Cadastros!$N$6:$N$12)))</f>
        <v/>
      </c>
      <c r="K1551" s="168" t="str">
        <f t="shared" si="313"/>
        <v/>
      </c>
      <c r="L1551" s="168" t="str">
        <f>IFERROR(K1551/_xlfn.XLOOKUP(_xlfn.XLOOKUP($F1551,Clientes!$B$4:$B$39,Clientes!$C$4:$C$39),Cadastros!$L$6:$L$12,Cadastros!$M$6:$M$12)," ")</f>
        <v xml:space="preserve"> </v>
      </c>
      <c r="M1551" s="28"/>
      <c r="N1551" s="28"/>
      <c r="O1551" s="255" t="str">
        <f>IF(M1551="","",(_xlfn.XLOOKUP(M1551,Cadastros!$D$6:$D$90,Cadastros!$E$6:$E$90))*(1-_xlfn.XLOOKUP(_xlfn.XLOOKUP($F1551,Clientes!$B$4:$B$39,Clientes!$C$4:$C$39),Cadastros!$L$6:$L$12,Cadastros!$N$6:$N$12)))</f>
        <v/>
      </c>
      <c r="P1551" s="168" t="str">
        <f t="shared" si="314"/>
        <v/>
      </c>
      <c r="Q1551" s="168" t="str">
        <f>IFERROR(P1551/_xlfn.XLOOKUP(_xlfn.XLOOKUP($F1551,Clientes!$B$4:$B$39,Clientes!$C$4:$C$39),Cadastros!$L$6:$L$12,Cadastros!$M$6:$M$12)," ")</f>
        <v xml:space="preserve"> </v>
      </c>
      <c r="R1551" s="28"/>
      <c r="S1551" s="28"/>
      <c r="T1551" s="255" t="str">
        <f>IF(R1551="","",(_xlfn.XLOOKUP(R1551,Cadastros!$D$6:$D$90,Cadastros!$E$6:$E$90))*(1-_xlfn.XLOOKUP(_xlfn.XLOOKUP($F1551,Clientes!$B$4:$B$39,Clientes!$C$4:$C$39),Cadastros!$L$6:$L$12,Cadastros!$N$6:$N$12)))</f>
        <v/>
      </c>
      <c r="U1551" s="168" t="str">
        <f t="shared" si="315"/>
        <v/>
      </c>
      <c r="V1551" s="168" t="str">
        <f>IFERROR(U1551/_xlfn.XLOOKUP(_xlfn.XLOOKUP($F1551,Clientes!$B$4:$B$39,Clientes!$C$4:$C$39),Cadastros!$L$6:$L$12,Cadastros!$M$6:$M$12)," ")</f>
        <v xml:space="preserve"> </v>
      </c>
      <c r="W1551" s="28"/>
      <c r="X1551" s="28"/>
      <c r="Y1551" s="255" t="str">
        <f>IF(W1551="","",(_xlfn.XLOOKUP(W1551,Cadastros!$D$6:$D$90,Cadastros!$E$6:$E$90))*(1-_xlfn.XLOOKUP(_xlfn.XLOOKUP($F1551,Clientes!$B$4:$B$39,Clientes!$C$4:$C$39),Cadastros!$L$6:$L$12,Cadastros!$N$6:$N$12)))</f>
        <v/>
      </c>
      <c r="Z1551" s="168" t="str">
        <f t="shared" si="316"/>
        <v/>
      </c>
      <c r="AA1551" s="168" t="str">
        <f>IFERROR(Z1551/_xlfn.XLOOKUP(_xlfn.XLOOKUP($F1551,Clientes!$B$4:$B$39,Clientes!$C$4:$C$39),Cadastros!$L$6:$L$12,Cadastros!$M$6:$M$12)," ")</f>
        <v xml:space="preserve"> </v>
      </c>
      <c r="AB1551" s="28"/>
      <c r="AC1551" s="28"/>
      <c r="AD1551" s="20" t="str">
        <f>IF(AB1551="","",IF($F1551="Bernardino Furlan",_xlfn.XLOOKUP(AB1551,Cadastros!$G$6:$G$90,Cadastros!$H$6:$H$90)*(1-0.18),IF($F1551="Mauro José Salanti",_xlfn.XLOOKUP(AB1551,Cadastros!$G$6:$G$90,Cadastros!$H$6:$H$90)*(1-0.18),_xlfn.XLOOKUP(AB1551,Cadastros!$G$6:$G$90,Cadastros!$H$6:$H$90))))</f>
        <v/>
      </c>
      <c r="AE1551" s="168" t="str">
        <f t="shared" si="317"/>
        <v/>
      </c>
      <c r="AF1551" s="168" t="str">
        <f t="shared" si="318"/>
        <v/>
      </c>
      <c r="AG1551" s="28"/>
      <c r="AH1551" s="28"/>
      <c r="AI1551" s="20" t="str">
        <f>IF(AG1551="","",IF($F1551="Bernardino Furlan",_xlfn.XLOOKUP(AG1551,Cadastros!$G$6:$G$90,Cadastros!$H$6:$H$90)*(1-0.18),IF($F1551="Mauro José Salanti",_xlfn.XLOOKUP(AG1551,Cadastros!$G$6:$G$90,Cadastros!$H$6:$H$90)*(1-0.18),_xlfn.XLOOKUP(AG1551,Cadastros!$G$6:$G$90,Cadastros!$H$6:$H$90))))</f>
        <v/>
      </c>
      <c r="AJ1551" s="168" t="str">
        <f t="shared" si="319"/>
        <v/>
      </c>
      <c r="AK1551" s="168" t="str">
        <f t="shared" si="320"/>
        <v/>
      </c>
      <c r="AL1551" s="28"/>
      <c r="AM1551" s="28"/>
      <c r="AN1551" s="20" t="str">
        <f>IF(AL1551="","",IF($F1551="Bernardino Furlan",_xlfn.XLOOKUP(AL1551,Cadastros!$G$6:$G$90,Cadastros!$H$6:$H$90)*(1-0.18),IF($F1551="Mauro José Salanti",_xlfn.XLOOKUP(AL1551,Cadastros!$G$6:$G$90,Cadastros!$H$6:$H$90)*(1-0.18),_xlfn.XLOOKUP(AL1551,Cadastros!$G$6:$G$90,Cadastros!$H$6:$H$90))))</f>
        <v/>
      </c>
      <c r="AO1551" s="168" t="str">
        <f t="shared" si="321"/>
        <v/>
      </c>
      <c r="AP1551" s="168" t="str">
        <f t="shared" si="322"/>
        <v/>
      </c>
      <c r="AQ1551" s="28"/>
      <c r="AR1551" s="28"/>
      <c r="AS1551" s="20" t="str">
        <f>IF(AQ1551="","",IF($F1551="Bernardino Furlan",_xlfn.XLOOKUP(AQ1551,Cadastros!$G$6:$G$90,Cadastros!$H$6:$H$90)*(1-0.18),IF($F1551="Mauro José Salanti",_xlfn.XLOOKUP(AQ1551,Cadastros!$G$6:$G$90,Cadastros!$H$6:$H$90)*(1-0.18),_xlfn.XLOOKUP(AQ1551,Cadastros!$G$6:$G$90,Cadastros!$H$6:$H$90))))</f>
        <v/>
      </c>
      <c r="AT1551" s="168" t="str">
        <f t="shared" si="323"/>
        <v/>
      </c>
      <c r="AU1551" s="168" t="str">
        <f t="shared" si="324"/>
        <v/>
      </c>
      <c r="AV1551" s="227"/>
      <c r="AW1551" s="30"/>
      <c r="AX1551" s="267"/>
      <c r="AY1551" s="267"/>
      <c r="AZ1551" s="29"/>
      <c r="BA1551" s="30"/>
      <c r="BB1551" s="23" t="str" cm="1">
        <f t="array" ref="BB1551">_xlfn.IFS(AW1551="SIM",SUM(K1551,P1551,U1551,Z1551,AE1551,AJ1551,AO1551,AT1551,AX1551,AY1551),F1551&lt;&gt;"",SUM(K1551,P1551,U1551,Z1551,AE1551,AJ1551,,AO1551,AT1551),F1551="","")</f>
        <v/>
      </c>
      <c r="BC1551" s="211" t="str" cm="1">
        <f t="array" ref="BC1551">_xlfn.IFS(E1551="","",G1551&lt;=E1551,BB1551*(1-0.03),G1551&lt;(E1551+8),BB1551,AZ1551="Boleto",BB1551*(1+0.001)^DATEDIF(E1551,G1551,"D"),AZ1551="Cheque",BB1551,AZ1551="Dinheiro","Alterar forma pgto")</f>
        <v/>
      </c>
      <c r="BD1551" s="276" t="str" cm="1">
        <f t="array" ref="BD1551">IF(F1551=0," ",IF(BC1551&lt;BB1551,(_xlfn.IFS(AW1551="SIM",SUM(L1551,Q1551,V1551,AA1551,AF1551,AK1551,AP1551,AU1551)+AX1551/_xlfn.XLOOKUP(_xlfn.XLOOKUP($F1551,Clientes!$B$4:$B$39,Clientes!$C$4:$C$39),Cadastros!$L$6:$L$12,Cadastros!$M$6:$M$12)+IF($F1551="Bernardino Furlan",AY1551/2751.92,IF($F1551="Mauro José Salanti",AY1551/2751.92,AY1551/3356)),F1551&lt;&gt;0,SUM(L1551,Q1551,V1551,AA1551,AF1551,AK1551,AP1551,AU1551)))*(1-0.03),_xlfn.IFS(AW1551="SIM",SUM(L1551,Q1551,V1551,AA1551,AF1551,AK1551,AP1551,AU1551)+AX1551/_xlfn.XLOOKUP(_xlfn.XLOOKUP($F1551,Clientes!$B$4:$B$39,Clientes!$C$4:$C$39),Cadastros!$L$6:$L$12,Cadastros!$M$6:$M$12)+IF($F1551="Bernardino Furlan",AY1551/2751.92,IF($F1551="Mauro José Salanti",AY1551/2751.92,AY1551/3356)),F1551&lt;&gt;0,SUM(L1551,Q1551,V1551,AA1551,AF1551,AK1551,AP1551,AU1551))))</f>
        <v xml:space="preserve"> </v>
      </c>
      <c r="BE1551" s="120"/>
      <c r="BF1551" s="120"/>
      <c r="BG1551" s="120"/>
    </row>
    <row r="1552" spans="1:59" s="3" customFormat="1" x14ac:dyDescent="0.3">
      <c r="A1552" s="15" t="str">
        <f t="shared" si="312"/>
        <v/>
      </c>
      <c r="B1552" s="25"/>
      <c r="C1552" s="26"/>
      <c r="D1552" s="279"/>
      <c r="E1552" s="27"/>
      <c r="F1552" s="28"/>
      <c r="G1552" s="27"/>
      <c r="H1552" s="28"/>
      <c r="I1552" s="28"/>
      <c r="J1552" s="255" t="str">
        <f>IF(H1552="","",(_xlfn.XLOOKUP(H1552,Cadastros!$D$6:$D$90,Cadastros!$E$6:$E$90))*(1-_xlfn.XLOOKUP(_xlfn.XLOOKUP($F1552,Clientes!$B$4:$B$39,Clientes!$C$4:$C$39),Cadastros!$L$6:$L$12,Cadastros!$N$6:$N$12)))</f>
        <v/>
      </c>
      <c r="K1552" s="168" t="str">
        <f t="shared" si="313"/>
        <v/>
      </c>
      <c r="L1552" s="168" t="str">
        <f>IFERROR(K1552/_xlfn.XLOOKUP(_xlfn.XLOOKUP($F1552,Clientes!$B$4:$B$39,Clientes!$C$4:$C$39),Cadastros!$L$6:$L$12,Cadastros!$M$6:$M$12)," ")</f>
        <v xml:space="preserve"> </v>
      </c>
      <c r="M1552" s="28"/>
      <c r="N1552" s="28"/>
      <c r="O1552" s="255" t="str">
        <f>IF(M1552="","",(_xlfn.XLOOKUP(M1552,Cadastros!$D$6:$D$90,Cadastros!$E$6:$E$90))*(1-_xlfn.XLOOKUP(_xlfn.XLOOKUP($F1552,Clientes!$B$4:$B$39,Clientes!$C$4:$C$39),Cadastros!$L$6:$L$12,Cadastros!$N$6:$N$12)))</f>
        <v/>
      </c>
      <c r="P1552" s="168" t="str">
        <f t="shared" si="314"/>
        <v/>
      </c>
      <c r="Q1552" s="168" t="str">
        <f>IFERROR(P1552/_xlfn.XLOOKUP(_xlfn.XLOOKUP($F1552,Clientes!$B$4:$B$39,Clientes!$C$4:$C$39),Cadastros!$L$6:$L$12,Cadastros!$M$6:$M$12)," ")</f>
        <v xml:space="preserve"> </v>
      </c>
      <c r="R1552" s="28"/>
      <c r="S1552" s="28"/>
      <c r="T1552" s="255" t="str">
        <f>IF(R1552="","",(_xlfn.XLOOKUP(R1552,Cadastros!$D$6:$D$90,Cadastros!$E$6:$E$90))*(1-_xlfn.XLOOKUP(_xlfn.XLOOKUP($F1552,Clientes!$B$4:$B$39,Clientes!$C$4:$C$39),Cadastros!$L$6:$L$12,Cadastros!$N$6:$N$12)))</f>
        <v/>
      </c>
      <c r="U1552" s="168" t="str">
        <f t="shared" si="315"/>
        <v/>
      </c>
      <c r="V1552" s="168" t="str">
        <f>IFERROR(U1552/_xlfn.XLOOKUP(_xlfn.XLOOKUP($F1552,Clientes!$B$4:$B$39,Clientes!$C$4:$C$39),Cadastros!$L$6:$L$12,Cadastros!$M$6:$M$12)," ")</f>
        <v xml:space="preserve"> </v>
      </c>
      <c r="W1552" s="28"/>
      <c r="X1552" s="28"/>
      <c r="Y1552" s="255" t="str">
        <f>IF(W1552="","",(_xlfn.XLOOKUP(W1552,Cadastros!$D$6:$D$90,Cadastros!$E$6:$E$90))*(1-_xlfn.XLOOKUP(_xlfn.XLOOKUP($F1552,Clientes!$B$4:$B$39,Clientes!$C$4:$C$39),Cadastros!$L$6:$L$12,Cadastros!$N$6:$N$12)))</f>
        <v/>
      </c>
      <c r="Z1552" s="168" t="str">
        <f t="shared" si="316"/>
        <v/>
      </c>
      <c r="AA1552" s="168" t="str">
        <f>IFERROR(Z1552/_xlfn.XLOOKUP(_xlfn.XLOOKUP($F1552,Clientes!$B$4:$B$39,Clientes!$C$4:$C$39),Cadastros!$L$6:$L$12,Cadastros!$M$6:$M$12)," ")</f>
        <v xml:space="preserve"> </v>
      </c>
      <c r="AB1552" s="28"/>
      <c r="AC1552" s="28"/>
      <c r="AD1552" s="20" t="str">
        <f>IF(AB1552="","",IF($F1552="Bernardino Furlan",_xlfn.XLOOKUP(AB1552,Cadastros!$G$6:$G$90,Cadastros!$H$6:$H$90)*(1-0.18),IF($F1552="Mauro José Salanti",_xlfn.XLOOKUP(AB1552,Cadastros!$G$6:$G$90,Cadastros!$H$6:$H$90)*(1-0.18),_xlfn.XLOOKUP(AB1552,Cadastros!$G$6:$G$90,Cadastros!$H$6:$H$90))))</f>
        <v/>
      </c>
      <c r="AE1552" s="168" t="str">
        <f t="shared" si="317"/>
        <v/>
      </c>
      <c r="AF1552" s="168" t="str">
        <f t="shared" si="318"/>
        <v/>
      </c>
      <c r="AG1552" s="28"/>
      <c r="AH1552" s="28"/>
      <c r="AI1552" s="20" t="str">
        <f>IF(AG1552="","",IF($F1552="Bernardino Furlan",_xlfn.XLOOKUP(AG1552,Cadastros!$G$6:$G$90,Cadastros!$H$6:$H$90)*(1-0.18),IF($F1552="Mauro José Salanti",_xlfn.XLOOKUP(AG1552,Cadastros!$G$6:$G$90,Cadastros!$H$6:$H$90)*(1-0.18),_xlfn.XLOOKUP(AG1552,Cadastros!$G$6:$G$90,Cadastros!$H$6:$H$90))))</f>
        <v/>
      </c>
      <c r="AJ1552" s="168" t="str">
        <f t="shared" si="319"/>
        <v/>
      </c>
      <c r="AK1552" s="168" t="str">
        <f t="shared" si="320"/>
        <v/>
      </c>
      <c r="AL1552" s="28"/>
      <c r="AM1552" s="28"/>
      <c r="AN1552" s="20" t="str">
        <f>IF(AL1552="","",IF($F1552="Bernardino Furlan",_xlfn.XLOOKUP(AL1552,Cadastros!$G$6:$G$90,Cadastros!$H$6:$H$90)*(1-0.18),IF($F1552="Mauro José Salanti",_xlfn.XLOOKUP(AL1552,Cadastros!$G$6:$G$90,Cadastros!$H$6:$H$90)*(1-0.18),_xlfn.XLOOKUP(AL1552,Cadastros!$G$6:$G$90,Cadastros!$H$6:$H$90))))</f>
        <v/>
      </c>
      <c r="AO1552" s="168" t="str">
        <f t="shared" si="321"/>
        <v/>
      </c>
      <c r="AP1552" s="168" t="str">
        <f t="shared" si="322"/>
        <v/>
      </c>
      <c r="AQ1552" s="28"/>
      <c r="AR1552" s="28"/>
      <c r="AS1552" s="20" t="str">
        <f>IF(AQ1552="","",IF($F1552="Bernardino Furlan",_xlfn.XLOOKUP(AQ1552,Cadastros!$G$6:$G$90,Cadastros!$H$6:$H$90)*(1-0.18),IF($F1552="Mauro José Salanti",_xlfn.XLOOKUP(AQ1552,Cadastros!$G$6:$G$90,Cadastros!$H$6:$H$90)*(1-0.18),_xlfn.XLOOKUP(AQ1552,Cadastros!$G$6:$G$90,Cadastros!$H$6:$H$90))))</f>
        <v/>
      </c>
      <c r="AT1552" s="168" t="str">
        <f t="shared" si="323"/>
        <v/>
      </c>
      <c r="AU1552" s="168" t="str">
        <f t="shared" si="324"/>
        <v/>
      </c>
      <c r="AV1552" s="227"/>
      <c r="AW1552" s="30"/>
      <c r="AX1552" s="267"/>
      <c r="AY1552" s="267"/>
      <c r="AZ1552" s="29"/>
      <c r="BA1552" s="30"/>
      <c r="BB1552" s="23" t="str" cm="1">
        <f t="array" ref="BB1552">_xlfn.IFS(AW1552="SIM",SUM(K1552,P1552,U1552,Z1552,AE1552,AJ1552,AO1552,AT1552,AX1552,AY1552),F1552&lt;&gt;"",SUM(K1552,P1552,U1552,Z1552,AE1552,AJ1552,,AO1552,AT1552),F1552="","")</f>
        <v/>
      </c>
      <c r="BC1552" s="211" t="str" cm="1">
        <f t="array" ref="BC1552">_xlfn.IFS(E1552="","",G1552&lt;=E1552,BB1552*(1-0.03),G1552&lt;(E1552+8),BB1552,AZ1552="Boleto",BB1552*(1+0.001)^DATEDIF(E1552,G1552,"D"),AZ1552="Cheque",BB1552,AZ1552="Dinheiro","Alterar forma pgto")</f>
        <v/>
      </c>
      <c r="BD1552" s="276" t="str" cm="1">
        <f t="array" ref="BD1552">IF(F1552=0," ",IF(BC1552&lt;BB1552,(_xlfn.IFS(AW1552="SIM",SUM(L1552,Q1552,V1552,AA1552,AF1552,AK1552,AP1552,AU1552)+AX1552/_xlfn.XLOOKUP(_xlfn.XLOOKUP($F1552,Clientes!$B$4:$B$39,Clientes!$C$4:$C$39),Cadastros!$L$6:$L$12,Cadastros!$M$6:$M$12)+IF($F1552="Bernardino Furlan",AY1552/2751.92,IF($F1552="Mauro José Salanti",AY1552/2751.92,AY1552/3356)),F1552&lt;&gt;0,SUM(L1552,Q1552,V1552,AA1552,AF1552,AK1552,AP1552,AU1552)))*(1-0.03),_xlfn.IFS(AW1552="SIM",SUM(L1552,Q1552,V1552,AA1552,AF1552,AK1552,AP1552,AU1552)+AX1552/_xlfn.XLOOKUP(_xlfn.XLOOKUP($F1552,Clientes!$B$4:$B$39,Clientes!$C$4:$C$39),Cadastros!$L$6:$L$12,Cadastros!$M$6:$M$12)+IF($F1552="Bernardino Furlan",AY1552/2751.92,IF($F1552="Mauro José Salanti",AY1552/2751.92,AY1552/3356)),F1552&lt;&gt;0,SUM(L1552,Q1552,V1552,AA1552,AF1552,AK1552,AP1552,AU1552))))</f>
        <v xml:space="preserve"> </v>
      </c>
      <c r="BE1552" s="120"/>
      <c r="BF1552" s="120"/>
      <c r="BG1552" s="120"/>
    </row>
    <row r="1553" spans="1:59" s="3" customFormat="1" x14ac:dyDescent="0.3">
      <c r="A1553" s="15" t="str">
        <f t="shared" si="312"/>
        <v/>
      </c>
      <c r="B1553" s="25"/>
      <c r="C1553" s="26"/>
      <c r="D1553" s="279"/>
      <c r="E1553" s="27"/>
      <c r="F1553" s="28"/>
      <c r="G1553" s="27"/>
      <c r="H1553" s="28"/>
      <c r="I1553" s="28"/>
      <c r="J1553" s="255" t="str">
        <f>IF(H1553="","",(_xlfn.XLOOKUP(H1553,Cadastros!$D$6:$D$90,Cadastros!$E$6:$E$90))*(1-_xlfn.XLOOKUP(_xlfn.XLOOKUP($F1553,Clientes!$B$4:$B$39,Clientes!$C$4:$C$39),Cadastros!$L$6:$L$12,Cadastros!$N$6:$N$12)))</f>
        <v/>
      </c>
      <c r="K1553" s="168" t="str">
        <f t="shared" si="313"/>
        <v/>
      </c>
      <c r="L1553" s="168" t="str">
        <f>IFERROR(K1553/_xlfn.XLOOKUP(_xlfn.XLOOKUP($F1553,Clientes!$B$4:$B$39,Clientes!$C$4:$C$39),Cadastros!$L$6:$L$12,Cadastros!$M$6:$M$12)," ")</f>
        <v xml:space="preserve"> </v>
      </c>
      <c r="M1553" s="28"/>
      <c r="N1553" s="28"/>
      <c r="O1553" s="255" t="str">
        <f>IF(M1553="","",(_xlfn.XLOOKUP(M1553,Cadastros!$D$6:$D$90,Cadastros!$E$6:$E$90))*(1-_xlfn.XLOOKUP(_xlfn.XLOOKUP($F1553,Clientes!$B$4:$B$39,Clientes!$C$4:$C$39),Cadastros!$L$6:$L$12,Cadastros!$N$6:$N$12)))</f>
        <v/>
      </c>
      <c r="P1553" s="168" t="str">
        <f t="shared" si="314"/>
        <v/>
      </c>
      <c r="Q1553" s="168" t="str">
        <f>IFERROR(P1553/_xlfn.XLOOKUP(_xlfn.XLOOKUP($F1553,Clientes!$B$4:$B$39,Clientes!$C$4:$C$39),Cadastros!$L$6:$L$12,Cadastros!$M$6:$M$12)," ")</f>
        <v xml:space="preserve"> </v>
      </c>
      <c r="R1553" s="28"/>
      <c r="S1553" s="28"/>
      <c r="T1553" s="255" t="str">
        <f>IF(R1553="","",(_xlfn.XLOOKUP(R1553,Cadastros!$D$6:$D$90,Cadastros!$E$6:$E$90))*(1-_xlfn.XLOOKUP(_xlfn.XLOOKUP($F1553,Clientes!$B$4:$B$39,Clientes!$C$4:$C$39),Cadastros!$L$6:$L$12,Cadastros!$N$6:$N$12)))</f>
        <v/>
      </c>
      <c r="U1553" s="168" t="str">
        <f t="shared" si="315"/>
        <v/>
      </c>
      <c r="V1553" s="168" t="str">
        <f>IFERROR(U1553/_xlfn.XLOOKUP(_xlfn.XLOOKUP($F1553,Clientes!$B$4:$B$39,Clientes!$C$4:$C$39),Cadastros!$L$6:$L$12,Cadastros!$M$6:$M$12)," ")</f>
        <v xml:space="preserve"> </v>
      </c>
      <c r="W1553" s="28"/>
      <c r="X1553" s="28"/>
      <c r="Y1553" s="255" t="str">
        <f>IF(W1553="","",(_xlfn.XLOOKUP(W1553,Cadastros!$D$6:$D$90,Cadastros!$E$6:$E$90))*(1-_xlfn.XLOOKUP(_xlfn.XLOOKUP($F1553,Clientes!$B$4:$B$39,Clientes!$C$4:$C$39),Cadastros!$L$6:$L$12,Cadastros!$N$6:$N$12)))</f>
        <v/>
      </c>
      <c r="Z1553" s="168" t="str">
        <f t="shared" si="316"/>
        <v/>
      </c>
      <c r="AA1553" s="168" t="str">
        <f>IFERROR(Z1553/_xlfn.XLOOKUP(_xlfn.XLOOKUP($F1553,Clientes!$B$4:$B$39,Clientes!$C$4:$C$39),Cadastros!$L$6:$L$12,Cadastros!$M$6:$M$12)," ")</f>
        <v xml:space="preserve"> </v>
      </c>
      <c r="AB1553" s="28"/>
      <c r="AC1553" s="28"/>
      <c r="AD1553" s="20" t="str">
        <f>IF(AB1553="","",IF($F1553="Bernardino Furlan",_xlfn.XLOOKUP(AB1553,Cadastros!$G$6:$G$90,Cadastros!$H$6:$H$90)*(1-0.18),IF($F1553="Mauro José Salanti",_xlfn.XLOOKUP(AB1553,Cadastros!$G$6:$G$90,Cadastros!$H$6:$H$90)*(1-0.18),_xlfn.XLOOKUP(AB1553,Cadastros!$G$6:$G$90,Cadastros!$H$6:$H$90))))</f>
        <v/>
      </c>
      <c r="AE1553" s="168" t="str">
        <f t="shared" si="317"/>
        <v/>
      </c>
      <c r="AF1553" s="168" t="str">
        <f t="shared" si="318"/>
        <v/>
      </c>
      <c r="AG1553" s="28"/>
      <c r="AH1553" s="28"/>
      <c r="AI1553" s="20" t="str">
        <f>IF(AG1553="","",IF($F1553="Bernardino Furlan",_xlfn.XLOOKUP(AG1553,Cadastros!$G$6:$G$90,Cadastros!$H$6:$H$90)*(1-0.18),IF($F1553="Mauro José Salanti",_xlfn.XLOOKUP(AG1553,Cadastros!$G$6:$G$90,Cadastros!$H$6:$H$90)*(1-0.18),_xlfn.XLOOKUP(AG1553,Cadastros!$G$6:$G$90,Cadastros!$H$6:$H$90))))</f>
        <v/>
      </c>
      <c r="AJ1553" s="168" t="str">
        <f t="shared" si="319"/>
        <v/>
      </c>
      <c r="AK1553" s="168" t="str">
        <f t="shared" si="320"/>
        <v/>
      </c>
      <c r="AL1553" s="28"/>
      <c r="AM1553" s="28"/>
      <c r="AN1553" s="20" t="str">
        <f>IF(AL1553="","",IF($F1553="Bernardino Furlan",_xlfn.XLOOKUP(AL1553,Cadastros!$G$6:$G$90,Cadastros!$H$6:$H$90)*(1-0.18),IF($F1553="Mauro José Salanti",_xlfn.XLOOKUP(AL1553,Cadastros!$G$6:$G$90,Cadastros!$H$6:$H$90)*(1-0.18),_xlfn.XLOOKUP(AL1553,Cadastros!$G$6:$G$90,Cadastros!$H$6:$H$90))))</f>
        <v/>
      </c>
      <c r="AO1553" s="168" t="str">
        <f t="shared" si="321"/>
        <v/>
      </c>
      <c r="AP1553" s="168" t="str">
        <f t="shared" si="322"/>
        <v/>
      </c>
      <c r="AQ1553" s="28"/>
      <c r="AR1553" s="28"/>
      <c r="AS1553" s="20" t="str">
        <f>IF(AQ1553="","",IF($F1553="Bernardino Furlan",_xlfn.XLOOKUP(AQ1553,Cadastros!$G$6:$G$90,Cadastros!$H$6:$H$90)*(1-0.18),IF($F1553="Mauro José Salanti",_xlfn.XLOOKUP(AQ1553,Cadastros!$G$6:$G$90,Cadastros!$H$6:$H$90)*(1-0.18),_xlfn.XLOOKUP(AQ1553,Cadastros!$G$6:$G$90,Cadastros!$H$6:$H$90))))</f>
        <v/>
      </c>
      <c r="AT1553" s="168" t="str">
        <f t="shared" si="323"/>
        <v/>
      </c>
      <c r="AU1553" s="168" t="str">
        <f t="shared" si="324"/>
        <v/>
      </c>
      <c r="AV1553" s="227"/>
      <c r="AW1553" s="30"/>
      <c r="AX1553" s="267"/>
      <c r="AY1553" s="267"/>
      <c r="AZ1553" s="29"/>
      <c r="BA1553" s="30"/>
      <c r="BB1553" s="23" t="str" cm="1">
        <f t="array" ref="BB1553">_xlfn.IFS(AW1553="SIM",SUM(K1553,P1553,U1553,Z1553,AE1553,AJ1553,AO1553,AT1553,AX1553,AY1553),F1553&lt;&gt;"",SUM(K1553,P1553,U1553,Z1553,AE1553,AJ1553,,AO1553,AT1553),F1553="","")</f>
        <v/>
      </c>
      <c r="BC1553" s="211" t="str" cm="1">
        <f t="array" ref="BC1553">_xlfn.IFS(E1553="","",G1553&lt;=E1553,BB1553*(1-0.03),G1553&lt;(E1553+8),BB1553,AZ1553="Boleto",BB1553*(1+0.001)^DATEDIF(E1553,G1553,"D"),AZ1553="Cheque",BB1553,AZ1553="Dinheiro","Alterar forma pgto")</f>
        <v/>
      </c>
      <c r="BD1553" s="276" t="str" cm="1">
        <f t="array" ref="BD1553">IF(F1553=0," ",IF(BC1553&lt;BB1553,(_xlfn.IFS(AW1553="SIM",SUM(L1553,Q1553,V1553,AA1553,AF1553,AK1553,AP1553,AU1553)+AX1553/_xlfn.XLOOKUP(_xlfn.XLOOKUP($F1553,Clientes!$B$4:$B$39,Clientes!$C$4:$C$39),Cadastros!$L$6:$L$12,Cadastros!$M$6:$M$12)+IF($F1553="Bernardino Furlan",AY1553/2751.92,IF($F1553="Mauro José Salanti",AY1553/2751.92,AY1553/3356)),F1553&lt;&gt;0,SUM(L1553,Q1553,V1553,AA1553,AF1553,AK1553,AP1553,AU1553)))*(1-0.03),_xlfn.IFS(AW1553="SIM",SUM(L1553,Q1553,V1553,AA1553,AF1553,AK1553,AP1553,AU1553)+AX1553/_xlfn.XLOOKUP(_xlfn.XLOOKUP($F1553,Clientes!$B$4:$B$39,Clientes!$C$4:$C$39),Cadastros!$L$6:$L$12,Cadastros!$M$6:$M$12)+IF($F1553="Bernardino Furlan",AY1553/2751.92,IF($F1553="Mauro José Salanti",AY1553/2751.92,AY1553/3356)),F1553&lt;&gt;0,SUM(L1553,Q1553,V1553,AA1553,AF1553,AK1553,AP1553,AU1553))))</f>
        <v xml:space="preserve"> </v>
      </c>
      <c r="BE1553" s="120"/>
      <c r="BF1553" s="120"/>
      <c r="BG1553" s="120"/>
    </row>
    <row r="1554" spans="1:59" s="3" customFormat="1" x14ac:dyDescent="0.3">
      <c r="A1554" s="15" t="str">
        <f t="shared" si="312"/>
        <v/>
      </c>
      <c r="B1554" s="25"/>
      <c r="C1554" s="26"/>
      <c r="D1554" s="279"/>
      <c r="E1554" s="27"/>
      <c r="F1554" s="28"/>
      <c r="G1554" s="27"/>
      <c r="H1554" s="28"/>
      <c r="I1554" s="28"/>
      <c r="J1554" s="255" t="str">
        <f>IF(H1554="","",(_xlfn.XLOOKUP(H1554,Cadastros!$D$6:$D$90,Cadastros!$E$6:$E$90))*(1-_xlfn.XLOOKUP(_xlfn.XLOOKUP($F1554,Clientes!$B$4:$B$39,Clientes!$C$4:$C$39),Cadastros!$L$6:$L$12,Cadastros!$N$6:$N$12)))</f>
        <v/>
      </c>
      <c r="K1554" s="168" t="str">
        <f t="shared" si="313"/>
        <v/>
      </c>
      <c r="L1554" s="168" t="str">
        <f>IFERROR(K1554/_xlfn.XLOOKUP(_xlfn.XLOOKUP($F1554,Clientes!$B$4:$B$39,Clientes!$C$4:$C$39),Cadastros!$L$6:$L$12,Cadastros!$M$6:$M$12)," ")</f>
        <v xml:space="preserve"> </v>
      </c>
      <c r="M1554" s="28"/>
      <c r="N1554" s="28"/>
      <c r="O1554" s="255" t="str">
        <f>IF(M1554="","",(_xlfn.XLOOKUP(M1554,Cadastros!$D$6:$D$90,Cadastros!$E$6:$E$90))*(1-_xlfn.XLOOKUP(_xlfn.XLOOKUP($F1554,Clientes!$B$4:$B$39,Clientes!$C$4:$C$39),Cadastros!$L$6:$L$12,Cadastros!$N$6:$N$12)))</f>
        <v/>
      </c>
      <c r="P1554" s="168" t="str">
        <f t="shared" si="314"/>
        <v/>
      </c>
      <c r="Q1554" s="168" t="str">
        <f>IFERROR(P1554/_xlfn.XLOOKUP(_xlfn.XLOOKUP($F1554,Clientes!$B$4:$B$39,Clientes!$C$4:$C$39),Cadastros!$L$6:$L$12,Cadastros!$M$6:$M$12)," ")</f>
        <v xml:space="preserve"> </v>
      </c>
      <c r="R1554" s="28"/>
      <c r="S1554" s="28"/>
      <c r="T1554" s="255" t="str">
        <f>IF(R1554="","",(_xlfn.XLOOKUP(R1554,Cadastros!$D$6:$D$90,Cadastros!$E$6:$E$90))*(1-_xlfn.XLOOKUP(_xlfn.XLOOKUP($F1554,Clientes!$B$4:$B$39,Clientes!$C$4:$C$39),Cadastros!$L$6:$L$12,Cadastros!$N$6:$N$12)))</f>
        <v/>
      </c>
      <c r="U1554" s="168" t="str">
        <f t="shared" si="315"/>
        <v/>
      </c>
      <c r="V1554" s="168" t="str">
        <f>IFERROR(U1554/_xlfn.XLOOKUP(_xlfn.XLOOKUP($F1554,Clientes!$B$4:$B$39,Clientes!$C$4:$C$39),Cadastros!$L$6:$L$12,Cadastros!$M$6:$M$12)," ")</f>
        <v xml:space="preserve"> </v>
      </c>
      <c r="W1554" s="28"/>
      <c r="X1554" s="28"/>
      <c r="Y1554" s="255" t="str">
        <f>IF(W1554="","",(_xlfn.XLOOKUP(W1554,Cadastros!$D$6:$D$90,Cadastros!$E$6:$E$90))*(1-_xlfn.XLOOKUP(_xlfn.XLOOKUP($F1554,Clientes!$B$4:$B$39,Clientes!$C$4:$C$39),Cadastros!$L$6:$L$12,Cadastros!$N$6:$N$12)))</f>
        <v/>
      </c>
      <c r="Z1554" s="168" t="str">
        <f t="shared" si="316"/>
        <v/>
      </c>
      <c r="AA1554" s="168" t="str">
        <f>IFERROR(Z1554/_xlfn.XLOOKUP(_xlfn.XLOOKUP($F1554,Clientes!$B$4:$B$39,Clientes!$C$4:$C$39),Cadastros!$L$6:$L$12,Cadastros!$M$6:$M$12)," ")</f>
        <v xml:space="preserve"> </v>
      </c>
      <c r="AB1554" s="28"/>
      <c r="AC1554" s="28"/>
      <c r="AD1554" s="20" t="str">
        <f>IF(AB1554="","",IF($F1554="Bernardino Furlan",_xlfn.XLOOKUP(AB1554,Cadastros!$G$6:$G$90,Cadastros!$H$6:$H$90)*(1-0.18),IF($F1554="Mauro José Salanti",_xlfn.XLOOKUP(AB1554,Cadastros!$G$6:$G$90,Cadastros!$H$6:$H$90)*(1-0.18),_xlfn.XLOOKUP(AB1554,Cadastros!$G$6:$G$90,Cadastros!$H$6:$H$90))))</f>
        <v/>
      </c>
      <c r="AE1554" s="168" t="str">
        <f t="shared" si="317"/>
        <v/>
      </c>
      <c r="AF1554" s="168" t="str">
        <f t="shared" si="318"/>
        <v/>
      </c>
      <c r="AG1554" s="28"/>
      <c r="AH1554" s="28"/>
      <c r="AI1554" s="20" t="str">
        <f>IF(AG1554="","",IF($F1554="Bernardino Furlan",_xlfn.XLOOKUP(AG1554,Cadastros!$G$6:$G$90,Cadastros!$H$6:$H$90)*(1-0.18),IF($F1554="Mauro José Salanti",_xlfn.XLOOKUP(AG1554,Cadastros!$G$6:$G$90,Cadastros!$H$6:$H$90)*(1-0.18),_xlfn.XLOOKUP(AG1554,Cadastros!$G$6:$G$90,Cadastros!$H$6:$H$90))))</f>
        <v/>
      </c>
      <c r="AJ1554" s="168" t="str">
        <f t="shared" si="319"/>
        <v/>
      </c>
      <c r="AK1554" s="168" t="str">
        <f t="shared" si="320"/>
        <v/>
      </c>
      <c r="AL1554" s="28"/>
      <c r="AM1554" s="28"/>
      <c r="AN1554" s="20" t="str">
        <f>IF(AL1554="","",IF($F1554="Bernardino Furlan",_xlfn.XLOOKUP(AL1554,Cadastros!$G$6:$G$90,Cadastros!$H$6:$H$90)*(1-0.18),IF($F1554="Mauro José Salanti",_xlfn.XLOOKUP(AL1554,Cadastros!$G$6:$G$90,Cadastros!$H$6:$H$90)*(1-0.18),_xlfn.XLOOKUP(AL1554,Cadastros!$G$6:$G$90,Cadastros!$H$6:$H$90))))</f>
        <v/>
      </c>
      <c r="AO1554" s="168" t="str">
        <f t="shared" si="321"/>
        <v/>
      </c>
      <c r="AP1554" s="168" t="str">
        <f t="shared" si="322"/>
        <v/>
      </c>
      <c r="AQ1554" s="28"/>
      <c r="AR1554" s="28"/>
      <c r="AS1554" s="20" t="str">
        <f>IF(AQ1554="","",IF($F1554="Bernardino Furlan",_xlfn.XLOOKUP(AQ1554,Cadastros!$G$6:$G$90,Cadastros!$H$6:$H$90)*(1-0.18),IF($F1554="Mauro José Salanti",_xlfn.XLOOKUP(AQ1554,Cadastros!$G$6:$G$90,Cadastros!$H$6:$H$90)*(1-0.18),_xlfn.XLOOKUP(AQ1554,Cadastros!$G$6:$G$90,Cadastros!$H$6:$H$90))))</f>
        <v/>
      </c>
      <c r="AT1554" s="168" t="str">
        <f t="shared" si="323"/>
        <v/>
      </c>
      <c r="AU1554" s="168" t="str">
        <f t="shared" si="324"/>
        <v/>
      </c>
      <c r="AV1554" s="227"/>
      <c r="AW1554" s="30"/>
      <c r="AX1554" s="267"/>
      <c r="AY1554" s="267"/>
      <c r="AZ1554" s="29"/>
      <c r="BA1554" s="30"/>
      <c r="BB1554" s="23" t="str" cm="1">
        <f t="array" ref="BB1554">_xlfn.IFS(AW1554="SIM",SUM(K1554,P1554,U1554,Z1554,AE1554,AJ1554,AO1554,AT1554,AX1554,AY1554),F1554&lt;&gt;"",SUM(K1554,P1554,U1554,Z1554,AE1554,AJ1554,,AO1554,AT1554),F1554="","")</f>
        <v/>
      </c>
      <c r="BC1554" s="211" t="str" cm="1">
        <f t="array" ref="BC1554">_xlfn.IFS(E1554="","",G1554&lt;=E1554,BB1554*(1-0.03),G1554&lt;(E1554+8),BB1554,AZ1554="Boleto",BB1554*(1+0.001)^DATEDIF(E1554,G1554,"D"),AZ1554="Cheque",BB1554,AZ1554="Dinheiro","Alterar forma pgto")</f>
        <v/>
      </c>
      <c r="BD1554" s="276" t="str" cm="1">
        <f t="array" ref="BD1554">IF(F1554=0," ",IF(BC1554&lt;BB1554,(_xlfn.IFS(AW1554="SIM",SUM(L1554,Q1554,V1554,AA1554,AF1554,AK1554,AP1554,AU1554)+AX1554/_xlfn.XLOOKUP(_xlfn.XLOOKUP($F1554,Clientes!$B$4:$B$39,Clientes!$C$4:$C$39),Cadastros!$L$6:$L$12,Cadastros!$M$6:$M$12)+IF($F1554="Bernardino Furlan",AY1554/2751.92,IF($F1554="Mauro José Salanti",AY1554/2751.92,AY1554/3356)),F1554&lt;&gt;0,SUM(L1554,Q1554,V1554,AA1554,AF1554,AK1554,AP1554,AU1554)))*(1-0.03),_xlfn.IFS(AW1554="SIM",SUM(L1554,Q1554,V1554,AA1554,AF1554,AK1554,AP1554,AU1554)+AX1554/_xlfn.XLOOKUP(_xlfn.XLOOKUP($F1554,Clientes!$B$4:$B$39,Clientes!$C$4:$C$39),Cadastros!$L$6:$L$12,Cadastros!$M$6:$M$12)+IF($F1554="Bernardino Furlan",AY1554/2751.92,IF($F1554="Mauro José Salanti",AY1554/2751.92,AY1554/3356)),F1554&lt;&gt;0,SUM(L1554,Q1554,V1554,AA1554,AF1554,AK1554,AP1554,AU1554))))</f>
        <v xml:space="preserve"> </v>
      </c>
      <c r="BE1554" s="120"/>
      <c r="BF1554" s="120"/>
      <c r="BG1554" s="120"/>
    </row>
    <row r="1555" spans="1:59" s="3" customFormat="1" x14ac:dyDescent="0.3">
      <c r="A1555" s="15" t="str">
        <f t="shared" si="312"/>
        <v/>
      </c>
      <c r="B1555" s="25"/>
      <c r="C1555" s="26"/>
      <c r="D1555" s="279"/>
      <c r="E1555" s="27"/>
      <c r="F1555" s="28"/>
      <c r="G1555" s="27"/>
      <c r="H1555" s="28"/>
      <c r="I1555" s="28"/>
      <c r="J1555" s="255" t="str">
        <f>IF(H1555="","",(_xlfn.XLOOKUP(H1555,Cadastros!$D$6:$D$90,Cadastros!$E$6:$E$90))*(1-_xlfn.XLOOKUP(_xlfn.XLOOKUP($F1555,Clientes!$B$4:$B$39,Clientes!$C$4:$C$39),Cadastros!$L$6:$L$12,Cadastros!$N$6:$N$12)))</f>
        <v/>
      </c>
      <c r="K1555" s="168" t="str">
        <f t="shared" si="313"/>
        <v/>
      </c>
      <c r="L1555" s="168" t="str">
        <f>IFERROR(K1555/_xlfn.XLOOKUP(_xlfn.XLOOKUP($F1555,Clientes!$B$4:$B$39,Clientes!$C$4:$C$39),Cadastros!$L$6:$L$12,Cadastros!$M$6:$M$12)," ")</f>
        <v xml:space="preserve"> </v>
      </c>
      <c r="M1555" s="28"/>
      <c r="N1555" s="28"/>
      <c r="O1555" s="255" t="str">
        <f>IF(M1555="","",(_xlfn.XLOOKUP(M1555,Cadastros!$D$6:$D$90,Cadastros!$E$6:$E$90))*(1-_xlfn.XLOOKUP(_xlfn.XLOOKUP($F1555,Clientes!$B$4:$B$39,Clientes!$C$4:$C$39),Cadastros!$L$6:$L$12,Cadastros!$N$6:$N$12)))</f>
        <v/>
      </c>
      <c r="P1555" s="168" t="str">
        <f t="shared" si="314"/>
        <v/>
      </c>
      <c r="Q1555" s="168" t="str">
        <f>IFERROR(P1555/_xlfn.XLOOKUP(_xlfn.XLOOKUP($F1555,Clientes!$B$4:$B$39,Clientes!$C$4:$C$39),Cadastros!$L$6:$L$12,Cadastros!$M$6:$M$12)," ")</f>
        <v xml:space="preserve"> </v>
      </c>
      <c r="R1555" s="28"/>
      <c r="S1555" s="28"/>
      <c r="T1555" s="255" t="str">
        <f>IF(R1555="","",(_xlfn.XLOOKUP(R1555,Cadastros!$D$6:$D$90,Cadastros!$E$6:$E$90))*(1-_xlfn.XLOOKUP(_xlfn.XLOOKUP($F1555,Clientes!$B$4:$B$39,Clientes!$C$4:$C$39),Cadastros!$L$6:$L$12,Cadastros!$N$6:$N$12)))</f>
        <v/>
      </c>
      <c r="U1555" s="168" t="str">
        <f t="shared" si="315"/>
        <v/>
      </c>
      <c r="V1555" s="168" t="str">
        <f>IFERROR(U1555/_xlfn.XLOOKUP(_xlfn.XLOOKUP($F1555,Clientes!$B$4:$B$39,Clientes!$C$4:$C$39),Cadastros!$L$6:$L$12,Cadastros!$M$6:$M$12)," ")</f>
        <v xml:space="preserve"> </v>
      </c>
      <c r="W1555" s="28"/>
      <c r="X1555" s="28"/>
      <c r="Y1555" s="255" t="str">
        <f>IF(W1555="","",(_xlfn.XLOOKUP(W1555,Cadastros!$D$6:$D$90,Cadastros!$E$6:$E$90))*(1-_xlfn.XLOOKUP(_xlfn.XLOOKUP($F1555,Clientes!$B$4:$B$39,Clientes!$C$4:$C$39),Cadastros!$L$6:$L$12,Cadastros!$N$6:$N$12)))</f>
        <v/>
      </c>
      <c r="Z1555" s="168" t="str">
        <f t="shared" si="316"/>
        <v/>
      </c>
      <c r="AA1555" s="168" t="str">
        <f>IFERROR(Z1555/_xlfn.XLOOKUP(_xlfn.XLOOKUP($F1555,Clientes!$B$4:$B$39,Clientes!$C$4:$C$39),Cadastros!$L$6:$L$12,Cadastros!$M$6:$M$12)," ")</f>
        <v xml:space="preserve"> </v>
      </c>
      <c r="AB1555" s="28"/>
      <c r="AC1555" s="28"/>
      <c r="AD1555" s="20" t="str">
        <f>IF(AB1555="","",IF($F1555="Bernardino Furlan",_xlfn.XLOOKUP(AB1555,Cadastros!$G$6:$G$90,Cadastros!$H$6:$H$90)*(1-0.18),IF($F1555="Mauro José Salanti",_xlfn.XLOOKUP(AB1555,Cadastros!$G$6:$G$90,Cadastros!$H$6:$H$90)*(1-0.18),_xlfn.XLOOKUP(AB1555,Cadastros!$G$6:$G$90,Cadastros!$H$6:$H$90))))</f>
        <v/>
      </c>
      <c r="AE1555" s="168" t="str">
        <f t="shared" si="317"/>
        <v/>
      </c>
      <c r="AF1555" s="168" t="str">
        <f t="shared" si="318"/>
        <v/>
      </c>
      <c r="AG1555" s="28"/>
      <c r="AH1555" s="28"/>
      <c r="AI1555" s="20" t="str">
        <f>IF(AG1555="","",IF($F1555="Bernardino Furlan",_xlfn.XLOOKUP(AG1555,Cadastros!$G$6:$G$90,Cadastros!$H$6:$H$90)*(1-0.18),IF($F1555="Mauro José Salanti",_xlfn.XLOOKUP(AG1555,Cadastros!$G$6:$G$90,Cadastros!$H$6:$H$90)*(1-0.18),_xlfn.XLOOKUP(AG1555,Cadastros!$G$6:$G$90,Cadastros!$H$6:$H$90))))</f>
        <v/>
      </c>
      <c r="AJ1555" s="168" t="str">
        <f t="shared" si="319"/>
        <v/>
      </c>
      <c r="AK1555" s="168" t="str">
        <f t="shared" si="320"/>
        <v/>
      </c>
      <c r="AL1555" s="28"/>
      <c r="AM1555" s="28"/>
      <c r="AN1555" s="20" t="str">
        <f>IF(AL1555="","",IF($F1555="Bernardino Furlan",_xlfn.XLOOKUP(AL1555,Cadastros!$G$6:$G$90,Cadastros!$H$6:$H$90)*(1-0.18),IF($F1555="Mauro José Salanti",_xlfn.XLOOKUP(AL1555,Cadastros!$G$6:$G$90,Cadastros!$H$6:$H$90)*(1-0.18),_xlfn.XLOOKUP(AL1555,Cadastros!$G$6:$G$90,Cadastros!$H$6:$H$90))))</f>
        <v/>
      </c>
      <c r="AO1555" s="168" t="str">
        <f t="shared" si="321"/>
        <v/>
      </c>
      <c r="AP1555" s="168" t="str">
        <f t="shared" si="322"/>
        <v/>
      </c>
      <c r="AQ1555" s="28"/>
      <c r="AR1555" s="28"/>
      <c r="AS1555" s="20" t="str">
        <f>IF(AQ1555="","",IF($F1555="Bernardino Furlan",_xlfn.XLOOKUP(AQ1555,Cadastros!$G$6:$G$90,Cadastros!$H$6:$H$90)*(1-0.18),IF($F1555="Mauro José Salanti",_xlfn.XLOOKUP(AQ1555,Cadastros!$G$6:$G$90,Cadastros!$H$6:$H$90)*(1-0.18),_xlfn.XLOOKUP(AQ1555,Cadastros!$G$6:$G$90,Cadastros!$H$6:$H$90))))</f>
        <v/>
      </c>
      <c r="AT1555" s="168" t="str">
        <f t="shared" si="323"/>
        <v/>
      </c>
      <c r="AU1555" s="168" t="str">
        <f t="shared" si="324"/>
        <v/>
      </c>
      <c r="AV1555" s="227"/>
      <c r="AW1555" s="30"/>
      <c r="AX1555" s="267"/>
      <c r="AY1555" s="267"/>
      <c r="AZ1555" s="29"/>
      <c r="BA1555" s="30"/>
      <c r="BB1555" s="23" t="str" cm="1">
        <f t="array" ref="BB1555">_xlfn.IFS(AW1555="SIM",SUM(K1555,P1555,U1555,Z1555,AE1555,AJ1555,AO1555,AT1555,AX1555,AY1555),F1555&lt;&gt;"",SUM(K1555,P1555,U1555,Z1555,AE1555,AJ1555,,AO1555,AT1555),F1555="","")</f>
        <v/>
      </c>
      <c r="BC1555" s="211" t="str" cm="1">
        <f t="array" ref="BC1555">_xlfn.IFS(E1555="","",G1555&lt;=E1555,BB1555*(1-0.03),G1555&lt;(E1555+8),BB1555,AZ1555="Boleto",BB1555*(1+0.001)^DATEDIF(E1555,G1555,"D"),AZ1555="Cheque",BB1555,AZ1555="Dinheiro","Alterar forma pgto")</f>
        <v/>
      </c>
      <c r="BD1555" s="276" t="str" cm="1">
        <f t="array" ref="BD1555">IF(F1555=0," ",IF(BC1555&lt;BB1555,(_xlfn.IFS(AW1555="SIM",SUM(L1555,Q1555,V1555,AA1555,AF1555,AK1555,AP1555,AU1555)+AX1555/_xlfn.XLOOKUP(_xlfn.XLOOKUP($F1555,Clientes!$B$4:$B$39,Clientes!$C$4:$C$39),Cadastros!$L$6:$L$12,Cadastros!$M$6:$M$12)+IF($F1555="Bernardino Furlan",AY1555/2751.92,IF($F1555="Mauro José Salanti",AY1555/2751.92,AY1555/3356)),F1555&lt;&gt;0,SUM(L1555,Q1555,V1555,AA1555,AF1555,AK1555,AP1555,AU1555)))*(1-0.03),_xlfn.IFS(AW1555="SIM",SUM(L1555,Q1555,V1555,AA1555,AF1555,AK1555,AP1555,AU1555)+AX1555/_xlfn.XLOOKUP(_xlfn.XLOOKUP($F1555,Clientes!$B$4:$B$39,Clientes!$C$4:$C$39),Cadastros!$L$6:$L$12,Cadastros!$M$6:$M$12)+IF($F1555="Bernardino Furlan",AY1555/2751.92,IF($F1555="Mauro José Salanti",AY1555/2751.92,AY1555/3356)),F1555&lt;&gt;0,SUM(L1555,Q1555,V1555,AA1555,AF1555,AK1555,AP1555,AU1555))))</f>
        <v xml:space="preserve"> </v>
      </c>
      <c r="BE1555" s="120"/>
      <c r="BF1555" s="120"/>
      <c r="BG1555" s="120"/>
    </row>
    <row r="1556" spans="1:59" s="3" customFormat="1" x14ac:dyDescent="0.3">
      <c r="A1556" s="15" t="str">
        <f t="shared" si="312"/>
        <v/>
      </c>
      <c r="B1556" s="25"/>
      <c r="C1556" s="26"/>
      <c r="D1556" s="279"/>
      <c r="E1556" s="27"/>
      <c r="F1556" s="28"/>
      <c r="G1556" s="27"/>
      <c r="H1556" s="28"/>
      <c r="I1556" s="28"/>
      <c r="J1556" s="255" t="str">
        <f>IF(H1556="","",(_xlfn.XLOOKUP(H1556,Cadastros!$D$6:$D$90,Cadastros!$E$6:$E$90))*(1-_xlfn.XLOOKUP(_xlfn.XLOOKUP($F1556,Clientes!$B$4:$B$39,Clientes!$C$4:$C$39),Cadastros!$L$6:$L$12,Cadastros!$N$6:$N$12)))</f>
        <v/>
      </c>
      <c r="K1556" s="168" t="str">
        <f t="shared" si="313"/>
        <v/>
      </c>
      <c r="L1556" s="168" t="str">
        <f>IFERROR(K1556/_xlfn.XLOOKUP(_xlfn.XLOOKUP($F1556,Clientes!$B$4:$B$39,Clientes!$C$4:$C$39),Cadastros!$L$6:$L$12,Cadastros!$M$6:$M$12)," ")</f>
        <v xml:space="preserve"> </v>
      </c>
      <c r="M1556" s="28"/>
      <c r="N1556" s="28"/>
      <c r="O1556" s="255" t="str">
        <f>IF(M1556="","",(_xlfn.XLOOKUP(M1556,Cadastros!$D$6:$D$90,Cadastros!$E$6:$E$90))*(1-_xlfn.XLOOKUP(_xlfn.XLOOKUP($F1556,Clientes!$B$4:$B$39,Clientes!$C$4:$C$39),Cadastros!$L$6:$L$12,Cadastros!$N$6:$N$12)))</f>
        <v/>
      </c>
      <c r="P1556" s="168" t="str">
        <f t="shared" si="314"/>
        <v/>
      </c>
      <c r="Q1556" s="168" t="str">
        <f>IFERROR(P1556/_xlfn.XLOOKUP(_xlfn.XLOOKUP($F1556,Clientes!$B$4:$B$39,Clientes!$C$4:$C$39),Cadastros!$L$6:$L$12,Cadastros!$M$6:$M$12)," ")</f>
        <v xml:space="preserve"> </v>
      </c>
      <c r="R1556" s="28"/>
      <c r="S1556" s="28"/>
      <c r="T1556" s="255" t="str">
        <f>IF(R1556="","",(_xlfn.XLOOKUP(R1556,Cadastros!$D$6:$D$90,Cadastros!$E$6:$E$90))*(1-_xlfn.XLOOKUP(_xlfn.XLOOKUP($F1556,Clientes!$B$4:$B$39,Clientes!$C$4:$C$39),Cadastros!$L$6:$L$12,Cadastros!$N$6:$N$12)))</f>
        <v/>
      </c>
      <c r="U1556" s="168" t="str">
        <f t="shared" si="315"/>
        <v/>
      </c>
      <c r="V1556" s="168" t="str">
        <f>IFERROR(U1556/_xlfn.XLOOKUP(_xlfn.XLOOKUP($F1556,Clientes!$B$4:$B$39,Clientes!$C$4:$C$39),Cadastros!$L$6:$L$12,Cadastros!$M$6:$M$12)," ")</f>
        <v xml:space="preserve"> </v>
      </c>
      <c r="W1556" s="28"/>
      <c r="X1556" s="28"/>
      <c r="Y1556" s="255" t="str">
        <f>IF(W1556="","",(_xlfn.XLOOKUP(W1556,Cadastros!$D$6:$D$90,Cadastros!$E$6:$E$90))*(1-_xlfn.XLOOKUP(_xlfn.XLOOKUP($F1556,Clientes!$B$4:$B$39,Clientes!$C$4:$C$39),Cadastros!$L$6:$L$12,Cadastros!$N$6:$N$12)))</f>
        <v/>
      </c>
      <c r="Z1556" s="168" t="str">
        <f t="shared" si="316"/>
        <v/>
      </c>
      <c r="AA1556" s="168" t="str">
        <f>IFERROR(Z1556/_xlfn.XLOOKUP(_xlfn.XLOOKUP($F1556,Clientes!$B$4:$B$39,Clientes!$C$4:$C$39),Cadastros!$L$6:$L$12,Cadastros!$M$6:$M$12)," ")</f>
        <v xml:space="preserve"> </v>
      </c>
      <c r="AB1556" s="28"/>
      <c r="AC1556" s="28"/>
      <c r="AD1556" s="20" t="str">
        <f>IF(AB1556="","",IF($F1556="Bernardino Furlan",_xlfn.XLOOKUP(AB1556,Cadastros!$G$6:$G$90,Cadastros!$H$6:$H$90)*(1-0.18),IF($F1556="Mauro José Salanti",_xlfn.XLOOKUP(AB1556,Cadastros!$G$6:$G$90,Cadastros!$H$6:$H$90)*(1-0.18),_xlfn.XLOOKUP(AB1556,Cadastros!$G$6:$G$90,Cadastros!$H$6:$H$90))))</f>
        <v/>
      </c>
      <c r="AE1556" s="168" t="str">
        <f t="shared" si="317"/>
        <v/>
      </c>
      <c r="AF1556" s="168" t="str">
        <f t="shared" si="318"/>
        <v/>
      </c>
      <c r="AG1556" s="28"/>
      <c r="AH1556" s="28"/>
      <c r="AI1556" s="20" t="str">
        <f>IF(AG1556="","",IF($F1556="Bernardino Furlan",_xlfn.XLOOKUP(AG1556,Cadastros!$G$6:$G$90,Cadastros!$H$6:$H$90)*(1-0.18),IF($F1556="Mauro José Salanti",_xlfn.XLOOKUP(AG1556,Cadastros!$G$6:$G$90,Cadastros!$H$6:$H$90)*(1-0.18),_xlfn.XLOOKUP(AG1556,Cadastros!$G$6:$G$90,Cadastros!$H$6:$H$90))))</f>
        <v/>
      </c>
      <c r="AJ1556" s="168" t="str">
        <f t="shared" si="319"/>
        <v/>
      </c>
      <c r="AK1556" s="168" t="str">
        <f t="shared" si="320"/>
        <v/>
      </c>
      <c r="AL1556" s="28"/>
      <c r="AM1556" s="28"/>
      <c r="AN1556" s="20" t="str">
        <f>IF(AL1556="","",IF($F1556="Bernardino Furlan",_xlfn.XLOOKUP(AL1556,Cadastros!$G$6:$G$90,Cadastros!$H$6:$H$90)*(1-0.18),IF($F1556="Mauro José Salanti",_xlfn.XLOOKUP(AL1556,Cadastros!$G$6:$G$90,Cadastros!$H$6:$H$90)*(1-0.18),_xlfn.XLOOKUP(AL1556,Cadastros!$G$6:$G$90,Cadastros!$H$6:$H$90))))</f>
        <v/>
      </c>
      <c r="AO1556" s="168" t="str">
        <f t="shared" si="321"/>
        <v/>
      </c>
      <c r="AP1556" s="168" t="str">
        <f t="shared" si="322"/>
        <v/>
      </c>
      <c r="AQ1556" s="28"/>
      <c r="AR1556" s="28"/>
      <c r="AS1556" s="20" t="str">
        <f>IF(AQ1556="","",IF($F1556="Bernardino Furlan",_xlfn.XLOOKUP(AQ1556,Cadastros!$G$6:$G$90,Cadastros!$H$6:$H$90)*(1-0.18),IF($F1556="Mauro José Salanti",_xlfn.XLOOKUP(AQ1556,Cadastros!$G$6:$G$90,Cadastros!$H$6:$H$90)*(1-0.18),_xlfn.XLOOKUP(AQ1556,Cadastros!$G$6:$G$90,Cadastros!$H$6:$H$90))))</f>
        <v/>
      </c>
      <c r="AT1556" s="168" t="str">
        <f t="shared" si="323"/>
        <v/>
      </c>
      <c r="AU1556" s="168" t="str">
        <f t="shared" si="324"/>
        <v/>
      </c>
      <c r="AV1556" s="227"/>
      <c r="AW1556" s="30"/>
      <c r="AX1556" s="267"/>
      <c r="AY1556" s="267"/>
      <c r="AZ1556" s="29"/>
      <c r="BA1556" s="30"/>
      <c r="BB1556" s="23" t="str" cm="1">
        <f t="array" ref="BB1556">_xlfn.IFS(AW1556="SIM",SUM(K1556,P1556,U1556,Z1556,AE1556,AJ1556,AO1556,AT1556,AX1556,AY1556),F1556&lt;&gt;"",SUM(K1556,P1556,U1556,Z1556,AE1556,AJ1556,,AO1556,AT1556),F1556="","")</f>
        <v/>
      </c>
      <c r="BC1556" s="211" t="str" cm="1">
        <f t="array" ref="BC1556">_xlfn.IFS(E1556="","",G1556&lt;=E1556,BB1556*(1-0.03),G1556&lt;(E1556+8),BB1556,AZ1556="Boleto",BB1556*(1+0.001)^DATEDIF(E1556,G1556,"D"),AZ1556="Cheque",BB1556,AZ1556="Dinheiro","Alterar forma pgto")</f>
        <v/>
      </c>
      <c r="BD1556" s="276" t="str" cm="1">
        <f t="array" ref="BD1556">IF(F1556=0," ",IF(BC1556&lt;BB1556,(_xlfn.IFS(AW1556="SIM",SUM(L1556,Q1556,V1556,AA1556,AF1556,AK1556,AP1556,AU1556)+AX1556/_xlfn.XLOOKUP(_xlfn.XLOOKUP($F1556,Clientes!$B$4:$B$39,Clientes!$C$4:$C$39),Cadastros!$L$6:$L$12,Cadastros!$M$6:$M$12)+IF($F1556="Bernardino Furlan",AY1556/2751.92,IF($F1556="Mauro José Salanti",AY1556/2751.92,AY1556/3356)),F1556&lt;&gt;0,SUM(L1556,Q1556,V1556,AA1556,AF1556,AK1556,AP1556,AU1556)))*(1-0.03),_xlfn.IFS(AW1556="SIM",SUM(L1556,Q1556,V1556,AA1556,AF1556,AK1556,AP1556,AU1556)+AX1556/_xlfn.XLOOKUP(_xlfn.XLOOKUP($F1556,Clientes!$B$4:$B$39,Clientes!$C$4:$C$39),Cadastros!$L$6:$L$12,Cadastros!$M$6:$M$12)+IF($F1556="Bernardino Furlan",AY1556/2751.92,IF($F1556="Mauro José Salanti",AY1556/2751.92,AY1556/3356)),F1556&lt;&gt;0,SUM(L1556,Q1556,V1556,AA1556,AF1556,AK1556,AP1556,AU1556))))</f>
        <v xml:space="preserve"> </v>
      </c>
      <c r="BE1556" s="120"/>
      <c r="BF1556" s="120"/>
      <c r="BG1556" s="120"/>
    </row>
    <row r="1557" spans="1:59" s="3" customFormat="1" x14ac:dyDescent="0.3">
      <c r="A1557" s="15" t="str">
        <f t="shared" si="312"/>
        <v/>
      </c>
      <c r="B1557" s="25"/>
      <c r="C1557" s="26"/>
      <c r="D1557" s="279"/>
      <c r="E1557" s="27"/>
      <c r="F1557" s="28"/>
      <c r="G1557" s="27"/>
      <c r="H1557" s="28"/>
      <c r="I1557" s="28"/>
      <c r="J1557" s="255" t="str">
        <f>IF(H1557="","",(_xlfn.XLOOKUP(H1557,Cadastros!$D$6:$D$90,Cadastros!$E$6:$E$90))*(1-_xlfn.XLOOKUP(_xlfn.XLOOKUP($F1557,Clientes!$B$4:$B$39,Clientes!$C$4:$C$39),Cadastros!$L$6:$L$12,Cadastros!$N$6:$N$12)))</f>
        <v/>
      </c>
      <c r="K1557" s="168" t="str">
        <f t="shared" si="313"/>
        <v/>
      </c>
      <c r="L1557" s="168" t="str">
        <f>IFERROR(K1557/_xlfn.XLOOKUP(_xlfn.XLOOKUP($F1557,Clientes!$B$4:$B$39,Clientes!$C$4:$C$39),Cadastros!$L$6:$L$12,Cadastros!$M$6:$M$12)," ")</f>
        <v xml:space="preserve"> </v>
      </c>
      <c r="M1557" s="28"/>
      <c r="N1557" s="28"/>
      <c r="O1557" s="255" t="str">
        <f>IF(M1557="","",(_xlfn.XLOOKUP(M1557,Cadastros!$D$6:$D$90,Cadastros!$E$6:$E$90))*(1-_xlfn.XLOOKUP(_xlfn.XLOOKUP($F1557,Clientes!$B$4:$B$39,Clientes!$C$4:$C$39),Cadastros!$L$6:$L$12,Cadastros!$N$6:$N$12)))</f>
        <v/>
      </c>
      <c r="P1557" s="168" t="str">
        <f t="shared" si="314"/>
        <v/>
      </c>
      <c r="Q1557" s="168" t="str">
        <f>IFERROR(P1557/_xlfn.XLOOKUP(_xlfn.XLOOKUP($F1557,Clientes!$B$4:$B$39,Clientes!$C$4:$C$39),Cadastros!$L$6:$L$12,Cadastros!$M$6:$M$12)," ")</f>
        <v xml:space="preserve"> </v>
      </c>
      <c r="R1557" s="28"/>
      <c r="S1557" s="28"/>
      <c r="T1557" s="255" t="str">
        <f>IF(R1557="","",(_xlfn.XLOOKUP(R1557,Cadastros!$D$6:$D$90,Cadastros!$E$6:$E$90))*(1-_xlfn.XLOOKUP(_xlfn.XLOOKUP($F1557,Clientes!$B$4:$B$39,Clientes!$C$4:$C$39),Cadastros!$L$6:$L$12,Cadastros!$N$6:$N$12)))</f>
        <v/>
      </c>
      <c r="U1557" s="168" t="str">
        <f t="shared" si="315"/>
        <v/>
      </c>
      <c r="V1557" s="168" t="str">
        <f>IFERROR(U1557/_xlfn.XLOOKUP(_xlfn.XLOOKUP($F1557,Clientes!$B$4:$B$39,Clientes!$C$4:$C$39),Cadastros!$L$6:$L$12,Cadastros!$M$6:$M$12)," ")</f>
        <v xml:space="preserve"> </v>
      </c>
      <c r="W1557" s="28"/>
      <c r="X1557" s="28"/>
      <c r="Y1557" s="255" t="str">
        <f>IF(W1557="","",(_xlfn.XLOOKUP(W1557,Cadastros!$D$6:$D$90,Cadastros!$E$6:$E$90))*(1-_xlfn.XLOOKUP(_xlfn.XLOOKUP($F1557,Clientes!$B$4:$B$39,Clientes!$C$4:$C$39),Cadastros!$L$6:$L$12,Cadastros!$N$6:$N$12)))</f>
        <v/>
      </c>
      <c r="Z1557" s="168" t="str">
        <f t="shared" si="316"/>
        <v/>
      </c>
      <c r="AA1557" s="168" t="str">
        <f>IFERROR(Z1557/_xlfn.XLOOKUP(_xlfn.XLOOKUP($F1557,Clientes!$B$4:$B$39,Clientes!$C$4:$C$39),Cadastros!$L$6:$L$12,Cadastros!$M$6:$M$12)," ")</f>
        <v xml:space="preserve"> </v>
      </c>
      <c r="AB1557" s="28"/>
      <c r="AC1557" s="28"/>
      <c r="AD1557" s="20" t="str">
        <f>IF(AB1557="","",IF($F1557="Bernardino Furlan",_xlfn.XLOOKUP(AB1557,Cadastros!$G$6:$G$90,Cadastros!$H$6:$H$90)*(1-0.18),IF($F1557="Mauro José Salanti",_xlfn.XLOOKUP(AB1557,Cadastros!$G$6:$G$90,Cadastros!$H$6:$H$90)*(1-0.18),_xlfn.XLOOKUP(AB1557,Cadastros!$G$6:$G$90,Cadastros!$H$6:$H$90))))</f>
        <v/>
      </c>
      <c r="AE1557" s="168" t="str">
        <f t="shared" si="317"/>
        <v/>
      </c>
      <c r="AF1557" s="168" t="str">
        <f t="shared" si="318"/>
        <v/>
      </c>
      <c r="AG1557" s="28"/>
      <c r="AH1557" s="28"/>
      <c r="AI1557" s="20" t="str">
        <f>IF(AG1557="","",IF($F1557="Bernardino Furlan",_xlfn.XLOOKUP(AG1557,Cadastros!$G$6:$G$90,Cadastros!$H$6:$H$90)*(1-0.18),IF($F1557="Mauro José Salanti",_xlfn.XLOOKUP(AG1557,Cadastros!$G$6:$G$90,Cadastros!$H$6:$H$90)*(1-0.18),_xlfn.XLOOKUP(AG1557,Cadastros!$G$6:$G$90,Cadastros!$H$6:$H$90))))</f>
        <v/>
      </c>
      <c r="AJ1557" s="168" t="str">
        <f t="shared" si="319"/>
        <v/>
      </c>
      <c r="AK1557" s="168" t="str">
        <f t="shared" si="320"/>
        <v/>
      </c>
      <c r="AL1557" s="28"/>
      <c r="AM1557" s="28"/>
      <c r="AN1557" s="20" t="str">
        <f>IF(AL1557="","",IF($F1557="Bernardino Furlan",_xlfn.XLOOKUP(AL1557,Cadastros!$G$6:$G$90,Cadastros!$H$6:$H$90)*(1-0.18),IF($F1557="Mauro José Salanti",_xlfn.XLOOKUP(AL1557,Cadastros!$G$6:$G$90,Cadastros!$H$6:$H$90)*(1-0.18),_xlfn.XLOOKUP(AL1557,Cadastros!$G$6:$G$90,Cadastros!$H$6:$H$90))))</f>
        <v/>
      </c>
      <c r="AO1557" s="168" t="str">
        <f t="shared" si="321"/>
        <v/>
      </c>
      <c r="AP1557" s="168" t="str">
        <f t="shared" si="322"/>
        <v/>
      </c>
      <c r="AQ1557" s="28"/>
      <c r="AR1557" s="28"/>
      <c r="AS1557" s="20" t="str">
        <f>IF(AQ1557="","",IF($F1557="Bernardino Furlan",_xlfn.XLOOKUP(AQ1557,Cadastros!$G$6:$G$90,Cadastros!$H$6:$H$90)*(1-0.18),IF($F1557="Mauro José Salanti",_xlfn.XLOOKUP(AQ1557,Cadastros!$G$6:$G$90,Cadastros!$H$6:$H$90)*(1-0.18),_xlfn.XLOOKUP(AQ1557,Cadastros!$G$6:$G$90,Cadastros!$H$6:$H$90))))</f>
        <v/>
      </c>
      <c r="AT1557" s="168" t="str">
        <f t="shared" si="323"/>
        <v/>
      </c>
      <c r="AU1557" s="168" t="str">
        <f t="shared" si="324"/>
        <v/>
      </c>
      <c r="AV1557" s="227"/>
      <c r="AW1557" s="30"/>
      <c r="AX1557" s="267"/>
      <c r="AY1557" s="267"/>
      <c r="AZ1557" s="29"/>
      <c r="BA1557" s="30"/>
      <c r="BB1557" s="23" t="str" cm="1">
        <f t="array" ref="BB1557">_xlfn.IFS(AW1557="SIM",SUM(K1557,P1557,U1557,Z1557,AE1557,AJ1557,AO1557,AT1557,AX1557,AY1557),F1557&lt;&gt;"",SUM(K1557,P1557,U1557,Z1557,AE1557,AJ1557,,AO1557,AT1557),F1557="","")</f>
        <v/>
      </c>
      <c r="BC1557" s="211" t="str" cm="1">
        <f t="array" ref="BC1557">_xlfn.IFS(E1557="","",G1557&lt;=E1557,BB1557*(1-0.03),G1557&lt;(E1557+8),BB1557,AZ1557="Boleto",BB1557*(1+0.001)^DATEDIF(E1557,G1557,"D"),AZ1557="Cheque",BB1557,AZ1557="Dinheiro","Alterar forma pgto")</f>
        <v/>
      </c>
      <c r="BD1557" s="276" t="str" cm="1">
        <f t="array" ref="BD1557">IF(F1557=0," ",IF(BC1557&lt;BB1557,(_xlfn.IFS(AW1557="SIM",SUM(L1557,Q1557,V1557,AA1557,AF1557,AK1557,AP1557,AU1557)+AX1557/_xlfn.XLOOKUP(_xlfn.XLOOKUP($F1557,Clientes!$B$4:$B$39,Clientes!$C$4:$C$39),Cadastros!$L$6:$L$12,Cadastros!$M$6:$M$12)+IF($F1557="Bernardino Furlan",AY1557/2751.92,IF($F1557="Mauro José Salanti",AY1557/2751.92,AY1557/3356)),F1557&lt;&gt;0,SUM(L1557,Q1557,V1557,AA1557,AF1557,AK1557,AP1557,AU1557)))*(1-0.03),_xlfn.IFS(AW1557="SIM",SUM(L1557,Q1557,V1557,AA1557,AF1557,AK1557,AP1557,AU1557)+AX1557/_xlfn.XLOOKUP(_xlfn.XLOOKUP($F1557,Clientes!$B$4:$B$39,Clientes!$C$4:$C$39),Cadastros!$L$6:$L$12,Cadastros!$M$6:$M$12)+IF($F1557="Bernardino Furlan",AY1557/2751.92,IF($F1557="Mauro José Salanti",AY1557/2751.92,AY1557/3356)),F1557&lt;&gt;0,SUM(L1557,Q1557,V1557,AA1557,AF1557,AK1557,AP1557,AU1557))))</f>
        <v xml:space="preserve"> </v>
      </c>
      <c r="BE1557" s="120"/>
      <c r="BF1557" s="120"/>
      <c r="BG1557" s="120"/>
    </row>
    <row r="1558" spans="1:59" s="3" customFormat="1" x14ac:dyDescent="0.3">
      <c r="A1558" s="15" t="str">
        <f t="shared" si="312"/>
        <v/>
      </c>
      <c r="B1558" s="25"/>
      <c r="C1558" s="26"/>
      <c r="D1558" s="279"/>
      <c r="E1558" s="27"/>
      <c r="F1558" s="28"/>
      <c r="G1558" s="27"/>
      <c r="H1558" s="28"/>
      <c r="I1558" s="28"/>
      <c r="J1558" s="255" t="str">
        <f>IF(H1558="","",(_xlfn.XLOOKUP(H1558,Cadastros!$D$6:$D$90,Cadastros!$E$6:$E$90))*(1-_xlfn.XLOOKUP(_xlfn.XLOOKUP($F1558,Clientes!$B$4:$B$39,Clientes!$C$4:$C$39),Cadastros!$L$6:$L$12,Cadastros!$N$6:$N$12)))</f>
        <v/>
      </c>
      <c r="K1558" s="168" t="str">
        <f t="shared" si="313"/>
        <v/>
      </c>
      <c r="L1558" s="168" t="str">
        <f>IFERROR(K1558/_xlfn.XLOOKUP(_xlfn.XLOOKUP($F1558,Clientes!$B$4:$B$39,Clientes!$C$4:$C$39),Cadastros!$L$6:$L$12,Cadastros!$M$6:$M$12)," ")</f>
        <v xml:space="preserve"> </v>
      </c>
      <c r="M1558" s="28"/>
      <c r="N1558" s="28"/>
      <c r="O1558" s="255" t="str">
        <f>IF(M1558="","",(_xlfn.XLOOKUP(M1558,Cadastros!$D$6:$D$90,Cadastros!$E$6:$E$90))*(1-_xlfn.XLOOKUP(_xlfn.XLOOKUP($F1558,Clientes!$B$4:$B$39,Clientes!$C$4:$C$39),Cadastros!$L$6:$L$12,Cadastros!$N$6:$N$12)))</f>
        <v/>
      </c>
      <c r="P1558" s="168" t="str">
        <f t="shared" si="314"/>
        <v/>
      </c>
      <c r="Q1558" s="168" t="str">
        <f>IFERROR(P1558/_xlfn.XLOOKUP(_xlfn.XLOOKUP($F1558,Clientes!$B$4:$B$39,Clientes!$C$4:$C$39),Cadastros!$L$6:$L$12,Cadastros!$M$6:$M$12)," ")</f>
        <v xml:space="preserve"> </v>
      </c>
      <c r="R1558" s="28"/>
      <c r="S1558" s="28"/>
      <c r="T1558" s="255" t="str">
        <f>IF(R1558="","",(_xlfn.XLOOKUP(R1558,Cadastros!$D$6:$D$90,Cadastros!$E$6:$E$90))*(1-_xlfn.XLOOKUP(_xlfn.XLOOKUP($F1558,Clientes!$B$4:$B$39,Clientes!$C$4:$C$39),Cadastros!$L$6:$L$12,Cadastros!$N$6:$N$12)))</f>
        <v/>
      </c>
      <c r="U1558" s="168" t="str">
        <f t="shared" si="315"/>
        <v/>
      </c>
      <c r="V1558" s="168" t="str">
        <f>IFERROR(U1558/_xlfn.XLOOKUP(_xlfn.XLOOKUP($F1558,Clientes!$B$4:$B$39,Clientes!$C$4:$C$39),Cadastros!$L$6:$L$12,Cadastros!$M$6:$M$12)," ")</f>
        <v xml:space="preserve"> </v>
      </c>
      <c r="W1558" s="28"/>
      <c r="X1558" s="28"/>
      <c r="Y1558" s="255" t="str">
        <f>IF(W1558="","",(_xlfn.XLOOKUP(W1558,Cadastros!$D$6:$D$90,Cadastros!$E$6:$E$90))*(1-_xlfn.XLOOKUP(_xlfn.XLOOKUP($F1558,Clientes!$B$4:$B$39,Clientes!$C$4:$C$39),Cadastros!$L$6:$L$12,Cadastros!$N$6:$N$12)))</f>
        <v/>
      </c>
      <c r="Z1558" s="168" t="str">
        <f t="shared" si="316"/>
        <v/>
      </c>
      <c r="AA1558" s="168" t="str">
        <f>IFERROR(Z1558/_xlfn.XLOOKUP(_xlfn.XLOOKUP($F1558,Clientes!$B$4:$B$39,Clientes!$C$4:$C$39),Cadastros!$L$6:$L$12,Cadastros!$M$6:$M$12)," ")</f>
        <v xml:space="preserve"> </v>
      </c>
      <c r="AB1558" s="28"/>
      <c r="AC1558" s="28"/>
      <c r="AD1558" s="20" t="str">
        <f>IF(AB1558="","",IF($F1558="Bernardino Furlan",_xlfn.XLOOKUP(AB1558,Cadastros!$G$6:$G$90,Cadastros!$H$6:$H$90)*(1-0.18),IF($F1558="Mauro José Salanti",_xlfn.XLOOKUP(AB1558,Cadastros!$G$6:$G$90,Cadastros!$H$6:$H$90)*(1-0.18),_xlfn.XLOOKUP(AB1558,Cadastros!$G$6:$G$90,Cadastros!$H$6:$H$90))))</f>
        <v/>
      </c>
      <c r="AE1558" s="168" t="str">
        <f t="shared" si="317"/>
        <v/>
      </c>
      <c r="AF1558" s="168" t="str">
        <f t="shared" si="318"/>
        <v/>
      </c>
      <c r="AG1558" s="28"/>
      <c r="AH1558" s="28"/>
      <c r="AI1558" s="20" t="str">
        <f>IF(AG1558="","",IF($F1558="Bernardino Furlan",_xlfn.XLOOKUP(AG1558,Cadastros!$G$6:$G$90,Cadastros!$H$6:$H$90)*(1-0.18),IF($F1558="Mauro José Salanti",_xlfn.XLOOKUP(AG1558,Cadastros!$G$6:$G$90,Cadastros!$H$6:$H$90)*(1-0.18),_xlfn.XLOOKUP(AG1558,Cadastros!$G$6:$G$90,Cadastros!$H$6:$H$90))))</f>
        <v/>
      </c>
      <c r="AJ1558" s="168" t="str">
        <f t="shared" si="319"/>
        <v/>
      </c>
      <c r="AK1558" s="168" t="str">
        <f t="shared" si="320"/>
        <v/>
      </c>
      <c r="AL1558" s="28"/>
      <c r="AM1558" s="28"/>
      <c r="AN1558" s="20" t="str">
        <f>IF(AL1558="","",IF($F1558="Bernardino Furlan",_xlfn.XLOOKUP(AL1558,Cadastros!$G$6:$G$90,Cadastros!$H$6:$H$90)*(1-0.18),IF($F1558="Mauro José Salanti",_xlfn.XLOOKUP(AL1558,Cadastros!$G$6:$G$90,Cadastros!$H$6:$H$90)*(1-0.18),_xlfn.XLOOKUP(AL1558,Cadastros!$G$6:$G$90,Cadastros!$H$6:$H$90))))</f>
        <v/>
      </c>
      <c r="AO1558" s="168" t="str">
        <f t="shared" si="321"/>
        <v/>
      </c>
      <c r="AP1558" s="168" t="str">
        <f t="shared" si="322"/>
        <v/>
      </c>
      <c r="AQ1558" s="28"/>
      <c r="AR1558" s="28"/>
      <c r="AS1558" s="20" t="str">
        <f>IF(AQ1558="","",IF($F1558="Bernardino Furlan",_xlfn.XLOOKUP(AQ1558,Cadastros!$G$6:$G$90,Cadastros!$H$6:$H$90)*(1-0.18),IF($F1558="Mauro José Salanti",_xlfn.XLOOKUP(AQ1558,Cadastros!$G$6:$G$90,Cadastros!$H$6:$H$90)*(1-0.18),_xlfn.XLOOKUP(AQ1558,Cadastros!$G$6:$G$90,Cadastros!$H$6:$H$90))))</f>
        <v/>
      </c>
      <c r="AT1558" s="168" t="str">
        <f t="shared" si="323"/>
        <v/>
      </c>
      <c r="AU1558" s="168" t="str">
        <f t="shared" si="324"/>
        <v/>
      </c>
      <c r="AV1558" s="227"/>
      <c r="AW1558" s="30"/>
      <c r="AX1558" s="267"/>
      <c r="AY1558" s="267"/>
      <c r="AZ1558" s="29"/>
      <c r="BA1558" s="30"/>
      <c r="BB1558" s="23" t="str" cm="1">
        <f t="array" ref="BB1558">_xlfn.IFS(AW1558="SIM",SUM(K1558,P1558,U1558,Z1558,AE1558,AJ1558,AO1558,AT1558,AX1558,AY1558),F1558&lt;&gt;"",SUM(K1558,P1558,U1558,Z1558,AE1558,AJ1558,,AO1558,AT1558),F1558="","")</f>
        <v/>
      </c>
      <c r="BC1558" s="211" t="str" cm="1">
        <f t="array" ref="BC1558">_xlfn.IFS(E1558="","",G1558&lt;=E1558,BB1558*(1-0.03),G1558&lt;(E1558+8),BB1558,AZ1558="Boleto",BB1558*(1+0.001)^DATEDIF(E1558,G1558,"D"),AZ1558="Cheque",BB1558,AZ1558="Dinheiro","Alterar forma pgto")</f>
        <v/>
      </c>
      <c r="BD1558" s="276" t="str" cm="1">
        <f t="array" ref="BD1558">IF(F1558=0," ",IF(BC1558&lt;BB1558,(_xlfn.IFS(AW1558="SIM",SUM(L1558,Q1558,V1558,AA1558,AF1558,AK1558,AP1558,AU1558)+AX1558/_xlfn.XLOOKUP(_xlfn.XLOOKUP($F1558,Clientes!$B$4:$B$39,Clientes!$C$4:$C$39),Cadastros!$L$6:$L$12,Cadastros!$M$6:$M$12)+IF($F1558="Bernardino Furlan",AY1558/2751.92,IF($F1558="Mauro José Salanti",AY1558/2751.92,AY1558/3356)),F1558&lt;&gt;0,SUM(L1558,Q1558,V1558,AA1558,AF1558,AK1558,AP1558,AU1558)))*(1-0.03),_xlfn.IFS(AW1558="SIM",SUM(L1558,Q1558,V1558,AA1558,AF1558,AK1558,AP1558,AU1558)+AX1558/_xlfn.XLOOKUP(_xlfn.XLOOKUP($F1558,Clientes!$B$4:$B$39,Clientes!$C$4:$C$39),Cadastros!$L$6:$L$12,Cadastros!$M$6:$M$12)+IF($F1558="Bernardino Furlan",AY1558/2751.92,IF($F1558="Mauro José Salanti",AY1558/2751.92,AY1558/3356)),F1558&lt;&gt;0,SUM(L1558,Q1558,V1558,AA1558,AF1558,AK1558,AP1558,AU1558))))</f>
        <v xml:space="preserve"> </v>
      </c>
      <c r="BE1558" s="120"/>
      <c r="BF1558" s="120"/>
      <c r="BG1558" s="120"/>
    </row>
    <row r="1559" spans="1:59" s="3" customFormat="1" x14ac:dyDescent="0.3">
      <c r="A1559" s="15" t="str">
        <f t="shared" si="312"/>
        <v/>
      </c>
      <c r="B1559" s="25"/>
      <c r="C1559" s="26"/>
      <c r="D1559" s="279"/>
      <c r="E1559" s="27"/>
      <c r="F1559" s="28"/>
      <c r="G1559" s="27"/>
      <c r="H1559" s="28"/>
      <c r="I1559" s="28"/>
      <c r="J1559" s="255" t="str">
        <f>IF(H1559="","",(_xlfn.XLOOKUP(H1559,Cadastros!$D$6:$D$90,Cadastros!$E$6:$E$90))*(1-_xlfn.XLOOKUP(_xlfn.XLOOKUP($F1559,Clientes!$B$4:$B$39,Clientes!$C$4:$C$39),Cadastros!$L$6:$L$12,Cadastros!$N$6:$N$12)))</f>
        <v/>
      </c>
      <c r="K1559" s="168" t="str">
        <f t="shared" si="313"/>
        <v/>
      </c>
      <c r="L1559" s="168" t="str">
        <f>IFERROR(K1559/_xlfn.XLOOKUP(_xlfn.XLOOKUP($F1559,Clientes!$B$4:$B$39,Clientes!$C$4:$C$39),Cadastros!$L$6:$L$12,Cadastros!$M$6:$M$12)," ")</f>
        <v xml:space="preserve"> </v>
      </c>
      <c r="M1559" s="28"/>
      <c r="N1559" s="28"/>
      <c r="O1559" s="255" t="str">
        <f>IF(M1559="","",(_xlfn.XLOOKUP(M1559,Cadastros!$D$6:$D$90,Cadastros!$E$6:$E$90))*(1-_xlfn.XLOOKUP(_xlfn.XLOOKUP($F1559,Clientes!$B$4:$B$39,Clientes!$C$4:$C$39),Cadastros!$L$6:$L$12,Cadastros!$N$6:$N$12)))</f>
        <v/>
      </c>
      <c r="P1559" s="168" t="str">
        <f t="shared" si="314"/>
        <v/>
      </c>
      <c r="Q1559" s="168" t="str">
        <f>IFERROR(P1559/_xlfn.XLOOKUP(_xlfn.XLOOKUP($F1559,Clientes!$B$4:$B$39,Clientes!$C$4:$C$39),Cadastros!$L$6:$L$12,Cadastros!$M$6:$M$12)," ")</f>
        <v xml:space="preserve"> </v>
      </c>
      <c r="R1559" s="28"/>
      <c r="S1559" s="28"/>
      <c r="T1559" s="255" t="str">
        <f>IF(R1559="","",(_xlfn.XLOOKUP(R1559,Cadastros!$D$6:$D$90,Cadastros!$E$6:$E$90))*(1-_xlfn.XLOOKUP(_xlfn.XLOOKUP($F1559,Clientes!$B$4:$B$39,Clientes!$C$4:$C$39),Cadastros!$L$6:$L$12,Cadastros!$N$6:$N$12)))</f>
        <v/>
      </c>
      <c r="U1559" s="168" t="str">
        <f t="shared" si="315"/>
        <v/>
      </c>
      <c r="V1559" s="168" t="str">
        <f>IFERROR(U1559/_xlfn.XLOOKUP(_xlfn.XLOOKUP($F1559,Clientes!$B$4:$B$39,Clientes!$C$4:$C$39),Cadastros!$L$6:$L$12,Cadastros!$M$6:$M$12)," ")</f>
        <v xml:space="preserve"> </v>
      </c>
      <c r="W1559" s="28"/>
      <c r="X1559" s="28"/>
      <c r="Y1559" s="255" t="str">
        <f>IF(W1559="","",(_xlfn.XLOOKUP(W1559,Cadastros!$D$6:$D$90,Cadastros!$E$6:$E$90))*(1-_xlfn.XLOOKUP(_xlfn.XLOOKUP($F1559,Clientes!$B$4:$B$39,Clientes!$C$4:$C$39),Cadastros!$L$6:$L$12,Cadastros!$N$6:$N$12)))</f>
        <v/>
      </c>
      <c r="Z1559" s="168" t="str">
        <f t="shared" si="316"/>
        <v/>
      </c>
      <c r="AA1559" s="168" t="str">
        <f>IFERROR(Z1559/_xlfn.XLOOKUP(_xlfn.XLOOKUP($F1559,Clientes!$B$4:$B$39,Clientes!$C$4:$C$39),Cadastros!$L$6:$L$12,Cadastros!$M$6:$M$12)," ")</f>
        <v xml:space="preserve"> </v>
      </c>
      <c r="AB1559" s="28"/>
      <c r="AC1559" s="28"/>
      <c r="AD1559" s="20" t="str">
        <f>IF(AB1559="","",IF($F1559="Bernardino Furlan",_xlfn.XLOOKUP(AB1559,Cadastros!$G$6:$G$90,Cadastros!$H$6:$H$90)*(1-0.18),IF($F1559="Mauro José Salanti",_xlfn.XLOOKUP(AB1559,Cadastros!$G$6:$G$90,Cadastros!$H$6:$H$90)*(1-0.18),_xlfn.XLOOKUP(AB1559,Cadastros!$G$6:$G$90,Cadastros!$H$6:$H$90))))</f>
        <v/>
      </c>
      <c r="AE1559" s="168" t="str">
        <f t="shared" si="317"/>
        <v/>
      </c>
      <c r="AF1559" s="168" t="str">
        <f t="shared" si="318"/>
        <v/>
      </c>
      <c r="AG1559" s="28"/>
      <c r="AH1559" s="28"/>
      <c r="AI1559" s="20" t="str">
        <f>IF(AG1559="","",IF($F1559="Bernardino Furlan",_xlfn.XLOOKUP(AG1559,Cadastros!$G$6:$G$90,Cadastros!$H$6:$H$90)*(1-0.18),IF($F1559="Mauro José Salanti",_xlfn.XLOOKUP(AG1559,Cadastros!$G$6:$G$90,Cadastros!$H$6:$H$90)*(1-0.18),_xlfn.XLOOKUP(AG1559,Cadastros!$G$6:$G$90,Cadastros!$H$6:$H$90))))</f>
        <v/>
      </c>
      <c r="AJ1559" s="168" t="str">
        <f t="shared" si="319"/>
        <v/>
      </c>
      <c r="AK1559" s="168" t="str">
        <f t="shared" si="320"/>
        <v/>
      </c>
      <c r="AL1559" s="28"/>
      <c r="AM1559" s="28"/>
      <c r="AN1559" s="20" t="str">
        <f>IF(AL1559="","",IF($F1559="Bernardino Furlan",_xlfn.XLOOKUP(AL1559,Cadastros!$G$6:$G$90,Cadastros!$H$6:$H$90)*(1-0.18),IF($F1559="Mauro José Salanti",_xlfn.XLOOKUP(AL1559,Cadastros!$G$6:$G$90,Cadastros!$H$6:$H$90)*(1-0.18),_xlfn.XLOOKUP(AL1559,Cadastros!$G$6:$G$90,Cadastros!$H$6:$H$90))))</f>
        <v/>
      </c>
      <c r="AO1559" s="168" t="str">
        <f t="shared" si="321"/>
        <v/>
      </c>
      <c r="AP1559" s="168" t="str">
        <f t="shared" si="322"/>
        <v/>
      </c>
      <c r="AQ1559" s="28"/>
      <c r="AR1559" s="28"/>
      <c r="AS1559" s="20" t="str">
        <f>IF(AQ1559="","",IF($F1559="Bernardino Furlan",_xlfn.XLOOKUP(AQ1559,Cadastros!$G$6:$G$90,Cadastros!$H$6:$H$90)*(1-0.18),IF($F1559="Mauro José Salanti",_xlfn.XLOOKUP(AQ1559,Cadastros!$G$6:$G$90,Cadastros!$H$6:$H$90)*(1-0.18),_xlfn.XLOOKUP(AQ1559,Cadastros!$G$6:$G$90,Cadastros!$H$6:$H$90))))</f>
        <v/>
      </c>
      <c r="AT1559" s="168" t="str">
        <f t="shared" si="323"/>
        <v/>
      </c>
      <c r="AU1559" s="168" t="str">
        <f t="shared" si="324"/>
        <v/>
      </c>
      <c r="AV1559" s="227"/>
      <c r="AW1559" s="30"/>
      <c r="AX1559" s="267"/>
      <c r="AY1559" s="267"/>
      <c r="AZ1559" s="29"/>
      <c r="BA1559" s="30"/>
      <c r="BB1559" s="23" t="str" cm="1">
        <f t="array" ref="BB1559">_xlfn.IFS(AW1559="SIM",SUM(K1559,P1559,U1559,Z1559,AE1559,AJ1559,AO1559,AT1559,AX1559,AY1559),F1559&lt;&gt;"",SUM(K1559,P1559,U1559,Z1559,AE1559,AJ1559,,AO1559,AT1559),F1559="","")</f>
        <v/>
      </c>
      <c r="BC1559" s="211" t="str" cm="1">
        <f t="array" ref="BC1559">_xlfn.IFS(E1559="","",G1559&lt;=E1559,BB1559*(1-0.03),G1559&lt;(E1559+8),BB1559,AZ1559="Boleto",BB1559*(1+0.001)^DATEDIF(E1559,G1559,"D"),AZ1559="Cheque",BB1559,AZ1559="Dinheiro","Alterar forma pgto")</f>
        <v/>
      </c>
      <c r="BD1559" s="276" t="str" cm="1">
        <f t="array" ref="BD1559">IF(F1559=0," ",IF(BC1559&lt;BB1559,(_xlfn.IFS(AW1559="SIM",SUM(L1559,Q1559,V1559,AA1559,AF1559,AK1559,AP1559,AU1559)+AX1559/_xlfn.XLOOKUP(_xlfn.XLOOKUP($F1559,Clientes!$B$4:$B$39,Clientes!$C$4:$C$39),Cadastros!$L$6:$L$12,Cadastros!$M$6:$M$12)+IF($F1559="Bernardino Furlan",AY1559/2751.92,IF($F1559="Mauro José Salanti",AY1559/2751.92,AY1559/3356)),F1559&lt;&gt;0,SUM(L1559,Q1559,V1559,AA1559,AF1559,AK1559,AP1559,AU1559)))*(1-0.03),_xlfn.IFS(AW1559="SIM",SUM(L1559,Q1559,V1559,AA1559,AF1559,AK1559,AP1559,AU1559)+AX1559/_xlfn.XLOOKUP(_xlfn.XLOOKUP($F1559,Clientes!$B$4:$B$39,Clientes!$C$4:$C$39),Cadastros!$L$6:$L$12,Cadastros!$M$6:$M$12)+IF($F1559="Bernardino Furlan",AY1559/2751.92,IF($F1559="Mauro José Salanti",AY1559/2751.92,AY1559/3356)),F1559&lt;&gt;0,SUM(L1559,Q1559,V1559,AA1559,AF1559,AK1559,AP1559,AU1559))))</f>
        <v xml:space="preserve"> </v>
      </c>
      <c r="BE1559" s="120"/>
      <c r="BF1559" s="120"/>
      <c r="BG1559" s="120"/>
    </row>
    <row r="1560" spans="1:59" s="3" customFormat="1" x14ac:dyDescent="0.3">
      <c r="A1560" s="15" t="str">
        <f t="shared" si="312"/>
        <v/>
      </c>
      <c r="B1560" s="25"/>
      <c r="C1560" s="26"/>
      <c r="D1560" s="279"/>
      <c r="E1560" s="27"/>
      <c r="F1560" s="28"/>
      <c r="G1560" s="27"/>
      <c r="H1560" s="28"/>
      <c r="I1560" s="28"/>
      <c r="J1560" s="255" t="str">
        <f>IF(H1560="","",(_xlfn.XLOOKUP(H1560,Cadastros!$D$6:$D$90,Cadastros!$E$6:$E$90))*(1-_xlfn.XLOOKUP(_xlfn.XLOOKUP($F1560,Clientes!$B$4:$B$39,Clientes!$C$4:$C$39),Cadastros!$L$6:$L$12,Cadastros!$N$6:$N$12)))</f>
        <v/>
      </c>
      <c r="K1560" s="168" t="str">
        <f t="shared" si="313"/>
        <v/>
      </c>
      <c r="L1560" s="168" t="str">
        <f>IFERROR(K1560/_xlfn.XLOOKUP(_xlfn.XLOOKUP($F1560,Clientes!$B$4:$B$39,Clientes!$C$4:$C$39),Cadastros!$L$6:$L$12,Cadastros!$M$6:$M$12)," ")</f>
        <v xml:space="preserve"> </v>
      </c>
      <c r="M1560" s="28"/>
      <c r="N1560" s="28"/>
      <c r="O1560" s="255" t="str">
        <f>IF(M1560="","",(_xlfn.XLOOKUP(M1560,Cadastros!$D$6:$D$90,Cadastros!$E$6:$E$90))*(1-_xlfn.XLOOKUP(_xlfn.XLOOKUP($F1560,Clientes!$B$4:$B$39,Clientes!$C$4:$C$39),Cadastros!$L$6:$L$12,Cadastros!$N$6:$N$12)))</f>
        <v/>
      </c>
      <c r="P1560" s="168" t="str">
        <f t="shared" si="314"/>
        <v/>
      </c>
      <c r="Q1560" s="168" t="str">
        <f>IFERROR(P1560/_xlfn.XLOOKUP(_xlfn.XLOOKUP($F1560,Clientes!$B$4:$B$39,Clientes!$C$4:$C$39),Cadastros!$L$6:$L$12,Cadastros!$M$6:$M$12)," ")</f>
        <v xml:space="preserve"> </v>
      </c>
      <c r="R1560" s="28"/>
      <c r="S1560" s="28"/>
      <c r="T1560" s="255" t="str">
        <f>IF(R1560="","",(_xlfn.XLOOKUP(R1560,Cadastros!$D$6:$D$90,Cadastros!$E$6:$E$90))*(1-_xlfn.XLOOKUP(_xlfn.XLOOKUP($F1560,Clientes!$B$4:$B$39,Clientes!$C$4:$C$39),Cadastros!$L$6:$L$12,Cadastros!$N$6:$N$12)))</f>
        <v/>
      </c>
      <c r="U1560" s="168" t="str">
        <f t="shared" si="315"/>
        <v/>
      </c>
      <c r="V1560" s="168" t="str">
        <f>IFERROR(U1560/_xlfn.XLOOKUP(_xlfn.XLOOKUP($F1560,Clientes!$B$4:$B$39,Clientes!$C$4:$C$39),Cadastros!$L$6:$L$12,Cadastros!$M$6:$M$12)," ")</f>
        <v xml:space="preserve"> </v>
      </c>
      <c r="W1560" s="28"/>
      <c r="X1560" s="28"/>
      <c r="Y1560" s="255" t="str">
        <f>IF(W1560="","",(_xlfn.XLOOKUP(W1560,Cadastros!$D$6:$D$90,Cadastros!$E$6:$E$90))*(1-_xlfn.XLOOKUP(_xlfn.XLOOKUP($F1560,Clientes!$B$4:$B$39,Clientes!$C$4:$C$39),Cadastros!$L$6:$L$12,Cadastros!$N$6:$N$12)))</f>
        <v/>
      </c>
      <c r="Z1560" s="168" t="str">
        <f t="shared" si="316"/>
        <v/>
      </c>
      <c r="AA1560" s="168" t="str">
        <f>IFERROR(Z1560/_xlfn.XLOOKUP(_xlfn.XLOOKUP($F1560,Clientes!$B$4:$B$39,Clientes!$C$4:$C$39),Cadastros!$L$6:$L$12,Cadastros!$M$6:$M$12)," ")</f>
        <v xml:space="preserve"> </v>
      </c>
      <c r="AB1560" s="28"/>
      <c r="AC1560" s="28"/>
      <c r="AD1560" s="20" t="str">
        <f>IF(AB1560="","",IF($F1560="Bernardino Furlan",_xlfn.XLOOKUP(AB1560,Cadastros!$G$6:$G$90,Cadastros!$H$6:$H$90)*(1-0.18),IF($F1560="Mauro José Salanti",_xlfn.XLOOKUP(AB1560,Cadastros!$G$6:$G$90,Cadastros!$H$6:$H$90)*(1-0.18),_xlfn.XLOOKUP(AB1560,Cadastros!$G$6:$G$90,Cadastros!$H$6:$H$90))))</f>
        <v/>
      </c>
      <c r="AE1560" s="168" t="str">
        <f t="shared" si="317"/>
        <v/>
      </c>
      <c r="AF1560" s="168" t="str">
        <f t="shared" si="318"/>
        <v/>
      </c>
      <c r="AG1560" s="28"/>
      <c r="AH1560" s="28"/>
      <c r="AI1560" s="20" t="str">
        <f>IF(AG1560="","",IF($F1560="Bernardino Furlan",_xlfn.XLOOKUP(AG1560,Cadastros!$G$6:$G$90,Cadastros!$H$6:$H$90)*(1-0.18),IF($F1560="Mauro José Salanti",_xlfn.XLOOKUP(AG1560,Cadastros!$G$6:$G$90,Cadastros!$H$6:$H$90)*(1-0.18),_xlfn.XLOOKUP(AG1560,Cadastros!$G$6:$G$90,Cadastros!$H$6:$H$90))))</f>
        <v/>
      </c>
      <c r="AJ1560" s="168" t="str">
        <f t="shared" si="319"/>
        <v/>
      </c>
      <c r="AK1560" s="168" t="str">
        <f t="shared" si="320"/>
        <v/>
      </c>
      <c r="AL1560" s="28"/>
      <c r="AM1560" s="28"/>
      <c r="AN1560" s="20" t="str">
        <f>IF(AL1560="","",IF($F1560="Bernardino Furlan",_xlfn.XLOOKUP(AL1560,Cadastros!$G$6:$G$90,Cadastros!$H$6:$H$90)*(1-0.18),IF($F1560="Mauro José Salanti",_xlfn.XLOOKUP(AL1560,Cadastros!$G$6:$G$90,Cadastros!$H$6:$H$90)*(1-0.18),_xlfn.XLOOKUP(AL1560,Cadastros!$G$6:$G$90,Cadastros!$H$6:$H$90))))</f>
        <v/>
      </c>
      <c r="AO1560" s="168" t="str">
        <f t="shared" si="321"/>
        <v/>
      </c>
      <c r="AP1560" s="168" t="str">
        <f t="shared" si="322"/>
        <v/>
      </c>
      <c r="AQ1560" s="28"/>
      <c r="AR1560" s="28"/>
      <c r="AS1560" s="20" t="str">
        <f>IF(AQ1560="","",IF($F1560="Bernardino Furlan",_xlfn.XLOOKUP(AQ1560,Cadastros!$G$6:$G$90,Cadastros!$H$6:$H$90)*(1-0.18),IF($F1560="Mauro José Salanti",_xlfn.XLOOKUP(AQ1560,Cadastros!$G$6:$G$90,Cadastros!$H$6:$H$90)*(1-0.18),_xlfn.XLOOKUP(AQ1560,Cadastros!$G$6:$G$90,Cadastros!$H$6:$H$90))))</f>
        <v/>
      </c>
      <c r="AT1560" s="168" t="str">
        <f t="shared" si="323"/>
        <v/>
      </c>
      <c r="AU1560" s="168" t="str">
        <f t="shared" si="324"/>
        <v/>
      </c>
      <c r="AV1560" s="227"/>
      <c r="AW1560" s="30"/>
      <c r="AX1560" s="267"/>
      <c r="AY1560" s="267"/>
      <c r="AZ1560" s="29"/>
      <c r="BA1560" s="30"/>
      <c r="BB1560" s="23" t="str" cm="1">
        <f t="array" ref="BB1560">_xlfn.IFS(AW1560="SIM",SUM(K1560,P1560,U1560,Z1560,AE1560,AJ1560,AO1560,AT1560,AX1560,AY1560),F1560&lt;&gt;"",SUM(K1560,P1560,U1560,Z1560,AE1560,AJ1560,,AO1560,AT1560),F1560="","")</f>
        <v/>
      </c>
      <c r="BC1560" s="211" t="str" cm="1">
        <f t="array" ref="BC1560">_xlfn.IFS(E1560="","",G1560&lt;=E1560,BB1560*(1-0.03),G1560&lt;(E1560+8),BB1560,AZ1560="Boleto",BB1560*(1+0.001)^DATEDIF(E1560,G1560,"D"),AZ1560="Cheque",BB1560,AZ1560="Dinheiro","Alterar forma pgto")</f>
        <v/>
      </c>
      <c r="BD1560" s="276" t="str" cm="1">
        <f t="array" ref="BD1560">IF(F1560=0," ",IF(BC1560&lt;BB1560,(_xlfn.IFS(AW1560="SIM",SUM(L1560,Q1560,V1560,AA1560,AF1560,AK1560,AP1560,AU1560)+AX1560/_xlfn.XLOOKUP(_xlfn.XLOOKUP($F1560,Clientes!$B$4:$B$39,Clientes!$C$4:$C$39),Cadastros!$L$6:$L$12,Cadastros!$M$6:$M$12)+IF($F1560="Bernardino Furlan",AY1560/2751.92,IF($F1560="Mauro José Salanti",AY1560/2751.92,AY1560/3356)),F1560&lt;&gt;0,SUM(L1560,Q1560,V1560,AA1560,AF1560,AK1560,AP1560,AU1560)))*(1-0.03),_xlfn.IFS(AW1560="SIM",SUM(L1560,Q1560,V1560,AA1560,AF1560,AK1560,AP1560,AU1560)+AX1560/_xlfn.XLOOKUP(_xlfn.XLOOKUP($F1560,Clientes!$B$4:$B$39,Clientes!$C$4:$C$39),Cadastros!$L$6:$L$12,Cadastros!$M$6:$M$12)+IF($F1560="Bernardino Furlan",AY1560/2751.92,IF($F1560="Mauro José Salanti",AY1560/2751.92,AY1560/3356)),F1560&lt;&gt;0,SUM(L1560,Q1560,V1560,AA1560,AF1560,AK1560,AP1560,AU1560))))</f>
        <v xml:space="preserve"> </v>
      </c>
      <c r="BE1560" s="120"/>
      <c r="BF1560" s="120"/>
      <c r="BG1560" s="120"/>
    </row>
    <row r="1561" spans="1:59" s="3" customFormat="1" x14ac:dyDescent="0.3">
      <c r="A1561" s="15" t="str">
        <f t="shared" si="312"/>
        <v/>
      </c>
      <c r="B1561" s="25"/>
      <c r="C1561" s="26"/>
      <c r="D1561" s="279"/>
      <c r="E1561" s="27"/>
      <c r="F1561" s="28"/>
      <c r="G1561" s="27"/>
      <c r="H1561" s="28"/>
      <c r="I1561" s="28"/>
      <c r="J1561" s="255" t="str">
        <f>IF(H1561="","",(_xlfn.XLOOKUP(H1561,Cadastros!$D$6:$D$90,Cadastros!$E$6:$E$90))*(1-_xlfn.XLOOKUP(_xlfn.XLOOKUP($F1561,Clientes!$B$4:$B$39,Clientes!$C$4:$C$39),Cadastros!$L$6:$L$12,Cadastros!$N$6:$N$12)))</f>
        <v/>
      </c>
      <c r="K1561" s="168" t="str">
        <f t="shared" si="313"/>
        <v/>
      </c>
      <c r="L1561" s="168" t="str">
        <f>IFERROR(K1561/_xlfn.XLOOKUP(_xlfn.XLOOKUP($F1561,Clientes!$B$4:$B$39,Clientes!$C$4:$C$39),Cadastros!$L$6:$L$12,Cadastros!$M$6:$M$12)," ")</f>
        <v xml:space="preserve"> </v>
      </c>
      <c r="M1561" s="28"/>
      <c r="N1561" s="28"/>
      <c r="O1561" s="255" t="str">
        <f>IF(M1561="","",(_xlfn.XLOOKUP(M1561,Cadastros!$D$6:$D$90,Cadastros!$E$6:$E$90))*(1-_xlfn.XLOOKUP(_xlfn.XLOOKUP($F1561,Clientes!$B$4:$B$39,Clientes!$C$4:$C$39),Cadastros!$L$6:$L$12,Cadastros!$N$6:$N$12)))</f>
        <v/>
      </c>
      <c r="P1561" s="168" t="str">
        <f t="shared" si="314"/>
        <v/>
      </c>
      <c r="Q1561" s="168" t="str">
        <f>IFERROR(P1561/_xlfn.XLOOKUP(_xlfn.XLOOKUP($F1561,Clientes!$B$4:$B$39,Clientes!$C$4:$C$39),Cadastros!$L$6:$L$12,Cadastros!$M$6:$M$12)," ")</f>
        <v xml:space="preserve"> </v>
      </c>
      <c r="R1561" s="28"/>
      <c r="S1561" s="28"/>
      <c r="T1561" s="255" t="str">
        <f>IF(R1561="","",(_xlfn.XLOOKUP(R1561,Cadastros!$D$6:$D$90,Cadastros!$E$6:$E$90))*(1-_xlfn.XLOOKUP(_xlfn.XLOOKUP($F1561,Clientes!$B$4:$B$39,Clientes!$C$4:$C$39),Cadastros!$L$6:$L$12,Cadastros!$N$6:$N$12)))</f>
        <v/>
      </c>
      <c r="U1561" s="168" t="str">
        <f t="shared" si="315"/>
        <v/>
      </c>
      <c r="V1561" s="168" t="str">
        <f>IFERROR(U1561/_xlfn.XLOOKUP(_xlfn.XLOOKUP($F1561,Clientes!$B$4:$B$39,Clientes!$C$4:$C$39),Cadastros!$L$6:$L$12,Cadastros!$M$6:$M$12)," ")</f>
        <v xml:space="preserve"> </v>
      </c>
      <c r="W1561" s="28"/>
      <c r="X1561" s="28"/>
      <c r="Y1561" s="255" t="str">
        <f>IF(W1561="","",(_xlfn.XLOOKUP(W1561,Cadastros!$D$6:$D$90,Cadastros!$E$6:$E$90))*(1-_xlfn.XLOOKUP(_xlfn.XLOOKUP($F1561,Clientes!$B$4:$B$39,Clientes!$C$4:$C$39),Cadastros!$L$6:$L$12,Cadastros!$N$6:$N$12)))</f>
        <v/>
      </c>
      <c r="Z1561" s="168" t="str">
        <f t="shared" si="316"/>
        <v/>
      </c>
      <c r="AA1561" s="168" t="str">
        <f>IFERROR(Z1561/_xlfn.XLOOKUP(_xlfn.XLOOKUP($F1561,Clientes!$B$4:$B$39,Clientes!$C$4:$C$39),Cadastros!$L$6:$L$12,Cadastros!$M$6:$M$12)," ")</f>
        <v xml:space="preserve"> </v>
      </c>
      <c r="AB1561" s="28"/>
      <c r="AC1561" s="28"/>
      <c r="AD1561" s="20" t="str">
        <f>IF(AB1561="","",IF($F1561="Bernardino Furlan",_xlfn.XLOOKUP(AB1561,Cadastros!$G$6:$G$90,Cadastros!$H$6:$H$90)*(1-0.18),IF($F1561="Mauro José Salanti",_xlfn.XLOOKUP(AB1561,Cadastros!$G$6:$G$90,Cadastros!$H$6:$H$90)*(1-0.18),_xlfn.XLOOKUP(AB1561,Cadastros!$G$6:$G$90,Cadastros!$H$6:$H$90))))</f>
        <v/>
      </c>
      <c r="AE1561" s="168" t="str">
        <f t="shared" si="317"/>
        <v/>
      </c>
      <c r="AF1561" s="168" t="str">
        <f t="shared" si="318"/>
        <v/>
      </c>
      <c r="AG1561" s="28"/>
      <c r="AH1561" s="28"/>
      <c r="AI1561" s="20" t="str">
        <f>IF(AG1561="","",IF($F1561="Bernardino Furlan",_xlfn.XLOOKUP(AG1561,Cadastros!$G$6:$G$90,Cadastros!$H$6:$H$90)*(1-0.18),IF($F1561="Mauro José Salanti",_xlfn.XLOOKUP(AG1561,Cadastros!$G$6:$G$90,Cadastros!$H$6:$H$90)*(1-0.18),_xlfn.XLOOKUP(AG1561,Cadastros!$G$6:$G$90,Cadastros!$H$6:$H$90))))</f>
        <v/>
      </c>
      <c r="AJ1561" s="168" t="str">
        <f t="shared" si="319"/>
        <v/>
      </c>
      <c r="AK1561" s="168" t="str">
        <f t="shared" si="320"/>
        <v/>
      </c>
      <c r="AL1561" s="28"/>
      <c r="AM1561" s="28"/>
      <c r="AN1561" s="20" t="str">
        <f>IF(AL1561="","",IF($F1561="Bernardino Furlan",_xlfn.XLOOKUP(AL1561,Cadastros!$G$6:$G$90,Cadastros!$H$6:$H$90)*(1-0.18),IF($F1561="Mauro José Salanti",_xlfn.XLOOKUP(AL1561,Cadastros!$G$6:$G$90,Cadastros!$H$6:$H$90)*(1-0.18),_xlfn.XLOOKUP(AL1561,Cadastros!$G$6:$G$90,Cadastros!$H$6:$H$90))))</f>
        <v/>
      </c>
      <c r="AO1561" s="168" t="str">
        <f t="shared" si="321"/>
        <v/>
      </c>
      <c r="AP1561" s="168" t="str">
        <f t="shared" si="322"/>
        <v/>
      </c>
      <c r="AQ1561" s="28"/>
      <c r="AR1561" s="28"/>
      <c r="AS1561" s="20" t="str">
        <f>IF(AQ1561="","",IF($F1561="Bernardino Furlan",_xlfn.XLOOKUP(AQ1561,Cadastros!$G$6:$G$90,Cadastros!$H$6:$H$90)*(1-0.18),IF($F1561="Mauro José Salanti",_xlfn.XLOOKUP(AQ1561,Cadastros!$G$6:$G$90,Cadastros!$H$6:$H$90)*(1-0.18),_xlfn.XLOOKUP(AQ1561,Cadastros!$G$6:$G$90,Cadastros!$H$6:$H$90))))</f>
        <v/>
      </c>
      <c r="AT1561" s="168" t="str">
        <f t="shared" si="323"/>
        <v/>
      </c>
      <c r="AU1561" s="168" t="str">
        <f t="shared" si="324"/>
        <v/>
      </c>
      <c r="AV1561" s="227"/>
      <c r="AW1561" s="30"/>
      <c r="AX1561" s="267"/>
      <c r="AY1561" s="267"/>
      <c r="AZ1561" s="29"/>
      <c r="BA1561" s="30"/>
      <c r="BB1561" s="23" t="str" cm="1">
        <f t="array" ref="BB1561">_xlfn.IFS(AW1561="SIM",SUM(K1561,P1561,U1561,Z1561,AE1561,AJ1561,AO1561,AT1561,AX1561,AY1561),F1561&lt;&gt;"",SUM(K1561,P1561,U1561,Z1561,AE1561,AJ1561,,AO1561,AT1561),F1561="","")</f>
        <v/>
      </c>
      <c r="BC1561" s="211" t="str" cm="1">
        <f t="array" ref="BC1561">_xlfn.IFS(E1561="","",G1561&lt;=E1561,BB1561*(1-0.03),G1561&lt;(E1561+8),BB1561,AZ1561="Boleto",BB1561*(1+0.001)^DATEDIF(E1561,G1561,"D"),AZ1561="Cheque",BB1561,AZ1561="Dinheiro","Alterar forma pgto")</f>
        <v/>
      </c>
      <c r="BD1561" s="276" t="str" cm="1">
        <f t="array" ref="BD1561">IF(F1561=0," ",IF(BC1561&lt;BB1561,(_xlfn.IFS(AW1561="SIM",SUM(L1561,Q1561,V1561,AA1561,AF1561,AK1561,AP1561,AU1561)+AX1561/_xlfn.XLOOKUP(_xlfn.XLOOKUP($F1561,Clientes!$B$4:$B$39,Clientes!$C$4:$C$39),Cadastros!$L$6:$L$12,Cadastros!$M$6:$M$12)+IF($F1561="Bernardino Furlan",AY1561/2751.92,IF($F1561="Mauro José Salanti",AY1561/2751.92,AY1561/3356)),F1561&lt;&gt;0,SUM(L1561,Q1561,V1561,AA1561,AF1561,AK1561,AP1561,AU1561)))*(1-0.03),_xlfn.IFS(AW1561="SIM",SUM(L1561,Q1561,V1561,AA1561,AF1561,AK1561,AP1561,AU1561)+AX1561/_xlfn.XLOOKUP(_xlfn.XLOOKUP($F1561,Clientes!$B$4:$B$39,Clientes!$C$4:$C$39),Cadastros!$L$6:$L$12,Cadastros!$M$6:$M$12)+IF($F1561="Bernardino Furlan",AY1561/2751.92,IF($F1561="Mauro José Salanti",AY1561/2751.92,AY1561/3356)),F1561&lt;&gt;0,SUM(L1561,Q1561,V1561,AA1561,AF1561,AK1561,AP1561,AU1561))))</f>
        <v xml:space="preserve"> </v>
      </c>
      <c r="BE1561" s="120"/>
      <c r="BF1561" s="120"/>
      <c r="BG1561" s="120"/>
    </row>
    <row r="1562" spans="1:59" s="3" customFormat="1" x14ac:dyDescent="0.3">
      <c r="A1562" s="15" t="str">
        <f t="shared" si="312"/>
        <v/>
      </c>
      <c r="B1562" s="25"/>
      <c r="C1562" s="26"/>
      <c r="D1562" s="279"/>
      <c r="E1562" s="27"/>
      <c r="F1562" s="28"/>
      <c r="G1562" s="27"/>
      <c r="H1562" s="28"/>
      <c r="I1562" s="28"/>
      <c r="J1562" s="255" t="str">
        <f>IF(H1562="","",(_xlfn.XLOOKUP(H1562,Cadastros!$D$6:$D$90,Cadastros!$E$6:$E$90))*(1-_xlfn.XLOOKUP(_xlfn.XLOOKUP($F1562,Clientes!$B$4:$B$39,Clientes!$C$4:$C$39),Cadastros!$L$6:$L$12,Cadastros!$N$6:$N$12)))</f>
        <v/>
      </c>
      <c r="K1562" s="168" t="str">
        <f t="shared" si="313"/>
        <v/>
      </c>
      <c r="L1562" s="168" t="str">
        <f>IFERROR(K1562/_xlfn.XLOOKUP(_xlfn.XLOOKUP($F1562,Clientes!$B$4:$B$39,Clientes!$C$4:$C$39),Cadastros!$L$6:$L$12,Cadastros!$M$6:$M$12)," ")</f>
        <v xml:space="preserve"> </v>
      </c>
      <c r="M1562" s="28"/>
      <c r="N1562" s="28"/>
      <c r="O1562" s="255" t="str">
        <f>IF(M1562="","",(_xlfn.XLOOKUP(M1562,Cadastros!$D$6:$D$90,Cadastros!$E$6:$E$90))*(1-_xlfn.XLOOKUP(_xlfn.XLOOKUP($F1562,Clientes!$B$4:$B$39,Clientes!$C$4:$C$39),Cadastros!$L$6:$L$12,Cadastros!$N$6:$N$12)))</f>
        <v/>
      </c>
      <c r="P1562" s="168" t="str">
        <f t="shared" si="314"/>
        <v/>
      </c>
      <c r="Q1562" s="168" t="str">
        <f>IFERROR(P1562/_xlfn.XLOOKUP(_xlfn.XLOOKUP($F1562,Clientes!$B$4:$B$39,Clientes!$C$4:$C$39),Cadastros!$L$6:$L$12,Cadastros!$M$6:$M$12)," ")</f>
        <v xml:space="preserve"> </v>
      </c>
      <c r="R1562" s="28"/>
      <c r="S1562" s="28"/>
      <c r="T1562" s="255" t="str">
        <f>IF(R1562="","",(_xlfn.XLOOKUP(R1562,Cadastros!$D$6:$D$90,Cadastros!$E$6:$E$90))*(1-_xlfn.XLOOKUP(_xlfn.XLOOKUP($F1562,Clientes!$B$4:$B$39,Clientes!$C$4:$C$39),Cadastros!$L$6:$L$12,Cadastros!$N$6:$N$12)))</f>
        <v/>
      </c>
      <c r="U1562" s="168" t="str">
        <f t="shared" si="315"/>
        <v/>
      </c>
      <c r="V1562" s="168" t="str">
        <f>IFERROR(U1562/_xlfn.XLOOKUP(_xlfn.XLOOKUP($F1562,Clientes!$B$4:$B$39,Clientes!$C$4:$C$39),Cadastros!$L$6:$L$12,Cadastros!$M$6:$M$12)," ")</f>
        <v xml:space="preserve"> </v>
      </c>
      <c r="W1562" s="28"/>
      <c r="X1562" s="28"/>
      <c r="Y1562" s="255" t="str">
        <f>IF(W1562="","",(_xlfn.XLOOKUP(W1562,Cadastros!$D$6:$D$90,Cadastros!$E$6:$E$90))*(1-_xlfn.XLOOKUP(_xlfn.XLOOKUP($F1562,Clientes!$B$4:$B$39,Clientes!$C$4:$C$39),Cadastros!$L$6:$L$12,Cadastros!$N$6:$N$12)))</f>
        <v/>
      </c>
      <c r="Z1562" s="168" t="str">
        <f t="shared" si="316"/>
        <v/>
      </c>
      <c r="AA1562" s="168" t="str">
        <f>IFERROR(Z1562/_xlfn.XLOOKUP(_xlfn.XLOOKUP($F1562,Clientes!$B$4:$B$39,Clientes!$C$4:$C$39),Cadastros!$L$6:$L$12,Cadastros!$M$6:$M$12)," ")</f>
        <v xml:space="preserve"> </v>
      </c>
      <c r="AB1562" s="28"/>
      <c r="AC1562" s="28"/>
      <c r="AD1562" s="20" t="str">
        <f>IF(AB1562="","",IF($F1562="Bernardino Furlan",_xlfn.XLOOKUP(AB1562,Cadastros!$G$6:$G$90,Cadastros!$H$6:$H$90)*(1-0.18),IF($F1562="Mauro José Salanti",_xlfn.XLOOKUP(AB1562,Cadastros!$G$6:$G$90,Cadastros!$H$6:$H$90)*(1-0.18),_xlfn.XLOOKUP(AB1562,Cadastros!$G$6:$G$90,Cadastros!$H$6:$H$90))))</f>
        <v/>
      </c>
      <c r="AE1562" s="168" t="str">
        <f t="shared" si="317"/>
        <v/>
      </c>
      <c r="AF1562" s="168" t="str">
        <f t="shared" si="318"/>
        <v/>
      </c>
      <c r="AG1562" s="28"/>
      <c r="AH1562" s="28"/>
      <c r="AI1562" s="20" t="str">
        <f>IF(AG1562="","",IF($F1562="Bernardino Furlan",_xlfn.XLOOKUP(AG1562,Cadastros!$G$6:$G$90,Cadastros!$H$6:$H$90)*(1-0.18),IF($F1562="Mauro José Salanti",_xlfn.XLOOKUP(AG1562,Cadastros!$G$6:$G$90,Cadastros!$H$6:$H$90)*(1-0.18),_xlfn.XLOOKUP(AG1562,Cadastros!$G$6:$G$90,Cadastros!$H$6:$H$90))))</f>
        <v/>
      </c>
      <c r="AJ1562" s="168" t="str">
        <f t="shared" si="319"/>
        <v/>
      </c>
      <c r="AK1562" s="168" t="str">
        <f t="shared" si="320"/>
        <v/>
      </c>
      <c r="AL1562" s="28"/>
      <c r="AM1562" s="28"/>
      <c r="AN1562" s="20" t="str">
        <f>IF(AL1562="","",IF($F1562="Bernardino Furlan",_xlfn.XLOOKUP(AL1562,Cadastros!$G$6:$G$90,Cadastros!$H$6:$H$90)*(1-0.18),IF($F1562="Mauro José Salanti",_xlfn.XLOOKUP(AL1562,Cadastros!$G$6:$G$90,Cadastros!$H$6:$H$90)*(1-0.18),_xlfn.XLOOKUP(AL1562,Cadastros!$G$6:$G$90,Cadastros!$H$6:$H$90))))</f>
        <v/>
      </c>
      <c r="AO1562" s="168" t="str">
        <f t="shared" si="321"/>
        <v/>
      </c>
      <c r="AP1562" s="168" t="str">
        <f t="shared" si="322"/>
        <v/>
      </c>
      <c r="AQ1562" s="28"/>
      <c r="AR1562" s="28"/>
      <c r="AS1562" s="20" t="str">
        <f>IF(AQ1562="","",IF($F1562="Bernardino Furlan",_xlfn.XLOOKUP(AQ1562,Cadastros!$G$6:$G$90,Cadastros!$H$6:$H$90)*(1-0.18),IF($F1562="Mauro José Salanti",_xlfn.XLOOKUP(AQ1562,Cadastros!$G$6:$G$90,Cadastros!$H$6:$H$90)*(1-0.18),_xlfn.XLOOKUP(AQ1562,Cadastros!$G$6:$G$90,Cadastros!$H$6:$H$90))))</f>
        <v/>
      </c>
      <c r="AT1562" s="168" t="str">
        <f t="shared" si="323"/>
        <v/>
      </c>
      <c r="AU1562" s="168" t="str">
        <f t="shared" si="324"/>
        <v/>
      </c>
      <c r="AV1562" s="227"/>
      <c r="AW1562" s="30"/>
      <c r="AX1562" s="267"/>
      <c r="AY1562" s="267"/>
      <c r="AZ1562" s="29"/>
      <c r="BA1562" s="30"/>
      <c r="BB1562" s="23" t="str" cm="1">
        <f t="array" ref="BB1562">_xlfn.IFS(AW1562="SIM",SUM(K1562,P1562,U1562,Z1562,AE1562,AJ1562,AO1562,AT1562,AX1562,AY1562),F1562&lt;&gt;"",SUM(K1562,P1562,U1562,Z1562,AE1562,AJ1562,,AO1562,AT1562),F1562="","")</f>
        <v/>
      </c>
      <c r="BC1562" s="211" t="str" cm="1">
        <f t="array" ref="BC1562">_xlfn.IFS(E1562="","",G1562&lt;=E1562,BB1562*(1-0.03),G1562&lt;(E1562+8),BB1562,AZ1562="Boleto",BB1562*(1+0.001)^DATEDIF(E1562,G1562,"D"),AZ1562="Cheque",BB1562,AZ1562="Dinheiro","Alterar forma pgto")</f>
        <v/>
      </c>
      <c r="BD1562" s="276" t="str" cm="1">
        <f t="array" ref="BD1562">IF(F1562=0," ",IF(BC1562&lt;BB1562,(_xlfn.IFS(AW1562="SIM",SUM(L1562,Q1562,V1562,AA1562,AF1562,AK1562,AP1562,AU1562)+AX1562/_xlfn.XLOOKUP(_xlfn.XLOOKUP($F1562,Clientes!$B$4:$B$39,Clientes!$C$4:$C$39),Cadastros!$L$6:$L$12,Cadastros!$M$6:$M$12)+IF($F1562="Bernardino Furlan",AY1562/2751.92,IF($F1562="Mauro José Salanti",AY1562/2751.92,AY1562/3356)),F1562&lt;&gt;0,SUM(L1562,Q1562,V1562,AA1562,AF1562,AK1562,AP1562,AU1562)))*(1-0.03),_xlfn.IFS(AW1562="SIM",SUM(L1562,Q1562,V1562,AA1562,AF1562,AK1562,AP1562,AU1562)+AX1562/_xlfn.XLOOKUP(_xlfn.XLOOKUP($F1562,Clientes!$B$4:$B$39,Clientes!$C$4:$C$39),Cadastros!$L$6:$L$12,Cadastros!$M$6:$M$12)+IF($F1562="Bernardino Furlan",AY1562/2751.92,IF($F1562="Mauro José Salanti",AY1562/2751.92,AY1562/3356)),F1562&lt;&gt;0,SUM(L1562,Q1562,V1562,AA1562,AF1562,AK1562,AP1562,AU1562))))</f>
        <v xml:space="preserve"> </v>
      </c>
      <c r="BE1562" s="120"/>
      <c r="BF1562" s="120"/>
      <c r="BG1562" s="120"/>
    </row>
    <row r="1563" spans="1:59" s="3" customFormat="1" x14ac:dyDescent="0.3">
      <c r="A1563" s="15" t="str">
        <f t="shared" si="312"/>
        <v/>
      </c>
      <c r="B1563" s="25"/>
      <c r="C1563" s="26"/>
      <c r="D1563" s="279"/>
      <c r="E1563" s="27"/>
      <c r="F1563" s="28"/>
      <c r="G1563" s="27"/>
      <c r="H1563" s="28"/>
      <c r="I1563" s="28"/>
      <c r="J1563" s="255" t="str">
        <f>IF(H1563="","",(_xlfn.XLOOKUP(H1563,Cadastros!$D$6:$D$90,Cadastros!$E$6:$E$90))*(1-_xlfn.XLOOKUP(_xlfn.XLOOKUP($F1563,Clientes!$B$4:$B$39,Clientes!$C$4:$C$39),Cadastros!$L$6:$L$12,Cadastros!$N$6:$N$12)))</f>
        <v/>
      </c>
      <c r="K1563" s="168" t="str">
        <f t="shared" si="313"/>
        <v/>
      </c>
      <c r="L1563" s="168" t="str">
        <f>IFERROR(K1563/_xlfn.XLOOKUP(_xlfn.XLOOKUP($F1563,Clientes!$B$4:$B$39,Clientes!$C$4:$C$39),Cadastros!$L$6:$L$12,Cadastros!$M$6:$M$12)," ")</f>
        <v xml:space="preserve"> </v>
      </c>
      <c r="M1563" s="28"/>
      <c r="N1563" s="28"/>
      <c r="O1563" s="255" t="str">
        <f>IF(M1563="","",(_xlfn.XLOOKUP(M1563,Cadastros!$D$6:$D$90,Cadastros!$E$6:$E$90))*(1-_xlfn.XLOOKUP(_xlfn.XLOOKUP($F1563,Clientes!$B$4:$B$39,Clientes!$C$4:$C$39),Cadastros!$L$6:$L$12,Cadastros!$N$6:$N$12)))</f>
        <v/>
      </c>
      <c r="P1563" s="168" t="str">
        <f t="shared" si="314"/>
        <v/>
      </c>
      <c r="Q1563" s="168" t="str">
        <f>IFERROR(P1563/_xlfn.XLOOKUP(_xlfn.XLOOKUP($F1563,Clientes!$B$4:$B$39,Clientes!$C$4:$C$39),Cadastros!$L$6:$L$12,Cadastros!$M$6:$M$12)," ")</f>
        <v xml:space="preserve"> </v>
      </c>
      <c r="R1563" s="28"/>
      <c r="S1563" s="28"/>
      <c r="T1563" s="255" t="str">
        <f>IF(R1563="","",(_xlfn.XLOOKUP(R1563,Cadastros!$D$6:$D$90,Cadastros!$E$6:$E$90))*(1-_xlfn.XLOOKUP(_xlfn.XLOOKUP($F1563,Clientes!$B$4:$B$39,Clientes!$C$4:$C$39),Cadastros!$L$6:$L$12,Cadastros!$N$6:$N$12)))</f>
        <v/>
      </c>
      <c r="U1563" s="168" t="str">
        <f t="shared" si="315"/>
        <v/>
      </c>
      <c r="V1563" s="168" t="str">
        <f>IFERROR(U1563/_xlfn.XLOOKUP(_xlfn.XLOOKUP($F1563,Clientes!$B$4:$B$39,Clientes!$C$4:$C$39),Cadastros!$L$6:$L$12,Cadastros!$M$6:$M$12)," ")</f>
        <v xml:space="preserve"> </v>
      </c>
      <c r="W1563" s="28"/>
      <c r="X1563" s="28"/>
      <c r="Y1563" s="255" t="str">
        <f>IF(W1563="","",(_xlfn.XLOOKUP(W1563,Cadastros!$D$6:$D$90,Cadastros!$E$6:$E$90))*(1-_xlfn.XLOOKUP(_xlfn.XLOOKUP($F1563,Clientes!$B$4:$B$39,Clientes!$C$4:$C$39),Cadastros!$L$6:$L$12,Cadastros!$N$6:$N$12)))</f>
        <v/>
      </c>
      <c r="Z1563" s="168" t="str">
        <f t="shared" si="316"/>
        <v/>
      </c>
      <c r="AA1563" s="168" t="str">
        <f>IFERROR(Z1563/_xlfn.XLOOKUP(_xlfn.XLOOKUP($F1563,Clientes!$B$4:$B$39,Clientes!$C$4:$C$39),Cadastros!$L$6:$L$12,Cadastros!$M$6:$M$12)," ")</f>
        <v xml:space="preserve"> </v>
      </c>
      <c r="AB1563" s="28"/>
      <c r="AC1563" s="28"/>
      <c r="AD1563" s="20" t="str">
        <f>IF(AB1563="","",IF($F1563="Bernardino Furlan",_xlfn.XLOOKUP(AB1563,Cadastros!$G$6:$G$90,Cadastros!$H$6:$H$90)*(1-0.18),IF($F1563="Mauro José Salanti",_xlfn.XLOOKUP(AB1563,Cadastros!$G$6:$G$90,Cadastros!$H$6:$H$90)*(1-0.18),_xlfn.XLOOKUP(AB1563,Cadastros!$G$6:$G$90,Cadastros!$H$6:$H$90))))</f>
        <v/>
      </c>
      <c r="AE1563" s="168" t="str">
        <f t="shared" si="317"/>
        <v/>
      </c>
      <c r="AF1563" s="168" t="str">
        <f t="shared" si="318"/>
        <v/>
      </c>
      <c r="AG1563" s="28"/>
      <c r="AH1563" s="28"/>
      <c r="AI1563" s="20" t="str">
        <f>IF(AG1563="","",IF($F1563="Bernardino Furlan",_xlfn.XLOOKUP(AG1563,Cadastros!$G$6:$G$90,Cadastros!$H$6:$H$90)*(1-0.18),IF($F1563="Mauro José Salanti",_xlfn.XLOOKUP(AG1563,Cadastros!$G$6:$G$90,Cadastros!$H$6:$H$90)*(1-0.18),_xlfn.XLOOKUP(AG1563,Cadastros!$G$6:$G$90,Cadastros!$H$6:$H$90))))</f>
        <v/>
      </c>
      <c r="AJ1563" s="168" t="str">
        <f t="shared" si="319"/>
        <v/>
      </c>
      <c r="AK1563" s="168" t="str">
        <f t="shared" si="320"/>
        <v/>
      </c>
      <c r="AL1563" s="28"/>
      <c r="AM1563" s="28"/>
      <c r="AN1563" s="20" t="str">
        <f>IF(AL1563="","",IF($F1563="Bernardino Furlan",_xlfn.XLOOKUP(AL1563,Cadastros!$G$6:$G$90,Cadastros!$H$6:$H$90)*(1-0.18),IF($F1563="Mauro José Salanti",_xlfn.XLOOKUP(AL1563,Cadastros!$G$6:$G$90,Cadastros!$H$6:$H$90)*(1-0.18),_xlfn.XLOOKUP(AL1563,Cadastros!$G$6:$G$90,Cadastros!$H$6:$H$90))))</f>
        <v/>
      </c>
      <c r="AO1563" s="168" t="str">
        <f t="shared" si="321"/>
        <v/>
      </c>
      <c r="AP1563" s="168" t="str">
        <f t="shared" si="322"/>
        <v/>
      </c>
      <c r="AQ1563" s="28"/>
      <c r="AR1563" s="28"/>
      <c r="AS1563" s="20" t="str">
        <f>IF(AQ1563="","",IF($F1563="Bernardino Furlan",_xlfn.XLOOKUP(AQ1563,Cadastros!$G$6:$G$90,Cadastros!$H$6:$H$90)*(1-0.18),IF($F1563="Mauro José Salanti",_xlfn.XLOOKUP(AQ1563,Cadastros!$G$6:$G$90,Cadastros!$H$6:$H$90)*(1-0.18),_xlfn.XLOOKUP(AQ1563,Cadastros!$G$6:$G$90,Cadastros!$H$6:$H$90))))</f>
        <v/>
      </c>
      <c r="AT1563" s="168" t="str">
        <f t="shared" si="323"/>
        <v/>
      </c>
      <c r="AU1563" s="168" t="str">
        <f t="shared" si="324"/>
        <v/>
      </c>
      <c r="AV1563" s="227"/>
      <c r="AW1563" s="30"/>
      <c r="AX1563" s="267"/>
      <c r="AY1563" s="267"/>
      <c r="AZ1563" s="29"/>
      <c r="BA1563" s="30"/>
      <c r="BB1563" s="23" t="str" cm="1">
        <f t="array" ref="BB1563">_xlfn.IFS(AW1563="SIM",SUM(K1563,P1563,U1563,Z1563,AE1563,AJ1563,AO1563,AT1563,AX1563,AY1563),F1563&lt;&gt;"",SUM(K1563,P1563,U1563,Z1563,AE1563,AJ1563,,AO1563,AT1563),F1563="","")</f>
        <v/>
      </c>
      <c r="BC1563" s="211" t="str" cm="1">
        <f t="array" ref="BC1563">_xlfn.IFS(E1563="","",G1563&lt;=E1563,BB1563*(1-0.03),G1563&lt;(E1563+8),BB1563,AZ1563="Boleto",BB1563*(1+0.001)^DATEDIF(E1563,G1563,"D"),AZ1563="Cheque",BB1563,AZ1563="Dinheiro","Alterar forma pgto")</f>
        <v/>
      </c>
      <c r="BD1563" s="276" t="str" cm="1">
        <f t="array" ref="BD1563">IF(F1563=0," ",IF(BC1563&lt;BB1563,(_xlfn.IFS(AW1563="SIM",SUM(L1563,Q1563,V1563,AA1563,AF1563,AK1563,AP1563,AU1563)+AX1563/_xlfn.XLOOKUP(_xlfn.XLOOKUP($F1563,Clientes!$B$4:$B$39,Clientes!$C$4:$C$39),Cadastros!$L$6:$L$12,Cadastros!$M$6:$M$12)+IF($F1563="Bernardino Furlan",AY1563/2751.92,IF($F1563="Mauro José Salanti",AY1563/2751.92,AY1563/3356)),F1563&lt;&gt;0,SUM(L1563,Q1563,V1563,AA1563,AF1563,AK1563,AP1563,AU1563)))*(1-0.03),_xlfn.IFS(AW1563="SIM",SUM(L1563,Q1563,V1563,AA1563,AF1563,AK1563,AP1563,AU1563)+AX1563/_xlfn.XLOOKUP(_xlfn.XLOOKUP($F1563,Clientes!$B$4:$B$39,Clientes!$C$4:$C$39),Cadastros!$L$6:$L$12,Cadastros!$M$6:$M$12)+IF($F1563="Bernardino Furlan",AY1563/2751.92,IF($F1563="Mauro José Salanti",AY1563/2751.92,AY1563/3356)),F1563&lt;&gt;0,SUM(L1563,Q1563,V1563,AA1563,AF1563,AK1563,AP1563,AU1563))))</f>
        <v xml:space="preserve"> </v>
      </c>
      <c r="BE1563" s="120"/>
      <c r="BF1563" s="120"/>
      <c r="BG1563" s="120"/>
    </row>
    <row r="1564" spans="1:59" s="3" customFormat="1" x14ac:dyDescent="0.3">
      <c r="A1564" s="15" t="str">
        <f t="shared" si="312"/>
        <v/>
      </c>
      <c r="B1564" s="25"/>
      <c r="C1564" s="26"/>
      <c r="D1564" s="279"/>
      <c r="E1564" s="27"/>
      <c r="F1564" s="28"/>
      <c r="G1564" s="27"/>
      <c r="H1564" s="28"/>
      <c r="I1564" s="28"/>
      <c r="J1564" s="255" t="str">
        <f>IF(H1564="","",(_xlfn.XLOOKUP(H1564,Cadastros!$D$6:$D$90,Cadastros!$E$6:$E$90))*(1-_xlfn.XLOOKUP(_xlfn.XLOOKUP($F1564,Clientes!$B$4:$B$39,Clientes!$C$4:$C$39),Cadastros!$L$6:$L$12,Cadastros!$N$6:$N$12)))</f>
        <v/>
      </c>
      <c r="K1564" s="168" t="str">
        <f t="shared" si="313"/>
        <v/>
      </c>
      <c r="L1564" s="168" t="str">
        <f>IFERROR(K1564/_xlfn.XLOOKUP(_xlfn.XLOOKUP($F1564,Clientes!$B$4:$B$39,Clientes!$C$4:$C$39),Cadastros!$L$6:$L$12,Cadastros!$M$6:$M$12)," ")</f>
        <v xml:space="preserve"> </v>
      </c>
      <c r="M1564" s="28"/>
      <c r="N1564" s="28"/>
      <c r="O1564" s="255" t="str">
        <f>IF(M1564="","",(_xlfn.XLOOKUP(M1564,Cadastros!$D$6:$D$90,Cadastros!$E$6:$E$90))*(1-_xlfn.XLOOKUP(_xlfn.XLOOKUP($F1564,Clientes!$B$4:$B$39,Clientes!$C$4:$C$39),Cadastros!$L$6:$L$12,Cadastros!$N$6:$N$12)))</f>
        <v/>
      </c>
      <c r="P1564" s="168" t="str">
        <f t="shared" si="314"/>
        <v/>
      </c>
      <c r="Q1564" s="168" t="str">
        <f>IFERROR(P1564/_xlfn.XLOOKUP(_xlfn.XLOOKUP($F1564,Clientes!$B$4:$B$39,Clientes!$C$4:$C$39),Cadastros!$L$6:$L$12,Cadastros!$M$6:$M$12)," ")</f>
        <v xml:space="preserve"> </v>
      </c>
      <c r="R1564" s="28"/>
      <c r="S1564" s="28"/>
      <c r="T1564" s="255" t="str">
        <f>IF(R1564="","",(_xlfn.XLOOKUP(R1564,Cadastros!$D$6:$D$90,Cadastros!$E$6:$E$90))*(1-_xlfn.XLOOKUP(_xlfn.XLOOKUP($F1564,Clientes!$B$4:$B$39,Clientes!$C$4:$C$39),Cadastros!$L$6:$L$12,Cadastros!$N$6:$N$12)))</f>
        <v/>
      </c>
      <c r="U1564" s="168" t="str">
        <f t="shared" si="315"/>
        <v/>
      </c>
      <c r="V1564" s="168" t="str">
        <f>IFERROR(U1564/_xlfn.XLOOKUP(_xlfn.XLOOKUP($F1564,Clientes!$B$4:$B$39,Clientes!$C$4:$C$39),Cadastros!$L$6:$L$12,Cadastros!$M$6:$M$12)," ")</f>
        <v xml:space="preserve"> </v>
      </c>
      <c r="W1564" s="28"/>
      <c r="X1564" s="28"/>
      <c r="Y1564" s="255" t="str">
        <f>IF(W1564="","",(_xlfn.XLOOKUP(W1564,Cadastros!$D$6:$D$90,Cadastros!$E$6:$E$90))*(1-_xlfn.XLOOKUP(_xlfn.XLOOKUP($F1564,Clientes!$B$4:$B$39,Clientes!$C$4:$C$39),Cadastros!$L$6:$L$12,Cadastros!$N$6:$N$12)))</f>
        <v/>
      </c>
      <c r="Z1564" s="168" t="str">
        <f t="shared" si="316"/>
        <v/>
      </c>
      <c r="AA1564" s="168" t="str">
        <f>IFERROR(Z1564/_xlfn.XLOOKUP(_xlfn.XLOOKUP($F1564,Clientes!$B$4:$B$39,Clientes!$C$4:$C$39),Cadastros!$L$6:$L$12,Cadastros!$M$6:$M$12)," ")</f>
        <v xml:space="preserve"> </v>
      </c>
      <c r="AB1564" s="28"/>
      <c r="AC1564" s="28"/>
      <c r="AD1564" s="20" t="str">
        <f>IF(AB1564="","",IF($F1564="Bernardino Furlan",_xlfn.XLOOKUP(AB1564,Cadastros!$G$6:$G$90,Cadastros!$H$6:$H$90)*(1-0.18),IF($F1564="Mauro José Salanti",_xlfn.XLOOKUP(AB1564,Cadastros!$G$6:$G$90,Cadastros!$H$6:$H$90)*(1-0.18),_xlfn.XLOOKUP(AB1564,Cadastros!$G$6:$G$90,Cadastros!$H$6:$H$90))))</f>
        <v/>
      </c>
      <c r="AE1564" s="168" t="str">
        <f t="shared" si="317"/>
        <v/>
      </c>
      <c r="AF1564" s="168" t="str">
        <f t="shared" si="318"/>
        <v/>
      </c>
      <c r="AG1564" s="28"/>
      <c r="AH1564" s="28"/>
      <c r="AI1564" s="20" t="str">
        <f>IF(AG1564="","",IF($F1564="Bernardino Furlan",_xlfn.XLOOKUP(AG1564,Cadastros!$G$6:$G$90,Cadastros!$H$6:$H$90)*(1-0.18),IF($F1564="Mauro José Salanti",_xlfn.XLOOKUP(AG1564,Cadastros!$G$6:$G$90,Cadastros!$H$6:$H$90)*(1-0.18),_xlfn.XLOOKUP(AG1564,Cadastros!$G$6:$G$90,Cadastros!$H$6:$H$90))))</f>
        <v/>
      </c>
      <c r="AJ1564" s="168" t="str">
        <f t="shared" si="319"/>
        <v/>
      </c>
      <c r="AK1564" s="168" t="str">
        <f t="shared" si="320"/>
        <v/>
      </c>
      <c r="AL1564" s="28"/>
      <c r="AM1564" s="28"/>
      <c r="AN1564" s="20" t="str">
        <f>IF(AL1564="","",IF($F1564="Bernardino Furlan",_xlfn.XLOOKUP(AL1564,Cadastros!$G$6:$G$90,Cadastros!$H$6:$H$90)*(1-0.18),IF($F1564="Mauro José Salanti",_xlfn.XLOOKUP(AL1564,Cadastros!$G$6:$G$90,Cadastros!$H$6:$H$90)*(1-0.18),_xlfn.XLOOKUP(AL1564,Cadastros!$G$6:$G$90,Cadastros!$H$6:$H$90))))</f>
        <v/>
      </c>
      <c r="AO1564" s="168" t="str">
        <f t="shared" si="321"/>
        <v/>
      </c>
      <c r="AP1564" s="168" t="str">
        <f t="shared" si="322"/>
        <v/>
      </c>
      <c r="AQ1564" s="28"/>
      <c r="AR1564" s="28"/>
      <c r="AS1564" s="20" t="str">
        <f>IF(AQ1564="","",IF($F1564="Bernardino Furlan",_xlfn.XLOOKUP(AQ1564,Cadastros!$G$6:$G$90,Cadastros!$H$6:$H$90)*(1-0.18),IF($F1564="Mauro José Salanti",_xlfn.XLOOKUP(AQ1564,Cadastros!$G$6:$G$90,Cadastros!$H$6:$H$90)*(1-0.18),_xlfn.XLOOKUP(AQ1564,Cadastros!$G$6:$G$90,Cadastros!$H$6:$H$90))))</f>
        <v/>
      </c>
      <c r="AT1564" s="168" t="str">
        <f t="shared" si="323"/>
        <v/>
      </c>
      <c r="AU1564" s="168" t="str">
        <f t="shared" si="324"/>
        <v/>
      </c>
      <c r="AV1564" s="227"/>
      <c r="AW1564" s="30"/>
      <c r="AX1564" s="267"/>
      <c r="AY1564" s="267"/>
      <c r="AZ1564" s="29"/>
      <c r="BA1564" s="30"/>
      <c r="BB1564" s="23" t="str" cm="1">
        <f t="array" ref="BB1564">_xlfn.IFS(AW1564="SIM",SUM(K1564,P1564,U1564,Z1564,AE1564,AJ1564,AO1564,AT1564,AX1564,AY1564),F1564&lt;&gt;"",SUM(K1564,P1564,U1564,Z1564,AE1564,AJ1564,,AO1564,AT1564),F1564="","")</f>
        <v/>
      </c>
      <c r="BC1564" s="211" t="str" cm="1">
        <f t="array" ref="BC1564">_xlfn.IFS(E1564="","",G1564&lt;=E1564,BB1564*(1-0.03),G1564&lt;(E1564+8),BB1564,AZ1564="Boleto",BB1564*(1+0.001)^DATEDIF(E1564,G1564,"D"),AZ1564="Cheque",BB1564,AZ1564="Dinheiro","Alterar forma pgto")</f>
        <v/>
      </c>
      <c r="BD1564" s="276" t="str" cm="1">
        <f t="array" ref="BD1564">IF(F1564=0," ",IF(BC1564&lt;BB1564,(_xlfn.IFS(AW1564="SIM",SUM(L1564,Q1564,V1564,AA1564,AF1564,AK1564,AP1564,AU1564)+AX1564/_xlfn.XLOOKUP(_xlfn.XLOOKUP($F1564,Clientes!$B$4:$B$39,Clientes!$C$4:$C$39),Cadastros!$L$6:$L$12,Cadastros!$M$6:$M$12)+IF($F1564="Bernardino Furlan",AY1564/2751.92,IF($F1564="Mauro José Salanti",AY1564/2751.92,AY1564/3356)),F1564&lt;&gt;0,SUM(L1564,Q1564,V1564,AA1564,AF1564,AK1564,AP1564,AU1564)))*(1-0.03),_xlfn.IFS(AW1564="SIM",SUM(L1564,Q1564,V1564,AA1564,AF1564,AK1564,AP1564,AU1564)+AX1564/_xlfn.XLOOKUP(_xlfn.XLOOKUP($F1564,Clientes!$B$4:$B$39,Clientes!$C$4:$C$39),Cadastros!$L$6:$L$12,Cadastros!$M$6:$M$12)+IF($F1564="Bernardino Furlan",AY1564/2751.92,IF($F1564="Mauro José Salanti",AY1564/2751.92,AY1564/3356)),F1564&lt;&gt;0,SUM(L1564,Q1564,V1564,AA1564,AF1564,AK1564,AP1564,AU1564))))</f>
        <v xml:space="preserve"> </v>
      </c>
      <c r="BE1564" s="120"/>
      <c r="BF1564" s="120"/>
      <c r="BG1564" s="120"/>
    </row>
    <row r="1565" spans="1:59" s="3" customFormat="1" x14ac:dyDescent="0.3">
      <c r="A1565" s="15" t="str">
        <f t="shared" si="312"/>
        <v/>
      </c>
      <c r="B1565" s="25"/>
      <c r="C1565" s="26"/>
      <c r="D1565" s="279"/>
      <c r="E1565" s="27"/>
      <c r="F1565" s="28"/>
      <c r="G1565" s="27"/>
      <c r="H1565" s="28"/>
      <c r="I1565" s="28"/>
      <c r="J1565" s="255" t="str">
        <f>IF(H1565="","",(_xlfn.XLOOKUP(H1565,Cadastros!$D$6:$D$90,Cadastros!$E$6:$E$90))*(1-_xlfn.XLOOKUP(_xlfn.XLOOKUP($F1565,Clientes!$B$4:$B$39,Clientes!$C$4:$C$39),Cadastros!$L$6:$L$12,Cadastros!$N$6:$N$12)))</f>
        <v/>
      </c>
      <c r="K1565" s="168" t="str">
        <f t="shared" si="313"/>
        <v/>
      </c>
      <c r="L1565" s="168" t="str">
        <f>IFERROR(K1565/_xlfn.XLOOKUP(_xlfn.XLOOKUP($F1565,Clientes!$B$4:$B$39,Clientes!$C$4:$C$39),Cadastros!$L$6:$L$12,Cadastros!$M$6:$M$12)," ")</f>
        <v xml:space="preserve"> </v>
      </c>
      <c r="M1565" s="28"/>
      <c r="N1565" s="28"/>
      <c r="O1565" s="255" t="str">
        <f>IF(M1565="","",(_xlfn.XLOOKUP(M1565,Cadastros!$D$6:$D$90,Cadastros!$E$6:$E$90))*(1-_xlfn.XLOOKUP(_xlfn.XLOOKUP($F1565,Clientes!$B$4:$B$39,Clientes!$C$4:$C$39),Cadastros!$L$6:$L$12,Cadastros!$N$6:$N$12)))</f>
        <v/>
      </c>
      <c r="P1565" s="168" t="str">
        <f t="shared" si="314"/>
        <v/>
      </c>
      <c r="Q1565" s="168" t="str">
        <f>IFERROR(P1565/_xlfn.XLOOKUP(_xlfn.XLOOKUP($F1565,Clientes!$B$4:$B$39,Clientes!$C$4:$C$39),Cadastros!$L$6:$L$12,Cadastros!$M$6:$M$12)," ")</f>
        <v xml:space="preserve"> </v>
      </c>
      <c r="R1565" s="28"/>
      <c r="S1565" s="28"/>
      <c r="T1565" s="255" t="str">
        <f>IF(R1565="","",(_xlfn.XLOOKUP(R1565,Cadastros!$D$6:$D$90,Cadastros!$E$6:$E$90))*(1-_xlfn.XLOOKUP(_xlfn.XLOOKUP($F1565,Clientes!$B$4:$B$39,Clientes!$C$4:$C$39),Cadastros!$L$6:$L$12,Cadastros!$N$6:$N$12)))</f>
        <v/>
      </c>
      <c r="U1565" s="168" t="str">
        <f t="shared" si="315"/>
        <v/>
      </c>
      <c r="V1565" s="168" t="str">
        <f>IFERROR(U1565/_xlfn.XLOOKUP(_xlfn.XLOOKUP($F1565,Clientes!$B$4:$B$39,Clientes!$C$4:$C$39),Cadastros!$L$6:$L$12,Cadastros!$M$6:$M$12)," ")</f>
        <v xml:space="preserve"> </v>
      </c>
      <c r="W1565" s="28"/>
      <c r="X1565" s="28"/>
      <c r="Y1565" s="255" t="str">
        <f>IF(W1565="","",(_xlfn.XLOOKUP(W1565,Cadastros!$D$6:$D$90,Cadastros!$E$6:$E$90))*(1-_xlfn.XLOOKUP(_xlfn.XLOOKUP($F1565,Clientes!$B$4:$B$39,Clientes!$C$4:$C$39),Cadastros!$L$6:$L$12,Cadastros!$N$6:$N$12)))</f>
        <v/>
      </c>
      <c r="Z1565" s="168" t="str">
        <f t="shared" si="316"/>
        <v/>
      </c>
      <c r="AA1565" s="168" t="str">
        <f>IFERROR(Z1565/_xlfn.XLOOKUP(_xlfn.XLOOKUP($F1565,Clientes!$B$4:$B$39,Clientes!$C$4:$C$39),Cadastros!$L$6:$L$12,Cadastros!$M$6:$M$12)," ")</f>
        <v xml:space="preserve"> </v>
      </c>
      <c r="AB1565" s="28"/>
      <c r="AC1565" s="28"/>
      <c r="AD1565" s="20" t="str">
        <f>IF(AB1565="","",IF($F1565="Bernardino Furlan",_xlfn.XLOOKUP(AB1565,Cadastros!$G$6:$G$90,Cadastros!$H$6:$H$90)*(1-0.18),IF($F1565="Mauro José Salanti",_xlfn.XLOOKUP(AB1565,Cadastros!$G$6:$G$90,Cadastros!$H$6:$H$90)*(1-0.18),_xlfn.XLOOKUP(AB1565,Cadastros!$G$6:$G$90,Cadastros!$H$6:$H$90))))</f>
        <v/>
      </c>
      <c r="AE1565" s="168" t="str">
        <f t="shared" si="317"/>
        <v/>
      </c>
      <c r="AF1565" s="168" t="str">
        <f t="shared" si="318"/>
        <v/>
      </c>
      <c r="AG1565" s="28"/>
      <c r="AH1565" s="28"/>
      <c r="AI1565" s="20" t="str">
        <f>IF(AG1565="","",IF($F1565="Bernardino Furlan",_xlfn.XLOOKUP(AG1565,Cadastros!$G$6:$G$90,Cadastros!$H$6:$H$90)*(1-0.18),IF($F1565="Mauro José Salanti",_xlfn.XLOOKUP(AG1565,Cadastros!$G$6:$G$90,Cadastros!$H$6:$H$90)*(1-0.18),_xlfn.XLOOKUP(AG1565,Cadastros!$G$6:$G$90,Cadastros!$H$6:$H$90))))</f>
        <v/>
      </c>
      <c r="AJ1565" s="168" t="str">
        <f t="shared" si="319"/>
        <v/>
      </c>
      <c r="AK1565" s="168" t="str">
        <f t="shared" si="320"/>
        <v/>
      </c>
      <c r="AL1565" s="28"/>
      <c r="AM1565" s="28"/>
      <c r="AN1565" s="20" t="str">
        <f>IF(AL1565="","",IF($F1565="Bernardino Furlan",_xlfn.XLOOKUP(AL1565,Cadastros!$G$6:$G$90,Cadastros!$H$6:$H$90)*(1-0.18),IF($F1565="Mauro José Salanti",_xlfn.XLOOKUP(AL1565,Cadastros!$G$6:$G$90,Cadastros!$H$6:$H$90)*(1-0.18),_xlfn.XLOOKUP(AL1565,Cadastros!$G$6:$G$90,Cadastros!$H$6:$H$90))))</f>
        <v/>
      </c>
      <c r="AO1565" s="168" t="str">
        <f t="shared" si="321"/>
        <v/>
      </c>
      <c r="AP1565" s="168" t="str">
        <f t="shared" si="322"/>
        <v/>
      </c>
      <c r="AQ1565" s="28"/>
      <c r="AR1565" s="28"/>
      <c r="AS1565" s="20" t="str">
        <f>IF(AQ1565="","",IF($F1565="Bernardino Furlan",_xlfn.XLOOKUP(AQ1565,Cadastros!$G$6:$G$90,Cadastros!$H$6:$H$90)*(1-0.18),IF($F1565="Mauro José Salanti",_xlfn.XLOOKUP(AQ1565,Cadastros!$G$6:$G$90,Cadastros!$H$6:$H$90)*(1-0.18),_xlfn.XLOOKUP(AQ1565,Cadastros!$G$6:$G$90,Cadastros!$H$6:$H$90))))</f>
        <v/>
      </c>
      <c r="AT1565" s="168" t="str">
        <f t="shared" si="323"/>
        <v/>
      </c>
      <c r="AU1565" s="168" t="str">
        <f t="shared" si="324"/>
        <v/>
      </c>
      <c r="AV1565" s="227"/>
      <c r="AW1565" s="30"/>
      <c r="AX1565" s="267"/>
      <c r="AY1565" s="267"/>
      <c r="AZ1565" s="29"/>
      <c r="BA1565" s="30"/>
      <c r="BB1565" s="23" t="str" cm="1">
        <f t="array" ref="BB1565">_xlfn.IFS(AW1565="SIM",SUM(K1565,P1565,U1565,Z1565,AE1565,AJ1565,AO1565,AT1565,AX1565,AY1565),F1565&lt;&gt;"",SUM(K1565,P1565,U1565,Z1565,AE1565,AJ1565,,AO1565,AT1565),F1565="","")</f>
        <v/>
      </c>
      <c r="BC1565" s="211" t="str" cm="1">
        <f t="array" ref="BC1565">_xlfn.IFS(E1565="","",G1565&lt;=E1565,BB1565*(1-0.03),G1565&lt;(E1565+8),BB1565,AZ1565="Boleto",BB1565*(1+0.001)^DATEDIF(E1565,G1565,"D"),AZ1565="Cheque",BB1565,AZ1565="Dinheiro","Alterar forma pgto")</f>
        <v/>
      </c>
      <c r="BD1565" s="276" t="str" cm="1">
        <f t="array" ref="BD1565">IF(F1565=0," ",IF(BC1565&lt;BB1565,(_xlfn.IFS(AW1565="SIM",SUM(L1565,Q1565,V1565,AA1565,AF1565,AK1565,AP1565,AU1565)+AX1565/_xlfn.XLOOKUP(_xlfn.XLOOKUP($F1565,Clientes!$B$4:$B$39,Clientes!$C$4:$C$39),Cadastros!$L$6:$L$12,Cadastros!$M$6:$M$12)+IF($F1565="Bernardino Furlan",AY1565/2751.92,IF($F1565="Mauro José Salanti",AY1565/2751.92,AY1565/3356)),F1565&lt;&gt;0,SUM(L1565,Q1565,V1565,AA1565,AF1565,AK1565,AP1565,AU1565)))*(1-0.03),_xlfn.IFS(AW1565="SIM",SUM(L1565,Q1565,V1565,AA1565,AF1565,AK1565,AP1565,AU1565)+AX1565/_xlfn.XLOOKUP(_xlfn.XLOOKUP($F1565,Clientes!$B$4:$B$39,Clientes!$C$4:$C$39),Cadastros!$L$6:$L$12,Cadastros!$M$6:$M$12)+IF($F1565="Bernardino Furlan",AY1565/2751.92,IF($F1565="Mauro José Salanti",AY1565/2751.92,AY1565/3356)),F1565&lt;&gt;0,SUM(L1565,Q1565,V1565,AA1565,AF1565,AK1565,AP1565,AU1565))))</f>
        <v xml:space="preserve"> </v>
      </c>
      <c r="BE1565" s="120"/>
      <c r="BF1565" s="120"/>
      <c r="BG1565" s="120"/>
    </row>
    <row r="1566" spans="1:59" s="3" customFormat="1" x14ac:dyDescent="0.3">
      <c r="A1566" s="15" t="str">
        <f t="shared" si="312"/>
        <v/>
      </c>
      <c r="B1566" s="25"/>
      <c r="C1566" s="26"/>
      <c r="D1566" s="279"/>
      <c r="E1566" s="27"/>
      <c r="F1566" s="28"/>
      <c r="G1566" s="27"/>
      <c r="H1566" s="28"/>
      <c r="I1566" s="28"/>
      <c r="J1566" s="255" t="str">
        <f>IF(H1566="","",(_xlfn.XLOOKUP(H1566,Cadastros!$D$6:$D$90,Cadastros!$E$6:$E$90))*(1-_xlfn.XLOOKUP(_xlfn.XLOOKUP($F1566,Clientes!$B$4:$B$39,Clientes!$C$4:$C$39),Cadastros!$L$6:$L$12,Cadastros!$N$6:$N$12)))</f>
        <v/>
      </c>
      <c r="K1566" s="168" t="str">
        <f t="shared" si="313"/>
        <v/>
      </c>
      <c r="L1566" s="168" t="str">
        <f>IFERROR(K1566/_xlfn.XLOOKUP(_xlfn.XLOOKUP($F1566,Clientes!$B$4:$B$39,Clientes!$C$4:$C$39),Cadastros!$L$6:$L$12,Cadastros!$M$6:$M$12)," ")</f>
        <v xml:space="preserve"> </v>
      </c>
      <c r="M1566" s="28"/>
      <c r="N1566" s="28"/>
      <c r="O1566" s="255" t="str">
        <f>IF(M1566="","",(_xlfn.XLOOKUP(M1566,Cadastros!$D$6:$D$90,Cadastros!$E$6:$E$90))*(1-_xlfn.XLOOKUP(_xlfn.XLOOKUP($F1566,Clientes!$B$4:$B$39,Clientes!$C$4:$C$39),Cadastros!$L$6:$L$12,Cadastros!$N$6:$N$12)))</f>
        <v/>
      </c>
      <c r="P1566" s="168" t="str">
        <f t="shared" si="314"/>
        <v/>
      </c>
      <c r="Q1566" s="168" t="str">
        <f>IFERROR(P1566/_xlfn.XLOOKUP(_xlfn.XLOOKUP($F1566,Clientes!$B$4:$B$39,Clientes!$C$4:$C$39),Cadastros!$L$6:$L$12,Cadastros!$M$6:$M$12)," ")</f>
        <v xml:space="preserve"> </v>
      </c>
      <c r="R1566" s="28"/>
      <c r="S1566" s="28"/>
      <c r="T1566" s="255" t="str">
        <f>IF(R1566="","",(_xlfn.XLOOKUP(R1566,Cadastros!$D$6:$D$90,Cadastros!$E$6:$E$90))*(1-_xlfn.XLOOKUP(_xlfn.XLOOKUP($F1566,Clientes!$B$4:$B$39,Clientes!$C$4:$C$39),Cadastros!$L$6:$L$12,Cadastros!$N$6:$N$12)))</f>
        <v/>
      </c>
      <c r="U1566" s="168" t="str">
        <f t="shared" si="315"/>
        <v/>
      </c>
      <c r="V1566" s="168" t="str">
        <f>IFERROR(U1566/_xlfn.XLOOKUP(_xlfn.XLOOKUP($F1566,Clientes!$B$4:$B$39,Clientes!$C$4:$C$39),Cadastros!$L$6:$L$12,Cadastros!$M$6:$M$12)," ")</f>
        <v xml:space="preserve"> </v>
      </c>
      <c r="W1566" s="28"/>
      <c r="X1566" s="28"/>
      <c r="Y1566" s="255" t="str">
        <f>IF(W1566="","",(_xlfn.XLOOKUP(W1566,Cadastros!$D$6:$D$90,Cadastros!$E$6:$E$90))*(1-_xlfn.XLOOKUP(_xlfn.XLOOKUP($F1566,Clientes!$B$4:$B$39,Clientes!$C$4:$C$39),Cadastros!$L$6:$L$12,Cadastros!$N$6:$N$12)))</f>
        <v/>
      </c>
      <c r="Z1566" s="168" t="str">
        <f t="shared" si="316"/>
        <v/>
      </c>
      <c r="AA1566" s="168" t="str">
        <f>IFERROR(Z1566/_xlfn.XLOOKUP(_xlfn.XLOOKUP($F1566,Clientes!$B$4:$B$39,Clientes!$C$4:$C$39),Cadastros!$L$6:$L$12,Cadastros!$M$6:$M$12)," ")</f>
        <v xml:space="preserve"> </v>
      </c>
      <c r="AB1566" s="28"/>
      <c r="AC1566" s="28"/>
      <c r="AD1566" s="20" t="str">
        <f>IF(AB1566="","",IF($F1566="Bernardino Furlan",_xlfn.XLOOKUP(AB1566,Cadastros!$G$6:$G$90,Cadastros!$H$6:$H$90)*(1-0.18),IF($F1566="Mauro José Salanti",_xlfn.XLOOKUP(AB1566,Cadastros!$G$6:$G$90,Cadastros!$H$6:$H$90)*(1-0.18),_xlfn.XLOOKUP(AB1566,Cadastros!$G$6:$G$90,Cadastros!$H$6:$H$90))))</f>
        <v/>
      </c>
      <c r="AE1566" s="168" t="str">
        <f t="shared" si="317"/>
        <v/>
      </c>
      <c r="AF1566" s="168" t="str">
        <f t="shared" si="318"/>
        <v/>
      </c>
      <c r="AG1566" s="28"/>
      <c r="AH1566" s="28"/>
      <c r="AI1566" s="20" t="str">
        <f>IF(AG1566="","",IF($F1566="Bernardino Furlan",_xlfn.XLOOKUP(AG1566,Cadastros!$G$6:$G$90,Cadastros!$H$6:$H$90)*(1-0.18),IF($F1566="Mauro José Salanti",_xlfn.XLOOKUP(AG1566,Cadastros!$G$6:$G$90,Cadastros!$H$6:$H$90)*(1-0.18),_xlfn.XLOOKUP(AG1566,Cadastros!$G$6:$G$90,Cadastros!$H$6:$H$90))))</f>
        <v/>
      </c>
      <c r="AJ1566" s="168" t="str">
        <f t="shared" si="319"/>
        <v/>
      </c>
      <c r="AK1566" s="168" t="str">
        <f t="shared" si="320"/>
        <v/>
      </c>
      <c r="AL1566" s="28"/>
      <c r="AM1566" s="28"/>
      <c r="AN1566" s="20" t="str">
        <f>IF(AL1566="","",IF($F1566="Bernardino Furlan",_xlfn.XLOOKUP(AL1566,Cadastros!$G$6:$G$90,Cadastros!$H$6:$H$90)*(1-0.18),IF($F1566="Mauro José Salanti",_xlfn.XLOOKUP(AL1566,Cadastros!$G$6:$G$90,Cadastros!$H$6:$H$90)*(1-0.18),_xlfn.XLOOKUP(AL1566,Cadastros!$G$6:$G$90,Cadastros!$H$6:$H$90))))</f>
        <v/>
      </c>
      <c r="AO1566" s="168" t="str">
        <f t="shared" si="321"/>
        <v/>
      </c>
      <c r="AP1566" s="168" t="str">
        <f t="shared" si="322"/>
        <v/>
      </c>
      <c r="AQ1566" s="28"/>
      <c r="AR1566" s="28"/>
      <c r="AS1566" s="20" t="str">
        <f>IF(AQ1566="","",IF($F1566="Bernardino Furlan",_xlfn.XLOOKUP(AQ1566,Cadastros!$G$6:$G$90,Cadastros!$H$6:$H$90)*(1-0.18),IF($F1566="Mauro José Salanti",_xlfn.XLOOKUP(AQ1566,Cadastros!$G$6:$G$90,Cadastros!$H$6:$H$90)*(1-0.18),_xlfn.XLOOKUP(AQ1566,Cadastros!$G$6:$G$90,Cadastros!$H$6:$H$90))))</f>
        <v/>
      </c>
      <c r="AT1566" s="168" t="str">
        <f t="shared" si="323"/>
        <v/>
      </c>
      <c r="AU1566" s="168" t="str">
        <f t="shared" si="324"/>
        <v/>
      </c>
      <c r="AV1566" s="227"/>
      <c r="AW1566" s="30"/>
      <c r="AX1566" s="267"/>
      <c r="AY1566" s="267"/>
      <c r="AZ1566" s="29"/>
      <c r="BA1566" s="30"/>
      <c r="BB1566" s="23" t="str" cm="1">
        <f t="array" ref="BB1566">_xlfn.IFS(AW1566="SIM",SUM(K1566,P1566,U1566,Z1566,AE1566,AJ1566,AO1566,AT1566,AX1566,AY1566),F1566&lt;&gt;"",SUM(K1566,P1566,U1566,Z1566,AE1566,AJ1566,,AO1566,AT1566),F1566="","")</f>
        <v/>
      </c>
      <c r="BC1566" s="211" t="str" cm="1">
        <f t="array" ref="BC1566">_xlfn.IFS(E1566="","",G1566&lt;=E1566,BB1566*(1-0.03),G1566&lt;(E1566+8),BB1566,AZ1566="Boleto",BB1566*(1+0.001)^DATEDIF(E1566,G1566,"D"),AZ1566="Cheque",BB1566,AZ1566="Dinheiro","Alterar forma pgto")</f>
        <v/>
      </c>
      <c r="BD1566" s="276" t="str" cm="1">
        <f t="array" ref="BD1566">IF(F1566=0," ",IF(BC1566&lt;BB1566,(_xlfn.IFS(AW1566="SIM",SUM(L1566,Q1566,V1566,AA1566,AF1566,AK1566,AP1566,AU1566)+AX1566/_xlfn.XLOOKUP(_xlfn.XLOOKUP($F1566,Clientes!$B$4:$B$39,Clientes!$C$4:$C$39),Cadastros!$L$6:$L$12,Cadastros!$M$6:$M$12)+IF($F1566="Bernardino Furlan",AY1566/2751.92,IF($F1566="Mauro José Salanti",AY1566/2751.92,AY1566/3356)),F1566&lt;&gt;0,SUM(L1566,Q1566,V1566,AA1566,AF1566,AK1566,AP1566,AU1566)))*(1-0.03),_xlfn.IFS(AW1566="SIM",SUM(L1566,Q1566,V1566,AA1566,AF1566,AK1566,AP1566,AU1566)+AX1566/_xlfn.XLOOKUP(_xlfn.XLOOKUP($F1566,Clientes!$B$4:$B$39,Clientes!$C$4:$C$39),Cadastros!$L$6:$L$12,Cadastros!$M$6:$M$12)+IF($F1566="Bernardino Furlan",AY1566/2751.92,IF($F1566="Mauro José Salanti",AY1566/2751.92,AY1566/3356)),F1566&lt;&gt;0,SUM(L1566,Q1566,V1566,AA1566,AF1566,AK1566,AP1566,AU1566))))</f>
        <v xml:space="preserve"> </v>
      </c>
      <c r="BE1566" s="120"/>
      <c r="BF1566" s="120"/>
      <c r="BG1566" s="120"/>
    </row>
    <row r="1567" spans="1:59" s="3" customFormat="1" x14ac:dyDescent="0.3">
      <c r="A1567" s="15" t="str">
        <f t="shared" si="312"/>
        <v/>
      </c>
      <c r="B1567" s="25"/>
      <c r="C1567" s="26"/>
      <c r="D1567" s="279"/>
      <c r="E1567" s="27"/>
      <c r="F1567" s="28"/>
      <c r="G1567" s="27"/>
      <c r="H1567" s="28"/>
      <c r="I1567" s="28"/>
      <c r="J1567" s="255" t="str">
        <f>IF(H1567="","",(_xlfn.XLOOKUP(H1567,Cadastros!$D$6:$D$90,Cadastros!$E$6:$E$90))*(1-_xlfn.XLOOKUP(_xlfn.XLOOKUP($F1567,Clientes!$B$4:$B$39,Clientes!$C$4:$C$39),Cadastros!$L$6:$L$12,Cadastros!$N$6:$N$12)))</f>
        <v/>
      </c>
      <c r="K1567" s="168" t="str">
        <f t="shared" si="313"/>
        <v/>
      </c>
      <c r="L1567" s="168" t="str">
        <f>IFERROR(K1567/_xlfn.XLOOKUP(_xlfn.XLOOKUP($F1567,Clientes!$B$4:$B$39,Clientes!$C$4:$C$39),Cadastros!$L$6:$L$12,Cadastros!$M$6:$M$12)," ")</f>
        <v xml:space="preserve"> </v>
      </c>
      <c r="M1567" s="28"/>
      <c r="N1567" s="28"/>
      <c r="O1567" s="255" t="str">
        <f>IF(M1567="","",(_xlfn.XLOOKUP(M1567,Cadastros!$D$6:$D$90,Cadastros!$E$6:$E$90))*(1-_xlfn.XLOOKUP(_xlfn.XLOOKUP($F1567,Clientes!$B$4:$B$39,Clientes!$C$4:$C$39),Cadastros!$L$6:$L$12,Cadastros!$N$6:$N$12)))</f>
        <v/>
      </c>
      <c r="P1567" s="168" t="str">
        <f t="shared" si="314"/>
        <v/>
      </c>
      <c r="Q1567" s="168" t="str">
        <f>IFERROR(P1567/_xlfn.XLOOKUP(_xlfn.XLOOKUP($F1567,Clientes!$B$4:$B$39,Clientes!$C$4:$C$39),Cadastros!$L$6:$L$12,Cadastros!$M$6:$M$12)," ")</f>
        <v xml:space="preserve"> </v>
      </c>
      <c r="R1567" s="28"/>
      <c r="S1567" s="28"/>
      <c r="T1567" s="255" t="str">
        <f>IF(R1567="","",(_xlfn.XLOOKUP(R1567,Cadastros!$D$6:$D$90,Cadastros!$E$6:$E$90))*(1-_xlfn.XLOOKUP(_xlfn.XLOOKUP($F1567,Clientes!$B$4:$B$39,Clientes!$C$4:$C$39),Cadastros!$L$6:$L$12,Cadastros!$N$6:$N$12)))</f>
        <v/>
      </c>
      <c r="U1567" s="168" t="str">
        <f t="shared" si="315"/>
        <v/>
      </c>
      <c r="V1567" s="168" t="str">
        <f>IFERROR(U1567/_xlfn.XLOOKUP(_xlfn.XLOOKUP($F1567,Clientes!$B$4:$B$39,Clientes!$C$4:$C$39),Cadastros!$L$6:$L$12,Cadastros!$M$6:$M$12)," ")</f>
        <v xml:space="preserve"> </v>
      </c>
      <c r="W1567" s="28"/>
      <c r="X1567" s="28"/>
      <c r="Y1567" s="255" t="str">
        <f>IF(W1567="","",(_xlfn.XLOOKUP(W1567,Cadastros!$D$6:$D$90,Cadastros!$E$6:$E$90))*(1-_xlfn.XLOOKUP(_xlfn.XLOOKUP($F1567,Clientes!$B$4:$B$39,Clientes!$C$4:$C$39),Cadastros!$L$6:$L$12,Cadastros!$N$6:$N$12)))</f>
        <v/>
      </c>
      <c r="Z1567" s="168" t="str">
        <f t="shared" si="316"/>
        <v/>
      </c>
      <c r="AA1567" s="168" t="str">
        <f>IFERROR(Z1567/_xlfn.XLOOKUP(_xlfn.XLOOKUP($F1567,Clientes!$B$4:$B$39,Clientes!$C$4:$C$39),Cadastros!$L$6:$L$12,Cadastros!$M$6:$M$12)," ")</f>
        <v xml:space="preserve"> </v>
      </c>
      <c r="AB1567" s="28"/>
      <c r="AC1567" s="28"/>
      <c r="AD1567" s="20" t="str">
        <f>IF(AB1567="","",IF($F1567="Bernardino Furlan",_xlfn.XLOOKUP(AB1567,Cadastros!$G$6:$G$90,Cadastros!$H$6:$H$90)*(1-0.18),IF($F1567="Mauro José Salanti",_xlfn.XLOOKUP(AB1567,Cadastros!$G$6:$G$90,Cadastros!$H$6:$H$90)*(1-0.18),_xlfn.XLOOKUP(AB1567,Cadastros!$G$6:$G$90,Cadastros!$H$6:$H$90))))</f>
        <v/>
      </c>
      <c r="AE1567" s="168" t="str">
        <f t="shared" si="317"/>
        <v/>
      </c>
      <c r="AF1567" s="168" t="str">
        <f t="shared" si="318"/>
        <v/>
      </c>
      <c r="AG1567" s="28"/>
      <c r="AH1567" s="28"/>
      <c r="AI1567" s="20" t="str">
        <f>IF(AG1567="","",IF($F1567="Bernardino Furlan",_xlfn.XLOOKUP(AG1567,Cadastros!$G$6:$G$90,Cadastros!$H$6:$H$90)*(1-0.18),IF($F1567="Mauro José Salanti",_xlfn.XLOOKUP(AG1567,Cadastros!$G$6:$G$90,Cadastros!$H$6:$H$90)*(1-0.18),_xlfn.XLOOKUP(AG1567,Cadastros!$G$6:$G$90,Cadastros!$H$6:$H$90))))</f>
        <v/>
      </c>
      <c r="AJ1567" s="168" t="str">
        <f t="shared" si="319"/>
        <v/>
      </c>
      <c r="AK1567" s="168" t="str">
        <f t="shared" si="320"/>
        <v/>
      </c>
      <c r="AL1567" s="28"/>
      <c r="AM1567" s="28"/>
      <c r="AN1567" s="20" t="str">
        <f>IF(AL1567="","",IF($F1567="Bernardino Furlan",_xlfn.XLOOKUP(AL1567,Cadastros!$G$6:$G$90,Cadastros!$H$6:$H$90)*(1-0.18),IF($F1567="Mauro José Salanti",_xlfn.XLOOKUP(AL1567,Cadastros!$G$6:$G$90,Cadastros!$H$6:$H$90)*(1-0.18),_xlfn.XLOOKUP(AL1567,Cadastros!$G$6:$G$90,Cadastros!$H$6:$H$90))))</f>
        <v/>
      </c>
      <c r="AO1567" s="168" t="str">
        <f t="shared" si="321"/>
        <v/>
      </c>
      <c r="AP1567" s="168" t="str">
        <f t="shared" si="322"/>
        <v/>
      </c>
      <c r="AQ1567" s="28"/>
      <c r="AR1567" s="28"/>
      <c r="AS1567" s="20" t="str">
        <f>IF(AQ1567="","",IF($F1567="Bernardino Furlan",_xlfn.XLOOKUP(AQ1567,Cadastros!$G$6:$G$90,Cadastros!$H$6:$H$90)*(1-0.18),IF($F1567="Mauro José Salanti",_xlfn.XLOOKUP(AQ1567,Cadastros!$G$6:$G$90,Cadastros!$H$6:$H$90)*(1-0.18),_xlfn.XLOOKUP(AQ1567,Cadastros!$G$6:$G$90,Cadastros!$H$6:$H$90))))</f>
        <v/>
      </c>
      <c r="AT1567" s="168" t="str">
        <f t="shared" si="323"/>
        <v/>
      </c>
      <c r="AU1567" s="168" t="str">
        <f t="shared" si="324"/>
        <v/>
      </c>
      <c r="AV1567" s="227"/>
      <c r="AW1567" s="30"/>
      <c r="AX1567" s="267"/>
      <c r="AY1567" s="267"/>
      <c r="AZ1567" s="29"/>
      <c r="BA1567" s="30"/>
      <c r="BB1567" s="23" t="str" cm="1">
        <f t="array" ref="BB1567">_xlfn.IFS(AW1567="SIM",SUM(K1567,P1567,U1567,Z1567,AE1567,AJ1567,AO1567,AT1567,AX1567,AY1567),F1567&lt;&gt;"",SUM(K1567,P1567,U1567,Z1567,AE1567,AJ1567,,AO1567,AT1567),F1567="","")</f>
        <v/>
      </c>
      <c r="BC1567" s="211" t="str" cm="1">
        <f t="array" ref="BC1567">_xlfn.IFS(E1567="","",G1567&lt;=E1567,BB1567*(1-0.03),G1567&lt;(E1567+8),BB1567,AZ1567="Boleto",BB1567*(1+0.001)^DATEDIF(E1567,G1567,"D"),AZ1567="Cheque",BB1567,AZ1567="Dinheiro","Alterar forma pgto")</f>
        <v/>
      </c>
      <c r="BD1567" s="276" t="str" cm="1">
        <f t="array" ref="BD1567">IF(F1567=0," ",IF(BC1567&lt;BB1567,(_xlfn.IFS(AW1567="SIM",SUM(L1567,Q1567,V1567,AA1567,AF1567,AK1567,AP1567,AU1567)+AX1567/_xlfn.XLOOKUP(_xlfn.XLOOKUP($F1567,Clientes!$B$4:$B$39,Clientes!$C$4:$C$39),Cadastros!$L$6:$L$12,Cadastros!$M$6:$M$12)+IF($F1567="Bernardino Furlan",AY1567/2751.92,IF($F1567="Mauro José Salanti",AY1567/2751.92,AY1567/3356)),F1567&lt;&gt;0,SUM(L1567,Q1567,V1567,AA1567,AF1567,AK1567,AP1567,AU1567)))*(1-0.03),_xlfn.IFS(AW1567="SIM",SUM(L1567,Q1567,V1567,AA1567,AF1567,AK1567,AP1567,AU1567)+AX1567/_xlfn.XLOOKUP(_xlfn.XLOOKUP($F1567,Clientes!$B$4:$B$39,Clientes!$C$4:$C$39),Cadastros!$L$6:$L$12,Cadastros!$M$6:$M$12)+IF($F1567="Bernardino Furlan",AY1567/2751.92,IF($F1567="Mauro José Salanti",AY1567/2751.92,AY1567/3356)),F1567&lt;&gt;0,SUM(L1567,Q1567,V1567,AA1567,AF1567,AK1567,AP1567,AU1567))))</f>
        <v xml:space="preserve"> </v>
      </c>
      <c r="BE1567" s="120"/>
      <c r="BF1567" s="120"/>
      <c r="BG1567" s="120"/>
    </row>
    <row r="1568" spans="1:59" s="3" customFormat="1" x14ac:dyDescent="0.3">
      <c r="A1568" s="15" t="str">
        <f t="shared" si="312"/>
        <v/>
      </c>
      <c r="B1568" s="25"/>
      <c r="C1568" s="26"/>
      <c r="D1568" s="279"/>
      <c r="E1568" s="27"/>
      <c r="F1568" s="28"/>
      <c r="G1568" s="27"/>
      <c r="H1568" s="28"/>
      <c r="I1568" s="28"/>
      <c r="J1568" s="255" t="str">
        <f>IF(H1568="","",(_xlfn.XLOOKUP(H1568,Cadastros!$D$6:$D$90,Cadastros!$E$6:$E$90))*(1-_xlfn.XLOOKUP(_xlfn.XLOOKUP($F1568,Clientes!$B$4:$B$39,Clientes!$C$4:$C$39),Cadastros!$L$6:$L$12,Cadastros!$N$6:$N$12)))</f>
        <v/>
      </c>
      <c r="K1568" s="168" t="str">
        <f t="shared" si="313"/>
        <v/>
      </c>
      <c r="L1568" s="168" t="str">
        <f>IFERROR(K1568/_xlfn.XLOOKUP(_xlfn.XLOOKUP($F1568,Clientes!$B$4:$B$39,Clientes!$C$4:$C$39),Cadastros!$L$6:$L$12,Cadastros!$M$6:$M$12)," ")</f>
        <v xml:space="preserve"> </v>
      </c>
      <c r="M1568" s="28"/>
      <c r="N1568" s="28"/>
      <c r="O1568" s="255" t="str">
        <f>IF(M1568="","",(_xlfn.XLOOKUP(M1568,Cadastros!$D$6:$D$90,Cadastros!$E$6:$E$90))*(1-_xlfn.XLOOKUP(_xlfn.XLOOKUP($F1568,Clientes!$B$4:$B$39,Clientes!$C$4:$C$39),Cadastros!$L$6:$L$12,Cadastros!$N$6:$N$12)))</f>
        <v/>
      </c>
      <c r="P1568" s="168" t="str">
        <f t="shared" si="314"/>
        <v/>
      </c>
      <c r="Q1568" s="168" t="str">
        <f>IFERROR(P1568/_xlfn.XLOOKUP(_xlfn.XLOOKUP($F1568,Clientes!$B$4:$B$39,Clientes!$C$4:$C$39),Cadastros!$L$6:$L$12,Cadastros!$M$6:$M$12)," ")</f>
        <v xml:space="preserve"> </v>
      </c>
      <c r="R1568" s="28"/>
      <c r="S1568" s="28"/>
      <c r="T1568" s="255" t="str">
        <f>IF(R1568="","",(_xlfn.XLOOKUP(R1568,Cadastros!$D$6:$D$90,Cadastros!$E$6:$E$90))*(1-_xlfn.XLOOKUP(_xlfn.XLOOKUP($F1568,Clientes!$B$4:$B$39,Clientes!$C$4:$C$39),Cadastros!$L$6:$L$12,Cadastros!$N$6:$N$12)))</f>
        <v/>
      </c>
      <c r="U1568" s="168" t="str">
        <f t="shared" si="315"/>
        <v/>
      </c>
      <c r="V1568" s="168" t="str">
        <f>IFERROR(U1568/_xlfn.XLOOKUP(_xlfn.XLOOKUP($F1568,Clientes!$B$4:$B$39,Clientes!$C$4:$C$39),Cadastros!$L$6:$L$12,Cadastros!$M$6:$M$12)," ")</f>
        <v xml:space="preserve"> </v>
      </c>
      <c r="W1568" s="28"/>
      <c r="X1568" s="28"/>
      <c r="Y1568" s="255" t="str">
        <f>IF(W1568="","",(_xlfn.XLOOKUP(W1568,Cadastros!$D$6:$D$90,Cadastros!$E$6:$E$90))*(1-_xlfn.XLOOKUP(_xlfn.XLOOKUP($F1568,Clientes!$B$4:$B$39,Clientes!$C$4:$C$39),Cadastros!$L$6:$L$12,Cadastros!$N$6:$N$12)))</f>
        <v/>
      </c>
      <c r="Z1568" s="168" t="str">
        <f t="shared" si="316"/>
        <v/>
      </c>
      <c r="AA1568" s="168" t="str">
        <f>IFERROR(Z1568/_xlfn.XLOOKUP(_xlfn.XLOOKUP($F1568,Clientes!$B$4:$B$39,Clientes!$C$4:$C$39),Cadastros!$L$6:$L$12,Cadastros!$M$6:$M$12)," ")</f>
        <v xml:space="preserve"> </v>
      </c>
      <c r="AB1568" s="28"/>
      <c r="AC1568" s="28"/>
      <c r="AD1568" s="20" t="str">
        <f>IF(AB1568="","",IF($F1568="Bernardino Furlan",_xlfn.XLOOKUP(AB1568,Cadastros!$G$6:$G$90,Cadastros!$H$6:$H$90)*(1-0.18),IF($F1568="Mauro José Salanti",_xlfn.XLOOKUP(AB1568,Cadastros!$G$6:$G$90,Cadastros!$H$6:$H$90)*(1-0.18),_xlfn.XLOOKUP(AB1568,Cadastros!$G$6:$G$90,Cadastros!$H$6:$H$90))))</f>
        <v/>
      </c>
      <c r="AE1568" s="168" t="str">
        <f t="shared" si="317"/>
        <v/>
      </c>
      <c r="AF1568" s="168" t="str">
        <f t="shared" si="318"/>
        <v/>
      </c>
      <c r="AG1568" s="28"/>
      <c r="AH1568" s="28"/>
      <c r="AI1568" s="20" t="str">
        <f>IF(AG1568="","",IF($F1568="Bernardino Furlan",_xlfn.XLOOKUP(AG1568,Cadastros!$G$6:$G$90,Cadastros!$H$6:$H$90)*(1-0.18),IF($F1568="Mauro José Salanti",_xlfn.XLOOKUP(AG1568,Cadastros!$G$6:$G$90,Cadastros!$H$6:$H$90)*(1-0.18),_xlfn.XLOOKUP(AG1568,Cadastros!$G$6:$G$90,Cadastros!$H$6:$H$90))))</f>
        <v/>
      </c>
      <c r="AJ1568" s="168" t="str">
        <f t="shared" si="319"/>
        <v/>
      </c>
      <c r="AK1568" s="168" t="str">
        <f t="shared" si="320"/>
        <v/>
      </c>
      <c r="AL1568" s="28"/>
      <c r="AM1568" s="28"/>
      <c r="AN1568" s="20" t="str">
        <f>IF(AL1568="","",IF($F1568="Bernardino Furlan",_xlfn.XLOOKUP(AL1568,Cadastros!$G$6:$G$90,Cadastros!$H$6:$H$90)*(1-0.18),IF($F1568="Mauro José Salanti",_xlfn.XLOOKUP(AL1568,Cadastros!$G$6:$G$90,Cadastros!$H$6:$H$90)*(1-0.18),_xlfn.XLOOKUP(AL1568,Cadastros!$G$6:$G$90,Cadastros!$H$6:$H$90))))</f>
        <v/>
      </c>
      <c r="AO1568" s="168" t="str">
        <f t="shared" si="321"/>
        <v/>
      </c>
      <c r="AP1568" s="168" t="str">
        <f t="shared" si="322"/>
        <v/>
      </c>
      <c r="AQ1568" s="28"/>
      <c r="AR1568" s="28"/>
      <c r="AS1568" s="20" t="str">
        <f>IF(AQ1568="","",IF($F1568="Bernardino Furlan",_xlfn.XLOOKUP(AQ1568,Cadastros!$G$6:$G$90,Cadastros!$H$6:$H$90)*(1-0.18),IF($F1568="Mauro José Salanti",_xlfn.XLOOKUP(AQ1568,Cadastros!$G$6:$G$90,Cadastros!$H$6:$H$90)*(1-0.18),_xlfn.XLOOKUP(AQ1568,Cadastros!$G$6:$G$90,Cadastros!$H$6:$H$90))))</f>
        <v/>
      </c>
      <c r="AT1568" s="168" t="str">
        <f t="shared" si="323"/>
        <v/>
      </c>
      <c r="AU1568" s="168" t="str">
        <f t="shared" si="324"/>
        <v/>
      </c>
      <c r="AV1568" s="227"/>
      <c r="AW1568" s="30"/>
      <c r="AX1568" s="267"/>
      <c r="AY1568" s="267"/>
      <c r="AZ1568" s="29"/>
      <c r="BA1568" s="30"/>
      <c r="BB1568" s="23" t="str" cm="1">
        <f t="array" ref="BB1568">_xlfn.IFS(AW1568="SIM",SUM(K1568,P1568,U1568,Z1568,AE1568,AJ1568,AO1568,AT1568,AX1568,AY1568),F1568&lt;&gt;"",SUM(K1568,P1568,U1568,Z1568,AE1568,AJ1568,,AO1568,AT1568),F1568="","")</f>
        <v/>
      </c>
      <c r="BC1568" s="211" t="str" cm="1">
        <f t="array" ref="BC1568">_xlfn.IFS(E1568="","",G1568&lt;=E1568,BB1568*(1-0.03),G1568&lt;(E1568+8),BB1568,AZ1568="Boleto",BB1568*(1+0.001)^DATEDIF(E1568,G1568,"D"),AZ1568="Cheque",BB1568,AZ1568="Dinheiro","Alterar forma pgto")</f>
        <v/>
      </c>
      <c r="BD1568" s="276" t="str" cm="1">
        <f t="array" ref="BD1568">IF(F1568=0," ",IF(BC1568&lt;BB1568,(_xlfn.IFS(AW1568="SIM",SUM(L1568,Q1568,V1568,AA1568,AF1568,AK1568,AP1568,AU1568)+AX1568/_xlfn.XLOOKUP(_xlfn.XLOOKUP($F1568,Clientes!$B$4:$B$39,Clientes!$C$4:$C$39),Cadastros!$L$6:$L$12,Cadastros!$M$6:$M$12)+IF($F1568="Bernardino Furlan",AY1568/2751.92,IF($F1568="Mauro José Salanti",AY1568/2751.92,AY1568/3356)),F1568&lt;&gt;0,SUM(L1568,Q1568,V1568,AA1568,AF1568,AK1568,AP1568,AU1568)))*(1-0.03),_xlfn.IFS(AW1568="SIM",SUM(L1568,Q1568,V1568,AA1568,AF1568,AK1568,AP1568,AU1568)+AX1568/_xlfn.XLOOKUP(_xlfn.XLOOKUP($F1568,Clientes!$B$4:$B$39,Clientes!$C$4:$C$39),Cadastros!$L$6:$L$12,Cadastros!$M$6:$M$12)+IF($F1568="Bernardino Furlan",AY1568/2751.92,IF($F1568="Mauro José Salanti",AY1568/2751.92,AY1568/3356)),F1568&lt;&gt;0,SUM(L1568,Q1568,V1568,AA1568,AF1568,AK1568,AP1568,AU1568))))</f>
        <v xml:space="preserve"> </v>
      </c>
      <c r="BE1568" s="120"/>
      <c r="BF1568" s="120"/>
      <c r="BG1568" s="120"/>
    </row>
    <row r="1569" spans="1:59" s="3" customFormat="1" x14ac:dyDescent="0.3">
      <c r="A1569" s="15" t="str">
        <f t="shared" si="312"/>
        <v/>
      </c>
      <c r="B1569" s="25"/>
      <c r="C1569" s="26"/>
      <c r="D1569" s="279"/>
      <c r="E1569" s="27"/>
      <c r="F1569" s="28"/>
      <c r="G1569" s="27"/>
      <c r="H1569" s="28"/>
      <c r="I1569" s="28"/>
      <c r="J1569" s="255" t="str">
        <f>IF(H1569="","",(_xlfn.XLOOKUP(H1569,Cadastros!$D$6:$D$90,Cadastros!$E$6:$E$90))*(1-_xlfn.XLOOKUP(_xlfn.XLOOKUP($F1569,Clientes!$B$4:$B$39,Clientes!$C$4:$C$39),Cadastros!$L$6:$L$12,Cadastros!$N$6:$N$12)))</f>
        <v/>
      </c>
      <c r="K1569" s="168" t="str">
        <f t="shared" si="313"/>
        <v/>
      </c>
      <c r="L1569" s="168" t="str">
        <f>IFERROR(K1569/_xlfn.XLOOKUP(_xlfn.XLOOKUP($F1569,Clientes!$B$4:$B$39,Clientes!$C$4:$C$39),Cadastros!$L$6:$L$12,Cadastros!$M$6:$M$12)," ")</f>
        <v xml:space="preserve"> </v>
      </c>
      <c r="M1569" s="28"/>
      <c r="N1569" s="28"/>
      <c r="O1569" s="255" t="str">
        <f>IF(M1569="","",(_xlfn.XLOOKUP(M1569,Cadastros!$D$6:$D$90,Cadastros!$E$6:$E$90))*(1-_xlfn.XLOOKUP(_xlfn.XLOOKUP($F1569,Clientes!$B$4:$B$39,Clientes!$C$4:$C$39),Cadastros!$L$6:$L$12,Cadastros!$N$6:$N$12)))</f>
        <v/>
      </c>
      <c r="P1569" s="168" t="str">
        <f t="shared" si="314"/>
        <v/>
      </c>
      <c r="Q1569" s="168" t="str">
        <f>IFERROR(P1569/_xlfn.XLOOKUP(_xlfn.XLOOKUP($F1569,Clientes!$B$4:$B$39,Clientes!$C$4:$C$39),Cadastros!$L$6:$L$12,Cadastros!$M$6:$M$12)," ")</f>
        <v xml:space="preserve"> </v>
      </c>
      <c r="R1569" s="28"/>
      <c r="S1569" s="28"/>
      <c r="T1569" s="255" t="str">
        <f>IF(R1569="","",(_xlfn.XLOOKUP(R1569,Cadastros!$D$6:$D$90,Cadastros!$E$6:$E$90))*(1-_xlfn.XLOOKUP(_xlfn.XLOOKUP($F1569,Clientes!$B$4:$B$39,Clientes!$C$4:$C$39),Cadastros!$L$6:$L$12,Cadastros!$N$6:$N$12)))</f>
        <v/>
      </c>
      <c r="U1569" s="168" t="str">
        <f t="shared" si="315"/>
        <v/>
      </c>
      <c r="V1569" s="168" t="str">
        <f>IFERROR(U1569/_xlfn.XLOOKUP(_xlfn.XLOOKUP($F1569,Clientes!$B$4:$B$39,Clientes!$C$4:$C$39),Cadastros!$L$6:$L$12,Cadastros!$M$6:$M$12)," ")</f>
        <v xml:space="preserve"> </v>
      </c>
      <c r="W1569" s="28"/>
      <c r="X1569" s="28"/>
      <c r="Y1569" s="255" t="str">
        <f>IF(W1569="","",(_xlfn.XLOOKUP(W1569,Cadastros!$D$6:$D$90,Cadastros!$E$6:$E$90))*(1-_xlfn.XLOOKUP(_xlfn.XLOOKUP($F1569,Clientes!$B$4:$B$39,Clientes!$C$4:$C$39),Cadastros!$L$6:$L$12,Cadastros!$N$6:$N$12)))</f>
        <v/>
      </c>
      <c r="Z1569" s="168" t="str">
        <f t="shared" si="316"/>
        <v/>
      </c>
      <c r="AA1569" s="168" t="str">
        <f>IFERROR(Z1569/_xlfn.XLOOKUP(_xlfn.XLOOKUP($F1569,Clientes!$B$4:$B$39,Clientes!$C$4:$C$39),Cadastros!$L$6:$L$12,Cadastros!$M$6:$M$12)," ")</f>
        <v xml:space="preserve"> </v>
      </c>
      <c r="AB1569" s="28"/>
      <c r="AC1569" s="28"/>
      <c r="AD1569" s="20" t="str">
        <f>IF(AB1569="","",IF($F1569="Bernardino Furlan",_xlfn.XLOOKUP(AB1569,Cadastros!$G$6:$G$90,Cadastros!$H$6:$H$90)*(1-0.18),IF($F1569="Mauro José Salanti",_xlfn.XLOOKUP(AB1569,Cadastros!$G$6:$G$90,Cadastros!$H$6:$H$90)*(1-0.18),_xlfn.XLOOKUP(AB1569,Cadastros!$G$6:$G$90,Cadastros!$H$6:$H$90))))</f>
        <v/>
      </c>
      <c r="AE1569" s="168" t="str">
        <f t="shared" si="317"/>
        <v/>
      </c>
      <c r="AF1569" s="168" t="str">
        <f t="shared" si="318"/>
        <v/>
      </c>
      <c r="AG1569" s="28"/>
      <c r="AH1569" s="28"/>
      <c r="AI1569" s="20" t="str">
        <f>IF(AG1569="","",IF($F1569="Bernardino Furlan",_xlfn.XLOOKUP(AG1569,Cadastros!$G$6:$G$90,Cadastros!$H$6:$H$90)*(1-0.18),IF($F1569="Mauro José Salanti",_xlfn.XLOOKUP(AG1569,Cadastros!$G$6:$G$90,Cadastros!$H$6:$H$90)*(1-0.18),_xlfn.XLOOKUP(AG1569,Cadastros!$G$6:$G$90,Cadastros!$H$6:$H$90))))</f>
        <v/>
      </c>
      <c r="AJ1569" s="168" t="str">
        <f t="shared" si="319"/>
        <v/>
      </c>
      <c r="AK1569" s="168" t="str">
        <f t="shared" si="320"/>
        <v/>
      </c>
      <c r="AL1569" s="28"/>
      <c r="AM1569" s="28"/>
      <c r="AN1569" s="20" t="str">
        <f>IF(AL1569="","",IF($F1569="Bernardino Furlan",_xlfn.XLOOKUP(AL1569,Cadastros!$G$6:$G$90,Cadastros!$H$6:$H$90)*(1-0.18),IF($F1569="Mauro José Salanti",_xlfn.XLOOKUP(AL1569,Cadastros!$G$6:$G$90,Cadastros!$H$6:$H$90)*(1-0.18),_xlfn.XLOOKUP(AL1569,Cadastros!$G$6:$G$90,Cadastros!$H$6:$H$90))))</f>
        <v/>
      </c>
      <c r="AO1569" s="168" t="str">
        <f t="shared" si="321"/>
        <v/>
      </c>
      <c r="AP1569" s="168" t="str">
        <f t="shared" si="322"/>
        <v/>
      </c>
      <c r="AQ1569" s="28"/>
      <c r="AR1569" s="28"/>
      <c r="AS1569" s="20" t="str">
        <f>IF(AQ1569="","",IF($F1569="Bernardino Furlan",_xlfn.XLOOKUP(AQ1569,Cadastros!$G$6:$G$90,Cadastros!$H$6:$H$90)*(1-0.18),IF($F1569="Mauro José Salanti",_xlfn.XLOOKUP(AQ1569,Cadastros!$G$6:$G$90,Cadastros!$H$6:$H$90)*(1-0.18),_xlfn.XLOOKUP(AQ1569,Cadastros!$G$6:$G$90,Cadastros!$H$6:$H$90))))</f>
        <v/>
      </c>
      <c r="AT1569" s="168" t="str">
        <f t="shared" si="323"/>
        <v/>
      </c>
      <c r="AU1569" s="168" t="str">
        <f t="shared" si="324"/>
        <v/>
      </c>
      <c r="AV1569" s="227"/>
      <c r="AW1569" s="30"/>
      <c r="AX1569" s="267"/>
      <c r="AY1569" s="267"/>
      <c r="AZ1569" s="29"/>
      <c r="BA1569" s="30"/>
      <c r="BB1569" s="23" t="str" cm="1">
        <f t="array" ref="BB1569">_xlfn.IFS(AW1569="SIM",SUM(K1569,P1569,U1569,Z1569,AE1569,AJ1569,AO1569,AT1569,AX1569,AY1569),F1569&lt;&gt;"",SUM(K1569,P1569,U1569,Z1569,AE1569,AJ1569,,AO1569,AT1569),F1569="","")</f>
        <v/>
      </c>
      <c r="BC1569" s="211" t="str" cm="1">
        <f t="array" ref="BC1569">_xlfn.IFS(E1569="","",G1569&lt;=E1569,BB1569*(1-0.03),G1569&lt;(E1569+8),BB1569,AZ1569="Boleto",BB1569*(1+0.001)^DATEDIF(E1569,G1569,"D"),AZ1569="Cheque",BB1569,AZ1569="Dinheiro","Alterar forma pgto")</f>
        <v/>
      </c>
      <c r="BD1569" s="276" t="str" cm="1">
        <f t="array" ref="BD1569">IF(F1569=0," ",IF(BC1569&lt;BB1569,(_xlfn.IFS(AW1569="SIM",SUM(L1569,Q1569,V1569,AA1569,AF1569,AK1569,AP1569,AU1569)+AX1569/_xlfn.XLOOKUP(_xlfn.XLOOKUP($F1569,Clientes!$B$4:$B$39,Clientes!$C$4:$C$39),Cadastros!$L$6:$L$12,Cadastros!$M$6:$M$12)+IF($F1569="Bernardino Furlan",AY1569/2751.92,IF($F1569="Mauro José Salanti",AY1569/2751.92,AY1569/3356)),F1569&lt;&gt;0,SUM(L1569,Q1569,V1569,AA1569,AF1569,AK1569,AP1569,AU1569)))*(1-0.03),_xlfn.IFS(AW1569="SIM",SUM(L1569,Q1569,V1569,AA1569,AF1569,AK1569,AP1569,AU1569)+AX1569/_xlfn.XLOOKUP(_xlfn.XLOOKUP($F1569,Clientes!$B$4:$B$39,Clientes!$C$4:$C$39),Cadastros!$L$6:$L$12,Cadastros!$M$6:$M$12)+IF($F1569="Bernardino Furlan",AY1569/2751.92,IF($F1569="Mauro José Salanti",AY1569/2751.92,AY1569/3356)),F1569&lt;&gt;0,SUM(L1569,Q1569,V1569,AA1569,AF1569,AK1569,AP1569,AU1569))))</f>
        <v xml:space="preserve"> </v>
      </c>
      <c r="BE1569" s="120"/>
      <c r="BF1569" s="120"/>
      <c r="BG1569" s="120"/>
    </row>
    <row r="1570" spans="1:59" s="3" customFormat="1" x14ac:dyDescent="0.3">
      <c r="A1570" s="15" t="str">
        <f t="shared" si="312"/>
        <v/>
      </c>
      <c r="B1570" s="25"/>
      <c r="C1570" s="26"/>
      <c r="D1570" s="279"/>
      <c r="E1570" s="27"/>
      <c r="F1570" s="28"/>
      <c r="G1570" s="27"/>
      <c r="H1570" s="28"/>
      <c r="I1570" s="28"/>
      <c r="J1570" s="255" t="str">
        <f>IF(H1570="","",(_xlfn.XLOOKUP(H1570,Cadastros!$D$6:$D$90,Cadastros!$E$6:$E$90))*(1-_xlfn.XLOOKUP(_xlfn.XLOOKUP($F1570,Clientes!$B$4:$B$39,Clientes!$C$4:$C$39),Cadastros!$L$6:$L$12,Cadastros!$N$6:$N$12)))</f>
        <v/>
      </c>
      <c r="K1570" s="168" t="str">
        <f t="shared" si="313"/>
        <v/>
      </c>
      <c r="L1570" s="168" t="str">
        <f>IFERROR(K1570/_xlfn.XLOOKUP(_xlfn.XLOOKUP($F1570,Clientes!$B$4:$B$39,Clientes!$C$4:$C$39),Cadastros!$L$6:$L$12,Cadastros!$M$6:$M$12)," ")</f>
        <v xml:space="preserve"> </v>
      </c>
      <c r="M1570" s="28"/>
      <c r="N1570" s="28"/>
      <c r="O1570" s="255" t="str">
        <f>IF(M1570="","",(_xlfn.XLOOKUP(M1570,Cadastros!$D$6:$D$90,Cadastros!$E$6:$E$90))*(1-_xlfn.XLOOKUP(_xlfn.XLOOKUP($F1570,Clientes!$B$4:$B$39,Clientes!$C$4:$C$39),Cadastros!$L$6:$L$12,Cadastros!$N$6:$N$12)))</f>
        <v/>
      </c>
      <c r="P1570" s="168" t="str">
        <f t="shared" si="314"/>
        <v/>
      </c>
      <c r="Q1570" s="168" t="str">
        <f>IFERROR(P1570/_xlfn.XLOOKUP(_xlfn.XLOOKUP($F1570,Clientes!$B$4:$B$39,Clientes!$C$4:$C$39),Cadastros!$L$6:$L$12,Cadastros!$M$6:$M$12)," ")</f>
        <v xml:space="preserve"> </v>
      </c>
      <c r="R1570" s="28"/>
      <c r="S1570" s="28"/>
      <c r="T1570" s="255" t="str">
        <f>IF(R1570="","",(_xlfn.XLOOKUP(R1570,Cadastros!$D$6:$D$90,Cadastros!$E$6:$E$90))*(1-_xlfn.XLOOKUP(_xlfn.XLOOKUP($F1570,Clientes!$B$4:$B$39,Clientes!$C$4:$C$39),Cadastros!$L$6:$L$12,Cadastros!$N$6:$N$12)))</f>
        <v/>
      </c>
      <c r="U1570" s="168" t="str">
        <f t="shared" si="315"/>
        <v/>
      </c>
      <c r="V1570" s="168" t="str">
        <f>IFERROR(U1570/_xlfn.XLOOKUP(_xlfn.XLOOKUP($F1570,Clientes!$B$4:$B$39,Clientes!$C$4:$C$39),Cadastros!$L$6:$L$12,Cadastros!$M$6:$M$12)," ")</f>
        <v xml:space="preserve"> </v>
      </c>
      <c r="W1570" s="28"/>
      <c r="X1570" s="28"/>
      <c r="Y1570" s="255" t="str">
        <f>IF(W1570="","",(_xlfn.XLOOKUP(W1570,Cadastros!$D$6:$D$90,Cadastros!$E$6:$E$90))*(1-_xlfn.XLOOKUP(_xlfn.XLOOKUP($F1570,Clientes!$B$4:$B$39,Clientes!$C$4:$C$39),Cadastros!$L$6:$L$12,Cadastros!$N$6:$N$12)))</f>
        <v/>
      </c>
      <c r="Z1570" s="168" t="str">
        <f t="shared" si="316"/>
        <v/>
      </c>
      <c r="AA1570" s="168" t="str">
        <f>IFERROR(Z1570/_xlfn.XLOOKUP(_xlfn.XLOOKUP($F1570,Clientes!$B$4:$B$39,Clientes!$C$4:$C$39),Cadastros!$L$6:$L$12,Cadastros!$M$6:$M$12)," ")</f>
        <v xml:space="preserve"> </v>
      </c>
      <c r="AB1570" s="28"/>
      <c r="AC1570" s="28"/>
      <c r="AD1570" s="20" t="str">
        <f>IF(AB1570="","",IF($F1570="Bernardino Furlan",_xlfn.XLOOKUP(AB1570,Cadastros!$G$6:$G$90,Cadastros!$H$6:$H$90)*(1-0.18),IF($F1570="Mauro José Salanti",_xlfn.XLOOKUP(AB1570,Cadastros!$G$6:$G$90,Cadastros!$H$6:$H$90)*(1-0.18),_xlfn.XLOOKUP(AB1570,Cadastros!$G$6:$G$90,Cadastros!$H$6:$H$90))))</f>
        <v/>
      </c>
      <c r="AE1570" s="168" t="str">
        <f t="shared" si="317"/>
        <v/>
      </c>
      <c r="AF1570" s="168" t="str">
        <f t="shared" si="318"/>
        <v/>
      </c>
      <c r="AG1570" s="28"/>
      <c r="AH1570" s="28"/>
      <c r="AI1570" s="20" t="str">
        <f>IF(AG1570="","",IF($F1570="Bernardino Furlan",_xlfn.XLOOKUP(AG1570,Cadastros!$G$6:$G$90,Cadastros!$H$6:$H$90)*(1-0.18),IF($F1570="Mauro José Salanti",_xlfn.XLOOKUP(AG1570,Cadastros!$G$6:$G$90,Cadastros!$H$6:$H$90)*(1-0.18),_xlfn.XLOOKUP(AG1570,Cadastros!$G$6:$G$90,Cadastros!$H$6:$H$90))))</f>
        <v/>
      </c>
      <c r="AJ1570" s="168" t="str">
        <f t="shared" si="319"/>
        <v/>
      </c>
      <c r="AK1570" s="168" t="str">
        <f t="shared" si="320"/>
        <v/>
      </c>
      <c r="AL1570" s="28"/>
      <c r="AM1570" s="28"/>
      <c r="AN1570" s="20" t="str">
        <f>IF(AL1570="","",IF($F1570="Bernardino Furlan",_xlfn.XLOOKUP(AL1570,Cadastros!$G$6:$G$90,Cadastros!$H$6:$H$90)*(1-0.18),IF($F1570="Mauro José Salanti",_xlfn.XLOOKUP(AL1570,Cadastros!$G$6:$G$90,Cadastros!$H$6:$H$90)*(1-0.18),_xlfn.XLOOKUP(AL1570,Cadastros!$G$6:$G$90,Cadastros!$H$6:$H$90))))</f>
        <v/>
      </c>
      <c r="AO1570" s="168" t="str">
        <f t="shared" si="321"/>
        <v/>
      </c>
      <c r="AP1570" s="168" t="str">
        <f t="shared" si="322"/>
        <v/>
      </c>
      <c r="AQ1570" s="28"/>
      <c r="AR1570" s="28"/>
      <c r="AS1570" s="20" t="str">
        <f>IF(AQ1570="","",IF($F1570="Bernardino Furlan",_xlfn.XLOOKUP(AQ1570,Cadastros!$G$6:$G$90,Cadastros!$H$6:$H$90)*(1-0.18),IF($F1570="Mauro José Salanti",_xlfn.XLOOKUP(AQ1570,Cadastros!$G$6:$G$90,Cadastros!$H$6:$H$90)*(1-0.18),_xlfn.XLOOKUP(AQ1570,Cadastros!$G$6:$G$90,Cadastros!$H$6:$H$90))))</f>
        <v/>
      </c>
      <c r="AT1570" s="168" t="str">
        <f t="shared" si="323"/>
        <v/>
      </c>
      <c r="AU1570" s="168" t="str">
        <f t="shared" si="324"/>
        <v/>
      </c>
      <c r="AV1570" s="227"/>
      <c r="AW1570" s="30"/>
      <c r="AX1570" s="267"/>
      <c r="AY1570" s="267"/>
      <c r="AZ1570" s="29"/>
      <c r="BA1570" s="30"/>
      <c r="BB1570" s="23" t="str" cm="1">
        <f t="array" ref="BB1570">_xlfn.IFS(AW1570="SIM",SUM(K1570,P1570,U1570,Z1570,AE1570,AJ1570,AO1570,AT1570,AX1570,AY1570),F1570&lt;&gt;"",SUM(K1570,P1570,U1570,Z1570,AE1570,AJ1570,,AO1570,AT1570),F1570="","")</f>
        <v/>
      </c>
      <c r="BC1570" s="211" t="str" cm="1">
        <f t="array" ref="BC1570">_xlfn.IFS(E1570="","",G1570&lt;=E1570,BB1570*(1-0.03),G1570&lt;(E1570+8),BB1570,AZ1570="Boleto",BB1570*(1+0.001)^DATEDIF(E1570,G1570,"D"),AZ1570="Cheque",BB1570,AZ1570="Dinheiro","Alterar forma pgto")</f>
        <v/>
      </c>
      <c r="BD1570" s="276" t="str" cm="1">
        <f t="array" ref="BD1570">IF(F1570=0," ",IF(BC1570&lt;BB1570,(_xlfn.IFS(AW1570="SIM",SUM(L1570,Q1570,V1570,AA1570,AF1570,AK1570,AP1570,AU1570)+AX1570/_xlfn.XLOOKUP(_xlfn.XLOOKUP($F1570,Clientes!$B$4:$B$39,Clientes!$C$4:$C$39),Cadastros!$L$6:$L$12,Cadastros!$M$6:$M$12)+IF($F1570="Bernardino Furlan",AY1570/2751.92,IF($F1570="Mauro José Salanti",AY1570/2751.92,AY1570/3356)),F1570&lt;&gt;0,SUM(L1570,Q1570,V1570,AA1570,AF1570,AK1570,AP1570,AU1570)))*(1-0.03),_xlfn.IFS(AW1570="SIM",SUM(L1570,Q1570,V1570,AA1570,AF1570,AK1570,AP1570,AU1570)+AX1570/_xlfn.XLOOKUP(_xlfn.XLOOKUP($F1570,Clientes!$B$4:$B$39,Clientes!$C$4:$C$39),Cadastros!$L$6:$L$12,Cadastros!$M$6:$M$12)+IF($F1570="Bernardino Furlan",AY1570/2751.92,IF($F1570="Mauro José Salanti",AY1570/2751.92,AY1570/3356)),F1570&lt;&gt;0,SUM(L1570,Q1570,V1570,AA1570,AF1570,AK1570,AP1570,AU1570))))</f>
        <v xml:space="preserve"> </v>
      </c>
      <c r="BE1570" s="120"/>
      <c r="BF1570" s="120"/>
      <c r="BG1570" s="120"/>
    </row>
    <row r="1571" spans="1:59" s="3" customFormat="1" x14ac:dyDescent="0.3">
      <c r="A1571" s="15" t="str">
        <f t="shared" si="312"/>
        <v/>
      </c>
      <c r="B1571" s="25"/>
      <c r="C1571" s="26"/>
      <c r="D1571" s="279"/>
      <c r="E1571" s="27"/>
      <c r="F1571" s="28"/>
      <c r="G1571" s="27"/>
      <c r="H1571" s="28"/>
      <c r="I1571" s="28"/>
      <c r="J1571" s="255" t="str">
        <f>IF(H1571="","",(_xlfn.XLOOKUP(H1571,Cadastros!$D$6:$D$90,Cadastros!$E$6:$E$90))*(1-_xlfn.XLOOKUP(_xlfn.XLOOKUP($F1571,Clientes!$B$4:$B$39,Clientes!$C$4:$C$39),Cadastros!$L$6:$L$12,Cadastros!$N$6:$N$12)))</f>
        <v/>
      </c>
      <c r="K1571" s="168" t="str">
        <f t="shared" si="313"/>
        <v/>
      </c>
      <c r="L1571" s="168" t="str">
        <f>IFERROR(K1571/_xlfn.XLOOKUP(_xlfn.XLOOKUP($F1571,Clientes!$B$4:$B$39,Clientes!$C$4:$C$39),Cadastros!$L$6:$L$12,Cadastros!$M$6:$M$12)," ")</f>
        <v xml:space="preserve"> </v>
      </c>
      <c r="M1571" s="28"/>
      <c r="N1571" s="28"/>
      <c r="O1571" s="255" t="str">
        <f>IF(M1571="","",(_xlfn.XLOOKUP(M1571,Cadastros!$D$6:$D$90,Cadastros!$E$6:$E$90))*(1-_xlfn.XLOOKUP(_xlfn.XLOOKUP($F1571,Clientes!$B$4:$B$39,Clientes!$C$4:$C$39),Cadastros!$L$6:$L$12,Cadastros!$N$6:$N$12)))</f>
        <v/>
      </c>
      <c r="P1571" s="168" t="str">
        <f t="shared" si="314"/>
        <v/>
      </c>
      <c r="Q1571" s="168" t="str">
        <f>IFERROR(P1571/_xlfn.XLOOKUP(_xlfn.XLOOKUP($F1571,Clientes!$B$4:$B$39,Clientes!$C$4:$C$39),Cadastros!$L$6:$L$12,Cadastros!$M$6:$M$12)," ")</f>
        <v xml:space="preserve"> </v>
      </c>
      <c r="R1571" s="28"/>
      <c r="S1571" s="28"/>
      <c r="T1571" s="255" t="str">
        <f>IF(R1571="","",(_xlfn.XLOOKUP(R1571,Cadastros!$D$6:$D$90,Cadastros!$E$6:$E$90))*(1-_xlfn.XLOOKUP(_xlfn.XLOOKUP($F1571,Clientes!$B$4:$B$39,Clientes!$C$4:$C$39),Cadastros!$L$6:$L$12,Cadastros!$N$6:$N$12)))</f>
        <v/>
      </c>
      <c r="U1571" s="168" t="str">
        <f t="shared" si="315"/>
        <v/>
      </c>
      <c r="V1571" s="168" t="str">
        <f>IFERROR(U1571/_xlfn.XLOOKUP(_xlfn.XLOOKUP($F1571,Clientes!$B$4:$B$39,Clientes!$C$4:$C$39),Cadastros!$L$6:$L$12,Cadastros!$M$6:$M$12)," ")</f>
        <v xml:space="preserve"> </v>
      </c>
      <c r="W1571" s="28"/>
      <c r="X1571" s="28"/>
      <c r="Y1571" s="255" t="str">
        <f>IF(W1571="","",(_xlfn.XLOOKUP(W1571,Cadastros!$D$6:$D$90,Cadastros!$E$6:$E$90))*(1-_xlfn.XLOOKUP(_xlfn.XLOOKUP($F1571,Clientes!$B$4:$B$39,Clientes!$C$4:$C$39),Cadastros!$L$6:$L$12,Cadastros!$N$6:$N$12)))</f>
        <v/>
      </c>
      <c r="Z1571" s="168" t="str">
        <f t="shared" si="316"/>
        <v/>
      </c>
      <c r="AA1571" s="168" t="str">
        <f>IFERROR(Z1571/_xlfn.XLOOKUP(_xlfn.XLOOKUP($F1571,Clientes!$B$4:$B$39,Clientes!$C$4:$C$39),Cadastros!$L$6:$L$12,Cadastros!$M$6:$M$12)," ")</f>
        <v xml:space="preserve"> </v>
      </c>
      <c r="AB1571" s="28"/>
      <c r="AC1571" s="28"/>
      <c r="AD1571" s="20" t="str">
        <f>IF(AB1571="","",IF($F1571="Bernardino Furlan",_xlfn.XLOOKUP(AB1571,Cadastros!$G$6:$G$90,Cadastros!$H$6:$H$90)*(1-0.18),IF($F1571="Mauro José Salanti",_xlfn.XLOOKUP(AB1571,Cadastros!$G$6:$G$90,Cadastros!$H$6:$H$90)*(1-0.18),_xlfn.XLOOKUP(AB1571,Cadastros!$G$6:$G$90,Cadastros!$H$6:$H$90))))</f>
        <v/>
      </c>
      <c r="AE1571" s="168" t="str">
        <f t="shared" si="317"/>
        <v/>
      </c>
      <c r="AF1571" s="168" t="str">
        <f t="shared" si="318"/>
        <v/>
      </c>
      <c r="AG1571" s="28"/>
      <c r="AH1571" s="28"/>
      <c r="AI1571" s="20" t="str">
        <f>IF(AG1571="","",IF($F1571="Bernardino Furlan",_xlfn.XLOOKUP(AG1571,Cadastros!$G$6:$G$90,Cadastros!$H$6:$H$90)*(1-0.18),IF($F1571="Mauro José Salanti",_xlfn.XLOOKUP(AG1571,Cadastros!$G$6:$G$90,Cadastros!$H$6:$H$90)*(1-0.18),_xlfn.XLOOKUP(AG1571,Cadastros!$G$6:$G$90,Cadastros!$H$6:$H$90))))</f>
        <v/>
      </c>
      <c r="AJ1571" s="168" t="str">
        <f t="shared" si="319"/>
        <v/>
      </c>
      <c r="AK1571" s="168" t="str">
        <f t="shared" si="320"/>
        <v/>
      </c>
      <c r="AL1571" s="28"/>
      <c r="AM1571" s="28"/>
      <c r="AN1571" s="20" t="str">
        <f>IF(AL1571="","",IF($F1571="Bernardino Furlan",_xlfn.XLOOKUP(AL1571,Cadastros!$G$6:$G$90,Cadastros!$H$6:$H$90)*(1-0.18),IF($F1571="Mauro José Salanti",_xlfn.XLOOKUP(AL1571,Cadastros!$G$6:$G$90,Cadastros!$H$6:$H$90)*(1-0.18),_xlfn.XLOOKUP(AL1571,Cadastros!$G$6:$G$90,Cadastros!$H$6:$H$90))))</f>
        <v/>
      </c>
      <c r="AO1571" s="168" t="str">
        <f t="shared" si="321"/>
        <v/>
      </c>
      <c r="AP1571" s="168" t="str">
        <f t="shared" si="322"/>
        <v/>
      </c>
      <c r="AQ1571" s="28"/>
      <c r="AR1571" s="28"/>
      <c r="AS1571" s="20" t="str">
        <f>IF(AQ1571="","",IF($F1571="Bernardino Furlan",_xlfn.XLOOKUP(AQ1571,Cadastros!$G$6:$G$90,Cadastros!$H$6:$H$90)*(1-0.18),IF($F1571="Mauro José Salanti",_xlfn.XLOOKUP(AQ1571,Cadastros!$G$6:$G$90,Cadastros!$H$6:$H$90)*(1-0.18),_xlfn.XLOOKUP(AQ1571,Cadastros!$G$6:$G$90,Cadastros!$H$6:$H$90))))</f>
        <v/>
      </c>
      <c r="AT1571" s="168" t="str">
        <f t="shared" si="323"/>
        <v/>
      </c>
      <c r="AU1571" s="168" t="str">
        <f t="shared" si="324"/>
        <v/>
      </c>
      <c r="AV1571" s="227"/>
      <c r="AW1571" s="30"/>
      <c r="AX1571" s="267"/>
      <c r="AY1571" s="267"/>
      <c r="AZ1571" s="29"/>
      <c r="BA1571" s="30"/>
      <c r="BB1571" s="23" t="str" cm="1">
        <f t="array" ref="BB1571">_xlfn.IFS(AW1571="SIM",SUM(K1571,P1571,U1571,Z1571,AE1571,AJ1571,AO1571,AT1571,AX1571,AY1571),F1571&lt;&gt;"",SUM(K1571,P1571,U1571,Z1571,AE1571,AJ1571,,AO1571,AT1571),F1571="","")</f>
        <v/>
      </c>
      <c r="BC1571" s="211" t="str" cm="1">
        <f t="array" ref="BC1571">_xlfn.IFS(E1571="","",G1571&lt;=E1571,BB1571*(1-0.03),G1571&lt;(E1571+8),BB1571,AZ1571="Boleto",BB1571*(1+0.001)^DATEDIF(E1571,G1571,"D"),AZ1571="Cheque",BB1571,AZ1571="Dinheiro","Alterar forma pgto")</f>
        <v/>
      </c>
      <c r="BD1571" s="276" t="str" cm="1">
        <f t="array" ref="BD1571">IF(F1571=0," ",IF(BC1571&lt;BB1571,(_xlfn.IFS(AW1571="SIM",SUM(L1571,Q1571,V1571,AA1571,AF1571,AK1571,AP1571,AU1571)+AX1571/_xlfn.XLOOKUP(_xlfn.XLOOKUP($F1571,Clientes!$B$4:$B$39,Clientes!$C$4:$C$39),Cadastros!$L$6:$L$12,Cadastros!$M$6:$M$12)+IF($F1571="Bernardino Furlan",AY1571/2751.92,IF($F1571="Mauro José Salanti",AY1571/2751.92,AY1571/3356)),F1571&lt;&gt;0,SUM(L1571,Q1571,V1571,AA1571,AF1571,AK1571,AP1571,AU1571)))*(1-0.03),_xlfn.IFS(AW1571="SIM",SUM(L1571,Q1571,V1571,AA1571,AF1571,AK1571,AP1571,AU1571)+AX1571/_xlfn.XLOOKUP(_xlfn.XLOOKUP($F1571,Clientes!$B$4:$B$39,Clientes!$C$4:$C$39),Cadastros!$L$6:$L$12,Cadastros!$M$6:$M$12)+IF($F1571="Bernardino Furlan",AY1571/2751.92,IF($F1571="Mauro José Salanti",AY1571/2751.92,AY1571/3356)),F1571&lt;&gt;0,SUM(L1571,Q1571,V1571,AA1571,AF1571,AK1571,AP1571,AU1571))))</f>
        <v xml:space="preserve"> </v>
      </c>
      <c r="BE1571" s="120"/>
      <c r="BF1571" s="120"/>
      <c r="BG1571" s="120"/>
    </row>
    <row r="1572" spans="1:59" s="3" customFormat="1" x14ac:dyDescent="0.3">
      <c r="A1572" s="15" t="str">
        <f t="shared" si="312"/>
        <v/>
      </c>
      <c r="B1572" s="25"/>
      <c r="C1572" s="26"/>
      <c r="D1572" s="279"/>
      <c r="E1572" s="27"/>
      <c r="F1572" s="28"/>
      <c r="G1572" s="27"/>
      <c r="H1572" s="28"/>
      <c r="I1572" s="28"/>
      <c r="J1572" s="255" t="str">
        <f>IF(H1572="","",(_xlfn.XLOOKUP(H1572,Cadastros!$D$6:$D$90,Cadastros!$E$6:$E$90))*(1-_xlfn.XLOOKUP(_xlfn.XLOOKUP($F1572,Clientes!$B$4:$B$39,Clientes!$C$4:$C$39),Cadastros!$L$6:$L$12,Cadastros!$N$6:$N$12)))</f>
        <v/>
      </c>
      <c r="K1572" s="168" t="str">
        <f t="shared" si="313"/>
        <v/>
      </c>
      <c r="L1572" s="168" t="str">
        <f>IFERROR(K1572/_xlfn.XLOOKUP(_xlfn.XLOOKUP($F1572,Clientes!$B$4:$B$39,Clientes!$C$4:$C$39),Cadastros!$L$6:$L$12,Cadastros!$M$6:$M$12)," ")</f>
        <v xml:space="preserve"> </v>
      </c>
      <c r="M1572" s="28"/>
      <c r="N1572" s="28"/>
      <c r="O1572" s="255" t="str">
        <f>IF(M1572="","",(_xlfn.XLOOKUP(M1572,Cadastros!$D$6:$D$90,Cadastros!$E$6:$E$90))*(1-_xlfn.XLOOKUP(_xlfn.XLOOKUP($F1572,Clientes!$B$4:$B$39,Clientes!$C$4:$C$39),Cadastros!$L$6:$L$12,Cadastros!$N$6:$N$12)))</f>
        <v/>
      </c>
      <c r="P1572" s="168" t="str">
        <f t="shared" si="314"/>
        <v/>
      </c>
      <c r="Q1572" s="168" t="str">
        <f>IFERROR(P1572/_xlfn.XLOOKUP(_xlfn.XLOOKUP($F1572,Clientes!$B$4:$B$39,Clientes!$C$4:$C$39),Cadastros!$L$6:$L$12,Cadastros!$M$6:$M$12)," ")</f>
        <v xml:space="preserve"> </v>
      </c>
      <c r="R1572" s="28"/>
      <c r="S1572" s="28"/>
      <c r="T1572" s="255" t="str">
        <f>IF(R1572="","",(_xlfn.XLOOKUP(R1572,Cadastros!$D$6:$D$90,Cadastros!$E$6:$E$90))*(1-_xlfn.XLOOKUP(_xlfn.XLOOKUP($F1572,Clientes!$B$4:$B$39,Clientes!$C$4:$C$39),Cadastros!$L$6:$L$12,Cadastros!$N$6:$N$12)))</f>
        <v/>
      </c>
      <c r="U1572" s="168" t="str">
        <f t="shared" si="315"/>
        <v/>
      </c>
      <c r="V1572" s="168" t="str">
        <f>IFERROR(U1572/_xlfn.XLOOKUP(_xlfn.XLOOKUP($F1572,Clientes!$B$4:$B$39,Clientes!$C$4:$C$39),Cadastros!$L$6:$L$12,Cadastros!$M$6:$M$12)," ")</f>
        <v xml:space="preserve"> </v>
      </c>
      <c r="W1572" s="28"/>
      <c r="X1572" s="28"/>
      <c r="Y1572" s="255" t="str">
        <f>IF(W1572="","",(_xlfn.XLOOKUP(W1572,Cadastros!$D$6:$D$90,Cadastros!$E$6:$E$90))*(1-_xlfn.XLOOKUP(_xlfn.XLOOKUP($F1572,Clientes!$B$4:$B$39,Clientes!$C$4:$C$39),Cadastros!$L$6:$L$12,Cadastros!$N$6:$N$12)))</f>
        <v/>
      </c>
      <c r="Z1572" s="168" t="str">
        <f t="shared" si="316"/>
        <v/>
      </c>
      <c r="AA1572" s="168" t="str">
        <f>IFERROR(Z1572/_xlfn.XLOOKUP(_xlfn.XLOOKUP($F1572,Clientes!$B$4:$B$39,Clientes!$C$4:$C$39),Cadastros!$L$6:$L$12,Cadastros!$M$6:$M$12)," ")</f>
        <v xml:space="preserve"> </v>
      </c>
      <c r="AB1572" s="28"/>
      <c r="AC1572" s="28"/>
      <c r="AD1572" s="20" t="str">
        <f>IF(AB1572="","",IF($F1572="Bernardino Furlan",_xlfn.XLOOKUP(AB1572,Cadastros!$G$6:$G$90,Cadastros!$H$6:$H$90)*(1-0.18),IF($F1572="Mauro José Salanti",_xlfn.XLOOKUP(AB1572,Cadastros!$G$6:$G$90,Cadastros!$H$6:$H$90)*(1-0.18),_xlfn.XLOOKUP(AB1572,Cadastros!$G$6:$G$90,Cadastros!$H$6:$H$90))))</f>
        <v/>
      </c>
      <c r="AE1572" s="168" t="str">
        <f t="shared" si="317"/>
        <v/>
      </c>
      <c r="AF1572" s="168" t="str">
        <f t="shared" si="318"/>
        <v/>
      </c>
      <c r="AG1572" s="28"/>
      <c r="AH1572" s="28"/>
      <c r="AI1572" s="20" t="str">
        <f>IF(AG1572="","",IF($F1572="Bernardino Furlan",_xlfn.XLOOKUP(AG1572,Cadastros!$G$6:$G$90,Cadastros!$H$6:$H$90)*(1-0.18),IF($F1572="Mauro José Salanti",_xlfn.XLOOKUP(AG1572,Cadastros!$G$6:$G$90,Cadastros!$H$6:$H$90)*(1-0.18),_xlfn.XLOOKUP(AG1572,Cadastros!$G$6:$G$90,Cadastros!$H$6:$H$90))))</f>
        <v/>
      </c>
      <c r="AJ1572" s="168" t="str">
        <f t="shared" si="319"/>
        <v/>
      </c>
      <c r="AK1572" s="168" t="str">
        <f t="shared" si="320"/>
        <v/>
      </c>
      <c r="AL1572" s="28"/>
      <c r="AM1572" s="28"/>
      <c r="AN1572" s="20" t="str">
        <f>IF(AL1572="","",IF($F1572="Bernardino Furlan",_xlfn.XLOOKUP(AL1572,Cadastros!$G$6:$G$90,Cadastros!$H$6:$H$90)*(1-0.18),IF($F1572="Mauro José Salanti",_xlfn.XLOOKUP(AL1572,Cadastros!$G$6:$G$90,Cadastros!$H$6:$H$90)*(1-0.18),_xlfn.XLOOKUP(AL1572,Cadastros!$G$6:$G$90,Cadastros!$H$6:$H$90))))</f>
        <v/>
      </c>
      <c r="AO1572" s="168" t="str">
        <f t="shared" si="321"/>
        <v/>
      </c>
      <c r="AP1572" s="168" t="str">
        <f t="shared" si="322"/>
        <v/>
      </c>
      <c r="AQ1572" s="28"/>
      <c r="AR1572" s="28"/>
      <c r="AS1572" s="20" t="str">
        <f>IF(AQ1572="","",IF($F1572="Bernardino Furlan",_xlfn.XLOOKUP(AQ1572,Cadastros!$G$6:$G$90,Cadastros!$H$6:$H$90)*(1-0.18),IF($F1572="Mauro José Salanti",_xlfn.XLOOKUP(AQ1572,Cadastros!$G$6:$G$90,Cadastros!$H$6:$H$90)*(1-0.18),_xlfn.XLOOKUP(AQ1572,Cadastros!$G$6:$G$90,Cadastros!$H$6:$H$90))))</f>
        <v/>
      </c>
      <c r="AT1572" s="168" t="str">
        <f t="shared" si="323"/>
        <v/>
      </c>
      <c r="AU1572" s="168" t="str">
        <f t="shared" si="324"/>
        <v/>
      </c>
      <c r="AV1572" s="227"/>
      <c r="AW1572" s="30"/>
      <c r="AX1572" s="267"/>
      <c r="AY1572" s="267"/>
      <c r="AZ1572" s="29"/>
      <c r="BA1572" s="30"/>
      <c r="BB1572" s="23" t="str" cm="1">
        <f t="array" ref="BB1572">_xlfn.IFS(AW1572="SIM",SUM(K1572,P1572,U1572,Z1572,AE1572,AJ1572,AO1572,AT1572,AX1572,AY1572),F1572&lt;&gt;"",SUM(K1572,P1572,U1572,Z1572,AE1572,AJ1572,,AO1572,AT1572),F1572="","")</f>
        <v/>
      </c>
      <c r="BC1572" s="211" t="str" cm="1">
        <f t="array" ref="BC1572">_xlfn.IFS(E1572="","",G1572&lt;=E1572,BB1572*(1-0.03),G1572&lt;(E1572+8),BB1572,AZ1572="Boleto",BB1572*(1+0.001)^DATEDIF(E1572,G1572,"D"),AZ1572="Cheque",BB1572,AZ1572="Dinheiro","Alterar forma pgto")</f>
        <v/>
      </c>
      <c r="BD1572" s="276" t="str" cm="1">
        <f t="array" ref="BD1572">IF(F1572=0," ",IF(BC1572&lt;BB1572,(_xlfn.IFS(AW1572="SIM",SUM(L1572,Q1572,V1572,AA1572,AF1572,AK1572,AP1572,AU1572)+AX1572/_xlfn.XLOOKUP(_xlfn.XLOOKUP($F1572,Clientes!$B$4:$B$39,Clientes!$C$4:$C$39),Cadastros!$L$6:$L$12,Cadastros!$M$6:$M$12)+IF($F1572="Bernardino Furlan",AY1572/2751.92,IF($F1572="Mauro José Salanti",AY1572/2751.92,AY1572/3356)),F1572&lt;&gt;0,SUM(L1572,Q1572,V1572,AA1572,AF1572,AK1572,AP1572,AU1572)))*(1-0.03),_xlfn.IFS(AW1572="SIM",SUM(L1572,Q1572,V1572,AA1572,AF1572,AK1572,AP1572,AU1572)+AX1572/_xlfn.XLOOKUP(_xlfn.XLOOKUP($F1572,Clientes!$B$4:$B$39,Clientes!$C$4:$C$39),Cadastros!$L$6:$L$12,Cadastros!$M$6:$M$12)+IF($F1572="Bernardino Furlan",AY1572/2751.92,IF($F1572="Mauro José Salanti",AY1572/2751.92,AY1572/3356)),F1572&lt;&gt;0,SUM(L1572,Q1572,V1572,AA1572,AF1572,AK1572,AP1572,AU1572))))</f>
        <v xml:space="preserve"> </v>
      </c>
      <c r="BE1572" s="120"/>
      <c r="BF1572" s="120"/>
      <c r="BG1572" s="120"/>
    </row>
    <row r="1573" spans="1:59" s="3" customFormat="1" x14ac:dyDescent="0.3">
      <c r="A1573" s="15" t="str">
        <f t="shared" si="312"/>
        <v/>
      </c>
      <c r="B1573" s="25"/>
      <c r="C1573" s="26"/>
      <c r="D1573" s="279"/>
      <c r="E1573" s="27"/>
      <c r="F1573" s="28"/>
      <c r="G1573" s="27"/>
      <c r="H1573" s="28"/>
      <c r="I1573" s="28"/>
      <c r="J1573" s="255" t="str">
        <f>IF(H1573="","",(_xlfn.XLOOKUP(H1573,Cadastros!$D$6:$D$90,Cadastros!$E$6:$E$90))*(1-_xlfn.XLOOKUP(_xlfn.XLOOKUP($F1573,Clientes!$B$4:$B$39,Clientes!$C$4:$C$39),Cadastros!$L$6:$L$12,Cadastros!$N$6:$N$12)))</f>
        <v/>
      </c>
      <c r="K1573" s="168" t="str">
        <f t="shared" si="313"/>
        <v/>
      </c>
      <c r="L1573" s="168" t="str">
        <f>IFERROR(K1573/_xlfn.XLOOKUP(_xlfn.XLOOKUP($F1573,Clientes!$B$4:$B$39,Clientes!$C$4:$C$39),Cadastros!$L$6:$L$12,Cadastros!$M$6:$M$12)," ")</f>
        <v xml:space="preserve"> </v>
      </c>
      <c r="M1573" s="28"/>
      <c r="N1573" s="28"/>
      <c r="O1573" s="255" t="str">
        <f>IF(M1573="","",(_xlfn.XLOOKUP(M1573,Cadastros!$D$6:$D$90,Cadastros!$E$6:$E$90))*(1-_xlfn.XLOOKUP(_xlfn.XLOOKUP($F1573,Clientes!$B$4:$B$39,Clientes!$C$4:$C$39),Cadastros!$L$6:$L$12,Cadastros!$N$6:$N$12)))</f>
        <v/>
      </c>
      <c r="P1573" s="168" t="str">
        <f t="shared" si="314"/>
        <v/>
      </c>
      <c r="Q1573" s="168" t="str">
        <f>IFERROR(P1573/_xlfn.XLOOKUP(_xlfn.XLOOKUP($F1573,Clientes!$B$4:$B$39,Clientes!$C$4:$C$39),Cadastros!$L$6:$L$12,Cadastros!$M$6:$M$12)," ")</f>
        <v xml:space="preserve"> </v>
      </c>
      <c r="R1573" s="28"/>
      <c r="S1573" s="28"/>
      <c r="T1573" s="255" t="str">
        <f>IF(R1573="","",(_xlfn.XLOOKUP(R1573,Cadastros!$D$6:$D$90,Cadastros!$E$6:$E$90))*(1-_xlfn.XLOOKUP(_xlfn.XLOOKUP($F1573,Clientes!$B$4:$B$39,Clientes!$C$4:$C$39),Cadastros!$L$6:$L$12,Cadastros!$N$6:$N$12)))</f>
        <v/>
      </c>
      <c r="U1573" s="168" t="str">
        <f t="shared" si="315"/>
        <v/>
      </c>
      <c r="V1573" s="168" t="str">
        <f>IFERROR(U1573/_xlfn.XLOOKUP(_xlfn.XLOOKUP($F1573,Clientes!$B$4:$B$39,Clientes!$C$4:$C$39),Cadastros!$L$6:$L$12,Cadastros!$M$6:$M$12)," ")</f>
        <v xml:space="preserve"> </v>
      </c>
      <c r="W1573" s="28"/>
      <c r="X1573" s="28"/>
      <c r="Y1573" s="255" t="str">
        <f>IF(W1573="","",(_xlfn.XLOOKUP(W1573,Cadastros!$D$6:$D$90,Cadastros!$E$6:$E$90))*(1-_xlfn.XLOOKUP(_xlfn.XLOOKUP($F1573,Clientes!$B$4:$B$39,Clientes!$C$4:$C$39),Cadastros!$L$6:$L$12,Cadastros!$N$6:$N$12)))</f>
        <v/>
      </c>
      <c r="Z1573" s="168" t="str">
        <f t="shared" si="316"/>
        <v/>
      </c>
      <c r="AA1573" s="168" t="str">
        <f>IFERROR(Z1573/_xlfn.XLOOKUP(_xlfn.XLOOKUP($F1573,Clientes!$B$4:$B$39,Clientes!$C$4:$C$39),Cadastros!$L$6:$L$12,Cadastros!$M$6:$M$12)," ")</f>
        <v xml:space="preserve"> </v>
      </c>
      <c r="AB1573" s="28"/>
      <c r="AC1573" s="28"/>
      <c r="AD1573" s="20" t="str">
        <f>IF(AB1573="","",IF($F1573="Bernardino Furlan",_xlfn.XLOOKUP(AB1573,Cadastros!$G$6:$G$90,Cadastros!$H$6:$H$90)*(1-0.18),IF($F1573="Mauro José Salanti",_xlfn.XLOOKUP(AB1573,Cadastros!$G$6:$G$90,Cadastros!$H$6:$H$90)*(1-0.18),_xlfn.XLOOKUP(AB1573,Cadastros!$G$6:$G$90,Cadastros!$H$6:$H$90))))</f>
        <v/>
      </c>
      <c r="AE1573" s="168" t="str">
        <f t="shared" si="317"/>
        <v/>
      </c>
      <c r="AF1573" s="168" t="str">
        <f t="shared" si="318"/>
        <v/>
      </c>
      <c r="AG1573" s="28"/>
      <c r="AH1573" s="28"/>
      <c r="AI1573" s="20" t="str">
        <f>IF(AG1573="","",IF($F1573="Bernardino Furlan",_xlfn.XLOOKUP(AG1573,Cadastros!$G$6:$G$90,Cadastros!$H$6:$H$90)*(1-0.18),IF($F1573="Mauro José Salanti",_xlfn.XLOOKUP(AG1573,Cadastros!$G$6:$G$90,Cadastros!$H$6:$H$90)*(1-0.18),_xlfn.XLOOKUP(AG1573,Cadastros!$G$6:$G$90,Cadastros!$H$6:$H$90))))</f>
        <v/>
      </c>
      <c r="AJ1573" s="168" t="str">
        <f t="shared" si="319"/>
        <v/>
      </c>
      <c r="AK1573" s="168" t="str">
        <f t="shared" si="320"/>
        <v/>
      </c>
      <c r="AL1573" s="28"/>
      <c r="AM1573" s="28"/>
      <c r="AN1573" s="20" t="str">
        <f>IF(AL1573="","",IF($F1573="Bernardino Furlan",_xlfn.XLOOKUP(AL1573,Cadastros!$G$6:$G$90,Cadastros!$H$6:$H$90)*(1-0.18),IF($F1573="Mauro José Salanti",_xlfn.XLOOKUP(AL1573,Cadastros!$G$6:$G$90,Cadastros!$H$6:$H$90)*(1-0.18),_xlfn.XLOOKUP(AL1573,Cadastros!$G$6:$G$90,Cadastros!$H$6:$H$90))))</f>
        <v/>
      </c>
      <c r="AO1573" s="168" t="str">
        <f t="shared" si="321"/>
        <v/>
      </c>
      <c r="AP1573" s="168" t="str">
        <f t="shared" si="322"/>
        <v/>
      </c>
      <c r="AQ1573" s="28"/>
      <c r="AR1573" s="28"/>
      <c r="AS1573" s="20" t="str">
        <f>IF(AQ1573="","",IF($F1573="Bernardino Furlan",_xlfn.XLOOKUP(AQ1573,Cadastros!$G$6:$G$90,Cadastros!$H$6:$H$90)*(1-0.18),IF($F1573="Mauro José Salanti",_xlfn.XLOOKUP(AQ1573,Cadastros!$G$6:$G$90,Cadastros!$H$6:$H$90)*(1-0.18),_xlfn.XLOOKUP(AQ1573,Cadastros!$G$6:$G$90,Cadastros!$H$6:$H$90))))</f>
        <v/>
      </c>
      <c r="AT1573" s="168" t="str">
        <f t="shared" si="323"/>
        <v/>
      </c>
      <c r="AU1573" s="168" t="str">
        <f t="shared" si="324"/>
        <v/>
      </c>
      <c r="AV1573" s="227"/>
      <c r="AW1573" s="30"/>
      <c r="AX1573" s="267"/>
      <c r="AY1573" s="267"/>
      <c r="AZ1573" s="29"/>
      <c r="BA1573" s="30"/>
      <c r="BB1573" s="23" t="str" cm="1">
        <f t="array" ref="BB1573">_xlfn.IFS(AW1573="SIM",SUM(K1573,P1573,U1573,Z1573,AE1573,AJ1573,AO1573,AT1573,AX1573,AY1573),F1573&lt;&gt;"",SUM(K1573,P1573,U1573,Z1573,AE1573,AJ1573,,AO1573,AT1573),F1573="","")</f>
        <v/>
      </c>
      <c r="BC1573" s="211" t="str" cm="1">
        <f t="array" ref="BC1573">_xlfn.IFS(E1573="","",G1573&lt;=E1573,BB1573*(1-0.03),G1573&lt;(E1573+8),BB1573,AZ1573="Boleto",BB1573*(1+0.001)^DATEDIF(E1573,G1573,"D"),AZ1573="Cheque",BB1573,AZ1573="Dinheiro","Alterar forma pgto")</f>
        <v/>
      </c>
      <c r="BD1573" s="276" t="str" cm="1">
        <f t="array" ref="BD1573">IF(F1573=0," ",IF(BC1573&lt;BB1573,(_xlfn.IFS(AW1573="SIM",SUM(L1573,Q1573,V1573,AA1573,AF1573,AK1573,AP1573,AU1573)+AX1573/_xlfn.XLOOKUP(_xlfn.XLOOKUP($F1573,Clientes!$B$4:$B$39,Clientes!$C$4:$C$39),Cadastros!$L$6:$L$12,Cadastros!$M$6:$M$12)+IF($F1573="Bernardino Furlan",AY1573/2751.92,IF($F1573="Mauro José Salanti",AY1573/2751.92,AY1573/3356)),F1573&lt;&gt;0,SUM(L1573,Q1573,V1573,AA1573,AF1573,AK1573,AP1573,AU1573)))*(1-0.03),_xlfn.IFS(AW1573="SIM",SUM(L1573,Q1573,V1573,AA1573,AF1573,AK1573,AP1573,AU1573)+AX1573/_xlfn.XLOOKUP(_xlfn.XLOOKUP($F1573,Clientes!$B$4:$B$39,Clientes!$C$4:$C$39),Cadastros!$L$6:$L$12,Cadastros!$M$6:$M$12)+IF($F1573="Bernardino Furlan",AY1573/2751.92,IF($F1573="Mauro José Salanti",AY1573/2751.92,AY1573/3356)),F1573&lt;&gt;0,SUM(L1573,Q1573,V1573,AA1573,AF1573,AK1573,AP1573,AU1573))))</f>
        <v xml:space="preserve"> </v>
      </c>
      <c r="BE1573" s="120"/>
      <c r="BF1573" s="120"/>
      <c r="BG1573" s="120"/>
    </row>
    <row r="1574" spans="1:59" s="3" customFormat="1" x14ac:dyDescent="0.3">
      <c r="A1574" s="15" t="str">
        <f t="shared" si="312"/>
        <v/>
      </c>
      <c r="B1574" s="25"/>
      <c r="C1574" s="26"/>
      <c r="D1574" s="279"/>
      <c r="E1574" s="27"/>
      <c r="F1574" s="28"/>
      <c r="G1574" s="27"/>
      <c r="H1574" s="28"/>
      <c r="I1574" s="28"/>
      <c r="J1574" s="255" t="str">
        <f>IF(H1574="","",(_xlfn.XLOOKUP(H1574,Cadastros!$D$6:$D$90,Cadastros!$E$6:$E$90))*(1-_xlfn.XLOOKUP(_xlfn.XLOOKUP($F1574,Clientes!$B$4:$B$39,Clientes!$C$4:$C$39),Cadastros!$L$6:$L$12,Cadastros!$N$6:$N$12)))</f>
        <v/>
      </c>
      <c r="K1574" s="168" t="str">
        <f t="shared" si="313"/>
        <v/>
      </c>
      <c r="L1574" s="168" t="str">
        <f>IFERROR(K1574/_xlfn.XLOOKUP(_xlfn.XLOOKUP($F1574,Clientes!$B$4:$B$39,Clientes!$C$4:$C$39),Cadastros!$L$6:$L$12,Cadastros!$M$6:$M$12)," ")</f>
        <v xml:space="preserve"> </v>
      </c>
      <c r="M1574" s="28"/>
      <c r="N1574" s="28"/>
      <c r="O1574" s="255" t="str">
        <f>IF(M1574="","",(_xlfn.XLOOKUP(M1574,Cadastros!$D$6:$D$90,Cadastros!$E$6:$E$90))*(1-_xlfn.XLOOKUP(_xlfn.XLOOKUP($F1574,Clientes!$B$4:$B$39,Clientes!$C$4:$C$39),Cadastros!$L$6:$L$12,Cadastros!$N$6:$N$12)))</f>
        <v/>
      </c>
      <c r="P1574" s="168" t="str">
        <f t="shared" si="314"/>
        <v/>
      </c>
      <c r="Q1574" s="168" t="str">
        <f>IFERROR(P1574/_xlfn.XLOOKUP(_xlfn.XLOOKUP($F1574,Clientes!$B$4:$B$39,Clientes!$C$4:$C$39),Cadastros!$L$6:$L$12,Cadastros!$M$6:$M$12)," ")</f>
        <v xml:space="preserve"> </v>
      </c>
      <c r="R1574" s="28"/>
      <c r="S1574" s="28"/>
      <c r="T1574" s="255" t="str">
        <f>IF(R1574="","",(_xlfn.XLOOKUP(R1574,Cadastros!$D$6:$D$90,Cadastros!$E$6:$E$90))*(1-_xlfn.XLOOKUP(_xlfn.XLOOKUP($F1574,Clientes!$B$4:$B$39,Clientes!$C$4:$C$39),Cadastros!$L$6:$L$12,Cadastros!$N$6:$N$12)))</f>
        <v/>
      </c>
      <c r="U1574" s="168" t="str">
        <f t="shared" si="315"/>
        <v/>
      </c>
      <c r="V1574" s="168" t="str">
        <f>IFERROR(U1574/_xlfn.XLOOKUP(_xlfn.XLOOKUP($F1574,Clientes!$B$4:$B$39,Clientes!$C$4:$C$39),Cadastros!$L$6:$L$12,Cadastros!$M$6:$M$12)," ")</f>
        <v xml:space="preserve"> </v>
      </c>
      <c r="W1574" s="28"/>
      <c r="X1574" s="28"/>
      <c r="Y1574" s="255" t="str">
        <f>IF(W1574="","",(_xlfn.XLOOKUP(W1574,Cadastros!$D$6:$D$90,Cadastros!$E$6:$E$90))*(1-_xlfn.XLOOKUP(_xlfn.XLOOKUP($F1574,Clientes!$B$4:$B$39,Clientes!$C$4:$C$39),Cadastros!$L$6:$L$12,Cadastros!$N$6:$N$12)))</f>
        <v/>
      </c>
      <c r="Z1574" s="168" t="str">
        <f t="shared" si="316"/>
        <v/>
      </c>
      <c r="AA1574" s="168" t="str">
        <f>IFERROR(Z1574/_xlfn.XLOOKUP(_xlfn.XLOOKUP($F1574,Clientes!$B$4:$B$39,Clientes!$C$4:$C$39),Cadastros!$L$6:$L$12,Cadastros!$M$6:$M$12)," ")</f>
        <v xml:space="preserve"> </v>
      </c>
      <c r="AB1574" s="28"/>
      <c r="AC1574" s="28"/>
      <c r="AD1574" s="20" t="str">
        <f>IF(AB1574="","",IF($F1574="Bernardino Furlan",_xlfn.XLOOKUP(AB1574,Cadastros!$G$6:$G$90,Cadastros!$H$6:$H$90)*(1-0.18),IF($F1574="Mauro José Salanti",_xlfn.XLOOKUP(AB1574,Cadastros!$G$6:$G$90,Cadastros!$H$6:$H$90)*(1-0.18),_xlfn.XLOOKUP(AB1574,Cadastros!$G$6:$G$90,Cadastros!$H$6:$H$90))))</f>
        <v/>
      </c>
      <c r="AE1574" s="168" t="str">
        <f t="shared" si="317"/>
        <v/>
      </c>
      <c r="AF1574" s="168" t="str">
        <f t="shared" si="318"/>
        <v/>
      </c>
      <c r="AG1574" s="28"/>
      <c r="AH1574" s="28"/>
      <c r="AI1574" s="20" t="str">
        <f>IF(AG1574="","",IF($F1574="Bernardino Furlan",_xlfn.XLOOKUP(AG1574,Cadastros!$G$6:$G$90,Cadastros!$H$6:$H$90)*(1-0.18),IF($F1574="Mauro José Salanti",_xlfn.XLOOKUP(AG1574,Cadastros!$G$6:$G$90,Cadastros!$H$6:$H$90)*(1-0.18),_xlfn.XLOOKUP(AG1574,Cadastros!$G$6:$G$90,Cadastros!$H$6:$H$90))))</f>
        <v/>
      </c>
      <c r="AJ1574" s="168" t="str">
        <f t="shared" si="319"/>
        <v/>
      </c>
      <c r="AK1574" s="168" t="str">
        <f t="shared" si="320"/>
        <v/>
      </c>
      <c r="AL1574" s="28"/>
      <c r="AM1574" s="28"/>
      <c r="AN1574" s="20" t="str">
        <f>IF(AL1574="","",IF($F1574="Bernardino Furlan",_xlfn.XLOOKUP(AL1574,Cadastros!$G$6:$G$90,Cadastros!$H$6:$H$90)*(1-0.18),IF($F1574="Mauro José Salanti",_xlfn.XLOOKUP(AL1574,Cadastros!$G$6:$G$90,Cadastros!$H$6:$H$90)*(1-0.18),_xlfn.XLOOKUP(AL1574,Cadastros!$G$6:$G$90,Cadastros!$H$6:$H$90))))</f>
        <v/>
      </c>
      <c r="AO1574" s="168" t="str">
        <f t="shared" si="321"/>
        <v/>
      </c>
      <c r="AP1574" s="168" t="str">
        <f t="shared" si="322"/>
        <v/>
      </c>
      <c r="AQ1574" s="28"/>
      <c r="AR1574" s="28"/>
      <c r="AS1574" s="20" t="str">
        <f>IF(AQ1574="","",IF($F1574="Bernardino Furlan",_xlfn.XLOOKUP(AQ1574,Cadastros!$G$6:$G$90,Cadastros!$H$6:$H$90)*(1-0.18),IF($F1574="Mauro José Salanti",_xlfn.XLOOKUP(AQ1574,Cadastros!$G$6:$G$90,Cadastros!$H$6:$H$90)*(1-0.18),_xlfn.XLOOKUP(AQ1574,Cadastros!$G$6:$G$90,Cadastros!$H$6:$H$90))))</f>
        <v/>
      </c>
      <c r="AT1574" s="168" t="str">
        <f t="shared" si="323"/>
        <v/>
      </c>
      <c r="AU1574" s="168" t="str">
        <f t="shared" si="324"/>
        <v/>
      </c>
      <c r="AV1574" s="227"/>
      <c r="AW1574" s="30"/>
      <c r="AX1574" s="267"/>
      <c r="AY1574" s="267"/>
      <c r="AZ1574" s="29"/>
      <c r="BA1574" s="30"/>
      <c r="BB1574" s="23" t="str" cm="1">
        <f t="array" ref="BB1574">_xlfn.IFS(AW1574="SIM",SUM(K1574,P1574,U1574,Z1574,AE1574,AJ1574,AO1574,AT1574,AX1574,AY1574),F1574&lt;&gt;"",SUM(K1574,P1574,U1574,Z1574,AE1574,AJ1574,,AO1574,AT1574),F1574="","")</f>
        <v/>
      </c>
      <c r="BC1574" s="211" t="str" cm="1">
        <f t="array" ref="BC1574">_xlfn.IFS(E1574="","",G1574&lt;=E1574,BB1574*(1-0.03),G1574&lt;(E1574+8),BB1574,AZ1574="Boleto",BB1574*(1+0.001)^DATEDIF(E1574,G1574,"D"),AZ1574="Cheque",BB1574,AZ1574="Dinheiro","Alterar forma pgto")</f>
        <v/>
      </c>
      <c r="BD1574" s="276" t="str" cm="1">
        <f t="array" ref="BD1574">IF(F1574=0," ",IF(BC1574&lt;BB1574,(_xlfn.IFS(AW1574="SIM",SUM(L1574,Q1574,V1574,AA1574,AF1574,AK1574,AP1574,AU1574)+AX1574/_xlfn.XLOOKUP(_xlfn.XLOOKUP($F1574,Clientes!$B$4:$B$39,Clientes!$C$4:$C$39),Cadastros!$L$6:$L$12,Cadastros!$M$6:$M$12)+IF($F1574="Bernardino Furlan",AY1574/2751.92,IF($F1574="Mauro José Salanti",AY1574/2751.92,AY1574/3356)),F1574&lt;&gt;0,SUM(L1574,Q1574,V1574,AA1574,AF1574,AK1574,AP1574,AU1574)))*(1-0.03),_xlfn.IFS(AW1574="SIM",SUM(L1574,Q1574,V1574,AA1574,AF1574,AK1574,AP1574,AU1574)+AX1574/_xlfn.XLOOKUP(_xlfn.XLOOKUP($F1574,Clientes!$B$4:$B$39,Clientes!$C$4:$C$39),Cadastros!$L$6:$L$12,Cadastros!$M$6:$M$12)+IF($F1574="Bernardino Furlan",AY1574/2751.92,IF($F1574="Mauro José Salanti",AY1574/2751.92,AY1574/3356)),F1574&lt;&gt;0,SUM(L1574,Q1574,V1574,AA1574,AF1574,AK1574,AP1574,AU1574))))</f>
        <v xml:space="preserve"> </v>
      </c>
      <c r="BE1574" s="120"/>
      <c r="BF1574" s="120"/>
      <c r="BG1574" s="120"/>
    </row>
    <row r="1575" spans="1:59" s="3" customFormat="1" x14ac:dyDescent="0.3">
      <c r="A1575" s="15" t="str">
        <f t="shared" si="312"/>
        <v/>
      </c>
      <c r="B1575" s="25"/>
      <c r="C1575" s="26"/>
      <c r="D1575" s="279"/>
      <c r="E1575" s="27"/>
      <c r="F1575" s="28"/>
      <c r="G1575" s="27"/>
      <c r="H1575" s="28"/>
      <c r="I1575" s="28"/>
      <c r="J1575" s="255" t="str">
        <f>IF(H1575="","",(_xlfn.XLOOKUP(H1575,Cadastros!$D$6:$D$90,Cadastros!$E$6:$E$90))*(1-_xlfn.XLOOKUP(_xlfn.XLOOKUP($F1575,Clientes!$B$4:$B$39,Clientes!$C$4:$C$39),Cadastros!$L$6:$L$12,Cadastros!$N$6:$N$12)))</f>
        <v/>
      </c>
      <c r="K1575" s="168" t="str">
        <f t="shared" si="313"/>
        <v/>
      </c>
      <c r="L1575" s="168" t="str">
        <f>IFERROR(K1575/_xlfn.XLOOKUP(_xlfn.XLOOKUP($F1575,Clientes!$B$4:$B$39,Clientes!$C$4:$C$39),Cadastros!$L$6:$L$12,Cadastros!$M$6:$M$12)," ")</f>
        <v xml:space="preserve"> </v>
      </c>
      <c r="M1575" s="28"/>
      <c r="N1575" s="28"/>
      <c r="O1575" s="255" t="str">
        <f>IF(M1575="","",(_xlfn.XLOOKUP(M1575,Cadastros!$D$6:$D$90,Cadastros!$E$6:$E$90))*(1-_xlfn.XLOOKUP(_xlfn.XLOOKUP($F1575,Clientes!$B$4:$B$39,Clientes!$C$4:$C$39),Cadastros!$L$6:$L$12,Cadastros!$N$6:$N$12)))</f>
        <v/>
      </c>
      <c r="P1575" s="168" t="str">
        <f t="shared" si="314"/>
        <v/>
      </c>
      <c r="Q1575" s="168" t="str">
        <f>IFERROR(P1575/_xlfn.XLOOKUP(_xlfn.XLOOKUP($F1575,Clientes!$B$4:$B$39,Clientes!$C$4:$C$39),Cadastros!$L$6:$L$12,Cadastros!$M$6:$M$12)," ")</f>
        <v xml:space="preserve"> </v>
      </c>
      <c r="R1575" s="28"/>
      <c r="S1575" s="28"/>
      <c r="T1575" s="255" t="str">
        <f>IF(R1575="","",(_xlfn.XLOOKUP(R1575,Cadastros!$D$6:$D$90,Cadastros!$E$6:$E$90))*(1-_xlfn.XLOOKUP(_xlfn.XLOOKUP($F1575,Clientes!$B$4:$B$39,Clientes!$C$4:$C$39),Cadastros!$L$6:$L$12,Cadastros!$N$6:$N$12)))</f>
        <v/>
      </c>
      <c r="U1575" s="168" t="str">
        <f t="shared" si="315"/>
        <v/>
      </c>
      <c r="V1575" s="168" t="str">
        <f>IFERROR(U1575/_xlfn.XLOOKUP(_xlfn.XLOOKUP($F1575,Clientes!$B$4:$B$39,Clientes!$C$4:$C$39),Cadastros!$L$6:$L$12,Cadastros!$M$6:$M$12)," ")</f>
        <v xml:space="preserve"> </v>
      </c>
      <c r="W1575" s="28"/>
      <c r="X1575" s="28"/>
      <c r="Y1575" s="255" t="str">
        <f>IF(W1575="","",(_xlfn.XLOOKUP(W1575,Cadastros!$D$6:$D$90,Cadastros!$E$6:$E$90))*(1-_xlfn.XLOOKUP(_xlfn.XLOOKUP($F1575,Clientes!$B$4:$B$39,Clientes!$C$4:$C$39),Cadastros!$L$6:$L$12,Cadastros!$N$6:$N$12)))</f>
        <v/>
      </c>
      <c r="Z1575" s="168" t="str">
        <f t="shared" si="316"/>
        <v/>
      </c>
      <c r="AA1575" s="168" t="str">
        <f>IFERROR(Z1575/_xlfn.XLOOKUP(_xlfn.XLOOKUP($F1575,Clientes!$B$4:$B$39,Clientes!$C$4:$C$39),Cadastros!$L$6:$L$12,Cadastros!$M$6:$M$12)," ")</f>
        <v xml:space="preserve"> </v>
      </c>
      <c r="AB1575" s="28"/>
      <c r="AC1575" s="28"/>
      <c r="AD1575" s="20" t="str">
        <f>IF(AB1575="","",IF($F1575="Bernardino Furlan",_xlfn.XLOOKUP(AB1575,Cadastros!$G$6:$G$90,Cadastros!$H$6:$H$90)*(1-0.18),IF($F1575="Mauro José Salanti",_xlfn.XLOOKUP(AB1575,Cadastros!$G$6:$G$90,Cadastros!$H$6:$H$90)*(1-0.18),_xlfn.XLOOKUP(AB1575,Cadastros!$G$6:$G$90,Cadastros!$H$6:$H$90))))</f>
        <v/>
      </c>
      <c r="AE1575" s="168" t="str">
        <f t="shared" si="317"/>
        <v/>
      </c>
      <c r="AF1575" s="168" t="str">
        <f t="shared" si="318"/>
        <v/>
      </c>
      <c r="AG1575" s="28"/>
      <c r="AH1575" s="28"/>
      <c r="AI1575" s="20" t="str">
        <f>IF(AG1575="","",IF($F1575="Bernardino Furlan",_xlfn.XLOOKUP(AG1575,Cadastros!$G$6:$G$90,Cadastros!$H$6:$H$90)*(1-0.18),IF($F1575="Mauro José Salanti",_xlfn.XLOOKUP(AG1575,Cadastros!$G$6:$G$90,Cadastros!$H$6:$H$90)*(1-0.18),_xlfn.XLOOKUP(AG1575,Cadastros!$G$6:$G$90,Cadastros!$H$6:$H$90))))</f>
        <v/>
      </c>
      <c r="AJ1575" s="168" t="str">
        <f t="shared" si="319"/>
        <v/>
      </c>
      <c r="AK1575" s="168" t="str">
        <f t="shared" si="320"/>
        <v/>
      </c>
      <c r="AL1575" s="28"/>
      <c r="AM1575" s="28"/>
      <c r="AN1575" s="20" t="str">
        <f>IF(AL1575="","",IF($F1575="Bernardino Furlan",_xlfn.XLOOKUP(AL1575,Cadastros!$G$6:$G$90,Cadastros!$H$6:$H$90)*(1-0.18),IF($F1575="Mauro José Salanti",_xlfn.XLOOKUP(AL1575,Cadastros!$G$6:$G$90,Cadastros!$H$6:$H$90)*(1-0.18),_xlfn.XLOOKUP(AL1575,Cadastros!$G$6:$G$90,Cadastros!$H$6:$H$90))))</f>
        <v/>
      </c>
      <c r="AO1575" s="168" t="str">
        <f t="shared" si="321"/>
        <v/>
      </c>
      <c r="AP1575" s="168" t="str">
        <f t="shared" si="322"/>
        <v/>
      </c>
      <c r="AQ1575" s="28"/>
      <c r="AR1575" s="28"/>
      <c r="AS1575" s="20" t="str">
        <f>IF(AQ1575="","",IF($F1575="Bernardino Furlan",_xlfn.XLOOKUP(AQ1575,Cadastros!$G$6:$G$90,Cadastros!$H$6:$H$90)*(1-0.18),IF($F1575="Mauro José Salanti",_xlfn.XLOOKUP(AQ1575,Cadastros!$G$6:$G$90,Cadastros!$H$6:$H$90)*(1-0.18),_xlfn.XLOOKUP(AQ1575,Cadastros!$G$6:$G$90,Cadastros!$H$6:$H$90))))</f>
        <v/>
      </c>
      <c r="AT1575" s="168" t="str">
        <f t="shared" si="323"/>
        <v/>
      </c>
      <c r="AU1575" s="168" t="str">
        <f t="shared" si="324"/>
        <v/>
      </c>
      <c r="AV1575" s="227"/>
      <c r="AW1575" s="30"/>
      <c r="AX1575" s="267"/>
      <c r="AY1575" s="267"/>
      <c r="AZ1575" s="29"/>
      <c r="BA1575" s="30"/>
      <c r="BB1575" s="23" t="str" cm="1">
        <f t="array" ref="BB1575">_xlfn.IFS(AW1575="SIM",SUM(K1575,P1575,U1575,Z1575,AE1575,AJ1575,AO1575,AT1575,AX1575,AY1575),F1575&lt;&gt;"",SUM(K1575,P1575,U1575,Z1575,AE1575,AJ1575,,AO1575,AT1575),F1575="","")</f>
        <v/>
      </c>
      <c r="BC1575" s="211" t="str" cm="1">
        <f t="array" ref="BC1575">_xlfn.IFS(E1575="","",G1575&lt;=E1575,BB1575*(1-0.03),G1575&lt;(E1575+8),BB1575,AZ1575="Boleto",BB1575*(1+0.001)^DATEDIF(E1575,G1575,"D"),AZ1575="Cheque",BB1575,AZ1575="Dinheiro","Alterar forma pgto")</f>
        <v/>
      </c>
      <c r="BD1575" s="276" t="str" cm="1">
        <f t="array" ref="BD1575">IF(F1575=0," ",IF(BC1575&lt;BB1575,(_xlfn.IFS(AW1575="SIM",SUM(L1575,Q1575,V1575,AA1575,AF1575,AK1575,AP1575,AU1575)+AX1575/_xlfn.XLOOKUP(_xlfn.XLOOKUP($F1575,Clientes!$B$4:$B$39,Clientes!$C$4:$C$39),Cadastros!$L$6:$L$12,Cadastros!$M$6:$M$12)+IF($F1575="Bernardino Furlan",AY1575/2751.92,IF($F1575="Mauro José Salanti",AY1575/2751.92,AY1575/3356)),F1575&lt;&gt;0,SUM(L1575,Q1575,V1575,AA1575,AF1575,AK1575,AP1575,AU1575)))*(1-0.03),_xlfn.IFS(AW1575="SIM",SUM(L1575,Q1575,V1575,AA1575,AF1575,AK1575,AP1575,AU1575)+AX1575/_xlfn.XLOOKUP(_xlfn.XLOOKUP($F1575,Clientes!$B$4:$B$39,Clientes!$C$4:$C$39),Cadastros!$L$6:$L$12,Cadastros!$M$6:$M$12)+IF($F1575="Bernardino Furlan",AY1575/2751.92,IF($F1575="Mauro José Salanti",AY1575/2751.92,AY1575/3356)),F1575&lt;&gt;0,SUM(L1575,Q1575,V1575,AA1575,AF1575,AK1575,AP1575,AU1575))))</f>
        <v xml:space="preserve"> </v>
      </c>
      <c r="BE1575" s="120"/>
      <c r="BF1575" s="120"/>
      <c r="BG1575" s="120"/>
    </row>
    <row r="1576" spans="1:59" s="3" customFormat="1" x14ac:dyDescent="0.3">
      <c r="A1576" s="15" t="str">
        <f t="shared" si="312"/>
        <v/>
      </c>
      <c r="B1576" s="25"/>
      <c r="C1576" s="26"/>
      <c r="D1576" s="279"/>
      <c r="E1576" s="27"/>
      <c r="F1576" s="28"/>
      <c r="G1576" s="27"/>
      <c r="H1576" s="28"/>
      <c r="I1576" s="28"/>
      <c r="J1576" s="255" t="str">
        <f>IF(H1576="","",(_xlfn.XLOOKUP(H1576,Cadastros!$D$6:$D$90,Cadastros!$E$6:$E$90))*(1-_xlfn.XLOOKUP(_xlfn.XLOOKUP($F1576,Clientes!$B$4:$B$39,Clientes!$C$4:$C$39),Cadastros!$L$6:$L$12,Cadastros!$N$6:$N$12)))</f>
        <v/>
      </c>
      <c r="K1576" s="168" t="str">
        <f t="shared" si="313"/>
        <v/>
      </c>
      <c r="L1576" s="168" t="str">
        <f>IFERROR(K1576/_xlfn.XLOOKUP(_xlfn.XLOOKUP($F1576,Clientes!$B$4:$B$39,Clientes!$C$4:$C$39),Cadastros!$L$6:$L$12,Cadastros!$M$6:$M$12)," ")</f>
        <v xml:space="preserve"> </v>
      </c>
      <c r="M1576" s="28"/>
      <c r="N1576" s="28"/>
      <c r="O1576" s="255" t="str">
        <f>IF(M1576="","",(_xlfn.XLOOKUP(M1576,Cadastros!$D$6:$D$90,Cadastros!$E$6:$E$90))*(1-_xlfn.XLOOKUP(_xlfn.XLOOKUP($F1576,Clientes!$B$4:$B$39,Clientes!$C$4:$C$39),Cadastros!$L$6:$L$12,Cadastros!$N$6:$N$12)))</f>
        <v/>
      </c>
      <c r="P1576" s="168" t="str">
        <f t="shared" si="314"/>
        <v/>
      </c>
      <c r="Q1576" s="168" t="str">
        <f>IFERROR(P1576/_xlfn.XLOOKUP(_xlfn.XLOOKUP($F1576,Clientes!$B$4:$B$39,Clientes!$C$4:$C$39),Cadastros!$L$6:$L$12,Cadastros!$M$6:$M$12)," ")</f>
        <v xml:space="preserve"> </v>
      </c>
      <c r="R1576" s="28"/>
      <c r="S1576" s="28"/>
      <c r="T1576" s="255" t="str">
        <f>IF(R1576="","",(_xlfn.XLOOKUP(R1576,Cadastros!$D$6:$D$90,Cadastros!$E$6:$E$90))*(1-_xlfn.XLOOKUP(_xlfn.XLOOKUP($F1576,Clientes!$B$4:$B$39,Clientes!$C$4:$C$39),Cadastros!$L$6:$L$12,Cadastros!$N$6:$N$12)))</f>
        <v/>
      </c>
      <c r="U1576" s="168" t="str">
        <f t="shared" si="315"/>
        <v/>
      </c>
      <c r="V1576" s="168" t="str">
        <f>IFERROR(U1576/_xlfn.XLOOKUP(_xlfn.XLOOKUP($F1576,Clientes!$B$4:$B$39,Clientes!$C$4:$C$39),Cadastros!$L$6:$L$12,Cadastros!$M$6:$M$12)," ")</f>
        <v xml:space="preserve"> </v>
      </c>
      <c r="W1576" s="28"/>
      <c r="X1576" s="28"/>
      <c r="Y1576" s="255" t="str">
        <f>IF(W1576="","",(_xlfn.XLOOKUP(W1576,Cadastros!$D$6:$D$90,Cadastros!$E$6:$E$90))*(1-_xlfn.XLOOKUP(_xlfn.XLOOKUP($F1576,Clientes!$B$4:$B$39,Clientes!$C$4:$C$39),Cadastros!$L$6:$L$12,Cadastros!$N$6:$N$12)))</f>
        <v/>
      </c>
      <c r="Z1576" s="168" t="str">
        <f t="shared" si="316"/>
        <v/>
      </c>
      <c r="AA1576" s="168" t="str">
        <f>IFERROR(Z1576/_xlfn.XLOOKUP(_xlfn.XLOOKUP($F1576,Clientes!$B$4:$B$39,Clientes!$C$4:$C$39),Cadastros!$L$6:$L$12,Cadastros!$M$6:$M$12)," ")</f>
        <v xml:space="preserve"> </v>
      </c>
      <c r="AB1576" s="28"/>
      <c r="AC1576" s="28"/>
      <c r="AD1576" s="20" t="str">
        <f>IF(AB1576="","",IF($F1576="Bernardino Furlan",_xlfn.XLOOKUP(AB1576,Cadastros!$G$6:$G$90,Cadastros!$H$6:$H$90)*(1-0.18),IF($F1576="Mauro José Salanti",_xlfn.XLOOKUP(AB1576,Cadastros!$G$6:$G$90,Cadastros!$H$6:$H$90)*(1-0.18),_xlfn.XLOOKUP(AB1576,Cadastros!$G$6:$G$90,Cadastros!$H$6:$H$90))))</f>
        <v/>
      </c>
      <c r="AE1576" s="168" t="str">
        <f t="shared" si="317"/>
        <v/>
      </c>
      <c r="AF1576" s="168" t="str">
        <f t="shared" si="318"/>
        <v/>
      </c>
      <c r="AG1576" s="28"/>
      <c r="AH1576" s="28"/>
      <c r="AI1576" s="20" t="str">
        <f>IF(AG1576="","",IF($F1576="Bernardino Furlan",_xlfn.XLOOKUP(AG1576,Cadastros!$G$6:$G$90,Cadastros!$H$6:$H$90)*(1-0.18),IF($F1576="Mauro José Salanti",_xlfn.XLOOKUP(AG1576,Cadastros!$G$6:$G$90,Cadastros!$H$6:$H$90)*(1-0.18),_xlfn.XLOOKUP(AG1576,Cadastros!$G$6:$G$90,Cadastros!$H$6:$H$90))))</f>
        <v/>
      </c>
      <c r="AJ1576" s="168" t="str">
        <f t="shared" si="319"/>
        <v/>
      </c>
      <c r="AK1576" s="168" t="str">
        <f t="shared" si="320"/>
        <v/>
      </c>
      <c r="AL1576" s="28"/>
      <c r="AM1576" s="28"/>
      <c r="AN1576" s="20" t="str">
        <f>IF(AL1576="","",IF($F1576="Bernardino Furlan",_xlfn.XLOOKUP(AL1576,Cadastros!$G$6:$G$90,Cadastros!$H$6:$H$90)*(1-0.18),IF($F1576="Mauro José Salanti",_xlfn.XLOOKUP(AL1576,Cadastros!$G$6:$G$90,Cadastros!$H$6:$H$90)*(1-0.18),_xlfn.XLOOKUP(AL1576,Cadastros!$G$6:$G$90,Cadastros!$H$6:$H$90))))</f>
        <v/>
      </c>
      <c r="AO1576" s="168" t="str">
        <f t="shared" si="321"/>
        <v/>
      </c>
      <c r="AP1576" s="168" t="str">
        <f t="shared" si="322"/>
        <v/>
      </c>
      <c r="AQ1576" s="28"/>
      <c r="AR1576" s="28"/>
      <c r="AS1576" s="20" t="str">
        <f>IF(AQ1576="","",IF($F1576="Bernardino Furlan",_xlfn.XLOOKUP(AQ1576,Cadastros!$G$6:$G$90,Cadastros!$H$6:$H$90)*(1-0.18),IF($F1576="Mauro José Salanti",_xlfn.XLOOKUP(AQ1576,Cadastros!$G$6:$G$90,Cadastros!$H$6:$H$90)*(1-0.18),_xlfn.XLOOKUP(AQ1576,Cadastros!$G$6:$G$90,Cadastros!$H$6:$H$90))))</f>
        <v/>
      </c>
      <c r="AT1576" s="168" t="str">
        <f t="shared" si="323"/>
        <v/>
      </c>
      <c r="AU1576" s="168" t="str">
        <f t="shared" si="324"/>
        <v/>
      </c>
      <c r="AV1576" s="227"/>
      <c r="AW1576" s="30"/>
      <c r="AX1576" s="267"/>
      <c r="AY1576" s="267"/>
      <c r="AZ1576" s="29"/>
      <c r="BA1576" s="30"/>
      <c r="BB1576" s="23" t="str" cm="1">
        <f t="array" ref="BB1576">_xlfn.IFS(AW1576="SIM",SUM(K1576,P1576,U1576,Z1576,AE1576,AJ1576,AO1576,AT1576,AX1576,AY1576),F1576&lt;&gt;"",SUM(K1576,P1576,U1576,Z1576,AE1576,AJ1576,,AO1576,AT1576),F1576="","")</f>
        <v/>
      </c>
      <c r="BC1576" s="211" t="str" cm="1">
        <f t="array" ref="BC1576">_xlfn.IFS(E1576="","",G1576&lt;=E1576,BB1576*(1-0.03),G1576&lt;(E1576+8),BB1576,AZ1576="Boleto",BB1576*(1+0.001)^DATEDIF(E1576,G1576,"D"),AZ1576="Cheque",BB1576,AZ1576="Dinheiro","Alterar forma pgto")</f>
        <v/>
      </c>
      <c r="BD1576" s="276" t="str" cm="1">
        <f t="array" ref="BD1576">IF(F1576=0," ",IF(BC1576&lt;BB1576,(_xlfn.IFS(AW1576="SIM",SUM(L1576,Q1576,V1576,AA1576,AF1576,AK1576,AP1576,AU1576)+AX1576/_xlfn.XLOOKUP(_xlfn.XLOOKUP($F1576,Clientes!$B$4:$B$39,Clientes!$C$4:$C$39),Cadastros!$L$6:$L$12,Cadastros!$M$6:$M$12)+IF($F1576="Bernardino Furlan",AY1576/2751.92,IF($F1576="Mauro José Salanti",AY1576/2751.92,AY1576/3356)),F1576&lt;&gt;0,SUM(L1576,Q1576,V1576,AA1576,AF1576,AK1576,AP1576,AU1576)))*(1-0.03),_xlfn.IFS(AW1576="SIM",SUM(L1576,Q1576,V1576,AA1576,AF1576,AK1576,AP1576,AU1576)+AX1576/_xlfn.XLOOKUP(_xlfn.XLOOKUP($F1576,Clientes!$B$4:$B$39,Clientes!$C$4:$C$39),Cadastros!$L$6:$L$12,Cadastros!$M$6:$M$12)+IF($F1576="Bernardino Furlan",AY1576/2751.92,IF($F1576="Mauro José Salanti",AY1576/2751.92,AY1576/3356)),F1576&lt;&gt;0,SUM(L1576,Q1576,V1576,AA1576,AF1576,AK1576,AP1576,AU1576))))</f>
        <v xml:space="preserve"> </v>
      </c>
      <c r="BE1576" s="120"/>
      <c r="BF1576" s="120"/>
      <c r="BG1576" s="120"/>
    </row>
    <row r="1577" spans="1:59" s="3" customFormat="1" x14ac:dyDescent="0.3">
      <c r="A1577" s="15" t="str">
        <f t="shared" si="312"/>
        <v/>
      </c>
      <c r="B1577" s="25"/>
      <c r="C1577" s="26"/>
      <c r="D1577" s="279"/>
      <c r="E1577" s="27"/>
      <c r="F1577" s="28"/>
      <c r="G1577" s="27"/>
      <c r="H1577" s="28"/>
      <c r="I1577" s="28"/>
      <c r="J1577" s="255" t="str">
        <f>IF(H1577="","",(_xlfn.XLOOKUP(H1577,Cadastros!$D$6:$D$90,Cadastros!$E$6:$E$90))*(1-_xlfn.XLOOKUP(_xlfn.XLOOKUP($F1577,Clientes!$B$4:$B$39,Clientes!$C$4:$C$39),Cadastros!$L$6:$L$12,Cadastros!$N$6:$N$12)))</f>
        <v/>
      </c>
      <c r="K1577" s="168" t="str">
        <f t="shared" si="313"/>
        <v/>
      </c>
      <c r="L1577" s="168" t="str">
        <f>IFERROR(K1577/_xlfn.XLOOKUP(_xlfn.XLOOKUP($F1577,Clientes!$B$4:$B$39,Clientes!$C$4:$C$39),Cadastros!$L$6:$L$12,Cadastros!$M$6:$M$12)," ")</f>
        <v xml:space="preserve"> </v>
      </c>
      <c r="M1577" s="28"/>
      <c r="N1577" s="28"/>
      <c r="O1577" s="255" t="str">
        <f>IF(M1577="","",(_xlfn.XLOOKUP(M1577,Cadastros!$D$6:$D$90,Cadastros!$E$6:$E$90))*(1-_xlfn.XLOOKUP(_xlfn.XLOOKUP($F1577,Clientes!$B$4:$B$39,Clientes!$C$4:$C$39),Cadastros!$L$6:$L$12,Cadastros!$N$6:$N$12)))</f>
        <v/>
      </c>
      <c r="P1577" s="168" t="str">
        <f t="shared" si="314"/>
        <v/>
      </c>
      <c r="Q1577" s="168" t="str">
        <f>IFERROR(P1577/_xlfn.XLOOKUP(_xlfn.XLOOKUP($F1577,Clientes!$B$4:$B$39,Clientes!$C$4:$C$39),Cadastros!$L$6:$L$12,Cadastros!$M$6:$M$12)," ")</f>
        <v xml:space="preserve"> </v>
      </c>
      <c r="R1577" s="28"/>
      <c r="S1577" s="28"/>
      <c r="T1577" s="255" t="str">
        <f>IF(R1577="","",(_xlfn.XLOOKUP(R1577,Cadastros!$D$6:$D$90,Cadastros!$E$6:$E$90))*(1-_xlfn.XLOOKUP(_xlfn.XLOOKUP($F1577,Clientes!$B$4:$B$39,Clientes!$C$4:$C$39),Cadastros!$L$6:$L$12,Cadastros!$N$6:$N$12)))</f>
        <v/>
      </c>
      <c r="U1577" s="168" t="str">
        <f t="shared" si="315"/>
        <v/>
      </c>
      <c r="V1577" s="168" t="str">
        <f>IFERROR(U1577/_xlfn.XLOOKUP(_xlfn.XLOOKUP($F1577,Clientes!$B$4:$B$39,Clientes!$C$4:$C$39),Cadastros!$L$6:$L$12,Cadastros!$M$6:$M$12)," ")</f>
        <v xml:space="preserve"> </v>
      </c>
      <c r="W1577" s="28"/>
      <c r="X1577" s="28"/>
      <c r="Y1577" s="255" t="str">
        <f>IF(W1577="","",(_xlfn.XLOOKUP(W1577,Cadastros!$D$6:$D$90,Cadastros!$E$6:$E$90))*(1-_xlfn.XLOOKUP(_xlfn.XLOOKUP($F1577,Clientes!$B$4:$B$39,Clientes!$C$4:$C$39),Cadastros!$L$6:$L$12,Cadastros!$N$6:$N$12)))</f>
        <v/>
      </c>
      <c r="Z1577" s="168" t="str">
        <f t="shared" si="316"/>
        <v/>
      </c>
      <c r="AA1577" s="168" t="str">
        <f>IFERROR(Z1577/_xlfn.XLOOKUP(_xlfn.XLOOKUP($F1577,Clientes!$B$4:$B$39,Clientes!$C$4:$C$39),Cadastros!$L$6:$L$12,Cadastros!$M$6:$M$12)," ")</f>
        <v xml:space="preserve"> </v>
      </c>
      <c r="AB1577" s="28"/>
      <c r="AC1577" s="28"/>
      <c r="AD1577" s="20" t="str">
        <f>IF(AB1577="","",IF($F1577="Bernardino Furlan",_xlfn.XLOOKUP(AB1577,Cadastros!$G$6:$G$90,Cadastros!$H$6:$H$90)*(1-0.18),IF($F1577="Mauro José Salanti",_xlfn.XLOOKUP(AB1577,Cadastros!$G$6:$G$90,Cadastros!$H$6:$H$90)*(1-0.18),_xlfn.XLOOKUP(AB1577,Cadastros!$G$6:$G$90,Cadastros!$H$6:$H$90))))</f>
        <v/>
      </c>
      <c r="AE1577" s="168" t="str">
        <f t="shared" si="317"/>
        <v/>
      </c>
      <c r="AF1577" s="168" t="str">
        <f t="shared" si="318"/>
        <v/>
      </c>
      <c r="AG1577" s="28"/>
      <c r="AH1577" s="28"/>
      <c r="AI1577" s="20" t="str">
        <f>IF(AG1577="","",IF($F1577="Bernardino Furlan",_xlfn.XLOOKUP(AG1577,Cadastros!$G$6:$G$90,Cadastros!$H$6:$H$90)*(1-0.18),IF($F1577="Mauro José Salanti",_xlfn.XLOOKUP(AG1577,Cadastros!$G$6:$G$90,Cadastros!$H$6:$H$90)*(1-0.18),_xlfn.XLOOKUP(AG1577,Cadastros!$G$6:$G$90,Cadastros!$H$6:$H$90))))</f>
        <v/>
      </c>
      <c r="AJ1577" s="168" t="str">
        <f t="shared" si="319"/>
        <v/>
      </c>
      <c r="AK1577" s="168" t="str">
        <f t="shared" si="320"/>
        <v/>
      </c>
      <c r="AL1577" s="28"/>
      <c r="AM1577" s="28"/>
      <c r="AN1577" s="20" t="str">
        <f>IF(AL1577="","",IF($F1577="Bernardino Furlan",_xlfn.XLOOKUP(AL1577,Cadastros!$G$6:$G$90,Cadastros!$H$6:$H$90)*(1-0.18),IF($F1577="Mauro José Salanti",_xlfn.XLOOKUP(AL1577,Cadastros!$G$6:$G$90,Cadastros!$H$6:$H$90)*(1-0.18),_xlfn.XLOOKUP(AL1577,Cadastros!$G$6:$G$90,Cadastros!$H$6:$H$90))))</f>
        <v/>
      </c>
      <c r="AO1577" s="168" t="str">
        <f t="shared" si="321"/>
        <v/>
      </c>
      <c r="AP1577" s="168" t="str">
        <f t="shared" si="322"/>
        <v/>
      </c>
      <c r="AQ1577" s="28"/>
      <c r="AR1577" s="28"/>
      <c r="AS1577" s="20" t="str">
        <f>IF(AQ1577="","",IF($F1577="Bernardino Furlan",_xlfn.XLOOKUP(AQ1577,Cadastros!$G$6:$G$90,Cadastros!$H$6:$H$90)*(1-0.18),IF($F1577="Mauro José Salanti",_xlfn.XLOOKUP(AQ1577,Cadastros!$G$6:$G$90,Cadastros!$H$6:$H$90)*(1-0.18),_xlfn.XLOOKUP(AQ1577,Cadastros!$G$6:$G$90,Cadastros!$H$6:$H$90))))</f>
        <v/>
      </c>
      <c r="AT1577" s="168" t="str">
        <f t="shared" si="323"/>
        <v/>
      </c>
      <c r="AU1577" s="168" t="str">
        <f t="shared" si="324"/>
        <v/>
      </c>
      <c r="AV1577" s="227"/>
      <c r="AW1577" s="30"/>
      <c r="AX1577" s="267"/>
      <c r="AY1577" s="267"/>
      <c r="AZ1577" s="29"/>
      <c r="BA1577" s="30"/>
      <c r="BB1577" s="23" t="str" cm="1">
        <f t="array" ref="BB1577">_xlfn.IFS(AW1577="SIM",SUM(K1577,P1577,U1577,Z1577,AE1577,AJ1577,AO1577,AT1577,AX1577,AY1577),F1577&lt;&gt;"",SUM(K1577,P1577,U1577,Z1577,AE1577,AJ1577,,AO1577,AT1577),F1577="","")</f>
        <v/>
      </c>
      <c r="BC1577" s="211" t="str" cm="1">
        <f t="array" ref="BC1577">_xlfn.IFS(E1577="","",G1577&lt;=E1577,BB1577*(1-0.03),G1577&lt;(E1577+8),BB1577,AZ1577="Boleto",BB1577*(1+0.001)^DATEDIF(E1577,G1577,"D"),AZ1577="Cheque",BB1577,AZ1577="Dinheiro","Alterar forma pgto")</f>
        <v/>
      </c>
      <c r="BD1577" s="276" t="str" cm="1">
        <f t="array" ref="BD1577">IF(F1577=0," ",IF(BC1577&lt;BB1577,(_xlfn.IFS(AW1577="SIM",SUM(L1577,Q1577,V1577,AA1577,AF1577,AK1577,AP1577,AU1577)+AX1577/_xlfn.XLOOKUP(_xlfn.XLOOKUP($F1577,Clientes!$B$4:$B$39,Clientes!$C$4:$C$39),Cadastros!$L$6:$L$12,Cadastros!$M$6:$M$12)+IF($F1577="Bernardino Furlan",AY1577/2751.92,IF($F1577="Mauro José Salanti",AY1577/2751.92,AY1577/3356)),F1577&lt;&gt;0,SUM(L1577,Q1577,V1577,AA1577,AF1577,AK1577,AP1577,AU1577)))*(1-0.03),_xlfn.IFS(AW1577="SIM",SUM(L1577,Q1577,V1577,AA1577,AF1577,AK1577,AP1577,AU1577)+AX1577/_xlfn.XLOOKUP(_xlfn.XLOOKUP($F1577,Clientes!$B$4:$B$39,Clientes!$C$4:$C$39),Cadastros!$L$6:$L$12,Cadastros!$M$6:$M$12)+IF($F1577="Bernardino Furlan",AY1577/2751.92,IF($F1577="Mauro José Salanti",AY1577/2751.92,AY1577/3356)),F1577&lt;&gt;0,SUM(L1577,Q1577,V1577,AA1577,AF1577,AK1577,AP1577,AU1577))))</f>
        <v xml:space="preserve"> </v>
      </c>
      <c r="BE1577" s="120"/>
      <c r="BF1577" s="120"/>
      <c r="BG1577" s="120"/>
    </row>
    <row r="1578" spans="1:59" s="3" customFormat="1" x14ac:dyDescent="0.3">
      <c r="A1578" s="15" t="str">
        <f t="shared" si="312"/>
        <v/>
      </c>
      <c r="B1578" s="25"/>
      <c r="C1578" s="26"/>
      <c r="D1578" s="279"/>
      <c r="E1578" s="27"/>
      <c r="F1578" s="28"/>
      <c r="G1578" s="27"/>
      <c r="H1578" s="28"/>
      <c r="I1578" s="28"/>
      <c r="J1578" s="255" t="str">
        <f>IF(H1578="","",(_xlfn.XLOOKUP(H1578,Cadastros!$D$6:$D$90,Cadastros!$E$6:$E$90))*(1-_xlfn.XLOOKUP(_xlfn.XLOOKUP($F1578,Clientes!$B$4:$B$39,Clientes!$C$4:$C$39),Cadastros!$L$6:$L$12,Cadastros!$N$6:$N$12)))</f>
        <v/>
      </c>
      <c r="K1578" s="168" t="str">
        <f t="shared" si="313"/>
        <v/>
      </c>
      <c r="L1578" s="168" t="str">
        <f>IFERROR(K1578/_xlfn.XLOOKUP(_xlfn.XLOOKUP($F1578,Clientes!$B$4:$B$39,Clientes!$C$4:$C$39),Cadastros!$L$6:$L$12,Cadastros!$M$6:$M$12)," ")</f>
        <v xml:space="preserve"> </v>
      </c>
      <c r="M1578" s="28"/>
      <c r="N1578" s="28"/>
      <c r="O1578" s="255" t="str">
        <f>IF(M1578="","",(_xlfn.XLOOKUP(M1578,Cadastros!$D$6:$D$90,Cadastros!$E$6:$E$90))*(1-_xlfn.XLOOKUP(_xlfn.XLOOKUP($F1578,Clientes!$B$4:$B$39,Clientes!$C$4:$C$39),Cadastros!$L$6:$L$12,Cadastros!$N$6:$N$12)))</f>
        <v/>
      </c>
      <c r="P1578" s="168" t="str">
        <f t="shared" si="314"/>
        <v/>
      </c>
      <c r="Q1578" s="168" t="str">
        <f>IFERROR(P1578/_xlfn.XLOOKUP(_xlfn.XLOOKUP($F1578,Clientes!$B$4:$B$39,Clientes!$C$4:$C$39),Cadastros!$L$6:$L$12,Cadastros!$M$6:$M$12)," ")</f>
        <v xml:space="preserve"> </v>
      </c>
      <c r="R1578" s="28"/>
      <c r="S1578" s="28"/>
      <c r="T1578" s="255" t="str">
        <f>IF(R1578="","",(_xlfn.XLOOKUP(R1578,Cadastros!$D$6:$D$90,Cadastros!$E$6:$E$90))*(1-_xlfn.XLOOKUP(_xlfn.XLOOKUP($F1578,Clientes!$B$4:$B$39,Clientes!$C$4:$C$39),Cadastros!$L$6:$L$12,Cadastros!$N$6:$N$12)))</f>
        <v/>
      </c>
      <c r="U1578" s="168" t="str">
        <f t="shared" si="315"/>
        <v/>
      </c>
      <c r="V1578" s="168" t="str">
        <f>IFERROR(U1578/_xlfn.XLOOKUP(_xlfn.XLOOKUP($F1578,Clientes!$B$4:$B$39,Clientes!$C$4:$C$39),Cadastros!$L$6:$L$12,Cadastros!$M$6:$M$12)," ")</f>
        <v xml:space="preserve"> </v>
      </c>
      <c r="W1578" s="28"/>
      <c r="X1578" s="28"/>
      <c r="Y1578" s="255" t="str">
        <f>IF(W1578="","",(_xlfn.XLOOKUP(W1578,Cadastros!$D$6:$D$90,Cadastros!$E$6:$E$90))*(1-_xlfn.XLOOKUP(_xlfn.XLOOKUP($F1578,Clientes!$B$4:$B$39,Clientes!$C$4:$C$39),Cadastros!$L$6:$L$12,Cadastros!$N$6:$N$12)))</f>
        <v/>
      </c>
      <c r="Z1578" s="168" t="str">
        <f t="shared" si="316"/>
        <v/>
      </c>
      <c r="AA1578" s="168" t="str">
        <f>IFERROR(Z1578/_xlfn.XLOOKUP(_xlfn.XLOOKUP($F1578,Clientes!$B$4:$B$39,Clientes!$C$4:$C$39),Cadastros!$L$6:$L$12,Cadastros!$M$6:$M$12)," ")</f>
        <v xml:space="preserve"> </v>
      </c>
      <c r="AB1578" s="28"/>
      <c r="AC1578" s="28"/>
      <c r="AD1578" s="20" t="str">
        <f>IF(AB1578="","",IF($F1578="Bernardino Furlan",_xlfn.XLOOKUP(AB1578,Cadastros!$G$6:$G$90,Cadastros!$H$6:$H$90)*(1-0.18),IF($F1578="Mauro José Salanti",_xlfn.XLOOKUP(AB1578,Cadastros!$G$6:$G$90,Cadastros!$H$6:$H$90)*(1-0.18),_xlfn.XLOOKUP(AB1578,Cadastros!$G$6:$G$90,Cadastros!$H$6:$H$90))))</f>
        <v/>
      </c>
      <c r="AE1578" s="168" t="str">
        <f t="shared" si="317"/>
        <v/>
      </c>
      <c r="AF1578" s="168" t="str">
        <f t="shared" si="318"/>
        <v/>
      </c>
      <c r="AG1578" s="28"/>
      <c r="AH1578" s="28"/>
      <c r="AI1578" s="20" t="str">
        <f>IF(AG1578="","",IF($F1578="Bernardino Furlan",_xlfn.XLOOKUP(AG1578,Cadastros!$G$6:$G$90,Cadastros!$H$6:$H$90)*(1-0.18),IF($F1578="Mauro José Salanti",_xlfn.XLOOKUP(AG1578,Cadastros!$G$6:$G$90,Cadastros!$H$6:$H$90)*(1-0.18),_xlfn.XLOOKUP(AG1578,Cadastros!$G$6:$G$90,Cadastros!$H$6:$H$90))))</f>
        <v/>
      </c>
      <c r="AJ1578" s="168" t="str">
        <f t="shared" si="319"/>
        <v/>
      </c>
      <c r="AK1578" s="168" t="str">
        <f t="shared" si="320"/>
        <v/>
      </c>
      <c r="AL1578" s="28"/>
      <c r="AM1578" s="28"/>
      <c r="AN1578" s="20" t="str">
        <f>IF(AL1578="","",IF($F1578="Bernardino Furlan",_xlfn.XLOOKUP(AL1578,Cadastros!$G$6:$G$90,Cadastros!$H$6:$H$90)*(1-0.18),IF($F1578="Mauro José Salanti",_xlfn.XLOOKUP(AL1578,Cadastros!$G$6:$G$90,Cadastros!$H$6:$H$90)*(1-0.18),_xlfn.XLOOKUP(AL1578,Cadastros!$G$6:$G$90,Cadastros!$H$6:$H$90))))</f>
        <v/>
      </c>
      <c r="AO1578" s="168" t="str">
        <f t="shared" si="321"/>
        <v/>
      </c>
      <c r="AP1578" s="168" t="str">
        <f t="shared" si="322"/>
        <v/>
      </c>
      <c r="AQ1578" s="28"/>
      <c r="AR1578" s="28"/>
      <c r="AS1578" s="20" t="str">
        <f>IF(AQ1578="","",IF($F1578="Bernardino Furlan",_xlfn.XLOOKUP(AQ1578,Cadastros!$G$6:$G$90,Cadastros!$H$6:$H$90)*(1-0.18),IF($F1578="Mauro José Salanti",_xlfn.XLOOKUP(AQ1578,Cadastros!$G$6:$G$90,Cadastros!$H$6:$H$90)*(1-0.18),_xlfn.XLOOKUP(AQ1578,Cadastros!$G$6:$G$90,Cadastros!$H$6:$H$90))))</f>
        <v/>
      </c>
      <c r="AT1578" s="168" t="str">
        <f t="shared" si="323"/>
        <v/>
      </c>
      <c r="AU1578" s="168" t="str">
        <f t="shared" si="324"/>
        <v/>
      </c>
      <c r="AV1578" s="227"/>
      <c r="AW1578" s="30"/>
      <c r="AX1578" s="267"/>
      <c r="AY1578" s="267"/>
      <c r="AZ1578" s="29"/>
      <c r="BA1578" s="30"/>
      <c r="BB1578" s="23" t="str" cm="1">
        <f t="array" ref="BB1578">_xlfn.IFS(AW1578="SIM",SUM(K1578,P1578,U1578,Z1578,AE1578,AJ1578,AO1578,AT1578,AX1578,AY1578),F1578&lt;&gt;"",SUM(K1578,P1578,U1578,Z1578,AE1578,AJ1578,,AO1578,AT1578),F1578="","")</f>
        <v/>
      </c>
      <c r="BC1578" s="211" t="str" cm="1">
        <f t="array" ref="BC1578">_xlfn.IFS(E1578="","",G1578&lt;=E1578,BB1578*(1-0.03),G1578&lt;(E1578+8),BB1578,AZ1578="Boleto",BB1578*(1+0.001)^DATEDIF(E1578,G1578,"D"),AZ1578="Cheque",BB1578,AZ1578="Dinheiro","Alterar forma pgto")</f>
        <v/>
      </c>
      <c r="BD1578" s="276" t="str" cm="1">
        <f t="array" ref="BD1578">IF(F1578=0," ",IF(BC1578&lt;BB1578,(_xlfn.IFS(AW1578="SIM",SUM(L1578,Q1578,V1578,AA1578,AF1578,AK1578,AP1578,AU1578)+AX1578/_xlfn.XLOOKUP(_xlfn.XLOOKUP($F1578,Clientes!$B$4:$B$39,Clientes!$C$4:$C$39),Cadastros!$L$6:$L$12,Cadastros!$M$6:$M$12)+IF($F1578="Bernardino Furlan",AY1578/2751.92,IF($F1578="Mauro José Salanti",AY1578/2751.92,AY1578/3356)),F1578&lt;&gt;0,SUM(L1578,Q1578,V1578,AA1578,AF1578,AK1578,AP1578,AU1578)))*(1-0.03),_xlfn.IFS(AW1578="SIM",SUM(L1578,Q1578,V1578,AA1578,AF1578,AK1578,AP1578,AU1578)+AX1578/_xlfn.XLOOKUP(_xlfn.XLOOKUP($F1578,Clientes!$B$4:$B$39,Clientes!$C$4:$C$39),Cadastros!$L$6:$L$12,Cadastros!$M$6:$M$12)+IF($F1578="Bernardino Furlan",AY1578/2751.92,IF($F1578="Mauro José Salanti",AY1578/2751.92,AY1578/3356)),F1578&lt;&gt;0,SUM(L1578,Q1578,V1578,AA1578,AF1578,AK1578,AP1578,AU1578))))</f>
        <v xml:space="preserve"> </v>
      </c>
      <c r="BE1578" s="120"/>
      <c r="BF1578" s="120"/>
      <c r="BG1578" s="120"/>
    </row>
    <row r="1579" spans="1:59" s="3" customFormat="1" x14ac:dyDescent="0.3">
      <c r="A1579" s="15" t="str">
        <f t="shared" si="312"/>
        <v/>
      </c>
      <c r="B1579" s="25"/>
      <c r="C1579" s="26"/>
      <c r="D1579" s="279"/>
      <c r="E1579" s="27"/>
      <c r="F1579" s="28"/>
      <c r="G1579" s="27"/>
      <c r="H1579" s="28"/>
      <c r="I1579" s="28"/>
      <c r="J1579" s="255" t="str">
        <f>IF(H1579="","",(_xlfn.XLOOKUP(H1579,Cadastros!$D$6:$D$90,Cadastros!$E$6:$E$90))*(1-_xlfn.XLOOKUP(_xlfn.XLOOKUP($F1579,Clientes!$B$4:$B$39,Clientes!$C$4:$C$39),Cadastros!$L$6:$L$12,Cadastros!$N$6:$N$12)))</f>
        <v/>
      </c>
      <c r="K1579" s="168" t="str">
        <f t="shared" si="313"/>
        <v/>
      </c>
      <c r="L1579" s="168" t="str">
        <f>IFERROR(K1579/_xlfn.XLOOKUP(_xlfn.XLOOKUP($F1579,Clientes!$B$4:$B$39,Clientes!$C$4:$C$39),Cadastros!$L$6:$L$12,Cadastros!$M$6:$M$12)," ")</f>
        <v xml:space="preserve"> </v>
      </c>
      <c r="M1579" s="28"/>
      <c r="N1579" s="28"/>
      <c r="O1579" s="255" t="str">
        <f>IF(M1579="","",(_xlfn.XLOOKUP(M1579,Cadastros!$D$6:$D$90,Cadastros!$E$6:$E$90))*(1-_xlfn.XLOOKUP(_xlfn.XLOOKUP($F1579,Clientes!$B$4:$B$39,Clientes!$C$4:$C$39),Cadastros!$L$6:$L$12,Cadastros!$N$6:$N$12)))</f>
        <v/>
      </c>
      <c r="P1579" s="168" t="str">
        <f t="shared" si="314"/>
        <v/>
      </c>
      <c r="Q1579" s="168" t="str">
        <f>IFERROR(P1579/_xlfn.XLOOKUP(_xlfn.XLOOKUP($F1579,Clientes!$B$4:$B$39,Clientes!$C$4:$C$39),Cadastros!$L$6:$L$12,Cadastros!$M$6:$M$12)," ")</f>
        <v xml:space="preserve"> </v>
      </c>
      <c r="R1579" s="28"/>
      <c r="S1579" s="28"/>
      <c r="T1579" s="255" t="str">
        <f>IF(R1579="","",(_xlfn.XLOOKUP(R1579,Cadastros!$D$6:$D$90,Cadastros!$E$6:$E$90))*(1-_xlfn.XLOOKUP(_xlfn.XLOOKUP($F1579,Clientes!$B$4:$B$39,Clientes!$C$4:$C$39),Cadastros!$L$6:$L$12,Cadastros!$N$6:$N$12)))</f>
        <v/>
      </c>
      <c r="U1579" s="168" t="str">
        <f t="shared" si="315"/>
        <v/>
      </c>
      <c r="V1579" s="168" t="str">
        <f>IFERROR(U1579/_xlfn.XLOOKUP(_xlfn.XLOOKUP($F1579,Clientes!$B$4:$B$39,Clientes!$C$4:$C$39),Cadastros!$L$6:$L$12,Cadastros!$M$6:$M$12)," ")</f>
        <v xml:space="preserve"> </v>
      </c>
      <c r="W1579" s="28"/>
      <c r="X1579" s="28"/>
      <c r="Y1579" s="255" t="str">
        <f>IF(W1579="","",(_xlfn.XLOOKUP(W1579,Cadastros!$D$6:$D$90,Cadastros!$E$6:$E$90))*(1-_xlfn.XLOOKUP(_xlfn.XLOOKUP($F1579,Clientes!$B$4:$B$39,Clientes!$C$4:$C$39),Cadastros!$L$6:$L$12,Cadastros!$N$6:$N$12)))</f>
        <v/>
      </c>
      <c r="Z1579" s="168" t="str">
        <f t="shared" si="316"/>
        <v/>
      </c>
      <c r="AA1579" s="168" t="str">
        <f>IFERROR(Z1579/_xlfn.XLOOKUP(_xlfn.XLOOKUP($F1579,Clientes!$B$4:$B$39,Clientes!$C$4:$C$39),Cadastros!$L$6:$L$12,Cadastros!$M$6:$M$12)," ")</f>
        <v xml:space="preserve"> </v>
      </c>
      <c r="AB1579" s="28"/>
      <c r="AC1579" s="28"/>
      <c r="AD1579" s="20" t="str">
        <f>IF(AB1579="","",IF($F1579="Bernardino Furlan",_xlfn.XLOOKUP(AB1579,Cadastros!$G$6:$G$90,Cadastros!$H$6:$H$90)*(1-0.18),IF($F1579="Mauro José Salanti",_xlfn.XLOOKUP(AB1579,Cadastros!$G$6:$G$90,Cadastros!$H$6:$H$90)*(1-0.18),_xlfn.XLOOKUP(AB1579,Cadastros!$G$6:$G$90,Cadastros!$H$6:$H$90))))</f>
        <v/>
      </c>
      <c r="AE1579" s="168" t="str">
        <f t="shared" si="317"/>
        <v/>
      </c>
      <c r="AF1579" s="168" t="str">
        <f t="shared" si="318"/>
        <v/>
      </c>
      <c r="AG1579" s="28"/>
      <c r="AH1579" s="28"/>
      <c r="AI1579" s="20" t="str">
        <f>IF(AG1579="","",IF($F1579="Bernardino Furlan",_xlfn.XLOOKUP(AG1579,Cadastros!$G$6:$G$90,Cadastros!$H$6:$H$90)*(1-0.18),IF($F1579="Mauro José Salanti",_xlfn.XLOOKUP(AG1579,Cadastros!$G$6:$G$90,Cadastros!$H$6:$H$90)*(1-0.18),_xlfn.XLOOKUP(AG1579,Cadastros!$G$6:$G$90,Cadastros!$H$6:$H$90))))</f>
        <v/>
      </c>
      <c r="AJ1579" s="168" t="str">
        <f t="shared" si="319"/>
        <v/>
      </c>
      <c r="AK1579" s="168" t="str">
        <f t="shared" si="320"/>
        <v/>
      </c>
      <c r="AL1579" s="28"/>
      <c r="AM1579" s="28"/>
      <c r="AN1579" s="20" t="str">
        <f>IF(AL1579="","",IF($F1579="Bernardino Furlan",_xlfn.XLOOKUP(AL1579,Cadastros!$G$6:$G$90,Cadastros!$H$6:$H$90)*(1-0.18),IF($F1579="Mauro José Salanti",_xlfn.XLOOKUP(AL1579,Cadastros!$G$6:$G$90,Cadastros!$H$6:$H$90)*(1-0.18),_xlfn.XLOOKUP(AL1579,Cadastros!$G$6:$G$90,Cadastros!$H$6:$H$90))))</f>
        <v/>
      </c>
      <c r="AO1579" s="168" t="str">
        <f t="shared" si="321"/>
        <v/>
      </c>
      <c r="AP1579" s="168" t="str">
        <f t="shared" si="322"/>
        <v/>
      </c>
      <c r="AQ1579" s="28"/>
      <c r="AR1579" s="28"/>
      <c r="AS1579" s="20" t="str">
        <f>IF(AQ1579="","",IF($F1579="Bernardino Furlan",_xlfn.XLOOKUP(AQ1579,Cadastros!$G$6:$G$90,Cadastros!$H$6:$H$90)*(1-0.18),IF($F1579="Mauro José Salanti",_xlfn.XLOOKUP(AQ1579,Cadastros!$G$6:$G$90,Cadastros!$H$6:$H$90)*(1-0.18),_xlfn.XLOOKUP(AQ1579,Cadastros!$G$6:$G$90,Cadastros!$H$6:$H$90))))</f>
        <v/>
      </c>
      <c r="AT1579" s="168" t="str">
        <f t="shared" si="323"/>
        <v/>
      </c>
      <c r="AU1579" s="168" t="str">
        <f t="shared" si="324"/>
        <v/>
      </c>
      <c r="AV1579" s="227"/>
      <c r="AW1579" s="30"/>
      <c r="AX1579" s="267"/>
      <c r="AY1579" s="267"/>
      <c r="AZ1579" s="29"/>
      <c r="BA1579" s="30"/>
      <c r="BB1579" s="23" t="str" cm="1">
        <f t="array" ref="BB1579">_xlfn.IFS(AW1579="SIM",SUM(K1579,P1579,U1579,Z1579,AE1579,AJ1579,AO1579,AT1579,AX1579,AY1579),F1579&lt;&gt;"",SUM(K1579,P1579,U1579,Z1579,AE1579,AJ1579,,AO1579,AT1579),F1579="","")</f>
        <v/>
      </c>
      <c r="BC1579" s="211" t="str" cm="1">
        <f t="array" ref="BC1579">_xlfn.IFS(E1579="","",G1579&lt;=E1579,BB1579*(1-0.03),G1579&lt;(E1579+8),BB1579,AZ1579="Boleto",BB1579*(1+0.001)^DATEDIF(E1579,G1579,"D"),AZ1579="Cheque",BB1579,AZ1579="Dinheiro","Alterar forma pgto")</f>
        <v/>
      </c>
      <c r="BD1579" s="276" t="str" cm="1">
        <f t="array" ref="BD1579">IF(F1579=0," ",IF(BC1579&lt;BB1579,(_xlfn.IFS(AW1579="SIM",SUM(L1579,Q1579,V1579,AA1579,AF1579,AK1579,AP1579,AU1579)+AX1579/_xlfn.XLOOKUP(_xlfn.XLOOKUP($F1579,Clientes!$B$4:$B$39,Clientes!$C$4:$C$39),Cadastros!$L$6:$L$12,Cadastros!$M$6:$M$12)+IF($F1579="Bernardino Furlan",AY1579/2751.92,IF($F1579="Mauro José Salanti",AY1579/2751.92,AY1579/3356)),F1579&lt;&gt;0,SUM(L1579,Q1579,V1579,AA1579,AF1579,AK1579,AP1579,AU1579)))*(1-0.03),_xlfn.IFS(AW1579="SIM",SUM(L1579,Q1579,V1579,AA1579,AF1579,AK1579,AP1579,AU1579)+AX1579/_xlfn.XLOOKUP(_xlfn.XLOOKUP($F1579,Clientes!$B$4:$B$39,Clientes!$C$4:$C$39),Cadastros!$L$6:$L$12,Cadastros!$M$6:$M$12)+IF($F1579="Bernardino Furlan",AY1579/2751.92,IF($F1579="Mauro José Salanti",AY1579/2751.92,AY1579/3356)),F1579&lt;&gt;0,SUM(L1579,Q1579,V1579,AA1579,AF1579,AK1579,AP1579,AU1579))))</f>
        <v xml:space="preserve"> </v>
      </c>
      <c r="BE1579" s="120"/>
      <c r="BF1579" s="120"/>
      <c r="BG1579" s="120"/>
    </row>
    <row r="1580" spans="1:59" s="3" customFormat="1" x14ac:dyDescent="0.3">
      <c r="A1580" s="15" t="str">
        <f t="shared" si="312"/>
        <v/>
      </c>
      <c r="B1580" s="25"/>
      <c r="C1580" s="26"/>
      <c r="D1580" s="279"/>
      <c r="E1580" s="27"/>
      <c r="F1580" s="28"/>
      <c r="G1580" s="27"/>
      <c r="H1580" s="28"/>
      <c r="I1580" s="28"/>
      <c r="J1580" s="255" t="str">
        <f>IF(H1580="","",(_xlfn.XLOOKUP(H1580,Cadastros!$D$6:$D$90,Cadastros!$E$6:$E$90))*(1-_xlfn.XLOOKUP(_xlfn.XLOOKUP($F1580,Clientes!$B$4:$B$39,Clientes!$C$4:$C$39),Cadastros!$L$6:$L$12,Cadastros!$N$6:$N$12)))</f>
        <v/>
      </c>
      <c r="K1580" s="168" t="str">
        <f t="shared" si="313"/>
        <v/>
      </c>
      <c r="L1580" s="168" t="str">
        <f>IFERROR(K1580/_xlfn.XLOOKUP(_xlfn.XLOOKUP($F1580,Clientes!$B$4:$B$39,Clientes!$C$4:$C$39),Cadastros!$L$6:$L$12,Cadastros!$M$6:$M$12)," ")</f>
        <v xml:space="preserve"> </v>
      </c>
      <c r="M1580" s="28"/>
      <c r="N1580" s="28"/>
      <c r="O1580" s="255" t="str">
        <f>IF(M1580="","",(_xlfn.XLOOKUP(M1580,Cadastros!$D$6:$D$90,Cadastros!$E$6:$E$90))*(1-_xlfn.XLOOKUP(_xlfn.XLOOKUP($F1580,Clientes!$B$4:$B$39,Clientes!$C$4:$C$39),Cadastros!$L$6:$L$12,Cadastros!$N$6:$N$12)))</f>
        <v/>
      </c>
      <c r="P1580" s="168" t="str">
        <f t="shared" si="314"/>
        <v/>
      </c>
      <c r="Q1580" s="168" t="str">
        <f>IFERROR(P1580/_xlfn.XLOOKUP(_xlfn.XLOOKUP($F1580,Clientes!$B$4:$B$39,Clientes!$C$4:$C$39),Cadastros!$L$6:$L$12,Cadastros!$M$6:$M$12)," ")</f>
        <v xml:space="preserve"> </v>
      </c>
      <c r="R1580" s="28"/>
      <c r="S1580" s="28"/>
      <c r="T1580" s="255" t="str">
        <f>IF(R1580="","",(_xlfn.XLOOKUP(R1580,Cadastros!$D$6:$D$90,Cadastros!$E$6:$E$90))*(1-_xlfn.XLOOKUP(_xlfn.XLOOKUP($F1580,Clientes!$B$4:$B$39,Clientes!$C$4:$C$39),Cadastros!$L$6:$L$12,Cadastros!$N$6:$N$12)))</f>
        <v/>
      </c>
      <c r="U1580" s="168" t="str">
        <f t="shared" si="315"/>
        <v/>
      </c>
      <c r="V1580" s="168" t="str">
        <f>IFERROR(U1580/_xlfn.XLOOKUP(_xlfn.XLOOKUP($F1580,Clientes!$B$4:$B$39,Clientes!$C$4:$C$39),Cadastros!$L$6:$L$12,Cadastros!$M$6:$M$12)," ")</f>
        <v xml:space="preserve"> </v>
      </c>
      <c r="W1580" s="28"/>
      <c r="X1580" s="28"/>
      <c r="Y1580" s="255" t="str">
        <f>IF(W1580="","",(_xlfn.XLOOKUP(W1580,Cadastros!$D$6:$D$90,Cadastros!$E$6:$E$90))*(1-_xlfn.XLOOKUP(_xlfn.XLOOKUP($F1580,Clientes!$B$4:$B$39,Clientes!$C$4:$C$39),Cadastros!$L$6:$L$12,Cadastros!$N$6:$N$12)))</f>
        <v/>
      </c>
      <c r="Z1580" s="168" t="str">
        <f t="shared" si="316"/>
        <v/>
      </c>
      <c r="AA1580" s="168" t="str">
        <f>IFERROR(Z1580/_xlfn.XLOOKUP(_xlfn.XLOOKUP($F1580,Clientes!$B$4:$B$39,Clientes!$C$4:$C$39),Cadastros!$L$6:$L$12,Cadastros!$M$6:$M$12)," ")</f>
        <v xml:space="preserve"> </v>
      </c>
      <c r="AB1580" s="28"/>
      <c r="AC1580" s="28"/>
      <c r="AD1580" s="20" t="str">
        <f>IF(AB1580="","",IF($F1580="Bernardino Furlan",_xlfn.XLOOKUP(AB1580,Cadastros!$G$6:$G$90,Cadastros!$H$6:$H$90)*(1-0.18),IF($F1580="Mauro José Salanti",_xlfn.XLOOKUP(AB1580,Cadastros!$G$6:$G$90,Cadastros!$H$6:$H$90)*(1-0.18),_xlfn.XLOOKUP(AB1580,Cadastros!$G$6:$G$90,Cadastros!$H$6:$H$90))))</f>
        <v/>
      </c>
      <c r="AE1580" s="168" t="str">
        <f t="shared" si="317"/>
        <v/>
      </c>
      <c r="AF1580" s="168" t="str">
        <f t="shared" si="318"/>
        <v/>
      </c>
      <c r="AG1580" s="28"/>
      <c r="AH1580" s="28"/>
      <c r="AI1580" s="20" t="str">
        <f>IF(AG1580="","",IF($F1580="Bernardino Furlan",_xlfn.XLOOKUP(AG1580,Cadastros!$G$6:$G$90,Cadastros!$H$6:$H$90)*(1-0.18),IF($F1580="Mauro José Salanti",_xlfn.XLOOKUP(AG1580,Cadastros!$G$6:$G$90,Cadastros!$H$6:$H$90)*(1-0.18),_xlfn.XLOOKUP(AG1580,Cadastros!$G$6:$G$90,Cadastros!$H$6:$H$90))))</f>
        <v/>
      </c>
      <c r="AJ1580" s="168" t="str">
        <f t="shared" si="319"/>
        <v/>
      </c>
      <c r="AK1580" s="168" t="str">
        <f t="shared" si="320"/>
        <v/>
      </c>
      <c r="AL1580" s="28"/>
      <c r="AM1580" s="28"/>
      <c r="AN1580" s="20" t="str">
        <f>IF(AL1580="","",IF($F1580="Bernardino Furlan",_xlfn.XLOOKUP(AL1580,Cadastros!$G$6:$G$90,Cadastros!$H$6:$H$90)*(1-0.18),IF($F1580="Mauro José Salanti",_xlfn.XLOOKUP(AL1580,Cadastros!$G$6:$G$90,Cadastros!$H$6:$H$90)*(1-0.18),_xlfn.XLOOKUP(AL1580,Cadastros!$G$6:$G$90,Cadastros!$H$6:$H$90))))</f>
        <v/>
      </c>
      <c r="AO1580" s="168" t="str">
        <f t="shared" si="321"/>
        <v/>
      </c>
      <c r="AP1580" s="168" t="str">
        <f t="shared" si="322"/>
        <v/>
      </c>
      <c r="AQ1580" s="28"/>
      <c r="AR1580" s="28"/>
      <c r="AS1580" s="20" t="str">
        <f>IF(AQ1580="","",IF($F1580="Bernardino Furlan",_xlfn.XLOOKUP(AQ1580,Cadastros!$G$6:$G$90,Cadastros!$H$6:$H$90)*(1-0.18),IF($F1580="Mauro José Salanti",_xlfn.XLOOKUP(AQ1580,Cadastros!$G$6:$G$90,Cadastros!$H$6:$H$90)*(1-0.18),_xlfn.XLOOKUP(AQ1580,Cadastros!$G$6:$G$90,Cadastros!$H$6:$H$90))))</f>
        <v/>
      </c>
      <c r="AT1580" s="168" t="str">
        <f t="shared" si="323"/>
        <v/>
      </c>
      <c r="AU1580" s="168" t="str">
        <f t="shared" si="324"/>
        <v/>
      </c>
      <c r="AV1580" s="227"/>
      <c r="AW1580" s="30"/>
      <c r="AX1580" s="267"/>
      <c r="AY1580" s="267"/>
      <c r="AZ1580" s="29"/>
      <c r="BA1580" s="30"/>
      <c r="BB1580" s="23" t="str" cm="1">
        <f t="array" ref="BB1580">_xlfn.IFS(AW1580="SIM",SUM(K1580,P1580,U1580,Z1580,AE1580,AJ1580,AO1580,AT1580,AX1580,AY1580),F1580&lt;&gt;"",SUM(K1580,P1580,U1580,Z1580,AE1580,AJ1580,,AO1580,AT1580),F1580="","")</f>
        <v/>
      </c>
      <c r="BC1580" s="211" t="str" cm="1">
        <f t="array" ref="BC1580">_xlfn.IFS(E1580="","",G1580&lt;=E1580,BB1580*(1-0.03),G1580&lt;(E1580+8),BB1580,AZ1580="Boleto",BB1580*(1+0.001)^DATEDIF(E1580,G1580,"D"),AZ1580="Cheque",BB1580,AZ1580="Dinheiro","Alterar forma pgto")</f>
        <v/>
      </c>
      <c r="BD1580" s="276" t="str" cm="1">
        <f t="array" ref="BD1580">IF(F1580=0," ",IF(BC1580&lt;BB1580,(_xlfn.IFS(AW1580="SIM",SUM(L1580,Q1580,V1580,AA1580,AF1580,AK1580,AP1580,AU1580)+AX1580/_xlfn.XLOOKUP(_xlfn.XLOOKUP($F1580,Clientes!$B$4:$B$39,Clientes!$C$4:$C$39),Cadastros!$L$6:$L$12,Cadastros!$M$6:$M$12)+IF($F1580="Bernardino Furlan",AY1580/2751.92,IF($F1580="Mauro José Salanti",AY1580/2751.92,AY1580/3356)),F1580&lt;&gt;0,SUM(L1580,Q1580,V1580,AA1580,AF1580,AK1580,AP1580,AU1580)))*(1-0.03),_xlfn.IFS(AW1580="SIM",SUM(L1580,Q1580,V1580,AA1580,AF1580,AK1580,AP1580,AU1580)+AX1580/_xlfn.XLOOKUP(_xlfn.XLOOKUP($F1580,Clientes!$B$4:$B$39,Clientes!$C$4:$C$39),Cadastros!$L$6:$L$12,Cadastros!$M$6:$M$12)+IF($F1580="Bernardino Furlan",AY1580/2751.92,IF($F1580="Mauro José Salanti",AY1580/2751.92,AY1580/3356)),F1580&lt;&gt;0,SUM(L1580,Q1580,V1580,AA1580,AF1580,AK1580,AP1580,AU1580))))</f>
        <v xml:space="preserve"> </v>
      </c>
      <c r="BE1580" s="120"/>
      <c r="BF1580" s="120"/>
      <c r="BG1580" s="120"/>
    </row>
    <row r="1581" spans="1:59" s="3" customFormat="1" x14ac:dyDescent="0.3">
      <c r="A1581" s="15" t="str">
        <f t="shared" si="312"/>
        <v/>
      </c>
      <c r="B1581" s="25"/>
      <c r="C1581" s="26"/>
      <c r="D1581" s="279"/>
      <c r="E1581" s="27"/>
      <c r="F1581" s="28"/>
      <c r="G1581" s="27"/>
      <c r="H1581" s="28"/>
      <c r="I1581" s="28"/>
      <c r="J1581" s="255" t="str">
        <f>IF(H1581="","",(_xlfn.XLOOKUP(H1581,Cadastros!$D$6:$D$90,Cadastros!$E$6:$E$90))*(1-_xlfn.XLOOKUP(_xlfn.XLOOKUP($F1581,Clientes!$B$4:$B$39,Clientes!$C$4:$C$39),Cadastros!$L$6:$L$12,Cadastros!$N$6:$N$12)))</f>
        <v/>
      </c>
      <c r="K1581" s="168" t="str">
        <f t="shared" si="313"/>
        <v/>
      </c>
      <c r="L1581" s="168" t="str">
        <f>IFERROR(K1581/_xlfn.XLOOKUP(_xlfn.XLOOKUP($F1581,Clientes!$B$4:$B$39,Clientes!$C$4:$C$39),Cadastros!$L$6:$L$12,Cadastros!$M$6:$M$12)," ")</f>
        <v xml:space="preserve"> </v>
      </c>
      <c r="M1581" s="28"/>
      <c r="N1581" s="28"/>
      <c r="O1581" s="255" t="str">
        <f>IF(M1581="","",(_xlfn.XLOOKUP(M1581,Cadastros!$D$6:$D$90,Cadastros!$E$6:$E$90))*(1-_xlfn.XLOOKUP(_xlfn.XLOOKUP($F1581,Clientes!$B$4:$B$39,Clientes!$C$4:$C$39),Cadastros!$L$6:$L$12,Cadastros!$N$6:$N$12)))</f>
        <v/>
      </c>
      <c r="P1581" s="168" t="str">
        <f t="shared" si="314"/>
        <v/>
      </c>
      <c r="Q1581" s="168" t="str">
        <f>IFERROR(P1581/_xlfn.XLOOKUP(_xlfn.XLOOKUP($F1581,Clientes!$B$4:$B$39,Clientes!$C$4:$C$39),Cadastros!$L$6:$L$12,Cadastros!$M$6:$M$12)," ")</f>
        <v xml:space="preserve"> </v>
      </c>
      <c r="R1581" s="28"/>
      <c r="S1581" s="28"/>
      <c r="T1581" s="255" t="str">
        <f>IF(R1581="","",(_xlfn.XLOOKUP(R1581,Cadastros!$D$6:$D$90,Cadastros!$E$6:$E$90))*(1-_xlfn.XLOOKUP(_xlfn.XLOOKUP($F1581,Clientes!$B$4:$B$39,Clientes!$C$4:$C$39),Cadastros!$L$6:$L$12,Cadastros!$N$6:$N$12)))</f>
        <v/>
      </c>
      <c r="U1581" s="168" t="str">
        <f t="shared" si="315"/>
        <v/>
      </c>
      <c r="V1581" s="168" t="str">
        <f>IFERROR(U1581/_xlfn.XLOOKUP(_xlfn.XLOOKUP($F1581,Clientes!$B$4:$B$39,Clientes!$C$4:$C$39),Cadastros!$L$6:$L$12,Cadastros!$M$6:$M$12)," ")</f>
        <v xml:space="preserve"> </v>
      </c>
      <c r="W1581" s="28"/>
      <c r="X1581" s="28"/>
      <c r="Y1581" s="255" t="str">
        <f>IF(W1581="","",(_xlfn.XLOOKUP(W1581,Cadastros!$D$6:$D$90,Cadastros!$E$6:$E$90))*(1-_xlfn.XLOOKUP(_xlfn.XLOOKUP($F1581,Clientes!$B$4:$B$39,Clientes!$C$4:$C$39),Cadastros!$L$6:$L$12,Cadastros!$N$6:$N$12)))</f>
        <v/>
      </c>
      <c r="Z1581" s="168" t="str">
        <f t="shared" si="316"/>
        <v/>
      </c>
      <c r="AA1581" s="168" t="str">
        <f>IFERROR(Z1581/_xlfn.XLOOKUP(_xlfn.XLOOKUP($F1581,Clientes!$B$4:$B$39,Clientes!$C$4:$C$39),Cadastros!$L$6:$L$12,Cadastros!$M$6:$M$12)," ")</f>
        <v xml:space="preserve"> </v>
      </c>
      <c r="AB1581" s="28"/>
      <c r="AC1581" s="28"/>
      <c r="AD1581" s="20" t="str">
        <f>IF(AB1581="","",IF($F1581="Bernardino Furlan",_xlfn.XLOOKUP(AB1581,Cadastros!$G$6:$G$90,Cadastros!$H$6:$H$90)*(1-0.18),IF($F1581="Mauro José Salanti",_xlfn.XLOOKUP(AB1581,Cadastros!$G$6:$G$90,Cadastros!$H$6:$H$90)*(1-0.18),_xlfn.XLOOKUP(AB1581,Cadastros!$G$6:$G$90,Cadastros!$H$6:$H$90))))</f>
        <v/>
      </c>
      <c r="AE1581" s="168" t="str">
        <f t="shared" si="317"/>
        <v/>
      </c>
      <c r="AF1581" s="168" t="str">
        <f t="shared" si="318"/>
        <v/>
      </c>
      <c r="AG1581" s="28"/>
      <c r="AH1581" s="28"/>
      <c r="AI1581" s="20" t="str">
        <f>IF(AG1581="","",IF($F1581="Bernardino Furlan",_xlfn.XLOOKUP(AG1581,Cadastros!$G$6:$G$90,Cadastros!$H$6:$H$90)*(1-0.18),IF($F1581="Mauro José Salanti",_xlfn.XLOOKUP(AG1581,Cadastros!$G$6:$G$90,Cadastros!$H$6:$H$90)*(1-0.18),_xlfn.XLOOKUP(AG1581,Cadastros!$G$6:$G$90,Cadastros!$H$6:$H$90))))</f>
        <v/>
      </c>
      <c r="AJ1581" s="168" t="str">
        <f t="shared" si="319"/>
        <v/>
      </c>
      <c r="AK1581" s="168" t="str">
        <f t="shared" si="320"/>
        <v/>
      </c>
      <c r="AL1581" s="28"/>
      <c r="AM1581" s="28"/>
      <c r="AN1581" s="20" t="str">
        <f>IF(AL1581="","",IF($F1581="Bernardino Furlan",_xlfn.XLOOKUP(AL1581,Cadastros!$G$6:$G$90,Cadastros!$H$6:$H$90)*(1-0.18),IF($F1581="Mauro José Salanti",_xlfn.XLOOKUP(AL1581,Cadastros!$G$6:$G$90,Cadastros!$H$6:$H$90)*(1-0.18),_xlfn.XLOOKUP(AL1581,Cadastros!$G$6:$G$90,Cadastros!$H$6:$H$90))))</f>
        <v/>
      </c>
      <c r="AO1581" s="168" t="str">
        <f t="shared" si="321"/>
        <v/>
      </c>
      <c r="AP1581" s="168" t="str">
        <f t="shared" si="322"/>
        <v/>
      </c>
      <c r="AQ1581" s="28"/>
      <c r="AR1581" s="28"/>
      <c r="AS1581" s="20" t="str">
        <f>IF(AQ1581="","",IF($F1581="Bernardino Furlan",_xlfn.XLOOKUP(AQ1581,Cadastros!$G$6:$G$90,Cadastros!$H$6:$H$90)*(1-0.18),IF($F1581="Mauro José Salanti",_xlfn.XLOOKUP(AQ1581,Cadastros!$G$6:$G$90,Cadastros!$H$6:$H$90)*(1-0.18),_xlfn.XLOOKUP(AQ1581,Cadastros!$G$6:$G$90,Cadastros!$H$6:$H$90))))</f>
        <v/>
      </c>
      <c r="AT1581" s="168" t="str">
        <f t="shared" si="323"/>
        <v/>
      </c>
      <c r="AU1581" s="168" t="str">
        <f t="shared" si="324"/>
        <v/>
      </c>
      <c r="AV1581" s="227"/>
      <c r="AW1581" s="30"/>
      <c r="AX1581" s="267"/>
      <c r="AY1581" s="267"/>
      <c r="AZ1581" s="29"/>
      <c r="BA1581" s="30"/>
      <c r="BB1581" s="23" t="str" cm="1">
        <f t="array" ref="BB1581">_xlfn.IFS(AW1581="SIM",SUM(K1581,P1581,U1581,Z1581,AE1581,AJ1581,AO1581,AT1581,AX1581,AY1581),F1581&lt;&gt;"",SUM(K1581,P1581,U1581,Z1581,AE1581,AJ1581,,AO1581,AT1581),F1581="","")</f>
        <v/>
      </c>
      <c r="BC1581" s="211" t="str" cm="1">
        <f t="array" ref="BC1581">_xlfn.IFS(E1581="","",G1581&lt;=E1581,BB1581*(1-0.03),G1581&lt;(E1581+8),BB1581,AZ1581="Boleto",BB1581*(1+0.001)^DATEDIF(E1581,G1581,"D"),AZ1581="Cheque",BB1581,AZ1581="Dinheiro","Alterar forma pgto")</f>
        <v/>
      </c>
      <c r="BD1581" s="276" t="str" cm="1">
        <f t="array" ref="BD1581">IF(F1581=0," ",IF(BC1581&lt;BB1581,(_xlfn.IFS(AW1581="SIM",SUM(L1581,Q1581,V1581,AA1581,AF1581,AK1581,AP1581,AU1581)+AX1581/_xlfn.XLOOKUP(_xlfn.XLOOKUP($F1581,Clientes!$B$4:$B$39,Clientes!$C$4:$C$39),Cadastros!$L$6:$L$12,Cadastros!$M$6:$M$12)+IF($F1581="Bernardino Furlan",AY1581/2751.92,IF($F1581="Mauro José Salanti",AY1581/2751.92,AY1581/3356)),F1581&lt;&gt;0,SUM(L1581,Q1581,V1581,AA1581,AF1581,AK1581,AP1581,AU1581)))*(1-0.03),_xlfn.IFS(AW1581="SIM",SUM(L1581,Q1581,V1581,AA1581,AF1581,AK1581,AP1581,AU1581)+AX1581/_xlfn.XLOOKUP(_xlfn.XLOOKUP($F1581,Clientes!$B$4:$B$39,Clientes!$C$4:$C$39),Cadastros!$L$6:$L$12,Cadastros!$M$6:$M$12)+IF($F1581="Bernardino Furlan",AY1581/2751.92,IF($F1581="Mauro José Salanti",AY1581/2751.92,AY1581/3356)),F1581&lt;&gt;0,SUM(L1581,Q1581,V1581,AA1581,AF1581,AK1581,AP1581,AU1581))))</f>
        <v xml:space="preserve"> </v>
      </c>
      <c r="BE1581" s="120"/>
      <c r="BF1581" s="120"/>
      <c r="BG1581" s="120"/>
    </row>
    <row r="1582" spans="1:59" s="3" customFormat="1" x14ac:dyDescent="0.3">
      <c r="A1582" s="15" t="str">
        <f t="shared" si="312"/>
        <v/>
      </c>
      <c r="B1582" s="25"/>
      <c r="C1582" s="26"/>
      <c r="D1582" s="279"/>
      <c r="E1582" s="27"/>
      <c r="F1582" s="28"/>
      <c r="G1582" s="27"/>
      <c r="H1582" s="28"/>
      <c r="I1582" s="28"/>
      <c r="J1582" s="255" t="str">
        <f>IF(H1582="","",(_xlfn.XLOOKUP(H1582,Cadastros!$D$6:$D$90,Cadastros!$E$6:$E$90))*(1-_xlfn.XLOOKUP(_xlfn.XLOOKUP($F1582,Clientes!$B$4:$B$39,Clientes!$C$4:$C$39),Cadastros!$L$6:$L$12,Cadastros!$N$6:$N$12)))</f>
        <v/>
      </c>
      <c r="K1582" s="168" t="str">
        <f t="shared" si="313"/>
        <v/>
      </c>
      <c r="L1582" s="168" t="str">
        <f>IFERROR(K1582/_xlfn.XLOOKUP(_xlfn.XLOOKUP($F1582,Clientes!$B$4:$B$39,Clientes!$C$4:$C$39),Cadastros!$L$6:$L$12,Cadastros!$M$6:$M$12)," ")</f>
        <v xml:space="preserve"> </v>
      </c>
      <c r="M1582" s="28"/>
      <c r="N1582" s="28"/>
      <c r="O1582" s="255" t="str">
        <f>IF(M1582="","",(_xlfn.XLOOKUP(M1582,Cadastros!$D$6:$D$90,Cadastros!$E$6:$E$90))*(1-_xlfn.XLOOKUP(_xlfn.XLOOKUP($F1582,Clientes!$B$4:$B$39,Clientes!$C$4:$C$39),Cadastros!$L$6:$L$12,Cadastros!$N$6:$N$12)))</f>
        <v/>
      </c>
      <c r="P1582" s="168" t="str">
        <f t="shared" si="314"/>
        <v/>
      </c>
      <c r="Q1582" s="168" t="str">
        <f>IFERROR(P1582/_xlfn.XLOOKUP(_xlfn.XLOOKUP($F1582,Clientes!$B$4:$B$39,Clientes!$C$4:$C$39),Cadastros!$L$6:$L$12,Cadastros!$M$6:$M$12)," ")</f>
        <v xml:space="preserve"> </v>
      </c>
      <c r="R1582" s="28"/>
      <c r="S1582" s="28"/>
      <c r="T1582" s="255" t="str">
        <f>IF(R1582="","",(_xlfn.XLOOKUP(R1582,Cadastros!$D$6:$D$90,Cadastros!$E$6:$E$90))*(1-_xlfn.XLOOKUP(_xlfn.XLOOKUP($F1582,Clientes!$B$4:$B$39,Clientes!$C$4:$C$39),Cadastros!$L$6:$L$12,Cadastros!$N$6:$N$12)))</f>
        <v/>
      </c>
      <c r="U1582" s="168" t="str">
        <f t="shared" si="315"/>
        <v/>
      </c>
      <c r="V1582" s="168" t="str">
        <f>IFERROR(U1582/_xlfn.XLOOKUP(_xlfn.XLOOKUP($F1582,Clientes!$B$4:$B$39,Clientes!$C$4:$C$39),Cadastros!$L$6:$L$12,Cadastros!$M$6:$M$12)," ")</f>
        <v xml:space="preserve"> </v>
      </c>
      <c r="W1582" s="28"/>
      <c r="X1582" s="28"/>
      <c r="Y1582" s="255" t="str">
        <f>IF(W1582="","",(_xlfn.XLOOKUP(W1582,Cadastros!$D$6:$D$90,Cadastros!$E$6:$E$90))*(1-_xlfn.XLOOKUP(_xlfn.XLOOKUP($F1582,Clientes!$B$4:$B$39,Clientes!$C$4:$C$39),Cadastros!$L$6:$L$12,Cadastros!$N$6:$N$12)))</f>
        <v/>
      </c>
      <c r="Z1582" s="168" t="str">
        <f t="shared" si="316"/>
        <v/>
      </c>
      <c r="AA1582" s="168" t="str">
        <f>IFERROR(Z1582/_xlfn.XLOOKUP(_xlfn.XLOOKUP($F1582,Clientes!$B$4:$B$39,Clientes!$C$4:$C$39),Cadastros!$L$6:$L$12,Cadastros!$M$6:$M$12)," ")</f>
        <v xml:space="preserve"> </v>
      </c>
      <c r="AB1582" s="28"/>
      <c r="AC1582" s="28"/>
      <c r="AD1582" s="20" t="str">
        <f>IF(AB1582="","",IF($F1582="Bernardino Furlan",_xlfn.XLOOKUP(AB1582,Cadastros!$G$6:$G$90,Cadastros!$H$6:$H$90)*(1-0.18),IF($F1582="Mauro José Salanti",_xlfn.XLOOKUP(AB1582,Cadastros!$G$6:$G$90,Cadastros!$H$6:$H$90)*(1-0.18),_xlfn.XLOOKUP(AB1582,Cadastros!$G$6:$G$90,Cadastros!$H$6:$H$90))))</f>
        <v/>
      </c>
      <c r="AE1582" s="168" t="str">
        <f t="shared" si="317"/>
        <v/>
      </c>
      <c r="AF1582" s="168" t="str">
        <f t="shared" si="318"/>
        <v/>
      </c>
      <c r="AG1582" s="28"/>
      <c r="AH1582" s="28"/>
      <c r="AI1582" s="20" t="str">
        <f>IF(AG1582="","",IF($F1582="Bernardino Furlan",_xlfn.XLOOKUP(AG1582,Cadastros!$G$6:$G$90,Cadastros!$H$6:$H$90)*(1-0.18),IF($F1582="Mauro José Salanti",_xlfn.XLOOKUP(AG1582,Cadastros!$G$6:$G$90,Cadastros!$H$6:$H$90)*(1-0.18),_xlfn.XLOOKUP(AG1582,Cadastros!$G$6:$G$90,Cadastros!$H$6:$H$90))))</f>
        <v/>
      </c>
      <c r="AJ1582" s="168" t="str">
        <f t="shared" si="319"/>
        <v/>
      </c>
      <c r="AK1582" s="168" t="str">
        <f t="shared" si="320"/>
        <v/>
      </c>
      <c r="AL1582" s="28"/>
      <c r="AM1582" s="28"/>
      <c r="AN1582" s="20" t="str">
        <f>IF(AL1582="","",IF($F1582="Bernardino Furlan",_xlfn.XLOOKUP(AL1582,Cadastros!$G$6:$G$90,Cadastros!$H$6:$H$90)*(1-0.18),IF($F1582="Mauro José Salanti",_xlfn.XLOOKUP(AL1582,Cadastros!$G$6:$G$90,Cadastros!$H$6:$H$90)*(1-0.18),_xlfn.XLOOKUP(AL1582,Cadastros!$G$6:$G$90,Cadastros!$H$6:$H$90))))</f>
        <v/>
      </c>
      <c r="AO1582" s="168" t="str">
        <f t="shared" si="321"/>
        <v/>
      </c>
      <c r="AP1582" s="168" t="str">
        <f t="shared" si="322"/>
        <v/>
      </c>
      <c r="AQ1582" s="28"/>
      <c r="AR1582" s="28"/>
      <c r="AS1582" s="20" t="str">
        <f>IF(AQ1582="","",IF($F1582="Bernardino Furlan",_xlfn.XLOOKUP(AQ1582,Cadastros!$G$6:$G$90,Cadastros!$H$6:$H$90)*(1-0.18),IF($F1582="Mauro José Salanti",_xlfn.XLOOKUP(AQ1582,Cadastros!$G$6:$G$90,Cadastros!$H$6:$H$90)*(1-0.18),_xlfn.XLOOKUP(AQ1582,Cadastros!$G$6:$G$90,Cadastros!$H$6:$H$90))))</f>
        <v/>
      </c>
      <c r="AT1582" s="168" t="str">
        <f t="shared" si="323"/>
        <v/>
      </c>
      <c r="AU1582" s="168" t="str">
        <f t="shared" si="324"/>
        <v/>
      </c>
      <c r="AV1582" s="227"/>
      <c r="AW1582" s="30"/>
      <c r="AX1582" s="267"/>
      <c r="AY1582" s="267"/>
      <c r="AZ1582" s="29"/>
      <c r="BA1582" s="30"/>
      <c r="BB1582" s="23" t="str" cm="1">
        <f t="array" ref="BB1582">_xlfn.IFS(AW1582="SIM",SUM(K1582,P1582,U1582,Z1582,AE1582,AJ1582,AO1582,AT1582,AX1582,AY1582),F1582&lt;&gt;"",SUM(K1582,P1582,U1582,Z1582,AE1582,AJ1582,,AO1582,AT1582),F1582="","")</f>
        <v/>
      </c>
      <c r="BC1582" s="211" t="str" cm="1">
        <f t="array" ref="BC1582">_xlfn.IFS(E1582="","",G1582&lt;=E1582,BB1582*(1-0.03),G1582&lt;(E1582+8),BB1582,AZ1582="Boleto",BB1582*(1+0.001)^DATEDIF(E1582,G1582,"D"),AZ1582="Cheque",BB1582,AZ1582="Dinheiro","Alterar forma pgto")</f>
        <v/>
      </c>
      <c r="BD1582" s="276" t="str" cm="1">
        <f t="array" ref="BD1582">IF(F1582=0," ",IF(BC1582&lt;BB1582,(_xlfn.IFS(AW1582="SIM",SUM(L1582,Q1582,V1582,AA1582,AF1582,AK1582,AP1582,AU1582)+AX1582/_xlfn.XLOOKUP(_xlfn.XLOOKUP($F1582,Clientes!$B$4:$B$39,Clientes!$C$4:$C$39),Cadastros!$L$6:$L$12,Cadastros!$M$6:$M$12)+IF($F1582="Bernardino Furlan",AY1582/2751.92,IF($F1582="Mauro José Salanti",AY1582/2751.92,AY1582/3356)),F1582&lt;&gt;0,SUM(L1582,Q1582,V1582,AA1582,AF1582,AK1582,AP1582,AU1582)))*(1-0.03),_xlfn.IFS(AW1582="SIM",SUM(L1582,Q1582,V1582,AA1582,AF1582,AK1582,AP1582,AU1582)+AX1582/_xlfn.XLOOKUP(_xlfn.XLOOKUP($F1582,Clientes!$B$4:$B$39,Clientes!$C$4:$C$39),Cadastros!$L$6:$L$12,Cadastros!$M$6:$M$12)+IF($F1582="Bernardino Furlan",AY1582/2751.92,IF($F1582="Mauro José Salanti",AY1582/2751.92,AY1582/3356)),F1582&lt;&gt;0,SUM(L1582,Q1582,V1582,AA1582,AF1582,AK1582,AP1582,AU1582))))</f>
        <v xml:space="preserve"> </v>
      </c>
      <c r="BE1582" s="120"/>
      <c r="BF1582" s="120"/>
      <c r="BG1582" s="120"/>
    </row>
    <row r="1583" spans="1:59" s="3" customFormat="1" x14ac:dyDescent="0.3">
      <c r="A1583" s="15" t="str">
        <f t="shared" si="312"/>
        <v/>
      </c>
      <c r="B1583" s="25"/>
      <c r="C1583" s="26"/>
      <c r="D1583" s="279"/>
      <c r="E1583" s="27"/>
      <c r="F1583" s="28"/>
      <c r="G1583" s="27"/>
      <c r="H1583" s="28"/>
      <c r="I1583" s="28"/>
      <c r="J1583" s="255" t="str">
        <f>IF(H1583="","",(_xlfn.XLOOKUP(H1583,Cadastros!$D$6:$D$90,Cadastros!$E$6:$E$90))*(1-_xlfn.XLOOKUP(_xlfn.XLOOKUP($F1583,Clientes!$B$4:$B$39,Clientes!$C$4:$C$39),Cadastros!$L$6:$L$12,Cadastros!$N$6:$N$12)))</f>
        <v/>
      </c>
      <c r="K1583" s="168" t="str">
        <f t="shared" si="313"/>
        <v/>
      </c>
      <c r="L1583" s="168" t="str">
        <f>IFERROR(K1583/_xlfn.XLOOKUP(_xlfn.XLOOKUP($F1583,Clientes!$B$4:$B$39,Clientes!$C$4:$C$39),Cadastros!$L$6:$L$12,Cadastros!$M$6:$M$12)," ")</f>
        <v xml:space="preserve"> </v>
      </c>
      <c r="M1583" s="28"/>
      <c r="N1583" s="28"/>
      <c r="O1583" s="255" t="str">
        <f>IF(M1583="","",(_xlfn.XLOOKUP(M1583,Cadastros!$D$6:$D$90,Cadastros!$E$6:$E$90))*(1-_xlfn.XLOOKUP(_xlfn.XLOOKUP($F1583,Clientes!$B$4:$B$39,Clientes!$C$4:$C$39),Cadastros!$L$6:$L$12,Cadastros!$N$6:$N$12)))</f>
        <v/>
      </c>
      <c r="P1583" s="168" t="str">
        <f t="shared" si="314"/>
        <v/>
      </c>
      <c r="Q1583" s="168" t="str">
        <f>IFERROR(P1583/_xlfn.XLOOKUP(_xlfn.XLOOKUP($F1583,Clientes!$B$4:$B$39,Clientes!$C$4:$C$39),Cadastros!$L$6:$L$12,Cadastros!$M$6:$M$12)," ")</f>
        <v xml:space="preserve"> </v>
      </c>
      <c r="R1583" s="28"/>
      <c r="S1583" s="28"/>
      <c r="T1583" s="255" t="str">
        <f>IF(R1583="","",(_xlfn.XLOOKUP(R1583,Cadastros!$D$6:$D$90,Cadastros!$E$6:$E$90))*(1-_xlfn.XLOOKUP(_xlfn.XLOOKUP($F1583,Clientes!$B$4:$B$39,Clientes!$C$4:$C$39),Cadastros!$L$6:$L$12,Cadastros!$N$6:$N$12)))</f>
        <v/>
      </c>
      <c r="U1583" s="168" t="str">
        <f t="shared" si="315"/>
        <v/>
      </c>
      <c r="V1583" s="168" t="str">
        <f>IFERROR(U1583/_xlfn.XLOOKUP(_xlfn.XLOOKUP($F1583,Clientes!$B$4:$B$39,Clientes!$C$4:$C$39),Cadastros!$L$6:$L$12,Cadastros!$M$6:$M$12)," ")</f>
        <v xml:space="preserve"> </v>
      </c>
      <c r="W1583" s="28"/>
      <c r="X1583" s="28"/>
      <c r="Y1583" s="255" t="str">
        <f>IF(W1583="","",(_xlfn.XLOOKUP(W1583,Cadastros!$D$6:$D$90,Cadastros!$E$6:$E$90))*(1-_xlfn.XLOOKUP(_xlfn.XLOOKUP($F1583,Clientes!$B$4:$B$39,Clientes!$C$4:$C$39),Cadastros!$L$6:$L$12,Cadastros!$N$6:$N$12)))</f>
        <v/>
      </c>
      <c r="Z1583" s="168" t="str">
        <f t="shared" si="316"/>
        <v/>
      </c>
      <c r="AA1583" s="168" t="str">
        <f>IFERROR(Z1583/_xlfn.XLOOKUP(_xlfn.XLOOKUP($F1583,Clientes!$B$4:$B$39,Clientes!$C$4:$C$39),Cadastros!$L$6:$L$12,Cadastros!$M$6:$M$12)," ")</f>
        <v xml:space="preserve"> </v>
      </c>
      <c r="AB1583" s="28"/>
      <c r="AC1583" s="28"/>
      <c r="AD1583" s="20" t="str">
        <f>IF(AB1583="","",IF($F1583="Bernardino Furlan",_xlfn.XLOOKUP(AB1583,Cadastros!$G$6:$G$90,Cadastros!$H$6:$H$90)*(1-0.18),IF($F1583="Mauro José Salanti",_xlfn.XLOOKUP(AB1583,Cadastros!$G$6:$G$90,Cadastros!$H$6:$H$90)*(1-0.18),_xlfn.XLOOKUP(AB1583,Cadastros!$G$6:$G$90,Cadastros!$H$6:$H$90))))</f>
        <v/>
      </c>
      <c r="AE1583" s="168" t="str">
        <f t="shared" si="317"/>
        <v/>
      </c>
      <c r="AF1583" s="168" t="str">
        <f t="shared" si="318"/>
        <v/>
      </c>
      <c r="AG1583" s="28"/>
      <c r="AH1583" s="28"/>
      <c r="AI1583" s="20" t="str">
        <f>IF(AG1583="","",IF($F1583="Bernardino Furlan",_xlfn.XLOOKUP(AG1583,Cadastros!$G$6:$G$90,Cadastros!$H$6:$H$90)*(1-0.18),IF($F1583="Mauro José Salanti",_xlfn.XLOOKUP(AG1583,Cadastros!$G$6:$G$90,Cadastros!$H$6:$H$90)*(1-0.18),_xlfn.XLOOKUP(AG1583,Cadastros!$G$6:$G$90,Cadastros!$H$6:$H$90))))</f>
        <v/>
      </c>
      <c r="AJ1583" s="168" t="str">
        <f t="shared" si="319"/>
        <v/>
      </c>
      <c r="AK1583" s="168" t="str">
        <f t="shared" si="320"/>
        <v/>
      </c>
      <c r="AL1583" s="28"/>
      <c r="AM1583" s="28"/>
      <c r="AN1583" s="20" t="str">
        <f>IF(AL1583="","",IF($F1583="Bernardino Furlan",_xlfn.XLOOKUP(AL1583,Cadastros!$G$6:$G$90,Cadastros!$H$6:$H$90)*(1-0.18),IF($F1583="Mauro José Salanti",_xlfn.XLOOKUP(AL1583,Cadastros!$G$6:$G$90,Cadastros!$H$6:$H$90)*(1-0.18),_xlfn.XLOOKUP(AL1583,Cadastros!$G$6:$G$90,Cadastros!$H$6:$H$90))))</f>
        <v/>
      </c>
      <c r="AO1583" s="168" t="str">
        <f t="shared" si="321"/>
        <v/>
      </c>
      <c r="AP1583" s="168" t="str">
        <f t="shared" si="322"/>
        <v/>
      </c>
      <c r="AQ1583" s="28"/>
      <c r="AR1583" s="28"/>
      <c r="AS1583" s="20" t="str">
        <f>IF(AQ1583="","",IF($F1583="Bernardino Furlan",_xlfn.XLOOKUP(AQ1583,Cadastros!$G$6:$G$90,Cadastros!$H$6:$H$90)*(1-0.18),IF($F1583="Mauro José Salanti",_xlfn.XLOOKUP(AQ1583,Cadastros!$G$6:$G$90,Cadastros!$H$6:$H$90)*(1-0.18),_xlfn.XLOOKUP(AQ1583,Cadastros!$G$6:$G$90,Cadastros!$H$6:$H$90))))</f>
        <v/>
      </c>
      <c r="AT1583" s="168" t="str">
        <f t="shared" si="323"/>
        <v/>
      </c>
      <c r="AU1583" s="168" t="str">
        <f t="shared" si="324"/>
        <v/>
      </c>
      <c r="AV1583" s="227"/>
      <c r="AW1583" s="30"/>
      <c r="AX1583" s="267"/>
      <c r="AY1583" s="267"/>
      <c r="AZ1583" s="29"/>
      <c r="BA1583" s="30"/>
      <c r="BB1583" s="23" t="str" cm="1">
        <f t="array" ref="BB1583">_xlfn.IFS(AW1583="SIM",SUM(K1583,P1583,U1583,Z1583,AE1583,AJ1583,AO1583,AT1583,AX1583,AY1583),F1583&lt;&gt;"",SUM(K1583,P1583,U1583,Z1583,AE1583,AJ1583,,AO1583,AT1583),F1583="","")</f>
        <v/>
      </c>
      <c r="BC1583" s="211" t="str" cm="1">
        <f t="array" ref="BC1583">_xlfn.IFS(E1583="","",G1583&lt;=E1583,BB1583*(1-0.03),G1583&lt;(E1583+8),BB1583,AZ1583="Boleto",BB1583*(1+0.001)^DATEDIF(E1583,G1583,"D"),AZ1583="Cheque",BB1583,AZ1583="Dinheiro","Alterar forma pgto")</f>
        <v/>
      </c>
      <c r="BD1583" s="276" t="str" cm="1">
        <f t="array" ref="BD1583">IF(F1583=0," ",IF(BC1583&lt;BB1583,(_xlfn.IFS(AW1583="SIM",SUM(L1583,Q1583,V1583,AA1583,AF1583,AK1583,AP1583,AU1583)+AX1583/_xlfn.XLOOKUP(_xlfn.XLOOKUP($F1583,Clientes!$B$4:$B$39,Clientes!$C$4:$C$39),Cadastros!$L$6:$L$12,Cadastros!$M$6:$M$12)+IF($F1583="Bernardino Furlan",AY1583/2751.92,IF($F1583="Mauro José Salanti",AY1583/2751.92,AY1583/3356)),F1583&lt;&gt;0,SUM(L1583,Q1583,V1583,AA1583,AF1583,AK1583,AP1583,AU1583)))*(1-0.03),_xlfn.IFS(AW1583="SIM",SUM(L1583,Q1583,V1583,AA1583,AF1583,AK1583,AP1583,AU1583)+AX1583/_xlfn.XLOOKUP(_xlfn.XLOOKUP($F1583,Clientes!$B$4:$B$39,Clientes!$C$4:$C$39),Cadastros!$L$6:$L$12,Cadastros!$M$6:$M$12)+IF($F1583="Bernardino Furlan",AY1583/2751.92,IF($F1583="Mauro José Salanti",AY1583/2751.92,AY1583/3356)),F1583&lt;&gt;0,SUM(L1583,Q1583,V1583,AA1583,AF1583,AK1583,AP1583,AU1583))))</f>
        <v xml:space="preserve"> </v>
      </c>
      <c r="BE1583" s="120"/>
      <c r="BF1583" s="120"/>
      <c r="BG1583" s="120"/>
    </row>
    <row r="1584" spans="1:59" s="3" customFormat="1" x14ac:dyDescent="0.3">
      <c r="A1584" s="15" t="str">
        <f t="shared" si="312"/>
        <v/>
      </c>
      <c r="B1584" s="25"/>
      <c r="C1584" s="26"/>
      <c r="D1584" s="279"/>
      <c r="E1584" s="27"/>
      <c r="F1584" s="28"/>
      <c r="G1584" s="27"/>
      <c r="H1584" s="28"/>
      <c r="I1584" s="28"/>
      <c r="J1584" s="255" t="str">
        <f>IF(H1584="","",(_xlfn.XLOOKUP(H1584,Cadastros!$D$6:$D$90,Cadastros!$E$6:$E$90))*(1-_xlfn.XLOOKUP(_xlfn.XLOOKUP($F1584,Clientes!$B$4:$B$39,Clientes!$C$4:$C$39),Cadastros!$L$6:$L$12,Cadastros!$N$6:$N$12)))</f>
        <v/>
      </c>
      <c r="K1584" s="168" t="str">
        <f t="shared" si="313"/>
        <v/>
      </c>
      <c r="L1584" s="168" t="str">
        <f>IFERROR(K1584/_xlfn.XLOOKUP(_xlfn.XLOOKUP($F1584,Clientes!$B$4:$B$39,Clientes!$C$4:$C$39),Cadastros!$L$6:$L$12,Cadastros!$M$6:$M$12)," ")</f>
        <v xml:space="preserve"> </v>
      </c>
      <c r="M1584" s="28"/>
      <c r="N1584" s="28"/>
      <c r="O1584" s="255" t="str">
        <f>IF(M1584="","",(_xlfn.XLOOKUP(M1584,Cadastros!$D$6:$D$90,Cadastros!$E$6:$E$90))*(1-_xlfn.XLOOKUP(_xlfn.XLOOKUP($F1584,Clientes!$B$4:$B$39,Clientes!$C$4:$C$39),Cadastros!$L$6:$L$12,Cadastros!$N$6:$N$12)))</f>
        <v/>
      </c>
      <c r="P1584" s="168" t="str">
        <f t="shared" si="314"/>
        <v/>
      </c>
      <c r="Q1584" s="168" t="str">
        <f>IFERROR(P1584/_xlfn.XLOOKUP(_xlfn.XLOOKUP($F1584,Clientes!$B$4:$B$39,Clientes!$C$4:$C$39),Cadastros!$L$6:$L$12,Cadastros!$M$6:$M$12)," ")</f>
        <v xml:space="preserve"> </v>
      </c>
      <c r="R1584" s="28"/>
      <c r="S1584" s="28"/>
      <c r="T1584" s="255" t="str">
        <f>IF(R1584="","",(_xlfn.XLOOKUP(R1584,Cadastros!$D$6:$D$90,Cadastros!$E$6:$E$90))*(1-_xlfn.XLOOKUP(_xlfn.XLOOKUP($F1584,Clientes!$B$4:$B$39,Clientes!$C$4:$C$39),Cadastros!$L$6:$L$12,Cadastros!$N$6:$N$12)))</f>
        <v/>
      </c>
      <c r="U1584" s="168" t="str">
        <f t="shared" si="315"/>
        <v/>
      </c>
      <c r="V1584" s="168" t="str">
        <f>IFERROR(U1584/_xlfn.XLOOKUP(_xlfn.XLOOKUP($F1584,Clientes!$B$4:$B$39,Clientes!$C$4:$C$39),Cadastros!$L$6:$L$12,Cadastros!$M$6:$M$12)," ")</f>
        <v xml:space="preserve"> </v>
      </c>
      <c r="W1584" s="28"/>
      <c r="X1584" s="28"/>
      <c r="Y1584" s="255" t="str">
        <f>IF(W1584="","",(_xlfn.XLOOKUP(W1584,Cadastros!$D$6:$D$90,Cadastros!$E$6:$E$90))*(1-_xlfn.XLOOKUP(_xlfn.XLOOKUP($F1584,Clientes!$B$4:$B$39,Clientes!$C$4:$C$39),Cadastros!$L$6:$L$12,Cadastros!$N$6:$N$12)))</f>
        <v/>
      </c>
      <c r="Z1584" s="168" t="str">
        <f t="shared" si="316"/>
        <v/>
      </c>
      <c r="AA1584" s="168" t="str">
        <f>IFERROR(Z1584/_xlfn.XLOOKUP(_xlfn.XLOOKUP($F1584,Clientes!$B$4:$B$39,Clientes!$C$4:$C$39),Cadastros!$L$6:$L$12,Cadastros!$M$6:$M$12)," ")</f>
        <v xml:space="preserve"> </v>
      </c>
      <c r="AB1584" s="28"/>
      <c r="AC1584" s="28"/>
      <c r="AD1584" s="20" t="str">
        <f>IF(AB1584="","",IF($F1584="Bernardino Furlan",_xlfn.XLOOKUP(AB1584,Cadastros!$G$6:$G$90,Cadastros!$H$6:$H$90)*(1-0.18),IF($F1584="Mauro José Salanti",_xlfn.XLOOKUP(AB1584,Cadastros!$G$6:$G$90,Cadastros!$H$6:$H$90)*(1-0.18),_xlfn.XLOOKUP(AB1584,Cadastros!$G$6:$G$90,Cadastros!$H$6:$H$90))))</f>
        <v/>
      </c>
      <c r="AE1584" s="168" t="str">
        <f t="shared" si="317"/>
        <v/>
      </c>
      <c r="AF1584" s="168" t="str">
        <f t="shared" si="318"/>
        <v/>
      </c>
      <c r="AG1584" s="28"/>
      <c r="AH1584" s="28"/>
      <c r="AI1584" s="20" t="str">
        <f>IF(AG1584="","",IF($F1584="Bernardino Furlan",_xlfn.XLOOKUP(AG1584,Cadastros!$G$6:$G$90,Cadastros!$H$6:$H$90)*(1-0.18),IF($F1584="Mauro José Salanti",_xlfn.XLOOKUP(AG1584,Cadastros!$G$6:$G$90,Cadastros!$H$6:$H$90)*(1-0.18),_xlfn.XLOOKUP(AG1584,Cadastros!$G$6:$G$90,Cadastros!$H$6:$H$90))))</f>
        <v/>
      </c>
      <c r="AJ1584" s="168" t="str">
        <f t="shared" si="319"/>
        <v/>
      </c>
      <c r="AK1584" s="168" t="str">
        <f t="shared" si="320"/>
        <v/>
      </c>
      <c r="AL1584" s="28"/>
      <c r="AM1584" s="28"/>
      <c r="AN1584" s="20" t="str">
        <f>IF(AL1584="","",IF($F1584="Bernardino Furlan",_xlfn.XLOOKUP(AL1584,Cadastros!$G$6:$G$90,Cadastros!$H$6:$H$90)*(1-0.18),IF($F1584="Mauro José Salanti",_xlfn.XLOOKUP(AL1584,Cadastros!$G$6:$G$90,Cadastros!$H$6:$H$90)*(1-0.18),_xlfn.XLOOKUP(AL1584,Cadastros!$G$6:$G$90,Cadastros!$H$6:$H$90))))</f>
        <v/>
      </c>
      <c r="AO1584" s="168" t="str">
        <f t="shared" si="321"/>
        <v/>
      </c>
      <c r="AP1584" s="168" t="str">
        <f t="shared" si="322"/>
        <v/>
      </c>
      <c r="AQ1584" s="28"/>
      <c r="AR1584" s="28"/>
      <c r="AS1584" s="20" t="str">
        <f>IF(AQ1584="","",IF($F1584="Bernardino Furlan",_xlfn.XLOOKUP(AQ1584,Cadastros!$G$6:$G$90,Cadastros!$H$6:$H$90)*(1-0.18),IF($F1584="Mauro José Salanti",_xlfn.XLOOKUP(AQ1584,Cadastros!$G$6:$G$90,Cadastros!$H$6:$H$90)*(1-0.18),_xlfn.XLOOKUP(AQ1584,Cadastros!$G$6:$G$90,Cadastros!$H$6:$H$90))))</f>
        <v/>
      </c>
      <c r="AT1584" s="168" t="str">
        <f t="shared" si="323"/>
        <v/>
      </c>
      <c r="AU1584" s="168" t="str">
        <f t="shared" si="324"/>
        <v/>
      </c>
      <c r="AV1584" s="227"/>
      <c r="AW1584" s="30"/>
      <c r="AX1584" s="267"/>
      <c r="AY1584" s="267"/>
      <c r="AZ1584" s="29"/>
      <c r="BA1584" s="30"/>
      <c r="BB1584" s="23" t="str" cm="1">
        <f t="array" ref="BB1584">_xlfn.IFS(AW1584="SIM",SUM(K1584,P1584,U1584,Z1584,AE1584,AJ1584,AO1584,AT1584,AX1584,AY1584),F1584&lt;&gt;"",SUM(K1584,P1584,U1584,Z1584,AE1584,AJ1584,,AO1584,AT1584),F1584="","")</f>
        <v/>
      </c>
      <c r="BC1584" s="211" t="str" cm="1">
        <f t="array" ref="BC1584">_xlfn.IFS(E1584="","",G1584&lt;=E1584,BB1584*(1-0.03),G1584&lt;(E1584+8),BB1584,AZ1584="Boleto",BB1584*(1+0.001)^DATEDIF(E1584,G1584,"D"),AZ1584="Cheque",BB1584,AZ1584="Dinheiro","Alterar forma pgto")</f>
        <v/>
      </c>
      <c r="BD1584" s="276" t="str" cm="1">
        <f t="array" ref="BD1584">IF(F1584=0," ",IF(BC1584&lt;BB1584,(_xlfn.IFS(AW1584="SIM",SUM(L1584,Q1584,V1584,AA1584,AF1584,AK1584,AP1584,AU1584)+AX1584/_xlfn.XLOOKUP(_xlfn.XLOOKUP($F1584,Clientes!$B$4:$B$39,Clientes!$C$4:$C$39),Cadastros!$L$6:$L$12,Cadastros!$M$6:$M$12)+IF($F1584="Bernardino Furlan",AY1584/2751.92,IF($F1584="Mauro José Salanti",AY1584/2751.92,AY1584/3356)),F1584&lt;&gt;0,SUM(L1584,Q1584,V1584,AA1584,AF1584,AK1584,AP1584,AU1584)))*(1-0.03),_xlfn.IFS(AW1584="SIM",SUM(L1584,Q1584,V1584,AA1584,AF1584,AK1584,AP1584,AU1584)+AX1584/_xlfn.XLOOKUP(_xlfn.XLOOKUP($F1584,Clientes!$B$4:$B$39,Clientes!$C$4:$C$39),Cadastros!$L$6:$L$12,Cadastros!$M$6:$M$12)+IF($F1584="Bernardino Furlan",AY1584/2751.92,IF($F1584="Mauro José Salanti",AY1584/2751.92,AY1584/3356)),F1584&lt;&gt;0,SUM(L1584,Q1584,V1584,AA1584,AF1584,AK1584,AP1584,AU1584))))</f>
        <v xml:space="preserve"> </v>
      </c>
      <c r="BE1584" s="120"/>
      <c r="BF1584" s="120"/>
      <c r="BG1584" s="120"/>
    </row>
    <row r="1585" spans="1:59" s="3" customFormat="1" x14ac:dyDescent="0.3">
      <c r="A1585" s="15" t="str">
        <f t="shared" si="312"/>
        <v/>
      </c>
      <c r="B1585" s="25"/>
      <c r="C1585" s="26"/>
      <c r="D1585" s="279"/>
      <c r="E1585" s="27"/>
      <c r="F1585" s="28"/>
      <c r="G1585" s="27"/>
      <c r="H1585" s="28"/>
      <c r="I1585" s="28"/>
      <c r="J1585" s="255" t="str">
        <f>IF(H1585="","",(_xlfn.XLOOKUP(H1585,Cadastros!$D$6:$D$90,Cadastros!$E$6:$E$90))*(1-_xlfn.XLOOKUP(_xlfn.XLOOKUP($F1585,Clientes!$B$4:$B$39,Clientes!$C$4:$C$39),Cadastros!$L$6:$L$12,Cadastros!$N$6:$N$12)))</f>
        <v/>
      </c>
      <c r="K1585" s="168" t="str">
        <f t="shared" si="313"/>
        <v/>
      </c>
      <c r="L1585" s="168" t="str">
        <f>IFERROR(K1585/_xlfn.XLOOKUP(_xlfn.XLOOKUP($F1585,Clientes!$B$4:$B$39,Clientes!$C$4:$C$39),Cadastros!$L$6:$L$12,Cadastros!$M$6:$M$12)," ")</f>
        <v xml:space="preserve"> </v>
      </c>
      <c r="M1585" s="28"/>
      <c r="N1585" s="28"/>
      <c r="O1585" s="255" t="str">
        <f>IF(M1585="","",(_xlfn.XLOOKUP(M1585,Cadastros!$D$6:$D$90,Cadastros!$E$6:$E$90))*(1-_xlfn.XLOOKUP(_xlfn.XLOOKUP($F1585,Clientes!$B$4:$B$39,Clientes!$C$4:$C$39),Cadastros!$L$6:$L$12,Cadastros!$N$6:$N$12)))</f>
        <v/>
      </c>
      <c r="P1585" s="168" t="str">
        <f t="shared" si="314"/>
        <v/>
      </c>
      <c r="Q1585" s="168" t="str">
        <f>IFERROR(P1585/_xlfn.XLOOKUP(_xlfn.XLOOKUP($F1585,Clientes!$B$4:$B$39,Clientes!$C$4:$C$39),Cadastros!$L$6:$L$12,Cadastros!$M$6:$M$12)," ")</f>
        <v xml:space="preserve"> </v>
      </c>
      <c r="R1585" s="28"/>
      <c r="S1585" s="28"/>
      <c r="T1585" s="255" t="str">
        <f>IF(R1585="","",(_xlfn.XLOOKUP(R1585,Cadastros!$D$6:$D$90,Cadastros!$E$6:$E$90))*(1-_xlfn.XLOOKUP(_xlfn.XLOOKUP($F1585,Clientes!$B$4:$B$39,Clientes!$C$4:$C$39),Cadastros!$L$6:$L$12,Cadastros!$N$6:$N$12)))</f>
        <v/>
      </c>
      <c r="U1585" s="168" t="str">
        <f t="shared" si="315"/>
        <v/>
      </c>
      <c r="V1585" s="168" t="str">
        <f>IFERROR(U1585/_xlfn.XLOOKUP(_xlfn.XLOOKUP($F1585,Clientes!$B$4:$B$39,Clientes!$C$4:$C$39),Cadastros!$L$6:$L$12,Cadastros!$M$6:$M$12)," ")</f>
        <v xml:space="preserve"> </v>
      </c>
      <c r="W1585" s="28"/>
      <c r="X1585" s="28"/>
      <c r="Y1585" s="255" t="str">
        <f>IF(W1585="","",(_xlfn.XLOOKUP(W1585,Cadastros!$D$6:$D$90,Cadastros!$E$6:$E$90))*(1-_xlfn.XLOOKUP(_xlfn.XLOOKUP($F1585,Clientes!$B$4:$B$39,Clientes!$C$4:$C$39),Cadastros!$L$6:$L$12,Cadastros!$N$6:$N$12)))</f>
        <v/>
      </c>
      <c r="Z1585" s="168" t="str">
        <f t="shared" si="316"/>
        <v/>
      </c>
      <c r="AA1585" s="168" t="str">
        <f>IFERROR(Z1585/_xlfn.XLOOKUP(_xlfn.XLOOKUP($F1585,Clientes!$B$4:$B$39,Clientes!$C$4:$C$39),Cadastros!$L$6:$L$12,Cadastros!$M$6:$M$12)," ")</f>
        <v xml:space="preserve"> </v>
      </c>
      <c r="AB1585" s="28"/>
      <c r="AC1585" s="28"/>
      <c r="AD1585" s="20" t="str">
        <f>IF(AB1585="","",IF($F1585="Bernardino Furlan",_xlfn.XLOOKUP(AB1585,Cadastros!$G$6:$G$90,Cadastros!$H$6:$H$90)*(1-0.18),IF($F1585="Mauro José Salanti",_xlfn.XLOOKUP(AB1585,Cadastros!$G$6:$G$90,Cadastros!$H$6:$H$90)*(1-0.18),_xlfn.XLOOKUP(AB1585,Cadastros!$G$6:$G$90,Cadastros!$H$6:$H$90))))</f>
        <v/>
      </c>
      <c r="AE1585" s="168" t="str">
        <f t="shared" si="317"/>
        <v/>
      </c>
      <c r="AF1585" s="168" t="str">
        <f t="shared" si="318"/>
        <v/>
      </c>
      <c r="AG1585" s="28"/>
      <c r="AH1585" s="28"/>
      <c r="AI1585" s="20" t="str">
        <f>IF(AG1585="","",IF($F1585="Bernardino Furlan",_xlfn.XLOOKUP(AG1585,Cadastros!$G$6:$G$90,Cadastros!$H$6:$H$90)*(1-0.18),IF($F1585="Mauro José Salanti",_xlfn.XLOOKUP(AG1585,Cadastros!$G$6:$G$90,Cadastros!$H$6:$H$90)*(1-0.18),_xlfn.XLOOKUP(AG1585,Cadastros!$G$6:$G$90,Cadastros!$H$6:$H$90))))</f>
        <v/>
      </c>
      <c r="AJ1585" s="168" t="str">
        <f t="shared" si="319"/>
        <v/>
      </c>
      <c r="AK1585" s="168" t="str">
        <f t="shared" si="320"/>
        <v/>
      </c>
      <c r="AL1585" s="28"/>
      <c r="AM1585" s="28"/>
      <c r="AN1585" s="20" t="str">
        <f>IF(AL1585="","",IF($F1585="Bernardino Furlan",_xlfn.XLOOKUP(AL1585,Cadastros!$G$6:$G$90,Cadastros!$H$6:$H$90)*(1-0.18),IF($F1585="Mauro José Salanti",_xlfn.XLOOKUP(AL1585,Cadastros!$G$6:$G$90,Cadastros!$H$6:$H$90)*(1-0.18),_xlfn.XLOOKUP(AL1585,Cadastros!$G$6:$G$90,Cadastros!$H$6:$H$90))))</f>
        <v/>
      </c>
      <c r="AO1585" s="168" t="str">
        <f t="shared" si="321"/>
        <v/>
      </c>
      <c r="AP1585" s="168" t="str">
        <f t="shared" si="322"/>
        <v/>
      </c>
      <c r="AQ1585" s="28"/>
      <c r="AR1585" s="28"/>
      <c r="AS1585" s="20" t="str">
        <f>IF(AQ1585="","",IF($F1585="Bernardino Furlan",_xlfn.XLOOKUP(AQ1585,Cadastros!$G$6:$G$90,Cadastros!$H$6:$H$90)*(1-0.18),IF($F1585="Mauro José Salanti",_xlfn.XLOOKUP(AQ1585,Cadastros!$G$6:$G$90,Cadastros!$H$6:$H$90)*(1-0.18),_xlfn.XLOOKUP(AQ1585,Cadastros!$G$6:$G$90,Cadastros!$H$6:$H$90))))</f>
        <v/>
      </c>
      <c r="AT1585" s="168" t="str">
        <f t="shared" si="323"/>
        <v/>
      </c>
      <c r="AU1585" s="168" t="str">
        <f t="shared" si="324"/>
        <v/>
      </c>
      <c r="AV1585" s="227"/>
      <c r="AW1585" s="30"/>
      <c r="AX1585" s="267"/>
      <c r="AY1585" s="267"/>
      <c r="AZ1585" s="29"/>
      <c r="BA1585" s="30"/>
      <c r="BB1585" s="23" t="str" cm="1">
        <f t="array" ref="BB1585">_xlfn.IFS(AW1585="SIM",SUM(K1585,P1585,U1585,Z1585,AE1585,AJ1585,AO1585,AT1585,AX1585,AY1585),F1585&lt;&gt;"",SUM(K1585,P1585,U1585,Z1585,AE1585,AJ1585,,AO1585,AT1585),F1585="","")</f>
        <v/>
      </c>
      <c r="BC1585" s="211" t="str" cm="1">
        <f t="array" ref="BC1585">_xlfn.IFS(E1585="","",G1585&lt;=E1585,BB1585*(1-0.03),G1585&lt;(E1585+8),BB1585,AZ1585="Boleto",BB1585*(1+0.001)^DATEDIF(E1585,G1585,"D"),AZ1585="Cheque",BB1585,AZ1585="Dinheiro","Alterar forma pgto")</f>
        <v/>
      </c>
      <c r="BD1585" s="276" t="str" cm="1">
        <f t="array" ref="BD1585">IF(F1585=0," ",IF(BC1585&lt;BB1585,(_xlfn.IFS(AW1585="SIM",SUM(L1585,Q1585,V1585,AA1585,AF1585,AK1585,AP1585,AU1585)+AX1585/_xlfn.XLOOKUP(_xlfn.XLOOKUP($F1585,Clientes!$B$4:$B$39,Clientes!$C$4:$C$39),Cadastros!$L$6:$L$12,Cadastros!$M$6:$M$12)+IF($F1585="Bernardino Furlan",AY1585/2751.92,IF($F1585="Mauro José Salanti",AY1585/2751.92,AY1585/3356)),F1585&lt;&gt;0,SUM(L1585,Q1585,V1585,AA1585,AF1585,AK1585,AP1585,AU1585)))*(1-0.03),_xlfn.IFS(AW1585="SIM",SUM(L1585,Q1585,V1585,AA1585,AF1585,AK1585,AP1585,AU1585)+AX1585/_xlfn.XLOOKUP(_xlfn.XLOOKUP($F1585,Clientes!$B$4:$B$39,Clientes!$C$4:$C$39),Cadastros!$L$6:$L$12,Cadastros!$M$6:$M$12)+IF($F1585="Bernardino Furlan",AY1585/2751.92,IF($F1585="Mauro José Salanti",AY1585/2751.92,AY1585/3356)),F1585&lt;&gt;0,SUM(L1585,Q1585,V1585,AA1585,AF1585,AK1585,AP1585,AU1585))))</f>
        <v xml:space="preserve"> </v>
      </c>
      <c r="BE1585" s="120"/>
      <c r="BF1585" s="120"/>
      <c r="BG1585" s="120"/>
    </row>
    <row r="1586" spans="1:59" s="3" customFormat="1" x14ac:dyDescent="0.3">
      <c r="A1586" s="15" t="str">
        <f t="shared" si="312"/>
        <v/>
      </c>
      <c r="B1586" s="25"/>
      <c r="C1586" s="26"/>
      <c r="D1586" s="279"/>
      <c r="E1586" s="27"/>
      <c r="F1586" s="28"/>
      <c r="G1586" s="27"/>
      <c r="H1586" s="28"/>
      <c r="I1586" s="28"/>
      <c r="J1586" s="255" t="str">
        <f>IF(H1586="","",(_xlfn.XLOOKUP(H1586,Cadastros!$D$6:$D$90,Cadastros!$E$6:$E$90))*(1-_xlfn.XLOOKUP(_xlfn.XLOOKUP($F1586,Clientes!$B$4:$B$39,Clientes!$C$4:$C$39),Cadastros!$L$6:$L$12,Cadastros!$N$6:$N$12)))</f>
        <v/>
      </c>
      <c r="K1586" s="168" t="str">
        <f t="shared" si="313"/>
        <v/>
      </c>
      <c r="L1586" s="168" t="str">
        <f>IFERROR(K1586/_xlfn.XLOOKUP(_xlfn.XLOOKUP($F1586,Clientes!$B$4:$B$39,Clientes!$C$4:$C$39),Cadastros!$L$6:$L$12,Cadastros!$M$6:$M$12)," ")</f>
        <v xml:space="preserve"> </v>
      </c>
      <c r="M1586" s="28"/>
      <c r="N1586" s="28"/>
      <c r="O1586" s="255" t="str">
        <f>IF(M1586="","",(_xlfn.XLOOKUP(M1586,Cadastros!$D$6:$D$90,Cadastros!$E$6:$E$90))*(1-_xlfn.XLOOKUP(_xlfn.XLOOKUP($F1586,Clientes!$B$4:$B$39,Clientes!$C$4:$C$39),Cadastros!$L$6:$L$12,Cadastros!$N$6:$N$12)))</f>
        <v/>
      </c>
      <c r="P1586" s="168" t="str">
        <f t="shared" si="314"/>
        <v/>
      </c>
      <c r="Q1586" s="168" t="str">
        <f>IFERROR(P1586/_xlfn.XLOOKUP(_xlfn.XLOOKUP($F1586,Clientes!$B$4:$B$39,Clientes!$C$4:$C$39),Cadastros!$L$6:$L$12,Cadastros!$M$6:$M$12)," ")</f>
        <v xml:space="preserve"> </v>
      </c>
      <c r="R1586" s="28"/>
      <c r="S1586" s="28"/>
      <c r="T1586" s="255" t="str">
        <f>IF(R1586="","",(_xlfn.XLOOKUP(R1586,Cadastros!$D$6:$D$90,Cadastros!$E$6:$E$90))*(1-_xlfn.XLOOKUP(_xlfn.XLOOKUP($F1586,Clientes!$B$4:$B$39,Clientes!$C$4:$C$39),Cadastros!$L$6:$L$12,Cadastros!$N$6:$N$12)))</f>
        <v/>
      </c>
      <c r="U1586" s="168" t="str">
        <f t="shared" si="315"/>
        <v/>
      </c>
      <c r="V1586" s="168" t="str">
        <f>IFERROR(U1586/_xlfn.XLOOKUP(_xlfn.XLOOKUP($F1586,Clientes!$B$4:$B$39,Clientes!$C$4:$C$39),Cadastros!$L$6:$L$12,Cadastros!$M$6:$M$12)," ")</f>
        <v xml:space="preserve"> </v>
      </c>
      <c r="W1586" s="28"/>
      <c r="X1586" s="28"/>
      <c r="Y1586" s="255" t="str">
        <f>IF(W1586="","",(_xlfn.XLOOKUP(W1586,Cadastros!$D$6:$D$90,Cadastros!$E$6:$E$90))*(1-_xlfn.XLOOKUP(_xlfn.XLOOKUP($F1586,Clientes!$B$4:$B$39,Clientes!$C$4:$C$39),Cadastros!$L$6:$L$12,Cadastros!$N$6:$N$12)))</f>
        <v/>
      </c>
      <c r="Z1586" s="168" t="str">
        <f t="shared" si="316"/>
        <v/>
      </c>
      <c r="AA1586" s="168" t="str">
        <f>IFERROR(Z1586/_xlfn.XLOOKUP(_xlfn.XLOOKUP($F1586,Clientes!$B$4:$B$39,Clientes!$C$4:$C$39),Cadastros!$L$6:$L$12,Cadastros!$M$6:$M$12)," ")</f>
        <v xml:space="preserve"> </v>
      </c>
      <c r="AB1586" s="28"/>
      <c r="AC1586" s="28"/>
      <c r="AD1586" s="20" t="str">
        <f>IF(AB1586="","",IF($F1586="Bernardino Furlan",_xlfn.XLOOKUP(AB1586,Cadastros!$G$6:$G$90,Cadastros!$H$6:$H$90)*(1-0.18),IF($F1586="Mauro José Salanti",_xlfn.XLOOKUP(AB1586,Cadastros!$G$6:$G$90,Cadastros!$H$6:$H$90)*(1-0.18),_xlfn.XLOOKUP(AB1586,Cadastros!$G$6:$G$90,Cadastros!$H$6:$H$90))))</f>
        <v/>
      </c>
      <c r="AE1586" s="168" t="str">
        <f t="shared" si="317"/>
        <v/>
      </c>
      <c r="AF1586" s="168" t="str">
        <f t="shared" si="318"/>
        <v/>
      </c>
      <c r="AG1586" s="28"/>
      <c r="AH1586" s="28"/>
      <c r="AI1586" s="20" t="str">
        <f>IF(AG1586="","",IF($F1586="Bernardino Furlan",_xlfn.XLOOKUP(AG1586,Cadastros!$G$6:$G$90,Cadastros!$H$6:$H$90)*(1-0.18),IF($F1586="Mauro José Salanti",_xlfn.XLOOKUP(AG1586,Cadastros!$G$6:$G$90,Cadastros!$H$6:$H$90)*(1-0.18),_xlfn.XLOOKUP(AG1586,Cadastros!$G$6:$G$90,Cadastros!$H$6:$H$90))))</f>
        <v/>
      </c>
      <c r="AJ1586" s="168" t="str">
        <f t="shared" si="319"/>
        <v/>
      </c>
      <c r="AK1586" s="168" t="str">
        <f t="shared" si="320"/>
        <v/>
      </c>
      <c r="AL1586" s="28"/>
      <c r="AM1586" s="28"/>
      <c r="AN1586" s="20" t="str">
        <f>IF(AL1586="","",IF($F1586="Bernardino Furlan",_xlfn.XLOOKUP(AL1586,Cadastros!$G$6:$G$90,Cadastros!$H$6:$H$90)*(1-0.18),IF($F1586="Mauro José Salanti",_xlfn.XLOOKUP(AL1586,Cadastros!$G$6:$G$90,Cadastros!$H$6:$H$90)*(1-0.18),_xlfn.XLOOKUP(AL1586,Cadastros!$G$6:$G$90,Cadastros!$H$6:$H$90))))</f>
        <v/>
      </c>
      <c r="AO1586" s="168" t="str">
        <f t="shared" si="321"/>
        <v/>
      </c>
      <c r="AP1586" s="168" t="str">
        <f t="shared" si="322"/>
        <v/>
      </c>
      <c r="AQ1586" s="28"/>
      <c r="AR1586" s="28"/>
      <c r="AS1586" s="20" t="str">
        <f>IF(AQ1586="","",IF($F1586="Bernardino Furlan",_xlfn.XLOOKUP(AQ1586,Cadastros!$G$6:$G$90,Cadastros!$H$6:$H$90)*(1-0.18),IF($F1586="Mauro José Salanti",_xlfn.XLOOKUP(AQ1586,Cadastros!$G$6:$G$90,Cadastros!$H$6:$H$90)*(1-0.18),_xlfn.XLOOKUP(AQ1586,Cadastros!$G$6:$G$90,Cadastros!$H$6:$H$90))))</f>
        <v/>
      </c>
      <c r="AT1586" s="168" t="str">
        <f t="shared" si="323"/>
        <v/>
      </c>
      <c r="AU1586" s="168" t="str">
        <f t="shared" si="324"/>
        <v/>
      </c>
      <c r="AV1586" s="227"/>
      <c r="AW1586" s="30"/>
      <c r="AX1586" s="267"/>
      <c r="AY1586" s="267"/>
      <c r="AZ1586" s="29"/>
      <c r="BA1586" s="30"/>
      <c r="BB1586" s="23" t="str" cm="1">
        <f t="array" ref="BB1586">_xlfn.IFS(AW1586="SIM",SUM(K1586,P1586,U1586,Z1586,AE1586,AJ1586,AO1586,AT1586,AX1586,AY1586),F1586&lt;&gt;"",SUM(K1586,P1586,U1586,Z1586,AE1586,AJ1586,,AO1586,AT1586),F1586="","")</f>
        <v/>
      </c>
      <c r="BC1586" s="211" t="str" cm="1">
        <f t="array" ref="BC1586">_xlfn.IFS(E1586="","",G1586&lt;=E1586,BB1586*(1-0.03),G1586&lt;(E1586+8),BB1586,AZ1586="Boleto",BB1586*(1+0.001)^DATEDIF(E1586,G1586,"D"),AZ1586="Cheque",BB1586,AZ1586="Dinheiro","Alterar forma pgto")</f>
        <v/>
      </c>
      <c r="BD1586" s="276" t="str" cm="1">
        <f t="array" ref="BD1586">IF(F1586=0," ",IF(BC1586&lt;BB1586,(_xlfn.IFS(AW1586="SIM",SUM(L1586,Q1586,V1586,AA1586,AF1586,AK1586,AP1586,AU1586)+AX1586/_xlfn.XLOOKUP(_xlfn.XLOOKUP($F1586,Clientes!$B$4:$B$39,Clientes!$C$4:$C$39),Cadastros!$L$6:$L$12,Cadastros!$M$6:$M$12)+IF($F1586="Bernardino Furlan",AY1586/2751.92,IF($F1586="Mauro José Salanti",AY1586/2751.92,AY1586/3356)),F1586&lt;&gt;0,SUM(L1586,Q1586,V1586,AA1586,AF1586,AK1586,AP1586,AU1586)))*(1-0.03),_xlfn.IFS(AW1586="SIM",SUM(L1586,Q1586,V1586,AA1586,AF1586,AK1586,AP1586,AU1586)+AX1586/_xlfn.XLOOKUP(_xlfn.XLOOKUP($F1586,Clientes!$B$4:$B$39,Clientes!$C$4:$C$39),Cadastros!$L$6:$L$12,Cadastros!$M$6:$M$12)+IF($F1586="Bernardino Furlan",AY1586/2751.92,IF($F1586="Mauro José Salanti",AY1586/2751.92,AY1586/3356)),F1586&lt;&gt;0,SUM(L1586,Q1586,V1586,AA1586,AF1586,AK1586,AP1586,AU1586))))</f>
        <v xml:space="preserve"> </v>
      </c>
      <c r="BE1586" s="120"/>
      <c r="BF1586" s="120"/>
      <c r="BG1586" s="120"/>
    </row>
    <row r="1587" spans="1:59" s="3" customFormat="1" x14ac:dyDescent="0.3">
      <c r="A1587" s="15" t="str">
        <f t="shared" si="312"/>
        <v/>
      </c>
      <c r="B1587" s="25"/>
      <c r="C1587" s="26"/>
      <c r="D1587" s="279"/>
      <c r="E1587" s="27"/>
      <c r="F1587" s="28"/>
      <c r="G1587" s="27"/>
      <c r="H1587" s="28"/>
      <c r="I1587" s="28"/>
      <c r="J1587" s="255" t="str">
        <f>IF(H1587="","",(_xlfn.XLOOKUP(H1587,Cadastros!$D$6:$D$90,Cadastros!$E$6:$E$90))*(1-_xlfn.XLOOKUP(_xlfn.XLOOKUP($F1587,Clientes!$B$4:$B$39,Clientes!$C$4:$C$39),Cadastros!$L$6:$L$12,Cadastros!$N$6:$N$12)))</f>
        <v/>
      </c>
      <c r="K1587" s="168" t="str">
        <f t="shared" si="313"/>
        <v/>
      </c>
      <c r="L1587" s="168" t="str">
        <f>IFERROR(K1587/_xlfn.XLOOKUP(_xlfn.XLOOKUP($F1587,Clientes!$B$4:$B$39,Clientes!$C$4:$C$39),Cadastros!$L$6:$L$12,Cadastros!$M$6:$M$12)," ")</f>
        <v xml:space="preserve"> </v>
      </c>
      <c r="M1587" s="28"/>
      <c r="N1587" s="28"/>
      <c r="O1587" s="255" t="str">
        <f>IF(M1587="","",(_xlfn.XLOOKUP(M1587,Cadastros!$D$6:$D$90,Cadastros!$E$6:$E$90))*(1-_xlfn.XLOOKUP(_xlfn.XLOOKUP($F1587,Clientes!$B$4:$B$39,Clientes!$C$4:$C$39),Cadastros!$L$6:$L$12,Cadastros!$N$6:$N$12)))</f>
        <v/>
      </c>
      <c r="P1587" s="168" t="str">
        <f t="shared" si="314"/>
        <v/>
      </c>
      <c r="Q1587" s="168" t="str">
        <f>IFERROR(P1587/_xlfn.XLOOKUP(_xlfn.XLOOKUP($F1587,Clientes!$B$4:$B$39,Clientes!$C$4:$C$39),Cadastros!$L$6:$L$12,Cadastros!$M$6:$M$12)," ")</f>
        <v xml:space="preserve"> </v>
      </c>
      <c r="R1587" s="28"/>
      <c r="S1587" s="28"/>
      <c r="T1587" s="255" t="str">
        <f>IF(R1587="","",(_xlfn.XLOOKUP(R1587,Cadastros!$D$6:$D$90,Cadastros!$E$6:$E$90))*(1-_xlfn.XLOOKUP(_xlfn.XLOOKUP($F1587,Clientes!$B$4:$B$39,Clientes!$C$4:$C$39),Cadastros!$L$6:$L$12,Cadastros!$N$6:$N$12)))</f>
        <v/>
      </c>
      <c r="U1587" s="168" t="str">
        <f t="shared" si="315"/>
        <v/>
      </c>
      <c r="V1587" s="168" t="str">
        <f>IFERROR(U1587/_xlfn.XLOOKUP(_xlfn.XLOOKUP($F1587,Clientes!$B$4:$B$39,Clientes!$C$4:$C$39),Cadastros!$L$6:$L$12,Cadastros!$M$6:$M$12)," ")</f>
        <v xml:space="preserve"> </v>
      </c>
      <c r="W1587" s="28"/>
      <c r="X1587" s="28"/>
      <c r="Y1587" s="255" t="str">
        <f>IF(W1587="","",(_xlfn.XLOOKUP(W1587,Cadastros!$D$6:$D$90,Cadastros!$E$6:$E$90))*(1-_xlfn.XLOOKUP(_xlfn.XLOOKUP($F1587,Clientes!$B$4:$B$39,Clientes!$C$4:$C$39),Cadastros!$L$6:$L$12,Cadastros!$N$6:$N$12)))</f>
        <v/>
      </c>
      <c r="Z1587" s="168" t="str">
        <f t="shared" si="316"/>
        <v/>
      </c>
      <c r="AA1587" s="168" t="str">
        <f>IFERROR(Z1587/_xlfn.XLOOKUP(_xlfn.XLOOKUP($F1587,Clientes!$B$4:$B$39,Clientes!$C$4:$C$39),Cadastros!$L$6:$L$12,Cadastros!$M$6:$M$12)," ")</f>
        <v xml:space="preserve"> </v>
      </c>
      <c r="AB1587" s="28"/>
      <c r="AC1587" s="28"/>
      <c r="AD1587" s="20" t="str">
        <f>IF(AB1587="","",IF($F1587="Bernardino Furlan",_xlfn.XLOOKUP(AB1587,Cadastros!$G$6:$G$90,Cadastros!$H$6:$H$90)*(1-0.18),IF($F1587="Mauro José Salanti",_xlfn.XLOOKUP(AB1587,Cadastros!$G$6:$G$90,Cadastros!$H$6:$H$90)*(1-0.18),_xlfn.XLOOKUP(AB1587,Cadastros!$G$6:$G$90,Cadastros!$H$6:$H$90))))</f>
        <v/>
      </c>
      <c r="AE1587" s="168" t="str">
        <f t="shared" si="317"/>
        <v/>
      </c>
      <c r="AF1587" s="168" t="str">
        <f t="shared" si="318"/>
        <v/>
      </c>
      <c r="AG1587" s="28"/>
      <c r="AH1587" s="28"/>
      <c r="AI1587" s="20" t="str">
        <f>IF(AG1587="","",IF($F1587="Bernardino Furlan",_xlfn.XLOOKUP(AG1587,Cadastros!$G$6:$G$90,Cadastros!$H$6:$H$90)*(1-0.18),IF($F1587="Mauro José Salanti",_xlfn.XLOOKUP(AG1587,Cadastros!$G$6:$G$90,Cadastros!$H$6:$H$90)*(1-0.18),_xlfn.XLOOKUP(AG1587,Cadastros!$G$6:$G$90,Cadastros!$H$6:$H$90))))</f>
        <v/>
      </c>
      <c r="AJ1587" s="168" t="str">
        <f t="shared" si="319"/>
        <v/>
      </c>
      <c r="AK1587" s="168" t="str">
        <f t="shared" si="320"/>
        <v/>
      </c>
      <c r="AL1587" s="28"/>
      <c r="AM1587" s="28"/>
      <c r="AN1587" s="20" t="str">
        <f>IF(AL1587="","",IF($F1587="Bernardino Furlan",_xlfn.XLOOKUP(AL1587,Cadastros!$G$6:$G$90,Cadastros!$H$6:$H$90)*(1-0.18),IF($F1587="Mauro José Salanti",_xlfn.XLOOKUP(AL1587,Cadastros!$G$6:$G$90,Cadastros!$H$6:$H$90)*(1-0.18),_xlfn.XLOOKUP(AL1587,Cadastros!$G$6:$G$90,Cadastros!$H$6:$H$90))))</f>
        <v/>
      </c>
      <c r="AO1587" s="168" t="str">
        <f t="shared" si="321"/>
        <v/>
      </c>
      <c r="AP1587" s="168" t="str">
        <f t="shared" si="322"/>
        <v/>
      </c>
      <c r="AQ1587" s="28"/>
      <c r="AR1587" s="28"/>
      <c r="AS1587" s="20" t="str">
        <f>IF(AQ1587="","",IF($F1587="Bernardino Furlan",_xlfn.XLOOKUP(AQ1587,Cadastros!$G$6:$G$90,Cadastros!$H$6:$H$90)*(1-0.18),IF($F1587="Mauro José Salanti",_xlfn.XLOOKUP(AQ1587,Cadastros!$G$6:$G$90,Cadastros!$H$6:$H$90)*(1-0.18),_xlfn.XLOOKUP(AQ1587,Cadastros!$G$6:$G$90,Cadastros!$H$6:$H$90))))</f>
        <v/>
      </c>
      <c r="AT1587" s="168" t="str">
        <f t="shared" si="323"/>
        <v/>
      </c>
      <c r="AU1587" s="168" t="str">
        <f t="shared" si="324"/>
        <v/>
      </c>
      <c r="AV1587" s="227"/>
      <c r="AW1587" s="30"/>
      <c r="AX1587" s="267"/>
      <c r="AY1587" s="267"/>
      <c r="AZ1587" s="29"/>
      <c r="BA1587" s="30"/>
      <c r="BB1587" s="23" t="str" cm="1">
        <f t="array" ref="BB1587">_xlfn.IFS(AW1587="SIM",SUM(K1587,P1587,U1587,Z1587,AE1587,AJ1587,AO1587,AT1587,AX1587,AY1587),F1587&lt;&gt;"",SUM(K1587,P1587,U1587,Z1587,AE1587,AJ1587,,AO1587,AT1587),F1587="","")</f>
        <v/>
      </c>
      <c r="BC1587" s="211" t="str" cm="1">
        <f t="array" ref="BC1587">_xlfn.IFS(E1587="","",G1587&lt;=E1587,BB1587*(1-0.03),G1587&lt;(E1587+8),BB1587,AZ1587="Boleto",BB1587*(1+0.001)^DATEDIF(E1587,G1587,"D"),AZ1587="Cheque",BB1587,AZ1587="Dinheiro","Alterar forma pgto")</f>
        <v/>
      </c>
      <c r="BD1587" s="276" t="str" cm="1">
        <f t="array" ref="BD1587">IF(F1587=0," ",IF(BC1587&lt;BB1587,(_xlfn.IFS(AW1587="SIM",SUM(L1587,Q1587,V1587,AA1587,AF1587,AK1587,AP1587,AU1587)+AX1587/_xlfn.XLOOKUP(_xlfn.XLOOKUP($F1587,Clientes!$B$4:$B$39,Clientes!$C$4:$C$39),Cadastros!$L$6:$L$12,Cadastros!$M$6:$M$12)+IF($F1587="Bernardino Furlan",AY1587/2751.92,IF($F1587="Mauro José Salanti",AY1587/2751.92,AY1587/3356)),F1587&lt;&gt;0,SUM(L1587,Q1587,V1587,AA1587,AF1587,AK1587,AP1587,AU1587)))*(1-0.03),_xlfn.IFS(AW1587="SIM",SUM(L1587,Q1587,V1587,AA1587,AF1587,AK1587,AP1587,AU1587)+AX1587/_xlfn.XLOOKUP(_xlfn.XLOOKUP($F1587,Clientes!$B$4:$B$39,Clientes!$C$4:$C$39),Cadastros!$L$6:$L$12,Cadastros!$M$6:$M$12)+IF($F1587="Bernardino Furlan",AY1587/2751.92,IF($F1587="Mauro José Salanti",AY1587/2751.92,AY1587/3356)),F1587&lt;&gt;0,SUM(L1587,Q1587,V1587,AA1587,AF1587,AK1587,AP1587,AU1587))))</f>
        <v xml:space="preserve"> </v>
      </c>
      <c r="BE1587" s="120"/>
      <c r="BF1587" s="120"/>
      <c r="BG1587" s="120"/>
    </row>
    <row r="1588" spans="1:59" s="3" customFormat="1" x14ac:dyDescent="0.3">
      <c r="A1588" s="15" t="str">
        <f t="shared" si="312"/>
        <v/>
      </c>
      <c r="B1588" s="25"/>
      <c r="C1588" s="26"/>
      <c r="D1588" s="279"/>
      <c r="E1588" s="27"/>
      <c r="F1588" s="28"/>
      <c r="G1588" s="27"/>
      <c r="H1588" s="28"/>
      <c r="I1588" s="28"/>
      <c r="J1588" s="255" t="str">
        <f>IF(H1588="","",(_xlfn.XLOOKUP(H1588,Cadastros!$D$6:$D$90,Cadastros!$E$6:$E$90))*(1-_xlfn.XLOOKUP(_xlfn.XLOOKUP($F1588,Clientes!$B$4:$B$39,Clientes!$C$4:$C$39),Cadastros!$L$6:$L$12,Cadastros!$N$6:$N$12)))</f>
        <v/>
      </c>
      <c r="K1588" s="168" t="str">
        <f t="shared" si="313"/>
        <v/>
      </c>
      <c r="L1588" s="168" t="str">
        <f>IFERROR(K1588/_xlfn.XLOOKUP(_xlfn.XLOOKUP($F1588,Clientes!$B$4:$B$39,Clientes!$C$4:$C$39),Cadastros!$L$6:$L$12,Cadastros!$M$6:$M$12)," ")</f>
        <v xml:space="preserve"> </v>
      </c>
      <c r="M1588" s="28"/>
      <c r="N1588" s="28"/>
      <c r="O1588" s="255" t="str">
        <f>IF(M1588="","",(_xlfn.XLOOKUP(M1588,Cadastros!$D$6:$D$90,Cadastros!$E$6:$E$90))*(1-_xlfn.XLOOKUP(_xlfn.XLOOKUP($F1588,Clientes!$B$4:$B$39,Clientes!$C$4:$C$39),Cadastros!$L$6:$L$12,Cadastros!$N$6:$N$12)))</f>
        <v/>
      </c>
      <c r="P1588" s="168" t="str">
        <f t="shared" si="314"/>
        <v/>
      </c>
      <c r="Q1588" s="168" t="str">
        <f>IFERROR(P1588/_xlfn.XLOOKUP(_xlfn.XLOOKUP($F1588,Clientes!$B$4:$B$39,Clientes!$C$4:$C$39),Cadastros!$L$6:$L$12,Cadastros!$M$6:$M$12)," ")</f>
        <v xml:space="preserve"> </v>
      </c>
      <c r="R1588" s="28"/>
      <c r="S1588" s="28"/>
      <c r="T1588" s="255" t="str">
        <f>IF(R1588="","",(_xlfn.XLOOKUP(R1588,Cadastros!$D$6:$D$90,Cadastros!$E$6:$E$90))*(1-_xlfn.XLOOKUP(_xlfn.XLOOKUP($F1588,Clientes!$B$4:$B$39,Clientes!$C$4:$C$39),Cadastros!$L$6:$L$12,Cadastros!$N$6:$N$12)))</f>
        <v/>
      </c>
      <c r="U1588" s="168" t="str">
        <f t="shared" si="315"/>
        <v/>
      </c>
      <c r="V1588" s="168" t="str">
        <f>IFERROR(U1588/_xlfn.XLOOKUP(_xlfn.XLOOKUP($F1588,Clientes!$B$4:$B$39,Clientes!$C$4:$C$39),Cadastros!$L$6:$L$12,Cadastros!$M$6:$M$12)," ")</f>
        <v xml:space="preserve"> </v>
      </c>
      <c r="W1588" s="28"/>
      <c r="X1588" s="28"/>
      <c r="Y1588" s="255" t="str">
        <f>IF(W1588="","",(_xlfn.XLOOKUP(W1588,Cadastros!$D$6:$D$90,Cadastros!$E$6:$E$90))*(1-_xlfn.XLOOKUP(_xlfn.XLOOKUP($F1588,Clientes!$B$4:$B$39,Clientes!$C$4:$C$39),Cadastros!$L$6:$L$12,Cadastros!$N$6:$N$12)))</f>
        <v/>
      </c>
      <c r="Z1588" s="168" t="str">
        <f t="shared" si="316"/>
        <v/>
      </c>
      <c r="AA1588" s="168" t="str">
        <f>IFERROR(Z1588/_xlfn.XLOOKUP(_xlfn.XLOOKUP($F1588,Clientes!$B$4:$B$39,Clientes!$C$4:$C$39),Cadastros!$L$6:$L$12,Cadastros!$M$6:$M$12)," ")</f>
        <v xml:space="preserve"> </v>
      </c>
      <c r="AB1588" s="28"/>
      <c r="AC1588" s="28"/>
      <c r="AD1588" s="20" t="str">
        <f>IF(AB1588="","",IF($F1588="Bernardino Furlan",_xlfn.XLOOKUP(AB1588,Cadastros!$G$6:$G$90,Cadastros!$H$6:$H$90)*(1-0.18),IF($F1588="Mauro José Salanti",_xlfn.XLOOKUP(AB1588,Cadastros!$G$6:$G$90,Cadastros!$H$6:$H$90)*(1-0.18),_xlfn.XLOOKUP(AB1588,Cadastros!$G$6:$G$90,Cadastros!$H$6:$H$90))))</f>
        <v/>
      </c>
      <c r="AE1588" s="168" t="str">
        <f t="shared" si="317"/>
        <v/>
      </c>
      <c r="AF1588" s="168" t="str">
        <f t="shared" si="318"/>
        <v/>
      </c>
      <c r="AG1588" s="28"/>
      <c r="AH1588" s="28"/>
      <c r="AI1588" s="20" t="str">
        <f>IF(AG1588="","",IF($F1588="Bernardino Furlan",_xlfn.XLOOKUP(AG1588,Cadastros!$G$6:$G$90,Cadastros!$H$6:$H$90)*(1-0.18),IF($F1588="Mauro José Salanti",_xlfn.XLOOKUP(AG1588,Cadastros!$G$6:$G$90,Cadastros!$H$6:$H$90)*(1-0.18),_xlfn.XLOOKUP(AG1588,Cadastros!$G$6:$G$90,Cadastros!$H$6:$H$90))))</f>
        <v/>
      </c>
      <c r="AJ1588" s="168" t="str">
        <f t="shared" si="319"/>
        <v/>
      </c>
      <c r="AK1588" s="168" t="str">
        <f t="shared" si="320"/>
        <v/>
      </c>
      <c r="AL1588" s="28"/>
      <c r="AM1588" s="28"/>
      <c r="AN1588" s="20" t="str">
        <f>IF(AL1588="","",IF($F1588="Bernardino Furlan",_xlfn.XLOOKUP(AL1588,Cadastros!$G$6:$G$90,Cadastros!$H$6:$H$90)*(1-0.18),IF($F1588="Mauro José Salanti",_xlfn.XLOOKUP(AL1588,Cadastros!$G$6:$G$90,Cadastros!$H$6:$H$90)*(1-0.18),_xlfn.XLOOKUP(AL1588,Cadastros!$G$6:$G$90,Cadastros!$H$6:$H$90))))</f>
        <v/>
      </c>
      <c r="AO1588" s="168" t="str">
        <f t="shared" si="321"/>
        <v/>
      </c>
      <c r="AP1588" s="168" t="str">
        <f t="shared" si="322"/>
        <v/>
      </c>
      <c r="AQ1588" s="28"/>
      <c r="AR1588" s="28"/>
      <c r="AS1588" s="20" t="str">
        <f>IF(AQ1588="","",IF($F1588="Bernardino Furlan",_xlfn.XLOOKUP(AQ1588,Cadastros!$G$6:$G$90,Cadastros!$H$6:$H$90)*(1-0.18),IF($F1588="Mauro José Salanti",_xlfn.XLOOKUP(AQ1588,Cadastros!$G$6:$G$90,Cadastros!$H$6:$H$90)*(1-0.18),_xlfn.XLOOKUP(AQ1588,Cadastros!$G$6:$G$90,Cadastros!$H$6:$H$90))))</f>
        <v/>
      </c>
      <c r="AT1588" s="168" t="str">
        <f t="shared" si="323"/>
        <v/>
      </c>
      <c r="AU1588" s="168" t="str">
        <f t="shared" si="324"/>
        <v/>
      </c>
      <c r="AV1588" s="227"/>
      <c r="AW1588" s="30"/>
      <c r="AX1588" s="267"/>
      <c r="AY1588" s="267"/>
      <c r="AZ1588" s="29"/>
      <c r="BA1588" s="30"/>
      <c r="BB1588" s="23" t="str" cm="1">
        <f t="array" ref="BB1588">_xlfn.IFS(AW1588="SIM",SUM(K1588,P1588,U1588,Z1588,AE1588,AJ1588,AO1588,AT1588,AX1588,AY1588),F1588&lt;&gt;"",SUM(K1588,P1588,U1588,Z1588,AE1588,AJ1588,,AO1588,AT1588),F1588="","")</f>
        <v/>
      </c>
      <c r="BC1588" s="211" t="str" cm="1">
        <f t="array" ref="BC1588">_xlfn.IFS(E1588="","",G1588&lt;=E1588,BB1588*(1-0.03),G1588&lt;(E1588+8),BB1588,AZ1588="Boleto",BB1588*(1+0.001)^DATEDIF(E1588,G1588,"D"),AZ1588="Cheque",BB1588,AZ1588="Dinheiro","Alterar forma pgto")</f>
        <v/>
      </c>
      <c r="BD1588" s="276" t="str" cm="1">
        <f t="array" ref="BD1588">IF(F1588=0," ",IF(BC1588&lt;BB1588,(_xlfn.IFS(AW1588="SIM",SUM(L1588,Q1588,V1588,AA1588,AF1588,AK1588,AP1588,AU1588)+AX1588/_xlfn.XLOOKUP(_xlfn.XLOOKUP($F1588,Clientes!$B$4:$B$39,Clientes!$C$4:$C$39),Cadastros!$L$6:$L$12,Cadastros!$M$6:$M$12)+IF($F1588="Bernardino Furlan",AY1588/2751.92,IF($F1588="Mauro José Salanti",AY1588/2751.92,AY1588/3356)),F1588&lt;&gt;0,SUM(L1588,Q1588,V1588,AA1588,AF1588,AK1588,AP1588,AU1588)))*(1-0.03),_xlfn.IFS(AW1588="SIM",SUM(L1588,Q1588,V1588,AA1588,AF1588,AK1588,AP1588,AU1588)+AX1588/_xlfn.XLOOKUP(_xlfn.XLOOKUP($F1588,Clientes!$B$4:$B$39,Clientes!$C$4:$C$39),Cadastros!$L$6:$L$12,Cadastros!$M$6:$M$12)+IF($F1588="Bernardino Furlan",AY1588/2751.92,IF($F1588="Mauro José Salanti",AY1588/2751.92,AY1588/3356)),F1588&lt;&gt;0,SUM(L1588,Q1588,V1588,AA1588,AF1588,AK1588,AP1588,AU1588))))</f>
        <v xml:space="preserve"> </v>
      </c>
      <c r="BE1588" s="120"/>
      <c r="BF1588" s="120"/>
      <c r="BG1588" s="120"/>
    </row>
    <row r="1589" spans="1:59" s="3" customFormat="1" x14ac:dyDescent="0.3">
      <c r="A1589" s="15" t="str">
        <f t="shared" si="312"/>
        <v/>
      </c>
      <c r="B1589" s="25"/>
      <c r="C1589" s="26"/>
      <c r="D1589" s="279"/>
      <c r="E1589" s="27"/>
      <c r="F1589" s="28"/>
      <c r="G1589" s="27"/>
      <c r="H1589" s="28"/>
      <c r="I1589" s="28"/>
      <c r="J1589" s="255" t="str">
        <f>IF(H1589="","",(_xlfn.XLOOKUP(H1589,Cadastros!$D$6:$D$90,Cadastros!$E$6:$E$90))*(1-_xlfn.XLOOKUP(_xlfn.XLOOKUP($F1589,Clientes!$B$4:$B$39,Clientes!$C$4:$C$39),Cadastros!$L$6:$L$12,Cadastros!$N$6:$N$12)))</f>
        <v/>
      </c>
      <c r="K1589" s="168" t="str">
        <f t="shared" si="313"/>
        <v/>
      </c>
      <c r="L1589" s="168" t="str">
        <f>IFERROR(K1589/_xlfn.XLOOKUP(_xlfn.XLOOKUP($F1589,Clientes!$B$4:$B$39,Clientes!$C$4:$C$39),Cadastros!$L$6:$L$12,Cadastros!$M$6:$M$12)," ")</f>
        <v xml:space="preserve"> </v>
      </c>
      <c r="M1589" s="28"/>
      <c r="N1589" s="28"/>
      <c r="O1589" s="255" t="str">
        <f>IF(M1589="","",(_xlfn.XLOOKUP(M1589,Cadastros!$D$6:$D$90,Cadastros!$E$6:$E$90))*(1-_xlfn.XLOOKUP(_xlfn.XLOOKUP($F1589,Clientes!$B$4:$B$39,Clientes!$C$4:$C$39),Cadastros!$L$6:$L$12,Cadastros!$N$6:$N$12)))</f>
        <v/>
      </c>
      <c r="P1589" s="168" t="str">
        <f t="shared" si="314"/>
        <v/>
      </c>
      <c r="Q1589" s="168" t="str">
        <f>IFERROR(P1589/_xlfn.XLOOKUP(_xlfn.XLOOKUP($F1589,Clientes!$B$4:$B$39,Clientes!$C$4:$C$39),Cadastros!$L$6:$L$12,Cadastros!$M$6:$M$12)," ")</f>
        <v xml:space="preserve"> </v>
      </c>
      <c r="R1589" s="28"/>
      <c r="S1589" s="28"/>
      <c r="T1589" s="255" t="str">
        <f>IF(R1589="","",(_xlfn.XLOOKUP(R1589,Cadastros!$D$6:$D$90,Cadastros!$E$6:$E$90))*(1-_xlfn.XLOOKUP(_xlfn.XLOOKUP($F1589,Clientes!$B$4:$B$39,Clientes!$C$4:$C$39),Cadastros!$L$6:$L$12,Cadastros!$N$6:$N$12)))</f>
        <v/>
      </c>
      <c r="U1589" s="168" t="str">
        <f t="shared" si="315"/>
        <v/>
      </c>
      <c r="V1589" s="168" t="str">
        <f>IFERROR(U1589/_xlfn.XLOOKUP(_xlfn.XLOOKUP($F1589,Clientes!$B$4:$B$39,Clientes!$C$4:$C$39),Cadastros!$L$6:$L$12,Cadastros!$M$6:$M$12)," ")</f>
        <v xml:space="preserve"> </v>
      </c>
      <c r="W1589" s="28"/>
      <c r="X1589" s="28"/>
      <c r="Y1589" s="255" t="str">
        <f>IF(W1589="","",(_xlfn.XLOOKUP(W1589,Cadastros!$D$6:$D$90,Cadastros!$E$6:$E$90))*(1-_xlfn.XLOOKUP(_xlfn.XLOOKUP($F1589,Clientes!$B$4:$B$39,Clientes!$C$4:$C$39),Cadastros!$L$6:$L$12,Cadastros!$N$6:$N$12)))</f>
        <v/>
      </c>
      <c r="Z1589" s="168" t="str">
        <f t="shared" si="316"/>
        <v/>
      </c>
      <c r="AA1589" s="168" t="str">
        <f>IFERROR(Z1589/_xlfn.XLOOKUP(_xlfn.XLOOKUP($F1589,Clientes!$B$4:$B$39,Clientes!$C$4:$C$39),Cadastros!$L$6:$L$12,Cadastros!$M$6:$M$12)," ")</f>
        <v xml:space="preserve"> </v>
      </c>
      <c r="AB1589" s="28"/>
      <c r="AC1589" s="28"/>
      <c r="AD1589" s="20" t="str">
        <f>IF(AB1589="","",IF($F1589="Bernardino Furlan",_xlfn.XLOOKUP(AB1589,Cadastros!$G$6:$G$90,Cadastros!$H$6:$H$90)*(1-0.18),IF($F1589="Mauro José Salanti",_xlfn.XLOOKUP(AB1589,Cadastros!$G$6:$G$90,Cadastros!$H$6:$H$90)*(1-0.18),_xlfn.XLOOKUP(AB1589,Cadastros!$G$6:$G$90,Cadastros!$H$6:$H$90))))</f>
        <v/>
      </c>
      <c r="AE1589" s="168" t="str">
        <f t="shared" si="317"/>
        <v/>
      </c>
      <c r="AF1589" s="168" t="str">
        <f t="shared" si="318"/>
        <v/>
      </c>
      <c r="AG1589" s="28"/>
      <c r="AH1589" s="28"/>
      <c r="AI1589" s="20" t="str">
        <f>IF(AG1589="","",IF($F1589="Bernardino Furlan",_xlfn.XLOOKUP(AG1589,Cadastros!$G$6:$G$90,Cadastros!$H$6:$H$90)*(1-0.18),IF($F1589="Mauro José Salanti",_xlfn.XLOOKUP(AG1589,Cadastros!$G$6:$G$90,Cadastros!$H$6:$H$90)*(1-0.18),_xlfn.XLOOKUP(AG1589,Cadastros!$G$6:$G$90,Cadastros!$H$6:$H$90))))</f>
        <v/>
      </c>
      <c r="AJ1589" s="168" t="str">
        <f t="shared" si="319"/>
        <v/>
      </c>
      <c r="AK1589" s="168" t="str">
        <f t="shared" si="320"/>
        <v/>
      </c>
      <c r="AL1589" s="28"/>
      <c r="AM1589" s="28"/>
      <c r="AN1589" s="20" t="str">
        <f>IF(AL1589="","",IF($F1589="Bernardino Furlan",_xlfn.XLOOKUP(AL1589,Cadastros!$G$6:$G$90,Cadastros!$H$6:$H$90)*(1-0.18),IF($F1589="Mauro José Salanti",_xlfn.XLOOKUP(AL1589,Cadastros!$G$6:$G$90,Cadastros!$H$6:$H$90)*(1-0.18),_xlfn.XLOOKUP(AL1589,Cadastros!$G$6:$G$90,Cadastros!$H$6:$H$90))))</f>
        <v/>
      </c>
      <c r="AO1589" s="168" t="str">
        <f t="shared" si="321"/>
        <v/>
      </c>
      <c r="AP1589" s="168" t="str">
        <f t="shared" si="322"/>
        <v/>
      </c>
      <c r="AQ1589" s="28"/>
      <c r="AR1589" s="28"/>
      <c r="AS1589" s="20" t="str">
        <f>IF(AQ1589="","",IF($F1589="Bernardino Furlan",_xlfn.XLOOKUP(AQ1589,Cadastros!$G$6:$G$90,Cadastros!$H$6:$H$90)*(1-0.18),IF($F1589="Mauro José Salanti",_xlfn.XLOOKUP(AQ1589,Cadastros!$G$6:$G$90,Cadastros!$H$6:$H$90)*(1-0.18),_xlfn.XLOOKUP(AQ1589,Cadastros!$G$6:$G$90,Cadastros!$H$6:$H$90))))</f>
        <v/>
      </c>
      <c r="AT1589" s="168" t="str">
        <f t="shared" si="323"/>
        <v/>
      </c>
      <c r="AU1589" s="168" t="str">
        <f t="shared" si="324"/>
        <v/>
      </c>
      <c r="AV1589" s="227"/>
      <c r="AW1589" s="30"/>
      <c r="AX1589" s="267"/>
      <c r="AY1589" s="267"/>
      <c r="AZ1589" s="29"/>
      <c r="BA1589" s="30"/>
      <c r="BB1589" s="23" t="str" cm="1">
        <f t="array" ref="BB1589">_xlfn.IFS(AW1589="SIM",SUM(K1589,P1589,U1589,Z1589,AE1589,AJ1589,AO1589,AT1589,AX1589,AY1589),F1589&lt;&gt;"",SUM(K1589,P1589,U1589,Z1589,AE1589,AJ1589,,AO1589,AT1589),F1589="","")</f>
        <v/>
      </c>
      <c r="BC1589" s="211" t="str" cm="1">
        <f t="array" ref="BC1589">_xlfn.IFS(E1589="","",G1589&lt;=E1589,BB1589*(1-0.03),G1589&lt;(E1589+8),BB1589,AZ1589="Boleto",BB1589*(1+0.001)^DATEDIF(E1589,G1589,"D"),AZ1589="Cheque",BB1589,AZ1589="Dinheiro","Alterar forma pgto")</f>
        <v/>
      </c>
      <c r="BD1589" s="276" t="str" cm="1">
        <f t="array" ref="BD1589">IF(F1589=0," ",IF(BC1589&lt;BB1589,(_xlfn.IFS(AW1589="SIM",SUM(L1589,Q1589,V1589,AA1589,AF1589,AK1589,AP1589,AU1589)+AX1589/_xlfn.XLOOKUP(_xlfn.XLOOKUP($F1589,Clientes!$B$4:$B$39,Clientes!$C$4:$C$39),Cadastros!$L$6:$L$12,Cadastros!$M$6:$M$12)+IF($F1589="Bernardino Furlan",AY1589/2751.92,IF($F1589="Mauro José Salanti",AY1589/2751.92,AY1589/3356)),F1589&lt;&gt;0,SUM(L1589,Q1589,V1589,AA1589,AF1589,AK1589,AP1589,AU1589)))*(1-0.03),_xlfn.IFS(AW1589="SIM",SUM(L1589,Q1589,V1589,AA1589,AF1589,AK1589,AP1589,AU1589)+AX1589/_xlfn.XLOOKUP(_xlfn.XLOOKUP($F1589,Clientes!$B$4:$B$39,Clientes!$C$4:$C$39),Cadastros!$L$6:$L$12,Cadastros!$M$6:$M$12)+IF($F1589="Bernardino Furlan",AY1589/2751.92,IF($F1589="Mauro José Salanti",AY1589/2751.92,AY1589/3356)),F1589&lt;&gt;0,SUM(L1589,Q1589,V1589,AA1589,AF1589,AK1589,AP1589,AU1589))))</f>
        <v xml:space="preserve"> </v>
      </c>
      <c r="BE1589" s="120"/>
      <c r="BF1589" s="120"/>
      <c r="BG1589" s="120"/>
    </row>
    <row r="1590" spans="1:59" s="3" customFormat="1" x14ac:dyDescent="0.3">
      <c r="A1590" s="15" t="str">
        <f t="shared" si="312"/>
        <v/>
      </c>
      <c r="B1590" s="25"/>
      <c r="C1590" s="26"/>
      <c r="D1590" s="279"/>
      <c r="E1590" s="27"/>
      <c r="F1590" s="28"/>
      <c r="G1590" s="27"/>
      <c r="H1590" s="28"/>
      <c r="I1590" s="28"/>
      <c r="J1590" s="255" t="str">
        <f>IF(H1590="","",(_xlfn.XLOOKUP(H1590,Cadastros!$D$6:$D$90,Cadastros!$E$6:$E$90))*(1-_xlfn.XLOOKUP(_xlfn.XLOOKUP($F1590,Clientes!$B$4:$B$39,Clientes!$C$4:$C$39),Cadastros!$L$6:$L$12,Cadastros!$N$6:$N$12)))</f>
        <v/>
      </c>
      <c r="K1590" s="168" t="str">
        <f t="shared" si="313"/>
        <v/>
      </c>
      <c r="L1590" s="168" t="str">
        <f>IFERROR(K1590/_xlfn.XLOOKUP(_xlfn.XLOOKUP($F1590,Clientes!$B$4:$B$39,Clientes!$C$4:$C$39),Cadastros!$L$6:$L$12,Cadastros!$M$6:$M$12)," ")</f>
        <v xml:space="preserve"> </v>
      </c>
      <c r="M1590" s="28"/>
      <c r="N1590" s="28"/>
      <c r="O1590" s="255" t="str">
        <f>IF(M1590="","",(_xlfn.XLOOKUP(M1590,Cadastros!$D$6:$D$90,Cadastros!$E$6:$E$90))*(1-_xlfn.XLOOKUP(_xlfn.XLOOKUP($F1590,Clientes!$B$4:$B$39,Clientes!$C$4:$C$39),Cadastros!$L$6:$L$12,Cadastros!$N$6:$N$12)))</f>
        <v/>
      </c>
      <c r="P1590" s="168" t="str">
        <f t="shared" si="314"/>
        <v/>
      </c>
      <c r="Q1590" s="168" t="str">
        <f>IFERROR(P1590/_xlfn.XLOOKUP(_xlfn.XLOOKUP($F1590,Clientes!$B$4:$B$39,Clientes!$C$4:$C$39),Cadastros!$L$6:$L$12,Cadastros!$M$6:$M$12)," ")</f>
        <v xml:space="preserve"> </v>
      </c>
      <c r="R1590" s="28"/>
      <c r="S1590" s="28"/>
      <c r="T1590" s="255" t="str">
        <f>IF(R1590="","",(_xlfn.XLOOKUP(R1590,Cadastros!$D$6:$D$90,Cadastros!$E$6:$E$90))*(1-_xlfn.XLOOKUP(_xlfn.XLOOKUP($F1590,Clientes!$B$4:$B$39,Clientes!$C$4:$C$39),Cadastros!$L$6:$L$12,Cadastros!$N$6:$N$12)))</f>
        <v/>
      </c>
      <c r="U1590" s="168" t="str">
        <f t="shared" si="315"/>
        <v/>
      </c>
      <c r="V1590" s="168" t="str">
        <f>IFERROR(U1590/_xlfn.XLOOKUP(_xlfn.XLOOKUP($F1590,Clientes!$B$4:$B$39,Clientes!$C$4:$C$39),Cadastros!$L$6:$L$12,Cadastros!$M$6:$M$12)," ")</f>
        <v xml:space="preserve"> </v>
      </c>
      <c r="W1590" s="28"/>
      <c r="X1590" s="28"/>
      <c r="Y1590" s="255" t="str">
        <f>IF(W1590="","",(_xlfn.XLOOKUP(W1590,Cadastros!$D$6:$D$90,Cadastros!$E$6:$E$90))*(1-_xlfn.XLOOKUP(_xlfn.XLOOKUP($F1590,Clientes!$B$4:$B$39,Clientes!$C$4:$C$39),Cadastros!$L$6:$L$12,Cadastros!$N$6:$N$12)))</f>
        <v/>
      </c>
      <c r="Z1590" s="168" t="str">
        <f t="shared" si="316"/>
        <v/>
      </c>
      <c r="AA1590" s="168" t="str">
        <f>IFERROR(Z1590/_xlfn.XLOOKUP(_xlfn.XLOOKUP($F1590,Clientes!$B$4:$B$39,Clientes!$C$4:$C$39),Cadastros!$L$6:$L$12,Cadastros!$M$6:$M$12)," ")</f>
        <v xml:space="preserve"> </v>
      </c>
      <c r="AB1590" s="28"/>
      <c r="AC1590" s="28"/>
      <c r="AD1590" s="20" t="str">
        <f>IF(AB1590="","",IF($F1590="Bernardino Furlan",_xlfn.XLOOKUP(AB1590,Cadastros!$G$6:$G$90,Cadastros!$H$6:$H$90)*(1-0.18),IF($F1590="Mauro José Salanti",_xlfn.XLOOKUP(AB1590,Cadastros!$G$6:$G$90,Cadastros!$H$6:$H$90)*(1-0.18),_xlfn.XLOOKUP(AB1590,Cadastros!$G$6:$G$90,Cadastros!$H$6:$H$90))))</f>
        <v/>
      </c>
      <c r="AE1590" s="168" t="str">
        <f t="shared" si="317"/>
        <v/>
      </c>
      <c r="AF1590" s="168" t="str">
        <f t="shared" si="318"/>
        <v/>
      </c>
      <c r="AG1590" s="28"/>
      <c r="AH1590" s="28"/>
      <c r="AI1590" s="20" t="str">
        <f>IF(AG1590="","",IF($F1590="Bernardino Furlan",_xlfn.XLOOKUP(AG1590,Cadastros!$G$6:$G$90,Cadastros!$H$6:$H$90)*(1-0.18),IF($F1590="Mauro José Salanti",_xlfn.XLOOKUP(AG1590,Cadastros!$G$6:$G$90,Cadastros!$H$6:$H$90)*(1-0.18),_xlfn.XLOOKUP(AG1590,Cadastros!$G$6:$G$90,Cadastros!$H$6:$H$90))))</f>
        <v/>
      </c>
      <c r="AJ1590" s="168" t="str">
        <f t="shared" si="319"/>
        <v/>
      </c>
      <c r="AK1590" s="168" t="str">
        <f t="shared" si="320"/>
        <v/>
      </c>
      <c r="AL1590" s="28"/>
      <c r="AM1590" s="28"/>
      <c r="AN1590" s="20" t="str">
        <f>IF(AL1590="","",IF($F1590="Bernardino Furlan",_xlfn.XLOOKUP(AL1590,Cadastros!$G$6:$G$90,Cadastros!$H$6:$H$90)*(1-0.18),IF($F1590="Mauro José Salanti",_xlfn.XLOOKUP(AL1590,Cadastros!$G$6:$G$90,Cadastros!$H$6:$H$90)*(1-0.18),_xlfn.XLOOKUP(AL1590,Cadastros!$G$6:$G$90,Cadastros!$H$6:$H$90))))</f>
        <v/>
      </c>
      <c r="AO1590" s="168" t="str">
        <f t="shared" si="321"/>
        <v/>
      </c>
      <c r="AP1590" s="168" t="str">
        <f t="shared" si="322"/>
        <v/>
      </c>
      <c r="AQ1590" s="28"/>
      <c r="AR1590" s="28"/>
      <c r="AS1590" s="20" t="str">
        <f>IF(AQ1590="","",IF($F1590="Bernardino Furlan",_xlfn.XLOOKUP(AQ1590,Cadastros!$G$6:$G$90,Cadastros!$H$6:$H$90)*(1-0.18),IF($F1590="Mauro José Salanti",_xlfn.XLOOKUP(AQ1590,Cadastros!$G$6:$G$90,Cadastros!$H$6:$H$90)*(1-0.18),_xlfn.XLOOKUP(AQ1590,Cadastros!$G$6:$G$90,Cadastros!$H$6:$H$90))))</f>
        <v/>
      </c>
      <c r="AT1590" s="168" t="str">
        <f t="shared" si="323"/>
        <v/>
      </c>
      <c r="AU1590" s="168" t="str">
        <f t="shared" si="324"/>
        <v/>
      </c>
      <c r="AV1590" s="227"/>
      <c r="AW1590" s="30"/>
      <c r="AX1590" s="267"/>
      <c r="AY1590" s="267"/>
      <c r="AZ1590" s="29"/>
      <c r="BA1590" s="30"/>
      <c r="BB1590" s="23" t="str" cm="1">
        <f t="array" ref="BB1590">_xlfn.IFS(AW1590="SIM",SUM(K1590,P1590,U1590,Z1590,AE1590,AJ1590,AO1590,AT1590,AX1590,AY1590),F1590&lt;&gt;"",SUM(K1590,P1590,U1590,Z1590,AE1590,AJ1590,,AO1590,AT1590),F1590="","")</f>
        <v/>
      </c>
      <c r="BC1590" s="211" t="str" cm="1">
        <f t="array" ref="BC1590">_xlfn.IFS(E1590="","",G1590&lt;=E1590,BB1590*(1-0.03),G1590&lt;(E1590+8),BB1590,AZ1590="Boleto",BB1590*(1+0.001)^DATEDIF(E1590,G1590,"D"),AZ1590="Cheque",BB1590,AZ1590="Dinheiro","Alterar forma pgto")</f>
        <v/>
      </c>
      <c r="BD1590" s="276" t="str" cm="1">
        <f t="array" ref="BD1590">IF(F1590=0," ",IF(BC1590&lt;BB1590,(_xlfn.IFS(AW1590="SIM",SUM(L1590,Q1590,V1590,AA1590,AF1590,AK1590,AP1590,AU1590)+AX1590/_xlfn.XLOOKUP(_xlfn.XLOOKUP($F1590,Clientes!$B$4:$B$39,Clientes!$C$4:$C$39),Cadastros!$L$6:$L$12,Cadastros!$M$6:$M$12)+IF($F1590="Bernardino Furlan",AY1590/2751.92,IF($F1590="Mauro José Salanti",AY1590/2751.92,AY1590/3356)),F1590&lt;&gt;0,SUM(L1590,Q1590,V1590,AA1590,AF1590,AK1590,AP1590,AU1590)))*(1-0.03),_xlfn.IFS(AW1590="SIM",SUM(L1590,Q1590,V1590,AA1590,AF1590,AK1590,AP1590,AU1590)+AX1590/_xlfn.XLOOKUP(_xlfn.XLOOKUP($F1590,Clientes!$B$4:$B$39,Clientes!$C$4:$C$39),Cadastros!$L$6:$L$12,Cadastros!$M$6:$M$12)+IF($F1590="Bernardino Furlan",AY1590/2751.92,IF($F1590="Mauro José Salanti",AY1590/2751.92,AY1590/3356)),F1590&lt;&gt;0,SUM(L1590,Q1590,V1590,AA1590,AF1590,AK1590,AP1590,AU1590))))</f>
        <v xml:space="preserve"> </v>
      </c>
      <c r="BE1590" s="120"/>
      <c r="BF1590" s="120"/>
      <c r="BG1590" s="120"/>
    </row>
    <row r="1591" spans="1:59" s="3" customFormat="1" x14ac:dyDescent="0.3">
      <c r="A1591" s="15" t="str">
        <f t="shared" si="312"/>
        <v/>
      </c>
      <c r="B1591" s="25"/>
      <c r="C1591" s="26"/>
      <c r="D1591" s="279"/>
      <c r="E1591" s="27"/>
      <c r="F1591" s="28"/>
      <c r="G1591" s="27"/>
      <c r="H1591" s="28"/>
      <c r="I1591" s="28"/>
      <c r="J1591" s="255" t="str">
        <f>IF(H1591="","",(_xlfn.XLOOKUP(H1591,Cadastros!$D$6:$D$90,Cadastros!$E$6:$E$90))*(1-_xlfn.XLOOKUP(_xlfn.XLOOKUP($F1591,Clientes!$B$4:$B$39,Clientes!$C$4:$C$39),Cadastros!$L$6:$L$12,Cadastros!$N$6:$N$12)))</f>
        <v/>
      </c>
      <c r="K1591" s="168" t="str">
        <f t="shared" si="313"/>
        <v/>
      </c>
      <c r="L1591" s="168" t="str">
        <f>IFERROR(K1591/_xlfn.XLOOKUP(_xlfn.XLOOKUP($F1591,Clientes!$B$4:$B$39,Clientes!$C$4:$C$39),Cadastros!$L$6:$L$12,Cadastros!$M$6:$M$12)," ")</f>
        <v xml:space="preserve"> </v>
      </c>
      <c r="M1591" s="28"/>
      <c r="N1591" s="28"/>
      <c r="O1591" s="255" t="str">
        <f>IF(M1591="","",(_xlfn.XLOOKUP(M1591,Cadastros!$D$6:$D$90,Cadastros!$E$6:$E$90))*(1-_xlfn.XLOOKUP(_xlfn.XLOOKUP($F1591,Clientes!$B$4:$B$39,Clientes!$C$4:$C$39),Cadastros!$L$6:$L$12,Cadastros!$N$6:$N$12)))</f>
        <v/>
      </c>
      <c r="P1591" s="168" t="str">
        <f t="shared" si="314"/>
        <v/>
      </c>
      <c r="Q1591" s="168" t="str">
        <f>IFERROR(P1591/_xlfn.XLOOKUP(_xlfn.XLOOKUP($F1591,Clientes!$B$4:$B$39,Clientes!$C$4:$C$39),Cadastros!$L$6:$L$12,Cadastros!$M$6:$M$12)," ")</f>
        <v xml:space="preserve"> </v>
      </c>
      <c r="R1591" s="28"/>
      <c r="S1591" s="28"/>
      <c r="T1591" s="255" t="str">
        <f>IF(R1591="","",(_xlfn.XLOOKUP(R1591,Cadastros!$D$6:$D$90,Cadastros!$E$6:$E$90))*(1-_xlfn.XLOOKUP(_xlfn.XLOOKUP($F1591,Clientes!$B$4:$B$39,Clientes!$C$4:$C$39),Cadastros!$L$6:$L$12,Cadastros!$N$6:$N$12)))</f>
        <v/>
      </c>
      <c r="U1591" s="168" t="str">
        <f t="shared" si="315"/>
        <v/>
      </c>
      <c r="V1591" s="168" t="str">
        <f>IFERROR(U1591/_xlfn.XLOOKUP(_xlfn.XLOOKUP($F1591,Clientes!$B$4:$B$39,Clientes!$C$4:$C$39),Cadastros!$L$6:$L$12,Cadastros!$M$6:$M$12)," ")</f>
        <v xml:space="preserve"> </v>
      </c>
      <c r="W1591" s="28"/>
      <c r="X1591" s="28"/>
      <c r="Y1591" s="255" t="str">
        <f>IF(W1591="","",(_xlfn.XLOOKUP(W1591,Cadastros!$D$6:$D$90,Cadastros!$E$6:$E$90))*(1-_xlfn.XLOOKUP(_xlfn.XLOOKUP($F1591,Clientes!$B$4:$B$39,Clientes!$C$4:$C$39),Cadastros!$L$6:$L$12,Cadastros!$N$6:$N$12)))</f>
        <v/>
      </c>
      <c r="Z1591" s="168" t="str">
        <f t="shared" si="316"/>
        <v/>
      </c>
      <c r="AA1591" s="168" t="str">
        <f>IFERROR(Z1591/_xlfn.XLOOKUP(_xlfn.XLOOKUP($F1591,Clientes!$B$4:$B$39,Clientes!$C$4:$C$39),Cadastros!$L$6:$L$12,Cadastros!$M$6:$M$12)," ")</f>
        <v xml:space="preserve"> </v>
      </c>
      <c r="AB1591" s="28"/>
      <c r="AC1591" s="28"/>
      <c r="AD1591" s="20" t="str">
        <f>IF(AB1591="","",IF($F1591="Bernardino Furlan",_xlfn.XLOOKUP(AB1591,Cadastros!$G$6:$G$90,Cadastros!$H$6:$H$90)*(1-0.18),IF($F1591="Mauro José Salanti",_xlfn.XLOOKUP(AB1591,Cadastros!$G$6:$G$90,Cadastros!$H$6:$H$90)*(1-0.18),_xlfn.XLOOKUP(AB1591,Cadastros!$G$6:$G$90,Cadastros!$H$6:$H$90))))</f>
        <v/>
      </c>
      <c r="AE1591" s="168" t="str">
        <f t="shared" si="317"/>
        <v/>
      </c>
      <c r="AF1591" s="168" t="str">
        <f t="shared" si="318"/>
        <v/>
      </c>
      <c r="AG1591" s="28"/>
      <c r="AH1591" s="28"/>
      <c r="AI1591" s="20" t="str">
        <f>IF(AG1591="","",IF($F1591="Bernardino Furlan",_xlfn.XLOOKUP(AG1591,Cadastros!$G$6:$G$90,Cadastros!$H$6:$H$90)*(1-0.18),IF($F1591="Mauro José Salanti",_xlfn.XLOOKUP(AG1591,Cadastros!$G$6:$G$90,Cadastros!$H$6:$H$90)*(1-0.18),_xlfn.XLOOKUP(AG1591,Cadastros!$G$6:$G$90,Cadastros!$H$6:$H$90))))</f>
        <v/>
      </c>
      <c r="AJ1591" s="168" t="str">
        <f t="shared" si="319"/>
        <v/>
      </c>
      <c r="AK1591" s="168" t="str">
        <f t="shared" si="320"/>
        <v/>
      </c>
      <c r="AL1591" s="28"/>
      <c r="AM1591" s="28"/>
      <c r="AN1591" s="20" t="str">
        <f>IF(AL1591="","",IF($F1591="Bernardino Furlan",_xlfn.XLOOKUP(AL1591,Cadastros!$G$6:$G$90,Cadastros!$H$6:$H$90)*(1-0.18),IF($F1591="Mauro José Salanti",_xlfn.XLOOKUP(AL1591,Cadastros!$G$6:$G$90,Cadastros!$H$6:$H$90)*(1-0.18),_xlfn.XLOOKUP(AL1591,Cadastros!$G$6:$G$90,Cadastros!$H$6:$H$90))))</f>
        <v/>
      </c>
      <c r="AO1591" s="168" t="str">
        <f t="shared" si="321"/>
        <v/>
      </c>
      <c r="AP1591" s="168" t="str">
        <f t="shared" si="322"/>
        <v/>
      </c>
      <c r="AQ1591" s="28"/>
      <c r="AR1591" s="28"/>
      <c r="AS1591" s="20" t="str">
        <f>IF(AQ1591="","",IF($F1591="Bernardino Furlan",_xlfn.XLOOKUP(AQ1591,Cadastros!$G$6:$G$90,Cadastros!$H$6:$H$90)*(1-0.18),IF($F1591="Mauro José Salanti",_xlfn.XLOOKUP(AQ1591,Cadastros!$G$6:$G$90,Cadastros!$H$6:$H$90)*(1-0.18),_xlfn.XLOOKUP(AQ1591,Cadastros!$G$6:$G$90,Cadastros!$H$6:$H$90))))</f>
        <v/>
      </c>
      <c r="AT1591" s="168" t="str">
        <f t="shared" si="323"/>
        <v/>
      </c>
      <c r="AU1591" s="168" t="str">
        <f t="shared" si="324"/>
        <v/>
      </c>
      <c r="AV1591" s="227"/>
      <c r="AW1591" s="30"/>
      <c r="AX1591" s="267"/>
      <c r="AY1591" s="267"/>
      <c r="AZ1591" s="29"/>
      <c r="BA1591" s="30"/>
      <c r="BB1591" s="23" t="str" cm="1">
        <f t="array" ref="BB1591">_xlfn.IFS(AW1591="SIM",SUM(K1591,P1591,U1591,Z1591,AE1591,AJ1591,AO1591,AT1591,AX1591,AY1591),F1591&lt;&gt;"",SUM(K1591,P1591,U1591,Z1591,AE1591,AJ1591,,AO1591,AT1591),F1591="","")</f>
        <v/>
      </c>
      <c r="BC1591" s="211" t="str" cm="1">
        <f t="array" ref="BC1591">_xlfn.IFS(E1591="","",G1591&lt;=E1591,BB1591*(1-0.03),G1591&lt;(E1591+8),BB1591,AZ1591="Boleto",BB1591*(1+0.001)^DATEDIF(E1591,G1591,"D"),AZ1591="Cheque",BB1591,AZ1591="Dinheiro","Alterar forma pgto")</f>
        <v/>
      </c>
      <c r="BD1591" s="276" t="str" cm="1">
        <f t="array" ref="BD1591">IF(F1591=0," ",IF(BC1591&lt;BB1591,(_xlfn.IFS(AW1591="SIM",SUM(L1591,Q1591,V1591,AA1591,AF1591,AK1591,AP1591,AU1591)+AX1591/_xlfn.XLOOKUP(_xlfn.XLOOKUP($F1591,Clientes!$B$4:$B$39,Clientes!$C$4:$C$39),Cadastros!$L$6:$L$12,Cadastros!$M$6:$M$12)+IF($F1591="Bernardino Furlan",AY1591/2751.92,IF($F1591="Mauro José Salanti",AY1591/2751.92,AY1591/3356)),F1591&lt;&gt;0,SUM(L1591,Q1591,V1591,AA1591,AF1591,AK1591,AP1591,AU1591)))*(1-0.03),_xlfn.IFS(AW1591="SIM",SUM(L1591,Q1591,V1591,AA1591,AF1591,AK1591,AP1591,AU1591)+AX1591/_xlfn.XLOOKUP(_xlfn.XLOOKUP($F1591,Clientes!$B$4:$B$39,Clientes!$C$4:$C$39),Cadastros!$L$6:$L$12,Cadastros!$M$6:$M$12)+IF($F1591="Bernardino Furlan",AY1591/2751.92,IF($F1591="Mauro José Salanti",AY1591/2751.92,AY1591/3356)),F1591&lt;&gt;0,SUM(L1591,Q1591,V1591,AA1591,AF1591,AK1591,AP1591,AU1591))))</f>
        <v xml:space="preserve"> </v>
      </c>
      <c r="BE1591" s="120"/>
      <c r="BF1591" s="120"/>
      <c r="BG1591" s="120"/>
    </row>
    <row r="1592" spans="1:59" s="3" customFormat="1" x14ac:dyDescent="0.3">
      <c r="A1592" s="15" t="str">
        <f t="shared" si="312"/>
        <v/>
      </c>
      <c r="B1592" s="25"/>
      <c r="C1592" s="26"/>
      <c r="D1592" s="279"/>
      <c r="E1592" s="27"/>
      <c r="F1592" s="28"/>
      <c r="G1592" s="27"/>
      <c r="H1592" s="28"/>
      <c r="I1592" s="28"/>
      <c r="J1592" s="255" t="str">
        <f>IF(H1592="","",(_xlfn.XLOOKUP(H1592,Cadastros!$D$6:$D$90,Cadastros!$E$6:$E$90))*(1-_xlfn.XLOOKUP(_xlfn.XLOOKUP($F1592,Clientes!$B$4:$B$39,Clientes!$C$4:$C$39),Cadastros!$L$6:$L$12,Cadastros!$N$6:$N$12)))</f>
        <v/>
      </c>
      <c r="K1592" s="168" t="str">
        <f t="shared" si="313"/>
        <v/>
      </c>
      <c r="L1592" s="168" t="str">
        <f>IFERROR(K1592/_xlfn.XLOOKUP(_xlfn.XLOOKUP($F1592,Clientes!$B$4:$B$39,Clientes!$C$4:$C$39),Cadastros!$L$6:$L$12,Cadastros!$M$6:$M$12)," ")</f>
        <v xml:space="preserve"> </v>
      </c>
      <c r="M1592" s="28"/>
      <c r="N1592" s="28"/>
      <c r="O1592" s="255" t="str">
        <f>IF(M1592="","",(_xlfn.XLOOKUP(M1592,Cadastros!$D$6:$D$90,Cadastros!$E$6:$E$90))*(1-_xlfn.XLOOKUP(_xlfn.XLOOKUP($F1592,Clientes!$B$4:$B$39,Clientes!$C$4:$C$39),Cadastros!$L$6:$L$12,Cadastros!$N$6:$N$12)))</f>
        <v/>
      </c>
      <c r="P1592" s="168" t="str">
        <f t="shared" si="314"/>
        <v/>
      </c>
      <c r="Q1592" s="168" t="str">
        <f>IFERROR(P1592/_xlfn.XLOOKUP(_xlfn.XLOOKUP($F1592,Clientes!$B$4:$B$39,Clientes!$C$4:$C$39),Cadastros!$L$6:$L$12,Cadastros!$M$6:$M$12)," ")</f>
        <v xml:space="preserve"> </v>
      </c>
      <c r="R1592" s="28"/>
      <c r="S1592" s="28"/>
      <c r="T1592" s="255" t="str">
        <f>IF(R1592="","",(_xlfn.XLOOKUP(R1592,Cadastros!$D$6:$D$90,Cadastros!$E$6:$E$90))*(1-_xlfn.XLOOKUP(_xlfn.XLOOKUP($F1592,Clientes!$B$4:$B$39,Clientes!$C$4:$C$39),Cadastros!$L$6:$L$12,Cadastros!$N$6:$N$12)))</f>
        <v/>
      </c>
      <c r="U1592" s="168" t="str">
        <f t="shared" si="315"/>
        <v/>
      </c>
      <c r="V1592" s="168" t="str">
        <f>IFERROR(U1592/_xlfn.XLOOKUP(_xlfn.XLOOKUP($F1592,Clientes!$B$4:$B$39,Clientes!$C$4:$C$39),Cadastros!$L$6:$L$12,Cadastros!$M$6:$M$12)," ")</f>
        <v xml:space="preserve"> </v>
      </c>
      <c r="W1592" s="28"/>
      <c r="X1592" s="28"/>
      <c r="Y1592" s="255" t="str">
        <f>IF(W1592="","",(_xlfn.XLOOKUP(W1592,Cadastros!$D$6:$D$90,Cadastros!$E$6:$E$90))*(1-_xlfn.XLOOKUP(_xlfn.XLOOKUP($F1592,Clientes!$B$4:$B$39,Clientes!$C$4:$C$39),Cadastros!$L$6:$L$12,Cadastros!$N$6:$N$12)))</f>
        <v/>
      </c>
      <c r="Z1592" s="168" t="str">
        <f t="shared" si="316"/>
        <v/>
      </c>
      <c r="AA1592" s="168" t="str">
        <f>IFERROR(Z1592/_xlfn.XLOOKUP(_xlfn.XLOOKUP($F1592,Clientes!$B$4:$B$39,Clientes!$C$4:$C$39),Cadastros!$L$6:$L$12,Cadastros!$M$6:$M$12)," ")</f>
        <v xml:space="preserve"> </v>
      </c>
      <c r="AB1592" s="28"/>
      <c r="AC1592" s="28"/>
      <c r="AD1592" s="20" t="str">
        <f>IF(AB1592="","",IF($F1592="Bernardino Furlan",_xlfn.XLOOKUP(AB1592,Cadastros!$G$6:$G$90,Cadastros!$H$6:$H$90)*(1-0.18),IF($F1592="Mauro José Salanti",_xlfn.XLOOKUP(AB1592,Cadastros!$G$6:$G$90,Cadastros!$H$6:$H$90)*(1-0.18),_xlfn.XLOOKUP(AB1592,Cadastros!$G$6:$G$90,Cadastros!$H$6:$H$90))))</f>
        <v/>
      </c>
      <c r="AE1592" s="168" t="str">
        <f t="shared" si="317"/>
        <v/>
      </c>
      <c r="AF1592" s="168" t="str">
        <f t="shared" si="318"/>
        <v/>
      </c>
      <c r="AG1592" s="28"/>
      <c r="AH1592" s="28"/>
      <c r="AI1592" s="20" t="str">
        <f>IF(AG1592="","",IF($F1592="Bernardino Furlan",_xlfn.XLOOKUP(AG1592,Cadastros!$G$6:$G$90,Cadastros!$H$6:$H$90)*(1-0.18),IF($F1592="Mauro José Salanti",_xlfn.XLOOKUP(AG1592,Cadastros!$G$6:$G$90,Cadastros!$H$6:$H$90)*(1-0.18),_xlfn.XLOOKUP(AG1592,Cadastros!$G$6:$G$90,Cadastros!$H$6:$H$90))))</f>
        <v/>
      </c>
      <c r="AJ1592" s="168" t="str">
        <f t="shared" si="319"/>
        <v/>
      </c>
      <c r="AK1592" s="168" t="str">
        <f t="shared" si="320"/>
        <v/>
      </c>
      <c r="AL1592" s="28"/>
      <c r="AM1592" s="28"/>
      <c r="AN1592" s="20" t="str">
        <f>IF(AL1592="","",IF($F1592="Bernardino Furlan",_xlfn.XLOOKUP(AL1592,Cadastros!$G$6:$G$90,Cadastros!$H$6:$H$90)*(1-0.18),IF($F1592="Mauro José Salanti",_xlfn.XLOOKUP(AL1592,Cadastros!$G$6:$G$90,Cadastros!$H$6:$H$90)*(1-0.18),_xlfn.XLOOKUP(AL1592,Cadastros!$G$6:$G$90,Cadastros!$H$6:$H$90))))</f>
        <v/>
      </c>
      <c r="AO1592" s="168" t="str">
        <f t="shared" si="321"/>
        <v/>
      </c>
      <c r="AP1592" s="168" t="str">
        <f t="shared" si="322"/>
        <v/>
      </c>
      <c r="AQ1592" s="28"/>
      <c r="AR1592" s="28"/>
      <c r="AS1592" s="20" t="str">
        <f>IF(AQ1592="","",IF($F1592="Bernardino Furlan",_xlfn.XLOOKUP(AQ1592,Cadastros!$G$6:$G$90,Cadastros!$H$6:$H$90)*(1-0.18),IF($F1592="Mauro José Salanti",_xlfn.XLOOKUP(AQ1592,Cadastros!$G$6:$G$90,Cadastros!$H$6:$H$90)*(1-0.18),_xlfn.XLOOKUP(AQ1592,Cadastros!$G$6:$G$90,Cadastros!$H$6:$H$90))))</f>
        <v/>
      </c>
      <c r="AT1592" s="168" t="str">
        <f t="shared" si="323"/>
        <v/>
      </c>
      <c r="AU1592" s="168" t="str">
        <f t="shared" si="324"/>
        <v/>
      </c>
      <c r="AV1592" s="227"/>
      <c r="AW1592" s="30"/>
      <c r="AX1592" s="267"/>
      <c r="AY1592" s="267"/>
      <c r="AZ1592" s="29"/>
      <c r="BA1592" s="30"/>
      <c r="BB1592" s="23" t="str" cm="1">
        <f t="array" ref="BB1592">_xlfn.IFS(AW1592="SIM",SUM(K1592,P1592,U1592,Z1592,AE1592,AJ1592,AO1592,AT1592,AX1592,AY1592),F1592&lt;&gt;"",SUM(K1592,P1592,U1592,Z1592,AE1592,AJ1592,,AO1592,AT1592),F1592="","")</f>
        <v/>
      </c>
      <c r="BC1592" s="211" t="str" cm="1">
        <f t="array" ref="BC1592">_xlfn.IFS(E1592="","",G1592&lt;=E1592,BB1592*(1-0.03),G1592&lt;(E1592+8),BB1592,AZ1592="Boleto",BB1592*(1+0.001)^DATEDIF(E1592,G1592,"D"),AZ1592="Cheque",BB1592,AZ1592="Dinheiro","Alterar forma pgto")</f>
        <v/>
      </c>
      <c r="BD1592" s="276" t="str" cm="1">
        <f t="array" ref="BD1592">IF(F1592=0," ",IF(BC1592&lt;BB1592,(_xlfn.IFS(AW1592="SIM",SUM(L1592,Q1592,V1592,AA1592,AF1592,AK1592,AP1592,AU1592)+AX1592/_xlfn.XLOOKUP(_xlfn.XLOOKUP($F1592,Clientes!$B$4:$B$39,Clientes!$C$4:$C$39),Cadastros!$L$6:$L$12,Cadastros!$M$6:$M$12)+IF($F1592="Bernardino Furlan",AY1592/2751.92,IF($F1592="Mauro José Salanti",AY1592/2751.92,AY1592/3356)),F1592&lt;&gt;0,SUM(L1592,Q1592,V1592,AA1592,AF1592,AK1592,AP1592,AU1592)))*(1-0.03),_xlfn.IFS(AW1592="SIM",SUM(L1592,Q1592,V1592,AA1592,AF1592,AK1592,AP1592,AU1592)+AX1592/_xlfn.XLOOKUP(_xlfn.XLOOKUP($F1592,Clientes!$B$4:$B$39,Clientes!$C$4:$C$39),Cadastros!$L$6:$L$12,Cadastros!$M$6:$M$12)+IF($F1592="Bernardino Furlan",AY1592/2751.92,IF($F1592="Mauro José Salanti",AY1592/2751.92,AY1592/3356)),F1592&lt;&gt;0,SUM(L1592,Q1592,V1592,AA1592,AF1592,AK1592,AP1592,AU1592))))</f>
        <v xml:space="preserve"> </v>
      </c>
      <c r="BE1592" s="120"/>
      <c r="BF1592" s="120"/>
      <c r="BG1592" s="120"/>
    </row>
    <row r="1593" spans="1:59" s="3" customFormat="1" x14ac:dyDescent="0.3">
      <c r="A1593" s="15" t="str">
        <f t="shared" si="312"/>
        <v/>
      </c>
      <c r="B1593" s="25"/>
      <c r="C1593" s="26"/>
      <c r="D1593" s="279"/>
      <c r="E1593" s="27"/>
      <c r="F1593" s="28"/>
      <c r="G1593" s="27"/>
      <c r="H1593" s="28"/>
      <c r="I1593" s="28"/>
      <c r="J1593" s="255" t="str">
        <f>IF(H1593="","",(_xlfn.XLOOKUP(H1593,Cadastros!$D$6:$D$90,Cadastros!$E$6:$E$90))*(1-_xlfn.XLOOKUP(_xlfn.XLOOKUP($F1593,Clientes!$B$4:$B$39,Clientes!$C$4:$C$39),Cadastros!$L$6:$L$12,Cadastros!$N$6:$N$12)))</f>
        <v/>
      </c>
      <c r="K1593" s="168" t="str">
        <f t="shared" si="313"/>
        <v/>
      </c>
      <c r="L1593" s="168" t="str">
        <f>IFERROR(K1593/_xlfn.XLOOKUP(_xlfn.XLOOKUP($F1593,Clientes!$B$4:$B$39,Clientes!$C$4:$C$39),Cadastros!$L$6:$L$12,Cadastros!$M$6:$M$12)," ")</f>
        <v xml:space="preserve"> </v>
      </c>
      <c r="M1593" s="28"/>
      <c r="N1593" s="28"/>
      <c r="O1593" s="255" t="str">
        <f>IF(M1593="","",(_xlfn.XLOOKUP(M1593,Cadastros!$D$6:$D$90,Cadastros!$E$6:$E$90))*(1-_xlfn.XLOOKUP(_xlfn.XLOOKUP($F1593,Clientes!$B$4:$B$39,Clientes!$C$4:$C$39),Cadastros!$L$6:$L$12,Cadastros!$N$6:$N$12)))</f>
        <v/>
      </c>
      <c r="P1593" s="168" t="str">
        <f t="shared" si="314"/>
        <v/>
      </c>
      <c r="Q1593" s="168" t="str">
        <f>IFERROR(P1593/_xlfn.XLOOKUP(_xlfn.XLOOKUP($F1593,Clientes!$B$4:$B$39,Clientes!$C$4:$C$39),Cadastros!$L$6:$L$12,Cadastros!$M$6:$M$12)," ")</f>
        <v xml:space="preserve"> </v>
      </c>
      <c r="R1593" s="28"/>
      <c r="S1593" s="28"/>
      <c r="T1593" s="255" t="str">
        <f>IF(R1593="","",(_xlfn.XLOOKUP(R1593,Cadastros!$D$6:$D$90,Cadastros!$E$6:$E$90))*(1-_xlfn.XLOOKUP(_xlfn.XLOOKUP($F1593,Clientes!$B$4:$B$39,Clientes!$C$4:$C$39),Cadastros!$L$6:$L$12,Cadastros!$N$6:$N$12)))</f>
        <v/>
      </c>
      <c r="U1593" s="168" t="str">
        <f t="shared" si="315"/>
        <v/>
      </c>
      <c r="V1593" s="168" t="str">
        <f>IFERROR(U1593/_xlfn.XLOOKUP(_xlfn.XLOOKUP($F1593,Clientes!$B$4:$B$39,Clientes!$C$4:$C$39),Cadastros!$L$6:$L$12,Cadastros!$M$6:$M$12)," ")</f>
        <v xml:space="preserve"> </v>
      </c>
      <c r="W1593" s="28"/>
      <c r="X1593" s="28"/>
      <c r="Y1593" s="255" t="str">
        <f>IF(W1593="","",(_xlfn.XLOOKUP(W1593,Cadastros!$D$6:$D$90,Cadastros!$E$6:$E$90))*(1-_xlfn.XLOOKUP(_xlfn.XLOOKUP($F1593,Clientes!$B$4:$B$39,Clientes!$C$4:$C$39),Cadastros!$L$6:$L$12,Cadastros!$N$6:$N$12)))</f>
        <v/>
      </c>
      <c r="Z1593" s="168" t="str">
        <f t="shared" si="316"/>
        <v/>
      </c>
      <c r="AA1593" s="168" t="str">
        <f>IFERROR(Z1593/_xlfn.XLOOKUP(_xlfn.XLOOKUP($F1593,Clientes!$B$4:$B$39,Clientes!$C$4:$C$39),Cadastros!$L$6:$L$12,Cadastros!$M$6:$M$12)," ")</f>
        <v xml:space="preserve"> </v>
      </c>
      <c r="AB1593" s="28"/>
      <c r="AC1593" s="28"/>
      <c r="AD1593" s="20" t="str">
        <f>IF(AB1593="","",IF($F1593="Bernardino Furlan",_xlfn.XLOOKUP(AB1593,Cadastros!$G$6:$G$90,Cadastros!$H$6:$H$90)*(1-0.18),IF($F1593="Mauro José Salanti",_xlfn.XLOOKUP(AB1593,Cadastros!$G$6:$G$90,Cadastros!$H$6:$H$90)*(1-0.18),_xlfn.XLOOKUP(AB1593,Cadastros!$G$6:$G$90,Cadastros!$H$6:$H$90))))</f>
        <v/>
      </c>
      <c r="AE1593" s="168" t="str">
        <f t="shared" si="317"/>
        <v/>
      </c>
      <c r="AF1593" s="168" t="str">
        <f t="shared" si="318"/>
        <v/>
      </c>
      <c r="AG1593" s="28"/>
      <c r="AH1593" s="28"/>
      <c r="AI1593" s="20" t="str">
        <f>IF(AG1593="","",IF($F1593="Bernardino Furlan",_xlfn.XLOOKUP(AG1593,Cadastros!$G$6:$G$90,Cadastros!$H$6:$H$90)*(1-0.18),IF($F1593="Mauro José Salanti",_xlfn.XLOOKUP(AG1593,Cadastros!$G$6:$G$90,Cadastros!$H$6:$H$90)*(1-0.18),_xlfn.XLOOKUP(AG1593,Cadastros!$G$6:$G$90,Cadastros!$H$6:$H$90))))</f>
        <v/>
      </c>
      <c r="AJ1593" s="168" t="str">
        <f t="shared" si="319"/>
        <v/>
      </c>
      <c r="AK1593" s="168" t="str">
        <f t="shared" si="320"/>
        <v/>
      </c>
      <c r="AL1593" s="28"/>
      <c r="AM1593" s="28"/>
      <c r="AN1593" s="20" t="str">
        <f>IF(AL1593="","",IF($F1593="Bernardino Furlan",_xlfn.XLOOKUP(AL1593,Cadastros!$G$6:$G$90,Cadastros!$H$6:$H$90)*(1-0.18),IF($F1593="Mauro José Salanti",_xlfn.XLOOKUP(AL1593,Cadastros!$G$6:$G$90,Cadastros!$H$6:$H$90)*(1-0.18),_xlfn.XLOOKUP(AL1593,Cadastros!$G$6:$G$90,Cadastros!$H$6:$H$90))))</f>
        <v/>
      </c>
      <c r="AO1593" s="168" t="str">
        <f t="shared" si="321"/>
        <v/>
      </c>
      <c r="AP1593" s="168" t="str">
        <f t="shared" si="322"/>
        <v/>
      </c>
      <c r="AQ1593" s="28"/>
      <c r="AR1593" s="28"/>
      <c r="AS1593" s="20" t="str">
        <f>IF(AQ1593="","",IF($F1593="Bernardino Furlan",_xlfn.XLOOKUP(AQ1593,Cadastros!$G$6:$G$90,Cadastros!$H$6:$H$90)*(1-0.18),IF($F1593="Mauro José Salanti",_xlfn.XLOOKUP(AQ1593,Cadastros!$G$6:$G$90,Cadastros!$H$6:$H$90)*(1-0.18),_xlfn.XLOOKUP(AQ1593,Cadastros!$G$6:$G$90,Cadastros!$H$6:$H$90))))</f>
        <v/>
      </c>
      <c r="AT1593" s="168" t="str">
        <f t="shared" si="323"/>
        <v/>
      </c>
      <c r="AU1593" s="168" t="str">
        <f t="shared" si="324"/>
        <v/>
      </c>
      <c r="AV1593" s="227"/>
      <c r="AW1593" s="30"/>
      <c r="AX1593" s="267"/>
      <c r="AY1593" s="267"/>
      <c r="AZ1593" s="29"/>
      <c r="BA1593" s="30"/>
      <c r="BB1593" s="23" t="str" cm="1">
        <f t="array" ref="BB1593">_xlfn.IFS(AW1593="SIM",SUM(K1593,P1593,U1593,Z1593,AE1593,AJ1593,AO1593,AT1593,AX1593,AY1593),F1593&lt;&gt;"",SUM(K1593,P1593,U1593,Z1593,AE1593,AJ1593,,AO1593,AT1593),F1593="","")</f>
        <v/>
      </c>
      <c r="BC1593" s="211" t="str" cm="1">
        <f t="array" ref="BC1593">_xlfn.IFS(E1593="","",G1593&lt;=E1593,BB1593*(1-0.03),G1593&lt;(E1593+8),BB1593,AZ1593="Boleto",BB1593*(1+0.001)^DATEDIF(E1593,G1593,"D"),AZ1593="Cheque",BB1593,AZ1593="Dinheiro","Alterar forma pgto")</f>
        <v/>
      </c>
      <c r="BD1593" s="276" t="str" cm="1">
        <f t="array" ref="BD1593">IF(F1593=0," ",IF(BC1593&lt;BB1593,(_xlfn.IFS(AW1593="SIM",SUM(L1593,Q1593,V1593,AA1593,AF1593,AK1593,AP1593,AU1593)+AX1593/_xlfn.XLOOKUP(_xlfn.XLOOKUP($F1593,Clientes!$B$4:$B$39,Clientes!$C$4:$C$39),Cadastros!$L$6:$L$12,Cadastros!$M$6:$M$12)+IF($F1593="Bernardino Furlan",AY1593/2751.92,IF($F1593="Mauro José Salanti",AY1593/2751.92,AY1593/3356)),F1593&lt;&gt;0,SUM(L1593,Q1593,V1593,AA1593,AF1593,AK1593,AP1593,AU1593)))*(1-0.03),_xlfn.IFS(AW1593="SIM",SUM(L1593,Q1593,V1593,AA1593,AF1593,AK1593,AP1593,AU1593)+AX1593/_xlfn.XLOOKUP(_xlfn.XLOOKUP($F1593,Clientes!$B$4:$B$39,Clientes!$C$4:$C$39),Cadastros!$L$6:$L$12,Cadastros!$M$6:$M$12)+IF($F1593="Bernardino Furlan",AY1593/2751.92,IF($F1593="Mauro José Salanti",AY1593/2751.92,AY1593/3356)),F1593&lt;&gt;0,SUM(L1593,Q1593,V1593,AA1593,AF1593,AK1593,AP1593,AU1593))))</f>
        <v xml:space="preserve"> </v>
      </c>
      <c r="BE1593" s="120"/>
      <c r="BF1593" s="120"/>
      <c r="BG1593" s="120"/>
    </row>
    <row r="1594" spans="1:59" s="3" customFormat="1" x14ac:dyDescent="0.3">
      <c r="A1594" s="15" t="str">
        <f t="shared" si="312"/>
        <v/>
      </c>
      <c r="B1594" s="25"/>
      <c r="C1594" s="26"/>
      <c r="D1594" s="279"/>
      <c r="E1594" s="27"/>
      <c r="F1594" s="28"/>
      <c r="G1594" s="27"/>
      <c r="H1594" s="28"/>
      <c r="I1594" s="28"/>
      <c r="J1594" s="255" t="str">
        <f>IF(H1594="","",(_xlfn.XLOOKUP(H1594,Cadastros!$D$6:$D$90,Cadastros!$E$6:$E$90))*(1-_xlfn.XLOOKUP(_xlfn.XLOOKUP($F1594,Clientes!$B$4:$B$39,Clientes!$C$4:$C$39),Cadastros!$L$6:$L$12,Cadastros!$N$6:$N$12)))</f>
        <v/>
      </c>
      <c r="K1594" s="168" t="str">
        <f t="shared" si="313"/>
        <v/>
      </c>
      <c r="L1594" s="168" t="str">
        <f>IFERROR(K1594/_xlfn.XLOOKUP(_xlfn.XLOOKUP($F1594,Clientes!$B$4:$B$39,Clientes!$C$4:$C$39),Cadastros!$L$6:$L$12,Cadastros!$M$6:$M$12)," ")</f>
        <v xml:space="preserve"> </v>
      </c>
      <c r="M1594" s="28"/>
      <c r="N1594" s="28"/>
      <c r="O1594" s="255" t="str">
        <f>IF(M1594="","",(_xlfn.XLOOKUP(M1594,Cadastros!$D$6:$D$90,Cadastros!$E$6:$E$90))*(1-_xlfn.XLOOKUP(_xlfn.XLOOKUP($F1594,Clientes!$B$4:$B$39,Clientes!$C$4:$C$39),Cadastros!$L$6:$L$12,Cadastros!$N$6:$N$12)))</f>
        <v/>
      </c>
      <c r="P1594" s="168" t="str">
        <f t="shared" si="314"/>
        <v/>
      </c>
      <c r="Q1594" s="168" t="str">
        <f>IFERROR(P1594/_xlfn.XLOOKUP(_xlfn.XLOOKUP($F1594,Clientes!$B$4:$B$39,Clientes!$C$4:$C$39),Cadastros!$L$6:$L$12,Cadastros!$M$6:$M$12)," ")</f>
        <v xml:space="preserve"> </v>
      </c>
      <c r="R1594" s="28"/>
      <c r="S1594" s="28"/>
      <c r="T1594" s="255" t="str">
        <f>IF(R1594="","",(_xlfn.XLOOKUP(R1594,Cadastros!$D$6:$D$90,Cadastros!$E$6:$E$90))*(1-_xlfn.XLOOKUP(_xlfn.XLOOKUP($F1594,Clientes!$B$4:$B$39,Clientes!$C$4:$C$39),Cadastros!$L$6:$L$12,Cadastros!$N$6:$N$12)))</f>
        <v/>
      </c>
      <c r="U1594" s="168" t="str">
        <f t="shared" si="315"/>
        <v/>
      </c>
      <c r="V1594" s="168" t="str">
        <f>IFERROR(U1594/_xlfn.XLOOKUP(_xlfn.XLOOKUP($F1594,Clientes!$B$4:$B$39,Clientes!$C$4:$C$39),Cadastros!$L$6:$L$12,Cadastros!$M$6:$M$12)," ")</f>
        <v xml:space="preserve"> </v>
      </c>
      <c r="W1594" s="28"/>
      <c r="X1594" s="28"/>
      <c r="Y1594" s="255" t="str">
        <f>IF(W1594="","",(_xlfn.XLOOKUP(W1594,Cadastros!$D$6:$D$90,Cadastros!$E$6:$E$90))*(1-_xlfn.XLOOKUP(_xlfn.XLOOKUP($F1594,Clientes!$B$4:$B$39,Clientes!$C$4:$C$39),Cadastros!$L$6:$L$12,Cadastros!$N$6:$N$12)))</f>
        <v/>
      </c>
      <c r="Z1594" s="168" t="str">
        <f t="shared" si="316"/>
        <v/>
      </c>
      <c r="AA1594" s="168" t="str">
        <f>IFERROR(Z1594/_xlfn.XLOOKUP(_xlfn.XLOOKUP($F1594,Clientes!$B$4:$B$39,Clientes!$C$4:$C$39),Cadastros!$L$6:$L$12,Cadastros!$M$6:$M$12)," ")</f>
        <v xml:space="preserve"> </v>
      </c>
      <c r="AB1594" s="28"/>
      <c r="AC1594" s="28"/>
      <c r="AD1594" s="20" t="str">
        <f>IF(AB1594="","",IF($F1594="Bernardino Furlan",_xlfn.XLOOKUP(AB1594,Cadastros!$G$6:$G$90,Cadastros!$H$6:$H$90)*(1-0.18),IF($F1594="Mauro José Salanti",_xlfn.XLOOKUP(AB1594,Cadastros!$G$6:$G$90,Cadastros!$H$6:$H$90)*(1-0.18),_xlfn.XLOOKUP(AB1594,Cadastros!$G$6:$G$90,Cadastros!$H$6:$H$90))))</f>
        <v/>
      </c>
      <c r="AE1594" s="168" t="str">
        <f t="shared" si="317"/>
        <v/>
      </c>
      <c r="AF1594" s="168" t="str">
        <f t="shared" si="318"/>
        <v/>
      </c>
      <c r="AG1594" s="28"/>
      <c r="AH1594" s="28"/>
      <c r="AI1594" s="20" t="str">
        <f>IF(AG1594="","",IF($F1594="Bernardino Furlan",_xlfn.XLOOKUP(AG1594,Cadastros!$G$6:$G$90,Cadastros!$H$6:$H$90)*(1-0.18),IF($F1594="Mauro José Salanti",_xlfn.XLOOKUP(AG1594,Cadastros!$G$6:$G$90,Cadastros!$H$6:$H$90)*(1-0.18),_xlfn.XLOOKUP(AG1594,Cadastros!$G$6:$G$90,Cadastros!$H$6:$H$90))))</f>
        <v/>
      </c>
      <c r="AJ1594" s="168" t="str">
        <f t="shared" si="319"/>
        <v/>
      </c>
      <c r="AK1594" s="168" t="str">
        <f t="shared" si="320"/>
        <v/>
      </c>
      <c r="AL1594" s="28"/>
      <c r="AM1594" s="28"/>
      <c r="AN1594" s="20" t="str">
        <f>IF(AL1594="","",IF($F1594="Bernardino Furlan",_xlfn.XLOOKUP(AL1594,Cadastros!$G$6:$G$90,Cadastros!$H$6:$H$90)*(1-0.18),IF($F1594="Mauro José Salanti",_xlfn.XLOOKUP(AL1594,Cadastros!$G$6:$G$90,Cadastros!$H$6:$H$90)*(1-0.18),_xlfn.XLOOKUP(AL1594,Cadastros!$G$6:$G$90,Cadastros!$H$6:$H$90))))</f>
        <v/>
      </c>
      <c r="AO1594" s="168" t="str">
        <f t="shared" si="321"/>
        <v/>
      </c>
      <c r="AP1594" s="168" t="str">
        <f t="shared" si="322"/>
        <v/>
      </c>
      <c r="AQ1594" s="28"/>
      <c r="AR1594" s="28"/>
      <c r="AS1594" s="20" t="str">
        <f>IF(AQ1594="","",IF($F1594="Bernardino Furlan",_xlfn.XLOOKUP(AQ1594,Cadastros!$G$6:$G$90,Cadastros!$H$6:$H$90)*(1-0.18),IF($F1594="Mauro José Salanti",_xlfn.XLOOKUP(AQ1594,Cadastros!$G$6:$G$90,Cadastros!$H$6:$H$90)*(1-0.18),_xlfn.XLOOKUP(AQ1594,Cadastros!$G$6:$G$90,Cadastros!$H$6:$H$90))))</f>
        <v/>
      </c>
      <c r="AT1594" s="168" t="str">
        <f t="shared" si="323"/>
        <v/>
      </c>
      <c r="AU1594" s="168" t="str">
        <f t="shared" si="324"/>
        <v/>
      </c>
      <c r="AV1594" s="227"/>
      <c r="AW1594" s="30"/>
      <c r="AX1594" s="267"/>
      <c r="AY1594" s="267"/>
      <c r="AZ1594" s="29"/>
      <c r="BA1594" s="30"/>
      <c r="BB1594" s="23" t="str" cm="1">
        <f t="array" ref="BB1594">_xlfn.IFS(AW1594="SIM",SUM(K1594,P1594,U1594,Z1594,AE1594,AJ1594,AO1594,AT1594,AX1594,AY1594),F1594&lt;&gt;"",SUM(K1594,P1594,U1594,Z1594,AE1594,AJ1594,,AO1594,AT1594),F1594="","")</f>
        <v/>
      </c>
      <c r="BC1594" s="211" t="str" cm="1">
        <f t="array" ref="BC1594">_xlfn.IFS(E1594="","",G1594&lt;=E1594,BB1594*(1-0.03),G1594&lt;(E1594+8),BB1594,AZ1594="Boleto",BB1594*(1+0.001)^DATEDIF(E1594,G1594,"D"),AZ1594="Cheque",BB1594,AZ1594="Dinheiro","Alterar forma pgto")</f>
        <v/>
      </c>
      <c r="BD1594" s="276" t="str" cm="1">
        <f t="array" ref="BD1594">IF(F1594=0," ",IF(BC1594&lt;BB1594,(_xlfn.IFS(AW1594="SIM",SUM(L1594,Q1594,V1594,AA1594,AF1594,AK1594,AP1594,AU1594)+AX1594/_xlfn.XLOOKUP(_xlfn.XLOOKUP($F1594,Clientes!$B$4:$B$39,Clientes!$C$4:$C$39),Cadastros!$L$6:$L$12,Cadastros!$M$6:$M$12)+IF($F1594="Bernardino Furlan",AY1594/2751.92,IF($F1594="Mauro José Salanti",AY1594/2751.92,AY1594/3356)),F1594&lt;&gt;0,SUM(L1594,Q1594,V1594,AA1594,AF1594,AK1594,AP1594,AU1594)))*(1-0.03),_xlfn.IFS(AW1594="SIM",SUM(L1594,Q1594,V1594,AA1594,AF1594,AK1594,AP1594,AU1594)+AX1594/_xlfn.XLOOKUP(_xlfn.XLOOKUP($F1594,Clientes!$B$4:$B$39,Clientes!$C$4:$C$39),Cadastros!$L$6:$L$12,Cadastros!$M$6:$M$12)+IF($F1594="Bernardino Furlan",AY1594/2751.92,IF($F1594="Mauro José Salanti",AY1594/2751.92,AY1594/3356)),F1594&lt;&gt;0,SUM(L1594,Q1594,V1594,AA1594,AF1594,AK1594,AP1594,AU1594))))</f>
        <v xml:space="preserve"> </v>
      </c>
      <c r="BE1594" s="120"/>
      <c r="BF1594" s="120"/>
      <c r="BG1594" s="120"/>
    </row>
    <row r="1595" spans="1:59" s="3" customFormat="1" x14ac:dyDescent="0.3">
      <c r="A1595" s="15" t="str">
        <f t="shared" si="312"/>
        <v/>
      </c>
      <c r="B1595" s="25"/>
      <c r="C1595" s="26"/>
      <c r="D1595" s="279"/>
      <c r="E1595" s="27"/>
      <c r="F1595" s="28"/>
      <c r="G1595" s="27"/>
      <c r="H1595" s="28"/>
      <c r="I1595" s="28"/>
      <c r="J1595" s="255" t="str">
        <f>IF(H1595="","",(_xlfn.XLOOKUP(H1595,Cadastros!$D$6:$D$90,Cadastros!$E$6:$E$90))*(1-_xlfn.XLOOKUP(_xlfn.XLOOKUP($F1595,Clientes!$B$4:$B$39,Clientes!$C$4:$C$39),Cadastros!$L$6:$L$12,Cadastros!$N$6:$N$12)))</f>
        <v/>
      </c>
      <c r="K1595" s="168" t="str">
        <f t="shared" si="313"/>
        <v/>
      </c>
      <c r="L1595" s="168" t="str">
        <f>IFERROR(K1595/_xlfn.XLOOKUP(_xlfn.XLOOKUP($F1595,Clientes!$B$4:$B$39,Clientes!$C$4:$C$39),Cadastros!$L$6:$L$12,Cadastros!$M$6:$M$12)," ")</f>
        <v xml:space="preserve"> </v>
      </c>
      <c r="M1595" s="28"/>
      <c r="N1595" s="28"/>
      <c r="O1595" s="255" t="str">
        <f>IF(M1595="","",(_xlfn.XLOOKUP(M1595,Cadastros!$D$6:$D$90,Cadastros!$E$6:$E$90))*(1-_xlfn.XLOOKUP(_xlfn.XLOOKUP($F1595,Clientes!$B$4:$B$39,Clientes!$C$4:$C$39),Cadastros!$L$6:$L$12,Cadastros!$N$6:$N$12)))</f>
        <v/>
      </c>
      <c r="P1595" s="168" t="str">
        <f t="shared" si="314"/>
        <v/>
      </c>
      <c r="Q1595" s="168" t="str">
        <f>IFERROR(P1595/_xlfn.XLOOKUP(_xlfn.XLOOKUP($F1595,Clientes!$B$4:$B$39,Clientes!$C$4:$C$39),Cadastros!$L$6:$L$12,Cadastros!$M$6:$M$12)," ")</f>
        <v xml:space="preserve"> </v>
      </c>
      <c r="R1595" s="28"/>
      <c r="S1595" s="28"/>
      <c r="T1595" s="255" t="str">
        <f>IF(R1595="","",(_xlfn.XLOOKUP(R1595,Cadastros!$D$6:$D$90,Cadastros!$E$6:$E$90))*(1-_xlfn.XLOOKUP(_xlfn.XLOOKUP($F1595,Clientes!$B$4:$B$39,Clientes!$C$4:$C$39),Cadastros!$L$6:$L$12,Cadastros!$N$6:$N$12)))</f>
        <v/>
      </c>
      <c r="U1595" s="168" t="str">
        <f t="shared" si="315"/>
        <v/>
      </c>
      <c r="V1595" s="168" t="str">
        <f>IFERROR(U1595/_xlfn.XLOOKUP(_xlfn.XLOOKUP($F1595,Clientes!$B$4:$B$39,Clientes!$C$4:$C$39),Cadastros!$L$6:$L$12,Cadastros!$M$6:$M$12)," ")</f>
        <v xml:space="preserve"> </v>
      </c>
      <c r="W1595" s="28"/>
      <c r="X1595" s="28"/>
      <c r="Y1595" s="255" t="str">
        <f>IF(W1595="","",(_xlfn.XLOOKUP(W1595,Cadastros!$D$6:$D$90,Cadastros!$E$6:$E$90))*(1-_xlfn.XLOOKUP(_xlfn.XLOOKUP($F1595,Clientes!$B$4:$B$39,Clientes!$C$4:$C$39),Cadastros!$L$6:$L$12,Cadastros!$N$6:$N$12)))</f>
        <v/>
      </c>
      <c r="Z1595" s="168" t="str">
        <f t="shared" si="316"/>
        <v/>
      </c>
      <c r="AA1595" s="168" t="str">
        <f>IFERROR(Z1595/_xlfn.XLOOKUP(_xlfn.XLOOKUP($F1595,Clientes!$B$4:$B$39,Clientes!$C$4:$C$39),Cadastros!$L$6:$L$12,Cadastros!$M$6:$M$12)," ")</f>
        <v xml:space="preserve"> </v>
      </c>
      <c r="AB1595" s="28"/>
      <c r="AC1595" s="28"/>
      <c r="AD1595" s="20" t="str">
        <f>IF(AB1595="","",IF($F1595="Bernardino Furlan",_xlfn.XLOOKUP(AB1595,Cadastros!$G$6:$G$90,Cadastros!$H$6:$H$90)*(1-0.18),IF($F1595="Mauro José Salanti",_xlfn.XLOOKUP(AB1595,Cadastros!$G$6:$G$90,Cadastros!$H$6:$H$90)*(1-0.18),_xlfn.XLOOKUP(AB1595,Cadastros!$G$6:$G$90,Cadastros!$H$6:$H$90))))</f>
        <v/>
      </c>
      <c r="AE1595" s="168" t="str">
        <f t="shared" si="317"/>
        <v/>
      </c>
      <c r="AF1595" s="168" t="str">
        <f t="shared" si="318"/>
        <v/>
      </c>
      <c r="AG1595" s="28"/>
      <c r="AH1595" s="28"/>
      <c r="AI1595" s="20" t="str">
        <f>IF(AG1595="","",IF($F1595="Bernardino Furlan",_xlfn.XLOOKUP(AG1595,Cadastros!$G$6:$G$90,Cadastros!$H$6:$H$90)*(1-0.18),IF($F1595="Mauro José Salanti",_xlfn.XLOOKUP(AG1595,Cadastros!$G$6:$G$90,Cadastros!$H$6:$H$90)*(1-0.18),_xlfn.XLOOKUP(AG1595,Cadastros!$G$6:$G$90,Cadastros!$H$6:$H$90))))</f>
        <v/>
      </c>
      <c r="AJ1595" s="168" t="str">
        <f t="shared" si="319"/>
        <v/>
      </c>
      <c r="AK1595" s="168" t="str">
        <f t="shared" si="320"/>
        <v/>
      </c>
      <c r="AL1595" s="28"/>
      <c r="AM1595" s="28"/>
      <c r="AN1595" s="20" t="str">
        <f>IF(AL1595="","",IF($F1595="Bernardino Furlan",_xlfn.XLOOKUP(AL1595,Cadastros!$G$6:$G$90,Cadastros!$H$6:$H$90)*(1-0.18),IF($F1595="Mauro José Salanti",_xlfn.XLOOKUP(AL1595,Cadastros!$G$6:$G$90,Cadastros!$H$6:$H$90)*(1-0.18),_xlfn.XLOOKUP(AL1595,Cadastros!$G$6:$G$90,Cadastros!$H$6:$H$90))))</f>
        <v/>
      </c>
      <c r="AO1595" s="168" t="str">
        <f t="shared" si="321"/>
        <v/>
      </c>
      <c r="AP1595" s="168" t="str">
        <f t="shared" si="322"/>
        <v/>
      </c>
      <c r="AQ1595" s="28"/>
      <c r="AR1595" s="28"/>
      <c r="AS1595" s="20" t="str">
        <f>IF(AQ1595="","",IF($F1595="Bernardino Furlan",_xlfn.XLOOKUP(AQ1595,Cadastros!$G$6:$G$90,Cadastros!$H$6:$H$90)*(1-0.18),IF($F1595="Mauro José Salanti",_xlfn.XLOOKUP(AQ1595,Cadastros!$G$6:$G$90,Cadastros!$H$6:$H$90)*(1-0.18),_xlfn.XLOOKUP(AQ1595,Cadastros!$G$6:$G$90,Cadastros!$H$6:$H$90))))</f>
        <v/>
      </c>
      <c r="AT1595" s="168" t="str">
        <f t="shared" si="323"/>
        <v/>
      </c>
      <c r="AU1595" s="168" t="str">
        <f t="shared" si="324"/>
        <v/>
      </c>
      <c r="AV1595" s="227"/>
      <c r="AW1595" s="30"/>
      <c r="AX1595" s="267"/>
      <c r="AY1595" s="267"/>
      <c r="AZ1595" s="29"/>
      <c r="BA1595" s="30"/>
      <c r="BB1595" s="23" t="str" cm="1">
        <f t="array" ref="BB1595">_xlfn.IFS(AW1595="SIM",SUM(K1595,P1595,U1595,Z1595,AE1595,AJ1595,AO1595,AT1595,AX1595,AY1595),F1595&lt;&gt;"",SUM(K1595,P1595,U1595,Z1595,AE1595,AJ1595,,AO1595,AT1595),F1595="","")</f>
        <v/>
      </c>
      <c r="BC1595" s="211" t="str" cm="1">
        <f t="array" ref="BC1595">_xlfn.IFS(E1595="","",G1595&lt;=E1595,BB1595*(1-0.03),G1595&lt;(E1595+8),BB1595,AZ1595="Boleto",BB1595*(1+0.001)^DATEDIF(E1595,G1595,"D"),AZ1595="Cheque",BB1595,AZ1595="Dinheiro","Alterar forma pgto")</f>
        <v/>
      </c>
      <c r="BD1595" s="276" t="str" cm="1">
        <f t="array" ref="BD1595">IF(F1595=0," ",IF(BC1595&lt;BB1595,(_xlfn.IFS(AW1595="SIM",SUM(L1595,Q1595,V1595,AA1595,AF1595,AK1595,AP1595,AU1595)+AX1595/_xlfn.XLOOKUP(_xlfn.XLOOKUP($F1595,Clientes!$B$4:$B$39,Clientes!$C$4:$C$39),Cadastros!$L$6:$L$12,Cadastros!$M$6:$M$12)+IF($F1595="Bernardino Furlan",AY1595/2751.92,IF($F1595="Mauro José Salanti",AY1595/2751.92,AY1595/3356)),F1595&lt;&gt;0,SUM(L1595,Q1595,V1595,AA1595,AF1595,AK1595,AP1595,AU1595)))*(1-0.03),_xlfn.IFS(AW1595="SIM",SUM(L1595,Q1595,V1595,AA1595,AF1595,AK1595,AP1595,AU1595)+AX1595/_xlfn.XLOOKUP(_xlfn.XLOOKUP($F1595,Clientes!$B$4:$B$39,Clientes!$C$4:$C$39),Cadastros!$L$6:$L$12,Cadastros!$M$6:$M$12)+IF($F1595="Bernardino Furlan",AY1595/2751.92,IF($F1595="Mauro José Salanti",AY1595/2751.92,AY1595/3356)),F1595&lt;&gt;0,SUM(L1595,Q1595,V1595,AA1595,AF1595,AK1595,AP1595,AU1595))))</f>
        <v xml:space="preserve"> </v>
      </c>
      <c r="BE1595" s="120"/>
      <c r="BF1595" s="120"/>
      <c r="BG1595" s="120"/>
    </row>
    <row r="1596" spans="1:59" s="3" customFormat="1" x14ac:dyDescent="0.3">
      <c r="A1596" s="15" t="str">
        <f t="shared" si="312"/>
        <v/>
      </c>
      <c r="B1596" s="25"/>
      <c r="C1596" s="26"/>
      <c r="D1596" s="279"/>
      <c r="E1596" s="27"/>
      <c r="F1596" s="28"/>
      <c r="G1596" s="27"/>
      <c r="H1596" s="28"/>
      <c r="I1596" s="28"/>
      <c r="J1596" s="255" t="str">
        <f>IF(H1596="","",(_xlfn.XLOOKUP(H1596,Cadastros!$D$6:$D$90,Cadastros!$E$6:$E$90))*(1-_xlfn.XLOOKUP(_xlfn.XLOOKUP($F1596,Clientes!$B$4:$B$39,Clientes!$C$4:$C$39),Cadastros!$L$6:$L$12,Cadastros!$N$6:$N$12)))</f>
        <v/>
      </c>
      <c r="K1596" s="168" t="str">
        <f t="shared" si="313"/>
        <v/>
      </c>
      <c r="L1596" s="168" t="str">
        <f>IFERROR(K1596/_xlfn.XLOOKUP(_xlfn.XLOOKUP($F1596,Clientes!$B$4:$B$39,Clientes!$C$4:$C$39),Cadastros!$L$6:$L$12,Cadastros!$M$6:$M$12)," ")</f>
        <v xml:space="preserve"> </v>
      </c>
      <c r="M1596" s="28"/>
      <c r="N1596" s="28"/>
      <c r="O1596" s="255" t="str">
        <f>IF(M1596="","",(_xlfn.XLOOKUP(M1596,Cadastros!$D$6:$D$90,Cadastros!$E$6:$E$90))*(1-_xlfn.XLOOKUP(_xlfn.XLOOKUP($F1596,Clientes!$B$4:$B$39,Clientes!$C$4:$C$39),Cadastros!$L$6:$L$12,Cadastros!$N$6:$N$12)))</f>
        <v/>
      </c>
      <c r="P1596" s="168" t="str">
        <f t="shared" si="314"/>
        <v/>
      </c>
      <c r="Q1596" s="168" t="str">
        <f>IFERROR(P1596/_xlfn.XLOOKUP(_xlfn.XLOOKUP($F1596,Clientes!$B$4:$B$39,Clientes!$C$4:$C$39),Cadastros!$L$6:$L$12,Cadastros!$M$6:$M$12)," ")</f>
        <v xml:space="preserve"> </v>
      </c>
      <c r="R1596" s="28"/>
      <c r="S1596" s="28"/>
      <c r="T1596" s="255" t="str">
        <f>IF(R1596="","",(_xlfn.XLOOKUP(R1596,Cadastros!$D$6:$D$90,Cadastros!$E$6:$E$90))*(1-_xlfn.XLOOKUP(_xlfn.XLOOKUP($F1596,Clientes!$B$4:$B$39,Clientes!$C$4:$C$39),Cadastros!$L$6:$L$12,Cadastros!$N$6:$N$12)))</f>
        <v/>
      </c>
      <c r="U1596" s="168" t="str">
        <f t="shared" si="315"/>
        <v/>
      </c>
      <c r="V1596" s="168" t="str">
        <f>IFERROR(U1596/_xlfn.XLOOKUP(_xlfn.XLOOKUP($F1596,Clientes!$B$4:$B$39,Clientes!$C$4:$C$39),Cadastros!$L$6:$L$12,Cadastros!$M$6:$M$12)," ")</f>
        <v xml:space="preserve"> </v>
      </c>
      <c r="W1596" s="28"/>
      <c r="X1596" s="28"/>
      <c r="Y1596" s="255" t="str">
        <f>IF(W1596="","",(_xlfn.XLOOKUP(W1596,Cadastros!$D$6:$D$90,Cadastros!$E$6:$E$90))*(1-_xlfn.XLOOKUP(_xlfn.XLOOKUP($F1596,Clientes!$B$4:$B$39,Clientes!$C$4:$C$39),Cadastros!$L$6:$L$12,Cadastros!$N$6:$N$12)))</f>
        <v/>
      </c>
      <c r="Z1596" s="168" t="str">
        <f t="shared" si="316"/>
        <v/>
      </c>
      <c r="AA1596" s="168" t="str">
        <f>IFERROR(Z1596/_xlfn.XLOOKUP(_xlfn.XLOOKUP($F1596,Clientes!$B$4:$B$39,Clientes!$C$4:$C$39),Cadastros!$L$6:$L$12,Cadastros!$M$6:$M$12)," ")</f>
        <v xml:space="preserve"> </v>
      </c>
      <c r="AB1596" s="28"/>
      <c r="AC1596" s="28"/>
      <c r="AD1596" s="20" t="str">
        <f>IF(AB1596="","",IF($F1596="Bernardino Furlan",_xlfn.XLOOKUP(AB1596,Cadastros!$G$6:$G$90,Cadastros!$H$6:$H$90)*(1-0.18),IF($F1596="Mauro José Salanti",_xlfn.XLOOKUP(AB1596,Cadastros!$G$6:$G$90,Cadastros!$H$6:$H$90)*(1-0.18),_xlfn.XLOOKUP(AB1596,Cadastros!$G$6:$G$90,Cadastros!$H$6:$H$90))))</f>
        <v/>
      </c>
      <c r="AE1596" s="168" t="str">
        <f t="shared" si="317"/>
        <v/>
      </c>
      <c r="AF1596" s="168" t="str">
        <f t="shared" si="318"/>
        <v/>
      </c>
      <c r="AG1596" s="28"/>
      <c r="AH1596" s="28"/>
      <c r="AI1596" s="20" t="str">
        <f>IF(AG1596="","",IF($F1596="Bernardino Furlan",_xlfn.XLOOKUP(AG1596,Cadastros!$G$6:$G$90,Cadastros!$H$6:$H$90)*(1-0.18),IF($F1596="Mauro José Salanti",_xlfn.XLOOKUP(AG1596,Cadastros!$G$6:$G$90,Cadastros!$H$6:$H$90)*(1-0.18),_xlfn.XLOOKUP(AG1596,Cadastros!$G$6:$G$90,Cadastros!$H$6:$H$90))))</f>
        <v/>
      </c>
      <c r="AJ1596" s="168" t="str">
        <f t="shared" si="319"/>
        <v/>
      </c>
      <c r="AK1596" s="168" t="str">
        <f t="shared" si="320"/>
        <v/>
      </c>
      <c r="AL1596" s="28"/>
      <c r="AM1596" s="28"/>
      <c r="AN1596" s="20" t="str">
        <f>IF(AL1596="","",IF($F1596="Bernardino Furlan",_xlfn.XLOOKUP(AL1596,Cadastros!$G$6:$G$90,Cadastros!$H$6:$H$90)*(1-0.18),IF($F1596="Mauro José Salanti",_xlfn.XLOOKUP(AL1596,Cadastros!$G$6:$G$90,Cadastros!$H$6:$H$90)*(1-0.18),_xlfn.XLOOKUP(AL1596,Cadastros!$G$6:$G$90,Cadastros!$H$6:$H$90))))</f>
        <v/>
      </c>
      <c r="AO1596" s="168" t="str">
        <f t="shared" si="321"/>
        <v/>
      </c>
      <c r="AP1596" s="168" t="str">
        <f t="shared" si="322"/>
        <v/>
      </c>
      <c r="AQ1596" s="28"/>
      <c r="AR1596" s="28"/>
      <c r="AS1596" s="20" t="str">
        <f>IF(AQ1596="","",IF($F1596="Bernardino Furlan",_xlfn.XLOOKUP(AQ1596,Cadastros!$G$6:$G$90,Cadastros!$H$6:$H$90)*(1-0.18),IF($F1596="Mauro José Salanti",_xlfn.XLOOKUP(AQ1596,Cadastros!$G$6:$G$90,Cadastros!$H$6:$H$90)*(1-0.18),_xlfn.XLOOKUP(AQ1596,Cadastros!$G$6:$G$90,Cadastros!$H$6:$H$90))))</f>
        <v/>
      </c>
      <c r="AT1596" s="168" t="str">
        <f t="shared" si="323"/>
        <v/>
      </c>
      <c r="AU1596" s="168" t="str">
        <f t="shared" si="324"/>
        <v/>
      </c>
      <c r="AV1596" s="227"/>
      <c r="AW1596" s="30"/>
      <c r="AX1596" s="267"/>
      <c r="AY1596" s="267"/>
      <c r="AZ1596" s="29"/>
      <c r="BA1596" s="30"/>
      <c r="BB1596" s="23" t="str" cm="1">
        <f t="array" ref="BB1596">_xlfn.IFS(AW1596="SIM",SUM(K1596,P1596,U1596,Z1596,AE1596,AJ1596,AO1596,AT1596,AX1596,AY1596),F1596&lt;&gt;"",SUM(K1596,P1596,U1596,Z1596,AE1596,AJ1596,,AO1596,AT1596),F1596="","")</f>
        <v/>
      </c>
      <c r="BC1596" s="211" t="str" cm="1">
        <f t="array" ref="BC1596">_xlfn.IFS(E1596="","",G1596&lt;=E1596,BB1596*(1-0.03),G1596&lt;(E1596+8),BB1596,AZ1596="Boleto",BB1596*(1+0.001)^DATEDIF(E1596,G1596,"D"),AZ1596="Cheque",BB1596,AZ1596="Dinheiro","Alterar forma pgto")</f>
        <v/>
      </c>
      <c r="BD1596" s="276" t="str" cm="1">
        <f t="array" ref="BD1596">IF(F1596=0," ",IF(BC1596&lt;BB1596,(_xlfn.IFS(AW1596="SIM",SUM(L1596,Q1596,V1596,AA1596,AF1596,AK1596,AP1596,AU1596)+AX1596/_xlfn.XLOOKUP(_xlfn.XLOOKUP($F1596,Clientes!$B$4:$B$39,Clientes!$C$4:$C$39),Cadastros!$L$6:$L$12,Cadastros!$M$6:$M$12)+IF($F1596="Bernardino Furlan",AY1596/2751.92,IF($F1596="Mauro José Salanti",AY1596/2751.92,AY1596/3356)),F1596&lt;&gt;0,SUM(L1596,Q1596,V1596,AA1596,AF1596,AK1596,AP1596,AU1596)))*(1-0.03),_xlfn.IFS(AW1596="SIM",SUM(L1596,Q1596,V1596,AA1596,AF1596,AK1596,AP1596,AU1596)+AX1596/_xlfn.XLOOKUP(_xlfn.XLOOKUP($F1596,Clientes!$B$4:$B$39,Clientes!$C$4:$C$39),Cadastros!$L$6:$L$12,Cadastros!$M$6:$M$12)+IF($F1596="Bernardino Furlan",AY1596/2751.92,IF($F1596="Mauro José Salanti",AY1596/2751.92,AY1596/3356)),F1596&lt;&gt;0,SUM(L1596,Q1596,V1596,AA1596,AF1596,AK1596,AP1596,AU1596))))</f>
        <v xml:space="preserve"> </v>
      </c>
      <c r="BE1596" s="120"/>
      <c r="BF1596" s="120"/>
      <c r="BG1596" s="120"/>
    </row>
    <row r="1597" spans="1:59" s="3" customFormat="1" x14ac:dyDescent="0.3">
      <c r="A1597" s="15" t="str">
        <f t="shared" si="312"/>
        <v/>
      </c>
      <c r="B1597" s="25"/>
      <c r="C1597" s="26"/>
      <c r="D1597" s="279"/>
      <c r="E1597" s="27"/>
      <c r="F1597" s="28"/>
      <c r="G1597" s="27"/>
      <c r="H1597" s="28"/>
      <c r="I1597" s="28"/>
      <c r="J1597" s="255" t="str">
        <f>IF(H1597="","",(_xlfn.XLOOKUP(H1597,Cadastros!$D$6:$D$90,Cadastros!$E$6:$E$90))*(1-_xlfn.XLOOKUP(_xlfn.XLOOKUP($F1597,Clientes!$B$4:$B$39,Clientes!$C$4:$C$39),Cadastros!$L$6:$L$12,Cadastros!$N$6:$N$12)))</f>
        <v/>
      </c>
      <c r="K1597" s="168" t="str">
        <f t="shared" si="313"/>
        <v/>
      </c>
      <c r="L1597" s="168" t="str">
        <f>IFERROR(K1597/_xlfn.XLOOKUP(_xlfn.XLOOKUP($F1597,Clientes!$B$4:$B$39,Clientes!$C$4:$C$39),Cadastros!$L$6:$L$12,Cadastros!$M$6:$M$12)," ")</f>
        <v xml:space="preserve"> </v>
      </c>
      <c r="M1597" s="28"/>
      <c r="N1597" s="28"/>
      <c r="O1597" s="255" t="str">
        <f>IF(M1597="","",(_xlfn.XLOOKUP(M1597,Cadastros!$D$6:$D$90,Cadastros!$E$6:$E$90))*(1-_xlfn.XLOOKUP(_xlfn.XLOOKUP($F1597,Clientes!$B$4:$B$39,Clientes!$C$4:$C$39),Cadastros!$L$6:$L$12,Cadastros!$N$6:$N$12)))</f>
        <v/>
      </c>
      <c r="P1597" s="168" t="str">
        <f t="shared" si="314"/>
        <v/>
      </c>
      <c r="Q1597" s="168" t="str">
        <f>IFERROR(P1597/_xlfn.XLOOKUP(_xlfn.XLOOKUP($F1597,Clientes!$B$4:$B$39,Clientes!$C$4:$C$39),Cadastros!$L$6:$L$12,Cadastros!$M$6:$M$12)," ")</f>
        <v xml:space="preserve"> </v>
      </c>
      <c r="R1597" s="28"/>
      <c r="S1597" s="28"/>
      <c r="T1597" s="255" t="str">
        <f>IF(R1597="","",(_xlfn.XLOOKUP(R1597,Cadastros!$D$6:$D$90,Cadastros!$E$6:$E$90))*(1-_xlfn.XLOOKUP(_xlfn.XLOOKUP($F1597,Clientes!$B$4:$B$39,Clientes!$C$4:$C$39),Cadastros!$L$6:$L$12,Cadastros!$N$6:$N$12)))</f>
        <v/>
      </c>
      <c r="U1597" s="168" t="str">
        <f t="shared" si="315"/>
        <v/>
      </c>
      <c r="V1597" s="168" t="str">
        <f>IFERROR(U1597/_xlfn.XLOOKUP(_xlfn.XLOOKUP($F1597,Clientes!$B$4:$B$39,Clientes!$C$4:$C$39),Cadastros!$L$6:$L$12,Cadastros!$M$6:$M$12)," ")</f>
        <v xml:space="preserve"> </v>
      </c>
      <c r="W1597" s="28"/>
      <c r="X1597" s="28"/>
      <c r="Y1597" s="255" t="str">
        <f>IF(W1597="","",(_xlfn.XLOOKUP(W1597,Cadastros!$D$6:$D$90,Cadastros!$E$6:$E$90))*(1-_xlfn.XLOOKUP(_xlfn.XLOOKUP($F1597,Clientes!$B$4:$B$39,Clientes!$C$4:$C$39),Cadastros!$L$6:$L$12,Cadastros!$N$6:$N$12)))</f>
        <v/>
      </c>
      <c r="Z1597" s="168" t="str">
        <f t="shared" si="316"/>
        <v/>
      </c>
      <c r="AA1597" s="168" t="str">
        <f>IFERROR(Z1597/_xlfn.XLOOKUP(_xlfn.XLOOKUP($F1597,Clientes!$B$4:$B$39,Clientes!$C$4:$C$39),Cadastros!$L$6:$L$12,Cadastros!$M$6:$M$12)," ")</f>
        <v xml:space="preserve"> </v>
      </c>
      <c r="AB1597" s="28"/>
      <c r="AC1597" s="28"/>
      <c r="AD1597" s="20" t="str">
        <f>IF(AB1597="","",IF($F1597="Bernardino Furlan",_xlfn.XLOOKUP(AB1597,Cadastros!$G$6:$G$90,Cadastros!$H$6:$H$90)*(1-0.18),IF($F1597="Mauro José Salanti",_xlfn.XLOOKUP(AB1597,Cadastros!$G$6:$G$90,Cadastros!$H$6:$H$90)*(1-0.18),_xlfn.XLOOKUP(AB1597,Cadastros!$G$6:$G$90,Cadastros!$H$6:$H$90))))</f>
        <v/>
      </c>
      <c r="AE1597" s="168" t="str">
        <f t="shared" si="317"/>
        <v/>
      </c>
      <c r="AF1597" s="168" t="str">
        <f t="shared" si="318"/>
        <v/>
      </c>
      <c r="AG1597" s="28"/>
      <c r="AH1597" s="28"/>
      <c r="AI1597" s="20" t="str">
        <f>IF(AG1597="","",IF($F1597="Bernardino Furlan",_xlfn.XLOOKUP(AG1597,Cadastros!$G$6:$G$90,Cadastros!$H$6:$H$90)*(1-0.18),IF($F1597="Mauro José Salanti",_xlfn.XLOOKUP(AG1597,Cadastros!$G$6:$G$90,Cadastros!$H$6:$H$90)*(1-0.18),_xlfn.XLOOKUP(AG1597,Cadastros!$G$6:$G$90,Cadastros!$H$6:$H$90))))</f>
        <v/>
      </c>
      <c r="AJ1597" s="168" t="str">
        <f t="shared" si="319"/>
        <v/>
      </c>
      <c r="AK1597" s="168" t="str">
        <f t="shared" si="320"/>
        <v/>
      </c>
      <c r="AL1597" s="28"/>
      <c r="AM1597" s="28"/>
      <c r="AN1597" s="20" t="str">
        <f>IF(AL1597="","",IF($F1597="Bernardino Furlan",_xlfn.XLOOKUP(AL1597,Cadastros!$G$6:$G$90,Cadastros!$H$6:$H$90)*(1-0.18),IF($F1597="Mauro José Salanti",_xlfn.XLOOKUP(AL1597,Cadastros!$G$6:$G$90,Cadastros!$H$6:$H$90)*(1-0.18),_xlfn.XLOOKUP(AL1597,Cadastros!$G$6:$G$90,Cadastros!$H$6:$H$90))))</f>
        <v/>
      </c>
      <c r="AO1597" s="168" t="str">
        <f t="shared" si="321"/>
        <v/>
      </c>
      <c r="AP1597" s="168" t="str">
        <f t="shared" si="322"/>
        <v/>
      </c>
      <c r="AQ1597" s="28"/>
      <c r="AR1597" s="28"/>
      <c r="AS1597" s="20" t="str">
        <f>IF(AQ1597="","",IF($F1597="Bernardino Furlan",_xlfn.XLOOKUP(AQ1597,Cadastros!$G$6:$G$90,Cadastros!$H$6:$H$90)*(1-0.18),IF($F1597="Mauro José Salanti",_xlfn.XLOOKUP(AQ1597,Cadastros!$G$6:$G$90,Cadastros!$H$6:$H$90)*(1-0.18),_xlfn.XLOOKUP(AQ1597,Cadastros!$G$6:$G$90,Cadastros!$H$6:$H$90))))</f>
        <v/>
      </c>
      <c r="AT1597" s="168" t="str">
        <f t="shared" si="323"/>
        <v/>
      </c>
      <c r="AU1597" s="168" t="str">
        <f t="shared" si="324"/>
        <v/>
      </c>
      <c r="AV1597" s="227"/>
      <c r="AW1597" s="30"/>
      <c r="AX1597" s="267"/>
      <c r="AY1597" s="267"/>
      <c r="AZ1597" s="29"/>
      <c r="BA1597" s="30"/>
      <c r="BB1597" s="23" t="str" cm="1">
        <f t="array" ref="BB1597">_xlfn.IFS(AW1597="SIM",SUM(K1597,P1597,U1597,Z1597,AE1597,AJ1597,AO1597,AT1597,AX1597,AY1597),F1597&lt;&gt;"",SUM(K1597,P1597,U1597,Z1597,AE1597,AJ1597,,AO1597,AT1597),F1597="","")</f>
        <v/>
      </c>
      <c r="BC1597" s="211" t="str" cm="1">
        <f t="array" ref="BC1597">_xlfn.IFS(E1597="","",G1597&lt;=E1597,BB1597*(1-0.03),G1597&lt;(E1597+8),BB1597,AZ1597="Boleto",BB1597*(1+0.001)^DATEDIF(E1597,G1597,"D"),AZ1597="Cheque",BB1597,AZ1597="Dinheiro","Alterar forma pgto")</f>
        <v/>
      </c>
      <c r="BD1597" s="276" t="str" cm="1">
        <f t="array" ref="BD1597">IF(F1597=0," ",IF(BC1597&lt;BB1597,(_xlfn.IFS(AW1597="SIM",SUM(L1597,Q1597,V1597,AA1597,AF1597,AK1597,AP1597,AU1597)+AX1597/_xlfn.XLOOKUP(_xlfn.XLOOKUP($F1597,Clientes!$B$4:$B$39,Clientes!$C$4:$C$39),Cadastros!$L$6:$L$12,Cadastros!$M$6:$M$12)+IF($F1597="Bernardino Furlan",AY1597/2751.92,IF($F1597="Mauro José Salanti",AY1597/2751.92,AY1597/3356)),F1597&lt;&gt;0,SUM(L1597,Q1597,V1597,AA1597,AF1597,AK1597,AP1597,AU1597)))*(1-0.03),_xlfn.IFS(AW1597="SIM",SUM(L1597,Q1597,V1597,AA1597,AF1597,AK1597,AP1597,AU1597)+AX1597/_xlfn.XLOOKUP(_xlfn.XLOOKUP($F1597,Clientes!$B$4:$B$39,Clientes!$C$4:$C$39),Cadastros!$L$6:$L$12,Cadastros!$M$6:$M$12)+IF($F1597="Bernardino Furlan",AY1597/2751.92,IF($F1597="Mauro José Salanti",AY1597/2751.92,AY1597/3356)),F1597&lt;&gt;0,SUM(L1597,Q1597,V1597,AA1597,AF1597,AK1597,AP1597,AU1597))))</f>
        <v xml:space="preserve"> </v>
      </c>
      <c r="BE1597" s="120"/>
      <c r="BF1597" s="120"/>
      <c r="BG1597" s="120"/>
    </row>
    <row r="1598" spans="1:59" s="3" customFormat="1" x14ac:dyDescent="0.3">
      <c r="A1598" s="15" t="str">
        <f t="shared" si="312"/>
        <v/>
      </c>
      <c r="B1598" s="25"/>
      <c r="C1598" s="26"/>
      <c r="D1598" s="279"/>
      <c r="E1598" s="27"/>
      <c r="F1598" s="28"/>
      <c r="G1598" s="27"/>
      <c r="H1598" s="28"/>
      <c r="I1598" s="28"/>
      <c r="J1598" s="255" t="str">
        <f>IF(H1598="","",(_xlfn.XLOOKUP(H1598,Cadastros!$D$6:$D$90,Cadastros!$E$6:$E$90))*(1-_xlfn.XLOOKUP(_xlfn.XLOOKUP($F1598,Clientes!$B$4:$B$39,Clientes!$C$4:$C$39),Cadastros!$L$6:$L$12,Cadastros!$N$6:$N$12)))</f>
        <v/>
      </c>
      <c r="K1598" s="168" t="str">
        <f t="shared" si="313"/>
        <v/>
      </c>
      <c r="L1598" s="168" t="str">
        <f>IFERROR(K1598/_xlfn.XLOOKUP(_xlfn.XLOOKUP($F1598,Clientes!$B$4:$B$39,Clientes!$C$4:$C$39),Cadastros!$L$6:$L$12,Cadastros!$M$6:$M$12)," ")</f>
        <v xml:space="preserve"> </v>
      </c>
      <c r="M1598" s="28"/>
      <c r="N1598" s="28"/>
      <c r="O1598" s="255" t="str">
        <f>IF(M1598="","",(_xlfn.XLOOKUP(M1598,Cadastros!$D$6:$D$90,Cadastros!$E$6:$E$90))*(1-_xlfn.XLOOKUP(_xlfn.XLOOKUP($F1598,Clientes!$B$4:$B$39,Clientes!$C$4:$C$39),Cadastros!$L$6:$L$12,Cadastros!$N$6:$N$12)))</f>
        <v/>
      </c>
      <c r="P1598" s="168" t="str">
        <f t="shared" si="314"/>
        <v/>
      </c>
      <c r="Q1598" s="168" t="str">
        <f>IFERROR(P1598/_xlfn.XLOOKUP(_xlfn.XLOOKUP($F1598,Clientes!$B$4:$B$39,Clientes!$C$4:$C$39),Cadastros!$L$6:$L$12,Cadastros!$M$6:$M$12)," ")</f>
        <v xml:space="preserve"> </v>
      </c>
      <c r="R1598" s="28"/>
      <c r="S1598" s="28"/>
      <c r="T1598" s="255" t="str">
        <f>IF(R1598="","",(_xlfn.XLOOKUP(R1598,Cadastros!$D$6:$D$90,Cadastros!$E$6:$E$90))*(1-_xlfn.XLOOKUP(_xlfn.XLOOKUP($F1598,Clientes!$B$4:$B$39,Clientes!$C$4:$C$39),Cadastros!$L$6:$L$12,Cadastros!$N$6:$N$12)))</f>
        <v/>
      </c>
      <c r="U1598" s="168" t="str">
        <f t="shared" si="315"/>
        <v/>
      </c>
      <c r="V1598" s="168" t="str">
        <f>IFERROR(U1598/_xlfn.XLOOKUP(_xlfn.XLOOKUP($F1598,Clientes!$B$4:$B$39,Clientes!$C$4:$C$39),Cadastros!$L$6:$L$12,Cadastros!$M$6:$M$12)," ")</f>
        <v xml:space="preserve"> </v>
      </c>
      <c r="W1598" s="28"/>
      <c r="X1598" s="28"/>
      <c r="Y1598" s="255" t="str">
        <f>IF(W1598="","",(_xlfn.XLOOKUP(W1598,Cadastros!$D$6:$D$90,Cadastros!$E$6:$E$90))*(1-_xlfn.XLOOKUP(_xlfn.XLOOKUP($F1598,Clientes!$B$4:$B$39,Clientes!$C$4:$C$39),Cadastros!$L$6:$L$12,Cadastros!$N$6:$N$12)))</f>
        <v/>
      </c>
      <c r="Z1598" s="168" t="str">
        <f t="shared" si="316"/>
        <v/>
      </c>
      <c r="AA1598" s="168" t="str">
        <f>IFERROR(Z1598/_xlfn.XLOOKUP(_xlfn.XLOOKUP($F1598,Clientes!$B$4:$B$39,Clientes!$C$4:$C$39),Cadastros!$L$6:$L$12,Cadastros!$M$6:$M$12)," ")</f>
        <v xml:space="preserve"> </v>
      </c>
      <c r="AB1598" s="28"/>
      <c r="AC1598" s="28"/>
      <c r="AD1598" s="20" t="str">
        <f>IF(AB1598="","",IF($F1598="Bernardino Furlan",_xlfn.XLOOKUP(AB1598,Cadastros!$G$6:$G$90,Cadastros!$H$6:$H$90)*(1-0.18),IF($F1598="Mauro José Salanti",_xlfn.XLOOKUP(AB1598,Cadastros!$G$6:$G$90,Cadastros!$H$6:$H$90)*(1-0.18),_xlfn.XLOOKUP(AB1598,Cadastros!$G$6:$G$90,Cadastros!$H$6:$H$90))))</f>
        <v/>
      </c>
      <c r="AE1598" s="168" t="str">
        <f t="shared" si="317"/>
        <v/>
      </c>
      <c r="AF1598" s="168" t="str">
        <f t="shared" si="318"/>
        <v/>
      </c>
      <c r="AG1598" s="28"/>
      <c r="AH1598" s="28"/>
      <c r="AI1598" s="20" t="str">
        <f>IF(AG1598="","",IF($F1598="Bernardino Furlan",_xlfn.XLOOKUP(AG1598,Cadastros!$G$6:$G$90,Cadastros!$H$6:$H$90)*(1-0.18),IF($F1598="Mauro José Salanti",_xlfn.XLOOKUP(AG1598,Cadastros!$G$6:$G$90,Cadastros!$H$6:$H$90)*(1-0.18),_xlfn.XLOOKUP(AG1598,Cadastros!$G$6:$G$90,Cadastros!$H$6:$H$90))))</f>
        <v/>
      </c>
      <c r="AJ1598" s="168" t="str">
        <f t="shared" si="319"/>
        <v/>
      </c>
      <c r="AK1598" s="168" t="str">
        <f t="shared" si="320"/>
        <v/>
      </c>
      <c r="AL1598" s="28"/>
      <c r="AM1598" s="28"/>
      <c r="AN1598" s="20" t="str">
        <f>IF(AL1598="","",IF($F1598="Bernardino Furlan",_xlfn.XLOOKUP(AL1598,Cadastros!$G$6:$G$90,Cadastros!$H$6:$H$90)*(1-0.18),IF($F1598="Mauro José Salanti",_xlfn.XLOOKUP(AL1598,Cadastros!$G$6:$G$90,Cadastros!$H$6:$H$90)*(1-0.18),_xlfn.XLOOKUP(AL1598,Cadastros!$G$6:$G$90,Cadastros!$H$6:$H$90))))</f>
        <v/>
      </c>
      <c r="AO1598" s="168" t="str">
        <f t="shared" si="321"/>
        <v/>
      </c>
      <c r="AP1598" s="168" t="str">
        <f t="shared" si="322"/>
        <v/>
      </c>
      <c r="AQ1598" s="28"/>
      <c r="AR1598" s="28"/>
      <c r="AS1598" s="20" t="str">
        <f>IF(AQ1598="","",IF($F1598="Bernardino Furlan",_xlfn.XLOOKUP(AQ1598,Cadastros!$G$6:$G$90,Cadastros!$H$6:$H$90)*(1-0.18),IF($F1598="Mauro José Salanti",_xlfn.XLOOKUP(AQ1598,Cadastros!$G$6:$G$90,Cadastros!$H$6:$H$90)*(1-0.18),_xlfn.XLOOKUP(AQ1598,Cadastros!$G$6:$G$90,Cadastros!$H$6:$H$90))))</f>
        <v/>
      </c>
      <c r="AT1598" s="168" t="str">
        <f t="shared" si="323"/>
        <v/>
      </c>
      <c r="AU1598" s="168" t="str">
        <f t="shared" si="324"/>
        <v/>
      </c>
      <c r="AV1598" s="227"/>
      <c r="AW1598" s="30"/>
      <c r="AX1598" s="267"/>
      <c r="AY1598" s="267"/>
      <c r="AZ1598" s="29"/>
      <c r="BA1598" s="30"/>
      <c r="BB1598" s="23" t="str" cm="1">
        <f t="array" ref="BB1598">_xlfn.IFS(AW1598="SIM",SUM(K1598,P1598,U1598,Z1598,AE1598,AJ1598,AO1598,AT1598,AX1598,AY1598),F1598&lt;&gt;"",SUM(K1598,P1598,U1598,Z1598,AE1598,AJ1598,,AO1598,AT1598),F1598="","")</f>
        <v/>
      </c>
      <c r="BC1598" s="211" t="str" cm="1">
        <f t="array" ref="BC1598">_xlfn.IFS(E1598="","",G1598&lt;=E1598,BB1598*(1-0.03),G1598&lt;(E1598+8),BB1598,AZ1598="Boleto",BB1598*(1+0.001)^DATEDIF(E1598,G1598,"D"),AZ1598="Cheque",BB1598,AZ1598="Dinheiro","Alterar forma pgto")</f>
        <v/>
      </c>
      <c r="BD1598" s="276" t="str" cm="1">
        <f t="array" ref="BD1598">IF(F1598=0," ",IF(BC1598&lt;BB1598,(_xlfn.IFS(AW1598="SIM",SUM(L1598,Q1598,V1598,AA1598,AF1598,AK1598,AP1598,AU1598)+AX1598/_xlfn.XLOOKUP(_xlfn.XLOOKUP($F1598,Clientes!$B$4:$B$39,Clientes!$C$4:$C$39),Cadastros!$L$6:$L$12,Cadastros!$M$6:$M$12)+IF($F1598="Bernardino Furlan",AY1598/2751.92,IF($F1598="Mauro José Salanti",AY1598/2751.92,AY1598/3356)),F1598&lt;&gt;0,SUM(L1598,Q1598,V1598,AA1598,AF1598,AK1598,AP1598,AU1598)))*(1-0.03),_xlfn.IFS(AW1598="SIM",SUM(L1598,Q1598,V1598,AA1598,AF1598,AK1598,AP1598,AU1598)+AX1598/_xlfn.XLOOKUP(_xlfn.XLOOKUP($F1598,Clientes!$B$4:$B$39,Clientes!$C$4:$C$39),Cadastros!$L$6:$L$12,Cadastros!$M$6:$M$12)+IF($F1598="Bernardino Furlan",AY1598/2751.92,IF($F1598="Mauro José Salanti",AY1598/2751.92,AY1598/3356)),F1598&lt;&gt;0,SUM(L1598,Q1598,V1598,AA1598,AF1598,AK1598,AP1598,AU1598))))</f>
        <v xml:space="preserve"> </v>
      </c>
      <c r="BE1598" s="120"/>
      <c r="BF1598" s="120"/>
      <c r="BG1598" s="120"/>
    </row>
    <row r="1599" spans="1:59" s="3" customFormat="1" x14ac:dyDescent="0.3">
      <c r="A1599" s="15" t="str">
        <f t="shared" si="312"/>
        <v/>
      </c>
      <c r="B1599" s="25"/>
      <c r="C1599" s="26"/>
      <c r="D1599" s="279"/>
      <c r="E1599" s="27"/>
      <c r="F1599" s="28"/>
      <c r="G1599" s="27"/>
      <c r="H1599" s="28"/>
      <c r="I1599" s="28"/>
      <c r="J1599" s="255" t="str">
        <f>IF(H1599="","",(_xlfn.XLOOKUP(H1599,Cadastros!$D$6:$D$90,Cadastros!$E$6:$E$90))*(1-_xlfn.XLOOKUP(_xlfn.XLOOKUP($F1599,Clientes!$B$4:$B$39,Clientes!$C$4:$C$39),Cadastros!$L$6:$L$12,Cadastros!$N$6:$N$12)))</f>
        <v/>
      </c>
      <c r="K1599" s="168" t="str">
        <f t="shared" si="313"/>
        <v/>
      </c>
      <c r="L1599" s="168" t="str">
        <f>IFERROR(K1599/_xlfn.XLOOKUP(_xlfn.XLOOKUP($F1599,Clientes!$B$4:$B$39,Clientes!$C$4:$C$39),Cadastros!$L$6:$L$12,Cadastros!$M$6:$M$12)," ")</f>
        <v xml:space="preserve"> </v>
      </c>
      <c r="M1599" s="28"/>
      <c r="N1599" s="28"/>
      <c r="O1599" s="255" t="str">
        <f>IF(M1599="","",(_xlfn.XLOOKUP(M1599,Cadastros!$D$6:$D$90,Cadastros!$E$6:$E$90))*(1-_xlfn.XLOOKUP(_xlfn.XLOOKUP($F1599,Clientes!$B$4:$B$39,Clientes!$C$4:$C$39),Cadastros!$L$6:$L$12,Cadastros!$N$6:$N$12)))</f>
        <v/>
      </c>
      <c r="P1599" s="168" t="str">
        <f t="shared" si="314"/>
        <v/>
      </c>
      <c r="Q1599" s="168" t="str">
        <f>IFERROR(P1599/_xlfn.XLOOKUP(_xlfn.XLOOKUP($F1599,Clientes!$B$4:$B$39,Clientes!$C$4:$C$39),Cadastros!$L$6:$L$12,Cadastros!$M$6:$M$12)," ")</f>
        <v xml:space="preserve"> </v>
      </c>
      <c r="R1599" s="28"/>
      <c r="S1599" s="28"/>
      <c r="T1599" s="255" t="str">
        <f>IF(R1599="","",(_xlfn.XLOOKUP(R1599,Cadastros!$D$6:$D$90,Cadastros!$E$6:$E$90))*(1-_xlfn.XLOOKUP(_xlfn.XLOOKUP($F1599,Clientes!$B$4:$B$39,Clientes!$C$4:$C$39),Cadastros!$L$6:$L$12,Cadastros!$N$6:$N$12)))</f>
        <v/>
      </c>
      <c r="U1599" s="168" t="str">
        <f t="shared" si="315"/>
        <v/>
      </c>
      <c r="V1599" s="168" t="str">
        <f>IFERROR(U1599/_xlfn.XLOOKUP(_xlfn.XLOOKUP($F1599,Clientes!$B$4:$B$39,Clientes!$C$4:$C$39),Cadastros!$L$6:$L$12,Cadastros!$M$6:$M$12)," ")</f>
        <v xml:space="preserve"> </v>
      </c>
      <c r="W1599" s="28"/>
      <c r="X1599" s="28"/>
      <c r="Y1599" s="255" t="str">
        <f>IF(W1599="","",(_xlfn.XLOOKUP(W1599,Cadastros!$D$6:$D$90,Cadastros!$E$6:$E$90))*(1-_xlfn.XLOOKUP(_xlfn.XLOOKUP($F1599,Clientes!$B$4:$B$39,Clientes!$C$4:$C$39),Cadastros!$L$6:$L$12,Cadastros!$N$6:$N$12)))</f>
        <v/>
      </c>
      <c r="Z1599" s="168" t="str">
        <f t="shared" si="316"/>
        <v/>
      </c>
      <c r="AA1599" s="168" t="str">
        <f>IFERROR(Z1599/_xlfn.XLOOKUP(_xlfn.XLOOKUP($F1599,Clientes!$B$4:$B$39,Clientes!$C$4:$C$39),Cadastros!$L$6:$L$12,Cadastros!$M$6:$M$12)," ")</f>
        <v xml:space="preserve"> </v>
      </c>
      <c r="AB1599" s="28"/>
      <c r="AC1599" s="28"/>
      <c r="AD1599" s="20" t="str">
        <f>IF(AB1599="","",IF($F1599="Bernardino Furlan",_xlfn.XLOOKUP(AB1599,Cadastros!$G$6:$G$90,Cadastros!$H$6:$H$90)*(1-0.18),IF($F1599="Mauro José Salanti",_xlfn.XLOOKUP(AB1599,Cadastros!$G$6:$G$90,Cadastros!$H$6:$H$90)*(1-0.18),_xlfn.XLOOKUP(AB1599,Cadastros!$G$6:$G$90,Cadastros!$H$6:$H$90))))</f>
        <v/>
      </c>
      <c r="AE1599" s="168" t="str">
        <f t="shared" si="317"/>
        <v/>
      </c>
      <c r="AF1599" s="168" t="str">
        <f t="shared" si="318"/>
        <v/>
      </c>
      <c r="AG1599" s="28"/>
      <c r="AH1599" s="28"/>
      <c r="AI1599" s="20" t="str">
        <f>IF(AG1599="","",IF($F1599="Bernardino Furlan",_xlfn.XLOOKUP(AG1599,Cadastros!$G$6:$G$90,Cadastros!$H$6:$H$90)*(1-0.18),IF($F1599="Mauro José Salanti",_xlfn.XLOOKUP(AG1599,Cadastros!$G$6:$G$90,Cadastros!$H$6:$H$90)*(1-0.18),_xlfn.XLOOKUP(AG1599,Cadastros!$G$6:$G$90,Cadastros!$H$6:$H$90))))</f>
        <v/>
      </c>
      <c r="AJ1599" s="168" t="str">
        <f t="shared" si="319"/>
        <v/>
      </c>
      <c r="AK1599" s="168" t="str">
        <f t="shared" si="320"/>
        <v/>
      </c>
      <c r="AL1599" s="28"/>
      <c r="AM1599" s="28"/>
      <c r="AN1599" s="20" t="str">
        <f>IF(AL1599="","",IF($F1599="Bernardino Furlan",_xlfn.XLOOKUP(AL1599,Cadastros!$G$6:$G$90,Cadastros!$H$6:$H$90)*(1-0.18),IF($F1599="Mauro José Salanti",_xlfn.XLOOKUP(AL1599,Cadastros!$G$6:$G$90,Cadastros!$H$6:$H$90)*(1-0.18),_xlfn.XLOOKUP(AL1599,Cadastros!$G$6:$G$90,Cadastros!$H$6:$H$90))))</f>
        <v/>
      </c>
      <c r="AO1599" s="168" t="str">
        <f t="shared" si="321"/>
        <v/>
      </c>
      <c r="AP1599" s="168" t="str">
        <f t="shared" si="322"/>
        <v/>
      </c>
      <c r="AQ1599" s="28"/>
      <c r="AR1599" s="28"/>
      <c r="AS1599" s="20" t="str">
        <f>IF(AQ1599="","",IF($F1599="Bernardino Furlan",_xlfn.XLOOKUP(AQ1599,Cadastros!$G$6:$G$90,Cadastros!$H$6:$H$90)*(1-0.18),IF($F1599="Mauro José Salanti",_xlfn.XLOOKUP(AQ1599,Cadastros!$G$6:$G$90,Cadastros!$H$6:$H$90)*(1-0.18),_xlfn.XLOOKUP(AQ1599,Cadastros!$G$6:$G$90,Cadastros!$H$6:$H$90))))</f>
        <v/>
      </c>
      <c r="AT1599" s="168" t="str">
        <f t="shared" si="323"/>
        <v/>
      </c>
      <c r="AU1599" s="168" t="str">
        <f t="shared" si="324"/>
        <v/>
      </c>
      <c r="AV1599" s="227"/>
      <c r="AW1599" s="30"/>
      <c r="AX1599" s="267"/>
      <c r="AY1599" s="267"/>
      <c r="AZ1599" s="29"/>
      <c r="BA1599" s="30"/>
      <c r="BB1599" s="23" t="str" cm="1">
        <f t="array" ref="BB1599">_xlfn.IFS(AW1599="SIM",SUM(K1599,P1599,U1599,Z1599,AE1599,AJ1599,AO1599,AT1599,AX1599,AY1599),F1599&lt;&gt;"",SUM(K1599,P1599,U1599,Z1599,AE1599,AJ1599,,AO1599,AT1599),F1599="","")</f>
        <v/>
      </c>
      <c r="BC1599" s="211" t="str" cm="1">
        <f t="array" ref="BC1599">_xlfn.IFS(E1599="","",G1599&lt;=E1599,BB1599*(1-0.03),G1599&lt;(E1599+8),BB1599,AZ1599="Boleto",BB1599*(1+0.001)^DATEDIF(E1599,G1599,"D"),AZ1599="Cheque",BB1599,AZ1599="Dinheiro","Alterar forma pgto")</f>
        <v/>
      </c>
      <c r="BD1599" s="276" t="str" cm="1">
        <f t="array" ref="BD1599">IF(F1599=0," ",IF(BC1599&lt;BB1599,(_xlfn.IFS(AW1599="SIM",SUM(L1599,Q1599,V1599,AA1599,AF1599,AK1599,AP1599,AU1599)+AX1599/_xlfn.XLOOKUP(_xlfn.XLOOKUP($F1599,Clientes!$B$4:$B$39,Clientes!$C$4:$C$39),Cadastros!$L$6:$L$12,Cadastros!$M$6:$M$12)+IF($F1599="Bernardino Furlan",AY1599/2751.92,IF($F1599="Mauro José Salanti",AY1599/2751.92,AY1599/3356)),F1599&lt;&gt;0,SUM(L1599,Q1599,V1599,AA1599,AF1599,AK1599,AP1599,AU1599)))*(1-0.03),_xlfn.IFS(AW1599="SIM",SUM(L1599,Q1599,V1599,AA1599,AF1599,AK1599,AP1599,AU1599)+AX1599/_xlfn.XLOOKUP(_xlfn.XLOOKUP($F1599,Clientes!$B$4:$B$39,Clientes!$C$4:$C$39),Cadastros!$L$6:$L$12,Cadastros!$M$6:$M$12)+IF($F1599="Bernardino Furlan",AY1599/2751.92,IF($F1599="Mauro José Salanti",AY1599/2751.92,AY1599/3356)),F1599&lt;&gt;0,SUM(L1599,Q1599,V1599,AA1599,AF1599,AK1599,AP1599,AU1599))))</f>
        <v xml:space="preserve"> </v>
      </c>
      <c r="BE1599" s="120"/>
      <c r="BF1599" s="120"/>
      <c r="BG1599" s="120"/>
    </row>
    <row r="1600" spans="1:59" s="3" customFormat="1" x14ac:dyDescent="0.3">
      <c r="A1600" s="15" t="str">
        <f t="shared" si="312"/>
        <v/>
      </c>
      <c r="B1600" s="25"/>
      <c r="C1600" s="26"/>
      <c r="D1600" s="279"/>
      <c r="E1600" s="27"/>
      <c r="F1600" s="28"/>
      <c r="G1600" s="27"/>
      <c r="H1600" s="28"/>
      <c r="I1600" s="28"/>
      <c r="J1600" s="255" t="str">
        <f>IF(H1600="","",(_xlfn.XLOOKUP(H1600,Cadastros!$D$6:$D$90,Cadastros!$E$6:$E$90))*(1-_xlfn.XLOOKUP(_xlfn.XLOOKUP($F1600,Clientes!$B$4:$B$39,Clientes!$C$4:$C$39),Cadastros!$L$6:$L$12,Cadastros!$N$6:$N$12)))</f>
        <v/>
      </c>
      <c r="K1600" s="168" t="str">
        <f t="shared" si="313"/>
        <v/>
      </c>
      <c r="L1600" s="168" t="str">
        <f>IFERROR(K1600/_xlfn.XLOOKUP(_xlfn.XLOOKUP($F1600,Clientes!$B$4:$B$39,Clientes!$C$4:$C$39),Cadastros!$L$6:$L$12,Cadastros!$M$6:$M$12)," ")</f>
        <v xml:space="preserve"> </v>
      </c>
      <c r="M1600" s="28"/>
      <c r="N1600" s="28"/>
      <c r="O1600" s="255" t="str">
        <f>IF(M1600="","",(_xlfn.XLOOKUP(M1600,Cadastros!$D$6:$D$90,Cadastros!$E$6:$E$90))*(1-_xlfn.XLOOKUP(_xlfn.XLOOKUP($F1600,Clientes!$B$4:$B$39,Clientes!$C$4:$C$39),Cadastros!$L$6:$L$12,Cadastros!$N$6:$N$12)))</f>
        <v/>
      </c>
      <c r="P1600" s="168" t="str">
        <f t="shared" si="314"/>
        <v/>
      </c>
      <c r="Q1600" s="168" t="str">
        <f>IFERROR(P1600/_xlfn.XLOOKUP(_xlfn.XLOOKUP($F1600,Clientes!$B$4:$B$39,Clientes!$C$4:$C$39),Cadastros!$L$6:$L$12,Cadastros!$M$6:$M$12)," ")</f>
        <v xml:space="preserve"> </v>
      </c>
      <c r="R1600" s="28"/>
      <c r="S1600" s="28"/>
      <c r="T1600" s="255" t="str">
        <f>IF(R1600="","",(_xlfn.XLOOKUP(R1600,Cadastros!$D$6:$D$90,Cadastros!$E$6:$E$90))*(1-_xlfn.XLOOKUP(_xlfn.XLOOKUP($F1600,Clientes!$B$4:$B$39,Clientes!$C$4:$C$39),Cadastros!$L$6:$L$12,Cadastros!$N$6:$N$12)))</f>
        <v/>
      </c>
      <c r="U1600" s="168" t="str">
        <f t="shared" si="315"/>
        <v/>
      </c>
      <c r="V1600" s="168" t="str">
        <f>IFERROR(U1600/_xlfn.XLOOKUP(_xlfn.XLOOKUP($F1600,Clientes!$B$4:$B$39,Clientes!$C$4:$C$39),Cadastros!$L$6:$L$12,Cadastros!$M$6:$M$12)," ")</f>
        <v xml:space="preserve"> </v>
      </c>
      <c r="W1600" s="28"/>
      <c r="X1600" s="28"/>
      <c r="Y1600" s="255" t="str">
        <f>IF(W1600="","",(_xlfn.XLOOKUP(W1600,Cadastros!$D$6:$D$90,Cadastros!$E$6:$E$90))*(1-_xlfn.XLOOKUP(_xlfn.XLOOKUP($F1600,Clientes!$B$4:$B$39,Clientes!$C$4:$C$39),Cadastros!$L$6:$L$12,Cadastros!$N$6:$N$12)))</f>
        <v/>
      </c>
      <c r="Z1600" s="168" t="str">
        <f t="shared" si="316"/>
        <v/>
      </c>
      <c r="AA1600" s="168" t="str">
        <f>IFERROR(Z1600/_xlfn.XLOOKUP(_xlfn.XLOOKUP($F1600,Clientes!$B$4:$B$39,Clientes!$C$4:$C$39),Cadastros!$L$6:$L$12,Cadastros!$M$6:$M$12)," ")</f>
        <v xml:space="preserve"> </v>
      </c>
      <c r="AB1600" s="28"/>
      <c r="AC1600" s="28"/>
      <c r="AD1600" s="20" t="str">
        <f>IF(AB1600="","",IF($F1600="Bernardino Furlan",_xlfn.XLOOKUP(AB1600,Cadastros!$G$6:$G$90,Cadastros!$H$6:$H$90)*(1-0.18),IF($F1600="Mauro José Salanti",_xlfn.XLOOKUP(AB1600,Cadastros!$G$6:$G$90,Cadastros!$H$6:$H$90)*(1-0.18),_xlfn.XLOOKUP(AB1600,Cadastros!$G$6:$G$90,Cadastros!$H$6:$H$90))))</f>
        <v/>
      </c>
      <c r="AE1600" s="168" t="str">
        <f t="shared" si="317"/>
        <v/>
      </c>
      <c r="AF1600" s="168" t="str">
        <f t="shared" si="318"/>
        <v/>
      </c>
      <c r="AG1600" s="28"/>
      <c r="AH1600" s="28"/>
      <c r="AI1600" s="20" t="str">
        <f>IF(AG1600="","",IF($F1600="Bernardino Furlan",_xlfn.XLOOKUP(AG1600,Cadastros!$G$6:$G$90,Cadastros!$H$6:$H$90)*(1-0.18),IF($F1600="Mauro José Salanti",_xlfn.XLOOKUP(AG1600,Cadastros!$G$6:$G$90,Cadastros!$H$6:$H$90)*(1-0.18),_xlfn.XLOOKUP(AG1600,Cadastros!$G$6:$G$90,Cadastros!$H$6:$H$90))))</f>
        <v/>
      </c>
      <c r="AJ1600" s="168" t="str">
        <f t="shared" si="319"/>
        <v/>
      </c>
      <c r="AK1600" s="168" t="str">
        <f t="shared" si="320"/>
        <v/>
      </c>
      <c r="AL1600" s="28"/>
      <c r="AM1600" s="28"/>
      <c r="AN1600" s="20" t="str">
        <f>IF(AL1600="","",IF($F1600="Bernardino Furlan",_xlfn.XLOOKUP(AL1600,Cadastros!$G$6:$G$90,Cadastros!$H$6:$H$90)*(1-0.18),IF($F1600="Mauro José Salanti",_xlfn.XLOOKUP(AL1600,Cadastros!$G$6:$G$90,Cadastros!$H$6:$H$90)*(1-0.18),_xlfn.XLOOKUP(AL1600,Cadastros!$G$6:$G$90,Cadastros!$H$6:$H$90))))</f>
        <v/>
      </c>
      <c r="AO1600" s="168" t="str">
        <f t="shared" si="321"/>
        <v/>
      </c>
      <c r="AP1600" s="168" t="str">
        <f t="shared" si="322"/>
        <v/>
      </c>
      <c r="AQ1600" s="28"/>
      <c r="AR1600" s="28"/>
      <c r="AS1600" s="20" t="str">
        <f>IF(AQ1600="","",IF($F1600="Bernardino Furlan",_xlfn.XLOOKUP(AQ1600,Cadastros!$G$6:$G$90,Cadastros!$H$6:$H$90)*(1-0.18),IF($F1600="Mauro José Salanti",_xlfn.XLOOKUP(AQ1600,Cadastros!$G$6:$G$90,Cadastros!$H$6:$H$90)*(1-0.18),_xlfn.XLOOKUP(AQ1600,Cadastros!$G$6:$G$90,Cadastros!$H$6:$H$90))))</f>
        <v/>
      </c>
      <c r="AT1600" s="168" t="str">
        <f t="shared" si="323"/>
        <v/>
      </c>
      <c r="AU1600" s="168" t="str">
        <f t="shared" si="324"/>
        <v/>
      </c>
      <c r="AV1600" s="227"/>
      <c r="AW1600" s="30"/>
      <c r="AX1600" s="267"/>
      <c r="AY1600" s="267"/>
      <c r="AZ1600" s="29"/>
      <c r="BA1600" s="30"/>
      <c r="BB1600" s="23" t="str" cm="1">
        <f t="array" ref="BB1600">_xlfn.IFS(AW1600="SIM",SUM(K1600,P1600,U1600,Z1600,AE1600,AJ1600,AO1600,AT1600,AX1600,AY1600),F1600&lt;&gt;"",SUM(K1600,P1600,U1600,Z1600,AE1600,AJ1600,,AO1600,AT1600),F1600="","")</f>
        <v/>
      </c>
      <c r="BC1600" s="211" t="str" cm="1">
        <f t="array" ref="BC1600">_xlfn.IFS(E1600="","",G1600&lt;=E1600,BB1600*(1-0.03),G1600&lt;(E1600+8),BB1600,AZ1600="Boleto",BB1600*(1+0.001)^DATEDIF(E1600,G1600,"D"),AZ1600="Cheque",BB1600,AZ1600="Dinheiro","Alterar forma pgto")</f>
        <v/>
      </c>
      <c r="BD1600" s="276" t="str" cm="1">
        <f t="array" ref="BD1600">IF(F1600=0," ",IF(BC1600&lt;BB1600,(_xlfn.IFS(AW1600="SIM",SUM(L1600,Q1600,V1600,AA1600,AF1600,AK1600,AP1600,AU1600)+AX1600/_xlfn.XLOOKUP(_xlfn.XLOOKUP($F1600,Clientes!$B$4:$B$39,Clientes!$C$4:$C$39),Cadastros!$L$6:$L$12,Cadastros!$M$6:$M$12)+IF($F1600="Bernardino Furlan",AY1600/2751.92,IF($F1600="Mauro José Salanti",AY1600/2751.92,AY1600/3356)),F1600&lt;&gt;0,SUM(L1600,Q1600,V1600,AA1600,AF1600,AK1600,AP1600,AU1600)))*(1-0.03),_xlfn.IFS(AW1600="SIM",SUM(L1600,Q1600,V1600,AA1600,AF1600,AK1600,AP1600,AU1600)+AX1600/_xlfn.XLOOKUP(_xlfn.XLOOKUP($F1600,Clientes!$B$4:$B$39,Clientes!$C$4:$C$39),Cadastros!$L$6:$L$12,Cadastros!$M$6:$M$12)+IF($F1600="Bernardino Furlan",AY1600/2751.92,IF($F1600="Mauro José Salanti",AY1600/2751.92,AY1600/3356)),F1600&lt;&gt;0,SUM(L1600,Q1600,V1600,AA1600,AF1600,AK1600,AP1600,AU1600))))</f>
        <v xml:space="preserve"> </v>
      </c>
      <c r="BE1600" s="120"/>
      <c r="BF1600" s="120"/>
      <c r="BG1600" s="120"/>
    </row>
    <row r="1601" spans="1:59" s="3" customFormat="1" x14ac:dyDescent="0.3">
      <c r="A1601" s="15" t="str">
        <f t="shared" si="312"/>
        <v/>
      </c>
      <c r="B1601" s="25"/>
      <c r="C1601" s="26"/>
      <c r="D1601" s="279"/>
      <c r="E1601" s="27"/>
      <c r="F1601" s="28"/>
      <c r="G1601" s="27"/>
      <c r="H1601" s="28"/>
      <c r="I1601" s="28"/>
      <c r="J1601" s="255" t="str">
        <f>IF(H1601="","",(_xlfn.XLOOKUP(H1601,Cadastros!$D$6:$D$90,Cadastros!$E$6:$E$90))*(1-_xlfn.XLOOKUP(_xlfn.XLOOKUP($F1601,Clientes!$B$4:$B$39,Clientes!$C$4:$C$39),Cadastros!$L$6:$L$12,Cadastros!$N$6:$N$12)))</f>
        <v/>
      </c>
      <c r="K1601" s="168" t="str">
        <f t="shared" si="313"/>
        <v/>
      </c>
      <c r="L1601" s="168" t="str">
        <f>IFERROR(K1601/_xlfn.XLOOKUP(_xlfn.XLOOKUP($F1601,Clientes!$B$4:$B$39,Clientes!$C$4:$C$39),Cadastros!$L$6:$L$12,Cadastros!$M$6:$M$12)," ")</f>
        <v xml:space="preserve"> </v>
      </c>
      <c r="M1601" s="28"/>
      <c r="N1601" s="28"/>
      <c r="O1601" s="255" t="str">
        <f>IF(M1601="","",(_xlfn.XLOOKUP(M1601,Cadastros!$D$6:$D$90,Cadastros!$E$6:$E$90))*(1-_xlfn.XLOOKUP(_xlfn.XLOOKUP($F1601,Clientes!$B$4:$B$39,Clientes!$C$4:$C$39),Cadastros!$L$6:$L$12,Cadastros!$N$6:$N$12)))</f>
        <v/>
      </c>
      <c r="P1601" s="168" t="str">
        <f t="shared" si="314"/>
        <v/>
      </c>
      <c r="Q1601" s="168" t="str">
        <f>IFERROR(P1601/_xlfn.XLOOKUP(_xlfn.XLOOKUP($F1601,Clientes!$B$4:$B$39,Clientes!$C$4:$C$39),Cadastros!$L$6:$L$12,Cadastros!$M$6:$M$12)," ")</f>
        <v xml:space="preserve"> </v>
      </c>
      <c r="R1601" s="28"/>
      <c r="S1601" s="28"/>
      <c r="T1601" s="255" t="str">
        <f>IF(R1601="","",(_xlfn.XLOOKUP(R1601,Cadastros!$D$6:$D$90,Cadastros!$E$6:$E$90))*(1-_xlfn.XLOOKUP(_xlfn.XLOOKUP($F1601,Clientes!$B$4:$B$39,Clientes!$C$4:$C$39),Cadastros!$L$6:$L$12,Cadastros!$N$6:$N$12)))</f>
        <v/>
      </c>
      <c r="U1601" s="168" t="str">
        <f t="shared" si="315"/>
        <v/>
      </c>
      <c r="V1601" s="168" t="str">
        <f>IFERROR(U1601/_xlfn.XLOOKUP(_xlfn.XLOOKUP($F1601,Clientes!$B$4:$B$39,Clientes!$C$4:$C$39),Cadastros!$L$6:$L$12,Cadastros!$M$6:$M$12)," ")</f>
        <v xml:space="preserve"> </v>
      </c>
      <c r="W1601" s="28"/>
      <c r="X1601" s="28"/>
      <c r="Y1601" s="255" t="str">
        <f>IF(W1601="","",(_xlfn.XLOOKUP(W1601,Cadastros!$D$6:$D$90,Cadastros!$E$6:$E$90))*(1-_xlfn.XLOOKUP(_xlfn.XLOOKUP($F1601,Clientes!$B$4:$B$39,Clientes!$C$4:$C$39),Cadastros!$L$6:$L$12,Cadastros!$N$6:$N$12)))</f>
        <v/>
      </c>
      <c r="Z1601" s="168" t="str">
        <f t="shared" si="316"/>
        <v/>
      </c>
      <c r="AA1601" s="168" t="str">
        <f>IFERROR(Z1601/_xlfn.XLOOKUP(_xlfn.XLOOKUP($F1601,Clientes!$B$4:$B$39,Clientes!$C$4:$C$39),Cadastros!$L$6:$L$12,Cadastros!$M$6:$M$12)," ")</f>
        <v xml:space="preserve"> </v>
      </c>
      <c r="AB1601" s="28"/>
      <c r="AC1601" s="28"/>
      <c r="AD1601" s="20" t="str">
        <f>IF(AB1601="","",IF($F1601="Bernardino Furlan",_xlfn.XLOOKUP(AB1601,Cadastros!$G$6:$G$90,Cadastros!$H$6:$H$90)*(1-0.18),IF($F1601="Mauro José Salanti",_xlfn.XLOOKUP(AB1601,Cadastros!$G$6:$G$90,Cadastros!$H$6:$H$90)*(1-0.18),_xlfn.XLOOKUP(AB1601,Cadastros!$G$6:$G$90,Cadastros!$H$6:$H$90))))</f>
        <v/>
      </c>
      <c r="AE1601" s="168" t="str">
        <f t="shared" si="317"/>
        <v/>
      </c>
      <c r="AF1601" s="168" t="str">
        <f t="shared" si="318"/>
        <v/>
      </c>
      <c r="AG1601" s="28"/>
      <c r="AH1601" s="28"/>
      <c r="AI1601" s="20" t="str">
        <f>IF(AG1601="","",IF($F1601="Bernardino Furlan",_xlfn.XLOOKUP(AG1601,Cadastros!$G$6:$G$90,Cadastros!$H$6:$H$90)*(1-0.18),IF($F1601="Mauro José Salanti",_xlfn.XLOOKUP(AG1601,Cadastros!$G$6:$G$90,Cadastros!$H$6:$H$90)*(1-0.18),_xlfn.XLOOKUP(AG1601,Cadastros!$G$6:$G$90,Cadastros!$H$6:$H$90))))</f>
        <v/>
      </c>
      <c r="AJ1601" s="168" t="str">
        <f t="shared" si="319"/>
        <v/>
      </c>
      <c r="AK1601" s="168" t="str">
        <f t="shared" si="320"/>
        <v/>
      </c>
      <c r="AL1601" s="28"/>
      <c r="AM1601" s="28"/>
      <c r="AN1601" s="20" t="str">
        <f>IF(AL1601="","",IF($F1601="Bernardino Furlan",_xlfn.XLOOKUP(AL1601,Cadastros!$G$6:$G$90,Cadastros!$H$6:$H$90)*(1-0.18),IF($F1601="Mauro José Salanti",_xlfn.XLOOKUP(AL1601,Cadastros!$G$6:$G$90,Cadastros!$H$6:$H$90)*(1-0.18),_xlfn.XLOOKUP(AL1601,Cadastros!$G$6:$G$90,Cadastros!$H$6:$H$90))))</f>
        <v/>
      </c>
      <c r="AO1601" s="168" t="str">
        <f t="shared" si="321"/>
        <v/>
      </c>
      <c r="AP1601" s="168" t="str">
        <f t="shared" si="322"/>
        <v/>
      </c>
      <c r="AQ1601" s="28"/>
      <c r="AR1601" s="28"/>
      <c r="AS1601" s="20" t="str">
        <f>IF(AQ1601="","",IF($F1601="Bernardino Furlan",_xlfn.XLOOKUP(AQ1601,Cadastros!$G$6:$G$90,Cadastros!$H$6:$H$90)*(1-0.18),IF($F1601="Mauro José Salanti",_xlfn.XLOOKUP(AQ1601,Cadastros!$G$6:$G$90,Cadastros!$H$6:$H$90)*(1-0.18),_xlfn.XLOOKUP(AQ1601,Cadastros!$G$6:$G$90,Cadastros!$H$6:$H$90))))</f>
        <v/>
      </c>
      <c r="AT1601" s="168" t="str">
        <f t="shared" si="323"/>
        <v/>
      </c>
      <c r="AU1601" s="168" t="str">
        <f t="shared" si="324"/>
        <v/>
      </c>
      <c r="AV1601" s="227"/>
      <c r="AW1601" s="30"/>
      <c r="AX1601" s="267"/>
      <c r="AY1601" s="267"/>
      <c r="AZ1601" s="29"/>
      <c r="BA1601" s="30"/>
      <c r="BB1601" s="23" t="str" cm="1">
        <f t="array" ref="BB1601">_xlfn.IFS(AW1601="SIM",SUM(K1601,P1601,U1601,Z1601,AE1601,AJ1601,AO1601,AT1601,AX1601,AY1601),F1601&lt;&gt;"",SUM(K1601,P1601,U1601,Z1601,AE1601,AJ1601,,AO1601,AT1601),F1601="","")</f>
        <v/>
      </c>
      <c r="BC1601" s="211" t="str" cm="1">
        <f t="array" ref="BC1601">_xlfn.IFS(E1601="","",G1601&lt;=E1601,BB1601*(1-0.03),G1601&lt;(E1601+8),BB1601,AZ1601="Boleto",BB1601*(1+0.001)^DATEDIF(E1601,G1601,"D"),AZ1601="Cheque",BB1601,AZ1601="Dinheiro","Alterar forma pgto")</f>
        <v/>
      </c>
      <c r="BD1601" s="276" t="str" cm="1">
        <f t="array" ref="BD1601">IF(F1601=0," ",IF(BC1601&lt;BB1601,(_xlfn.IFS(AW1601="SIM",SUM(L1601,Q1601,V1601,AA1601,AF1601,AK1601,AP1601,AU1601)+AX1601/_xlfn.XLOOKUP(_xlfn.XLOOKUP($F1601,Clientes!$B$4:$B$39,Clientes!$C$4:$C$39),Cadastros!$L$6:$L$12,Cadastros!$M$6:$M$12)+IF($F1601="Bernardino Furlan",AY1601/2751.92,IF($F1601="Mauro José Salanti",AY1601/2751.92,AY1601/3356)),F1601&lt;&gt;0,SUM(L1601,Q1601,V1601,AA1601,AF1601,AK1601,AP1601,AU1601)))*(1-0.03),_xlfn.IFS(AW1601="SIM",SUM(L1601,Q1601,V1601,AA1601,AF1601,AK1601,AP1601,AU1601)+AX1601/_xlfn.XLOOKUP(_xlfn.XLOOKUP($F1601,Clientes!$B$4:$B$39,Clientes!$C$4:$C$39),Cadastros!$L$6:$L$12,Cadastros!$M$6:$M$12)+IF($F1601="Bernardino Furlan",AY1601/2751.92,IF($F1601="Mauro José Salanti",AY1601/2751.92,AY1601/3356)),F1601&lt;&gt;0,SUM(L1601,Q1601,V1601,AA1601,AF1601,AK1601,AP1601,AU1601))))</f>
        <v xml:space="preserve"> </v>
      </c>
      <c r="BE1601" s="120"/>
      <c r="BF1601" s="120"/>
      <c r="BG1601" s="120"/>
    </row>
    <row r="1602" spans="1:59" s="3" customFormat="1" x14ac:dyDescent="0.3">
      <c r="A1602" s="15" t="str">
        <f t="shared" si="312"/>
        <v/>
      </c>
      <c r="B1602" s="25"/>
      <c r="C1602" s="26"/>
      <c r="D1602" s="279"/>
      <c r="E1602" s="27"/>
      <c r="F1602" s="28"/>
      <c r="G1602" s="27"/>
      <c r="H1602" s="28"/>
      <c r="I1602" s="28"/>
      <c r="J1602" s="255" t="str">
        <f>IF(H1602="","",(_xlfn.XLOOKUP(H1602,Cadastros!$D$6:$D$90,Cadastros!$E$6:$E$90))*(1-_xlfn.XLOOKUP(_xlfn.XLOOKUP($F1602,Clientes!$B$4:$B$39,Clientes!$C$4:$C$39),Cadastros!$L$6:$L$12,Cadastros!$N$6:$N$12)))</f>
        <v/>
      </c>
      <c r="K1602" s="168" t="str">
        <f t="shared" si="313"/>
        <v/>
      </c>
      <c r="L1602" s="168" t="str">
        <f>IFERROR(K1602/_xlfn.XLOOKUP(_xlfn.XLOOKUP($F1602,Clientes!$B$4:$B$39,Clientes!$C$4:$C$39),Cadastros!$L$6:$L$12,Cadastros!$M$6:$M$12)," ")</f>
        <v xml:space="preserve"> </v>
      </c>
      <c r="M1602" s="28"/>
      <c r="N1602" s="28"/>
      <c r="O1602" s="255" t="str">
        <f>IF(M1602="","",(_xlfn.XLOOKUP(M1602,Cadastros!$D$6:$D$90,Cadastros!$E$6:$E$90))*(1-_xlfn.XLOOKUP(_xlfn.XLOOKUP($F1602,Clientes!$B$4:$B$39,Clientes!$C$4:$C$39),Cadastros!$L$6:$L$12,Cadastros!$N$6:$N$12)))</f>
        <v/>
      </c>
      <c r="P1602" s="168" t="str">
        <f t="shared" si="314"/>
        <v/>
      </c>
      <c r="Q1602" s="168" t="str">
        <f>IFERROR(P1602/_xlfn.XLOOKUP(_xlfn.XLOOKUP($F1602,Clientes!$B$4:$B$39,Clientes!$C$4:$C$39),Cadastros!$L$6:$L$12,Cadastros!$M$6:$M$12)," ")</f>
        <v xml:space="preserve"> </v>
      </c>
      <c r="R1602" s="28"/>
      <c r="S1602" s="28"/>
      <c r="T1602" s="255" t="str">
        <f>IF(R1602="","",(_xlfn.XLOOKUP(R1602,Cadastros!$D$6:$D$90,Cadastros!$E$6:$E$90))*(1-_xlfn.XLOOKUP(_xlfn.XLOOKUP($F1602,Clientes!$B$4:$B$39,Clientes!$C$4:$C$39),Cadastros!$L$6:$L$12,Cadastros!$N$6:$N$12)))</f>
        <v/>
      </c>
      <c r="U1602" s="168" t="str">
        <f t="shared" si="315"/>
        <v/>
      </c>
      <c r="V1602" s="168" t="str">
        <f>IFERROR(U1602/_xlfn.XLOOKUP(_xlfn.XLOOKUP($F1602,Clientes!$B$4:$B$39,Clientes!$C$4:$C$39),Cadastros!$L$6:$L$12,Cadastros!$M$6:$M$12)," ")</f>
        <v xml:space="preserve"> </v>
      </c>
      <c r="W1602" s="28"/>
      <c r="X1602" s="28"/>
      <c r="Y1602" s="255" t="str">
        <f>IF(W1602="","",(_xlfn.XLOOKUP(W1602,Cadastros!$D$6:$D$90,Cadastros!$E$6:$E$90))*(1-_xlfn.XLOOKUP(_xlfn.XLOOKUP($F1602,Clientes!$B$4:$B$39,Clientes!$C$4:$C$39),Cadastros!$L$6:$L$12,Cadastros!$N$6:$N$12)))</f>
        <v/>
      </c>
      <c r="Z1602" s="168" t="str">
        <f t="shared" si="316"/>
        <v/>
      </c>
      <c r="AA1602" s="168" t="str">
        <f>IFERROR(Z1602/_xlfn.XLOOKUP(_xlfn.XLOOKUP($F1602,Clientes!$B$4:$B$39,Clientes!$C$4:$C$39),Cadastros!$L$6:$L$12,Cadastros!$M$6:$M$12)," ")</f>
        <v xml:space="preserve"> </v>
      </c>
      <c r="AB1602" s="28"/>
      <c r="AC1602" s="28"/>
      <c r="AD1602" s="20" t="str">
        <f>IF(AB1602="","",IF($F1602="Bernardino Furlan",_xlfn.XLOOKUP(AB1602,Cadastros!$G$6:$G$90,Cadastros!$H$6:$H$90)*(1-0.18),IF($F1602="Mauro José Salanti",_xlfn.XLOOKUP(AB1602,Cadastros!$G$6:$G$90,Cadastros!$H$6:$H$90)*(1-0.18),_xlfn.XLOOKUP(AB1602,Cadastros!$G$6:$G$90,Cadastros!$H$6:$H$90))))</f>
        <v/>
      </c>
      <c r="AE1602" s="168" t="str">
        <f t="shared" si="317"/>
        <v/>
      </c>
      <c r="AF1602" s="168" t="str">
        <f t="shared" si="318"/>
        <v/>
      </c>
      <c r="AG1602" s="28"/>
      <c r="AH1602" s="28"/>
      <c r="AI1602" s="20" t="str">
        <f>IF(AG1602="","",IF($F1602="Bernardino Furlan",_xlfn.XLOOKUP(AG1602,Cadastros!$G$6:$G$90,Cadastros!$H$6:$H$90)*(1-0.18),IF($F1602="Mauro José Salanti",_xlfn.XLOOKUP(AG1602,Cadastros!$G$6:$G$90,Cadastros!$H$6:$H$90)*(1-0.18),_xlfn.XLOOKUP(AG1602,Cadastros!$G$6:$G$90,Cadastros!$H$6:$H$90))))</f>
        <v/>
      </c>
      <c r="AJ1602" s="168" t="str">
        <f t="shared" si="319"/>
        <v/>
      </c>
      <c r="AK1602" s="168" t="str">
        <f t="shared" si="320"/>
        <v/>
      </c>
      <c r="AL1602" s="28"/>
      <c r="AM1602" s="28"/>
      <c r="AN1602" s="20" t="str">
        <f>IF(AL1602="","",IF($F1602="Bernardino Furlan",_xlfn.XLOOKUP(AL1602,Cadastros!$G$6:$G$90,Cadastros!$H$6:$H$90)*(1-0.18),IF($F1602="Mauro José Salanti",_xlfn.XLOOKUP(AL1602,Cadastros!$G$6:$G$90,Cadastros!$H$6:$H$90)*(1-0.18),_xlfn.XLOOKUP(AL1602,Cadastros!$G$6:$G$90,Cadastros!$H$6:$H$90))))</f>
        <v/>
      </c>
      <c r="AO1602" s="168" t="str">
        <f t="shared" si="321"/>
        <v/>
      </c>
      <c r="AP1602" s="168" t="str">
        <f t="shared" si="322"/>
        <v/>
      </c>
      <c r="AQ1602" s="28"/>
      <c r="AR1602" s="28"/>
      <c r="AS1602" s="20" t="str">
        <f>IF(AQ1602="","",IF($F1602="Bernardino Furlan",_xlfn.XLOOKUP(AQ1602,Cadastros!$G$6:$G$90,Cadastros!$H$6:$H$90)*(1-0.18),IF($F1602="Mauro José Salanti",_xlfn.XLOOKUP(AQ1602,Cadastros!$G$6:$G$90,Cadastros!$H$6:$H$90)*(1-0.18),_xlfn.XLOOKUP(AQ1602,Cadastros!$G$6:$G$90,Cadastros!$H$6:$H$90))))</f>
        <v/>
      </c>
      <c r="AT1602" s="168" t="str">
        <f t="shared" si="323"/>
        <v/>
      </c>
      <c r="AU1602" s="168" t="str">
        <f t="shared" si="324"/>
        <v/>
      </c>
      <c r="AV1602" s="227"/>
      <c r="AW1602" s="30"/>
      <c r="AX1602" s="267"/>
      <c r="AY1602" s="267"/>
      <c r="AZ1602" s="29"/>
      <c r="BA1602" s="30"/>
      <c r="BB1602" s="23" t="str" cm="1">
        <f t="array" ref="BB1602">_xlfn.IFS(AW1602="SIM",SUM(K1602,P1602,U1602,Z1602,AE1602,AJ1602,AO1602,AT1602,AX1602,AY1602),F1602&lt;&gt;"",SUM(K1602,P1602,U1602,Z1602,AE1602,AJ1602,,AO1602,AT1602),F1602="","")</f>
        <v/>
      </c>
      <c r="BC1602" s="211" t="str" cm="1">
        <f t="array" ref="BC1602">_xlfn.IFS(E1602="","",G1602&lt;=E1602,BB1602*(1-0.03),G1602&lt;(E1602+8),BB1602,AZ1602="Boleto",BB1602*(1+0.001)^DATEDIF(E1602,G1602,"D"),AZ1602="Cheque",BB1602,AZ1602="Dinheiro","Alterar forma pgto")</f>
        <v/>
      </c>
      <c r="BD1602" s="276" t="str" cm="1">
        <f t="array" ref="BD1602">IF(F1602=0," ",IF(BC1602&lt;BB1602,(_xlfn.IFS(AW1602="SIM",SUM(L1602,Q1602,V1602,AA1602,AF1602,AK1602,AP1602,AU1602)+AX1602/_xlfn.XLOOKUP(_xlfn.XLOOKUP($F1602,Clientes!$B$4:$B$39,Clientes!$C$4:$C$39),Cadastros!$L$6:$L$12,Cadastros!$M$6:$M$12)+IF($F1602="Bernardino Furlan",AY1602/2751.92,IF($F1602="Mauro José Salanti",AY1602/2751.92,AY1602/3356)),F1602&lt;&gt;0,SUM(L1602,Q1602,V1602,AA1602,AF1602,AK1602,AP1602,AU1602)))*(1-0.03),_xlfn.IFS(AW1602="SIM",SUM(L1602,Q1602,V1602,AA1602,AF1602,AK1602,AP1602,AU1602)+AX1602/_xlfn.XLOOKUP(_xlfn.XLOOKUP($F1602,Clientes!$B$4:$B$39,Clientes!$C$4:$C$39),Cadastros!$L$6:$L$12,Cadastros!$M$6:$M$12)+IF($F1602="Bernardino Furlan",AY1602/2751.92,IF($F1602="Mauro José Salanti",AY1602/2751.92,AY1602/3356)),F1602&lt;&gt;0,SUM(L1602,Q1602,V1602,AA1602,AF1602,AK1602,AP1602,AU1602))))</f>
        <v xml:space="preserve"> </v>
      </c>
      <c r="BE1602" s="120"/>
      <c r="BF1602" s="120"/>
      <c r="BG1602" s="120"/>
    </row>
    <row r="1603" spans="1:59" s="3" customFormat="1" x14ac:dyDescent="0.3">
      <c r="A1603" s="15" t="str">
        <f t="shared" si="312"/>
        <v/>
      </c>
      <c r="B1603" s="25"/>
      <c r="C1603" s="26"/>
      <c r="D1603" s="279"/>
      <c r="E1603" s="27"/>
      <c r="F1603" s="28"/>
      <c r="G1603" s="27"/>
      <c r="H1603" s="28"/>
      <c r="I1603" s="28"/>
      <c r="J1603" s="255" t="str">
        <f>IF(H1603="","",(_xlfn.XLOOKUP(H1603,Cadastros!$D$6:$D$90,Cadastros!$E$6:$E$90))*(1-_xlfn.XLOOKUP(_xlfn.XLOOKUP($F1603,Clientes!$B$4:$B$39,Clientes!$C$4:$C$39),Cadastros!$L$6:$L$12,Cadastros!$N$6:$N$12)))</f>
        <v/>
      </c>
      <c r="K1603" s="168" t="str">
        <f t="shared" si="313"/>
        <v/>
      </c>
      <c r="L1603" s="168" t="str">
        <f>IFERROR(K1603/_xlfn.XLOOKUP(_xlfn.XLOOKUP($F1603,Clientes!$B$4:$B$39,Clientes!$C$4:$C$39),Cadastros!$L$6:$L$12,Cadastros!$M$6:$M$12)," ")</f>
        <v xml:space="preserve"> </v>
      </c>
      <c r="M1603" s="28"/>
      <c r="N1603" s="28"/>
      <c r="O1603" s="255" t="str">
        <f>IF(M1603="","",(_xlfn.XLOOKUP(M1603,Cadastros!$D$6:$D$90,Cadastros!$E$6:$E$90))*(1-_xlfn.XLOOKUP(_xlfn.XLOOKUP($F1603,Clientes!$B$4:$B$39,Clientes!$C$4:$C$39),Cadastros!$L$6:$L$12,Cadastros!$N$6:$N$12)))</f>
        <v/>
      </c>
      <c r="P1603" s="168" t="str">
        <f t="shared" si="314"/>
        <v/>
      </c>
      <c r="Q1603" s="168" t="str">
        <f>IFERROR(P1603/_xlfn.XLOOKUP(_xlfn.XLOOKUP($F1603,Clientes!$B$4:$B$39,Clientes!$C$4:$C$39),Cadastros!$L$6:$L$12,Cadastros!$M$6:$M$12)," ")</f>
        <v xml:space="preserve"> </v>
      </c>
      <c r="R1603" s="28"/>
      <c r="S1603" s="28"/>
      <c r="T1603" s="255" t="str">
        <f>IF(R1603="","",(_xlfn.XLOOKUP(R1603,Cadastros!$D$6:$D$90,Cadastros!$E$6:$E$90))*(1-_xlfn.XLOOKUP(_xlfn.XLOOKUP($F1603,Clientes!$B$4:$B$39,Clientes!$C$4:$C$39),Cadastros!$L$6:$L$12,Cadastros!$N$6:$N$12)))</f>
        <v/>
      </c>
      <c r="U1603" s="168" t="str">
        <f t="shared" si="315"/>
        <v/>
      </c>
      <c r="V1603" s="168" t="str">
        <f>IFERROR(U1603/_xlfn.XLOOKUP(_xlfn.XLOOKUP($F1603,Clientes!$B$4:$B$39,Clientes!$C$4:$C$39),Cadastros!$L$6:$L$12,Cadastros!$M$6:$M$12)," ")</f>
        <v xml:space="preserve"> </v>
      </c>
      <c r="W1603" s="28"/>
      <c r="X1603" s="28"/>
      <c r="Y1603" s="255" t="str">
        <f>IF(W1603="","",(_xlfn.XLOOKUP(W1603,Cadastros!$D$6:$D$90,Cadastros!$E$6:$E$90))*(1-_xlfn.XLOOKUP(_xlfn.XLOOKUP($F1603,Clientes!$B$4:$B$39,Clientes!$C$4:$C$39),Cadastros!$L$6:$L$12,Cadastros!$N$6:$N$12)))</f>
        <v/>
      </c>
      <c r="Z1603" s="168" t="str">
        <f t="shared" si="316"/>
        <v/>
      </c>
      <c r="AA1603" s="168" t="str">
        <f>IFERROR(Z1603/_xlfn.XLOOKUP(_xlfn.XLOOKUP($F1603,Clientes!$B$4:$B$39,Clientes!$C$4:$C$39),Cadastros!$L$6:$L$12,Cadastros!$M$6:$M$12)," ")</f>
        <v xml:space="preserve"> </v>
      </c>
      <c r="AB1603" s="28"/>
      <c r="AC1603" s="28"/>
      <c r="AD1603" s="20" t="str">
        <f>IF(AB1603="","",IF($F1603="Bernardino Furlan",_xlfn.XLOOKUP(AB1603,Cadastros!$G$6:$G$90,Cadastros!$H$6:$H$90)*(1-0.18),IF($F1603="Mauro José Salanti",_xlfn.XLOOKUP(AB1603,Cadastros!$G$6:$G$90,Cadastros!$H$6:$H$90)*(1-0.18),_xlfn.XLOOKUP(AB1603,Cadastros!$G$6:$G$90,Cadastros!$H$6:$H$90))))</f>
        <v/>
      </c>
      <c r="AE1603" s="168" t="str">
        <f t="shared" si="317"/>
        <v/>
      </c>
      <c r="AF1603" s="168" t="str">
        <f t="shared" si="318"/>
        <v/>
      </c>
      <c r="AG1603" s="28"/>
      <c r="AH1603" s="28"/>
      <c r="AI1603" s="20" t="str">
        <f>IF(AG1603="","",IF($F1603="Bernardino Furlan",_xlfn.XLOOKUP(AG1603,Cadastros!$G$6:$G$90,Cadastros!$H$6:$H$90)*(1-0.18),IF($F1603="Mauro José Salanti",_xlfn.XLOOKUP(AG1603,Cadastros!$G$6:$G$90,Cadastros!$H$6:$H$90)*(1-0.18),_xlfn.XLOOKUP(AG1603,Cadastros!$G$6:$G$90,Cadastros!$H$6:$H$90))))</f>
        <v/>
      </c>
      <c r="AJ1603" s="168" t="str">
        <f t="shared" si="319"/>
        <v/>
      </c>
      <c r="AK1603" s="168" t="str">
        <f t="shared" si="320"/>
        <v/>
      </c>
      <c r="AL1603" s="28"/>
      <c r="AM1603" s="28"/>
      <c r="AN1603" s="20" t="str">
        <f>IF(AL1603="","",IF($F1603="Bernardino Furlan",_xlfn.XLOOKUP(AL1603,Cadastros!$G$6:$G$90,Cadastros!$H$6:$H$90)*(1-0.18),IF($F1603="Mauro José Salanti",_xlfn.XLOOKUP(AL1603,Cadastros!$G$6:$G$90,Cadastros!$H$6:$H$90)*(1-0.18),_xlfn.XLOOKUP(AL1603,Cadastros!$G$6:$G$90,Cadastros!$H$6:$H$90))))</f>
        <v/>
      </c>
      <c r="AO1603" s="168" t="str">
        <f t="shared" si="321"/>
        <v/>
      </c>
      <c r="AP1603" s="168" t="str">
        <f t="shared" si="322"/>
        <v/>
      </c>
      <c r="AQ1603" s="28"/>
      <c r="AR1603" s="28"/>
      <c r="AS1603" s="20" t="str">
        <f>IF(AQ1603="","",IF($F1603="Bernardino Furlan",_xlfn.XLOOKUP(AQ1603,Cadastros!$G$6:$G$90,Cadastros!$H$6:$H$90)*(1-0.18),IF($F1603="Mauro José Salanti",_xlfn.XLOOKUP(AQ1603,Cadastros!$G$6:$G$90,Cadastros!$H$6:$H$90)*(1-0.18),_xlfn.XLOOKUP(AQ1603,Cadastros!$G$6:$G$90,Cadastros!$H$6:$H$90))))</f>
        <v/>
      </c>
      <c r="AT1603" s="168" t="str">
        <f t="shared" si="323"/>
        <v/>
      </c>
      <c r="AU1603" s="168" t="str">
        <f t="shared" si="324"/>
        <v/>
      </c>
      <c r="AV1603" s="227"/>
      <c r="AW1603" s="30"/>
      <c r="AX1603" s="267"/>
      <c r="AY1603" s="267"/>
      <c r="AZ1603" s="29"/>
      <c r="BA1603" s="30"/>
      <c r="BB1603" s="23" t="str" cm="1">
        <f t="array" ref="BB1603">_xlfn.IFS(AW1603="SIM",SUM(K1603,P1603,U1603,Z1603,AE1603,AJ1603,AO1603,AT1603,AX1603,AY1603),F1603&lt;&gt;"",SUM(K1603,P1603,U1603,Z1603,AE1603,AJ1603,,AO1603,AT1603),F1603="","")</f>
        <v/>
      </c>
      <c r="BC1603" s="211" t="str" cm="1">
        <f t="array" ref="BC1603">_xlfn.IFS(E1603="","",G1603&lt;=E1603,BB1603*(1-0.03),G1603&lt;(E1603+8),BB1603,AZ1603="Boleto",BB1603*(1+0.001)^DATEDIF(E1603,G1603,"D"),AZ1603="Cheque",BB1603,AZ1603="Dinheiro","Alterar forma pgto")</f>
        <v/>
      </c>
      <c r="BD1603" s="276" t="str" cm="1">
        <f t="array" ref="BD1603">IF(F1603=0," ",IF(BC1603&lt;BB1603,(_xlfn.IFS(AW1603="SIM",SUM(L1603,Q1603,V1603,AA1603,AF1603,AK1603,AP1603,AU1603)+AX1603/_xlfn.XLOOKUP(_xlfn.XLOOKUP($F1603,Clientes!$B$4:$B$39,Clientes!$C$4:$C$39),Cadastros!$L$6:$L$12,Cadastros!$M$6:$M$12)+IF($F1603="Bernardino Furlan",AY1603/2751.92,IF($F1603="Mauro José Salanti",AY1603/2751.92,AY1603/3356)),F1603&lt;&gt;0,SUM(L1603,Q1603,V1603,AA1603,AF1603,AK1603,AP1603,AU1603)))*(1-0.03),_xlfn.IFS(AW1603="SIM",SUM(L1603,Q1603,V1603,AA1603,AF1603,AK1603,AP1603,AU1603)+AX1603/_xlfn.XLOOKUP(_xlfn.XLOOKUP($F1603,Clientes!$B$4:$B$39,Clientes!$C$4:$C$39),Cadastros!$L$6:$L$12,Cadastros!$M$6:$M$12)+IF($F1603="Bernardino Furlan",AY1603/2751.92,IF($F1603="Mauro José Salanti",AY1603/2751.92,AY1603/3356)),F1603&lt;&gt;0,SUM(L1603,Q1603,V1603,AA1603,AF1603,AK1603,AP1603,AU1603))))</f>
        <v xml:space="preserve"> </v>
      </c>
      <c r="BE1603" s="120"/>
      <c r="BF1603" s="120"/>
      <c r="BG1603" s="120"/>
    </row>
    <row r="1604" spans="1:59" s="3" customFormat="1" x14ac:dyDescent="0.3">
      <c r="A1604" s="15" t="str">
        <f t="shared" si="312"/>
        <v/>
      </c>
      <c r="B1604" s="25"/>
      <c r="C1604" s="26"/>
      <c r="D1604" s="279"/>
      <c r="E1604" s="27"/>
      <c r="F1604" s="28"/>
      <c r="G1604" s="27"/>
      <c r="H1604" s="28"/>
      <c r="I1604" s="28"/>
      <c r="J1604" s="255" t="str">
        <f>IF(H1604="","",(_xlfn.XLOOKUP(H1604,Cadastros!$D$6:$D$90,Cadastros!$E$6:$E$90))*(1-_xlfn.XLOOKUP(_xlfn.XLOOKUP($F1604,Clientes!$B$4:$B$39,Clientes!$C$4:$C$39),Cadastros!$L$6:$L$12,Cadastros!$N$6:$N$12)))</f>
        <v/>
      </c>
      <c r="K1604" s="168" t="str">
        <f t="shared" si="313"/>
        <v/>
      </c>
      <c r="L1604" s="168" t="str">
        <f>IFERROR(K1604/_xlfn.XLOOKUP(_xlfn.XLOOKUP($F1604,Clientes!$B$4:$B$39,Clientes!$C$4:$C$39),Cadastros!$L$6:$L$12,Cadastros!$M$6:$M$12)," ")</f>
        <v xml:space="preserve"> </v>
      </c>
      <c r="M1604" s="28"/>
      <c r="N1604" s="28"/>
      <c r="O1604" s="255" t="str">
        <f>IF(M1604="","",(_xlfn.XLOOKUP(M1604,Cadastros!$D$6:$D$90,Cadastros!$E$6:$E$90))*(1-_xlfn.XLOOKUP(_xlfn.XLOOKUP($F1604,Clientes!$B$4:$B$39,Clientes!$C$4:$C$39),Cadastros!$L$6:$L$12,Cadastros!$N$6:$N$12)))</f>
        <v/>
      </c>
      <c r="P1604" s="168" t="str">
        <f t="shared" si="314"/>
        <v/>
      </c>
      <c r="Q1604" s="168" t="str">
        <f>IFERROR(P1604/_xlfn.XLOOKUP(_xlfn.XLOOKUP($F1604,Clientes!$B$4:$B$39,Clientes!$C$4:$C$39),Cadastros!$L$6:$L$12,Cadastros!$M$6:$M$12)," ")</f>
        <v xml:space="preserve"> </v>
      </c>
      <c r="R1604" s="28"/>
      <c r="S1604" s="28"/>
      <c r="T1604" s="255" t="str">
        <f>IF(R1604="","",(_xlfn.XLOOKUP(R1604,Cadastros!$D$6:$D$90,Cadastros!$E$6:$E$90))*(1-_xlfn.XLOOKUP(_xlfn.XLOOKUP($F1604,Clientes!$B$4:$B$39,Clientes!$C$4:$C$39),Cadastros!$L$6:$L$12,Cadastros!$N$6:$N$12)))</f>
        <v/>
      </c>
      <c r="U1604" s="168" t="str">
        <f t="shared" si="315"/>
        <v/>
      </c>
      <c r="V1604" s="168" t="str">
        <f>IFERROR(U1604/_xlfn.XLOOKUP(_xlfn.XLOOKUP($F1604,Clientes!$B$4:$B$39,Clientes!$C$4:$C$39),Cadastros!$L$6:$L$12,Cadastros!$M$6:$M$12)," ")</f>
        <v xml:space="preserve"> </v>
      </c>
      <c r="W1604" s="28"/>
      <c r="X1604" s="28"/>
      <c r="Y1604" s="255" t="str">
        <f>IF(W1604="","",(_xlfn.XLOOKUP(W1604,Cadastros!$D$6:$D$90,Cadastros!$E$6:$E$90))*(1-_xlfn.XLOOKUP(_xlfn.XLOOKUP($F1604,Clientes!$B$4:$B$39,Clientes!$C$4:$C$39),Cadastros!$L$6:$L$12,Cadastros!$N$6:$N$12)))</f>
        <v/>
      </c>
      <c r="Z1604" s="168" t="str">
        <f t="shared" si="316"/>
        <v/>
      </c>
      <c r="AA1604" s="168" t="str">
        <f>IFERROR(Z1604/_xlfn.XLOOKUP(_xlfn.XLOOKUP($F1604,Clientes!$B$4:$B$39,Clientes!$C$4:$C$39),Cadastros!$L$6:$L$12,Cadastros!$M$6:$M$12)," ")</f>
        <v xml:space="preserve"> </v>
      </c>
      <c r="AB1604" s="28"/>
      <c r="AC1604" s="28"/>
      <c r="AD1604" s="20" t="str">
        <f>IF(AB1604="","",IF($F1604="Bernardino Furlan",_xlfn.XLOOKUP(AB1604,Cadastros!$G$6:$G$90,Cadastros!$H$6:$H$90)*(1-0.18),IF($F1604="Mauro José Salanti",_xlfn.XLOOKUP(AB1604,Cadastros!$G$6:$G$90,Cadastros!$H$6:$H$90)*(1-0.18),_xlfn.XLOOKUP(AB1604,Cadastros!$G$6:$G$90,Cadastros!$H$6:$H$90))))</f>
        <v/>
      </c>
      <c r="AE1604" s="168" t="str">
        <f t="shared" si="317"/>
        <v/>
      </c>
      <c r="AF1604" s="168" t="str">
        <f t="shared" si="318"/>
        <v/>
      </c>
      <c r="AG1604" s="28"/>
      <c r="AH1604" s="28"/>
      <c r="AI1604" s="20" t="str">
        <f>IF(AG1604="","",IF($F1604="Bernardino Furlan",_xlfn.XLOOKUP(AG1604,Cadastros!$G$6:$G$90,Cadastros!$H$6:$H$90)*(1-0.18),IF($F1604="Mauro José Salanti",_xlfn.XLOOKUP(AG1604,Cadastros!$G$6:$G$90,Cadastros!$H$6:$H$90)*(1-0.18),_xlfn.XLOOKUP(AG1604,Cadastros!$G$6:$G$90,Cadastros!$H$6:$H$90))))</f>
        <v/>
      </c>
      <c r="AJ1604" s="168" t="str">
        <f t="shared" si="319"/>
        <v/>
      </c>
      <c r="AK1604" s="168" t="str">
        <f t="shared" si="320"/>
        <v/>
      </c>
      <c r="AL1604" s="28"/>
      <c r="AM1604" s="28"/>
      <c r="AN1604" s="20" t="str">
        <f>IF(AL1604="","",IF($F1604="Bernardino Furlan",_xlfn.XLOOKUP(AL1604,Cadastros!$G$6:$G$90,Cadastros!$H$6:$H$90)*(1-0.18),IF($F1604="Mauro José Salanti",_xlfn.XLOOKUP(AL1604,Cadastros!$G$6:$G$90,Cadastros!$H$6:$H$90)*(1-0.18),_xlfn.XLOOKUP(AL1604,Cadastros!$G$6:$G$90,Cadastros!$H$6:$H$90))))</f>
        <v/>
      </c>
      <c r="AO1604" s="168" t="str">
        <f t="shared" si="321"/>
        <v/>
      </c>
      <c r="AP1604" s="168" t="str">
        <f t="shared" si="322"/>
        <v/>
      </c>
      <c r="AQ1604" s="28"/>
      <c r="AR1604" s="28"/>
      <c r="AS1604" s="20" t="str">
        <f>IF(AQ1604="","",IF($F1604="Bernardino Furlan",_xlfn.XLOOKUP(AQ1604,Cadastros!$G$6:$G$90,Cadastros!$H$6:$H$90)*(1-0.18),IF($F1604="Mauro José Salanti",_xlfn.XLOOKUP(AQ1604,Cadastros!$G$6:$G$90,Cadastros!$H$6:$H$90)*(1-0.18),_xlfn.XLOOKUP(AQ1604,Cadastros!$G$6:$G$90,Cadastros!$H$6:$H$90))))</f>
        <v/>
      </c>
      <c r="AT1604" s="168" t="str">
        <f t="shared" si="323"/>
        <v/>
      </c>
      <c r="AU1604" s="168" t="str">
        <f t="shared" si="324"/>
        <v/>
      </c>
      <c r="AV1604" s="227"/>
      <c r="AW1604" s="30"/>
      <c r="AX1604" s="267"/>
      <c r="AY1604" s="267"/>
      <c r="AZ1604" s="29"/>
      <c r="BA1604" s="30"/>
      <c r="BB1604" s="23" t="str" cm="1">
        <f t="array" ref="BB1604">_xlfn.IFS(AW1604="SIM",SUM(K1604,P1604,U1604,Z1604,AE1604,AJ1604,AO1604,AT1604,AX1604,AY1604),F1604&lt;&gt;"",SUM(K1604,P1604,U1604,Z1604,AE1604,AJ1604,,AO1604,AT1604),F1604="","")</f>
        <v/>
      </c>
      <c r="BC1604" s="211" t="str" cm="1">
        <f t="array" ref="BC1604">_xlfn.IFS(E1604="","",G1604&lt;=E1604,BB1604*(1-0.03),G1604&lt;(E1604+8),BB1604,AZ1604="Boleto",BB1604*(1+0.001)^DATEDIF(E1604,G1604,"D"),AZ1604="Cheque",BB1604,AZ1604="Dinheiro","Alterar forma pgto")</f>
        <v/>
      </c>
      <c r="BD1604" s="276" t="str" cm="1">
        <f t="array" ref="BD1604">IF(F1604=0," ",IF(BC1604&lt;BB1604,(_xlfn.IFS(AW1604="SIM",SUM(L1604,Q1604,V1604,AA1604,AF1604,AK1604,AP1604,AU1604)+AX1604/_xlfn.XLOOKUP(_xlfn.XLOOKUP($F1604,Clientes!$B$4:$B$39,Clientes!$C$4:$C$39),Cadastros!$L$6:$L$12,Cadastros!$M$6:$M$12)+IF($F1604="Bernardino Furlan",AY1604/2751.92,IF($F1604="Mauro José Salanti",AY1604/2751.92,AY1604/3356)),F1604&lt;&gt;0,SUM(L1604,Q1604,V1604,AA1604,AF1604,AK1604,AP1604,AU1604)))*(1-0.03),_xlfn.IFS(AW1604="SIM",SUM(L1604,Q1604,V1604,AA1604,AF1604,AK1604,AP1604,AU1604)+AX1604/_xlfn.XLOOKUP(_xlfn.XLOOKUP($F1604,Clientes!$B$4:$B$39,Clientes!$C$4:$C$39),Cadastros!$L$6:$L$12,Cadastros!$M$6:$M$12)+IF($F1604="Bernardino Furlan",AY1604/2751.92,IF($F1604="Mauro José Salanti",AY1604/2751.92,AY1604/3356)),F1604&lt;&gt;0,SUM(L1604,Q1604,V1604,AA1604,AF1604,AK1604,AP1604,AU1604))))</f>
        <v xml:space="preserve"> </v>
      </c>
      <c r="BE1604" s="120"/>
      <c r="BF1604" s="120"/>
      <c r="BG1604" s="120"/>
    </row>
    <row r="1605" spans="1:59" s="3" customFormat="1" x14ac:dyDescent="0.3">
      <c r="A1605" s="15" t="str">
        <f t="shared" si="312"/>
        <v/>
      </c>
      <c r="B1605" s="25"/>
      <c r="C1605" s="26"/>
      <c r="D1605" s="279"/>
      <c r="E1605" s="27"/>
      <c r="F1605" s="28"/>
      <c r="G1605" s="27"/>
      <c r="H1605" s="28"/>
      <c r="I1605" s="28"/>
      <c r="J1605" s="255" t="str">
        <f>IF(H1605="","",(_xlfn.XLOOKUP(H1605,Cadastros!$D$6:$D$90,Cadastros!$E$6:$E$90))*(1-_xlfn.XLOOKUP(_xlfn.XLOOKUP($F1605,Clientes!$B$4:$B$39,Clientes!$C$4:$C$39),Cadastros!$L$6:$L$12,Cadastros!$N$6:$N$12)))</f>
        <v/>
      </c>
      <c r="K1605" s="168" t="str">
        <f t="shared" si="313"/>
        <v/>
      </c>
      <c r="L1605" s="168" t="str">
        <f>IFERROR(K1605/_xlfn.XLOOKUP(_xlfn.XLOOKUP($F1605,Clientes!$B$4:$B$39,Clientes!$C$4:$C$39),Cadastros!$L$6:$L$12,Cadastros!$M$6:$M$12)," ")</f>
        <v xml:space="preserve"> </v>
      </c>
      <c r="M1605" s="28"/>
      <c r="N1605" s="28"/>
      <c r="O1605" s="255" t="str">
        <f>IF(M1605="","",(_xlfn.XLOOKUP(M1605,Cadastros!$D$6:$D$90,Cadastros!$E$6:$E$90))*(1-_xlfn.XLOOKUP(_xlfn.XLOOKUP($F1605,Clientes!$B$4:$B$39,Clientes!$C$4:$C$39),Cadastros!$L$6:$L$12,Cadastros!$N$6:$N$12)))</f>
        <v/>
      </c>
      <c r="P1605" s="168" t="str">
        <f t="shared" si="314"/>
        <v/>
      </c>
      <c r="Q1605" s="168" t="str">
        <f>IFERROR(P1605/_xlfn.XLOOKUP(_xlfn.XLOOKUP($F1605,Clientes!$B$4:$B$39,Clientes!$C$4:$C$39),Cadastros!$L$6:$L$12,Cadastros!$M$6:$M$12)," ")</f>
        <v xml:space="preserve"> </v>
      </c>
      <c r="R1605" s="28"/>
      <c r="S1605" s="28"/>
      <c r="T1605" s="255" t="str">
        <f>IF(R1605="","",(_xlfn.XLOOKUP(R1605,Cadastros!$D$6:$D$90,Cadastros!$E$6:$E$90))*(1-_xlfn.XLOOKUP(_xlfn.XLOOKUP($F1605,Clientes!$B$4:$B$39,Clientes!$C$4:$C$39),Cadastros!$L$6:$L$12,Cadastros!$N$6:$N$12)))</f>
        <v/>
      </c>
      <c r="U1605" s="168" t="str">
        <f t="shared" si="315"/>
        <v/>
      </c>
      <c r="V1605" s="168" t="str">
        <f>IFERROR(U1605/_xlfn.XLOOKUP(_xlfn.XLOOKUP($F1605,Clientes!$B$4:$B$39,Clientes!$C$4:$C$39),Cadastros!$L$6:$L$12,Cadastros!$M$6:$M$12)," ")</f>
        <v xml:space="preserve"> </v>
      </c>
      <c r="W1605" s="28"/>
      <c r="X1605" s="28"/>
      <c r="Y1605" s="255" t="str">
        <f>IF(W1605="","",(_xlfn.XLOOKUP(W1605,Cadastros!$D$6:$D$90,Cadastros!$E$6:$E$90))*(1-_xlfn.XLOOKUP(_xlfn.XLOOKUP($F1605,Clientes!$B$4:$B$39,Clientes!$C$4:$C$39),Cadastros!$L$6:$L$12,Cadastros!$N$6:$N$12)))</f>
        <v/>
      </c>
      <c r="Z1605" s="168" t="str">
        <f t="shared" si="316"/>
        <v/>
      </c>
      <c r="AA1605" s="168" t="str">
        <f>IFERROR(Z1605/_xlfn.XLOOKUP(_xlfn.XLOOKUP($F1605,Clientes!$B$4:$B$39,Clientes!$C$4:$C$39),Cadastros!$L$6:$L$12,Cadastros!$M$6:$M$12)," ")</f>
        <v xml:space="preserve"> </v>
      </c>
      <c r="AB1605" s="28"/>
      <c r="AC1605" s="28"/>
      <c r="AD1605" s="20" t="str">
        <f>IF(AB1605="","",IF($F1605="Bernardino Furlan",_xlfn.XLOOKUP(AB1605,Cadastros!$G$6:$G$90,Cadastros!$H$6:$H$90)*(1-0.18),IF($F1605="Mauro José Salanti",_xlfn.XLOOKUP(AB1605,Cadastros!$G$6:$G$90,Cadastros!$H$6:$H$90)*(1-0.18),_xlfn.XLOOKUP(AB1605,Cadastros!$G$6:$G$90,Cadastros!$H$6:$H$90))))</f>
        <v/>
      </c>
      <c r="AE1605" s="168" t="str">
        <f t="shared" si="317"/>
        <v/>
      </c>
      <c r="AF1605" s="168" t="str">
        <f t="shared" si="318"/>
        <v/>
      </c>
      <c r="AG1605" s="28"/>
      <c r="AH1605" s="28"/>
      <c r="AI1605" s="20" t="str">
        <f>IF(AG1605="","",IF($F1605="Bernardino Furlan",_xlfn.XLOOKUP(AG1605,Cadastros!$G$6:$G$90,Cadastros!$H$6:$H$90)*(1-0.18),IF($F1605="Mauro José Salanti",_xlfn.XLOOKUP(AG1605,Cadastros!$G$6:$G$90,Cadastros!$H$6:$H$90)*(1-0.18),_xlfn.XLOOKUP(AG1605,Cadastros!$G$6:$G$90,Cadastros!$H$6:$H$90))))</f>
        <v/>
      </c>
      <c r="AJ1605" s="168" t="str">
        <f t="shared" si="319"/>
        <v/>
      </c>
      <c r="AK1605" s="168" t="str">
        <f t="shared" si="320"/>
        <v/>
      </c>
      <c r="AL1605" s="28"/>
      <c r="AM1605" s="28"/>
      <c r="AN1605" s="20" t="str">
        <f>IF(AL1605="","",IF($F1605="Bernardino Furlan",_xlfn.XLOOKUP(AL1605,Cadastros!$G$6:$G$90,Cadastros!$H$6:$H$90)*(1-0.18),IF($F1605="Mauro José Salanti",_xlfn.XLOOKUP(AL1605,Cadastros!$G$6:$G$90,Cadastros!$H$6:$H$90)*(1-0.18),_xlfn.XLOOKUP(AL1605,Cadastros!$G$6:$G$90,Cadastros!$H$6:$H$90))))</f>
        <v/>
      </c>
      <c r="AO1605" s="168" t="str">
        <f t="shared" si="321"/>
        <v/>
      </c>
      <c r="AP1605" s="168" t="str">
        <f t="shared" si="322"/>
        <v/>
      </c>
      <c r="AQ1605" s="28"/>
      <c r="AR1605" s="28"/>
      <c r="AS1605" s="20" t="str">
        <f>IF(AQ1605="","",IF($F1605="Bernardino Furlan",_xlfn.XLOOKUP(AQ1605,Cadastros!$G$6:$G$90,Cadastros!$H$6:$H$90)*(1-0.18),IF($F1605="Mauro José Salanti",_xlfn.XLOOKUP(AQ1605,Cadastros!$G$6:$G$90,Cadastros!$H$6:$H$90)*(1-0.18),_xlfn.XLOOKUP(AQ1605,Cadastros!$G$6:$G$90,Cadastros!$H$6:$H$90))))</f>
        <v/>
      </c>
      <c r="AT1605" s="168" t="str">
        <f t="shared" si="323"/>
        <v/>
      </c>
      <c r="AU1605" s="168" t="str">
        <f t="shared" si="324"/>
        <v/>
      </c>
      <c r="AV1605" s="227"/>
      <c r="AW1605" s="30"/>
      <c r="AX1605" s="267"/>
      <c r="AY1605" s="267"/>
      <c r="AZ1605" s="29"/>
      <c r="BA1605" s="30"/>
      <c r="BB1605" s="23" t="str" cm="1">
        <f t="array" ref="BB1605">_xlfn.IFS(AW1605="SIM",SUM(K1605,P1605,U1605,Z1605,AE1605,AJ1605,AO1605,AT1605,AX1605,AY1605),F1605&lt;&gt;"",SUM(K1605,P1605,U1605,Z1605,AE1605,AJ1605,,AO1605,AT1605),F1605="","")</f>
        <v/>
      </c>
      <c r="BC1605" s="211" t="str" cm="1">
        <f t="array" ref="BC1605">_xlfn.IFS(E1605="","",G1605&lt;=E1605,BB1605*(1-0.03),G1605&lt;(E1605+8),BB1605,AZ1605="Boleto",BB1605*(1+0.001)^DATEDIF(E1605,G1605,"D"),AZ1605="Cheque",BB1605,AZ1605="Dinheiro","Alterar forma pgto")</f>
        <v/>
      </c>
      <c r="BD1605" s="276" t="str" cm="1">
        <f t="array" ref="BD1605">IF(F1605=0," ",IF(BC1605&lt;BB1605,(_xlfn.IFS(AW1605="SIM",SUM(L1605,Q1605,V1605,AA1605,AF1605,AK1605,AP1605,AU1605)+AX1605/_xlfn.XLOOKUP(_xlfn.XLOOKUP($F1605,Clientes!$B$4:$B$39,Clientes!$C$4:$C$39),Cadastros!$L$6:$L$12,Cadastros!$M$6:$M$12)+IF($F1605="Bernardino Furlan",AY1605/2751.92,IF($F1605="Mauro José Salanti",AY1605/2751.92,AY1605/3356)),F1605&lt;&gt;0,SUM(L1605,Q1605,V1605,AA1605,AF1605,AK1605,AP1605,AU1605)))*(1-0.03),_xlfn.IFS(AW1605="SIM",SUM(L1605,Q1605,V1605,AA1605,AF1605,AK1605,AP1605,AU1605)+AX1605/_xlfn.XLOOKUP(_xlfn.XLOOKUP($F1605,Clientes!$B$4:$B$39,Clientes!$C$4:$C$39),Cadastros!$L$6:$L$12,Cadastros!$M$6:$M$12)+IF($F1605="Bernardino Furlan",AY1605/2751.92,IF($F1605="Mauro José Salanti",AY1605/2751.92,AY1605/3356)),F1605&lt;&gt;0,SUM(L1605,Q1605,V1605,AA1605,AF1605,AK1605,AP1605,AU1605))))</f>
        <v xml:space="preserve"> </v>
      </c>
      <c r="BE1605" s="120"/>
      <c r="BF1605" s="120"/>
      <c r="BG1605" s="120"/>
    </row>
    <row r="1606" spans="1:59" s="3" customFormat="1" x14ac:dyDescent="0.3">
      <c r="A1606" s="15" t="str">
        <f t="shared" si="312"/>
        <v/>
      </c>
      <c r="B1606" s="25"/>
      <c r="C1606" s="26"/>
      <c r="D1606" s="279"/>
      <c r="E1606" s="27"/>
      <c r="F1606" s="28"/>
      <c r="G1606" s="27"/>
      <c r="H1606" s="28"/>
      <c r="I1606" s="28"/>
      <c r="J1606" s="255" t="str">
        <f>IF(H1606="","",(_xlfn.XLOOKUP(H1606,Cadastros!$D$6:$D$90,Cadastros!$E$6:$E$90))*(1-_xlfn.XLOOKUP(_xlfn.XLOOKUP($F1606,Clientes!$B$4:$B$39,Clientes!$C$4:$C$39),Cadastros!$L$6:$L$12,Cadastros!$N$6:$N$12)))</f>
        <v/>
      </c>
      <c r="K1606" s="168" t="str">
        <f t="shared" si="313"/>
        <v/>
      </c>
      <c r="L1606" s="168" t="str">
        <f>IFERROR(K1606/_xlfn.XLOOKUP(_xlfn.XLOOKUP($F1606,Clientes!$B$4:$B$39,Clientes!$C$4:$C$39),Cadastros!$L$6:$L$12,Cadastros!$M$6:$M$12)," ")</f>
        <v xml:space="preserve"> </v>
      </c>
      <c r="M1606" s="28"/>
      <c r="N1606" s="28"/>
      <c r="O1606" s="255" t="str">
        <f>IF(M1606="","",(_xlfn.XLOOKUP(M1606,Cadastros!$D$6:$D$90,Cadastros!$E$6:$E$90))*(1-_xlfn.XLOOKUP(_xlfn.XLOOKUP($F1606,Clientes!$B$4:$B$39,Clientes!$C$4:$C$39),Cadastros!$L$6:$L$12,Cadastros!$N$6:$N$12)))</f>
        <v/>
      </c>
      <c r="P1606" s="168" t="str">
        <f t="shared" si="314"/>
        <v/>
      </c>
      <c r="Q1606" s="168" t="str">
        <f>IFERROR(P1606/_xlfn.XLOOKUP(_xlfn.XLOOKUP($F1606,Clientes!$B$4:$B$39,Clientes!$C$4:$C$39),Cadastros!$L$6:$L$12,Cadastros!$M$6:$M$12)," ")</f>
        <v xml:space="preserve"> </v>
      </c>
      <c r="R1606" s="28"/>
      <c r="S1606" s="28"/>
      <c r="T1606" s="255" t="str">
        <f>IF(R1606="","",(_xlfn.XLOOKUP(R1606,Cadastros!$D$6:$D$90,Cadastros!$E$6:$E$90))*(1-_xlfn.XLOOKUP(_xlfn.XLOOKUP($F1606,Clientes!$B$4:$B$39,Clientes!$C$4:$C$39),Cadastros!$L$6:$L$12,Cadastros!$N$6:$N$12)))</f>
        <v/>
      </c>
      <c r="U1606" s="168" t="str">
        <f t="shared" si="315"/>
        <v/>
      </c>
      <c r="V1606" s="168" t="str">
        <f>IFERROR(U1606/_xlfn.XLOOKUP(_xlfn.XLOOKUP($F1606,Clientes!$B$4:$B$39,Clientes!$C$4:$C$39),Cadastros!$L$6:$L$12,Cadastros!$M$6:$M$12)," ")</f>
        <v xml:space="preserve"> </v>
      </c>
      <c r="W1606" s="28"/>
      <c r="X1606" s="28"/>
      <c r="Y1606" s="255" t="str">
        <f>IF(W1606="","",(_xlfn.XLOOKUP(W1606,Cadastros!$D$6:$D$90,Cadastros!$E$6:$E$90))*(1-_xlfn.XLOOKUP(_xlfn.XLOOKUP($F1606,Clientes!$B$4:$B$39,Clientes!$C$4:$C$39),Cadastros!$L$6:$L$12,Cadastros!$N$6:$N$12)))</f>
        <v/>
      </c>
      <c r="Z1606" s="168" t="str">
        <f t="shared" si="316"/>
        <v/>
      </c>
      <c r="AA1606" s="168" t="str">
        <f>IFERROR(Z1606/_xlfn.XLOOKUP(_xlfn.XLOOKUP($F1606,Clientes!$B$4:$B$39,Clientes!$C$4:$C$39),Cadastros!$L$6:$L$12,Cadastros!$M$6:$M$12)," ")</f>
        <v xml:space="preserve"> </v>
      </c>
      <c r="AB1606" s="28"/>
      <c r="AC1606" s="28"/>
      <c r="AD1606" s="20" t="str">
        <f>IF(AB1606="","",IF($F1606="Bernardino Furlan",_xlfn.XLOOKUP(AB1606,Cadastros!$G$6:$G$90,Cadastros!$H$6:$H$90)*(1-0.18),IF($F1606="Mauro José Salanti",_xlfn.XLOOKUP(AB1606,Cadastros!$G$6:$G$90,Cadastros!$H$6:$H$90)*(1-0.18),_xlfn.XLOOKUP(AB1606,Cadastros!$G$6:$G$90,Cadastros!$H$6:$H$90))))</f>
        <v/>
      </c>
      <c r="AE1606" s="168" t="str">
        <f t="shared" si="317"/>
        <v/>
      </c>
      <c r="AF1606" s="168" t="str">
        <f t="shared" si="318"/>
        <v/>
      </c>
      <c r="AG1606" s="28"/>
      <c r="AH1606" s="28"/>
      <c r="AI1606" s="20" t="str">
        <f>IF(AG1606="","",IF($F1606="Bernardino Furlan",_xlfn.XLOOKUP(AG1606,Cadastros!$G$6:$G$90,Cadastros!$H$6:$H$90)*(1-0.18),IF($F1606="Mauro José Salanti",_xlfn.XLOOKUP(AG1606,Cadastros!$G$6:$G$90,Cadastros!$H$6:$H$90)*(1-0.18),_xlfn.XLOOKUP(AG1606,Cadastros!$G$6:$G$90,Cadastros!$H$6:$H$90))))</f>
        <v/>
      </c>
      <c r="AJ1606" s="168" t="str">
        <f t="shared" si="319"/>
        <v/>
      </c>
      <c r="AK1606" s="168" t="str">
        <f t="shared" si="320"/>
        <v/>
      </c>
      <c r="AL1606" s="28"/>
      <c r="AM1606" s="28"/>
      <c r="AN1606" s="20" t="str">
        <f>IF(AL1606="","",IF($F1606="Bernardino Furlan",_xlfn.XLOOKUP(AL1606,Cadastros!$G$6:$G$90,Cadastros!$H$6:$H$90)*(1-0.18),IF($F1606="Mauro José Salanti",_xlfn.XLOOKUP(AL1606,Cadastros!$G$6:$G$90,Cadastros!$H$6:$H$90)*(1-0.18),_xlfn.XLOOKUP(AL1606,Cadastros!$G$6:$G$90,Cadastros!$H$6:$H$90))))</f>
        <v/>
      </c>
      <c r="AO1606" s="168" t="str">
        <f t="shared" si="321"/>
        <v/>
      </c>
      <c r="AP1606" s="168" t="str">
        <f t="shared" si="322"/>
        <v/>
      </c>
      <c r="AQ1606" s="28"/>
      <c r="AR1606" s="28"/>
      <c r="AS1606" s="20" t="str">
        <f>IF(AQ1606="","",IF($F1606="Bernardino Furlan",_xlfn.XLOOKUP(AQ1606,Cadastros!$G$6:$G$90,Cadastros!$H$6:$H$90)*(1-0.18),IF($F1606="Mauro José Salanti",_xlfn.XLOOKUP(AQ1606,Cadastros!$G$6:$G$90,Cadastros!$H$6:$H$90)*(1-0.18),_xlfn.XLOOKUP(AQ1606,Cadastros!$G$6:$G$90,Cadastros!$H$6:$H$90))))</f>
        <v/>
      </c>
      <c r="AT1606" s="168" t="str">
        <f t="shared" si="323"/>
        <v/>
      </c>
      <c r="AU1606" s="168" t="str">
        <f t="shared" si="324"/>
        <v/>
      </c>
      <c r="AV1606" s="227"/>
      <c r="AW1606" s="30"/>
      <c r="AX1606" s="267"/>
      <c r="AY1606" s="267"/>
      <c r="AZ1606" s="29"/>
      <c r="BA1606" s="30"/>
      <c r="BB1606" s="23" t="str" cm="1">
        <f t="array" ref="BB1606">_xlfn.IFS(AW1606="SIM",SUM(K1606,P1606,U1606,Z1606,AE1606,AJ1606,AO1606,AT1606,AX1606,AY1606),F1606&lt;&gt;"",SUM(K1606,P1606,U1606,Z1606,AE1606,AJ1606,,AO1606,AT1606),F1606="","")</f>
        <v/>
      </c>
      <c r="BC1606" s="211" t="str" cm="1">
        <f t="array" ref="BC1606">_xlfn.IFS(E1606="","",G1606&lt;=E1606,BB1606*(1-0.03),G1606&lt;(E1606+8),BB1606,AZ1606="Boleto",BB1606*(1+0.001)^DATEDIF(E1606,G1606,"D"),AZ1606="Cheque",BB1606,AZ1606="Dinheiro","Alterar forma pgto")</f>
        <v/>
      </c>
      <c r="BD1606" s="276" t="str" cm="1">
        <f t="array" ref="BD1606">IF(F1606=0," ",IF(BC1606&lt;BB1606,(_xlfn.IFS(AW1606="SIM",SUM(L1606,Q1606,V1606,AA1606,AF1606,AK1606,AP1606,AU1606)+AX1606/_xlfn.XLOOKUP(_xlfn.XLOOKUP($F1606,Clientes!$B$4:$B$39,Clientes!$C$4:$C$39),Cadastros!$L$6:$L$12,Cadastros!$M$6:$M$12)+IF($F1606="Bernardino Furlan",AY1606/2751.92,IF($F1606="Mauro José Salanti",AY1606/2751.92,AY1606/3356)),F1606&lt;&gt;0,SUM(L1606,Q1606,V1606,AA1606,AF1606,AK1606,AP1606,AU1606)))*(1-0.03),_xlfn.IFS(AW1606="SIM",SUM(L1606,Q1606,V1606,AA1606,AF1606,AK1606,AP1606,AU1606)+AX1606/_xlfn.XLOOKUP(_xlfn.XLOOKUP($F1606,Clientes!$B$4:$B$39,Clientes!$C$4:$C$39),Cadastros!$L$6:$L$12,Cadastros!$M$6:$M$12)+IF($F1606="Bernardino Furlan",AY1606/2751.92,IF($F1606="Mauro José Salanti",AY1606/2751.92,AY1606/3356)),F1606&lt;&gt;0,SUM(L1606,Q1606,V1606,AA1606,AF1606,AK1606,AP1606,AU1606))))</f>
        <v xml:space="preserve"> </v>
      </c>
      <c r="BE1606" s="120"/>
      <c r="BF1606" s="120"/>
      <c r="BG1606" s="120"/>
    </row>
    <row r="1607" spans="1:59" s="3" customFormat="1" x14ac:dyDescent="0.3">
      <c r="A1607" s="15" t="str">
        <f t="shared" si="312"/>
        <v/>
      </c>
      <c r="B1607" s="25"/>
      <c r="C1607" s="26"/>
      <c r="D1607" s="279"/>
      <c r="E1607" s="27"/>
      <c r="F1607" s="28"/>
      <c r="G1607" s="27"/>
      <c r="H1607" s="28"/>
      <c r="I1607" s="28"/>
      <c r="J1607" s="255" t="str">
        <f>IF(H1607="","",(_xlfn.XLOOKUP(H1607,Cadastros!$D$6:$D$90,Cadastros!$E$6:$E$90))*(1-_xlfn.XLOOKUP(_xlfn.XLOOKUP($F1607,Clientes!$B$4:$B$39,Clientes!$C$4:$C$39),Cadastros!$L$6:$L$12,Cadastros!$N$6:$N$12)))</f>
        <v/>
      </c>
      <c r="K1607" s="168" t="str">
        <f t="shared" si="313"/>
        <v/>
      </c>
      <c r="L1607" s="168" t="str">
        <f>IFERROR(K1607/_xlfn.XLOOKUP(_xlfn.XLOOKUP($F1607,Clientes!$B$4:$B$39,Clientes!$C$4:$C$39),Cadastros!$L$6:$L$12,Cadastros!$M$6:$M$12)," ")</f>
        <v xml:space="preserve"> </v>
      </c>
      <c r="M1607" s="28"/>
      <c r="N1607" s="28"/>
      <c r="O1607" s="255" t="str">
        <f>IF(M1607="","",(_xlfn.XLOOKUP(M1607,Cadastros!$D$6:$D$90,Cadastros!$E$6:$E$90))*(1-_xlfn.XLOOKUP(_xlfn.XLOOKUP($F1607,Clientes!$B$4:$B$39,Clientes!$C$4:$C$39),Cadastros!$L$6:$L$12,Cadastros!$N$6:$N$12)))</f>
        <v/>
      </c>
      <c r="P1607" s="168" t="str">
        <f t="shared" si="314"/>
        <v/>
      </c>
      <c r="Q1607" s="168" t="str">
        <f>IFERROR(P1607/_xlfn.XLOOKUP(_xlfn.XLOOKUP($F1607,Clientes!$B$4:$B$39,Clientes!$C$4:$C$39),Cadastros!$L$6:$L$12,Cadastros!$M$6:$M$12)," ")</f>
        <v xml:space="preserve"> </v>
      </c>
      <c r="R1607" s="28"/>
      <c r="S1607" s="28"/>
      <c r="T1607" s="255" t="str">
        <f>IF(R1607="","",(_xlfn.XLOOKUP(R1607,Cadastros!$D$6:$D$90,Cadastros!$E$6:$E$90))*(1-_xlfn.XLOOKUP(_xlfn.XLOOKUP($F1607,Clientes!$B$4:$B$39,Clientes!$C$4:$C$39),Cadastros!$L$6:$L$12,Cadastros!$N$6:$N$12)))</f>
        <v/>
      </c>
      <c r="U1607" s="168" t="str">
        <f t="shared" si="315"/>
        <v/>
      </c>
      <c r="V1607" s="168" t="str">
        <f>IFERROR(U1607/_xlfn.XLOOKUP(_xlfn.XLOOKUP($F1607,Clientes!$B$4:$B$39,Clientes!$C$4:$C$39),Cadastros!$L$6:$L$12,Cadastros!$M$6:$M$12)," ")</f>
        <v xml:space="preserve"> </v>
      </c>
      <c r="W1607" s="28"/>
      <c r="X1607" s="28"/>
      <c r="Y1607" s="255" t="str">
        <f>IF(W1607="","",(_xlfn.XLOOKUP(W1607,Cadastros!$D$6:$D$90,Cadastros!$E$6:$E$90))*(1-_xlfn.XLOOKUP(_xlfn.XLOOKUP($F1607,Clientes!$B$4:$B$39,Clientes!$C$4:$C$39),Cadastros!$L$6:$L$12,Cadastros!$N$6:$N$12)))</f>
        <v/>
      </c>
      <c r="Z1607" s="168" t="str">
        <f t="shared" si="316"/>
        <v/>
      </c>
      <c r="AA1607" s="168" t="str">
        <f>IFERROR(Z1607/_xlfn.XLOOKUP(_xlfn.XLOOKUP($F1607,Clientes!$B$4:$B$39,Clientes!$C$4:$C$39),Cadastros!$L$6:$L$12,Cadastros!$M$6:$M$12)," ")</f>
        <v xml:space="preserve"> </v>
      </c>
      <c r="AB1607" s="28"/>
      <c r="AC1607" s="28"/>
      <c r="AD1607" s="20" t="str">
        <f>IF(AB1607="","",IF($F1607="Bernardino Furlan",_xlfn.XLOOKUP(AB1607,Cadastros!$G$6:$G$90,Cadastros!$H$6:$H$90)*(1-0.18),IF($F1607="Mauro José Salanti",_xlfn.XLOOKUP(AB1607,Cadastros!$G$6:$G$90,Cadastros!$H$6:$H$90)*(1-0.18),_xlfn.XLOOKUP(AB1607,Cadastros!$G$6:$G$90,Cadastros!$H$6:$H$90))))</f>
        <v/>
      </c>
      <c r="AE1607" s="168" t="str">
        <f t="shared" si="317"/>
        <v/>
      </c>
      <c r="AF1607" s="168" t="str">
        <f t="shared" si="318"/>
        <v/>
      </c>
      <c r="AG1607" s="28"/>
      <c r="AH1607" s="28"/>
      <c r="AI1607" s="20" t="str">
        <f>IF(AG1607="","",IF($F1607="Bernardino Furlan",_xlfn.XLOOKUP(AG1607,Cadastros!$G$6:$G$90,Cadastros!$H$6:$H$90)*(1-0.18),IF($F1607="Mauro José Salanti",_xlfn.XLOOKUP(AG1607,Cadastros!$G$6:$G$90,Cadastros!$H$6:$H$90)*(1-0.18),_xlfn.XLOOKUP(AG1607,Cadastros!$G$6:$G$90,Cadastros!$H$6:$H$90))))</f>
        <v/>
      </c>
      <c r="AJ1607" s="168" t="str">
        <f t="shared" si="319"/>
        <v/>
      </c>
      <c r="AK1607" s="168" t="str">
        <f t="shared" si="320"/>
        <v/>
      </c>
      <c r="AL1607" s="28"/>
      <c r="AM1607" s="28"/>
      <c r="AN1607" s="20" t="str">
        <f>IF(AL1607="","",IF($F1607="Bernardino Furlan",_xlfn.XLOOKUP(AL1607,Cadastros!$G$6:$G$90,Cadastros!$H$6:$H$90)*(1-0.18),IF($F1607="Mauro José Salanti",_xlfn.XLOOKUP(AL1607,Cadastros!$G$6:$G$90,Cadastros!$H$6:$H$90)*(1-0.18),_xlfn.XLOOKUP(AL1607,Cadastros!$G$6:$G$90,Cadastros!$H$6:$H$90))))</f>
        <v/>
      </c>
      <c r="AO1607" s="168" t="str">
        <f t="shared" si="321"/>
        <v/>
      </c>
      <c r="AP1607" s="168" t="str">
        <f t="shared" si="322"/>
        <v/>
      </c>
      <c r="AQ1607" s="28"/>
      <c r="AR1607" s="28"/>
      <c r="AS1607" s="20" t="str">
        <f>IF(AQ1607="","",IF($F1607="Bernardino Furlan",_xlfn.XLOOKUP(AQ1607,Cadastros!$G$6:$G$90,Cadastros!$H$6:$H$90)*(1-0.18),IF($F1607="Mauro José Salanti",_xlfn.XLOOKUP(AQ1607,Cadastros!$G$6:$G$90,Cadastros!$H$6:$H$90)*(1-0.18),_xlfn.XLOOKUP(AQ1607,Cadastros!$G$6:$G$90,Cadastros!$H$6:$H$90))))</f>
        <v/>
      </c>
      <c r="AT1607" s="168" t="str">
        <f t="shared" si="323"/>
        <v/>
      </c>
      <c r="AU1607" s="168" t="str">
        <f t="shared" si="324"/>
        <v/>
      </c>
      <c r="AV1607" s="227"/>
      <c r="AW1607" s="30"/>
      <c r="AX1607" s="267"/>
      <c r="AY1607" s="267"/>
      <c r="AZ1607" s="29"/>
      <c r="BA1607" s="30"/>
      <c r="BB1607" s="23" t="str" cm="1">
        <f t="array" ref="BB1607">_xlfn.IFS(AW1607="SIM",SUM(K1607,P1607,U1607,Z1607,AE1607,AJ1607,AO1607,AT1607,AX1607,AY1607),F1607&lt;&gt;"",SUM(K1607,P1607,U1607,Z1607,AE1607,AJ1607,,AO1607,AT1607),F1607="","")</f>
        <v/>
      </c>
      <c r="BC1607" s="211" t="str" cm="1">
        <f t="array" ref="BC1607">_xlfn.IFS(E1607="","",G1607&lt;=E1607,BB1607*(1-0.03),G1607&lt;(E1607+8),BB1607,AZ1607="Boleto",BB1607*(1+0.001)^DATEDIF(E1607,G1607,"D"),AZ1607="Cheque",BB1607,AZ1607="Dinheiro","Alterar forma pgto")</f>
        <v/>
      </c>
      <c r="BD1607" s="276" t="str" cm="1">
        <f t="array" ref="BD1607">IF(F1607=0," ",IF(BC1607&lt;BB1607,(_xlfn.IFS(AW1607="SIM",SUM(L1607,Q1607,V1607,AA1607,AF1607,AK1607,AP1607,AU1607)+AX1607/_xlfn.XLOOKUP(_xlfn.XLOOKUP($F1607,Clientes!$B$4:$B$39,Clientes!$C$4:$C$39),Cadastros!$L$6:$L$12,Cadastros!$M$6:$M$12)+IF($F1607="Bernardino Furlan",AY1607/2751.92,IF($F1607="Mauro José Salanti",AY1607/2751.92,AY1607/3356)),F1607&lt;&gt;0,SUM(L1607,Q1607,V1607,AA1607,AF1607,AK1607,AP1607,AU1607)))*(1-0.03),_xlfn.IFS(AW1607="SIM",SUM(L1607,Q1607,V1607,AA1607,AF1607,AK1607,AP1607,AU1607)+AX1607/_xlfn.XLOOKUP(_xlfn.XLOOKUP($F1607,Clientes!$B$4:$B$39,Clientes!$C$4:$C$39),Cadastros!$L$6:$L$12,Cadastros!$M$6:$M$12)+IF($F1607="Bernardino Furlan",AY1607/2751.92,IF($F1607="Mauro José Salanti",AY1607/2751.92,AY1607/3356)),F1607&lt;&gt;0,SUM(L1607,Q1607,V1607,AA1607,AF1607,AK1607,AP1607,AU1607))))</f>
        <v xml:space="preserve"> </v>
      </c>
      <c r="BE1607" s="120"/>
      <c r="BF1607" s="120"/>
      <c r="BG1607" s="120"/>
    </row>
    <row r="1608" spans="1:59" s="3" customFormat="1" x14ac:dyDescent="0.3">
      <c r="A1608" s="15" t="str">
        <f t="shared" ref="A1608:A1671" si="325">IF(C1608="orçamento",25%,IF(C1608="aprovado",50%,IF(C1608="entregue",100%,IF(C1608="não aceito",0%,""))))</f>
        <v/>
      </c>
      <c r="B1608" s="25"/>
      <c r="C1608" s="26"/>
      <c r="D1608" s="279"/>
      <c r="E1608" s="27"/>
      <c r="F1608" s="28"/>
      <c r="G1608" s="27"/>
      <c r="H1608" s="28"/>
      <c r="I1608" s="28"/>
      <c r="J1608" s="255" t="str">
        <f>IF(H1608="","",(_xlfn.XLOOKUP(H1608,Cadastros!$D$6:$D$90,Cadastros!$E$6:$E$90))*(1-_xlfn.XLOOKUP(_xlfn.XLOOKUP($F1608,Clientes!$B$4:$B$39,Clientes!$C$4:$C$39),Cadastros!$L$6:$L$12,Cadastros!$N$6:$N$12)))</f>
        <v/>
      </c>
      <c r="K1608" s="168" t="str">
        <f t="shared" ref="K1608:K1671" si="326">IF(J1608="","",I1608*J1608)</f>
        <v/>
      </c>
      <c r="L1608" s="168" t="str">
        <f>IFERROR(K1608/_xlfn.XLOOKUP(_xlfn.XLOOKUP($F1608,Clientes!$B$4:$B$39,Clientes!$C$4:$C$39),Cadastros!$L$6:$L$12,Cadastros!$M$6:$M$12)," ")</f>
        <v xml:space="preserve"> </v>
      </c>
      <c r="M1608" s="28"/>
      <c r="N1608" s="28"/>
      <c r="O1608" s="255" t="str">
        <f>IF(M1608="","",(_xlfn.XLOOKUP(M1608,Cadastros!$D$6:$D$90,Cadastros!$E$6:$E$90))*(1-_xlfn.XLOOKUP(_xlfn.XLOOKUP($F1608,Clientes!$B$4:$B$39,Clientes!$C$4:$C$39),Cadastros!$L$6:$L$12,Cadastros!$N$6:$N$12)))</f>
        <v/>
      </c>
      <c r="P1608" s="168" t="str">
        <f t="shared" ref="P1608:P1671" si="327">IF(O1608="","",N1608*O1608)</f>
        <v/>
      </c>
      <c r="Q1608" s="168" t="str">
        <f>IFERROR(P1608/_xlfn.XLOOKUP(_xlfn.XLOOKUP($F1608,Clientes!$B$4:$B$39,Clientes!$C$4:$C$39),Cadastros!$L$6:$L$12,Cadastros!$M$6:$M$12)," ")</f>
        <v xml:space="preserve"> </v>
      </c>
      <c r="R1608" s="28"/>
      <c r="S1608" s="28"/>
      <c r="T1608" s="255" t="str">
        <f>IF(R1608="","",(_xlfn.XLOOKUP(R1608,Cadastros!$D$6:$D$90,Cadastros!$E$6:$E$90))*(1-_xlfn.XLOOKUP(_xlfn.XLOOKUP($F1608,Clientes!$B$4:$B$39,Clientes!$C$4:$C$39),Cadastros!$L$6:$L$12,Cadastros!$N$6:$N$12)))</f>
        <v/>
      </c>
      <c r="U1608" s="168" t="str">
        <f t="shared" ref="U1608:U1671" si="328">IF(T1608="","",S1608*T1608)</f>
        <v/>
      </c>
      <c r="V1608" s="168" t="str">
        <f>IFERROR(U1608/_xlfn.XLOOKUP(_xlfn.XLOOKUP($F1608,Clientes!$B$4:$B$39,Clientes!$C$4:$C$39),Cadastros!$L$6:$L$12,Cadastros!$M$6:$M$12)," ")</f>
        <v xml:space="preserve"> </v>
      </c>
      <c r="W1608" s="28"/>
      <c r="X1608" s="28"/>
      <c r="Y1608" s="255" t="str">
        <f>IF(W1608="","",(_xlfn.XLOOKUP(W1608,Cadastros!$D$6:$D$90,Cadastros!$E$6:$E$90))*(1-_xlfn.XLOOKUP(_xlfn.XLOOKUP($F1608,Clientes!$B$4:$B$39,Clientes!$C$4:$C$39),Cadastros!$L$6:$L$12,Cadastros!$N$6:$N$12)))</f>
        <v/>
      </c>
      <c r="Z1608" s="168" t="str">
        <f t="shared" ref="Z1608:Z1671" si="329">IF(Y1608="","",X1608*Y1608)</f>
        <v/>
      </c>
      <c r="AA1608" s="168" t="str">
        <f>IFERROR(Z1608/_xlfn.XLOOKUP(_xlfn.XLOOKUP($F1608,Clientes!$B$4:$B$39,Clientes!$C$4:$C$39),Cadastros!$L$6:$L$12,Cadastros!$M$6:$M$12)," ")</f>
        <v xml:space="preserve"> </v>
      </c>
      <c r="AB1608" s="28"/>
      <c r="AC1608" s="28"/>
      <c r="AD1608" s="20" t="str">
        <f>IF(AB1608="","",IF($F1608="Bernardino Furlan",_xlfn.XLOOKUP(AB1608,Cadastros!$G$6:$G$90,Cadastros!$H$6:$H$90)*(1-0.18),IF($F1608="Mauro José Salanti",_xlfn.XLOOKUP(AB1608,Cadastros!$G$6:$G$90,Cadastros!$H$6:$H$90)*(1-0.18),_xlfn.XLOOKUP(AB1608,Cadastros!$G$6:$G$90,Cadastros!$H$6:$H$90))))</f>
        <v/>
      </c>
      <c r="AE1608" s="168" t="str">
        <f t="shared" ref="AE1608:AE1671" si="330">IF(AD1608="","",AC1608*AD1608)</f>
        <v/>
      </c>
      <c r="AF1608" s="168" t="str">
        <f t="shared" ref="AF1608:AF1671" si="331">IFERROR(IF($F1608="Bernardino Furlan",AE1608/2751.92,IF($F1608="Mauro José Salanti",AE1608/2751.92,AE1608/3356)),"")</f>
        <v/>
      </c>
      <c r="AG1608" s="28"/>
      <c r="AH1608" s="28"/>
      <c r="AI1608" s="20" t="str">
        <f>IF(AG1608="","",IF($F1608="Bernardino Furlan",_xlfn.XLOOKUP(AG1608,Cadastros!$G$6:$G$90,Cadastros!$H$6:$H$90)*(1-0.18),IF($F1608="Mauro José Salanti",_xlfn.XLOOKUP(AG1608,Cadastros!$G$6:$G$90,Cadastros!$H$6:$H$90)*(1-0.18),_xlfn.XLOOKUP(AG1608,Cadastros!$G$6:$G$90,Cadastros!$H$6:$H$90))))</f>
        <v/>
      </c>
      <c r="AJ1608" s="168" t="str">
        <f t="shared" ref="AJ1608:AJ1671" si="332">IF(AI1608="","",AH1608*AI1608)</f>
        <v/>
      </c>
      <c r="AK1608" s="168" t="str">
        <f t="shared" ref="AK1608:AK1671" si="333">IFERROR(IF($F1608="Bernardino Furlan",AJ1608/2751.92,IF($F1608="Mauro José Salanti",AJ1608/2751.92,AJ1608/3356)),"")</f>
        <v/>
      </c>
      <c r="AL1608" s="28"/>
      <c r="AM1608" s="28"/>
      <c r="AN1608" s="20" t="str">
        <f>IF(AL1608="","",IF($F1608="Bernardino Furlan",_xlfn.XLOOKUP(AL1608,Cadastros!$G$6:$G$90,Cadastros!$H$6:$H$90)*(1-0.18),IF($F1608="Mauro José Salanti",_xlfn.XLOOKUP(AL1608,Cadastros!$G$6:$G$90,Cadastros!$H$6:$H$90)*(1-0.18),_xlfn.XLOOKUP(AL1608,Cadastros!$G$6:$G$90,Cadastros!$H$6:$H$90))))</f>
        <v/>
      </c>
      <c r="AO1608" s="168" t="str">
        <f t="shared" ref="AO1608:AO1671" si="334">IF(AN1608="","",AM1608*AN1608)</f>
        <v/>
      </c>
      <c r="AP1608" s="168" t="str">
        <f t="shared" ref="AP1608:AP1671" si="335">IFERROR(IF($F1608="Bernardino Furlan",AO1608/2751.92,IF($F1608="Mauro José Salanti",AO1608/2751.92,AO1608/3356)),"")</f>
        <v/>
      </c>
      <c r="AQ1608" s="28"/>
      <c r="AR1608" s="28"/>
      <c r="AS1608" s="20" t="str">
        <f>IF(AQ1608="","",IF($F1608="Bernardino Furlan",_xlfn.XLOOKUP(AQ1608,Cadastros!$G$6:$G$90,Cadastros!$H$6:$H$90)*(1-0.18),IF($F1608="Mauro José Salanti",_xlfn.XLOOKUP(AQ1608,Cadastros!$G$6:$G$90,Cadastros!$H$6:$H$90)*(1-0.18),_xlfn.XLOOKUP(AQ1608,Cadastros!$G$6:$G$90,Cadastros!$H$6:$H$90))))</f>
        <v/>
      </c>
      <c r="AT1608" s="168" t="str">
        <f t="shared" ref="AT1608:AT1671" si="336">IF(AS1608="","",AR1608*AS1608)</f>
        <v/>
      </c>
      <c r="AU1608" s="168" t="str">
        <f t="shared" ref="AU1608:AU1671" si="337">IFERROR(IF($F1608="Bernardino Furlan",AT1608/2751.92,IF($F1608="Mauro José Salanti",AT1608/2751.92,AT1608/3356)),"")</f>
        <v/>
      </c>
      <c r="AV1608" s="227"/>
      <c r="AW1608" s="30"/>
      <c r="AX1608" s="267"/>
      <c r="AY1608" s="267"/>
      <c r="AZ1608" s="29"/>
      <c r="BA1608" s="30"/>
      <c r="BB1608" s="23" t="str" cm="1">
        <f t="array" ref="BB1608">_xlfn.IFS(AW1608="SIM",SUM(K1608,P1608,U1608,Z1608,AE1608,AJ1608,AO1608,AT1608,AX1608,AY1608),F1608&lt;&gt;"",SUM(K1608,P1608,U1608,Z1608,AE1608,AJ1608,,AO1608,AT1608),F1608="","")</f>
        <v/>
      </c>
      <c r="BC1608" s="211" t="str" cm="1">
        <f t="array" ref="BC1608">_xlfn.IFS(E1608="","",G1608&lt;=E1608,BB1608*(1-0.03),G1608&lt;(E1608+8),BB1608,AZ1608="Boleto",BB1608*(1+0.001)^DATEDIF(E1608,G1608,"D"),AZ1608="Cheque",BB1608,AZ1608="Dinheiro","Alterar forma pgto")</f>
        <v/>
      </c>
      <c r="BD1608" s="276" t="str" cm="1">
        <f t="array" ref="BD1608">IF(F1608=0," ",IF(BC1608&lt;BB1608,(_xlfn.IFS(AW1608="SIM",SUM(L1608,Q1608,V1608,AA1608,AF1608,AK1608,AP1608,AU1608)+AX1608/_xlfn.XLOOKUP(_xlfn.XLOOKUP($F1608,Clientes!$B$4:$B$39,Clientes!$C$4:$C$39),Cadastros!$L$6:$L$12,Cadastros!$M$6:$M$12)+IF($F1608="Bernardino Furlan",AY1608/2751.92,IF($F1608="Mauro José Salanti",AY1608/2751.92,AY1608/3356)),F1608&lt;&gt;0,SUM(L1608,Q1608,V1608,AA1608,AF1608,AK1608,AP1608,AU1608)))*(1-0.03),_xlfn.IFS(AW1608="SIM",SUM(L1608,Q1608,V1608,AA1608,AF1608,AK1608,AP1608,AU1608)+AX1608/_xlfn.XLOOKUP(_xlfn.XLOOKUP($F1608,Clientes!$B$4:$B$39,Clientes!$C$4:$C$39),Cadastros!$L$6:$L$12,Cadastros!$M$6:$M$12)+IF($F1608="Bernardino Furlan",AY1608/2751.92,IF($F1608="Mauro José Salanti",AY1608/2751.92,AY1608/3356)),F1608&lt;&gt;0,SUM(L1608,Q1608,V1608,AA1608,AF1608,AK1608,AP1608,AU1608))))</f>
        <v xml:space="preserve"> </v>
      </c>
      <c r="BE1608" s="120"/>
      <c r="BF1608" s="120"/>
      <c r="BG1608" s="120"/>
    </row>
    <row r="1609" spans="1:59" s="3" customFormat="1" x14ac:dyDescent="0.3">
      <c r="A1609" s="15" t="str">
        <f t="shared" si="325"/>
        <v/>
      </c>
      <c r="B1609" s="25"/>
      <c r="C1609" s="26"/>
      <c r="D1609" s="279"/>
      <c r="E1609" s="27"/>
      <c r="F1609" s="28"/>
      <c r="G1609" s="27"/>
      <c r="H1609" s="28"/>
      <c r="I1609" s="28"/>
      <c r="J1609" s="255" t="str">
        <f>IF(H1609="","",(_xlfn.XLOOKUP(H1609,Cadastros!$D$6:$D$90,Cadastros!$E$6:$E$90))*(1-_xlfn.XLOOKUP(_xlfn.XLOOKUP($F1609,Clientes!$B$4:$B$39,Clientes!$C$4:$C$39),Cadastros!$L$6:$L$12,Cadastros!$N$6:$N$12)))</f>
        <v/>
      </c>
      <c r="K1609" s="168" t="str">
        <f t="shared" si="326"/>
        <v/>
      </c>
      <c r="L1609" s="168" t="str">
        <f>IFERROR(K1609/_xlfn.XLOOKUP(_xlfn.XLOOKUP($F1609,Clientes!$B$4:$B$39,Clientes!$C$4:$C$39),Cadastros!$L$6:$L$12,Cadastros!$M$6:$M$12)," ")</f>
        <v xml:space="preserve"> </v>
      </c>
      <c r="M1609" s="28"/>
      <c r="N1609" s="28"/>
      <c r="O1609" s="255" t="str">
        <f>IF(M1609="","",(_xlfn.XLOOKUP(M1609,Cadastros!$D$6:$D$90,Cadastros!$E$6:$E$90))*(1-_xlfn.XLOOKUP(_xlfn.XLOOKUP($F1609,Clientes!$B$4:$B$39,Clientes!$C$4:$C$39),Cadastros!$L$6:$L$12,Cadastros!$N$6:$N$12)))</f>
        <v/>
      </c>
      <c r="P1609" s="168" t="str">
        <f t="shared" si="327"/>
        <v/>
      </c>
      <c r="Q1609" s="168" t="str">
        <f>IFERROR(P1609/_xlfn.XLOOKUP(_xlfn.XLOOKUP($F1609,Clientes!$B$4:$B$39,Clientes!$C$4:$C$39),Cadastros!$L$6:$L$12,Cadastros!$M$6:$M$12)," ")</f>
        <v xml:space="preserve"> </v>
      </c>
      <c r="R1609" s="28"/>
      <c r="S1609" s="28"/>
      <c r="T1609" s="255" t="str">
        <f>IF(R1609="","",(_xlfn.XLOOKUP(R1609,Cadastros!$D$6:$D$90,Cadastros!$E$6:$E$90))*(1-_xlfn.XLOOKUP(_xlfn.XLOOKUP($F1609,Clientes!$B$4:$B$39,Clientes!$C$4:$C$39),Cadastros!$L$6:$L$12,Cadastros!$N$6:$N$12)))</f>
        <v/>
      </c>
      <c r="U1609" s="168" t="str">
        <f t="shared" si="328"/>
        <v/>
      </c>
      <c r="V1609" s="168" t="str">
        <f>IFERROR(U1609/_xlfn.XLOOKUP(_xlfn.XLOOKUP($F1609,Clientes!$B$4:$B$39,Clientes!$C$4:$C$39),Cadastros!$L$6:$L$12,Cadastros!$M$6:$M$12)," ")</f>
        <v xml:space="preserve"> </v>
      </c>
      <c r="W1609" s="28"/>
      <c r="X1609" s="28"/>
      <c r="Y1609" s="255" t="str">
        <f>IF(W1609="","",(_xlfn.XLOOKUP(W1609,Cadastros!$D$6:$D$90,Cadastros!$E$6:$E$90))*(1-_xlfn.XLOOKUP(_xlfn.XLOOKUP($F1609,Clientes!$B$4:$B$39,Clientes!$C$4:$C$39),Cadastros!$L$6:$L$12,Cadastros!$N$6:$N$12)))</f>
        <v/>
      </c>
      <c r="Z1609" s="168" t="str">
        <f t="shared" si="329"/>
        <v/>
      </c>
      <c r="AA1609" s="168" t="str">
        <f>IFERROR(Z1609/_xlfn.XLOOKUP(_xlfn.XLOOKUP($F1609,Clientes!$B$4:$B$39,Clientes!$C$4:$C$39),Cadastros!$L$6:$L$12,Cadastros!$M$6:$M$12)," ")</f>
        <v xml:space="preserve"> </v>
      </c>
      <c r="AB1609" s="28"/>
      <c r="AC1609" s="28"/>
      <c r="AD1609" s="20" t="str">
        <f>IF(AB1609="","",IF($F1609="Bernardino Furlan",_xlfn.XLOOKUP(AB1609,Cadastros!$G$6:$G$90,Cadastros!$H$6:$H$90)*(1-0.18),IF($F1609="Mauro José Salanti",_xlfn.XLOOKUP(AB1609,Cadastros!$G$6:$G$90,Cadastros!$H$6:$H$90)*(1-0.18),_xlfn.XLOOKUP(AB1609,Cadastros!$G$6:$G$90,Cadastros!$H$6:$H$90))))</f>
        <v/>
      </c>
      <c r="AE1609" s="168" t="str">
        <f t="shared" si="330"/>
        <v/>
      </c>
      <c r="AF1609" s="168" t="str">
        <f t="shared" si="331"/>
        <v/>
      </c>
      <c r="AG1609" s="28"/>
      <c r="AH1609" s="28"/>
      <c r="AI1609" s="20" t="str">
        <f>IF(AG1609="","",IF($F1609="Bernardino Furlan",_xlfn.XLOOKUP(AG1609,Cadastros!$G$6:$G$90,Cadastros!$H$6:$H$90)*(1-0.18),IF($F1609="Mauro José Salanti",_xlfn.XLOOKUP(AG1609,Cadastros!$G$6:$G$90,Cadastros!$H$6:$H$90)*(1-0.18),_xlfn.XLOOKUP(AG1609,Cadastros!$G$6:$G$90,Cadastros!$H$6:$H$90))))</f>
        <v/>
      </c>
      <c r="AJ1609" s="168" t="str">
        <f t="shared" si="332"/>
        <v/>
      </c>
      <c r="AK1609" s="168" t="str">
        <f t="shared" si="333"/>
        <v/>
      </c>
      <c r="AL1609" s="28"/>
      <c r="AM1609" s="28"/>
      <c r="AN1609" s="20" t="str">
        <f>IF(AL1609="","",IF($F1609="Bernardino Furlan",_xlfn.XLOOKUP(AL1609,Cadastros!$G$6:$G$90,Cadastros!$H$6:$H$90)*(1-0.18),IF($F1609="Mauro José Salanti",_xlfn.XLOOKUP(AL1609,Cadastros!$G$6:$G$90,Cadastros!$H$6:$H$90)*(1-0.18),_xlfn.XLOOKUP(AL1609,Cadastros!$G$6:$G$90,Cadastros!$H$6:$H$90))))</f>
        <v/>
      </c>
      <c r="AO1609" s="168" t="str">
        <f t="shared" si="334"/>
        <v/>
      </c>
      <c r="AP1609" s="168" t="str">
        <f t="shared" si="335"/>
        <v/>
      </c>
      <c r="AQ1609" s="28"/>
      <c r="AR1609" s="28"/>
      <c r="AS1609" s="20" t="str">
        <f>IF(AQ1609="","",IF($F1609="Bernardino Furlan",_xlfn.XLOOKUP(AQ1609,Cadastros!$G$6:$G$90,Cadastros!$H$6:$H$90)*(1-0.18),IF($F1609="Mauro José Salanti",_xlfn.XLOOKUP(AQ1609,Cadastros!$G$6:$G$90,Cadastros!$H$6:$H$90)*(1-0.18),_xlfn.XLOOKUP(AQ1609,Cadastros!$G$6:$G$90,Cadastros!$H$6:$H$90))))</f>
        <v/>
      </c>
      <c r="AT1609" s="168" t="str">
        <f t="shared" si="336"/>
        <v/>
      </c>
      <c r="AU1609" s="168" t="str">
        <f t="shared" si="337"/>
        <v/>
      </c>
      <c r="AV1609" s="227"/>
      <c r="AW1609" s="30"/>
      <c r="AX1609" s="267"/>
      <c r="AY1609" s="267"/>
      <c r="AZ1609" s="29"/>
      <c r="BA1609" s="30"/>
      <c r="BB1609" s="23" t="str" cm="1">
        <f t="array" ref="BB1609">_xlfn.IFS(AW1609="SIM",SUM(K1609,P1609,U1609,Z1609,AE1609,AJ1609,AO1609,AT1609,AX1609,AY1609),F1609&lt;&gt;"",SUM(K1609,P1609,U1609,Z1609,AE1609,AJ1609,,AO1609,AT1609),F1609="","")</f>
        <v/>
      </c>
      <c r="BC1609" s="211" t="str" cm="1">
        <f t="array" ref="BC1609">_xlfn.IFS(E1609="","",G1609&lt;=E1609,BB1609*(1-0.03),G1609&lt;(E1609+8),BB1609,AZ1609="Boleto",BB1609*(1+0.001)^DATEDIF(E1609,G1609,"D"),AZ1609="Cheque",BB1609,AZ1609="Dinheiro","Alterar forma pgto")</f>
        <v/>
      </c>
      <c r="BD1609" s="276" t="str" cm="1">
        <f t="array" ref="BD1609">IF(F1609=0," ",IF(BC1609&lt;BB1609,(_xlfn.IFS(AW1609="SIM",SUM(L1609,Q1609,V1609,AA1609,AF1609,AK1609,AP1609,AU1609)+AX1609/_xlfn.XLOOKUP(_xlfn.XLOOKUP($F1609,Clientes!$B$4:$B$39,Clientes!$C$4:$C$39),Cadastros!$L$6:$L$12,Cadastros!$M$6:$M$12)+IF($F1609="Bernardino Furlan",AY1609/2751.92,IF($F1609="Mauro José Salanti",AY1609/2751.92,AY1609/3356)),F1609&lt;&gt;0,SUM(L1609,Q1609,V1609,AA1609,AF1609,AK1609,AP1609,AU1609)))*(1-0.03),_xlfn.IFS(AW1609="SIM",SUM(L1609,Q1609,V1609,AA1609,AF1609,AK1609,AP1609,AU1609)+AX1609/_xlfn.XLOOKUP(_xlfn.XLOOKUP($F1609,Clientes!$B$4:$B$39,Clientes!$C$4:$C$39),Cadastros!$L$6:$L$12,Cadastros!$M$6:$M$12)+IF($F1609="Bernardino Furlan",AY1609/2751.92,IF($F1609="Mauro José Salanti",AY1609/2751.92,AY1609/3356)),F1609&lt;&gt;0,SUM(L1609,Q1609,V1609,AA1609,AF1609,AK1609,AP1609,AU1609))))</f>
        <v xml:space="preserve"> </v>
      </c>
      <c r="BE1609" s="120"/>
      <c r="BF1609" s="120"/>
      <c r="BG1609" s="120"/>
    </row>
    <row r="1610" spans="1:59" s="3" customFormat="1" x14ac:dyDescent="0.3">
      <c r="A1610" s="15" t="str">
        <f t="shared" si="325"/>
        <v/>
      </c>
      <c r="B1610" s="25"/>
      <c r="C1610" s="26"/>
      <c r="D1610" s="279"/>
      <c r="E1610" s="27"/>
      <c r="F1610" s="28"/>
      <c r="G1610" s="27"/>
      <c r="H1610" s="28"/>
      <c r="I1610" s="28"/>
      <c r="J1610" s="255" t="str">
        <f>IF(H1610="","",(_xlfn.XLOOKUP(H1610,Cadastros!$D$6:$D$90,Cadastros!$E$6:$E$90))*(1-_xlfn.XLOOKUP(_xlfn.XLOOKUP($F1610,Clientes!$B$4:$B$39,Clientes!$C$4:$C$39),Cadastros!$L$6:$L$12,Cadastros!$N$6:$N$12)))</f>
        <v/>
      </c>
      <c r="K1610" s="168" t="str">
        <f t="shared" si="326"/>
        <v/>
      </c>
      <c r="L1610" s="168" t="str">
        <f>IFERROR(K1610/_xlfn.XLOOKUP(_xlfn.XLOOKUP($F1610,Clientes!$B$4:$B$39,Clientes!$C$4:$C$39),Cadastros!$L$6:$L$12,Cadastros!$M$6:$M$12)," ")</f>
        <v xml:space="preserve"> </v>
      </c>
      <c r="M1610" s="28"/>
      <c r="N1610" s="28"/>
      <c r="O1610" s="255" t="str">
        <f>IF(M1610="","",(_xlfn.XLOOKUP(M1610,Cadastros!$D$6:$D$90,Cadastros!$E$6:$E$90))*(1-_xlfn.XLOOKUP(_xlfn.XLOOKUP($F1610,Clientes!$B$4:$B$39,Clientes!$C$4:$C$39),Cadastros!$L$6:$L$12,Cadastros!$N$6:$N$12)))</f>
        <v/>
      </c>
      <c r="P1610" s="168" t="str">
        <f t="shared" si="327"/>
        <v/>
      </c>
      <c r="Q1610" s="168" t="str">
        <f>IFERROR(P1610/_xlfn.XLOOKUP(_xlfn.XLOOKUP($F1610,Clientes!$B$4:$B$39,Clientes!$C$4:$C$39),Cadastros!$L$6:$L$12,Cadastros!$M$6:$M$12)," ")</f>
        <v xml:space="preserve"> </v>
      </c>
      <c r="R1610" s="28"/>
      <c r="S1610" s="28"/>
      <c r="T1610" s="255" t="str">
        <f>IF(R1610="","",(_xlfn.XLOOKUP(R1610,Cadastros!$D$6:$D$90,Cadastros!$E$6:$E$90))*(1-_xlfn.XLOOKUP(_xlfn.XLOOKUP($F1610,Clientes!$B$4:$B$39,Clientes!$C$4:$C$39),Cadastros!$L$6:$L$12,Cadastros!$N$6:$N$12)))</f>
        <v/>
      </c>
      <c r="U1610" s="168" t="str">
        <f t="shared" si="328"/>
        <v/>
      </c>
      <c r="V1610" s="168" t="str">
        <f>IFERROR(U1610/_xlfn.XLOOKUP(_xlfn.XLOOKUP($F1610,Clientes!$B$4:$B$39,Clientes!$C$4:$C$39),Cadastros!$L$6:$L$12,Cadastros!$M$6:$M$12)," ")</f>
        <v xml:space="preserve"> </v>
      </c>
      <c r="W1610" s="28"/>
      <c r="X1610" s="28"/>
      <c r="Y1610" s="255" t="str">
        <f>IF(W1610="","",(_xlfn.XLOOKUP(W1610,Cadastros!$D$6:$D$90,Cadastros!$E$6:$E$90))*(1-_xlfn.XLOOKUP(_xlfn.XLOOKUP($F1610,Clientes!$B$4:$B$39,Clientes!$C$4:$C$39),Cadastros!$L$6:$L$12,Cadastros!$N$6:$N$12)))</f>
        <v/>
      </c>
      <c r="Z1610" s="168" t="str">
        <f t="shared" si="329"/>
        <v/>
      </c>
      <c r="AA1610" s="168" t="str">
        <f>IFERROR(Z1610/_xlfn.XLOOKUP(_xlfn.XLOOKUP($F1610,Clientes!$B$4:$B$39,Clientes!$C$4:$C$39),Cadastros!$L$6:$L$12,Cadastros!$M$6:$M$12)," ")</f>
        <v xml:space="preserve"> </v>
      </c>
      <c r="AB1610" s="28"/>
      <c r="AC1610" s="28"/>
      <c r="AD1610" s="20" t="str">
        <f>IF(AB1610="","",IF($F1610="Bernardino Furlan",_xlfn.XLOOKUP(AB1610,Cadastros!$G$6:$G$90,Cadastros!$H$6:$H$90)*(1-0.18),IF($F1610="Mauro José Salanti",_xlfn.XLOOKUP(AB1610,Cadastros!$G$6:$G$90,Cadastros!$H$6:$H$90)*(1-0.18),_xlfn.XLOOKUP(AB1610,Cadastros!$G$6:$G$90,Cadastros!$H$6:$H$90))))</f>
        <v/>
      </c>
      <c r="AE1610" s="168" t="str">
        <f t="shared" si="330"/>
        <v/>
      </c>
      <c r="AF1610" s="168" t="str">
        <f t="shared" si="331"/>
        <v/>
      </c>
      <c r="AG1610" s="28"/>
      <c r="AH1610" s="28"/>
      <c r="AI1610" s="20" t="str">
        <f>IF(AG1610="","",IF($F1610="Bernardino Furlan",_xlfn.XLOOKUP(AG1610,Cadastros!$G$6:$G$90,Cadastros!$H$6:$H$90)*(1-0.18),IF($F1610="Mauro José Salanti",_xlfn.XLOOKUP(AG1610,Cadastros!$G$6:$G$90,Cadastros!$H$6:$H$90)*(1-0.18),_xlfn.XLOOKUP(AG1610,Cadastros!$G$6:$G$90,Cadastros!$H$6:$H$90))))</f>
        <v/>
      </c>
      <c r="AJ1610" s="168" t="str">
        <f t="shared" si="332"/>
        <v/>
      </c>
      <c r="AK1610" s="168" t="str">
        <f t="shared" si="333"/>
        <v/>
      </c>
      <c r="AL1610" s="28"/>
      <c r="AM1610" s="28"/>
      <c r="AN1610" s="20" t="str">
        <f>IF(AL1610="","",IF($F1610="Bernardino Furlan",_xlfn.XLOOKUP(AL1610,Cadastros!$G$6:$G$90,Cadastros!$H$6:$H$90)*(1-0.18),IF($F1610="Mauro José Salanti",_xlfn.XLOOKUP(AL1610,Cadastros!$G$6:$G$90,Cadastros!$H$6:$H$90)*(1-0.18),_xlfn.XLOOKUP(AL1610,Cadastros!$G$6:$G$90,Cadastros!$H$6:$H$90))))</f>
        <v/>
      </c>
      <c r="AO1610" s="168" t="str">
        <f t="shared" si="334"/>
        <v/>
      </c>
      <c r="AP1610" s="168" t="str">
        <f t="shared" si="335"/>
        <v/>
      </c>
      <c r="AQ1610" s="28"/>
      <c r="AR1610" s="28"/>
      <c r="AS1610" s="20" t="str">
        <f>IF(AQ1610="","",IF($F1610="Bernardino Furlan",_xlfn.XLOOKUP(AQ1610,Cadastros!$G$6:$G$90,Cadastros!$H$6:$H$90)*(1-0.18),IF($F1610="Mauro José Salanti",_xlfn.XLOOKUP(AQ1610,Cadastros!$G$6:$G$90,Cadastros!$H$6:$H$90)*(1-0.18),_xlfn.XLOOKUP(AQ1610,Cadastros!$G$6:$G$90,Cadastros!$H$6:$H$90))))</f>
        <v/>
      </c>
      <c r="AT1610" s="168" t="str">
        <f t="shared" si="336"/>
        <v/>
      </c>
      <c r="AU1610" s="168" t="str">
        <f t="shared" si="337"/>
        <v/>
      </c>
      <c r="AV1610" s="227"/>
      <c r="AW1610" s="30"/>
      <c r="AX1610" s="267"/>
      <c r="AY1610" s="267"/>
      <c r="AZ1610" s="29"/>
      <c r="BA1610" s="30"/>
      <c r="BB1610" s="23" t="str" cm="1">
        <f t="array" ref="BB1610">_xlfn.IFS(AW1610="SIM",SUM(K1610,P1610,U1610,Z1610,AE1610,AJ1610,AO1610,AT1610,AX1610,AY1610),F1610&lt;&gt;"",SUM(K1610,P1610,U1610,Z1610,AE1610,AJ1610,,AO1610,AT1610),F1610="","")</f>
        <v/>
      </c>
      <c r="BC1610" s="211" t="str" cm="1">
        <f t="array" ref="BC1610">_xlfn.IFS(E1610="","",G1610&lt;=E1610,BB1610*(1-0.03),G1610&lt;(E1610+8),BB1610,AZ1610="Boleto",BB1610*(1+0.001)^DATEDIF(E1610,G1610,"D"),AZ1610="Cheque",BB1610,AZ1610="Dinheiro","Alterar forma pgto")</f>
        <v/>
      </c>
      <c r="BD1610" s="276" t="str" cm="1">
        <f t="array" ref="BD1610">IF(F1610=0," ",IF(BC1610&lt;BB1610,(_xlfn.IFS(AW1610="SIM",SUM(L1610,Q1610,V1610,AA1610,AF1610,AK1610,AP1610,AU1610)+AX1610/_xlfn.XLOOKUP(_xlfn.XLOOKUP($F1610,Clientes!$B$4:$B$39,Clientes!$C$4:$C$39),Cadastros!$L$6:$L$12,Cadastros!$M$6:$M$12)+IF($F1610="Bernardino Furlan",AY1610/2751.92,IF($F1610="Mauro José Salanti",AY1610/2751.92,AY1610/3356)),F1610&lt;&gt;0,SUM(L1610,Q1610,V1610,AA1610,AF1610,AK1610,AP1610,AU1610)))*(1-0.03),_xlfn.IFS(AW1610="SIM",SUM(L1610,Q1610,V1610,AA1610,AF1610,AK1610,AP1610,AU1610)+AX1610/_xlfn.XLOOKUP(_xlfn.XLOOKUP($F1610,Clientes!$B$4:$B$39,Clientes!$C$4:$C$39),Cadastros!$L$6:$L$12,Cadastros!$M$6:$M$12)+IF($F1610="Bernardino Furlan",AY1610/2751.92,IF($F1610="Mauro José Salanti",AY1610/2751.92,AY1610/3356)),F1610&lt;&gt;0,SUM(L1610,Q1610,V1610,AA1610,AF1610,AK1610,AP1610,AU1610))))</f>
        <v xml:space="preserve"> </v>
      </c>
      <c r="BE1610" s="120"/>
      <c r="BF1610" s="120"/>
      <c r="BG1610" s="120"/>
    </row>
    <row r="1611" spans="1:59" s="3" customFormat="1" x14ac:dyDescent="0.3">
      <c r="A1611" s="15" t="str">
        <f t="shared" si="325"/>
        <v/>
      </c>
      <c r="B1611" s="25"/>
      <c r="C1611" s="26"/>
      <c r="D1611" s="279"/>
      <c r="E1611" s="27"/>
      <c r="F1611" s="28"/>
      <c r="G1611" s="27"/>
      <c r="H1611" s="28"/>
      <c r="I1611" s="28"/>
      <c r="J1611" s="255" t="str">
        <f>IF(H1611="","",(_xlfn.XLOOKUP(H1611,Cadastros!$D$6:$D$90,Cadastros!$E$6:$E$90))*(1-_xlfn.XLOOKUP(_xlfn.XLOOKUP($F1611,Clientes!$B$4:$B$39,Clientes!$C$4:$C$39),Cadastros!$L$6:$L$12,Cadastros!$N$6:$N$12)))</f>
        <v/>
      </c>
      <c r="K1611" s="168" t="str">
        <f t="shared" si="326"/>
        <v/>
      </c>
      <c r="L1611" s="168" t="str">
        <f>IFERROR(K1611/_xlfn.XLOOKUP(_xlfn.XLOOKUP($F1611,Clientes!$B$4:$B$39,Clientes!$C$4:$C$39),Cadastros!$L$6:$L$12,Cadastros!$M$6:$M$12)," ")</f>
        <v xml:space="preserve"> </v>
      </c>
      <c r="M1611" s="28"/>
      <c r="N1611" s="28"/>
      <c r="O1611" s="255" t="str">
        <f>IF(M1611="","",(_xlfn.XLOOKUP(M1611,Cadastros!$D$6:$D$90,Cadastros!$E$6:$E$90))*(1-_xlfn.XLOOKUP(_xlfn.XLOOKUP($F1611,Clientes!$B$4:$B$39,Clientes!$C$4:$C$39),Cadastros!$L$6:$L$12,Cadastros!$N$6:$N$12)))</f>
        <v/>
      </c>
      <c r="P1611" s="168" t="str">
        <f t="shared" si="327"/>
        <v/>
      </c>
      <c r="Q1611" s="168" t="str">
        <f>IFERROR(P1611/_xlfn.XLOOKUP(_xlfn.XLOOKUP($F1611,Clientes!$B$4:$B$39,Clientes!$C$4:$C$39),Cadastros!$L$6:$L$12,Cadastros!$M$6:$M$12)," ")</f>
        <v xml:space="preserve"> </v>
      </c>
      <c r="R1611" s="28"/>
      <c r="S1611" s="28"/>
      <c r="T1611" s="255" t="str">
        <f>IF(R1611="","",(_xlfn.XLOOKUP(R1611,Cadastros!$D$6:$D$90,Cadastros!$E$6:$E$90))*(1-_xlfn.XLOOKUP(_xlfn.XLOOKUP($F1611,Clientes!$B$4:$B$39,Clientes!$C$4:$C$39),Cadastros!$L$6:$L$12,Cadastros!$N$6:$N$12)))</f>
        <v/>
      </c>
      <c r="U1611" s="168" t="str">
        <f t="shared" si="328"/>
        <v/>
      </c>
      <c r="V1611" s="168" t="str">
        <f>IFERROR(U1611/_xlfn.XLOOKUP(_xlfn.XLOOKUP($F1611,Clientes!$B$4:$B$39,Clientes!$C$4:$C$39),Cadastros!$L$6:$L$12,Cadastros!$M$6:$M$12)," ")</f>
        <v xml:space="preserve"> </v>
      </c>
      <c r="W1611" s="28"/>
      <c r="X1611" s="28"/>
      <c r="Y1611" s="255" t="str">
        <f>IF(W1611="","",(_xlfn.XLOOKUP(W1611,Cadastros!$D$6:$D$90,Cadastros!$E$6:$E$90))*(1-_xlfn.XLOOKUP(_xlfn.XLOOKUP($F1611,Clientes!$B$4:$B$39,Clientes!$C$4:$C$39),Cadastros!$L$6:$L$12,Cadastros!$N$6:$N$12)))</f>
        <v/>
      </c>
      <c r="Z1611" s="168" t="str">
        <f t="shared" si="329"/>
        <v/>
      </c>
      <c r="AA1611" s="168" t="str">
        <f>IFERROR(Z1611/_xlfn.XLOOKUP(_xlfn.XLOOKUP($F1611,Clientes!$B$4:$B$39,Clientes!$C$4:$C$39),Cadastros!$L$6:$L$12,Cadastros!$M$6:$M$12)," ")</f>
        <v xml:space="preserve"> </v>
      </c>
      <c r="AB1611" s="28"/>
      <c r="AC1611" s="28"/>
      <c r="AD1611" s="20" t="str">
        <f>IF(AB1611="","",IF($F1611="Bernardino Furlan",_xlfn.XLOOKUP(AB1611,Cadastros!$G$6:$G$90,Cadastros!$H$6:$H$90)*(1-0.18),IF($F1611="Mauro José Salanti",_xlfn.XLOOKUP(AB1611,Cadastros!$G$6:$G$90,Cadastros!$H$6:$H$90)*(1-0.18),_xlfn.XLOOKUP(AB1611,Cadastros!$G$6:$G$90,Cadastros!$H$6:$H$90))))</f>
        <v/>
      </c>
      <c r="AE1611" s="168" t="str">
        <f t="shared" si="330"/>
        <v/>
      </c>
      <c r="AF1611" s="168" t="str">
        <f t="shared" si="331"/>
        <v/>
      </c>
      <c r="AG1611" s="28"/>
      <c r="AH1611" s="28"/>
      <c r="AI1611" s="20" t="str">
        <f>IF(AG1611="","",IF($F1611="Bernardino Furlan",_xlfn.XLOOKUP(AG1611,Cadastros!$G$6:$G$90,Cadastros!$H$6:$H$90)*(1-0.18),IF($F1611="Mauro José Salanti",_xlfn.XLOOKUP(AG1611,Cadastros!$G$6:$G$90,Cadastros!$H$6:$H$90)*(1-0.18),_xlfn.XLOOKUP(AG1611,Cadastros!$G$6:$G$90,Cadastros!$H$6:$H$90))))</f>
        <v/>
      </c>
      <c r="AJ1611" s="168" t="str">
        <f t="shared" si="332"/>
        <v/>
      </c>
      <c r="AK1611" s="168" t="str">
        <f t="shared" si="333"/>
        <v/>
      </c>
      <c r="AL1611" s="28"/>
      <c r="AM1611" s="28"/>
      <c r="AN1611" s="20" t="str">
        <f>IF(AL1611="","",IF($F1611="Bernardino Furlan",_xlfn.XLOOKUP(AL1611,Cadastros!$G$6:$G$90,Cadastros!$H$6:$H$90)*(1-0.18),IF($F1611="Mauro José Salanti",_xlfn.XLOOKUP(AL1611,Cadastros!$G$6:$G$90,Cadastros!$H$6:$H$90)*(1-0.18),_xlfn.XLOOKUP(AL1611,Cadastros!$G$6:$G$90,Cadastros!$H$6:$H$90))))</f>
        <v/>
      </c>
      <c r="AO1611" s="168" t="str">
        <f t="shared" si="334"/>
        <v/>
      </c>
      <c r="AP1611" s="168" t="str">
        <f t="shared" si="335"/>
        <v/>
      </c>
      <c r="AQ1611" s="28"/>
      <c r="AR1611" s="28"/>
      <c r="AS1611" s="20" t="str">
        <f>IF(AQ1611="","",IF($F1611="Bernardino Furlan",_xlfn.XLOOKUP(AQ1611,Cadastros!$G$6:$G$90,Cadastros!$H$6:$H$90)*(1-0.18),IF($F1611="Mauro José Salanti",_xlfn.XLOOKUP(AQ1611,Cadastros!$G$6:$G$90,Cadastros!$H$6:$H$90)*(1-0.18),_xlfn.XLOOKUP(AQ1611,Cadastros!$G$6:$G$90,Cadastros!$H$6:$H$90))))</f>
        <v/>
      </c>
      <c r="AT1611" s="168" t="str">
        <f t="shared" si="336"/>
        <v/>
      </c>
      <c r="AU1611" s="168" t="str">
        <f t="shared" si="337"/>
        <v/>
      </c>
      <c r="AV1611" s="227"/>
      <c r="AW1611" s="30"/>
      <c r="AX1611" s="267"/>
      <c r="AY1611" s="267"/>
      <c r="AZ1611" s="29"/>
      <c r="BA1611" s="30"/>
      <c r="BB1611" s="23" t="str" cm="1">
        <f t="array" ref="BB1611">_xlfn.IFS(AW1611="SIM",SUM(K1611,P1611,U1611,Z1611,AE1611,AJ1611,AO1611,AT1611,AX1611,AY1611),F1611&lt;&gt;"",SUM(K1611,P1611,U1611,Z1611,AE1611,AJ1611,,AO1611,AT1611),F1611="","")</f>
        <v/>
      </c>
      <c r="BC1611" s="211" t="str" cm="1">
        <f t="array" ref="BC1611">_xlfn.IFS(E1611="","",G1611&lt;=E1611,BB1611*(1-0.03),G1611&lt;(E1611+8),BB1611,AZ1611="Boleto",BB1611*(1+0.001)^DATEDIF(E1611,G1611,"D"),AZ1611="Cheque",BB1611,AZ1611="Dinheiro","Alterar forma pgto")</f>
        <v/>
      </c>
      <c r="BD1611" s="276" t="str" cm="1">
        <f t="array" ref="BD1611">IF(F1611=0," ",IF(BC1611&lt;BB1611,(_xlfn.IFS(AW1611="SIM",SUM(L1611,Q1611,V1611,AA1611,AF1611,AK1611,AP1611,AU1611)+AX1611/_xlfn.XLOOKUP(_xlfn.XLOOKUP($F1611,Clientes!$B$4:$B$39,Clientes!$C$4:$C$39),Cadastros!$L$6:$L$12,Cadastros!$M$6:$M$12)+IF($F1611="Bernardino Furlan",AY1611/2751.92,IF($F1611="Mauro José Salanti",AY1611/2751.92,AY1611/3356)),F1611&lt;&gt;0,SUM(L1611,Q1611,V1611,AA1611,AF1611,AK1611,AP1611,AU1611)))*(1-0.03),_xlfn.IFS(AW1611="SIM",SUM(L1611,Q1611,V1611,AA1611,AF1611,AK1611,AP1611,AU1611)+AX1611/_xlfn.XLOOKUP(_xlfn.XLOOKUP($F1611,Clientes!$B$4:$B$39,Clientes!$C$4:$C$39),Cadastros!$L$6:$L$12,Cadastros!$M$6:$M$12)+IF($F1611="Bernardino Furlan",AY1611/2751.92,IF($F1611="Mauro José Salanti",AY1611/2751.92,AY1611/3356)),F1611&lt;&gt;0,SUM(L1611,Q1611,V1611,AA1611,AF1611,AK1611,AP1611,AU1611))))</f>
        <v xml:space="preserve"> </v>
      </c>
      <c r="BE1611" s="120"/>
      <c r="BF1611" s="120"/>
      <c r="BG1611" s="120"/>
    </row>
    <row r="1612" spans="1:59" s="3" customFormat="1" x14ac:dyDescent="0.3">
      <c r="A1612" s="15" t="str">
        <f t="shared" si="325"/>
        <v/>
      </c>
      <c r="B1612" s="25"/>
      <c r="C1612" s="26"/>
      <c r="D1612" s="279"/>
      <c r="E1612" s="27"/>
      <c r="F1612" s="28"/>
      <c r="G1612" s="27"/>
      <c r="H1612" s="28"/>
      <c r="I1612" s="28"/>
      <c r="J1612" s="255" t="str">
        <f>IF(H1612="","",(_xlfn.XLOOKUP(H1612,Cadastros!$D$6:$D$90,Cadastros!$E$6:$E$90))*(1-_xlfn.XLOOKUP(_xlfn.XLOOKUP($F1612,Clientes!$B$4:$B$39,Clientes!$C$4:$C$39),Cadastros!$L$6:$L$12,Cadastros!$N$6:$N$12)))</f>
        <v/>
      </c>
      <c r="K1612" s="168" t="str">
        <f t="shared" si="326"/>
        <v/>
      </c>
      <c r="L1612" s="168" t="str">
        <f>IFERROR(K1612/_xlfn.XLOOKUP(_xlfn.XLOOKUP($F1612,Clientes!$B$4:$B$39,Clientes!$C$4:$C$39),Cadastros!$L$6:$L$12,Cadastros!$M$6:$M$12)," ")</f>
        <v xml:space="preserve"> </v>
      </c>
      <c r="M1612" s="28"/>
      <c r="N1612" s="28"/>
      <c r="O1612" s="255" t="str">
        <f>IF(M1612="","",(_xlfn.XLOOKUP(M1612,Cadastros!$D$6:$D$90,Cadastros!$E$6:$E$90))*(1-_xlfn.XLOOKUP(_xlfn.XLOOKUP($F1612,Clientes!$B$4:$B$39,Clientes!$C$4:$C$39),Cadastros!$L$6:$L$12,Cadastros!$N$6:$N$12)))</f>
        <v/>
      </c>
      <c r="P1612" s="168" t="str">
        <f t="shared" si="327"/>
        <v/>
      </c>
      <c r="Q1612" s="168" t="str">
        <f>IFERROR(P1612/_xlfn.XLOOKUP(_xlfn.XLOOKUP($F1612,Clientes!$B$4:$B$39,Clientes!$C$4:$C$39),Cadastros!$L$6:$L$12,Cadastros!$M$6:$M$12)," ")</f>
        <v xml:space="preserve"> </v>
      </c>
      <c r="R1612" s="28"/>
      <c r="S1612" s="28"/>
      <c r="T1612" s="255" t="str">
        <f>IF(R1612="","",(_xlfn.XLOOKUP(R1612,Cadastros!$D$6:$D$90,Cadastros!$E$6:$E$90))*(1-_xlfn.XLOOKUP(_xlfn.XLOOKUP($F1612,Clientes!$B$4:$B$39,Clientes!$C$4:$C$39),Cadastros!$L$6:$L$12,Cadastros!$N$6:$N$12)))</f>
        <v/>
      </c>
      <c r="U1612" s="168" t="str">
        <f t="shared" si="328"/>
        <v/>
      </c>
      <c r="V1612" s="168" t="str">
        <f>IFERROR(U1612/_xlfn.XLOOKUP(_xlfn.XLOOKUP($F1612,Clientes!$B$4:$B$39,Clientes!$C$4:$C$39),Cadastros!$L$6:$L$12,Cadastros!$M$6:$M$12)," ")</f>
        <v xml:space="preserve"> </v>
      </c>
      <c r="W1612" s="28"/>
      <c r="X1612" s="28"/>
      <c r="Y1612" s="255" t="str">
        <f>IF(W1612="","",(_xlfn.XLOOKUP(W1612,Cadastros!$D$6:$D$90,Cadastros!$E$6:$E$90))*(1-_xlfn.XLOOKUP(_xlfn.XLOOKUP($F1612,Clientes!$B$4:$B$39,Clientes!$C$4:$C$39),Cadastros!$L$6:$L$12,Cadastros!$N$6:$N$12)))</f>
        <v/>
      </c>
      <c r="Z1612" s="168" t="str">
        <f t="shared" si="329"/>
        <v/>
      </c>
      <c r="AA1612" s="168" t="str">
        <f>IFERROR(Z1612/_xlfn.XLOOKUP(_xlfn.XLOOKUP($F1612,Clientes!$B$4:$B$39,Clientes!$C$4:$C$39),Cadastros!$L$6:$L$12,Cadastros!$M$6:$M$12)," ")</f>
        <v xml:space="preserve"> </v>
      </c>
      <c r="AB1612" s="28"/>
      <c r="AC1612" s="28"/>
      <c r="AD1612" s="20" t="str">
        <f>IF(AB1612="","",IF($F1612="Bernardino Furlan",_xlfn.XLOOKUP(AB1612,Cadastros!$G$6:$G$90,Cadastros!$H$6:$H$90)*(1-0.18),IF($F1612="Mauro José Salanti",_xlfn.XLOOKUP(AB1612,Cadastros!$G$6:$G$90,Cadastros!$H$6:$H$90)*(1-0.18),_xlfn.XLOOKUP(AB1612,Cadastros!$G$6:$G$90,Cadastros!$H$6:$H$90))))</f>
        <v/>
      </c>
      <c r="AE1612" s="168" t="str">
        <f t="shared" si="330"/>
        <v/>
      </c>
      <c r="AF1612" s="168" t="str">
        <f t="shared" si="331"/>
        <v/>
      </c>
      <c r="AG1612" s="28"/>
      <c r="AH1612" s="28"/>
      <c r="AI1612" s="20" t="str">
        <f>IF(AG1612="","",IF($F1612="Bernardino Furlan",_xlfn.XLOOKUP(AG1612,Cadastros!$G$6:$G$90,Cadastros!$H$6:$H$90)*(1-0.18),IF($F1612="Mauro José Salanti",_xlfn.XLOOKUP(AG1612,Cadastros!$G$6:$G$90,Cadastros!$H$6:$H$90)*(1-0.18),_xlfn.XLOOKUP(AG1612,Cadastros!$G$6:$G$90,Cadastros!$H$6:$H$90))))</f>
        <v/>
      </c>
      <c r="AJ1612" s="168" t="str">
        <f t="shared" si="332"/>
        <v/>
      </c>
      <c r="AK1612" s="168" t="str">
        <f t="shared" si="333"/>
        <v/>
      </c>
      <c r="AL1612" s="28"/>
      <c r="AM1612" s="28"/>
      <c r="AN1612" s="20" t="str">
        <f>IF(AL1612="","",IF($F1612="Bernardino Furlan",_xlfn.XLOOKUP(AL1612,Cadastros!$G$6:$G$90,Cadastros!$H$6:$H$90)*(1-0.18),IF($F1612="Mauro José Salanti",_xlfn.XLOOKUP(AL1612,Cadastros!$G$6:$G$90,Cadastros!$H$6:$H$90)*(1-0.18),_xlfn.XLOOKUP(AL1612,Cadastros!$G$6:$G$90,Cadastros!$H$6:$H$90))))</f>
        <v/>
      </c>
      <c r="AO1612" s="168" t="str">
        <f t="shared" si="334"/>
        <v/>
      </c>
      <c r="AP1612" s="168" t="str">
        <f t="shared" si="335"/>
        <v/>
      </c>
      <c r="AQ1612" s="28"/>
      <c r="AR1612" s="28"/>
      <c r="AS1612" s="20" t="str">
        <f>IF(AQ1612="","",IF($F1612="Bernardino Furlan",_xlfn.XLOOKUP(AQ1612,Cadastros!$G$6:$G$90,Cadastros!$H$6:$H$90)*(1-0.18),IF($F1612="Mauro José Salanti",_xlfn.XLOOKUP(AQ1612,Cadastros!$G$6:$G$90,Cadastros!$H$6:$H$90)*(1-0.18),_xlfn.XLOOKUP(AQ1612,Cadastros!$G$6:$G$90,Cadastros!$H$6:$H$90))))</f>
        <v/>
      </c>
      <c r="AT1612" s="168" t="str">
        <f t="shared" si="336"/>
        <v/>
      </c>
      <c r="AU1612" s="168" t="str">
        <f t="shared" si="337"/>
        <v/>
      </c>
      <c r="AV1612" s="227"/>
      <c r="AW1612" s="30"/>
      <c r="AX1612" s="267"/>
      <c r="AY1612" s="267"/>
      <c r="AZ1612" s="29"/>
      <c r="BA1612" s="30"/>
      <c r="BB1612" s="23" t="str" cm="1">
        <f t="array" ref="BB1612">_xlfn.IFS(AW1612="SIM",SUM(K1612,P1612,U1612,Z1612,AE1612,AJ1612,AO1612,AT1612,AX1612,AY1612),F1612&lt;&gt;"",SUM(K1612,P1612,U1612,Z1612,AE1612,AJ1612,,AO1612,AT1612),F1612="","")</f>
        <v/>
      </c>
      <c r="BC1612" s="211" t="str" cm="1">
        <f t="array" ref="BC1612">_xlfn.IFS(E1612="","",G1612&lt;=E1612,BB1612*(1-0.03),G1612&lt;(E1612+8),BB1612,AZ1612="Boleto",BB1612*(1+0.001)^DATEDIF(E1612,G1612,"D"),AZ1612="Cheque",BB1612,AZ1612="Dinheiro","Alterar forma pgto")</f>
        <v/>
      </c>
      <c r="BD1612" s="276" t="str" cm="1">
        <f t="array" ref="BD1612">IF(F1612=0," ",IF(BC1612&lt;BB1612,(_xlfn.IFS(AW1612="SIM",SUM(L1612,Q1612,V1612,AA1612,AF1612,AK1612,AP1612,AU1612)+AX1612/_xlfn.XLOOKUP(_xlfn.XLOOKUP($F1612,Clientes!$B$4:$B$39,Clientes!$C$4:$C$39),Cadastros!$L$6:$L$12,Cadastros!$M$6:$M$12)+IF($F1612="Bernardino Furlan",AY1612/2751.92,IF($F1612="Mauro José Salanti",AY1612/2751.92,AY1612/3356)),F1612&lt;&gt;0,SUM(L1612,Q1612,V1612,AA1612,AF1612,AK1612,AP1612,AU1612)))*(1-0.03),_xlfn.IFS(AW1612="SIM",SUM(L1612,Q1612,V1612,AA1612,AF1612,AK1612,AP1612,AU1612)+AX1612/_xlfn.XLOOKUP(_xlfn.XLOOKUP($F1612,Clientes!$B$4:$B$39,Clientes!$C$4:$C$39),Cadastros!$L$6:$L$12,Cadastros!$M$6:$M$12)+IF($F1612="Bernardino Furlan",AY1612/2751.92,IF($F1612="Mauro José Salanti",AY1612/2751.92,AY1612/3356)),F1612&lt;&gt;0,SUM(L1612,Q1612,V1612,AA1612,AF1612,AK1612,AP1612,AU1612))))</f>
        <v xml:space="preserve"> </v>
      </c>
      <c r="BE1612" s="120"/>
      <c r="BF1612" s="120"/>
      <c r="BG1612" s="120"/>
    </row>
    <row r="1613" spans="1:59" s="3" customFormat="1" x14ac:dyDescent="0.3">
      <c r="A1613" s="15" t="str">
        <f t="shared" si="325"/>
        <v/>
      </c>
      <c r="B1613" s="25"/>
      <c r="C1613" s="26"/>
      <c r="D1613" s="279"/>
      <c r="E1613" s="27"/>
      <c r="F1613" s="28"/>
      <c r="G1613" s="27"/>
      <c r="H1613" s="28"/>
      <c r="I1613" s="28"/>
      <c r="J1613" s="255" t="str">
        <f>IF(H1613="","",(_xlfn.XLOOKUP(H1613,Cadastros!$D$6:$D$90,Cadastros!$E$6:$E$90))*(1-_xlfn.XLOOKUP(_xlfn.XLOOKUP($F1613,Clientes!$B$4:$B$39,Clientes!$C$4:$C$39),Cadastros!$L$6:$L$12,Cadastros!$N$6:$N$12)))</f>
        <v/>
      </c>
      <c r="K1613" s="168" t="str">
        <f t="shared" si="326"/>
        <v/>
      </c>
      <c r="L1613" s="168" t="str">
        <f>IFERROR(K1613/_xlfn.XLOOKUP(_xlfn.XLOOKUP($F1613,Clientes!$B$4:$B$39,Clientes!$C$4:$C$39),Cadastros!$L$6:$L$12,Cadastros!$M$6:$M$12)," ")</f>
        <v xml:space="preserve"> </v>
      </c>
      <c r="M1613" s="28"/>
      <c r="N1613" s="28"/>
      <c r="O1613" s="255" t="str">
        <f>IF(M1613="","",(_xlfn.XLOOKUP(M1613,Cadastros!$D$6:$D$90,Cadastros!$E$6:$E$90))*(1-_xlfn.XLOOKUP(_xlfn.XLOOKUP($F1613,Clientes!$B$4:$B$39,Clientes!$C$4:$C$39),Cadastros!$L$6:$L$12,Cadastros!$N$6:$N$12)))</f>
        <v/>
      </c>
      <c r="P1613" s="168" t="str">
        <f t="shared" si="327"/>
        <v/>
      </c>
      <c r="Q1613" s="168" t="str">
        <f>IFERROR(P1613/_xlfn.XLOOKUP(_xlfn.XLOOKUP($F1613,Clientes!$B$4:$B$39,Clientes!$C$4:$C$39),Cadastros!$L$6:$L$12,Cadastros!$M$6:$M$12)," ")</f>
        <v xml:space="preserve"> </v>
      </c>
      <c r="R1613" s="28"/>
      <c r="S1613" s="28"/>
      <c r="T1613" s="255" t="str">
        <f>IF(R1613="","",(_xlfn.XLOOKUP(R1613,Cadastros!$D$6:$D$90,Cadastros!$E$6:$E$90))*(1-_xlfn.XLOOKUP(_xlfn.XLOOKUP($F1613,Clientes!$B$4:$B$39,Clientes!$C$4:$C$39),Cadastros!$L$6:$L$12,Cadastros!$N$6:$N$12)))</f>
        <v/>
      </c>
      <c r="U1613" s="168" t="str">
        <f t="shared" si="328"/>
        <v/>
      </c>
      <c r="V1613" s="168" t="str">
        <f>IFERROR(U1613/_xlfn.XLOOKUP(_xlfn.XLOOKUP($F1613,Clientes!$B$4:$B$39,Clientes!$C$4:$C$39),Cadastros!$L$6:$L$12,Cadastros!$M$6:$M$12)," ")</f>
        <v xml:space="preserve"> </v>
      </c>
      <c r="W1613" s="28"/>
      <c r="X1613" s="28"/>
      <c r="Y1613" s="255" t="str">
        <f>IF(W1613="","",(_xlfn.XLOOKUP(W1613,Cadastros!$D$6:$D$90,Cadastros!$E$6:$E$90))*(1-_xlfn.XLOOKUP(_xlfn.XLOOKUP($F1613,Clientes!$B$4:$B$39,Clientes!$C$4:$C$39),Cadastros!$L$6:$L$12,Cadastros!$N$6:$N$12)))</f>
        <v/>
      </c>
      <c r="Z1613" s="168" t="str">
        <f t="shared" si="329"/>
        <v/>
      </c>
      <c r="AA1613" s="168" t="str">
        <f>IFERROR(Z1613/_xlfn.XLOOKUP(_xlfn.XLOOKUP($F1613,Clientes!$B$4:$B$39,Clientes!$C$4:$C$39),Cadastros!$L$6:$L$12,Cadastros!$M$6:$M$12)," ")</f>
        <v xml:space="preserve"> </v>
      </c>
      <c r="AB1613" s="28"/>
      <c r="AC1613" s="28"/>
      <c r="AD1613" s="20" t="str">
        <f>IF(AB1613="","",IF($F1613="Bernardino Furlan",_xlfn.XLOOKUP(AB1613,Cadastros!$G$6:$G$90,Cadastros!$H$6:$H$90)*(1-0.18),IF($F1613="Mauro José Salanti",_xlfn.XLOOKUP(AB1613,Cadastros!$G$6:$G$90,Cadastros!$H$6:$H$90)*(1-0.18),_xlfn.XLOOKUP(AB1613,Cadastros!$G$6:$G$90,Cadastros!$H$6:$H$90))))</f>
        <v/>
      </c>
      <c r="AE1613" s="168" t="str">
        <f t="shared" si="330"/>
        <v/>
      </c>
      <c r="AF1613" s="168" t="str">
        <f t="shared" si="331"/>
        <v/>
      </c>
      <c r="AG1613" s="28"/>
      <c r="AH1613" s="28"/>
      <c r="AI1613" s="20" t="str">
        <f>IF(AG1613="","",IF($F1613="Bernardino Furlan",_xlfn.XLOOKUP(AG1613,Cadastros!$G$6:$G$90,Cadastros!$H$6:$H$90)*(1-0.18),IF($F1613="Mauro José Salanti",_xlfn.XLOOKUP(AG1613,Cadastros!$G$6:$G$90,Cadastros!$H$6:$H$90)*(1-0.18),_xlfn.XLOOKUP(AG1613,Cadastros!$G$6:$G$90,Cadastros!$H$6:$H$90))))</f>
        <v/>
      </c>
      <c r="AJ1613" s="168" t="str">
        <f t="shared" si="332"/>
        <v/>
      </c>
      <c r="AK1613" s="168" t="str">
        <f t="shared" si="333"/>
        <v/>
      </c>
      <c r="AL1613" s="28"/>
      <c r="AM1613" s="28"/>
      <c r="AN1613" s="20" t="str">
        <f>IF(AL1613="","",IF($F1613="Bernardino Furlan",_xlfn.XLOOKUP(AL1613,Cadastros!$G$6:$G$90,Cadastros!$H$6:$H$90)*(1-0.18),IF($F1613="Mauro José Salanti",_xlfn.XLOOKUP(AL1613,Cadastros!$G$6:$G$90,Cadastros!$H$6:$H$90)*(1-0.18),_xlfn.XLOOKUP(AL1613,Cadastros!$G$6:$G$90,Cadastros!$H$6:$H$90))))</f>
        <v/>
      </c>
      <c r="AO1613" s="168" t="str">
        <f t="shared" si="334"/>
        <v/>
      </c>
      <c r="AP1613" s="168" t="str">
        <f t="shared" si="335"/>
        <v/>
      </c>
      <c r="AQ1613" s="28"/>
      <c r="AR1613" s="28"/>
      <c r="AS1613" s="20" t="str">
        <f>IF(AQ1613="","",IF($F1613="Bernardino Furlan",_xlfn.XLOOKUP(AQ1613,Cadastros!$G$6:$G$90,Cadastros!$H$6:$H$90)*(1-0.18),IF($F1613="Mauro José Salanti",_xlfn.XLOOKUP(AQ1613,Cadastros!$G$6:$G$90,Cadastros!$H$6:$H$90)*(1-0.18),_xlfn.XLOOKUP(AQ1613,Cadastros!$G$6:$G$90,Cadastros!$H$6:$H$90))))</f>
        <v/>
      </c>
      <c r="AT1613" s="168" t="str">
        <f t="shared" si="336"/>
        <v/>
      </c>
      <c r="AU1613" s="168" t="str">
        <f t="shared" si="337"/>
        <v/>
      </c>
      <c r="AV1613" s="227"/>
      <c r="AW1613" s="30"/>
      <c r="AX1613" s="267"/>
      <c r="AY1613" s="267"/>
      <c r="AZ1613" s="29"/>
      <c r="BA1613" s="30"/>
      <c r="BB1613" s="23" t="str" cm="1">
        <f t="array" ref="BB1613">_xlfn.IFS(AW1613="SIM",SUM(K1613,P1613,U1613,Z1613,AE1613,AJ1613,AO1613,AT1613,AX1613,AY1613),F1613&lt;&gt;"",SUM(K1613,P1613,U1613,Z1613,AE1613,AJ1613,,AO1613,AT1613),F1613="","")</f>
        <v/>
      </c>
      <c r="BC1613" s="211" t="str" cm="1">
        <f t="array" ref="BC1613">_xlfn.IFS(E1613="","",G1613&lt;=E1613,BB1613*(1-0.03),G1613&lt;(E1613+8),BB1613,AZ1613="Boleto",BB1613*(1+0.001)^DATEDIF(E1613,G1613,"D"),AZ1613="Cheque",BB1613,AZ1613="Dinheiro","Alterar forma pgto")</f>
        <v/>
      </c>
      <c r="BD1613" s="276" t="str" cm="1">
        <f t="array" ref="BD1613">IF(F1613=0," ",IF(BC1613&lt;BB1613,(_xlfn.IFS(AW1613="SIM",SUM(L1613,Q1613,V1613,AA1613,AF1613,AK1613,AP1613,AU1613)+AX1613/_xlfn.XLOOKUP(_xlfn.XLOOKUP($F1613,Clientes!$B$4:$B$39,Clientes!$C$4:$C$39),Cadastros!$L$6:$L$12,Cadastros!$M$6:$M$12)+IF($F1613="Bernardino Furlan",AY1613/2751.92,IF($F1613="Mauro José Salanti",AY1613/2751.92,AY1613/3356)),F1613&lt;&gt;0,SUM(L1613,Q1613,V1613,AA1613,AF1613,AK1613,AP1613,AU1613)))*(1-0.03),_xlfn.IFS(AW1613="SIM",SUM(L1613,Q1613,V1613,AA1613,AF1613,AK1613,AP1613,AU1613)+AX1613/_xlfn.XLOOKUP(_xlfn.XLOOKUP($F1613,Clientes!$B$4:$B$39,Clientes!$C$4:$C$39),Cadastros!$L$6:$L$12,Cadastros!$M$6:$M$12)+IF($F1613="Bernardino Furlan",AY1613/2751.92,IF($F1613="Mauro José Salanti",AY1613/2751.92,AY1613/3356)),F1613&lt;&gt;0,SUM(L1613,Q1613,V1613,AA1613,AF1613,AK1613,AP1613,AU1613))))</f>
        <v xml:space="preserve"> </v>
      </c>
      <c r="BE1613" s="120"/>
      <c r="BF1613" s="120"/>
      <c r="BG1613" s="120"/>
    </row>
    <row r="1614" spans="1:59" s="3" customFormat="1" x14ac:dyDescent="0.3">
      <c r="A1614" s="15" t="str">
        <f t="shared" si="325"/>
        <v/>
      </c>
      <c r="B1614" s="25"/>
      <c r="C1614" s="26"/>
      <c r="D1614" s="279"/>
      <c r="E1614" s="27"/>
      <c r="F1614" s="28"/>
      <c r="G1614" s="27"/>
      <c r="H1614" s="28"/>
      <c r="I1614" s="28"/>
      <c r="J1614" s="255" t="str">
        <f>IF(H1614="","",(_xlfn.XLOOKUP(H1614,Cadastros!$D$6:$D$90,Cadastros!$E$6:$E$90))*(1-_xlfn.XLOOKUP(_xlfn.XLOOKUP($F1614,Clientes!$B$4:$B$39,Clientes!$C$4:$C$39),Cadastros!$L$6:$L$12,Cadastros!$N$6:$N$12)))</f>
        <v/>
      </c>
      <c r="K1614" s="168" t="str">
        <f t="shared" si="326"/>
        <v/>
      </c>
      <c r="L1614" s="168" t="str">
        <f>IFERROR(K1614/_xlfn.XLOOKUP(_xlfn.XLOOKUP($F1614,Clientes!$B$4:$B$39,Clientes!$C$4:$C$39),Cadastros!$L$6:$L$12,Cadastros!$M$6:$M$12)," ")</f>
        <v xml:space="preserve"> </v>
      </c>
      <c r="M1614" s="28"/>
      <c r="N1614" s="28"/>
      <c r="O1614" s="255" t="str">
        <f>IF(M1614="","",(_xlfn.XLOOKUP(M1614,Cadastros!$D$6:$D$90,Cadastros!$E$6:$E$90))*(1-_xlfn.XLOOKUP(_xlfn.XLOOKUP($F1614,Clientes!$B$4:$B$39,Clientes!$C$4:$C$39),Cadastros!$L$6:$L$12,Cadastros!$N$6:$N$12)))</f>
        <v/>
      </c>
      <c r="P1614" s="168" t="str">
        <f t="shared" si="327"/>
        <v/>
      </c>
      <c r="Q1614" s="168" t="str">
        <f>IFERROR(P1614/_xlfn.XLOOKUP(_xlfn.XLOOKUP($F1614,Clientes!$B$4:$B$39,Clientes!$C$4:$C$39),Cadastros!$L$6:$L$12,Cadastros!$M$6:$M$12)," ")</f>
        <v xml:space="preserve"> </v>
      </c>
      <c r="R1614" s="28"/>
      <c r="S1614" s="28"/>
      <c r="T1614" s="255" t="str">
        <f>IF(R1614="","",(_xlfn.XLOOKUP(R1614,Cadastros!$D$6:$D$90,Cadastros!$E$6:$E$90))*(1-_xlfn.XLOOKUP(_xlfn.XLOOKUP($F1614,Clientes!$B$4:$B$39,Clientes!$C$4:$C$39),Cadastros!$L$6:$L$12,Cadastros!$N$6:$N$12)))</f>
        <v/>
      </c>
      <c r="U1614" s="168" t="str">
        <f t="shared" si="328"/>
        <v/>
      </c>
      <c r="V1614" s="168" t="str">
        <f>IFERROR(U1614/_xlfn.XLOOKUP(_xlfn.XLOOKUP($F1614,Clientes!$B$4:$B$39,Clientes!$C$4:$C$39),Cadastros!$L$6:$L$12,Cadastros!$M$6:$M$12)," ")</f>
        <v xml:space="preserve"> </v>
      </c>
      <c r="W1614" s="28"/>
      <c r="X1614" s="28"/>
      <c r="Y1614" s="255" t="str">
        <f>IF(W1614="","",(_xlfn.XLOOKUP(W1614,Cadastros!$D$6:$D$90,Cadastros!$E$6:$E$90))*(1-_xlfn.XLOOKUP(_xlfn.XLOOKUP($F1614,Clientes!$B$4:$B$39,Clientes!$C$4:$C$39),Cadastros!$L$6:$L$12,Cadastros!$N$6:$N$12)))</f>
        <v/>
      </c>
      <c r="Z1614" s="168" t="str">
        <f t="shared" si="329"/>
        <v/>
      </c>
      <c r="AA1614" s="168" t="str">
        <f>IFERROR(Z1614/_xlfn.XLOOKUP(_xlfn.XLOOKUP($F1614,Clientes!$B$4:$B$39,Clientes!$C$4:$C$39),Cadastros!$L$6:$L$12,Cadastros!$M$6:$M$12)," ")</f>
        <v xml:space="preserve"> </v>
      </c>
      <c r="AB1614" s="28"/>
      <c r="AC1614" s="28"/>
      <c r="AD1614" s="20" t="str">
        <f>IF(AB1614="","",IF($F1614="Bernardino Furlan",_xlfn.XLOOKUP(AB1614,Cadastros!$G$6:$G$90,Cadastros!$H$6:$H$90)*(1-0.18),IF($F1614="Mauro José Salanti",_xlfn.XLOOKUP(AB1614,Cadastros!$G$6:$G$90,Cadastros!$H$6:$H$90)*(1-0.18),_xlfn.XLOOKUP(AB1614,Cadastros!$G$6:$G$90,Cadastros!$H$6:$H$90))))</f>
        <v/>
      </c>
      <c r="AE1614" s="168" t="str">
        <f t="shared" si="330"/>
        <v/>
      </c>
      <c r="AF1614" s="168" t="str">
        <f t="shared" si="331"/>
        <v/>
      </c>
      <c r="AG1614" s="28"/>
      <c r="AH1614" s="28"/>
      <c r="AI1614" s="20" t="str">
        <f>IF(AG1614="","",IF($F1614="Bernardino Furlan",_xlfn.XLOOKUP(AG1614,Cadastros!$G$6:$G$90,Cadastros!$H$6:$H$90)*(1-0.18),IF($F1614="Mauro José Salanti",_xlfn.XLOOKUP(AG1614,Cadastros!$G$6:$G$90,Cadastros!$H$6:$H$90)*(1-0.18),_xlfn.XLOOKUP(AG1614,Cadastros!$G$6:$G$90,Cadastros!$H$6:$H$90))))</f>
        <v/>
      </c>
      <c r="AJ1614" s="168" t="str">
        <f t="shared" si="332"/>
        <v/>
      </c>
      <c r="AK1614" s="168" t="str">
        <f t="shared" si="333"/>
        <v/>
      </c>
      <c r="AL1614" s="28"/>
      <c r="AM1614" s="28"/>
      <c r="AN1614" s="20" t="str">
        <f>IF(AL1614="","",IF($F1614="Bernardino Furlan",_xlfn.XLOOKUP(AL1614,Cadastros!$G$6:$G$90,Cadastros!$H$6:$H$90)*(1-0.18),IF($F1614="Mauro José Salanti",_xlfn.XLOOKUP(AL1614,Cadastros!$G$6:$G$90,Cadastros!$H$6:$H$90)*(1-0.18),_xlfn.XLOOKUP(AL1614,Cadastros!$G$6:$G$90,Cadastros!$H$6:$H$90))))</f>
        <v/>
      </c>
      <c r="AO1614" s="168" t="str">
        <f t="shared" si="334"/>
        <v/>
      </c>
      <c r="AP1614" s="168" t="str">
        <f t="shared" si="335"/>
        <v/>
      </c>
      <c r="AQ1614" s="28"/>
      <c r="AR1614" s="28"/>
      <c r="AS1614" s="20" t="str">
        <f>IF(AQ1614="","",IF($F1614="Bernardino Furlan",_xlfn.XLOOKUP(AQ1614,Cadastros!$G$6:$G$90,Cadastros!$H$6:$H$90)*(1-0.18),IF($F1614="Mauro José Salanti",_xlfn.XLOOKUP(AQ1614,Cadastros!$G$6:$G$90,Cadastros!$H$6:$H$90)*(1-0.18),_xlfn.XLOOKUP(AQ1614,Cadastros!$G$6:$G$90,Cadastros!$H$6:$H$90))))</f>
        <v/>
      </c>
      <c r="AT1614" s="168" t="str">
        <f t="shared" si="336"/>
        <v/>
      </c>
      <c r="AU1614" s="168" t="str">
        <f t="shared" si="337"/>
        <v/>
      </c>
      <c r="AV1614" s="227"/>
      <c r="AW1614" s="30"/>
      <c r="AX1614" s="267"/>
      <c r="AY1614" s="267"/>
      <c r="AZ1614" s="29"/>
      <c r="BA1614" s="30"/>
      <c r="BB1614" s="23" t="str" cm="1">
        <f t="array" ref="BB1614">_xlfn.IFS(AW1614="SIM",SUM(K1614,P1614,U1614,Z1614,AE1614,AJ1614,AO1614,AT1614,AX1614,AY1614),F1614&lt;&gt;"",SUM(K1614,P1614,U1614,Z1614,AE1614,AJ1614,,AO1614,AT1614),F1614="","")</f>
        <v/>
      </c>
      <c r="BC1614" s="211" t="str" cm="1">
        <f t="array" ref="BC1614">_xlfn.IFS(E1614="","",G1614&lt;=E1614,BB1614*(1-0.03),G1614&lt;(E1614+8),BB1614,AZ1614="Boleto",BB1614*(1+0.001)^DATEDIF(E1614,G1614,"D"),AZ1614="Cheque",BB1614,AZ1614="Dinheiro","Alterar forma pgto")</f>
        <v/>
      </c>
      <c r="BD1614" s="276" t="str" cm="1">
        <f t="array" ref="BD1614">IF(F1614=0," ",IF(BC1614&lt;BB1614,(_xlfn.IFS(AW1614="SIM",SUM(L1614,Q1614,V1614,AA1614,AF1614,AK1614,AP1614,AU1614)+AX1614/_xlfn.XLOOKUP(_xlfn.XLOOKUP($F1614,Clientes!$B$4:$B$39,Clientes!$C$4:$C$39),Cadastros!$L$6:$L$12,Cadastros!$M$6:$M$12)+IF($F1614="Bernardino Furlan",AY1614/2751.92,IF($F1614="Mauro José Salanti",AY1614/2751.92,AY1614/3356)),F1614&lt;&gt;0,SUM(L1614,Q1614,V1614,AA1614,AF1614,AK1614,AP1614,AU1614)))*(1-0.03),_xlfn.IFS(AW1614="SIM",SUM(L1614,Q1614,V1614,AA1614,AF1614,AK1614,AP1614,AU1614)+AX1614/_xlfn.XLOOKUP(_xlfn.XLOOKUP($F1614,Clientes!$B$4:$B$39,Clientes!$C$4:$C$39),Cadastros!$L$6:$L$12,Cadastros!$M$6:$M$12)+IF($F1614="Bernardino Furlan",AY1614/2751.92,IF($F1614="Mauro José Salanti",AY1614/2751.92,AY1614/3356)),F1614&lt;&gt;0,SUM(L1614,Q1614,V1614,AA1614,AF1614,AK1614,AP1614,AU1614))))</f>
        <v xml:space="preserve"> </v>
      </c>
      <c r="BE1614" s="120"/>
      <c r="BF1614" s="120"/>
      <c r="BG1614" s="120"/>
    </row>
    <row r="1615" spans="1:59" s="3" customFormat="1" x14ac:dyDescent="0.3">
      <c r="A1615" s="15" t="str">
        <f t="shared" si="325"/>
        <v/>
      </c>
      <c r="B1615" s="25"/>
      <c r="C1615" s="26"/>
      <c r="D1615" s="279"/>
      <c r="E1615" s="27"/>
      <c r="F1615" s="28"/>
      <c r="G1615" s="27"/>
      <c r="H1615" s="28"/>
      <c r="I1615" s="28"/>
      <c r="J1615" s="255" t="str">
        <f>IF(H1615="","",(_xlfn.XLOOKUP(H1615,Cadastros!$D$6:$D$90,Cadastros!$E$6:$E$90))*(1-_xlfn.XLOOKUP(_xlfn.XLOOKUP($F1615,Clientes!$B$4:$B$39,Clientes!$C$4:$C$39),Cadastros!$L$6:$L$12,Cadastros!$N$6:$N$12)))</f>
        <v/>
      </c>
      <c r="K1615" s="168" t="str">
        <f t="shared" si="326"/>
        <v/>
      </c>
      <c r="L1615" s="168" t="str">
        <f>IFERROR(K1615/_xlfn.XLOOKUP(_xlfn.XLOOKUP($F1615,Clientes!$B$4:$B$39,Clientes!$C$4:$C$39),Cadastros!$L$6:$L$12,Cadastros!$M$6:$M$12)," ")</f>
        <v xml:space="preserve"> </v>
      </c>
      <c r="M1615" s="28"/>
      <c r="N1615" s="28"/>
      <c r="O1615" s="255" t="str">
        <f>IF(M1615="","",(_xlfn.XLOOKUP(M1615,Cadastros!$D$6:$D$90,Cadastros!$E$6:$E$90))*(1-_xlfn.XLOOKUP(_xlfn.XLOOKUP($F1615,Clientes!$B$4:$B$39,Clientes!$C$4:$C$39),Cadastros!$L$6:$L$12,Cadastros!$N$6:$N$12)))</f>
        <v/>
      </c>
      <c r="P1615" s="168" t="str">
        <f t="shared" si="327"/>
        <v/>
      </c>
      <c r="Q1615" s="168" t="str">
        <f>IFERROR(P1615/_xlfn.XLOOKUP(_xlfn.XLOOKUP($F1615,Clientes!$B$4:$B$39,Clientes!$C$4:$C$39),Cadastros!$L$6:$L$12,Cadastros!$M$6:$M$12)," ")</f>
        <v xml:space="preserve"> </v>
      </c>
      <c r="R1615" s="28"/>
      <c r="S1615" s="28"/>
      <c r="T1615" s="255" t="str">
        <f>IF(R1615="","",(_xlfn.XLOOKUP(R1615,Cadastros!$D$6:$D$90,Cadastros!$E$6:$E$90))*(1-_xlfn.XLOOKUP(_xlfn.XLOOKUP($F1615,Clientes!$B$4:$B$39,Clientes!$C$4:$C$39),Cadastros!$L$6:$L$12,Cadastros!$N$6:$N$12)))</f>
        <v/>
      </c>
      <c r="U1615" s="168" t="str">
        <f t="shared" si="328"/>
        <v/>
      </c>
      <c r="V1615" s="168" t="str">
        <f>IFERROR(U1615/_xlfn.XLOOKUP(_xlfn.XLOOKUP($F1615,Clientes!$B$4:$B$39,Clientes!$C$4:$C$39),Cadastros!$L$6:$L$12,Cadastros!$M$6:$M$12)," ")</f>
        <v xml:space="preserve"> </v>
      </c>
      <c r="W1615" s="28"/>
      <c r="X1615" s="28"/>
      <c r="Y1615" s="255" t="str">
        <f>IF(W1615="","",(_xlfn.XLOOKUP(W1615,Cadastros!$D$6:$D$90,Cadastros!$E$6:$E$90))*(1-_xlfn.XLOOKUP(_xlfn.XLOOKUP($F1615,Clientes!$B$4:$B$39,Clientes!$C$4:$C$39),Cadastros!$L$6:$L$12,Cadastros!$N$6:$N$12)))</f>
        <v/>
      </c>
      <c r="Z1615" s="168" t="str">
        <f t="shared" si="329"/>
        <v/>
      </c>
      <c r="AA1615" s="168" t="str">
        <f>IFERROR(Z1615/_xlfn.XLOOKUP(_xlfn.XLOOKUP($F1615,Clientes!$B$4:$B$39,Clientes!$C$4:$C$39),Cadastros!$L$6:$L$12,Cadastros!$M$6:$M$12)," ")</f>
        <v xml:space="preserve"> </v>
      </c>
      <c r="AB1615" s="28"/>
      <c r="AC1615" s="28"/>
      <c r="AD1615" s="20" t="str">
        <f>IF(AB1615="","",IF($F1615="Bernardino Furlan",_xlfn.XLOOKUP(AB1615,Cadastros!$G$6:$G$90,Cadastros!$H$6:$H$90)*(1-0.18),IF($F1615="Mauro José Salanti",_xlfn.XLOOKUP(AB1615,Cadastros!$G$6:$G$90,Cadastros!$H$6:$H$90)*(1-0.18),_xlfn.XLOOKUP(AB1615,Cadastros!$G$6:$G$90,Cadastros!$H$6:$H$90))))</f>
        <v/>
      </c>
      <c r="AE1615" s="168" t="str">
        <f t="shared" si="330"/>
        <v/>
      </c>
      <c r="AF1615" s="168" t="str">
        <f t="shared" si="331"/>
        <v/>
      </c>
      <c r="AG1615" s="28"/>
      <c r="AH1615" s="28"/>
      <c r="AI1615" s="20" t="str">
        <f>IF(AG1615="","",IF($F1615="Bernardino Furlan",_xlfn.XLOOKUP(AG1615,Cadastros!$G$6:$G$90,Cadastros!$H$6:$H$90)*(1-0.18),IF($F1615="Mauro José Salanti",_xlfn.XLOOKUP(AG1615,Cadastros!$G$6:$G$90,Cadastros!$H$6:$H$90)*(1-0.18),_xlfn.XLOOKUP(AG1615,Cadastros!$G$6:$G$90,Cadastros!$H$6:$H$90))))</f>
        <v/>
      </c>
      <c r="AJ1615" s="168" t="str">
        <f t="shared" si="332"/>
        <v/>
      </c>
      <c r="AK1615" s="168" t="str">
        <f t="shared" si="333"/>
        <v/>
      </c>
      <c r="AL1615" s="28"/>
      <c r="AM1615" s="28"/>
      <c r="AN1615" s="20" t="str">
        <f>IF(AL1615="","",IF($F1615="Bernardino Furlan",_xlfn.XLOOKUP(AL1615,Cadastros!$G$6:$G$90,Cadastros!$H$6:$H$90)*(1-0.18),IF($F1615="Mauro José Salanti",_xlfn.XLOOKUP(AL1615,Cadastros!$G$6:$G$90,Cadastros!$H$6:$H$90)*(1-0.18),_xlfn.XLOOKUP(AL1615,Cadastros!$G$6:$G$90,Cadastros!$H$6:$H$90))))</f>
        <v/>
      </c>
      <c r="AO1615" s="168" t="str">
        <f t="shared" si="334"/>
        <v/>
      </c>
      <c r="AP1615" s="168" t="str">
        <f t="shared" si="335"/>
        <v/>
      </c>
      <c r="AQ1615" s="28"/>
      <c r="AR1615" s="28"/>
      <c r="AS1615" s="20" t="str">
        <f>IF(AQ1615="","",IF($F1615="Bernardino Furlan",_xlfn.XLOOKUP(AQ1615,Cadastros!$G$6:$G$90,Cadastros!$H$6:$H$90)*(1-0.18),IF($F1615="Mauro José Salanti",_xlfn.XLOOKUP(AQ1615,Cadastros!$G$6:$G$90,Cadastros!$H$6:$H$90)*(1-0.18),_xlfn.XLOOKUP(AQ1615,Cadastros!$G$6:$G$90,Cadastros!$H$6:$H$90))))</f>
        <v/>
      </c>
      <c r="AT1615" s="168" t="str">
        <f t="shared" si="336"/>
        <v/>
      </c>
      <c r="AU1615" s="168" t="str">
        <f t="shared" si="337"/>
        <v/>
      </c>
      <c r="AV1615" s="227"/>
      <c r="AW1615" s="30"/>
      <c r="AX1615" s="267"/>
      <c r="AY1615" s="267"/>
      <c r="AZ1615" s="29"/>
      <c r="BA1615" s="30"/>
      <c r="BB1615" s="23" t="str" cm="1">
        <f t="array" ref="BB1615">_xlfn.IFS(AW1615="SIM",SUM(K1615,P1615,U1615,Z1615,AE1615,AJ1615,AO1615,AT1615,AX1615,AY1615),F1615&lt;&gt;"",SUM(K1615,P1615,U1615,Z1615,AE1615,AJ1615,,AO1615,AT1615),F1615="","")</f>
        <v/>
      </c>
      <c r="BC1615" s="211" t="str" cm="1">
        <f t="array" ref="BC1615">_xlfn.IFS(E1615="","",G1615&lt;=E1615,BB1615*(1-0.03),G1615&lt;(E1615+8),BB1615,AZ1615="Boleto",BB1615*(1+0.001)^DATEDIF(E1615,G1615,"D"),AZ1615="Cheque",BB1615,AZ1615="Dinheiro","Alterar forma pgto")</f>
        <v/>
      </c>
      <c r="BD1615" s="276" t="str" cm="1">
        <f t="array" ref="BD1615">IF(F1615=0," ",IF(BC1615&lt;BB1615,(_xlfn.IFS(AW1615="SIM",SUM(L1615,Q1615,V1615,AA1615,AF1615,AK1615,AP1615,AU1615)+AX1615/_xlfn.XLOOKUP(_xlfn.XLOOKUP($F1615,Clientes!$B$4:$B$39,Clientes!$C$4:$C$39),Cadastros!$L$6:$L$12,Cadastros!$M$6:$M$12)+IF($F1615="Bernardino Furlan",AY1615/2751.92,IF($F1615="Mauro José Salanti",AY1615/2751.92,AY1615/3356)),F1615&lt;&gt;0,SUM(L1615,Q1615,V1615,AA1615,AF1615,AK1615,AP1615,AU1615)))*(1-0.03),_xlfn.IFS(AW1615="SIM",SUM(L1615,Q1615,V1615,AA1615,AF1615,AK1615,AP1615,AU1615)+AX1615/_xlfn.XLOOKUP(_xlfn.XLOOKUP($F1615,Clientes!$B$4:$B$39,Clientes!$C$4:$C$39),Cadastros!$L$6:$L$12,Cadastros!$M$6:$M$12)+IF($F1615="Bernardino Furlan",AY1615/2751.92,IF($F1615="Mauro José Salanti",AY1615/2751.92,AY1615/3356)),F1615&lt;&gt;0,SUM(L1615,Q1615,V1615,AA1615,AF1615,AK1615,AP1615,AU1615))))</f>
        <v xml:space="preserve"> </v>
      </c>
      <c r="BE1615" s="120"/>
      <c r="BF1615" s="120"/>
      <c r="BG1615" s="120"/>
    </row>
    <row r="1616" spans="1:59" s="3" customFormat="1" x14ac:dyDescent="0.3">
      <c r="A1616" s="15" t="str">
        <f t="shared" si="325"/>
        <v/>
      </c>
      <c r="B1616" s="25"/>
      <c r="C1616" s="26"/>
      <c r="D1616" s="279"/>
      <c r="E1616" s="27"/>
      <c r="F1616" s="28"/>
      <c r="G1616" s="27"/>
      <c r="H1616" s="28"/>
      <c r="I1616" s="28"/>
      <c r="J1616" s="255" t="str">
        <f>IF(H1616="","",(_xlfn.XLOOKUP(H1616,Cadastros!$D$6:$D$90,Cadastros!$E$6:$E$90))*(1-_xlfn.XLOOKUP(_xlfn.XLOOKUP($F1616,Clientes!$B$4:$B$39,Clientes!$C$4:$C$39),Cadastros!$L$6:$L$12,Cadastros!$N$6:$N$12)))</f>
        <v/>
      </c>
      <c r="K1616" s="168" t="str">
        <f t="shared" si="326"/>
        <v/>
      </c>
      <c r="L1616" s="168" t="str">
        <f>IFERROR(K1616/_xlfn.XLOOKUP(_xlfn.XLOOKUP($F1616,Clientes!$B$4:$B$39,Clientes!$C$4:$C$39),Cadastros!$L$6:$L$12,Cadastros!$M$6:$M$12)," ")</f>
        <v xml:space="preserve"> </v>
      </c>
      <c r="M1616" s="28"/>
      <c r="N1616" s="28"/>
      <c r="O1616" s="255" t="str">
        <f>IF(M1616="","",(_xlfn.XLOOKUP(M1616,Cadastros!$D$6:$D$90,Cadastros!$E$6:$E$90))*(1-_xlfn.XLOOKUP(_xlfn.XLOOKUP($F1616,Clientes!$B$4:$B$39,Clientes!$C$4:$C$39),Cadastros!$L$6:$L$12,Cadastros!$N$6:$N$12)))</f>
        <v/>
      </c>
      <c r="P1616" s="168" t="str">
        <f t="shared" si="327"/>
        <v/>
      </c>
      <c r="Q1616" s="168" t="str">
        <f>IFERROR(P1616/_xlfn.XLOOKUP(_xlfn.XLOOKUP($F1616,Clientes!$B$4:$B$39,Clientes!$C$4:$C$39),Cadastros!$L$6:$L$12,Cadastros!$M$6:$M$12)," ")</f>
        <v xml:space="preserve"> </v>
      </c>
      <c r="R1616" s="28"/>
      <c r="S1616" s="28"/>
      <c r="T1616" s="255" t="str">
        <f>IF(R1616="","",(_xlfn.XLOOKUP(R1616,Cadastros!$D$6:$D$90,Cadastros!$E$6:$E$90))*(1-_xlfn.XLOOKUP(_xlfn.XLOOKUP($F1616,Clientes!$B$4:$B$39,Clientes!$C$4:$C$39),Cadastros!$L$6:$L$12,Cadastros!$N$6:$N$12)))</f>
        <v/>
      </c>
      <c r="U1616" s="168" t="str">
        <f t="shared" si="328"/>
        <v/>
      </c>
      <c r="V1616" s="168" t="str">
        <f>IFERROR(U1616/_xlfn.XLOOKUP(_xlfn.XLOOKUP($F1616,Clientes!$B$4:$B$39,Clientes!$C$4:$C$39),Cadastros!$L$6:$L$12,Cadastros!$M$6:$M$12)," ")</f>
        <v xml:space="preserve"> </v>
      </c>
      <c r="W1616" s="28"/>
      <c r="X1616" s="28"/>
      <c r="Y1616" s="255" t="str">
        <f>IF(W1616="","",(_xlfn.XLOOKUP(W1616,Cadastros!$D$6:$D$90,Cadastros!$E$6:$E$90))*(1-_xlfn.XLOOKUP(_xlfn.XLOOKUP($F1616,Clientes!$B$4:$B$39,Clientes!$C$4:$C$39),Cadastros!$L$6:$L$12,Cadastros!$N$6:$N$12)))</f>
        <v/>
      </c>
      <c r="Z1616" s="168" t="str">
        <f t="shared" si="329"/>
        <v/>
      </c>
      <c r="AA1616" s="168" t="str">
        <f>IFERROR(Z1616/_xlfn.XLOOKUP(_xlfn.XLOOKUP($F1616,Clientes!$B$4:$B$39,Clientes!$C$4:$C$39),Cadastros!$L$6:$L$12,Cadastros!$M$6:$M$12)," ")</f>
        <v xml:space="preserve"> </v>
      </c>
      <c r="AB1616" s="28"/>
      <c r="AC1616" s="28"/>
      <c r="AD1616" s="20" t="str">
        <f>IF(AB1616="","",IF($F1616="Bernardino Furlan",_xlfn.XLOOKUP(AB1616,Cadastros!$G$6:$G$90,Cadastros!$H$6:$H$90)*(1-0.18),IF($F1616="Mauro José Salanti",_xlfn.XLOOKUP(AB1616,Cadastros!$G$6:$G$90,Cadastros!$H$6:$H$90)*(1-0.18),_xlfn.XLOOKUP(AB1616,Cadastros!$G$6:$G$90,Cadastros!$H$6:$H$90))))</f>
        <v/>
      </c>
      <c r="AE1616" s="168" t="str">
        <f t="shared" si="330"/>
        <v/>
      </c>
      <c r="AF1616" s="168" t="str">
        <f t="shared" si="331"/>
        <v/>
      </c>
      <c r="AG1616" s="28"/>
      <c r="AH1616" s="28"/>
      <c r="AI1616" s="20" t="str">
        <f>IF(AG1616="","",IF($F1616="Bernardino Furlan",_xlfn.XLOOKUP(AG1616,Cadastros!$G$6:$G$90,Cadastros!$H$6:$H$90)*(1-0.18),IF($F1616="Mauro José Salanti",_xlfn.XLOOKUP(AG1616,Cadastros!$G$6:$G$90,Cadastros!$H$6:$H$90)*(1-0.18),_xlfn.XLOOKUP(AG1616,Cadastros!$G$6:$G$90,Cadastros!$H$6:$H$90))))</f>
        <v/>
      </c>
      <c r="AJ1616" s="168" t="str">
        <f t="shared" si="332"/>
        <v/>
      </c>
      <c r="AK1616" s="168" t="str">
        <f t="shared" si="333"/>
        <v/>
      </c>
      <c r="AL1616" s="28"/>
      <c r="AM1616" s="28"/>
      <c r="AN1616" s="20" t="str">
        <f>IF(AL1616="","",IF($F1616="Bernardino Furlan",_xlfn.XLOOKUP(AL1616,Cadastros!$G$6:$G$90,Cadastros!$H$6:$H$90)*(1-0.18),IF($F1616="Mauro José Salanti",_xlfn.XLOOKUP(AL1616,Cadastros!$G$6:$G$90,Cadastros!$H$6:$H$90)*(1-0.18),_xlfn.XLOOKUP(AL1616,Cadastros!$G$6:$G$90,Cadastros!$H$6:$H$90))))</f>
        <v/>
      </c>
      <c r="AO1616" s="168" t="str">
        <f t="shared" si="334"/>
        <v/>
      </c>
      <c r="AP1616" s="168" t="str">
        <f t="shared" si="335"/>
        <v/>
      </c>
      <c r="AQ1616" s="28"/>
      <c r="AR1616" s="28"/>
      <c r="AS1616" s="20" t="str">
        <f>IF(AQ1616="","",IF($F1616="Bernardino Furlan",_xlfn.XLOOKUP(AQ1616,Cadastros!$G$6:$G$90,Cadastros!$H$6:$H$90)*(1-0.18),IF($F1616="Mauro José Salanti",_xlfn.XLOOKUP(AQ1616,Cadastros!$G$6:$G$90,Cadastros!$H$6:$H$90)*(1-0.18),_xlfn.XLOOKUP(AQ1616,Cadastros!$G$6:$G$90,Cadastros!$H$6:$H$90))))</f>
        <v/>
      </c>
      <c r="AT1616" s="168" t="str">
        <f t="shared" si="336"/>
        <v/>
      </c>
      <c r="AU1616" s="168" t="str">
        <f t="shared" si="337"/>
        <v/>
      </c>
      <c r="AV1616" s="227"/>
      <c r="AW1616" s="30"/>
      <c r="AX1616" s="267"/>
      <c r="AY1616" s="267"/>
      <c r="AZ1616" s="29"/>
      <c r="BA1616" s="30"/>
      <c r="BB1616" s="23" t="str" cm="1">
        <f t="array" ref="BB1616">_xlfn.IFS(AW1616="SIM",SUM(K1616,P1616,U1616,Z1616,AE1616,AJ1616,AO1616,AT1616,AX1616,AY1616),F1616&lt;&gt;"",SUM(K1616,P1616,U1616,Z1616,AE1616,AJ1616,,AO1616,AT1616),F1616="","")</f>
        <v/>
      </c>
      <c r="BC1616" s="211" t="str" cm="1">
        <f t="array" ref="BC1616">_xlfn.IFS(E1616="","",G1616&lt;=E1616,BB1616*(1-0.03),G1616&lt;(E1616+8),BB1616,AZ1616="Boleto",BB1616*(1+0.001)^DATEDIF(E1616,G1616,"D"),AZ1616="Cheque",BB1616,AZ1616="Dinheiro","Alterar forma pgto")</f>
        <v/>
      </c>
      <c r="BD1616" s="276" t="str" cm="1">
        <f t="array" ref="BD1616">IF(F1616=0," ",IF(BC1616&lt;BB1616,(_xlfn.IFS(AW1616="SIM",SUM(L1616,Q1616,V1616,AA1616,AF1616,AK1616,AP1616,AU1616)+AX1616/_xlfn.XLOOKUP(_xlfn.XLOOKUP($F1616,Clientes!$B$4:$B$39,Clientes!$C$4:$C$39),Cadastros!$L$6:$L$12,Cadastros!$M$6:$M$12)+IF($F1616="Bernardino Furlan",AY1616/2751.92,IF($F1616="Mauro José Salanti",AY1616/2751.92,AY1616/3356)),F1616&lt;&gt;0,SUM(L1616,Q1616,V1616,AA1616,AF1616,AK1616,AP1616,AU1616)))*(1-0.03),_xlfn.IFS(AW1616="SIM",SUM(L1616,Q1616,V1616,AA1616,AF1616,AK1616,AP1616,AU1616)+AX1616/_xlfn.XLOOKUP(_xlfn.XLOOKUP($F1616,Clientes!$B$4:$B$39,Clientes!$C$4:$C$39),Cadastros!$L$6:$L$12,Cadastros!$M$6:$M$12)+IF($F1616="Bernardino Furlan",AY1616/2751.92,IF($F1616="Mauro José Salanti",AY1616/2751.92,AY1616/3356)),F1616&lt;&gt;0,SUM(L1616,Q1616,V1616,AA1616,AF1616,AK1616,AP1616,AU1616))))</f>
        <v xml:space="preserve"> </v>
      </c>
      <c r="BE1616" s="120"/>
      <c r="BF1616" s="120"/>
      <c r="BG1616" s="120"/>
    </row>
    <row r="1617" spans="1:59" s="3" customFormat="1" x14ac:dyDescent="0.3">
      <c r="A1617" s="15" t="str">
        <f t="shared" si="325"/>
        <v/>
      </c>
      <c r="B1617" s="25"/>
      <c r="C1617" s="26"/>
      <c r="D1617" s="279"/>
      <c r="E1617" s="27"/>
      <c r="F1617" s="28"/>
      <c r="G1617" s="27"/>
      <c r="H1617" s="28"/>
      <c r="I1617" s="28"/>
      <c r="J1617" s="255" t="str">
        <f>IF(H1617="","",(_xlfn.XLOOKUP(H1617,Cadastros!$D$6:$D$90,Cadastros!$E$6:$E$90))*(1-_xlfn.XLOOKUP(_xlfn.XLOOKUP($F1617,Clientes!$B$4:$B$39,Clientes!$C$4:$C$39),Cadastros!$L$6:$L$12,Cadastros!$N$6:$N$12)))</f>
        <v/>
      </c>
      <c r="K1617" s="168" t="str">
        <f t="shared" si="326"/>
        <v/>
      </c>
      <c r="L1617" s="168" t="str">
        <f>IFERROR(K1617/_xlfn.XLOOKUP(_xlfn.XLOOKUP($F1617,Clientes!$B$4:$B$39,Clientes!$C$4:$C$39),Cadastros!$L$6:$L$12,Cadastros!$M$6:$M$12)," ")</f>
        <v xml:space="preserve"> </v>
      </c>
      <c r="M1617" s="28"/>
      <c r="N1617" s="28"/>
      <c r="O1617" s="255" t="str">
        <f>IF(M1617="","",(_xlfn.XLOOKUP(M1617,Cadastros!$D$6:$D$90,Cadastros!$E$6:$E$90))*(1-_xlfn.XLOOKUP(_xlfn.XLOOKUP($F1617,Clientes!$B$4:$B$39,Clientes!$C$4:$C$39),Cadastros!$L$6:$L$12,Cadastros!$N$6:$N$12)))</f>
        <v/>
      </c>
      <c r="P1617" s="168" t="str">
        <f t="shared" si="327"/>
        <v/>
      </c>
      <c r="Q1617" s="168" t="str">
        <f>IFERROR(P1617/_xlfn.XLOOKUP(_xlfn.XLOOKUP($F1617,Clientes!$B$4:$B$39,Clientes!$C$4:$C$39),Cadastros!$L$6:$L$12,Cadastros!$M$6:$M$12)," ")</f>
        <v xml:space="preserve"> </v>
      </c>
      <c r="R1617" s="28"/>
      <c r="S1617" s="28"/>
      <c r="T1617" s="255" t="str">
        <f>IF(R1617="","",(_xlfn.XLOOKUP(R1617,Cadastros!$D$6:$D$90,Cadastros!$E$6:$E$90))*(1-_xlfn.XLOOKUP(_xlfn.XLOOKUP($F1617,Clientes!$B$4:$B$39,Clientes!$C$4:$C$39),Cadastros!$L$6:$L$12,Cadastros!$N$6:$N$12)))</f>
        <v/>
      </c>
      <c r="U1617" s="168" t="str">
        <f t="shared" si="328"/>
        <v/>
      </c>
      <c r="V1617" s="168" t="str">
        <f>IFERROR(U1617/_xlfn.XLOOKUP(_xlfn.XLOOKUP($F1617,Clientes!$B$4:$B$39,Clientes!$C$4:$C$39),Cadastros!$L$6:$L$12,Cadastros!$M$6:$M$12)," ")</f>
        <v xml:space="preserve"> </v>
      </c>
      <c r="W1617" s="28"/>
      <c r="X1617" s="28"/>
      <c r="Y1617" s="255" t="str">
        <f>IF(W1617="","",(_xlfn.XLOOKUP(W1617,Cadastros!$D$6:$D$90,Cadastros!$E$6:$E$90))*(1-_xlfn.XLOOKUP(_xlfn.XLOOKUP($F1617,Clientes!$B$4:$B$39,Clientes!$C$4:$C$39),Cadastros!$L$6:$L$12,Cadastros!$N$6:$N$12)))</f>
        <v/>
      </c>
      <c r="Z1617" s="168" t="str">
        <f t="shared" si="329"/>
        <v/>
      </c>
      <c r="AA1617" s="168" t="str">
        <f>IFERROR(Z1617/_xlfn.XLOOKUP(_xlfn.XLOOKUP($F1617,Clientes!$B$4:$B$39,Clientes!$C$4:$C$39),Cadastros!$L$6:$L$12,Cadastros!$M$6:$M$12)," ")</f>
        <v xml:space="preserve"> </v>
      </c>
      <c r="AB1617" s="28"/>
      <c r="AC1617" s="28"/>
      <c r="AD1617" s="20" t="str">
        <f>IF(AB1617="","",IF($F1617="Bernardino Furlan",_xlfn.XLOOKUP(AB1617,Cadastros!$G$6:$G$90,Cadastros!$H$6:$H$90)*(1-0.18),IF($F1617="Mauro José Salanti",_xlfn.XLOOKUP(AB1617,Cadastros!$G$6:$G$90,Cadastros!$H$6:$H$90)*(1-0.18),_xlfn.XLOOKUP(AB1617,Cadastros!$G$6:$G$90,Cadastros!$H$6:$H$90))))</f>
        <v/>
      </c>
      <c r="AE1617" s="168" t="str">
        <f t="shared" si="330"/>
        <v/>
      </c>
      <c r="AF1617" s="168" t="str">
        <f t="shared" si="331"/>
        <v/>
      </c>
      <c r="AG1617" s="28"/>
      <c r="AH1617" s="28"/>
      <c r="AI1617" s="20" t="str">
        <f>IF(AG1617="","",IF($F1617="Bernardino Furlan",_xlfn.XLOOKUP(AG1617,Cadastros!$G$6:$G$90,Cadastros!$H$6:$H$90)*(1-0.18),IF($F1617="Mauro José Salanti",_xlfn.XLOOKUP(AG1617,Cadastros!$G$6:$G$90,Cadastros!$H$6:$H$90)*(1-0.18),_xlfn.XLOOKUP(AG1617,Cadastros!$G$6:$G$90,Cadastros!$H$6:$H$90))))</f>
        <v/>
      </c>
      <c r="AJ1617" s="168" t="str">
        <f t="shared" si="332"/>
        <v/>
      </c>
      <c r="AK1617" s="168" t="str">
        <f t="shared" si="333"/>
        <v/>
      </c>
      <c r="AL1617" s="28"/>
      <c r="AM1617" s="28"/>
      <c r="AN1617" s="20" t="str">
        <f>IF(AL1617="","",IF($F1617="Bernardino Furlan",_xlfn.XLOOKUP(AL1617,Cadastros!$G$6:$G$90,Cadastros!$H$6:$H$90)*(1-0.18),IF($F1617="Mauro José Salanti",_xlfn.XLOOKUP(AL1617,Cadastros!$G$6:$G$90,Cadastros!$H$6:$H$90)*(1-0.18),_xlfn.XLOOKUP(AL1617,Cadastros!$G$6:$G$90,Cadastros!$H$6:$H$90))))</f>
        <v/>
      </c>
      <c r="AO1617" s="168" t="str">
        <f t="shared" si="334"/>
        <v/>
      </c>
      <c r="AP1617" s="168" t="str">
        <f t="shared" si="335"/>
        <v/>
      </c>
      <c r="AQ1617" s="28"/>
      <c r="AR1617" s="28"/>
      <c r="AS1617" s="20" t="str">
        <f>IF(AQ1617="","",IF($F1617="Bernardino Furlan",_xlfn.XLOOKUP(AQ1617,Cadastros!$G$6:$G$90,Cadastros!$H$6:$H$90)*(1-0.18),IF($F1617="Mauro José Salanti",_xlfn.XLOOKUP(AQ1617,Cadastros!$G$6:$G$90,Cadastros!$H$6:$H$90)*(1-0.18),_xlfn.XLOOKUP(AQ1617,Cadastros!$G$6:$G$90,Cadastros!$H$6:$H$90))))</f>
        <v/>
      </c>
      <c r="AT1617" s="168" t="str">
        <f t="shared" si="336"/>
        <v/>
      </c>
      <c r="AU1617" s="168" t="str">
        <f t="shared" si="337"/>
        <v/>
      </c>
      <c r="AV1617" s="227"/>
      <c r="AW1617" s="30"/>
      <c r="AX1617" s="267"/>
      <c r="AY1617" s="267"/>
      <c r="AZ1617" s="29"/>
      <c r="BA1617" s="30"/>
      <c r="BB1617" s="23" t="str" cm="1">
        <f t="array" ref="BB1617">_xlfn.IFS(AW1617="SIM",SUM(K1617,P1617,U1617,Z1617,AE1617,AJ1617,AO1617,AT1617,AX1617,AY1617),F1617&lt;&gt;"",SUM(K1617,P1617,U1617,Z1617,AE1617,AJ1617,,AO1617,AT1617),F1617="","")</f>
        <v/>
      </c>
      <c r="BC1617" s="211" t="str" cm="1">
        <f t="array" ref="BC1617">_xlfn.IFS(E1617="","",G1617&lt;=E1617,BB1617*(1-0.03),G1617&lt;(E1617+8),BB1617,AZ1617="Boleto",BB1617*(1+0.001)^DATEDIF(E1617,G1617,"D"),AZ1617="Cheque",BB1617,AZ1617="Dinheiro","Alterar forma pgto")</f>
        <v/>
      </c>
      <c r="BD1617" s="276" t="str" cm="1">
        <f t="array" ref="BD1617">IF(F1617=0," ",IF(BC1617&lt;BB1617,(_xlfn.IFS(AW1617="SIM",SUM(L1617,Q1617,V1617,AA1617,AF1617,AK1617,AP1617,AU1617)+AX1617/_xlfn.XLOOKUP(_xlfn.XLOOKUP($F1617,Clientes!$B$4:$B$39,Clientes!$C$4:$C$39),Cadastros!$L$6:$L$12,Cadastros!$M$6:$M$12)+IF($F1617="Bernardino Furlan",AY1617/2751.92,IF($F1617="Mauro José Salanti",AY1617/2751.92,AY1617/3356)),F1617&lt;&gt;0,SUM(L1617,Q1617,V1617,AA1617,AF1617,AK1617,AP1617,AU1617)))*(1-0.03),_xlfn.IFS(AW1617="SIM",SUM(L1617,Q1617,V1617,AA1617,AF1617,AK1617,AP1617,AU1617)+AX1617/_xlfn.XLOOKUP(_xlfn.XLOOKUP($F1617,Clientes!$B$4:$B$39,Clientes!$C$4:$C$39),Cadastros!$L$6:$L$12,Cadastros!$M$6:$M$12)+IF($F1617="Bernardino Furlan",AY1617/2751.92,IF($F1617="Mauro José Salanti",AY1617/2751.92,AY1617/3356)),F1617&lt;&gt;0,SUM(L1617,Q1617,V1617,AA1617,AF1617,AK1617,AP1617,AU1617))))</f>
        <v xml:space="preserve"> </v>
      </c>
      <c r="BE1617" s="120"/>
      <c r="BF1617" s="120"/>
      <c r="BG1617" s="120"/>
    </row>
    <row r="1618" spans="1:59" s="3" customFormat="1" x14ac:dyDescent="0.3">
      <c r="A1618" s="15" t="str">
        <f t="shared" si="325"/>
        <v/>
      </c>
      <c r="B1618" s="25"/>
      <c r="C1618" s="26"/>
      <c r="D1618" s="279"/>
      <c r="E1618" s="27"/>
      <c r="F1618" s="28"/>
      <c r="G1618" s="27"/>
      <c r="H1618" s="28"/>
      <c r="I1618" s="28"/>
      <c r="J1618" s="255" t="str">
        <f>IF(H1618="","",(_xlfn.XLOOKUP(H1618,Cadastros!$D$6:$D$90,Cadastros!$E$6:$E$90))*(1-_xlfn.XLOOKUP(_xlfn.XLOOKUP($F1618,Clientes!$B$4:$B$39,Clientes!$C$4:$C$39),Cadastros!$L$6:$L$12,Cadastros!$N$6:$N$12)))</f>
        <v/>
      </c>
      <c r="K1618" s="168" t="str">
        <f t="shared" si="326"/>
        <v/>
      </c>
      <c r="L1618" s="168" t="str">
        <f>IFERROR(K1618/_xlfn.XLOOKUP(_xlfn.XLOOKUP($F1618,Clientes!$B$4:$B$39,Clientes!$C$4:$C$39),Cadastros!$L$6:$L$12,Cadastros!$M$6:$M$12)," ")</f>
        <v xml:space="preserve"> </v>
      </c>
      <c r="M1618" s="28"/>
      <c r="N1618" s="28"/>
      <c r="O1618" s="255" t="str">
        <f>IF(M1618="","",(_xlfn.XLOOKUP(M1618,Cadastros!$D$6:$D$90,Cadastros!$E$6:$E$90))*(1-_xlfn.XLOOKUP(_xlfn.XLOOKUP($F1618,Clientes!$B$4:$B$39,Clientes!$C$4:$C$39),Cadastros!$L$6:$L$12,Cadastros!$N$6:$N$12)))</f>
        <v/>
      </c>
      <c r="P1618" s="168" t="str">
        <f t="shared" si="327"/>
        <v/>
      </c>
      <c r="Q1618" s="168" t="str">
        <f>IFERROR(P1618/_xlfn.XLOOKUP(_xlfn.XLOOKUP($F1618,Clientes!$B$4:$B$39,Clientes!$C$4:$C$39),Cadastros!$L$6:$L$12,Cadastros!$M$6:$M$12)," ")</f>
        <v xml:space="preserve"> </v>
      </c>
      <c r="R1618" s="28"/>
      <c r="S1618" s="28"/>
      <c r="T1618" s="255" t="str">
        <f>IF(R1618="","",(_xlfn.XLOOKUP(R1618,Cadastros!$D$6:$D$90,Cadastros!$E$6:$E$90))*(1-_xlfn.XLOOKUP(_xlfn.XLOOKUP($F1618,Clientes!$B$4:$B$39,Clientes!$C$4:$C$39),Cadastros!$L$6:$L$12,Cadastros!$N$6:$N$12)))</f>
        <v/>
      </c>
      <c r="U1618" s="168" t="str">
        <f t="shared" si="328"/>
        <v/>
      </c>
      <c r="V1618" s="168" t="str">
        <f>IFERROR(U1618/_xlfn.XLOOKUP(_xlfn.XLOOKUP($F1618,Clientes!$B$4:$B$39,Clientes!$C$4:$C$39),Cadastros!$L$6:$L$12,Cadastros!$M$6:$M$12)," ")</f>
        <v xml:space="preserve"> </v>
      </c>
      <c r="W1618" s="28"/>
      <c r="X1618" s="28"/>
      <c r="Y1618" s="255" t="str">
        <f>IF(W1618="","",(_xlfn.XLOOKUP(W1618,Cadastros!$D$6:$D$90,Cadastros!$E$6:$E$90))*(1-_xlfn.XLOOKUP(_xlfn.XLOOKUP($F1618,Clientes!$B$4:$B$39,Clientes!$C$4:$C$39),Cadastros!$L$6:$L$12,Cadastros!$N$6:$N$12)))</f>
        <v/>
      </c>
      <c r="Z1618" s="168" t="str">
        <f t="shared" si="329"/>
        <v/>
      </c>
      <c r="AA1618" s="168" t="str">
        <f>IFERROR(Z1618/_xlfn.XLOOKUP(_xlfn.XLOOKUP($F1618,Clientes!$B$4:$B$39,Clientes!$C$4:$C$39),Cadastros!$L$6:$L$12,Cadastros!$M$6:$M$12)," ")</f>
        <v xml:space="preserve"> </v>
      </c>
      <c r="AB1618" s="28"/>
      <c r="AC1618" s="28"/>
      <c r="AD1618" s="20" t="str">
        <f>IF(AB1618="","",IF($F1618="Bernardino Furlan",_xlfn.XLOOKUP(AB1618,Cadastros!$G$6:$G$90,Cadastros!$H$6:$H$90)*(1-0.18),IF($F1618="Mauro José Salanti",_xlfn.XLOOKUP(AB1618,Cadastros!$G$6:$G$90,Cadastros!$H$6:$H$90)*(1-0.18),_xlfn.XLOOKUP(AB1618,Cadastros!$G$6:$G$90,Cadastros!$H$6:$H$90))))</f>
        <v/>
      </c>
      <c r="AE1618" s="168" t="str">
        <f t="shared" si="330"/>
        <v/>
      </c>
      <c r="AF1618" s="168" t="str">
        <f t="shared" si="331"/>
        <v/>
      </c>
      <c r="AG1618" s="28"/>
      <c r="AH1618" s="28"/>
      <c r="AI1618" s="20" t="str">
        <f>IF(AG1618="","",IF($F1618="Bernardino Furlan",_xlfn.XLOOKUP(AG1618,Cadastros!$G$6:$G$90,Cadastros!$H$6:$H$90)*(1-0.18),IF($F1618="Mauro José Salanti",_xlfn.XLOOKUP(AG1618,Cadastros!$G$6:$G$90,Cadastros!$H$6:$H$90)*(1-0.18),_xlfn.XLOOKUP(AG1618,Cadastros!$G$6:$G$90,Cadastros!$H$6:$H$90))))</f>
        <v/>
      </c>
      <c r="AJ1618" s="168" t="str">
        <f t="shared" si="332"/>
        <v/>
      </c>
      <c r="AK1618" s="168" t="str">
        <f t="shared" si="333"/>
        <v/>
      </c>
      <c r="AL1618" s="28"/>
      <c r="AM1618" s="28"/>
      <c r="AN1618" s="20" t="str">
        <f>IF(AL1618="","",IF($F1618="Bernardino Furlan",_xlfn.XLOOKUP(AL1618,Cadastros!$G$6:$G$90,Cadastros!$H$6:$H$90)*(1-0.18),IF($F1618="Mauro José Salanti",_xlfn.XLOOKUP(AL1618,Cadastros!$G$6:$G$90,Cadastros!$H$6:$H$90)*(1-0.18),_xlfn.XLOOKUP(AL1618,Cadastros!$G$6:$G$90,Cadastros!$H$6:$H$90))))</f>
        <v/>
      </c>
      <c r="AO1618" s="168" t="str">
        <f t="shared" si="334"/>
        <v/>
      </c>
      <c r="AP1618" s="168" t="str">
        <f t="shared" si="335"/>
        <v/>
      </c>
      <c r="AQ1618" s="28"/>
      <c r="AR1618" s="28"/>
      <c r="AS1618" s="20" t="str">
        <f>IF(AQ1618="","",IF($F1618="Bernardino Furlan",_xlfn.XLOOKUP(AQ1618,Cadastros!$G$6:$G$90,Cadastros!$H$6:$H$90)*(1-0.18),IF($F1618="Mauro José Salanti",_xlfn.XLOOKUP(AQ1618,Cadastros!$G$6:$G$90,Cadastros!$H$6:$H$90)*(1-0.18),_xlfn.XLOOKUP(AQ1618,Cadastros!$G$6:$G$90,Cadastros!$H$6:$H$90))))</f>
        <v/>
      </c>
      <c r="AT1618" s="168" t="str">
        <f t="shared" si="336"/>
        <v/>
      </c>
      <c r="AU1618" s="168" t="str">
        <f t="shared" si="337"/>
        <v/>
      </c>
      <c r="AV1618" s="227"/>
      <c r="AW1618" s="30"/>
      <c r="AX1618" s="267"/>
      <c r="AY1618" s="267"/>
      <c r="AZ1618" s="29"/>
      <c r="BA1618" s="30"/>
      <c r="BB1618" s="23" t="str" cm="1">
        <f t="array" ref="BB1618">_xlfn.IFS(AW1618="SIM",SUM(K1618,P1618,U1618,Z1618,AE1618,AJ1618,AO1618,AT1618,AX1618,AY1618),F1618&lt;&gt;"",SUM(K1618,P1618,U1618,Z1618,AE1618,AJ1618,,AO1618,AT1618),F1618="","")</f>
        <v/>
      </c>
      <c r="BC1618" s="211" t="str" cm="1">
        <f t="array" ref="BC1618">_xlfn.IFS(E1618="","",G1618&lt;=E1618,BB1618*(1-0.03),G1618&lt;(E1618+8),BB1618,AZ1618="Boleto",BB1618*(1+0.001)^DATEDIF(E1618,G1618,"D"),AZ1618="Cheque",BB1618,AZ1618="Dinheiro","Alterar forma pgto")</f>
        <v/>
      </c>
      <c r="BD1618" s="276" t="str" cm="1">
        <f t="array" ref="BD1618">IF(F1618=0," ",IF(BC1618&lt;BB1618,(_xlfn.IFS(AW1618="SIM",SUM(L1618,Q1618,V1618,AA1618,AF1618,AK1618,AP1618,AU1618)+AX1618/_xlfn.XLOOKUP(_xlfn.XLOOKUP($F1618,Clientes!$B$4:$B$39,Clientes!$C$4:$C$39),Cadastros!$L$6:$L$12,Cadastros!$M$6:$M$12)+IF($F1618="Bernardino Furlan",AY1618/2751.92,IF($F1618="Mauro José Salanti",AY1618/2751.92,AY1618/3356)),F1618&lt;&gt;0,SUM(L1618,Q1618,V1618,AA1618,AF1618,AK1618,AP1618,AU1618)))*(1-0.03),_xlfn.IFS(AW1618="SIM",SUM(L1618,Q1618,V1618,AA1618,AF1618,AK1618,AP1618,AU1618)+AX1618/_xlfn.XLOOKUP(_xlfn.XLOOKUP($F1618,Clientes!$B$4:$B$39,Clientes!$C$4:$C$39),Cadastros!$L$6:$L$12,Cadastros!$M$6:$M$12)+IF($F1618="Bernardino Furlan",AY1618/2751.92,IF($F1618="Mauro José Salanti",AY1618/2751.92,AY1618/3356)),F1618&lt;&gt;0,SUM(L1618,Q1618,V1618,AA1618,AF1618,AK1618,AP1618,AU1618))))</f>
        <v xml:space="preserve"> </v>
      </c>
      <c r="BE1618" s="120"/>
      <c r="BF1618" s="120"/>
      <c r="BG1618" s="120"/>
    </row>
    <row r="1619" spans="1:59" s="3" customFormat="1" x14ac:dyDescent="0.3">
      <c r="A1619" s="15" t="str">
        <f t="shared" si="325"/>
        <v/>
      </c>
      <c r="B1619" s="25"/>
      <c r="C1619" s="26"/>
      <c r="D1619" s="279"/>
      <c r="E1619" s="27"/>
      <c r="F1619" s="28"/>
      <c r="G1619" s="27"/>
      <c r="H1619" s="28"/>
      <c r="I1619" s="28"/>
      <c r="J1619" s="255" t="str">
        <f>IF(H1619="","",(_xlfn.XLOOKUP(H1619,Cadastros!$D$6:$D$90,Cadastros!$E$6:$E$90))*(1-_xlfn.XLOOKUP(_xlfn.XLOOKUP($F1619,Clientes!$B$4:$B$39,Clientes!$C$4:$C$39),Cadastros!$L$6:$L$12,Cadastros!$N$6:$N$12)))</f>
        <v/>
      </c>
      <c r="K1619" s="168" t="str">
        <f t="shared" si="326"/>
        <v/>
      </c>
      <c r="L1619" s="168" t="str">
        <f>IFERROR(K1619/_xlfn.XLOOKUP(_xlfn.XLOOKUP($F1619,Clientes!$B$4:$B$39,Clientes!$C$4:$C$39),Cadastros!$L$6:$L$12,Cadastros!$M$6:$M$12)," ")</f>
        <v xml:space="preserve"> </v>
      </c>
      <c r="M1619" s="28"/>
      <c r="N1619" s="28"/>
      <c r="O1619" s="255" t="str">
        <f>IF(M1619="","",(_xlfn.XLOOKUP(M1619,Cadastros!$D$6:$D$90,Cadastros!$E$6:$E$90))*(1-_xlfn.XLOOKUP(_xlfn.XLOOKUP($F1619,Clientes!$B$4:$B$39,Clientes!$C$4:$C$39),Cadastros!$L$6:$L$12,Cadastros!$N$6:$N$12)))</f>
        <v/>
      </c>
      <c r="P1619" s="168" t="str">
        <f t="shared" si="327"/>
        <v/>
      </c>
      <c r="Q1619" s="168" t="str">
        <f>IFERROR(P1619/_xlfn.XLOOKUP(_xlfn.XLOOKUP($F1619,Clientes!$B$4:$B$39,Clientes!$C$4:$C$39),Cadastros!$L$6:$L$12,Cadastros!$M$6:$M$12)," ")</f>
        <v xml:space="preserve"> </v>
      </c>
      <c r="R1619" s="28"/>
      <c r="S1619" s="28"/>
      <c r="T1619" s="255" t="str">
        <f>IF(R1619="","",(_xlfn.XLOOKUP(R1619,Cadastros!$D$6:$D$90,Cadastros!$E$6:$E$90))*(1-_xlfn.XLOOKUP(_xlfn.XLOOKUP($F1619,Clientes!$B$4:$B$39,Clientes!$C$4:$C$39),Cadastros!$L$6:$L$12,Cadastros!$N$6:$N$12)))</f>
        <v/>
      </c>
      <c r="U1619" s="168" t="str">
        <f t="shared" si="328"/>
        <v/>
      </c>
      <c r="V1619" s="168" t="str">
        <f>IFERROR(U1619/_xlfn.XLOOKUP(_xlfn.XLOOKUP($F1619,Clientes!$B$4:$B$39,Clientes!$C$4:$C$39),Cadastros!$L$6:$L$12,Cadastros!$M$6:$M$12)," ")</f>
        <v xml:space="preserve"> </v>
      </c>
      <c r="W1619" s="28"/>
      <c r="X1619" s="28"/>
      <c r="Y1619" s="255" t="str">
        <f>IF(W1619="","",(_xlfn.XLOOKUP(W1619,Cadastros!$D$6:$D$90,Cadastros!$E$6:$E$90))*(1-_xlfn.XLOOKUP(_xlfn.XLOOKUP($F1619,Clientes!$B$4:$B$39,Clientes!$C$4:$C$39),Cadastros!$L$6:$L$12,Cadastros!$N$6:$N$12)))</f>
        <v/>
      </c>
      <c r="Z1619" s="168" t="str">
        <f t="shared" si="329"/>
        <v/>
      </c>
      <c r="AA1619" s="168" t="str">
        <f>IFERROR(Z1619/_xlfn.XLOOKUP(_xlfn.XLOOKUP($F1619,Clientes!$B$4:$B$39,Clientes!$C$4:$C$39),Cadastros!$L$6:$L$12,Cadastros!$M$6:$M$12)," ")</f>
        <v xml:space="preserve"> </v>
      </c>
      <c r="AB1619" s="28"/>
      <c r="AC1619" s="28"/>
      <c r="AD1619" s="20" t="str">
        <f>IF(AB1619="","",IF($F1619="Bernardino Furlan",_xlfn.XLOOKUP(AB1619,Cadastros!$G$6:$G$90,Cadastros!$H$6:$H$90)*(1-0.18),IF($F1619="Mauro José Salanti",_xlfn.XLOOKUP(AB1619,Cadastros!$G$6:$G$90,Cadastros!$H$6:$H$90)*(1-0.18),_xlfn.XLOOKUP(AB1619,Cadastros!$G$6:$G$90,Cadastros!$H$6:$H$90))))</f>
        <v/>
      </c>
      <c r="AE1619" s="168" t="str">
        <f t="shared" si="330"/>
        <v/>
      </c>
      <c r="AF1619" s="168" t="str">
        <f t="shared" si="331"/>
        <v/>
      </c>
      <c r="AG1619" s="28"/>
      <c r="AH1619" s="28"/>
      <c r="AI1619" s="20" t="str">
        <f>IF(AG1619="","",IF($F1619="Bernardino Furlan",_xlfn.XLOOKUP(AG1619,Cadastros!$G$6:$G$90,Cadastros!$H$6:$H$90)*(1-0.18),IF($F1619="Mauro José Salanti",_xlfn.XLOOKUP(AG1619,Cadastros!$G$6:$G$90,Cadastros!$H$6:$H$90)*(1-0.18),_xlfn.XLOOKUP(AG1619,Cadastros!$G$6:$G$90,Cadastros!$H$6:$H$90))))</f>
        <v/>
      </c>
      <c r="AJ1619" s="168" t="str">
        <f t="shared" si="332"/>
        <v/>
      </c>
      <c r="AK1619" s="168" t="str">
        <f t="shared" si="333"/>
        <v/>
      </c>
      <c r="AL1619" s="28"/>
      <c r="AM1619" s="28"/>
      <c r="AN1619" s="20" t="str">
        <f>IF(AL1619="","",IF($F1619="Bernardino Furlan",_xlfn.XLOOKUP(AL1619,Cadastros!$G$6:$G$90,Cadastros!$H$6:$H$90)*(1-0.18),IF($F1619="Mauro José Salanti",_xlfn.XLOOKUP(AL1619,Cadastros!$G$6:$G$90,Cadastros!$H$6:$H$90)*(1-0.18),_xlfn.XLOOKUP(AL1619,Cadastros!$G$6:$G$90,Cadastros!$H$6:$H$90))))</f>
        <v/>
      </c>
      <c r="AO1619" s="168" t="str">
        <f t="shared" si="334"/>
        <v/>
      </c>
      <c r="AP1619" s="168" t="str">
        <f t="shared" si="335"/>
        <v/>
      </c>
      <c r="AQ1619" s="28"/>
      <c r="AR1619" s="28"/>
      <c r="AS1619" s="20" t="str">
        <f>IF(AQ1619="","",IF($F1619="Bernardino Furlan",_xlfn.XLOOKUP(AQ1619,Cadastros!$G$6:$G$90,Cadastros!$H$6:$H$90)*(1-0.18),IF($F1619="Mauro José Salanti",_xlfn.XLOOKUP(AQ1619,Cadastros!$G$6:$G$90,Cadastros!$H$6:$H$90)*(1-0.18),_xlfn.XLOOKUP(AQ1619,Cadastros!$G$6:$G$90,Cadastros!$H$6:$H$90))))</f>
        <v/>
      </c>
      <c r="AT1619" s="168" t="str">
        <f t="shared" si="336"/>
        <v/>
      </c>
      <c r="AU1619" s="168" t="str">
        <f t="shared" si="337"/>
        <v/>
      </c>
      <c r="AV1619" s="227"/>
      <c r="AW1619" s="30"/>
      <c r="AX1619" s="267"/>
      <c r="AY1619" s="267"/>
      <c r="AZ1619" s="29"/>
      <c r="BA1619" s="30"/>
      <c r="BB1619" s="23" t="str" cm="1">
        <f t="array" ref="BB1619">_xlfn.IFS(AW1619="SIM",SUM(K1619,P1619,U1619,Z1619,AE1619,AJ1619,AO1619,AT1619,AX1619,AY1619),F1619&lt;&gt;"",SUM(K1619,P1619,U1619,Z1619,AE1619,AJ1619,,AO1619,AT1619),F1619="","")</f>
        <v/>
      </c>
      <c r="BC1619" s="211" t="str" cm="1">
        <f t="array" ref="BC1619">_xlfn.IFS(E1619="","",G1619&lt;=E1619,BB1619*(1-0.03),G1619&lt;(E1619+8),BB1619,AZ1619="Boleto",BB1619*(1+0.001)^DATEDIF(E1619,G1619,"D"),AZ1619="Cheque",BB1619,AZ1619="Dinheiro","Alterar forma pgto")</f>
        <v/>
      </c>
      <c r="BD1619" s="276" t="str" cm="1">
        <f t="array" ref="BD1619">IF(F1619=0," ",IF(BC1619&lt;BB1619,(_xlfn.IFS(AW1619="SIM",SUM(L1619,Q1619,V1619,AA1619,AF1619,AK1619,AP1619,AU1619)+AX1619/_xlfn.XLOOKUP(_xlfn.XLOOKUP($F1619,Clientes!$B$4:$B$39,Clientes!$C$4:$C$39),Cadastros!$L$6:$L$12,Cadastros!$M$6:$M$12)+IF($F1619="Bernardino Furlan",AY1619/2751.92,IF($F1619="Mauro José Salanti",AY1619/2751.92,AY1619/3356)),F1619&lt;&gt;0,SUM(L1619,Q1619,V1619,AA1619,AF1619,AK1619,AP1619,AU1619)))*(1-0.03),_xlfn.IFS(AW1619="SIM",SUM(L1619,Q1619,V1619,AA1619,AF1619,AK1619,AP1619,AU1619)+AX1619/_xlfn.XLOOKUP(_xlfn.XLOOKUP($F1619,Clientes!$B$4:$B$39,Clientes!$C$4:$C$39),Cadastros!$L$6:$L$12,Cadastros!$M$6:$M$12)+IF($F1619="Bernardino Furlan",AY1619/2751.92,IF($F1619="Mauro José Salanti",AY1619/2751.92,AY1619/3356)),F1619&lt;&gt;0,SUM(L1619,Q1619,V1619,AA1619,AF1619,AK1619,AP1619,AU1619))))</f>
        <v xml:space="preserve"> </v>
      </c>
      <c r="BE1619" s="120"/>
      <c r="BF1619" s="120"/>
      <c r="BG1619" s="120"/>
    </row>
    <row r="1620" spans="1:59" s="3" customFormat="1" x14ac:dyDescent="0.3">
      <c r="A1620" s="15" t="str">
        <f t="shared" si="325"/>
        <v/>
      </c>
      <c r="B1620" s="25"/>
      <c r="C1620" s="26"/>
      <c r="D1620" s="279"/>
      <c r="E1620" s="27"/>
      <c r="F1620" s="28"/>
      <c r="G1620" s="27"/>
      <c r="H1620" s="28"/>
      <c r="I1620" s="28"/>
      <c r="J1620" s="255" t="str">
        <f>IF(H1620="","",(_xlfn.XLOOKUP(H1620,Cadastros!$D$6:$D$90,Cadastros!$E$6:$E$90))*(1-_xlfn.XLOOKUP(_xlfn.XLOOKUP($F1620,Clientes!$B$4:$B$39,Clientes!$C$4:$C$39),Cadastros!$L$6:$L$12,Cadastros!$N$6:$N$12)))</f>
        <v/>
      </c>
      <c r="K1620" s="168" t="str">
        <f t="shared" si="326"/>
        <v/>
      </c>
      <c r="L1620" s="168" t="str">
        <f>IFERROR(K1620/_xlfn.XLOOKUP(_xlfn.XLOOKUP($F1620,Clientes!$B$4:$B$39,Clientes!$C$4:$C$39),Cadastros!$L$6:$L$12,Cadastros!$M$6:$M$12)," ")</f>
        <v xml:space="preserve"> </v>
      </c>
      <c r="M1620" s="28"/>
      <c r="N1620" s="28"/>
      <c r="O1620" s="255" t="str">
        <f>IF(M1620="","",(_xlfn.XLOOKUP(M1620,Cadastros!$D$6:$D$90,Cadastros!$E$6:$E$90))*(1-_xlfn.XLOOKUP(_xlfn.XLOOKUP($F1620,Clientes!$B$4:$B$39,Clientes!$C$4:$C$39),Cadastros!$L$6:$L$12,Cadastros!$N$6:$N$12)))</f>
        <v/>
      </c>
      <c r="P1620" s="168" t="str">
        <f t="shared" si="327"/>
        <v/>
      </c>
      <c r="Q1620" s="168" t="str">
        <f>IFERROR(P1620/_xlfn.XLOOKUP(_xlfn.XLOOKUP($F1620,Clientes!$B$4:$B$39,Clientes!$C$4:$C$39),Cadastros!$L$6:$L$12,Cadastros!$M$6:$M$12)," ")</f>
        <v xml:space="preserve"> </v>
      </c>
      <c r="R1620" s="28"/>
      <c r="S1620" s="28"/>
      <c r="T1620" s="255" t="str">
        <f>IF(R1620="","",(_xlfn.XLOOKUP(R1620,Cadastros!$D$6:$D$90,Cadastros!$E$6:$E$90))*(1-_xlfn.XLOOKUP(_xlfn.XLOOKUP($F1620,Clientes!$B$4:$B$39,Clientes!$C$4:$C$39),Cadastros!$L$6:$L$12,Cadastros!$N$6:$N$12)))</f>
        <v/>
      </c>
      <c r="U1620" s="168" t="str">
        <f t="shared" si="328"/>
        <v/>
      </c>
      <c r="V1620" s="168" t="str">
        <f>IFERROR(U1620/_xlfn.XLOOKUP(_xlfn.XLOOKUP($F1620,Clientes!$B$4:$B$39,Clientes!$C$4:$C$39),Cadastros!$L$6:$L$12,Cadastros!$M$6:$M$12)," ")</f>
        <v xml:space="preserve"> </v>
      </c>
      <c r="W1620" s="28"/>
      <c r="X1620" s="28"/>
      <c r="Y1620" s="255" t="str">
        <f>IF(W1620="","",(_xlfn.XLOOKUP(W1620,Cadastros!$D$6:$D$90,Cadastros!$E$6:$E$90))*(1-_xlfn.XLOOKUP(_xlfn.XLOOKUP($F1620,Clientes!$B$4:$B$39,Clientes!$C$4:$C$39),Cadastros!$L$6:$L$12,Cadastros!$N$6:$N$12)))</f>
        <v/>
      </c>
      <c r="Z1620" s="168" t="str">
        <f t="shared" si="329"/>
        <v/>
      </c>
      <c r="AA1620" s="168" t="str">
        <f>IFERROR(Z1620/_xlfn.XLOOKUP(_xlfn.XLOOKUP($F1620,Clientes!$B$4:$B$39,Clientes!$C$4:$C$39),Cadastros!$L$6:$L$12,Cadastros!$M$6:$M$12)," ")</f>
        <v xml:space="preserve"> </v>
      </c>
      <c r="AB1620" s="28"/>
      <c r="AC1620" s="28"/>
      <c r="AD1620" s="20" t="str">
        <f>IF(AB1620="","",IF($F1620="Bernardino Furlan",_xlfn.XLOOKUP(AB1620,Cadastros!$G$6:$G$90,Cadastros!$H$6:$H$90)*(1-0.18),IF($F1620="Mauro José Salanti",_xlfn.XLOOKUP(AB1620,Cadastros!$G$6:$G$90,Cadastros!$H$6:$H$90)*(1-0.18),_xlfn.XLOOKUP(AB1620,Cadastros!$G$6:$G$90,Cadastros!$H$6:$H$90))))</f>
        <v/>
      </c>
      <c r="AE1620" s="168" t="str">
        <f t="shared" si="330"/>
        <v/>
      </c>
      <c r="AF1620" s="168" t="str">
        <f t="shared" si="331"/>
        <v/>
      </c>
      <c r="AG1620" s="28"/>
      <c r="AH1620" s="28"/>
      <c r="AI1620" s="20" t="str">
        <f>IF(AG1620="","",IF($F1620="Bernardino Furlan",_xlfn.XLOOKUP(AG1620,Cadastros!$G$6:$G$90,Cadastros!$H$6:$H$90)*(1-0.18),IF($F1620="Mauro José Salanti",_xlfn.XLOOKUP(AG1620,Cadastros!$G$6:$G$90,Cadastros!$H$6:$H$90)*(1-0.18),_xlfn.XLOOKUP(AG1620,Cadastros!$G$6:$G$90,Cadastros!$H$6:$H$90))))</f>
        <v/>
      </c>
      <c r="AJ1620" s="168" t="str">
        <f t="shared" si="332"/>
        <v/>
      </c>
      <c r="AK1620" s="168" t="str">
        <f t="shared" si="333"/>
        <v/>
      </c>
      <c r="AL1620" s="28"/>
      <c r="AM1620" s="28"/>
      <c r="AN1620" s="20" t="str">
        <f>IF(AL1620="","",IF($F1620="Bernardino Furlan",_xlfn.XLOOKUP(AL1620,Cadastros!$G$6:$G$90,Cadastros!$H$6:$H$90)*(1-0.18),IF($F1620="Mauro José Salanti",_xlfn.XLOOKUP(AL1620,Cadastros!$G$6:$G$90,Cadastros!$H$6:$H$90)*(1-0.18),_xlfn.XLOOKUP(AL1620,Cadastros!$G$6:$G$90,Cadastros!$H$6:$H$90))))</f>
        <v/>
      </c>
      <c r="AO1620" s="168" t="str">
        <f t="shared" si="334"/>
        <v/>
      </c>
      <c r="AP1620" s="168" t="str">
        <f t="shared" si="335"/>
        <v/>
      </c>
      <c r="AQ1620" s="28"/>
      <c r="AR1620" s="28"/>
      <c r="AS1620" s="20" t="str">
        <f>IF(AQ1620="","",IF($F1620="Bernardino Furlan",_xlfn.XLOOKUP(AQ1620,Cadastros!$G$6:$G$90,Cadastros!$H$6:$H$90)*(1-0.18),IF($F1620="Mauro José Salanti",_xlfn.XLOOKUP(AQ1620,Cadastros!$G$6:$G$90,Cadastros!$H$6:$H$90)*(1-0.18),_xlfn.XLOOKUP(AQ1620,Cadastros!$G$6:$G$90,Cadastros!$H$6:$H$90))))</f>
        <v/>
      </c>
      <c r="AT1620" s="168" t="str">
        <f t="shared" si="336"/>
        <v/>
      </c>
      <c r="AU1620" s="168" t="str">
        <f t="shared" si="337"/>
        <v/>
      </c>
      <c r="AV1620" s="227"/>
      <c r="AW1620" s="30"/>
      <c r="AX1620" s="267"/>
      <c r="AY1620" s="267"/>
      <c r="AZ1620" s="29"/>
      <c r="BA1620" s="30"/>
      <c r="BB1620" s="23" t="str" cm="1">
        <f t="array" ref="BB1620">_xlfn.IFS(AW1620="SIM",SUM(K1620,P1620,U1620,Z1620,AE1620,AJ1620,AO1620,AT1620,AX1620,AY1620),F1620&lt;&gt;"",SUM(K1620,P1620,U1620,Z1620,AE1620,AJ1620,,AO1620,AT1620),F1620="","")</f>
        <v/>
      </c>
      <c r="BC1620" s="211" t="str" cm="1">
        <f t="array" ref="BC1620">_xlfn.IFS(E1620="","",G1620&lt;=E1620,BB1620*(1-0.03),G1620&lt;(E1620+8),BB1620,AZ1620="Boleto",BB1620*(1+0.001)^DATEDIF(E1620,G1620,"D"),AZ1620="Cheque",BB1620,AZ1620="Dinheiro","Alterar forma pgto")</f>
        <v/>
      </c>
      <c r="BD1620" s="276" t="str" cm="1">
        <f t="array" ref="BD1620">IF(F1620=0," ",IF(BC1620&lt;BB1620,(_xlfn.IFS(AW1620="SIM",SUM(L1620,Q1620,V1620,AA1620,AF1620,AK1620,AP1620,AU1620)+AX1620/_xlfn.XLOOKUP(_xlfn.XLOOKUP($F1620,Clientes!$B$4:$B$39,Clientes!$C$4:$C$39),Cadastros!$L$6:$L$12,Cadastros!$M$6:$M$12)+IF($F1620="Bernardino Furlan",AY1620/2751.92,IF($F1620="Mauro José Salanti",AY1620/2751.92,AY1620/3356)),F1620&lt;&gt;0,SUM(L1620,Q1620,V1620,AA1620,AF1620,AK1620,AP1620,AU1620)))*(1-0.03),_xlfn.IFS(AW1620="SIM",SUM(L1620,Q1620,V1620,AA1620,AF1620,AK1620,AP1620,AU1620)+AX1620/_xlfn.XLOOKUP(_xlfn.XLOOKUP($F1620,Clientes!$B$4:$B$39,Clientes!$C$4:$C$39),Cadastros!$L$6:$L$12,Cadastros!$M$6:$M$12)+IF($F1620="Bernardino Furlan",AY1620/2751.92,IF($F1620="Mauro José Salanti",AY1620/2751.92,AY1620/3356)),F1620&lt;&gt;0,SUM(L1620,Q1620,V1620,AA1620,AF1620,AK1620,AP1620,AU1620))))</f>
        <v xml:space="preserve"> </v>
      </c>
      <c r="BE1620" s="120"/>
      <c r="BF1620" s="120"/>
      <c r="BG1620" s="120"/>
    </row>
    <row r="1621" spans="1:59" s="3" customFormat="1" x14ac:dyDescent="0.3">
      <c r="A1621" s="15" t="str">
        <f t="shared" si="325"/>
        <v/>
      </c>
      <c r="B1621" s="25"/>
      <c r="C1621" s="26"/>
      <c r="D1621" s="279"/>
      <c r="E1621" s="27"/>
      <c r="F1621" s="28"/>
      <c r="G1621" s="27"/>
      <c r="H1621" s="28"/>
      <c r="I1621" s="28"/>
      <c r="J1621" s="255" t="str">
        <f>IF(H1621="","",(_xlfn.XLOOKUP(H1621,Cadastros!$D$6:$D$90,Cadastros!$E$6:$E$90))*(1-_xlfn.XLOOKUP(_xlfn.XLOOKUP($F1621,Clientes!$B$4:$B$39,Clientes!$C$4:$C$39),Cadastros!$L$6:$L$12,Cadastros!$N$6:$N$12)))</f>
        <v/>
      </c>
      <c r="K1621" s="168" t="str">
        <f t="shared" si="326"/>
        <v/>
      </c>
      <c r="L1621" s="168" t="str">
        <f>IFERROR(K1621/_xlfn.XLOOKUP(_xlfn.XLOOKUP($F1621,Clientes!$B$4:$B$39,Clientes!$C$4:$C$39),Cadastros!$L$6:$L$12,Cadastros!$M$6:$M$12)," ")</f>
        <v xml:space="preserve"> </v>
      </c>
      <c r="M1621" s="28"/>
      <c r="N1621" s="28"/>
      <c r="O1621" s="255" t="str">
        <f>IF(M1621="","",(_xlfn.XLOOKUP(M1621,Cadastros!$D$6:$D$90,Cadastros!$E$6:$E$90))*(1-_xlfn.XLOOKUP(_xlfn.XLOOKUP($F1621,Clientes!$B$4:$B$39,Clientes!$C$4:$C$39),Cadastros!$L$6:$L$12,Cadastros!$N$6:$N$12)))</f>
        <v/>
      </c>
      <c r="P1621" s="168" t="str">
        <f t="shared" si="327"/>
        <v/>
      </c>
      <c r="Q1621" s="168" t="str">
        <f>IFERROR(P1621/_xlfn.XLOOKUP(_xlfn.XLOOKUP($F1621,Clientes!$B$4:$B$39,Clientes!$C$4:$C$39),Cadastros!$L$6:$L$12,Cadastros!$M$6:$M$12)," ")</f>
        <v xml:space="preserve"> </v>
      </c>
      <c r="R1621" s="28"/>
      <c r="S1621" s="28"/>
      <c r="T1621" s="255" t="str">
        <f>IF(R1621="","",(_xlfn.XLOOKUP(R1621,Cadastros!$D$6:$D$90,Cadastros!$E$6:$E$90))*(1-_xlfn.XLOOKUP(_xlfn.XLOOKUP($F1621,Clientes!$B$4:$B$39,Clientes!$C$4:$C$39),Cadastros!$L$6:$L$12,Cadastros!$N$6:$N$12)))</f>
        <v/>
      </c>
      <c r="U1621" s="168" t="str">
        <f t="shared" si="328"/>
        <v/>
      </c>
      <c r="V1621" s="168" t="str">
        <f>IFERROR(U1621/_xlfn.XLOOKUP(_xlfn.XLOOKUP($F1621,Clientes!$B$4:$B$39,Clientes!$C$4:$C$39),Cadastros!$L$6:$L$12,Cadastros!$M$6:$M$12)," ")</f>
        <v xml:space="preserve"> </v>
      </c>
      <c r="W1621" s="28"/>
      <c r="X1621" s="28"/>
      <c r="Y1621" s="255" t="str">
        <f>IF(W1621="","",(_xlfn.XLOOKUP(W1621,Cadastros!$D$6:$D$90,Cadastros!$E$6:$E$90))*(1-_xlfn.XLOOKUP(_xlfn.XLOOKUP($F1621,Clientes!$B$4:$B$39,Clientes!$C$4:$C$39),Cadastros!$L$6:$L$12,Cadastros!$N$6:$N$12)))</f>
        <v/>
      </c>
      <c r="Z1621" s="168" t="str">
        <f t="shared" si="329"/>
        <v/>
      </c>
      <c r="AA1621" s="168" t="str">
        <f>IFERROR(Z1621/_xlfn.XLOOKUP(_xlfn.XLOOKUP($F1621,Clientes!$B$4:$B$39,Clientes!$C$4:$C$39),Cadastros!$L$6:$L$12,Cadastros!$M$6:$M$12)," ")</f>
        <v xml:space="preserve"> </v>
      </c>
      <c r="AB1621" s="28"/>
      <c r="AC1621" s="28"/>
      <c r="AD1621" s="20" t="str">
        <f>IF(AB1621="","",IF($F1621="Bernardino Furlan",_xlfn.XLOOKUP(AB1621,Cadastros!$G$6:$G$90,Cadastros!$H$6:$H$90)*(1-0.18),IF($F1621="Mauro José Salanti",_xlfn.XLOOKUP(AB1621,Cadastros!$G$6:$G$90,Cadastros!$H$6:$H$90)*(1-0.18),_xlfn.XLOOKUP(AB1621,Cadastros!$G$6:$G$90,Cadastros!$H$6:$H$90))))</f>
        <v/>
      </c>
      <c r="AE1621" s="168" t="str">
        <f t="shared" si="330"/>
        <v/>
      </c>
      <c r="AF1621" s="168" t="str">
        <f t="shared" si="331"/>
        <v/>
      </c>
      <c r="AG1621" s="28"/>
      <c r="AH1621" s="28"/>
      <c r="AI1621" s="20" t="str">
        <f>IF(AG1621="","",IF($F1621="Bernardino Furlan",_xlfn.XLOOKUP(AG1621,Cadastros!$G$6:$G$90,Cadastros!$H$6:$H$90)*(1-0.18),IF($F1621="Mauro José Salanti",_xlfn.XLOOKUP(AG1621,Cadastros!$G$6:$G$90,Cadastros!$H$6:$H$90)*(1-0.18),_xlfn.XLOOKUP(AG1621,Cadastros!$G$6:$G$90,Cadastros!$H$6:$H$90))))</f>
        <v/>
      </c>
      <c r="AJ1621" s="168" t="str">
        <f t="shared" si="332"/>
        <v/>
      </c>
      <c r="AK1621" s="168" t="str">
        <f t="shared" si="333"/>
        <v/>
      </c>
      <c r="AL1621" s="28"/>
      <c r="AM1621" s="28"/>
      <c r="AN1621" s="20" t="str">
        <f>IF(AL1621="","",IF($F1621="Bernardino Furlan",_xlfn.XLOOKUP(AL1621,Cadastros!$G$6:$G$90,Cadastros!$H$6:$H$90)*(1-0.18),IF($F1621="Mauro José Salanti",_xlfn.XLOOKUP(AL1621,Cadastros!$G$6:$G$90,Cadastros!$H$6:$H$90)*(1-0.18),_xlfn.XLOOKUP(AL1621,Cadastros!$G$6:$G$90,Cadastros!$H$6:$H$90))))</f>
        <v/>
      </c>
      <c r="AO1621" s="168" t="str">
        <f t="shared" si="334"/>
        <v/>
      </c>
      <c r="AP1621" s="168" t="str">
        <f t="shared" si="335"/>
        <v/>
      </c>
      <c r="AQ1621" s="28"/>
      <c r="AR1621" s="28"/>
      <c r="AS1621" s="20" t="str">
        <f>IF(AQ1621="","",IF($F1621="Bernardino Furlan",_xlfn.XLOOKUP(AQ1621,Cadastros!$G$6:$G$90,Cadastros!$H$6:$H$90)*(1-0.18),IF($F1621="Mauro José Salanti",_xlfn.XLOOKUP(AQ1621,Cadastros!$G$6:$G$90,Cadastros!$H$6:$H$90)*(1-0.18),_xlfn.XLOOKUP(AQ1621,Cadastros!$G$6:$G$90,Cadastros!$H$6:$H$90))))</f>
        <v/>
      </c>
      <c r="AT1621" s="168" t="str">
        <f t="shared" si="336"/>
        <v/>
      </c>
      <c r="AU1621" s="168" t="str">
        <f t="shared" si="337"/>
        <v/>
      </c>
      <c r="AV1621" s="227"/>
      <c r="AW1621" s="30"/>
      <c r="AX1621" s="267"/>
      <c r="AY1621" s="267"/>
      <c r="AZ1621" s="29"/>
      <c r="BA1621" s="30"/>
      <c r="BB1621" s="23" t="str" cm="1">
        <f t="array" ref="BB1621">_xlfn.IFS(AW1621="SIM",SUM(K1621,P1621,U1621,Z1621,AE1621,AJ1621,AO1621,AT1621,AX1621,AY1621),F1621&lt;&gt;"",SUM(K1621,P1621,U1621,Z1621,AE1621,AJ1621,,AO1621,AT1621),F1621="","")</f>
        <v/>
      </c>
      <c r="BC1621" s="211" t="str" cm="1">
        <f t="array" ref="BC1621">_xlfn.IFS(E1621="","",G1621&lt;=E1621,BB1621*(1-0.03),G1621&lt;(E1621+8),BB1621,AZ1621="Boleto",BB1621*(1+0.001)^DATEDIF(E1621,G1621,"D"),AZ1621="Cheque",BB1621,AZ1621="Dinheiro","Alterar forma pgto")</f>
        <v/>
      </c>
      <c r="BD1621" s="276" t="str" cm="1">
        <f t="array" ref="BD1621">IF(F1621=0," ",IF(BC1621&lt;BB1621,(_xlfn.IFS(AW1621="SIM",SUM(L1621,Q1621,V1621,AA1621,AF1621,AK1621,AP1621,AU1621)+AX1621/_xlfn.XLOOKUP(_xlfn.XLOOKUP($F1621,Clientes!$B$4:$B$39,Clientes!$C$4:$C$39),Cadastros!$L$6:$L$12,Cadastros!$M$6:$M$12)+IF($F1621="Bernardino Furlan",AY1621/2751.92,IF($F1621="Mauro José Salanti",AY1621/2751.92,AY1621/3356)),F1621&lt;&gt;0,SUM(L1621,Q1621,V1621,AA1621,AF1621,AK1621,AP1621,AU1621)))*(1-0.03),_xlfn.IFS(AW1621="SIM",SUM(L1621,Q1621,V1621,AA1621,AF1621,AK1621,AP1621,AU1621)+AX1621/_xlfn.XLOOKUP(_xlfn.XLOOKUP($F1621,Clientes!$B$4:$B$39,Clientes!$C$4:$C$39),Cadastros!$L$6:$L$12,Cadastros!$M$6:$M$12)+IF($F1621="Bernardino Furlan",AY1621/2751.92,IF($F1621="Mauro José Salanti",AY1621/2751.92,AY1621/3356)),F1621&lt;&gt;0,SUM(L1621,Q1621,V1621,AA1621,AF1621,AK1621,AP1621,AU1621))))</f>
        <v xml:space="preserve"> </v>
      </c>
      <c r="BE1621" s="120"/>
      <c r="BF1621" s="120"/>
      <c r="BG1621" s="120"/>
    </row>
    <row r="1622" spans="1:59" s="3" customFormat="1" x14ac:dyDescent="0.3">
      <c r="A1622" s="15" t="str">
        <f t="shared" si="325"/>
        <v/>
      </c>
      <c r="B1622" s="25"/>
      <c r="C1622" s="26"/>
      <c r="D1622" s="279"/>
      <c r="E1622" s="27"/>
      <c r="F1622" s="28"/>
      <c r="G1622" s="27"/>
      <c r="H1622" s="28"/>
      <c r="I1622" s="28"/>
      <c r="J1622" s="255" t="str">
        <f>IF(H1622="","",(_xlfn.XLOOKUP(H1622,Cadastros!$D$6:$D$90,Cadastros!$E$6:$E$90))*(1-_xlfn.XLOOKUP(_xlfn.XLOOKUP($F1622,Clientes!$B$4:$B$39,Clientes!$C$4:$C$39),Cadastros!$L$6:$L$12,Cadastros!$N$6:$N$12)))</f>
        <v/>
      </c>
      <c r="K1622" s="168" t="str">
        <f t="shared" si="326"/>
        <v/>
      </c>
      <c r="L1622" s="168" t="str">
        <f>IFERROR(K1622/_xlfn.XLOOKUP(_xlfn.XLOOKUP($F1622,Clientes!$B$4:$B$39,Clientes!$C$4:$C$39),Cadastros!$L$6:$L$12,Cadastros!$M$6:$M$12)," ")</f>
        <v xml:space="preserve"> </v>
      </c>
      <c r="M1622" s="28"/>
      <c r="N1622" s="28"/>
      <c r="O1622" s="255" t="str">
        <f>IF(M1622="","",(_xlfn.XLOOKUP(M1622,Cadastros!$D$6:$D$90,Cadastros!$E$6:$E$90))*(1-_xlfn.XLOOKUP(_xlfn.XLOOKUP($F1622,Clientes!$B$4:$B$39,Clientes!$C$4:$C$39),Cadastros!$L$6:$L$12,Cadastros!$N$6:$N$12)))</f>
        <v/>
      </c>
      <c r="P1622" s="168" t="str">
        <f t="shared" si="327"/>
        <v/>
      </c>
      <c r="Q1622" s="168" t="str">
        <f>IFERROR(P1622/_xlfn.XLOOKUP(_xlfn.XLOOKUP($F1622,Clientes!$B$4:$B$39,Clientes!$C$4:$C$39),Cadastros!$L$6:$L$12,Cadastros!$M$6:$M$12)," ")</f>
        <v xml:space="preserve"> </v>
      </c>
      <c r="R1622" s="28"/>
      <c r="S1622" s="28"/>
      <c r="T1622" s="255" t="str">
        <f>IF(R1622="","",(_xlfn.XLOOKUP(R1622,Cadastros!$D$6:$D$90,Cadastros!$E$6:$E$90))*(1-_xlfn.XLOOKUP(_xlfn.XLOOKUP($F1622,Clientes!$B$4:$B$39,Clientes!$C$4:$C$39),Cadastros!$L$6:$L$12,Cadastros!$N$6:$N$12)))</f>
        <v/>
      </c>
      <c r="U1622" s="168" t="str">
        <f t="shared" si="328"/>
        <v/>
      </c>
      <c r="V1622" s="168" t="str">
        <f>IFERROR(U1622/_xlfn.XLOOKUP(_xlfn.XLOOKUP($F1622,Clientes!$B$4:$B$39,Clientes!$C$4:$C$39),Cadastros!$L$6:$L$12,Cadastros!$M$6:$M$12)," ")</f>
        <v xml:space="preserve"> </v>
      </c>
      <c r="W1622" s="28"/>
      <c r="X1622" s="28"/>
      <c r="Y1622" s="255" t="str">
        <f>IF(W1622="","",(_xlfn.XLOOKUP(W1622,Cadastros!$D$6:$D$90,Cadastros!$E$6:$E$90))*(1-_xlfn.XLOOKUP(_xlfn.XLOOKUP($F1622,Clientes!$B$4:$B$39,Clientes!$C$4:$C$39),Cadastros!$L$6:$L$12,Cadastros!$N$6:$N$12)))</f>
        <v/>
      </c>
      <c r="Z1622" s="168" t="str">
        <f t="shared" si="329"/>
        <v/>
      </c>
      <c r="AA1622" s="168" t="str">
        <f>IFERROR(Z1622/_xlfn.XLOOKUP(_xlfn.XLOOKUP($F1622,Clientes!$B$4:$B$39,Clientes!$C$4:$C$39),Cadastros!$L$6:$L$12,Cadastros!$M$6:$M$12)," ")</f>
        <v xml:space="preserve"> </v>
      </c>
      <c r="AB1622" s="28"/>
      <c r="AC1622" s="28"/>
      <c r="AD1622" s="20" t="str">
        <f>IF(AB1622="","",IF($F1622="Bernardino Furlan",_xlfn.XLOOKUP(AB1622,Cadastros!$G$6:$G$90,Cadastros!$H$6:$H$90)*(1-0.18),IF($F1622="Mauro José Salanti",_xlfn.XLOOKUP(AB1622,Cadastros!$G$6:$G$90,Cadastros!$H$6:$H$90)*(1-0.18),_xlfn.XLOOKUP(AB1622,Cadastros!$G$6:$G$90,Cadastros!$H$6:$H$90))))</f>
        <v/>
      </c>
      <c r="AE1622" s="168" t="str">
        <f t="shared" si="330"/>
        <v/>
      </c>
      <c r="AF1622" s="168" t="str">
        <f t="shared" si="331"/>
        <v/>
      </c>
      <c r="AG1622" s="28"/>
      <c r="AH1622" s="28"/>
      <c r="AI1622" s="20" t="str">
        <f>IF(AG1622="","",IF($F1622="Bernardino Furlan",_xlfn.XLOOKUP(AG1622,Cadastros!$G$6:$G$90,Cadastros!$H$6:$H$90)*(1-0.18),IF($F1622="Mauro José Salanti",_xlfn.XLOOKUP(AG1622,Cadastros!$G$6:$G$90,Cadastros!$H$6:$H$90)*(1-0.18),_xlfn.XLOOKUP(AG1622,Cadastros!$G$6:$G$90,Cadastros!$H$6:$H$90))))</f>
        <v/>
      </c>
      <c r="AJ1622" s="168" t="str">
        <f t="shared" si="332"/>
        <v/>
      </c>
      <c r="AK1622" s="168" t="str">
        <f t="shared" si="333"/>
        <v/>
      </c>
      <c r="AL1622" s="28"/>
      <c r="AM1622" s="28"/>
      <c r="AN1622" s="20" t="str">
        <f>IF(AL1622="","",IF($F1622="Bernardino Furlan",_xlfn.XLOOKUP(AL1622,Cadastros!$G$6:$G$90,Cadastros!$H$6:$H$90)*(1-0.18),IF($F1622="Mauro José Salanti",_xlfn.XLOOKUP(AL1622,Cadastros!$G$6:$G$90,Cadastros!$H$6:$H$90)*(1-0.18),_xlfn.XLOOKUP(AL1622,Cadastros!$G$6:$G$90,Cadastros!$H$6:$H$90))))</f>
        <v/>
      </c>
      <c r="AO1622" s="168" t="str">
        <f t="shared" si="334"/>
        <v/>
      </c>
      <c r="AP1622" s="168" t="str">
        <f t="shared" si="335"/>
        <v/>
      </c>
      <c r="AQ1622" s="28"/>
      <c r="AR1622" s="28"/>
      <c r="AS1622" s="20" t="str">
        <f>IF(AQ1622="","",IF($F1622="Bernardino Furlan",_xlfn.XLOOKUP(AQ1622,Cadastros!$G$6:$G$90,Cadastros!$H$6:$H$90)*(1-0.18),IF($F1622="Mauro José Salanti",_xlfn.XLOOKUP(AQ1622,Cadastros!$G$6:$G$90,Cadastros!$H$6:$H$90)*(1-0.18),_xlfn.XLOOKUP(AQ1622,Cadastros!$G$6:$G$90,Cadastros!$H$6:$H$90))))</f>
        <v/>
      </c>
      <c r="AT1622" s="168" t="str">
        <f t="shared" si="336"/>
        <v/>
      </c>
      <c r="AU1622" s="168" t="str">
        <f t="shared" si="337"/>
        <v/>
      </c>
      <c r="AV1622" s="227"/>
      <c r="AW1622" s="30"/>
      <c r="AX1622" s="267"/>
      <c r="AY1622" s="267"/>
      <c r="AZ1622" s="29"/>
      <c r="BA1622" s="30"/>
      <c r="BB1622" s="23" t="str" cm="1">
        <f t="array" ref="BB1622">_xlfn.IFS(AW1622="SIM",SUM(K1622,P1622,U1622,Z1622,AE1622,AJ1622,AO1622,AT1622,AX1622,AY1622),F1622&lt;&gt;"",SUM(K1622,P1622,U1622,Z1622,AE1622,AJ1622,,AO1622,AT1622),F1622="","")</f>
        <v/>
      </c>
      <c r="BC1622" s="211" t="str" cm="1">
        <f t="array" ref="BC1622">_xlfn.IFS(E1622="","",G1622&lt;=E1622,BB1622*(1-0.03),G1622&lt;(E1622+8),BB1622,AZ1622="Boleto",BB1622*(1+0.001)^DATEDIF(E1622,G1622,"D"),AZ1622="Cheque",BB1622,AZ1622="Dinheiro","Alterar forma pgto")</f>
        <v/>
      </c>
      <c r="BD1622" s="276" t="str" cm="1">
        <f t="array" ref="BD1622">IF(F1622=0," ",IF(BC1622&lt;BB1622,(_xlfn.IFS(AW1622="SIM",SUM(L1622,Q1622,V1622,AA1622,AF1622,AK1622,AP1622,AU1622)+AX1622/_xlfn.XLOOKUP(_xlfn.XLOOKUP($F1622,Clientes!$B$4:$B$39,Clientes!$C$4:$C$39),Cadastros!$L$6:$L$12,Cadastros!$M$6:$M$12)+IF($F1622="Bernardino Furlan",AY1622/2751.92,IF($F1622="Mauro José Salanti",AY1622/2751.92,AY1622/3356)),F1622&lt;&gt;0,SUM(L1622,Q1622,V1622,AA1622,AF1622,AK1622,AP1622,AU1622)))*(1-0.03),_xlfn.IFS(AW1622="SIM",SUM(L1622,Q1622,V1622,AA1622,AF1622,AK1622,AP1622,AU1622)+AX1622/_xlfn.XLOOKUP(_xlfn.XLOOKUP($F1622,Clientes!$B$4:$B$39,Clientes!$C$4:$C$39),Cadastros!$L$6:$L$12,Cadastros!$M$6:$M$12)+IF($F1622="Bernardino Furlan",AY1622/2751.92,IF($F1622="Mauro José Salanti",AY1622/2751.92,AY1622/3356)),F1622&lt;&gt;0,SUM(L1622,Q1622,V1622,AA1622,AF1622,AK1622,AP1622,AU1622))))</f>
        <v xml:space="preserve"> </v>
      </c>
      <c r="BE1622" s="120"/>
      <c r="BF1622" s="120"/>
      <c r="BG1622" s="120"/>
    </row>
    <row r="1623" spans="1:59" s="3" customFormat="1" x14ac:dyDescent="0.3">
      <c r="A1623" s="15" t="str">
        <f t="shared" si="325"/>
        <v/>
      </c>
      <c r="B1623" s="25"/>
      <c r="C1623" s="26"/>
      <c r="D1623" s="279"/>
      <c r="E1623" s="27"/>
      <c r="F1623" s="28"/>
      <c r="G1623" s="27"/>
      <c r="H1623" s="28"/>
      <c r="I1623" s="28"/>
      <c r="J1623" s="255" t="str">
        <f>IF(H1623="","",(_xlfn.XLOOKUP(H1623,Cadastros!$D$6:$D$90,Cadastros!$E$6:$E$90))*(1-_xlfn.XLOOKUP(_xlfn.XLOOKUP($F1623,Clientes!$B$4:$B$39,Clientes!$C$4:$C$39),Cadastros!$L$6:$L$12,Cadastros!$N$6:$N$12)))</f>
        <v/>
      </c>
      <c r="K1623" s="168" t="str">
        <f t="shared" si="326"/>
        <v/>
      </c>
      <c r="L1623" s="168" t="str">
        <f>IFERROR(K1623/_xlfn.XLOOKUP(_xlfn.XLOOKUP($F1623,Clientes!$B$4:$B$39,Clientes!$C$4:$C$39),Cadastros!$L$6:$L$12,Cadastros!$M$6:$M$12)," ")</f>
        <v xml:space="preserve"> </v>
      </c>
      <c r="M1623" s="28"/>
      <c r="N1623" s="28"/>
      <c r="O1623" s="255" t="str">
        <f>IF(M1623="","",(_xlfn.XLOOKUP(M1623,Cadastros!$D$6:$D$90,Cadastros!$E$6:$E$90))*(1-_xlfn.XLOOKUP(_xlfn.XLOOKUP($F1623,Clientes!$B$4:$B$39,Clientes!$C$4:$C$39),Cadastros!$L$6:$L$12,Cadastros!$N$6:$N$12)))</f>
        <v/>
      </c>
      <c r="P1623" s="168" t="str">
        <f t="shared" si="327"/>
        <v/>
      </c>
      <c r="Q1623" s="168" t="str">
        <f>IFERROR(P1623/_xlfn.XLOOKUP(_xlfn.XLOOKUP($F1623,Clientes!$B$4:$B$39,Clientes!$C$4:$C$39),Cadastros!$L$6:$L$12,Cadastros!$M$6:$M$12)," ")</f>
        <v xml:space="preserve"> </v>
      </c>
      <c r="R1623" s="28"/>
      <c r="S1623" s="28"/>
      <c r="T1623" s="255" t="str">
        <f>IF(R1623="","",(_xlfn.XLOOKUP(R1623,Cadastros!$D$6:$D$90,Cadastros!$E$6:$E$90))*(1-_xlfn.XLOOKUP(_xlfn.XLOOKUP($F1623,Clientes!$B$4:$B$39,Clientes!$C$4:$C$39),Cadastros!$L$6:$L$12,Cadastros!$N$6:$N$12)))</f>
        <v/>
      </c>
      <c r="U1623" s="168" t="str">
        <f t="shared" si="328"/>
        <v/>
      </c>
      <c r="V1623" s="168" t="str">
        <f>IFERROR(U1623/_xlfn.XLOOKUP(_xlfn.XLOOKUP($F1623,Clientes!$B$4:$B$39,Clientes!$C$4:$C$39),Cadastros!$L$6:$L$12,Cadastros!$M$6:$M$12)," ")</f>
        <v xml:space="preserve"> </v>
      </c>
      <c r="W1623" s="28"/>
      <c r="X1623" s="28"/>
      <c r="Y1623" s="255" t="str">
        <f>IF(W1623="","",(_xlfn.XLOOKUP(W1623,Cadastros!$D$6:$D$90,Cadastros!$E$6:$E$90))*(1-_xlfn.XLOOKUP(_xlfn.XLOOKUP($F1623,Clientes!$B$4:$B$39,Clientes!$C$4:$C$39),Cadastros!$L$6:$L$12,Cadastros!$N$6:$N$12)))</f>
        <v/>
      </c>
      <c r="Z1623" s="168" t="str">
        <f t="shared" si="329"/>
        <v/>
      </c>
      <c r="AA1623" s="168" t="str">
        <f>IFERROR(Z1623/_xlfn.XLOOKUP(_xlfn.XLOOKUP($F1623,Clientes!$B$4:$B$39,Clientes!$C$4:$C$39),Cadastros!$L$6:$L$12,Cadastros!$M$6:$M$12)," ")</f>
        <v xml:space="preserve"> </v>
      </c>
      <c r="AB1623" s="28"/>
      <c r="AC1623" s="28"/>
      <c r="AD1623" s="20" t="str">
        <f>IF(AB1623="","",IF($F1623="Bernardino Furlan",_xlfn.XLOOKUP(AB1623,Cadastros!$G$6:$G$90,Cadastros!$H$6:$H$90)*(1-0.18),IF($F1623="Mauro José Salanti",_xlfn.XLOOKUP(AB1623,Cadastros!$G$6:$G$90,Cadastros!$H$6:$H$90)*(1-0.18),_xlfn.XLOOKUP(AB1623,Cadastros!$G$6:$G$90,Cadastros!$H$6:$H$90))))</f>
        <v/>
      </c>
      <c r="AE1623" s="168" t="str">
        <f t="shared" si="330"/>
        <v/>
      </c>
      <c r="AF1623" s="168" t="str">
        <f t="shared" si="331"/>
        <v/>
      </c>
      <c r="AG1623" s="28"/>
      <c r="AH1623" s="28"/>
      <c r="AI1623" s="20" t="str">
        <f>IF(AG1623="","",IF($F1623="Bernardino Furlan",_xlfn.XLOOKUP(AG1623,Cadastros!$G$6:$G$90,Cadastros!$H$6:$H$90)*(1-0.18),IF($F1623="Mauro José Salanti",_xlfn.XLOOKUP(AG1623,Cadastros!$G$6:$G$90,Cadastros!$H$6:$H$90)*(1-0.18),_xlfn.XLOOKUP(AG1623,Cadastros!$G$6:$G$90,Cadastros!$H$6:$H$90))))</f>
        <v/>
      </c>
      <c r="AJ1623" s="168" t="str">
        <f t="shared" si="332"/>
        <v/>
      </c>
      <c r="AK1623" s="168" t="str">
        <f t="shared" si="333"/>
        <v/>
      </c>
      <c r="AL1623" s="28"/>
      <c r="AM1623" s="28"/>
      <c r="AN1623" s="20" t="str">
        <f>IF(AL1623="","",IF($F1623="Bernardino Furlan",_xlfn.XLOOKUP(AL1623,Cadastros!$G$6:$G$90,Cadastros!$H$6:$H$90)*(1-0.18),IF($F1623="Mauro José Salanti",_xlfn.XLOOKUP(AL1623,Cadastros!$G$6:$G$90,Cadastros!$H$6:$H$90)*(1-0.18),_xlfn.XLOOKUP(AL1623,Cadastros!$G$6:$G$90,Cadastros!$H$6:$H$90))))</f>
        <v/>
      </c>
      <c r="AO1623" s="168" t="str">
        <f t="shared" si="334"/>
        <v/>
      </c>
      <c r="AP1623" s="168" t="str">
        <f t="shared" si="335"/>
        <v/>
      </c>
      <c r="AQ1623" s="28"/>
      <c r="AR1623" s="28"/>
      <c r="AS1623" s="20" t="str">
        <f>IF(AQ1623="","",IF($F1623="Bernardino Furlan",_xlfn.XLOOKUP(AQ1623,Cadastros!$G$6:$G$90,Cadastros!$H$6:$H$90)*(1-0.18),IF($F1623="Mauro José Salanti",_xlfn.XLOOKUP(AQ1623,Cadastros!$G$6:$G$90,Cadastros!$H$6:$H$90)*(1-0.18),_xlfn.XLOOKUP(AQ1623,Cadastros!$G$6:$G$90,Cadastros!$H$6:$H$90))))</f>
        <v/>
      </c>
      <c r="AT1623" s="168" t="str">
        <f t="shared" si="336"/>
        <v/>
      </c>
      <c r="AU1623" s="168" t="str">
        <f t="shared" si="337"/>
        <v/>
      </c>
      <c r="AV1623" s="227"/>
      <c r="AW1623" s="30"/>
      <c r="AX1623" s="267"/>
      <c r="AY1623" s="267"/>
      <c r="AZ1623" s="29"/>
      <c r="BA1623" s="30"/>
      <c r="BB1623" s="23" t="str" cm="1">
        <f t="array" ref="BB1623">_xlfn.IFS(AW1623="SIM",SUM(K1623,P1623,U1623,Z1623,AE1623,AJ1623,AO1623,AT1623,AX1623,AY1623),F1623&lt;&gt;"",SUM(K1623,P1623,U1623,Z1623,AE1623,AJ1623,,AO1623,AT1623),F1623="","")</f>
        <v/>
      </c>
      <c r="BC1623" s="211" t="str" cm="1">
        <f t="array" ref="BC1623">_xlfn.IFS(E1623="","",G1623&lt;=E1623,BB1623*(1-0.03),G1623&lt;(E1623+8),BB1623,AZ1623="Boleto",BB1623*(1+0.001)^DATEDIF(E1623,G1623,"D"),AZ1623="Cheque",BB1623,AZ1623="Dinheiro","Alterar forma pgto")</f>
        <v/>
      </c>
      <c r="BD1623" s="276" t="str" cm="1">
        <f t="array" ref="BD1623">IF(F1623=0," ",IF(BC1623&lt;BB1623,(_xlfn.IFS(AW1623="SIM",SUM(L1623,Q1623,V1623,AA1623,AF1623,AK1623,AP1623,AU1623)+AX1623/_xlfn.XLOOKUP(_xlfn.XLOOKUP($F1623,Clientes!$B$4:$B$39,Clientes!$C$4:$C$39),Cadastros!$L$6:$L$12,Cadastros!$M$6:$M$12)+IF($F1623="Bernardino Furlan",AY1623/2751.92,IF($F1623="Mauro José Salanti",AY1623/2751.92,AY1623/3356)),F1623&lt;&gt;0,SUM(L1623,Q1623,V1623,AA1623,AF1623,AK1623,AP1623,AU1623)))*(1-0.03),_xlfn.IFS(AW1623="SIM",SUM(L1623,Q1623,V1623,AA1623,AF1623,AK1623,AP1623,AU1623)+AX1623/_xlfn.XLOOKUP(_xlfn.XLOOKUP($F1623,Clientes!$B$4:$B$39,Clientes!$C$4:$C$39),Cadastros!$L$6:$L$12,Cadastros!$M$6:$M$12)+IF($F1623="Bernardino Furlan",AY1623/2751.92,IF($F1623="Mauro José Salanti",AY1623/2751.92,AY1623/3356)),F1623&lt;&gt;0,SUM(L1623,Q1623,V1623,AA1623,AF1623,AK1623,AP1623,AU1623))))</f>
        <v xml:space="preserve"> </v>
      </c>
      <c r="BE1623" s="120"/>
      <c r="BF1623" s="120"/>
      <c r="BG1623" s="120"/>
    </row>
    <row r="1624" spans="1:59" s="3" customFormat="1" x14ac:dyDescent="0.3">
      <c r="A1624" s="15" t="str">
        <f t="shared" si="325"/>
        <v/>
      </c>
      <c r="B1624" s="25"/>
      <c r="C1624" s="26"/>
      <c r="D1624" s="279"/>
      <c r="E1624" s="27"/>
      <c r="F1624" s="28"/>
      <c r="G1624" s="27"/>
      <c r="H1624" s="28"/>
      <c r="I1624" s="28"/>
      <c r="J1624" s="255" t="str">
        <f>IF(H1624="","",(_xlfn.XLOOKUP(H1624,Cadastros!$D$6:$D$90,Cadastros!$E$6:$E$90))*(1-_xlfn.XLOOKUP(_xlfn.XLOOKUP($F1624,Clientes!$B$4:$B$39,Clientes!$C$4:$C$39),Cadastros!$L$6:$L$12,Cadastros!$N$6:$N$12)))</f>
        <v/>
      </c>
      <c r="K1624" s="168" t="str">
        <f t="shared" si="326"/>
        <v/>
      </c>
      <c r="L1624" s="168" t="str">
        <f>IFERROR(K1624/_xlfn.XLOOKUP(_xlfn.XLOOKUP($F1624,Clientes!$B$4:$B$39,Clientes!$C$4:$C$39),Cadastros!$L$6:$L$12,Cadastros!$M$6:$M$12)," ")</f>
        <v xml:space="preserve"> </v>
      </c>
      <c r="M1624" s="28"/>
      <c r="N1624" s="28"/>
      <c r="O1624" s="255" t="str">
        <f>IF(M1624="","",(_xlfn.XLOOKUP(M1624,Cadastros!$D$6:$D$90,Cadastros!$E$6:$E$90))*(1-_xlfn.XLOOKUP(_xlfn.XLOOKUP($F1624,Clientes!$B$4:$B$39,Clientes!$C$4:$C$39),Cadastros!$L$6:$L$12,Cadastros!$N$6:$N$12)))</f>
        <v/>
      </c>
      <c r="P1624" s="168" t="str">
        <f t="shared" si="327"/>
        <v/>
      </c>
      <c r="Q1624" s="168" t="str">
        <f>IFERROR(P1624/_xlfn.XLOOKUP(_xlfn.XLOOKUP($F1624,Clientes!$B$4:$B$39,Clientes!$C$4:$C$39),Cadastros!$L$6:$L$12,Cadastros!$M$6:$M$12)," ")</f>
        <v xml:space="preserve"> </v>
      </c>
      <c r="R1624" s="28"/>
      <c r="S1624" s="28"/>
      <c r="T1624" s="255" t="str">
        <f>IF(R1624="","",(_xlfn.XLOOKUP(R1624,Cadastros!$D$6:$D$90,Cadastros!$E$6:$E$90))*(1-_xlfn.XLOOKUP(_xlfn.XLOOKUP($F1624,Clientes!$B$4:$B$39,Clientes!$C$4:$C$39),Cadastros!$L$6:$L$12,Cadastros!$N$6:$N$12)))</f>
        <v/>
      </c>
      <c r="U1624" s="168" t="str">
        <f t="shared" si="328"/>
        <v/>
      </c>
      <c r="V1624" s="168" t="str">
        <f>IFERROR(U1624/_xlfn.XLOOKUP(_xlfn.XLOOKUP($F1624,Clientes!$B$4:$B$39,Clientes!$C$4:$C$39),Cadastros!$L$6:$L$12,Cadastros!$M$6:$M$12)," ")</f>
        <v xml:space="preserve"> </v>
      </c>
      <c r="W1624" s="28"/>
      <c r="X1624" s="28"/>
      <c r="Y1624" s="255" t="str">
        <f>IF(W1624="","",(_xlfn.XLOOKUP(W1624,Cadastros!$D$6:$D$90,Cadastros!$E$6:$E$90))*(1-_xlfn.XLOOKUP(_xlfn.XLOOKUP($F1624,Clientes!$B$4:$B$39,Clientes!$C$4:$C$39),Cadastros!$L$6:$L$12,Cadastros!$N$6:$N$12)))</f>
        <v/>
      </c>
      <c r="Z1624" s="168" t="str">
        <f t="shared" si="329"/>
        <v/>
      </c>
      <c r="AA1624" s="168" t="str">
        <f>IFERROR(Z1624/_xlfn.XLOOKUP(_xlfn.XLOOKUP($F1624,Clientes!$B$4:$B$39,Clientes!$C$4:$C$39),Cadastros!$L$6:$L$12,Cadastros!$M$6:$M$12)," ")</f>
        <v xml:space="preserve"> </v>
      </c>
      <c r="AB1624" s="28"/>
      <c r="AC1624" s="28"/>
      <c r="AD1624" s="20" t="str">
        <f>IF(AB1624="","",IF($F1624="Bernardino Furlan",_xlfn.XLOOKUP(AB1624,Cadastros!$G$6:$G$90,Cadastros!$H$6:$H$90)*(1-0.18),IF($F1624="Mauro José Salanti",_xlfn.XLOOKUP(AB1624,Cadastros!$G$6:$G$90,Cadastros!$H$6:$H$90)*(1-0.18),_xlfn.XLOOKUP(AB1624,Cadastros!$G$6:$G$90,Cadastros!$H$6:$H$90))))</f>
        <v/>
      </c>
      <c r="AE1624" s="168" t="str">
        <f t="shared" si="330"/>
        <v/>
      </c>
      <c r="AF1624" s="168" t="str">
        <f t="shared" si="331"/>
        <v/>
      </c>
      <c r="AG1624" s="28"/>
      <c r="AH1624" s="28"/>
      <c r="AI1624" s="20" t="str">
        <f>IF(AG1624="","",IF($F1624="Bernardino Furlan",_xlfn.XLOOKUP(AG1624,Cadastros!$G$6:$G$90,Cadastros!$H$6:$H$90)*(1-0.18),IF($F1624="Mauro José Salanti",_xlfn.XLOOKUP(AG1624,Cadastros!$G$6:$G$90,Cadastros!$H$6:$H$90)*(1-0.18),_xlfn.XLOOKUP(AG1624,Cadastros!$G$6:$G$90,Cadastros!$H$6:$H$90))))</f>
        <v/>
      </c>
      <c r="AJ1624" s="168" t="str">
        <f t="shared" si="332"/>
        <v/>
      </c>
      <c r="AK1624" s="168" t="str">
        <f t="shared" si="333"/>
        <v/>
      </c>
      <c r="AL1624" s="28"/>
      <c r="AM1624" s="28"/>
      <c r="AN1624" s="20" t="str">
        <f>IF(AL1624="","",IF($F1624="Bernardino Furlan",_xlfn.XLOOKUP(AL1624,Cadastros!$G$6:$G$90,Cadastros!$H$6:$H$90)*(1-0.18),IF($F1624="Mauro José Salanti",_xlfn.XLOOKUP(AL1624,Cadastros!$G$6:$G$90,Cadastros!$H$6:$H$90)*(1-0.18),_xlfn.XLOOKUP(AL1624,Cadastros!$G$6:$G$90,Cadastros!$H$6:$H$90))))</f>
        <v/>
      </c>
      <c r="AO1624" s="168" t="str">
        <f t="shared" si="334"/>
        <v/>
      </c>
      <c r="AP1624" s="168" t="str">
        <f t="shared" si="335"/>
        <v/>
      </c>
      <c r="AQ1624" s="28"/>
      <c r="AR1624" s="28"/>
      <c r="AS1624" s="20" t="str">
        <f>IF(AQ1624="","",IF($F1624="Bernardino Furlan",_xlfn.XLOOKUP(AQ1624,Cadastros!$G$6:$G$90,Cadastros!$H$6:$H$90)*(1-0.18),IF($F1624="Mauro José Salanti",_xlfn.XLOOKUP(AQ1624,Cadastros!$G$6:$G$90,Cadastros!$H$6:$H$90)*(1-0.18),_xlfn.XLOOKUP(AQ1624,Cadastros!$G$6:$G$90,Cadastros!$H$6:$H$90))))</f>
        <v/>
      </c>
      <c r="AT1624" s="168" t="str">
        <f t="shared" si="336"/>
        <v/>
      </c>
      <c r="AU1624" s="168" t="str">
        <f t="shared" si="337"/>
        <v/>
      </c>
      <c r="AV1624" s="227"/>
      <c r="AW1624" s="30"/>
      <c r="AX1624" s="267"/>
      <c r="AY1624" s="267"/>
      <c r="AZ1624" s="29"/>
      <c r="BA1624" s="30"/>
      <c r="BB1624" s="23" t="str" cm="1">
        <f t="array" ref="BB1624">_xlfn.IFS(AW1624="SIM",SUM(K1624,P1624,U1624,Z1624,AE1624,AJ1624,AO1624,AT1624,AX1624,AY1624),F1624&lt;&gt;"",SUM(K1624,P1624,U1624,Z1624,AE1624,AJ1624,,AO1624,AT1624),F1624="","")</f>
        <v/>
      </c>
      <c r="BC1624" s="211" t="str" cm="1">
        <f t="array" ref="BC1624">_xlfn.IFS(E1624="","",G1624&lt;=E1624,BB1624*(1-0.03),G1624&lt;(E1624+8),BB1624,AZ1624="Boleto",BB1624*(1+0.001)^DATEDIF(E1624,G1624,"D"),AZ1624="Cheque",BB1624,AZ1624="Dinheiro","Alterar forma pgto")</f>
        <v/>
      </c>
      <c r="BD1624" s="276" t="str" cm="1">
        <f t="array" ref="BD1624">IF(F1624=0," ",IF(BC1624&lt;BB1624,(_xlfn.IFS(AW1624="SIM",SUM(L1624,Q1624,V1624,AA1624,AF1624,AK1624,AP1624,AU1624)+AX1624/_xlfn.XLOOKUP(_xlfn.XLOOKUP($F1624,Clientes!$B$4:$B$39,Clientes!$C$4:$C$39),Cadastros!$L$6:$L$12,Cadastros!$M$6:$M$12)+IF($F1624="Bernardino Furlan",AY1624/2751.92,IF($F1624="Mauro José Salanti",AY1624/2751.92,AY1624/3356)),F1624&lt;&gt;0,SUM(L1624,Q1624,V1624,AA1624,AF1624,AK1624,AP1624,AU1624)))*(1-0.03),_xlfn.IFS(AW1624="SIM",SUM(L1624,Q1624,V1624,AA1624,AF1624,AK1624,AP1624,AU1624)+AX1624/_xlfn.XLOOKUP(_xlfn.XLOOKUP($F1624,Clientes!$B$4:$B$39,Clientes!$C$4:$C$39),Cadastros!$L$6:$L$12,Cadastros!$M$6:$M$12)+IF($F1624="Bernardino Furlan",AY1624/2751.92,IF($F1624="Mauro José Salanti",AY1624/2751.92,AY1624/3356)),F1624&lt;&gt;0,SUM(L1624,Q1624,V1624,AA1624,AF1624,AK1624,AP1624,AU1624))))</f>
        <v xml:space="preserve"> </v>
      </c>
      <c r="BE1624" s="120"/>
      <c r="BF1624" s="120"/>
      <c r="BG1624" s="120"/>
    </row>
    <row r="1625" spans="1:59" s="3" customFormat="1" x14ac:dyDescent="0.3">
      <c r="A1625" s="15" t="str">
        <f t="shared" si="325"/>
        <v/>
      </c>
      <c r="B1625" s="25"/>
      <c r="C1625" s="26"/>
      <c r="D1625" s="279"/>
      <c r="E1625" s="27"/>
      <c r="F1625" s="28"/>
      <c r="G1625" s="27"/>
      <c r="H1625" s="28"/>
      <c r="I1625" s="28"/>
      <c r="J1625" s="255" t="str">
        <f>IF(H1625="","",(_xlfn.XLOOKUP(H1625,Cadastros!$D$6:$D$90,Cadastros!$E$6:$E$90))*(1-_xlfn.XLOOKUP(_xlfn.XLOOKUP($F1625,Clientes!$B$4:$B$39,Clientes!$C$4:$C$39),Cadastros!$L$6:$L$12,Cadastros!$N$6:$N$12)))</f>
        <v/>
      </c>
      <c r="K1625" s="168" t="str">
        <f t="shared" si="326"/>
        <v/>
      </c>
      <c r="L1625" s="168" t="str">
        <f>IFERROR(K1625/_xlfn.XLOOKUP(_xlfn.XLOOKUP($F1625,Clientes!$B$4:$B$39,Clientes!$C$4:$C$39),Cadastros!$L$6:$L$12,Cadastros!$M$6:$M$12)," ")</f>
        <v xml:space="preserve"> </v>
      </c>
      <c r="M1625" s="28"/>
      <c r="N1625" s="28"/>
      <c r="O1625" s="255" t="str">
        <f>IF(M1625="","",(_xlfn.XLOOKUP(M1625,Cadastros!$D$6:$D$90,Cadastros!$E$6:$E$90))*(1-_xlfn.XLOOKUP(_xlfn.XLOOKUP($F1625,Clientes!$B$4:$B$39,Clientes!$C$4:$C$39),Cadastros!$L$6:$L$12,Cadastros!$N$6:$N$12)))</f>
        <v/>
      </c>
      <c r="P1625" s="168" t="str">
        <f t="shared" si="327"/>
        <v/>
      </c>
      <c r="Q1625" s="168" t="str">
        <f>IFERROR(P1625/_xlfn.XLOOKUP(_xlfn.XLOOKUP($F1625,Clientes!$B$4:$B$39,Clientes!$C$4:$C$39),Cadastros!$L$6:$L$12,Cadastros!$M$6:$M$12)," ")</f>
        <v xml:space="preserve"> </v>
      </c>
      <c r="R1625" s="28"/>
      <c r="S1625" s="28"/>
      <c r="T1625" s="255" t="str">
        <f>IF(R1625="","",(_xlfn.XLOOKUP(R1625,Cadastros!$D$6:$D$90,Cadastros!$E$6:$E$90))*(1-_xlfn.XLOOKUP(_xlfn.XLOOKUP($F1625,Clientes!$B$4:$B$39,Clientes!$C$4:$C$39),Cadastros!$L$6:$L$12,Cadastros!$N$6:$N$12)))</f>
        <v/>
      </c>
      <c r="U1625" s="168" t="str">
        <f t="shared" si="328"/>
        <v/>
      </c>
      <c r="V1625" s="168" t="str">
        <f>IFERROR(U1625/_xlfn.XLOOKUP(_xlfn.XLOOKUP($F1625,Clientes!$B$4:$B$39,Clientes!$C$4:$C$39),Cadastros!$L$6:$L$12,Cadastros!$M$6:$M$12)," ")</f>
        <v xml:space="preserve"> </v>
      </c>
      <c r="W1625" s="28"/>
      <c r="X1625" s="28"/>
      <c r="Y1625" s="255" t="str">
        <f>IF(W1625="","",(_xlfn.XLOOKUP(W1625,Cadastros!$D$6:$D$90,Cadastros!$E$6:$E$90))*(1-_xlfn.XLOOKUP(_xlfn.XLOOKUP($F1625,Clientes!$B$4:$B$39,Clientes!$C$4:$C$39),Cadastros!$L$6:$L$12,Cadastros!$N$6:$N$12)))</f>
        <v/>
      </c>
      <c r="Z1625" s="168" t="str">
        <f t="shared" si="329"/>
        <v/>
      </c>
      <c r="AA1625" s="168" t="str">
        <f>IFERROR(Z1625/_xlfn.XLOOKUP(_xlfn.XLOOKUP($F1625,Clientes!$B$4:$B$39,Clientes!$C$4:$C$39),Cadastros!$L$6:$L$12,Cadastros!$M$6:$M$12)," ")</f>
        <v xml:space="preserve"> </v>
      </c>
      <c r="AB1625" s="28"/>
      <c r="AC1625" s="28"/>
      <c r="AD1625" s="20" t="str">
        <f>IF(AB1625="","",IF($F1625="Bernardino Furlan",_xlfn.XLOOKUP(AB1625,Cadastros!$G$6:$G$90,Cadastros!$H$6:$H$90)*(1-0.18),IF($F1625="Mauro José Salanti",_xlfn.XLOOKUP(AB1625,Cadastros!$G$6:$G$90,Cadastros!$H$6:$H$90)*(1-0.18),_xlfn.XLOOKUP(AB1625,Cadastros!$G$6:$G$90,Cadastros!$H$6:$H$90))))</f>
        <v/>
      </c>
      <c r="AE1625" s="168" t="str">
        <f t="shared" si="330"/>
        <v/>
      </c>
      <c r="AF1625" s="168" t="str">
        <f t="shared" si="331"/>
        <v/>
      </c>
      <c r="AG1625" s="28"/>
      <c r="AH1625" s="28"/>
      <c r="AI1625" s="20" t="str">
        <f>IF(AG1625="","",IF($F1625="Bernardino Furlan",_xlfn.XLOOKUP(AG1625,Cadastros!$G$6:$G$90,Cadastros!$H$6:$H$90)*(1-0.18),IF($F1625="Mauro José Salanti",_xlfn.XLOOKUP(AG1625,Cadastros!$G$6:$G$90,Cadastros!$H$6:$H$90)*(1-0.18),_xlfn.XLOOKUP(AG1625,Cadastros!$G$6:$G$90,Cadastros!$H$6:$H$90))))</f>
        <v/>
      </c>
      <c r="AJ1625" s="168" t="str">
        <f t="shared" si="332"/>
        <v/>
      </c>
      <c r="AK1625" s="168" t="str">
        <f t="shared" si="333"/>
        <v/>
      </c>
      <c r="AL1625" s="28"/>
      <c r="AM1625" s="28"/>
      <c r="AN1625" s="20" t="str">
        <f>IF(AL1625="","",IF($F1625="Bernardino Furlan",_xlfn.XLOOKUP(AL1625,Cadastros!$G$6:$G$90,Cadastros!$H$6:$H$90)*(1-0.18),IF($F1625="Mauro José Salanti",_xlfn.XLOOKUP(AL1625,Cadastros!$G$6:$G$90,Cadastros!$H$6:$H$90)*(1-0.18),_xlfn.XLOOKUP(AL1625,Cadastros!$G$6:$G$90,Cadastros!$H$6:$H$90))))</f>
        <v/>
      </c>
      <c r="AO1625" s="168" t="str">
        <f t="shared" si="334"/>
        <v/>
      </c>
      <c r="AP1625" s="168" t="str">
        <f t="shared" si="335"/>
        <v/>
      </c>
      <c r="AQ1625" s="28"/>
      <c r="AR1625" s="28"/>
      <c r="AS1625" s="20" t="str">
        <f>IF(AQ1625="","",IF($F1625="Bernardino Furlan",_xlfn.XLOOKUP(AQ1625,Cadastros!$G$6:$G$90,Cadastros!$H$6:$H$90)*(1-0.18),IF($F1625="Mauro José Salanti",_xlfn.XLOOKUP(AQ1625,Cadastros!$G$6:$G$90,Cadastros!$H$6:$H$90)*(1-0.18),_xlfn.XLOOKUP(AQ1625,Cadastros!$G$6:$G$90,Cadastros!$H$6:$H$90))))</f>
        <v/>
      </c>
      <c r="AT1625" s="168" t="str">
        <f t="shared" si="336"/>
        <v/>
      </c>
      <c r="AU1625" s="168" t="str">
        <f t="shared" si="337"/>
        <v/>
      </c>
      <c r="AV1625" s="227"/>
      <c r="AW1625" s="30"/>
      <c r="AX1625" s="267"/>
      <c r="AY1625" s="267"/>
      <c r="AZ1625" s="29"/>
      <c r="BA1625" s="30"/>
      <c r="BB1625" s="23" t="str" cm="1">
        <f t="array" ref="BB1625">_xlfn.IFS(AW1625="SIM",SUM(K1625,P1625,U1625,Z1625,AE1625,AJ1625,AO1625,AT1625,AX1625,AY1625),F1625&lt;&gt;"",SUM(K1625,P1625,U1625,Z1625,AE1625,AJ1625,,AO1625,AT1625),F1625="","")</f>
        <v/>
      </c>
      <c r="BC1625" s="211" t="str" cm="1">
        <f t="array" ref="BC1625">_xlfn.IFS(E1625="","",G1625&lt;=E1625,BB1625*(1-0.03),G1625&lt;(E1625+8),BB1625,AZ1625="Boleto",BB1625*(1+0.001)^DATEDIF(E1625,G1625,"D"),AZ1625="Cheque",BB1625,AZ1625="Dinheiro","Alterar forma pgto")</f>
        <v/>
      </c>
      <c r="BD1625" s="276" t="str" cm="1">
        <f t="array" ref="BD1625">IF(F1625=0," ",IF(BC1625&lt;BB1625,(_xlfn.IFS(AW1625="SIM",SUM(L1625,Q1625,V1625,AA1625,AF1625,AK1625,AP1625,AU1625)+AX1625/_xlfn.XLOOKUP(_xlfn.XLOOKUP($F1625,Clientes!$B$4:$B$39,Clientes!$C$4:$C$39),Cadastros!$L$6:$L$12,Cadastros!$M$6:$M$12)+IF($F1625="Bernardino Furlan",AY1625/2751.92,IF($F1625="Mauro José Salanti",AY1625/2751.92,AY1625/3356)),F1625&lt;&gt;0,SUM(L1625,Q1625,V1625,AA1625,AF1625,AK1625,AP1625,AU1625)))*(1-0.03),_xlfn.IFS(AW1625="SIM",SUM(L1625,Q1625,V1625,AA1625,AF1625,AK1625,AP1625,AU1625)+AX1625/_xlfn.XLOOKUP(_xlfn.XLOOKUP($F1625,Clientes!$B$4:$B$39,Clientes!$C$4:$C$39),Cadastros!$L$6:$L$12,Cadastros!$M$6:$M$12)+IF($F1625="Bernardino Furlan",AY1625/2751.92,IF($F1625="Mauro José Salanti",AY1625/2751.92,AY1625/3356)),F1625&lt;&gt;0,SUM(L1625,Q1625,V1625,AA1625,AF1625,AK1625,AP1625,AU1625))))</f>
        <v xml:space="preserve"> </v>
      </c>
      <c r="BE1625" s="120"/>
      <c r="BF1625" s="120"/>
      <c r="BG1625" s="120"/>
    </row>
    <row r="1626" spans="1:59" s="3" customFormat="1" x14ac:dyDescent="0.3">
      <c r="A1626" s="15" t="str">
        <f t="shared" si="325"/>
        <v/>
      </c>
      <c r="B1626" s="25"/>
      <c r="C1626" s="26"/>
      <c r="D1626" s="279"/>
      <c r="E1626" s="27"/>
      <c r="F1626" s="28"/>
      <c r="G1626" s="27"/>
      <c r="H1626" s="28"/>
      <c r="I1626" s="28"/>
      <c r="J1626" s="255" t="str">
        <f>IF(H1626="","",(_xlfn.XLOOKUP(H1626,Cadastros!$D$6:$D$90,Cadastros!$E$6:$E$90))*(1-_xlfn.XLOOKUP(_xlfn.XLOOKUP($F1626,Clientes!$B$4:$B$39,Clientes!$C$4:$C$39),Cadastros!$L$6:$L$12,Cadastros!$N$6:$N$12)))</f>
        <v/>
      </c>
      <c r="K1626" s="168" t="str">
        <f t="shared" si="326"/>
        <v/>
      </c>
      <c r="L1626" s="168" t="str">
        <f>IFERROR(K1626/_xlfn.XLOOKUP(_xlfn.XLOOKUP($F1626,Clientes!$B$4:$B$39,Clientes!$C$4:$C$39),Cadastros!$L$6:$L$12,Cadastros!$M$6:$M$12)," ")</f>
        <v xml:space="preserve"> </v>
      </c>
      <c r="M1626" s="28"/>
      <c r="N1626" s="28"/>
      <c r="O1626" s="255" t="str">
        <f>IF(M1626="","",(_xlfn.XLOOKUP(M1626,Cadastros!$D$6:$D$90,Cadastros!$E$6:$E$90))*(1-_xlfn.XLOOKUP(_xlfn.XLOOKUP($F1626,Clientes!$B$4:$B$39,Clientes!$C$4:$C$39),Cadastros!$L$6:$L$12,Cadastros!$N$6:$N$12)))</f>
        <v/>
      </c>
      <c r="P1626" s="168" t="str">
        <f t="shared" si="327"/>
        <v/>
      </c>
      <c r="Q1626" s="168" t="str">
        <f>IFERROR(P1626/_xlfn.XLOOKUP(_xlfn.XLOOKUP($F1626,Clientes!$B$4:$B$39,Clientes!$C$4:$C$39),Cadastros!$L$6:$L$12,Cadastros!$M$6:$M$12)," ")</f>
        <v xml:space="preserve"> </v>
      </c>
      <c r="R1626" s="28"/>
      <c r="S1626" s="28"/>
      <c r="T1626" s="255" t="str">
        <f>IF(R1626="","",(_xlfn.XLOOKUP(R1626,Cadastros!$D$6:$D$90,Cadastros!$E$6:$E$90))*(1-_xlfn.XLOOKUP(_xlfn.XLOOKUP($F1626,Clientes!$B$4:$B$39,Clientes!$C$4:$C$39),Cadastros!$L$6:$L$12,Cadastros!$N$6:$N$12)))</f>
        <v/>
      </c>
      <c r="U1626" s="168" t="str">
        <f t="shared" si="328"/>
        <v/>
      </c>
      <c r="V1626" s="168" t="str">
        <f>IFERROR(U1626/_xlfn.XLOOKUP(_xlfn.XLOOKUP($F1626,Clientes!$B$4:$B$39,Clientes!$C$4:$C$39),Cadastros!$L$6:$L$12,Cadastros!$M$6:$M$12)," ")</f>
        <v xml:space="preserve"> </v>
      </c>
      <c r="W1626" s="28"/>
      <c r="X1626" s="28"/>
      <c r="Y1626" s="255" t="str">
        <f>IF(W1626="","",(_xlfn.XLOOKUP(W1626,Cadastros!$D$6:$D$90,Cadastros!$E$6:$E$90))*(1-_xlfn.XLOOKUP(_xlfn.XLOOKUP($F1626,Clientes!$B$4:$B$39,Clientes!$C$4:$C$39),Cadastros!$L$6:$L$12,Cadastros!$N$6:$N$12)))</f>
        <v/>
      </c>
      <c r="Z1626" s="168" t="str">
        <f t="shared" si="329"/>
        <v/>
      </c>
      <c r="AA1626" s="168" t="str">
        <f>IFERROR(Z1626/_xlfn.XLOOKUP(_xlfn.XLOOKUP($F1626,Clientes!$B$4:$B$39,Clientes!$C$4:$C$39),Cadastros!$L$6:$L$12,Cadastros!$M$6:$M$12)," ")</f>
        <v xml:space="preserve"> </v>
      </c>
      <c r="AB1626" s="28"/>
      <c r="AC1626" s="28"/>
      <c r="AD1626" s="20" t="str">
        <f>IF(AB1626="","",IF($F1626="Bernardino Furlan",_xlfn.XLOOKUP(AB1626,Cadastros!$G$6:$G$90,Cadastros!$H$6:$H$90)*(1-0.18),IF($F1626="Mauro José Salanti",_xlfn.XLOOKUP(AB1626,Cadastros!$G$6:$G$90,Cadastros!$H$6:$H$90)*(1-0.18),_xlfn.XLOOKUP(AB1626,Cadastros!$G$6:$G$90,Cadastros!$H$6:$H$90))))</f>
        <v/>
      </c>
      <c r="AE1626" s="168" t="str">
        <f t="shared" si="330"/>
        <v/>
      </c>
      <c r="AF1626" s="168" t="str">
        <f t="shared" si="331"/>
        <v/>
      </c>
      <c r="AG1626" s="28"/>
      <c r="AH1626" s="28"/>
      <c r="AI1626" s="20" t="str">
        <f>IF(AG1626="","",IF($F1626="Bernardino Furlan",_xlfn.XLOOKUP(AG1626,Cadastros!$G$6:$G$90,Cadastros!$H$6:$H$90)*(1-0.18),IF($F1626="Mauro José Salanti",_xlfn.XLOOKUP(AG1626,Cadastros!$G$6:$G$90,Cadastros!$H$6:$H$90)*(1-0.18),_xlfn.XLOOKUP(AG1626,Cadastros!$G$6:$G$90,Cadastros!$H$6:$H$90))))</f>
        <v/>
      </c>
      <c r="AJ1626" s="168" t="str">
        <f t="shared" si="332"/>
        <v/>
      </c>
      <c r="AK1626" s="168" t="str">
        <f t="shared" si="333"/>
        <v/>
      </c>
      <c r="AL1626" s="28"/>
      <c r="AM1626" s="28"/>
      <c r="AN1626" s="20" t="str">
        <f>IF(AL1626="","",IF($F1626="Bernardino Furlan",_xlfn.XLOOKUP(AL1626,Cadastros!$G$6:$G$90,Cadastros!$H$6:$H$90)*(1-0.18),IF($F1626="Mauro José Salanti",_xlfn.XLOOKUP(AL1626,Cadastros!$G$6:$G$90,Cadastros!$H$6:$H$90)*(1-0.18),_xlfn.XLOOKUP(AL1626,Cadastros!$G$6:$G$90,Cadastros!$H$6:$H$90))))</f>
        <v/>
      </c>
      <c r="AO1626" s="168" t="str">
        <f t="shared" si="334"/>
        <v/>
      </c>
      <c r="AP1626" s="168" t="str">
        <f t="shared" si="335"/>
        <v/>
      </c>
      <c r="AQ1626" s="28"/>
      <c r="AR1626" s="28"/>
      <c r="AS1626" s="20" t="str">
        <f>IF(AQ1626="","",IF($F1626="Bernardino Furlan",_xlfn.XLOOKUP(AQ1626,Cadastros!$G$6:$G$90,Cadastros!$H$6:$H$90)*(1-0.18),IF($F1626="Mauro José Salanti",_xlfn.XLOOKUP(AQ1626,Cadastros!$G$6:$G$90,Cadastros!$H$6:$H$90)*(1-0.18),_xlfn.XLOOKUP(AQ1626,Cadastros!$G$6:$G$90,Cadastros!$H$6:$H$90))))</f>
        <v/>
      </c>
      <c r="AT1626" s="168" t="str">
        <f t="shared" si="336"/>
        <v/>
      </c>
      <c r="AU1626" s="168" t="str">
        <f t="shared" si="337"/>
        <v/>
      </c>
      <c r="AV1626" s="227"/>
      <c r="AW1626" s="30"/>
      <c r="AX1626" s="267"/>
      <c r="AY1626" s="267"/>
      <c r="AZ1626" s="29"/>
      <c r="BA1626" s="30"/>
      <c r="BB1626" s="23" t="str" cm="1">
        <f t="array" ref="BB1626">_xlfn.IFS(AW1626="SIM",SUM(K1626,P1626,U1626,Z1626,AE1626,AJ1626,AO1626,AT1626,AX1626,AY1626),F1626&lt;&gt;"",SUM(K1626,P1626,U1626,Z1626,AE1626,AJ1626,,AO1626,AT1626),F1626="","")</f>
        <v/>
      </c>
      <c r="BC1626" s="211" t="str" cm="1">
        <f t="array" ref="BC1626">_xlfn.IFS(E1626="","",G1626&lt;=E1626,BB1626*(1-0.03),G1626&lt;(E1626+8),BB1626,AZ1626="Boleto",BB1626*(1+0.001)^DATEDIF(E1626,G1626,"D"),AZ1626="Cheque",BB1626,AZ1626="Dinheiro","Alterar forma pgto")</f>
        <v/>
      </c>
      <c r="BD1626" s="276" t="str" cm="1">
        <f t="array" ref="BD1626">IF(F1626=0," ",IF(BC1626&lt;BB1626,(_xlfn.IFS(AW1626="SIM",SUM(L1626,Q1626,V1626,AA1626,AF1626,AK1626,AP1626,AU1626)+AX1626/_xlfn.XLOOKUP(_xlfn.XLOOKUP($F1626,Clientes!$B$4:$B$39,Clientes!$C$4:$C$39),Cadastros!$L$6:$L$12,Cadastros!$M$6:$M$12)+IF($F1626="Bernardino Furlan",AY1626/2751.92,IF($F1626="Mauro José Salanti",AY1626/2751.92,AY1626/3356)),F1626&lt;&gt;0,SUM(L1626,Q1626,V1626,AA1626,AF1626,AK1626,AP1626,AU1626)))*(1-0.03),_xlfn.IFS(AW1626="SIM",SUM(L1626,Q1626,V1626,AA1626,AF1626,AK1626,AP1626,AU1626)+AX1626/_xlfn.XLOOKUP(_xlfn.XLOOKUP($F1626,Clientes!$B$4:$B$39,Clientes!$C$4:$C$39),Cadastros!$L$6:$L$12,Cadastros!$M$6:$M$12)+IF($F1626="Bernardino Furlan",AY1626/2751.92,IF($F1626="Mauro José Salanti",AY1626/2751.92,AY1626/3356)),F1626&lt;&gt;0,SUM(L1626,Q1626,V1626,AA1626,AF1626,AK1626,AP1626,AU1626))))</f>
        <v xml:space="preserve"> </v>
      </c>
      <c r="BE1626" s="120"/>
      <c r="BF1626" s="120"/>
      <c r="BG1626" s="120"/>
    </row>
    <row r="1627" spans="1:59" s="3" customFormat="1" x14ac:dyDescent="0.3">
      <c r="A1627" s="15" t="str">
        <f t="shared" si="325"/>
        <v/>
      </c>
      <c r="B1627" s="25"/>
      <c r="C1627" s="26"/>
      <c r="D1627" s="279"/>
      <c r="E1627" s="27"/>
      <c r="F1627" s="28"/>
      <c r="G1627" s="27"/>
      <c r="H1627" s="28"/>
      <c r="I1627" s="28"/>
      <c r="J1627" s="255" t="str">
        <f>IF(H1627="","",(_xlfn.XLOOKUP(H1627,Cadastros!$D$6:$D$90,Cadastros!$E$6:$E$90))*(1-_xlfn.XLOOKUP(_xlfn.XLOOKUP($F1627,Clientes!$B$4:$B$39,Clientes!$C$4:$C$39),Cadastros!$L$6:$L$12,Cadastros!$N$6:$N$12)))</f>
        <v/>
      </c>
      <c r="K1627" s="168" t="str">
        <f t="shared" si="326"/>
        <v/>
      </c>
      <c r="L1627" s="168" t="str">
        <f>IFERROR(K1627/_xlfn.XLOOKUP(_xlfn.XLOOKUP($F1627,Clientes!$B$4:$B$39,Clientes!$C$4:$C$39),Cadastros!$L$6:$L$12,Cadastros!$M$6:$M$12)," ")</f>
        <v xml:space="preserve"> </v>
      </c>
      <c r="M1627" s="28"/>
      <c r="N1627" s="28"/>
      <c r="O1627" s="255" t="str">
        <f>IF(M1627="","",(_xlfn.XLOOKUP(M1627,Cadastros!$D$6:$D$90,Cadastros!$E$6:$E$90))*(1-_xlfn.XLOOKUP(_xlfn.XLOOKUP($F1627,Clientes!$B$4:$B$39,Clientes!$C$4:$C$39),Cadastros!$L$6:$L$12,Cadastros!$N$6:$N$12)))</f>
        <v/>
      </c>
      <c r="P1627" s="168" t="str">
        <f t="shared" si="327"/>
        <v/>
      </c>
      <c r="Q1627" s="168" t="str">
        <f>IFERROR(P1627/_xlfn.XLOOKUP(_xlfn.XLOOKUP($F1627,Clientes!$B$4:$B$39,Clientes!$C$4:$C$39),Cadastros!$L$6:$L$12,Cadastros!$M$6:$M$12)," ")</f>
        <v xml:space="preserve"> </v>
      </c>
      <c r="R1627" s="28"/>
      <c r="S1627" s="28"/>
      <c r="T1627" s="255" t="str">
        <f>IF(R1627="","",(_xlfn.XLOOKUP(R1627,Cadastros!$D$6:$D$90,Cadastros!$E$6:$E$90))*(1-_xlfn.XLOOKUP(_xlfn.XLOOKUP($F1627,Clientes!$B$4:$B$39,Clientes!$C$4:$C$39),Cadastros!$L$6:$L$12,Cadastros!$N$6:$N$12)))</f>
        <v/>
      </c>
      <c r="U1627" s="168" t="str">
        <f t="shared" si="328"/>
        <v/>
      </c>
      <c r="V1627" s="168" t="str">
        <f>IFERROR(U1627/_xlfn.XLOOKUP(_xlfn.XLOOKUP($F1627,Clientes!$B$4:$B$39,Clientes!$C$4:$C$39),Cadastros!$L$6:$L$12,Cadastros!$M$6:$M$12)," ")</f>
        <v xml:space="preserve"> </v>
      </c>
      <c r="W1627" s="28"/>
      <c r="X1627" s="28"/>
      <c r="Y1627" s="255" t="str">
        <f>IF(W1627="","",(_xlfn.XLOOKUP(W1627,Cadastros!$D$6:$D$90,Cadastros!$E$6:$E$90))*(1-_xlfn.XLOOKUP(_xlfn.XLOOKUP($F1627,Clientes!$B$4:$B$39,Clientes!$C$4:$C$39),Cadastros!$L$6:$L$12,Cadastros!$N$6:$N$12)))</f>
        <v/>
      </c>
      <c r="Z1627" s="168" t="str">
        <f t="shared" si="329"/>
        <v/>
      </c>
      <c r="AA1627" s="168" t="str">
        <f>IFERROR(Z1627/_xlfn.XLOOKUP(_xlfn.XLOOKUP($F1627,Clientes!$B$4:$B$39,Clientes!$C$4:$C$39),Cadastros!$L$6:$L$12,Cadastros!$M$6:$M$12)," ")</f>
        <v xml:space="preserve"> </v>
      </c>
      <c r="AB1627" s="28"/>
      <c r="AC1627" s="28"/>
      <c r="AD1627" s="20" t="str">
        <f>IF(AB1627="","",IF($F1627="Bernardino Furlan",_xlfn.XLOOKUP(AB1627,Cadastros!$G$6:$G$90,Cadastros!$H$6:$H$90)*(1-0.18),IF($F1627="Mauro José Salanti",_xlfn.XLOOKUP(AB1627,Cadastros!$G$6:$G$90,Cadastros!$H$6:$H$90)*(1-0.18),_xlfn.XLOOKUP(AB1627,Cadastros!$G$6:$G$90,Cadastros!$H$6:$H$90))))</f>
        <v/>
      </c>
      <c r="AE1627" s="168" t="str">
        <f t="shared" si="330"/>
        <v/>
      </c>
      <c r="AF1627" s="168" t="str">
        <f t="shared" si="331"/>
        <v/>
      </c>
      <c r="AG1627" s="28"/>
      <c r="AH1627" s="28"/>
      <c r="AI1627" s="20" t="str">
        <f>IF(AG1627="","",IF($F1627="Bernardino Furlan",_xlfn.XLOOKUP(AG1627,Cadastros!$G$6:$G$90,Cadastros!$H$6:$H$90)*(1-0.18),IF($F1627="Mauro José Salanti",_xlfn.XLOOKUP(AG1627,Cadastros!$G$6:$G$90,Cadastros!$H$6:$H$90)*(1-0.18),_xlfn.XLOOKUP(AG1627,Cadastros!$G$6:$G$90,Cadastros!$H$6:$H$90))))</f>
        <v/>
      </c>
      <c r="AJ1627" s="168" t="str">
        <f t="shared" si="332"/>
        <v/>
      </c>
      <c r="AK1627" s="168" t="str">
        <f t="shared" si="333"/>
        <v/>
      </c>
      <c r="AL1627" s="28"/>
      <c r="AM1627" s="28"/>
      <c r="AN1627" s="20" t="str">
        <f>IF(AL1627="","",IF($F1627="Bernardino Furlan",_xlfn.XLOOKUP(AL1627,Cadastros!$G$6:$G$90,Cadastros!$H$6:$H$90)*(1-0.18),IF($F1627="Mauro José Salanti",_xlfn.XLOOKUP(AL1627,Cadastros!$G$6:$G$90,Cadastros!$H$6:$H$90)*(1-0.18),_xlfn.XLOOKUP(AL1627,Cadastros!$G$6:$G$90,Cadastros!$H$6:$H$90))))</f>
        <v/>
      </c>
      <c r="AO1627" s="168" t="str">
        <f t="shared" si="334"/>
        <v/>
      </c>
      <c r="AP1627" s="168" t="str">
        <f t="shared" si="335"/>
        <v/>
      </c>
      <c r="AQ1627" s="28"/>
      <c r="AR1627" s="28"/>
      <c r="AS1627" s="20" t="str">
        <f>IF(AQ1627="","",IF($F1627="Bernardino Furlan",_xlfn.XLOOKUP(AQ1627,Cadastros!$G$6:$G$90,Cadastros!$H$6:$H$90)*(1-0.18),IF($F1627="Mauro José Salanti",_xlfn.XLOOKUP(AQ1627,Cadastros!$G$6:$G$90,Cadastros!$H$6:$H$90)*(1-0.18),_xlfn.XLOOKUP(AQ1627,Cadastros!$G$6:$G$90,Cadastros!$H$6:$H$90))))</f>
        <v/>
      </c>
      <c r="AT1627" s="168" t="str">
        <f t="shared" si="336"/>
        <v/>
      </c>
      <c r="AU1627" s="168" t="str">
        <f t="shared" si="337"/>
        <v/>
      </c>
      <c r="AV1627" s="227"/>
      <c r="AW1627" s="30"/>
      <c r="AX1627" s="267"/>
      <c r="AY1627" s="267"/>
      <c r="AZ1627" s="29"/>
      <c r="BA1627" s="30"/>
      <c r="BB1627" s="23" t="str" cm="1">
        <f t="array" ref="BB1627">_xlfn.IFS(AW1627="SIM",SUM(K1627,P1627,U1627,Z1627,AE1627,AJ1627,AO1627,AT1627,AX1627,AY1627),F1627&lt;&gt;"",SUM(K1627,P1627,U1627,Z1627,AE1627,AJ1627,,AO1627,AT1627),F1627="","")</f>
        <v/>
      </c>
      <c r="BC1627" s="211" t="str" cm="1">
        <f t="array" ref="BC1627">_xlfn.IFS(E1627="","",G1627&lt;=E1627,BB1627*(1-0.03),G1627&lt;(E1627+8),BB1627,AZ1627="Boleto",BB1627*(1+0.001)^DATEDIF(E1627,G1627,"D"),AZ1627="Cheque",BB1627,AZ1627="Dinheiro","Alterar forma pgto")</f>
        <v/>
      </c>
      <c r="BD1627" s="276" t="str" cm="1">
        <f t="array" ref="BD1627">IF(F1627=0," ",IF(BC1627&lt;BB1627,(_xlfn.IFS(AW1627="SIM",SUM(L1627,Q1627,V1627,AA1627,AF1627,AK1627,AP1627,AU1627)+AX1627/_xlfn.XLOOKUP(_xlfn.XLOOKUP($F1627,Clientes!$B$4:$B$39,Clientes!$C$4:$C$39),Cadastros!$L$6:$L$12,Cadastros!$M$6:$M$12)+IF($F1627="Bernardino Furlan",AY1627/2751.92,IF($F1627="Mauro José Salanti",AY1627/2751.92,AY1627/3356)),F1627&lt;&gt;0,SUM(L1627,Q1627,V1627,AA1627,AF1627,AK1627,AP1627,AU1627)))*(1-0.03),_xlfn.IFS(AW1627="SIM",SUM(L1627,Q1627,V1627,AA1627,AF1627,AK1627,AP1627,AU1627)+AX1627/_xlfn.XLOOKUP(_xlfn.XLOOKUP($F1627,Clientes!$B$4:$B$39,Clientes!$C$4:$C$39),Cadastros!$L$6:$L$12,Cadastros!$M$6:$M$12)+IF($F1627="Bernardino Furlan",AY1627/2751.92,IF($F1627="Mauro José Salanti",AY1627/2751.92,AY1627/3356)),F1627&lt;&gt;0,SUM(L1627,Q1627,V1627,AA1627,AF1627,AK1627,AP1627,AU1627))))</f>
        <v xml:space="preserve"> </v>
      </c>
      <c r="BE1627" s="120"/>
      <c r="BF1627" s="120"/>
      <c r="BG1627" s="120"/>
    </row>
    <row r="1628" spans="1:59" s="3" customFormat="1" x14ac:dyDescent="0.3">
      <c r="A1628" s="15" t="str">
        <f t="shared" si="325"/>
        <v/>
      </c>
      <c r="B1628" s="25"/>
      <c r="C1628" s="26"/>
      <c r="D1628" s="279"/>
      <c r="E1628" s="27"/>
      <c r="F1628" s="28"/>
      <c r="G1628" s="27"/>
      <c r="H1628" s="28"/>
      <c r="I1628" s="28"/>
      <c r="J1628" s="255" t="str">
        <f>IF(H1628="","",(_xlfn.XLOOKUP(H1628,Cadastros!$D$6:$D$90,Cadastros!$E$6:$E$90))*(1-_xlfn.XLOOKUP(_xlfn.XLOOKUP($F1628,Clientes!$B$4:$B$39,Clientes!$C$4:$C$39),Cadastros!$L$6:$L$12,Cadastros!$N$6:$N$12)))</f>
        <v/>
      </c>
      <c r="K1628" s="168" t="str">
        <f t="shared" si="326"/>
        <v/>
      </c>
      <c r="L1628" s="168" t="str">
        <f>IFERROR(K1628/_xlfn.XLOOKUP(_xlfn.XLOOKUP($F1628,Clientes!$B$4:$B$39,Clientes!$C$4:$C$39),Cadastros!$L$6:$L$12,Cadastros!$M$6:$M$12)," ")</f>
        <v xml:space="preserve"> </v>
      </c>
      <c r="M1628" s="28"/>
      <c r="N1628" s="28"/>
      <c r="O1628" s="255" t="str">
        <f>IF(M1628="","",(_xlfn.XLOOKUP(M1628,Cadastros!$D$6:$D$90,Cadastros!$E$6:$E$90))*(1-_xlfn.XLOOKUP(_xlfn.XLOOKUP($F1628,Clientes!$B$4:$B$39,Clientes!$C$4:$C$39),Cadastros!$L$6:$L$12,Cadastros!$N$6:$N$12)))</f>
        <v/>
      </c>
      <c r="P1628" s="168" t="str">
        <f t="shared" si="327"/>
        <v/>
      </c>
      <c r="Q1628" s="168" t="str">
        <f>IFERROR(P1628/_xlfn.XLOOKUP(_xlfn.XLOOKUP($F1628,Clientes!$B$4:$B$39,Clientes!$C$4:$C$39),Cadastros!$L$6:$L$12,Cadastros!$M$6:$M$12)," ")</f>
        <v xml:space="preserve"> </v>
      </c>
      <c r="R1628" s="28"/>
      <c r="S1628" s="28"/>
      <c r="T1628" s="255" t="str">
        <f>IF(R1628="","",(_xlfn.XLOOKUP(R1628,Cadastros!$D$6:$D$90,Cadastros!$E$6:$E$90))*(1-_xlfn.XLOOKUP(_xlfn.XLOOKUP($F1628,Clientes!$B$4:$B$39,Clientes!$C$4:$C$39),Cadastros!$L$6:$L$12,Cadastros!$N$6:$N$12)))</f>
        <v/>
      </c>
      <c r="U1628" s="168" t="str">
        <f t="shared" si="328"/>
        <v/>
      </c>
      <c r="V1628" s="168" t="str">
        <f>IFERROR(U1628/_xlfn.XLOOKUP(_xlfn.XLOOKUP($F1628,Clientes!$B$4:$B$39,Clientes!$C$4:$C$39),Cadastros!$L$6:$L$12,Cadastros!$M$6:$M$12)," ")</f>
        <v xml:space="preserve"> </v>
      </c>
      <c r="W1628" s="28"/>
      <c r="X1628" s="28"/>
      <c r="Y1628" s="255" t="str">
        <f>IF(W1628="","",(_xlfn.XLOOKUP(W1628,Cadastros!$D$6:$D$90,Cadastros!$E$6:$E$90))*(1-_xlfn.XLOOKUP(_xlfn.XLOOKUP($F1628,Clientes!$B$4:$B$39,Clientes!$C$4:$C$39),Cadastros!$L$6:$L$12,Cadastros!$N$6:$N$12)))</f>
        <v/>
      </c>
      <c r="Z1628" s="168" t="str">
        <f t="shared" si="329"/>
        <v/>
      </c>
      <c r="AA1628" s="168" t="str">
        <f>IFERROR(Z1628/_xlfn.XLOOKUP(_xlfn.XLOOKUP($F1628,Clientes!$B$4:$B$39,Clientes!$C$4:$C$39),Cadastros!$L$6:$L$12,Cadastros!$M$6:$M$12)," ")</f>
        <v xml:space="preserve"> </v>
      </c>
      <c r="AB1628" s="28"/>
      <c r="AC1628" s="28"/>
      <c r="AD1628" s="20" t="str">
        <f>IF(AB1628="","",IF($F1628="Bernardino Furlan",_xlfn.XLOOKUP(AB1628,Cadastros!$G$6:$G$90,Cadastros!$H$6:$H$90)*(1-0.18),IF($F1628="Mauro José Salanti",_xlfn.XLOOKUP(AB1628,Cadastros!$G$6:$G$90,Cadastros!$H$6:$H$90)*(1-0.18),_xlfn.XLOOKUP(AB1628,Cadastros!$G$6:$G$90,Cadastros!$H$6:$H$90))))</f>
        <v/>
      </c>
      <c r="AE1628" s="168" t="str">
        <f t="shared" si="330"/>
        <v/>
      </c>
      <c r="AF1628" s="168" t="str">
        <f t="shared" si="331"/>
        <v/>
      </c>
      <c r="AG1628" s="28"/>
      <c r="AH1628" s="28"/>
      <c r="AI1628" s="20" t="str">
        <f>IF(AG1628="","",IF($F1628="Bernardino Furlan",_xlfn.XLOOKUP(AG1628,Cadastros!$G$6:$G$90,Cadastros!$H$6:$H$90)*(1-0.18),IF($F1628="Mauro José Salanti",_xlfn.XLOOKUP(AG1628,Cadastros!$G$6:$G$90,Cadastros!$H$6:$H$90)*(1-0.18),_xlfn.XLOOKUP(AG1628,Cadastros!$G$6:$G$90,Cadastros!$H$6:$H$90))))</f>
        <v/>
      </c>
      <c r="AJ1628" s="168" t="str">
        <f t="shared" si="332"/>
        <v/>
      </c>
      <c r="AK1628" s="168" t="str">
        <f t="shared" si="333"/>
        <v/>
      </c>
      <c r="AL1628" s="28"/>
      <c r="AM1628" s="28"/>
      <c r="AN1628" s="20" t="str">
        <f>IF(AL1628="","",IF($F1628="Bernardino Furlan",_xlfn.XLOOKUP(AL1628,Cadastros!$G$6:$G$90,Cadastros!$H$6:$H$90)*(1-0.18),IF($F1628="Mauro José Salanti",_xlfn.XLOOKUP(AL1628,Cadastros!$G$6:$G$90,Cadastros!$H$6:$H$90)*(1-0.18),_xlfn.XLOOKUP(AL1628,Cadastros!$G$6:$G$90,Cadastros!$H$6:$H$90))))</f>
        <v/>
      </c>
      <c r="AO1628" s="168" t="str">
        <f t="shared" si="334"/>
        <v/>
      </c>
      <c r="AP1628" s="168" t="str">
        <f t="shared" si="335"/>
        <v/>
      </c>
      <c r="AQ1628" s="28"/>
      <c r="AR1628" s="28"/>
      <c r="AS1628" s="20" t="str">
        <f>IF(AQ1628="","",IF($F1628="Bernardino Furlan",_xlfn.XLOOKUP(AQ1628,Cadastros!$G$6:$G$90,Cadastros!$H$6:$H$90)*(1-0.18),IF($F1628="Mauro José Salanti",_xlfn.XLOOKUP(AQ1628,Cadastros!$G$6:$G$90,Cadastros!$H$6:$H$90)*(1-0.18),_xlfn.XLOOKUP(AQ1628,Cadastros!$G$6:$G$90,Cadastros!$H$6:$H$90))))</f>
        <v/>
      </c>
      <c r="AT1628" s="168" t="str">
        <f t="shared" si="336"/>
        <v/>
      </c>
      <c r="AU1628" s="168" t="str">
        <f t="shared" si="337"/>
        <v/>
      </c>
      <c r="AV1628" s="227"/>
      <c r="AW1628" s="30"/>
      <c r="AX1628" s="267"/>
      <c r="AY1628" s="267"/>
      <c r="AZ1628" s="29"/>
      <c r="BA1628" s="30"/>
      <c r="BB1628" s="23" t="str" cm="1">
        <f t="array" ref="BB1628">_xlfn.IFS(AW1628="SIM",SUM(K1628,P1628,U1628,Z1628,AE1628,AJ1628,AO1628,AT1628,AX1628,AY1628),F1628&lt;&gt;"",SUM(K1628,P1628,U1628,Z1628,AE1628,AJ1628,,AO1628,AT1628),F1628="","")</f>
        <v/>
      </c>
      <c r="BC1628" s="211" t="str" cm="1">
        <f t="array" ref="BC1628">_xlfn.IFS(E1628="","",G1628&lt;=E1628,BB1628*(1-0.03),G1628&lt;(E1628+8),BB1628,AZ1628="Boleto",BB1628*(1+0.001)^DATEDIF(E1628,G1628,"D"),AZ1628="Cheque",BB1628,AZ1628="Dinheiro","Alterar forma pgto")</f>
        <v/>
      </c>
      <c r="BD1628" s="276" t="str" cm="1">
        <f t="array" ref="BD1628">IF(F1628=0," ",IF(BC1628&lt;BB1628,(_xlfn.IFS(AW1628="SIM",SUM(L1628,Q1628,V1628,AA1628,AF1628,AK1628,AP1628,AU1628)+AX1628/_xlfn.XLOOKUP(_xlfn.XLOOKUP($F1628,Clientes!$B$4:$B$39,Clientes!$C$4:$C$39),Cadastros!$L$6:$L$12,Cadastros!$M$6:$M$12)+IF($F1628="Bernardino Furlan",AY1628/2751.92,IF($F1628="Mauro José Salanti",AY1628/2751.92,AY1628/3356)),F1628&lt;&gt;0,SUM(L1628,Q1628,V1628,AA1628,AF1628,AK1628,AP1628,AU1628)))*(1-0.03),_xlfn.IFS(AW1628="SIM",SUM(L1628,Q1628,V1628,AA1628,AF1628,AK1628,AP1628,AU1628)+AX1628/_xlfn.XLOOKUP(_xlfn.XLOOKUP($F1628,Clientes!$B$4:$B$39,Clientes!$C$4:$C$39),Cadastros!$L$6:$L$12,Cadastros!$M$6:$M$12)+IF($F1628="Bernardino Furlan",AY1628/2751.92,IF($F1628="Mauro José Salanti",AY1628/2751.92,AY1628/3356)),F1628&lt;&gt;0,SUM(L1628,Q1628,V1628,AA1628,AF1628,AK1628,AP1628,AU1628))))</f>
        <v xml:space="preserve"> </v>
      </c>
      <c r="BE1628" s="120"/>
      <c r="BF1628" s="120"/>
      <c r="BG1628" s="120"/>
    </row>
    <row r="1629" spans="1:59" s="3" customFormat="1" x14ac:dyDescent="0.3">
      <c r="A1629" s="15" t="str">
        <f t="shared" si="325"/>
        <v/>
      </c>
      <c r="B1629" s="25"/>
      <c r="C1629" s="26"/>
      <c r="D1629" s="279"/>
      <c r="E1629" s="27"/>
      <c r="F1629" s="28"/>
      <c r="G1629" s="27"/>
      <c r="H1629" s="28"/>
      <c r="I1629" s="28"/>
      <c r="J1629" s="255" t="str">
        <f>IF(H1629="","",(_xlfn.XLOOKUP(H1629,Cadastros!$D$6:$D$90,Cadastros!$E$6:$E$90))*(1-_xlfn.XLOOKUP(_xlfn.XLOOKUP($F1629,Clientes!$B$4:$B$39,Clientes!$C$4:$C$39),Cadastros!$L$6:$L$12,Cadastros!$N$6:$N$12)))</f>
        <v/>
      </c>
      <c r="K1629" s="168" t="str">
        <f t="shared" si="326"/>
        <v/>
      </c>
      <c r="L1629" s="168" t="str">
        <f>IFERROR(K1629/_xlfn.XLOOKUP(_xlfn.XLOOKUP($F1629,Clientes!$B$4:$B$39,Clientes!$C$4:$C$39),Cadastros!$L$6:$L$12,Cadastros!$M$6:$M$12)," ")</f>
        <v xml:space="preserve"> </v>
      </c>
      <c r="M1629" s="28"/>
      <c r="N1629" s="28"/>
      <c r="O1629" s="255" t="str">
        <f>IF(M1629="","",(_xlfn.XLOOKUP(M1629,Cadastros!$D$6:$D$90,Cadastros!$E$6:$E$90))*(1-_xlfn.XLOOKUP(_xlfn.XLOOKUP($F1629,Clientes!$B$4:$B$39,Clientes!$C$4:$C$39),Cadastros!$L$6:$L$12,Cadastros!$N$6:$N$12)))</f>
        <v/>
      </c>
      <c r="P1629" s="168" t="str">
        <f t="shared" si="327"/>
        <v/>
      </c>
      <c r="Q1629" s="168" t="str">
        <f>IFERROR(P1629/_xlfn.XLOOKUP(_xlfn.XLOOKUP($F1629,Clientes!$B$4:$B$39,Clientes!$C$4:$C$39),Cadastros!$L$6:$L$12,Cadastros!$M$6:$M$12)," ")</f>
        <v xml:space="preserve"> </v>
      </c>
      <c r="R1629" s="28"/>
      <c r="S1629" s="28"/>
      <c r="T1629" s="255" t="str">
        <f>IF(R1629="","",(_xlfn.XLOOKUP(R1629,Cadastros!$D$6:$D$90,Cadastros!$E$6:$E$90))*(1-_xlfn.XLOOKUP(_xlfn.XLOOKUP($F1629,Clientes!$B$4:$B$39,Clientes!$C$4:$C$39),Cadastros!$L$6:$L$12,Cadastros!$N$6:$N$12)))</f>
        <v/>
      </c>
      <c r="U1629" s="168" t="str">
        <f t="shared" si="328"/>
        <v/>
      </c>
      <c r="V1629" s="168" t="str">
        <f>IFERROR(U1629/_xlfn.XLOOKUP(_xlfn.XLOOKUP($F1629,Clientes!$B$4:$B$39,Clientes!$C$4:$C$39),Cadastros!$L$6:$L$12,Cadastros!$M$6:$M$12)," ")</f>
        <v xml:space="preserve"> </v>
      </c>
      <c r="W1629" s="28"/>
      <c r="X1629" s="28"/>
      <c r="Y1629" s="255" t="str">
        <f>IF(W1629="","",(_xlfn.XLOOKUP(W1629,Cadastros!$D$6:$D$90,Cadastros!$E$6:$E$90))*(1-_xlfn.XLOOKUP(_xlfn.XLOOKUP($F1629,Clientes!$B$4:$B$39,Clientes!$C$4:$C$39),Cadastros!$L$6:$L$12,Cadastros!$N$6:$N$12)))</f>
        <v/>
      </c>
      <c r="Z1629" s="168" t="str">
        <f t="shared" si="329"/>
        <v/>
      </c>
      <c r="AA1629" s="168" t="str">
        <f>IFERROR(Z1629/_xlfn.XLOOKUP(_xlfn.XLOOKUP($F1629,Clientes!$B$4:$B$39,Clientes!$C$4:$C$39),Cadastros!$L$6:$L$12,Cadastros!$M$6:$M$12)," ")</f>
        <v xml:space="preserve"> </v>
      </c>
      <c r="AB1629" s="28"/>
      <c r="AC1629" s="28"/>
      <c r="AD1629" s="20" t="str">
        <f>IF(AB1629="","",IF($F1629="Bernardino Furlan",_xlfn.XLOOKUP(AB1629,Cadastros!$G$6:$G$90,Cadastros!$H$6:$H$90)*(1-0.18),IF($F1629="Mauro José Salanti",_xlfn.XLOOKUP(AB1629,Cadastros!$G$6:$G$90,Cadastros!$H$6:$H$90)*(1-0.18),_xlfn.XLOOKUP(AB1629,Cadastros!$G$6:$G$90,Cadastros!$H$6:$H$90))))</f>
        <v/>
      </c>
      <c r="AE1629" s="168" t="str">
        <f t="shared" si="330"/>
        <v/>
      </c>
      <c r="AF1629" s="168" t="str">
        <f t="shared" si="331"/>
        <v/>
      </c>
      <c r="AG1629" s="28"/>
      <c r="AH1629" s="28"/>
      <c r="AI1629" s="20" t="str">
        <f>IF(AG1629="","",IF($F1629="Bernardino Furlan",_xlfn.XLOOKUP(AG1629,Cadastros!$G$6:$G$90,Cadastros!$H$6:$H$90)*(1-0.18),IF($F1629="Mauro José Salanti",_xlfn.XLOOKUP(AG1629,Cadastros!$G$6:$G$90,Cadastros!$H$6:$H$90)*(1-0.18),_xlfn.XLOOKUP(AG1629,Cadastros!$G$6:$G$90,Cadastros!$H$6:$H$90))))</f>
        <v/>
      </c>
      <c r="AJ1629" s="168" t="str">
        <f t="shared" si="332"/>
        <v/>
      </c>
      <c r="AK1629" s="168" t="str">
        <f t="shared" si="333"/>
        <v/>
      </c>
      <c r="AL1629" s="28"/>
      <c r="AM1629" s="28"/>
      <c r="AN1629" s="20" t="str">
        <f>IF(AL1629="","",IF($F1629="Bernardino Furlan",_xlfn.XLOOKUP(AL1629,Cadastros!$G$6:$G$90,Cadastros!$H$6:$H$90)*(1-0.18),IF($F1629="Mauro José Salanti",_xlfn.XLOOKUP(AL1629,Cadastros!$G$6:$G$90,Cadastros!$H$6:$H$90)*(1-0.18),_xlfn.XLOOKUP(AL1629,Cadastros!$G$6:$G$90,Cadastros!$H$6:$H$90))))</f>
        <v/>
      </c>
      <c r="AO1629" s="168" t="str">
        <f t="shared" si="334"/>
        <v/>
      </c>
      <c r="AP1629" s="168" t="str">
        <f t="shared" si="335"/>
        <v/>
      </c>
      <c r="AQ1629" s="28"/>
      <c r="AR1629" s="28"/>
      <c r="AS1629" s="20" t="str">
        <f>IF(AQ1629="","",IF($F1629="Bernardino Furlan",_xlfn.XLOOKUP(AQ1629,Cadastros!$G$6:$G$90,Cadastros!$H$6:$H$90)*(1-0.18),IF($F1629="Mauro José Salanti",_xlfn.XLOOKUP(AQ1629,Cadastros!$G$6:$G$90,Cadastros!$H$6:$H$90)*(1-0.18),_xlfn.XLOOKUP(AQ1629,Cadastros!$G$6:$G$90,Cadastros!$H$6:$H$90))))</f>
        <v/>
      </c>
      <c r="AT1629" s="168" t="str">
        <f t="shared" si="336"/>
        <v/>
      </c>
      <c r="AU1629" s="168" t="str">
        <f t="shared" si="337"/>
        <v/>
      </c>
      <c r="AV1629" s="227"/>
      <c r="AW1629" s="30"/>
      <c r="AX1629" s="267"/>
      <c r="AY1629" s="267"/>
      <c r="AZ1629" s="29"/>
      <c r="BA1629" s="30"/>
      <c r="BB1629" s="23" t="str" cm="1">
        <f t="array" ref="BB1629">_xlfn.IFS(AW1629="SIM",SUM(K1629,P1629,U1629,Z1629,AE1629,AJ1629,AO1629,AT1629,AX1629,AY1629),F1629&lt;&gt;"",SUM(K1629,P1629,U1629,Z1629,AE1629,AJ1629,,AO1629,AT1629),F1629="","")</f>
        <v/>
      </c>
      <c r="BC1629" s="211" t="str" cm="1">
        <f t="array" ref="BC1629">_xlfn.IFS(E1629="","",G1629&lt;=E1629,BB1629*(1-0.03),G1629&lt;(E1629+8),BB1629,AZ1629="Boleto",BB1629*(1+0.001)^DATEDIF(E1629,G1629,"D"),AZ1629="Cheque",BB1629,AZ1629="Dinheiro","Alterar forma pgto")</f>
        <v/>
      </c>
      <c r="BD1629" s="276" t="str" cm="1">
        <f t="array" ref="BD1629">IF(F1629=0," ",IF(BC1629&lt;BB1629,(_xlfn.IFS(AW1629="SIM",SUM(L1629,Q1629,V1629,AA1629,AF1629,AK1629,AP1629,AU1629)+AX1629/_xlfn.XLOOKUP(_xlfn.XLOOKUP($F1629,Clientes!$B$4:$B$39,Clientes!$C$4:$C$39),Cadastros!$L$6:$L$12,Cadastros!$M$6:$M$12)+IF($F1629="Bernardino Furlan",AY1629/2751.92,IF($F1629="Mauro José Salanti",AY1629/2751.92,AY1629/3356)),F1629&lt;&gt;0,SUM(L1629,Q1629,V1629,AA1629,AF1629,AK1629,AP1629,AU1629)))*(1-0.03),_xlfn.IFS(AW1629="SIM",SUM(L1629,Q1629,V1629,AA1629,AF1629,AK1629,AP1629,AU1629)+AX1629/_xlfn.XLOOKUP(_xlfn.XLOOKUP($F1629,Clientes!$B$4:$B$39,Clientes!$C$4:$C$39),Cadastros!$L$6:$L$12,Cadastros!$M$6:$M$12)+IF($F1629="Bernardino Furlan",AY1629/2751.92,IF($F1629="Mauro José Salanti",AY1629/2751.92,AY1629/3356)),F1629&lt;&gt;0,SUM(L1629,Q1629,V1629,AA1629,AF1629,AK1629,AP1629,AU1629))))</f>
        <v xml:space="preserve"> </v>
      </c>
      <c r="BE1629" s="120"/>
      <c r="BF1629" s="120"/>
      <c r="BG1629" s="120"/>
    </row>
    <row r="1630" spans="1:59" s="3" customFormat="1" x14ac:dyDescent="0.3">
      <c r="A1630" s="15" t="str">
        <f t="shared" si="325"/>
        <v/>
      </c>
      <c r="B1630" s="25"/>
      <c r="C1630" s="26"/>
      <c r="D1630" s="279"/>
      <c r="E1630" s="27"/>
      <c r="F1630" s="28"/>
      <c r="G1630" s="27"/>
      <c r="H1630" s="28"/>
      <c r="I1630" s="28"/>
      <c r="J1630" s="255" t="str">
        <f>IF(H1630="","",(_xlfn.XLOOKUP(H1630,Cadastros!$D$6:$D$90,Cadastros!$E$6:$E$90))*(1-_xlfn.XLOOKUP(_xlfn.XLOOKUP($F1630,Clientes!$B$4:$B$39,Clientes!$C$4:$C$39),Cadastros!$L$6:$L$12,Cadastros!$N$6:$N$12)))</f>
        <v/>
      </c>
      <c r="K1630" s="168" t="str">
        <f t="shared" si="326"/>
        <v/>
      </c>
      <c r="L1630" s="168" t="str">
        <f>IFERROR(K1630/_xlfn.XLOOKUP(_xlfn.XLOOKUP($F1630,Clientes!$B$4:$B$39,Clientes!$C$4:$C$39),Cadastros!$L$6:$L$12,Cadastros!$M$6:$M$12)," ")</f>
        <v xml:space="preserve"> </v>
      </c>
      <c r="M1630" s="28"/>
      <c r="N1630" s="28"/>
      <c r="O1630" s="255" t="str">
        <f>IF(M1630="","",(_xlfn.XLOOKUP(M1630,Cadastros!$D$6:$D$90,Cadastros!$E$6:$E$90))*(1-_xlfn.XLOOKUP(_xlfn.XLOOKUP($F1630,Clientes!$B$4:$B$39,Clientes!$C$4:$C$39),Cadastros!$L$6:$L$12,Cadastros!$N$6:$N$12)))</f>
        <v/>
      </c>
      <c r="P1630" s="168" t="str">
        <f t="shared" si="327"/>
        <v/>
      </c>
      <c r="Q1630" s="168" t="str">
        <f>IFERROR(P1630/_xlfn.XLOOKUP(_xlfn.XLOOKUP($F1630,Clientes!$B$4:$B$39,Clientes!$C$4:$C$39),Cadastros!$L$6:$L$12,Cadastros!$M$6:$M$12)," ")</f>
        <v xml:space="preserve"> </v>
      </c>
      <c r="R1630" s="28"/>
      <c r="S1630" s="28"/>
      <c r="T1630" s="255" t="str">
        <f>IF(R1630="","",(_xlfn.XLOOKUP(R1630,Cadastros!$D$6:$D$90,Cadastros!$E$6:$E$90))*(1-_xlfn.XLOOKUP(_xlfn.XLOOKUP($F1630,Clientes!$B$4:$B$39,Clientes!$C$4:$C$39),Cadastros!$L$6:$L$12,Cadastros!$N$6:$N$12)))</f>
        <v/>
      </c>
      <c r="U1630" s="168" t="str">
        <f t="shared" si="328"/>
        <v/>
      </c>
      <c r="V1630" s="168" t="str">
        <f>IFERROR(U1630/_xlfn.XLOOKUP(_xlfn.XLOOKUP($F1630,Clientes!$B$4:$B$39,Clientes!$C$4:$C$39),Cadastros!$L$6:$L$12,Cadastros!$M$6:$M$12)," ")</f>
        <v xml:space="preserve"> </v>
      </c>
      <c r="W1630" s="28"/>
      <c r="X1630" s="28"/>
      <c r="Y1630" s="255" t="str">
        <f>IF(W1630="","",(_xlfn.XLOOKUP(W1630,Cadastros!$D$6:$D$90,Cadastros!$E$6:$E$90))*(1-_xlfn.XLOOKUP(_xlfn.XLOOKUP($F1630,Clientes!$B$4:$B$39,Clientes!$C$4:$C$39),Cadastros!$L$6:$L$12,Cadastros!$N$6:$N$12)))</f>
        <v/>
      </c>
      <c r="Z1630" s="168" t="str">
        <f t="shared" si="329"/>
        <v/>
      </c>
      <c r="AA1630" s="168" t="str">
        <f>IFERROR(Z1630/_xlfn.XLOOKUP(_xlfn.XLOOKUP($F1630,Clientes!$B$4:$B$39,Clientes!$C$4:$C$39),Cadastros!$L$6:$L$12,Cadastros!$M$6:$M$12)," ")</f>
        <v xml:space="preserve"> </v>
      </c>
      <c r="AB1630" s="28"/>
      <c r="AC1630" s="28"/>
      <c r="AD1630" s="20" t="str">
        <f>IF(AB1630="","",IF($F1630="Bernardino Furlan",_xlfn.XLOOKUP(AB1630,Cadastros!$G$6:$G$90,Cadastros!$H$6:$H$90)*(1-0.18),IF($F1630="Mauro José Salanti",_xlfn.XLOOKUP(AB1630,Cadastros!$G$6:$G$90,Cadastros!$H$6:$H$90)*(1-0.18),_xlfn.XLOOKUP(AB1630,Cadastros!$G$6:$G$90,Cadastros!$H$6:$H$90))))</f>
        <v/>
      </c>
      <c r="AE1630" s="168" t="str">
        <f t="shared" si="330"/>
        <v/>
      </c>
      <c r="AF1630" s="168" t="str">
        <f t="shared" si="331"/>
        <v/>
      </c>
      <c r="AG1630" s="28"/>
      <c r="AH1630" s="28"/>
      <c r="AI1630" s="20" t="str">
        <f>IF(AG1630="","",IF($F1630="Bernardino Furlan",_xlfn.XLOOKUP(AG1630,Cadastros!$G$6:$G$90,Cadastros!$H$6:$H$90)*(1-0.18),IF($F1630="Mauro José Salanti",_xlfn.XLOOKUP(AG1630,Cadastros!$G$6:$G$90,Cadastros!$H$6:$H$90)*(1-0.18),_xlfn.XLOOKUP(AG1630,Cadastros!$G$6:$G$90,Cadastros!$H$6:$H$90))))</f>
        <v/>
      </c>
      <c r="AJ1630" s="168" t="str">
        <f t="shared" si="332"/>
        <v/>
      </c>
      <c r="AK1630" s="168" t="str">
        <f t="shared" si="333"/>
        <v/>
      </c>
      <c r="AL1630" s="28"/>
      <c r="AM1630" s="28"/>
      <c r="AN1630" s="20" t="str">
        <f>IF(AL1630="","",IF($F1630="Bernardino Furlan",_xlfn.XLOOKUP(AL1630,Cadastros!$G$6:$G$90,Cadastros!$H$6:$H$90)*(1-0.18),IF($F1630="Mauro José Salanti",_xlfn.XLOOKUP(AL1630,Cadastros!$G$6:$G$90,Cadastros!$H$6:$H$90)*(1-0.18),_xlfn.XLOOKUP(AL1630,Cadastros!$G$6:$G$90,Cadastros!$H$6:$H$90))))</f>
        <v/>
      </c>
      <c r="AO1630" s="168" t="str">
        <f t="shared" si="334"/>
        <v/>
      </c>
      <c r="AP1630" s="168" t="str">
        <f t="shared" si="335"/>
        <v/>
      </c>
      <c r="AQ1630" s="28"/>
      <c r="AR1630" s="28"/>
      <c r="AS1630" s="20" t="str">
        <f>IF(AQ1630="","",IF($F1630="Bernardino Furlan",_xlfn.XLOOKUP(AQ1630,Cadastros!$G$6:$G$90,Cadastros!$H$6:$H$90)*(1-0.18),IF($F1630="Mauro José Salanti",_xlfn.XLOOKUP(AQ1630,Cadastros!$G$6:$G$90,Cadastros!$H$6:$H$90)*(1-0.18),_xlfn.XLOOKUP(AQ1630,Cadastros!$G$6:$G$90,Cadastros!$H$6:$H$90))))</f>
        <v/>
      </c>
      <c r="AT1630" s="168" t="str">
        <f t="shared" si="336"/>
        <v/>
      </c>
      <c r="AU1630" s="168" t="str">
        <f t="shared" si="337"/>
        <v/>
      </c>
      <c r="AV1630" s="227"/>
      <c r="AW1630" s="30"/>
      <c r="AX1630" s="267"/>
      <c r="AY1630" s="267"/>
      <c r="AZ1630" s="29"/>
      <c r="BA1630" s="30"/>
      <c r="BB1630" s="23" t="str" cm="1">
        <f t="array" ref="BB1630">_xlfn.IFS(AW1630="SIM",SUM(K1630,P1630,U1630,Z1630,AE1630,AJ1630,AO1630,AT1630,AX1630,AY1630),F1630&lt;&gt;"",SUM(K1630,P1630,U1630,Z1630,AE1630,AJ1630,,AO1630,AT1630),F1630="","")</f>
        <v/>
      </c>
      <c r="BC1630" s="211" t="str" cm="1">
        <f t="array" ref="BC1630">_xlfn.IFS(E1630="","",G1630&lt;=E1630,BB1630*(1-0.03),G1630&lt;(E1630+8),BB1630,AZ1630="Boleto",BB1630*(1+0.001)^DATEDIF(E1630,G1630,"D"),AZ1630="Cheque",BB1630,AZ1630="Dinheiro","Alterar forma pgto")</f>
        <v/>
      </c>
      <c r="BD1630" s="276" t="str" cm="1">
        <f t="array" ref="BD1630">IF(F1630=0," ",IF(BC1630&lt;BB1630,(_xlfn.IFS(AW1630="SIM",SUM(L1630,Q1630,V1630,AA1630,AF1630,AK1630,AP1630,AU1630)+AX1630/_xlfn.XLOOKUP(_xlfn.XLOOKUP($F1630,Clientes!$B$4:$B$39,Clientes!$C$4:$C$39),Cadastros!$L$6:$L$12,Cadastros!$M$6:$M$12)+IF($F1630="Bernardino Furlan",AY1630/2751.92,IF($F1630="Mauro José Salanti",AY1630/2751.92,AY1630/3356)),F1630&lt;&gt;0,SUM(L1630,Q1630,V1630,AA1630,AF1630,AK1630,AP1630,AU1630)))*(1-0.03),_xlfn.IFS(AW1630="SIM",SUM(L1630,Q1630,V1630,AA1630,AF1630,AK1630,AP1630,AU1630)+AX1630/_xlfn.XLOOKUP(_xlfn.XLOOKUP($F1630,Clientes!$B$4:$B$39,Clientes!$C$4:$C$39),Cadastros!$L$6:$L$12,Cadastros!$M$6:$M$12)+IF($F1630="Bernardino Furlan",AY1630/2751.92,IF($F1630="Mauro José Salanti",AY1630/2751.92,AY1630/3356)),F1630&lt;&gt;0,SUM(L1630,Q1630,V1630,AA1630,AF1630,AK1630,AP1630,AU1630))))</f>
        <v xml:space="preserve"> </v>
      </c>
      <c r="BE1630" s="120"/>
      <c r="BF1630" s="120"/>
      <c r="BG1630" s="120"/>
    </row>
    <row r="1631" spans="1:59" s="3" customFormat="1" x14ac:dyDescent="0.3">
      <c r="A1631" s="15" t="str">
        <f t="shared" si="325"/>
        <v/>
      </c>
      <c r="B1631" s="25"/>
      <c r="C1631" s="26"/>
      <c r="D1631" s="279"/>
      <c r="E1631" s="27"/>
      <c r="F1631" s="28"/>
      <c r="G1631" s="27"/>
      <c r="H1631" s="28"/>
      <c r="I1631" s="28"/>
      <c r="J1631" s="255" t="str">
        <f>IF(H1631="","",(_xlfn.XLOOKUP(H1631,Cadastros!$D$6:$D$90,Cadastros!$E$6:$E$90))*(1-_xlfn.XLOOKUP(_xlfn.XLOOKUP($F1631,Clientes!$B$4:$B$39,Clientes!$C$4:$C$39),Cadastros!$L$6:$L$12,Cadastros!$N$6:$N$12)))</f>
        <v/>
      </c>
      <c r="K1631" s="168" t="str">
        <f t="shared" si="326"/>
        <v/>
      </c>
      <c r="L1631" s="168" t="str">
        <f>IFERROR(K1631/_xlfn.XLOOKUP(_xlfn.XLOOKUP($F1631,Clientes!$B$4:$B$39,Clientes!$C$4:$C$39),Cadastros!$L$6:$L$12,Cadastros!$M$6:$M$12)," ")</f>
        <v xml:space="preserve"> </v>
      </c>
      <c r="M1631" s="28"/>
      <c r="N1631" s="28"/>
      <c r="O1631" s="255" t="str">
        <f>IF(M1631="","",(_xlfn.XLOOKUP(M1631,Cadastros!$D$6:$D$90,Cadastros!$E$6:$E$90))*(1-_xlfn.XLOOKUP(_xlfn.XLOOKUP($F1631,Clientes!$B$4:$B$39,Clientes!$C$4:$C$39),Cadastros!$L$6:$L$12,Cadastros!$N$6:$N$12)))</f>
        <v/>
      </c>
      <c r="P1631" s="168" t="str">
        <f t="shared" si="327"/>
        <v/>
      </c>
      <c r="Q1631" s="168" t="str">
        <f>IFERROR(P1631/_xlfn.XLOOKUP(_xlfn.XLOOKUP($F1631,Clientes!$B$4:$B$39,Clientes!$C$4:$C$39),Cadastros!$L$6:$L$12,Cadastros!$M$6:$M$12)," ")</f>
        <v xml:space="preserve"> </v>
      </c>
      <c r="R1631" s="28"/>
      <c r="S1631" s="28"/>
      <c r="T1631" s="255" t="str">
        <f>IF(R1631="","",(_xlfn.XLOOKUP(R1631,Cadastros!$D$6:$D$90,Cadastros!$E$6:$E$90))*(1-_xlfn.XLOOKUP(_xlfn.XLOOKUP($F1631,Clientes!$B$4:$B$39,Clientes!$C$4:$C$39),Cadastros!$L$6:$L$12,Cadastros!$N$6:$N$12)))</f>
        <v/>
      </c>
      <c r="U1631" s="168" t="str">
        <f t="shared" si="328"/>
        <v/>
      </c>
      <c r="V1631" s="168" t="str">
        <f>IFERROR(U1631/_xlfn.XLOOKUP(_xlfn.XLOOKUP($F1631,Clientes!$B$4:$B$39,Clientes!$C$4:$C$39),Cadastros!$L$6:$L$12,Cadastros!$M$6:$M$12)," ")</f>
        <v xml:space="preserve"> </v>
      </c>
      <c r="W1631" s="28"/>
      <c r="X1631" s="28"/>
      <c r="Y1631" s="255" t="str">
        <f>IF(W1631="","",(_xlfn.XLOOKUP(W1631,Cadastros!$D$6:$D$90,Cadastros!$E$6:$E$90))*(1-_xlfn.XLOOKUP(_xlfn.XLOOKUP($F1631,Clientes!$B$4:$B$39,Clientes!$C$4:$C$39),Cadastros!$L$6:$L$12,Cadastros!$N$6:$N$12)))</f>
        <v/>
      </c>
      <c r="Z1631" s="168" t="str">
        <f t="shared" si="329"/>
        <v/>
      </c>
      <c r="AA1631" s="168" t="str">
        <f>IFERROR(Z1631/_xlfn.XLOOKUP(_xlfn.XLOOKUP($F1631,Clientes!$B$4:$B$39,Clientes!$C$4:$C$39),Cadastros!$L$6:$L$12,Cadastros!$M$6:$M$12)," ")</f>
        <v xml:space="preserve"> </v>
      </c>
      <c r="AB1631" s="28"/>
      <c r="AC1631" s="28"/>
      <c r="AD1631" s="20" t="str">
        <f>IF(AB1631="","",IF($F1631="Bernardino Furlan",_xlfn.XLOOKUP(AB1631,Cadastros!$G$6:$G$90,Cadastros!$H$6:$H$90)*(1-0.18),IF($F1631="Mauro José Salanti",_xlfn.XLOOKUP(AB1631,Cadastros!$G$6:$G$90,Cadastros!$H$6:$H$90)*(1-0.18),_xlfn.XLOOKUP(AB1631,Cadastros!$G$6:$G$90,Cadastros!$H$6:$H$90))))</f>
        <v/>
      </c>
      <c r="AE1631" s="168" t="str">
        <f t="shared" si="330"/>
        <v/>
      </c>
      <c r="AF1631" s="168" t="str">
        <f t="shared" si="331"/>
        <v/>
      </c>
      <c r="AG1631" s="28"/>
      <c r="AH1631" s="28"/>
      <c r="AI1631" s="20" t="str">
        <f>IF(AG1631="","",IF($F1631="Bernardino Furlan",_xlfn.XLOOKUP(AG1631,Cadastros!$G$6:$G$90,Cadastros!$H$6:$H$90)*(1-0.18),IF($F1631="Mauro José Salanti",_xlfn.XLOOKUP(AG1631,Cadastros!$G$6:$G$90,Cadastros!$H$6:$H$90)*(1-0.18),_xlfn.XLOOKUP(AG1631,Cadastros!$G$6:$G$90,Cadastros!$H$6:$H$90))))</f>
        <v/>
      </c>
      <c r="AJ1631" s="168" t="str">
        <f t="shared" si="332"/>
        <v/>
      </c>
      <c r="AK1631" s="168" t="str">
        <f t="shared" si="333"/>
        <v/>
      </c>
      <c r="AL1631" s="28"/>
      <c r="AM1631" s="28"/>
      <c r="AN1631" s="20" t="str">
        <f>IF(AL1631="","",IF($F1631="Bernardino Furlan",_xlfn.XLOOKUP(AL1631,Cadastros!$G$6:$G$90,Cadastros!$H$6:$H$90)*(1-0.18),IF($F1631="Mauro José Salanti",_xlfn.XLOOKUP(AL1631,Cadastros!$G$6:$G$90,Cadastros!$H$6:$H$90)*(1-0.18),_xlfn.XLOOKUP(AL1631,Cadastros!$G$6:$G$90,Cadastros!$H$6:$H$90))))</f>
        <v/>
      </c>
      <c r="AO1631" s="168" t="str">
        <f t="shared" si="334"/>
        <v/>
      </c>
      <c r="AP1631" s="168" t="str">
        <f t="shared" si="335"/>
        <v/>
      </c>
      <c r="AQ1631" s="28"/>
      <c r="AR1631" s="28"/>
      <c r="AS1631" s="20" t="str">
        <f>IF(AQ1631="","",IF($F1631="Bernardino Furlan",_xlfn.XLOOKUP(AQ1631,Cadastros!$G$6:$G$90,Cadastros!$H$6:$H$90)*(1-0.18),IF($F1631="Mauro José Salanti",_xlfn.XLOOKUP(AQ1631,Cadastros!$G$6:$G$90,Cadastros!$H$6:$H$90)*(1-0.18),_xlfn.XLOOKUP(AQ1631,Cadastros!$G$6:$G$90,Cadastros!$H$6:$H$90))))</f>
        <v/>
      </c>
      <c r="AT1631" s="168" t="str">
        <f t="shared" si="336"/>
        <v/>
      </c>
      <c r="AU1631" s="168" t="str">
        <f t="shared" si="337"/>
        <v/>
      </c>
      <c r="AV1631" s="227"/>
      <c r="AW1631" s="30"/>
      <c r="AX1631" s="267"/>
      <c r="AY1631" s="267"/>
      <c r="AZ1631" s="29"/>
      <c r="BA1631" s="30"/>
      <c r="BB1631" s="23" t="str" cm="1">
        <f t="array" ref="BB1631">_xlfn.IFS(AW1631="SIM",SUM(K1631,P1631,U1631,Z1631,AE1631,AJ1631,AO1631,AT1631,AX1631,AY1631),F1631&lt;&gt;"",SUM(K1631,P1631,U1631,Z1631,AE1631,AJ1631,,AO1631,AT1631),F1631="","")</f>
        <v/>
      </c>
      <c r="BC1631" s="211" t="str" cm="1">
        <f t="array" ref="BC1631">_xlfn.IFS(E1631="","",G1631&lt;=E1631,BB1631*(1-0.03),G1631&lt;(E1631+8),BB1631,AZ1631="Boleto",BB1631*(1+0.001)^DATEDIF(E1631,G1631,"D"),AZ1631="Cheque",BB1631,AZ1631="Dinheiro","Alterar forma pgto")</f>
        <v/>
      </c>
      <c r="BD1631" s="276" t="str" cm="1">
        <f t="array" ref="BD1631">IF(F1631=0," ",IF(BC1631&lt;BB1631,(_xlfn.IFS(AW1631="SIM",SUM(L1631,Q1631,V1631,AA1631,AF1631,AK1631,AP1631,AU1631)+AX1631/_xlfn.XLOOKUP(_xlfn.XLOOKUP($F1631,Clientes!$B$4:$B$39,Clientes!$C$4:$C$39),Cadastros!$L$6:$L$12,Cadastros!$M$6:$M$12)+IF($F1631="Bernardino Furlan",AY1631/2751.92,IF($F1631="Mauro José Salanti",AY1631/2751.92,AY1631/3356)),F1631&lt;&gt;0,SUM(L1631,Q1631,V1631,AA1631,AF1631,AK1631,AP1631,AU1631)))*(1-0.03),_xlfn.IFS(AW1631="SIM",SUM(L1631,Q1631,V1631,AA1631,AF1631,AK1631,AP1631,AU1631)+AX1631/_xlfn.XLOOKUP(_xlfn.XLOOKUP($F1631,Clientes!$B$4:$B$39,Clientes!$C$4:$C$39),Cadastros!$L$6:$L$12,Cadastros!$M$6:$M$12)+IF($F1631="Bernardino Furlan",AY1631/2751.92,IF($F1631="Mauro José Salanti",AY1631/2751.92,AY1631/3356)),F1631&lt;&gt;0,SUM(L1631,Q1631,V1631,AA1631,AF1631,AK1631,AP1631,AU1631))))</f>
        <v xml:space="preserve"> </v>
      </c>
      <c r="BE1631" s="120"/>
      <c r="BF1631" s="120"/>
      <c r="BG1631" s="120"/>
    </row>
    <row r="1632" spans="1:59" s="3" customFormat="1" x14ac:dyDescent="0.3">
      <c r="A1632" s="15" t="str">
        <f t="shared" si="325"/>
        <v/>
      </c>
      <c r="B1632" s="25"/>
      <c r="C1632" s="26"/>
      <c r="D1632" s="279"/>
      <c r="E1632" s="27"/>
      <c r="F1632" s="28"/>
      <c r="G1632" s="27"/>
      <c r="H1632" s="28"/>
      <c r="I1632" s="28"/>
      <c r="J1632" s="255" t="str">
        <f>IF(H1632="","",(_xlfn.XLOOKUP(H1632,Cadastros!$D$6:$D$90,Cadastros!$E$6:$E$90))*(1-_xlfn.XLOOKUP(_xlfn.XLOOKUP($F1632,Clientes!$B$4:$B$39,Clientes!$C$4:$C$39),Cadastros!$L$6:$L$12,Cadastros!$N$6:$N$12)))</f>
        <v/>
      </c>
      <c r="K1632" s="168" t="str">
        <f t="shared" si="326"/>
        <v/>
      </c>
      <c r="L1632" s="168" t="str">
        <f>IFERROR(K1632/_xlfn.XLOOKUP(_xlfn.XLOOKUP($F1632,Clientes!$B$4:$B$39,Clientes!$C$4:$C$39),Cadastros!$L$6:$L$12,Cadastros!$M$6:$M$12)," ")</f>
        <v xml:space="preserve"> </v>
      </c>
      <c r="M1632" s="28"/>
      <c r="N1632" s="28"/>
      <c r="O1632" s="255" t="str">
        <f>IF(M1632="","",(_xlfn.XLOOKUP(M1632,Cadastros!$D$6:$D$90,Cadastros!$E$6:$E$90))*(1-_xlfn.XLOOKUP(_xlfn.XLOOKUP($F1632,Clientes!$B$4:$B$39,Clientes!$C$4:$C$39),Cadastros!$L$6:$L$12,Cadastros!$N$6:$N$12)))</f>
        <v/>
      </c>
      <c r="P1632" s="168" t="str">
        <f t="shared" si="327"/>
        <v/>
      </c>
      <c r="Q1632" s="168" t="str">
        <f>IFERROR(P1632/_xlfn.XLOOKUP(_xlfn.XLOOKUP($F1632,Clientes!$B$4:$B$39,Clientes!$C$4:$C$39),Cadastros!$L$6:$L$12,Cadastros!$M$6:$M$12)," ")</f>
        <v xml:space="preserve"> </v>
      </c>
      <c r="R1632" s="28"/>
      <c r="S1632" s="28"/>
      <c r="T1632" s="255" t="str">
        <f>IF(R1632="","",(_xlfn.XLOOKUP(R1632,Cadastros!$D$6:$D$90,Cadastros!$E$6:$E$90))*(1-_xlfn.XLOOKUP(_xlfn.XLOOKUP($F1632,Clientes!$B$4:$B$39,Clientes!$C$4:$C$39),Cadastros!$L$6:$L$12,Cadastros!$N$6:$N$12)))</f>
        <v/>
      </c>
      <c r="U1632" s="168" t="str">
        <f t="shared" si="328"/>
        <v/>
      </c>
      <c r="V1632" s="168" t="str">
        <f>IFERROR(U1632/_xlfn.XLOOKUP(_xlfn.XLOOKUP($F1632,Clientes!$B$4:$B$39,Clientes!$C$4:$C$39),Cadastros!$L$6:$L$12,Cadastros!$M$6:$M$12)," ")</f>
        <v xml:space="preserve"> </v>
      </c>
      <c r="W1632" s="28"/>
      <c r="X1632" s="28"/>
      <c r="Y1632" s="255" t="str">
        <f>IF(W1632="","",(_xlfn.XLOOKUP(W1632,Cadastros!$D$6:$D$90,Cadastros!$E$6:$E$90))*(1-_xlfn.XLOOKUP(_xlfn.XLOOKUP($F1632,Clientes!$B$4:$B$39,Clientes!$C$4:$C$39),Cadastros!$L$6:$L$12,Cadastros!$N$6:$N$12)))</f>
        <v/>
      </c>
      <c r="Z1632" s="168" t="str">
        <f t="shared" si="329"/>
        <v/>
      </c>
      <c r="AA1632" s="168" t="str">
        <f>IFERROR(Z1632/_xlfn.XLOOKUP(_xlfn.XLOOKUP($F1632,Clientes!$B$4:$B$39,Clientes!$C$4:$C$39),Cadastros!$L$6:$L$12,Cadastros!$M$6:$M$12)," ")</f>
        <v xml:space="preserve"> </v>
      </c>
      <c r="AB1632" s="28"/>
      <c r="AC1632" s="28"/>
      <c r="AD1632" s="20" t="str">
        <f>IF(AB1632="","",IF($F1632="Bernardino Furlan",_xlfn.XLOOKUP(AB1632,Cadastros!$G$6:$G$90,Cadastros!$H$6:$H$90)*(1-0.18),IF($F1632="Mauro José Salanti",_xlfn.XLOOKUP(AB1632,Cadastros!$G$6:$G$90,Cadastros!$H$6:$H$90)*(1-0.18),_xlfn.XLOOKUP(AB1632,Cadastros!$G$6:$G$90,Cadastros!$H$6:$H$90))))</f>
        <v/>
      </c>
      <c r="AE1632" s="168" t="str">
        <f t="shared" si="330"/>
        <v/>
      </c>
      <c r="AF1632" s="168" t="str">
        <f t="shared" si="331"/>
        <v/>
      </c>
      <c r="AG1632" s="28"/>
      <c r="AH1632" s="28"/>
      <c r="AI1632" s="20" t="str">
        <f>IF(AG1632="","",IF($F1632="Bernardino Furlan",_xlfn.XLOOKUP(AG1632,Cadastros!$G$6:$G$90,Cadastros!$H$6:$H$90)*(1-0.18),IF($F1632="Mauro José Salanti",_xlfn.XLOOKUP(AG1632,Cadastros!$G$6:$G$90,Cadastros!$H$6:$H$90)*(1-0.18),_xlfn.XLOOKUP(AG1632,Cadastros!$G$6:$G$90,Cadastros!$H$6:$H$90))))</f>
        <v/>
      </c>
      <c r="AJ1632" s="168" t="str">
        <f t="shared" si="332"/>
        <v/>
      </c>
      <c r="AK1632" s="168" t="str">
        <f t="shared" si="333"/>
        <v/>
      </c>
      <c r="AL1632" s="28"/>
      <c r="AM1632" s="28"/>
      <c r="AN1632" s="20" t="str">
        <f>IF(AL1632="","",IF($F1632="Bernardino Furlan",_xlfn.XLOOKUP(AL1632,Cadastros!$G$6:$G$90,Cadastros!$H$6:$H$90)*(1-0.18),IF($F1632="Mauro José Salanti",_xlfn.XLOOKUP(AL1632,Cadastros!$G$6:$G$90,Cadastros!$H$6:$H$90)*(1-0.18),_xlfn.XLOOKUP(AL1632,Cadastros!$G$6:$G$90,Cadastros!$H$6:$H$90))))</f>
        <v/>
      </c>
      <c r="AO1632" s="168" t="str">
        <f t="shared" si="334"/>
        <v/>
      </c>
      <c r="AP1632" s="168" t="str">
        <f t="shared" si="335"/>
        <v/>
      </c>
      <c r="AQ1632" s="28"/>
      <c r="AR1632" s="28"/>
      <c r="AS1632" s="20" t="str">
        <f>IF(AQ1632="","",IF($F1632="Bernardino Furlan",_xlfn.XLOOKUP(AQ1632,Cadastros!$G$6:$G$90,Cadastros!$H$6:$H$90)*(1-0.18),IF($F1632="Mauro José Salanti",_xlfn.XLOOKUP(AQ1632,Cadastros!$G$6:$G$90,Cadastros!$H$6:$H$90)*(1-0.18),_xlfn.XLOOKUP(AQ1632,Cadastros!$G$6:$G$90,Cadastros!$H$6:$H$90))))</f>
        <v/>
      </c>
      <c r="AT1632" s="168" t="str">
        <f t="shared" si="336"/>
        <v/>
      </c>
      <c r="AU1632" s="168" t="str">
        <f t="shared" si="337"/>
        <v/>
      </c>
      <c r="AV1632" s="227"/>
      <c r="AW1632" s="30"/>
      <c r="AX1632" s="267"/>
      <c r="AY1632" s="267"/>
      <c r="AZ1632" s="29"/>
      <c r="BA1632" s="30"/>
      <c r="BB1632" s="23" t="str" cm="1">
        <f t="array" ref="BB1632">_xlfn.IFS(AW1632="SIM",SUM(K1632,P1632,U1632,Z1632,AE1632,AJ1632,AO1632,AT1632,AX1632,AY1632),F1632&lt;&gt;"",SUM(K1632,P1632,U1632,Z1632,AE1632,AJ1632,,AO1632,AT1632),F1632="","")</f>
        <v/>
      </c>
      <c r="BC1632" s="211" t="str" cm="1">
        <f t="array" ref="BC1632">_xlfn.IFS(E1632="","",G1632&lt;=E1632,BB1632*(1-0.03),G1632&lt;(E1632+8),BB1632,AZ1632="Boleto",BB1632*(1+0.001)^DATEDIF(E1632,G1632,"D"),AZ1632="Cheque",BB1632,AZ1632="Dinheiro","Alterar forma pgto")</f>
        <v/>
      </c>
      <c r="BD1632" s="276" t="str" cm="1">
        <f t="array" ref="BD1632">IF(F1632=0," ",IF(BC1632&lt;BB1632,(_xlfn.IFS(AW1632="SIM",SUM(L1632,Q1632,V1632,AA1632,AF1632,AK1632,AP1632,AU1632)+AX1632/_xlfn.XLOOKUP(_xlfn.XLOOKUP($F1632,Clientes!$B$4:$B$39,Clientes!$C$4:$C$39),Cadastros!$L$6:$L$12,Cadastros!$M$6:$M$12)+IF($F1632="Bernardino Furlan",AY1632/2751.92,IF($F1632="Mauro José Salanti",AY1632/2751.92,AY1632/3356)),F1632&lt;&gt;0,SUM(L1632,Q1632,V1632,AA1632,AF1632,AK1632,AP1632,AU1632)))*(1-0.03),_xlfn.IFS(AW1632="SIM",SUM(L1632,Q1632,V1632,AA1632,AF1632,AK1632,AP1632,AU1632)+AX1632/_xlfn.XLOOKUP(_xlfn.XLOOKUP($F1632,Clientes!$B$4:$B$39,Clientes!$C$4:$C$39),Cadastros!$L$6:$L$12,Cadastros!$M$6:$M$12)+IF($F1632="Bernardino Furlan",AY1632/2751.92,IF($F1632="Mauro José Salanti",AY1632/2751.92,AY1632/3356)),F1632&lt;&gt;0,SUM(L1632,Q1632,V1632,AA1632,AF1632,AK1632,AP1632,AU1632))))</f>
        <v xml:space="preserve"> </v>
      </c>
      <c r="BE1632" s="120"/>
      <c r="BF1632" s="120"/>
      <c r="BG1632" s="120"/>
    </row>
    <row r="1633" spans="1:59" s="3" customFormat="1" x14ac:dyDescent="0.3">
      <c r="A1633" s="15" t="str">
        <f t="shared" si="325"/>
        <v/>
      </c>
      <c r="B1633" s="25"/>
      <c r="C1633" s="26"/>
      <c r="D1633" s="279"/>
      <c r="E1633" s="27"/>
      <c r="F1633" s="28"/>
      <c r="G1633" s="27"/>
      <c r="H1633" s="28"/>
      <c r="I1633" s="28"/>
      <c r="J1633" s="255" t="str">
        <f>IF(H1633="","",(_xlfn.XLOOKUP(H1633,Cadastros!$D$6:$D$90,Cadastros!$E$6:$E$90))*(1-_xlfn.XLOOKUP(_xlfn.XLOOKUP($F1633,Clientes!$B$4:$B$39,Clientes!$C$4:$C$39),Cadastros!$L$6:$L$12,Cadastros!$N$6:$N$12)))</f>
        <v/>
      </c>
      <c r="K1633" s="168" t="str">
        <f t="shared" si="326"/>
        <v/>
      </c>
      <c r="L1633" s="168" t="str">
        <f>IFERROR(K1633/_xlfn.XLOOKUP(_xlfn.XLOOKUP($F1633,Clientes!$B$4:$B$39,Clientes!$C$4:$C$39),Cadastros!$L$6:$L$12,Cadastros!$M$6:$M$12)," ")</f>
        <v xml:space="preserve"> </v>
      </c>
      <c r="M1633" s="28"/>
      <c r="N1633" s="28"/>
      <c r="O1633" s="255" t="str">
        <f>IF(M1633="","",(_xlfn.XLOOKUP(M1633,Cadastros!$D$6:$D$90,Cadastros!$E$6:$E$90))*(1-_xlfn.XLOOKUP(_xlfn.XLOOKUP($F1633,Clientes!$B$4:$B$39,Clientes!$C$4:$C$39),Cadastros!$L$6:$L$12,Cadastros!$N$6:$N$12)))</f>
        <v/>
      </c>
      <c r="P1633" s="168" t="str">
        <f t="shared" si="327"/>
        <v/>
      </c>
      <c r="Q1633" s="168" t="str">
        <f>IFERROR(P1633/_xlfn.XLOOKUP(_xlfn.XLOOKUP($F1633,Clientes!$B$4:$B$39,Clientes!$C$4:$C$39),Cadastros!$L$6:$L$12,Cadastros!$M$6:$M$12)," ")</f>
        <v xml:space="preserve"> </v>
      </c>
      <c r="R1633" s="28"/>
      <c r="S1633" s="28"/>
      <c r="T1633" s="255" t="str">
        <f>IF(R1633="","",(_xlfn.XLOOKUP(R1633,Cadastros!$D$6:$D$90,Cadastros!$E$6:$E$90))*(1-_xlfn.XLOOKUP(_xlfn.XLOOKUP($F1633,Clientes!$B$4:$B$39,Clientes!$C$4:$C$39),Cadastros!$L$6:$L$12,Cadastros!$N$6:$N$12)))</f>
        <v/>
      </c>
      <c r="U1633" s="168" t="str">
        <f t="shared" si="328"/>
        <v/>
      </c>
      <c r="V1633" s="168" t="str">
        <f>IFERROR(U1633/_xlfn.XLOOKUP(_xlfn.XLOOKUP($F1633,Clientes!$B$4:$B$39,Clientes!$C$4:$C$39),Cadastros!$L$6:$L$12,Cadastros!$M$6:$M$12)," ")</f>
        <v xml:space="preserve"> </v>
      </c>
      <c r="W1633" s="28"/>
      <c r="X1633" s="28"/>
      <c r="Y1633" s="255" t="str">
        <f>IF(W1633="","",(_xlfn.XLOOKUP(W1633,Cadastros!$D$6:$D$90,Cadastros!$E$6:$E$90))*(1-_xlfn.XLOOKUP(_xlfn.XLOOKUP($F1633,Clientes!$B$4:$B$39,Clientes!$C$4:$C$39),Cadastros!$L$6:$L$12,Cadastros!$N$6:$N$12)))</f>
        <v/>
      </c>
      <c r="Z1633" s="168" t="str">
        <f t="shared" si="329"/>
        <v/>
      </c>
      <c r="AA1633" s="168" t="str">
        <f>IFERROR(Z1633/_xlfn.XLOOKUP(_xlfn.XLOOKUP($F1633,Clientes!$B$4:$B$39,Clientes!$C$4:$C$39),Cadastros!$L$6:$L$12,Cadastros!$M$6:$M$12)," ")</f>
        <v xml:space="preserve"> </v>
      </c>
      <c r="AB1633" s="28"/>
      <c r="AC1633" s="28"/>
      <c r="AD1633" s="20" t="str">
        <f>IF(AB1633="","",IF($F1633="Bernardino Furlan",_xlfn.XLOOKUP(AB1633,Cadastros!$G$6:$G$90,Cadastros!$H$6:$H$90)*(1-0.18),IF($F1633="Mauro José Salanti",_xlfn.XLOOKUP(AB1633,Cadastros!$G$6:$G$90,Cadastros!$H$6:$H$90)*(1-0.18),_xlfn.XLOOKUP(AB1633,Cadastros!$G$6:$G$90,Cadastros!$H$6:$H$90))))</f>
        <v/>
      </c>
      <c r="AE1633" s="168" t="str">
        <f t="shared" si="330"/>
        <v/>
      </c>
      <c r="AF1633" s="168" t="str">
        <f t="shared" si="331"/>
        <v/>
      </c>
      <c r="AG1633" s="28"/>
      <c r="AH1633" s="28"/>
      <c r="AI1633" s="20" t="str">
        <f>IF(AG1633="","",IF($F1633="Bernardino Furlan",_xlfn.XLOOKUP(AG1633,Cadastros!$G$6:$G$90,Cadastros!$H$6:$H$90)*(1-0.18),IF($F1633="Mauro José Salanti",_xlfn.XLOOKUP(AG1633,Cadastros!$G$6:$G$90,Cadastros!$H$6:$H$90)*(1-0.18),_xlfn.XLOOKUP(AG1633,Cadastros!$G$6:$G$90,Cadastros!$H$6:$H$90))))</f>
        <v/>
      </c>
      <c r="AJ1633" s="168" t="str">
        <f t="shared" si="332"/>
        <v/>
      </c>
      <c r="AK1633" s="168" t="str">
        <f t="shared" si="333"/>
        <v/>
      </c>
      <c r="AL1633" s="28"/>
      <c r="AM1633" s="28"/>
      <c r="AN1633" s="20" t="str">
        <f>IF(AL1633="","",IF($F1633="Bernardino Furlan",_xlfn.XLOOKUP(AL1633,Cadastros!$G$6:$G$90,Cadastros!$H$6:$H$90)*(1-0.18),IF($F1633="Mauro José Salanti",_xlfn.XLOOKUP(AL1633,Cadastros!$G$6:$G$90,Cadastros!$H$6:$H$90)*(1-0.18),_xlfn.XLOOKUP(AL1633,Cadastros!$G$6:$G$90,Cadastros!$H$6:$H$90))))</f>
        <v/>
      </c>
      <c r="AO1633" s="168" t="str">
        <f t="shared" si="334"/>
        <v/>
      </c>
      <c r="AP1633" s="168" t="str">
        <f t="shared" si="335"/>
        <v/>
      </c>
      <c r="AQ1633" s="28"/>
      <c r="AR1633" s="28"/>
      <c r="AS1633" s="20" t="str">
        <f>IF(AQ1633="","",IF($F1633="Bernardino Furlan",_xlfn.XLOOKUP(AQ1633,Cadastros!$G$6:$G$90,Cadastros!$H$6:$H$90)*(1-0.18),IF($F1633="Mauro José Salanti",_xlfn.XLOOKUP(AQ1633,Cadastros!$G$6:$G$90,Cadastros!$H$6:$H$90)*(1-0.18),_xlfn.XLOOKUP(AQ1633,Cadastros!$G$6:$G$90,Cadastros!$H$6:$H$90))))</f>
        <v/>
      </c>
      <c r="AT1633" s="168" t="str">
        <f t="shared" si="336"/>
        <v/>
      </c>
      <c r="AU1633" s="168" t="str">
        <f t="shared" si="337"/>
        <v/>
      </c>
      <c r="AV1633" s="227"/>
      <c r="AW1633" s="30"/>
      <c r="AX1633" s="267"/>
      <c r="AY1633" s="267"/>
      <c r="AZ1633" s="29"/>
      <c r="BA1633" s="30"/>
      <c r="BB1633" s="23" t="str" cm="1">
        <f t="array" ref="BB1633">_xlfn.IFS(AW1633="SIM",SUM(K1633,P1633,U1633,Z1633,AE1633,AJ1633,AO1633,AT1633,AX1633,AY1633),F1633&lt;&gt;"",SUM(K1633,P1633,U1633,Z1633,AE1633,AJ1633,,AO1633,AT1633),F1633="","")</f>
        <v/>
      </c>
      <c r="BC1633" s="211" t="str" cm="1">
        <f t="array" ref="BC1633">_xlfn.IFS(E1633="","",G1633&lt;=E1633,BB1633*(1-0.03),G1633&lt;(E1633+8),BB1633,AZ1633="Boleto",BB1633*(1+0.001)^DATEDIF(E1633,G1633,"D"),AZ1633="Cheque",BB1633,AZ1633="Dinheiro","Alterar forma pgto")</f>
        <v/>
      </c>
      <c r="BD1633" s="276" t="str" cm="1">
        <f t="array" ref="BD1633">IF(F1633=0," ",IF(BC1633&lt;BB1633,(_xlfn.IFS(AW1633="SIM",SUM(L1633,Q1633,V1633,AA1633,AF1633,AK1633,AP1633,AU1633)+AX1633/_xlfn.XLOOKUP(_xlfn.XLOOKUP($F1633,Clientes!$B$4:$B$39,Clientes!$C$4:$C$39),Cadastros!$L$6:$L$12,Cadastros!$M$6:$M$12)+IF($F1633="Bernardino Furlan",AY1633/2751.92,IF($F1633="Mauro José Salanti",AY1633/2751.92,AY1633/3356)),F1633&lt;&gt;0,SUM(L1633,Q1633,V1633,AA1633,AF1633,AK1633,AP1633,AU1633)))*(1-0.03),_xlfn.IFS(AW1633="SIM",SUM(L1633,Q1633,V1633,AA1633,AF1633,AK1633,AP1633,AU1633)+AX1633/_xlfn.XLOOKUP(_xlfn.XLOOKUP($F1633,Clientes!$B$4:$B$39,Clientes!$C$4:$C$39),Cadastros!$L$6:$L$12,Cadastros!$M$6:$M$12)+IF($F1633="Bernardino Furlan",AY1633/2751.92,IF($F1633="Mauro José Salanti",AY1633/2751.92,AY1633/3356)),F1633&lt;&gt;0,SUM(L1633,Q1633,V1633,AA1633,AF1633,AK1633,AP1633,AU1633))))</f>
        <v xml:space="preserve"> </v>
      </c>
      <c r="BE1633" s="120"/>
      <c r="BF1633" s="120"/>
      <c r="BG1633" s="120"/>
    </row>
    <row r="1634" spans="1:59" s="3" customFormat="1" x14ac:dyDescent="0.3">
      <c r="A1634" s="15" t="str">
        <f t="shared" si="325"/>
        <v/>
      </c>
      <c r="B1634" s="25"/>
      <c r="C1634" s="26"/>
      <c r="D1634" s="279"/>
      <c r="E1634" s="27"/>
      <c r="F1634" s="28"/>
      <c r="G1634" s="27"/>
      <c r="H1634" s="28"/>
      <c r="I1634" s="28"/>
      <c r="J1634" s="255" t="str">
        <f>IF(H1634="","",(_xlfn.XLOOKUP(H1634,Cadastros!$D$6:$D$90,Cadastros!$E$6:$E$90))*(1-_xlfn.XLOOKUP(_xlfn.XLOOKUP($F1634,Clientes!$B$4:$B$39,Clientes!$C$4:$C$39),Cadastros!$L$6:$L$12,Cadastros!$N$6:$N$12)))</f>
        <v/>
      </c>
      <c r="K1634" s="168" t="str">
        <f t="shared" si="326"/>
        <v/>
      </c>
      <c r="L1634" s="168" t="str">
        <f>IFERROR(K1634/_xlfn.XLOOKUP(_xlfn.XLOOKUP($F1634,Clientes!$B$4:$B$39,Clientes!$C$4:$C$39),Cadastros!$L$6:$L$12,Cadastros!$M$6:$M$12)," ")</f>
        <v xml:space="preserve"> </v>
      </c>
      <c r="M1634" s="28"/>
      <c r="N1634" s="28"/>
      <c r="O1634" s="255" t="str">
        <f>IF(M1634="","",(_xlfn.XLOOKUP(M1634,Cadastros!$D$6:$D$90,Cadastros!$E$6:$E$90))*(1-_xlfn.XLOOKUP(_xlfn.XLOOKUP($F1634,Clientes!$B$4:$B$39,Clientes!$C$4:$C$39),Cadastros!$L$6:$L$12,Cadastros!$N$6:$N$12)))</f>
        <v/>
      </c>
      <c r="P1634" s="168" t="str">
        <f t="shared" si="327"/>
        <v/>
      </c>
      <c r="Q1634" s="168" t="str">
        <f>IFERROR(P1634/_xlfn.XLOOKUP(_xlfn.XLOOKUP($F1634,Clientes!$B$4:$B$39,Clientes!$C$4:$C$39),Cadastros!$L$6:$L$12,Cadastros!$M$6:$M$12)," ")</f>
        <v xml:space="preserve"> </v>
      </c>
      <c r="R1634" s="28"/>
      <c r="S1634" s="28"/>
      <c r="T1634" s="255" t="str">
        <f>IF(R1634="","",(_xlfn.XLOOKUP(R1634,Cadastros!$D$6:$D$90,Cadastros!$E$6:$E$90))*(1-_xlfn.XLOOKUP(_xlfn.XLOOKUP($F1634,Clientes!$B$4:$B$39,Clientes!$C$4:$C$39),Cadastros!$L$6:$L$12,Cadastros!$N$6:$N$12)))</f>
        <v/>
      </c>
      <c r="U1634" s="168" t="str">
        <f t="shared" si="328"/>
        <v/>
      </c>
      <c r="V1634" s="168" t="str">
        <f>IFERROR(U1634/_xlfn.XLOOKUP(_xlfn.XLOOKUP($F1634,Clientes!$B$4:$B$39,Clientes!$C$4:$C$39),Cadastros!$L$6:$L$12,Cadastros!$M$6:$M$12)," ")</f>
        <v xml:space="preserve"> </v>
      </c>
      <c r="W1634" s="28"/>
      <c r="X1634" s="28"/>
      <c r="Y1634" s="255" t="str">
        <f>IF(W1634="","",(_xlfn.XLOOKUP(W1634,Cadastros!$D$6:$D$90,Cadastros!$E$6:$E$90))*(1-_xlfn.XLOOKUP(_xlfn.XLOOKUP($F1634,Clientes!$B$4:$B$39,Clientes!$C$4:$C$39),Cadastros!$L$6:$L$12,Cadastros!$N$6:$N$12)))</f>
        <v/>
      </c>
      <c r="Z1634" s="168" t="str">
        <f t="shared" si="329"/>
        <v/>
      </c>
      <c r="AA1634" s="168" t="str">
        <f>IFERROR(Z1634/_xlfn.XLOOKUP(_xlfn.XLOOKUP($F1634,Clientes!$B$4:$B$39,Clientes!$C$4:$C$39),Cadastros!$L$6:$L$12,Cadastros!$M$6:$M$12)," ")</f>
        <v xml:space="preserve"> </v>
      </c>
      <c r="AB1634" s="28"/>
      <c r="AC1634" s="28"/>
      <c r="AD1634" s="20" t="str">
        <f>IF(AB1634="","",IF($F1634="Bernardino Furlan",_xlfn.XLOOKUP(AB1634,Cadastros!$G$6:$G$90,Cadastros!$H$6:$H$90)*(1-0.18),IF($F1634="Mauro José Salanti",_xlfn.XLOOKUP(AB1634,Cadastros!$G$6:$G$90,Cadastros!$H$6:$H$90)*(1-0.18),_xlfn.XLOOKUP(AB1634,Cadastros!$G$6:$G$90,Cadastros!$H$6:$H$90))))</f>
        <v/>
      </c>
      <c r="AE1634" s="168" t="str">
        <f t="shared" si="330"/>
        <v/>
      </c>
      <c r="AF1634" s="168" t="str">
        <f t="shared" si="331"/>
        <v/>
      </c>
      <c r="AG1634" s="28"/>
      <c r="AH1634" s="28"/>
      <c r="AI1634" s="20" t="str">
        <f>IF(AG1634="","",IF($F1634="Bernardino Furlan",_xlfn.XLOOKUP(AG1634,Cadastros!$G$6:$G$90,Cadastros!$H$6:$H$90)*(1-0.18),IF($F1634="Mauro José Salanti",_xlfn.XLOOKUP(AG1634,Cadastros!$G$6:$G$90,Cadastros!$H$6:$H$90)*(1-0.18),_xlfn.XLOOKUP(AG1634,Cadastros!$G$6:$G$90,Cadastros!$H$6:$H$90))))</f>
        <v/>
      </c>
      <c r="AJ1634" s="168" t="str">
        <f t="shared" si="332"/>
        <v/>
      </c>
      <c r="AK1634" s="168" t="str">
        <f t="shared" si="333"/>
        <v/>
      </c>
      <c r="AL1634" s="28"/>
      <c r="AM1634" s="28"/>
      <c r="AN1634" s="20" t="str">
        <f>IF(AL1634="","",IF($F1634="Bernardino Furlan",_xlfn.XLOOKUP(AL1634,Cadastros!$G$6:$G$90,Cadastros!$H$6:$H$90)*(1-0.18),IF($F1634="Mauro José Salanti",_xlfn.XLOOKUP(AL1634,Cadastros!$G$6:$G$90,Cadastros!$H$6:$H$90)*(1-0.18),_xlfn.XLOOKUP(AL1634,Cadastros!$G$6:$G$90,Cadastros!$H$6:$H$90))))</f>
        <v/>
      </c>
      <c r="AO1634" s="168" t="str">
        <f t="shared" si="334"/>
        <v/>
      </c>
      <c r="AP1634" s="168" t="str">
        <f t="shared" si="335"/>
        <v/>
      </c>
      <c r="AQ1634" s="28"/>
      <c r="AR1634" s="28"/>
      <c r="AS1634" s="20" t="str">
        <f>IF(AQ1634="","",IF($F1634="Bernardino Furlan",_xlfn.XLOOKUP(AQ1634,Cadastros!$G$6:$G$90,Cadastros!$H$6:$H$90)*(1-0.18),IF($F1634="Mauro José Salanti",_xlfn.XLOOKUP(AQ1634,Cadastros!$G$6:$G$90,Cadastros!$H$6:$H$90)*(1-0.18),_xlfn.XLOOKUP(AQ1634,Cadastros!$G$6:$G$90,Cadastros!$H$6:$H$90))))</f>
        <v/>
      </c>
      <c r="AT1634" s="168" t="str">
        <f t="shared" si="336"/>
        <v/>
      </c>
      <c r="AU1634" s="168" t="str">
        <f t="shared" si="337"/>
        <v/>
      </c>
      <c r="AV1634" s="227"/>
      <c r="AW1634" s="30"/>
      <c r="AX1634" s="267"/>
      <c r="AY1634" s="267"/>
      <c r="AZ1634" s="29"/>
      <c r="BA1634" s="30"/>
      <c r="BB1634" s="23" t="str" cm="1">
        <f t="array" ref="BB1634">_xlfn.IFS(AW1634="SIM",SUM(K1634,P1634,U1634,Z1634,AE1634,AJ1634,AO1634,AT1634,AX1634,AY1634),F1634&lt;&gt;"",SUM(K1634,P1634,U1634,Z1634,AE1634,AJ1634,,AO1634,AT1634),F1634="","")</f>
        <v/>
      </c>
      <c r="BC1634" s="211" t="str" cm="1">
        <f t="array" ref="BC1634">_xlfn.IFS(E1634="","",G1634&lt;=E1634,BB1634*(1-0.03),G1634&lt;(E1634+8),BB1634,AZ1634="Boleto",BB1634*(1+0.001)^DATEDIF(E1634,G1634,"D"),AZ1634="Cheque",BB1634,AZ1634="Dinheiro","Alterar forma pgto")</f>
        <v/>
      </c>
      <c r="BD1634" s="276" t="str" cm="1">
        <f t="array" ref="BD1634">IF(F1634=0," ",IF(BC1634&lt;BB1634,(_xlfn.IFS(AW1634="SIM",SUM(L1634,Q1634,V1634,AA1634,AF1634,AK1634,AP1634,AU1634)+AX1634/_xlfn.XLOOKUP(_xlfn.XLOOKUP($F1634,Clientes!$B$4:$B$39,Clientes!$C$4:$C$39),Cadastros!$L$6:$L$12,Cadastros!$M$6:$M$12)+IF($F1634="Bernardino Furlan",AY1634/2751.92,IF($F1634="Mauro José Salanti",AY1634/2751.92,AY1634/3356)),F1634&lt;&gt;0,SUM(L1634,Q1634,V1634,AA1634,AF1634,AK1634,AP1634,AU1634)))*(1-0.03),_xlfn.IFS(AW1634="SIM",SUM(L1634,Q1634,V1634,AA1634,AF1634,AK1634,AP1634,AU1634)+AX1634/_xlfn.XLOOKUP(_xlfn.XLOOKUP($F1634,Clientes!$B$4:$B$39,Clientes!$C$4:$C$39),Cadastros!$L$6:$L$12,Cadastros!$M$6:$M$12)+IF($F1634="Bernardino Furlan",AY1634/2751.92,IF($F1634="Mauro José Salanti",AY1634/2751.92,AY1634/3356)),F1634&lt;&gt;0,SUM(L1634,Q1634,V1634,AA1634,AF1634,AK1634,AP1634,AU1634))))</f>
        <v xml:space="preserve"> </v>
      </c>
      <c r="BE1634" s="120"/>
      <c r="BF1634" s="120"/>
      <c r="BG1634" s="120"/>
    </row>
    <row r="1635" spans="1:59" s="3" customFormat="1" x14ac:dyDescent="0.3">
      <c r="A1635" s="15" t="str">
        <f t="shared" si="325"/>
        <v/>
      </c>
      <c r="B1635" s="25"/>
      <c r="C1635" s="26"/>
      <c r="D1635" s="279"/>
      <c r="E1635" s="27"/>
      <c r="F1635" s="28"/>
      <c r="G1635" s="27"/>
      <c r="H1635" s="28"/>
      <c r="I1635" s="28"/>
      <c r="J1635" s="255" t="str">
        <f>IF(H1635="","",(_xlfn.XLOOKUP(H1635,Cadastros!$D$6:$D$90,Cadastros!$E$6:$E$90))*(1-_xlfn.XLOOKUP(_xlfn.XLOOKUP($F1635,Clientes!$B$4:$B$39,Clientes!$C$4:$C$39),Cadastros!$L$6:$L$12,Cadastros!$N$6:$N$12)))</f>
        <v/>
      </c>
      <c r="K1635" s="168" t="str">
        <f t="shared" si="326"/>
        <v/>
      </c>
      <c r="L1635" s="168" t="str">
        <f>IFERROR(K1635/_xlfn.XLOOKUP(_xlfn.XLOOKUP($F1635,Clientes!$B$4:$B$39,Clientes!$C$4:$C$39),Cadastros!$L$6:$L$12,Cadastros!$M$6:$M$12)," ")</f>
        <v xml:space="preserve"> </v>
      </c>
      <c r="M1635" s="28"/>
      <c r="N1635" s="28"/>
      <c r="O1635" s="255" t="str">
        <f>IF(M1635="","",(_xlfn.XLOOKUP(M1635,Cadastros!$D$6:$D$90,Cadastros!$E$6:$E$90))*(1-_xlfn.XLOOKUP(_xlfn.XLOOKUP($F1635,Clientes!$B$4:$B$39,Clientes!$C$4:$C$39),Cadastros!$L$6:$L$12,Cadastros!$N$6:$N$12)))</f>
        <v/>
      </c>
      <c r="P1635" s="168" t="str">
        <f t="shared" si="327"/>
        <v/>
      </c>
      <c r="Q1635" s="168" t="str">
        <f>IFERROR(P1635/_xlfn.XLOOKUP(_xlfn.XLOOKUP($F1635,Clientes!$B$4:$B$39,Clientes!$C$4:$C$39),Cadastros!$L$6:$L$12,Cadastros!$M$6:$M$12)," ")</f>
        <v xml:space="preserve"> </v>
      </c>
      <c r="R1635" s="28"/>
      <c r="S1635" s="28"/>
      <c r="T1635" s="255" t="str">
        <f>IF(R1635="","",(_xlfn.XLOOKUP(R1635,Cadastros!$D$6:$D$90,Cadastros!$E$6:$E$90))*(1-_xlfn.XLOOKUP(_xlfn.XLOOKUP($F1635,Clientes!$B$4:$B$39,Clientes!$C$4:$C$39),Cadastros!$L$6:$L$12,Cadastros!$N$6:$N$12)))</f>
        <v/>
      </c>
      <c r="U1635" s="168" t="str">
        <f t="shared" si="328"/>
        <v/>
      </c>
      <c r="V1635" s="168" t="str">
        <f>IFERROR(U1635/_xlfn.XLOOKUP(_xlfn.XLOOKUP($F1635,Clientes!$B$4:$B$39,Clientes!$C$4:$C$39),Cadastros!$L$6:$L$12,Cadastros!$M$6:$M$12)," ")</f>
        <v xml:space="preserve"> </v>
      </c>
      <c r="W1635" s="28"/>
      <c r="X1635" s="28"/>
      <c r="Y1635" s="255" t="str">
        <f>IF(W1635="","",(_xlfn.XLOOKUP(W1635,Cadastros!$D$6:$D$90,Cadastros!$E$6:$E$90))*(1-_xlfn.XLOOKUP(_xlfn.XLOOKUP($F1635,Clientes!$B$4:$B$39,Clientes!$C$4:$C$39),Cadastros!$L$6:$L$12,Cadastros!$N$6:$N$12)))</f>
        <v/>
      </c>
      <c r="Z1635" s="168" t="str">
        <f t="shared" si="329"/>
        <v/>
      </c>
      <c r="AA1635" s="168" t="str">
        <f>IFERROR(Z1635/_xlfn.XLOOKUP(_xlfn.XLOOKUP($F1635,Clientes!$B$4:$B$39,Clientes!$C$4:$C$39),Cadastros!$L$6:$L$12,Cadastros!$M$6:$M$12)," ")</f>
        <v xml:space="preserve"> </v>
      </c>
      <c r="AB1635" s="28"/>
      <c r="AC1635" s="28"/>
      <c r="AD1635" s="20" t="str">
        <f>IF(AB1635="","",IF($F1635="Bernardino Furlan",_xlfn.XLOOKUP(AB1635,Cadastros!$G$6:$G$90,Cadastros!$H$6:$H$90)*(1-0.18),IF($F1635="Mauro José Salanti",_xlfn.XLOOKUP(AB1635,Cadastros!$G$6:$G$90,Cadastros!$H$6:$H$90)*(1-0.18),_xlfn.XLOOKUP(AB1635,Cadastros!$G$6:$G$90,Cadastros!$H$6:$H$90))))</f>
        <v/>
      </c>
      <c r="AE1635" s="168" t="str">
        <f t="shared" si="330"/>
        <v/>
      </c>
      <c r="AF1635" s="168" t="str">
        <f t="shared" si="331"/>
        <v/>
      </c>
      <c r="AG1635" s="28"/>
      <c r="AH1635" s="28"/>
      <c r="AI1635" s="20" t="str">
        <f>IF(AG1635="","",IF($F1635="Bernardino Furlan",_xlfn.XLOOKUP(AG1635,Cadastros!$G$6:$G$90,Cadastros!$H$6:$H$90)*(1-0.18),IF($F1635="Mauro José Salanti",_xlfn.XLOOKUP(AG1635,Cadastros!$G$6:$G$90,Cadastros!$H$6:$H$90)*(1-0.18),_xlfn.XLOOKUP(AG1635,Cadastros!$G$6:$G$90,Cadastros!$H$6:$H$90))))</f>
        <v/>
      </c>
      <c r="AJ1635" s="168" t="str">
        <f t="shared" si="332"/>
        <v/>
      </c>
      <c r="AK1635" s="168" t="str">
        <f t="shared" si="333"/>
        <v/>
      </c>
      <c r="AL1635" s="28"/>
      <c r="AM1635" s="28"/>
      <c r="AN1635" s="20" t="str">
        <f>IF(AL1635="","",IF($F1635="Bernardino Furlan",_xlfn.XLOOKUP(AL1635,Cadastros!$G$6:$G$90,Cadastros!$H$6:$H$90)*(1-0.18),IF($F1635="Mauro José Salanti",_xlfn.XLOOKUP(AL1635,Cadastros!$G$6:$G$90,Cadastros!$H$6:$H$90)*(1-0.18),_xlfn.XLOOKUP(AL1635,Cadastros!$G$6:$G$90,Cadastros!$H$6:$H$90))))</f>
        <v/>
      </c>
      <c r="AO1635" s="168" t="str">
        <f t="shared" si="334"/>
        <v/>
      </c>
      <c r="AP1635" s="168" t="str">
        <f t="shared" si="335"/>
        <v/>
      </c>
      <c r="AQ1635" s="28"/>
      <c r="AR1635" s="28"/>
      <c r="AS1635" s="20" t="str">
        <f>IF(AQ1635="","",IF($F1635="Bernardino Furlan",_xlfn.XLOOKUP(AQ1635,Cadastros!$G$6:$G$90,Cadastros!$H$6:$H$90)*(1-0.18),IF($F1635="Mauro José Salanti",_xlfn.XLOOKUP(AQ1635,Cadastros!$G$6:$G$90,Cadastros!$H$6:$H$90)*(1-0.18),_xlfn.XLOOKUP(AQ1635,Cadastros!$G$6:$G$90,Cadastros!$H$6:$H$90))))</f>
        <v/>
      </c>
      <c r="AT1635" s="168" t="str">
        <f t="shared" si="336"/>
        <v/>
      </c>
      <c r="AU1635" s="168" t="str">
        <f t="shared" si="337"/>
        <v/>
      </c>
      <c r="AV1635" s="227"/>
      <c r="AW1635" s="30"/>
      <c r="AX1635" s="267"/>
      <c r="AY1635" s="267"/>
      <c r="AZ1635" s="29"/>
      <c r="BA1635" s="30"/>
      <c r="BB1635" s="23" t="str" cm="1">
        <f t="array" ref="BB1635">_xlfn.IFS(AW1635="SIM",SUM(K1635,P1635,U1635,Z1635,AE1635,AJ1635,AO1635,AT1635,AX1635,AY1635),F1635&lt;&gt;"",SUM(K1635,P1635,U1635,Z1635,AE1635,AJ1635,,AO1635,AT1635),F1635="","")</f>
        <v/>
      </c>
      <c r="BC1635" s="211" t="str" cm="1">
        <f t="array" ref="BC1635">_xlfn.IFS(E1635="","",G1635&lt;=E1635,BB1635*(1-0.03),G1635&lt;(E1635+8),BB1635,AZ1635="Boleto",BB1635*(1+0.001)^DATEDIF(E1635,G1635,"D"),AZ1635="Cheque",BB1635,AZ1635="Dinheiro","Alterar forma pgto")</f>
        <v/>
      </c>
      <c r="BD1635" s="276" t="str" cm="1">
        <f t="array" ref="BD1635">IF(F1635=0," ",IF(BC1635&lt;BB1635,(_xlfn.IFS(AW1635="SIM",SUM(L1635,Q1635,V1635,AA1635,AF1635,AK1635,AP1635,AU1635)+AX1635/_xlfn.XLOOKUP(_xlfn.XLOOKUP($F1635,Clientes!$B$4:$B$39,Clientes!$C$4:$C$39),Cadastros!$L$6:$L$12,Cadastros!$M$6:$M$12)+IF($F1635="Bernardino Furlan",AY1635/2751.92,IF($F1635="Mauro José Salanti",AY1635/2751.92,AY1635/3356)),F1635&lt;&gt;0,SUM(L1635,Q1635,V1635,AA1635,AF1635,AK1635,AP1635,AU1635)))*(1-0.03),_xlfn.IFS(AW1635="SIM",SUM(L1635,Q1635,V1635,AA1635,AF1635,AK1635,AP1635,AU1635)+AX1635/_xlfn.XLOOKUP(_xlfn.XLOOKUP($F1635,Clientes!$B$4:$B$39,Clientes!$C$4:$C$39),Cadastros!$L$6:$L$12,Cadastros!$M$6:$M$12)+IF($F1635="Bernardino Furlan",AY1635/2751.92,IF($F1635="Mauro José Salanti",AY1635/2751.92,AY1635/3356)),F1635&lt;&gt;0,SUM(L1635,Q1635,V1635,AA1635,AF1635,AK1635,AP1635,AU1635))))</f>
        <v xml:space="preserve"> </v>
      </c>
      <c r="BE1635" s="120"/>
      <c r="BF1635" s="120"/>
      <c r="BG1635" s="120"/>
    </row>
    <row r="1636" spans="1:59" s="3" customFormat="1" x14ac:dyDescent="0.3">
      <c r="A1636" s="15" t="str">
        <f t="shared" si="325"/>
        <v/>
      </c>
      <c r="B1636" s="25"/>
      <c r="C1636" s="26"/>
      <c r="D1636" s="279"/>
      <c r="E1636" s="27"/>
      <c r="F1636" s="28"/>
      <c r="G1636" s="27"/>
      <c r="H1636" s="28"/>
      <c r="I1636" s="28"/>
      <c r="J1636" s="255" t="str">
        <f>IF(H1636="","",(_xlfn.XLOOKUP(H1636,Cadastros!$D$6:$D$90,Cadastros!$E$6:$E$90))*(1-_xlfn.XLOOKUP(_xlfn.XLOOKUP($F1636,Clientes!$B$4:$B$39,Clientes!$C$4:$C$39),Cadastros!$L$6:$L$12,Cadastros!$N$6:$N$12)))</f>
        <v/>
      </c>
      <c r="K1636" s="168" t="str">
        <f t="shared" si="326"/>
        <v/>
      </c>
      <c r="L1636" s="168" t="str">
        <f>IFERROR(K1636/_xlfn.XLOOKUP(_xlfn.XLOOKUP($F1636,Clientes!$B$4:$B$39,Clientes!$C$4:$C$39),Cadastros!$L$6:$L$12,Cadastros!$M$6:$M$12)," ")</f>
        <v xml:space="preserve"> </v>
      </c>
      <c r="M1636" s="28"/>
      <c r="N1636" s="28"/>
      <c r="O1636" s="255" t="str">
        <f>IF(M1636="","",(_xlfn.XLOOKUP(M1636,Cadastros!$D$6:$D$90,Cadastros!$E$6:$E$90))*(1-_xlfn.XLOOKUP(_xlfn.XLOOKUP($F1636,Clientes!$B$4:$B$39,Clientes!$C$4:$C$39),Cadastros!$L$6:$L$12,Cadastros!$N$6:$N$12)))</f>
        <v/>
      </c>
      <c r="P1636" s="168" t="str">
        <f t="shared" si="327"/>
        <v/>
      </c>
      <c r="Q1636" s="168" t="str">
        <f>IFERROR(P1636/_xlfn.XLOOKUP(_xlfn.XLOOKUP($F1636,Clientes!$B$4:$B$39,Clientes!$C$4:$C$39),Cadastros!$L$6:$L$12,Cadastros!$M$6:$M$12)," ")</f>
        <v xml:space="preserve"> </v>
      </c>
      <c r="R1636" s="28"/>
      <c r="S1636" s="28"/>
      <c r="T1636" s="255" t="str">
        <f>IF(R1636="","",(_xlfn.XLOOKUP(R1636,Cadastros!$D$6:$D$90,Cadastros!$E$6:$E$90))*(1-_xlfn.XLOOKUP(_xlfn.XLOOKUP($F1636,Clientes!$B$4:$B$39,Clientes!$C$4:$C$39),Cadastros!$L$6:$L$12,Cadastros!$N$6:$N$12)))</f>
        <v/>
      </c>
      <c r="U1636" s="168" t="str">
        <f t="shared" si="328"/>
        <v/>
      </c>
      <c r="V1636" s="168" t="str">
        <f>IFERROR(U1636/_xlfn.XLOOKUP(_xlfn.XLOOKUP($F1636,Clientes!$B$4:$B$39,Clientes!$C$4:$C$39),Cadastros!$L$6:$L$12,Cadastros!$M$6:$M$12)," ")</f>
        <v xml:space="preserve"> </v>
      </c>
      <c r="W1636" s="28"/>
      <c r="X1636" s="28"/>
      <c r="Y1636" s="255" t="str">
        <f>IF(W1636="","",(_xlfn.XLOOKUP(W1636,Cadastros!$D$6:$D$90,Cadastros!$E$6:$E$90))*(1-_xlfn.XLOOKUP(_xlfn.XLOOKUP($F1636,Clientes!$B$4:$B$39,Clientes!$C$4:$C$39),Cadastros!$L$6:$L$12,Cadastros!$N$6:$N$12)))</f>
        <v/>
      </c>
      <c r="Z1636" s="168" t="str">
        <f t="shared" si="329"/>
        <v/>
      </c>
      <c r="AA1636" s="168" t="str">
        <f>IFERROR(Z1636/_xlfn.XLOOKUP(_xlfn.XLOOKUP($F1636,Clientes!$B$4:$B$39,Clientes!$C$4:$C$39),Cadastros!$L$6:$L$12,Cadastros!$M$6:$M$12)," ")</f>
        <v xml:space="preserve"> </v>
      </c>
      <c r="AB1636" s="28"/>
      <c r="AC1636" s="28"/>
      <c r="AD1636" s="20" t="str">
        <f>IF(AB1636="","",IF($F1636="Bernardino Furlan",_xlfn.XLOOKUP(AB1636,Cadastros!$G$6:$G$90,Cadastros!$H$6:$H$90)*(1-0.18),IF($F1636="Mauro José Salanti",_xlfn.XLOOKUP(AB1636,Cadastros!$G$6:$G$90,Cadastros!$H$6:$H$90)*(1-0.18),_xlfn.XLOOKUP(AB1636,Cadastros!$G$6:$G$90,Cadastros!$H$6:$H$90))))</f>
        <v/>
      </c>
      <c r="AE1636" s="168" t="str">
        <f t="shared" si="330"/>
        <v/>
      </c>
      <c r="AF1636" s="168" t="str">
        <f t="shared" si="331"/>
        <v/>
      </c>
      <c r="AG1636" s="28"/>
      <c r="AH1636" s="28"/>
      <c r="AI1636" s="20" t="str">
        <f>IF(AG1636="","",IF($F1636="Bernardino Furlan",_xlfn.XLOOKUP(AG1636,Cadastros!$G$6:$G$90,Cadastros!$H$6:$H$90)*(1-0.18),IF($F1636="Mauro José Salanti",_xlfn.XLOOKUP(AG1636,Cadastros!$G$6:$G$90,Cadastros!$H$6:$H$90)*(1-0.18),_xlfn.XLOOKUP(AG1636,Cadastros!$G$6:$G$90,Cadastros!$H$6:$H$90))))</f>
        <v/>
      </c>
      <c r="AJ1636" s="168" t="str">
        <f t="shared" si="332"/>
        <v/>
      </c>
      <c r="AK1636" s="168" t="str">
        <f t="shared" si="333"/>
        <v/>
      </c>
      <c r="AL1636" s="28"/>
      <c r="AM1636" s="28"/>
      <c r="AN1636" s="20" t="str">
        <f>IF(AL1636="","",IF($F1636="Bernardino Furlan",_xlfn.XLOOKUP(AL1636,Cadastros!$G$6:$G$90,Cadastros!$H$6:$H$90)*(1-0.18),IF($F1636="Mauro José Salanti",_xlfn.XLOOKUP(AL1636,Cadastros!$G$6:$G$90,Cadastros!$H$6:$H$90)*(1-0.18),_xlfn.XLOOKUP(AL1636,Cadastros!$G$6:$G$90,Cadastros!$H$6:$H$90))))</f>
        <v/>
      </c>
      <c r="AO1636" s="168" t="str">
        <f t="shared" si="334"/>
        <v/>
      </c>
      <c r="AP1636" s="168" t="str">
        <f t="shared" si="335"/>
        <v/>
      </c>
      <c r="AQ1636" s="28"/>
      <c r="AR1636" s="28"/>
      <c r="AS1636" s="20" t="str">
        <f>IF(AQ1636="","",IF($F1636="Bernardino Furlan",_xlfn.XLOOKUP(AQ1636,Cadastros!$G$6:$G$90,Cadastros!$H$6:$H$90)*(1-0.18),IF($F1636="Mauro José Salanti",_xlfn.XLOOKUP(AQ1636,Cadastros!$G$6:$G$90,Cadastros!$H$6:$H$90)*(1-0.18),_xlfn.XLOOKUP(AQ1636,Cadastros!$G$6:$G$90,Cadastros!$H$6:$H$90))))</f>
        <v/>
      </c>
      <c r="AT1636" s="168" t="str">
        <f t="shared" si="336"/>
        <v/>
      </c>
      <c r="AU1636" s="168" t="str">
        <f t="shared" si="337"/>
        <v/>
      </c>
      <c r="AV1636" s="227"/>
      <c r="AW1636" s="30"/>
      <c r="AX1636" s="267"/>
      <c r="AY1636" s="267"/>
      <c r="AZ1636" s="29"/>
      <c r="BA1636" s="30"/>
      <c r="BB1636" s="23" t="str" cm="1">
        <f t="array" ref="BB1636">_xlfn.IFS(AW1636="SIM",SUM(K1636,P1636,U1636,Z1636,AE1636,AJ1636,AO1636,AT1636,AX1636,AY1636),F1636&lt;&gt;"",SUM(K1636,P1636,U1636,Z1636,AE1636,AJ1636,,AO1636,AT1636),F1636="","")</f>
        <v/>
      </c>
      <c r="BC1636" s="211" t="str" cm="1">
        <f t="array" ref="BC1636">_xlfn.IFS(E1636="","",G1636&lt;=E1636,BB1636*(1-0.03),G1636&lt;(E1636+8),BB1636,AZ1636="Boleto",BB1636*(1+0.001)^DATEDIF(E1636,G1636,"D"),AZ1636="Cheque",BB1636,AZ1636="Dinheiro","Alterar forma pgto")</f>
        <v/>
      </c>
      <c r="BD1636" s="276" t="str" cm="1">
        <f t="array" ref="BD1636">IF(F1636=0," ",IF(BC1636&lt;BB1636,(_xlfn.IFS(AW1636="SIM",SUM(L1636,Q1636,V1636,AA1636,AF1636,AK1636,AP1636,AU1636)+AX1636/_xlfn.XLOOKUP(_xlfn.XLOOKUP($F1636,Clientes!$B$4:$B$39,Clientes!$C$4:$C$39),Cadastros!$L$6:$L$12,Cadastros!$M$6:$M$12)+IF($F1636="Bernardino Furlan",AY1636/2751.92,IF($F1636="Mauro José Salanti",AY1636/2751.92,AY1636/3356)),F1636&lt;&gt;0,SUM(L1636,Q1636,V1636,AA1636,AF1636,AK1636,AP1636,AU1636)))*(1-0.03),_xlfn.IFS(AW1636="SIM",SUM(L1636,Q1636,V1636,AA1636,AF1636,AK1636,AP1636,AU1636)+AX1636/_xlfn.XLOOKUP(_xlfn.XLOOKUP($F1636,Clientes!$B$4:$B$39,Clientes!$C$4:$C$39),Cadastros!$L$6:$L$12,Cadastros!$M$6:$M$12)+IF($F1636="Bernardino Furlan",AY1636/2751.92,IF($F1636="Mauro José Salanti",AY1636/2751.92,AY1636/3356)),F1636&lt;&gt;0,SUM(L1636,Q1636,V1636,AA1636,AF1636,AK1636,AP1636,AU1636))))</f>
        <v xml:space="preserve"> </v>
      </c>
      <c r="BE1636" s="120"/>
      <c r="BF1636" s="120"/>
      <c r="BG1636" s="120"/>
    </row>
    <row r="1637" spans="1:59" s="3" customFormat="1" x14ac:dyDescent="0.3">
      <c r="A1637" s="15" t="str">
        <f t="shared" si="325"/>
        <v/>
      </c>
      <c r="B1637" s="25"/>
      <c r="C1637" s="26"/>
      <c r="D1637" s="279"/>
      <c r="E1637" s="27"/>
      <c r="F1637" s="28"/>
      <c r="G1637" s="27"/>
      <c r="H1637" s="28"/>
      <c r="I1637" s="28"/>
      <c r="J1637" s="255" t="str">
        <f>IF(H1637="","",(_xlfn.XLOOKUP(H1637,Cadastros!$D$6:$D$90,Cadastros!$E$6:$E$90))*(1-_xlfn.XLOOKUP(_xlfn.XLOOKUP($F1637,Clientes!$B$4:$B$39,Clientes!$C$4:$C$39),Cadastros!$L$6:$L$12,Cadastros!$N$6:$N$12)))</f>
        <v/>
      </c>
      <c r="K1637" s="168" t="str">
        <f t="shared" si="326"/>
        <v/>
      </c>
      <c r="L1637" s="168" t="str">
        <f>IFERROR(K1637/_xlfn.XLOOKUP(_xlfn.XLOOKUP($F1637,Clientes!$B$4:$B$39,Clientes!$C$4:$C$39),Cadastros!$L$6:$L$12,Cadastros!$M$6:$M$12)," ")</f>
        <v xml:space="preserve"> </v>
      </c>
      <c r="M1637" s="28"/>
      <c r="N1637" s="28"/>
      <c r="O1637" s="255" t="str">
        <f>IF(M1637="","",(_xlfn.XLOOKUP(M1637,Cadastros!$D$6:$D$90,Cadastros!$E$6:$E$90))*(1-_xlfn.XLOOKUP(_xlfn.XLOOKUP($F1637,Clientes!$B$4:$B$39,Clientes!$C$4:$C$39),Cadastros!$L$6:$L$12,Cadastros!$N$6:$N$12)))</f>
        <v/>
      </c>
      <c r="P1637" s="168" t="str">
        <f t="shared" si="327"/>
        <v/>
      </c>
      <c r="Q1637" s="168" t="str">
        <f>IFERROR(P1637/_xlfn.XLOOKUP(_xlfn.XLOOKUP($F1637,Clientes!$B$4:$B$39,Clientes!$C$4:$C$39),Cadastros!$L$6:$L$12,Cadastros!$M$6:$M$12)," ")</f>
        <v xml:space="preserve"> </v>
      </c>
      <c r="R1637" s="28"/>
      <c r="S1637" s="28"/>
      <c r="T1637" s="255" t="str">
        <f>IF(R1637="","",(_xlfn.XLOOKUP(R1637,Cadastros!$D$6:$D$90,Cadastros!$E$6:$E$90))*(1-_xlfn.XLOOKUP(_xlfn.XLOOKUP($F1637,Clientes!$B$4:$B$39,Clientes!$C$4:$C$39),Cadastros!$L$6:$L$12,Cadastros!$N$6:$N$12)))</f>
        <v/>
      </c>
      <c r="U1637" s="168" t="str">
        <f t="shared" si="328"/>
        <v/>
      </c>
      <c r="V1637" s="168" t="str">
        <f>IFERROR(U1637/_xlfn.XLOOKUP(_xlfn.XLOOKUP($F1637,Clientes!$B$4:$B$39,Clientes!$C$4:$C$39),Cadastros!$L$6:$L$12,Cadastros!$M$6:$M$12)," ")</f>
        <v xml:space="preserve"> </v>
      </c>
      <c r="W1637" s="28"/>
      <c r="X1637" s="28"/>
      <c r="Y1637" s="255" t="str">
        <f>IF(W1637="","",(_xlfn.XLOOKUP(W1637,Cadastros!$D$6:$D$90,Cadastros!$E$6:$E$90))*(1-_xlfn.XLOOKUP(_xlfn.XLOOKUP($F1637,Clientes!$B$4:$B$39,Clientes!$C$4:$C$39),Cadastros!$L$6:$L$12,Cadastros!$N$6:$N$12)))</f>
        <v/>
      </c>
      <c r="Z1637" s="168" t="str">
        <f t="shared" si="329"/>
        <v/>
      </c>
      <c r="AA1637" s="168" t="str">
        <f>IFERROR(Z1637/_xlfn.XLOOKUP(_xlfn.XLOOKUP($F1637,Clientes!$B$4:$B$39,Clientes!$C$4:$C$39),Cadastros!$L$6:$L$12,Cadastros!$M$6:$M$12)," ")</f>
        <v xml:space="preserve"> </v>
      </c>
      <c r="AB1637" s="28"/>
      <c r="AC1637" s="28"/>
      <c r="AD1637" s="20" t="str">
        <f>IF(AB1637="","",IF($F1637="Bernardino Furlan",_xlfn.XLOOKUP(AB1637,Cadastros!$G$6:$G$90,Cadastros!$H$6:$H$90)*(1-0.18),IF($F1637="Mauro José Salanti",_xlfn.XLOOKUP(AB1637,Cadastros!$G$6:$G$90,Cadastros!$H$6:$H$90)*(1-0.18),_xlfn.XLOOKUP(AB1637,Cadastros!$G$6:$G$90,Cadastros!$H$6:$H$90))))</f>
        <v/>
      </c>
      <c r="AE1637" s="168" t="str">
        <f t="shared" si="330"/>
        <v/>
      </c>
      <c r="AF1637" s="168" t="str">
        <f t="shared" si="331"/>
        <v/>
      </c>
      <c r="AG1637" s="28"/>
      <c r="AH1637" s="28"/>
      <c r="AI1637" s="20" t="str">
        <f>IF(AG1637="","",IF($F1637="Bernardino Furlan",_xlfn.XLOOKUP(AG1637,Cadastros!$G$6:$G$90,Cadastros!$H$6:$H$90)*(1-0.18),IF($F1637="Mauro José Salanti",_xlfn.XLOOKUP(AG1637,Cadastros!$G$6:$G$90,Cadastros!$H$6:$H$90)*(1-0.18),_xlfn.XLOOKUP(AG1637,Cadastros!$G$6:$G$90,Cadastros!$H$6:$H$90))))</f>
        <v/>
      </c>
      <c r="AJ1637" s="168" t="str">
        <f t="shared" si="332"/>
        <v/>
      </c>
      <c r="AK1637" s="168" t="str">
        <f t="shared" si="333"/>
        <v/>
      </c>
      <c r="AL1637" s="28"/>
      <c r="AM1637" s="28"/>
      <c r="AN1637" s="20" t="str">
        <f>IF(AL1637="","",IF($F1637="Bernardino Furlan",_xlfn.XLOOKUP(AL1637,Cadastros!$G$6:$G$90,Cadastros!$H$6:$H$90)*(1-0.18),IF($F1637="Mauro José Salanti",_xlfn.XLOOKUP(AL1637,Cadastros!$G$6:$G$90,Cadastros!$H$6:$H$90)*(1-0.18),_xlfn.XLOOKUP(AL1637,Cadastros!$G$6:$G$90,Cadastros!$H$6:$H$90))))</f>
        <v/>
      </c>
      <c r="AO1637" s="168" t="str">
        <f t="shared" si="334"/>
        <v/>
      </c>
      <c r="AP1637" s="168" t="str">
        <f t="shared" si="335"/>
        <v/>
      </c>
      <c r="AQ1637" s="28"/>
      <c r="AR1637" s="28"/>
      <c r="AS1637" s="20" t="str">
        <f>IF(AQ1637="","",IF($F1637="Bernardino Furlan",_xlfn.XLOOKUP(AQ1637,Cadastros!$G$6:$G$90,Cadastros!$H$6:$H$90)*(1-0.18),IF($F1637="Mauro José Salanti",_xlfn.XLOOKUP(AQ1637,Cadastros!$G$6:$G$90,Cadastros!$H$6:$H$90)*(1-0.18),_xlfn.XLOOKUP(AQ1637,Cadastros!$G$6:$G$90,Cadastros!$H$6:$H$90))))</f>
        <v/>
      </c>
      <c r="AT1637" s="168" t="str">
        <f t="shared" si="336"/>
        <v/>
      </c>
      <c r="AU1637" s="168" t="str">
        <f t="shared" si="337"/>
        <v/>
      </c>
      <c r="AV1637" s="227"/>
      <c r="AW1637" s="30"/>
      <c r="AX1637" s="267"/>
      <c r="AY1637" s="267"/>
      <c r="AZ1637" s="29"/>
      <c r="BA1637" s="30"/>
      <c r="BB1637" s="23" t="str" cm="1">
        <f t="array" ref="BB1637">_xlfn.IFS(AW1637="SIM",SUM(K1637,P1637,U1637,Z1637,AE1637,AJ1637,AO1637,AT1637,AX1637,AY1637),F1637&lt;&gt;"",SUM(K1637,P1637,U1637,Z1637,AE1637,AJ1637,,AO1637,AT1637),F1637="","")</f>
        <v/>
      </c>
      <c r="BC1637" s="211" t="str" cm="1">
        <f t="array" ref="BC1637">_xlfn.IFS(E1637="","",G1637&lt;=E1637,BB1637*(1-0.03),G1637&lt;(E1637+8),BB1637,AZ1637="Boleto",BB1637*(1+0.001)^DATEDIF(E1637,G1637,"D"),AZ1637="Cheque",BB1637,AZ1637="Dinheiro","Alterar forma pgto")</f>
        <v/>
      </c>
      <c r="BD1637" s="276" t="str" cm="1">
        <f t="array" ref="BD1637">IF(F1637=0," ",IF(BC1637&lt;BB1637,(_xlfn.IFS(AW1637="SIM",SUM(L1637,Q1637,V1637,AA1637,AF1637,AK1637,AP1637,AU1637)+AX1637/_xlfn.XLOOKUP(_xlfn.XLOOKUP($F1637,Clientes!$B$4:$B$39,Clientes!$C$4:$C$39),Cadastros!$L$6:$L$12,Cadastros!$M$6:$M$12)+IF($F1637="Bernardino Furlan",AY1637/2751.92,IF($F1637="Mauro José Salanti",AY1637/2751.92,AY1637/3356)),F1637&lt;&gt;0,SUM(L1637,Q1637,V1637,AA1637,AF1637,AK1637,AP1637,AU1637)))*(1-0.03),_xlfn.IFS(AW1637="SIM",SUM(L1637,Q1637,V1637,AA1637,AF1637,AK1637,AP1637,AU1637)+AX1637/_xlfn.XLOOKUP(_xlfn.XLOOKUP($F1637,Clientes!$B$4:$B$39,Clientes!$C$4:$C$39),Cadastros!$L$6:$L$12,Cadastros!$M$6:$M$12)+IF($F1637="Bernardino Furlan",AY1637/2751.92,IF($F1637="Mauro José Salanti",AY1637/2751.92,AY1637/3356)),F1637&lt;&gt;0,SUM(L1637,Q1637,V1637,AA1637,AF1637,AK1637,AP1637,AU1637))))</f>
        <v xml:space="preserve"> </v>
      </c>
      <c r="BE1637" s="120"/>
      <c r="BF1637" s="120"/>
      <c r="BG1637" s="120"/>
    </row>
    <row r="1638" spans="1:59" s="3" customFormat="1" x14ac:dyDescent="0.3">
      <c r="A1638" s="15" t="str">
        <f t="shared" si="325"/>
        <v/>
      </c>
      <c r="B1638" s="25"/>
      <c r="C1638" s="26"/>
      <c r="D1638" s="279"/>
      <c r="E1638" s="27"/>
      <c r="F1638" s="28"/>
      <c r="G1638" s="27"/>
      <c r="H1638" s="28"/>
      <c r="I1638" s="28"/>
      <c r="J1638" s="255" t="str">
        <f>IF(H1638="","",(_xlfn.XLOOKUP(H1638,Cadastros!$D$6:$D$90,Cadastros!$E$6:$E$90))*(1-_xlfn.XLOOKUP(_xlfn.XLOOKUP($F1638,Clientes!$B$4:$B$39,Clientes!$C$4:$C$39),Cadastros!$L$6:$L$12,Cadastros!$N$6:$N$12)))</f>
        <v/>
      </c>
      <c r="K1638" s="168" t="str">
        <f t="shared" si="326"/>
        <v/>
      </c>
      <c r="L1638" s="168" t="str">
        <f>IFERROR(K1638/_xlfn.XLOOKUP(_xlfn.XLOOKUP($F1638,Clientes!$B$4:$B$39,Clientes!$C$4:$C$39),Cadastros!$L$6:$L$12,Cadastros!$M$6:$M$12)," ")</f>
        <v xml:space="preserve"> </v>
      </c>
      <c r="M1638" s="28"/>
      <c r="N1638" s="28"/>
      <c r="O1638" s="255" t="str">
        <f>IF(M1638="","",(_xlfn.XLOOKUP(M1638,Cadastros!$D$6:$D$90,Cadastros!$E$6:$E$90))*(1-_xlfn.XLOOKUP(_xlfn.XLOOKUP($F1638,Clientes!$B$4:$B$39,Clientes!$C$4:$C$39),Cadastros!$L$6:$L$12,Cadastros!$N$6:$N$12)))</f>
        <v/>
      </c>
      <c r="P1638" s="168" t="str">
        <f t="shared" si="327"/>
        <v/>
      </c>
      <c r="Q1638" s="168" t="str">
        <f>IFERROR(P1638/_xlfn.XLOOKUP(_xlfn.XLOOKUP($F1638,Clientes!$B$4:$B$39,Clientes!$C$4:$C$39),Cadastros!$L$6:$L$12,Cadastros!$M$6:$M$12)," ")</f>
        <v xml:space="preserve"> </v>
      </c>
      <c r="R1638" s="28"/>
      <c r="S1638" s="28"/>
      <c r="T1638" s="255" t="str">
        <f>IF(R1638="","",(_xlfn.XLOOKUP(R1638,Cadastros!$D$6:$D$90,Cadastros!$E$6:$E$90))*(1-_xlfn.XLOOKUP(_xlfn.XLOOKUP($F1638,Clientes!$B$4:$B$39,Clientes!$C$4:$C$39),Cadastros!$L$6:$L$12,Cadastros!$N$6:$N$12)))</f>
        <v/>
      </c>
      <c r="U1638" s="168" t="str">
        <f t="shared" si="328"/>
        <v/>
      </c>
      <c r="V1638" s="168" t="str">
        <f>IFERROR(U1638/_xlfn.XLOOKUP(_xlfn.XLOOKUP($F1638,Clientes!$B$4:$B$39,Clientes!$C$4:$C$39),Cadastros!$L$6:$L$12,Cadastros!$M$6:$M$12)," ")</f>
        <v xml:space="preserve"> </v>
      </c>
      <c r="W1638" s="28"/>
      <c r="X1638" s="28"/>
      <c r="Y1638" s="255" t="str">
        <f>IF(W1638="","",(_xlfn.XLOOKUP(W1638,Cadastros!$D$6:$D$90,Cadastros!$E$6:$E$90))*(1-_xlfn.XLOOKUP(_xlfn.XLOOKUP($F1638,Clientes!$B$4:$B$39,Clientes!$C$4:$C$39),Cadastros!$L$6:$L$12,Cadastros!$N$6:$N$12)))</f>
        <v/>
      </c>
      <c r="Z1638" s="168" t="str">
        <f t="shared" si="329"/>
        <v/>
      </c>
      <c r="AA1638" s="168" t="str">
        <f>IFERROR(Z1638/_xlfn.XLOOKUP(_xlfn.XLOOKUP($F1638,Clientes!$B$4:$B$39,Clientes!$C$4:$C$39),Cadastros!$L$6:$L$12,Cadastros!$M$6:$M$12)," ")</f>
        <v xml:space="preserve"> </v>
      </c>
      <c r="AB1638" s="28"/>
      <c r="AC1638" s="28"/>
      <c r="AD1638" s="20" t="str">
        <f>IF(AB1638="","",IF($F1638="Bernardino Furlan",_xlfn.XLOOKUP(AB1638,Cadastros!$G$6:$G$90,Cadastros!$H$6:$H$90)*(1-0.18),IF($F1638="Mauro José Salanti",_xlfn.XLOOKUP(AB1638,Cadastros!$G$6:$G$90,Cadastros!$H$6:$H$90)*(1-0.18),_xlfn.XLOOKUP(AB1638,Cadastros!$G$6:$G$90,Cadastros!$H$6:$H$90))))</f>
        <v/>
      </c>
      <c r="AE1638" s="168" t="str">
        <f t="shared" si="330"/>
        <v/>
      </c>
      <c r="AF1638" s="168" t="str">
        <f t="shared" si="331"/>
        <v/>
      </c>
      <c r="AG1638" s="28"/>
      <c r="AH1638" s="28"/>
      <c r="AI1638" s="20" t="str">
        <f>IF(AG1638="","",IF($F1638="Bernardino Furlan",_xlfn.XLOOKUP(AG1638,Cadastros!$G$6:$G$90,Cadastros!$H$6:$H$90)*(1-0.18),IF($F1638="Mauro José Salanti",_xlfn.XLOOKUP(AG1638,Cadastros!$G$6:$G$90,Cadastros!$H$6:$H$90)*(1-0.18),_xlfn.XLOOKUP(AG1638,Cadastros!$G$6:$G$90,Cadastros!$H$6:$H$90))))</f>
        <v/>
      </c>
      <c r="AJ1638" s="168" t="str">
        <f t="shared" si="332"/>
        <v/>
      </c>
      <c r="AK1638" s="168" t="str">
        <f t="shared" si="333"/>
        <v/>
      </c>
      <c r="AL1638" s="28"/>
      <c r="AM1638" s="28"/>
      <c r="AN1638" s="20" t="str">
        <f>IF(AL1638="","",IF($F1638="Bernardino Furlan",_xlfn.XLOOKUP(AL1638,Cadastros!$G$6:$G$90,Cadastros!$H$6:$H$90)*(1-0.18),IF($F1638="Mauro José Salanti",_xlfn.XLOOKUP(AL1638,Cadastros!$G$6:$G$90,Cadastros!$H$6:$H$90)*(1-0.18),_xlfn.XLOOKUP(AL1638,Cadastros!$G$6:$G$90,Cadastros!$H$6:$H$90))))</f>
        <v/>
      </c>
      <c r="AO1638" s="168" t="str">
        <f t="shared" si="334"/>
        <v/>
      </c>
      <c r="AP1638" s="168" t="str">
        <f t="shared" si="335"/>
        <v/>
      </c>
      <c r="AQ1638" s="28"/>
      <c r="AR1638" s="28"/>
      <c r="AS1638" s="20" t="str">
        <f>IF(AQ1638="","",IF($F1638="Bernardino Furlan",_xlfn.XLOOKUP(AQ1638,Cadastros!$G$6:$G$90,Cadastros!$H$6:$H$90)*(1-0.18),IF($F1638="Mauro José Salanti",_xlfn.XLOOKUP(AQ1638,Cadastros!$G$6:$G$90,Cadastros!$H$6:$H$90)*(1-0.18),_xlfn.XLOOKUP(AQ1638,Cadastros!$G$6:$G$90,Cadastros!$H$6:$H$90))))</f>
        <v/>
      </c>
      <c r="AT1638" s="168" t="str">
        <f t="shared" si="336"/>
        <v/>
      </c>
      <c r="AU1638" s="168" t="str">
        <f t="shared" si="337"/>
        <v/>
      </c>
      <c r="AV1638" s="227"/>
      <c r="AW1638" s="30"/>
      <c r="AX1638" s="267"/>
      <c r="AY1638" s="267"/>
      <c r="AZ1638" s="29"/>
      <c r="BA1638" s="30"/>
      <c r="BB1638" s="23" t="str" cm="1">
        <f t="array" ref="BB1638">_xlfn.IFS(AW1638="SIM",SUM(K1638,P1638,U1638,Z1638,AE1638,AJ1638,AO1638,AT1638,AX1638,AY1638),F1638&lt;&gt;"",SUM(K1638,P1638,U1638,Z1638,AE1638,AJ1638,,AO1638,AT1638),F1638="","")</f>
        <v/>
      </c>
      <c r="BC1638" s="211" t="str" cm="1">
        <f t="array" ref="BC1638">_xlfn.IFS(E1638="","",G1638&lt;=E1638,BB1638*(1-0.03),G1638&lt;(E1638+8),BB1638,AZ1638="Boleto",BB1638*(1+0.001)^DATEDIF(E1638,G1638,"D"),AZ1638="Cheque",BB1638,AZ1638="Dinheiro","Alterar forma pgto")</f>
        <v/>
      </c>
      <c r="BD1638" s="276" t="str" cm="1">
        <f t="array" ref="BD1638">IF(F1638=0," ",IF(BC1638&lt;BB1638,(_xlfn.IFS(AW1638="SIM",SUM(L1638,Q1638,V1638,AA1638,AF1638,AK1638,AP1638,AU1638)+AX1638/_xlfn.XLOOKUP(_xlfn.XLOOKUP($F1638,Clientes!$B$4:$B$39,Clientes!$C$4:$C$39),Cadastros!$L$6:$L$12,Cadastros!$M$6:$M$12)+IF($F1638="Bernardino Furlan",AY1638/2751.92,IF($F1638="Mauro José Salanti",AY1638/2751.92,AY1638/3356)),F1638&lt;&gt;0,SUM(L1638,Q1638,V1638,AA1638,AF1638,AK1638,AP1638,AU1638)))*(1-0.03),_xlfn.IFS(AW1638="SIM",SUM(L1638,Q1638,V1638,AA1638,AF1638,AK1638,AP1638,AU1638)+AX1638/_xlfn.XLOOKUP(_xlfn.XLOOKUP($F1638,Clientes!$B$4:$B$39,Clientes!$C$4:$C$39),Cadastros!$L$6:$L$12,Cadastros!$M$6:$M$12)+IF($F1638="Bernardino Furlan",AY1638/2751.92,IF($F1638="Mauro José Salanti",AY1638/2751.92,AY1638/3356)),F1638&lt;&gt;0,SUM(L1638,Q1638,V1638,AA1638,AF1638,AK1638,AP1638,AU1638))))</f>
        <v xml:space="preserve"> </v>
      </c>
      <c r="BE1638" s="120"/>
      <c r="BF1638" s="120"/>
      <c r="BG1638" s="120"/>
    </row>
    <row r="1639" spans="1:59" s="3" customFormat="1" x14ac:dyDescent="0.3">
      <c r="A1639" s="15" t="str">
        <f t="shared" si="325"/>
        <v/>
      </c>
      <c r="B1639" s="25"/>
      <c r="C1639" s="26"/>
      <c r="D1639" s="279"/>
      <c r="E1639" s="27"/>
      <c r="F1639" s="28"/>
      <c r="G1639" s="27"/>
      <c r="H1639" s="28"/>
      <c r="I1639" s="28"/>
      <c r="J1639" s="255" t="str">
        <f>IF(H1639="","",(_xlfn.XLOOKUP(H1639,Cadastros!$D$6:$D$90,Cadastros!$E$6:$E$90))*(1-_xlfn.XLOOKUP(_xlfn.XLOOKUP($F1639,Clientes!$B$4:$B$39,Clientes!$C$4:$C$39),Cadastros!$L$6:$L$12,Cadastros!$N$6:$N$12)))</f>
        <v/>
      </c>
      <c r="K1639" s="168" t="str">
        <f t="shared" si="326"/>
        <v/>
      </c>
      <c r="L1639" s="168" t="str">
        <f>IFERROR(K1639/_xlfn.XLOOKUP(_xlfn.XLOOKUP($F1639,Clientes!$B$4:$B$39,Clientes!$C$4:$C$39),Cadastros!$L$6:$L$12,Cadastros!$M$6:$M$12)," ")</f>
        <v xml:space="preserve"> </v>
      </c>
      <c r="M1639" s="28"/>
      <c r="N1639" s="28"/>
      <c r="O1639" s="255" t="str">
        <f>IF(M1639="","",(_xlfn.XLOOKUP(M1639,Cadastros!$D$6:$D$90,Cadastros!$E$6:$E$90))*(1-_xlfn.XLOOKUP(_xlfn.XLOOKUP($F1639,Clientes!$B$4:$B$39,Clientes!$C$4:$C$39),Cadastros!$L$6:$L$12,Cadastros!$N$6:$N$12)))</f>
        <v/>
      </c>
      <c r="P1639" s="168" t="str">
        <f t="shared" si="327"/>
        <v/>
      </c>
      <c r="Q1639" s="168" t="str">
        <f>IFERROR(P1639/_xlfn.XLOOKUP(_xlfn.XLOOKUP($F1639,Clientes!$B$4:$B$39,Clientes!$C$4:$C$39),Cadastros!$L$6:$L$12,Cadastros!$M$6:$M$12)," ")</f>
        <v xml:space="preserve"> </v>
      </c>
      <c r="R1639" s="28"/>
      <c r="S1639" s="28"/>
      <c r="T1639" s="255" t="str">
        <f>IF(R1639="","",(_xlfn.XLOOKUP(R1639,Cadastros!$D$6:$D$90,Cadastros!$E$6:$E$90))*(1-_xlfn.XLOOKUP(_xlfn.XLOOKUP($F1639,Clientes!$B$4:$B$39,Clientes!$C$4:$C$39),Cadastros!$L$6:$L$12,Cadastros!$N$6:$N$12)))</f>
        <v/>
      </c>
      <c r="U1639" s="168" t="str">
        <f t="shared" si="328"/>
        <v/>
      </c>
      <c r="V1639" s="168" t="str">
        <f>IFERROR(U1639/_xlfn.XLOOKUP(_xlfn.XLOOKUP($F1639,Clientes!$B$4:$B$39,Clientes!$C$4:$C$39),Cadastros!$L$6:$L$12,Cadastros!$M$6:$M$12)," ")</f>
        <v xml:space="preserve"> </v>
      </c>
      <c r="W1639" s="28"/>
      <c r="X1639" s="28"/>
      <c r="Y1639" s="255" t="str">
        <f>IF(W1639="","",(_xlfn.XLOOKUP(W1639,Cadastros!$D$6:$D$90,Cadastros!$E$6:$E$90))*(1-_xlfn.XLOOKUP(_xlfn.XLOOKUP($F1639,Clientes!$B$4:$B$39,Clientes!$C$4:$C$39),Cadastros!$L$6:$L$12,Cadastros!$N$6:$N$12)))</f>
        <v/>
      </c>
      <c r="Z1639" s="168" t="str">
        <f t="shared" si="329"/>
        <v/>
      </c>
      <c r="AA1639" s="168" t="str">
        <f>IFERROR(Z1639/_xlfn.XLOOKUP(_xlfn.XLOOKUP($F1639,Clientes!$B$4:$B$39,Clientes!$C$4:$C$39),Cadastros!$L$6:$L$12,Cadastros!$M$6:$M$12)," ")</f>
        <v xml:space="preserve"> </v>
      </c>
      <c r="AB1639" s="28"/>
      <c r="AC1639" s="28"/>
      <c r="AD1639" s="20" t="str">
        <f>IF(AB1639="","",IF($F1639="Bernardino Furlan",_xlfn.XLOOKUP(AB1639,Cadastros!$G$6:$G$90,Cadastros!$H$6:$H$90)*(1-0.18),IF($F1639="Mauro José Salanti",_xlfn.XLOOKUP(AB1639,Cadastros!$G$6:$G$90,Cadastros!$H$6:$H$90)*(1-0.18),_xlfn.XLOOKUP(AB1639,Cadastros!$G$6:$G$90,Cadastros!$H$6:$H$90))))</f>
        <v/>
      </c>
      <c r="AE1639" s="168" t="str">
        <f t="shared" si="330"/>
        <v/>
      </c>
      <c r="AF1639" s="168" t="str">
        <f t="shared" si="331"/>
        <v/>
      </c>
      <c r="AG1639" s="28"/>
      <c r="AH1639" s="28"/>
      <c r="AI1639" s="20" t="str">
        <f>IF(AG1639="","",IF($F1639="Bernardino Furlan",_xlfn.XLOOKUP(AG1639,Cadastros!$G$6:$G$90,Cadastros!$H$6:$H$90)*(1-0.18),IF($F1639="Mauro José Salanti",_xlfn.XLOOKUP(AG1639,Cadastros!$G$6:$G$90,Cadastros!$H$6:$H$90)*(1-0.18),_xlfn.XLOOKUP(AG1639,Cadastros!$G$6:$G$90,Cadastros!$H$6:$H$90))))</f>
        <v/>
      </c>
      <c r="AJ1639" s="168" t="str">
        <f t="shared" si="332"/>
        <v/>
      </c>
      <c r="AK1639" s="168" t="str">
        <f t="shared" si="333"/>
        <v/>
      </c>
      <c r="AL1639" s="28"/>
      <c r="AM1639" s="28"/>
      <c r="AN1639" s="20" t="str">
        <f>IF(AL1639="","",IF($F1639="Bernardino Furlan",_xlfn.XLOOKUP(AL1639,Cadastros!$G$6:$G$90,Cadastros!$H$6:$H$90)*(1-0.18),IF($F1639="Mauro José Salanti",_xlfn.XLOOKUP(AL1639,Cadastros!$G$6:$G$90,Cadastros!$H$6:$H$90)*(1-0.18),_xlfn.XLOOKUP(AL1639,Cadastros!$G$6:$G$90,Cadastros!$H$6:$H$90))))</f>
        <v/>
      </c>
      <c r="AO1639" s="168" t="str">
        <f t="shared" si="334"/>
        <v/>
      </c>
      <c r="AP1639" s="168" t="str">
        <f t="shared" si="335"/>
        <v/>
      </c>
      <c r="AQ1639" s="28"/>
      <c r="AR1639" s="28"/>
      <c r="AS1639" s="20" t="str">
        <f>IF(AQ1639="","",IF($F1639="Bernardino Furlan",_xlfn.XLOOKUP(AQ1639,Cadastros!$G$6:$G$90,Cadastros!$H$6:$H$90)*(1-0.18),IF($F1639="Mauro José Salanti",_xlfn.XLOOKUP(AQ1639,Cadastros!$G$6:$G$90,Cadastros!$H$6:$H$90)*(1-0.18),_xlfn.XLOOKUP(AQ1639,Cadastros!$G$6:$G$90,Cadastros!$H$6:$H$90))))</f>
        <v/>
      </c>
      <c r="AT1639" s="168" t="str">
        <f t="shared" si="336"/>
        <v/>
      </c>
      <c r="AU1639" s="168" t="str">
        <f t="shared" si="337"/>
        <v/>
      </c>
      <c r="AV1639" s="227"/>
      <c r="AW1639" s="30"/>
      <c r="AX1639" s="267"/>
      <c r="AY1639" s="267"/>
      <c r="AZ1639" s="29"/>
      <c r="BA1639" s="30"/>
      <c r="BB1639" s="23" t="str" cm="1">
        <f t="array" ref="BB1639">_xlfn.IFS(AW1639="SIM",SUM(K1639,P1639,U1639,Z1639,AE1639,AJ1639,AO1639,AT1639,AX1639,AY1639),F1639&lt;&gt;"",SUM(K1639,P1639,U1639,Z1639,AE1639,AJ1639,,AO1639,AT1639),F1639="","")</f>
        <v/>
      </c>
      <c r="BC1639" s="211" t="str" cm="1">
        <f t="array" ref="BC1639">_xlfn.IFS(E1639="","",G1639&lt;=E1639,BB1639*(1-0.03),G1639&lt;(E1639+8),BB1639,AZ1639="Boleto",BB1639*(1+0.001)^DATEDIF(E1639,G1639,"D"),AZ1639="Cheque",BB1639,AZ1639="Dinheiro","Alterar forma pgto")</f>
        <v/>
      </c>
      <c r="BD1639" s="276" t="str" cm="1">
        <f t="array" ref="BD1639">IF(F1639=0," ",IF(BC1639&lt;BB1639,(_xlfn.IFS(AW1639="SIM",SUM(L1639,Q1639,V1639,AA1639,AF1639,AK1639,AP1639,AU1639)+AX1639/_xlfn.XLOOKUP(_xlfn.XLOOKUP($F1639,Clientes!$B$4:$B$39,Clientes!$C$4:$C$39),Cadastros!$L$6:$L$12,Cadastros!$M$6:$M$12)+IF($F1639="Bernardino Furlan",AY1639/2751.92,IF($F1639="Mauro José Salanti",AY1639/2751.92,AY1639/3356)),F1639&lt;&gt;0,SUM(L1639,Q1639,V1639,AA1639,AF1639,AK1639,AP1639,AU1639)))*(1-0.03),_xlfn.IFS(AW1639="SIM",SUM(L1639,Q1639,V1639,AA1639,AF1639,AK1639,AP1639,AU1639)+AX1639/_xlfn.XLOOKUP(_xlfn.XLOOKUP($F1639,Clientes!$B$4:$B$39,Clientes!$C$4:$C$39),Cadastros!$L$6:$L$12,Cadastros!$M$6:$M$12)+IF($F1639="Bernardino Furlan",AY1639/2751.92,IF($F1639="Mauro José Salanti",AY1639/2751.92,AY1639/3356)),F1639&lt;&gt;0,SUM(L1639,Q1639,V1639,AA1639,AF1639,AK1639,AP1639,AU1639))))</f>
        <v xml:space="preserve"> </v>
      </c>
      <c r="BE1639" s="120"/>
      <c r="BF1639" s="120"/>
      <c r="BG1639" s="120"/>
    </row>
    <row r="1640" spans="1:59" s="3" customFormat="1" x14ac:dyDescent="0.3">
      <c r="A1640" s="15" t="str">
        <f t="shared" si="325"/>
        <v/>
      </c>
      <c r="B1640" s="25"/>
      <c r="C1640" s="26"/>
      <c r="D1640" s="279"/>
      <c r="E1640" s="27"/>
      <c r="F1640" s="28"/>
      <c r="G1640" s="27"/>
      <c r="H1640" s="28"/>
      <c r="I1640" s="28"/>
      <c r="J1640" s="255" t="str">
        <f>IF(H1640="","",(_xlfn.XLOOKUP(H1640,Cadastros!$D$6:$D$90,Cadastros!$E$6:$E$90))*(1-_xlfn.XLOOKUP(_xlfn.XLOOKUP($F1640,Clientes!$B$4:$B$39,Clientes!$C$4:$C$39),Cadastros!$L$6:$L$12,Cadastros!$N$6:$N$12)))</f>
        <v/>
      </c>
      <c r="K1640" s="168" t="str">
        <f t="shared" si="326"/>
        <v/>
      </c>
      <c r="L1640" s="168" t="str">
        <f>IFERROR(K1640/_xlfn.XLOOKUP(_xlfn.XLOOKUP($F1640,Clientes!$B$4:$B$39,Clientes!$C$4:$C$39),Cadastros!$L$6:$L$12,Cadastros!$M$6:$M$12)," ")</f>
        <v xml:space="preserve"> </v>
      </c>
      <c r="M1640" s="28"/>
      <c r="N1640" s="28"/>
      <c r="O1640" s="255" t="str">
        <f>IF(M1640="","",(_xlfn.XLOOKUP(M1640,Cadastros!$D$6:$D$90,Cadastros!$E$6:$E$90))*(1-_xlfn.XLOOKUP(_xlfn.XLOOKUP($F1640,Clientes!$B$4:$B$39,Clientes!$C$4:$C$39),Cadastros!$L$6:$L$12,Cadastros!$N$6:$N$12)))</f>
        <v/>
      </c>
      <c r="P1640" s="168" t="str">
        <f t="shared" si="327"/>
        <v/>
      </c>
      <c r="Q1640" s="168" t="str">
        <f>IFERROR(P1640/_xlfn.XLOOKUP(_xlfn.XLOOKUP($F1640,Clientes!$B$4:$B$39,Clientes!$C$4:$C$39),Cadastros!$L$6:$L$12,Cadastros!$M$6:$M$12)," ")</f>
        <v xml:space="preserve"> </v>
      </c>
      <c r="R1640" s="28"/>
      <c r="S1640" s="28"/>
      <c r="T1640" s="255" t="str">
        <f>IF(R1640="","",(_xlfn.XLOOKUP(R1640,Cadastros!$D$6:$D$90,Cadastros!$E$6:$E$90))*(1-_xlfn.XLOOKUP(_xlfn.XLOOKUP($F1640,Clientes!$B$4:$B$39,Clientes!$C$4:$C$39),Cadastros!$L$6:$L$12,Cadastros!$N$6:$N$12)))</f>
        <v/>
      </c>
      <c r="U1640" s="168" t="str">
        <f t="shared" si="328"/>
        <v/>
      </c>
      <c r="V1640" s="168" t="str">
        <f>IFERROR(U1640/_xlfn.XLOOKUP(_xlfn.XLOOKUP($F1640,Clientes!$B$4:$B$39,Clientes!$C$4:$C$39),Cadastros!$L$6:$L$12,Cadastros!$M$6:$M$12)," ")</f>
        <v xml:space="preserve"> </v>
      </c>
      <c r="W1640" s="28"/>
      <c r="X1640" s="28"/>
      <c r="Y1640" s="255" t="str">
        <f>IF(W1640="","",(_xlfn.XLOOKUP(W1640,Cadastros!$D$6:$D$90,Cadastros!$E$6:$E$90))*(1-_xlfn.XLOOKUP(_xlfn.XLOOKUP($F1640,Clientes!$B$4:$B$39,Clientes!$C$4:$C$39),Cadastros!$L$6:$L$12,Cadastros!$N$6:$N$12)))</f>
        <v/>
      </c>
      <c r="Z1640" s="168" t="str">
        <f t="shared" si="329"/>
        <v/>
      </c>
      <c r="AA1640" s="168" t="str">
        <f>IFERROR(Z1640/_xlfn.XLOOKUP(_xlfn.XLOOKUP($F1640,Clientes!$B$4:$B$39,Clientes!$C$4:$C$39),Cadastros!$L$6:$L$12,Cadastros!$M$6:$M$12)," ")</f>
        <v xml:space="preserve"> </v>
      </c>
      <c r="AB1640" s="28"/>
      <c r="AC1640" s="28"/>
      <c r="AD1640" s="20" t="str">
        <f>IF(AB1640="","",IF($F1640="Bernardino Furlan",_xlfn.XLOOKUP(AB1640,Cadastros!$G$6:$G$90,Cadastros!$H$6:$H$90)*(1-0.18),IF($F1640="Mauro José Salanti",_xlfn.XLOOKUP(AB1640,Cadastros!$G$6:$G$90,Cadastros!$H$6:$H$90)*(1-0.18),_xlfn.XLOOKUP(AB1640,Cadastros!$G$6:$G$90,Cadastros!$H$6:$H$90))))</f>
        <v/>
      </c>
      <c r="AE1640" s="168" t="str">
        <f t="shared" si="330"/>
        <v/>
      </c>
      <c r="AF1640" s="168" t="str">
        <f t="shared" si="331"/>
        <v/>
      </c>
      <c r="AG1640" s="28"/>
      <c r="AH1640" s="28"/>
      <c r="AI1640" s="20" t="str">
        <f>IF(AG1640="","",IF($F1640="Bernardino Furlan",_xlfn.XLOOKUP(AG1640,Cadastros!$G$6:$G$90,Cadastros!$H$6:$H$90)*(1-0.18),IF($F1640="Mauro José Salanti",_xlfn.XLOOKUP(AG1640,Cadastros!$G$6:$G$90,Cadastros!$H$6:$H$90)*(1-0.18),_xlfn.XLOOKUP(AG1640,Cadastros!$G$6:$G$90,Cadastros!$H$6:$H$90))))</f>
        <v/>
      </c>
      <c r="AJ1640" s="168" t="str">
        <f t="shared" si="332"/>
        <v/>
      </c>
      <c r="AK1640" s="168" t="str">
        <f t="shared" si="333"/>
        <v/>
      </c>
      <c r="AL1640" s="28"/>
      <c r="AM1640" s="28"/>
      <c r="AN1640" s="20" t="str">
        <f>IF(AL1640="","",IF($F1640="Bernardino Furlan",_xlfn.XLOOKUP(AL1640,Cadastros!$G$6:$G$90,Cadastros!$H$6:$H$90)*(1-0.18),IF($F1640="Mauro José Salanti",_xlfn.XLOOKUP(AL1640,Cadastros!$G$6:$G$90,Cadastros!$H$6:$H$90)*(1-0.18),_xlfn.XLOOKUP(AL1640,Cadastros!$G$6:$G$90,Cadastros!$H$6:$H$90))))</f>
        <v/>
      </c>
      <c r="AO1640" s="168" t="str">
        <f t="shared" si="334"/>
        <v/>
      </c>
      <c r="AP1640" s="168" t="str">
        <f t="shared" si="335"/>
        <v/>
      </c>
      <c r="AQ1640" s="28"/>
      <c r="AR1640" s="28"/>
      <c r="AS1640" s="20" t="str">
        <f>IF(AQ1640="","",IF($F1640="Bernardino Furlan",_xlfn.XLOOKUP(AQ1640,Cadastros!$G$6:$G$90,Cadastros!$H$6:$H$90)*(1-0.18),IF($F1640="Mauro José Salanti",_xlfn.XLOOKUP(AQ1640,Cadastros!$G$6:$G$90,Cadastros!$H$6:$H$90)*(1-0.18),_xlfn.XLOOKUP(AQ1640,Cadastros!$G$6:$G$90,Cadastros!$H$6:$H$90))))</f>
        <v/>
      </c>
      <c r="AT1640" s="168" t="str">
        <f t="shared" si="336"/>
        <v/>
      </c>
      <c r="AU1640" s="168" t="str">
        <f t="shared" si="337"/>
        <v/>
      </c>
      <c r="AV1640" s="227"/>
      <c r="AW1640" s="30"/>
      <c r="AX1640" s="267"/>
      <c r="AY1640" s="267"/>
      <c r="AZ1640" s="29"/>
      <c r="BA1640" s="30"/>
      <c r="BB1640" s="23" t="str" cm="1">
        <f t="array" ref="BB1640">_xlfn.IFS(AW1640="SIM",SUM(K1640,P1640,U1640,Z1640,AE1640,AJ1640,AO1640,AT1640,AX1640,AY1640),F1640&lt;&gt;"",SUM(K1640,P1640,U1640,Z1640,AE1640,AJ1640,,AO1640,AT1640),F1640="","")</f>
        <v/>
      </c>
      <c r="BC1640" s="211" t="str" cm="1">
        <f t="array" ref="BC1640">_xlfn.IFS(E1640="","",G1640&lt;=E1640,BB1640*(1-0.03),G1640&lt;(E1640+8),BB1640,AZ1640="Boleto",BB1640*(1+0.001)^DATEDIF(E1640,G1640,"D"),AZ1640="Cheque",BB1640,AZ1640="Dinheiro","Alterar forma pgto")</f>
        <v/>
      </c>
      <c r="BD1640" s="276" t="str" cm="1">
        <f t="array" ref="BD1640">IF(F1640=0," ",IF(BC1640&lt;BB1640,(_xlfn.IFS(AW1640="SIM",SUM(L1640,Q1640,V1640,AA1640,AF1640,AK1640,AP1640,AU1640)+AX1640/_xlfn.XLOOKUP(_xlfn.XLOOKUP($F1640,Clientes!$B$4:$B$39,Clientes!$C$4:$C$39),Cadastros!$L$6:$L$12,Cadastros!$M$6:$M$12)+IF($F1640="Bernardino Furlan",AY1640/2751.92,IF($F1640="Mauro José Salanti",AY1640/2751.92,AY1640/3356)),F1640&lt;&gt;0,SUM(L1640,Q1640,V1640,AA1640,AF1640,AK1640,AP1640,AU1640)))*(1-0.03),_xlfn.IFS(AW1640="SIM",SUM(L1640,Q1640,V1640,AA1640,AF1640,AK1640,AP1640,AU1640)+AX1640/_xlfn.XLOOKUP(_xlfn.XLOOKUP($F1640,Clientes!$B$4:$B$39,Clientes!$C$4:$C$39),Cadastros!$L$6:$L$12,Cadastros!$M$6:$M$12)+IF($F1640="Bernardino Furlan",AY1640/2751.92,IF($F1640="Mauro José Salanti",AY1640/2751.92,AY1640/3356)),F1640&lt;&gt;0,SUM(L1640,Q1640,V1640,AA1640,AF1640,AK1640,AP1640,AU1640))))</f>
        <v xml:space="preserve"> </v>
      </c>
      <c r="BE1640" s="120"/>
      <c r="BF1640" s="120"/>
      <c r="BG1640" s="120"/>
    </row>
    <row r="1641" spans="1:59" s="3" customFormat="1" x14ac:dyDescent="0.3">
      <c r="A1641" s="15" t="str">
        <f t="shared" si="325"/>
        <v/>
      </c>
      <c r="B1641" s="25"/>
      <c r="C1641" s="26"/>
      <c r="D1641" s="279"/>
      <c r="E1641" s="27"/>
      <c r="F1641" s="28"/>
      <c r="G1641" s="27"/>
      <c r="H1641" s="28"/>
      <c r="I1641" s="28"/>
      <c r="J1641" s="255" t="str">
        <f>IF(H1641="","",(_xlfn.XLOOKUP(H1641,Cadastros!$D$6:$D$90,Cadastros!$E$6:$E$90))*(1-_xlfn.XLOOKUP(_xlfn.XLOOKUP($F1641,Clientes!$B$4:$B$39,Clientes!$C$4:$C$39),Cadastros!$L$6:$L$12,Cadastros!$N$6:$N$12)))</f>
        <v/>
      </c>
      <c r="K1641" s="168" t="str">
        <f t="shared" si="326"/>
        <v/>
      </c>
      <c r="L1641" s="168" t="str">
        <f>IFERROR(K1641/_xlfn.XLOOKUP(_xlfn.XLOOKUP($F1641,Clientes!$B$4:$B$39,Clientes!$C$4:$C$39),Cadastros!$L$6:$L$12,Cadastros!$M$6:$M$12)," ")</f>
        <v xml:space="preserve"> </v>
      </c>
      <c r="M1641" s="28"/>
      <c r="N1641" s="28"/>
      <c r="O1641" s="255" t="str">
        <f>IF(M1641="","",(_xlfn.XLOOKUP(M1641,Cadastros!$D$6:$D$90,Cadastros!$E$6:$E$90))*(1-_xlfn.XLOOKUP(_xlfn.XLOOKUP($F1641,Clientes!$B$4:$B$39,Clientes!$C$4:$C$39),Cadastros!$L$6:$L$12,Cadastros!$N$6:$N$12)))</f>
        <v/>
      </c>
      <c r="P1641" s="168" t="str">
        <f t="shared" si="327"/>
        <v/>
      </c>
      <c r="Q1641" s="168" t="str">
        <f>IFERROR(P1641/_xlfn.XLOOKUP(_xlfn.XLOOKUP($F1641,Clientes!$B$4:$B$39,Clientes!$C$4:$C$39),Cadastros!$L$6:$L$12,Cadastros!$M$6:$M$12)," ")</f>
        <v xml:space="preserve"> </v>
      </c>
      <c r="R1641" s="28"/>
      <c r="S1641" s="28"/>
      <c r="T1641" s="255" t="str">
        <f>IF(R1641="","",(_xlfn.XLOOKUP(R1641,Cadastros!$D$6:$D$90,Cadastros!$E$6:$E$90))*(1-_xlfn.XLOOKUP(_xlfn.XLOOKUP($F1641,Clientes!$B$4:$B$39,Clientes!$C$4:$C$39),Cadastros!$L$6:$L$12,Cadastros!$N$6:$N$12)))</f>
        <v/>
      </c>
      <c r="U1641" s="168" t="str">
        <f t="shared" si="328"/>
        <v/>
      </c>
      <c r="V1641" s="168" t="str">
        <f>IFERROR(U1641/_xlfn.XLOOKUP(_xlfn.XLOOKUP($F1641,Clientes!$B$4:$B$39,Clientes!$C$4:$C$39),Cadastros!$L$6:$L$12,Cadastros!$M$6:$M$12)," ")</f>
        <v xml:space="preserve"> </v>
      </c>
      <c r="W1641" s="28"/>
      <c r="X1641" s="28"/>
      <c r="Y1641" s="255" t="str">
        <f>IF(W1641="","",(_xlfn.XLOOKUP(W1641,Cadastros!$D$6:$D$90,Cadastros!$E$6:$E$90))*(1-_xlfn.XLOOKUP(_xlfn.XLOOKUP($F1641,Clientes!$B$4:$B$39,Clientes!$C$4:$C$39),Cadastros!$L$6:$L$12,Cadastros!$N$6:$N$12)))</f>
        <v/>
      </c>
      <c r="Z1641" s="168" t="str">
        <f t="shared" si="329"/>
        <v/>
      </c>
      <c r="AA1641" s="168" t="str">
        <f>IFERROR(Z1641/_xlfn.XLOOKUP(_xlfn.XLOOKUP($F1641,Clientes!$B$4:$B$39,Clientes!$C$4:$C$39),Cadastros!$L$6:$L$12,Cadastros!$M$6:$M$12)," ")</f>
        <v xml:space="preserve"> </v>
      </c>
      <c r="AB1641" s="28"/>
      <c r="AC1641" s="28"/>
      <c r="AD1641" s="20" t="str">
        <f>IF(AB1641="","",IF($F1641="Bernardino Furlan",_xlfn.XLOOKUP(AB1641,Cadastros!$G$6:$G$90,Cadastros!$H$6:$H$90)*(1-0.18),IF($F1641="Mauro José Salanti",_xlfn.XLOOKUP(AB1641,Cadastros!$G$6:$G$90,Cadastros!$H$6:$H$90)*(1-0.18),_xlfn.XLOOKUP(AB1641,Cadastros!$G$6:$G$90,Cadastros!$H$6:$H$90))))</f>
        <v/>
      </c>
      <c r="AE1641" s="168" t="str">
        <f t="shared" si="330"/>
        <v/>
      </c>
      <c r="AF1641" s="168" t="str">
        <f t="shared" si="331"/>
        <v/>
      </c>
      <c r="AG1641" s="28"/>
      <c r="AH1641" s="28"/>
      <c r="AI1641" s="20" t="str">
        <f>IF(AG1641="","",IF($F1641="Bernardino Furlan",_xlfn.XLOOKUP(AG1641,Cadastros!$G$6:$G$90,Cadastros!$H$6:$H$90)*(1-0.18),IF($F1641="Mauro José Salanti",_xlfn.XLOOKUP(AG1641,Cadastros!$G$6:$G$90,Cadastros!$H$6:$H$90)*(1-0.18),_xlfn.XLOOKUP(AG1641,Cadastros!$G$6:$G$90,Cadastros!$H$6:$H$90))))</f>
        <v/>
      </c>
      <c r="AJ1641" s="168" t="str">
        <f t="shared" si="332"/>
        <v/>
      </c>
      <c r="AK1641" s="168" t="str">
        <f t="shared" si="333"/>
        <v/>
      </c>
      <c r="AL1641" s="28"/>
      <c r="AM1641" s="28"/>
      <c r="AN1641" s="20" t="str">
        <f>IF(AL1641="","",IF($F1641="Bernardino Furlan",_xlfn.XLOOKUP(AL1641,Cadastros!$G$6:$G$90,Cadastros!$H$6:$H$90)*(1-0.18),IF($F1641="Mauro José Salanti",_xlfn.XLOOKUP(AL1641,Cadastros!$G$6:$G$90,Cadastros!$H$6:$H$90)*(1-0.18),_xlfn.XLOOKUP(AL1641,Cadastros!$G$6:$G$90,Cadastros!$H$6:$H$90))))</f>
        <v/>
      </c>
      <c r="AO1641" s="168" t="str">
        <f t="shared" si="334"/>
        <v/>
      </c>
      <c r="AP1641" s="168" t="str">
        <f t="shared" si="335"/>
        <v/>
      </c>
      <c r="AQ1641" s="28"/>
      <c r="AR1641" s="28"/>
      <c r="AS1641" s="20" t="str">
        <f>IF(AQ1641="","",IF($F1641="Bernardino Furlan",_xlfn.XLOOKUP(AQ1641,Cadastros!$G$6:$G$90,Cadastros!$H$6:$H$90)*(1-0.18),IF($F1641="Mauro José Salanti",_xlfn.XLOOKUP(AQ1641,Cadastros!$G$6:$G$90,Cadastros!$H$6:$H$90)*(1-0.18),_xlfn.XLOOKUP(AQ1641,Cadastros!$G$6:$G$90,Cadastros!$H$6:$H$90))))</f>
        <v/>
      </c>
      <c r="AT1641" s="168" t="str">
        <f t="shared" si="336"/>
        <v/>
      </c>
      <c r="AU1641" s="168" t="str">
        <f t="shared" si="337"/>
        <v/>
      </c>
      <c r="AV1641" s="227"/>
      <c r="AW1641" s="30"/>
      <c r="AX1641" s="267"/>
      <c r="AY1641" s="267"/>
      <c r="AZ1641" s="29"/>
      <c r="BA1641" s="30"/>
      <c r="BB1641" s="23" t="str" cm="1">
        <f t="array" ref="BB1641">_xlfn.IFS(AW1641="SIM",SUM(K1641,P1641,U1641,Z1641,AE1641,AJ1641,AO1641,AT1641,AX1641,AY1641),F1641&lt;&gt;"",SUM(K1641,P1641,U1641,Z1641,AE1641,AJ1641,,AO1641,AT1641),F1641="","")</f>
        <v/>
      </c>
      <c r="BC1641" s="211" t="str" cm="1">
        <f t="array" ref="BC1641">_xlfn.IFS(E1641="","",G1641&lt;=E1641,BB1641*(1-0.03),G1641&lt;(E1641+8),BB1641,AZ1641="Boleto",BB1641*(1+0.001)^DATEDIF(E1641,G1641,"D"),AZ1641="Cheque",BB1641,AZ1641="Dinheiro","Alterar forma pgto")</f>
        <v/>
      </c>
      <c r="BD1641" s="276" t="str" cm="1">
        <f t="array" ref="BD1641">IF(F1641=0," ",IF(BC1641&lt;BB1641,(_xlfn.IFS(AW1641="SIM",SUM(L1641,Q1641,V1641,AA1641,AF1641,AK1641,AP1641,AU1641)+AX1641/_xlfn.XLOOKUP(_xlfn.XLOOKUP($F1641,Clientes!$B$4:$B$39,Clientes!$C$4:$C$39),Cadastros!$L$6:$L$12,Cadastros!$M$6:$M$12)+IF($F1641="Bernardino Furlan",AY1641/2751.92,IF($F1641="Mauro José Salanti",AY1641/2751.92,AY1641/3356)),F1641&lt;&gt;0,SUM(L1641,Q1641,V1641,AA1641,AF1641,AK1641,AP1641,AU1641)))*(1-0.03),_xlfn.IFS(AW1641="SIM",SUM(L1641,Q1641,V1641,AA1641,AF1641,AK1641,AP1641,AU1641)+AX1641/_xlfn.XLOOKUP(_xlfn.XLOOKUP($F1641,Clientes!$B$4:$B$39,Clientes!$C$4:$C$39),Cadastros!$L$6:$L$12,Cadastros!$M$6:$M$12)+IF($F1641="Bernardino Furlan",AY1641/2751.92,IF($F1641="Mauro José Salanti",AY1641/2751.92,AY1641/3356)),F1641&lt;&gt;0,SUM(L1641,Q1641,V1641,AA1641,AF1641,AK1641,AP1641,AU1641))))</f>
        <v xml:space="preserve"> </v>
      </c>
      <c r="BE1641" s="120"/>
      <c r="BF1641" s="120"/>
      <c r="BG1641" s="120"/>
    </row>
    <row r="1642" spans="1:59" s="3" customFormat="1" x14ac:dyDescent="0.3">
      <c r="A1642" s="15" t="str">
        <f t="shared" si="325"/>
        <v/>
      </c>
      <c r="B1642" s="25"/>
      <c r="C1642" s="26"/>
      <c r="D1642" s="279"/>
      <c r="E1642" s="27"/>
      <c r="F1642" s="28"/>
      <c r="G1642" s="27"/>
      <c r="H1642" s="28"/>
      <c r="I1642" s="28"/>
      <c r="J1642" s="255" t="str">
        <f>IF(H1642="","",(_xlfn.XLOOKUP(H1642,Cadastros!$D$6:$D$90,Cadastros!$E$6:$E$90))*(1-_xlfn.XLOOKUP(_xlfn.XLOOKUP($F1642,Clientes!$B$4:$B$39,Clientes!$C$4:$C$39),Cadastros!$L$6:$L$12,Cadastros!$N$6:$N$12)))</f>
        <v/>
      </c>
      <c r="K1642" s="168" t="str">
        <f t="shared" si="326"/>
        <v/>
      </c>
      <c r="L1642" s="168" t="str">
        <f>IFERROR(K1642/_xlfn.XLOOKUP(_xlfn.XLOOKUP($F1642,Clientes!$B$4:$B$39,Clientes!$C$4:$C$39),Cadastros!$L$6:$L$12,Cadastros!$M$6:$M$12)," ")</f>
        <v xml:space="preserve"> </v>
      </c>
      <c r="M1642" s="28"/>
      <c r="N1642" s="28"/>
      <c r="O1642" s="255" t="str">
        <f>IF(M1642="","",(_xlfn.XLOOKUP(M1642,Cadastros!$D$6:$D$90,Cadastros!$E$6:$E$90))*(1-_xlfn.XLOOKUP(_xlfn.XLOOKUP($F1642,Clientes!$B$4:$B$39,Clientes!$C$4:$C$39),Cadastros!$L$6:$L$12,Cadastros!$N$6:$N$12)))</f>
        <v/>
      </c>
      <c r="P1642" s="168" t="str">
        <f t="shared" si="327"/>
        <v/>
      </c>
      <c r="Q1642" s="168" t="str">
        <f>IFERROR(P1642/_xlfn.XLOOKUP(_xlfn.XLOOKUP($F1642,Clientes!$B$4:$B$39,Clientes!$C$4:$C$39),Cadastros!$L$6:$L$12,Cadastros!$M$6:$M$12)," ")</f>
        <v xml:space="preserve"> </v>
      </c>
      <c r="R1642" s="28"/>
      <c r="S1642" s="28"/>
      <c r="T1642" s="255" t="str">
        <f>IF(R1642="","",(_xlfn.XLOOKUP(R1642,Cadastros!$D$6:$D$90,Cadastros!$E$6:$E$90))*(1-_xlfn.XLOOKUP(_xlfn.XLOOKUP($F1642,Clientes!$B$4:$B$39,Clientes!$C$4:$C$39),Cadastros!$L$6:$L$12,Cadastros!$N$6:$N$12)))</f>
        <v/>
      </c>
      <c r="U1642" s="168" t="str">
        <f t="shared" si="328"/>
        <v/>
      </c>
      <c r="V1642" s="168" t="str">
        <f>IFERROR(U1642/_xlfn.XLOOKUP(_xlfn.XLOOKUP($F1642,Clientes!$B$4:$B$39,Clientes!$C$4:$C$39),Cadastros!$L$6:$L$12,Cadastros!$M$6:$M$12)," ")</f>
        <v xml:space="preserve"> </v>
      </c>
      <c r="W1642" s="28"/>
      <c r="X1642" s="28"/>
      <c r="Y1642" s="255" t="str">
        <f>IF(W1642="","",(_xlfn.XLOOKUP(W1642,Cadastros!$D$6:$D$90,Cadastros!$E$6:$E$90))*(1-_xlfn.XLOOKUP(_xlfn.XLOOKUP($F1642,Clientes!$B$4:$B$39,Clientes!$C$4:$C$39),Cadastros!$L$6:$L$12,Cadastros!$N$6:$N$12)))</f>
        <v/>
      </c>
      <c r="Z1642" s="168" t="str">
        <f t="shared" si="329"/>
        <v/>
      </c>
      <c r="AA1642" s="168" t="str">
        <f>IFERROR(Z1642/_xlfn.XLOOKUP(_xlfn.XLOOKUP($F1642,Clientes!$B$4:$B$39,Clientes!$C$4:$C$39),Cadastros!$L$6:$L$12,Cadastros!$M$6:$M$12)," ")</f>
        <v xml:space="preserve"> </v>
      </c>
      <c r="AB1642" s="28"/>
      <c r="AC1642" s="28"/>
      <c r="AD1642" s="20" t="str">
        <f>IF(AB1642="","",IF($F1642="Bernardino Furlan",_xlfn.XLOOKUP(AB1642,Cadastros!$G$6:$G$90,Cadastros!$H$6:$H$90)*(1-0.18),IF($F1642="Mauro José Salanti",_xlfn.XLOOKUP(AB1642,Cadastros!$G$6:$G$90,Cadastros!$H$6:$H$90)*(1-0.18),_xlfn.XLOOKUP(AB1642,Cadastros!$G$6:$G$90,Cadastros!$H$6:$H$90))))</f>
        <v/>
      </c>
      <c r="AE1642" s="168" t="str">
        <f t="shared" si="330"/>
        <v/>
      </c>
      <c r="AF1642" s="168" t="str">
        <f t="shared" si="331"/>
        <v/>
      </c>
      <c r="AG1642" s="28"/>
      <c r="AH1642" s="28"/>
      <c r="AI1642" s="20" t="str">
        <f>IF(AG1642="","",IF($F1642="Bernardino Furlan",_xlfn.XLOOKUP(AG1642,Cadastros!$G$6:$G$90,Cadastros!$H$6:$H$90)*(1-0.18),IF($F1642="Mauro José Salanti",_xlfn.XLOOKUP(AG1642,Cadastros!$G$6:$G$90,Cadastros!$H$6:$H$90)*(1-0.18),_xlfn.XLOOKUP(AG1642,Cadastros!$G$6:$G$90,Cadastros!$H$6:$H$90))))</f>
        <v/>
      </c>
      <c r="AJ1642" s="168" t="str">
        <f t="shared" si="332"/>
        <v/>
      </c>
      <c r="AK1642" s="168" t="str">
        <f t="shared" si="333"/>
        <v/>
      </c>
      <c r="AL1642" s="28"/>
      <c r="AM1642" s="28"/>
      <c r="AN1642" s="20" t="str">
        <f>IF(AL1642="","",IF($F1642="Bernardino Furlan",_xlfn.XLOOKUP(AL1642,Cadastros!$G$6:$G$90,Cadastros!$H$6:$H$90)*(1-0.18),IF($F1642="Mauro José Salanti",_xlfn.XLOOKUP(AL1642,Cadastros!$G$6:$G$90,Cadastros!$H$6:$H$90)*(1-0.18),_xlfn.XLOOKUP(AL1642,Cadastros!$G$6:$G$90,Cadastros!$H$6:$H$90))))</f>
        <v/>
      </c>
      <c r="AO1642" s="168" t="str">
        <f t="shared" si="334"/>
        <v/>
      </c>
      <c r="AP1642" s="168" t="str">
        <f t="shared" si="335"/>
        <v/>
      </c>
      <c r="AQ1642" s="28"/>
      <c r="AR1642" s="28"/>
      <c r="AS1642" s="20" t="str">
        <f>IF(AQ1642="","",IF($F1642="Bernardino Furlan",_xlfn.XLOOKUP(AQ1642,Cadastros!$G$6:$G$90,Cadastros!$H$6:$H$90)*(1-0.18),IF($F1642="Mauro José Salanti",_xlfn.XLOOKUP(AQ1642,Cadastros!$G$6:$G$90,Cadastros!$H$6:$H$90)*(1-0.18),_xlfn.XLOOKUP(AQ1642,Cadastros!$G$6:$G$90,Cadastros!$H$6:$H$90))))</f>
        <v/>
      </c>
      <c r="AT1642" s="168" t="str">
        <f t="shared" si="336"/>
        <v/>
      </c>
      <c r="AU1642" s="168" t="str">
        <f t="shared" si="337"/>
        <v/>
      </c>
      <c r="AV1642" s="227"/>
      <c r="AW1642" s="30"/>
      <c r="AX1642" s="267"/>
      <c r="AY1642" s="267"/>
      <c r="AZ1642" s="29"/>
      <c r="BA1642" s="30"/>
      <c r="BB1642" s="23" t="str" cm="1">
        <f t="array" ref="BB1642">_xlfn.IFS(AW1642="SIM",SUM(K1642,P1642,U1642,Z1642,AE1642,AJ1642,AO1642,AT1642,AX1642,AY1642),F1642&lt;&gt;"",SUM(K1642,P1642,U1642,Z1642,AE1642,AJ1642,,AO1642,AT1642),F1642="","")</f>
        <v/>
      </c>
      <c r="BC1642" s="211" t="str" cm="1">
        <f t="array" ref="BC1642">_xlfn.IFS(E1642="","",G1642&lt;=E1642,BB1642*(1-0.03),G1642&lt;(E1642+8),BB1642,AZ1642="Boleto",BB1642*(1+0.001)^DATEDIF(E1642,G1642,"D"),AZ1642="Cheque",BB1642,AZ1642="Dinheiro","Alterar forma pgto")</f>
        <v/>
      </c>
      <c r="BD1642" s="276" t="str" cm="1">
        <f t="array" ref="BD1642">IF(F1642=0," ",IF(BC1642&lt;BB1642,(_xlfn.IFS(AW1642="SIM",SUM(L1642,Q1642,V1642,AA1642,AF1642,AK1642,AP1642,AU1642)+AX1642/_xlfn.XLOOKUP(_xlfn.XLOOKUP($F1642,Clientes!$B$4:$B$39,Clientes!$C$4:$C$39),Cadastros!$L$6:$L$12,Cadastros!$M$6:$M$12)+IF($F1642="Bernardino Furlan",AY1642/2751.92,IF($F1642="Mauro José Salanti",AY1642/2751.92,AY1642/3356)),F1642&lt;&gt;0,SUM(L1642,Q1642,V1642,AA1642,AF1642,AK1642,AP1642,AU1642)))*(1-0.03),_xlfn.IFS(AW1642="SIM",SUM(L1642,Q1642,V1642,AA1642,AF1642,AK1642,AP1642,AU1642)+AX1642/_xlfn.XLOOKUP(_xlfn.XLOOKUP($F1642,Clientes!$B$4:$B$39,Clientes!$C$4:$C$39),Cadastros!$L$6:$L$12,Cadastros!$M$6:$M$12)+IF($F1642="Bernardino Furlan",AY1642/2751.92,IF($F1642="Mauro José Salanti",AY1642/2751.92,AY1642/3356)),F1642&lt;&gt;0,SUM(L1642,Q1642,V1642,AA1642,AF1642,AK1642,AP1642,AU1642))))</f>
        <v xml:space="preserve"> </v>
      </c>
      <c r="BE1642" s="120"/>
      <c r="BF1642" s="120"/>
      <c r="BG1642" s="120"/>
    </row>
    <row r="1643" spans="1:59" s="3" customFormat="1" x14ac:dyDescent="0.3">
      <c r="A1643" s="15" t="str">
        <f t="shared" si="325"/>
        <v/>
      </c>
      <c r="B1643" s="25"/>
      <c r="C1643" s="26"/>
      <c r="D1643" s="279"/>
      <c r="E1643" s="27"/>
      <c r="F1643" s="28"/>
      <c r="G1643" s="27"/>
      <c r="H1643" s="28"/>
      <c r="I1643" s="28"/>
      <c r="J1643" s="255" t="str">
        <f>IF(H1643="","",(_xlfn.XLOOKUP(H1643,Cadastros!$D$6:$D$90,Cadastros!$E$6:$E$90))*(1-_xlfn.XLOOKUP(_xlfn.XLOOKUP($F1643,Clientes!$B$4:$B$39,Clientes!$C$4:$C$39),Cadastros!$L$6:$L$12,Cadastros!$N$6:$N$12)))</f>
        <v/>
      </c>
      <c r="K1643" s="168" t="str">
        <f t="shared" si="326"/>
        <v/>
      </c>
      <c r="L1643" s="168" t="str">
        <f>IFERROR(K1643/_xlfn.XLOOKUP(_xlfn.XLOOKUP($F1643,Clientes!$B$4:$B$39,Clientes!$C$4:$C$39),Cadastros!$L$6:$L$12,Cadastros!$M$6:$M$12)," ")</f>
        <v xml:space="preserve"> </v>
      </c>
      <c r="M1643" s="28"/>
      <c r="N1643" s="28"/>
      <c r="O1643" s="255" t="str">
        <f>IF(M1643="","",(_xlfn.XLOOKUP(M1643,Cadastros!$D$6:$D$90,Cadastros!$E$6:$E$90))*(1-_xlfn.XLOOKUP(_xlfn.XLOOKUP($F1643,Clientes!$B$4:$B$39,Clientes!$C$4:$C$39),Cadastros!$L$6:$L$12,Cadastros!$N$6:$N$12)))</f>
        <v/>
      </c>
      <c r="P1643" s="168" t="str">
        <f t="shared" si="327"/>
        <v/>
      </c>
      <c r="Q1643" s="168" t="str">
        <f>IFERROR(P1643/_xlfn.XLOOKUP(_xlfn.XLOOKUP($F1643,Clientes!$B$4:$B$39,Clientes!$C$4:$C$39),Cadastros!$L$6:$L$12,Cadastros!$M$6:$M$12)," ")</f>
        <v xml:space="preserve"> </v>
      </c>
      <c r="R1643" s="28"/>
      <c r="S1643" s="28"/>
      <c r="T1643" s="255" t="str">
        <f>IF(R1643="","",(_xlfn.XLOOKUP(R1643,Cadastros!$D$6:$D$90,Cadastros!$E$6:$E$90))*(1-_xlfn.XLOOKUP(_xlfn.XLOOKUP($F1643,Clientes!$B$4:$B$39,Clientes!$C$4:$C$39),Cadastros!$L$6:$L$12,Cadastros!$N$6:$N$12)))</f>
        <v/>
      </c>
      <c r="U1643" s="168" t="str">
        <f t="shared" si="328"/>
        <v/>
      </c>
      <c r="V1643" s="168" t="str">
        <f>IFERROR(U1643/_xlfn.XLOOKUP(_xlfn.XLOOKUP($F1643,Clientes!$B$4:$B$39,Clientes!$C$4:$C$39),Cadastros!$L$6:$L$12,Cadastros!$M$6:$M$12)," ")</f>
        <v xml:space="preserve"> </v>
      </c>
      <c r="W1643" s="28"/>
      <c r="X1643" s="28"/>
      <c r="Y1643" s="255" t="str">
        <f>IF(W1643="","",(_xlfn.XLOOKUP(W1643,Cadastros!$D$6:$D$90,Cadastros!$E$6:$E$90))*(1-_xlfn.XLOOKUP(_xlfn.XLOOKUP($F1643,Clientes!$B$4:$B$39,Clientes!$C$4:$C$39),Cadastros!$L$6:$L$12,Cadastros!$N$6:$N$12)))</f>
        <v/>
      </c>
      <c r="Z1643" s="168" t="str">
        <f t="shared" si="329"/>
        <v/>
      </c>
      <c r="AA1643" s="168" t="str">
        <f>IFERROR(Z1643/_xlfn.XLOOKUP(_xlfn.XLOOKUP($F1643,Clientes!$B$4:$B$39,Clientes!$C$4:$C$39),Cadastros!$L$6:$L$12,Cadastros!$M$6:$M$12)," ")</f>
        <v xml:space="preserve"> </v>
      </c>
      <c r="AB1643" s="28"/>
      <c r="AC1643" s="28"/>
      <c r="AD1643" s="20" t="str">
        <f>IF(AB1643="","",IF($F1643="Bernardino Furlan",_xlfn.XLOOKUP(AB1643,Cadastros!$G$6:$G$90,Cadastros!$H$6:$H$90)*(1-0.18),IF($F1643="Mauro José Salanti",_xlfn.XLOOKUP(AB1643,Cadastros!$G$6:$G$90,Cadastros!$H$6:$H$90)*(1-0.18),_xlfn.XLOOKUP(AB1643,Cadastros!$G$6:$G$90,Cadastros!$H$6:$H$90))))</f>
        <v/>
      </c>
      <c r="AE1643" s="168" t="str">
        <f t="shared" si="330"/>
        <v/>
      </c>
      <c r="AF1643" s="168" t="str">
        <f t="shared" si="331"/>
        <v/>
      </c>
      <c r="AG1643" s="28"/>
      <c r="AH1643" s="28"/>
      <c r="AI1643" s="20" t="str">
        <f>IF(AG1643="","",IF($F1643="Bernardino Furlan",_xlfn.XLOOKUP(AG1643,Cadastros!$G$6:$G$90,Cadastros!$H$6:$H$90)*(1-0.18),IF($F1643="Mauro José Salanti",_xlfn.XLOOKUP(AG1643,Cadastros!$G$6:$G$90,Cadastros!$H$6:$H$90)*(1-0.18),_xlfn.XLOOKUP(AG1643,Cadastros!$G$6:$G$90,Cadastros!$H$6:$H$90))))</f>
        <v/>
      </c>
      <c r="AJ1643" s="168" t="str">
        <f t="shared" si="332"/>
        <v/>
      </c>
      <c r="AK1643" s="168" t="str">
        <f t="shared" si="333"/>
        <v/>
      </c>
      <c r="AL1643" s="28"/>
      <c r="AM1643" s="28"/>
      <c r="AN1643" s="20" t="str">
        <f>IF(AL1643="","",IF($F1643="Bernardino Furlan",_xlfn.XLOOKUP(AL1643,Cadastros!$G$6:$G$90,Cadastros!$H$6:$H$90)*(1-0.18),IF($F1643="Mauro José Salanti",_xlfn.XLOOKUP(AL1643,Cadastros!$G$6:$G$90,Cadastros!$H$6:$H$90)*(1-0.18),_xlfn.XLOOKUP(AL1643,Cadastros!$G$6:$G$90,Cadastros!$H$6:$H$90))))</f>
        <v/>
      </c>
      <c r="AO1643" s="168" t="str">
        <f t="shared" si="334"/>
        <v/>
      </c>
      <c r="AP1643" s="168" t="str">
        <f t="shared" si="335"/>
        <v/>
      </c>
      <c r="AQ1643" s="28"/>
      <c r="AR1643" s="28"/>
      <c r="AS1643" s="20" t="str">
        <f>IF(AQ1643="","",IF($F1643="Bernardino Furlan",_xlfn.XLOOKUP(AQ1643,Cadastros!$G$6:$G$90,Cadastros!$H$6:$H$90)*(1-0.18),IF($F1643="Mauro José Salanti",_xlfn.XLOOKUP(AQ1643,Cadastros!$G$6:$G$90,Cadastros!$H$6:$H$90)*(1-0.18),_xlfn.XLOOKUP(AQ1643,Cadastros!$G$6:$G$90,Cadastros!$H$6:$H$90))))</f>
        <v/>
      </c>
      <c r="AT1643" s="168" t="str">
        <f t="shared" si="336"/>
        <v/>
      </c>
      <c r="AU1643" s="168" t="str">
        <f t="shared" si="337"/>
        <v/>
      </c>
      <c r="AV1643" s="227"/>
      <c r="AW1643" s="30"/>
      <c r="AX1643" s="267"/>
      <c r="AY1643" s="267"/>
      <c r="AZ1643" s="29"/>
      <c r="BA1643" s="30"/>
      <c r="BB1643" s="23" t="str" cm="1">
        <f t="array" ref="BB1643">_xlfn.IFS(AW1643="SIM",SUM(K1643,P1643,U1643,Z1643,AE1643,AJ1643,AO1643,AT1643,AX1643,AY1643),F1643&lt;&gt;"",SUM(K1643,P1643,U1643,Z1643,AE1643,AJ1643,,AO1643,AT1643),F1643="","")</f>
        <v/>
      </c>
      <c r="BC1643" s="211" t="str" cm="1">
        <f t="array" ref="BC1643">_xlfn.IFS(E1643="","",G1643&lt;=E1643,BB1643*(1-0.03),G1643&lt;(E1643+8),BB1643,AZ1643="Boleto",BB1643*(1+0.001)^DATEDIF(E1643,G1643,"D"),AZ1643="Cheque",BB1643,AZ1643="Dinheiro","Alterar forma pgto")</f>
        <v/>
      </c>
      <c r="BD1643" s="276" t="str" cm="1">
        <f t="array" ref="BD1643">IF(F1643=0," ",IF(BC1643&lt;BB1643,(_xlfn.IFS(AW1643="SIM",SUM(L1643,Q1643,V1643,AA1643,AF1643,AK1643,AP1643,AU1643)+AX1643/_xlfn.XLOOKUP(_xlfn.XLOOKUP($F1643,Clientes!$B$4:$B$39,Clientes!$C$4:$C$39),Cadastros!$L$6:$L$12,Cadastros!$M$6:$M$12)+IF($F1643="Bernardino Furlan",AY1643/2751.92,IF($F1643="Mauro José Salanti",AY1643/2751.92,AY1643/3356)),F1643&lt;&gt;0,SUM(L1643,Q1643,V1643,AA1643,AF1643,AK1643,AP1643,AU1643)))*(1-0.03),_xlfn.IFS(AW1643="SIM",SUM(L1643,Q1643,V1643,AA1643,AF1643,AK1643,AP1643,AU1643)+AX1643/_xlfn.XLOOKUP(_xlfn.XLOOKUP($F1643,Clientes!$B$4:$B$39,Clientes!$C$4:$C$39),Cadastros!$L$6:$L$12,Cadastros!$M$6:$M$12)+IF($F1643="Bernardino Furlan",AY1643/2751.92,IF($F1643="Mauro José Salanti",AY1643/2751.92,AY1643/3356)),F1643&lt;&gt;0,SUM(L1643,Q1643,V1643,AA1643,AF1643,AK1643,AP1643,AU1643))))</f>
        <v xml:space="preserve"> </v>
      </c>
      <c r="BE1643" s="120"/>
      <c r="BF1643" s="120"/>
      <c r="BG1643" s="120"/>
    </row>
    <row r="1644" spans="1:59" s="3" customFormat="1" x14ac:dyDescent="0.3">
      <c r="A1644" s="15" t="str">
        <f t="shared" si="325"/>
        <v/>
      </c>
      <c r="B1644" s="25"/>
      <c r="C1644" s="26"/>
      <c r="D1644" s="279"/>
      <c r="E1644" s="27"/>
      <c r="F1644" s="28"/>
      <c r="G1644" s="27"/>
      <c r="H1644" s="28"/>
      <c r="I1644" s="28"/>
      <c r="J1644" s="255" t="str">
        <f>IF(H1644="","",(_xlfn.XLOOKUP(H1644,Cadastros!$D$6:$D$90,Cadastros!$E$6:$E$90))*(1-_xlfn.XLOOKUP(_xlfn.XLOOKUP($F1644,Clientes!$B$4:$B$39,Clientes!$C$4:$C$39),Cadastros!$L$6:$L$12,Cadastros!$N$6:$N$12)))</f>
        <v/>
      </c>
      <c r="K1644" s="168" t="str">
        <f t="shared" si="326"/>
        <v/>
      </c>
      <c r="L1644" s="168" t="str">
        <f>IFERROR(K1644/_xlfn.XLOOKUP(_xlfn.XLOOKUP($F1644,Clientes!$B$4:$B$39,Clientes!$C$4:$C$39),Cadastros!$L$6:$L$12,Cadastros!$M$6:$M$12)," ")</f>
        <v xml:space="preserve"> </v>
      </c>
      <c r="M1644" s="28"/>
      <c r="N1644" s="28"/>
      <c r="O1644" s="255" t="str">
        <f>IF(M1644="","",(_xlfn.XLOOKUP(M1644,Cadastros!$D$6:$D$90,Cadastros!$E$6:$E$90))*(1-_xlfn.XLOOKUP(_xlfn.XLOOKUP($F1644,Clientes!$B$4:$B$39,Clientes!$C$4:$C$39),Cadastros!$L$6:$L$12,Cadastros!$N$6:$N$12)))</f>
        <v/>
      </c>
      <c r="P1644" s="168" t="str">
        <f t="shared" si="327"/>
        <v/>
      </c>
      <c r="Q1644" s="168" t="str">
        <f>IFERROR(P1644/_xlfn.XLOOKUP(_xlfn.XLOOKUP($F1644,Clientes!$B$4:$B$39,Clientes!$C$4:$C$39),Cadastros!$L$6:$L$12,Cadastros!$M$6:$M$12)," ")</f>
        <v xml:space="preserve"> </v>
      </c>
      <c r="R1644" s="28"/>
      <c r="S1644" s="28"/>
      <c r="T1644" s="255" t="str">
        <f>IF(R1644="","",(_xlfn.XLOOKUP(R1644,Cadastros!$D$6:$D$90,Cadastros!$E$6:$E$90))*(1-_xlfn.XLOOKUP(_xlfn.XLOOKUP($F1644,Clientes!$B$4:$B$39,Clientes!$C$4:$C$39),Cadastros!$L$6:$L$12,Cadastros!$N$6:$N$12)))</f>
        <v/>
      </c>
      <c r="U1644" s="168" t="str">
        <f t="shared" si="328"/>
        <v/>
      </c>
      <c r="V1644" s="168" t="str">
        <f>IFERROR(U1644/_xlfn.XLOOKUP(_xlfn.XLOOKUP($F1644,Clientes!$B$4:$B$39,Clientes!$C$4:$C$39),Cadastros!$L$6:$L$12,Cadastros!$M$6:$M$12)," ")</f>
        <v xml:space="preserve"> </v>
      </c>
      <c r="W1644" s="28"/>
      <c r="X1644" s="28"/>
      <c r="Y1644" s="255" t="str">
        <f>IF(W1644="","",(_xlfn.XLOOKUP(W1644,Cadastros!$D$6:$D$90,Cadastros!$E$6:$E$90))*(1-_xlfn.XLOOKUP(_xlfn.XLOOKUP($F1644,Clientes!$B$4:$B$39,Clientes!$C$4:$C$39),Cadastros!$L$6:$L$12,Cadastros!$N$6:$N$12)))</f>
        <v/>
      </c>
      <c r="Z1644" s="168" t="str">
        <f t="shared" si="329"/>
        <v/>
      </c>
      <c r="AA1644" s="168" t="str">
        <f>IFERROR(Z1644/_xlfn.XLOOKUP(_xlfn.XLOOKUP($F1644,Clientes!$B$4:$B$39,Clientes!$C$4:$C$39),Cadastros!$L$6:$L$12,Cadastros!$M$6:$M$12)," ")</f>
        <v xml:space="preserve"> </v>
      </c>
      <c r="AB1644" s="28"/>
      <c r="AC1644" s="28"/>
      <c r="AD1644" s="20" t="str">
        <f>IF(AB1644="","",IF($F1644="Bernardino Furlan",_xlfn.XLOOKUP(AB1644,Cadastros!$G$6:$G$90,Cadastros!$H$6:$H$90)*(1-0.18),IF($F1644="Mauro José Salanti",_xlfn.XLOOKUP(AB1644,Cadastros!$G$6:$G$90,Cadastros!$H$6:$H$90)*(1-0.18),_xlfn.XLOOKUP(AB1644,Cadastros!$G$6:$G$90,Cadastros!$H$6:$H$90))))</f>
        <v/>
      </c>
      <c r="AE1644" s="168" t="str">
        <f t="shared" si="330"/>
        <v/>
      </c>
      <c r="AF1644" s="168" t="str">
        <f t="shared" si="331"/>
        <v/>
      </c>
      <c r="AG1644" s="28"/>
      <c r="AH1644" s="28"/>
      <c r="AI1644" s="20" t="str">
        <f>IF(AG1644="","",IF($F1644="Bernardino Furlan",_xlfn.XLOOKUP(AG1644,Cadastros!$G$6:$G$90,Cadastros!$H$6:$H$90)*(1-0.18),IF($F1644="Mauro José Salanti",_xlfn.XLOOKUP(AG1644,Cadastros!$G$6:$G$90,Cadastros!$H$6:$H$90)*(1-0.18),_xlfn.XLOOKUP(AG1644,Cadastros!$G$6:$G$90,Cadastros!$H$6:$H$90))))</f>
        <v/>
      </c>
      <c r="AJ1644" s="168" t="str">
        <f t="shared" si="332"/>
        <v/>
      </c>
      <c r="AK1644" s="168" t="str">
        <f t="shared" si="333"/>
        <v/>
      </c>
      <c r="AL1644" s="28"/>
      <c r="AM1644" s="28"/>
      <c r="AN1644" s="20" t="str">
        <f>IF(AL1644="","",IF($F1644="Bernardino Furlan",_xlfn.XLOOKUP(AL1644,Cadastros!$G$6:$G$90,Cadastros!$H$6:$H$90)*(1-0.18),IF($F1644="Mauro José Salanti",_xlfn.XLOOKUP(AL1644,Cadastros!$G$6:$G$90,Cadastros!$H$6:$H$90)*(1-0.18),_xlfn.XLOOKUP(AL1644,Cadastros!$G$6:$G$90,Cadastros!$H$6:$H$90))))</f>
        <v/>
      </c>
      <c r="AO1644" s="168" t="str">
        <f t="shared" si="334"/>
        <v/>
      </c>
      <c r="AP1644" s="168" t="str">
        <f t="shared" si="335"/>
        <v/>
      </c>
      <c r="AQ1644" s="28"/>
      <c r="AR1644" s="28"/>
      <c r="AS1644" s="20" t="str">
        <f>IF(AQ1644="","",IF($F1644="Bernardino Furlan",_xlfn.XLOOKUP(AQ1644,Cadastros!$G$6:$G$90,Cadastros!$H$6:$H$90)*(1-0.18),IF($F1644="Mauro José Salanti",_xlfn.XLOOKUP(AQ1644,Cadastros!$G$6:$G$90,Cadastros!$H$6:$H$90)*(1-0.18),_xlfn.XLOOKUP(AQ1644,Cadastros!$G$6:$G$90,Cadastros!$H$6:$H$90))))</f>
        <v/>
      </c>
      <c r="AT1644" s="168" t="str">
        <f t="shared" si="336"/>
        <v/>
      </c>
      <c r="AU1644" s="168" t="str">
        <f t="shared" si="337"/>
        <v/>
      </c>
      <c r="AV1644" s="227"/>
      <c r="AW1644" s="30"/>
      <c r="AX1644" s="267"/>
      <c r="AY1644" s="267"/>
      <c r="AZ1644" s="29"/>
      <c r="BA1644" s="30"/>
      <c r="BB1644" s="23" t="str" cm="1">
        <f t="array" ref="BB1644">_xlfn.IFS(AW1644="SIM",SUM(K1644,P1644,U1644,Z1644,AE1644,AJ1644,AO1644,AT1644,AX1644,AY1644),F1644&lt;&gt;"",SUM(K1644,P1644,U1644,Z1644,AE1644,AJ1644,,AO1644,AT1644),F1644="","")</f>
        <v/>
      </c>
      <c r="BC1644" s="211" t="str" cm="1">
        <f t="array" ref="BC1644">_xlfn.IFS(E1644="","",G1644&lt;=E1644,BB1644*(1-0.03),G1644&lt;(E1644+8),BB1644,AZ1644="Boleto",BB1644*(1+0.001)^DATEDIF(E1644,G1644,"D"),AZ1644="Cheque",BB1644,AZ1644="Dinheiro","Alterar forma pgto")</f>
        <v/>
      </c>
      <c r="BD1644" s="276" t="str" cm="1">
        <f t="array" ref="BD1644">IF(F1644=0," ",IF(BC1644&lt;BB1644,(_xlfn.IFS(AW1644="SIM",SUM(L1644,Q1644,V1644,AA1644,AF1644,AK1644,AP1644,AU1644)+AX1644/_xlfn.XLOOKUP(_xlfn.XLOOKUP($F1644,Clientes!$B$4:$B$39,Clientes!$C$4:$C$39),Cadastros!$L$6:$L$12,Cadastros!$M$6:$M$12)+IF($F1644="Bernardino Furlan",AY1644/2751.92,IF($F1644="Mauro José Salanti",AY1644/2751.92,AY1644/3356)),F1644&lt;&gt;0,SUM(L1644,Q1644,V1644,AA1644,AF1644,AK1644,AP1644,AU1644)))*(1-0.03),_xlfn.IFS(AW1644="SIM",SUM(L1644,Q1644,V1644,AA1644,AF1644,AK1644,AP1644,AU1644)+AX1644/_xlfn.XLOOKUP(_xlfn.XLOOKUP($F1644,Clientes!$B$4:$B$39,Clientes!$C$4:$C$39),Cadastros!$L$6:$L$12,Cadastros!$M$6:$M$12)+IF($F1644="Bernardino Furlan",AY1644/2751.92,IF($F1644="Mauro José Salanti",AY1644/2751.92,AY1644/3356)),F1644&lt;&gt;0,SUM(L1644,Q1644,V1644,AA1644,AF1644,AK1644,AP1644,AU1644))))</f>
        <v xml:space="preserve"> </v>
      </c>
      <c r="BE1644" s="120"/>
      <c r="BF1644" s="120"/>
      <c r="BG1644" s="120"/>
    </row>
    <row r="1645" spans="1:59" s="3" customFormat="1" x14ac:dyDescent="0.3">
      <c r="A1645" s="15" t="str">
        <f t="shared" si="325"/>
        <v/>
      </c>
      <c r="B1645" s="25"/>
      <c r="C1645" s="26"/>
      <c r="D1645" s="279"/>
      <c r="E1645" s="27"/>
      <c r="F1645" s="28"/>
      <c r="G1645" s="27"/>
      <c r="H1645" s="28"/>
      <c r="I1645" s="28"/>
      <c r="J1645" s="255" t="str">
        <f>IF(H1645="","",(_xlfn.XLOOKUP(H1645,Cadastros!$D$6:$D$90,Cadastros!$E$6:$E$90))*(1-_xlfn.XLOOKUP(_xlfn.XLOOKUP($F1645,Clientes!$B$4:$B$39,Clientes!$C$4:$C$39),Cadastros!$L$6:$L$12,Cadastros!$N$6:$N$12)))</f>
        <v/>
      </c>
      <c r="K1645" s="168" t="str">
        <f t="shared" si="326"/>
        <v/>
      </c>
      <c r="L1645" s="168" t="str">
        <f>IFERROR(K1645/_xlfn.XLOOKUP(_xlfn.XLOOKUP($F1645,Clientes!$B$4:$B$39,Clientes!$C$4:$C$39),Cadastros!$L$6:$L$12,Cadastros!$M$6:$M$12)," ")</f>
        <v xml:space="preserve"> </v>
      </c>
      <c r="M1645" s="28"/>
      <c r="N1645" s="28"/>
      <c r="O1645" s="255" t="str">
        <f>IF(M1645="","",(_xlfn.XLOOKUP(M1645,Cadastros!$D$6:$D$90,Cadastros!$E$6:$E$90))*(1-_xlfn.XLOOKUP(_xlfn.XLOOKUP($F1645,Clientes!$B$4:$B$39,Clientes!$C$4:$C$39),Cadastros!$L$6:$L$12,Cadastros!$N$6:$N$12)))</f>
        <v/>
      </c>
      <c r="P1645" s="168" t="str">
        <f t="shared" si="327"/>
        <v/>
      </c>
      <c r="Q1645" s="168" t="str">
        <f>IFERROR(P1645/_xlfn.XLOOKUP(_xlfn.XLOOKUP($F1645,Clientes!$B$4:$B$39,Clientes!$C$4:$C$39),Cadastros!$L$6:$L$12,Cadastros!$M$6:$M$12)," ")</f>
        <v xml:space="preserve"> </v>
      </c>
      <c r="R1645" s="28"/>
      <c r="S1645" s="28"/>
      <c r="T1645" s="255" t="str">
        <f>IF(R1645="","",(_xlfn.XLOOKUP(R1645,Cadastros!$D$6:$D$90,Cadastros!$E$6:$E$90))*(1-_xlfn.XLOOKUP(_xlfn.XLOOKUP($F1645,Clientes!$B$4:$B$39,Clientes!$C$4:$C$39),Cadastros!$L$6:$L$12,Cadastros!$N$6:$N$12)))</f>
        <v/>
      </c>
      <c r="U1645" s="168" t="str">
        <f t="shared" si="328"/>
        <v/>
      </c>
      <c r="V1645" s="168" t="str">
        <f>IFERROR(U1645/_xlfn.XLOOKUP(_xlfn.XLOOKUP($F1645,Clientes!$B$4:$B$39,Clientes!$C$4:$C$39),Cadastros!$L$6:$L$12,Cadastros!$M$6:$M$12)," ")</f>
        <v xml:space="preserve"> </v>
      </c>
      <c r="W1645" s="28"/>
      <c r="X1645" s="28"/>
      <c r="Y1645" s="255" t="str">
        <f>IF(W1645="","",(_xlfn.XLOOKUP(W1645,Cadastros!$D$6:$D$90,Cadastros!$E$6:$E$90))*(1-_xlfn.XLOOKUP(_xlfn.XLOOKUP($F1645,Clientes!$B$4:$B$39,Clientes!$C$4:$C$39),Cadastros!$L$6:$L$12,Cadastros!$N$6:$N$12)))</f>
        <v/>
      </c>
      <c r="Z1645" s="168" t="str">
        <f t="shared" si="329"/>
        <v/>
      </c>
      <c r="AA1645" s="168" t="str">
        <f>IFERROR(Z1645/_xlfn.XLOOKUP(_xlfn.XLOOKUP($F1645,Clientes!$B$4:$B$39,Clientes!$C$4:$C$39),Cadastros!$L$6:$L$12,Cadastros!$M$6:$M$12)," ")</f>
        <v xml:space="preserve"> </v>
      </c>
      <c r="AB1645" s="28"/>
      <c r="AC1645" s="28"/>
      <c r="AD1645" s="20" t="str">
        <f>IF(AB1645="","",IF($F1645="Bernardino Furlan",_xlfn.XLOOKUP(AB1645,Cadastros!$G$6:$G$90,Cadastros!$H$6:$H$90)*(1-0.18),IF($F1645="Mauro José Salanti",_xlfn.XLOOKUP(AB1645,Cadastros!$G$6:$G$90,Cadastros!$H$6:$H$90)*(1-0.18),_xlfn.XLOOKUP(AB1645,Cadastros!$G$6:$G$90,Cadastros!$H$6:$H$90))))</f>
        <v/>
      </c>
      <c r="AE1645" s="168" t="str">
        <f t="shared" si="330"/>
        <v/>
      </c>
      <c r="AF1645" s="168" t="str">
        <f t="shared" si="331"/>
        <v/>
      </c>
      <c r="AG1645" s="28"/>
      <c r="AH1645" s="28"/>
      <c r="AI1645" s="20" t="str">
        <f>IF(AG1645="","",IF($F1645="Bernardino Furlan",_xlfn.XLOOKUP(AG1645,Cadastros!$G$6:$G$90,Cadastros!$H$6:$H$90)*(1-0.18),IF($F1645="Mauro José Salanti",_xlfn.XLOOKUP(AG1645,Cadastros!$G$6:$G$90,Cadastros!$H$6:$H$90)*(1-0.18),_xlfn.XLOOKUP(AG1645,Cadastros!$G$6:$G$90,Cadastros!$H$6:$H$90))))</f>
        <v/>
      </c>
      <c r="AJ1645" s="168" t="str">
        <f t="shared" si="332"/>
        <v/>
      </c>
      <c r="AK1645" s="168" t="str">
        <f t="shared" si="333"/>
        <v/>
      </c>
      <c r="AL1645" s="28"/>
      <c r="AM1645" s="28"/>
      <c r="AN1645" s="20" t="str">
        <f>IF(AL1645="","",IF($F1645="Bernardino Furlan",_xlfn.XLOOKUP(AL1645,Cadastros!$G$6:$G$90,Cadastros!$H$6:$H$90)*(1-0.18),IF($F1645="Mauro José Salanti",_xlfn.XLOOKUP(AL1645,Cadastros!$G$6:$G$90,Cadastros!$H$6:$H$90)*(1-0.18),_xlfn.XLOOKUP(AL1645,Cadastros!$G$6:$G$90,Cadastros!$H$6:$H$90))))</f>
        <v/>
      </c>
      <c r="AO1645" s="168" t="str">
        <f t="shared" si="334"/>
        <v/>
      </c>
      <c r="AP1645" s="168" t="str">
        <f t="shared" si="335"/>
        <v/>
      </c>
      <c r="AQ1645" s="28"/>
      <c r="AR1645" s="28"/>
      <c r="AS1645" s="20" t="str">
        <f>IF(AQ1645="","",IF($F1645="Bernardino Furlan",_xlfn.XLOOKUP(AQ1645,Cadastros!$G$6:$G$90,Cadastros!$H$6:$H$90)*(1-0.18),IF($F1645="Mauro José Salanti",_xlfn.XLOOKUP(AQ1645,Cadastros!$G$6:$G$90,Cadastros!$H$6:$H$90)*(1-0.18),_xlfn.XLOOKUP(AQ1645,Cadastros!$G$6:$G$90,Cadastros!$H$6:$H$90))))</f>
        <v/>
      </c>
      <c r="AT1645" s="168" t="str">
        <f t="shared" si="336"/>
        <v/>
      </c>
      <c r="AU1645" s="168" t="str">
        <f t="shared" si="337"/>
        <v/>
      </c>
      <c r="AV1645" s="227"/>
      <c r="AW1645" s="30"/>
      <c r="AX1645" s="267"/>
      <c r="AY1645" s="267"/>
      <c r="AZ1645" s="29"/>
      <c r="BA1645" s="30"/>
      <c r="BB1645" s="23" t="str" cm="1">
        <f t="array" ref="BB1645">_xlfn.IFS(AW1645="SIM",SUM(K1645,P1645,U1645,Z1645,AE1645,AJ1645,AO1645,AT1645,AX1645,AY1645),F1645&lt;&gt;"",SUM(K1645,P1645,U1645,Z1645,AE1645,AJ1645,,AO1645,AT1645),F1645="","")</f>
        <v/>
      </c>
      <c r="BC1645" s="211" t="str" cm="1">
        <f t="array" ref="BC1645">_xlfn.IFS(E1645="","",G1645&lt;=E1645,BB1645*(1-0.03),G1645&lt;(E1645+8),BB1645,AZ1645="Boleto",BB1645*(1+0.001)^DATEDIF(E1645,G1645,"D"),AZ1645="Cheque",BB1645,AZ1645="Dinheiro","Alterar forma pgto")</f>
        <v/>
      </c>
      <c r="BD1645" s="276" t="str" cm="1">
        <f t="array" ref="BD1645">IF(F1645=0," ",IF(BC1645&lt;BB1645,(_xlfn.IFS(AW1645="SIM",SUM(L1645,Q1645,V1645,AA1645,AF1645,AK1645,AP1645,AU1645)+AX1645/_xlfn.XLOOKUP(_xlfn.XLOOKUP($F1645,Clientes!$B$4:$B$39,Clientes!$C$4:$C$39),Cadastros!$L$6:$L$12,Cadastros!$M$6:$M$12)+IF($F1645="Bernardino Furlan",AY1645/2751.92,IF($F1645="Mauro José Salanti",AY1645/2751.92,AY1645/3356)),F1645&lt;&gt;0,SUM(L1645,Q1645,V1645,AA1645,AF1645,AK1645,AP1645,AU1645)))*(1-0.03),_xlfn.IFS(AW1645="SIM",SUM(L1645,Q1645,V1645,AA1645,AF1645,AK1645,AP1645,AU1645)+AX1645/_xlfn.XLOOKUP(_xlfn.XLOOKUP($F1645,Clientes!$B$4:$B$39,Clientes!$C$4:$C$39),Cadastros!$L$6:$L$12,Cadastros!$M$6:$M$12)+IF($F1645="Bernardino Furlan",AY1645/2751.92,IF($F1645="Mauro José Salanti",AY1645/2751.92,AY1645/3356)),F1645&lt;&gt;0,SUM(L1645,Q1645,V1645,AA1645,AF1645,AK1645,AP1645,AU1645))))</f>
        <v xml:space="preserve"> </v>
      </c>
      <c r="BE1645" s="120"/>
      <c r="BF1645" s="120"/>
      <c r="BG1645" s="120"/>
    </row>
    <row r="1646" spans="1:59" s="3" customFormat="1" x14ac:dyDescent="0.3">
      <c r="A1646" s="15" t="str">
        <f t="shared" si="325"/>
        <v/>
      </c>
      <c r="B1646" s="25"/>
      <c r="C1646" s="26"/>
      <c r="D1646" s="279"/>
      <c r="E1646" s="27"/>
      <c r="F1646" s="28"/>
      <c r="G1646" s="27"/>
      <c r="H1646" s="28"/>
      <c r="I1646" s="28"/>
      <c r="J1646" s="255" t="str">
        <f>IF(H1646="","",(_xlfn.XLOOKUP(H1646,Cadastros!$D$6:$D$90,Cadastros!$E$6:$E$90))*(1-_xlfn.XLOOKUP(_xlfn.XLOOKUP($F1646,Clientes!$B$4:$B$39,Clientes!$C$4:$C$39),Cadastros!$L$6:$L$12,Cadastros!$N$6:$N$12)))</f>
        <v/>
      </c>
      <c r="K1646" s="168" t="str">
        <f t="shared" si="326"/>
        <v/>
      </c>
      <c r="L1646" s="168" t="str">
        <f>IFERROR(K1646/_xlfn.XLOOKUP(_xlfn.XLOOKUP($F1646,Clientes!$B$4:$B$39,Clientes!$C$4:$C$39),Cadastros!$L$6:$L$12,Cadastros!$M$6:$M$12)," ")</f>
        <v xml:space="preserve"> </v>
      </c>
      <c r="M1646" s="28"/>
      <c r="N1646" s="28"/>
      <c r="O1646" s="255" t="str">
        <f>IF(M1646="","",(_xlfn.XLOOKUP(M1646,Cadastros!$D$6:$D$90,Cadastros!$E$6:$E$90))*(1-_xlfn.XLOOKUP(_xlfn.XLOOKUP($F1646,Clientes!$B$4:$B$39,Clientes!$C$4:$C$39),Cadastros!$L$6:$L$12,Cadastros!$N$6:$N$12)))</f>
        <v/>
      </c>
      <c r="P1646" s="168" t="str">
        <f t="shared" si="327"/>
        <v/>
      </c>
      <c r="Q1646" s="168" t="str">
        <f>IFERROR(P1646/_xlfn.XLOOKUP(_xlfn.XLOOKUP($F1646,Clientes!$B$4:$B$39,Clientes!$C$4:$C$39),Cadastros!$L$6:$L$12,Cadastros!$M$6:$M$12)," ")</f>
        <v xml:space="preserve"> </v>
      </c>
      <c r="R1646" s="28"/>
      <c r="S1646" s="28"/>
      <c r="T1646" s="255" t="str">
        <f>IF(R1646="","",(_xlfn.XLOOKUP(R1646,Cadastros!$D$6:$D$90,Cadastros!$E$6:$E$90))*(1-_xlfn.XLOOKUP(_xlfn.XLOOKUP($F1646,Clientes!$B$4:$B$39,Clientes!$C$4:$C$39),Cadastros!$L$6:$L$12,Cadastros!$N$6:$N$12)))</f>
        <v/>
      </c>
      <c r="U1646" s="168" t="str">
        <f t="shared" si="328"/>
        <v/>
      </c>
      <c r="V1646" s="168" t="str">
        <f>IFERROR(U1646/_xlfn.XLOOKUP(_xlfn.XLOOKUP($F1646,Clientes!$B$4:$B$39,Clientes!$C$4:$C$39),Cadastros!$L$6:$L$12,Cadastros!$M$6:$M$12)," ")</f>
        <v xml:space="preserve"> </v>
      </c>
      <c r="W1646" s="28"/>
      <c r="X1646" s="28"/>
      <c r="Y1646" s="255" t="str">
        <f>IF(W1646="","",(_xlfn.XLOOKUP(W1646,Cadastros!$D$6:$D$90,Cadastros!$E$6:$E$90))*(1-_xlfn.XLOOKUP(_xlfn.XLOOKUP($F1646,Clientes!$B$4:$B$39,Clientes!$C$4:$C$39),Cadastros!$L$6:$L$12,Cadastros!$N$6:$N$12)))</f>
        <v/>
      </c>
      <c r="Z1646" s="168" t="str">
        <f t="shared" si="329"/>
        <v/>
      </c>
      <c r="AA1646" s="168" t="str">
        <f>IFERROR(Z1646/_xlfn.XLOOKUP(_xlfn.XLOOKUP($F1646,Clientes!$B$4:$B$39,Clientes!$C$4:$C$39),Cadastros!$L$6:$L$12,Cadastros!$M$6:$M$12)," ")</f>
        <v xml:space="preserve"> </v>
      </c>
      <c r="AB1646" s="28"/>
      <c r="AC1646" s="28"/>
      <c r="AD1646" s="20" t="str">
        <f>IF(AB1646="","",IF($F1646="Bernardino Furlan",_xlfn.XLOOKUP(AB1646,Cadastros!$G$6:$G$90,Cadastros!$H$6:$H$90)*(1-0.18),IF($F1646="Mauro José Salanti",_xlfn.XLOOKUP(AB1646,Cadastros!$G$6:$G$90,Cadastros!$H$6:$H$90)*(1-0.18),_xlfn.XLOOKUP(AB1646,Cadastros!$G$6:$G$90,Cadastros!$H$6:$H$90))))</f>
        <v/>
      </c>
      <c r="AE1646" s="168" t="str">
        <f t="shared" si="330"/>
        <v/>
      </c>
      <c r="AF1646" s="168" t="str">
        <f t="shared" si="331"/>
        <v/>
      </c>
      <c r="AG1646" s="28"/>
      <c r="AH1646" s="28"/>
      <c r="AI1646" s="20" t="str">
        <f>IF(AG1646="","",IF($F1646="Bernardino Furlan",_xlfn.XLOOKUP(AG1646,Cadastros!$G$6:$G$90,Cadastros!$H$6:$H$90)*(1-0.18),IF($F1646="Mauro José Salanti",_xlfn.XLOOKUP(AG1646,Cadastros!$G$6:$G$90,Cadastros!$H$6:$H$90)*(1-0.18),_xlfn.XLOOKUP(AG1646,Cadastros!$G$6:$G$90,Cadastros!$H$6:$H$90))))</f>
        <v/>
      </c>
      <c r="AJ1646" s="168" t="str">
        <f t="shared" si="332"/>
        <v/>
      </c>
      <c r="AK1646" s="168" t="str">
        <f t="shared" si="333"/>
        <v/>
      </c>
      <c r="AL1646" s="28"/>
      <c r="AM1646" s="28"/>
      <c r="AN1646" s="20" t="str">
        <f>IF(AL1646="","",IF($F1646="Bernardino Furlan",_xlfn.XLOOKUP(AL1646,Cadastros!$G$6:$G$90,Cadastros!$H$6:$H$90)*(1-0.18),IF($F1646="Mauro José Salanti",_xlfn.XLOOKUP(AL1646,Cadastros!$G$6:$G$90,Cadastros!$H$6:$H$90)*(1-0.18),_xlfn.XLOOKUP(AL1646,Cadastros!$G$6:$G$90,Cadastros!$H$6:$H$90))))</f>
        <v/>
      </c>
      <c r="AO1646" s="168" t="str">
        <f t="shared" si="334"/>
        <v/>
      </c>
      <c r="AP1646" s="168" t="str">
        <f t="shared" si="335"/>
        <v/>
      </c>
      <c r="AQ1646" s="28"/>
      <c r="AR1646" s="28"/>
      <c r="AS1646" s="20" t="str">
        <f>IF(AQ1646="","",IF($F1646="Bernardino Furlan",_xlfn.XLOOKUP(AQ1646,Cadastros!$G$6:$G$90,Cadastros!$H$6:$H$90)*(1-0.18),IF($F1646="Mauro José Salanti",_xlfn.XLOOKUP(AQ1646,Cadastros!$G$6:$G$90,Cadastros!$H$6:$H$90)*(1-0.18),_xlfn.XLOOKUP(AQ1646,Cadastros!$G$6:$G$90,Cadastros!$H$6:$H$90))))</f>
        <v/>
      </c>
      <c r="AT1646" s="168" t="str">
        <f t="shared" si="336"/>
        <v/>
      </c>
      <c r="AU1646" s="168" t="str">
        <f t="shared" si="337"/>
        <v/>
      </c>
      <c r="AV1646" s="227"/>
      <c r="AW1646" s="30"/>
      <c r="AX1646" s="267"/>
      <c r="AY1646" s="267"/>
      <c r="AZ1646" s="29"/>
      <c r="BA1646" s="30"/>
      <c r="BB1646" s="23" t="str" cm="1">
        <f t="array" ref="BB1646">_xlfn.IFS(AW1646="SIM",SUM(K1646,P1646,U1646,Z1646,AE1646,AJ1646,AO1646,AT1646,AX1646,AY1646),F1646&lt;&gt;"",SUM(K1646,P1646,U1646,Z1646,AE1646,AJ1646,,AO1646,AT1646),F1646="","")</f>
        <v/>
      </c>
      <c r="BC1646" s="211" t="str" cm="1">
        <f t="array" ref="BC1646">_xlfn.IFS(E1646="","",G1646&lt;=E1646,BB1646*(1-0.03),G1646&lt;(E1646+8),BB1646,AZ1646="Boleto",BB1646*(1+0.001)^DATEDIF(E1646,G1646,"D"),AZ1646="Cheque",BB1646,AZ1646="Dinheiro","Alterar forma pgto")</f>
        <v/>
      </c>
      <c r="BD1646" s="276" t="str" cm="1">
        <f t="array" ref="BD1646">IF(F1646=0," ",IF(BC1646&lt;BB1646,(_xlfn.IFS(AW1646="SIM",SUM(L1646,Q1646,V1646,AA1646,AF1646,AK1646,AP1646,AU1646)+AX1646/_xlfn.XLOOKUP(_xlfn.XLOOKUP($F1646,Clientes!$B$4:$B$39,Clientes!$C$4:$C$39),Cadastros!$L$6:$L$12,Cadastros!$M$6:$M$12)+IF($F1646="Bernardino Furlan",AY1646/2751.92,IF($F1646="Mauro José Salanti",AY1646/2751.92,AY1646/3356)),F1646&lt;&gt;0,SUM(L1646,Q1646,V1646,AA1646,AF1646,AK1646,AP1646,AU1646)))*(1-0.03),_xlfn.IFS(AW1646="SIM",SUM(L1646,Q1646,V1646,AA1646,AF1646,AK1646,AP1646,AU1646)+AX1646/_xlfn.XLOOKUP(_xlfn.XLOOKUP($F1646,Clientes!$B$4:$B$39,Clientes!$C$4:$C$39),Cadastros!$L$6:$L$12,Cadastros!$M$6:$M$12)+IF($F1646="Bernardino Furlan",AY1646/2751.92,IF($F1646="Mauro José Salanti",AY1646/2751.92,AY1646/3356)),F1646&lt;&gt;0,SUM(L1646,Q1646,V1646,AA1646,AF1646,AK1646,AP1646,AU1646))))</f>
        <v xml:space="preserve"> </v>
      </c>
      <c r="BE1646" s="120"/>
      <c r="BF1646" s="120"/>
      <c r="BG1646" s="120"/>
    </row>
    <row r="1647" spans="1:59" s="3" customFormat="1" x14ac:dyDescent="0.3">
      <c r="A1647" s="15" t="str">
        <f t="shared" si="325"/>
        <v/>
      </c>
      <c r="B1647" s="25"/>
      <c r="C1647" s="26"/>
      <c r="D1647" s="279"/>
      <c r="E1647" s="27"/>
      <c r="F1647" s="28"/>
      <c r="G1647" s="27"/>
      <c r="H1647" s="28"/>
      <c r="I1647" s="28"/>
      <c r="J1647" s="255" t="str">
        <f>IF(H1647="","",(_xlfn.XLOOKUP(H1647,Cadastros!$D$6:$D$90,Cadastros!$E$6:$E$90))*(1-_xlfn.XLOOKUP(_xlfn.XLOOKUP($F1647,Clientes!$B$4:$B$39,Clientes!$C$4:$C$39),Cadastros!$L$6:$L$12,Cadastros!$N$6:$N$12)))</f>
        <v/>
      </c>
      <c r="K1647" s="168" t="str">
        <f t="shared" si="326"/>
        <v/>
      </c>
      <c r="L1647" s="168" t="str">
        <f>IFERROR(K1647/_xlfn.XLOOKUP(_xlfn.XLOOKUP($F1647,Clientes!$B$4:$B$39,Clientes!$C$4:$C$39),Cadastros!$L$6:$L$12,Cadastros!$M$6:$M$12)," ")</f>
        <v xml:space="preserve"> </v>
      </c>
      <c r="M1647" s="28"/>
      <c r="N1647" s="28"/>
      <c r="O1647" s="255" t="str">
        <f>IF(M1647="","",(_xlfn.XLOOKUP(M1647,Cadastros!$D$6:$D$90,Cadastros!$E$6:$E$90))*(1-_xlfn.XLOOKUP(_xlfn.XLOOKUP($F1647,Clientes!$B$4:$B$39,Clientes!$C$4:$C$39),Cadastros!$L$6:$L$12,Cadastros!$N$6:$N$12)))</f>
        <v/>
      </c>
      <c r="P1647" s="168" t="str">
        <f t="shared" si="327"/>
        <v/>
      </c>
      <c r="Q1647" s="168" t="str">
        <f>IFERROR(P1647/_xlfn.XLOOKUP(_xlfn.XLOOKUP($F1647,Clientes!$B$4:$B$39,Clientes!$C$4:$C$39),Cadastros!$L$6:$L$12,Cadastros!$M$6:$M$12)," ")</f>
        <v xml:space="preserve"> </v>
      </c>
      <c r="R1647" s="28"/>
      <c r="S1647" s="28"/>
      <c r="T1647" s="255" t="str">
        <f>IF(R1647="","",(_xlfn.XLOOKUP(R1647,Cadastros!$D$6:$D$90,Cadastros!$E$6:$E$90))*(1-_xlfn.XLOOKUP(_xlfn.XLOOKUP($F1647,Clientes!$B$4:$B$39,Clientes!$C$4:$C$39),Cadastros!$L$6:$L$12,Cadastros!$N$6:$N$12)))</f>
        <v/>
      </c>
      <c r="U1647" s="168" t="str">
        <f t="shared" si="328"/>
        <v/>
      </c>
      <c r="V1647" s="168" t="str">
        <f>IFERROR(U1647/_xlfn.XLOOKUP(_xlfn.XLOOKUP($F1647,Clientes!$B$4:$B$39,Clientes!$C$4:$C$39),Cadastros!$L$6:$L$12,Cadastros!$M$6:$M$12)," ")</f>
        <v xml:space="preserve"> </v>
      </c>
      <c r="W1647" s="28"/>
      <c r="X1647" s="28"/>
      <c r="Y1647" s="255" t="str">
        <f>IF(W1647="","",(_xlfn.XLOOKUP(W1647,Cadastros!$D$6:$D$90,Cadastros!$E$6:$E$90))*(1-_xlfn.XLOOKUP(_xlfn.XLOOKUP($F1647,Clientes!$B$4:$B$39,Clientes!$C$4:$C$39),Cadastros!$L$6:$L$12,Cadastros!$N$6:$N$12)))</f>
        <v/>
      </c>
      <c r="Z1647" s="168" t="str">
        <f t="shared" si="329"/>
        <v/>
      </c>
      <c r="AA1647" s="168" t="str">
        <f>IFERROR(Z1647/_xlfn.XLOOKUP(_xlfn.XLOOKUP($F1647,Clientes!$B$4:$B$39,Clientes!$C$4:$C$39),Cadastros!$L$6:$L$12,Cadastros!$M$6:$M$12)," ")</f>
        <v xml:space="preserve"> </v>
      </c>
      <c r="AB1647" s="28"/>
      <c r="AC1647" s="28"/>
      <c r="AD1647" s="20" t="str">
        <f>IF(AB1647="","",IF($F1647="Bernardino Furlan",_xlfn.XLOOKUP(AB1647,Cadastros!$G$6:$G$90,Cadastros!$H$6:$H$90)*(1-0.18),IF($F1647="Mauro José Salanti",_xlfn.XLOOKUP(AB1647,Cadastros!$G$6:$G$90,Cadastros!$H$6:$H$90)*(1-0.18),_xlfn.XLOOKUP(AB1647,Cadastros!$G$6:$G$90,Cadastros!$H$6:$H$90))))</f>
        <v/>
      </c>
      <c r="AE1647" s="168" t="str">
        <f t="shared" si="330"/>
        <v/>
      </c>
      <c r="AF1647" s="168" t="str">
        <f t="shared" si="331"/>
        <v/>
      </c>
      <c r="AG1647" s="28"/>
      <c r="AH1647" s="28"/>
      <c r="AI1647" s="20" t="str">
        <f>IF(AG1647="","",IF($F1647="Bernardino Furlan",_xlfn.XLOOKUP(AG1647,Cadastros!$G$6:$G$90,Cadastros!$H$6:$H$90)*(1-0.18),IF($F1647="Mauro José Salanti",_xlfn.XLOOKUP(AG1647,Cadastros!$G$6:$G$90,Cadastros!$H$6:$H$90)*(1-0.18),_xlfn.XLOOKUP(AG1647,Cadastros!$G$6:$G$90,Cadastros!$H$6:$H$90))))</f>
        <v/>
      </c>
      <c r="AJ1647" s="168" t="str">
        <f t="shared" si="332"/>
        <v/>
      </c>
      <c r="AK1647" s="168" t="str">
        <f t="shared" si="333"/>
        <v/>
      </c>
      <c r="AL1647" s="28"/>
      <c r="AM1647" s="28"/>
      <c r="AN1647" s="20" t="str">
        <f>IF(AL1647="","",IF($F1647="Bernardino Furlan",_xlfn.XLOOKUP(AL1647,Cadastros!$G$6:$G$90,Cadastros!$H$6:$H$90)*(1-0.18),IF($F1647="Mauro José Salanti",_xlfn.XLOOKUP(AL1647,Cadastros!$G$6:$G$90,Cadastros!$H$6:$H$90)*(1-0.18),_xlfn.XLOOKUP(AL1647,Cadastros!$G$6:$G$90,Cadastros!$H$6:$H$90))))</f>
        <v/>
      </c>
      <c r="AO1647" s="168" t="str">
        <f t="shared" si="334"/>
        <v/>
      </c>
      <c r="AP1647" s="168" t="str">
        <f t="shared" si="335"/>
        <v/>
      </c>
      <c r="AQ1647" s="28"/>
      <c r="AR1647" s="28"/>
      <c r="AS1647" s="20" t="str">
        <f>IF(AQ1647="","",IF($F1647="Bernardino Furlan",_xlfn.XLOOKUP(AQ1647,Cadastros!$G$6:$G$90,Cadastros!$H$6:$H$90)*(1-0.18),IF($F1647="Mauro José Salanti",_xlfn.XLOOKUP(AQ1647,Cadastros!$G$6:$G$90,Cadastros!$H$6:$H$90)*(1-0.18),_xlfn.XLOOKUP(AQ1647,Cadastros!$G$6:$G$90,Cadastros!$H$6:$H$90))))</f>
        <v/>
      </c>
      <c r="AT1647" s="168" t="str">
        <f t="shared" si="336"/>
        <v/>
      </c>
      <c r="AU1647" s="168" t="str">
        <f t="shared" si="337"/>
        <v/>
      </c>
      <c r="AV1647" s="227"/>
      <c r="AW1647" s="30"/>
      <c r="AX1647" s="267"/>
      <c r="AY1647" s="267"/>
      <c r="AZ1647" s="29"/>
      <c r="BA1647" s="30"/>
      <c r="BB1647" s="23" t="str" cm="1">
        <f t="array" ref="BB1647">_xlfn.IFS(AW1647="SIM",SUM(K1647,P1647,U1647,Z1647,AE1647,AJ1647,AO1647,AT1647,AX1647,AY1647),F1647&lt;&gt;"",SUM(K1647,P1647,U1647,Z1647,AE1647,AJ1647,,AO1647,AT1647),F1647="","")</f>
        <v/>
      </c>
      <c r="BC1647" s="211" t="str" cm="1">
        <f t="array" ref="BC1647">_xlfn.IFS(E1647="","",G1647&lt;=E1647,BB1647*(1-0.03),G1647&lt;(E1647+8),BB1647,AZ1647="Boleto",BB1647*(1+0.001)^DATEDIF(E1647,G1647,"D"),AZ1647="Cheque",BB1647,AZ1647="Dinheiro","Alterar forma pgto")</f>
        <v/>
      </c>
      <c r="BD1647" s="276" t="str" cm="1">
        <f t="array" ref="BD1647">IF(F1647=0," ",IF(BC1647&lt;BB1647,(_xlfn.IFS(AW1647="SIM",SUM(L1647,Q1647,V1647,AA1647,AF1647,AK1647,AP1647,AU1647)+AX1647/_xlfn.XLOOKUP(_xlfn.XLOOKUP($F1647,Clientes!$B$4:$B$39,Clientes!$C$4:$C$39),Cadastros!$L$6:$L$12,Cadastros!$M$6:$M$12)+IF($F1647="Bernardino Furlan",AY1647/2751.92,IF($F1647="Mauro José Salanti",AY1647/2751.92,AY1647/3356)),F1647&lt;&gt;0,SUM(L1647,Q1647,V1647,AA1647,AF1647,AK1647,AP1647,AU1647)))*(1-0.03),_xlfn.IFS(AW1647="SIM",SUM(L1647,Q1647,V1647,AA1647,AF1647,AK1647,AP1647,AU1647)+AX1647/_xlfn.XLOOKUP(_xlfn.XLOOKUP($F1647,Clientes!$B$4:$B$39,Clientes!$C$4:$C$39),Cadastros!$L$6:$L$12,Cadastros!$M$6:$M$12)+IF($F1647="Bernardino Furlan",AY1647/2751.92,IF($F1647="Mauro José Salanti",AY1647/2751.92,AY1647/3356)),F1647&lt;&gt;0,SUM(L1647,Q1647,V1647,AA1647,AF1647,AK1647,AP1647,AU1647))))</f>
        <v xml:space="preserve"> </v>
      </c>
      <c r="BE1647" s="120"/>
      <c r="BF1647" s="120"/>
      <c r="BG1647" s="120"/>
    </row>
    <row r="1648" spans="1:59" s="3" customFormat="1" x14ac:dyDescent="0.3">
      <c r="A1648" s="15" t="str">
        <f t="shared" si="325"/>
        <v/>
      </c>
      <c r="B1648" s="25"/>
      <c r="C1648" s="26"/>
      <c r="D1648" s="279"/>
      <c r="E1648" s="27"/>
      <c r="F1648" s="28"/>
      <c r="G1648" s="27"/>
      <c r="H1648" s="28"/>
      <c r="I1648" s="28"/>
      <c r="J1648" s="255" t="str">
        <f>IF(H1648="","",(_xlfn.XLOOKUP(H1648,Cadastros!$D$6:$D$90,Cadastros!$E$6:$E$90))*(1-_xlfn.XLOOKUP(_xlfn.XLOOKUP($F1648,Clientes!$B$4:$B$39,Clientes!$C$4:$C$39),Cadastros!$L$6:$L$12,Cadastros!$N$6:$N$12)))</f>
        <v/>
      </c>
      <c r="K1648" s="168" t="str">
        <f t="shared" si="326"/>
        <v/>
      </c>
      <c r="L1648" s="168" t="str">
        <f>IFERROR(K1648/_xlfn.XLOOKUP(_xlfn.XLOOKUP($F1648,Clientes!$B$4:$B$39,Clientes!$C$4:$C$39),Cadastros!$L$6:$L$12,Cadastros!$M$6:$M$12)," ")</f>
        <v xml:space="preserve"> </v>
      </c>
      <c r="M1648" s="28"/>
      <c r="N1648" s="28"/>
      <c r="O1648" s="255" t="str">
        <f>IF(M1648="","",(_xlfn.XLOOKUP(M1648,Cadastros!$D$6:$D$90,Cadastros!$E$6:$E$90))*(1-_xlfn.XLOOKUP(_xlfn.XLOOKUP($F1648,Clientes!$B$4:$B$39,Clientes!$C$4:$C$39),Cadastros!$L$6:$L$12,Cadastros!$N$6:$N$12)))</f>
        <v/>
      </c>
      <c r="P1648" s="168" t="str">
        <f t="shared" si="327"/>
        <v/>
      </c>
      <c r="Q1648" s="168" t="str">
        <f>IFERROR(P1648/_xlfn.XLOOKUP(_xlfn.XLOOKUP($F1648,Clientes!$B$4:$B$39,Clientes!$C$4:$C$39),Cadastros!$L$6:$L$12,Cadastros!$M$6:$M$12)," ")</f>
        <v xml:space="preserve"> </v>
      </c>
      <c r="R1648" s="28"/>
      <c r="S1648" s="28"/>
      <c r="T1648" s="255" t="str">
        <f>IF(R1648="","",(_xlfn.XLOOKUP(R1648,Cadastros!$D$6:$D$90,Cadastros!$E$6:$E$90))*(1-_xlfn.XLOOKUP(_xlfn.XLOOKUP($F1648,Clientes!$B$4:$B$39,Clientes!$C$4:$C$39),Cadastros!$L$6:$L$12,Cadastros!$N$6:$N$12)))</f>
        <v/>
      </c>
      <c r="U1648" s="168" t="str">
        <f t="shared" si="328"/>
        <v/>
      </c>
      <c r="V1648" s="168" t="str">
        <f>IFERROR(U1648/_xlfn.XLOOKUP(_xlfn.XLOOKUP($F1648,Clientes!$B$4:$B$39,Clientes!$C$4:$C$39),Cadastros!$L$6:$L$12,Cadastros!$M$6:$M$12)," ")</f>
        <v xml:space="preserve"> </v>
      </c>
      <c r="W1648" s="28"/>
      <c r="X1648" s="28"/>
      <c r="Y1648" s="255" t="str">
        <f>IF(W1648="","",(_xlfn.XLOOKUP(W1648,Cadastros!$D$6:$D$90,Cadastros!$E$6:$E$90))*(1-_xlfn.XLOOKUP(_xlfn.XLOOKUP($F1648,Clientes!$B$4:$B$39,Clientes!$C$4:$C$39),Cadastros!$L$6:$L$12,Cadastros!$N$6:$N$12)))</f>
        <v/>
      </c>
      <c r="Z1648" s="168" t="str">
        <f t="shared" si="329"/>
        <v/>
      </c>
      <c r="AA1648" s="168" t="str">
        <f>IFERROR(Z1648/_xlfn.XLOOKUP(_xlfn.XLOOKUP($F1648,Clientes!$B$4:$B$39,Clientes!$C$4:$C$39),Cadastros!$L$6:$L$12,Cadastros!$M$6:$M$12)," ")</f>
        <v xml:space="preserve"> </v>
      </c>
      <c r="AB1648" s="28"/>
      <c r="AC1648" s="28"/>
      <c r="AD1648" s="20" t="str">
        <f>IF(AB1648="","",IF($F1648="Bernardino Furlan",_xlfn.XLOOKUP(AB1648,Cadastros!$G$6:$G$90,Cadastros!$H$6:$H$90)*(1-0.18),IF($F1648="Mauro José Salanti",_xlfn.XLOOKUP(AB1648,Cadastros!$G$6:$G$90,Cadastros!$H$6:$H$90)*(1-0.18),_xlfn.XLOOKUP(AB1648,Cadastros!$G$6:$G$90,Cadastros!$H$6:$H$90))))</f>
        <v/>
      </c>
      <c r="AE1648" s="168" t="str">
        <f t="shared" si="330"/>
        <v/>
      </c>
      <c r="AF1648" s="168" t="str">
        <f t="shared" si="331"/>
        <v/>
      </c>
      <c r="AG1648" s="28"/>
      <c r="AH1648" s="28"/>
      <c r="AI1648" s="20" t="str">
        <f>IF(AG1648="","",IF($F1648="Bernardino Furlan",_xlfn.XLOOKUP(AG1648,Cadastros!$G$6:$G$90,Cadastros!$H$6:$H$90)*(1-0.18),IF($F1648="Mauro José Salanti",_xlfn.XLOOKUP(AG1648,Cadastros!$G$6:$G$90,Cadastros!$H$6:$H$90)*(1-0.18),_xlfn.XLOOKUP(AG1648,Cadastros!$G$6:$G$90,Cadastros!$H$6:$H$90))))</f>
        <v/>
      </c>
      <c r="AJ1648" s="168" t="str">
        <f t="shared" si="332"/>
        <v/>
      </c>
      <c r="AK1648" s="168" t="str">
        <f t="shared" si="333"/>
        <v/>
      </c>
      <c r="AL1648" s="28"/>
      <c r="AM1648" s="28"/>
      <c r="AN1648" s="20" t="str">
        <f>IF(AL1648="","",IF($F1648="Bernardino Furlan",_xlfn.XLOOKUP(AL1648,Cadastros!$G$6:$G$90,Cadastros!$H$6:$H$90)*(1-0.18),IF($F1648="Mauro José Salanti",_xlfn.XLOOKUP(AL1648,Cadastros!$G$6:$G$90,Cadastros!$H$6:$H$90)*(1-0.18),_xlfn.XLOOKUP(AL1648,Cadastros!$G$6:$G$90,Cadastros!$H$6:$H$90))))</f>
        <v/>
      </c>
      <c r="AO1648" s="168" t="str">
        <f t="shared" si="334"/>
        <v/>
      </c>
      <c r="AP1648" s="168" t="str">
        <f t="shared" si="335"/>
        <v/>
      </c>
      <c r="AQ1648" s="28"/>
      <c r="AR1648" s="28"/>
      <c r="AS1648" s="20" t="str">
        <f>IF(AQ1648="","",IF($F1648="Bernardino Furlan",_xlfn.XLOOKUP(AQ1648,Cadastros!$G$6:$G$90,Cadastros!$H$6:$H$90)*(1-0.18),IF($F1648="Mauro José Salanti",_xlfn.XLOOKUP(AQ1648,Cadastros!$G$6:$G$90,Cadastros!$H$6:$H$90)*(1-0.18),_xlfn.XLOOKUP(AQ1648,Cadastros!$G$6:$G$90,Cadastros!$H$6:$H$90))))</f>
        <v/>
      </c>
      <c r="AT1648" s="168" t="str">
        <f t="shared" si="336"/>
        <v/>
      </c>
      <c r="AU1648" s="168" t="str">
        <f t="shared" si="337"/>
        <v/>
      </c>
      <c r="AV1648" s="227"/>
      <c r="AW1648" s="30"/>
      <c r="AX1648" s="267"/>
      <c r="AY1648" s="267"/>
      <c r="AZ1648" s="29"/>
      <c r="BA1648" s="30"/>
      <c r="BB1648" s="23" t="str" cm="1">
        <f t="array" ref="BB1648">_xlfn.IFS(AW1648="SIM",SUM(K1648,P1648,U1648,Z1648,AE1648,AJ1648,AO1648,AT1648,AX1648,AY1648),F1648&lt;&gt;"",SUM(K1648,P1648,U1648,Z1648,AE1648,AJ1648,,AO1648,AT1648),F1648="","")</f>
        <v/>
      </c>
      <c r="BC1648" s="211" t="str" cm="1">
        <f t="array" ref="BC1648">_xlfn.IFS(E1648="","",G1648&lt;=E1648,BB1648*(1-0.03),G1648&lt;(E1648+8),BB1648,AZ1648="Boleto",BB1648*(1+0.001)^DATEDIF(E1648,G1648,"D"),AZ1648="Cheque",BB1648,AZ1648="Dinheiro","Alterar forma pgto")</f>
        <v/>
      </c>
      <c r="BD1648" s="276" t="str" cm="1">
        <f t="array" ref="BD1648">IF(F1648=0," ",IF(BC1648&lt;BB1648,(_xlfn.IFS(AW1648="SIM",SUM(L1648,Q1648,V1648,AA1648,AF1648,AK1648,AP1648,AU1648)+AX1648/_xlfn.XLOOKUP(_xlfn.XLOOKUP($F1648,Clientes!$B$4:$B$39,Clientes!$C$4:$C$39),Cadastros!$L$6:$L$12,Cadastros!$M$6:$M$12)+IF($F1648="Bernardino Furlan",AY1648/2751.92,IF($F1648="Mauro José Salanti",AY1648/2751.92,AY1648/3356)),F1648&lt;&gt;0,SUM(L1648,Q1648,V1648,AA1648,AF1648,AK1648,AP1648,AU1648)))*(1-0.03),_xlfn.IFS(AW1648="SIM",SUM(L1648,Q1648,V1648,AA1648,AF1648,AK1648,AP1648,AU1648)+AX1648/_xlfn.XLOOKUP(_xlfn.XLOOKUP($F1648,Clientes!$B$4:$B$39,Clientes!$C$4:$C$39),Cadastros!$L$6:$L$12,Cadastros!$M$6:$M$12)+IF($F1648="Bernardino Furlan",AY1648/2751.92,IF($F1648="Mauro José Salanti",AY1648/2751.92,AY1648/3356)),F1648&lt;&gt;0,SUM(L1648,Q1648,V1648,AA1648,AF1648,AK1648,AP1648,AU1648))))</f>
        <v xml:space="preserve"> </v>
      </c>
      <c r="BE1648" s="120"/>
      <c r="BF1648" s="120"/>
      <c r="BG1648" s="120"/>
    </row>
    <row r="1649" spans="1:59" s="3" customFormat="1" x14ac:dyDescent="0.3">
      <c r="A1649" s="15" t="str">
        <f t="shared" si="325"/>
        <v/>
      </c>
      <c r="B1649" s="25"/>
      <c r="C1649" s="26"/>
      <c r="D1649" s="279"/>
      <c r="E1649" s="27"/>
      <c r="F1649" s="28"/>
      <c r="G1649" s="27"/>
      <c r="H1649" s="28"/>
      <c r="I1649" s="28"/>
      <c r="J1649" s="255" t="str">
        <f>IF(H1649="","",(_xlfn.XLOOKUP(H1649,Cadastros!$D$6:$D$90,Cadastros!$E$6:$E$90))*(1-_xlfn.XLOOKUP(_xlfn.XLOOKUP($F1649,Clientes!$B$4:$B$39,Clientes!$C$4:$C$39),Cadastros!$L$6:$L$12,Cadastros!$N$6:$N$12)))</f>
        <v/>
      </c>
      <c r="K1649" s="168" t="str">
        <f t="shared" si="326"/>
        <v/>
      </c>
      <c r="L1649" s="168" t="str">
        <f>IFERROR(K1649/_xlfn.XLOOKUP(_xlfn.XLOOKUP($F1649,Clientes!$B$4:$B$39,Clientes!$C$4:$C$39),Cadastros!$L$6:$L$12,Cadastros!$M$6:$M$12)," ")</f>
        <v xml:space="preserve"> </v>
      </c>
      <c r="M1649" s="28"/>
      <c r="N1649" s="28"/>
      <c r="O1649" s="255" t="str">
        <f>IF(M1649="","",(_xlfn.XLOOKUP(M1649,Cadastros!$D$6:$D$90,Cadastros!$E$6:$E$90))*(1-_xlfn.XLOOKUP(_xlfn.XLOOKUP($F1649,Clientes!$B$4:$B$39,Clientes!$C$4:$C$39),Cadastros!$L$6:$L$12,Cadastros!$N$6:$N$12)))</f>
        <v/>
      </c>
      <c r="P1649" s="168" t="str">
        <f t="shared" si="327"/>
        <v/>
      </c>
      <c r="Q1649" s="168" t="str">
        <f>IFERROR(P1649/_xlfn.XLOOKUP(_xlfn.XLOOKUP($F1649,Clientes!$B$4:$B$39,Clientes!$C$4:$C$39),Cadastros!$L$6:$L$12,Cadastros!$M$6:$M$12)," ")</f>
        <v xml:space="preserve"> </v>
      </c>
      <c r="R1649" s="28"/>
      <c r="S1649" s="28"/>
      <c r="T1649" s="255" t="str">
        <f>IF(R1649="","",(_xlfn.XLOOKUP(R1649,Cadastros!$D$6:$D$90,Cadastros!$E$6:$E$90))*(1-_xlfn.XLOOKUP(_xlfn.XLOOKUP($F1649,Clientes!$B$4:$B$39,Clientes!$C$4:$C$39),Cadastros!$L$6:$L$12,Cadastros!$N$6:$N$12)))</f>
        <v/>
      </c>
      <c r="U1649" s="168" t="str">
        <f t="shared" si="328"/>
        <v/>
      </c>
      <c r="V1649" s="168" t="str">
        <f>IFERROR(U1649/_xlfn.XLOOKUP(_xlfn.XLOOKUP($F1649,Clientes!$B$4:$B$39,Clientes!$C$4:$C$39),Cadastros!$L$6:$L$12,Cadastros!$M$6:$M$12)," ")</f>
        <v xml:space="preserve"> </v>
      </c>
      <c r="W1649" s="28"/>
      <c r="X1649" s="28"/>
      <c r="Y1649" s="255" t="str">
        <f>IF(W1649="","",(_xlfn.XLOOKUP(W1649,Cadastros!$D$6:$D$90,Cadastros!$E$6:$E$90))*(1-_xlfn.XLOOKUP(_xlfn.XLOOKUP($F1649,Clientes!$B$4:$B$39,Clientes!$C$4:$C$39),Cadastros!$L$6:$L$12,Cadastros!$N$6:$N$12)))</f>
        <v/>
      </c>
      <c r="Z1649" s="168" t="str">
        <f t="shared" si="329"/>
        <v/>
      </c>
      <c r="AA1649" s="168" t="str">
        <f>IFERROR(Z1649/_xlfn.XLOOKUP(_xlfn.XLOOKUP($F1649,Clientes!$B$4:$B$39,Clientes!$C$4:$C$39),Cadastros!$L$6:$L$12,Cadastros!$M$6:$M$12)," ")</f>
        <v xml:space="preserve"> </v>
      </c>
      <c r="AB1649" s="28"/>
      <c r="AC1649" s="28"/>
      <c r="AD1649" s="20" t="str">
        <f>IF(AB1649="","",IF($F1649="Bernardino Furlan",_xlfn.XLOOKUP(AB1649,Cadastros!$G$6:$G$90,Cadastros!$H$6:$H$90)*(1-0.18),IF($F1649="Mauro José Salanti",_xlfn.XLOOKUP(AB1649,Cadastros!$G$6:$G$90,Cadastros!$H$6:$H$90)*(1-0.18),_xlfn.XLOOKUP(AB1649,Cadastros!$G$6:$G$90,Cadastros!$H$6:$H$90))))</f>
        <v/>
      </c>
      <c r="AE1649" s="168" t="str">
        <f t="shared" si="330"/>
        <v/>
      </c>
      <c r="AF1649" s="168" t="str">
        <f t="shared" si="331"/>
        <v/>
      </c>
      <c r="AG1649" s="28"/>
      <c r="AH1649" s="28"/>
      <c r="AI1649" s="20" t="str">
        <f>IF(AG1649="","",IF($F1649="Bernardino Furlan",_xlfn.XLOOKUP(AG1649,Cadastros!$G$6:$G$90,Cadastros!$H$6:$H$90)*(1-0.18),IF($F1649="Mauro José Salanti",_xlfn.XLOOKUP(AG1649,Cadastros!$G$6:$G$90,Cadastros!$H$6:$H$90)*(1-0.18),_xlfn.XLOOKUP(AG1649,Cadastros!$G$6:$G$90,Cadastros!$H$6:$H$90))))</f>
        <v/>
      </c>
      <c r="AJ1649" s="168" t="str">
        <f t="shared" si="332"/>
        <v/>
      </c>
      <c r="AK1649" s="168" t="str">
        <f t="shared" si="333"/>
        <v/>
      </c>
      <c r="AL1649" s="28"/>
      <c r="AM1649" s="28"/>
      <c r="AN1649" s="20" t="str">
        <f>IF(AL1649="","",IF($F1649="Bernardino Furlan",_xlfn.XLOOKUP(AL1649,Cadastros!$G$6:$G$90,Cadastros!$H$6:$H$90)*(1-0.18),IF($F1649="Mauro José Salanti",_xlfn.XLOOKUP(AL1649,Cadastros!$G$6:$G$90,Cadastros!$H$6:$H$90)*(1-0.18),_xlfn.XLOOKUP(AL1649,Cadastros!$G$6:$G$90,Cadastros!$H$6:$H$90))))</f>
        <v/>
      </c>
      <c r="AO1649" s="168" t="str">
        <f t="shared" si="334"/>
        <v/>
      </c>
      <c r="AP1649" s="168" t="str">
        <f t="shared" si="335"/>
        <v/>
      </c>
      <c r="AQ1649" s="28"/>
      <c r="AR1649" s="28"/>
      <c r="AS1649" s="20" t="str">
        <f>IF(AQ1649="","",IF($F1649="Bernardino Furlan",_xlfn.XLOOKUP(AQ1649,Cadastros!$G$6:$G$90,Cadastros!$H$6:$H$90)*(1-0.18),IF($F1649="Mauro José Salanti",_xlfn.XLOOKUP(AQ1649,Cadastros!$G$6:$G$90,Cadastros!$H$6:$H$90)*(1-0.18),_xlfn.XLOOKUP(AQ1649,Cadastros!$G$6:$G$90,Cadastros!$H$6:$H$90))))</f>
        <v/>
      </c>
      <c r="AT1649" s="168" t="str">
        <f t="shared" si="336"/>
        <v/>
      </c>
      <c r="AU1649" s="168" t="str">
        <f t="shared" si="337"/>
        <v/>
      </c>
      <c r="AV1649" s="227"/>
      <c r="AW1649" s="30"/>
      <c r="AX1649" s="267"/>
      <c r="AY1649" s="267"/>
      <c r="AZ1649" s="29"/>
      <c r="BA1649" s="30"/>
      <c r="BB1649" s="23" t="str" cm="1">
        <f t="array" ref="BB1649">_xlfn.IFS(AW1649="SIM",SUM(K1649,P1649,U1649,Z1649,AE1649,AJ1649,AO1649,AT1649,AX1649,AY1649),F1649&lt;&gt;"",SUM(K1649,P1649,U1649,Z1649,AE1649,AJ1649,,AO1649,AT1649),F1649="","")</f>
        <v/>
      </c>
      <c r="BC1649" s="211" t="str" cm="1">
        <f t="array" ref="BC1649">_xlfn.IFS(E1649="","",G1649&lt;=E1649,BB1649*(1-0.03),G1649&lt;(E1649+8),BB1649,AZ1649="Boleto",BB1649*(1+0.001)^DATEDIF(E1649,G1649,"D"),AZ1649="Cheque",BB1649,AZ1649="Dinheiro","Alterar forma pgto")</f>
        <v/>
      </c>
      <c r="BD1649" s="276" t="str" cm="1">
        <f t="array" ref="BD1649">IF(F1649=0," ",IF(BC1649&lt;BB1649,(_xlfn.IFS(AW1649="SIM",SUM(L1649,Q1649,V1649,AA1649,AF1649,AK1649,AP1649,AU1649)+AX1649/_xlfn.XLOOKUP(_xlfn.XLOOKUP($F1649,Clientes!$B$4:$B$39,Clientes!$C$4:$C$39),Cadastros!$L$6:$L$12,Cadastros!$M$6:$M$12)+IF($F1649="Bernardino Furlan",AY1649/2751.92,IF($F1649="Mauro José Salanti",AY1649/2751.92,AY1649/3356)),F1649&lt;&gt;0,SUM(L1649,Q1649,V1649,AA1649,AF1649,AK1649,AP1649,AU1649)))*(1-0.03),_xlfn.IFS(AW1649="SIM",SUM(L1649,Q1649,V1649,AA1649,AF1649,AK1649,AP1649,AU1649)+AX1649/_xlfn.XLOOKUP(_xlfn.XLOOKUP($F1649,Clientes!$B$4:$B$39,Clientes!$C$4:$C$39),Cadastros!$L$6:$L$12,Cadastros!$M$6:$M$12)+IF($F1649="Bernardino Furlan",AY1649/2751.92,IF($F1649="Mauro José Salanti",AY1649/2751.92,AY1649/3356)),F1649&lt;&gt;0,SUM(L1649,Q1649,V1649,AA1649,AF1649,AK1649,AP1649,AU1649))))</f>
        <v xml:space="preserve"> </v>
      </c>
      <c r="BE1649" s="120"/>
      <c r="BF1649" s="120"/>
      <c r="BG1649" s="120"/>
    </row>
    <row r="1650" spans="1:59" s="3" customFormat="1" x14ac:dyDescent="0.3">
      <c r="A1650" s="15" t="str">
        <f t="shared" si="325"/>
        <v/>
      </c>
      <c r="B1650" s="25"/>
      <c r="C1650" s="26"/>
      <c r="D1650" s="279"/>
      <c r="E1650" s="27"/>
      <c r="F1650" s="28"/>
      <c r="G1650" s="27"/>
      <c r="H1650" s="28"/>
      <c r="I1650" s="28"/>
      <c r="J1650" s="255" t="str">
        <f>IF(H1650="","",(_xlfn.XLOOKUP(H1650,Cadastros!$D$6:$D$90,Cadastros!$E$6:$E$90))*(1-_xlfn.XLOOKUP(_xlfn.XLOOKUP($F1650,Clientes!$B$4:$B$39,Clientes!$C$4:$C$39),Cadastros!$L$6:$L$12,Cadastros!$N$6:$N$12)))</f>
        <v/>
      </c>
      <c r="K1650" s="168" t="str">
        <f t="shared" si="326"/>
        <v/>
      </c>
      <c r="L1650" s="168" t="str">
        <f>IFERROR(K1650/_xlfn.XLOOKUP(_xlfn.XLOOKUP($F1650,Clientes!$B$4:$B$39,Clientes!$C$4:$C$39),Cadastros!$L$6:$L$12,Cadastros!$M$6:$M$12)," ")</f>
        <v xml:space="preserve"> </v>
      </c>
      <c r="M1650" s="28"/>
      <c r="N1650" s="28"/>
      <c r="O1650" s="255" t="str">
        <f>IF(M1650="","",(_xlfn.XLOOKUP(M1650,Cadastros!$D$6:$D$90,Cadastros!$E$6:$E$90))*(1-_xlfn.XLOOKUP(_xlfn.XLOOKUP($F1650,Clientes!$B$4:$B$39,Clientes!$C$4:$C$39),Cadastros!$L$6:$L$12,Cadastros!$N$6:$N$12)))</f>
        <v/>
      </c>
      <c r="P1650" s="168" t="str">
        <f t="shared" si="327"/>
        <v/>
      </c>
      <c r="Q1650" s="168" t="str">
        <f>IFERROR(P1650/_xlfn.XLOOKUP(_xlfn.XLOOKUP($F1650,Clientes!$B$4:$B$39,Clientes!$C$4:$C$39),Cadastros!$L$6:$L$12,Cadastros!$M$6:$M$12)," ")</f>
        <v xml:space="preserve"> </v>
      </c>
      <c r="R1650" s="28"/>
      <c r="S1650" s="28"/>
      <c r="T1650" s="255" t="str">
        <f>IF(R1650="","",(_xlfn.XLOOKUP(R1650,Cadastros!$D$6:$D$90,Cadastros!$E$6:$E$90))*(1-_xlfn.XLOOKUP(_xlfn.XLOOKUP($F1650,Clientes!$B$4:$B$39,Clientes!$C$4:$C$39),Cadastros!$L$6:$L$12,Cadastros!$N$6:$N$12)))</f>
        <v/>
      </c>
      <c r="U1650" s="168" t="str">
        <f t="shared" si="328"/>
        <v/>
      </c>
      <c r="V1650" s="168" t="str">
        <f>IFERROR(U1650/_xlfn.XLOOKUP(_xlfn.XLOOKUP($F1650,Clientes!$B$4:$B$39,Clientes!$C$4:$C$39),Cadastros!$L$6:$L$12,Cadastros!$M$6:$M$12)," ")</f>
        <v xml:space="preserve"> </v>
      </c>
      <c r="W1650" s="28"/>
      <c r="X1650" s="28"/>
      <c r="Y1650" s="255" t="str">
        <f>IF(W1650="","",(_xlfn.XLOOKUP(W1650,Cadastros!$D$6:$D$90,Cadastros!$E$6:$E$90))*(1-_xlfn.XLOOKUP(_xlfn.XLOOKUP($F1650,Clientes!$B$4:$B$39,Clientes!$C$4:$C$39),Cadastros!$L$6:$L$12,Cadastros!$N$6:$N$12)))</f>
        <v/>
      </c>
      <c r="Z1650" s="168" t="str">
        <f t="shared" si="329"/>
        <v/>
      </c>
      <c r="AA1650" s="168" t="str">
        <f>IFERROR(Z1650/_xlfn.XLOOKUP(_xlfn.XLOOKUP($F1650,Clientes!$B$4:$B$39,Clientes!$C$4:$C$39),Cadastros!$L$6:$L$12,Cadastros!$M$6:$M$12)," ")</f>
        <v xml:space="preserve"> </v>
      </c>
      <c r="AB1650" s="28"/>
      <c r="AC1650" s="28"/>
      <c r="AD1650" s="20" t="str">
        <f>IF(AB1650="","",IF($F1650="Bernardino Furlan",_xlfn.XLOOKUP(AB1650,Cadastros!$G$6:$G$90,Cadastros!$H$6:$H$90)*(1-0.18),IF($F1650="Mauro José Salanti",_xlfn.XLOOKUP(AB1650,Cadastros!$G$6:$G$90,Cadastros!$H$6:$H$90)*(1-0.18),_xlfn.XLOOKUP(AB1650,Cadastros!$G$6:$G$90,Cadastros!$H$6:$H$90))))</f>
        <v/>
      </c>
      <c r="AE1650" s="168" t="str">
        <f t="shared" si="330"/>
        <v/>
      </c>
      <c r="AF1650" s="168" t="str">
        <f t="shared" si="331"/>
        <v/>
      </c>
      <c r="AG1650" s="28"/>
      <c r="AH1650" s="28"/>
      <c r="AI1650" s="20" t="str">
        <f>IF(AG1650="","",IF($F1650="Bernardino Furlan",_xlfn.XLOOKUP(AG1650,Cadastros!$G$6:$G$90,Cadastros!$H$6:$H$90)*(1-0.18),IF($F1650="Mauro José Salanti",_xlfn.XLOOKUP(AG1650,Cadastros!$G$6:$G$90,Cadastros!$H$6:$H$90)*(1-0.18),_xlfn.XLOOKUP(AG1650,Cadastros!$G$6:$G$90,Cadastros!$H$6:$H$90))))</f>
        <v/>
      </c>
      <c r="AJ1650" s="168" t="str">
        <f t="shared" si="332"/>
        <v/>
      </c>
      <c r="AK1650" s="168" t="str">
        <f t="shared" si="333"/>
        <v/>
      </c>
      <c r="AL1650" s="28"/>
      <c r="AM1650" s="28"/>
      <c r="AN1650" s="20" t="str">
        <f>IF(AL1650="","",IF($F1650="Bernardino Furlan",_xlfn.XLOOKUP(AL1650,Cadastros!$G$6:$G$90,Cadastros!$H$6:$H$90)*(1-0.18),IF($F1650="Mauro José Salanti",_xlfn.XLOOKUP(AL1650,Cadastros!$G$6:$G$90,Cadastros!$H$6:$H$90)*(1-0.18),_xlfn.XLOOKUP(AL1650,Cadastros!$G$6:$G$90,Cadastros!$H$6:$H$90))))</f>
        <v/>
      </c>
      <c r="AO1650" s="168" t="str">
        <f t="shared" si="334"/>
        <v/>
      </c>
      <c r="AP1650" s="168" t="str">
        <f t="shared" si="335"/>
        <v/>
      </c>
      <c r="AQ1650" s="28"/>
      <c r="AR1650" s="28"/>
      <c r="AS1650" s="20" t="str">
        <f>IF(AQ1650="","",IF($F1650="Bernardino Furlan",_xlfn.XLOOKUP(AQ1650,Cadastros!$G$6:$G$90,Cadastros!$H$6:$H$90)*(1-0.18),IF($F1650="Mauro José Salanti",_xlfn.XLOOKUP(AQ1650,Cadastros!$G$6:$G$90,Cadastros!$H$6:$H$90)*(1-0.18),_xlfn.XLOOKUP(AQ1650,Cadastros!$G$6:$G$90,Cadastros!$H$6:$H$90))))</f>
        <v/>
      </c>
      <c r="AT1650" s="168" t="str">
        <f t="shared" si="336"/>
        <v/>
      </c>
      <c r="AU1650" s="168" t="str">
        <f t="shared" si="337"/>
        <v/>
      </c>
      <c r="AV1650" s="227"/>
      <c r="AW1650" s="30"/>
      <c r="AX1650" s="267"/>
      <c r="AY1650" s="267"/>
      <c r="AZ1650" s="29"/>
      <c r="BA1650" s="30"/>
      <c r="BB1650" s="23" t="str" cm="1">
        <f t="array" ref="BB1650">_xlfn.IFS(AW1650="SIM",SUM(K1650,P1650,U1650,Z1650,AE1650,AJ1650,AO1650,AT1650,AX1650,AY1650),F1650&lt;&gt;"",SUM(K1650,P1650,U1650,Z1650,AE1650,AJ1650,,AO1650,AT1650),F1650="","")</f>
        <v/>
      </c>
      <c r="BC1650" s="211" t="str" cm="1">
        <f t="array" ref="BC1650">_xlfn.IFS(E1650="","",G1650&lt;=E1650,BB1650*(1-0.03),G1650&lt;(E1650+8),BB1650,AZ1650="Boleto",BB1650*(1+0.001)^DATEDIF(E1650,G1650,"D"),AZ1650="Cheque",BB1650,AZ1650="Dinheiro","Alterar forma pgto")</f>
        <v/>
      </c>
      <c r="BD1650" s="276" t="str" cm="1">
        <f t="array" ref="BD1650">IF(F1650=0," ",IF(BC1650&lt;BB1650,(_xlfn.IFS(AW1650="SIM",SUM(L1650,Q1650,V1650,AA1650,AF1650,AK1650,AP1650,AU1650)+AX1650/_xlfn.XLOOKUP(_xlfn.XLOOKUP($F1650,Clientes!$B$4:$B$39,Clientes!$C$4:$C$39),Cadastros!$L$6:$L$12,Cadastros!$M$6:$M$12)+IF($F1650="Bernardino Furlan",AY1650/2751.92,IF($F1650="Mauro José Salanti",AY1650/2751.92,AY1650/3356)),F1650&lt;&gt;0,SUM(L1650,Q1650,V1650,AA1650,AF1650,AK1650,AP1650,AU1650)))*(1-0.03),_xlfn.IFS(AW1650="SIM",SUM(L1650,Q1650,V1650,AA1650,AF1650,AK1650,AP1650,AU1650)+AX1650/_xlfn.XLOOKUP(_xlfn.XLOOKUP($F1650,Clientes!$B$4:$B$39,Clientes!$C$4:$C$39),Cadastros!$L$6:$L$12,Cadastros!$M$6:$M$12)+IF($F1650="Bernardino Furlan",AY1650/2751.92,IF($F1650="Mauro José Salanti",AY1650/2751.92,AY1650/3356)),F1650&lt;&gt;0,SUM(L1650,Q1650,V1650,AA1650,AF1650,AK1650,AP1650,AU1650))))</f>
        <v xml:space="preserve"> </v>
      </c>
      <c r="BE1650" s="120"/>
      <c r="BF1650" s="120"/>
      <c r="BG1650" s="120"/>
    </row>
    <row r="1651" spans="1:59" s="3" customFormat="1" x14ac:dyDescent="0.3">
      <c r="A1651" s="15" t="str">
        <f t="shared" si="325"/>
        <v/>
      </c>
      <c r="B1651" s="25"/>
      <c r="C1651" s="26"/>
      <c r="D1651" s="279"/>
      <c r="E1651" s="27"/>
      <c r="F1651" s="28"/>
      <c r="G1651" s="27"/>
      <c r="H1651" s="28"/>
      <c r="I1651" s="28"/>
      <c r="J1651" s="255" t="str">
        <f>IF(H1651="","",(_xlfn.XLOOKUP(H1651,Cadastros!$D$6:$D$90,Cadastros!$E$6:$E$90))*(1-_xlfn.XLOOKUP(_xlfn.XLOOKUP($F1651,Clientes!$B$4:$B$39,Clientes!$C$4:$C$39),Cadastros!$L$6:$L$12,Cadastros!$N$6:$N$12)))</f>
        <v/>
      </c>
      <c r="K1651" s="168" t="str">
        <f t="shared" si="326"/>
        <v/>
      </c>
      <c r="L1651" s="168" t="str">
        <f>IFERROR(K1651/_xlfn.XLOOKUP(_xlfn.XLOOKUP($F1651,Clientes!$B$4:$B$39,Clientes!$C$4:$C$39),Cadastros!$L$6:$L$12,Cadastros!$M$6:$M$12)," ")</f>
        <v xml:space="preserve"> </v>
      </c>
      <c r="M1651" s="28"/>
      <c r="N1651" s="28"/>
      <c r="O1651" s="255" t="str">
        <f>IF(M1651="","",(_xlfn.XLOOKUP(M1651,Cadastros!$D$6:$D$90,Cadastros!$E$6:$E$90))*(1-_xlfn.XLOOKUP(_xlfn.XLOOKUP($F1651,Clientes!$B$4:$B$39,Clientes!$C$4:$C$39),Cadastros!$L$6:$L$12,Cadastros!$N$6:$N$12)))</f>
        <v/>
      </c>
      <c r="P1651" s="168" t="str">
        <f t="shared" si="327"/>
        <v/>
      </c>
      <c r="Q1651" s="168" t="str">
        <f>IFERROR(P1651/_xlfn.XLOOKUP(_xlfn.XLOOKUP($F1651,Clientes!$B$4:$B$39,Clientes!$C$4:$C$39),Cadastros!$L$6:$L$12,Cadastros!$M$6:$M$12)," ")</f>
        <v xml:space="preserve"> </v>
      </c>
      <c r="R1651" s="28"/>
      <c r="S1651" s="28"/>
      <c r="T1651" s="255" t="str">
        <f>IF(R1651="","",(_xlfn.XLOOKUP(R1651,Cadastros!$D$6:$D$90,Cadastros!$E$6:$E$90))*(1-_xlfn.XLOOKUP(_xlfn.XLOOKUP($F1651,Clientes!$B$4:$B$39,Clientes!$C$4:$C$39),Cadastros!$L$6:$L$12,Cadastros!$N$6:$N$12)))</f>
        <v/>
      </c>
      <c r="U1651" s="168" t="str">
        <f t="shared" si="328"/>
        <v/>
      </c>
      <c r="V1651" s="168" t="str">
        <f>IFERROR(U1651/_xlfn.XLOOKUP(_xlfn.XLOOKUP($F1651,Clientes!$B$4:$B$39,Clientes!$C$4:$C$39),Cadastros!$L$6:$L$12,Cadastros!$M$6:$M$12)," ")</f>
        <v xml:space="preserve"> </v>
      </c>
      <c r="W1651" s="28"/>
      <c r="X1651" s="28"/>
      <c r="Y1651" s="255" t="str">
        <f>IF(W1651="","",(_xlfn.XLOOKUP(W1651,Cadastros!$D$6:$D$90,Cadastros!$E$6:$E$90))*(1-_xlfn.XLOOKUP(_xlfn.XLOOKUP($F1651,Clientes!$B$4:$B$39,Clientes!$C$4:$C$39),Cadastros!$L$6:$L$12,Cadastros!$N$6:$N$12)))</f>
        <v/>
      </c>
      <c r="Z1651" s="168" t="str">
        <f t="shared" si="329"/>
        <v/>
      </c>
      <c r="AA1651" s="168" t="str">
        <f>IFERROR(Z1651/_xlfn.XLOOKUP(_xlfn.XLOOKUP($F1651,Clientes!$B$4:$B$39,Clientes!$C$4:$C$39),Cadastros!$L$6:$L$12,Cadastros!$M$6:$M$12)," ")</f>
        <v xml:space="preserve"> </v>
      </c>
      <c r="AB1651" s="28"/>
      <c r="AC1651" s="28"/>
      <c r="AD1651" s="20" t="str">
        <f>IF(AB1651="","",IF($F1651="Bernardino Furlan",_xlfn.XLOOKUP(AB1651,Cadastros!$G$6:$G$90,Cadastros!$H$6:$H$90)*(1-0.18),IF($F1651="Mauro José Salanti",_xlfn.XLOOKUP(AB1651,Cadastros!$G$6:$G$90,Cadastros!$H$6:$H$90)*(1-0.18),_xlfn.XLOOKUP(AB1651,Cadastros!$G$6:$G$90,Cadastros!$H$6:$H$90))))</f>
        <v/>
      </c>
      <c r="AE1651" s="168" t="str">
        <f t="shared" si="330"/>
        <v/>
      </c>
      <c r="AF1651" s="168" t="str">
        <f t="shared" si="331"/>
        <v/>
      </c>
      <c r="AG1651" s="28"/>
      <c r="AH1651" s="28"/>
      <c r="AI1651" s="20" t="str">
        <f>IF(AG1651="","",IF($F1651="Bernardino Furlan",_xlfn.XLOOKUP(AG1651,Cadastros!$G$6:$G$90,Cadastros!$H$6:$H$90)*(1-0.18),IF($F1651="Mauro José Salanti",_xlfn.XLOOKUP(AG1651,Cadastros!$G$6:$G$90,Cadastros!$H$6:$H$90)*(1-0.18),_xlfn.XLOOKUP(AG1651,Cadastros!$G$6:$G$90,Cadastros!$H$6:$H$90))))</f>
        <v/>
      </c>
      <c r="AJ1651" s="168" t="str">
        <f t="shared" si="332"/>
        <v/>
      </c>
      <c r="AK1651" s="168" t="str">
        <f t="shared" si="333"/>
        <v/>
      </c>
      <c r="AL1651" s="28"/>
      <c r="AM1651" s="28"/>
      <c r="AN1651" s="20" t="str">
        <f>IF(AL1651="","",IF($F1651="Bernardino Furlan",_xlfn.XLOOKUP(AL1651,Cadastros!$G$6:$G$90,Cadastros!$H$6:$H$90)*(1-0.18),IF($F1651="Mauro José Salanti",_xlfn.XLOOKUP(AL1651,Cadastros!$G$6:$G$90,Cadastros!$H$6:$H$90)*(1-0.18),_xlfn.XLOOKUP(AL1651,Cadastros!$G$6:$G$90,Cadastros!$H$6:$H$90))))</f>
        <v/>
      </c>
      <c r="AO1651" s="168" t="str">
        <f t="shared" si="334"/>
        <v/>
      </c>
      <c r="AP1651" s="168" t="str">
        <f t="shared" si="335"/>
        <v/>
      </c>
      <c r="AQ1651" s="28"/>
      <c r="AR1651" s="28"/>
      <c r="AS1651" s="20" t="str">
        <f>IF(AQ1651="","",IF($F1651="Bernardino Furlan",_xlfn.XLOOKUP(AQ1651,Cadastros!$G$6:$G$90,Cadastros!$H$6:$H$90)*(1-0.18),IF($F1651="Mauro José Salanti",_xlfn.XLOOKUP(AQ1651,Cadastros!$G$6:$G$90,Cadastros!$H$6:$H$90)*(1-0.18),_xlfn.XLOOKUP(AQ1651,Cadastros!$G$6:$G$90,Cadastros!$H$6:$H$90))))</f>
        <v/>
      </c>
      <c r="AT1651" s="168" t="str">
        <f t="shared" si="336"/>
        <v/>
      </c>
      <c r="AU1651" s="168" t="str">
        <f t="shared" si="337"/>
        <v/>
      </c>
      <c r="AV1651" s="227"/>
      <c r="AW1651" s="30"/>
      <c r="AX1651" s="267"/>
      <c r="AY1651" s="267"/>
      <c r="AZ1651" s="29"/>
      <c r="BA1651" s="30"/>
      <c r="BB1651" s="23" t="str" cm="1">
        <f t="array" ref="BB1651">_xlfn.IFS(AW1651="SIM",SUM(K1651,P1651,U1651,Z1651,AE1651,AJ1651,AO1651,AT1651,AX1651,AY1651),F1651&lt;&gt;"",SUM(K1651,P1651,U1651,Z1651,AE1651,AJ1651,,AO1651,AT1651),F1651="","")</f>
        <v/>
      </c>
      <c r="BC1651" s="211" t="str" cm="1">
        <f t="array" ref="BC1651">_xlfn.IFS(E1651="","",G1651&lt;=E1651,BB1651*(1-0.03),G1651&lt;(E1651+8),BB1651,AZ1651="Boleto",BB1651*(1+0.001)^DATEDIF(E1651,G1651,"D"),AZ1651="Cheque",BB1651,AZ1651="Dinheiro","Alterar forma pgto")</f>
        <v/>
      </c>
      <c r="BD1651" s="276" t="str" cm="1">
        <f t="array" ref="BD1651">IF(F1651=0," ",IF(BC1651&lt;BB1651,(_xlfn.IFS(AW1651="SIM",SUM(L1651,Q1651,V1651,AA1651,AF1651,AK1651,AP1651,AU1651)+AX1651/_xlfn.XLOOKUP(_xlfn.XLOOKUP($F1651,Clientes!$B$4:$B$39,Clientes!$C$4:$C$39),Cadastros!$L$6:$L$12,Cadastros!$M$6:$M$12)+IF($F1651="Bernardino Furlan",AY1651/2751.92,IF($F1651="Mauro José Salanti",AY1651/2751.92,AY1651/3356)),F1651&lt;&gt;0,SUM(L1651,Q1651,V1651,AA1651,AF1651,AK1651,AP1651,AU1651)))*(1-0.03),_xlfn.IFS(AW1651="SIM",SUM(L1651,Q1651,V1651,AA1651,AF1651,AK1651,AP1651,AU1651)+AX1651/_xlfn.XLOOKUP(_xlfn.XLOOKUP($F1651,Clientes!$B$4:$B$39,Clientes!$C$4:$C$39),Cadastros!$L$6:$L$12,Cadastros!$M$6:$M$12)+IF($F1651="Bernardino Furlan",AY1651/2751.92,IF($F1651="Mauro José Salanti",AY1651/2751.92,AY1651/3356)),F1651&lt;&gt;0,SUM(L1651,Q1651,V1651,AA1651,AF1651,AK1651,AP1651,AU1651))))</f>
        <v xml:space="preserve"> </v>
      </c>
      <c r="BE1651" s="120"/>
      <c r="BF1651" s="120"/>
      <c r="BG1651" s="120"/>
    </row>
    <row r="1652" spans="1:59" s="3" customFormat="1" x14ac:dyDescent="0.3">
      <c r="A1652" s="15" t="str">
        <f t="shared" si="325"/>
        <v/>
      </c>
      <c r="B1652" s="25"/>
      <c r="C1652" s="26"/>
      <c r="D1652" s="279"/>
      <c r="E1652" s="27"/>
      <c r="F1652" s="28"/>
      <c r="G1652" s="27"/>
      <c r="H1652" s="28"/>
      <c r="I1652" s="28"/>
      <c r="J1652" s="255" t="str">
        <f>IF(H1652="","",(_xlfn.XLOOKUP(H1652,Cadastros!$D$6:$D$90,Cadastros!$E$6:$E$90))*(1-_xlfn.XLOOKUP(_xlfn.XLOOKUP($F1652,Clientes!$B$4:$B$39,Clientes!$C$4:$C$39),Cadastros!$L$6:$L$12,Cadastros!$N$6:$N$12)))</f>
        <v/>
      </c>
      <c r="K1652" s="168" t="str">
        <f t="shared" si="326"/>
        <v/>
      </c>
      <c r="L1652" s="168" t="str">
        <f>IFERROR(K1652/_xlfn.XLOOKUP(_xlfn.XLOOKUP($F1652,Clientes!$B$4:$B$39,Clientes!$C$4:$C$39),Cadastros!$L$6:$L$12,Cadastros!$M$6:$M$12)," ")</f>
        <v xml:space="preserve"> </v>
      </c>
      <c r="M1652" s="28"/>
      <c r="N1652" s="28"/>
      <c r="O1652" s="255" t="str">
        <f>IF(M1652="","",(_xlfn.XLOOKUP(M1652,Cadastros!$D$6:$D$90,Cadastros!$E$6:$E$90))*(1-_xlfn.XLOOKUP(_xlfn.XLOOKUP($F1652,Clientes!$B$4:$B$39,Clientes!$C$4:$C$39),Cadastros!$L$6:$L$12,Cadastros!$N$6:$N$12)))</f>
        <v/>
      </c>
      <c r="P1652" s="168" t="str">
        <f t="shared" si="327"/>
        <v/>
      </c>
      <c r="Q1652" s="168" t="str">
        <f>IFERROR(P1652/_xlfn.XLOOKUP(_xlfn.XLOOKUP($F1652,Clientes!$B$4:$B$39,Clientes!$C$4:$C$39),Cadastros!$L$6:$L$12,Cadastros!$M$6:$M$12)," ")</f>
        <v xml:space="preserve"> </v>
      </c>
      <c r="R1652" s="28"/>
      <c r="S1652" s="28"/>
      <c r="T1652" s="255" t="str">
        <f>IF(R1652="","",(_xlfn.XLOOKUP(R1652,Cadastros!$D$6:$D$90,Cadastros!$E$6:$E$90))*(1-_xlfn.XLOOKUP(_xlfn.XLOOKUP($F1652,Clientes!$B$4:$B$39,Clientes!$C$4:$C$39),Cadastros!$L$6:$L$12,Cadastros!$N$6:$N$12)))</f>
        <v/>
      </c>
      <c r="U1652" s="168" t="str">
        <f t="shared" si="328"/>
        <v/>
      </c>
      <c r="V1652" s="168" t="str">
        <f>IFERROR(U1652/_xlfn.XLOOKUP(_xlfn.XLOOKUP($F1652,Clientes!$B$4:$B$39,Clientes!$C$4:$C$39),Cadastros!$L$6:$L$12,Cadastros!$M$6:$M$12)," ")</f>
        <v xml:space="preserve"> </v>
      </c>
      <c r="W1652" s="28"/>
      <c r="X1652" s="28"/>
      <c r="Y1652" s="255" t="str">
        <f>IF(W1652="","",(_xlfn.XLOOKUP(W1652,Cadastros!$D$6:$D$90,Cadastros!$E$6:$E$90))*(1-_xlfn.XLOOKUP(_xlfn.XLOOKUP($F1652,Clientes!$B$4:$B$39,Clientes!$C$4:$C$39),Cadastros!$L$6:$L$12,Cadastros!$N$6:$N$12)))</f>
        <v/>
      </c>
      <c r="Z1652" s="168" t="str">
        <f t="shared" si="329"/>
        <v/>
      </c>
      <c r="AA1652" s="168" t="str">
        <f>IFERROR(Z1652/_xlfn.XLOOKUP(_xlfn.XLOOKUP($F1652,Clientes!$B$4:$B$39,Clientes!$C$4:$C$39),Cadastros!$L$6:$L$12,Cadastros!$M$6:$M$12)," ")</f>
        <v xml:space="preserve"> </v>
      </c>
      <c r="AB1652" s="28"/>
      <c r="AC1652" s="28"/>
      <c r="AD1652" s="20" t="str">
        <f>IF(AB1652="","",IF($F1652="Bernardino Furlan",_xlfn.XLOOKUP(AB1652,Cadastros!$G$6:$G$90,Cadastros!$H$6:$H$90)*(1-0.18),IF($F1652="Mauro José Salanti",_xlfn.XLOOKUP(AB1652,Cadastros!$G$6:$G$90,Cadastros!$H$6:$H$90)*(1-0.18),_xlfn.XLOOKUP(AB1652,Cadastros!$G$6:$G$90,Cadastros!$H$6:$H$90))))</f>
        <v/>
      </c>
      <c r="AE1652" s="168" t="str">
        <f t="shared" si="330"/>
        <v/>
      </c>
      <c r="AF1652" s="168" t="str">
        <f t="shared" si="331"/>
        <v/>
      </c>
      <c r="AG1652" s="28"/>
      <c r="AH1652" s="28"/>
      <c r="AI1652" s="20" t="str">
        <f>IF(AG1652="","",IF($F1652="Bernardino Furlan",_xlfn.XLOOKUP(AG1652,Cadastros!$G$6:$G$90,Cadastros!$H$6:$H$90)*(1-0.18),IF($F1652="Mauro José Salanti",_xlfn.XLOOKUP(AG1652,Cadastros!$G$6:$G$90,Cadastros!$H$6:$H$90)*(1-0.18),_xlfn.XLOOKUP(AG1652,Cadastros!$G$6:$G$90,Cadastros!$H$6:$H$90))))</f>
        <v/>
      </c>
      <c r="AJ1652" s="168" t="str">
        <f t="shared" si="332"/>
        <v/>
      </c>
      <c r="AK1652" s="168" t="str">
        <f t="shared" si="333"/>
        <v/>
      </c>
      <c r="AL1652" s="28"/>
      <c r="AM1652" s="28"/>
      <c r="AN1652" s="20" t="str">
        <f>IF(AL1652="","",IF($F1652="Bernardino Furlan",_xlfn.XLOOKUP(AL1652,Cadastros!$G$6:$G$90,Cadastros!$H$6:$H$90)*(1-0.18),IF($F1652="Mauro José Salanti",_xlfn.XLOOKUP(AL1652,Cadastros!$G$6:$G$90,Cadastros!$H$6:$H$90)*(1-0.18),_xlfn.XLOOKUP(AL1652,Cadastros!$G$6:$G$90,Cadastros!$H$6:$H$90))))</f>
        <v/>
      </c>
      <c r="AO1652" s="168" t="str">
        <f t="shared" si="334"/>
        <v/>
      </c>
      <c r="AP1652" s="168" t="str">
        <f t="shared" si="335"/>
        <v/>
      </c>
      <c r="AQ1652" s="28"/>
      <c r="AR1652" s="28"/>
      <c r="AS1652" s="20" t="str">
        <f>IF(AQ1652="","",IF($F1652="Bernardino Furlan",_xlfn.XLOOKUP(AQ1652,Cadastros!$G$6:$G$90,Cadastros!$H$6:$H$90)*(1-0.18),IF($F1652="Mauro José Salanti",_xlfn.XLOOKUP(AQ1652,Cadastros!$G$6:$G$90,Cadastros!$H$6:$H$90)*(1-0.18),_xlfn.XLOOKUP(AQ1652,Cadastros!$G$6:$G$90,Cadastros!$H$6:$H$90))))</f>
        <v/>
      </c>
      <c r="AT1652" s="168" t="str">
        <f t="shared" si="336"/>
        <v/>
      </c>
      <c r="AU1652" s="168" t="str">
        <f t="shared" si="337"/>
        <v/>
      </c>
      <c r="AV1652" s="227"/>
      <c r="AW1652" s="30"/>
      <c r="AX1652" s="267"/>
      <c r="AY1652" s="267"/>
      <c r="AZ1652" s="29"/>
      <c r="BA1652" s="30"/>
      <c r="BB1652" s="23" t="str" cm="1">
        <f t="array" ref="BB1652">_xlfn.IFS(AW1652="SIM",SUM(K1652,P1652,U1652,Z1652,AE1652,AJ1652,AO1652,AT1652,AX1652,AY1652),F1652&lt;&gt;"",SUM(K1652,P1652,U1652,Z1652,AE1652,AJ1652,,AO1652,AT1652),F1652="","")</f>
        <v/>
      </c>
      <c r="BC1652" s="211" t="str" cm="1">
        <f t="array" ref="BC1652">_xlfn.IFS(E1652="","",G1652&lt;=E1652,BB1652*(1-0.03),G1652&lt;(E1652+8),BB1652,AZ1652="Boleto",BB1652*(1+0.001)^DATEDIF(E1652,G1652,"D"),AZ1652="Cheque",BB1652,AZ1652="Dinheiro","Alterar forma pgto")</f>
        <v/>
      </c>
      <c r="BD1652" s="276" t="str" cm="1">
        <f t="array" ref="BD1652">IF(F1652=0," ",IF(BC1652&lt;BB1652,(_xlfn.IFS(AW1652="SIM",SUM(L1652,Q1652,V1652,AA1652,AF1652,AK1652,AP1652,AU1652)+AX1652/_xlfn.XLOOKUP(_xlfn.XLOOKUP($F1652,Clientes!$B$4:$B$39,Clientes!$C$4:$C$39),Cadastros!$L$6:$L$12,Cadastros!$M$6:$M$12)+IF($F1652="Bernardino Furlan",AY1652/2751.92,IF($F1652="Mauro José Salanti",AY1652/2751.92,AY1652/3356)),F1652&lt;&gt;0,SUM(L1652,Q1652,V1652,AA1652,AF1652,AK1652,AP1652,AU1652)))*(1-0.03),_xlfn.IFS(AW1652="SIM",SUM(L1652,Q1652,V1652,AA1652,AF1652,AK1652,AP1652,AU1652)+AX1652/_xlfn.XLOOKUP(_xlfn.XLOOKUP($F1652,Clientes!$B$4:$B$39,Clientes!$C$4:$C$39),Cadastros!$L$6:$L$12,Cadastros!$M$6:$M$12)+IF($F1652="Bernardino Furlan",AY1652/2751.92,IF($F1652="Mauro José Salanti",AY1652/2751.92,AY1652/3356)),F1652&lt;&gt;0,SUM(L1652,Q1652,V1652,AA1652,AF1652,AK1652,AP1652,AU1652))))</f>
        <v xml:space="preserve"> </v>
      </c>
      <c r="BE1652" s="120"/>
      <c r="BF1652" s="120"/>
      <c r="BG1652" s="120"/>
    </row>
    <row r="1653" spans="1:59" s="3" customFormat="1" x14ac:dyDescent="0.3">
      <c r="A1653" s="15" t="str">
        <f t="shared" si="325"/>
        <v/>
      </c>
      <c r="B1653" s="25"/>
      <c r="C1653" s="26"/>
      <c r="D1653" s="279"/>
      <c r="E1653" s="27"/>
      <c r="F1653" s="28"/>
      <c r="G1653" s="27"/>
      <c r="H1653" s="28"/>
      <c r="I1653" s="28"/>
      <c r="J1653" s="255" t="str">
        <f>IF(H1653="","",(_xlfn.XLOOKUP(H1653,Cadastros!$D$6:$D$90,Cadastros!$E$6:$E$90))*(1-_xlfn.XLOOKUP(_xlfn.XLOOKUP($F1653,Clientes!$B$4:$B$39,Clientes!$C$4:$C$39),Cadastros!$L$6:$L$12,Cadastros!$N$6:$N$12)))</f>
        <v/>
      </c>
      <c r="K1653" s="168" t="str">
        <f t="shared" si="326"/>
        <v/>
      </c>
      <c r="L1653" s="168" t="str">
        <f>IFERROR(K1653/_xlfn.XLOOKUP(_xlfn.XLOOKUP($F1653,Clientes!$B$4:$B$39,Clientes!$C$4:$C$39),Cadastros!$L$6:$L$12,Cadastros!$M$6:$M$12)," ")</f>
        <v xml:space="preserve"> </v>
      </c>
      <c r="M1653" s="28"/>
      <c r="N1653" s="28"/>
      <c r="O1653" s="255" t="str">
        <f>IF(M1653="","",(_xlfn.XLOOKUP(M1653,Cadastros!$D$6:$D$90,Cadastros!$E$6:$E$90))*(1-_xlfn.XLOOKUP(_xlfn.XLOOKUP($F1653,Clientes!$B$4:$B$39,Clientes!$C$4:$C$39),Cadastros!$L$6:$L$12,Cadastros!$N$6:$N$12)))</f>
        <v/>
      </c>
      <c r="P1653" s="168" t="str">
        <f t="shared" si="327"/>
        <v/>
      </c>
      <c r="Q1653" s="168" t="str">
        <f>IFERROR(P1653/_xlfn.XLOOKUP(_xlfn.XLOOKUP($F1653,Clientes!$B$4:$B$39,Clientes!$C$4:$C$39),Cadastros!$L$6:$L$12,Cadastros!$M$6:$M$12)," ")</f>
        <v xml:space="preserve"> </v>
      </c>
      <c r="R1653" s="28"/>
      <c r="S1653" s="28"/>
      <c r="T1653" s="255" t="str">
        <f>IF(R1653="","",(_xlfn.XLOOKUP(R1653,Cadastros!$D$6:$D$90,Cadastros!$E$6:$E$90))*(1-_xlfn.XLOOKUP(_xlfn.XLOOKUP($F1653,Clientes!$B$4:$B$39,Clientes!$C$4:$C$39),Cadastros!$L$6:$L$12,Cadastros!$N$6:$N$12)))</f>
        <v/>
      </c>
      <c r="U1653" s="168" t="str">
        <f t="shared" si="328"/>
        <v/>
      </c>
      <c r="V1653" s="168" t="str">
        <f>IFERROR(U1653/_xlfn.XLOOKUP(_xlfn.XLOOKUP($F1653,Clientes!$B$4:$B$39,Clientes!$C$4:$C$39),Cadastros!$L$6:$L$12,Cadastros!$M$6:$M$12)," ")</f>
        <v xml:space="preserve"> </v>
      </c>
      <c r="W1653" s="28"/>
      <c r="X1653" s="28"/>
      <c r="Y1653" s="255" t="str">
        <f>IF(W1653="","",(_xlfn.XLOOKUP(W1653,Cadastros!$D$6:$D$90,Cadastros!$E$6:$E$90))*(1-_xlfn.XLOOKUP(_xlfn.XLOOKUP($F1653,Clientes!$B$4:$B$39,Clientes!$C$4:$C$39),Cadastros!$L$6:$L$12,Cadastros!$N$6:$N$12)))</f>
        <v/>
      </c>
      <c r="Z1653" s="168" t="str">
        <f t="shared" si="329"/>
        <v/>
      </c>
      <c r="AA1653" s="168" t="str">
        <f>IFERROR(Z1653/_xlfn.XLOOKUP(_xlfn.XLOOKUP($F1653,Clientes!$B$4:$B$39,Clientes!$C$4:$C$39),Cadastros!$L$6:$L$12,Cadastros!$M$6:$M$12)," ")</f>
        <v xml:space="preserve"> </v>
      </c>
      <c r="AB1653" s="28"/>
      <c r="AC1653" s="28"/>
      <c r="AD1653" s="20" t="str">
        <f>IF(AB1653="","",IF($F1653="Bernardino Furlan",_xlfn.XLOOKUP(AB1653,Cadastros!$G$6:$G$90,Cadastros!$H$6:$H$90)*(1-0.18),IF($F1653="Mauro José Salanti",_xlfn.XLOOKUP(AB1653,Cadastros!$G$6:$G$90,Cadastros!$H$6:$H$90)*(1-0.18),_xlfn.XLOOKUP(AB1653,Cadastros!$G$6:$G$90,Cadastros!$H$6:$H$90))))</f>
        <v/>
      </c>
      <c r="AE1653" s="168" t="str">
        <f t="shared" si="330"/>
        <v/>
      </c>
      <c r="AF1653" s="168" t="str">
        <f t="shared" si="331"/>
        <v/>
      </c>
      <c r="AG1653" s="28"/>
      <c r="AH1653" s="28"/>
      <c r="AI1653" s="20" t="str">
        <f>IF(AG1653="","",IF($F1653="Bernardino Furlan",_xlfn.XLOOKUP(AG1653,Cadastros!$G$6:$G$90,Cadastros!$H$6:$H$90)*(1-0.18),IF($F1653="Mauro José Salanti",_xlfn.XLOOKUP(AG1653,Cadastros!$G$6:$G$90,Cadastros!$H$6:$H$90)*(1-0.18),_xlfn.XLOOKUP(AG1653,Cadastros!$G$6:$G$90,Cadastros!$H$6:$H$90))))</f>
        <v/>
      </c>
      <c r="AJ1653" s="168" t="str">
        <f t="shared" si="332"/>
        <v/>
      </c>
      <c r="AK1653" s="168" t="str">
        <f t="shared" si="333"/>
        <v/>
      </c>
      <c r="AL1653" s="28"/>
      <c r="AM1653" s="28"/>
      <c r="AN1653" s="20" t="str">
        <f>IF(AL1653="","",IF($F1653="Bernardino Furlan",_xlfn.XLOOKUP(AL1653,Cadastros!$G$6:$G$90,Cadastros!$H$6:$H$90)*(1-0.18),IF($F1653="Mauro José Salanti",_xlfn.XLOOKUP(AL1653,Cadastros!$G$6:$G$90,Cadastros!$H$6:$H$90)*(1-0.18),_xlfn.XLOOKUP(AL1653,Cadastros!$G$6:$G$90,Cadastros!$H$6:$H$90))))</f>
        <v/>
      </c>
      <c r="AO1653" s="168" t="str">
        <f t="shared" si="334"/>
        <v/>
      </c>
      <c r="AP1653" s="168" t="str">
        <f t="shared" si="335"/>
        <v/>
      </c>
      <c r="AQ1653" s="28"/>
      <c r="AR1653" s="28"/>
      <c r="AS1653" s="20" t="str">
        <f>IF(AQ1653="","",IF($F1653="Bernardino Furlan",_xlfn.XLOOKUP(AQ1653,Cadastros!$G$6:$G$90,Cadastros!$H$6:$H$90)*(1-0.18),IF($F1653="Mauro José Salanti",_xlfn.XLOOKUP(AQ1653,Cadastros!$G$6:$G$90,Cadastros!$H$6:$H$90)*(1-0.18),_xlfn.XLOOKUP(AQ1653,Cadastros!$G$6:$G$90,Cadastros!$H$6:$H$90))))</f>
        <v/>
      </c>
      <c r="AT1653" s="168" t="str">
        <f t="shared" si="336"/>
        <v/>
      </c>
      <c r="AU1653" s="168" t="str">
        <f t="shared" si="337"/>
        <v/>
      </c>
      <c r="AV1653" s="227"/>
      <c r="AW1653" s="30"/>
      <c r="AX1653" s="267"/>
      <c r="AY1653" s="267"/>
      <c r="AZ1653" s="29"/>
      <c r="BA1653" s="30"/>
      <c r="BB1653" s="23" t="str" cm="1">
        <f t="array" ref="BB1653">_xlfn.IFS(AW1653="SIM",SUM(K1653,P1653,U1653,Z1653,AE1653,AJ1653,AO1653,AT1653,AX1653,AY1653),F1653&lt;&gt;"",SUM(K1653,P1653,U1653,Z1653,AE1653,AJ1653,,AO1653,AT1653),F1653="","")</f>
        <v/>
      </c>
      <c r="BC1653" s="211" t="str" cm="1">
        <f t="array" ref="BC1653">_xlfn.IFS(E1653="","",G1653&lt;=E1653,BB1653*(1-0.03),G1653&lt;(E1653+8),BB1653,AZ1653="Boleto",BB1653*(1+0.001)^DATEDIF(E1653,G1653,"D"),AZ1653="Cheque",BB1653,AZ1653="Dinheiro","Alterar forma pgto")</f>
        <v/>
      </c>
      <c r="BD1653" s="276" t="str" cm="1">
        <f t="array" ref="BD1653">IF(F1653=0," ",IF(BC1653&lt;BB1653,(_xlfn.IFS(AW1653="SIM",SUM(L1653,Q1653,V1653,AA1653,AF1653,AK1653,AP1653,AU1653)+AX1653/_xlfn.XLOOKUP(_xlfn.XLOOKUP($F1653,Clientes!$B$4:$B$39,Clientes!$C$4:$C$39),Cadastros!$L$6:$L$12,Cadastros!$M$6:$M$12)+IF($F1653="Bernardino Furlan",AY1653/2751.92,IF($F1653="Mauro José Salanti",AY1653/2751.92,AY1653/3356)),F1653&lt;&gt;0,SUM(L1653,Q1653,V1653,AA1653,AF1653,AK1653,AP1653,AU1653)))*(1-0.03),_xlfn.IFS(AW1653="SIM",SUM(L1653,Q1653,V1653,AA1653,AF1653,AK1653,AP1653,AU1653)+AX1653/_xlfn.XLOOKUP(_xlfn.XLOOKUP($F1653,Clientes!$B$4:$B$39,Clientes!$C$4:$C$39),Cadastros!$L$6:$L$12,Cadastros!$M$6:$M$12)+IF($F1653="Bernardino Furlan",AY1653/2751.92,IF($F1653="Mauro José Salanti",AY1653/2751.92,AY1653/3356)),F1653&lt;&gt;0,SUM(L1653,Q1653,V1653,AA1653,AF1653,AK1653,AP1653,AU1653))))</f>
        <v xml:space="preserve"> </v>
      </c>
      <c r="BE1653" s="120"/>
      <c r="BF1653" s="120"/>
      <c r="BG1653" s="120"/>
    </row>
    <row r="1654" spans="1:59" s="3" customFormat="1" x14ac:dyDescent="0.3">
      <c r="A1654" s="15" t="str">
        <f t="shared" si="325"/>
        <v/>
      </c>
      <c r="B1654" s="25"/>
      <c r="C1654" s="26"/>
      <c r="D1654" s="279"/>
      <c r="E1654" s="27"/>
      <c r="F1654" s="28"/>
      <c r="G1654" s="27"/>
      <c r="H1654" s="28"/>
      <c r="I1654" s="28"/>
      <c r="J1654" s="255" t="str">
        <f>IF(H1654="","",(_xlfn.XLOOKUP(H1654,Cadastros!$D$6:$D$90,Cadastros!$E$6:$E$90))*(1-_xlfn.XLOOKUP(_xlfn.XLOOKUP($F1654,Clientes!$B$4:$B$39,Clientes!$C$4:$C$39),Cadastros!$L$6:$L$12,Cadastros!$N$6:$N$12)))</f>
        <v/>
      </c>
      <c r="K1654" s="168" t="str">
        <f t="shared" si="326"/>
        <v/>
      </c>
      <c r="L1654" s="168" t="str">
        <f>IFERROR(K1654/_xlfn.XLOOKUP(_xlfn.XLOOKUP($F1654,Clientes!$B$4:$B$39,Clientes!$C$4:$C$39),Cadastros!$L$6:$L$12,Cadastros!$M$6:$M$12)," ")</f>
        <v xml:space="preserve"> </v>
      </c>
      <c r="M1654" s="28"/>
      <c r="N1654" s="28"/>
      <c r="O1654" s="255" t="str">
        <f>IF(M1654="","",(_xlfn.XLOOKUP(M1654,Cadastros!$D$6:$D$90,Cadastros!$E$6:$E$90))*(1-_xlfn.XLOOKUP(_xlfn.XLOOKUP($F1654,Clientes!$B$4:$B$39,Clientes!$C$4:$C$39),Cadastros!$L$6:$L$12,Cadastros!$N$6:$N$12)))</f>
        <v/>
      </c>
      <c r="P1654" s="168" t="str">
        <f t="shared" si="327"/>
        <v/>
      </c>
      <c r="Q1654" s="168" t="str">
        <f>IFERROR(P1654/_xlfn.XLOOKUP(_xlfn.XLOOKUP($F1654,Clientes!$B$4:$B$39,Clientes!$C$4:$C$39),Cadastros!$L$6:$L$12,Cadastros!$M$6:$M$12)," ")</f>
        <v xml:space="preserve"> </v>
      </c>
      <c r="R1654" s="28"/>
      <c r="S1654" s="28"/>
      <c r="T1654" s="255" t="str">
        <f>IF(R1654="","",(_xlfn.XLOOKUP(R1654,Cadastros!$D$6:$D$90,Cadastros!$E$6:$E$90))*(1-_xlfn.XLOOKUP(_xlfn.XLOOKUP($F1654,Clientes!$B$4:$B$39,Clientes!$C$4:$C$39),Cadastros!$L$6:$L$12,Cadastros!$N$6:$N$12)))</f>
        <v/>
      </c>
      <c r="U1654" s="168" t="str">
        <f t="shared" si="328"/>
        <v/>
      </c>
      <c r="V1654" s="168" t="str">
        <f>IFERROR(U1654/_xlfn.XLOOKUP(_xlfn.XLOOKUP($F1654,Clientes!$B$4:$B$39,Clientes!$C$4:$C$39),Cadastros!$L$6:$L$12,Cadastros!$M$6:$M$12)," ")</f>
        <v xml:space="preserve"> </v>
      </c>
      <c r="W1654" s="28"/>
      <c r="X1654" s="28"/>
      <c r="Y1654" s="255" t="str">
        <f>IF(W1654="","",(_xlfn.XLOOKUP(W1654,Cadastros!$D$6:$D$90,Cadastros!$E$6:$E$90))*(1-_xlfn.XLOOKUP(_xlfn.XLOOKUP($F1654,Clientes!$B$4:$B$39,Clientes!$C$4:$C$39),Cadastros!$L$6:$L$12,Cadastros!$N$6:$N$12)))</f>
        <v/>
      </c>
      <c r="Z1654" s="168" t="str">
        <f t="shared" si="329"/>
        <v/>
      </c>
      <c r="AA1654" s="168" t="str">
        <f>IFERROR(Z1654/_xlfn.XLOOKUP(_xlfn.XLOOKUP($F1654,Clientes!$B$4:$B$39,Clientes!$C$4:$C$39),Cadastros!$L$6:$L$12,Cadastros!$M$6:$M$12)," ")</f>
        <v xml:space="preserve"> </v>
      </c>
      <c r="AB1654" s="28"/>
      <c r="AC1654" s="28"/>
      <c r="AD1654" s="20" t="str">
        <f>IF(AB1654="","",IF($F1654="Bernardino Furlan",_xlfn.XLOOKUP(AB1654,Cadastros!$G$6:$G$90,Cadastros!$H$6:$H$90)*(1-0.18),IF($F1654="Mauro José Salanti",_xlfn.XLOOKUP(AB1654,Cadastros!$G$6:$G$90,Cadastros!$H$6:$H$90)*(1-0.18),_xlfn.XLOOKUP(AB1654,Cadastros!$G$6:$G$90,Cadastros!$H$6:$H$90))))</f>
        <v/>
      </c>
      <c r="AE1654" s="168" t="str">
        <f t="shared" si="330"/>
        <v/>
      </c>
      <c r="AF1654" s="168" t="str">
        <f t="shared" si="331"/>
        <v/>
      </c>
      <c r="AG1654" s="28"/>
      <c r="AH1654" s="28"/>
      <c r="AI1654" s="20" t="str">
        <f>IF(AG1654="","",IF($F1654="Bernardino Furlan",_xlfn.XLOOKUP(AG1654,Cadastros!$G$6:$G$90,Cadastros!$H$6:$H$90)*(1-0.18),IF($F1654="Mauro José Salanti",_xlfn.XLOOKUP(AG1654,Cadastros!$G$6:$G$90,Cadastros!$H$6:$H$90)*(1-0.18),_xlfn.XLOOKUP(AG1654,Cadastros!$G$6:$G$90,Cadastros!$H$6:$H$90))))</f>
        <v/>
      </c>
      <c r="AJ1654" s="168" t="str">
        <f t="shared" si="332"/>
        <v/>
      </c>
      <c r="AK1654" s="168" t="str">
        <f t="shared" si="333"/>
        <v/>
      </c>
      <c r="AL1654" s="28"/>
      <c r="AM1654" s="28"/>
      <c r="AN1654" s="20" t="str">
        <f>IF(AL1654="","",IF($F1654="Bernardino Furlan",_xlfn.XLOOKUP(AL1654,Cadastros!$G$6:$G$90,Cadastros!$H$6:$H$90)*(1-0.18),IF($F1654="Mauro José Salanti",_xlfn.XLOOKUP(AL1654,Cadastros!$G$6:$G$90,Cadastros!$H$6:$H$90)*(1-0.18),_xlfn.XLOOKUP(AL1654,Cadastros!$G$6:$G$90,Cadastros!$H$6:$H$90))))</f>
        <v/>
      </c>
      <c r="AO1654" s="168" t="str">
        <f t="shared" si="334"/>
        <v/>
      </c>
      <c r="AP1654" s="168" t="str">
        <f t="shared" si="335"/>
        <v/>
      </c>
      <c r="AQ1654" s="28"/>
      <c r="AR1654" s="28"/>
      <c r="AS1654" s="20" t="str">
        <f>IF(AQ1654="","",IF($F1654="Bernardino Furlan",_xlfn.XLOOKUP(AQ1654,Cadastros!$G$6:$G$90,Cadastros!$H$6:$H$90)*(1-0.18),IF($F1654="Mauro José Salanti",_xlfn.XLOOKUP(AQ1654,Cadastros!$G$6:$G$90,Cadastros!$H$6:$H$90)*(1-0.18),_xlfn.XLOOKUP(AQ1654,Cadastros!$G$6:$G$90,Cadastros!$H$6:$H$90))))</f>
        <v/>
      </c>
      <c r="AT1654" s="168" t="str">
        <f t="shared" si="336"/>
        <v/>
      </c>
      <c r="AU1654" s="168" t="str">
        <f t="shared" si="337"/>
        <v/>
      </c>
      <c r="AV1654" s="227"/>
      <c r="AW1654" s="30"/>
      <c r="AX1654" s="267"/>
      <c r="AY1654" s="267"/>
      <c r="AZ1654" s="29"/>
      <c r="BA1654" s="30"/>
      <c r="BB1654" s="23" t="str" cm="1">
        <f t="array" ref="BB1654">_xlfn.IFS(AW1654="SIM",SUM(K1654,P1654,U1654,Z1654,AE1654,AJ1654,AO1654,AT1654,AX1654,AY1654),F1654&lt;&gt;"",SUM(K1654,P1654,U1654,Z1654,AE1654,AJ1654,,AO1654,AT1654),F1654="","")</f>
        <v/>
      </c>
      <c r="BC1654" s="211" t="str" cm="1">
        <f t="array" ref="BC1654">_xlfn.IFS(E1654="","",G1654&lt;=E1654,BB1654*(1-0.03),G1654&lt;(E1654+8),BB1654,AZ1654="Boleto",BB1654*(1+0.001)^DATEDIF(E1654,G1654,"D"),AZ1654="Cheque",BB1654,AZ1654="Dinheiro","Alterar forma pgto")</f>
        <v/>
      </c>
      <c r="BD1654" s="276" t="str" cm="1">
        <f t="array" ref="BD1654">IF(F1654=0," ",IF(BC1654&lt;BB1654,(_xlfn.IFS(AW1654="SIM",SUM(L1654,Q1654,V1654,AA1654,AF1654,AK1654,AP1654,AU1654)+AX1654/_xlfn.XLOOKUP(_xlfn.XLOOKUP($F1654,Clientes!$B$4:$B$39,Clientes!$C$4:$C$39),Cadastros!$L$6:$L$12,Cadastros!$M$6:$M$12)+IF($F1654="Bernardino Furlan",AY1654/2751.92,IF($F1654="Mauro José Salanti",AY1654/2751.92,AY1654/3356)),F1654&lt;&gt;0,SUM(L1654,Q1654,V1654,AA1654,AF1654,AK1654,AP1654,AU1654)))*(1-0.03),_xlfn.IFS(AW1654="SIM",SUM(L1654,Q1654,V1654,AA1654,AF1654,AK1654,AP1654,AU1654)+AX1654/_xlfn.XLOOKUP(_xlfn.XLOOKUP($F1654,Clientes!$B$4:$B$39,Clientes!$C$4:$C$39),Cadastros!$L$6:$L$12,Cadastros!$M$6:$M$12)+IF($F1654="Bernardino Furlan",AY1654/2751.92,IF($F1654="Mauro José Salanti",AY1654/2751.92,AY1654/3356)),F1654&lt;&gt;0,SUM(L1654,Q1654,V1654,AA1654,AF1654,AK1654,AP1654,AU1654))))</f>
        <v xml:space="preserve"> </v>
      </c>
      <c r="BE1654" s="120"/>
      <c r="BF1654" s="120"/>
      <c r="BG1654" s="120"/>
    </row>
    <row r="1655" spans="1:59" s="3" customFormat="1" x14ac:dyDescent="0.3">
      <c r="A1655" s="15" t="str">
        <f t="shared" si="325"/>
        <v/>
      </c>
      <c r="B1655" s="25"/>
      <c r="C1655" s="26"/>
      <c r="D1655" s="279"/>
      <c r="E1655" s="27"/>
      <c r="F1655" s="28"/>
      <c r="G1655" s="27"/>
      <c r="H1655" s="28"/>
      <c r="I1655" s="28"/>
      <c r="J1655" s="255" t="str">
        <f>IF(H1655="","",(_xlfn.XLOOKUP(H1655,Cadastros!$D$6:$D$90,Cadastros!$E$6:$E$90))*(1-_xlfn.XLOOKUP(_xlfn.XLOOKUP($F1655,Clientes!$B$4:$B$39,Clientes!$C$4:$C$39),Cadastros!$L$6:$L$12,Cadastros!$N$6:$N$12)))</f>
        <v/>
      </c>
      <c r="K1655" s="168" t="str">
        <f t="shared" si="326"/>
        <v/>
      </c>
      <c r="L1655" s="168" t="str">
        <f>IFERROR(K1655/_xlfn.XLOOKUP(_xlfn.XLOOKUP($F1655,Clientes!$B$4:$B$39,Clientes!$C$4:$C$39),Cadastros!$L$6:$L$12,Cadastros!$M$6:$M$12)," ")</f>
        <v xml:space="preserve"> </v>
      </c>
      <c r="M1655" s="28"/>
      <c r="N1655" s="28"/>
      <c r="O1655" s="255" t="str">
        <f>IF(M1655="","",(_xlfn.XLOOKUP(M1655,Cadastros!$D$6:$D$90,Cadastros!$E$6:$E$90))*(1-_xlfn.XLOOKUP(_xlfn.XLOOKUP($F1655,Clientes!$B$4:$B$39,Clientes!$C$4:$C$39),Cadastros!$L$6:$L$12,Cadastros!$N$6:$N$12)))</f>
        <v/>
      </c>
      <c r="P1655" s="168" t="str">
        <f t="shared" si="327"/>
        <v/>
      </c>
      <c r="Q1655" s="168" t="str">
        <f>IFERROR(P1655/_xlfn.XLOOKUP(_xlfn.XLOOKUP($F1655,Clientes!$B$4:$B$39,Clientes!$C$4:$C$39),Cadastros!$L$6:$L$12,Cadastros!$M$6:$M$12)," ")</f>
        <v xml:space="preserve"> </v>
      </c>
      <c r="R1655" s="28"/>
      <c r="S1655" s="28"/>
      <c r="T1655" s="255" t="str">
        <f>IF(R1655="","",(_xlfn.XLOOKUP(R1655,Cadastros!$D$6:$D$90,Cadastros!$E$6:$E$90))*(1-_xlfn.XLOOKUP(_xlfn.XLOOKUP($F1655,Clientes!$B$4:$B$39,Clientes!$C$4:$C$39),Cadastros!$L$6:$L$12,Cadastros!$N$6:$N$12)))</f>
        <v/>
      </c>
      <c r="U1655" s="168" t="str">
        <f t="shared" si="328"/>
        <v/>
      </c>
      <c r="V1655" s="168" t="str">
        <f>IFERROR(U1655/_xlfn.XLOOKUP(_xlfn.XLOOKUP($F1655,Clientes!$B$4:$B$39,Clientes!$C$4:$C$39),Cadastros!$L$6:$L$12,Cadastros!$M$6:$M$12)," ")</f>
        <v xml:space="preserve"> </v>
      </c>
      <c r="W1655" s="28"/>
      <c r="X1655" s="28"/>
      <c r="Y1655" s="255" t="str">
        <f>IF(W1655="","",(_xlfn.XLOOKUP(W1655,Cadastros!$D$6:$D$90,Cadastros!$E$6:$E$90))*(1-_xlfn.XLOOKUP(_xlfn.XLOOKUP($F1655,Clientes!$B$4:$B$39,Clientes!$C$4:$C$39),Cadastros!$L$6:$L$12,Cadastros!$N$6:$N$12)))</f>
        <v/>
      </c>
      <c r="Z1655" s="168" t="str">
        <f t="shared" si="329"/>
        <v/>
      </c>
      <c r="AA1655" s="168" t="str">
        <f>IFERROR(Z1655/_xlfn.XLOOKUP(_xlfn.XLOOKUP($F1655,Clientes!$B$4:$B$39,Clientes!$C$4:$C$39),Cadastros!$L$6:$L$12,Cadastros!$M$6:$M$12)," ")</f>
        <v xml:space="preserve"> </v>
      </c>
      <c r="AB1655" s="28"/>
      <c r="AC1655" s="28"/>
      <c r="AD1655" s="20" t="str">
        <f>IF(AB1655="","",IF($F1655="Bernardino Furlan",_xlfn.XLOOKUP(AB1655,Cadastros!$G$6:$G$90,Cadastros!$H$6:$H$90)*(1-0.18),IF($F1655="Mauro José Salanti",_xlfn.XLOOKUP(AB1655,Cadastros!$G$6:$G$90,Cadastros!$H$6:$H$90)*(1-0.18),_xlfn.XLOOKUP(AB1655,Cadastros!$G$6:$G$90,Cadastros!$H$6:$H$90))))</f>
        <v/>
      </c>
      <c r="AE1655" s="168" t="str">
        <f t="shared" si="330"/>
        <v/>
      </c>
      <c r="AF1655" s="168" t="str">
        <f t="shared" si="331"/>
        <v/>
      </c>
      <c r="AG1655" s="28"/>
      <c r="AH1655" s="28"/>
      <c r="AI1655" s="20" t="str">
        <f>IF(AG1655="","",IF($F1655="Bernardino Furlan",_xlfn.XLOOKUP(AG1655,Cadastros!$G$6:$G$90,Cadastros!$H$6:$H$90)*(1-0.18),IF($F1655="Mauro José Salanti",_xlfn.XLOOKUP(AG1655,Cadastros!$G$6:$G$90,Cadastros!$H$6:$H$90)*(1-0.18),_xlfn.XLOOKUP(AG1655,Cadastros!$G$6:$G$90,Cadastros!$H$6:$H$90))))</f>
        <v/>
      </c>
      <c r="AJ1655" s="168" t="str">
        <f t="shared" si="332"/>
        <v/>
      </c>
      <c r="AK1655" s="168" t="str">
        <f t="shared" si="333"/>
        <v/>
      </c>
      <c r="AL1655" s="28"/>
      <c r="AM1655" s="28"/>
      <c r="AN1655" s="20" t="str">
        <f>IF(AL1655="","",IF($F1655="Bernardino Furlan",_xlfn.XLOOKUP(AL1655,Cadastros!$G$6:$G$90,Cadastros!$H$6:$H$90)*(1-0.18),IF($F1655="Mauro José Salanti",_xlfn.XLOOKUP(AL1655,Cadastros!$G$6:$G$90,Cadastros!$H$6:$H$90)*(1-0.18),_xlfn.XLOOKUP(AL1655,Cadastros!$G$6:$G$90,Cadastros!$H$6:$H$90))))</f>
        <v/>
      </c>
      <c r="AO1655" s="168" t="str">
        <f t="shared" si="334"/>
        <v/>
      </c>
      <c r="AP1655" s="168" t="str">
        <f t="shared" si="335"/>
        <v/>
      </c>
      <c r="AQ1655" s="28"/>
      <c r="AR1655" s="28"/>
      <c r="AS1655" s="20" t="str">
        <f>IF(AQ1655="","",IF($F1655="Bernardino Furlan",_xlfn.XLOOKUP(AQ1655,Cadastros!$G$6:$G$90,Cadastros!$H$6:$H$90)*(1-0.18),IF($F1655="Mauro José Salanti",_xlfn.XLOOKUP(AQ1655,Cadastros!$G$6:$G$90,Cadastros!$H$6:$H$90)*(1-0.18),_xlfn.XLOOKUP(AQ1655,Cadastros!$G$6:$G$90,Cadastros!$H$6:$H$90))))</f>
        <v/>
      </c>
      <c r="AT1655" s="168" t="str">
        <f t="shared" si="336"/>
        <v/>
      </c>
      <c r="AU1655" s="168" t="str">
        <f t="shared" si="337"/>
        <v/>
      </c>
      <c r="AV1655" s="227"/>
      <c r="AW1655" s="30"/>
      <c r="AX1655" s="267"/>
      <c r="AY1655" s="267"/>
      <c r="AZ1655" s="29"/>
      <c r="BA1655" s="30"/>
      <c r="BB1655" s="23" t="str" cm="1">
        <f t="array" ref="BB1655">_xlfn.IFS(AW1655="SIM",SUM(K1655,P1655,U1655,Z1655,AE1655,AJ1655,AO1655,AT1655,AX1655,AY1655),F1655&lt;&gt;"",SUM(K1655,P1655,U1655,Z1655,AE1655,AJ1655,,AO1655,AT1655),F1655="","")</f>
        <v/>
      </c>
      <c r="BC1655" s="211" t="str" cm="1">
        <f t="array" ref="BC1655">_xlfn.IFS(E1655="","",G1655&lt;=E1655,BB1655*(1-0.03),G1655&lt;(E1655+8),BB1655,AZ1655="Boleto",BB1655*(1+0.001)^DATEDIF(E1655,G1655,"D"),AZ1655="Cheque",BB1655,AZ1655="Dinheiro","Alterar forma pgto")</f>
        <v/>
      </c>
      <c r="BD1655" s="276" t="str" cm="1">
        <f t="array" ref="BD1655">IF(F1655=0," ",IF(BC1655&lt;BB1655,(_xlfn.IFS(AW1655="SIM",SUM(L1655,Q1655,V1655,AA1655,AF1655,AK1655,AP1655,AU1655)+AX1655/_xlfn.XLOOKUP(_xlfn.XLOOKUP($F1655,Clientes!$B$4:$B$39,Clientes!$C$4:$C$39),Cadastros!$L$6:$L$12,Cadastros!$M$6:$M$12)+IF($F1655="Bernardino Furlan",AY1655/2751.92,IF($F1655="Mauro José Salanti",AY1655/2751.92,AY1655/3356)),F1655&lt;&gt;0,SUM(L1655,Q1655,V1655,AA1655,AF1655,AK1655,AP1655,AU1655)))*(1-0.03),_xlfn.IFS(AW1655="SIM",SUM(L1655,Q1655,V1655,AA1655,AF1655,AK1655,AP1655,AU1655)+AX1655/_xlfn.XLOOKUP(_xlfn.XLOOKUP($F1655,Clientes!$B$4:$B$39,Clientes!$C$4:$C$39),Cadastros!$L$6:$L$12,Cadastros!$M$6:$M$12)+IF($F1655="Bernardino Furlan",AY1655/2751.92,IF($F1655="Mauro José Salanti",AY1655/2751.92,AY1655/3356)),F1655&lt;&gt;0,SUM(L1655,Q1655,V1655,AA1655,AF1655,AK1655,AP1655,AU1655))))</f>
        <v xml:space="preserve"> </v>
      </c>
      <c r="BE1655" s="120"/>
      <c r="BF1655" s="120"/>
      <c r="BG1655" s="120"/>
    </row>
    <row r="1656" spans="1:59" s="3" customFormat="1" x14ac:dyDescent="0.3">
      <c r="A1656" s="15" t="str">
        <f t="shared" si="325"/>
        <v/>
      </c>
      <c r="B1656" s="25"/>
      <c r="C1656" s="26"/>
      <c r="D1656" s="279"/>
      <c r="E1656" s="27"/>
      <c r="F1656" s="28"/>
      <c r="G1656" s="27"/>
      <c r="H1656" s="28"/>
      <c r="I1656" s="28"/>
      <c r="J1656" s="255" t="str">
        <f>IF(H1656="","",(_xlfn.XLOOKUP(H1656,Cadastros!$D$6:$D$90,Cadastros!$E$6:$E$90))*(1-_xlfn.XLOOKUP(_xlfn.XLOOKUP($F1656,Clientes!$B$4:$B$39,Clientes!$C$4:$C$39),Cadastros!$L$6:$L$12,Cadastros!$N$6:$N$12)))</f>
        <v/>
      </c>
      <c r="K1656" s="168" t="str">
        <f t="shared" si="326"/>
        <v/>
      </c>
      <c r="L1656" s="168" t="str">
        <f>IFERROR(K1656/_xlfn.XLOOKUP(_xlfn.XLOOKUP($F1656,Clientes!$B$4:$B$39,Clientes!$C$4:$C$39),Cadastros!$L$6:$L$12,Cadastros!$M$6:$M$12)," ")</f>
        <v xml:space="preserve"> </v>
      </c>
      <c r="M1656" s="28"/>
      <c r="N1656" s="28"/>
      <c r="O1656" s="255" t="str">
        <f>IF(M1656="","",(_xlfn.XLOOKUP(M1656,Cadastros!$D$6:$D$90,Cadastros!$E$6:$E$90))*(1-_xlfn.XLOOKUP(_xlfn.XLOOKUP($F1656,Clientes!$B$4:$B$39,Clientes!$C$4:$C$39),Cadastros!$L$6:$L$12,Cadastros!$N$6:$N$12)))</f>
        <v/>
      </c>
      <c r="P1656" s="168" t="str">
        <f t="shared" si="327"/>
        <v/>
      </c>
      <c r="Q1656" s="168" t="str">
        <f>IFERROR(P1656/_xlfn.XLOOKUP(_xlfn.XLOOKUP($F1656,Clientes!$B$4:$B$39,Clientes!$C$4:$C$39),Cadastros!$L$6:$L$12,Cadastros!$M$6:$M$12)," ")</f>
        <v xml:space="preserve"> </v>
      </c>
      <c r="R1656" s="28"/>
      <c r="S1656" s="28"/>
      <c r="T1656" s="255" t="str">
        <f>IF(R1656="","",(_xlfn.XLOOKUP(R1656,Cadastros!$D$6:$D$90,Cadastros!$E$6:$E$90))*(1-_xlfn.XLOOKUP(_xlfn.XLOOKUP($F1656,Clientes!$B$4:$B$39,Clientes!$C$4:$C$39),Cadastros!$L$6:$L$12,Cadastros!$N$6:$N$12)))</f>
        <v/>
      </c>
      <c r="U1656" s="168" t="str">
        <f t="shared" si="328"/>
        <v/>
      </c>
      <c r="V1656" s="168" t="str">
        <f>IFERROR(U1656/_xlfn.XLOOKUP(_xlfn.XLOOKUP($F1656,Clientes!$B$4:$B$39,Clientes!$C$4:$C$39),Cadastros!$L$6:$L$12,Cadastros!$M$6:$M$12)," ")</f>
        <v xml:space="preserve"> </v>
      </c>
      <c r="W1656" s="28"/>
      <c r="X1656" s="28"/>
      <c r="Y1656" s="255" t="str">
        <f>IF(W1656="","",(_xlfn.XLOOKUP(W1656,Cadastros!$D$6:$D$90,Cadastros!$E$6:$E$90))*(1-_xlfn.XLOOKUP(_xlfn.XLOOKUP($F1656,Clientes!$B$4:$B$39,Clientes!$C$4:$C$39),Cadastros!$L$6:$L$12,Cadastros!$N$6:$N$12)))</f>
        <v/>
      </c>
      <c r="Z1656" s="168" t="str">
        <f t="shared" si="329"/>
        <v/>
      </c>
      <c r="AA1656" s="168" t="str">
        <f>IFERROR(Z1656/_xlfn.XLOOKUP(_xlfn.XLOOKUP($F1656,Clientes!$B$4:$B$39,Clientes!$C$4:$C$39),Cadastros!$L$6:$L$12,Cadastros!$M$6:$M$12)," ")</f>
        <v xml:space="preserve"> </v>
      </c>
      <c r="AB1656" s="28"/>
      <c r="AC1656" s="28"/>
      <c r="AD1656" s="20" t="str">
        <f>IF(AB1656="","",IF($F1656="Bernardino Furlan",_xlfn.XLOOKUP(AB1656,Cadastros!$G$6:$G$90,Cadastros!$H$6:$H$90)*(1-0.18),IF($F1656="Mauro José Salanti",_xlfn.XLOOKUP(AB1656,Cadastros!$G$6:$G$90,Cadastros!$H$6:$H$90)*(1-0.18),_xlfn.XLOOKUP(AB1656,Cadastros!$G$6:$G$90,Cadastros!$H$6:$H$90))))</f>
        <v/>
      </c>
      <c r="AE1656" s="168" t="str">
        <f t="shared" si="330"/>
        <v/>
      </c>
      <c r="AF1656" s="168" t="str">
        <f t="shared" si="331"/>
        <v/>
      </c>
      <c r="AG1656" s="28"/>
      <c r="AH1656" s="28"/>
      <c r="AI1656" s="20" t="str">
        <f>IF(AG1656="","",IF($F1656="Bernardino Furlan",_xlfn.XLOOKUP(AG1656,Cadastros!$G$6:$G$90,Cadastros!$H$6:$H$90)*(1-0.18),IF($F1656="Mauro José Salanti",_xlfn.XLOOKUP(AG1656,Cadastros!$G$6:$G$90,Cadastros!$H$6:$H$90)*(1-0.18),_xlfn.XLOOKUP(AG1656,Cadastros!$G$6:$G$90,Cadastros!$H$6:$H$90))))</f>
        <v/>
      </c>
      <c r="AJ1656" s="168" t="str">
        <f t="shared" si="332"/>
        <v/>
      </c>
      <c r="AK1656" s="168" t="str">
        <f t="shared" si="333"/>
        <v/>
      </c>
      <c r="AL1656" s="28"/>
      <c r="AM1656" s="28"/>
      <c r="AN1656" s="20" t="str">
        <f>IF(AL1656="","",IF($F1656="Bernardino Furlan",_xlfn.XLOOKUP(AL1656,Cadastros!$G$6:$G$90,Cadastros!$H$6:$H$90)*(1-0.18),IF($F1656="Mauro José Salanti",_xlfn.XLOOKUP(AL1656,Cadastros!$G$6:$G$90,Cadastros!$H$6:$H$90)*(1-0.18),_xlfn.XLOOKUP(AL1656,Cadastros!$G$6:$G$90,Cadastros!$H$6:$H$90))))</f>
        <v/>
      </c>
      <c r="AO1656" s="168" t="str">
        <f t="shared" si="334"/>
        <v/>
      </c>
      <c r="AP1656" s="168" t="str">
        <f t="shared" si="335"/>
        <v/>
      </c>
      <c r="AQ1656" s="28"/>
      <c r="AR1656" s="28"/>
      <c r="AS1656" s="20" t="str">
        <f>IF(AQ1656="","",IF($F1656="Bernardino Furlan",_xlfn.XLOOKUP(AQ1656,Cadastros!$G$6:$G$90,Cadastros!$H$6:$H$90)*(1-0.18),IF($F1656="Mauro José Salanti",_xlfn.XLOOKUP(AQ1656,Cadastros!$G$6:$G$90,Cadastros!$H$6:$H$90)*(1-0.18),_xlfn.XLOOKUP(AQ1656,Cadastros!$G$6:$G$90,Cadastros!$H$6:$H$90))))</f>
        <v/>
      </c>
      <c r="AT1656" s="168" t="str">
        <f t="shared" si="336"/>
        <v/>
      </c>
      <c r="AU1656" s="168" t="str">
        <f t="shared" si="337"/>
        <v/>
      </c>
      <c r="AV1656" s="227"/>
      <c r="AW1656" s="30"/>
      <c r="AX1656" s="267"/>
      <c r="AY1656" s="267"/>
      <c r="AZ1656" s="29"/>
      <c r="BA1656" s="30"/>
      <c r="BB1656" s="23" t="str" cm="1">
        <f t="array" ref="BB1656">_xlfn.IFS(AW1656="SIM",SUM(K1656,P1656,U1656,Z1656,AE1656,AJ1656,AO1656,AT1656,AX1656,AY1656),F1656&lt;&gt;"",SUM(K1656,P1656,U1656,Z1656,AE1656,AJ1656,,AO1656,AT1656),F1656="","")</f>
        <v/>
      </c>
      <c r="BC1656" s="211" t="str" cm="1">
        <f t="array" ref="BC1656">_xlfn.IFS(E1656="","",G1656&lt;=E1656,BB1656*(1-0.03),G1656&lt;(E1656+8),BB1656,AZ1656="Boleto",BB1656*(1+0.001)^DATEDIF(E1656,G1656,"D"),AZ1656="Cheque",BB1656,AZ1656="Dinheiro","Alterar forma pgto")</f>
        <v/>
      </c>
      <c r="BD1656" s="276" t="str" cm="1">
        <f t="array" ref="BD1656">IF(F1656=0," ",IF(BC1656&lt;BB1656,(_xlfn.IFS(AW1656="SIM",SUM(L1656,Q1656,V1656,AA1656,AF1656,AK1656,AP1656,AU1656)+AX1656/_xlfn.XLOOKUP(_xlfn.XLOOKUP($F1656,Clientes!$B$4:$B$39,Clientes!$C$4:$C$39),Cadastros!$L$6:$L$12,Cadastros!$M$6:$M$12)+IF($F1656="Bernardino Furlan",AY1656/2751.92,IF($F1656="Mauro José Salanti",AY1656/2751.92,AY1656/3356)),F1656&lt;&gt;0,SUM(L1656,Q1656,V1656,AA1656,AF1656,AK1656,AP1656,AU1656)))*(1-0.03),_xlfn.IFS(AW1656="SIM",SUM(L1656,Q1656,V1656,AA1656,AF1656,AK1656,AP1656,AU1656)+AX1656/_xlfn.XLOOKUP(_xlfn.XLOOKUP($F1656,Clientes!$B$4:$B$39,Clientes!$C$4:$C$39),Cadastros!$L$6:$L$12,Cadastros!$M$6:$M$12)+IF($F1656="Bernardino Furlan",AY1656/2751.92,IF($F1656="Mauro José Salanti",AY1656/2751.92,AY1656/3356)),F1656&lt;&gt;0,SUM(L1656,Q1656,V1656,AA1656,AF1656,AK1656,AP1656,AU1656))))</f>
        <v xml:space="preserve"> </v>
      </c>
      <c r="BE1656" s="120"/>
      <c r="BF1656" s="120"/>
      <c r="BG1656" s="120"/>
    </row>
    <row r="1657" spans="1:59" s="3" customFormat="1" x14ac:dyDescent="0.3">
      <c r="A1657" s="15" t="str">
        <f t="shared" si="325"/>
        <v/>
      </c>
      <c r="B1657" s="25"/>
      <c r="C1657" s="26"/>
      <c r="D1657" s="279"/>
      <c r="E1657" s="27"/>
      <c r="F1657" s="28"/>
      <c r="G1657" s="27"/>
      <c r="H1657" s="28"/>
      <c r="I1657" s="28"/>
      <c r="J1657" s="255" t="str">
        <f>IF(H1657="","",(_xlfn.XLOOKUP(H1657,Cadastros!$D$6:$D$90,Cadastros!$E$6:$E$90))*(1-_xlfn.XLOOKUP(_xlfn.XLOOKUP($F1657,Clientes!$B$4:$B$39,Clientes!$C$4:$C$39),Cadastros!$L$6:$L$12,Cadastros!$N$6:$N$12)))</f>
        <v/>
      </c>
      <c r="K1657" s="168" t="str">
        <f t="shared" si="326"/>
        <v/>
      </c>
      <c r="L1657" s="168" t="str">
        <f>IFERROR(K1657/_xlfn.XLOOKUP(_xlfn.XLOOKUP($F1657,Clientes!$B$4:$B$39,Clientes!$C$4:$C$39),Cadastros!$L$6:$L$12,Cadastros!$M$6:$M$12)," ")</f>
        <v xml:space="preserve"> </v>
      </c>
      <c r="M1657" s="28"/>
      <c r="N1657" s="28"/>
      <c r="O1657" s="255" t="str">
        <f>IF(M1657="","",(_xlfn.XLOOKUP(M1657,Cadastros!$D$6:$D$90,Cadastros!$E$6:$E$90))*(1-_xlfn.XLOOKUP(_xlfn.XLOOKUP($F1657,Clientes!$B$4:$B$39,Clientes!$C$4:$C$39),Cadastros!$L$6:$L$12,Cadastros!$N$6:$N$12)))</f>
        <v/>
      </c>
      <c r="P1657" s="168" t="str">
        <f t="shared" si="327"/>
        <v/>
      </c>
      <c r="Q1657" s="168" t="str">
        <f>IFERROR(P1657/_xlfn.XLOOKUP(_xlfn.XLOOKUP($F1657,Clientes!$B$4:$B$39,Clientes!$C$4:$C$39),Cadastros!$L$6:$L$12,Cadastros!$M$6:$M$12)," ")</f>
        <v xml:space="preserve"> </v>
      </c>
      <c r="R1657" s="28"/>
      <c r="S1657" s="28"/>
      <c r="T1657" s="255" t="str">
        <f>IF(R1657="","",(_xlfn.XLOOKUP(R1657,Cadastros!$D$6:$D$90,Cadastros!$E$6:$E$90))*(1-_xlfn.XLOOKUP(_xlfn.XLOOKUP($F1657,Clientes!$B$4:$B$39,Clientes!$C$4:$C$39),Cadastros!$L$6:$L$12,Cadastros!$N$6:$N$12)))</f>
        <v/>
      </c>
      <c r="U1657" s="168" t="str">
        <f t="shared" si="328"/>
        <v/>
      </c>
      <c r="V1657" s="168" t="str">
        <f>IFERROR(U1657/_xlfn.XLOOKUP(_xlfn.XLOOKUP($F1657,Clientes!$B$4:$B$39,Clientes!$C$4:$C$39),Cadastros!$L$6:$L$12,Cadastros!$M$6:$M$12)," ")</f>
        <v xml:space="preserve"> </v>
      </c>
      <c r="W1657" s="28"/>
      <c r="X1657" s="28"/>
      <c r="Y1657" s="255" t="str">
        <f>IF(W1657="","",(_xlfn.XLOOKUP(W1657,Cadastros!$D$6:$D$90,Cadastros!$E$6:$E$90))*(1-_xlfn.XLOOKUP(_xlfn.XLOOKUP($F1657,Clientes!$B$4:$B$39,Clientes!$C$4:$C$39),Cadastros!$L$6:$L$12,Cadastros!$N$6:$N$12)))</f>
        <v/>
      </c>
      <c r="Z1657" s="168" t="str">
        <f t="shared" si="329"/>
        <v/>
      </c>
      <c r="AA1657" s="168" t="str">
        <f>IFERROR(Z1657/_xlfn.XLOOKUP(_xlfn.XLOOKUP($F1657,Clientes!$B$4:$B$39,Clientes!$C$4:$C$39),Cadastros!$L$6:$L$12,Cadastros!$M$6:$M$12)," ")</f>
        <v xml:space="preserve"> </v>
      </c>
      <c r="AB1657" s="28"/>
      <c r="AC1657" s="28"/>
      <c r="AD1657" s="20" t="str">
        <f>IF(AB1657="","",IF($F1657="Bernardino Furlan",_xlfn.XLOOKUP(AB1657,Cadastros!$G$6:$G$90,Cadastros!$H$6:$H$90)*(1-0.18),IF($F1657="Mauro José Salanti",_xlfn.XLOOKUP(AB1657,Cadastros!$G$6:$G$90,Cadastros!$H$6:$H$90)*(1-0.18),_xlfn.XLOOKUP(AB1657,Cadastros!$G$6:$G$90,Cadastros!$H$6:$H$90))))</f>
        <v/>
      </c>
      <c r="AE1657" s="168" t="str">
        <f t="shared" si="330"/>
        <v/>
      </c>
      <c r="AF1657" s="168" t="str">
        <f t="shared" si="331"/>
        <v/>
      </c>
      <c r="AG1657" s="28"/>
      <c r="AH1657" s="28"/>
      <c r="AI1657" s="20" t="str">
        <f>IF(AG1657="","",IF($F1657="Bernardino Furlan",_xlfn.XLOOKUP(AG1657,Cadastros!$G$6:$G$90,Cadastros!$H$6:$H$90)*(1-0.18),IF($F1657="Mauro José Salanti",_xlfn.XLOOKUP(AG1657,Cadastros!$G$6:$G$90,Cadastros!$H$6:$H$90)*(1-0.18),_xlfn.XLOOKUP(AG1657,Cadastros!$G$6:$G$90,Cadastros!$H$6:$H$90))))</f>
        <v/>
      </c>
      <c r="AJ1657" s="168" t="str">
        <f t="shared" si="332"/>
        <v/>
      </c>
      <c r="AK1657" s="168" t="str">
        <f t="shared" si="333"/>
        <v/>
      </c>
      <c r="AL1657" s="28"/>
      <c r="AM1657" s="28"/>
      <c r="AN1657" s="20" t="str">
        <f>IF(AL1657="","",IF($F1657="Bernardino Furlan",_xlfn.XLOOKUP(AL1657,Cadastros!$G$6:$G$90,Cadastros!$H$6:$H$90)*(1-0.18),IF($F1657="Mauro José Salanti",_xlfn.XLOOKUP(AL1657,Cadastros!$G$6:$G$90,Cadastros!$H$6:$H$90)*(1-0.18),_xlfn.XLOOKUP(AL1657,Cadastros!$G$6:$G$90,Cadastros!$H$6:$H$90))))</f>
        <v/>
      </c>
      <c r="AO1657" s="168" t="str">
        <f t="shared" si="334"/>
        <v/>
      </c>
      <c r="AP1657" s="168" t="str">
        <f t="shared" si="335"/>
        <v/>
      </c>
      <c r="AQ1657" s="28"/>
      <c r="AR1657" s="28"/>
      <c r="AS1657" s="20" t="str">
        <f>IF(AQ1657="","",IF($F1657="Bernardino Furlan",_xlfn.XLOOKUP(AQ1657,Cadastros!$G$6:$G$90,Cadastros!$H$6:$H$90)*(1-0.18),IF($F1657="Mauro José Salanti",_xlfn.XLOOKUP(AQ1657,Cadastros!$G$6:$G$90,Cadastros!$H$6:$H$90)*(1-0.18),_xlfn.XLOOKUP(AQ1657,Cadastros!$G$6:$G$90,Cadastros!$H$6:$H$90))))</f>
        <v/>
      </c>
      <c r="AT1657" s="168" t="str">
        <f t="shared" si="336"/>
        <v/>
      </c>
      <c r="AU1657" s="168" t="str">
        <f t="shared" si="337"/>
        <v/>
      </c>
      <c r="AV1657" s="227"/>
      <c r="AW1657" s="30"/>
      <c r="AX1657" s="267"/>
      <c r="AY1657" s="267"/>
      <c r="AZ1657" s="29"/>
      <c r="BA1657" s="30"/>
      <c r="BB1657" s="23" t="str" cm="1">
        <f t="array" ref="BB1657">_xlfn.IFS(AW1657="SIM",SUM(K1657,P1657,U1657,Z1657,AE1657,AJ1657,AO1657,AT1657,AX1657,AY1657),F1657&lt;&gt;"",SUM(K1657,P1657,U1657,Z1657,AE1657,AJ1657,,AO1657,AT1657),F1657="","")</f>
        <v/>
      </c>
      <c r="BC1657" s="211" t="str" cm="1">
        <f t="array" ref="BC1657">_xlfn.IFS(E1657="","",G1657&lt;=E1657,BB1657*(1-0.03),G1657&lt;(E1657+8),BB1657,AZ1657="Boleto",BB1657*(1+0.001)^DATEDIF(E1657,G1657,"D"),AZ1657="Cheque",BB1657,AZ1657="Dinheiro","Alterar forma pgto")</f>
        <v/>
      </c>
      <c r="BD1657" s="276" t="str" cm="1">
        <f t="array" ref="BD1657">IF(F1657=0," ",IF(BC1657&lt;BB1657,(_xlfn.IFS(AW1657="SIM",SUM(L1657,Q1657,V1657,AA1657,AF1657,AK1657,AP1657,AU1657)+AX1657/_xlfn.XLOOKUP(_xlfn.XLOOKUP($F1657,Clientes!$B$4:$B$39,Clientes!$C$4:$C$39),Cadastros!$L$6:$L$12,Cadastros!$M$6:$M$12)+IF($F1657="Bernardino Furlan",AY1657/2751.92,IF($F1657="Mauro José Salanti",AY1657/2751.92,AY1657/3356)),F1657&lt;&gt;0,SUM(L1657,Q1657,V1657,AA1657,AF1657,AK1657,AP1657,AU1657)))*(1-0.03),_xlfn.IFS(AW1657="SIM",SUM(L1657,Q1657,V1657,AA1657,AF1657,AK1657,AP1657,AU1657)+AX1657/_xlfn.XLOOKUP(_xlfn.XLOOKUP($F1657,Clientes!$B$4:$B$39,Clientes!$C$4:$C$39),Cadastros!$L$6:$L$12,Cadastros!$M$6:$M$12)+IF($F1657="Bernardino Furlan",AY1657/2751.92,IF($F1657="Mauro José Salanti",AY1657/2751.92,AY1657/3356)),F1657&lt;&gt;0,SUM(L1657,Q1657,V1657,AA1657,AF1657,AK1657,AP1657,AU1657))))</f>
        <v xml:space="preserve"> </v>
      </c>
      <c r="BE1657" s="120"/>
      <c r="BF1657" s="120"/>
      <c r="BG1657" s="120"/>
    </row>
    <row r="1658" spans="1:59" s="3" customFormat="1" x14ac:dyDescent="0.3">
      <c r="A1658" s="15" t="str">
        <f t="shared" si="325"/>
        <v/>
      </c>
      <c r="B1658" s="25"/>
      <c r="C1658" s="26"/>
      <c r="D1658" s="279"/>
      <c r="E1658" s="27"/>
      <c r="F1658" s="28"/>
      <c r="G1658" s="27"/>
      <c r="H1658" s="28"/>
      <c r="I1658" s="28"/>
      <c r="J1658" s="255" t="str">
        <f>IF(H1658="","",(_xlfn.XLOOKUP(H1658,Cadastros!$D$6:$D$90,Cadastros!$E$6:$E$90))*(1-_xlfn.XLOOKUP(_xlfn.XLOOKUP($F1658,Clientes!$B$4:$B$39,Clientes!$C$4:$C$39),Cadastros!$L$6:$L$12,Cadastros!$N$6:$N$12)))</f>
        <v/>
      </c>
      <c r="K1658" s="168" t="str">
        <f t="shared" si="326"/>
        <v/>
      </c>
      <c r="L1658" s="168" t="str">
        <f>IFERROR(K1658/_xlfn.XLOOKUP(_xlfn.XLOOKUP($F1658,Clientes!$B$4:$B$39,Clientes!$C$4:$C$39),Cadastros!$L$6:$L$12,Cadastros!$M$6:$M$12)," ")</f>
        <v xml:space="preserve"> </v>
      </c>
      <c r="M1658" s="28"/>
      <c r="N1658" s="28"/>
      <c r="O1658" s="255" t="str">
        <f>IF(M1658="","",(_xlfn.XLOOKUP(M1658,Cadastros!$D$6:$D$90,Cadastros!$E$6:$E$90))*(1-_xlfn.XLOOKUP(_xlfn.XLOOKUP($F1658,Clientes!$B$4:$B$39,Clientes!$C$4:$C$39),Cadastros!$L$6:$L$12,Cadastros!$N$6:$N$12)))</f>
        <v/>
      </c>
      <c r="P1658" s="168" t="str">
        <f t="shared" si="327"/>
        <v/>
      </c>
      <c r="Q1658" s="168" t="str">
        <f>IFERROR(P1658/_xlfn.XLOOKUP(_xlfn.XLOOKUP($F1658,Clientes!$B$4:$B$39,Clientes!$C$4:$C$39),Cadastros!$L$6:$L$12,Cadastros!$M$6:$M$12)," ")</f>
        <v xml:space="preserve"> </v>
      </c>
      <c r="R1658" s="28"/>
      <c r="S1658" s="28"/>
      <c r="T1658" s="255" t="str">
        <f>IF(R1658="","",(_xlfn.XLOOKUP(R1658,Cadastros!$D$6:$D$90,Cadastros!$E$6:$E$90))*(1-_xlfn.XLOOKUP(_xlfn.XLOOKUP($F1658,Clientes!$B$4:$B$39,Clientes!$C$4:$C$39),Cadastros!$L$6:$L$12,Cadastros!$N$6:$N$12)))</f>
        <v/>
      </c>
      <c r="U1658" s="168" t="str">
        <f t="shared" si="328"/>
        <v/>
      </c>
      <c r="V1658" s="168" t="str">
        <f>IFERROR(U1658/_xlfn.XLOOKUP(_xlfn.XLOOKUP($F1658,Clientes!$B$4:$B$39,Clientes!$C$4:$C$39),Cadastros!$L$6:$L$12,Cadastros!$M$6:$M$12)," ")</f>
        <v xml:space="preserve"> </v>
      </c>
      <c r="W1658" s="28"/>
      <c r="X1658" s="28"/>
      <c r="Y1658" s="255" t="str">
        <f>IF(W1658="","",(_xlfn.XLOOKUP(W1658,Cadastros!$D$6:$D$90,Cadastros!$E$6:$E$90))*(1-_xlfn.XLOOKUP(_xlfn.XLOOKUP($F1658,Clientes!$B$4:$B$39,Clientes!$C$4:$C$39),Cadastros!$L$6:$L$12,Cadastros!$N$6:$N$12)))</f>
        <v/>
      </c>
      <c r="Z1658" s="168" t="str">
        <f t="shared" si="329"/>
        <v/>
      </c>
      <c r="AA1658" s="168" t="str">
        <f>IFERROR(Z1658/_xlfn.XLOOKUP(_xlfn.XLOOKUP($F1658,Clientes!$B$4:$B$39,Clientes!$C$4:$C$39),Cadastros!$L$6:$L$12,Cadastros!$M$6:$M$12)," ")</f>
        <v xml:space="preserve"> </v>
      </c>
      <c r="AB1658" s="28"/>
      <c r="AC1658" s="28"/>
      <c r="AD1658" s="20" t="str">
        <f>IF(AB1658="","",IF($F1658="Bernardino Furlan",_xlfn.XLOOKUP(AB1658,Cadastros!$G$6:$G$90,Cadastros!$H$6:$H$90)*(1-0.18),IF($F1658="Mauro José Salanti",_xlfn.XLOOKUP(AB1658,Cadastros!$G$6:$G$90,Cadastros!$H$6:$H$90)*(1-0.18),_xlfn.XLOOKUP(AB1658,Cadastros!$G$6:$G$90,Cadastros!$H$6:$H$90))))</f>
        <v/>
      </c>
      <c r="AE1658" s="168" t="str">
        <f t="shared" si="330"/>
        <v/>
      </c>
      <c r="AF1658" s="168" t="str">
        <f t="shared" si="331"/>
        <v/>
      </c>
      <c r="AG1658" s="28"/>
      <c r="AH1658" s="28"/>
      <c r="AI1658" s="20" t="str">
        <f>IF(AG1658="","",IF($F1658="Bernardino Furlan",_xlfn.XLOOKUP(AG1658,Cadastros!$G$6:$G$90,Cadastros!$H$6:$H$90)*(1-0.18),IF($F1658="Mauro José Salanti",_xlfn.XLOOKUP(AG1658,Cadastros!$G$6:$G$90,Cadastros!$H$6:$H$90)*(1-0.18),_xlfn.XLOOKUP(AG1658,Cadastros!$G$6:$G$90,Cadastros!$H$6:$H$90))))</f>
        <v/>
      </c>
      <c r="AJ1658" s="168" t="str">
        <f t="shared" si="332"/>
        <v/>
      </c>
      <c r="AK1658" s="168" t="str">
        <f t="shared" si="333"/>
        <v/>
      </c>
      <c r="AL1658" s="28"/>
      <c r="AM1658" s="28"/>
      <c r="AN1658" s="20" t="str">
        <f>IF(AL1658="","",IF($F1658="Bernardino Furlan",_xlfn.XLOOKUP(AL1658,Cadastros!$G$6:$G$90,Cadastros!$H$6:$H$90)*(1-0.18),IF($F1658="Mauro José Salanti",_xlfn.XLOOKUP(AL1658,Cadastros!$G$6:$G$90,Cadastros!$H$6:$H$90)*(1-0.18),_xlfn.XLOOKUP(AL1658,Cadastros!$G$6:$G$90,Cadastros!$H$6:$H$90))))</f>
        <v/>
      </c>
      <c r="AO1658" s="168" t="str">
        <f t="shared" si="334"/>
        <v/>
      </c>
      <c r="AP1658" s="168" t="str">
        <f t="shared" si="335"/>
        <v/>
      </c>
      <c r="AQ1658" s="28"/>
      <c r="AR1658" s="28"/>
      <c r="AS1658" s="20" t="str">
        <f>IF(AQ1658="","",IF($F1658="Bernardino Furlan",_xlfn.XLOOKUP(AQ1658,Cadastros!$G$6:$G$90,Cadastros!$H$6:$H$90)*(1-0.18),IF($F1658="Mauro José Salanti",_xlfn.XLOOKUP(AQ1658,Cadastros!$G$6:$G$90,Cadastros!$H$6:$H$90)*(1-0.18),_xlfn.XLOOKUP(AQ1658,Cadastros!$G$6:$G$90,Cadastros!$H$6:$H$90))))</f>
        <v/>
      </c>
      <c r="AT1658" s="168" t="str">
        <f t="shared" si="336"/>
        <v/>
      </c>
      <c r="AU1658" s="168" t="str">
        <f t="shared" si="337"/>
        <v/>
      </c>
      <c r="AV1658" s="227"/>
      <c r="AW1658" s="30"/>
      <c r="AX1658" s="267"/>
      <c r="AY1658" s="267"/>
      <c r="AZ1658" s="29"/>
      <c r="BA1658" s="30"/>
      <c r="BB1658" s="23" t="str" cm="1">
        <f t="array" ref="BB1658">_xlfn.IFS(AW1658="SIM",SUM(K1658,P1658,U1658,Z1658,AE1658,AJ1658,AO1658,AT1658,AX1658,AY1658),F1658&lt;&gt;"",SUM(K1658,P1658,U1658,Z1658,AE1658,AJ1658,,AO1658,AT1658),F1658="","")</f>
        <v/>
      </c>
      <c r="BC1658" s="211" t="str" cm="1">
        <f t="array" ref="BC1658">_xlfn.IFS(E1658="","",G1658&lt;=E1658,BB1658*(1-0.03),G1658&lt;(E1658+8),BB1658,AZ1658="Boleto",BB1658*(1+0.001)^DATEDIF(E1658,G1658,"D"),AZ1658="Cheque",BB1658,AZ1658="Dinheiro","Alterar forma pgto")</f>
        <v/>
      </c>
      <c r="BD1658" s="276" t="str" cm="1">
        <f t="array" ref="BD1658">IF(F1658=0," ",IF(BC1658&lt;BB1658,(_xlfn.IFS(AW1658="SIM",SUM(L1658,Q1658,V1658,AA1658,AF1658,AK1658,AP1658,AU1658)+AX1658/_xlfn.XLOOKUP(_xlfn.XLOOKUP($F1658,Clientes!$B$4:$B$39,Clientes!$C$4:$C$39),Cadastros!$L$6:$L$12,Cadastros!$M$6:$M$12)+IF($F1658="Bernardino Furlan",AY1658/2751.92,IF($F1658="Mauro José Salanti",AY1658/2751.92,AY1658/3356)),F1658&lt;&gt;0,SUM(L1658,Q1658,V1658,AA1658,AF1658,AK1658,AP1658,AU1658)))*(1-0.03),_xlfn.IFS(AW1658="SIM",SUM(L1658,Q1658,V1658,AA1658,AF1658,AK1658,AP1658,AU1658)+AX1658/_xlfn.XLOOKUP(_xlfn.XLOOKUP($F1658,Clientes!$B$4:$B$39,Clientes!$C$4:$C$39),Cadastros!$L$6:$L$12,Cadastros!$M$6:$M$12)+IF($F1658="Bernardino Furlan",AY1658/2751.92,IF($F1658="Mauro José Salanti",AY1658/2751.92,AY1658/3356)),F1658&lt;&gt;0,SUM(L1658,Q1658,V1658,AA1658,AF1658,AK1658,AP1658,AU1658))))</f>
        <v xml:space="preserve"> </v>
      </c>
      <c r="BE1658" s="120"/>
      <c r="BF1658" s="120"/>
      <c r="BG1658" s="120"/>
    </row>
    <row r="1659" spans="1:59" s="3" customFormat="1" x14ac:dyDescent="0.3">
      <c r="A1659" s="15" t="str">
        <f t="shared" si="325"/>
        <v/>
      </c>
      <c r="B1659" s="25"/>
      <c r="C1659" s="26"/>
      <c r="D1659" s="279"/>
      <c r="E1659" s="27"/>
      <c r="F1659" s="28"/>
      <c r="G1659" s="27"/>
      <c r="H1659" s="28"/>
      <c r="I1659" s="28"/>
      <c r="J1659" s="255" t="str">
        <f>IF(H1659="","",(_xlfn.XLOOKUP(H1659,Cadastros!$D$6:$D$90,Cadastros!$E$6:$E$90))*(1-_xlfn.XLOOKUP(_xlfn.XLOOKUP($F1659,Clientes!$B$4:$B$39,Clientes!$C$4:$C$39),Cadastros!$L$6:$L$12,Cadastros!$N$6:$N$12)))</f>
        <v/>
      </c>
      <c r="K1659" s="168" t="str">
        <f t="shared" si="326"/>
        <v/>
      </c>
      <c r="L1659" s="168" t="str">
        <f>IFERROR(K1659/_xlfn.XLOOKUP(_xlfn.XLOOKUP($F1659,Clientes!$B$4:$B$39,Clientes!$C$4:$C$39),Cadastros!$L$6:$L$12,Cadastros!$M$6:$M$12)," ")</f>
        <v xml:space="preserve"> </v>
      </c>
      <c r="M1659" s="28"/>
      <c r="N1659" s="28"/>
      <c r="O1659" s="255" t="str">
        <f>IF(M1659="","",(_xlfn.XLOOKUP(M1659,Cadastros!$D$6:$D$90,Cadastros!$E$6:$E$90))*(1-_xlfn.XLOOKUP(_xlfn.XLOOKUP($F1659,Clientes!$B$4:$B$39,Clientes!$C$4:$C$39),Cadastros!$L$6:$L$12,Cadastros!$N$6:$N$12)))</f>
        <v/>
      </c>
      <c r="P1659" s="168" t="str">
        <f t="shared" si="327"/>
        <v/>
      </c>
      <c r="Q1659" s="168" t="str">
        <f>IFERROR(P1659/_xlfn.XLOOKUP(_xlfn.XLOOKUP($F1659,Clientes!$B$4:$B$39,Clientes!$C$4:$C$39),Cadastros!$L$6:$L$12,Cadastros!$M$6:$M$12)," ")</f>
        <v xml:space="preserve"> </v>
      </c>
      <c r="R1659" s="28"/>
      <c r="S1659" s="28"/>
      <c r="T1659" s="255" t="str">
        <f>IF(R1659="","",(_xlfn.XLOOKUP(R1659,Cadastros!$D$6:$D$90,Cadastros!$E$6:$E$90))*(1-_xlfn.XLOOKUP(_xlfn.XLOOKUP($F1659,Clientes!$B$4:$B$39,Clientes!$C$4:$C$39),Cadastros!$L$6:$L$12,Cadastros!$N$6:$N$12)))</f>
        <v/>
      </c>
      <c r="U1659" s="168" t="str">
        <f t="shared" si="328"/>
        <v/>
      </c>
      <c r="V1659" s="168" t="str">
        <f>IFERROR(U1659/_xlfn.XLOOKUP(_xlfn.XLOOKUP($F1659,Clientes!$B$4:$B$39,Clientes!$C$4:$C$39),Cadastros!$L$6:$L$12,Cadastros!$M$6:$M$12)," ")</f>
        <v xml:space="preserve"> </v>
      </c>
      <c r="W1659" s="28"/>
      <c r="X1659" s="28"/>
      <c r="Y1659" s="255" t="str">
        <f>IF(W1659="","",(_xlfn.XLOOKUP(W1659,Cadastros!$D$6:$D$90,Cadastros!$E$6:$E$90))*(1-_xlfn.XLOOKUP(_xlfn.XLOOKUP($F1659,Clientes!$B$4:$B$39,Clientes!$C$4:$C$39),Cadastros!$L$6:$L$12,Cadastros!$N$6:$N$12)))</f>
        <v/>
      </c>
      <c r="Z1659" s="168" t="str">
        <f t="shared" si="329"/>
        <v/>
      </c>
      <c r="AA1659" s="168" t="str">
        <f>IFERROR(Z1659/_xlfn.XLOOKUP(_xlfn.XLOOKUP($F1659,Clientes!$B$4:$B$39,Clientes!$C$4:$C$39),Cadastros!$L$6:$L$12,Cadastros!$M$6:$M$12)," ")</f>
        <v xml:space="preserve"> </v>
      </c>
      <c r="AB1659" s="28"/>
      <c r="AC1659" s="28"/>
      <c r="AD1659" s="20" t="str">
        <f>IF(AB1659="","",IF($F1659="Bernardino Furlan",_xlfn.XLOOKUP(AB1659,Cadastros!$G$6:$G$90,Cadastros!$H$6:$H$90)*(1-0.18),IF($F1659="Mauro José Salanti",_xlfn.XLOOKUP(AB1659,Cadastros!$G$6:$G$90,Cadastros!$H$6:$H$90)*(1-0.18),_xlfn.XLOOKUP(AB1659,Cadastros!$G$6:$G$90,Cadastros!$H$6:$H$90))))</f>
        <v/>
      </c>
      <c r="AE1659" s="168" t="str">
        <f t="shared" si="330"/>
        <v/>
      </c>
      <c r="AF1659" s="168" t="str">
        <f t="shared" si="331"/>
        <v/>
      </c>
      <c r="AG1659" s="28"/>
      <c r="AH1659" s="28"/>
      <c r="AI1659" s="20" t="str">
        <f>IF(AG1659="","",IF($F1659="Bernardino Furlan",_xlfn.XLOOKUP(AG1659,Cadastros!$G$6:$G$90,Cadastros!$H$6:$H$90)*(1-0.18),IF($F1659="Mauro José Salanti",_xlfn.XLOOKUP(AG1659,Cadastros!$G$6:$G$90,Cadastros!$H$6:$H$90)*(1-0.18),_xlfn.XLOOKUP(AG1659,Cadastros!$G$6:$G$90,Cadastros!$H$6:$H$90))))</f>
        <v/>
      </c>
      <c r="AJ1659" s="168" t="str">
        <f t="shared" si="332"/>
        <v/>
      </c>
      <c r="AK1659" s="168" t="str">
        <f t="shared" si="333"/>
        <v/>
      </c>
      <c r="AL1659" s="28"/>
      <c r="AM1659" s="28"/>
      <c r="AN1659" s="20" t="str">
        <f>IF(AL1659="","",IF($F1659="Bernardino Furlan",_xlfn.XLOOKUP(AL1659,Cadastros!$G$6:$G$90,Cadastros!$H$6:$H$90)*(1-0.18),IF($F1659="Mauro José Salanti",_xlfn.XLOOKUP(AL1659,Cadastros!$G$6:$G$90,Cadastros!$H$6:$H$90)*(1-0.18),_xlfn.XLOOKUP(AL1659,Cadastros!$G$6:$G$90,Cadastros!$H$6:$H$90))))</f>
        <v/>
      </c>
      <c r="AO1659" s="168" t="str">
        <f t="shared" si="334"/>
        <v/>
      </c>
      <c r="AP1659" s="168" t="str">
        <f t="shared" si="335"/>
        <v/>
      </c>
      <c r="AQ1659" s="28"/>
      <c r="AR1659" s="28"/>
      <c r="AS1659" s="20" t="str">
        <f>IF(AQ1659="","",IF($F1659="Bernardino Furlan",_xlfn.XLOOKUP(AQ1659,Cadastros!$G$6:$G$90,Cadastros!$H$6:$H$90)*(1-0.18),IF($F1659="Mauro José Salanti",_xlfn.XLOOKUP(AQ1659,Cadastros!$G$6:$G$90,Cadastros!$H$6:$H$90)*(1-0.18),_xlfn.XLOOKUP(AQ1659,Cadastros!$G$6:$G$90,Cadastros!$H$6:$H$90))))</f>
        <v/>
      </c>
      <c r="AT1659" s="168" t="str">
        <f t="shared" si="336"/>
        <v/>
      </c>
      <c r="AU1659" s="168" t="str">
        <f t="shared" si="337"/>
        <v/>
      </c>
      <c r="AV1659" s="227"/>
      <c r="AW1659" s="30"/>
      <c r="AX1659" s="267"/>
      <c r="AY1659" s="267"/>
      <c r="AZ1659" s="29"/>
      <c r="BA1659" s="30"/>
      <c r="BB1659" s="23" t="str" cm="1">
        <f t="array" ref="BB1659">_xlfn.IFS(AW1659="SIM",SUM(K1659,P1659,U1659,Z1659,AE1659,AJ1659,AO1659,AT1659,AX1659,AY1659),F1659&lt;&gt;"",SUM(K1659,P1659,U1659,Z1659,AE1659,AJ1659,,AO1659,AT1659),F1659="","")</f>
        <v/>
      </c>
      <c r="BC1659" s="211" t="str" cm="1">
        <f t="array" ref="BC1659">_xlfn.IFS(E1659="","",G1659&lt;=E1659,BB1659*(1-0.03),G1659&lt;(E1659+8),BB1659,AZ1659="Boleto",BB1659*(1+0.001)^DATEDIF(E1659,G1659,"D"),AZ1659="Cheque",BB1659,AZ1659="Dinheiro","Alterar forma pgto")</f>
        <v/>
      </c>
      <c r="BD1659" s="276" t="str" cm="1">
        <f t="array" ref="BD1659">IF(F1659=0," ",IF(BC1659&lt;BB1659,(_xlfn.IFS(AW1659="SIM",SUM(L1659,Q1659,V1659,AA1659,AF1659,AK1659,AP1659,AU1659)+AX1659/_xlfn.XLOOKUP(_xlfn.XLOOKUP($F1659,Clientes!$B$4:$B$39,Clientes!$C$4:$C$39),Cadastros!$L$6:$L$12,Cadastros!$M$6:$M$12)+IF($F1659="Bernardino Furlan",AY1659/2751.92,IF($F1659="Mauro José Salanti",AY1659/2751.92,AY1659/3356)),F1659&lt;&gt;0,SUM(L1659,Q1659,V1659,AA1659,AF1659,AK1659,AP1659,AU1659)))*(1-0.03),_xlfn.IFS(AW1659="SIM",SUM(L1659,Q1659,V1659,AA1659,AF1659,AK1659,AP1659,AU1659)+AX1659/_xlfn.XLOOKUP(_xlfn.XLOOKUP($F1659,Clientes!$B$4:$B$39,Clientes!$C$4:$C$39),Cadastros!$L$6:$L$12,Cadastros!$M$6:$M$12)+IF($F1659="Bernardino Furlan",AY1659/2751.92,IF($F1659="Mauro José Salanti",AY1659/2751.92,AY1659/3356)),F1659&lt;&gt;0,SUM(L1659,Q1659,V1659,AA1659,AF1659,AK1659,AP1659,AU1659))))</f>
        <v xml:space="preserve"> </v>
      </c>
      <c r="BE1659" s="120"/>
      <c r="BF1659" s="120"/>
      <c r="BG1659" s="120"/>
    </row>
    <row r="1660" spans="1:59" s="3" customFormat="1" x14ac:dyDescent="0.3">
      <c r="A1660" s="15" t="str">
        <f t="shared" si="325"/>
        <v/>
      </c>
      <c r="B1660" s="25"/>
      <c r="C1660" s="26"/>
      <c r="D1660" s="279"/>
      <c r="E1660" s="27"/>
      <c r="F1660" s="28"/>
      <c r="G1660" s="27"/>
      <c r="H1660" s="28"/>
      <c r="I1660" s="28"/>
      <c r="J1660" s="255" t="str">
        <f>IF(H1660="","",(_xlfn.XLOOKUP(H1660,Cadastros!$D$6:$D$90,Cadastros!$E$6:$E$90))*(1-_xlfn.XLOOKUP(_xlfn.XLOOKUP($F1660,Clientes!$B$4:$B$39,Clientes!$C$4:$C$39),Cadastros!$L$6:$L$12,Cadastros!$N$6:$N$12)))</f>
        <v/>
      </c>
      <c r="K1660" s="168" t="str">
        <f t="shared" si="326"/>
        <v/>
      </c>
      <c r="L1660" s="168" t="str">
        <f>IFERROR(K1660/_xlfn.XLOOKUP(_xlfn.XLOOKUP($F1660,Clientes!$B$4:$B$39,Clientes!$C$4:$C$39),Cadastros!$L$6:$L$12,Cadastros!$M$6:$M$12)," ")</f>
        <v xml:space="preserve"> </v>
      </c>
      <c r="M1660" s="28"/>
      <c r="N1660" s="28"/>
      <c r="O1660" s="255" t="str">
        <f>IF(M1660="","",(_xlfn.XLOOKUP(M1660,Cadastros!$D$6:$D$90,Cadastros!$E$6:$E$90))*(1-_xlfn.XLOOKUP(_xlfn.XLOOKUP($F1660,Clientes!$B$4:$B$39,Clientes!$C$4:$C$39),Cadastros!$L$6:$L$12,Cadastros!$N$6:$N$12)))</f>
        <v/>
      </c>
      <c r="P1660" s="168" t="str">
        <f t="shared" si="327"/>
        <v/>
      </c>
      <c r="Q1660" s="168" t="str">
        <f>IFERROR(P1660/_xlfn.XLOOKUP(_xlfn.XLOOKUP($F1660,Clientes!$B$4:$B$39,Clientes!$C$4:$C$39),Cadastros!$L$6:$L$12,Cadastros!$M$6:$M$12)," ")</f>
        <v xml:space="preserve"> </v>
      </c>
      <c r="R1660" s="28"/>
      <c r="S1660" s="28"/>
      <c r="T1660" s="255" t="str">
        <f>IF(R1660="","",(_xlfn.XLOOKUP(R1660,Cadastros!$D$6:$D$90,Cadastros!$E$6:$E$90))*(1-_xlfn.XLOOKUP(_xlfn.XLOOKUP($F1660,Clientes!$B$4:$B$39,Clientes!$C$4:$C$39),Cadastros!$L$6:$L$12,Cadastros!$N$6:$N$12)))</f>
        <v/>
      </c>
      <c r="U1660" s="168" t="str">
        <f t="shared" si="328"/>
        <v/>
      </c>
      <c r="V1660" s="168" t="str">
        <f>IFERROR(U1660/_xlfn.XLOOKUP(_xlfn.XLOOKUP($F1660,Clientes!$B$4:$B$39,Clientes!$C$4:$C$39),Cadastros!$L$6:$L$12,Cadastros!$M$6:$M$12)," ")</f>
        <v xml:space="preserve"> </v>
      </c>
      <c r="W1660" s="28"/>
      <c r="X1660" s="28"/>
      <c r="Y1660" s="255" t="str">
        <f>IF(W1660="","",(_xlfn.XLOOKUP(W1660,Cadastros!$D$6:$D$90,Cadastros!$E$6:$E$90))*(1-_xlfn.XLOOKUP(_xlfn.XLOOKUP($F1660,Clientes!$B$4:$B$39,Clientes!$C$4:$C$39),Cadastros!$L$6:$L$12,Cadastros!$N$6:$N$12)))</f>
        <v/>
      </c>
      <c r="Z1660" s="168" t="str">
        <f t="shared" si="329"/>
        <v/>
      </c>
      <c r="AA1660" s="168" t="str">
        <f>IFERROR(Z1660/_xlfn.XLOOKUP(_xlfn.XLOOKUP($F1660,Clientes!$B$4:$B$39,Clientes!$C$4:$C$39),Cadastros!$L$6:$L$12,Cadastros!$M$6:$M$12)," ")</f>
        <v xml:space="preserve"> </v>
      </c>
      <c r="AB1660" s="28"/>
      <c r="AC1660" s="28"/>
      <c r="AD1660" s="20" t="str">
        <f>IF(AB1660="","",IF($F1660="Bernardino Furlan",_xlfn.XLOOKUP(AB1660,Cadastros!$G$6:$G$90,Cadastros!$H$6:$H$90)*(1-0.18),IF($F1660="Mauro José Salanti",_xlfn.XLOOKUP(AB1660,Cadastros!$G$6:$G$90,Cadastros!$H$6:$H$90)*(1-0.18),_xlfn.XLOOKUP(AB1660,Cadastros!$G$6:$G$90,Cadastros!$H$6:$H$90))))</f>
        <v/>
      </c>
      <c r="AE1660" s="168" t="str">
        <f t="shared" si="330"/>
        <v/>
      </c>
      <c r="AF1660" s="168" t="str">
        <f t="shared" si="331"/>
        <v/>
      </c>
      <c r="AG1660" s="28"/>
      <c r="AH1660" s="28"/>
      <c r="AI1660" s="20" t="str">
        <f>IF(AG1660="","",IF($F1660="Bernardino Furlan",_xlfn.XLOOKUP(AG1660,Cadastros!$G$6:$G$90,Cadastros!$H$6:$H$90)*(1-0.18),IF($F1660="Mauro José Salanti",_xlfn.XLOOKUP(AG1660,Cadastros!$G$6:$G$90,Cadastros!$H$6:$H$90)*(1-0.18),_xlfn.XLOOKUP(AG1660,Cadastros!$G$6:$G$90,Cadastros!$H$6:$H$90))))</f>
        <v/>
      </c>
      <c r="AJ1660" s="168" t="str">
        <f t="shared" si="332"/>
        <v/>
      </c>
      <c r="AK1660" s="168" t="str">
        <f t="shared" si="333"/>
        <v/>
      </c>
      <c r="AL1660" s="28"/>
      <c r="AM1660" s="28"/>
      <c r="AN1660" s="20" t="str">
        <f>IF(AL1660="","",IF($F1660="Bernardino Furlan",_xlfn.XLOOKUP(AL1660,Cadastros!$G$6:$G$90,Cadastros!$H$6:$H$90)*(1-0.18),IF($F1660="Mauro José Salanti",_xlfn.XLOOKUP(AL1660,Cadastros!$G$6:$G$90,Cadastros!$H$6:$H$90)*(1-0.18),_xlfn.XLOOKUP(AL1660,Cadastros!$G$6:$G$90,Cadastros!$H$6:$H$90))))</f>
        <v/>
      </c>
      <c r="AO1660" s="168" t="str">
        <f t="shared" si="334"/>
        <v/>
      </c>
      <c r="AP1660" s="168" t="str">
        <f t="shared" si="335"/>
        <v/>
      </c>
      <c r="AQ1660" s="28"/>
      <c r="AR1660" s="28"/>
      <c r="AS1660" s="20" t="str">
        <f>IF(AQ1660="","",IF($F1660="Bernardino Furlan",_xlfn.XLOOKUP(AQ1660,Cadastros!$G$6:$G$90,Cadastros!$H$6:$H$90)*(1-0.18),IF($F1660="Mauro José Salanti",_xlfn.XLOOKUP(AQ1660,Cadastros!$G$6:$G$90,Cadastros!$H$6:$H$90)*(1-0.18),_xlfn.XLOOKUP(AQ1660,Cadastros!$G$6:$G$90,Cadastros!$H$6:$H$90))))</f>
        <v/>
      </c>
      <c r="AT1660" s="168" t="str">
        <f t="shared" si="336"/>
        <v/>
      </c>
      <c r="AU1660" s="168" t="str">
        <f t="shared" si="337"/>
        <v/>
      </c>
      <c r="AV1660" s="227"/>
      <c r="AW1660" s="30"/>
      <c r="AX1660" s="267"/>
      <c r="AY1660" s="267"/>
      <c r="AZ1660" s="29"/>
      <c r="BA1660" s="30"/>
      <c r="BB1660" s="23" t="str" cm="1">
        <f t="array" ref="BB1660">_xlfn.IFS(AW1660="SIM",SUM(K1660,P1660,U1660,Z1660,AE1660,AJ1660,AO1660,AT1660,AX1660,AY1660),F1660&lt;&gt;"",SUM(K1660,P1660,U1660,Z1660,AE1660,AJ1660,,AO1660,AT1660),F1660="","")</f>
        <v/>
      </c>
      <c r="BC1660" s="211" t="str" cm="1">
        <f t="array" ref="BC1660">_xlfn.IFS(E1660="","",G1660&lt;=E1660,BB1660*(1-0.03),G1660&lt;(E1660+8),BB1660,AZ1660="Boleto",BB1660*(1+0.001)^DATEDIF(E1660,G1660,"D"),AZ1660="Cheque",BB1660,AZ1660="Dinheiro","Alterar forma pgto")</f>
        <v/>
      </c>
      <c r="BD1660" s="276" t="str" cm="1">
        <f t="array" ref="BD1660">IF(F1660=0," ",IF(BC1660&lt;BB1660,(_xlfn.IFS(AW1660="SIM",SUM(L1660,Q1660,V1660,AA1660,AF1660,AK1660,AP1660,AU1660)+AX1660/_xlfn.XLOOKUP(_xlfn.XLOOKUP($F1660,Clientes!$B$4:$B$39,Clientes!$C$4:$C$39),Cadastros!$L$6:$L$12,Cadastros!$M$6:$M$12)+IF($F1660="Bernardino Furlan",AY1660/2751.92,IF($F1660="Mauro José Salanti",AY1660/2751.92,AY1660/3356)),F1660&lt;&gt;0,SUM(L1660,Q1660,V1660,AA1660,AF1660,AK1660,AP1660,AU1660)))*(1-0.03),_xlfn.IFS(AW1660="SIM",SUM(L1660,Q1660,V1660,AA1660,AF1660,AK1660,AP1660,AU1660)+AX1660/_xlfn.XLOOKUP(_xlfn.XLOOKUP($F1660,Clientes!$B$4:$B$39,Clientes!$C$4:$C$39),Cadastros!$L$6:$L$12,Cadastros!$M$6:$M$12)+IF($F1660="Bernardino Furlan",AY1660/2751.92,IF($F1660="Mauro José Salanti",AY1660/2751.92,AY1660/3356)),F1660&lt;&gt;0,SUM(L1660,Q1660,V1660,AA1660,AF1660,AK1660,AP1660,AU1660))))</f>
        <v xml:space="preserve"> </v>
      </c>
      <c r="BE1660" s="120"/>
      <c r="BF1660" s="120"/>
      <c r="BG1660" s="120"/>
    </row>
    <row r="1661" spans="1:59" s="3" customFormat="1" x14ac:dyDescent="0.3">
      <c r="A1661" s="15" t="str">
        <f t="shared" si="325"/>
        <v/>
      </c>
      <c r="B1661" s="25"/>
      <c r="C1661" s="26"/>
      <c r="D1661" s="279"/>
      <c r="E1661" s="27"/>
      <c r="F1661" s="28"/>
      <c r="G1661" s="27"/>
      <c r="H1661" s="28"/>
      <c r="I1661" s="28"/>
      <c r="J1661" s="255" t="str">
        <f>IF(H1661="","",(_xlfn.XLOOKUP(H1661,Cadastros!$D$6:$D$90,Cadastros!$E$6:$E$90))*(1-_xlfn.XLOOKUP(_xlfn.XLOOKUP($F1661,Clientes!$B$4:$B$39,Clientes!$C$4:$C$39),Cadastros!$L$6:$L$12,Cadastros!$N$6:$N$12)))</f>
        <v/>
      </c>
      <c r="K1661" s="168" t="str">
        <f t="shared" si="326"/>
        <v/>
      </c>
      <c r="L1661" s="168" t="str">
        <f>IFERROR(K1661/_xlfn.XLOOKUP(_xlfn.XLOOKUP($F1661,Clientes!$B$4:$B$39,Clientes!$C$4:$C$39),Cadastros!$L$6:$L$12,Cadastros!$M$6:$M$12)," ")</f>
        <v xml:space="preserve"> </v>
      </c>
      <c r="M1661" s="28"/>
      <c r="N1661" s="28"/>
      <c r="O1661" s="255" t="str">
        <f>IF(M1661="","",(_xlfn.XLOOKUP(M1661,Cadastros!$D$6:$D$90,Cadastros!$E$6:$E$90))*(1-_xlfn.XLOOKUP(_xlfn.XLOOKUP($F1661,Clientes!$B$4:$B$39,Clientes!$C$4:$C$39),Cadastros!$L$6:$L$12,Cadastros!$N$6:$N$12)))</f>
        <v/>
      </c>
      <c r="P1661" s="168" t="str">
        <f t="shared" si="327"/>
        <v/>
      </c>
      <c r="Q1661" s="168" t="str">
        <f>IFERROR(P1661/_xlfn.XLOOKUP(_xlfn.XLOOKUP($F1661,Clientes!$B$4:$B$39,Clientes!$C$4:$C$39),Cadastros!$L$6:$L$12,Cadastros!$M$6:$M$12)," ")</f>
        <v xml:space="preserve"> </v>
      </c>
      <c r="R1661" s="28"/>
      <c r="S1661" s="28"/>
      <c r="T1661" s="255" t="str">
        <f>IF(R1661="","",(_xlfn.XLOOKUP(R1661,Cadastros!$D$6:$D$90,Cadastros!$E$6:$E$90))*(1-_xlfn.XLOOKUP(_xlfn.XLOOKUP($F1661,Clientes!$B$4:$B$39,Clientes!$C$4:$C$39),Cadastros!$L$6:$L$12,Cadastros!$N$6:$N$12)))</f>
        <v/>
      </c>
      <c r="U1661" s="168" t="str">
        <f t="shared" si="328"/>
        <v/>
      </c>
      <c r="V1661" s="168" t="str">
        <f>IFERROR(U1661/_xlfn.XLOOKUP(_xlfn.XLOOKUP($F1661,Clientes!$B$4:$B$39,Clientes!$C$4:$C$39),Cadastros!$L$6:$L$12,Cadastros!$M$6:$M$12)," ")</f>
        <v xml:space="preserve"> </v>
      </c>
      <c r="W1661" s="28"/>
      <c r="X1661" s="28"/>
      <c r="Y1661" s="255" t="str">
        <f>IF(W1661="","",(_xlfn.XLOOKUP(W1661,Cadastros!$D$6:$D$90,Cadastros!$E$6:$E$90))*(1-_xlfn.XLOOKUP(_xlfn.XLOOKUP($F1661,Clientes!$B$4:$B$39,Clientes!$C$4:$C$39),Cadastros!$L$6:$L$12,Cadastros!$N$6:$N$12)))</f>
        <v/>
      </c>
      <c r="Z1661" s="168" t="str">
        <f t="shared" si="329"/>
        <v/>
      </c>
      <c r="AA1661" s="168" t="str">
        <f>IFERROR(Z1661/_xlfn.XLOOKUP(_xlfn.XLOOKUP($F1661,Clientes!$B$4:$B$39,Clientes!$C$4:$C$39),Cadastros!$L$6:$L$12,Cadastros!$M$6:$M$12)," ")</f>
        <v xml:space="preserve"> </v>
      </c>
      <c r="AB1661" s="28"/>
      <c r="AC1661" s="28"/>
      <c r="AD1661" s="20" t="str">
        <f>IF(AB1661="","",IF($F1661="Bernardino Furlan",_xlfn.XLOOKUP(AB1661,Cadastros!$G$6:$G$90,Cadastros!$H$6:$H$90)*(1-0.18),IF($F1661="Mauro José Salanti",_xlfn.XLOOKUP(AB1661,Cadastros!$G$6:$G$90,Cadastros!$H$6:$H$90)*(1-0.18),_xlfn.XLOOKUP(AB1661,Cadastros!$G$6:$G$90,Cadastros!$H$6:$H$90))))</f>
        <v/>
      </c>
      <c r="AE1661" s="168" t="str">
        <f t="shared" si="330"/>
        <v/>
      </c>
      <c r="AF1661" s="168" t="str">
        <f t="shared" si="331"/>
        <v/>
      </c>
      <c r="AG1661" s="28"/>
      <c r="AH1661" s="28"/>
      <c r="AI1661" s="20" t="str">
        <f>IF(AG1661="","",IF($F1661="Bernardino Furlan",_xlfn.XLOOKUP(AG1661,Cadastros!$G$6:$G$90,Cadastros!$H$6:$H$90)*(1-0.18),IF($F1661="Mauro José Salanti",_xlfn.XLOOKUP(AG1661,Cadastros!$G$6:$G$90,Cadastros!$H$6:$H$90)*(1-0.18),_xlfn.XLOOKUP(AG1661,Cadastros!$G$6:$G$90,Cadastros!$H$6:$H$90))))</f>
        <v/>
      </c>
      <c r="AJ1661" s="168" t="str">
        <f t="shared" si="332"/>
        <v/>
      </c>
      <c r="AK1661" s="168" t="str">
        <f t="shared" si="333"/>
        <v/>
      </c>
      <c r="AL1661" s="28"/>
      <c r="AM1661" s="28"/>
      <c r="AN1661" s="20" t="str">
        <f>IF(AL1661="","",IF($F1661="Bernardino Furlan",_xlfn.XLOOKUP(AL1661,Cadastros!$G$6:$G$90,Cadastros!$H$6:$H$90)*(1-0.18),IF($F1661="Mauro José Salanti",_xlfn.XLOOKUP(AL1661,Cadastros!$G$6:$G$90,Cadastros!$H$6:$H$90)*(1-0.18),_xlfn.XLOOKUP(AL1661,Cadastros!$G$6:$G$90,Cadastros!$H$6:$H$90))))</f>
        <v/>
      </c>
      <c r="AO1661" s="168" t="str">
        <f t="shared" si="334"/>
        <v/>
      </c>
      <c r="AP1661" s="168" t="str">
        <f t="shared" si="335"/>
        <v/>
      </c>
      <c r="AQ1661" s="28"/>
      <c r="AR1661" s="28"/>
      <c r="AS1661" s="20" t="str">
        <f>IF(AQ1661="","",IF($F1661="Bernardino Furlan",_xlfn.XLOOKUP(AQ1661,Cadastros!$G$6:$G$90,Cadastros!$H$6:$H$90)*(1-0.18),IF($F1661="Mauro José Salanti",_xlfn.XLOOKUP(AQ1661,Cadastros!$G$6:$G$90,Cadastros!$H$6:$H$90)*(1-0.18),_xlfn.XLOOKUP(AQ1661,Cadastros!$G$6:$G$90,Cadastros!$H$6:$H$90))))</f>
        <v/>
      </c>
      <c r="AT1661" s="168" t="str">
        <f t="shared" si="336"/>
        <v/>
      </c>
      <c r="AU1661" s="168" t="str">
        <f t="shared" si="337"/>
        <v/>
      </c>
      <c r="AV1661" s="227"/>
      <c r="AW1661" s="30"/>
      <c r="AX1661" s="267"/>
      <c r="AY1661" s="267"/>
      <c r="AZ1661" s="29"/>
      <c r="BA1661" s="30"/>
      <c r="BB1661" s="23" t="str" cm="1">
        <f t="array" ref="BB1661">_xlfn.IFS(AW1661="SIM",SUM(K1661,P1661,U1661,Z1661,AE1661,AJ1661,AO1661,AT1661,AX1661,AY1661),F1661&lt;&gt;"",SUM(K1661,P1661,U1661,Z1661,AE1661,AJ1661,,AO1661,AT1661),F1661="","")</f>
        <v/>
      </c>
      <c r="BC1661" s="211" t="str" cm="1">
        <f t="array" ref="BC1661">_xlfn.IFS(E1661="","",G1661&lt;=E1661,BB1661*(1-0.03),G1661&lt;(E1661+8),BB1661,AZ1661="Boleto",BB1661*(1+0.001)^DATEDIF(E1661,G1661,"D"),AZ1661="Cheque",BB1661,AZ1661="Dinheiro","Alterar forma pgto")</f>
        <v/>
      </c>
      <c r="BD1661" s="276" t="str" cm="1">
        <f t="array" ref="BD1661">IF(F1661=0," ",IF(BC1661&lt;BB1661,(_xlfn.IFS(AW1661="SIM",SUM(L1661,Q1661,V1661,AA1661,AF1661,AK1661,AP1661,AU1661)+AX1661/_xlfn.XLOOKUP(_xlfn.XLOOKUP($F1661,Clientes!$B$4:$B$39,Clientes!$C$4:$C$39),Cadastros!$L$6:$L$12,Cadastros!$M$6:$M$12)+IF($F1661="Bernardino Furlan",AY1661/2751.92,IF($F1661="Mauro José Salanti",AY1661/2751.92,AY1661/3356)),F1661&lt;&gt;0,SUM(L1661,Q1661,V1661,AA1661,AF1661,AK1661,AP1661,AU1661)))*(1-0.03),_xlfn.IFS(AW1661="SIM",SUM(L1661,Q1661,V1661,AA1661,AF1661,AK1661,AP1661,AU1661)+AX1661/_xlfn.XLOOKUP(_xlfn.XLOOKUP($F1661,Clientes!$B$4:$B$39,Clientes!$C$4:$C$39),Cadastros!$L$6:$L$12,Cadastros!$M$6:$M$12)+IF($F1661="Bernardino Furlan",AY1661/2751.92,IF($F1661="Mauro José Salanti",AY1661/2751.92,AY1661/3356)),F1661&lt;&gt;0,SUM(L1661,Q1661,V1661,AA1661,AF1661,AK1661,AP1661,AU1661))))</f>
        <v xml:space="preserve"> </v>
      </c>
      <c r="BE1661" s="120"/>
      <c r="BF1661" s="120"/>
      <c r="BG1661" s="120"/>
    </row>
    <row r="1662" spans="1:59" s="3" customFormat="1" x14ac:dyDescent="0.3">
      <c r="A1662" s="15" t="str">
        <f t="shared" si="325"/>
        <v/>
      </c>
      <c r="B1662" s="25"/>
      <c r="C1662" s="26"/>
      <c r="D1662" s="279"/>
      <c r="E1662" s="27"/>
      <c r="F1662" s="28"/>
      <c r="G1662" s="27"/>
      <c r="H1662" s="28"/>
      <c r="I1662" s="28"/>
      <c r="J1662" s="255" t="str">
        <f>IF(H1662="","",(_xlfn.XLOOKUP(H1662,Cadastros!$D$6:$D$90,Cadastros!$E$6:$E$90))*(1-_xlfn.XLOOKUP(_xlfn.XLOOKUP($F1662,Clientes!$B$4:$B$39,Clientes!$C$4:$C$39),Cadastros!$L$6:$L$12,Cadastros!$N$6:$N$12)))</f>
        <v/>
      </c>
      <c r="K1662" s="168" t="str">
        <f t="shared" si="326"/>
        <v/>
      </c>
      <c r="L1662" s="168" t="str">
        <f>IFERROR(K1662/_xlfn.XLOOKUP(_xlfn.XLOOKUP($F1662,Clientes!$B$4:$B$39,Clientes!$C$4:$C$39),Cadastros!$L$6:$L$12,Cadastros!$M$6:$M$12)," ")</f>
        <v xml:space="preserve"> </v>
      </c>
      <c r="M1662" s="28"/>
      <c r="N1662" s="28"/>
      <c r="O1662" s="255" t="str">
        <f>IF(M1662="","",(_xlfn.XLOOKUP(M1662,Cadastros!$D$6:$D$90,Cadastros!$E$6:$E$90))*(1-_xlfn.XLOOKUP(_xlfn.XLOOKUP($F1662,Clientes!$B$4:$B$39,Clientes!$C$4:$C$39),Cadastros!$L$6:$L$12,Cadastros!$N$6:$N$12)))</f>
        <v/>
      </c>
      <c r="P1662" s="168" t="str">
        <f t="shared" si="327"/>
        <v/>
      </c>
      <c r="Q1662" s="168" t="str">
        <f>IFERROR(P1662/_xlfn.XLOOKUP(_xlfn.XLOOKUP($F1662,Clientes!$B$4:$B$39,Clientes!$C$4:$C$39),Cadastros!$L$6:$L$12,Cadastros!$M$6:$M$12)," ")</f>
        <v xml:space="preserve"> </v>
      </c>
      <c r="R1662" s="28"/>
      <c r="S1662" s="28"/>
      <c r="T1662" s="255" t="str">
        <f>IF(R1662="","",(_xlfn.XLOOKUP(R1662,Cadastros!$D$6:$D$90,Cadastros!$E$6:$E$90))*(1-_xlfn.XLOOKUP(_xlfn.XLOOKUP($F1662,Clientes!$B$4:$B$39,Clientes!$C$4:$C$39),Cadastros!$L$6:$L$12,Cadastros!$N$6:$N$12)))</f>
        <v/>
      </c>
      <c r="U1662" s="168" t="str">
        <f t="shared" si="328"/>
        <v/>
      </c>
      <c r="V1662" s="168" t="str">
        <f>IFERROR(U1662/_xlfn.XLOOKUP(_xlfn.XLOOKUP($F1662,Clientes!$B$4:$B$39,Clientes!$C$4:$C$39),Cadastros!$L$6:$L$12,Cadastros!$M$6:$M$12)," ")</f>
        <v xml:space="preserve"> </v>
      </c>
      <c r="W1662" s="28"/>
      <c r="X1662" s="28"/>
      <c r="Y1662" s="255" t="str">
        <f>IF(W1662="","",(_xlfn.XLOOKUP(W1662,Cadastros!$D$6:$D$90,Cadastros!$E$6:$E$90))*(1-_xlfn.XLOOKUP(_xlfn.XLOOKUP($F1662,Clientes!$B$4:$B$39,Clientes!$C$4:$C$39),Cadastros!$L$6:$L$12,Cadastros!$N$6:$N$12)))</f>
        <v/>
      </c>
      <c r="Z1662" s="168" t="str">
        <f t="shared" si="329"/>
        <v/>
      </c>
      <c r="AA1662" s="168" t="str">
        <f>IFERROR(Z1662/_xlfn.XLOOKUP(_xlfn.XLOOKUP($F1662,Clientes!$B$4:$B$39,Clientes!$C$4:$C$39),Cadastros!$L$6:$L$12,Cadastros!$M$6:$M$12)," ")</f>
        <v xml:space="preserve"> </v>
      </c>
      <c r="AB1662" s="28"/>
      <c r="AC1662" s="28"/>
      <c r="AD1662" s="20" t="str">
        <f>IF(AB1662="","",IF($F1662="Bernardino Furlan",_xlfn.XLOOKUP(AB1662,Cadastros!$G$6:$G$90,Cadastros!$H$6:$H$90)*(1-0.18),IF($F1662="Mauro José Salanti",_xlfn.XLOOKUP(AB1662,Cadastros!$G$6:$G$90,Cadastros!$H$6:$H$90)*(1-0.18),_xlfn.XLOOKUP(AB1662,Cadastros!$G$6:$G$90,Cadastros!$H$6:$H$90))))</f>
        <v/>
      </c>
      <c r="AE1662" s="168" t="str">
        <f t="shared" si="330"/>
        <v/>
      </c>
      <c r="AF1662" s="168" t="str">
        <f t="shared" si="331"/>
        <v/>
      </c>
      <c r="AG1662" s="28"/>
      <c r="AH1662" s="28"/>
      <c r="AI1662" s="20" t="str">
        <f>IF(AG1662="","",IF($F1662="Bernardino Furlan",_xlfn.XLOOKUP(AG1662,Cadastros!$G$6:$G$90,Cadastros!$H$6:$H$90)*(1-0.18),IF($F1662="Mauro José Salanti",_xlfn.XLOOKUP(AG1662,Cadastros!$G$6:$G$90,Cadastros!$H$6:$H$90)*(1-0.18),_xlfn.XLOOKUP(AG1662,Cadastros!$G$6:$G$90,Cadastros!$H$6:$H$90))))</f>
        <v/>
      </c>
      <c r="AJ1662" s="168" t="str">
        <f t="shared" si="332"/>
        <v/>
      </c>
      <c r="AK1662" s="168" t="str">
        <f t="shared" si="333"/>
        <v/>
      </c>
      <c r="AL1662" s="28"/>
      <c r="AM1662" s="28"/>
      <c r="AN1662" s="20" t="str">
        <f>IF(AL1662="","",IF($F1662="Bernardino Furlan",_xlfn.XLOOKUP(AL1662,Cadastros!$G$6:$G$90,Cadastros!$H$6:$H$90)*(1-0.18),IF($F1662="Mauro José Salanti",_xlfn.XLOOKUP(AL1662,Cadastros!$G$6:$G$90,Cadastros!$H$6:$H$90)*(1-0.18),_xlfn.XLOOKUP(AL1662,Cadastros!$G$6:$G$90,Cadastros!$H$6:$H$90))))</f>
        <v/>
      </c>
      <c r="AO1662" s="168" t="str">
        <f t="shared" si="334"/>
        <v/>
      </c>
      <c r="AP1662" s="168" t="str">
        <f t="shared" si="335"/>
        <v/>
      </c>
      <c r="AQ1662" s="28"/>
      <c r="AR1662" s="28"/>
      <c r="AS1662" s="20" t="str">
        <f>IF(AQ1662="","",IF($F1662="Bernardino Furlan",_xlfn.XLOOKUP(AQ1662,Cadastros!$G$6:$G$90,Cadastros!$H$6:$H$90)*(1-0.18),IF($F1662="Mauro José Salanti",_xlfn.XLOOKUP(AQ1662,Cadastros!$G$6:$G$90,Cadastros!$H$6:$H$90)*(1-0.18),_xlfn.XLOOKUP(AQ1662,Cadastros!$G$6:$G$90,Cadastros!$H$6:$H$90))))</f>
        <v/>
      </c>
      <c r="AT1662" s="168" t="str">
        <f t="shared" si="336"/>
        <v/>
      </c>
      <c r="AU1662" s="168" t="str">
        <f t="shared" si="337"/>
        <v/>
      </c>
      <c r="AV1662" s="227"/>
      <c r="AW1662" s="30"/>
      <c r="AX1662" s="267"/>
      <c r="AY1662" s="267"/>
      <c r="AZ1662" s="29"/>
      <c r="BA1662" s="30"/>
      <c r="BB1662" s="23" t="str" cm="1">
        <f t="array" ref="BB1662">_xlfn.IFS(AW1662="SIM",SUM(K1662,P1662,U1662,Z1662,AE1662,AJ1662,AO1662,AT1662,AX1662,AY1662),F1662&lt;&gt;"",SUM(K1662,P1662,U1662,Z1662,AE1662,AJ1662,,AO1662,AT1662),F1662="","")</f>
        <v/>
      </c>
      <c r="BC1662" s="211" t="str" cm="1">
        <f t="array" ref="BC1662">_xlfn.IFS(E1662="","",G1662&lt;=E1662,BB1662*(1-0.03),G1662&lt;(E1662+8),BB1662,AZ1662="Boleto",BB1662*(1+0.001)^DATEDIF(E1662,G1662,"D"),AZ1662="Cheque",BB1662,AZ1662="Dinheiro","Alterar forma pgto")</f>
        <v/>
      </c>
      <c r="BD1662" s="276" t="str" cm="1">
        <f t="array" ref="BD1662">IF(F1662=0," ",IF(BC1662&lt;BB1662,(_xlfn.IFS(AW1662="SIM",SUM(L1662,Q1662,V1662,AA1662,AF1662,AK1662,AP1662,AU1662)+AX1662/_xlfn.XLOOKUP(_xlfn.XLOOKUP($F1662,Clientes!$B$4:$B$39,Clientes!$C$4:$C$39),Cadastros!$L$6:$L$12,Cadastros!$M$6:$M$12)+IF($F1662="Bernardino Furlan",AY1662/2751.92,IF($F1662="Mauro José Salanti",AY1662/2751.92,AY1662/3356)),F1662&lt;&gt;0,SUM(L1662,Q1662,V1662,AA1662,AF1662,AK1662,AP1662,AU1662)))*(1-0.03),_xlfn.IFS(AW1662="SIM",SUM(L1662,Q1662,V1662,AA1662,AF1662,AK1662,AP1662,AU1662)+AX1662/_xlfn.XLOOKUP(_xlfn.XLOOKUP($F1662,Clientes!$B$4:$B$39,Clientes!$C$4:$C$39),Cadastros!$L$6:$L$12,Cadastros!$M$6:$M$12)+IF($F1662="Bernardino Furlan",AY1662/2751.92,IF($F1662="Mauro José Salanti",AY1662/2751.92,AY1662/3356)),F1662&lt;&gt;0,SUM(L1662,Q1662,V1662,AA1662,AF1662,AK1662,AP1662,AU1662))))</f>
        <v xml:space="preserve"> </v>
      </c>
      <c r="BE1662" s="120"/>
      <c r="BF1662" s="120"/>
      <c r="BG1662" s="120"/>
    </row>
    <row r="1663" spans="1:59" s="3" customFormat="1" x14ac:dyDescent="0.3">
      <c r="A1663" s="15" t="str">
        <f t="shared" si="325"/>
        <v/>
      </c>
      <c r="B1663" s="25"/>
      <c r="C1663" s="26"/>
      <c r="D1663" s="279"/>
      <c r="E1663" s="27"/>
      <c r="F1663" s="28"/>
      <c r="G1663" s="27"/>
      <c r="H1663" s="28"/>
      <c r="I1663" s="28"/>
      <c r="J1663" s="255" t="str">
        <f>IF(H1663="","",(_xlfn.XLOOKUP(H1663,Cadastros!$D$6:$D$90,Cadastros!$E$6:$E$90))*(1-_xlfn.XLOOKUP(_xlfn.XLOOKUP($F1663,Clientes!$B$4:$B$39,Clientes!$C$4:$C$39),Cadastros!$L$6:$L$12,Cadastros!$N$6:$N$12)))</f>
        <v/>
      </c>
      <c r="K1663" s="168" t="str">
        <f t="shared" si="326"/>
        <v/>
      </c>
      <c r="L1663" s="168" t="str">
        <f>IFERROR(K1663/_xlfn.XLOOKUP(_xlfn.XLOOKUP($F1663,Clientes!$B$4:$B$39,Clientes!$C$4:$C$39),Cadastros!$L$6:$L$12,Cadastros!$M$6:$M$12)," ")</f>
        <v xml:space="preserve"> </v>
      </c>
      <c r="M1663" s="28"/>
      <c r="N1663" s="28"/>
      <c r="O1663" s="255" t="str">
        <f>IF(M1663="","",(_xlfn.XLOOKUP(M1663,Cadastros!$D$6:$D$90,Cadastros!$E$6:$E$90))*(1-_xlfn.XLOOKUP(_xlfn.XLOOKUP($F1663,Clientes!$B$4:$B$39,Clientes!$C$4:$C$39),Cadastros!$L$6:$L$12,Cadastros!$N$6:$N$12)))</f>
        <v/>
      </c>
      <c r="P1663" s="168" t="str">
        <f t="shared" si="327"/>
        <v/>
      </c>
      <c r="Q1663" s="168" t="str">
        <f>IFERROR(P1663/_xlfn.XLOOKUP(_xlfn.XLOOKUP($F1663,Clientes!$B$4:$B$39,Clientes!$C$4:$C$39),Cadastros!$L$6:$L$12,Cadastros!$M$6:$M$12)," ")</f>
        <v xml:space="preserve"> </v>
      </c>
      <c r="R1663" s="28"/>
      <c r="S1663" s="28"/>
      <c r="T1663" s="255" t="str">
        <f>IF(R1663="","",(_xlfn.XLOOKUP(R1663,Cadastros!$D$6:$D$90,Cadastros!$E$6:$E$90))*(1-_xlfn.XLOOKUP(_xlfn.XLOOKUP($F1663,Clientes!$B$4:$B$39,Clientes!$C$4:$C$39),Cadastros!$L$6:$L$12,Cadastros!$N$6:$N$12)))</f>
        <v/>
      </c>
      <c r="U1663" s="168" t="str">
        <f t="shared" si="328"/>
        <v/>
      </c>
      <c r="V1663" s="168" t="str">
        <f>IFERROR(U1663/_xlfn.XLOOKUP(_xlfn.XLOOKUP($F1663,Clientes!$B$4:$B$39,Clientes!$C$4:$C$39),Cadastros!$L$6:$L$12,Cadastros!$M$6:$M$12)," ")</f>
        <v xml:space="preserve"> </v>
      </c>
      <c r="W1663" s="28"/>
      <c r="X1663" s="28"/>
      <c r="Y1663" s="255" t="str">
        <f>IF(W1663="","",(_xlfn.XLOOKUP(W1663,Cadastros!$D$6:$D$90,Cadastros!$E$6:$E$90))*(1-_xlfn.XLOOKUP(_xlfn.XLOOKUP($F1663,Clientes!$B$4:$B$39,Clientes!$C$4:$C$39),Cadastros!$L$6:$L$12,Cadastros!$N$6:$N$12)))</f>
        <v/>
      </c>
      <c r="Z1663" s="168" t="str">
        <f t="shared" si="329"/>
        <v/>
      </c>
      <c r="AA1663" s="168" t="str">
        <f>IFERROR(Z1663/_xlfn.XLOOKUP(_xlfn.XLOOKUP($F1663,Clientes!$B$4:$B$39,Clientes!$C$4:$C$39),Cadastros!$L$6:$L$12,Cadastros!$M$6:$M$12)," ")</f>
        <v xml:space="preserve"> </v>
      </c>
      <c r="AB1663" s="28"/>
      <c r="AC1663" s="28"/>
      <c r="AD1663" s="20" t="str">
        <f>IF(AB1663="","",IF($F1663="Bernardino Furlan",_xlfn.XLOOKUP(AB1663,Cadastros!$G$6:$G$90,Cadastros!$H$6:$H$90)*(1-0.18),IF($F1663="Mauro José Salanti",_xlfn.XLOOKUP(AB1663,Cadastros!$G$6:$G$90,Cadastros!$H$6:$H$90)*(1-0.18),_xlfn.XLOOKUP(AB1663,Cadastros!$G$6:$G$90,Cadastros!$H$6:$H$90))))</f>
        <v/>
      </c>
      <c r="AE1663" s="168" t="str">
        <f t="shared" si="330"/>
        <v/>
      </c>
      <c r="AF1663" s="168" t="str">
        <f t="shared" si="331"/>
        <v/>
      </c>
      <c r="AG1663" s="28"/>
      <c r="AH1663" s="28"/>
      <c r="AI1663" s="20" t="str">
        <f>IF(AG1663="","",IF($F1663="Bernardino Furlan",_xlfn.XLOOKUP(AG1663,Cadastros!$G$6:$G$90,Cadastros!$H$6:$H$90)*(1-0.18),IF($F1663="Mauro José Salanti",_xlfn.XLOOKUP(AG1663,Cadastros!$G$6:$G$90,Cadastros!$H$6:$H$90)*(1-0.18),_xlfn.XLOOKUP(AG1663,Cadastros!$G$6:$G$90,Cadastros!$H$6:$H$90))))</f>
        <v/>
      </c>
      <c r="AJ1663" s="168" t="str">
        <f t="shared" si="332"/>
        <v/>
      </c>
      <c r="AK1663" s="168" t="str">
        <f t="shared" si="333"/>
        <v/>
      </c>
      <c r="AL1663" s="28"/>
      <c r="AM1663" s="28"/>
      <c r="AN1663" s="20" t="str">
        <f>IF(AL1663="","",IF($F1663="Bernardino Furlan",_xlfn.XLOOKUP(AL1663,Cadastros!$G$6:$G$90,Cadastros!$H$6:$H$90)*(1-0.18),IF($F1663="Mauro José Salanti",_xlfn.XLOOKUP(AL1663,Cadastros!$G$6:$G$90,Cadastros!$H$6:$H$90)*(1-0.18),_xlfn.XLOOKUP(AL1663,Cadastros!$G$6:$G$90,Cadastros!$H$6:$H$90))))</f>
        <v/>
      </c>
      <c r="AO1663" s="168" t="str">
        <f t="shared" si="334"/>
        <v/>
      </c>
      <c r="AP1663" s="168" t="str">
        <f t="shared" si="335"/>
        <v/>
      </c>
      <c r="AQ1663" s="28"/>
      <c r="AR1663" s="28"/>
      <c r="AS1663" s="20" t="str">
        <f>IF(AQ1663="","",IF($F1663="Bernardino Furlan",_xlfn.XLOOKUP(AQ1663,Cadastros!$G$6:$G$90,Cadastros!$H$6:$H$90)*(1-0.18),IF($F1663="Mauro José Salanti",_xlfn.XLOOKUP(AQ1663,Cadastros!$G$6:$G$90,Cadastros!$H$6:$H$90)*(1-0.18),_xlfn.XLOOKUP(AQ1663,Cadastros!$G$6:$G$90,Cadastros!$H$6:$H$90))))</f>
        <v/>
      </c>
      <c r="AT1663" s="168" t="str">
        <f t="shared" si="336"/>
        <v/>
      </c>
      <c r="AU1663" s="168" t="str">
        <f t="shared" si="337"/>
        <v/>
      </c>
      <c r="AV1663" s="227"/>
      <c r="AW1663" s="30"/>
      <c r="AX1663" s="267"/>
      <c r="AY1663" s="267"/>
      <c r="AZ1663" s="29"/>
      <c r="BA1663" s="30"/>
      <c r="BB1663" s="23" t="str" cm="1">
        <f t="array" ref="BB1663">_xlfn.IFS(AW1663="SIM",SUM(K1663,P1663,U1663,Z1663,AE1663,AJ1663,AO1663,AT1663,AX1663,AY1663),F1663&lt;&gt;"",SUM(K1663,P1663,U1663,Z1663,AE1663,AJ1663,,AO1663,AT1663),F1663="","")</f>
        <v/>
      </c>
      <c r="BC1663" s="211" t="str" cm="1">
        <f t="array" ref="BC1663">_xlfn.IFS(E1663="","",G1663&lt;=E1663,BB1663*(1-0.03),G1663&lt;(E1663+8),BB1663,AZ1663="Boleto",BB1663*(1+0.001)^DATEDIF(E1663,G1663,"D"),AZ1663="Cheque",BB1663,AZ1663="Dinheiro","Alterar forma pgto")</f>
        <v/>
      </c>
      <c r="BD1663" s="276" t="str" cm="1">
        <f t="array" ref="BD1663">IF(F1663=0," ",IF(BC1663&lt;BB1663,(_xlfn.IFS(AW1663="SIM",SUM(L1663,Q1663,V1663,AA1663,AF1663,AK1663,AP1663,AU1663)+AX1663/_xlfn.XLOOKUP(_xlfn.XLOOKUP($F1663,Clientes!$B$4:$B$39,Clientes!$C$4:$C$39),Cadastros!$L$6:$L$12,Cadastros!$M$6:$M$12)+IF($F1663="Bernardino Furlan",AY1663/2751.92,IF($F1663="Mauro José Salanti",AY1663/2751.92,AY1663/3356)),F1663&lt;&gt;0,SUM(L1663,Q1663,V1663,AA1663,AF1663,AK1663,AP1663,AU1663)))*(1-0.03),_xlfn.IFS(AW1663="SIM",SUM(L1663,Q1663,V1663,AA1663,AF1663,AK1663,AP1663,AU1663)+AX1663/_xlfn.XLOOKUP(_xlfn.XLOOKUP($F1663,Clientes!$B$4:$B$39,Clientes!$C$4:$C$39),Cadastros!$L$6:$L$12,Cadastros!$M$6:$M$12)+IF($F1663="Bernardino Furlan",AY1663/2751.92,IF($F1663="Mauro José Salanti",AY1663/2751.92,AY1663/3356)),F1663&lt;&gt;0,SUM(L1663,Q1663,V1663,AA1663,AF1663,AK1663,AP1663,AU1663))))</f>
        <v xml:space="preserve"> </v>
      </c>
      <c r="BE1663" s="120"/>
      <c r="BF1663" s="120"/>
      <c r="BG1663" s="120"/>
    </row>
    <row r="1664" spans="1:59" s="3" customFormat="1" x14ac:dyDescent="0.3">
      <c r="A1664" s="15" t="str">
        <f t="shared" si="325"/>
        <v/>
      </c>
      <c r="B1664" s="25"/>
      <c r="C1664" s="26"/>
      <c r="D1664" s="279"/>
      <c r="E1664" s="27"/>
      <c r="F1664" s="28"/>
      <c r="G1664" s="27"/>
      <c r="H1664" s="28"/>
      <c r="I1664" s="28"/>
      <c r="J1664" s="255" t="str">
        <f>IF(H1664="","",(_xlfn.XLOOKUP(H1664,Cadastros!$D$6:$D$90,Cadastros!$E$6:$E$90))*(1-_xlfn.XLOOKUP(_xlfn.XLOOKUP($F1664,Clientes!$B$4:$B$39,Clientes!$C$4:$C$39),Cadastros!$L$6:$L$12,Cadastros!$N$6:$N$12)))</f>
        <v/>
      </c>
      <c r="K1664" s="168" t="str">
        <f t="shared" si="326"/>
        <v/>
      </c>
      <c r="L1664" s="168" t="str">
        <f>IFERROR(K1664/_xlfn.XLOOKUP(_xlfn.XLOOKUP($F1664,Clientes!$B$4:$B$39,Clientes!$C$4:$C$39),Cadastros!$L$6:$L$12,Cadastros!$M$6:$M$12)," ")</f>
        <v xml:space="preserve"> </v>
      </c>
      <c r="M1664" s="28"/>
      <c r="N1664" s="28"/>
      <c r="O1664" s="255" t="str">
        <f>IF(M1664="","",(_xlfn.XLOOKUP(M1664,Cadastros!$D$6:$D$90,Cadastros!$E$6:$E$90))*(1-_xlfn.XLOOKUP(_xlfn.XLOOKUP($F1664,Clientes!$B$4:$B$39,Clientes!$C$4:$C$39),Cadastros!$L$6:$L$12,Cadastros!$N$6:$N$12)))</f>
        <v/>
      </c>
      <c r="P1664" s="168" t="str">
        <f t="shared" si="327"/>
        <v/>
      </c>
      <c r="Q1664" s="168" t="str">
        <f>IFERROR(P1664/_xlfn.XLOOKUP(_xlfn.XLOOKUP($F1664,Clientes!$B$4:$B$39,Clientes!$C$4:$C$39),Cadastros!$L$6:$L$12,Cadastros!$M$6:$M$12)," ")</f>
        <v xml:space="preserve"> </v>
      </c>
      <c r="R1664" s="28"/>
      <c r="S1664" s="28"/>
      <c r="T1664" s="255" t="str">
        <f>IF(R1664="","",(_xlfn.XLOOKUP(R1664,Cadastros!$D$6:$D$90,Cadastros!$E$6:$E$90))*(1-_xlfn.XLOOKUP(_xlfn.XLOOKUP($F1664,Clientes!$B$4:$B$39,Clientes!$C$4:$C$39),Cadastros!$L$6:$L$12,Cadastros!$N$6:$N$12)))</f>
        <v/>
      </c>
      <c r="U1664" s="168" t="str">
        <f t="shared" si="328"/>
        <v/>
      </c>
      <c r="V1664" s="168" t="str">
        <f>IFERROR(U1664/_xlfn.XLOOKUP(_xlfn.XLOOKUP($F1664,Clientes!$B$4:$B$39,Clientes!$C$4:$C$39),Cadastros!$L$6:$L$12,Cadastros!$M$6:$M$12)," ")</f>
        <v xml:space="preserve"> </v>
      </c>
      <c r="W1664" s="28"/>
      <c r="X1664" s="28"/>
      <c r="Y1664" s="255" t="str">
        <f>IF(W1664="","",(_xlfn.XLOOKUP(W1664,Cadastros!$D$6:$D$90,Cadastros!$E$6:$E$90))*(1-_xlfn.XLOOKUP(_xlfn.XLOOKUP($F1664,Clientes!$B$4:$B$39,Clientes!$C$4:$C$39),Cadastros!$L$6:$L$12,Cadastros!$N$6:$N$12)))</f>
        <v/>
      </c>
      <c r="Z1664" s="168" t="str">
        <f t="shared" si="329"/>
        <v/>
      </c>
      <c r="AA1664" s="168" t="str">
        <f>IFERROR(Z1664/_xlfn.XLOOKUP(_xlfn.XLOOKUP($F1664,Clientes!$B$4:$B$39,Clientes!$C$4:$C$39),Cadastros!$L$6:$L$12,Cadastros!$M$6:$M$12)," ")</f>
        <v xml:space="preserve"> </v>
      </c>
      <c r="AB1664" s="28"/>
      <c r="AC1664" s="28"/>
      <c r="AD1664" s="20" t="str">
        <f>IF(AB1664="","",IF($F1664="Bernardino Furlan",_xlfn.XLOOKUP(AB1664,Cadastros!$G$6:$G$90,Cadastros!$H$6:$H$90)*(1-0.18),IF($F1664="Mauro José Salanti",_xlfn.XLOOKUP(AB1664,Cadastros!$G$6:$G$90,Cadastros!$H$6:$H$90)*(1-0.18),_xlfn.XLOOKUP(AB1664,Cadastros!$G$6:$G$90,Cadastros!$H$6:$H$90))))</f>
        <v/>
      </c>
      <c r="AE1664" s="168" t="str">
        <f t="shared" si="330"/>
        <v/>
      </c>
      <c r="AF1664" s="168" t="str">
        <f t="shared" si="331"/>
        <v/>
      </c>
      <c r="AG1664" s="28"/>
      <c r="AH1664" s="28"/>
      <c r="AI1664" s="20" t="str">
        <f>IF(AG1664="","",IF($F1664="Bernardino Furlan",_xlfn.XLOOKUP(AG1664,Cadastros!$G$6:$G$90,Cadastros!$H$6:$H$90)*(1-0.18),IF($F1664="Mauro José Salanti",_xlfn.XLOOKUP(AG1664,Cadastros!$G$6:$G$90,Cadastros!$H$6:$H$90)*(1-0.18),_xlfn.XLOOKUP(AG1664,Cadastros!$G$6:$G$90,Cadastros!$H$6:$H$90))))</f>
        <v/>
      </c>
      <c r="AJ1664" s="168" t="str">
        <f t="shared" si="332"/>
        <v/>
      </c>
      <c r="AK1664" s="168" t="str">
        <f t="shared" si="333"/>
        <v/>
      </c>
      <c r="AL1664" s="28"/>
      <c r="AM1664" s="28"/>
      <c r="AN1664" s="20" t="str">
        <f>IF(AL1664="","",IF($F1664="Bernardino Furlan",_xlfn.XLOOKUP(AL1664,Cadastros!$G$6:$G$90,Cadastros!$H$6:$H$90)*(1-0.18),IF($F1664="Mauro José Salanti",_xlfn.XLOOKUP(AL1664,Cadastros!$G$6:$G$90,Cadastros!$H$6:$H$90)*(1-0.18),_xlfn.XLOOKUP(AL1664,Cadastros!$G$6:$G$90,Cadastros!$H$6:$H$90))))</f>
        <v/>
      </c>
      <c r="AO1664" s="168" t="str">
        <f t="shared" si="334"/>
        <v/>
      </c>
      <c r="AP1664" s="168" t="str">
        <f t="shared" si="335"/>
        <v/>
      </c>
      <c r="AQ1664" s="28"/>
      <c r="AR1664" s="28"/>
      <c r="AS1664" s="20" t="str">
        <f>IF(AQ1664="","",IF($F1664="Bernardino Furlan",_xlfn.XLOOKUP(AQ1664,Cadastros!$G$6:$G$90,Cadastros!$H$6:$H$90)*(1-0.18),IF($F1664="Mauro José Salanti",_xlfn.XLOOKUP(AQ1664,Cadastros!$G$6:$G$90,Cadastros!$H$6:$H$90)*(1-0.18),_xlfn.XLOOKUP(AQ1664,Cadastros!$G$6:$G$90,Cadastros!$H$6:$H$90))))</f>
        <v/>
      </c>
      <c r="AT1664" s="168" t="str">
        <f t="shared" si="336"/>
        <v/>
      </c>
      <c r="AU1664" s="168" t="str">
        <f t="shared" si="337"/>
        <v/>
      </c>
      <c r="AV1664" s="227"/>
      <c r="AW1664" s="30"/>
      <c r="AX1664" s="267"/>
      <c r="AY1664" s="267"/>
      <c r="AZ1664" s="29"/>
      <c r="BA1664" s="30"/>
      <c r="BB1664" s="23" t="str" cm="1">
        <f t="array" ref="BB1664">_xlfn.IFS(AW1664="SIM",SUM(K1664,P1664,U1664,Z1664,AE1664,AJ1664,AO1664,AT1664,AX1664,AY1664),F1664&lt;&gt;"",SUM(K1664,P1664,U1664,Z1664,AE1664,AJ1664,,AO1664,AT1664),F1664="","")</f>
        <v/>
      </c>
      <c r="BC1664" s="211" t="str" cm="1">
        <f t="array" ref="BC1664">_xlfn.IFS(E1664="","",G1664&lt;=E1664,BB1664*(1-0.03),G1664&lt;(E1664+8),BB1664,AZ1664="Boleto",BB1664*(1+0.001)^DATEDIF(E1664,G1664,"D"),AZ1664="Cheque",BB1664,AZ1664="Dinheiro","Alterar forma pgto")</f>
        <v/>
      </c>
      <c r="BD1664" s="276" t="str" cm="1">
        <f t="array" ref="BD1664">IF(F1664=0," ",IF(BC1664&lt;BB1664,(_xlfn.IFS(AW1664="SIM",SUM(L1664,Q1664,V1664,AA1664,AF1664,AK1664,AP1664,AU1664)+AX1664/_xlfn.XLOOKUP(_xlfn.XLOOKUP($F1664,Clientes!$B$4:$B$39,Clientes!$C$4:$C$39),Cadastros!$L$6:$L$12,Cadastros!$M$6:$M$12)+IF($F1664="Bernardino Furlan",AY1664/2751.92,IF($F1664="Mauro José Salanti",AY1664/2751.92,AY1664/3356)),F1664&lt;&gt;0,SUM(L1664,Q1664,V1664,AA1664,AF1664,AK1664,AP1664,AU1664)))*(1-0.03),_xlfn.IFS(AW1664="SIM",SUM(L1664,Q1664,V1664,AA1664,AF1664,AK1664,AP1664,AU1664)+AX1664/_xlfn.XLOOKUP(_xlfn.XLOOKUP($F1664,Clientes!$B$4:$B$39,Clientes!$C$4:$C$39),Cadastros!$L$6:$L$12,Cadastros!$M$6:$M$12)+IF($F1664="Bernardino Furlan",AY1664/2751.92,IF($F1664="Mauro José Salanti",AY1664/2751.92,AY1664/3356)),F1664&lt;&gt;0,SUM(L1664,Q1664,V1664,AA1664,AF1664,AK1664,AP1664,AU1664))))</f>
        <v xml:space="preserve"> </v>
      </c>
      <c r="BE1664" s="120"/>
      <c r="BF1664" s="120"/>
      <c r="BG1664" s="120"/>
    </row>
    <row r="1665" spans="1:59" s="3" customFormat="1" x14ac:dyDescent="0.3">
      <c r="A1665" s="15" t="str">
        <f t="shared" si="325"/>
        <v/>
      </c>
      <c r="B1665" s="25"/>
      <c r="C1665" s="26"/>
      <c r="D1665" s="279"/>
      <c r="E1665" s="27"/>
      <c r="F1665" s="28"/>
      <c r="G1665" s="27"/>
      <c r="H1665" s="28"/>
      <c r="I1665" s="28"/>
      <c r="J1665" s="255" t="str">
        <f>IF(H1665="","",(_xlfn.XLOOKUP(H1665,Cadastros!$D$6:$D$90,Cadastros!$E$6:$E$90))*(1-_xlfn.XLOOKUP(_xlfn.XLOOKUP($F1665,Clientes!$B$4:$B$39,Clientes!$C$4:$C$39),Cadastros!$L$6:$L$12,Cadastros!$N$6:$N$12)))</f>
        <v/>
      </c>
      <c r="K1665" s="168" t="str">
        <f t="shared" si="326"/>
        <v/>
      </c>
      <c r="L1665" s="168" t="str">
        <f>IFERROR(K1665/_xlfn.XLOOKUP(_xlfn.XLOOKUP($F1665,Clientes!$B$4:$B$39,Clientes!$C$4:$C$39),Cadastros!$L$6:$L$12,Cadastros!$M$6:$M$12)," ")</f>
        <v xml:space="preserve"> </v>
      </c>
      <c r="M1665" s="28"/>
      <c r="N1665" s="28"/>
      <c r="O1665" s="255" t="str">
        <f>IF(M1665="","",(_xlfn.XLOOKUP(M1665,Cadastros!$D$6:$D$90,Cadastros!$E$6:$E$90))*(1-_xlfn.XLOOKUP(_xlfn.XLOOKUP($F1665,Clientes!$B$4:$B$39,Clientes!$C$4:$C$39),Cadastros!$L$6:$L$12,Cadastros!$N$6:$N$12)))</f>
        <v/>
      </c>
      <c r="P1665" s="168" t="str">
        <f t="shared" si="327"/>
        <v/>
      </c>
      <c r="Q1665" s="168" t="str">
        <f>IFERROR(P1665/_xlfn.XLOOKUP(_xlfn.XLOOKUP($F1665,Clientes!$B$4:$B$39,Clientes!$C$4:$C$39),Cadastros!$L$6:$L$12,Cadastros!$M$6:$M$12)," ")</f>
        <v xml:space="preserve"> </v>
      </c>
      <c r="R1665" s="28"/>
      <c r="S1665" s="28"/>
      <c r="T1665" s="255" t="str">
        <f>IF(R1665="","",(_xlfn.XLOOKUP(R1665,Cadastros!$D$6:$D$90,Cadastros!$E$6:$E$90))*(1-_xlfn.XLOOKUP(_xlfn.XLOOKUP($F1665,Clientes!$B$4:$B$39,Clientes!$C$4:$C$39),Cadastros!$L$6:$L$12,Cadastros!$N$6:$N$12)))</f>
        <v/>
      </c>
      <c r="U1665" s="168" t="str">
        <f t="shared" si="328"/>
        <v/>
      </c>
      <c r="V1665" s="168" t="str">
        <f>IFERROR(U1665/_xlfn.XLOOKUP(_xlfn.XLOOKUP($F1665,Clientes!$B$4:$B$39,Clientes!$C$4:$C$39),Cadastros!$L$6:$L$12,Cadastros!$M$6:$M$12)," ")</f>
        <v xml:space="preserve"> </v>
      </c>
      <c r="W1665" s="28"/>
      <c r="X1665" s="28"/>
      <c r="Y1665" s="255" t="str">
        <f>IF(W1665="","",(_xlfn.XLOOKUP(W1665,Cadastros!$D$6:$D$90,Cadastros!$E$6:$E$90))*(1-_xlfn.XLOOKUP(_xlfn.XLOOKUP($F1665,Clientes!$B$4:$B$39,Clientes!$C$4:$C$39),Cadastros!$L$6:$L$12,Cadastros!$N$6:$N$12)))</f>
        <v/>
      </c>
      <c r="Z1665" s="168" t="str">
        <f t="shared" si="329"/>
        <v/>
      </c>
      <c r="AA1665" s="168" t="str">
        <f>IFERROR(Z1665/_xlfn.XLOOKUP(_xlfn.XLOOKUP($F1665,Clientes!$B$4:$B$39,Clientes!$C$4:$C$39),Cadastros!$L$6:$L$12,Cadastros!$M$6:$M$12)," ")</f>
        <v xml:space="preserve"> </v>
      </c>
      <c r="AB1665" s="28"/>
      <c r="AC1665" s="28"/>
      <c r="AD1665" s="20" t="str">
        <f>IF(AB1665="","",IF($F1665="Bernardino Furlan",_xlfn.XLOOKUP(AB1665,Cadastros!$G$6:$G$90,Cadastros!$H$6:$H$90)*(1-0.18),IF($F1665="Mauro José Salanti",_xlfn.XLOOKUP(AB1665,Cadastros!$G$6:$G$90,Cadastros!$H$6:$H$90)*(1-0.18),_xlfn.XLOOKUP(AB1665,Cadastros!$G$6:$G$90,Cadastros!$H$6:$H$90))))</f>
        <v/>
      </c>
      <c r="AE1665" s="168" t="str">
        <f t="shared" si="330"/>
        <v/>
      </c>
      <c r="AF1665" s="168" t="str">
        <f t="shared" si="331"/>
        <v/>
      </c>
      <c r="AG1665" s="28"/>
      <c r="AH1665" s="28"/>
      <c r="AI1665" s="20" t="str">
        <f>IF(AG1665="","",IF($F1665="Bernardino Furlan",_xlfn.XLOOKUP(AG1665,Cadastros!$G$6:$G$90,Cadastros!$H$6:$H$90)*(1-0.18),IF($F1665="Mauro José Salanti",_xlfn.XLOOKUP(AG1665,Cadastros!$G$6:$G$90,Cadastros!$H$6:$H$90)*(1-0.18),_xlfn.XLOOKUP(AG1665,Cadastros!$G$6:$G$90,Cadastros!$H$6:$H$90))))</f>
        <v/>
      </c>
      <c r="AJ1665" s="168" t="str">
        <f t="shared" si="332"/>
        <v/>
      </c>
      <c r="AK1665" s="168" t="str">
        <f t="shared" si="333"/>
        <v/>
      </c>
      <c r="AL1665" s="28"/>
      <c r="AM1665" s="28"/>
      <c r="AN1665" s="20" t="str">
        <f>IF(AL1665="","",IF($F1665="Bernardino Furlan",_xlfn.XLOOKUP(AL1665,Cadastros!$G$6:$G$90,Cadastros!$H$6:$H$90)*(1-0.18),IF($F1665="Mauro José Salanti",_xlfn.XLOOKUP(AL1665,Cadastros!$G$6:$G$90,Cadastros!$H$6:$H$90)*(1-0.18),_xlfn.XLOOKUP(AL1665,Cadastros!$G$6:$G$90,Cadastros!$H$6:$H$90))))</f>
        <v/>
      </c>
      <c r="AO1665" s="168" t="str">
        <f t="shared" si="334"/>
        <v/>
      </c>
      <c r="AP1665" s="168" t="str">
        <f t="shared" si="335"/>
        <v/>
      </c>
      <c r="AQ1665" s="28"/>
      <c r="AR1665" s="28"/>
      <c r="AS1665" s="20" t="str">
        <f>IF(AQ1665="","",IF($F1665="Bernardino Furlan",_xlfn.XLOOKUP(AQ1665,Cadastros!$G$6:$G$90,Cadastros!$H$6:$H$90)*(1-0.18),IF($F1665="Mauro José Salanti",_xlfn.XLOOKUP(AQ1665,Cadastros!$G$6:$G$90,Cadastros!$H$6:$H$90)*(1-0.18),_xlfn.XLOOKUP(AQ1665,Cadastros!$G$6:$G$90,Cadastros!$H$6:$H$90))))</f>
        <v/>
      </c>
      <c r="AT1665" s="168" t="str">
        <f t="shared" si="336"/>
        <v/>
      </c>
      <c r="AU1665" s="168" t="str">
        <f t="shared" si="337"/>
        <v/>
      </c>
      <c r="AV1665" s="227"/>
      <c r="AW1665" s="30"/>
      <c r="AX1665" s="267"/>
      <c r="AY1665" s="267"/>
      <c r="AZ1665" s="29"/>
      <c r="BA1665" s="30"/>
      <c r="BB1665" s="23" t="str" cm="1">
        <f t="array" ref="BB1665">_xlfn.IFS(AW1665="SIM",SUM(K1665,P1665,U1665,Z1665,AE1665,AJ1665,AO1665,AT1665,AX1665,AY1665),F1665&lt;&gt;"",SUM(K1665,P1665,U1665,Z1665,AE1665,AJ1665,,AO1665,AT1665),F1665="","")</f>
        <v/>
      </c>
      <c r="BC1665" s="211" t="str" cm="1">
        <f t="array" ref="BC1665">_xlfn.IFS(E1665="","",G1665&lt;=E1665,BB1665*(1-0.03),G1665&lt;(E1665+8),BB1665,AZ1665="Boleto",BB1665*(1+0.001)^DATEDIF(E1665,G1665,"D"),AZ1665="Cheque",BB1665,AZ1665="Dinheiro","Alterar forma pgto")</f>
        <v/>
      </c>
      <c r="BD1665" s="276" t="str" cm="1">
        <f t="array" ref="BD1665">IF(F1665=0," ",IF(BC1665&lt;BB1665,(_xlfn.IFS(AW1665="SIM",SUM(L1665,Q1665,V1665,AA1665,AF1665,AK1665,AP1665,AU1665)+AX1665/_xlfn.XLOOKUP(_xlfn.XLOOKUP($F1665,Clientes!$B$4:$B$39,Clientes!$C$4:$C$39),Cadastros!$L$6:$L$12,Cadastros!$M$6:$M$12)+IF($F1665="Bernardino Furlan",AY1665/2751.92,IF($F1665="Mauro José Salanti",AY1665/2751.92,AY1665/3356)),F1665&lt;&gt;0,SUM(L1665,Q1665,V1665,AA1665,AF1665,AK1665,AP1665,AU1665)))*(1-0.03),_xlfn.IFS(AW1665="SIM",SUM(L1665,Q1665,V1665,AA1665,AF1665,AK1665,AP1665,AU1665)+AX1665/_xlfn.XLOOKUP(_xlfn.XLOOKUP($F1665,Clientes!$B$4:$B$39,Clientes!$C$4:$C$39),Cadastros!$L$6:$L$12,Cadastros!$M$6:$M$12)+IF($F1665="Bernardino Furlan",AY1665/2751.92,IF($F1665="Mauro José Salanti",AY1665/2751.92,AY1665/3356)),F1665&lt;&gt;0,SUM(L1665,Q1665,V1665,AA1665,AF1665,AK1665,AP1665,AU1665))))</f>
        <v xml:space="preserve"> </v>
      </c>
      <c r="BE1665" s="120"/>
      <c r="BF1665" s="120"/>
      <c r="BG1665" s="120"/>
    </row>
    <row r="1666" spans="1:59" s="3" customFormat="1" x14ac:dyDescent="0.3">
      <c r="A1666" s="15" t="str">
        <f t="shared" si="325"/>
        <v/>
      </c>
      <c r="B1666" s="25"/>
      <c r="C1666" s="26"/>
      <c r="D1666" s="279"/>
      <c r="E1666" s="27"/>
      <c r="F1666" s="28"/>
      <c r="G1666" s="27"/>
      <c r="H1666" s="28"/>
      <c r="I1666" s="28"/>
      <c r="J1666" s="255" t="str">
        <f>IF(H1666="","",(_xlfn.XLOOKUP(H1666,Cadastros!$D$6:$D$90,Cadastros!$E$6:$E$90))*(1-_xlfn.XLOOKUP(_xlfn.XLOOKUP($F1666,Clientes!$B$4:$B$39,Clientes!$C$4:$C$39),Cadastros!$L$6:$L$12,Cadastros!$N$6:$N$12)))</f>
        <v/>
      </c>
      <c r="K1666" s="168" t="str">
        <f t="shared" si="326"/>
        <v/>
      </c>
      <c r="L1666" s="168" t="str">
        <f>IFERROR(K1666/_xlfn.XLOOKUP(_xlfn.XLOOKUP($F1666,Clientes!$B$4:$B$39,Clientes!$C$4:$C$39),Cadastros!$L$6:$L$12,Cadastros!$M$6:$M$12)," ")</f>
        <v xml:space="preserve"> </v>
      </c>
      <c r="M1666" s="28"/>
      <c r="N1666" s="28"/>
      <c r="O1666" s="255" t="str">
        <f>IF(M1666="","",(_xlfn.XLOOKUP(M1666,Cadastros!$D$6:$D$90,Cadastros!$E$6:$E$90))*(1-_xlfn.XLOOKUP(_xlfn.XLOOKUP($F1666,Clientes!$B$4:$B$39,Clientes!$C$4:$C$39),Cadastros!$L$6:$L$12,Cadastros!$N$6:$N$12)))</f>
        <v/>
      </c>
      <c r="P1666" s="168" t="str">
        <f t="shared" si="327"/>
        <v/>
      </c>
      <c r="Q1666" s="168" t="str">
        <f>IFERROR(P1666/_xlfn.XLOOKUP(_xlfn.XLOOKUP($F1666,Clientes!$B$4:$B$39,Clientes!$C$4:$C$39),Cadastros!$L$6:$L$12,Cadastros!$M$6:$M$12)," ")</f>
        <v xml:space="preserve"> </v>
      </c>
      <c r="R1666" s="28"/>
      <c r="S1666" s="28"/>
      <c r="T1666" s="255" t="str">
        <f>IF(R1666="","",(_xlfn.XLOOKUP(R1666,Cadastros!$D$6:$D$90,Cadastros!$E$6:$E$90))*(1-_xlfn.XLOOKUP(_xlfn.XLOOKUP($F1666,Clientes!$B$4:$B$39,Clientes!$C$4:$C$39),Cadastros!$L$6:$L$12,Cadastros!$N$6:$N$12)))</f>
        <v/>
      </c>
      <c r="U1666" s="168" t="str">
        <f t="shared" si="328"/>
        <v/>
      </c>
      <c r="V1666" s="168" t="str">
        <f>IFERROR(U1666/_xlfn.XLOOKUP(_xlfn.XLOOKUP($F1666,Clientes!$B$4:$B$39,Clientes!$C$4:$C$39),Cadastros!$L$6:$L$12,Cadastros!$M$6:$M$12)," ")</f>
        <v xml:space="preserve"> </v>
      </c>
      <c r="W1666" s="28"/>
      <c r="X1666" s="28"/>
      <c r="Y1666" s="255" t="str">
        <f>IF(W1666="","",(_xlfn.XLOOKUP(W1666,Cadastros!$D$6:$D$90,Cadastros!$E$6:$E$90))*(1-_xlfn.XLOOKUP(_xlfn.XLOOKUP($F1666,Clientes!$B$4:$B$39,Clientes!$C$4:$C$39),Cadastros!$L$6:$L$12,Cadastros!$N$6:$N$12)))</f>
        <v/>
      </c>
      <c r="Z1666" s="168" t="str">
        <f t="shared" si="329"/>
        <v/>
      </c>
      <c r="AA1666" s="168" t="str">
        <f>IFERROR(Z1666/_xlfn.XLOOKUP(_xlfn.XLOOKUP($F1666,Clientes!$B$4:$B$39,Clientes!$C$4:$C$39),Cadastros!$L$6:$L$12,Cadastros!$M$6:$M$12)," ")</f>
        <v xml:space="preserve"> </v>
      </c>
      <c r="AB1666" s="28"/>
      <c r="AC1666" s="28"/>
      <c r="AD1666" s="20" t="str">
        <f>IF(AB1666="","",IF($F1666="Bernardino Furlan",_xlfn.XLOOKUP(AB1666,Cadastros!$G$6:$G$90,Cadastros!$H$6:$H$90)*(1-0.18),IF($F1666="Mauro José Salanti",_xlfn.XLOOKUP(AB1666,Cadastros!$G$6:$G$90,Cadastros!$H$6:$H$90)*(1-0.18),_xlfn.XLOOKUP(AB1666,Cadastros!$G$6:$G$90,Cadastros!$H$6:$H$90))))</f>
        <v/>
      </c>
      <c r="AE1666" s="168" t="str">
        <f t="shared" si="330"/>
        <v/>
      </c>
      <c r="AF1666" s="168" t="str">
        <f t="shared" si="331"/>
        <v/>
      </c>
      <c r="AG1666" s="28"/>
      <c r="AH1666" s="28"/>
      <c r="AI1666" s="20" t="str">
        <f>IF(AG1666="","",IF($F1666="Bernardino Furlan",_xlfn.XLOOKUP(AG1666,Cadastros!$G$6:$G$90,Cadastros!$H$6:$H$90)*(1-0.18),IF($F1666="Mauro José Salanti",_xlfn.XLOOKUP(AG1666,Cadastros!$G$6:$G$90,Cadastros!$H$6:$H$90)*(1-0.18),_xlfn.XLOOKUP(AG1666,Cadastros!$G$6:$G$90,Cadastros!$H$6:$H$90))))</f>
        <v/>
      </c>
      <c r="AJ1666" s="168" t="str">
        <f t="shared" si="332"/>
        <v/>
      </c>
      <c r="AK1666" s="168" t="str">
        <f t="shared" si="333"/>
        <v/>
      </c>
      <c r="AL1666" s="28"/>
      <c r="AM1666" s="28"/>
      <c r="AN1666" s="20" t="str">
        <f>IF(AL1666="","",IF($F1666="Bernardino Furlan",_xlfn.XLOOKUP(AL1666,Cadastros!$G$6:$G$90,Cadastros!$H$6:$H$90)*(1-0.18),IF($F1666="Mauro José Salanti",_xlfn.XLOOKUP(AL1666,Cadastros!$G$6:$G$90,Cadastros!$H$6:$H$90)*(1-0.18),_xlfn.XLOOKUP(AL1666,Cadastros!$G$6:$G$90,Cadastros!$H$6:$H$90))))</f>
        <v/>
      </c>
      <c r="AO1666" s="168" t="str">
        <f t="shared" si="334"/>
        <v/>
      </c>
      <c r="AP1666" s="168" t="str">
        <f t="shared" si="335"/>
        <v/>
      </c>
      <c r="AQ1666" s="28"/>
      <c r="AR1666" s="28"/>
      <c r="AS1666" s="20" t="str">
        <f>IF(AQ1666="","",IF($F1666="Bernardino Furlan",_xlfn.XLOOKUP(AQ1666,Cadastros!$G$6:$G$90,Cadastros!$H$6:$H$90)*(1-0.18),IF($F1666="Mauro José Salanti",_xlfn.XLOOKUP(AQ1666,Cadastros!$G$6:$G$90,Cadastros!$H$6:$H$90)*(1-0.18),_xlfn.XLOOKUP(AQ1666,Cadastros!$G$6:$G$90,Cadastros!$H$6:$H$90))))</f>
        <v/>
      </c>
      <c r="AT1666" s="168" t="str">
        <f t="shared" si="336"/>
        <v/>
      </c>
      <c r="AU1666" s="168" t="str">
        <f t="shared" si="337"/>
        <v/>
      </c>
      <c r="AV1666" s="227"/>
      <c r="AW1666" s="30"/>
      <c r="AX1666" s="267"/>
      <c r="AY1666" s="267"/>
      <c r="AZ1666" s="29"/>
      <c r="BA1666" s="30"/>
      <c r="BB1666" s="23" t="str" cm="1">
        <f t="array" ref="BB1666">_xlfn.IFS(AW1666="SIM",SUM(K1666,P1666,U1666,Z1666,AE1666,AJ1666,AO1666,AT1666,AX1666,AY1666),F1666&lt;&gt;"",SUM(K1666,P1666,U1666,Z1666,AE1666,AJ1666,,AO1666,AT1666),F1666="","")</f>
        <v/>
      </c>
      <c r="BC1666" s="211" t="str" cm="1">
        <f t="array" ref="BC1666">_xlfn.IFS(E1666="","",G1666&lt;=E1666,BB1666*(1-0.03),G1666&lt;(E1666+8),BB1666,AZ1666="Boleto",BB1666*(1+0.001)^DATEDIF(E1666,G1666,"D"),AZ1666="Cheque",BB1666,AZ1666="Dinheiro","Alterar forma pgto")</f>
        <v/>
      </c>
      <c r="BD1666" s="276" t="str" cm="1">
        <f t="array" ref="BD1666">IF(F1666=0," ",IF(BC1666&lt;BB1666,(_xlfn.IFS(AW1666="SIM",SUM(L1666,Q1666,V1666,AA1666,AF1666,AK1666,AP1666,AU1666)+AX1666/_xlfn.XLOOKUP(_xlfn.XLOOKUP($F1666,Clientes!$B$4:$B$39,Clientes!$C$4:$C$39),Cadastros!$L$6:$L$12,Cadastros!$M$6:$M$12)+IF($F1666="Bernardino Furlan",AY1666/2751.92,IF($F1666="Mauro José Salanti",AY1666/2751.92,AY1666/3356)),F1666&lt;&gt;0,SUM(L1666,Q1666,V1666,AA1666,AF1666,AK1666,AP1666,AU1666)))*(1-0.03),_xlfn.IFS(AW1666="SIM",SUM(L1666,Q1666,V1666,AA1666,AF1666,AK1666,AP1666,AU1666)+AX1666/_xlfn.XLOOKUP(_xlfn.XLOOKUP($F1666,Clientes!$B$4:$B$39,Clientes!$C$4:$C$39),Cadastros!$L$6:$L$12,Cadastros!$M$6:$M$12)+IF($F1666="Bernardino Furlan",AY1666/2751.92,IF($F1666="Mauro José Salanti",AY1666/2751.92,AY1666/3356)),F1666&lt;&gt;0,SUM(L1666,Q1666,V1666,AA1666,AF1666,AK1666,AP1666,AU1666))))</f>
        <v xml:space="preserve"> </v>
      </c>
      <c r="BE1666" s="120"/>
      <c r="BF1666" s="120"/>
      <c r="BG1666" s="120"/>
    </row>
    <row r="1667" spans="1:59" s="3" customFormat="1" x14ac:dyDescent="0.3">
      <c r="A1667" s="15" t="str">
        <f t="shared" si="325"/>
        <v/>
      </c>
      <c r="B1667" s="25"/>
      <c r="C1667" s="26"/>
      <c r="D1667" s="279"/>
      <c r="E1667" s="27"/>
      <c r="F1667" s="28"/>
      <c r="G1667" s="27"/>
      <c r="H1667" s="28"/>
      <c r="I1667" s="28"/>
      <c r="J1667" s="255" t="str">
        <f>IF(H1667="","",(_xlfn.XLOOKUP(H1667,Cadastros!$D$6:$D$90,Cadastros!$E$6:$E$90))*(1-_xlfn.XLOOKUP(_xlfn.XLOOKUP($F1667,Clientes!$B$4:$B$39,Clientes!$C$4:$C$39),Cadastros!$L$6:$L$12,Cadastros!$N$6:$N$12)))</f>
        <v/>
      </c>
      <c r="K1667" s="168" t="str">
        <f t="shared" si="326"/>
        <v/>
      </c>
      <c r="L1667" s="168" t="str">
        <f>IFERROR(K1667/_xlfn.XLOOKUP(_xlfn.XLOOKUP($F1667,Clientes!$B$4:$B$39,Clientes!$C$4:$C$39),Cadastros!$L$6:$L$12,Cadastros!$M$6:$M$12)," ")</f>
        <v xml:space="preserve"> </v>
      </c>
      <c r="M1667" s="28"/>
      <c r="N1667" s="28"/>
      <c r="O1667" s="255" t="str">
        <f>IF(M1667="","",(_xlfn.XLOOKUP(M1667,Cadastros!$D$6:$D$90,Cadastros!$E$6:$E$90))*(1-_xlfn.XLOOKUP(_xlfn.XLOOKUP($F1667,Clientes!$B$4:$B$39,Clientes!$C$4:$C$39),Cadastros!$L$6:$L$12,Cadastros!$N$6:$N$12)))</f>
        <v/>
      </c>
      <c r="P1667" s="168" t="str">
        <f t="shared" si="327"/>
        <v/>
      </c>
      <c r="Q1667" s="168" t="str">
        <f>IFERROR(P1667/_xlfn.XLOOKUP(_xlfn.XLOOKUP($F1667,Clientes!$B$4:$B$39,Clientes!$C$4:$C$39),Cadastros!$L$6:$L$12,Cadastros!$M$6:$M$12)," ")</f>
        <v xml:space="preserve"> </v>
      </c>
      <c r="R1667" s="28"/>
      <c r="S1667" s="28"/>
      <c r="T1667" s="255" t="str">
        <f>IF(R1667="","",(_xlfn.XLOOKUP(R1667,Cadastros!$D$6:$D$90,Cadastros!$E$6:$E$90))*(1-_xlfn.XLOOKUP(_xlfn.XLOOKUP($F1667,Clientes!$B$4:$B$39,Clientes!$C$4:$C$39),Cadastros!$L$6:$L$12,Cadastros!$N$6:$N$12)))</f>
        <v/>
      </c>
      <c r="U1667" s="168" t="str">
        <f t="shared" si="328"/>
        <v/>
      </c>
      <c r="V1667" s="168" t="str">
        <f>IFERROR(U1667/_xlfn.XLOOKUP(_xlfn.XLOOKUP($F1667,Clientes!$B$4:$B$39,Clientes!$C$4:$C$39),Cadastros!$L$6:$L$12,Cadastros!$M$6:$M$12)," ")</f>
        <v xml:space="preserve"> </v>
      </c>
      <c r="W1667" s="28"/>
      <c r="X1667" s="28"/>
      <c r="Y1667" s="255" t="str">
        <f>IF(W1667="","",(_xlfn.XLOOKUP(W1667,Cadastros!$D$6:$D$90,Cadastros!$E$6:$E$90))*(1-_xlfn.XLOOKUP(_xlfn.XLOOKUP($F1667,Clientes!$B$4:$B$39,Clientes!$C$4:$C$39),Cadastros!$L$6:$L$12,Cadastros!$N$6:$N$12)))</f>
        <v/>
      </c>
      <c r="Z1667" s="168" t="str">
        <f t="shared" si="329"/>
        <v/>
      </c>
      <c r="AA1667" s="168" t="str">
        <f>IFERROR(Z1667/_xlfn.XLOOKUP(_xlfn.XLOOKUP($F1667,Clientes!$B$4:$B$39,Clientes!$C$4:$C$39),Cadastros!$L$6:$L$12,Cadastros!$M$6:$M$12)," ")</f>
        <v xml:space="preserve"> </v>
      </c>
      <c r="AB1667" s="28"/>
      <c r="AC1667" s="28"/>
      <c r="AD1667" s="20" t="str">
        <f>IF(AB1667="","",IF($F1667="Bernardino Furlan",_xlfn.XLOOKUP(AB1667,Cadastros!$G$6:$G$90,Cadastros!$H$6:$H$90)*(1-0.18),IF($F1667="Mauro José Salanti",_xlfn.XLOOKUP(AB1667,Cadastros!$G$6:$G$90,Cadastros!$H$6:$H$90)*(1-0.18),_xlfn.XLOOKUP(AB1667,Cadastros!$G$6:$G$90,Cadastros!$H$6:$H$90))))</f>
        <v/>
      </c>
      <c r="AE1667" s="168" t="str">
        <f t="shared" si="330"/>
        <v/>
      </c>
      <c r="AF1667" s="168" t="str">
        <f t="shared" si="331"/>
        <v/>
      </c>
      <c r="AG1667" s="28"/>
      <c r="AH1667" s="28"/>
      <c r="AI1667" s="20" t="str">
        <f>IF(AG1667="","",IF($F1667="Bernardino Furlan",_xlfn.XLOOKUP(AG1667,Cadastros!$G$6:$G$90,Cadastros!$H$6:$H$90)*(1-0.18),IF($F1667="Mauro José Salanti",_xlfn.XLOOKUP(AG1667,Cadastros!$G$6:$G$90,Cadastros!$H$6:$H$90)*(1-0.18),_xlfn.XLOOKUP(AG1667,Cadastros!$G$6:$G$90,Cadastros!$H$6:$H$90))))</f>
        <v/>
      </c>
      <c r="AJ1667" s="168" t="str">
        <f t="shared" si="332"/>
        <v/>
      </c>
      <c r="AK1667" s="168" t="str">
        <f t="shared" si="333"/>
        <v/>
      </c>
      <c r="AL1667" s="28"/>
      <c r="AM1667" s="28"/>
      <c r="AN1667" s="20" t="str">
        <f>IF(AL1667="","",IF($F1667="Bernardino Furlan",_xlfn.XLOOKUP(AL1667,Cadastros!$G$6:$G$90,Cadastros!$H$6:$H$90)*(1-0.18),IF($F1667="Mauro José Salanti",_xlfn.XLOOKUP(AL1667,Cadastros!$G$6:$G$90,Cadastros!$H$6:$H$90)*(1-0.18),_xlfn.XLOOKUP(AL1667,Cadastros!$G$6:$G$90,Cadastros!$H$6:$H$90))))</f>
        <v/>
      </c>
      <c r="AO1667" s="168" t="str">
        <f t="shared" si="334"/>
        <v/>
      </c>
      <c r="AP1667" s="168" t="str">
        <f t="shared" si="335"/>
        <v/>
      </c>
      <c r="AQ1667" s="28"/>
      <c r="AR1667" s="28"/>
      <c r="AS1667" s="20" t="str">
        <f>IF(AQ1667="","",IF($F1667="Bernardino Furlan",_xlfn.XLOOKUP(AQ1667,Cadastros!$G$6:$G$90,Cadastros!$H$6:$H$90)*(1-0.18),IF($F1667="Mauro José Salanti",_xlfn.XLOOKUP(AQ1667,Cadastros!$G$6:$G$90,Cadastros!$H$6:$H$90)*(1-0.18),_xlfn.XLOOKUP(AQ1667,Cadastros!$G$6:$G$90,Cadastros!$H$6:$H$90))))</f>
        <v/>
      </c>
      <c r="AT1667" s="168" t="str">
        <f t="shared" si="336"/>
        <v/>
      </c>
      <c r="AU1667" s="168" t="str">
        <f t="shared" si="337"/>
        <v/>
      </c>
      <c r="AV1667" s="227"/>
      <c r="AW1667" s="30"/>
      <c r="AX1667" s="267"/>
      <c r="AY1667" s="267"/>
      <c r="AZ1667" s="29"/>
      <c r="BA1667" s="30"/>
      <c r="BB1667" s="23" t="str" cm="1">
        <f t="array" ref="BB1667">_xlfn.IFS(AW1667="SIM",SUM(K1667,P1667,U1667,Z1667,AE1667,AJ1667,AO1667,AT1667,AX1667,AY1667),F1667&lt;&gt;"",SUM(K1667,P1667,U1667,Z1667,AE1667,AJ1667,,AO1667,AT1667),F1667="","")</f>
        <v/>
      </c>
      <c r="BC1667" s="211" t="str" cm="1">
        <f t="array" ref="BC1667">_xlfn.IFS(E1667="","",G1667&lt;=E1667,BB1667*(1-0.03),G1667&lt;(E1667+8),BB1667,AZ1667="Boleto",BB1667*(1+0.001)^DATEDIF(E1667,G1667,"D"),AZ1667="Cheque",BB1667,AZ1667="Dinheiro","Alterar forma pgto")</f>
        <v/>
      </c>
      <c r="BD1667" s="276" t="str" cm="1">
        <f t="array" ref="BD1667">IF(F1667=0," ",IF(BC1667&lt;BB1667,(_xlfn.IFS(AW1667="SIM",SUM(L1667,Q1667,V1667,AA1667,AF1667,AK1667,AP1667,AU1667)+AX1667/_xlfn.XLOOKUP(_xlfn.XLOOKUP($F1667,Clientes!$B$4:$B$39,Clientes!$C$4:$C$39),Cadastros!$L$6:$L$12,Cadastros!$M$6:$M$12)+IF($F1667="Bernardino Furlan",AY1667/2751.92,IF($F1667="Mauro José Salanti",AY1667/2751.92,AY1667/3356)),F1667&lt;&gt;0,SUM(L1667,Q1667,V1667,AA1667,AF1667,AK1667,AP1667,AU1667)))*(1-0.03),_xlfn.IFS(AW1667="SIM",SUM(L1667,Q1667,V1667,AA1667,AF1667,AK1667,AP1667,AU1667)+AX1667/_xlfn.XLOOKUP(_xlfn.XLOOKUP($F1667,Clientes!$B$4:$B$39,Clientes!$C$4:$C$39),Cadastros!$L$6:$L$12,Cadastros!$M$6:$M$12)+IF($F1667="Bernardino Furlan",AY1667/2751.92,IF($F1667="Mauro José Salanti",AY1667/2751.92,AY1667/3356)),F1667&lt;&gt;0,SUM(L1667,Q1667,V1667,AA1667,AF1667,AK1667,AP1667,AU1667))))</f>
        <v xml:space="preserve"> </v>
      </c>
      <c r="BE1667" s="120"/>
      <c r="BF1667" s="120"/>
      <c r="BG1667" s="120"/>
    </row>
    <row r="1668" spans="1:59" s="3" customFormat="1" x14ac:dyDescent="0.3">
      <c r="A1668" s="15" t="str">
        <f t="shared" si="325"/>
        <v/>
      </c>
      <c r="B1668" s="25"/>
      <c r="C1668" s="26"/>
      <c r="D1668" s="279"/>
      <c r="E1668" s="27"/>
      <c r="F1668" s="28"/>
      <c r="G1668" s="27"/>
      <c r="H1668" s="28"/>
      <c r="I1668" s="28"/>
      <c r="J1668" s="255" t="str">
        <f>IF(H1668="","",(_xlfn.XLOOKUP(H1668,Cadastros!$D$6:$D$90,Cadastros!$E$6:$E$90))*(1-_xlfn.XLOOKUP(_xlfn.XLOOKUP($F1668,Clientes!$B$4:$B$39,Clientes!$C$4:$C$39),Cadastros!$L$6:$L$12,Cadastros!$N$6:$N$12)))</f>
        <v/>
      </c>
      <c r="K1668" s="168" t="str">
        <f t="shared" si="326"/>
        <v/>
      </c>
      <c r="L1668" s="168" t="str">
        <f>IFERROR(K1668/_xlfn.XLOOKUP(_xlfn.XLOOKUP($F1668,Clientes!$B$4:$B$39,Clientes!$C$4:$C$39),Cadastros!$L$6:$L$12,Cadastros!$M$6:$M$12)," ")</f>
        <v xml:space="preserve"> </v>
      </c>
      <c r="M1668" s="28"/>
      <c r="N1668" s="28"/>
      <c r="O1668" s="255" t="str">
        <f>IF(M1668="","",(_xlfn.XLOOKUP(M1668,Cadastros!$D$6:$D$90,Cadastros!$E$6:$E$90))*(1-_xlfn.XLOOKUP(_xlfn.XLOOKUP($F1668,Clientes!$B$4:$B$39,Clientes!$C$4:$C$39),Cadastros!$L$6:$L$12,Cadastros!$N$6:$N$12)))</f>
        <v/>
      </c>
      <c r="P1668" s="168" t="str">
        <f t="shared" si="327"/>
        <v/>
      </c>
      <c r="Q1668" s="168" t="str">
        <f>IFERROR(P1668/_xlfn.XLOOKUP(_xlfn.XLOOKUP($F1668,Clientes!$B$4:$B$39,Clientes!$C$4:$C$39),Cadastros!$L$6:$L$12,Cadastros!$M$6:$M$12)," ")</f>
        <v xml:space="preserve"> </v>
      </c>
      <c r="R1668" s="28"/>
      <c r="S1668" s="28"/>
      <c r="T1668" s="255" t="str">
        <f>IF(R1668="","",(_xlfn.XLOOKUP(R1668,Cadastros!$D$6:$D$90,Cadastros!$E$6:$E$90))*(1-_xlfn.XLOOKUP(_xlfn.XLOOKUP($F1668,Clientes!$B$4:$B$39,Clientes!$C$4:$C$39),Cadastros!$L$6:$L$12,Cadastros!$N$6:$N$12)))</f>
        <v/>
      </c>
      <c r="U1668" s="168" t="str">
        <f t="shared" si="328"/>
        <v/>
      </c>
      <c r="V1668" s="168" t="str">
        <f>IFERROR(U1668/_xlfn.XLOOKUP(_xlfn.XLOOKUP($F1668,Clientes!$B$4:$B$39,Clientes!$C$4:$C$39),Cadastros!$L$6:$L$12,Cadastros!$M$6:$M$12)," ")</f>
        <v xml:space="preserve"> </v>
      </c>
      <c r="W1668" s="28"/>
      <c r="X1668" s="28"/>
      <c r="Y1668" s="255" t="str">
        <f>IF(W1668="","",(_xlfn.XLOOKUP(W1668,Cadastros!$D$6:$D$90,Cadastros!$E$6:$E$90))*(1-_xlfn.XLOOKUP(_xlfn.XLOOKUP($F1668,Clientes!$B$4:$B$39,Clientes!$C$4:$C$39),Cadastros!$L$6:$L$12,Cadastros!$N$6:$N$12)))</f>
        <v/>
      </c>
      <c r="Z1668" s="168" t="str">
        <f t="shared" si="329"/>
        <v/>
      </c>
      <c r="AA1668" s="168" t="str">
        <f>IFERROR(Z1668/_xlfn.XLOOKUP(_xlfn.XLOOKUP($F1668,Clientes!$B$4:$B$39,Clientes!$C$4:$C$39),Cadastros!$L$6:$L$12,Cadastros!$M$6:$M$12)," ")</f>
        <v xml:space="preserve"> </v>
      </c>
      <c r="AB1668" s="28"/>
      <c r="AC1668" s="28"/>
      <c r="AD1668" s="20" t="str">
        <f>IF(AB1668="","",IF($F1668="Bernardino Furlan",_xlfn.XLOOKUP(AB1668,Cadastros!$G$6:$G$90,Cadastros!$H$6:$H$90)*(1-0.18),IF($F1668="Mauro José Salanti",_xlfn.XLOOKUP(AB1668,Cadastros!$G$6:$G$90,Cadastros!$H$6:$H$90)*(1-0.18),_xlfn.XLOOKUP(AB1668,Cadastros!$G$6:$G$90,Cadastros!$H$6:$H$90))))</f>
        <v/>
      </c>
      <c r="AE1668" s="168" t="str">
        <f t="shared" si="330"/>
        <v/>
      </c>
      <c r="AF1668" s="168" t="str">
        <f t="shared" si="331"/>
        <v/>
      </c>
      <c r="AG1668" s="28"/>
      <c r="AH1668" s="28"/>
      <c r="AI1668" s="20" t="str">
        <f>IF(AG1668="","",IF($F1668="Bernardino Furlan",_xlfn.XLOOKUP(AG1668,Cadastros!$G$6:$G$90,Cadastros!$H$6:$H$90)*(1-0.18),IF($F1668="Mauro José Salanti",_xlfn.XLOOKUP(AG1668,Cadastros!$G$6:$G$90,Cadastros!$H$6:$H$90)*(1-0.18),_xlfn.XLOOKUP(AG1668,Cadastros!$G$6:$G$90,Cadastros!$H$6:$H$90))))</f>
        <v/>
      </c>
      <c r="AJ1668" s="168" t="str">
        <f t="shared" si="332"/>
        <v/>
      </c>
      <c r="AK1668" s="168" t="str">
        <f t="shared" si="333"/>
        <v/>
      </c>
      <c r="AL1668" s="28"/>
      <c r="AM1668" s="28"/>
      <c r="AN1668" s="20" t="str">
        <f>IF(AL1668="","",IF($F1668="Bernardino Furlan",_xlfn.XLOOKUP(AL1668,Cadastros!$G$6:$G$90,Cadastros!$H$6:$H$90)*(1-0.18),IF($F1668="Mauro José Salanti",_xlfn.XLOOKUP(AL1668,Cadastros!$G$6:$G$90,Cadastros!$H$6:$H$90)*(1-0.18),_xlfn.XLOOKUP(AL1668,Cadastros!$G$6:$G$90,Cadastros!$H$6:$H$90))))</f>
        <v/>
      </c>
      <c r="AO1668" s="168" t="str">
        <f t="shared" si="334"/>
        <v/>
      </c>
      <c r="AP1668" s="168" t="str">
        <f t="shared" si="335"/>
        <v/>
      </c>
      <c r="AQ1668" s="28"/>
      <c r="AR1668" s="28"/>
      <c r="AS1668" s="20" t="str">
        <f>IF(AQ1668="","",IF($F1668="Bernardino Furlan",_xlfn.XLOOKUP(AQ1668,Cadastros!$G$6:$G$90,Cadastros!$H$6:$H$90)*(1-0.18),IF($F1668="Mauro José Salanti",_xlfn.XLOOKUP(AQ1668,Cadastros!$G$6:$G$90,Cadastros!$H$6:$H$90)*(1-0.18),_xlfn.XLOOKUP(AQ1668,Cadastros!$G$6:$G$90,Cadastros!$H$6:$H$90))))</f>
        <v/>
      </c>
      <c r="AT1668" s="168" t="str">
        <f t="shared" si="336"/>
        <v/>
      </c>
      <c r="AU1668" s="168" t="str">
        <f t="shared" si="337"/>
        <v/>
      </c>
      <c r="AV1668" s="227"/>
      <c r="AW1668" s="30"/>
      <c r="AX1668" s="267"/>
      <c r="AY1668" s="267"/>
      <c r="AZ1668" s="29"/>
      <c r="BA1668" s="30"/>
      <c r="BB1668" s="23" t="str" cm="1">
        <f t="array" ref="BB1668">_xlfn.IFS(AW1668="SIM",SUM(K1668,P1668,U1668,Z1668,AE1668,AJ1668,AO1668,AT1668,AX1668,AY1668),F1668&lt;&gt;"",SUM(K1668,P1668,U1668,Z1668,AE1668,AJ1668,,AO1668,AT1668),F1668="","")</f>
        <v/>
      </c>
      <c r="BC1668" s="211" t="str" cm="1">
        <f t="array" ref="BC1668">_xlfn.IFS(E1668="","",G1668&lt;=E1668,BB1668*(1-0.03),G1668&lt;(E1668+8),BB1668,AZ1668="Boleto",BB1668*(1+0.001)^DATEDIF(E1668,G1668,"D"),AZ1668="Cheque",BB1668,AZ1668="Dinheiro","Alterar forma pgto")</f>
        <v/>
      </c>
      <c r="BD1668" s="276" t="str" cm="1">
        <f t="array" ref="BD1668">IF(F1668=0," ",IF(BC1668&lt;BB1668,(_xlfn.IFS(AW1668="SIM",SUM(L1668,Q1668,V1668,AA1668,AF1668,AK1668,AP1668,AU1668)+AX1668/_xlfn.XLOOKUP(_xlfn.XLOOKUP($F1668,Clientes!$B$4:$B$39,Clientes!$C$4:$C$39),Cadastros!$L$6:$L$12,Cadastros!$M$6:$M$12)+IF($F1668="Bernardino Furlan",AY1668/2751.92,IF($F1668="Mauro José Salanti",AY1668/2751.92,AY1668/3356)),F1668&lt;&gt;0,SUM(L1668,Q1668,V1668,AA1668,AF1668,AK1668,AP1668,AU1668)))*(1-0.03),_xlfn.IFS(AW1668="SIM",SUM(L1668,Q1668,V1668,AA1668,AF1668,AK1668,AP1668,AU1668)+AX1668/_xlfn.XLOOKUP(_xlfn.XLOOKUP($F1668,Clientes!$B$4:$B$39,Clientes!$C$4:$C$39),Cadastros!$L$6:$L$12,Cadastros!$M$6:$M$12)+IF($F1668="Bernardino Furlan",AY1668/2751.92,IF($F1668="Mauro José Salanti",AY1668/2751.92,AY1668/3356)),F1668&lt;&gt;0,SUM(L1668,Q1668,V1668,AA1668,AF1668,AK1668,AP1668,AU1668))))</f>
        <v xml:space="preserve"> </v>
      </c>
      <c r="BE1668" s="120"/>
      <c r="BF1668" s="120"/>
      <c r="BG1668" s="120"/>
    </row>
    <row r="1669" spans="1:59" s="3" customFormat="1" x14ac:dyDescent="0.3">
      <c r="A1669" s="15" t="str">
        <f t="shared" si="325"/>
        <v/>
      </c>
      <c r="B1669" s="25"/>
      <c r="C1669" s="26"/>
      <c r="D1669" s="279"/>
      <c r="E1669" s="27"/>
      <c r="F1669" s="28"/>
      <c r="G1669" s="27"/>
      <c r="H1669" s="28"/>
      <c r="I1669" s="28"/>
      <c r="J1669" s="255" t="str">
        <f>IF(H1669="","",(_xlfn.XLOOKUP(H1669,Cadastros!$D$6:$D$90,Cadastros!$E$6:$E$90))*(1-_xlfn.XLOOKUP(_xlfn.XLOOKUP($F1669,Clientes!$B$4:$B$39,Clientes!$C$4:$C$39),Cadastros!$L$6:$L$12,Cadastros!$N$6:$N$12)))</f>
        <v/>
      </c>
      <c r="K1669" s="168" t="str">
        <f t="shared" si="326"/>
        <v/>
      </c>
      <c r="L1669" s="168" t="str">
        <f>IFERROR(K1669/_xlfn.XLOOKUP(_xlfn.XLOOKUP($F1669,Clientes!$B$4:$B$39,Clientes!$C$4:$C$39),Cadastros!$L$6:$L$12,Cadastros!$M$6:$M$12)," ")</f>
        <v xml:space="preserve"> </v>
      </c>
      <c r="M1669" s="28"/>
      <c r="N1669" s="28"/>
      <c r="O1669" s="255" t="str">
        <f>IF(M1669="","",(_xlfn.XLOOKUP(M1669,Cadastros!$D$6:$D$90,Cadastros!$E$6:$E$90))*(1-_xlfn.XLOOKUP(_xlfn.XLOOKUP($F1669,Clientes!$B$4:$B$39,Clientes!$C$4:$C$39),Cadastros!$L$6:$L$12,Cadastros!$N$6:$N$12)))</f>
        <v/>
      </c>
      <c r="P1669" s="168" t="str">
        <f t="shared" si="327"/>
        <v/>
      </c>
      <c r="Q1669" s="168" t="str">
        <f>IFERROR(P1669/_xlfn.XLOOKUP(_xlfn.XLOOKUP($F1669,Clientes!$B$4:$B$39,Clientes!$C$4:$C$39),Cadastros!$L$6:$L$12,Cadastros!$M$6:$M$12)," ")</f>
        <v xml:space="preserve"> </v>
      </c>
      <c r="R1669" s="28"/>
      <c r="S1669" s="28"/>
      <c r="T1669" s="255" t="str">
        <f>IF(R1669="","",(_xlfn.XLOOKUP(R1669,Cadastros!$D$6:$D$90,Cadastros!$E$6:$E$90))*(1-_xlfn.XLOOKUP(_xlfn.XLOOKUP($F1669,Clientes!$B$4:$B$39,Clientes!$C$4:$C$39),Cadastros!$L$6:$L$12,Cadastros!$N$6:$N$12)))</f>
        <v/>
      </c>
      <c r="U1669" s="168" t="str">
        <f t="shared" si="328"/>
        <v/>
      </c>
      <c r="V1669" s="168" t="str">
        <f>IFERROR(U1669/_xlfn.XLOOKUP(_xlfn.XLOOKUP($F1669,Clientes!$B$4:$B$39,Clientes!$C$4:$C$39),Cadastros!$L$6:$L$12,Cadastros!$M$6:$M$12)," ")</f>
        <v xml:space="preserve"> </v>
      </c>
      <c r="W1669" s="28"/>
      <c r="X1669" s="28"/>
      <c r="Y1669" s="255" t="str">
        <f>IF(W1669="","",(_xlfn.XLOOKUP(W1669,Cadastros!$D$6:$D$90,Cadastros!$E$6:$E$90))*(1-_xlfn.XLOOKUP(_xlfn.XLOOKUP($F1669,Clientes!$B$4:$B$39,Clientes!$C$4:$C$39),Cadastros!$L$6:$L$12,Cadastros!$N$6:$N$12)))</f>
        <v/>
      </c>
      <c r="Z1669" s="168" t="str">
        <f t="shared" si="329"/>
        <v/>
      </c>
      <c r="AA1669" s="168" t="str">
        <f>IFERROR(Z1669/_xlfn.XLOOKUP(_xlfn.XLOOKUP($F1669,Clientes!$B$4:$B$39,Clientes!$C$4:$C$39),Cadastros!$L$6:$L$12,Cadastros!$M$6:$M$12)," ")</f>
        <v xml:space="preserve"> </v>
      </c>
      <c r="AB1669" s="28"/>
      <c r="AC1669" s="28"/>
      <c r="AD1669" s="20" t="str">
        <f>IF(AB1669="","",IF($F1669="Bernardino Furlan",_xlfn.XLOOKUP(AB1669,Cadastros!$G$6:$G$90,Cadastros!$H$6:$H$90)*(1-0.18),IF($F1669="Mauro José Salanti",_xlfn.XLOOKUP(AB1669,Cadastros!$G$6:$G$90,Cadastros!$H$6:$H$90)*(1-0.18),_xlfn.XLOOKUP(AB1669,Cadastros!$G$6:$G$90,Cadastros!$H$6:$H$90))))</f>
        <v/>
      </c>
      <c r="AE1669" s="168" t="str">
        <f t="shared" si="330"/>
        <v/>
      </c>
      <c r="AF1669" s="168" t="str">
        <f t="shared" si="331"/>
        <v/>
      </c>
      <c r="AG1669" s="28"/>
      <c r="AH1669" s="28"/>
      <c r="AI1669" s="20" t="str">
        <f>IF(AG1669="","",IF($F1669="Bernardino Furlan",_xlfn.XLOOKUP(AG1669,Cadastros!$G$6:$G$90,Cadastros!$H$6:$H$90)*(1-0.18),IF($F1669="Mauro José Salanti",_xlfn.XLOOKUP(AG1669,Cadastros!$G$6:$G$90,Cadastros!$H$6:$H$90)*(1-0.18),_xlfn.XLOOKUP(AG1669,Cadastros!$G$6:$G$90,Cadastros!$H$6:$H$90))))</f>
        <v/>
      </c>
      <c r="AJ1669" s="168" t="str">
        <f t="shared" si="332"/>
        <v/>
      </c>
      <c r="AK1669" s="168" t="str">
        <f t="shared" si="333"/>
        <v/>
      </c>
      <c r="AL1669" s="28"/>
      <c r="AM1669" s="28"/>
      <c r="AN1669" s="20" t="str">
        <f>IF(AL1669="","",IF($F1669="Bernardino Furlan",_xlfn.XLOOKUP(AL1669,Cadastros!$G$6:$G$90,Cadastros!$H$6:$H$90)*(1-0.18),IF($F1669="Mauro José Salanti",_xlfn.XLOOKUP(AL1669,Cadastros!$G$6:$G$90,Cadastros!$H$6:$H$90)*(1-0.18),_xlfn.XLOOKUP(AL1669,Cadastros!$G$6:$G$90,Cadastros!$H$6:$H$90))))</f>
        <v/>
      </c>
      <c r="AO1669" s="168" t="str">
        <f t="shared" si="334"/>
        <v/>
      </c>
      <c r="AP1669" s="168" t="str">
        <f t="shared" si="335"/>
        <v/>
      </c>
      <c r="AQ1669" s="28"/>
      <c r="AR1669" s="28"/>
      <c r="AS1669" s="20" t="str">
        <f>IF(AQ1669="","",IF($F1669="Bernardino Furlan",_xlfn.XLOOKUP(AQ1669,Cadastros!$G$6:$G$90,Cadastros!$H$6:$H$90)*(1-0.18),IF($F1669="Mauro José Salanti",_xlfn.XLOOKUP(AQ1669,Cadastros!$G$6:$G$90,Cadastros!$H$6:$H$90)*(1-0.18),_xlfn.XLOOKUP(AQ1669,Cadastros!$G$6:$G$90,Cadastros!$H$6:$H$90))))</f>
        <v/>
      </c>
      <c r="AT1669" s="168" t="str">
        <f t="shared" si="336"/>
        <v/>
      </c>
      <c r="AU1669" s="168" t="str">
        <f t="shared" si="337"/>
        <v/>
      </c>
      <c r="AV1669" s="227"/>
      <c r="AW1669" s="30"/>
      <c r="AX1669" s="267"/>
      <c r="AY1669" s="267"/>
      <c r="AZ1669" s="29"/>
      <c r="BA1669" s="30"/>
      <c r="BB1669" s="23" t="str" cm="1">
        <f t="array" ref="BB1669">_xlfn.IFS(AW1669="SIM",SUM(K1669,P1669,U1669,Z1669,AE1669,AJ1669,AO1669,AT1669,AX1669,AY1669),F1669&lt;&gt;"",SUM(K1669,P1669,U1669,Z1669,AE1669,AJ1669,,AO1669,AT1669),F1669="","")</f>
        <v/>
      </c>
      <c r="BC1669" s="211" t="str" cm="1">
        <f t="array" ref="BC1669">_xlfn.IFS(E1669="","",G1669&lt;=E1669,BB1669*(1-0.03),G1669&lt;(E1669+8),BB1669,AZ1669="Boleto",BB1669*(1+0.001)^DATEDIF(E1669,G1669,"D"),AZ1669="Cheque",BB1669,AZ1669="Dinheiro","Alterar forma pgto")</f>
        <v/>
      </c>
      <c r="BD1669" s="276" t="str" cm="1">
        <f t="array" ref="BD1669">IF(F1669=0," ",IF(BC1669&lt;BB1669,(_xlfn.IFS(AW1669="SIM",SUM(L1669,Q1669,V1669,AA1669,AF1669,AK1669,AP1669,AU1669)+AX1669/_xlfn.XLOOKUP(_xlfn.XLOOKUP($F1669,Clientes!$B$4:$B$39,Clientes!$C$4:$C$39),Cadastros!$L$6:$L$12,Cadastros!$M$6:$M$12)+IF($F1669="Bernardino Furlan",AY1669/2751.92,IF($F1669="Mauro José Salanti",AY1669/2751.92,AY1669/3356)),F1669&lt;&gt;0,SUM(L1669,Q1669,V1669,AA1669,AF1669,AK1669,AP1669,AU1669)))*(1-0.03),_xlfn.IFS(AW1669="SIM",SUM(L1669,Q1669,V1669,AA1669,AF1669,AK1669,AP1669,AU1669)+AX1669/_xlfn.XLOOKUP(_xlfn.XLOOKUP($F1669,Clientes!$B$4:$B$39,Clientes!$C$4:$C$39),Cadastros!$L$6:$L$12,Cadastros!$M$6:$M$12)+IF($F1669="Bernardino Furlan",AY1669/2751.92,IF($F1669="Mauro José Salanti",AY1669/2751.92,AY1669/3356)),F1669&lt;&gt;0,SUM(L1669,Q1669,V1669,AA1669,AF1669,AK1669,AP1669,AU1669))))</f>
        <v xml:space="preserve"> </v>
      </c>
      <c r="BE1669" s="120"/>
      <c r="BF1669" s="120"/>
      <c r="BG1669" s="120"/>
    </row>
    <row r="1670" spans="1:59" s="3" customFormat="1" x14ac:dyDescent="0.3">
      <c r="A1670" s="15" t="str">
        <f t="shared" si="325"/>
        <v/>
      </c>
      <c r="B1670" s="25"/>
      <c r="C1670" s="26"/>
      <c r="D1670" s="279"/>
      <c r="E1670" s="27"/>
      <c r="F1670" s="28"/>
      <c r="G1670" s="27"/>
      <c r="H1670" s="28"/>
      <c r="I1670" s="28"/>
      <c r="J1670" s="255" t="str">
        <f>IF(H1670="","",(_xlfn.XLOOKUP(H1670,Cadastros!$D$6:$D$90,Cadastros!$E$6:$E$90))*(1-_xlfn.XLOOKUP(_xlfn.XLOOKUP($F1670,Clientes!$B$4:$B$39,Clientes!$C$4:$C$39),Cadastros!$L$6:$L$12,Cadastros!$N$6:$N$12)))</f>
        <v/>
      </c>
      <c r="K1670" s="168" t="str">
        <f t="shared" si="326"/>
        <v/>
      </c>
      <c r="L1670" s="168" t="str">
        <f>IFERROR(K1670/_xlfn.XLOOKUP(_xlfn.XLOOKUP($F1670,Clientes!$B$4:$B$39,Clientes!$C$4:$C$39),Cadastros!$L$6:$L$12,Cadastros!$M$6:$M$12)," ")</f>
        <v xml:space="preserve"> </v>
      </c>
      <c r="M1670" s="28"/>
      <c r="N1670" s="28"/>
      <c r="O1670" s="255" t="str">
        <f>IF(M1670="","",(_xlfn.XLOOKUP(M1670,Cadastros!$D$6:$D$90,Cadastros!$E$6:$E$90))*(1-_xlfn.XLOOKUP(_xlfn.XLOOKUP($F1670,Clientes!$B$4:$B$39,Clientes!$C$4:$C$39),Cadastros!$L$6:$L$12,Cadastros!$N$6:$N$12)))</f>
        <v/>
      </c>
      <c r="P1670" s="168" t="str">
        <f t="shared" si="327"/>
        <v/>
      </c>
      <c r="Q1670" s="168" t="str">
        <f>IFERROR(P1670/_xlfn.XLOOKUP(_xlfn.XLOOKUP($F1670,Clientes!$B$4:$B$39,Clientes!$C$4:$C$39),Cadastros!$L$6:$L$12,Cadastros!$M$6:$M$12)," ")</f>
        <v xml:space="preserve"> </v>
      </c>
      <c r="R1670" s="28"/>
      <c r="S1670" s="28"/>
      <c r="T1670" s="255" t="str">
        <f>IF(R1670="","",(_xlfn.XLOOKUP(R1670,Cadastros!$D$6:$D$90,Cadastros!$E$6:$E$90))*(1-_xlfn.XLOOKUP(_xlfn.XLOOKUP($F1670,Clientes!$B$4:$B$39,Clientes!$C$4:$C$39),Cadastros!$L$6:$L$12,Cadastros!$N$6:$N$12)))</f>
        <v/>
      </c>
      <c r="U1670" s="168" t="str">
        <f t="shared" si="328"/>
        <v/>
      </c>
      <c r="V1670" s="168" t="str">
        <f>IFERROR(U1670/_xlfn.XLOOKUP(_xlfn.XLOOKUP($F1670,Clientes!$B$4:$B$39,Clientes!$C$4:$C$39),Cadastros!$L$6:$L$12,Cadastros!$M$6:$M$12)," ")</f>
        <v xml:space="preserve"> </v>
      </c>
      <c r="W1670" s="28"/>
      <c r="X1670" s="28"/>
      <c r="Y1670" s="255" t="str">
        <f>IF(W1670="","",(_xlfn.XLOOKUP(W1670,Cadastros!$D$6:$D$90,Cadastros!$E$6:$E$90))*(1-_xlfn.XLOOKUP(_xlfn.XLOOKUP($F1670,Clientes!$B$4:$B$39,Clientes!$C$4:$C$39),Cadastros!$L$6:$L$12,Cadastros!$N$6:$N$12)))</f>
        <v/>
      </c>
      <c r="Z1670" s="168" t="str">
        <f t="shared" si="329"/>
        <v/>
      </c>
      <c r="AA1670" s="168" t="str">
        <f>IFERROR(Z1670/_xlfn.XLOOKUP(_xlfn.XLOOKUP($F1670,Clientes!$B$4:$B$39,Clientes!$C$4:$C$39),Cadastros!$L$6:$L$12,Cadastros!$M$6:$M$12)," ")</f>
        <v xml:space="preserve"> </v>
      </c>
      <c r="AB1670" s="28"/>
      <c r="AC1670" s="28"/>
      <c r="AD1670" s="20" t="str">
        <f>IF(AB1670="","",IF($F1670="Bernardino Furlan",_xlfn.XLOOKUP(AB1670,Cadastros!$G$6:$G$90,Cadastros!$H$6:$H$90)*(1-0.18),IF($F1670="Mauro José Salanti",_xlfn.XLOOKUP(AB1670,Cadastros!$G$6:$G$90,Cadastros!$H$6:$H$90)*(1-0.18),_xlfn.XLOOKUP(AB1670,Cadastros!$G$6:$G$90,Cadastros!$H$6:$H$90))))</f>
        <v/>
      </c>
      <c r="AE1670" s="168" t="str">
        <f t="shared" si="330"/>
        <v/>
      </c>
      <c r="AF1670" s="168" t="str">
        <f t="shared" si="331"/>
        <v/>
      </c>
      <c r="AG1670" s="28"/>
      <c r="AH1670" s="28"/>
      <c r="AI1670" s="20" t="str">
        <f>IF(AG1670="","",IF($F1670="Bernardino Furlan",_xlfn.XLOOKUP(AG1670,Cadastros!$G$6:$G$90,Cadastros!$H$6:$H$90)*(1-0.18),IF($F1670="Mauro José Salanti",_xlfn.XLOOKUP(AG1670,Cadastros!$G$6:$G$90,Cadastros!$H$6:$H$90)*(1-0.18),_xlfn.XLOOKUP(AG1670,Cadastros!$G$6:$G$90,Cadastros!$H$6:$H$90))))</f>
        <v/>
      </c>
      <c r="AJ1670" s="168" t="str">
        <f t="shared" si="332"/>
        <v/>
      </c>
      <c r="AK1670" s="168" t="str">
        <f t="shared" si="333"/>
        <v/>
      </c>
      <c r="AL1670" s="28"/>
      <c r="AM1670" s="28"/>
      <c r="AN1670" s="20" t="str">
        <f>IF(AL1670="","",IF($F1670="Bernardino Furlan",_xlfn.XLOOKUP(AL1670,Cadastros!$G$6:$G$90,Cadastros!$H$6:$H$90)*(1-0.18),IF($F1670="Mauro José Salanti",_xlfn.XLOOKUP(AL1670,Cadastros!$G$6:$G$90,Cadastros!$H$6:$H$90)*(1-0.18),_xlfn.XLOOKUP(AL1670,Cadastros!$G$6:$G$90,Cadastros!$H$6:$H$90))))</f>
        <v/>
      </c>
      <c r="AO1670" s="168" t="str">
        <f t="shared" si="334"/>
        <v/>
      </c>
      <c r="AP1670" s="168" t="str">
        <f t="shared" si="335"/>
        <v/>
      </c>
      <c r="AQ1670" s="28"/>
      <c r="AR1670" s="28"/>
      <c r="AS1670" s="20" t="str">
        <f>IF(AQ1670="","",IF($F1670="Bernardino Furlan",_xlfn.XLOOKUP(AQ1670,Cadastros!$G$6:$G$90,Cadastros!$H$6:$H$90)*(1-0.18),IF($F1670="Mauro José Salanti",_xlfn.XLOOKUP(AQ1670,Cadastros!$G$6:$G$90,Cadastros!$H$6:$H$90)*(1-0.18),_xlfn.XLOOKUP(AQ1670,Cadastros!$G$6:$G$90,Cadastros!$H$6:$H$90))))</f>
        <v/>
      </c>
      <c r="AT1670" s="168" t="str">
        <f t="shared" si="336"/>
        <v/>
      </c>
      <c r="AU1670" s="168" t="str">
        <f t="shared" si="337"/>
        <v/>
      </c>
      <c r="AV1670" s="227"/>
      <c r="AW1670" s="30"/>
      <c r="AX1670" s="267"/>
      <c r="AY1670" s="267"/>
      <c r="AZ1670" s="29"/>
      <c r="BA1670" s="30"/>
      <c r="BB1670" s="23" t="str" cm="1">
        <f t="array" ref="BB1670">_xlfn.IFS(AW1670="SIM",SUM(K1670,P1670,U1670,Z1670,AE1670,AJ1670,AO1670,AT1670,AX1670,AY1670),F1670&lt;&gt;"",SUM(K1670,P1670,U1670,Z1670,AE1670,AJ1670,,AO1670,AT1670),F1670="","")</f>
        <v/>
      </c>
      <c r="BC1670" s="211" t="str" cm="1">
        <f t="array" ref="BC1670">_xlfn.IFS(E1670="","",G1670&lt;=E1670,BB1670*(1-0.03),G1670&lt;(E1670+8),BB1670,AZ1670="Boleto",BB1670*(1+0.001)^DATEDIF(E1670,G1670,"D"),AZ1670="Cheque",BB1670,AZ1670="Dinheiro","Alterar forma pgto")</f>
        <v/>
      </c>
      <c r="BD1670" s="276" t="str" cm="1">
        <f t="array" ref="BD1670">IF(F1670=0," ",IF(BC1670&lt;BB1670,(_xlfn.IFS(AW1670="SIM",SUM(L1670,Q1670,V1670,AA1670,AF1670,AK1670,AP1670,AU1670)+AX1670/_xlfn.XLOOKUP(_xlfn.XLOOKUP($F1670,Clientes!$B$4:$B$39,Clientes!$C$4:$C$39),Cadastros!$L$6:$L$12,Cadastros!$M$6:$M$12)+IF($F1670="Bernardino Furlan",AY1670/2751.92,IF($F1670="Mauro José Salanti",AY1670/2751.92,AY1670/3356)),F1670&lt;&gt;0,SUM(L1670,Q1670,V1670,AA1670,AF1670,AK1670,AP1670,AU1670)))*(1-0.03),_xlfn.IFS(AW1670="SIM",SUM(L1670,Q1670,V1670,AA1670,AF1670,AK1670,AP1670,AU1670)+AX1670/_xlfn.XLOOKUP(_xlfn.XLOOKUP($F1670,Clientes!$B$4:$B$39,Clientes!$C$4:$C$39),Cadastros!$L$6:$L$12,Cadastros!$M$6:$M$12)+IF($F1670="Bernardino Furlan",AY1670/2751.92,IF($F1670="Mauro José Salanti",AY1670/2751.92,AY1670/3356)),F1670&lt;&gt;0,SUM(L1670,Q1670,V1670,AA1670,AF1670,AK1670,AP1670,AU1670))))</f>
        <v xml:space="preserve"> </v>
      </c>
      <c r="BE1670" s="120"/>
      <c r="BF1670" s="120"/>
      <c r="BG1670" s="120"/>
    </row>
    <row r="1671" spans="1:59" s="3" customFormat="1" x14ac:dyDescent="0.3">
      <c r="A1671" s="15" t="str">
        <f t="shared" si="325"/>
        <v/>
      </c>
      <c r="B1671" s="25"/>
      <c r="C1671" s="26"/>
      <c r="D1671" s="279"/>
      <c r="E1671" s="27"/>
      <c r="F1671" s="28"/>
      <c r="G1671" s="27"/>
      <c r="H1671" s="28"/>
      <c r="I1671" s="28"/>
      <c r="J1671" s="255" t="str">
        <f>IF(H1671="","",(_xlfn.XLOOKUP(H1671,Cadastros!$D$6:$D$90,Cadastros!$E$6:$E$90))*(1-_xlfn.XLOOKUP(_xlfn.XLOOKUP($F1671,Clientes!$B$4:$B$39,Clientes!$C$4:$C$39),Cadastros!$L$6:$L$12,Cadastros!$N$6:$N$12)))</f>
        <v/>
      </c>
      <c r="K1671" s="168" t="str">
        <f t="shared" si="326"/>
        <v/>
      </c>
      <c r="L1671" s="168" t="str">
        <f>IFERROR(K1671/_xlfn.XLOOKUP(_xlfn.XLOOKUP($F1671,Clientes!$B$4:$B$39,Clientes!$C$4:$C$39),Cadastros!$L$6:$L$12,Cadastros!$M$6:$M$12)," ")</f>
        <v xml:space="preserve"> </v>
      </c>
      <c r="M1671" s="28"/>
      <c r="N1671" s="28"/>
      <c r="O1671" s="255" t="str">
        <f>IF(M1671="","",(_xlfn.XLOOKUP(M1671,Cadastros!$D$6:$D$90,Cadastros!$E$6:$E$90))*(1-_xlfn.XLOOKUP(_xlfn.XLOOKUP($F1671,Clientes!$B$4:$B$39,Clientes!$C$4:$C$39),Cadastros!$L$6:$L$12,Cadastros!$N$6:$N$12)))</f>
        <v/>
      </c>
      <c r="P1671" s="168" t="str">
        <f t="shared" si="327"/>
        <v/>
      </c>
      <c r="Q1671" s="168" t="str">
        <f>IFERROR(P1671/_xlfn.XLOOKUP(_xlfn.XLOOKUP($F1671,Clientes!$B$4:$B$39,Clientes!$C$4:$C$39),Cadastros!$L$6:$L$12,Cadastros!$M$6:$M$12)," ")</f>
        <v xml:space="preserve"> </v>
      </c>
      <c r="R1671" s="28"/>
      <c r="S1671" s="28"/>
      <c r="T1671" s="255" t="str">
        <f>IF(R1671="","",(_xlfn.XLOOKUP(R1671,Cadastros!$D$6:$D$90,Cadastros!$E$6:$E$90))*(1-_xlfn.XLOOKUP(_xlfn.XLOOKUP($F1671,Clientes!$B$4:$B$39,Clientes!$C$4:$C$39),Cadastros!$L$6:$L$12,Cadastros!$N$6:$N$12)))</f>
        <v/>
      </c>
      <c r="U1671" s="168" t="str">
        <f t="shared" si="328"/>
        <v/>
      </c>
      <c r="V1671" s="168" t="str">
        <f>IFERROR(U1671/_xlfn.XLOOKUP(_xlfn.XLOOKUP($F1671,Clientes!$B$4:$B$39,Clientes!$C$4:$C$39),Cadastros!$L$6:$L$12,Cadastros!$M$6:$M$12)," ")</f>
        <v xml:space="preserve"> </v>
      </c>
      <c r="W1671" s="28"/>
      <c r="X1671" s="28"/>
      <c r="Y1671" s="255" t="str">
        <f>IF(W1671="","",(_xlfn.XLOOKUP(W1671,Cadastros!$D$6:$D$90,Cadastros!$E$6:$E$90))*(1-_xlfn.XLOOKUP(_xlfn.XLOOKUP($F1671,Clientes!$B$4:$B$39,Clientes!$C$4:$C$39),Cadastros!$L$6:$L$12,Cadastros!$N$6:$N$12)))</f>
        <v/>
      </c>
      <c r="Z1671" s="168" t="str">
        <f t="shared" si="329"/>
        <v/>
      </c>
      <c r="AA1671" s="168" t="str">
        <f>IFERROR(Z1671/_xlfn.XLOOKUP(_xlfn.XLOOKUP($F1671,Clientes!$B$4:$B$39,Clientes!$C$4:$C$39),Cadastros!$L$6:$L$12,Cadastros!$M$6:$M$12)," ")</f>
        <v xml:space="preserve"> </v>
      </c>
      <c r="AB1671" s="28"/>
      <c r="AC1671" s="28"/>
      <c r="AD1671" s="20" t="str">
        <f>IF(AB1671="","",IF($F1671="Bernardino Furlan",_xlfn.XLOOKUP(AB1671,Cadastros!$G$6:$G$90,Cadastros!$H$6:$H$90)*(1-0.18),IF($F1671="Mauro José Salanti",_xlfn.XLOOKUP(AB1671,Cadastros!$G$6:$G$90,Cadastros!$H$6:$H$90)*(1-0.18),_xlfn.XLOOKUP(AB1671,Cadastros!$G$6:$G$90,Cadastros!$H$6:$H$90))))</f>
        <v/>
      </c>
      <c r="AE1671" s="168" t="str">
        <f t="shared" si="330"/>
        <v/>
      </c>
      <c r="AF1671" s="168" t="str">
        <f t="shared" si="331"/>
        <v/>
      </c>
      <c r="AG1671" s="28"/>
      <c r="AH1671" s="28"/>
      <c r="AI1671" s="20" t="str">
        <f>IF(AG1671="","",IF($F1671="Bernardino Furlan",_xlfn.XLOOKUP(AG1671,Cadastros!$G$6:$G$90,Cadastros!$H$6:$H$90)*(1-0.18),IF($F1671="Mauro José Salanti",_xlfn.XLOOKUP(AG1671,Cadastros!$G$6:$G$90,Cadastros!$H$6:$H$90)*(1-0.18),_xlfn.XLOOKUP(AG1671,Cadastros!$G$6:$G$90,Cadastros!$H$6:$H$90))))</f>
        <v/>
      </c>
      <c r="AJ1671" s="168" t="str">
        <f t="shared" si="332"/>
        <v/>
      </c>
      <c r="AK1671" s="168" t="str">
        <f t="shared" si="333"/>
        <v/>
      </c>
      <c r="AL1671" s="28"/>
      <c r="AM1671" s="28"/>
      <c r="AN1671" s="20" t="str">
        <f>IF(AL1671="","",IF($F1671="Bernardino Furlan",_xlfn.XLOOKUP(AL1671,Cadastros!$G$6:$G$90,Cadastros!$H$6:$H$90)*(1-0.18),IF($F1671="Mauro José Salanti",_xlfn.XLOOKUP(AL1671,Cadastros!$G$6:$G$90,Cadastros!$H$6:$H$90)*(1-0.18),_xlfn.XLOOKUP(AL1671,Cadastros!$G$6:$G$90,Cadastros!$H$6:$H$90))))</f>
        <v/>
      </c>
      <c r="AO1671" s="168" t="str">
        <f t="shared" si="334"/>
        <v/>
      </c>
      <c r="AP1671" s="168" t="str">
        <f t="shared" si="335"/>
        <v/>
      </c>
      <c r="AQ1671" s="28"/>
      <c r="AR1671" s="28"/>
      <c r="AS1671" s="20" t="str">
        <f>IF(AQ1671="","",IF($F1671="Bernardino Furlan",_xlfn.XLOOKUP(AQ1671,Cadastros!$G$6:$G$90,Cadastros!$H$6:$H$90)*(1-0.18),IF($F1671="Mauro José Salanti",_xlfn.XLOOKUP(AQ1671,Cadastros!$G$6:$G$90,Cadastros!$H$6:$H$90)*(1-0.18),_xlfn.XLOOKUP(AQ1671,Cadastros!$G$6:$G$90,Cadastros!$H$6:$H$90))))</f>
        <v/>
      </c>
      <c r="AT1671" s="168" t="str">
        <f t="shared" si="336"/>
        <v/>
      </c>
      <c r="AU1671" s="168" t="str">
        <f t="shared" si="337"/>
        <v/>
      </c>
      <c r="AV1671" s="227"/>
      <c r="AW1671" s="30"/>
      <c r="AX1671" s="267"/>
      <c r="AY1671" s="267"/>
      <c r="AZ1671" s="29"/>
      <c r="BA1671" s="30"/>
      <c r="BB1671" s="23" t="str" cm="1">
        <f t="array" ref="BB1671">_xlfn.IFS(AW1671="SIM",SUM(K1671,P1671,U1671,Z1671,AE1671,AJ1671,AO1671,AT1671,AX1671,AY1671),F1671&lt;&gt;"",SUM(K1671,P1671,U1671,Z1671,AE1671,AJ1671,,AO1671,AT1671),F1671="","")</f>
        <v/>
      </c>
      <c r="BC1671" s="211" t="str" cm="1">
        <f t="array" ref="BC1671">_xlfn.IFS(E1671="","",G1671&lt;=E1671,BB1671*(1-0.03),G1671&lt;(E1671+8),BB1671,AZ1671="Boleto",BB1671*(1+0.001)^DATEDIF(E1671,G1671,"D"),AZ1671="Cheque",BB1671,AZ1671="Dinheiro","Alterar forma pgto")</f>
        <v/>
      </c>
      <c r="BD1671" s="276" t="str" cm="1">
        <f t="array" ref="BD1671">IF(F1671=0," ",IF(BC1671&lt;BB1671,(_xlfn.IFS(AW1671="SIM",SUM(L1671,Q1671,V1671,AA1671,AF1671,AK1671,AP1671,AU1671)+AX1671/_xlfn.XLOOKUP(_xlfn.XLOOKUP($F1671,Clientes!$B$4:$B$39,Clientes!$C$4:$C$39),Cadastros!$L$6:$L$12,Cadastros!$M$6:$M$12)+IF($F1671="Bernardino Furlan",AY1671/2751.92,IF($F1671="Mauro José Salanti",AY1671/2751.92,AY1671/3356)),F1671&lt;&gt;0,SUM(L1671,Q1671,V1671,AA1671,AF1671,AK1671,AP1671,AU1671)))*(1-0.03),_xlfn.IFS(AW1671="SIM",SUM(L1671,Q1671,V1671,AA1671,AF1671,AK1671,AP1671,AU1671)+AX1671/_xlfn.XLOOKUP(_xlfn.XLOOKUP($F1671,Clientes!$B$4:$B$39,Clientes!$C$4:$C$39),Cadastros!$L$6:$L$12,Cadastros!$M$6:$M$12)+IF($F1671="Bernardino Furlan",AY1671/2751.92,IF($F1671="Mauro José Salanti",AY1671/2751.92,AY1671/3356)),F1671&lt;&gt;0,SUM(L1671,Q1671,V1671,AA1671,AF1671,AK1671,AP1671,AU1671))))</f>
        <v xml:space="preserve"> </v>
      </c>
      <c r="BE1671" s="120"/>
      <c r="BF1671" s="120"/>
      <c r="BG1671" s="120"/>
    </row>
    <row r="1672" spans="1:59" s="3" customFormat="1" x14ac:dyDescent="0.3">
      <c r="A1672" s="15" t="str">
        <f t="shared" ref="A1672:A1735" si="338">IF(C1672="orçamento",25%,IF(C1672="aprovado",50%,IF(C1672="entregue",100%,IF(C1672="não aceito",0%,""))))</f>
        <v/>
      </c>
      <c r="B1672" s="25"/>
      <c r="C1672" s="26"/>
      <c r="D1672" s="279"/>
      <c r="E1672" s="27"/>
      <c r="F1672" s="28"/>
      <c r="G1672" s="27"/>
      <c r="H1672" s="28"/>
      <c r="I1672" s="28"/>
      <c r="J1672" s="255" t="str">
        <f>IF(H1672="","",(_xlfn.XLOOKUP(H1672,Cadastros!$D$6:$D$90,Cadastros!$E$6:$E$90))*(1-_xlfn.XLOOKUP(_xlfn.XLOOKUP($F1672,Clientes!$B$4:$B$39,Clientes!$C$4:$C$39),Cadastros!$L$6:$L$12,Cadastros!$N$6:$N$12)))</f>
        <v/>
      </c>
      <c r="K1672" s="168" t="str">
        <f t="shared" ref="K1672:K1735" si="339">IF(J1672="","",I1672*J1672)</f>
        <v/>
      </c>
      <c r="L1672" s="168" t="str">
        <f>IFERROR(K1672/_xlfn.XLOOKUP(_xlfn.XLOOKUP($F1672,Clientes!$B$4:$B$39,Clientes!$C$4:$C$39),Cadastros!$L$6:$L$12,Cadastros!$M$6:$M$12)," ")</f>
        <v xml:space="preserve"> </v>
      </c>
      <c r="M1672" s="28"/>
      <c r="N1672" s="28"/>
      <c r="O1672" s="255" t="str">
        <f>IF(M1672="","",(_xlfn.XLOOKUP(M1672,Cadastros!$D$6:$D$90,Cadastros!$E$6:$E$90))*(1-_xlfn.XLOOKUP(_xlfn.XLOOKUP($F1672,Clientes!$B$4:$B$39,Clientes!$C$4:$C$39),Cadastros!$L$6:$L$12,Cadastros!$N$6:$N$12)))</f>
        <v/>
      </c>
      <c r="P1672" s="168" t="str">
        <f t="shared" ref="P1672:P1735" si="340">IF(O1672="","",N1672*O1672)</f>
        <v/>
      </c>
      <c r="Q1672" s="168" t="str">
        <f>IFERROR(P1672/_xlfn.XLOOKUP(_xlfn.XLOOKUP($F1672,Clientes!$B$4:$B$39,Clientes!$C$4:$C$39),Cadastros!$L$6:$L$12,Cadastros!$M$6:$M$12)," ")</f>
        <v xml:space="preserve"> </v>
      </c>
      <c r="R1672" s="28"/>
      <c r="S1672" s="28"/>
      <c r="T1672" s="255" t="str">
        <f>IF(R1672="","",(_xlfn.XLOOKUP(R1672,Cadastros!$D$6:$D$90,Cadastros!$E$6:$E$90))*(1-_xlfn.XLOOKUP(_xlfn.XLOOKUP($F1672,Clientes!$B$4:$B$39,Clientes!$C$4:$C$39),Cadastros!$L$6:$L$12,Cadastros!$N$6:$N$12)))</f>
        <v/>
      </c>
      <c r="U1672" s="168" t="str">
        <f t="shared" ref="U1672:U1735" si="341">IF(T1672="","",S1672*T1672)</f>
        <v/>
      </c>
      <c r="V1672" s="168" t="str">
        <f>IFERROR(U1672/_xlfn.XLOOKUP(_xlfn.XLOOKUP($F1672,Clientes!$B$4:$B$39,Clientes!$C$4:$C$39),Cadastros!$L$6:$L$12,Cadastros!$M$6:$M$12)," ")</f>
        <v xml:space="preserve"> </v>
      </c>
      <c r="W1672" s="28"/>
      <c r="X1672" s="28"/>
      <c r="Y1672" s="255" t="str">
        <f>IF(W1672="","",(_xlfn.XLOOKUP(W1672,Cadastros!$D$6:$D$90,Cadastros!$E$6:$E$90))*(1-_xlfn.XLOOKUP(_xlfn.XLOOKUP($F1672,Clientes!$B$4:$B$39,Clientes!$C$4:$C$39),Cadastros!$L$6:$L$12,Cadastros!$N$6:$N$12)))</f>
        <v/>
      </c>
      <c r="Z1672" s="168" t="str">
        <f t="shared" ref="Z1672:Z1735" si="342">IF(Y1672="","",X1672*Y1672)</f>
        <v/>
      </c>
      <c r="AA1672" s="168" t="str">
        <f>IFERROR(Z1672/_xlfn.XLOOKUP(_xlfn.XLOOKUP($F1672,Clientes!$B$4:$B$39,Clientes!$C$4:$C$39),Cadastros!$L$6:$L$12,Cadastros!$M$6:$M$12)," ")</f>
        <v xml:space="preserve"> </v>
      </c>
      <c r="AB1672" s="28"/>
      <c r="AC1672" s="28"/>
      <c r="AD1672" s="20" t="str">
        <f>IF(AB1672="","",IF($F1672="Bernardino Furlan",_xlfn.XLOOKUP(AB1672,Cadastros!$G$6:$G$90,Cadastros!$H$6:$H$90)*(1-0.18),IF($F1672="Mauro José Salanti",_xlfn.XLOOKUP(AB1672,Cadastros!$G$6:$G$90,Cadastros!$H$6:$H$90)*(1-0.18),_xlfn.XLOOKUP(AB1672,Cadastros!$G$6:$G$90,Cadastros!$H$6:$H$90))))</f>
        <v/>
      </c>
      <c r="AE1672" s="168" t="str">
        <f t="shared" ref="AE1672:AE1735" si="343">IF(AD1672="","",AC1672*AD1672)</f>
        <v/>
      </c>
      <c r="AF1672" s="168" t="str">
        <f t="shared" ref="AF1672:AF1735" si="344">IFERROR(IF($F1672="Bernardino Furlan",AE1672/2751.92,IF($F1672="Mauro José Salanti",AE1672/2751.92,AE1672/3356)),"")</f>
        <v/>
      </c>
      <c r="AG1672" s="28"/>
      <c r="AH1672" s="28"/>
      <c r="AI1672" s="20" t="str">
        <f>IF(AG1672="","",IF($F1672="Bernardino Furlan",_xlfn.XLOOKUP(AG1672,Cadastros!$G$6:$G$90,Cadastros!$H$6:$H$90)*(1-0.18),IF($F1672="Mauro José Salanti",_xlfn.XLOOKUP(AG1672,Cadastros!$G$6:$G$90,Cadastros!$H$6:$H$90)*(1-0.18),_xlfn.XLOOKUP(AG1672,Cadastros!$G$6:$G$90,Cadastros!$H$6:$H$90))))</f>
        <v/>
      </c>
      <c r="AJ1672" s="168" t="str">
        <f t="shared" ref="AJ1672:AJ1735" si="345">IF(AI1672="","",AH1672*AI1672)</f>
        <v/>
      </c>
      <c r="AK1672" s="168" t="str">
        <f t="shared" ref="AK1672:AK1735" si="346">IFERROR(IF($F1672="Bernardino Furlan",AJ1672/2751.92,IF($F1672="Mauro José Salanti",AJ1672/2751.92,AJ1672/3356)),"")</f>
        <v/>
      </c>
      <c r="AL1672" s="28"/>
      <c r="AM1672" s="28"/>
      <c r="AN1672" s="20" t="str">
        <f>IF(AL1672="","",IF($F1672="Bernardino Furlan",_xlfn.XLOOKUP(AL1672,Cadastros!$G$6:$G$90,Cadastros!$H$6:$H$90)*(1-0.18),IF($F1672="Mauro José Salanti",_xlfn.XLOOKUP(AL1672,Cadastros!$G$6:$G$90,Cadastros!$H$6:$H$90)*(1-0.18),_xlfn.XLOOKUP(AL1672,Cadastros!$G$6:$G$90,Cadastros!$H$6:$H$90))))</f>
        <v/>
      </c>
      <c r="AO1672" s="168" t="str">
        <f t="shared" ref="AO1672:AO1735" si="347">IF(AN1672="","",AM1672*AN1672)</f>
        <v/>
      </c>
      <c r="AP1672" s="168" t="str">
        <f t="shared" ref="AP1672:AP1735" si="348">IFERROR(IF($F1672="Bernardino Furlan",AO1672/2751.92,IF($F1672="Mauro José Salanti",AO1672/2751.92,AO1672/3356)),"")</f>
        <v/>
      </c>
      <c r="AQ1672" s="28"/>
      <c r="AR1672" s="28"/>
      <c r="AS1672" s="20" t="str">
        <f>IF(AQ1672="","",IF($F1672="Bernardino Furlan",_xlfn.XLOOKUP(AQ1672,Cadastros!$G$6:$G$90,Cadastros!$H$6:$H$90)*(1-0.18),IF($F1672="Mauro José Salanti",_xlfn.XLOOKUP(AQ1672,Cadastros!$G$6:$G$90,Cadastros!$H$6:$H$90)*(1-0.18),_xlfn.XLOOKUP(AQ1672,Cadastros!$G$6:$G$90,Cadastros!$H$6:$H$90))))</f>
        <v/>
      </c>
      <c r="AT1672" s="168" t="str">
        <f t="shared" ref="AT1672:AT1735" si="349">IF(AS1672="","",AR1672*AS1672)</f>
        <v/>
      </c>
      <c r="AU1672" s="168" t="str">
        <f t="shared" ref="AU1672:AU1735" si="350">IFERROR(IF($F1672="Bernardino Furlan",AT1672/2751.92,IF($F1672="Mauro José Salanti",AT1672/2751.92,AT1672/3356)),"")</f>
        <v/>
      </c>
      <c r="AV1672" s="227"/>
      <c r="AW1672" s="30"/>
      <c r="AX1672" s="267"/>
      <c r="AY1672" s="267"/>
      <c r="AZ1672" s="29"/>
      <c r="BA1672" s="30"/>
      <c r="BB1672" s="23" t="str" cm="1">
        <f t="array" ref="BB1672">_xlfn.IFS(AW1672="SIM",SUM(K1672,P1672,U1672,Z1672,AE1672,AJ1672,AO1672,AT1672,AX1672,AY1672),F1672&lt;&gt;"",SUM(K1672,P1672,U1672,Z1672,AE1672,AJ1672,,AO1672,AT1672),F1672="","")</f>
        <v/>
      </c>
      <c r="BC1672" s="211" t="str" cm="1">
        <f t="array" ref="BC1672">_xlfn.IFS(E1672="","",G1672&lt;=E1672,BB1672*(1-0.03),G1672&lt;(E1672+8),BB1672,AZ1672="Boleto",BB1672*(1+0.001)^DATEDIF(E1672,G1672,"D"),AZ1672="Cheque",BB1672,AZ1672="Dinheiro","Alterar forma pgto")</f>
        <v/>
      </c>
      <c r="BD1672" s="276" t="str" cm="1">
        <f t="array" ref="BD1672">IF(F1672=0," ",IF(BC1672&lt;BB1672,(_xlfn.IFS(AW1672="SIM",SUM(L1672,Q1672,V1672,AA1672,AF1672,AK1672,AP1672,AU1672)+AX1672/_xlfn.XLOOKUP(_xlfn.XLOOKUP($F1672,Clientes!$B$4:$B$39,Clientes!$C$4:$C$39),Cadastros!$L$6:$L$12,Cadastros!$M$6:$M$12)+IF($F1672="Bernardino Furlan",AY1672/2751.92,IF($F1672="Mauro José Salanti",AY1672/2751.92,AY1672/3356)),F1672&lt;&gt;0,SUM(L1672,Q1672,V1672,AA1672,AF1672,AK1672,AP1672,AU1672)))*(1-0.03),_xlfn.IFS(AW1672="SIM",SUM(L1672,Q1672,V1672,AA1672,AF1672,AK1672,AP1672,AU1672)+AX1672/_xlfn.XLOOKUP(_xlfn.XLOOKUP($F1672,Clientes!$B$4:$B$39,Clientes!$C$4:$C$39),Cadastros!$L$6:$L$12,Cadastros!$M$6:$M$12)+IF($F1672="Bernardino Furlan",AY1672/2751.92,IF($F1672="Mauro José Salanti",AY1672/2751.92,AY1672/3356)),F1672&lt;&gt;0,SUM(L1672,Q1672,V1672,AA1672,AF1672,AK1672,AP1672,AU1672))))</f>
        <v xml:space="preserve"> </v>
      </c>
      <c r="BE1672" s="120"/>
      <c r="BF1672" s="120"/>
      <c r="BG1672" s="120"/>
    </row>
    <row r="1673" spans="1:59" s="3" customFormat="1" x14ac:dyDescent="0.3">
      <c r="A1673" s="15" t="str">
        <f t="shared" si="338"/>
        <v/>
      </c>
      <c r="B1673" s="25"/>
      <c r="C1673" s="26"/>
      <c r="D1673" s="279"/>
      <c r="E1673" s="27"/>
      <c r="F1673" s="28"/>
      <c r="G1673" s="27"/>
      <c r="H1673" s="28"/>
      <c r="I1673" s="28"/>
      <c r="J1673" s="255" t="str">
        <f>IF(H1673="","",(_xlfn.XLOOKUP(H1673,Cadastros!$D$6:$D$90,Cadastros!$E$6:$E$90))*(1-_xlfn.XLOOKUP(_xlfn.XLOOKUP($F1673,Clientes!$B$4:$B$39,Clientes!$C$4:$C$39),Cadastros!$L$6:$L$12,Cadastros!$N$6:$N$12)))</f>
        <v/>
      </c>
      <c r="K1673" s="168" t="str">
        <f t="shared" si="339"/>
        <v/>
      </c>
      <c r="L1673" s="168" t="str">
        <f>IFERROR(K1673/_xlfn.XLOOKUP(_xlfn.XLOOKUP($F1673,Clientes!$B$4:$B$39,Clientes!$C$4:$C$39),Cadastros!$L$6:$L$12,Cadastros!$M$6:$M$12)," ")</f>
        <v xml:space="preserve"> </v>
      </c>
      <c r="M1673" s="28"/>
      <c r="N1673" s="28"/>
      <c r="O1673" s="255" t="str">
        <f>IF(M1673="","",(_xlfn.XLOOKUP(M1673,Cadastros!$D$6:$D$90,Cadastros!$E$6:$E$90))*(1-_xlfn.XLOOKUP(_xlfn.XLOOKUP($F1673,Clientes!$B$4:$B$39,Clientes!$C$4:$C$39),Cadastros!$L$6:$L$12,Cadastros!$N$6:$N$12)))</f>
        <v/>
      </c>
      <c r="P1673" s="168" t="str">
        <f t="shared" si="340"/>
        <v/>
      </c>
      <c r="Q1673" s="168" t="str">
        <f>IFERROR(P1673/_xlfn.XLOOKUP(_xlfn.XLOOKUP($F1673,Clientes!$B$4:$B$39,Clientes!$C$4:$C$39),Cadastros!$L$6:$L$12,Cadastros!$M$6:$M$12)," ")</f>
        <v xml:space="preserve"> </v>
      </c>
      <c r="R1673" s="28"/>
      <c r="S1673" s="28"/>
      <c r="T1673" s="255" t="str">
        <f>IF(R1673="","",(_xlfn.XLOOKUP(R1673,Cadastros!$D$6:$D$90,Cadastros!$E$6:$E$90))*(1-_xlfn.XLOOKUP(_xlfn.XLOOKUP($F1673,Clientes!$B$4:$B$39,Clientes!$C$4:$C$39),Cadastros!$L$6:$L$12,Cadastros!$N$6:$N$12)))</f>
        <v/>
      </c>
      <c r="U1673" s="168" t="str">
        <f t="shared" si="341"/>
        <v/>
      </c>
      <c r="V1673" s="168" t="str">
        <f>IFERROR(U1673/_xlfn.XLOOKUP(_xlfn.XLOOKUP($F1673,Clientes!$B$4:$B$39,Clientes!$C$4:$C$39),Cadastros!$L$6:$L$12,Cadastros!$M$6:$M$12)," ")</f>
        <v xml:space="preserve"> </v>
      </c>
      <c r="W1673" s="28"/>
      <c r="X1673" s="28"/>
      <c r="Y1673" s="255" t="str">
        <f>IF(W1673="","",(_xlfn.XLOOKUP(W1673,Cadastros!$D$6:$D$90,Cadastros!$E$6:$E$90))*(1-_xlfn.XLOOKUP(_xlfn.XLOOKUP($F1673,Clientes!$B$4:$B$39,Clientes!$C$4:$C$39),Cadastros!$L$6:$L$12,Cadastros!$N$6:$N$12)))</f>
        <v/>
      </c>
      <c r="Z1673" s="168" t="str">
        <f t="shared" si="342"/>
        <v/>
      </c>
      <c r="AA1673" s="168" t="str">
        <f>IFERROR(Z1673/_xlfn.XLOOKUP(_xlfn.XLOOKUP($F1673,Clientes!$B$4:$B$39,Clientes!$C$4:$C$39),Cadastros!$L$6:$L$12,Cadastros!$M$6:$M$12)," ")</f>
        <v xml:space="preserve"> </v>
      </c>
      <c r="AB1673" s="28"/>
      <c r="AC1673" s="28"/>
      <c r="AD1673" s="20" t="str">
        <f>IF(AB1673="","",IF($F1673="Bernardino Furlan",_xlfn.XLOOKUP(AB1673,Cadastros!$G$6:$G$90,Cadastros!$H$6:$H$90)*(1-0.18),IF($F1673="Mauro José Salanti",_xlfn.XLOOKUP(AB1673,Cadastros!$G$6:$G$90,Cadastros!$H$6:$H$90)*(1-0.18),_xlfn.XLOOKUP(AB1673,Cadastros!$G$6:$G$90,Cadastros!$H$6:$H$90))))</f>
        <v/>
      </c>
      <c r="AE1673" s="168" t="str">
        <f t="shared" si="343"/>
        <v/>
      </c>
      <c r="AF1673" s="168" t="str">
        <f t="shared" si="344"/>
        <v/>
      </c>
      <c r="AG1673" s="28"/>
      <c r="AH1673" s="28"/>
      <c r="AI1673" s="20" t="str">
        <f>IF(AG1673="","",IF($F1673="Bernardino Furlan",_xlfn.XLOOKUP(AG1673,Cadastros!$G$6:$G$90,Cadastros!$H$6:$H$90)*(1-0.18),IF($F1673="Mauro José Salanti",_xlfn.XLOOKUP(AG1673,Cadastros!$G$6:$G$90,Cadastros!$H$6:$H$90)*(1-0.18),_xlfn.XLOOKUP(AG1673,Cadastros!$G$6:$G$90,Cadastros!$H$6:$H$90))))</f>
        <v/>
      </c>
      <c r="AJ1673" s="168" t="str">
        <f t="shared" si="345"/>
        <v/>
      </c>
      <c r="AK1673" s="168" t="str">
        <f t="shared" si="346"/>
        <v/>
      </c>
      <c r="AL1673" s="28"/>
      <c r="AM1673" s="28"/>
      <c r="AN1673" s="20" t="str">
        <f>IF(AL1673="","",IF($F1673="Bernardino Furlan",_xlfn.XLOOKUP(AL1673,Cadastros!$G$6:$G$90,Cadastros!$H$6:$H$90)*(1-0.18),IF($F1673="Mauro José Salanti",_xlfn.XLOOKUP(AL1673,Cadastros!$G$6:$G$90,Cadastros!$H$6:$H$90)*(1-0.18),_xlfn.XLOOKUP(AL1673,Cadastros!$G$6:$G$90,Cadastros!$H$6:$H$90))))</f>
        <v/>
      </c>
      <c r="AO1673" s="168" t="str">
        <f t="shared" si="347"/>
        <v/>
      </c>
      <c r="AP1673" s="168" t="str">
        <f t="shared" si="348"/>
        <v/>
      </c>
      <c r="AQ1673" s="28"/>
      <c r="AR1673" s="28"/>
      <c r="AS1673" s="20" t="str">
        <f>IF(AQ1673="","",IF($F1673="Bernardino Furlan",_xlfn.XLOOKUP(AQ1673,Cadastros!$G$6:$G$90,Cadastros!$H$6:$H$90)*(1-0.18),IF($F1673="Mauro José Salanti",_xlfn.XLOOKUP(AQ1673,Cadastros!$G$6:$G$90,Cadastros!$H$6:$H$90)*(1-0.18),_xlfn.XLOOKUP(AQ1673,Cadastros!$G$6:$G$90,Cadastros!$H$6:$H$90))))</f>
        <v/>
      </c>
      <c r="AT1673" s="168" t="str">
        <f t="shared" si="349"/>
        <v/>
      </c>
      <c r="AU1673" s="168" t="str">
        <f t="shared" si="350"/>
        <v/>
      </c>
      <c r="AV1673" s="227"/>
      <c r="AW1673" s="30"/>
      <c r="AX1673" s="267"/>
      <c r="AY1673" s="267"/>
      <c r="AZ1673" s="29"/>
      <c r="BA1673" s="30"/>
      <c r="BB1673" s="23" t="str" cm="1">
        <f t="array" ref="BB1673">_xlfn.IFS(AW1673="SIM",SUM(K1673,P1673,U1673,Z1673,AE1673,AJ1673,AO1673,AT1673,AX1673,AY1673),F1673&lt;&gt;"",SUM(K1673,P1673,U1673,Z1673,AE1673,AJ1673,,AO1673,AT1673),F1673="","")</f>
        <v/>
      </c>
      <c r="BC1673" s="211" t="str" cm="1">
        <f t="array" ref="BC1673">_xlfn.IFS(E1673="","",G1673&lt;=E1673,BB1673*(1-0.03),G1673&lt;(E1673+8),BB1673,AZ1673="Boleto",BB1673*(1+0.001)^DATEDIF(E1673,G1673,"D"),AZ1673="Cheque",BB1673,AZ1673="Dinheiro","Alterar forma pgto")</f>
        <v/>
      </c>
      <c r="BD1673" s="276" t="str" cm="1">
        <f t="array" ref="BD1673">IF(F1673=0," ",IF(BC1673&lt;BB1673,(_xlfn.IFS(AW1673="SIM",SUM(L1673,Q1673,V1673,AA1673,AF1673,AK1673,AP1673,AU1673)+AX1673/_xlfn.XLOOKUP(_xlfn.XLOOKUP($F1673,Clientes!$B$4:$B$39,Clientes!$C$4:$C$39),Cadastros!$L$6:$L$12,Cadastros!$M$6:$M$12)+IF($F1673="Bernardino Furlan",AY1673/2751.92,IF($F1673="Mauro José Salanti",AY1673/2751.92,AY1673/3356)),F1673&lt;&gt;0,SUM(L1673,Q1673,V1673,AA1673,AF1673,AK1673,AP1673,AU1673)))*(1-0.03),_xlfn.IFS(AW1673="SIM",SUM(L1673,Q1673,V1673,AA1673,AF1673,AK1673,AP1673,AU1673)+AX1673/_xlfn.XLOOKUP(_xlfn.XLOOKUP($F1673,Clientes!$B$4:$B$39,Clientes!$C$4:$C$39),Cadastros!$L$6:$L$12,Cadastros!$M$6:$M$12)+IF($F1673="Bernardino Furlan",AY1673/2751.92,IF($F1673="Mauro José Salanti",AY1673/2751.92,AY1673/3356)),F1673&lt;&gt;0,SUM(L1673,Q1673,V1673,AA1673,AF1673,AK1673,AP1673,AU1673))))</f>
        <v xml:space="preserve"> </v>
      </c>
      <c r="BE1673" s="120"/>
      <c r="BF1673" s="120"/>
      <c r="BG1673" s="120"/>
    </row>
    <row r="1674" spans="1:59" s="3" customFormat="1" x14ac:dyDescent="0.3">
      <c r="A1674" s="15" t="str">
        <f t="shared" si="338"/>
        <v/>
      </c>
      <c r="B1674" s="25"/>
      <c r="C1674" s="26"/>
      <c r="D1674" s="279"/>
      <c r="E1674" s="27"/>
      <c r="F1674" s="28"/>
      <c r="G1674" s="27"/>
      <c r="H1674" s="28"/>
      <c r="I1674" s="28"/>
      <c r="J1674" s="255" t="str">
        <f>IF(H1674="","",(_xlfn.XLOOKUP(H1674,Cadastros!$D$6:$D$90,Cadastros!$E$6:$E$90))*(1-_xlfn.XLOOKUP(_xlfn.XLOOKUP($F1674,Clientes!$B$4:$B$39,Clientes!$C$4:$C$39),Cadastros!$L$6:$L$12,Cadastros!$N$6:$N$12)))</f>
        <v/>
      </c>
      <c r="K1674" s="168" t="str">
        <f t="shared" si="339"/>
        <v/>
      </c>
      <c r="L1674" s="168" t="str">
        <f>IFERROR(K1674/_xlfn.XLOOKUP(_xlfn.XLOOKUP($F1674,Clientes!$B$4:$B$39,Clientes!$C$4:$C$39),Cadastros!$L$6:$L$12,Cadastros!$M$6:$M$12)," ")</f>
        <v xml:space="preserve"> </v>
      </c>
      <c r="M1674" s="28"/>
      <c r="N1674" s="28"/>
      <c r="O1674" s="255" t="str">
        <f>IF(M1674="","",(_xlfn.XLOOKUP(M1674,Cadastros!$D$6:$D$90,Cadastros!$E$6:$E$90))*(1-_xlfn.XLOOKUP(_xlfn.XLOOKUP($F1674,Clientes!$B$4:$B$39,Clientes!$C$4:$C$39),Cadastros!$L$6:$L$12,Cadastros!$N$6:$N$12)))</f>
        <v/>
      </c>
      <c r="P1674" s="168" t="str">
        <f t="shared" si="340"/>
        <v/>
      </c>
      <c r="Q1674" s="168" t="str">
        <f>IFERROR(P1674/_xlfn.XLOOKUP(_xlfn.XLOOKUP($F1674,Clientes!$B$4:$B$39,Clientes!$C$4:$C$39),Cadastros!$L$6:$L$12,Cadastros!$M$6:$M$12)," ")</f>
        <v xml:space="preserve"> </v>
      </c>
      <c r="R1674" s="28"/>
      <c r="S1674" s="28"/>
      <c r="T1674" s="255" t="str">
        <f>IF(R1674="","",(_xlfn.XLOOKUP(R1674,Cadastros!$D$6:$D$90,Cadastros!$E$6:$E$90))*(1-_xlfn.XLOOKUP(_xlfn.XLOOKUP($F1674,Clientes!$B$4:$B$39,Clientes!$C$4:$C$39),Cadastros!$L$6:$L$12,Cadastros!$N$6:$N$12)))</f>
        <v/>
      </c>
      <c r="U1674" s="168" t="str">
        <f t="shared" si="341"/>
        <v/>
      </c>
      <c r="V1674" s="168" t="str">
        <f>IFERROR(U1674/_xlfn.XLOOKUP(_xlfn.XLOOKUP($F1674,Clientes!$B$4:$B$39,Clientes!$C$4:$C$39),Cadastros!$L$6:$L$12,Cadastros!$M$6:$M$12)," ")</f>
        <v xml:space="preserve"> </v>
      </c>
      <c r="W1674" s="28"/>
      <c r="X1674" s="28"/>
      <c r="Y1674" s="255" t="str">
        <f>IF(W1674="","",(_xlfn.XLOOKUP(W1674,Cadastros!$D$6:$D$90,Cadastros!$E$6:$E$90))*(1-_xlfn.XLOOKUP(_xlfn.XLOOKUP($F1674,Clientes!$B$4:$B$39,Clientes!$C$4:$C$39),Cadastros!$L$6:$L$12,Cadastros!$N$6:$N$12)))</f>
        <v/>
      </c>
      <c r="Z1674" s="168" t="str">
        <f t="shared" si="342"/>
        <v/>
      </c>
      <c r="AA1674" s="168" t="str">
        <f>IFERROR(Z1674/_xlfn.XLOOKUP(_xlfn.XLOOKUP($F1674,Clientes!$B$4:$B$39,Clientes!$C$4:$C$39),Cadastros!$L$6:$L$12,Cadastros!$M$6:$M$12)," ")</f>
        <v xml:space="preserve"> </v>
      </c>
      <c r="AB1674" s="28"/>
      <c r="AC1674" s="28"/>
      <c r="AD1674" s="20" t="str">
        <f>IF(AB1674="","",IF($F1674="Bernardino Furlan",_xlfn.XLOOKUP(AB1674,Cadastros!$G$6:$G$90,Cadastros!$H$6:$H$90)*(1-0.18),IF($F1674="Mauro José Salanti",_xlfn.XLOOKUP(AB1674,Cadastros!$G$6:$G$90,Cadastros!$H$6:$H$90)*(1-0.18),_xlfn.XLOOKUP(AB1674,Cadastros!$G$6:$G$90,Cadastros!$H$6:$H$90))))</f>
        <v/>
      </c>
      <c r="AE1674" s="168" t="str">
        <f t="shared" si="343"/>
        <v/>
      </c>
      <c r="AF1674" s="168" t="str">
        <f t="shared" si="344"/>
        <v/>
      </c>
      <c r="AG1674" s="28"/>
      <c r="AH1674" s="28"/>
      <c r="AI1674" s="20" t="str">
        <f>IF(AG1674="","",IF($F1674="Bernardino Furlan",_xlfn.XLOOKUP(AG1674,Cadastros!$G$6:$G$90,Cadastros!$H$6:$H$90)*(1-0.18),IF($F1674="Mauro José Salanti",_xlfn.XLOOKUP(AG1674,Cadastros!$G$6:$G$90,Cadastros!$H$6:$H$90)*(1-0.18),_xlfn.XLOOKUP(AG1674,Cadastros!$G$6:$G$90,Cadastros!$H$6:$H$90))))</f>
        <v/>
      </c>
      <c r="AJ1674" s="168" t="str">
        <f t="shared" si="345"/>
        <v/>
      </c>
      <c r="AK1674" s="168" t="str">
        <f t="shared" si="346"/>
        <v/>
      </c>
      <c r="AL1674" s="28"/>
      <c r="AM1674" s="28"/>
      <c r="AN1674" s="20" t="str">
        <f>IF(AL1674="","",IF($F1674="Bernardino Furlan",_xlfn.XLOOKUP(AL1674,Cadastros!$G$6:$G$90,Cadastros!$H$6:$H$90)*(1-0.18),IF($F1674="Mauro José Salanti",_xlfn.XLOOKUP(AL1674,Cadastros!$G$6:$G$90,Cadastros!$H$6:$H$90)*(1-0.18),_xlfn.XLOOKUP(AL1674,Cadastros!$G$6:$G$90,Cadastros!$H$6:$H$90))))</f>
        <v/>
      </c>
      <c r="AO1674" s="168" t="str">
        <f t="shared" si="347"/>
        <v/>
      </c>
      <c r="AP1674" s="168" t="str">
        <f t="shared" si="348"/>
        <v/>
      </c>
      <c r="AQ1674" s="28"/>
      <c r="AR1674" s="28"/>
      <c r="AS1674" s="20" t="str">
        <f>IF(AQ1674="","",IF($F1674="Bernardino Furlan",_xlfn.XLOOKUP(AQ1674,Cadastros!$G$6:$G$90,Cadastros!$H$6:$H$90)*(1-0.18),IF($F1674="Mauro José Salanti",_xlfn.XLOOKUP(AQ1674,Cadastros!$G$6:$G$90,Cadastros!$H$6:$H$90)*(1-0.18),_xlfn.XLOOKUP(AQ1674,Cadastros!$G$6:$G$90,Cadastros!$H$6:$H$90))))</f>
        <v/>
      </c>
      <c r="AT1674" s="168" t="str">
        <f t="shared" si="349"/>
        <v/>
      </c>
      <c r="AU1674" s="168" t="str">
        <f t="shared" si="350"/>
        <v/>
      </c>
      <c r="AV1674" s="227"/>
      <c r="AW1674" s="30"/>
      <c r="AX1674" s="267"/>
      <c r="AY1674" s="267"/>
      <c r="AZ1674" s="29"/>
      <c r="BA1674" s="30"/>
      <c r="BB1674" s="23" t="str" cm="1">
        <f t="array" ref="BB1674">_xlfn.IFS(AW1674="SIM",SUM(K1674,P1674,U1674,Z1674,AE1674,AJ1674,AO1674,AT1674,AX1674,AY1674),F1674&lt;&gt;"",SUM(K1674,P1674,U1674,Z1674,AE1674,AJ1674,,AO1674,AT1674),F1674="","")</f>
        <v/>
      </c>
      <c r="BC1674" s="211" t="str" cm="1">
        <f t="array" ref="BC1674">_xlfn.IFS(E1674="","",G1674&lt;=E1674,BB1674*(1-0.03),G1674&lt;(E1674+8),BB1674,AZ1674="Boleto",BB1674*(1+0.001)^DATEDIF(E1674,G1674,"D"),AZ1674="Cheque",BB1674,AZ1674="Dinheiro","Alterar forma pgto")</f>
        <v/>
      </c>
      <c r="BD1674" s="276" t="str" cm="1">
        <f t="array" ref="BD1674">IF(F1674=0," ",IF(BC1674&lt;BB1674,(_xlfn.IFS(AW1674="SIM",SUM(L1674,Q1674,V1674,AA1674,AF1674,AK1674,AP1674,AU1674)+AX1674/_xlfn.XLOOKUP(_xlfn.XLOOKUP($F1674,Clientes!$B$4:$B$39,Clientes!$C$4:$C$39),Cadastros!$L$6:$L$12,Cadastros!$M$6:$M$12)+IF($F1674="Bernardino Furlan",AY1674/2751.92,IF($F1674="Mauro José Salanti",AY1674/2751.92,AY1674/3356)),F1674&lt;&gt;0,SUM(L1674,Q1674,V1674,AA1674,AF1674,AK1674,AP1674,AU1674)))*(1-0.03),_xlfn.IFS(AW1674="SIM",SUM(L1674,Q1674,V1674,AA1674,AF1674,AK1674,AP1674,AU1674)+AX1674/_xlfn.XLOOKUP(_xlfn.XLOOKUP($F1674,Clientes!$B$4:$B$39,Clientes!$C$4:$C$39),Cadastros!$L$6:$L$12,Cadastros!$M$6:$M$12)+IF($F1674="Bernardino Furlan",AY1674/2751.92,IF($F1674="Mauro José Salanti",AY1674/2751.92,AY1674/3356)),F1674&lt;&gt;0,SUM(L1674,Q1674,V1674,AA1674,AF1674,AK1674,AP1674,AU1674))))</f>
        <v xml:space="preserve"> </v>
      </c>
      <c r="BE1674" s="120"/>
      <c r="BF1674" s="120"/>
      <c r="BG1674" s="120"/>
    </row>
    <row r="1675" spans="1:59" s="3" customFormat="1" x14ac:dyDescent="0.3">
      <c r="A1675" s="15" t="str">
        <f t="shared" si="338"/>
        <v/>
      </c>
      <c r="B1675" s="25"/>
      <c r="C1675" s="26"/>
      <c r="D1675" s="279"/>
      <c r="E1675" s="27"/>
      <c r="F1675" s="28"/>
      <c r="G1675" s="27"/>
      <c r="H1675" s="28"/>
      <c r="I1675" s="28"/>
      <c r="J1675" s="255" t="str">
        <f>IF(H1675="","",(_xlfn.XLOOKUP(H1675,Cadastros!$D$6:$D$90,Cadastros!$E$6:$E$90))*(1-_xlfn.XLOOKUP(_xlfn.XLOOKUP($F1675,Clientes!$B$4:$B$39,Clientes!$C$4:$C$39),Cadastros!$L$6:$L$12,Cadastros!$N$6:$N$12)))</f>
        <v/>
      </c>
      <c r="K1675" s="168" t="str">
        <f t="shared" si="339"/>
        <v/>
      </c>
      <c r="L1675" s="168" t="str">
        <f>IFERROR(K1675/_xlfn.XLOOKUP(_xlfn.XLOOKUP($F1675,Clientes!$B$4:$B$39,Clientes!$C$4:$C$39),Cadastros!$L$6:$L$12,Cadastros!$M$6:$M$12)," ")</f>
        <v xml:space="preserve"> </v>
      </c>
      <c r="M1675" s="28"/>
      <c r="N1675" s="28"/>
      <c r="O1675" s="255" t="str">
        <f>IF(M1675="","",(_xlfn.XLOOKUP(M1675,Cadastros!$D$6:$D$90,Cadastros!$E$6:$E$90))*(1-_xlfn.XLOOKUP(_xlfn.XLOOKUP($F1675,Clientes!$B$4:$B$39,Clientes!$C$4:$C$39),Cadastros!$L$6:$L$12,Cadastros!$N$6:$N$12)))</f>
        <v/>
      </c>
      <c r="P1675" s="168" t="str">
        <f t="shared" si="340"/>
        <v/>
      </c>
      <c r="Q1675" s="168" t="str">
        <f>IFERROR(P1675/_xlfn.XLOOKUP(_xlfn.XLOOKUP($F1675,Clientes!$B$4:$B$39,Clientes!$C$4:$C$39),Cadastros!$L$6:$L$12,Cadastros!$M$6:$M$12)," ")</f>
        <v xml:space="preserve"> </v>
      </c>
      <c r="R1675" s="28"/>
      <c r="S1675" s="28"/>
      <c r="T1675" s="255" t="str">
        <f>IF(R1675="","",(_xlfn.XLOOKUP(R1675,Cadastros!$D$6:$D$90,Cadastros!$E$6:$E$90))*(1-_xlfn.XLOOKUP(_xlfn.XLOOKUP($F1675,Clientes!$B$4:$B$39,Clientes!$C$4:$C$39),Cadastros!$L$6:$L$12,Cadastros!$N$6:$N$12)))</f>
        <v/>
      </c>
      <c r="U1675" s="168" t="str">
        <f t="shared" si="341"/>
        <v/>
      </c>
      <c r="V1675" s="168" t="str">
        <f>IFERROR(U1675/_xlfn.XLOOKUP(_xlfn.XLOOKUP($F1675,Clientes!$B$4:$B$39,Clientes!$C$4:$C$39),Cadastros!$L$6:$L$12,Cadastros!$M$6:$M$12)," ")</f>
        <v xml:space="preserve"> </v>
      </c>
      <c r="W1675" s="28"/>
      <c r="X1675" s="28"/>
      <c r="Y1675" s="255" t="str">
        <f>IF(W1675="","",(_xlfn.XLOOKUP(W1675,Cadastros!$D$6:$D$90,Cadastros!$E$6:$E$90))*(1-_xlfn.XLOOKUP(_xlfn.XLOOKUP($F1675,Clientes!$B$4:$B$39,Clientes!$C$4:$C$39),Cadastros!$L$6:$L$12,Cadastros!$N$6:$N$12)))</f>
        <v/>
      </c>
      <c r="Z1675" s="168" t="str">
        <f t="shared" si="342"/>
        <v/>
      </c>
      <c r="AA1675" s="168" t="str">
        <f>IFERROR(Z1675/_xlfn.XLOOKUP(_xlfn.XLOOKUP($F1675,Clientes!$B$4:$B$39,Clientes!$C$4:$C$39),Cadastros!$L$6:$L$12,Cadastros!$M$6:$M$12)," ")</f>
        <v xml:space="preserve"> </v>
      </c>
      <c r="AB1675" s="28"/>
      <c r="AC1675" s="28"/>
      <c r="AD1675" s="20" t="str">
        <f>IF(AB1675="","",IF($F1675="Bernardino Furlan",_xlfn.XLOOKUP(AB1675,Cadastros!$G$6:$G$90,Cadastros!$H$6:$H$90)*(1-0.18),IF($F1675="Mauro José Salanti",_xlfn.XLOOKUP(AB1675,Cadastros!$G$6:$G$90,Cadastros!$H$6:$H$90)*(1-0.18),_xlfn.XLOOKUP(AB1675,Cadastros!$G$6:$G$90,Cadastros!$H$6:$H$90))))</f>
        <v/>
      </c>
      <c r="AE1675" s="168" t="str">
        <f t="shared" si="343"/>
        <v/>
      </c>
      <c r="AF1675" s="168" t="str">
        <f t="shared" si="344"/>
        <v/>
      </c>
      <c r="AG1675" s="28"/>
      <c r="AH1675" s="28"/>
      <c r="AI1675" s="20" t="str">
        <f>IF(AG1675="","",IF($F1675="Bernardino Furlan",_xlfn.XLOOKUP(AG1675,Cadastros!$G$6:$G$90,Cadastros!$H$6:$H$90)*(1-0.18),IF($F1675="Mauro José Salanti",_xlfn.XLOOKUP(AG1675,Cadastros!$G$6:$G$90,Cadastros!$H$6:$H$90)*(1-0.18),_xlfn.XLOOKUP(AG1675,Cadastros!$G$6:$G$90,Cadastros!$H$6:$H$90))))</f>
        <v/>
      </c>
      <c r="AJ1675" s="168" t="str">
        <f t="shared" si="345"/>
        <v/>
      </c>
      <c r="AK1675" s="168" t="str">
        <f t="shared" si="346"/>
        <v/>
      </c>
      <c r="AL1675" s="28"/>
      <c r="AM1675" s="28"/>
      <c r="AN1675" s="20" t="str">
        <f>IF(AL1675="","",IF($F1675="Bernardino Furlan",_xlfn.XLOOKUP(AL1675,Cadastros!$G$6:$G$90,Cadastros!$H$6:$H$90)*(1-0.18),IF($F1675="Mauro José Salanti",_xlfn.XLOOKUP(AL1675,Cadastros!$G$6:$G$90,Cadastros!$H$6:$H$90)*(1-0.18),_xlfn.XLOOKUP(AL1675,Cadastros!$G$6:$G$90,Cadastros!$H$6:$H$90))))</f>
        <v/>
      </c>
      <c r="AO1675" s="168" t="str">
        <f t="shared" si="347"/>
        <v/>
      </c>
      <c r="AP1675" s="168" t="str">
        <f t="shared" si="348"/>
        <v/>
      </c>
      <c r="AQ1675" s="28"/>
      <c r="AR1675" s="28"/>
      <c r="AS1675" s="20" t="str">
        <f>IF(AQ1675="","",IF($F1675="Bernardino Furlan",_xlfn.XLOOKUP(AQ1675,Cadastros!$G$6:$G$90,Cadastros!$H$6:$H$90)*(1-0.18),IF($F1675="Mauro José Salanti",_xlfn.XLOOKUP(AQ1675,Cadastros!$G$6:$G$90,Cadastros!$H$6:$H$90)*(1-0.18),_xlfn.XLOOKUP(AQ1675,Cadastros!$G$6:$G$90,Cadastros!$H$6:$H$90))))</f>
        <v/>
      </c>
      <c r="AT1675" s="168" t="str">
        <f t="shared" si="349"/>
        <v/>
      </c>
      <c r="AU1675" s="168" t="str">
        <f t="shared" si="350"/>
        <v/>
      </c>
      <c r="AV1675" s="227"/>
      <c r="AW1675" s="30"/>
      <c r="AX1675" s="267"/>
      <c r="AY1675" s="267"/>
      <c r="AZ1675" s="29"/>
      <c r="BA1675" s="30"/>
      <c r="BB1675" s="23" t="str" cm="1">
        <f t="array" ref="BB1675">_xlfn.IFS(AW1675="SIM",SUM(K1675,P1675,U1675,Z1675,AE1675,AJ1675,AO1675,AT1675,AX1675,AY1675),F1675&lt;&gt;"",SUM(K1675,P1675,U1675,Z1675,AE1675,AJ1675,,AO1675,AT1675),F1675="","")</f>
        <v/>
      </c>
      <c r="BC1675" s="211" t="str" cm="1">
        <f t="array" ref="BC1675">_xlfn.IFS(E1675="","",G1675&lt;=E1675,BB1675*(1-0.03),G1675&lt;(E1675+8),BB1675,AZ1675="Boleto",BB1675*(1+0.001)^DATEDIF(E1675,G1675,"D"),AZ1675="Cheque",BB1675,AZ1675="Dinheiro","Alterar forma pgto")</f>
        <v/>
      </c>
      <c r="BD1675" s="276" t="str" cm="1">
        <f t="array" ref="BD1675">IF(F1675=0," ",IF(BC1675&lt;BB1675,(_xlfn.IFS(AW1675="SIM",SUM(L1675,Q1675,V1675,AA1675,AF1675,AK1675,AP1675,AU1675)+AX1675/_xlfn.XLOOKUP(_xlfn.XLOOKUP($F1675,Clientes!$B$4:$B$39,Clientes!$C$4:$C$39),Cadastros!$L$6:$L$12,Cadastros!$M$6:$M$12)+IF($F1675="Bernardino Furlan",AY1675/2751.92,IF($F1675="Mauro José Salanti",AY1675/2751.92,AY1675/3356)),F1675&lt;&gt;0,SUM(L1675,Q1675,V1675,AA1675,AF1675,AK1675,AP1675,AU1675)))*(1-0.03),_xlfn.IFS(AW1675="SIM",SUM(L1675,Q1675,V1675,AA1675,AF1675,AK1675,AP1675,AU1675)+AX1675/_xlfn.XLOOKUP(_xlfn.XLOOKUP($F1675,Clientes!$B$4:$B$39,Clientes!$C$4:$C$39),Cadastros!$L$6:$L$12,Cadastros!$M$6:$M$12)+IF($F1675="Bernardino Furlan",AY1675/2751.92,IF($F1675="Mauro José Salanti",AY1675/2751.92,AY1675/3356)),F1675&lt;&gt;0,SUM(L1675,Q1675,V1675,AA1675,AF1675,AK1675,AP1675,AU1675))))</f>
        <v xml:space="preserve"> </v>
      </c>
      <c r="BE1675" s="120"/>
      <c r="BF1675" s="120"/>
      <c r="BG1675" s="120"/>
    </row>
    <row r="1676" spans="1:59" s="3" customFormat="1" x14ac:dyDescent="0.3">
      <c r="A1676" s="15" t="str">
        <f t="shared" si="338"/>
        <v/>
      </c>
      <c r="B1676" s="25"/>
      <c r="C1676" s="26"/>
      <c r="D1676" s="279"/>
      <c r="E1676" s="27"/>
      <c r="F1676" s="28"/>
      <c r="G1676" s="27"/>
      <c r="H1676" s="28"/>
      <c r="I1676" s="28"/>
      <c r="J1676" s="255" t="str">
        <f>IF(H1676="","",(_xlfn.XLOOKUP(H1676,Cadastros!$D$6:$D$90,Cadastros!$E$6:$E$90))*(1-_xlfn.XLOOKUP(_xlfn.XLOOKUP($F1676,Clientes!$B$4:$B$39,Clientes!$C$4:$C$39),Cadastros!$L$6:$L$12,Cadastros!$N$6:$N$12)))</f>
        <v/>
      </c>
      <c r="K1676" s="168" t="str">
        <f t="shared" si="339"/>
        <v/>
      </c>
      <c r="L1676" s="168" t="str">
        <f>IFERROR(K1676/_xlfn.XLOOKUP(_xlfn.XLOOKUP($F1676,Clientes!$B$4:$B$39,Clientes!$C$4:$C$39),Cadastros!$L$6:$L$12,Cadastros!$M$6:$M$12)," ")</f>
        <v xml:space="preserve"> </v>
      </c>
      <c r="M1676" s="28"/>
      <c r="N1676" s="28"/>
      <c r="O1676" s="255" t="str">
        <f>IF(M1676="","",(_xlfn.XLOOKUP(M1676,Cadastros!$D$6:$D$90,Cadastros!$E$6:$E$90))*(1-_xlfn.XLOOKUP(_xlfn.XLOOKUP($F1676,Clientes!$B$4:$B$39,Clientes!$C$4:$C$39),Cadastros!$L$6:$L$12,Cadastros!$N$6:$N$12)))</f>
        <v/>
      </c>
      <c r="P1676" s="168" t="str">
        <f t="shared" si="340"/>
        <v/>
      </c>
      <c r="Q1676" s="168" t="str">
        <f>IFERROR(P1676/_xlfn.XLOOKUP(_xlfn.XLOOKUP($F1676,Clientes!$B$4:$B$39,Clientes!$C$4:$C$39),Cadastros!$L$6:$L$12,Cadastros!$M$6:$M$12)," ")</f>
        <v xml:space="preserve"> </v>
      </c>
      <c r="R1676" s="28"/>
      <c r="S1676" s="28"/>
      <c r="T1676" s="255" t="str">
        <f>IF(R1676="","",(_xlfn.XLOOKUP(R1676,Cadastros!$D$6:$D$90,Cadastros!$E$6:$E$90))*(1-_xlfn.XLOOKUP(_xlfn.XLOOKUP($F1676,Clientes!$B$4:$B$39,Clientes!$C$4:$C$39),Cadastros!$L$6:$L$12,Cadastros!$N$6:$N$12)))</f>
        <v/>
      </c>
      <c r="U1676" s="168" t="str">
        <f t="shared" si="341"/>
        <v/>
      </c>
      <c r="V1676" s="168" t="str">
        <f>IFERROR(U1676/_xlfn.XLOOKUP(_xlfn.XLOOKUP($F1676,Clientes!$B$4:$B$39,Clientes!$C$4:$C$39),Cadastros!$L$6:$L$12,Cadastros!$M$6:$M$12)," ")</f>
        <v xml:space="preserve"> </v>
      </c>
      <c r="W1676" s="28"/>
      <c r="X1676" s="28"/>
      <c r="Y1676" s="255" t="str">
        <f>IF(W1676="","",(_xlfn.XLOOKUP(W1676,Cadastros!$D$6:$D$90,Cadastros!$E$6:$E$90))*(1-_xlfn.XLOOKUP(_xlfn.XLOOKUP($F1676,Clientes!$B$4:$B$39,Clientes!$C$4:$C$39),Cadastros!$L$6:$L$12,Cadastros!$N$6:$N$12)))</f>
        <v/>
      </c>
      <c r="Z1676" s="168" t="str">
        <f t="shared" si="342"/>
        <v/>
      </c>
      <c r="AA1676" s="168" t="str">
        <f>IFERROR(Z1676/_xlfn.XLOOKUP(_xlfn.XLOOKUP($F1676,Clientes!$B$4:$B$39,Clientes!$C$4:$C$39),Cadastros!$L$6:$L$12,Cadastros!$M$6:$M$12)," ")</f>
        <v xml:space="preserve"> </v>
      </c>
      <c r="AB1676" s="28"/>
      <c r="AC1676" s="28"/>
      <c r="AD1676" s="20" t="str">
        <f>IF(AB1676="","",IF($F1676="Bernardino Furlan",_xlfn.XLOOKUP(AB1676,Cadastros!$G$6:$G$90,Cadastros!$H$6:$H$90)*(1-0.18),IF($F1676="Mauro José Salanti",_xlfn.XLOOKUP(AB1676,Cadastros!$G$6:$G$90,Cadastros!$H$6:$H$90)*(1-0.18),_xlfn.XLOOKUP(AB1676,Cadastros!$G$6:$G$90,Cadastros!$H$6:$H$90))))</f>
        <v/>
      </c>
      <c r="AE1676" s="168" t="str">
        <f t="shared" si="343"/>
        <v/>
      </c>
      <c r="AF1676" s="168" t="str">
        <f t="shared" si="344"/>
        <v/>
      </c>
      <c r="AG1676" s="28"/>
      <c r="AH1676" s="28"/>
      <c r="AI1676" s="20" t="str">
        <f>IF(AG1676="","",IF($F1676="Bernardino Furlan",_xlfn.XLOOKUP(AG1676,Cadastros!$G$6:$G$90,Cadastros!$H$6:$H$90)*(1-0.18),IF($F1676="Mauro José Salanti",_xlfn.XLOOKUP(AG1676,Cadastros!$G$6:$G$90,Cadastros!$H$6:$H$90)*(1-0.18),_xlfn.XLOOKUP(AG1676,Cadastros!$G$6:$G$90,Cadastros!$H$6:$H$90))))</f>
        <v/>
      </c>
      <c r="AJ1676" s="168" t="str">
        <f t="shared" si="345"/>
        <v/>
      </c>
      <c r="AK1676" s="168" t="str">
        <f t="shared" si="346"/>
        <v/>
      </c>
      <c r="AL1676" s="28"/>
      <c r="AM1676" s="28"/>
      <c r="AN1676" s="20" t="str">
        <f>IF(AL1676="","",IF($F1676="Bernardino Furlan",_xlfn.XLOOKUP(AL1676,Cadastros!$G$6:$G$90,Cadastros!$H$6:$H$90)*(1-0.18),IF($F1676="Mauro José Salanti",_xlfn.XLOOKUP(AL1676,Cadastros!$G$6:$G$90,Cadastros!$H$6:$H$90)*(1-0.18),_xlfn.XLOOKUP(AL1676,Cadastros!$G$6:$G$90,Cadastros!$H$6:$H$90))))</f>
        <v/>
      </c>
      <c r="AO1676" s="168" t="str">
        <f t="shared" si="347"/>
        <v/>
      </c>
      <c r="AP1676" s="168" t="str">
        <f t="shared" si="348"/>
        <v/>
      </c>
      <c r="AQ1676" s="28"/>
      <c r="AR1676" s="28"/>
      <c r="AS1676" s="20" t="str">
        <f>IF(AQ1676="","",IF($F1676="Bernardino Furlan",_xlfn.XLOOKUP(AQ1676,Cadastros!$G$6:$G$90,Cadastros!$H$6:$H$90)*(1-0.18),IF($F1676="Mauro José Salanti",_xlfn.XLOOKUP(AQ1676,Cadastros!$G$6:$G$90,Cadastros!$H$6:$H$90)*(1-0.18),_xlfn.XLOOKUP(AQ1676,Cadastros!$G$6:$G$90,Cadastros!$H$6:$H$90))))</f>
        <v/>
      </c>
      <c r="AT1676" s="168" t="str">
        <f t="shared" si="349"/>
        <v/>
      </c>
      <c r="AU1676" s="168" t="str">
        <f t="shared" si="350"/>
        <v/>
      </c>
      <c r="AV1676" s="227"/>
      <c r="AW1676" s="30"/>
      <c r="AX1676" s="267"/>
      <c r="AY1676" s="267"/>
      <c r="AZ1676" s="29"/>
      <c r="BA1676" s="30"/>
      <c r="BB1676" s="23" t="str" cm="1">
        <f t="array" ref="BB1676">_xlfn.IFS(AW1676="SIM",SUM(K1676,P1676,U1676,Z1676,AE1676,AJ1676,AO1676,AT1676,AX1676,AY1676),F1676&lt;&gt;"",SUM(K1676,P1676,U1676,Z1676,AE1676,AJ1676,,AO1676,AT1676),F1676="","")</f>
        <v/>
      </c>
      <c r="BC1676" s="211" t="str" cm="1">
        <f t="array" ref="BC1676">_xlfn.IFS(E1676="","",G1676&lt;=E1676,BB1676*(1-0.03),G1676&lt;(E1676+8),BB1676,AZ1676="Boleto",BB1676*(1+0.001)^DATEDIF(E1676,G1676,"D"),AZ1676="Cheque",BB1676,AZ1676="Dinheiro","Alterar forma pgto")</f>
        <v/>
      </c>
      <c r="BD1676" s="276" t="str" cm="1">
        <f t="array" ref="BD1676">IF(F1676=0," ",IF(BC1676&lt;BB1676,(_xlfn.IFS(AW1676="SIM",SUM(L1676,Q1676,V1676,AA1676,AF1676,AK1676,AP1676,AU1676)+AX1676/_xlfn.XLOOKUP(_xlfn.XLOOKUP($F1676,Clientes!$B$4:$B$39,Clientes!$C$4:$C$39),Cadastros!$L$6:$L$12,Cadastros!$M$6:$M$12)+IF($F1676="Bernardino Furlan",AY1676/2751.92,IF($F1676="Mauro José Salanti",AY1676/2751.92,AY1676/3356)),F1676&lt;&gt;0,SUM(L1676,Q1676,V1676,AA1676,AF1676,AK1676,AP1676,AU1676)))*(1-0.03),_xlfn.IFS(AW1676="SIM",SUM(L1676,Q1676,V1676,AA1676,AF1676,AK1676,AP1676,AU1676)+AX1676/_xlfn.XLOOKUP(_xlfn.XLOOKUP($F1676,Clientes!$B$4:$B$39,Clientes!$C$4:$C$39),Cadastros!$L$6:$L$12,Cadastros!$M$6:$M$12)+IF($F1676="Bernardino Furlan",AY1676/2751.92,IF($F1676="Mauro José Salanti",AY1676/2751.92,AY1676/3356)),F1676&lt;&gt;0,SUM(L1676,Q1676,V1676,AA1676,AF1676,AK1676,AP1676,AU1676))))</f>
        <v xml:space="preserve"> </v>
      </c>
      <c r="BE1676" s="120"/>
      <c r="BF1676" s="120"/>
      <c r="BG1676" s="120"/>
    </row>
    <row r="1677" spans="1:59" s="3" customFormat="1" x14ac:dyDescent="0.3">
      <c r="A1677" s="15" t="str">
        <f t="shared" si="338"/>
        <v/>
      </c>
      <c r="B1677" s="25"/>
      <c r="C1677" s="26"/>
      <c r="D1677" s="279"/>
      <c r="E1677" s="27"/>
      <c r="F1677" s="28"/>
      <c r="G1677" s="27"/>
      <c r="H1677" s="28"/>
      <c r="I1677" s="28"/>
      <c r="J1677" s="255" t="str">
        <f>IF(H1677="","",(_xlfn.XLOOKUP(H1677,Cadastros!$D$6:$D$90,Cadastros!$E$6:$E$90))*(1-_xlfn.XLOOKUP(_xlfn.XLOOKUP($F1677,Clientes!$B$4:$B$39,Clientes!$C$4:$C$39),Cadastros!$L$6:$L$12,Cadastros!$N$6:$N$12)))</f>
        <v/>
      </c>
      <c r="K1677" s="168" t="str">
        <f t="shared" si="339"/>
        <v/>
      </c>
      <c r="L1677" s="168" t="str">
        <f>IFERROR(K1677/_xlfn.XLOOKUP(_xlfn.XLOOKUP($F1677,Clientes!$B$4:$B$39,Clientes!$C$4:$C$39),Cadastros!$L$6:$L$12,Cadastros!$M$6:$M$12)," ")</f>
        <v xml:space="preserve"> </v>
      </c>
      <c r="M1677" s="28"/>
      <c r="N1677" s="28"/>
      <c r="O1677" s="255" t="str">
        <f>IF(M1677="","",(_xlfn.XLOOKUP(M1677,Cadastros!$D$6:$D$90,Cadastros!$E$6:$E$90))*(1-_xlfn.XLOOKUP(_xlfn.XLOOKUP($F1677,Clientes!$B$4:$B$39,Clientes!$C$4:$C$39),Cadastros!$L$6:$L$12,Cadastros!$N$6:$N$12)))</f>
        <v/>
      </c>
      <c r="P1677" s="168" t="str">
        <f t="shared" si="340"/>
        <v/>
      </c>
      <c r="Q1677" s="168" t="str">
        <f>IFERROR(P1677/_xlfn.XLOOKUP(_xlfn.XLOOKUP($F1677,Clientes!$B$4:$B$39,Clientes!$C$4:$C$39),Cadastros!$L$6:$L$12,Cadastros!$M$6:$M$12)," ")</f>
        <v xml:space="preserve"> </v>
      </c>
      <c r="R1677" s="28"/>
      <c r="S1677" s="28"/>
      <c r="T1677" s="255" t="str">
        <f>IF(R1677="","",(_xlfn.XLOOKUP(R1677,Cadastros!$D$6:$D$90,Cadastros!$E$6:$E$90))*(1-_xlfn.XLOOKUP(_xlfn.XLOOKUP($F1677,Clientes!$B$4:$B$39,Clientes!$C$4:$C$39),Cadastros!$L$6:$L$12,Cadastros!$N$6:$N$12)))</f>
        <v/>
      </c>
      <c r="U1677" s="168" t="str">
        <f t="shared" si="341"/>
        <v/>
      </c>
      <c r="V1677" s="168" t="str">
        <f>IFERROR(U1677/_xlfn.XLOOKUP(_xlfn.XLOOKUP($F1677,Clientes!$B$4:$B$39,Clientes!$C$4:$C$39),Cadastros!$L$6:$L$12,Cadastros!$M$6:$M$12)," ")</f>
        <v xml:space="preserve"> </v>
      </c>
      <c r="W1677" s="28"/>
      <c r="X1677" s="28"/>
      <c r="Y1677" s="255" t="str">
        <f>IF(W1677="","",(_xlfn.XLOOKUP(W1677,Cadastros!$D$6:$D$90,Cadastros!$E$6:$E$90))*(1-_xlfn.XLOOKUP(_xlfn.XLOOKUP($F1677,Clientes!$B$4:$B$39,Clientes!$C$4:$C$39),Cadastros!$L$6:$L$12,Cadastros!$N$6:$N$12)))</f>
        <v/>
      </c>
      <c r="Z1677" s="168" t="str">
        <f t="shared" si="342"/>
        <v/>
      </c>
      <c r="AA1677" s="168" t="str">
        <f>IFERROR(Z1677/_xlfn.XLOOKUP(_xlfn.XLOOKUP($F1677,Clientes!$B$4:$B$39,Clientes!$C$4:$C$39),Cadastros!$L$6:$L$12,Cadastros!$M$6:$M$12)," ")</f>
        <v xml:space="preserve"> </v>
      </c>
      <c r="AB1677" s="28"/>
      <c r="AC1677" s="28"/>
      <c r="AD1677" s="20" t="str">
        <f>IF(AB1677="","",IF($F1677="Bernardino Furlan",_xlfn.XLOOKUP(AB1677,Cadastros!$G$6:$G$90,Cadastros!$H$6:$H$90)*(1-0.18),IF($F1677="Mauro José Salanti",_xlfn.XLOOKUP(AB1677,Cadastros!$G$6:$G$90,Cadastros!$H$6:$H$90)*(1-0.18),_xlfn.XLOOKUP(AB1677,Cadastros!$G$6:$G$90,Cadastros!$H$6:$H$90))))</f>
        <v/>
      </c>
      <c r="AE1677" s="168" t="str">
        <f t="shared" si="343"/>
        <v/>
      </c>
      <c r="AF1677" s="168" t="str">
        <f t="shared" si="344"/>
        <v/>
      </c>
      <c r="AG1677" s="28"/>
      <c r="AH1677" s="28"/>
      <c r="AI1677" s="20" t="str">
        <f>IF(AG1677="","",IF($F1677="Bernardino Furlan",_xlfn.XLOOKUP(AG1677,Cadastros!$G$6:$G$90,Cadastros!$H$6:$H$90)*(1-0.18),IF($F1677="Mauro José Salanti",_xlfn.XLOOKUP(AG1677,Cadastros!$G$6:$G$90,Cadastros!$H$6:$H$90)*(1-0.18),_xlfn.XLOOKUP(AG1677,Cadastros!$G$6:$G$90,Cadastros!$H$6:$H$90))))</f>
        <v/>
      </c>
      <c r="AJ1677" s="168" t="str">
        <f t="shared" si="345"/>
        <v/>
      </c>
      <c r="AK1677" s="168" t="str">
        <f t="shared" si="346"/>
        <v/>
      </c>
      <c r="AL1677" s="28"/>
      <c r="AM1677" s="28"/>
      <c r="AN1677" s="20" t="str">
        <f>IF(AL1677="","",IF($F1677="Bernardino Furlan",_xlfn.XLOOKUP(AL1677,Cadastros!$G$6:$G$90,Cadastros!$H$6:$H$90)*(1-0.18),IF($F1677="Mauro José Salanti",_xlfn.XLOOKUP(AL1677,Cadastros!$G$6:$G$90,Cadastros!$H$6:$H$90)*(1-0.18),_xlfn.XLOOKUP(AL1677,Cadastros!$G$6:$G$90,Cadastros!$H$6:$H$90))))</f>
        <v/>
      </c>
      <c r="AO1677" s="168" t="str">
        <f t="shared" si="347"/>
        <v/>
      </c>
      <c r="AP1677" s="168" t="str">
        <f t="shared" si="348"/>
        <v/>
      </c>
      <c r="AQ1677" s="28"/>
      <c r="AR1677" s="28"/>
      <c r="AS1677" s="20" t="str">
        <f>IF(AQ1677="","",IF($F1677="Bernardino Furlan",_xlfn.XLOOKUP(AQ1677,Cadastros!$G$6:$G$90,Cadastros!$H$6:$H$90)*(1-0.18),IF($F1677="Mauro José Salanti",_xlfn.XLOOKUP(AQ1677,Cadastros!$G$6:$G$90,Cadastros!$H$6:$H$90)*(1-0.18),_xlfn.XLOOKUP(AQ1677,Cadastros!$G$6:$G$90,Cadastros!$H$6:$H$90))))</f>
        <v/>
      </c>
      <c r="AT1677" s="168" t="str">
        <f t="shared" si="349"/>
        <v/>
      </c>
      <c r="AU1677" s="168" t="str">
        <f t="shared" si="350"/>
        <v/>
      </c>
      <c r="AV1677" s="227"/>
      <c r="AW1677" s="30"/>
      <c r="AX1677" s="267"/>
      <c r="AY1677" s="267"/>
      <c r="AZ1677" s="29"/>
      <c r="BA1677" s="30"/>
      <c r="BB1677" s="23" t="str" cm="1">
        <f t="array" ref="BB1677">_xlfn.IFS(AW1677="SIM",SUM(K1677,P1677,U1677,Z1677,AE1677,AJ1677,AO1677,AT1677,AX1677,AY1677),F1677&lt;&gt;"",SUM(K1677,P1677,U1677,Z1677,AE1677,AJ1677,,AO1677,AT1677),F1677="","")</f>
        <v/>
      </c>
      <c r="BC1677" s="211" t="str" cm="1">
        <f t="array" ref="BC1677">_xlfn.IFS(E1677="","",G1677&lt;=E1677,BB1677*(1-0.03),G1677&lt;(E1677+8),BB1677,AZ1677="Boleto",BB1677*(1+0.001)^DATEDIF(E1677,G1677,"D"),AZ1677="Cheque",BB1677,AZ1677="Dinheiro","Alterar forma pgto")</f>
        <v/>
      </c>
      <c r="BD1677" s="276" t="str" cm="1">
        <f t="array" ref="BD1677">IF(F1677=0," ",IF(BC1677&lt;BB1677,(_xlfn.IFS(AW1677="SIM",SUM(L1677,Q1677,V1677,AA1677,AF1677,AK1677,AP1677,AU1677)+AX1677/_xlfn.XLOOKUP(_xlfn.XLOOKUP($F1677,Clientes!$B$4:$B$39,Clientes!$C$4:$C$39),Cadastros!$L$6:$L$12,Cadastros!$M$6:$M$12)+IF($F1677="Bernardino Furlan",AY1677/2751.92,IF($F1677="Mauro José Salanti",AY1677/2751.92,AY1677/3356)),F1677&lt;&gt;0,SUM(L1677,Q1677,V1677,AA1677,AF1677,AK1677,AP1677,AU1677)))*(1-0.03),_xlfn.IFS(AW1677="SIM",SUM(L1677,Q1677,V1677,AA1677,AF1677,AK1677,AP1677,AU1677)+AX1677/_xlfn.XLOOKUP(_xlfn.XLOOKUP($F1677,Clientes!$B$4:$B$39,Clientes!$C$4:$C$39),Cadastros!$L$6:$L$12,Cadastros!$M$6:$M$12)+IF($F1677="Bernardino Furlan",AY1677/2751.92,IF($F1677="Mauro José Salanti",AY1677/2751.92,AY1677/3356)),F1677&lt;&gt;0,SUM(L1677,Q1677,V1677,AA1677,AF1677,AK1677,AP1677,AU1677))))</f>
        <v xml:space="preserve"> </v>
      </c>
      <c r="BE1677" s="120"/>
      <c r="BF1677" s="120"/>
      <c r="BG1677" s="120"/>
    </row>
    <row r="1678" spans="1:59" s="3" customFormat="1" x14ac:dyDescent="0.3">
      <c r="A1678" s="15" t="str">
        <f t="shared" si="338"/>
        <v/>
      </c>
      <c r="B1678" s="25"/>
      <c r="C1678" s="26"/>
      <c r="D1678" s="279"/>
      <c r="E1678" s="27"/>
      <c r="F1678" s="28"/>
      <c r="G1678" s="27"/>
      <c r="H1678" s="28"/>
      <c r="I1678" s="28"/>
      <c r="J1678" s="255" t="str">
        <f>IF(H1678="","",(_xlfn.XLOOKUP(H1678,Cadastros!$D$6:$D$90,Cadastros!$E$6:$E$90))*(1-_xlfn.XLOOKUP(_xlfn.XLOOKUP($F1678,Clientes!$B$4:$B$39,Clientes!$C$4:$C$39),Cadastros!$L$6:$L$12,Cadastros!$N$6:$N$12)))</f>
        <v/>
      </c>
      <c r="K1678" s="168" t="str">
        <f t="shared" si="339"/>
        <v/>
      </c>
      <c r="L1678" s="168" t="str">
        <f>IFERROR(K1678/_xlfn.XLOOKUP(_xlfn.XLOOKUP($F1678,Clientes!$B$4:$B$39,Clientes!$C$4:$C$39),Cadastros!$L$6:$L$12,Cadastros!$M$6:$M$12)," ")</f>
        <v xml:space="preserve"> </v>
      </c>
      <c r="M1678" s="28"/>
      <c r="N1678" s="28"/>
      <c r="O1678" s="255" t="str">
        <f>IF(M1678="","",(_xlfn.XLOOKUP(M1678,Cadastros!$D$6:$D$90,Cadastros!$E$6:$E$90))*(1-_xlfn.XLOOKUP(_xlfn.XLOOKUP($F1678,Clientes!$B$4:$B$39,Clientes!$C$4:$C$39),Cadastros!$L$6:$L$12,Cadastros!$N$6:$N$12)))</f>
        <v/>
      </c>
      <c r="P1678" s="168" t="str">
        <f t="shared" si="340"/>
        <v/>
      </c>
      <c r="Q1678" s="168" t="str">
        <f>IFERROR(P1678/_xlfn.XLOOKUP(_xlfn.XLOOKUP($F1678,Clientes!$B$4:$B$39,Clientes!$C$4:$C$39),Cadastros!$L$6:$L$12,Cadastros!$M$6:$M$12)," ")</f>
        <v xml:space="preserve"> </v>
      </c>
      <c r="R1678" s="28"/>
      <c r="S1678" s="28"/>
      <c r="T1678" s="255" t="str">
        <f>IF(R1678="","",(_xlfn.XLOOKUP(R1678,Cadastros!$D$6:$D$90,Cadastros!$E$6:$E$90))*(1-_xlfn.XLOOKUP(_xlfn.XLOOKUP($F1678,Clientes!$B$4:$B$39,Clientes!$C$4:$C$39),Cadastros!$L$6:$L$12,Cadastros!$N$6:$N$12)))</f>
        <v/>
      </c>
      <c r="U1678" s="168" t="str">
        <f t="shared" si="341"/>
        <v/>
      </c>
      <c r="V1678" s="168" t="str">
        <f>IFERROR(U1678/_xlfn.XLOOKUP(_xlfn.XLOOKUP($F1678,Clientes!$B$4:$B$39,Clientes!$C$4:$C$39),Cadastros!$L$6:$L$12,Cadastros!$M$6:$M$12)," ")</f>
        <v xml:space="preserve"> </v>
      </c>
      <c r="W1678" s="28"/>
      <c r="X1678" s="28"/>
      <c r="Y1678" s="255" t="str">
        <f>IF(W1678="","",(_xlfn.XLOOKUP(W1678,Cadastros!$D$6:$D$90,Cadastros!$E$6:$E$90))*(1-_xlfn.XLOOKUP(_xlfn.XLOOKUP($F1678,Clientes!$B$4:$B$39,Clientes!$C$4:$C$39),Cadastros!$L$6:$L$12,Cadastros!$N$6:$N$12)))</f>
        <v/>
      </c>
      <c r="Z1678" s="168" t="str">
        <f t="shared" si="342"/>
        <v/>
      </c>
      <c r="AA1678" s="168" t="str">
        <f>IFERROR(Z1678/_xlfn.XLOOKUP(_xlfn.XLOOKUP($F1678,Clientes!$B$4:$B$39,Clientes!$C$4:$C$39),Cadastros!$L$6:$L$12,Cadastros!$M$6:$M$12)," ")</f>
        <v xml:space="preserve"> </v>
      </c>
      <c r="AB1678" s="28"/>
      <c r="AC1678" s="28"/>
      <c r="AD1678" s="20" t="str">
        <f>IF(AB1678="","",IF($F1678="Bernardino Furlan",_xlfn.XLOOKUP(AB1678,Cadastros!$G$6:$G$90,Cadastros!$H$6:$H$90)*(1-0.18),IF($F1678="Mauro José Salanti",_xlfn.XLOOKUP(AB1678,Cadastros!$G$6:$G$90,Cadastros!$H$6:$H$90)*(1-0.18),_xlfn.XLOOKUP(AB1678,Cadastros!$G$6:$G$90,Cadastros!$H$6:$H$90))))</f>
        <v/>
      </c>
      <c r="AE1678" s="168" t="str">
        <f t="shared" si="343"/>
        <v/>
      </c>
      <c r="AF1678" s="168" t="str">
        <f t="shared" si="344"/>
        <v/>
      </c>
      <c r="AG1678" s="28"/>
      <c r="AH1678" s="28"/>
      <c r="AI1678" s="20" t="str">
        <f>IF(AG1678="","",IF($F1678="Bernardino Furlan",_xlfn.XLOOKUP(AG1678,Cadastros!$G$6:$G$90,Cadastros!$H$6:$H$90)*(1-0.18),IF($F1678="Mauro José Salanti",_xlfn.XLOOKUP(AG1678,Cadastros!$G$6:$G$90,Cadastros!$H$6:$H$90)*(1-0.18),_xlfn.XLOOKUP(AG1678,Cadastros!$G$6:$G$90,Cadastros!$H$6:$H$90))))</f>
        <v/>
      </c>
      <c r="AJ1678" s="168" t="str">
        <f t="shared" si="345"/>
        <v/>
      </c>
      <c r="AK1678" s="168" t="str">
        <f t="shared" si="346"/>
        <v/>
      </c>
      <c r="AL1678" s="28"/>
      <c r="AM1678" s="28"/>
      <c r="AN1678" s="20" t="str">
        <f>IF(AL1678="","",IF($F1678="Bernardino Furlan",_xlfn.XLOOKUP(AL1678,Cadastros!$G$6:$G$90,Cadastros!$H$6:$H$90)*(1-0.18),IF($F1678="Mauro José Salanti",_xlfn.XLOOKUP(AL1678,Cadastros!$G$6:$G$90,Cadastros!$H$6:$H$90)*(1-0.18),_xlfn.XLOOKUP(AL1678,Cadastros!$G$6:$G$90,Cadastros!$H$6:$H$90))))</f>
        <v/>
      </c>
      <c r="AO1678" s="168" t="str">
        <f t="shared" si="347"/>
        <v/>
      </c>
      <c r="AP1678" s="168" t="str">
        <f t="shared" si="348"/>
        <v/>
      </c>
      <c r="AQ1678" s="28"/>
      <c r="AR1678" s="28"/>
      <c r="AS1678" s="20" t="str">
        <f>IF(AQ1678="","",IF($F1678="Bernardino Furlan",_xlfn.XLOOKUP(AQ1678,Cadastros!$G$6:$G$90,Cadastros!$H$6:$H$90)*(1-0.18),IF($F1678="Mauro José Salanti",_xlfn.XLOOKUP(AQ1678,Cadastros!$G$6:$G$90,Cadastros!$H$6:$H$90)*(1-0.18),_xlfn.XLOOKUP(AQ1678,Cadastros!$G$6:$G$90,Cadastros!$H$6:$H$90))))</f>
        <v/>
      </c>
      <c r="AT1678" s="168" t="str">
        <f t="shared" si="349"/>
        <v/>
      </c>
      <c r="AU1678" s="168" t="str">
        <f t="shared" si="350"/>
        <v/>
      </c>
      <c r="AV1678" s="227"/>
      <c r="AW1678" s="30"/>
      <c r="AX1678" s="267"/>
      <c r="AY1678" s="267"/>
      <c r="AZ1678" s="29"/>
      <c r="BA1678" s="30"/>
      <c r="BB1678" s="23" t="str" cm="1">
        <f t="array" ref="BB1678">_xlfn.IFS(AW1678="SIM",SUM(K1678,P1678,U1678,Z1678,AE1678,AJ1678,AO1678,AT1678,AX1678,AY1678),F1678&lt;&gt;"",SUM(K1678,P1678,U1678,Z1678,AE1678,AJ1678,,AO1678,AT1678),F1678="","")</f>
        <v/>
      </c>
      <c r="BC1678" s="211" t="str" cm="1">
        <f t="array" ref="BC1678">_xlfn.IFS(E1678="","",G1678&lt;=E1678,BB1678*(1-0.03),G1678&lt;(E1678+8),BB1678,AZ1678="Boleto",BB1678*(1+0.001)^DATEDIF(E1678,G1678,"D"),AZ1678="Cheque",BB1678,AZ1678="Dinheiro","Alterar forma pgto")</f>
        <v/>
      </c>
      <c r="BD1678" s="276" t="str" cm="1">
        <f t="array" ref="BD1678">IF(F1678=0," ",IF(BC1678&lt;BB1678,(_xlfn.IFS(AW1678="SIM",SUM(L1678,Q1678,V1678,AA1678,AF1678,AK1678,AP1678,AU1678)+AX1678/_xlfn.XLOOKUP(_xlfn.XLOOKUP($F1678,Clientes!$B$4:$B$39,Clientes!$C$4:$C$39),Cadastros!$L$6:$L$12,Cadastros!$M$6:$M$12)+IF($F1678="Bernardino Furlan",AY1678/2751.92,IF($F1678="Mauro José Salanti",AY1678/2751.92,AY1678/3356)),F1678&lt;&gt;0,SUM(L1678,Q1678,V1678,AA1678,AF1678,AK1678,AP1678,AU1678)))*(1-0.03),_xlfn.IFS(AW1678="SIM",SUM(L1678,Q1678,V1678,AA1678,AF1678,AK1678,AP1678,AU1678)+AX1678/_xlfn.XLOOKUP(_xlfn.XLOOKUP($F1678,Clientes!$B$4:$B$39,Clientes!$C$4:$C$39),Cadastros!$L$6:$L$12,Cadastros!$M$6:$M$12)+IF($F1678="Bernardino Furlan",AY1678/2751.92,IF($F1678="Mauro José Salanti",AY1678/2751.92,AY1678/3356)),F1678&lt;&gt;0,SUM(L1678,Q1678,V1678,AA1678,AF1678,AK1678,AP1678,AU1678))))</f>
        <v xml:space="preserve"> </v>
      </c>
      <c r="BE1678" s="120"/>
      <c r="BF1678" s="120"/>
      <c r="BG1678" s="120"/>
    </row>
    <row r="1679" spans="1:59" s="3" customFormat="1" x14ac:dyDescent="0.3">
      <c r="A1679" s="15" t="str">
        <f t="shared" si="338"/>
        <v/>
      </c>
      <c r="B1679" s="25"/>
      <c r="C1679" s="26"/>
      <c r="D1679" s="279"/>
      <c r="E1679" s="27"/>
      <c r="F1679" s="28"/>
      <c r="G1679" s="27"/>
      <c r="H1679" s="28"/>
      <c r="I1679" s="28"/>
      <c r="J1679" s="255" t="str">
        <f>IF(H1679="","",(_xlfn.XLOOKUP(H1679,Cadastros!$D$6:$D$90,Cadastros!$E$6:$E$90))*(1-_xlfn.XLOOKUP(_xlfn.XLOOKUP($F1679,Clientes!$B$4:$B$39,Clientes!$C$4:$C$39),Cadastros!$L$6:$L$12,Cadastros!$N$6:$N$12)))</f>
        <v/>
      </c>
      <c r="K1679" s="168" t="str">
        <f t="shared" si="339"/>
        <v/>
      </c>
      <c r="L1679" s="168" t="str">
        <f>IFERROR(K1679/_xlfn.XLOOKUP(_xlfn.XLOOKUP($F1679,Clientes!$B$4:$B$39,Clientes!$C$4:$C$39),Cadastros!$L$6:$L$12,Cadastros!$M$6:$M$12)," ")</f>
        <v xml:space="preserve"> </v>
      </c>
      <c r="M1679" s="28"/>
      <c r="N1679" s="28"/>
      <c r="O1679" s="255" t="str">
        <f>IF(M1679="","",(_xlfn.XLOOKUP(M1679,Cadastros!$D$6:$D$90,Cadastros!$E$6:$E$90))*(1-_xlfn.XLOOKUP(_xlfn.XLOOKUP($F1679,Clientes!$B$4:$B$39,Clientes!$C$4:$C$39),Cadastros!$L$6:$L$12,Cadastros!$N$6:$N$12)))</f>
        <v/>
      </c>
      <c r="P1679" s="168" t="str">
        <f t="shared" si="340"/>
        <v/>
      </c>
      <c r="Q1679" s="168" t="str">
        <f>IFERROR(P1679/_xlfn.XLOOKUP(_xlfn.XLOOKUP($F1679,Clientes!$B$4:$B$39,Clientes!$C$4:$C$39),Cadastros!$L$6:$L$12,Cadastros!$M$6:$M$12)," ")</f>
        <v xml:space="preserve"> </v>
      </c>
      <c r="R1679" s="28"/>
      <c r="S1679" s="28"/>
      <c r="T1679" s="255" t="str">
        <f>IF(R1679="","",(_xlfn.XLOOKUP(R1679,Cadastros!$D$6:$D$90,Cadastros!$E$6:$E$90))*(1-_xlfn.XLOOKUP(_xlfn.XLOOKUP($F1679,Clientes!$B$4:$B$39,Clientes!$C$4:$C$39),Cadastros!$L$6:$L$12,Cadastros!$N$6:$N$12)))</f>
        <v/>
      </c>
      <c r="U1679" s="168" t="str">
        <f t="shared" si="341"/>
        <v/>
      </c>
      <c r="V1679" s="168" t="str">
        <f>IFERROR(U1679/_xlfn.XLOOKUP(_xlfn.XLOOKUP($F1679,Clientes!$B$4:$B$39,Clientes!$C$4:$C$39),Cadastros!$L$6:$L$12,Cadastros!$M$6:$M$12)," ")</f>
        <v xml:space="preserve"> </v>
      </c>
      <c r="W1679" s="28"/>
      <c r="X1679" s="28"/>
      <c r="Y1679" s="255" t="str">
        <f>IF(W1679="","",(_xlfn.XLOOKUP(W1679,Cadastros!$D$6:$D$90,Cadastros!$E$6:$E$90))*(1-_xlfn.XLOOKUP(_xlfn.XLOOKUP($F1679,Clientes!$B$4:$B$39,Clientes!$C$4:$C$39),Cadastros!$L$6:$L$12,Cadastros!$N$6:$N$12)))</f>
        <v/>
      </c>
      <c r="Z1679" s="168" t="str">
        <f t="shared" si="342"/>
        <v/>
      </c>
      <c r="AA1679" s="168" t="str">
        <f>IFERROR(Z1679/_xlfn.XLOOKUP(_xlfn.XLOOKUP($F1679,Clientes!$B$4:$B$39,Clientes!$C$4:$C$39),Cadastros!$L$6:$L$12,Cadastros!$M$6:$M$12)," ")</f>
        <v xml:space="preserve"> </v>
      </c>
      <c r="AB1679" s="28"/>
      <c r="AC1679" s="28"/>
      <c r="AD1679" s="20" t="str">
        <f>IF(AB1679="","",IF($F1679="Bernardino Furlan",_xlfn.XLOOKUP(AB1679,Cadastros!$G$6:$G$90,Cadastros!$H$6:$H$90)*(1-0.18),IF($F1679="Mauro José Salanti",_xlfn.XLOOKUP(AB1679,Cadastros!$G$6:$G$90,Cadastros!$H$6:$H$90)*(1-0.18),_xlfn.XLOOKUP(AB1679,Cadastros!$G$6:$G$90,Cadastros!$H$6:$H$90))))</f>
        <v/>
      </c>
      <c r="AE1679" s="168" t="str">
        <f t="shared" si="343"/>
        <v/>
      </c>
      <c r="AF1679" s="168" t="str">
        <f t="shared" si="344"/>
        <v/>
      </c>
      <c r="AG1679" s="28"/>
      <c r="AH1679" s="28"/>
      <c r="AI1679" s="20" t="str">
        <f>IF(AG1679="","",IF($F1679="Bernardino Furlan",_xlfn.XLOOKUP(AG1679,Cadastros!$G$6:$G$90,Cadastros!$H$6:$H$90)*(1-0.18),IF($F1679="Mauro José Salanti",_xlfn.XLOOKUP(AG1679,Cadastros!$G$6:$G$90,Cadastros!$H$6:$H$90)*(1-0.18),_xlfn.XLOOKUP(AG1679,Cadastros!$G$6:$G$90,Cadastros!$H$6:$H$90))))</f>
        <v/>
      </c>
      <c r="AJ1679" s="168" t="str">
        <f t="shared" si="345"/>
        <v/>
      </c>
      <c r="AK1679" s="168" t="str">
        <f t="shared" si="346"/>
        <v/>
      </c>
      <c r="AL1679" s="28"/>
      <c r="AM1679" s="28"/>
      <c r="AN1679" s="20" t="str">
        <f>IF(AL1679="","",IF($F1679="Bernardino Furlan",_xlfn.XLOOKUP(AL1679,Cadastros!$G$6:$G$90,Cadastros!$H$6:$H$90)*(1-0.18),IF($F1679="Mauro José Salanti",_xlfn.XLOOKUP(AL1679,Cadastros!$G$6:$G$90,Cadastros!$H$6:$H$90)*(1-0.18),_xlfn.XLOOKUP(AL1679,Cadastros!$G$6:$G$90,Cadastros!$H$6:$H$90))))</f>
        <v/>
      </c>
      <c r="AO1679" s="168" t="str">
        <f t="shared" si="347"/>
        <v/>
      </c>
      <c r="AP1679" s="168" t="str">
        <f t="shared" si="348"/>
        <v/>
      </c>
      <c r="AQ1679" s="28"/>
      <c r="AR1679" s="28"/>
      <c r="AS1679" s="20" t="str">
        <f>IF(AQ1679="","",IF($F1679="Bernardino Furlan",_xlfn.XLOOKUP(AQ1679,Cadastros!$G$6:$G$90,Cadastros!$H$6:$H$90)*(1-0.18),IF($F1679="Mauro José Salanti",_xlfn.XLOOKUP(AQ1679,Cadastros!$G$6:$G$90,Cadastros!$H$6:$H$90)*(1-0.18),_xlfn.XLOOKUP(AQ1679,Cadastros!$G$6:$G$90,Cadastros!$H$6:$H$90))))</f>
        <v/>
      </c>
      <c r="AT1679" s="168" t="str">
        <f t="shared" si="349"/>
        <v/>
      </c>
      <c r="AU1679" s="168" t="str">
        <f t="shared" si="350"/>
        <v/>
      </c>
      <c r="AV1679" s="227"/>
      <c r="AW1679" s="30"/>
      <c r="AX1679" s="267"/>
      <c r="AY1679" s="267"/>
      <c r="AZ1679" s="29"/>
      <c r="BA1679" s="30"/>
      <c r="BB1679" s="23" t="str" cm="1">
        <f t="array" ref="BB1679">_xlfn.IFS(AW1679="SIM",SUM(K1679,P1679,U1679,Z1679,AE1679,AJ1679,AO1679,AT1679,AX1679,AY1679),F1679&lt;&gt;"",SUM(K1679,P1679,U1679,Z1679,AE1679,AJ1679,,AO1679,AT1679),F1679="","")</f>
        <v/>
      </c>
      <c r="BC1679" s="211" t="str" cm="1">
        <f t="array" ref="BC1679">_xlfn.IFS(E1679="","",G1679&lt;=E1679,BB1679*(1-0.03),G1679&lt;(E1679+8),BB1679,AZ1679="Boleto",BB1679*(1+0.001)^DATEDIF(E1679,G1679,"D"),AZ1679="Cheque",BB1679,AZ1679="Dinheiro","Alterar forma pgto")</f>
        <v/>
      </c>
      <c r="BD1679" s="276" t="str" cm="1">
        <f t="array" ref="BD1679">IF(F1679=0," ",IF(BC1679&lt;BB1679,(_xlfn.IFS(AW1679="SIM",SUM(L1679,Q1679,V1679,AA1679,AF1679,AK1679,AP1679,AU1679)+AX1679/_xlfn.XLOOKUP(_xlfn.XLOOKUP($F1679,Clientes!$B$4:$B$39,Clientes!$C$4:$C$39),Cadastros!$L$6:$L$12,Cadastros!$M$6:$M$12)+IF($F1679="Bernardino Furlan",AY1679/2751.92,IF($F1679="Mauro José Salanti",AY1679/2751.92,AY1679/3356)),F1679&lt;&gt;0,SUM(L1679,Q1679,V1679,AA1679,AF1679,AK1679,AP1679,AU1679)))*(1-0.03),_xlfn.IFS(AW1679="SIM",SUM(L1679,Q1679,V1679,AA1679,AF1679,AK1679,AP1679,AU1679)+AX1679/_xlfn.XLOOKUP(_xlfn.XLOOKUP($F1679,Clientes!$B$4:$B$39,Clientes!$C$4:$C$39),Cadastros!$L$6:$L$12,Cadastros!$M$6:$M$12)+IF($F1679="Bernardino Furlan",AY1679/2751.92,IF($F1679="Mauro José Salanti",AY1679/2751.92,AY1679/3356)),F1679&lt;&gt;0,SUM(L1679,Q1679,V1679,AA1679,AF1679,AK1679,AP1679,AU1679))))</f>
        <v xml:space="preserve"> </v>
      </c>
      <c r="BE1679" s="120"/>
      <c r="BF1679" s="120"/>
      <c r="BG1679" s="120"/>
    </row>
    <row r="1680" spans="1:59" s="3" customFormat="1" x14ac:dyDescent="0.3">
      <c r="A1680" s="15" t="str">
        <f t="shared" si="338"/>
        <v/>
      </c>
      <c r="B1680" s="25"/>
      <c r="C1680" s="26"/>
      <c r="D1680" s="279"/>
      <c r="E1680" s="27"/>
      <c r="F1680" s="28"/>
      <c r="G1680" s="27"/>
      <c r="H1680" s="28"/>
      <c r="I1680" s="28"/>
      <c r="J1680" s="255" t="str">
        <f>IF(H1680="","",(_xlfn.XLOOKUP(H1680,Cadastros!$D$6:$D$90,Cadastros!$E$6:$E$90))*(1-_xlfn.XLOOKUP(_xlfn.XLOOKUP($F1680,Clientes!$B$4:$B$39,Clientes!$C$4:$C$39),Cadastros!$L$6:$L$12,Cadastros!$N$6:$N$12)))</f>
        <v/>
      </c>
      <c r="K1680" s="168" t="str">
        <f t="shared" si="339"/>
        <v/>
      </c>
      <c r="L1680" s="168" t="str">
        <f>IFERROR(K1680/_xlfn.XLOOKUP(_xlfn.XLOOKUP($F1680,Clientes!$B$4:$B$39,Clientes!$C$4:$C$39),Cadastros!$L$6:$L$12,Cadastros!$M$6:$M$12)," ")</f>
        <v xml:space="preserve"> </v>
      </c>
      <c r="M1680" s="28"/>
      <c r="N1680" s="28"/>
      <c r="O1680" s="255" t="str">
        <f>IF(M1680="","",(_xlfn.XLOOKUP(M1680,Cadastros!$D$6:$D$90,Cadastros!$E$6:$E$90))*(1-_xlfn.XLOOKUP(_xlfn.XLOOKUP($F1680,Clientes!$B$4:$B$39,Clientes!$C$4:$C$39),Cadastros!$L$6:$L$12,Cadastros!$N$6:$N$12)))</f>
        <v/>
      </c>
      <c r="P1680" s="168" t="str">
        <f t="shared" si="340"/>
        <v/>
      </c>
      <c r="Q1680" s="168" t="str">
        <f>IFERROR(P1680/_xlfn.XLOOKUP(_xlfn.XLOOKUP($F1680,Clientes!$B$4:$B$39,Clientes!$C$4:$C$39),Cadastros!$L$6:$L$12,Cadastros!$M$6:$M$12)," ")</f>
        <v xml:space="preserve"> </v>
      </c>
      <c r="R1680" s="28"/>
      <c r="S1680" s="28"/>
      <c r="T1680" s="255" t="str">
        <f>IF(R1680="","",(_xlfn.XLOOKUP(R1680,Cadastros!$D$6:$D$90,Cadastros!$E$6:$E$90))*(1-_xlfn.XLOOKUP(_xlfn.XLOOKUP($F1680,Clientes!$B$4:$B$39,Clientes!$C$4:$C$39),Cadastros!$L$6:$L$12,Cadastros!$N$6:$N$12)))</f>
        <v/>
      </c>
      <c r="U1680" s="168" t="str">
        <f t="shared" si="341"/>
        <v/>
      </c>
      <c r="V1680" s="168" t="str">
        <f>IFERROR(U1680/_xlfn.XLOOKUP(_xlfn.XLOOKUP($F1680,Clientes!$B$4:$B$39,Clientes!$C$4:$C$39),Cadastros!$L$6:$L$12,Cadastros!$M$6:$M$12)," ")</f>
        <v xml:space="preserve"> </v>
      </c>
      <c r="W1680" s="28"/>
      <c r="X1680" s="28"/>
      <c r="Y1680" s="255" t="str">
        <f>IF(W1680="","",(_xlfn.XLOOKUP(W1680,Cadastros!$D$6:$D$90,Cadastros!$E$6:$E$90))*(1-_xlfn.XLOOKUP(_xlfn.XLOOKUP($F1680,Clientes!$B$4:$B$39,Clientes!$C$4:$C$39),Cadastros!$L$6:$L$12,Cadastros!$N$6:$N$12)))</f>
        <v/>
      </c>
      <c r="Z1680" s="168" t="str">
        <f t="shared" si="342"/>
        <v/>
      </c>
      <c r="AA1680" s="168" t="str">
        <f>IFERROR(Z1680/_xlfn.XLOOKUP(_xlfn.XLOOKUP($F1680,Clientes!$B$4:$B$39,Clientes!$C$4:$C$39),Cadastros!$L$6:$L$12,Cadastros!$M$6:$M$12)," ")</f>
        <v xml:space="preserve"> </v>
      </c>
      <c r="AB1680" s="28"/>
      <c r="AC1680" s="28"/>
      <c r="AD1680" s="20" t="str">
        <f>IF(AB1680="","",IF($F1680="Bernardino Furlan",_xlfn.XLOOKUP(AB1680,Cadastros!$G$6:$G$90,Cadastros!$H$6:$H$90)*(1-0.18),IF($F1680="Mauro José Salanti",_xlfn.XLOOKUP(AB1680,Cadastros!$G$6:$G$90,Cadastros!$H$6:$H$90)*(1-0.18),_xlfn.XLOOKUP(AB1680,Cadastros!$G$6:$G$90,Cadastros!$H$6:$H$90))))</f>
        <v/>
      </c>
      <c r="AE1680" s="168" t="str">
        <f t="shared" si="343"/>
        <v/>
      </c>
      <c r="AF1680" s="168" t="str">
        <f t="shared" si="344"/>
        <v/>
      </c>
      <c r="AG1680" s="28"/>
      <c r="AH1680" s="28"/>
      <c r="AI1680" s="20" t="str">
        <f>IF(AG1680="","",IF($F1680="Bernardino Furlan",_xlfn.XLOOKUP(AG1680,Cadastros!$G$6:$G$90,Cadastros!$H$6:$H$90)*(1-0.18),IF($F1680="Mauro José Salanti",_xlfn.XLOOKUP(AG1680,Cadastros!$G$6:$G$90,Cadastros!$H$6:$H$90)*(1-0.18),_xlfn.XLOOKUP(AG1680,Cadastros!$G$6:$G$90,Cadastros!$H$6:$H$90))))</f>
        <v/>
      </c>
      <c r="AJ1680" s="168" t="str">
        <f t="shared" si="345"/>
        <v/>
      </c>
      <c r="AK1680" s="168" t="str">
        <f t="shared" si="346"/>
        <v/>
      </c>
      <c r="AL1680" s="28"/>
      <c r="AM1680" s="28"/>
      <c r="AN1680" s="20" t="str">
        <f>IF(AL1680="","",IF($F1680="Bernardino Furlan",_xlfn.XLOOKUP(AL1680,Cadastros!$G$6:$G$90,Cadastros!$H$6:$H$90)*(1-0.18),IF($F1680="Mauro José Salanti",_xlfn.XLOOKUP(AL1680,Cadastros!$G$6:$G$90,Cadastros!$H$6:$H$90)*(1-0.18),_xlfn.XLOOKUP(AL1680,Cadastros!$G$6:$G$90,Cadastros!$H$6:$H$90))))</f>
        <v/>
      </c>
      <c r="AO1680" s="168" t="str">
        <f t="shared" si="347"/>
        <v/>
      </c>
      <c r="AP1680" s="168" t="str">
        <f t="shared" si="348"/>
        <v/>
      </c>
      <c r="AQ1680" s="28"/>
      <c r="AR1680" s="28"/>
      <c r="AS1680" s="20" t="str">
        <f>IF(AQ1680="","",IF($F1680="Bernardino Furlan",_xlfn.XLOOKUP(AQ1680,Cadastros!$G$6:$G$90,Cadastros!$H$6:$H$90)*(1-0.18),IF($F1680="Mauro José Salanti",_xlfn.XLOOKUP(AQ1680,Cadastros!$G$6:$G$90,Cadastros!$H$6:$H$90)*(1-0.18),_xlfn.XLOOKUP(AQ1680,Cadastros!$G$6:$G$90,Cadastros!$H$6:$H$90))))</f>
        <v/>
      </c>
      <c r="AT1680" s="168" t="str">
        <f t="shared" si="349"/>
        <v/>
      </c>
      <c r="AU1680" s="168" t="str">
        <f t="shared" si="350"/>
        <v/>
      </c>
      <c r="AV1680" s="227"/>
      <c r="AW1680" s="30"/>
      <c r="AX1680" s="267"/>
      <c r="AY1680" s="267"/>
      <c r="AZ1680" s="29"/>
      <c r="BA1680" s="30"/>
      <c r="BB1680" s="23" t="str" cm="1">
        <f t="array" ref="BB1680">_xlfn.IFS(AW1680="SIM",SUM(K1680,P1680,U1680,Z1680,AE1680,AJ1680,AO1680,AT1680,AX1680,AY1680),F1680&lt;&gt;"",SUM(K1680,P1680,U1680,Z1680,AE1680,AJ1680,,AO1680,AT1680),F1680="","")</f>
        <v/>
      </c>
      <c r="BC1680" s="211" t="str" cm="1">
        <f t="array" ref="BC1680">_xlfn.IFS(E1680="","",G1680&lt;=E1680,BB1680*(1-0.03),G1680&lt;(E1680+8),BB1680,AZ1680="Boleto",BB1680*(1+0.001)^DATEDIF(E1680,G1680,"D"),AZ1680="Cheque",BB1680,AZ1680="Dinheiro","Alterar forma pgto")</f>
        <v/>
      </c>
      <c r="BD1680" s="276" t="str" cm="1">
        <f t="array" ref="BD1680">IF(F1680=0," ",IF(BC1680&lt;BB1680,(_xlfn.IFS(AW1680="SIM",SUM(L1680,Q1680,V1680,AA1680,AF1680,AK1680,AP1680,AU1680)+AX1680/_xlfn.XLOOKUP(_xlfn.XLOOKUP($F1680,Clientes!$B$4:$B$39,Clientes!$C$4:$C$39),Cadastros!$L$6:$L$12,Cadastros!$M$6:$M$12)+IF($F1680="Bernardino Furlan",AY1680/2751.92,IF($F1680="Mauro José Salanti",AY1680/2751.92,AY1680/3356)),F1680&lt;&gt;0,SUM(L1680,Q1680,V1680,AA1680,AF1680,AK1680,AP1680,AU1680)))*(1-0.03),_xlfn.IFS(AW1680="SIM",SUM(L1680,Q1680,V1680,AA1680,AF1680,AK1680,AP1680,AU1680)+AX1680/_xlfn.XLOOKUP(_xlfn.XLOOKUP($F1680,Clientes!$B$4:$B$39,Clientes!$C$4:$C$39),Cadastros!$L$6:$L$12,Cadastros!$M$6:$M$12)+IF($F1680="Bernardino Furlan",AY1680/2751.92,IF($F1680="Mauro José Salanti",AY1680/2751.92,AY1680/3356)),F1680&lt;&gt;0,SUM(L1680,Q1680,V1680,AA1680,AF1680,AK1680,AP1680,AU1680))))</f>
        <v xml:space="preserve"> </v>
      </c>
      <c r="BE1680" s="120"/>
      <c r="BF1680" s="120"/>
      <c r="BG1680" s="120"/>
    </row>
    <row r="1681" spans="1:59" s="3" customFormat="1" x14ac:dyDescent="0.3">
      <c r="A1681" s="15" t="str">
        <f t="shared" si="338"/>
        <v/>
      </c>
      <c r="B1681" s="25"/>
      <c r="C1681" s="26"/>
      <c r="D1681" s="279"/>
      <c r="E1681" s="27"/>
      <c r="F1681" s="28"/>
      <c r="G1681" s="27"/>
      <c r="H1681" s="28"/>
      <c r="I1681" s="28"/>
      <c r="J1681" s="255" t="str">
        <f>IF(H1681="","",(_xlfn.XLOOKUP(H1681,Cadastros!$D$6:$D$90,Cadastros!$E$6:$E$90))*(1-_xlfn.XLOOKUP(_xlfn.XLOOKUP($F1681,Clientes!$B$4:$B$39,Clientes!$C$4:$C$39),Cadastros!$L$6:$L$12,Cadastros!$N$6:$N$12)))</f>
        <v/>
      </c>
      <c r="K1681" s="168" t="str">
        <f t="shared" si="339"/>
        <v/>
      </c>
      <c r="L1681" s="168" t="str">
        <f>IFERROR(K1681/_xlfn.XLOOKUP(_xlfn.XLOOKUP($F1681,Clientes!$B$4:$B$39,Clientes!$C$4:$C$39),Cadastros!$L$6:$L$12,Cadastros!$M$6:$M$12)," ")</f>
        <v xml:space="preserve"> </v>
      </c>
      <c r="M1681" s="28"/>
      <c r="N1681" s="28"/>
      <c r="O1681" s="255" t="str">
        <f>IF(M1681="","",(_xlfn.XLOOKUP(M1681,Cadastros!$D$6:$D$90,Cadastros!$E$6:$E$90))*(1-_xlfn.XLOOKUP(_xlfn.XLOOKUP($F1681,Clientes!$B$4:$B$39,Clientes!$C$4:$C$39),Cadastros!$L$6:$L$12,Cadastros!$N$6:$N$12)))</f>
        <v/>
      </c>
      <c r="P1681" s="168" t="str">
        <f t="shared" si="340"/>
        <v/>
      </c>
      <c r="Q1681" s="168" t="str">
        <f>IFERROR(P1681/_xlfn.XLOOKUP(_xlfn.XLOOKUP($F1681,Clientes!$B$4:$B$39,Clientes!$C$4:$C$39),Cadastros!$L$6:$L$12,Cadastros!$M$6:$M$12)," ")</f>
        <v xml:space="preserve"> </v>
      </c>
      <c r="R1681" s="28"/>
      <c r="S1681" s="28"/>
      <c r="T1681" s="255" t="str">
        <f>IF(R1681="","",(_xlfn.XLOOKUP(R1681,Cadastros!$D$6:$D$90,Cadastros!$E$6:$E$90))*(1-_xlfn.XLOOKUP(_xlfn.XLOOKUP($F1681,Clientes!$B$4:$B$39,Clientes!$C$4:$C$39),Cadastros!$L$6:$L$12,Cadastros!$N$6:$N$12)))</f>
        <v/>
      </c>
      <c r="U1681" s="168" t="str">
        <f t="shared" si="341"/>
        <v/>
      </c>
      <c r="V1681" s="168" t="str">
        <f>IFERROR(U1681/_xlfn.XLOOKUP(_xlfn.XLOOKUP($F1681,Clientes!$B$4:$B$39,Clientes!$C$4:$C$39),Cadastros!$L$6:$L$12,Cadastros!$M$6:$M$12)," ")</f>
        <v xml:space="preserve"> </v>
      </c>
      <c r="W1681" s="28"/>
      <c r="X1681" s="28"/>
      <c r="Y1681" s="255" t="str">
        <f>IF(W1681="","",(_xlfn.XLOOKUP(W1681,Cadastros!$D$6:$D$90,Cadastros!$E$6:$E$90))*(1-_xlfn.XLOOKUP(_xlfn.XLOOKUP($F1681,Clientes!$B$4:$B$39,Clientes!$C$4:$C$39),Cadastros!$L$6:$L$12,Cadastros!$N$6:$N$12)))</f>
        <v/>
      </c>
      <c r="Z1681" s="168" t="str">
        <f t="shared" si="342"/>
        <v/>
      </c>
      <c r="AA1681" s="168" t="str">
        <f>IFERROR(Z1681/_xlfn.XLOOKUP(_xlfn.XLOOKUP($F1681,Clientes!$B$4:$B$39,Clientes!$C$4:$C$39),Cadastros!$L$6:$L$12,Cadastros!$M$6:$M$12)," ")</f>
        <v xml:space="preserve"> </v>
      </c>
      <c r="AB1681" s="28"/>
      <c r="AC1681" s="28"/>
      <c r="AD1681" s="20" t="str">
        <f>IF(AB1681="","",IF($F1681="Bernardino Furlan",_xlfn.XLOOKUP(AB1681,Cadastros!$G$6:$G$90,Cadastros!$H$6:$H$90)*(1-0.18),IF($F1681="Mauro José Salanti",_xlfn.XLOOKUP(AB1681,Cadastros!$G$6:$G$90,Cadastros!$H$6:$H$90)*(1-0.18),_xlfn.XLOOKUP(AB1681,Cadastros!$G$6:$G$90,Cadastros!$H$6:$H$90))))</f>
        <v/>
      </c>
      <c r="AE1681" s="168" t="str">
        <f t="shared" si="343"/>
        <v/>
      </c>
      <c r="AF1681" s="168" t="str">
        <f t="shared" si="344"/>
        <v/>
      </c>
      <c r="AG1681" s="28"/>
      <c r="AH1681" s="28"/>
      <c r="AI1681" s="20" t="str">
        <f>IF(AG1681="","",IF($F1681="Bernardino Furlan",_xlfn.XLOOKUP(AG1681,Cadastros!$G$6:$G$90,Cadastros!$H$6:$H$90)*(1-0.18),IF($F1681="Mauro José Salanti",_xlfn.XLOOKUP(AG1681,Cadastros!$G$6:$G$90,Cadastros!$H$6:$H$90)*(1-0.18),_xlfn.XLOOKUP(AG1681,Cadastros!$G$6:$G$90,Cadastros!$H$6:$H$90))))</f>
        <v/>
      </c>
      <c r="AJ1681" s="168" t="str">
        <f t="shared" si="345"/>
        <v/>
      </c>
      <c r="AK1681" s="168" t="str">
        <f t="shared" si="346"/>
        <v/>
      </c>
      <c r="AL1681" s="28"/>
      <c r="AM1681" s="28"/>
      <c r="AN1681" s="20" t="str">
        <f>IF(AL1681="","",IF($F1681="Bernardino Furlan",_xlfn.XLOOKUP(AL1681,Cadastros!$G$6:$G$90,Cadastros!$H$6:$H$90)*(1-0.18),IF($F1681="Mauro José Salanti",_xlfn.XLOOKUP(AL1681,Cadastros!$G$6:$G$90,Cadastros!$H$6:$H$90)*(1-0.18),_xlfn.XLOOKUP(AL1681,Cadastros!$G$6:$G$90,Cadastros!$H$6:$H$90))))</f>
        <v/>
      </c>
      <c r="AO1681" s="168" t="str">
        <f t="shared" si="347"/>
        <v/>
      </c>
      <c r="AP1681" s="168" t="str">
        <f t="shared" si="348"/>
        <v/>
      </c>
      <c r="AQ1681" s="28"/>
      <c r="AR1681" s="28"/>
      <c r="AS1681" s="20" t="str">
        <f>IF(AQ1681="","",IF($F1681="Bernardino Furlan",_xlfn.XLOOKUP(AQ1681,Cadastros!$G$6:$G$90,Cadastros!$H$6:$H$90)*(1-0.18),IF($F1681="Mauro José Salanti",_xlfn.XLOOKUP(AQ1681,Cadastros!$G$6:$G$90,Cadastros!$H$6:$H$90)*(1-0.18),_xlfn.XLOOKUP(AQ1681,Cadastros!$G$6:$G$90,Cadastros!$H$6:$H$90))))</f>
        <v/>
      </c>
      <c r="AT1681" s="168" t="str">
        <f t="shared" si="349"/>
        <v/>
      </c>
      <c r="AU1681" s="168" t="str">
        <f t="shared" si="350"/>
        <v/>
      </c>
      <c r="AV1681" s="227"/>
      <c r="AW1681" s="30"/>
      <c r="AX1681" s="267"/>
      <c r="AY1681" s="267"/>
      <c r="AZ1681" s="29"/>
      <c r="BA1681" s="30"/>
      <c r="BB1681" s="23" t="str" cm="1">
        <f t="array" ref="BB1681">_xlfn.IFS(AW1681="SIM",SUM(K1681,P1681,U1681,Z1681,AE1681,AJ1681,AO1681,AT1681,AX1681,AY1681),F1681&lt;&gt;"",SUM(K1681,P1681,U1681,Z1681,AE1681,AJ1681,,AO1681,AT1681),F1681="","")</f>
        <v/>
      </c>
      <c r="BC1681" s="211" t="str" cm="1">
        <f t="array" ref="BC1681">_xlfn.IFS(E1681="","",G1681&lt;=E1681,BB1681*(1-0.03),G1681&lt;(E1681+8),BB1681,AZ1681="Boleto",BB1681*(1+0.001)^DATEDIF(E1681,G1681,"D"),AZ1681="Cheque",BB1681,AZ1681="Dinheiro","Alterar forma pgto")</f>
        <v/>
      </c>
      <c r="BD1681" s="276" t="str" cm="1">
        <f t="array" ref="BD1681">IF(F1681=0," ",IF(BC1681&lt;BB1681,(_xlfn.IFS(AW1681="SIM",SUM(L1681,Q1681,V1681,AA1681,AF1681,AK1681,AP1681,AU1681)+AX1681/_xlfn.XLOOKUP(_xlfn.XLOOKUP($F1681,Clientes!$B$4:$B$39,Clientes!$C$4:$C$39),Cadastros!$L$6:$L$12,Cadastros!$M$6:$M$12)+IF($F1681="Bernardino Furlan",AY1681/2751.92,IF($F1681="Mauro José Salanti",AY1681/2751.92,AY1681/3356)),F1681&lt;&gt;0,SUM(L1681,Q1681,V1681,AA1681,AF1681,AK1681,AP1681,AU1681)))*(1-0.03),_xlfn.IFS(AW1681="SIM",SUM(L1681,Q1681,V1681,AA1681,AF1681,AK1681,AP1681,AU1681)+AX1681/_xlfn.XLOOKUP(_xlfn.XLOOKUP($F1681,Clientes!$B$4:$B$39,Clientes!$C$4:$C$39),Cadastros!$L$6:$L$12,Cadastros!$M$6:$M$12)+IF($F1681="Bernardino Furlan",AY1681/2751.92,IF($F1681="Mauro José Salanti",AY1681/2751.92,AY1681/3356)),F1681&lt;&gt;0,SUM(L1681,Q1681,V1681,AA1681,AF1681,AK1681,AP1681,AU1681))))</f>
        <v xml:space="preserve"> </v>
      </c>
      <c r="BE1681" s="120"/>
      <c r="BF1681" s="120"/>
      <c r="BG1681" s="120"/>
    </row>
    <row r="1682" spans="1:59" s="3" customFormat="1" x14ac:dyDescent="0.3">
      <c r="A1682" s="15" t="str">
        <f t="shared" si="338"/>
        <v/>
      </c>
      <c r="B1682" s="25"/>
      <c r="C1682" s="26"/>
      <c r="D1682" s="279"/>
      <c r="E1682" s="27"/>
      <c r="F1682" s="28"/>
      <c r="G1682" s="27"/>
      <c r="H1682" s="28"/>
      <c r="I1682" s="28"/>
      <c r="J1682" s="255" t="str">
        <f>IF(H1682="","",(_xlfn.XLOOKUP(H1682,Cadastros!$D$6:$D$90,Cadastros!$E$6:$E$90))*(1-_xlfn.XLOOKUP(_xlfn.XLOOKUP($F1682,Clientes!$B$4:$B$39,Clientes!$C$4:$C$39),Cadastros!$L$6:$L$12,Cadastros!$N$6:$N$12)))</f>
        <v/>
      </c>
      <c r="K1682" s="168" t="str">
        <f t="shared" si="339"/>
        <v/>
      </c>
      <c r="L1682" s="168" t="str">
        <f>IFERROR(K1682/_xlfn.XLOOKUP(_xlfn.XLOOKUP($F1682,Clientes!$B$4:$B$39,Clientes!$C$4:$C$39),Cadastros!$L$6:$L$12,Cadastros!$M$6:$M$12)," ")</f>
        <v xml:space="preserve"> </v>
      </c>
      <c r="M1682" s="28"/>
      <c r="N1682" s="28"/>
      <c r="O1682" s="255" t="str">
        <f>IF(M1682="","",(_xlfn.XLOOKUP(M1682,Cadastros!$D$6:$D$90,Cadastros!$E$6:$E$90))*(1-_xlfn.XLOOKUP(_xlfn.XLOOKUP($F1682,Clientes!$B$4:$B$39,Clientes!$C$4:$C$39),Cadastros!$L$6:$L$12,Cadastros!$N$6:$N$12)))</f>
        <v/>
      </c>
      <c r="P1682" s="168" t="str">
        <f t="shared" si="340"/>
        <v/>
      </c>
      <c r="Q1682" s="168" t="str">
        <f>IFERROR(P1682/_xlfn.XLOOKUP(_xlfn.XLOOKUP($F1682,Clientes!$B$4:$B$39,Clientes!$C$4:$C$39),Cadastros!$L$6:$L$12,Cadastros!$M$6:$M$12)," ")</f>
        <v xml:space="preserve"> </v>
      </c>
      <c r="R1682" s="28"/>
      <c r="S1682" s="28"/>
      <c r="T1682" s="255" t="str">
        <f>IF(R1682="","",(_xlfn.XLOOKUP(R1682,Cadastros!$D$6:$D$90,Cadastros!$E$6:$E$90))*(1-_xlfn.XLOOKUP(_xlfn.XLOOKUP($F1682,Clientes!$B$4:$B$39,Clientes!$C$4:$C$39),Cadastros!$L$6:$L$12,Cadastros!$N$6:$N$12)))</f>
        <v/>
      </c>
      <c r="U1682" s="168" t="str">
        <f t="shared" si="341"/>
        <v/>
      </c>
      <c r="V1682" s="168" t="str">
        <f>IFERROR(U1682/_xlfn.XLOOKUP(_xlfn.XLOOKUP($F1682,Clientes!$B$4:$B$39,Clientes!$C$4:$C$39),Cadastros!$L$6:$L$12,Cadastros!$M$6:$M$12)," ")</f>
        <v xml:space="preserve"> </v>
      </c>
      <c r="W1682" s="28"/>
      <c r="X1682" s="28"/>
      <c r="Y1682" s="255" t="str">
        <f>IF(W1682="","",(_xlfn.XLOOKUP(W1682,Cadastros!$D$6:$D$90,Cadastros!$E$6:$E$90))*(1-_xlfn.XLOOKUP(_xlfn.XLOOKUP($F1682,Clientes!$B$4:$B$39,Clientes!$C$4:$C$39),Cadastros!$L$6:$L$12,Cadastros!$N$6:$N$12)))</f>
        <v/>
      </c>
      <c r="Z1682" s="168" t="str">
        <f t="shared" si="342"/>
        <v/>
      </c>
      <c r="AA1682" s="168" t="str">
        <f>IFERROR(Z1682/_xlfn.XLOOKUP(_xlfn.XLOOKUP($F1682,Clientes!$B$4:$B$39,Clientes!$C$4:$C$39),Cadastros!$L$6:$L$12,Cadastros!$M$6:$M$12)," ")</f>
        <v xml:space="preserve"> </v>
      </c>
      <c r="AB1682" s="28"/>
      <c r="AC1682" s="28"/>
      <c r="AD1682" s="20" t="str">
        <f>IF(AB1682="","",IF($F1682="Bernardino Furlan",_xlfn.XLOOKUP(AB1682,Cadastros!$G$6:$G$90,Cadastros!$H$6:$H$90)*(1-0.18),IF($F1682="Mauro José Salanti",_xlfn.XLOOKUP(AB1682,Cadastros!$G$6:$G$90,Cadastros!$H$6:$H$90)*(1-0.18),_xlfn.XLOOKUP(AB1682,Cadastros!$G$6:$G$90,Cadastros!$H$6:$H$90))))</f>
        <v/>
      </c>
      <c r="AE1682" s="168" t="str">
        <f t="shared" si="343"/>
        <v/>
      </c>
      <c r="AF1682" s="168" t="str">
        <f t="shared" si="344"/>
        <v/>
      </c>
      <c r="AG1682" s="28"/>
      <c r="AH1682" s="28"/>
      <c r="AI1682" s="20" t="str">
        <f>IF(AG1682="","",IF($F1682="Bernardino Furlan",_xlfn.XLOOKUP(AG1682,Cadastros!$G$6:$G$90,Cadastros!$H$6:$H$90)*(1-0.18),IF($F1682="Mauro José Salanti",_xlfn.XLOOKUP(AG1682,Cadastros!$G$6:$G$90,Cadastros!$H$6:$H$90)*(1-0.18),_xlfn.XLOOKUP(AG1682,Cadastros!$G$6:$G$90,Cadastros!$H$6:$H$90))))</f>
        <v/>
      </c>
      <c r="AJ1682" s="168" t="str">
        <f t="shared" si="345"/>
        <v/>
      </c>
      <c r="AK1682" s="168" t="str">
        <f t="shared" si="346"/>
        <v/>
      </c>
      <c r="AL1682" s="28"/>
      <c r="AM1682" s="28"/>
      <c r="AN1682" s="20" t="str">
        <f>IF(AL1682="","",IF($F1682="Bernardino Furlan",_xlfn.XLOOKUP(AL1682,Cadastros!$G$6:$G$90,Cadastros!$H$6:$H$90)*(1-0.18),IF($F1682="Mauro José Salanti",_xlfn.XLOOKUP(AL1682,Cadastros!$G$6:$G$90,Cadastros!$H$6:$H$90)*(1-0.18),_xlfn.XLOOKUP(AL1682,Cadastros!$G$6:$G$90,Cadastros!$H$6:$H$90))))</f>
        <v/>
      </c>
      <c r="AO1682" s="168" t="str">
        <f t="shared" si="347"/>
        <v/>
      </c>
      <c r="AP1682" s="168" t="str">
        <f t="shared" si="348"/>
        <v/>
      </c>
      <c r="AQ1682" s="28"/>
      <c r="AR1682" s="28"/>
      <c r="AS1682" s="20" t="str">
        <f>IF(AQ1682="","",IF($F1682="Bernardino Furlan",_xlfn.XLOOKUP(AQ1682,Cadastros!$G$6:$G$90,Cadastros!$H$6:$H$90)*(1-0.18),IF($F1682="Mauro José Salanti",_xlfn.XLOOKUP(AQ1682,Cadastros!$G$6:$G$90,Cadastros!$H$6:$H$90)*(1-0.18),_xlfn.XLOOKUP(AQ1682,Cadastros!$G$6:$G$90,Cadastros!$H$6:$H$90))))</f>
        <v/>
      </c>
      <c r="AT1682" s="168" t="str">
        <f t="shared" si="349"/>
        <v/>
      </c>
      <c r="AU1682" s="168" t="str">
        <f t="shared" si="350"/>
        <v/>
      </c>
      <c r="AV1682" s="227"/>
      <c r="AW1682" s="30"/>
      <c r="AX1682" s="267"/>
      <c r="AY1682" s="267"/>
      <c r="AZ1682" s="29"/>
      <c r="BA1682" s="30"/>
      <c r="BB1682" s="23" t="str" cm="1">
        <f t="array" ref="BB1682">_xlfn.IFS(AW1682="SIM",SUM(K1682,P1682,U1682,Z1682,AE1682,AJ1682,AO1682,AT1682,AX1682,AY1682),F1682&lt;&gt;"",SUM(K1682,P1682,U1682,Z1682,AE1682,AJ1682,,AO1682,AT1682),F1682="","")</f>
        <v/>
      </c>
      <c r="BC1682" s="211" t="str" cm="1">
        <f t="array" ref="BC1682">_xlfn.IFS(E1682="","",G1682&lt;=E1682,BB1682*(1-0.03),G1682&lt;(E1682+8),BB1682,AZ1682="Boleto",BB1682*(1+0.001)^DATEDIF(E1682,G1682,"D"),AZ1682="Cheque",BB1682,AZ1682="Dinheiro","Alterar forma pgto")</f>
        <v/>
      </c>
      <c r="BD1682" s="276" t="str" cm="1">
        <f t="array" ref="BD1682">IF(F1682=0," ",IF(BC1682&lt;BB1682,(_xlfn.IFS(AW1682="SIM",SUM(L1682,Q1682,V1682,AA1682,AF1682,AK1682,AP1682,AU1682)+AX1682/_xlfn.XLOOKUP(_xlfn.XLOOKUP($F1682,Clientes!$B$4:$B$39,Clientes!$C$4:$C$39),Cadastros!$L$6:$L$12,Cadastros!$M$6:$M$12)+IF($F1682="Bernardino Furlan",AY1682/2751.92,IF($F1682="Mauro José Salanti",AY1682/2751.92,AY1682/3356)),F1682&lt;&gt;0,SUM(L1682,Q1682,V1682,AA1682,AF1682,AK1682,AP1682,AU1682)))*(1-0.03),_xlfn.IFS(AW1682="SIM",SUM(L1682,Q1682,V1682,AA1682,AF1682,AK1682,AP1682,AU1682)+AX1682/_xlfn.XLOOKUP(_xlfn.XLOOKUP($F1682,Clientes!$B$4:$B$39,Clientes!$C$4:$C$39),Cadastros!$L$6:$L$12,Cadastros!$M$6:$M$12)+IF($F1682="Bernardino Furlan",AY1682/2751.92,IF($F1682="Mauro José Salanti",AY1682/2751.92,AY1682/3356)),F1682&lt;&gt;0,SUM(L1682,Q1682,V1682,AA1682,AF1682,AK1682,AP1682,AU1682))))</f>
        <v xml:space="preserve"> </v>
      </c>
      <c r="BE1682" s="120"/>
      <c r="BF1682" s="120"/>
      <c r="BG1682" s="120"/>
    </row>
    <row r="1683" spans="1:59" s="3" customFormat="1" x14ac:dyDescent="0.3">
      <c r="A1683" s="15" t="str">
        <f t="shared" si="338"/>
        <v/>
      </c>
      <c r="B1683" s="25"/>
      <c r="C1683" s="26"/>
      <c r="D1683" s="279"/>
      <c r="E1683" s="27"/>
      <c r="F1683" s="28"/>
      <c r="G1683" s="27"/>
      <c r="H1683" s="28"/>
      <c r="I1683" s="28"/>
      <c r="J1683" s="255" t="str">
        <f>IF(H1683="","",(_xlfn.XLOOKUP(H1683,Cadastros!$D$6:$D$90,Cadastros!$E$6:$E$90))*(1-_xlfn.XLOOKUP(_xlfn.XLOOKUP($F1683,Clientes!$B$4:$B$39,Clientes!$C$4:$C$39),Cadastros!$L$6:$L$12,Cadastros!$N$6:$N$12)))</f>
        <v/>
      </c>
      <c r="K1683" s="168" t="str">
        <f t="shared" si="339"/>
        <v/>
      </c>
      <c r="L1683" s="168" t="str">
        <f>IFERROR(K1683/_xlfn.XLOOKUP(_xlfn.XLOOKUP($F1683,Clientes!$B$4:$B$39,Clientes!$C$4:$C$39),Cadastros!$L$6:$L$12,Cadastros!$M$6:$M$12)," ")</f>
        <v xml:space="preserve"> </v>
      </c>
      <c r="M1683" s="28"/>
      <c r="N1683" s="28"/>
      <c r="O1683" s="255" t="str">
        <f>IF(M1683="","",(_xlfn.XLOOKUP(M1683,Cadastros!$D$6:$D$90,Cadastros!$E$6:$E$90))*(1-_xlfn.XLOOKUP(_xlfn.XLOOKUP($F1683,Clientes!$B$4:$B$39,Clientes!$C$4:$C$39),Cadastros!$L$6:$L$12,Cadastros!$N$6:$N$12)))</f>
        <v/>
      </c>
      <c r="P1683" s="168" t="str">
        <f t="shared" si="340"/>
        <v/>
      </c>
      <c r="Q1683" s="168" t="str">
        <f>IFERROR(P1683/_xlfn.XLOOKUP(_xlfn.XLOOKUP($F1683,Clientes!$B$4:$B$39,Clientes!$C$4:$C$39),Cadastros!$L$6:$L$12,Cadastros!$M$6:$M$12)," ")</f>
        <v xml:space="preserve"> </v>
      </c>
      <c r="R1683" s="28"/>
      <c r="S1683" s="28"/>
      <c r="T1683" s="255" t="str">
        <f>IF(R1683="","",(_xlfn.XLOOKUP(R1683,Cadastros!$D$6:$D$90,Cadastros!$E$6:$E$90))*(1-_xlfn.XLOOKUP(_xlfn.XLOOKUP($F1683,Clientes!$B$4:$B$39,Clientes!$C$4:$C$39),Cadastros!$L$6:$L$12,Cadastros!$N$6:$N$12)))</f>
        <v/>
      </c>
      <c r="U1683" s="168" t="str">
        <f t="shared" si="341"/>
        <v/>
      </c>
      <c r="V1683" s="168" t="str">
        <f>IFERROR(U1683/_xlfn.XLOOKUP(_xlfn.XLOOKUP($F1683,Clientes!$B$4:$B$39,Clientes!$C$4:$C$39),Cadastros!$L$6:$L$12,Cadastros!$M$6:$M$12)," ")</f>
        <v xml:space="preserve"> </v>
      </c>
      <c r="W1683" s="28"/>
      <c r="X1683" s="28"/>
      <c r="Y1683" s="255" t="str">
        <f>IF(W1683="","",(_xlfn.XLOOKUP(W1683,Cadastros!$D$6:$D$90,Cadastros!$E$6:$E$90))*(1-_xlfn.XLOOKUP(_xlfn.XLOOKUP($F1683,Clientes!$B$4:$B$39,Clientes!$C$4:$C$39),Cadastros!$L$6:$L$12,Cadastros!$N$6:$N$12)))</f>
        <v/>
      </c>
      <c r="Z1683" s="168" t="str">
        <f t="shared" si="342"/>
        <v/>
      </c>
      <c r="AA1683" s="168" t="str">
        <f>IFERROR(Z1683/_xlfn.XLOOKUP(_xlfn.XLOOKUP($F1683,Clientes!$B$4:$B$39,Clientes!$C$4:$C$39),Cadastros!$L$6:$L$12,Cadastros!$M$6:$M$12)," ")</f>
        <v xml:space="preserve"> </v>
      </c>
      <c r="AB1683" s="28"/>
      <c r="AC1683" s="28"/>
      <c r="AD1683" s="20" t="str">
        <f>IF(AB1683="","",IF($F1683="Bernardino Furlan",_xlfn.XLOOKUP(AB1683,Cadastros!$G$6:$G$90,Cadastros!$H$6:$H$90)*(1-0.18),IF($F1683="Mauro José Salanti",_xlfn.XLOOKUP(AB1683,Cadastros!$G$6:$G$90,Cadastros!$H$6:$H$90)*(1-0.18),_xlfn.XLOOKUP(AB1683,Cadastros!$G$6:$G$90,Cadastros!$H$6:$H$90))))</f>
        <v/>
      </c>
      <c r="AE1683" s="168" t="str">
        <f t="shared" si="343"/>
        <v/>
      </c>
      <c r="AF1683" s="168" t="str">
        <f t="shared" si="344"/>
        <v/>
      </c>
      <c r="AG1683" s="28"/>
      <c r="AH1683" s="28"/>
      <c r="AI1683" s="20" t="str">
        <f>IF(AG1683="","",IF($F1683="Bernardino Furlan",_xlfn.XLOOKUP(AG1683,Cadastros!$G$6:$G$90,Cadastros!$H$6:$H$90)*(1-0.18),IF($F1683="Mauro José Salanti",_xlfn.XLOOKUP(AG1683,Cadastros!$G$6:$G$90,Cadastros!$H$6:$H$90)*(1-0.18),_xlfn.XLOOKUP(AG1683,Cadastros!$G$6:$G$90,Cadastros!$H$6:$H$90))))</f>
        <v/>
      </c>
      <c r="AJ1683" s="168" t="str">
        <f t="shared" si="345"/>
        <v/>
      </c>
      <c r="AK1683" s="168" t="str">
        <f t="shared" si="346"/>
        <v/>
      </c>
      <c r="AL1683" s="28"/>
      <c r="AM1683" s="28"/>
      <c r="AN1683" s="20" t="str">
        <f>IF(AL1683="","",IF($F1683="Bernardino Furlan",_xlfn.XLOOKUP(AL1683,Cadastros!$G$6:$G$90,Cadastros!$H$6:$H$90)*(1-0.18),IF($F1683="Mauro José Salanti",_xlfn.XLOOKUP(AL1683,Cadastros!$G$6:$G$90,Cadastros!$H$6:$H$90)*(1-0.18),_xlfn.XLOOKUP(AL1683,Cadastros!$G$6:$G$90,Cadastros!$H$6:$H$90))))</f>
        <v/>
      </c>
      <c r="AO1683" s="168" t="str">
        <f t="shared" si="347"/>
        <v/>
      </c>
      <c r="AP1683" s="168" t="str">
        <f t="shared" si="348"/>
        <v/>
      </c>
      <c r="AQ1683" s="28"/>
      <c r="AR1683" s="28"/>
      <c r="AS1683" s="20" t="str">
        <f>IF(AQ1683="","",IF($F1683="Bernardino Furlan",_xlfn.XLOOKUP(AQ1683,Cadastros!$G$6:$G$90,Cadastros!$H$6:$H$90)*(1-0.18),IF($F1683="Mauro José Salanti",_xlfn.XLOOKUP(AQ1683,Cadastros!$G$6:$G$90,Cadastros!$H$6:$H$90)*(1-0.18),_xlfn.XLOOKUP(AQ1683,Cadastros!$G$6:$G$90,Cadastros!$H$6:$H$90))))</f>
        <v/>
      </c>
      <c r="AT1683" s="168" t="str">
        <f t="shared" si="349"/>
        <v/>
      </c>
      <c r="AU1683" s="168" t="str">
        <f t="shared" si="350"/>
        <v/>
      </c>
      <c r="AV1683" s="227"/>
      <c r="AW1683" s="30"/>
      <c r="AX1683" s="267"/>
      <c r="AY1683" s="267"/>
      <c r="AZ1683" s="29"/>
      <c r="BA1683" s="30"/>
      <c r="BB1683" s="23" t="str" cm="1">
        <f t="array" ref="BB1683">_xlfn.IFS(AW1683="SIM",SUM(K1683,P1683,U1683,Z1683,AE1683,AJ1683,AO1683,AT1683,AX1683,AY1683),F1683&lt;&gt;"",SUM(K1683,P1683,U1683,Z1683,AE1683,AJ1683,,AO1683,AT1683),F1683="","")</f>
        <v/>
      </c>
      <c r="BC1683" s="211" t="str" cm="1">
        <f t="array" ref="BC1683">_xlfn.IFS(E1683="","",G1683&lt;=E1683,BB1683*(1-0.03),G1683&lt;(E1683+8),BB1683,AZ1683="Boleto",BB1683*(1+0.001)^DATEDIF(E1683,G1683,"D"),AZ1683="Cheque",BB1683,AZ1683="Dinheiro","Alterar forma pgto")</f>
        <v/>
      </c>
      <c r="BD1683" s="276" t="str" cm="1">
        <f t="array" ref="BD1683">IF(F1683=0," ",IF(BC1683&lt;BB1683,(_xlfn.IFS(AW1683="SIM",SUM(L1683,Q1683,V1683,AA1683,AF1683,AK1683,AP1683,AU1683)+AX1683/_xlfn.XLOOKUP(_xlfn.XLOOKUP($F1683,Clientes!$B$4:$B$39,Clientes!$C$4:$C$39),Cadastros!$L$6:$L$12,Cadastros!$M$6:$M$12)+IF($F1683="Bernardino Furlan",AY1683/2751.92,IF($F1683="Mauro José Salanti",AY1683/2751.92,AY1683/3356)),F1683&lt;&gt;0,SUM(L1683,Q1683,V1683,AA1683,AF1683,AK1683,AP1683,AU1683)))*(1-0.03),_xlfn.IFS(AW1683="SIM",SUM(L1683,Q1683,V1683,AA1683,AF1683,AK1683,AP1683,AU1683)+AX1683/_xlfn.XLOOKUP(_xlfn.XLOOKUP($F1683,Clientes!$B$4:$B$39,Clientes!$C$4:$C$39),Cadastros!$L$6:$L$12,Cadastros!$M$6:$M$12)+IF($F1683="Bernardino Furlan",AY1683/2751.92,IF($F1683="Mauro José Salanti",AY1683/2751.92,AY1683/3356)),F1683&lt;&gt;0,SUM(L1683,Q1683,V1683,AA1683,AF1683,AK1683,AP1683,AU1683))))</f>
        <v xml:space="preserve"> </v>
      </c>
      <c r="BE1683" s="120"/>
      <c r="BF1683" s="120"/>
      <c r="BG1683" s="120"/>
    </row>
    <row r="1684" spans="1:59" s="3" customFormat="1" x14ac:dyDescent="0.3">
      <c r="A1684" s="15" t="str">
        <f t="shared" si="338"/>
        <v/>
      </c>
      <c r="B1684" s="25"/>
      <c r="C1684" s="26"/>
      <c r="D1684" s="279"/>
      <c r="E1684" s="27"/>
      <c r="F1684" s="28"/>
      <c r="G1684" s="27"/>
      <c r="H1684" s="28"/>
      <c r="I1684" s="28"/>
      <c r="J1684" s="255" t="str">
        <f>IF(H1684="","",(_xlfn.XLOOKUP(H1684,Cadastros!$D$6:$D$90,Cadastros!$E$6:$E$90))*(1-_xlfn.XLOOKUP(_xlfn.XLOOKUP($F1684,Clientes!$B$4:$B$39,Clientes!$C$4:$C$39),Cadastros!$L$6:$L$12,Cadastros!$N$6:$N$12)))</f>
        <v/>
      </c>
      <c r="K1684" s="168" t="str">
        <f t="shared" si="339"/>
        <v/>
      </c>
      <c r="L1684" s="168" t="str">
        <f>IFERROR(K1684/_xlfn.XLOOKUP(_xlfn.XLOOKUP($F1684,Clientes!$B$4:$B$39,Clientes!$C$4:$C$39),Cadastros!$L$6:$L$12,Cadastros!$M$6:$M$12)," ")</f>
        <v xml:space="preserve"> </v>
      </c>
      <c r="M1684" s="28"/>
      <c r="N1684" s="28"/>
      <c r="O1684" s="255" t="str">
        <f>IF(M1684="","",(_xlfn.XLOOKUP(M1684,Cadastros!$D$6:$D$90,Cadastros!$E$6:$E$90))*(1-_xlfn.XLOOKUP(_xlfn.XLOOKUP($F1684,Clientes!$B$4:$B$39,Clientes!$C$4:$C$39),Cadastros!$L$6:$L$12,Cadastros!$N$6:$N$12)))</f>
        <v/>
      </c>
      <c r="P1684" s="168" t="str">
        <f t="shared" si="340"/>
        <v/>
      </c>
      <c r="Q1684" s="168" t="str">
        <f>IFERROR(P1684/_xlfn.XLOOKUP(_xlfn.XLOOKUP($F1684,Clientes!$B$4:$B$39,Clientes!$C$4:$C$39),Cadastros!$L$6:$L$12,Cadastros!$M$6:$M$12)," ")</f>
        <v xml:space="preserve"> </v>
      </c>
      <c r="R1684" s="28"/>
      <c r="S1684" s="28"/>
      <c r="T1684" s="255" t="str">
        <f>IF(R1684="","",(_xlfn.XLOOKUP(R1684,Cadastros!$D$6:$D$90,Cadastros!$E$6:$E$90))*(1-_xlfn.XLOOKUP(_xlfn.XLOOKUP($F1684,Clientes!$B$4:$B$39,Clientes!$C$4:$C$39),Cadastros!$L$6:$L$12,Cadastros!$N$6:$N$12)))</f>
        <v/>
      </c>
      <c r="U1684" s="168" t="str">
        <f t="shared" si="341"/>
        <v/>
      </c>
      <c r="V1684" s="168" t="str">
        <f>IFERROR(U1684/_xlfn.XLOOKUP(_xlfn.XLOOKUP($F1684,Clientes!$B$4:$B$39,Clientes!$C$4:$C$39),Cadastros!$L$6:$L$12,Cadastros!$M$6:$M$12)," ")</f>
        <v xml:space="preserve"> </v>
      </c>
      <c r="W1684" s="28"/>
      <c r="X1684" s="28"/>
      <c r="Y1684" s="255" t="str">
        <f>IF(W1684="","",(_xlfn.XLOOKUP(W1684,Cadastros!$D$6:$D$90,Cadastros!$E$6:$E$90))*(1-_xlfn.XLOOKUP(_xlfn.XLOOKUP($F1684,Clientes!$B$4:$B$39,Clientes!$C$4:$C$39),Cadastros!$L$6:$L$12,Cadastros!$N$6:$N$12)))</f>
        <v/>
      </c>
      <c r="Z1684" s="168" t="str">
        <f t="shared" si="342"/>
        <v/>
      </c>
      <c r="AA1684" s="168" t="str">
        <f>IFERROR(Z1684/_xlfn.XLOOKUP(_xlfn.XLOOKUP($F1684,Clientes!$B$4:$B$39,Clientes!$C$4:$C$39),Cadastros!$L$6:$L$12,Cadastros!$M$6:$M$12)," ")</f>
        <v xml:space="preserve"> </v>
      </c>
      <c r="AB1684" s="28"/>
      <c r="AC1684" s="28"/>
      <c r="AD1684" s="20" t="str">
        <f>IF(AB1684="","",IF($F1684="Bernardino Furlan",_xlfn.XLOOKUP(AB1684,Cadastros!$G$6:$G$90,Cadastros!$H$6:$H$90)*(1-0.18),IF($F1684="Mauro José Salanti",_xlfn.XLOOKUP(AB1684,Cadastros!$G$6:$G$90,Cadastros!$H$6:$H$90)*(1-0.18),_xlfn.XLOOKUP(AB1684,Cadastros!$G$6:$G$90,Cadastros!$H$6:$H$90))))</f>
        <v/>
      </c>
      <c r="AE1684" s="168" t="str">
        <f t="shared" si="343"/>
        <v/>
      </c>
      <c r="AF1684" s="168" t="str">
        <f t="shared" si="344"/>
        <v/>
      </c>
      <c r="AG1684" s="28"/>
      <c r="AH1684" s="28"/>
      <c r="AI1684" s="20" t="str">
        <f>IF(AG1684="","",IF($F1684="Bernardino Furlan",_xlfn.XLOOKUP(AG1684,Cadastros!$G$6:$G$90,Cadastros!$H$6:$H$90)*(1-0.18),IF($F1684="Mauro José Salanti",_xlfn.XLOOKUP(AG1684,Cadastros!$G$6:$G$90,Cadastros!$H$6:$H$90)*(1-0.18),_xlfn.XLOOKUP(AG1684,Cadastros!$G$6:$G$90,Cadastros!$H$6:$H$90))))</f>
        <v/>
      </c>
      <c r="AJ1684" s="168" t="str">
        <f t="shared" si="345"/>
        <v/>
      </c>
      <c r="AK1684" s="168" t="str">
        <f t="shared" si="346"/>
        <v/>
      </c>
      <c r="AL1684" s="28"/>
      <c r="AM1684" s="28"/>
      <c r="AN1684" s="20" t="str">
        <f>IF(AL1684="","",IF($F1684="Bernardino Furlan",_xlfn.XLOOKUP(AL1684,Cadastros!$G$6:$G$90,Cadastros!$H$6:$H$90)*(1-0.18),IF($F1684="Mauro José Salanti",_xlfn.XLOOKUP(AL1684,Cadastros!$G$6:$G$90,Cadastros!$H$6:$H$90)*(1-0.18),_xlfn.XLOOKUP(AL1684,Cadastros!$G$6:$G$90,Cadastros!$H$6:$H$90))))</f>
        <v/>
      </c>
      <c r="AO1684" s="168" t="str">
        <f t="shared" si="347"/>
        <v/>
      </c>
      <c r="AP1684" s="168" t="str">
        <f t="shared" si="348"/>
        <v/>
      </c>
      <c r="AQ1684" s="28"/>
      <c r="AR1684" s="28"/>
      <c r="AS1684" s="20" t="str">
        <f>IF(AQ1684="","",IF($F1684="Bernardino Furlan",_xlfn.XLOOKUP(AQ1684,Cadastros!$G$6:$G$90,Cadastros!$H$6:$H$90)*(1-0.18),IF($F1684="Mauro José Salanti",_xlfn.XLOOKUP(AQ1684,Cadastros!$G$6:$G$90,Cadastros!$H$6:$H$90)*(1-0.18),_xlfn.XLOOKUP(AQ1684,Cadastros!$G$6:$G$90,Cadastros!$H$6:$H$90))))</f>
        <v/>
      </c>
      <c r="AT1684" s="168" t="str">
        <f t="shared" si="349"/>
        <v/>
      </c>
      <c r="AU1684" s="168" t="str">
        <f t="shared" si="350"/>
        <v/>
      </c>
      <c r="AV1684" s="227"/>
      <c r="AW1684" s="30"/>
      <c r="AX1684" s="267"/>
      <c r="AY1684" s="267"/>
      <c r="AZ1684" s="29"/>
      <c r="BA1684" s="30"/>
      <c r="BB1684" s="23" t="str" cm="1">
        <f t="array" ref="BB1684">_xlfn.IFS(AW1684="SIM",SUM(K1684,P1684,U1684,Z1684,AE1684,AJ1684,AO1684,AT1684,AX1684,AY1684),F1684&lt;&gt;"",SUM(K1684,P1684,U1684,Z1684,AE1684,AJ1684,,AO1684,AT1684),F1684="","")</f>
        <v/>
      </c>
      <c r="BC1684" s="211" t="str" cm="1">
        <f t="array" ref="BC1684">_xlfn.IFS(E1684="","",G1684&lt;=E1684,BB1684*(1-0.03),G1684&lt;(E1684+8),BB1684,AZ1684="Boleto",BB1684*(1+0.001)^DATEDIF(E1684,G1684,"D"),AZ1684="Cheque",BB1684,AZ1684="Dinheiro","Alterar forma pgto")</f>
        <v/>
      </c>
      <c r="BD1684" s="276" t="str" cm="1">
        <f t="array" ref="BD1684">IF(F1684=0," ",IF(BC1684&lt;BB1684,(_xlfn.IFS(AW1684="SIM",SUM(L1684,Q1684,V1684,AA1684,AF1684,AK1684,AP1684,AU1684)+AX1684/_xlfn.XLOOKUP(_xlfn.XLOOKUP($F1684,Clientes!$B$4:$B$39,Clientes!$C$4:$C$39),Cadastros!$L$6:$L$12,Cadastros!$M$6:$M$12)+IF($F1684="Bernardino Furlan",AY1684/2751.92,IF($F1684="Mauro José Salanti",AY1684/2751.92,AY1684/3356)),F1684&lt;&gt;0,SUM(L1684,Q1684,V1684,AA1684,AF1684,AK1684,AP1684,AU1684)))*(1-0.03),_xlfn.IFS(AW1684="SIM",SUM(L1684,Q1684,V1684,AA1684,AF1684,AK1684,AP1684,AU1684)+AX1684/_xlfn.XLOOKUP(_xlfn.XLOOKUP($F1684,Clientes!$B$4:$B$39,Clientes!$C$4:$C$39),Cadastros!$L$6:$L$12,Cadastros!$M$6:$M$12)+IF($F1684="Bernardino Furlan",AY1684/2751.92,IF($F1684="Mauro José Salanti",AY1684/2751.92,AY1684/3356)),F1684&lt;&gt;0,SUM(L1684,Q1684,V1684,AA1684,AF1684,AK1684,AP1684,AU1684))))</f>
        <v xml:space="preserve"> </v>
      </c>
      <c r="BE1684" s="120"/>
      <c r="BF1684" s="120"/>
      <c r="BG1684" s="120"/>
    </row>
    <row r="1685" spans="1:59" s="3" customFormat="1" x14ac:dyDescent="0.3">
      <c r="A1685" s="15" t="str">
        <f t="shared" si="338"/>
        <v/>
      </c>
      <c r="B1685" s="25"/>
      <c r="C1685" s="26"/>
      <c r="D1685" s="279"/>
      <c r="E1685" s="27"/>
      <c r="F1685" s="28"/>
      <c r="G1685" s="27"/>
      <c r="H1685" s="28"/>
      <c r="I1685" s="28"/>
      <c r="J1685" s="255" t="str">
        <f>IF(H1685="","",(_xlfn.XLOOKUP(H1685,Cadastros!$D$6:$D$90,Cadastros!$E$6:$E$90))*(1-_xlfn.XLOOKUP(_xlfn.XLOOKUP($F1685,Clientes!$B$4:$B$39,Clientes!$C$4:$C$39),Cadastros!$L$6:$L$12,Cadastros!$N$6:$N$12)))</f>
        <v/>
      </c>
      <c r="K1685" s="168" t="str">
        <f t="shared" si="339"/>
        <v/>
      </c>
      <c r="L1685" s="168" t="str">
        <f>IFERROR(K1685/_xlfn.XLOOKUP(_xlfn.XLOOKUP($F1685,Clientes!$B$4:$B$39,Clientes!$C$4:$C$39),Cadastros!$L$6:$L$12,Cadastros!$M$6:$M$12)," ")</f>
        <v xml:space="preserve"> </v>
      </c>
      <c r="M1685" s="28"/>
      <c r="N1685" s="28"/>
      <c r="O1685" s="255" t="str">
        <f>IF(M1685="","",(_xlfn.XLOOKUP(M1685,Cadastros!$D$6:$D$90,Cadastros!$E$6:$E$90))*(1-_xlfn.XLOOKUP(_xlfn.XLOOKUP($F1685,Clientes!$B$4:$B$39,Clientes!$C$4:$C$39),Cadastros!$L$6:$L$12,Cadastros!$N$6:$N$12)))</f>
        <v/>
      </c>
      <c r="P1685" s="168" t="str">
        <f t="shared" si="340"/>
        <v/>
      </c>
      <c r="Q1685" s="168" t="str">
        <f>IFERROR(P1685/_xlfn.XLOOKUP(_xlfn.XLOOKUP($F1685,Clientes!$B$4:$B$39,Clientes!$C$4:$C$39),Cadastros!$L$6:$L$12,Cadastros!$M$6:$M$12)," ")</f>
        <v xml:space="preserve"> </v>
      </c>
      <c r="R1685" s="28"/>
      <c r="S1685" s="28"/>
      <c r="T1685" s="255" t="str">
        <f>IF(R1685="","",(_xlfn.XLOOKUP(R1685,Cadastros!$D$6:$D$90,Cadastros!$E$6:$E$90))*(1-_xlfn.XLOOKUP(_xlfn.XLOOKUP($F1685,Clientes!$B$4:$B$39,Clientes!$C$4:$C$39),Cadastros!$L$6:$L$12,Cadastros!$N$6:$N$12)))</f>
        <v/>
      </c>
      <c r="U1685" s="168" t="str">
        <f t="shared" si="341"/>
        <v/>
      </c>
      <c r="V1685" s="168" t="str">
        <f>IFERROR(U1685/_xlfn.XLOOKUP(_xlfn.XLOOKUP($F1685,Clientes!$B$4:$B$39,Clientes!$C$4:$C$39),Cadastros!$L$6:$L$12,Cadastros!$M$6:$M$12)," ")</f>
        <v xml:space="preserve"> </v>
      </c>
      <c r="W1685" s="28"/>
      <c r="X1685" s="28"/>
      <c r="Y1685" s="255" t="str">
        <f>IF(W1685="","",(_xlfn.XLOOKUP(W1685,Cadastros!$D$6:$D$90,Cadastros!$E$6:$E$90))*(1-_xlfn.XLOOKUP(_xlfn.XLOOKUP($F1685,Clientes!$B$4:$B$39,Clientes!$C$4:$C$39),Cadastros!$L$6:$L$12,Cadastros!$N$6:$N$12)))</f>
        <v/>
      </c>
      <c r="Z1685" s="168" t="str">
        <f t="shared" si="342"/>
        <v/>
      </c>
      <c r="AA1685" s="168" t="str">
        <f>IFERROR(Z1685/_xlfn.XLOOKUP(_xlfn.XLOOKUP($F1685,Clientes!$B$4:$B$39,Clientes!$C$4:$C$39),Cadastros!$L$6:$L$12,Cadastros!$M$6:$M$12)," ")</f>
        <v xml:space="preserve"> </v>
      </c>
      <c r="AB1685" s="28"/>
      <c r="AC1685" s="28"/>
      <c r="AD1685" s="20" t="str">
        <f>IF(AB1685="","",IF($F1685="Bernardino Furlan",_xlfn.XLOOKUP(AB1685,Cadastros!$G$6:$G$90,Cadastros!$H$6:$H$90)*(1-0.18),IF($F1685="Mauro José Salanti",_xlfn.XLOOKUP(AB1685,Cadastros!$G$6:$G$90,Cadastros!$H$6:$H$90)*(1-0.18),_xlfn.XLOOKUP(AB1685,Cadastros!$G$6:$G$90,Cadastros!$H$6:$H$90))))</f>
        <v/>
      </c>
      <c r="AE1685" s="168" t="str">
        <f t="shared" si="343"/>
        <v/>
      </c>
      <c r="AF1685" s="168" t="str">
        <f t="shared" si="344"/>
        <v/>
      </c>
      <c r="AG1685" s="28"/>
      <c r="AH1685" s="28"/>
      <c r="AI1685" s="20" t="str">
        <f>IF(AG1685="","",IF($F1685="Bernardino Furlan",_xlfn.XLOOKUP(AG1685,Cadastros!$G$6:$G$90,Cadastros!$H$6:$H$90)*(1-0.18),IF($F1685="Mauro José Salanti",_xlfn.XLOOKUP(AG1685,Cadastros!$G$6:$G$90,Cadastros!$H$6:$H$90)*(1-0.18),_xlfn.XLOOKUP(AG1685,Cadastros!$G$6:$G$90,Cadastros!$H$6:$H$90))))</f>
        <v/>
      </c>
      <c r="AJ1685" s="168" t="str">
        <f t="shared" si="345"/>
        <v/>
      </c>
      <c r="AK1685" s="168" t="str">
        <f t="shared" si="346"/>
        <v/>
      </c>
      <c r="AL1685" s="28"/>
      <c r="AM1685" s="28"/>
      <c r="AN1685" s="20" t="str">
        <f>IF(AL1685="","",IF($F1685="Bernardino Furlan",_xlfn.XLOOKUP(AL1685,Cadastros!$G$6:$G$90,Cadastros!$H$6:$H$90)*(1-0.18),IF($F1685="Mauro José Salanti",_xlfn.XLOOKUP(AL1685,Cadastros!$G$6:$G$90,Cadastros!$H$6:$H$90)*(1-0.18),_xlfn.XLOOKUP(AL1685,Cadastros!$G$6:$G$90,Cadastros!$H$6:$H$90))))</f>
        <v/>
      </c>
      <c r="AO1685" s="168" t="str">
        <f t="shared" si="347"/>
        <v/>
      </c>
      <c r="AP1685" s="168" t="str">
        <f t="shared" si="348"/>
        <v/>
      </c>
      <c r="AQ1685" s="28"/>
      <c r="AR1685" s="28"/>
      <c r="AS1685" s="20" t="str">
        <f>IF(AQ1685="","",IF($F1685="Bernardino Furlan",_xlfn.XLOOKUP(AQ1685,Cadastros!$G$6:$G$90,Cadastros!$H$6:$H$90)*(1-0.18),IF($F1685="Mauro José Salanti",_xlfn.XLOOKUP(AQ1685,Cadastros!$G$6:$G$90,Cadastros!$H$6:$H$90)*(1-0.18),_xlfn.XLOOKUP(AQ1685,Cadastros!$G$6:$G$90,Cadastros!$H$6:$H$90))))</f>
        <v/>
      </c>
      <c r="AT1685" s="168" t="str">
        <f t="shared" si="349"/>
        <v/>
      </c>
      <c r="AU1685" s="168" t="str">
        <f t="shared" si="350"/>
        <v/>
      </c>
      <c r="AV1685" s="227"/>
      <c r="AW1685" s="30"/>
      <c r="AX1685" s="267"/>
      <c r="AY1685" s="267"/>
      <c r="AZ1685" s="29"/>
      <c r="BA1685" s="30"/>
      <c r="BB1685" s="23" t="str" cm="1">
        <f t="array" ref="BB1685">_xlfn.IFS(AW1685="SIM",SUM(K1685,P1685,U1685,Z1685,AE1685,AJ1685,AO1685,AT1685,AX1685,AY1685),F1685&lt;&gt;"",SUM(K1685,P1685,U1685,Z1685,AE1685,AJ1685,,AO1685,AT1685),F1685="","")</f>
        <v/>
      </c>
      <c r="BC1685" s="211" t="str" cm="1">
        <f t="array" ref="BC1685">_xlfn.IFS(E1685="","",G1685&lt;=E1685,BB1685*(1-0.03),G1685&lt;(E1685+8),BB1685,AZ1685="Boleto",BB1685*(1+0.001)^DATEDIF(E1685,G1685,"D"),AZ1685="Cheque",BB1685,AZ1685="Dinheiro","Alterar forma pgto")</f>
        <v/>
      </c>
      <c r="BD1685" s="276" t="str" cm="1">
        <f t="array" ref="BD1685">IF(F1685=0," ",IF(BC1685&lt;BB1685,(_xlfn.IFS(AW1685="SIM",SUM(L1685,Q1685,V1685,AA1685,AF1685,AK1685,AP1685,AU1685)+AX1685/_xlfn.XLOOKUP(_xlfn.XLOOKUP($F1685,Clientes!$B$4:$B$39,Clientes!$C$4:$C$39),Cadastros!$L$6:$L$12,Cadastros!$M$6:$M$12)+IF($F1685="Bernardino Furlan",AY1685/2751.92,IF($F1685="Mauro José Salanti",AY1685/2751.92,AY1685/3356)),F1685&lt;&gt;0,SUM(L1685,Q1685,V1685,AA1685,AF1685,AK1685,AP1685,AU1685)))*(1-0.03),_xlfn.IFS(AW1685="SIM",SUM(L1685,Q1685,V1685,AA1685,AF1685,AK1685,AP1685,AU1685)+AX1685/_xlfn.XLOOKUP(_xlfn.XLOOKUP($F1685,Clientes!$B$4:$B$39,Clientes!$C$4:$C$39),Cadastros!$L$6:$L$12,Cadastros!$M$6:$M$12)+IF($F1685="Bernardino Furlan",AY1685/2751.92,IF($F1685="Mauro José Salanti",AY1685/2751.92,AY1685/3356)),F1685&lt;&gt;0,SUM(L1685,Q1685,V1685,AA1685,AF1685,AK1685,AP1685,AU1685))))</f>
        <v xml:space="preserve"> </v>
      </c>
      <c r="BE1685" s="120"/>
      <c r="BF1685" s="120"/>
      <c r="BG1685" s="120"/>
    </row>
    <row r="1686" spans="1:59" s="3" customFormat="1" x14ac:dyDescent="0.3">
      <c r="A1686" s="15" t="str">
        <f t="shared" si="338"/>
        <v/>
      </c>
      <c r="B1686" s="25"/>
      <c r="C1686" s="26"/>
      <c r="D1686" s="279"/>
      <c r="E1686" s="27"/>
      <c r="F1686" s="28"/>
      <c r="G1686" s="27"/>
      <c r="H1686" s="28"/>
      <c r="I1686" s="28"/>
      <c r="J1686" s="255" t="str">
        <f>IF(H1686="","",(_xlfn.XLOOKUP(H1686,Cadastros!$D$6:$D$90,Cadastros!$E$6:$E$90))*(1-_xlfn.XLOOKUP(_xlfn.XLOOKUP($F1686,Clientes!$B$4:$B$39,Clientes!$C$4:$C$39),Cadastros!$L$6:$L$12,Cadastros!$N$6:$N$12)))</f>
        <v/>
      </c>
      <c r="K1686" s="168" t="str">
        <f t="shared" si="339"/>
        <v/>
      </c>
      <c r="L1686" s="168" t="str">
        <f>IFERROR(K1686/_xlfn.XLOOKUP(_xlfn.XLOOKUP($F1686,Clientes!$B$4:$B$39,Clientes!$C$4:$C$39),Cadastros!$L$6:$L$12,Cadastros!$M$6:$M$12)," ")</f>
        <v xml:space="preserve"> </v>
      </c>
      <c r="M1686" s="28"/>
      <c r="N1686" s="28"/>
      <c r="O1686" s="255" t="str">
        <f>IF(M1686="","",(_xlfn.XLOOKUP(M1686,Cadastros!$D$6:$D$90,Cadastros!$E$6:$E$90))*(1-_xlfn.XLOOKUP(_xlfn.XLOOKUP($F1686,Clientes!$B$4:$B$39,Clientes!$C$4:$C$39),Cadastros!$L$6:$L$12,Cadastros!$N$6:$N$12)))</f>
        <v/>
      </c>
      <c r="P1686" s="168" t="str">
        <f t="shared" si="340"/>
        <v/>
      </c>
      <c r="Q1686" s="168" t="str">
        <f>IFERROR(P1686/_xlfn.XLOOKUP(_xlfn.XLOOKUP($F1686,Clientes!$B$4:$B$39,Clientes!$C$4:$C$39),Cadastros!$L$6:$L$12,Cadastros!$M$6:$M$12)," ")</f>
        <v xml:space="preserve"> </v>
      </c>
      <c r="R1686" s="28"/>
      <c r="S1686" s="28"/>
      <c r="T1686" s="255" t="str">
        <f>IF(R1686="","",(_xlfn.XLOOKUP(R1686,Cadastros!$D$6:$D$90,Cadastros!$E$6:$E$90))*(1-_xlfn.XLOOKUP(_xlfn.XLOOKUP($F1686,Clientes!$B$4:$B$39,Clientes!$C$4:$C$39),Cadastros!$L$6:$L$12,Cadastros!$N$6:$N$12)))</f>
        <v/>
      </c>
      <c r="U1686" s="168" t="str">
        <f t="shared" si="341"/>
        <v/>
      </c>
      <c r="V1686" s="168" t="str">
        <f>IFERROR(U1686/_xlfn.XLOOKUP(_xlfn.XLOOKUP($F1686,Clientes!$B$4:$B$39,Clientes!$C$4:$C$39),Cadastros!$L$6:$L$12,Cadastros!$M$6:$M$12)," ")</f>
        <v xml:space="preserve"> </v>
      </c>
      <c r="W1686" s="28"/>
      <c r="X1686" s="28"/>
      <c r="Y1686" s="255" t="str">
        <f>IF(W1686="","",(_xlfn.XLOOKUP(W1686,Cadastros!$D$6:$D$90,Cadastros!$E$6:$E$90))*(1-_xlfn.XLOOKUP(_xlfn.XLOOKUP($F1686,Clientes!$B$4:$B$39,Clientes!$C$4:$C$39),Cadastros!$L$6:$L$12,Cadastros!$N$6:$N$12)))</f>
        <v/>
      </c>
      <c r="Z1686" s="168" t="str">
        <f t="shared" si="342"/>
        <v/>
      </c>
      <c r="AA1686" s="168" t="str">
        <f>IFERROR(Z1686/_xlfn.XLOOKUP(_xlfn.XLOOKUP($F1686,Clientes!$B$4:$B$39,Clientes!$C$4:$C$39),Cadastros!$L$6:$L$12,Cadastros!$M$6:$M$12)," ")</f>
        <v xml:space="preserve"> </v>
      </c>
      <c r="AB1686" s="28"/>
      <c r="AC1686" s="28"/>
      <c r="AD1686" s="20" t="str">
        <f>IF(AB1686="","",IF($F1686="Bernardino Furlan",_xlfn.XLOOKUP(AB1686,Cadastros!$G$6:$G$90,Cadastros!$H$6:$H$90)*(1-0.18),IF($F1686="Mauro José Salanti",_xlfn.XLOOKUP(AB1686,Cadastros!$G$6:$G$90,Cadastros!$H$6:$H$90)*(1-0.18),_xlfn.XLOOKUP(AB1686,Cadastros!$G$6:$G$90,Cadastros!$H$6:$H$90))))</f>
        <v/>
      </c>
      <c r="AE1686" s="168" t="str">
        <f t="shared" si="343"/>
        <v/>
      </c>
      <c r="AF1686" s="168" t="str">
        <f t="shared" si="344"/>
        <v/>
      </c>
      <c r="AG1686" s="28"/>
      <c r="AH1686" s="28"/>
      <c r="AI1686" s="20" t="str">
        <f>IF(AG1686="","",IF($F1686="Bernardino Furlan",_xlfn.XLOOKUP(AG1686,Cadastros!$G$6:$G$90,Cadastros!$H$6:$H$90)*(1-0.18),IF($F1686="Mauro José Salanti",_xlfn.XLOOKUP(AG1686,Cadastros!$G$6:$G$90,Cadastros!$H$6:$H$90)*(1-0.18),_xlfn.XLOOKUP(AG1686,Cadastros!$G$6:$G$90,Cadastros!$H$6:$H$90))))</f>
        <v/>
      </c>
      <c r="AJ1686" s="168" t="str">
        <f t="shared" si="345"/>
        <v/>
      </c>
      <c r="AK1686" s="168" t="str">
        <f t="shared" si="346"/>
        <v/>
      </c>
      <c r="AL1686" s="28"/>
      <c r="AM1686" s="28"/>
      <c r="AN1686" s="20" t="str">
        <f>IF(AL1686="","",IF($F1686="Bernardino Furlan",_xlfn.XLOOKUP(AL1686,Cadastros!$G$6:$G$90,Cadastros!$H$6:$H$90)*(1-0.18),IF($F1686="Mauro José Salanti",_xlfn.XLOOKUP(AL1686,Cadastros!$G$6:$G$90,Cadastros!$H$6:$H$90)*(1-0.18),_xlfn.XLOOKUP(AL1686,Cadastros!$G$6:$G$90,Cadastros!$H$6:$H$90))))</f>
        <v/>
      </c>
      <c r="AO1686" s="168" t="str">
        <f t="shared" si="347"/>
        <v/>
      </c>
      <c r="AP1686" s="168" t="str">
        <f t="shared" si="348"/>
        <v/>
      </c>
      <c r="AQ1686" s="28"/>
      <c r="AR1686" s="28"/>
      <c r="AS1686" s="20" t="str">
        <f>IF(AQ1686="","",IF($F1686="Bernardino Furlan",_xlfn.XLOOKUP(AQ1686,Cadastros!$G$6:$G$90,Cadastros!$H$6:$H$90)*(1-0.18),IF($F1686="Mauro José Salanti",_xlfn.XLOOKUP(AQ1686,Cadastros!$G$6:$G$90,Cadastros!$H$6:$H$90)*(1-0.18),_xlfn.XLOOKUP(AQ1686,Cadastros!$G$6:$G$90,Cadastros!$H$6:$H$90))))</f>
        <v/>
      </c>
      <c r="AT1686" s="168" t="str">
        <f t="shared" si="349"/>
        <v/>
      </c>
      <c r="AU1686" s="168" t="str">
        <f t="shared" si="350"/>
        <v/>
      </c>
      <c r="AV1686" s="227"/>
      <c r="AW1686" s="30"/>
      <c r="AX1686" s="267"/>
      <c r="AY1686" s="267"/>
      <c r="AZ1686" s="29"/>
      <c r="BA1686" s="30"/>
      <c r="BB1686" s="23" t="str" cm="1">
        <f t="array" ref="BB1686">_xlfn.IFS(AW1686="SIM",SUM(K1686,P1686,U1686,Z1686,AE1686,AJ1686,AO1686,AT1686,AX1686,AY1686),F1686&lt;&gt;"",SUM(K1686,P1686,U1686,Z1686,AE1686,AJ1686,,AO1686,AT1686),F1686="","")</f>
        <v/>
      </c>
      <c r="BC1686" s="211" t="str" cm="1">
        <f t="array" ref="BC1686">_xlfn.IFS(E1686="","",G1686&lt;=E1686,BB1686*(1-0.03),G1686&lt;(E1686+8),BB1686,AZ1686="Boleto",BB1686*(1+0.001)^DATEDIF(E1686,G1686,"D"),AZ1686="Cheque",BB1686,AZ1686="Dinheiro","Alterar forma pgto")</f>
        <v/>
      </c>
      <c r="BD1686" s="276" t="str" cm="1">
        <f t="array" ref="BD1686">IF(F1686=0," ",IF(BC1686&lt;BB1686,(_xlfn.IFS(AW1686="SIM",SUM(L1686,Q1686,V1686,AA1686,AF1686,AK1686,AP1686,AU1686)+AX1686/_xlfn.XLOOKUP(_xlfn.XLOOKUP($F1686,Clientes!$B$4:$B$39,Clientes!$C$4:$C$39),Cadastros!$L$6:$L$12,Cadastros!$M$6:$M$12)+IF($F1686="Bernardino Furlan",AY1686/2751.92,IF($F1686="Mauro José Salanti",AY1686/2751.92,AY1686/3356)),F1686&lt;&gt;0,SUM(L1686,Q1686,V1686,AA1686,AF1686,AK1686,AP1686,AU1686)))*(1-0.03),_xlfn.IFS(AW1686="SIM",SUM(L1686,Q1686,V1686,AA1686,AF1686,AK1686,AP1686,AU1686)+AX1686/_xlfn.XLOOKUP(_xlfn.XLOOKUP($F1686,Clientes!$B$4:$B$39,Clientes!$C$4:$C$39),Cadastros!$L$6:$L$12,Cadastros!$M$6:$M$12)+IF($F1686="Bernardino Furlan",AY1686/2751.92,IF($F1686="Mauro José Salanti",AY1686/2751.92,AY1686/3356)),F1686&lt;&gt;0,SUM(L1686,Q1686,V1686,AA1686,AF1686,AK1686,AP1686,AU1686))))</f>
        <v xml:space="preserve"> </v>
      </c>
      <c r="BE1686" s="120"/>
      <c r="BF1686" s="120"/>
      <c r="BG1686" s="120"/>
    </row>
    <row r="1687" spans="1:59" s="3" customFormat="1" x14ac:dyDescent="0.3">
      <c r="A1687" s="15" t="str">
        <f t="shared" si="338"/>
        <v/>
      </c>
      <c r="B1687" s="25"/>
      <c r="C1687" s="26"/>
      <c r="D1687" s="279"/>
      <c r="E1687" s="27"/>
      <c r="F1687" s="28"/>
      <c r="G1687" s="27"/>
      <c r="H1687" s="28"/>
      <c r="I1687" s="28"/>
      <c r="J1687" s="255" t="str">
        <f>IF(H1687="","",(_xlfn.XLOOKUP(H1687,Cadastros!$D$6:$D$90,Cadastros!$E$6:$E$90))*(1-_xlfn.XLOOKUP(_xlfn.XLOOKUP($F1687,Clientes!$B$4:$B$39,Clientes!$C$4:$C$39),Cadastros!$L$6:$L$12,Cadastros!$N$6:$N$12)))</f>
        <v/>
      </c>
      <c r="K1687" s="168" t="str">
        <f t="shared" si="339"/>
        <v/>
      </c>
      <c r="L1687" s="168" t="str">
        <f>IFERROR(K1687/_xlfn.XLOOKUP(_xlfn.XLOOKUP($F1687,Clientes!$B$4:$B$39,Clientes!$C$4:$C$39),Cadastros!$L$6:$L$12,Cadastros!$M$6:$M$12)," ")</f>
        <v xml:space="preserve"> </v>
      </c>
      <c r="M1687" s="28"/>
      <c r="N1687" s="28"/>
      <c r="O1687" s="255" t="str">
        <f>IF(M1687="","",(_xlfn.XLOOKUP(M1687,Cadastros!$D$6:$D$90,Cadastros!$E$6:$E$90))*(1-_xlfn.XLOOKUP(_xlfn.XLOOKUP($F1687,Clientes!$B$4:$B$39,Clientes!$C$4:$C$39),Cadastros!$L$6:$L$12,Cadastros!$N$6:$N$12)))</f>
        <v/>
      </c>
      <c r="P1687" s="168" t="str">
        <f t="shared" si="340"/>
        <v/>
      </c>
      <c r="Q1687" s="168" t="str">
        <f>IFERROR(P1687/_xlfn.XLOOKUP(_xlfn.XLOOKUP($F1687,Clientes!$B$4:$B$39,Clientes!$C$4:$C$39),Cadastros!$L$6:$L$12,Cadastros!$M$6:$M$12)," ")</f>
        <v xml:space="preserve"> </v>
      </c>
      <c r="R1687" s="28"/>
      <c r="S1687" s="28"/>
      <c r="T1687" s="255" t="str">
        <f>IF(R1687="","",(_xlfn.XLOOKUP(R1687,Cadastros!$D$6:$D$90,Cadastros!$E$6:$E$90))*(1-_xlfn.XLOOKUP(_xlfn.XLOOKUP($F1687,Clientes!$B$4:$B$39,Clientes!$C$4:$C$39),Cadastros!$L$6:$L$12,Cadastros!$N$6:$N$12)))</f>
        <v/>
      </c>
      <c r="U1687" s="168" t="str">
        <f t="shared" si="341"/>
        <v/>
      </c>
      <c r="V1687" s="168" t="str">
        <f>IFERROR(U1687/_xlfn.XLOOKUP(_xlfn.XLOOKUP($F1687,Clientes!$B$4:$B$39,Clientes!$C$4:$C$39),Cadastros!$L$6:$L$12,Cadastros!$M$6:$M$12)," ")</f>
        <v xml:space="preserve"> </v>
      </c>
      <c r="W1687" s="28"/>
      <c r="X1687" s="28"/>
      <c r="Y1687" s="255" t="str">
        <f>IF(W1687="","",(_xlfn.XLOOKUP(W1687,Cadastros!$D$6:$D$90,Cadastros!$E$6:$E$90))*(1-_xlfn.XLOOKUP(_xlfn.XLOOKUP($F1687,Clientes!$B$4:$B$39,Clientes!$C$4:$C$39),Cadastros!$L$6:$L$12,Cadastros!$N$6:$N$12)))</f>
        <v/>
      </c>
      <c r="Z1687" s="168" t="str">
        <f t="shared" si="342"/>
        <v/>
      </c>
      <c r="AA1687" s="168" t="str">
        <f>IFERROR(Z1687/_xlfn.XLOOKUP(_xlfn.XLOOKUP($F1687,Clientes!$B$4:$B$39,Clientes!$C$4:$C$39),Cadastros!$L$6:$L$12,Cadastros!$M$6:$M$12)," ")</f>
        <v xml:space="preserve"> </v>
      </c>
      <c r="AB1687" s="28"/>
      <c r="AC1687" s="28"/>
      <c r="AD1687" s="20" t="str">
        <f>IF(AB1687="","",IF($F1687="Bernardino Furlan",_xlfn.XLOOKUP(AB1687,Cadastros!$G$6:$G$90,Cadastros!$H$6:$H$90)*(1-0.18),IF($F1687="Mauro José Salanti",_xlfn.XLOOKUP(AB1687,Cadastros!$G$6:$G$90,Cadastros!$H$6:$H$90)*(1-0.18),_xlfn.XLOOKUP(AB1687,Cadastros!$G$6:$G$90,Cadastros!$H$6:$H$90))))</f>
        <v/>
      </c>
      <c r="AE1687" s="168" t="str">
        <f t="shared" si="343"/>
        <v/>
      </c>
      <c r="AF1687" s="168" t="str">
        <f t="shared" si="344"/>
        <v/>
      </c>
      <c r="AG1687" s="28"/>
      <c r="AH1687" s="28"/>
      <c r="AI1687" s="20" t="str">
        <f>IF(AG1687="","",IF($F1687="Bernardino Furlan",_xlfn.XLOOKUP(AG1687,Cadastros!$G$6:$G$90,Cadastros!$H$6:$H$90)*(1-0.18),IF($F1687="Mauro José Salanti",_xlfn.XLOOKUP(AG1687,Cadastros!$G$6:$G$90,Cadastros!$H$6:$H$90)*(1-0.18),_xlfn.XLOOKUP(AG1687,Cadastros!$G$6:$G$90,Cadastros!$H$6:$H$90))))</f>
        <v/>
      </c>
      <c r="AJ1687" s="168" t="str">
        <f t="shared" si="345"/>
        <v/>
      </c>
      <c r="AK1687" s="168" t="str">
        <f t="shared" si="346"/>
        <v/>
      </c>
      <c r="AL1687" s="28"/>
      <c r="AM1687" s="28"/>
      <c r="AN1687" s="20" t="str">
        <f>IF(AL1687="","",IF($F1687="Bernardino Furlan",_xlfn.XLOOKUP(AL1687,Cadastros!$G$6:$G$90,Cadastros!$H$6:$H$90)*(1-0.18),IF($F1687="Mauro José Salanti",_xlfn.XLOOKUP(AL1687,Cadastros!$G$6:$G$90,Cadastros!$H$6:$H$90)*(1-0.18),_xlfn.XLOOKUP(AL1687,Cadastros!$G$6:$G$90,Cadastros!$H$6:$H$90))))</f>
        <v/>
      </c>
      <c r="AO1687" s="168" t="str">
        <f t="shared" si="347"/>
        <v/>
      </c>
      <c r="AP1687" s="168" t="str">
        <f t="shared" si="348"/>
        <v/>
      </c>
      <c r="AQ1687" s="28"/>
      <c r="AR1687" s="28"/>
      <c r="AS1687" s="20" t="str">
        <f>IF(AQ1687="","",IF($F1687="Bernardino Furlan",_xlfn.XLOOKUP(AQ1687,Cadastros!$G$6:$G$90,Cadastros!$H$6:$H$90)*(1-0.18),IF($F1687="Mauro José Salanti",_xlfn.XLOOKUP(AQ1687,Cadastros!$G$6:$G$90,Cadastros!$H$6:$H$90)*(1-0.18),_xlfn.XLOOKUP(AQ1687,Cadastros!$G$6:$G$90,Cadastros!$H$6:$H$90))))</f>
        <v/>
      </c>
      <c r="AT1687" s="168" t="str">
        <f t="shared" si="349"/>
        <v/>
      </c>
      <c r="AU1687" s="168" t="str">
        <f t="shared" si="350"/>
        <v/>
      </c>
      <c r="AV1687" s="227"/>
      <c r="AW1687" s="30"/>
      <c r="AX1687" s="267"/>
      <c r="AY1687" s="267"/>
      <c r="AZ1687" s="29"/>
      <c r="BA1687" s="30"/>
      <c r="BB1687" s="23" t="str" cm="1">
        <f t="array" ref="BB1687">_xlfn.IFS(AW1687="SIM",SUM(K1687,P1687,U1687,Z1687,AE1687,AJ1687,AO1687,AT1687,AX1687,AY1687),F1687&lt;&gt;"",SUM(K1687,P1687,U1687,Z1687,AE1687,AJ1687,,AO1687,AT1687),F1687="","")</f>
        <v/>
      </c>
      <c r="BC1687" s="211" t="str" cm="1">
        <f t="array" ref="BC1687">_xlfn.IFS(E1687="","",G1687&lt;=E1687,BB1687*(1-0.03),G1687&lt;(E1687+8),BB1687,AZ1687="Boleto",BB1687*(1+0.001)^DATEDIF(E1687,G1687,"D"),AZ1687="Cheque",BB1687,AZ1687="Dinheiro","Alterar forma pgto")</f>
        <v/>
      </c>
      <c r="BD1687" s="276" t="str" cm="1">
        <f t="array" ref="BD1687">IF(F1687=0," ",IF(BC1687&lt;BB1687,(_xlfn.IFS(AW1687="SIM",SUM(L1687,Q1687,V1687,AA1687,AF1687,AK1687,AP1687,AU1687)+AX1687/_xlfn.XLOOKUP(_xlfn.XLOOKUP($F1687,Clientes!$B$4:$B$39,Clientes!$C$4:$C$39),Cadastros!$L$6:$L$12,Cadastros!$M$6:$M$12)+IF($F1687="Bernardino Furlan",AY1687/2751.92,IF($F1687="Mauro José Salanti",AY1687/2751.92,AY1687/3356)),F1687&lt;&gt;0,SUM(L1687,Q1687,V1687,AA1687,AF1687,AK1687,AP1687,AU1687)))*(1-0.03),_xlfn.IFS(AW1687="SIM",SUM(L1687,Q1687,V1687,AA1687,AF1687,AK1687,AP1687,AU1687)+AX1687/_xlfn.XLOOKUP(_xlfn.XLOOKUP($F1687,Clientes!$B$4:$B$39,Clientes!$C$4:$C$39),Cadastros!$L$6:$L$12,Cadastros!$M$6:$M$12)+IF($F1687="Bernardino Furlan",AY1687/2751.92,IF($F1687="Mauro José Salanti",AY1687/2751.92,AY1687/3356)),F1687&lt;&gt;0,SUM(L1687,Q1687,V1687,AA1687,AF1687,AK1687,AP1687,AU1687))))</f>
        <v xml:space="preserve"> </v>
      </c>
      <c r="BE1687" s="120"/>
      <c r="BF1687" s="120"/>
      <c r="BG1687" s="120"/>
    </row>
    <row r="1688" spans="1:59" s="3" customFormat="1" x14ac:dyDescent="0.3">
      <c r="A1688" s="15" t="str">
        <f t="shared" si="338"/>
        <v/>
      </c>
      <c r="B1688" s="25"/>
      <c r="C1688" s="26"/>
      <c r="D1688" s="279"/>
      <c r="E1688" s="27"/>
      <c r="F1688" s="28"/>
      <c r="G1688" s="27"/>
      <c r="H1688" s="28"/>
      <c r="I1688" s="28"/>
      <c r="J1688" s="255" t="str">
        <f>IF(H1688="","",(_xlfn.XLOOKUP(H1688,Cadastros!$D$6:$D$90,Cadastros!$E$6:$E$90))*(1-_xlfn.XLOOKUP(_xlfn.XLOOKUP($F1688,Clientes!$B$4:$B$39,Clientes!$C$4:$C$39),Cadastros!$L$6:$L$12,Cadastros!$N$6:$N$12)))</f>
        <v/>
      </c>
      <c r="K1688" s="168" t="str">
        <f t="shared" si="339"/>
        <v/>
      </c>
      <c r="L1688" s="168" t="str">
        <f>IFERROR(K1688/_xlfn.XLOOKUP(_xlfn.XLOOKUP($F1688,Clientes!$B$4:$B$39,Clientes!$C$4:$C$39),Cadastros!$L$6:$L$12,Cadastros!$M$6:$M$12)," ")</f>
        <v xml:space="preserve"> </v>
      </c>
      <c r="M1688" s="28"/>
      <c r="N1688" s="28"/>
      <c r="O1688" s="255" t="str">
        <f>IF(M1688="","",(_xlfn.XLOOKUP(M1688,Cadastros!$D$6:$D$90,Cadastros!$E$6:$E$90))*(1-_xlfn.XLOOKUP(_xlfn.XLOOKUP($F1688,Clientes!$B$4:$B$39,Clientes!$C$4:$C$39),Cadastros!$L$6:$L$12,Cadastros!$N$6:$N$12)))</f>
        <v/>
      </c>
      <c r="P1688" s="168" t="str">
        <f t="shared" si="340"/>
        <v/>
      </c>
      <c r="Q1688" s="168" t="str">
        <f>IFERROR(P1688/_xlfn.XLOOKUP(_xlfn.XLOOKUP($F1688,Clientes!$B$4:$B$39,Clientes!$C$4:$C$39),Cadastros!$L$6:$L$12,Cadastros!$M$6:$M$12)," ")</f>
        <v xml:space="preserve"> </v>
      </c>
      <c r="R1688" s="28"/>
      <c r="S1688" s="28"/>
      <c r="T1688" s="255" t="str">
        <f>IF(R1688="","",(_xlfn.XLOOKUP(R1688,Cadastros!$D$6:$D$90,Cadastros!$E$6:$E$90))*(1-_xlfn.XLOOKUP(_xlfn.XLOOKUP($F1688,Clientes!$B$4:$B$39,Clientes!$C$4:$C$39),Cadastros!$L$6:$L$12,Cadastros!$N$6:$N$12)))</f>
        <v/>
      </c>
      <c r="U1688" s="168" t="str">
        <f t="shared" si="341"/>
        <v/>
      </c>
      <c r="V1688" s="168" t="str">
        <f>IFERROR(U1688/_xlfn.XLOOKUP(_xlfn.XLOOKUP($F1688,Clientes!$B$4:$B$39,Clientes!$C$4:$C$39),Cadastros!$L$6:$L$12,Cadastros!$M$6:$M$12)," ")</f>
        <v xml:space="preserve"> </v>
      </c>
      <c r="W1688" s="28"/>
      <c r="X1688" s="28"/>
      <c r="Y1688" s="255" t="str">
        <f>IF(W1688="","",(_xlfn.XLOOKUP(W1688,Cadastros!$D$6:$D$90,Cadastros!$E$6:$E$90))*(1-_xlfn.XLOOKUP(_xlfn.XLOOKUP($F1688,Clientes!$B$4:$B$39,Clientes!$C$4:$C$39),Cadastros!$L$6:$L$12,Cadastros!$N$6:$N$12)))</f>
        <v/>
      </c>
      <c r="Z1688" s="168" t="str">
        <f t="shared" si="342"/>
        <v/>
      </c>
      <c r="AA1688" s="168" t="str">
        <f>IFERROR(Z1688/_xlfn.XLOOKUP(_xlfn.XLOOKUP($F1688,Clientes!$B$4:$B$39,Clientes!$C$4:$C$39),Cadastros!$L$6:$L$12,Cadastros!$M$6:$M$12)," ")</f>
        <v xml:space="preserve"> </v>
      </c>
      <c r="AB1688" s="28"/>
      <c r="AC1688" s="28"/>
      <c r="AD1688" s="20" t="str">
        <f>IF(AB1688="","",IF($F1688="Bernardino Furlan",_xlfn.XLOOKUP(AB1688,Cadastros!$G$6:$G$90,Cadastros!$H$6:$H$90)*(1-0.18),IF($F1688="Mauro José Salanti",_xlfn.XLOOKUP(AB1688,Cadastros!$G$6:$G$90,Cadastros!$H$6:$H$90)*(1-0.18),_xlfn.XLOOKUP(AB1688,Cadastros!$G$6:$G$90,Cadastros!$H$6:$H$90))))</f>
        <v/>
      </c>
      <c r="AE1688" s="168" t="str">
        <f t="shared" si="343"/>
        <v/>
      </c>
      <c r="AF1688" s="168" t="str">
        <f t="shared" si="344"/>
        <v/>
      </c>
      <c r="AG1688" s="28"/>
      <c r="AH1688" s="28"/>
      <c r="AI1688" s="20" t="str">
        <f>IF(AG1688="","",IF($F1688="Bernardino Furlan",_xlfn.XLOOKUP(AG1688,Cadastros!$G$6:$G$90,Cadastros!$H$6:$H$90)*(1-0.18),IF($F1688="Mauro José Salanti",_xlfn.XLOOKUP(AG1688,Cadastros!$G$6:$G$90,Cadastros!$H$6:$H$90)*(1-0.18),_xlfn.XLOOKUP(AG1688,Cadastros!$G$6:$G$90,Cadastros!$H$6:$H$90))))</f>
        <v/>
      </c>
      <c r="AJ1688" s="168" t="str">
        <f t="shared" si="345"/>
        <v/>
      </c>
      <c r="AK1688" s="168" t="str">
        <f t="shared" si="346"/>
        <v/>
      </c>
      <c r="AL1688" s="28"/>
      <c r="AM1688" s="28"/>
      <c r="AN1688" s="20" t="str">
        <f>IF(AL1688="","",IF($F1688="Bernardino Furlan",_xlfn.XLOOKUP(AL1688,Cadastros!$G$6:$G$90,Cadastros!$H$6:$H$90)*(1-0.18),IF($F1688="Mauro José Salanti",_xlfn.XLOOKUP(AL1688,Cadastros!$G$6:$G$90,Cadastros!$H$6:$H$90)*(1-0.18),_xlfn.XLOOKUP(AL1688,Cadastros!$G$6:$G$90,Cadastros!$H$6:$H$90))))</f>
        <v/>
      </c>
      <c r="AO1688" s="168" t="str">
        <f t="shared" si="347"/>
        <v/>
      </c>
      <c r="AP1688" s="168" t="str">
        <f t="shared" si="348"/>
        <v/>
      </c>
      <c r="AQ1688" s="28"/>
      <c r="AR1688" s="28"/>
      <c r="AS1688" s="20" t="str">
        <f>IF(AQ1688="","",IF($F1688="Bernardino Furlan",_xlfn.XLOOKUP(AQ1688,Cadastros!$G$6:$G$90,Cadastros!$H$6:$H$90)*(1-0.18),IF($F1688="Mauro José Salanti",_xlfn.XLOOKUP(AQ1688,Cadastros!$G$6:$G$90,Cadastros!$H$6:$H$90)*(1-0.18),_xlfn.XLOOKUP(AQ1688,Cadastros!$G$6:$G$90,Cadastros!$H$6:$H$90))))</f>
        <v/>
      </c>
      <c r="AT1688" s="168" t="str">
        <f t="shared" si="349"/>
        <v/>
      </c>
      <c r="AU1688" s="168" t="str">
        <f t="shared" si="350"/>
        <v/>
      </c>
      <c r="AV1688" s="227"/>
      <c r="AW1688" s="30"/>
      <c r="AX1688" s="267"/>
      <c r="AY1688" s="267"/>
      <c r="AZ1688" s="29"/>
      <c r="BA1688" s="30"/>
      <c r="BB1688" s="23" t="str" cm="1">
        <f t="array" ref="BB1688">_xlfn.IFS(AW1688="SIM",SUM(K1688,P1688,U1688,Z1688,AE1688,AJ1688,AO1688,AT1688,AX1688,AY1688),F1688&lt;&gt;"",SUM(K1688,P1688,U1688,Z1688,AE1688,AJ1688,,AO1688,AT1688),F1688="","")</f>
        <v/>
      </c>
      <c r="BC1688" s="211" t="str" cm="1">
        <f t="array" ref="BC1688">_xlfn.IFS(E1688="","",G1688&lt;=E1688,BB1688*(1-0.03),G1688&lt;(E1688+8),BB1688,AZ1688="Boleto",BB1688*(1+0.001)^DATEDIF(E1688,G1688,"D"),AZ1688="Cheque",BB1688,AZ1688="Dinheiro","Alterar forma pgto")</f>
        <v/>
      </c>
      <c r="BD1688" s="276" t="str" cm="1">
        <f t="array" ref="BD1688">IF(F1688=0," ",IF(BC1688&lt;BB1688,(_xlfn.IFS(AW1688="SIM",SUM(L1688,Q1688,V1688,AA1688,AF1688,AK1688,AP1688,AU1688)+AX1688/_xlfn.XLOOKUP(_xlfn.XLOOKUP($F1688,Clientes!$B$4:$B$39,Clientes!$C$4:$C$39),Cadastros!$L$6:$L$12,Cadastros!$M$6:$M$12)+IF($F1688="Bernardino Furlan",AY1688/2751.92,IF($F1688="Mauro José Salanti",AY1688/2751.92,AY1688/3356)),F1688&lt;&gt;0,SUM(L1688,Q1688,V1688,AA1688,AF1688,AK1688,AP1688,AU1688)))*(1-0.03),_xlfn.IFS(AW1688="SIM",SUM(L1688,Q1688,V1688,AA1688,AF1688,AK1688,AP1688,AU1688)+AX1688/_xlfn.XLOOKUP(_xlfn.XLOOKUP($F1688,Clientes!$B$4:$B$39,Clientes!$C$4:$C$39),Cadastros!$L$6:$L$12,Cadastros!$M$6:$M$12)+IF($F1688="Bernardino Furlan",AY1688/2751.92,IF($F1688="Mauro José Salanti",AY1688/2751.92,AY1688/3356)),F1688&lt;&gt;0,SUM(L1688,Q1688,V1688,AA1688,AF1688,AK1688,AP1688,AU1688))))</f>
        <v xml:space="preserve"> </v>
      </c>
      <c r="BE1688" s="120"/>
      <c r="BF1688" s="120"/>
      <c r="BG1688" s="120"/>
    </row>
    <row r="1689" spans="1:59" s="3" customFormat="1" x14ac:dyDescent="0.3">
      <c r="A1689" s="15" t="str">
        <f t="shared" si="338"/>
        <v/>
      </c>
      <c r="B1689" s="25"/>
      <c r="C1689" s="26"/>
      <c r="D1689" s="279"/>
      <c r="E1689" s="27"/>
      <c r="F1689" s="28"/>
      <c r="G1689" s="27"/>
      <c r="H1689" s="28"/>
      <c r="I1689" s="28"/>
      <c r="J1689" s="255" t="str">
        <f>IF(H1689="","",(_xlfn.XLOOKUP(H1689,Cadastros!$D$6:$D$90,Cadastros!$E$6:$E$90))*(1-_xlfn.XLOOKUP(_xlfn.XLOOKUP($F1689,Clientes!$B$4:$B$39,Clientes!$C$4:$C$39),Cadastros!$L$6:$L$12,Cadastros!$N$6:$N$12)))</f>
        <v/>
      </c>
      <c r="K1689" s="168" t="str">
        <f t="shared" si="339"/>
        <v/>
      </c>
      <c r="L1689" s="168" t="str">
        <f>IFERROR(K1689/_xlfn.XLOOKUP(_xlfn.XLOOKUP($F1689,Clientes!$B$4:$B$39,Clientes!$C$4:$C$39),Cadastros!$L$6:$L$12,Cadastros!$M$6:$M$12)," ")</f>
        <v xml:space="preserve"> </v>
      </c>
      <c r="M1689" s="28"/>
      <c r="N1689" s="28"/>
      <c r="O1689" s="255" t="str">
        <f>IF(M1689="","",(_xlfn.XLOOKUP(M1689,Cadastros!$D$6:$D$90,Cadastros!$E$6:$E$90))*(1-_xlfn.XLOOKUP(_xlfn.XLOOKUP($F1689,Clientes!$B$4:$B$39,Clientes!$C$4:$C$39),Cadastros!$L$6:$L$12,Cadastros!$N$6:$N$12)))</f>
        <v/>
      </c>
      <c r="P1689" s="168" t="str">
        <f t="shared" si="340"/>
        <v/>
      </c>
      <c r="Q1689" s="168" t="str">
        <f>IFERROR(P1689/_xlfn.XLOOKUP(_xlfn.XLOOKUP($F1689,Clientes!$B$4:$B$39,Clientes!$C$4:$C$39),Cadastros!$L$6:$L$12,Cadastros!$M$6:$M$12)," ")</f>
        <v xml:space="preserve"> </v>
      </c>
      <c r="R1689" s="28"/>
      <c r="S1689" s="28"/>
      <c r="T1689" s="255" t="str">
        <f>IF(R1689="","",(_xlfn.XLOOKUP(R1689,Cadastros!$D$6:$D$90,Cadastros!$E$6:$E$90))*(1-_xlfn.XLOOKUP(_xlfn.XLOOKUP($F1689,Clientes!$B$4:$B$39,Clientes!$C$4:$C$39),Cadastros!$L$6:$L$12,Cadastros!$N$6:$N$12)))</f>
        <v/>
      </c>
      <c r="U1689" s="168" t="str">
        <f t="shared" si="341"/>
        <v/>
      </c>
      <c r="V1689" s="168" t="str">
        <f>IFERROR(U1689/_xlfn.XLOOKUP(_xlfn.XLOOKUP($F1689,Clientes!$B$4:$B$39,Clientes!$C$4:$C$39),Cadastros!$L$6:$L$12,Cadastros!$M$6:$M$12)," ")</f>
        <v xml:space="preserve"> </v>
      </c>
      <c r="W1689" s="28"/>
      <c r="X1689" s="28"/>
      <c r="Y1689" s="255" t="str">
        <f>IF(W1689="","",(_xlfn.XLOOKUP(W1689,Cadastros!$D$6:$D$90,Cadastros!$E$6:$E$90))*(1-_xlfn.XLOOKUP(_xlfn.XLOOKUP($F1689,Clientes!$B$4:$B$39,Clientes!$C$4:$C$39),Cadastros!$L$6:$L$12,Cadastros!$N$6:$N$12)))</f>
        <v/>
      </c>
      <c r="Z1689" s="168" t="str">
        <f t="shared" si="342"/>
        <v/>
      </c>
      <c r="AA1689" s="168" t="str">
        <f>IFERROR(Z1689/_xlfn.XLOOKUP(_xlfn.XLOOKUP($F1689,Clientes!$B$4:$B$39,Clientes!$C$4:$C$39),Cadastros!$L$6:$L$12,Cadastros!$M$6:$M$12)," ")</f>
        <v xml:space="preserve"> </v>
      </c>
      <c r="AB1689" s="28"/>
      <c r="AC1689" s="28"/>
      <c r="AD1689" s="20" t="str">
        <f>IF(AB1689="","",IF($F1689="Bernardino Furlan",_xlfn.XLOOKUP(AB1689,Cadastros!$G$6:$G$90,Cadastros!$H$6:$H$90)*(1-0.18),IF($F1689="Mauro José Salanti",_xlfn.XLOOKUP(AB1689,Cadastros!$G$6:$G$90,Cadastros!$H$6:$H$90)*(1-0.18),_xlfn.XLOOKUP(AB1689,Cadastros!$G$6:$G$90,Cadastros!$H$6:$H$90))))</f>
        <v/>
      </c>
      <c r="AE1689" s="168" t="str">
        <f t="shared" si="343"/>
        <v/>
      </c>
      <c r="AF1689" s="168" t="str">
        <f t="shared" si="344"/>
        <v/>
      </c>
      <c r="AG1689" s="28"/>
      <c r="AH1689" s="28"/>
      <c r="AI1689" s="20" t="str">
        <f>IF(AG1689="","",IF($F1689="Bernardino Furlan",_xlfn.XLOOKUP(AG1689,Cadastros!$G$6:$G$90,Cadastros!$H$6:$H$90)*(1-0.18),IF($F1689="Mauro José Salanti",_xlfn.XLOOKUP(AG1689,Cadastros!$G$6:$G$90,Cadastros!$H$6:$H$90)*(1-0.18),_xlfn.XLOOKUP(AG1689,Cadastros!$G$6:$G$90,Cadastros!$H$6:$H$90))))</f>
        <v/>
      </c>
      <c r="AJ1689" s="168" t="str">
        <f t="shared" si="345"/>
        <v/>
      </c>
      <c r="AK1689" s="168" t="str">
        <f t="shared" si="346"/>
        <v/>
      </c>
      <c r="AL1689" s="28"/>
      <c r="AM1689" s="28"/>
      <c r="AN1689" s="20" t="str">
        <f>IF(AL1689="","",IF($F1689="Bernardino Furlan",_xlfn.XLOOKUP(AL1689,Cadastros!$G$6:$G$90,Cadastros!$H$6:$H$90)*(1-0.18),IF($F1689="Mauro José Salanti",_xlfn.XLOOKUP(AL1689,Cadastros!$G$6:$G$90,Cadastros!$H$6:$H$90)*(1-0.18),_xlfn.XLOOKUP(AL1689,Cadastros!$G$6:$G$90,Cadastros!$H$6:$H$90))))</f>
        <v/>
      </c>
      <c r="AO1689" s="168" t="str">
        <f t="shared" si="347"/>
        <v/>
      </c>
      <c r="AP1689" s="168" t="str">
        <f t="shared" si="348"/>
        <v/>
      </c>
      <c r="AQ1689" s="28"/>
      <c r="AR1689" s="28"/>
      <c r="AS1689" s="20" t="str">
        <f>IF(AQ1689="","",IF($F1689="Bernardino Furlan",_xlfn.XLOOKUP(AQ1689,Cadastros!$G$6:$G$90,Cadastros!$H$6:$H$90)*(1-0.18),IF($F1689="Mauro José Salanti",_xlfn.XLOOKUP(AQ1689,Cadastros!$G$6:$G$90,Cadastros!$H$6:$H$90)*(1-0.18),_xlfn.XLOOKUP(AQ1689,Cadastros!$G$6:$G$90,Cadastros!$H$6:$H$90))))</f>
        <v/>
      </c>
      <c r="AT1689" s="168" t="str">
        <f t="shared" si="349"/>
        <v/>
      </c>
      <c r="AU1689" s="168" t="str">
        <f t="shared" si="350"/>
        <v/>
      </c>
      <c r="AV1689" s="227"/>
      <c r="AW1689" s="30"/>
      <c r="AX1689" s="267"/>
      <c r="AY1689" s="267"/>
      <c r="AZ1689" s="29"/>
      <c r="BA1689" s="30"/>
      <c r="BB1689" s="23" t="str" cm="1">
        <f t="array" ref="BB1689">_xlfn.IFS(AW1689="SIM",SUM(K1689,P1689,U1689,Z1689,AE1689,AJ1689,AO1689,AT1689,AX1689,AY1689),F1689&lt;&gt;"",SUM(K1689,P1689,U1689,Z1689,AE1689,AJ1689,,AO1689,AT1689),F1689="","")</f>
        <v/>
      </c>
      <c r="BC1689" s="211" t="str" cm="1">
        <f t="array" ref="BC1689">_xlfn.IFS(E1689="","",G1689&lt;=E1689,BB1689*(1-0.03),G1689&lt;(E1689+8),BB1689,AZ1689="Boleto",BB1689*(1+0.001)^DATEDIF(E1689,G1689,"D"),AZ1689="Cheque",BB1689,AZ1689="Dinheiro","Alterar forma pgto")</f>
        <v/>
      </c>
      <c r="BD1689" s="276" t="str" cm="1">
        <f t="array" ref="BD1689">IF(F1689=0," ",IF(BC1689&lt;BB1689,(_xlfn.IFS(AW1689="SIM",SUM(L1689,Q1689,V1689,AA1689,AF1689,AK1689,AP1689,AU1689)+AX1689/_xlfn.XLOOKUP(_xlfn.XLOOKUP($F1689,Clientes!$B$4:$B$39,Clientes!$C$4:$C$39),Cadastros!$L$6:$L$12,Cadastros!$M$6:$M$12)+IF($F1689="Bernardino Furlan",AY1689/2751.92,IF($F1689="Mauro José Salanti",AY1689/2751.92,AY1689/3356)),F1689&lt;&gt;0,SUM(L1689,Q1689,V1689,AA1689,AF1689,AK1689,AP1689,AU1689)))*(1-0.03),_xlfn.IFS(AW1689="SIM",SUM(L1689,Q1689,V1689,AA1689,AF1689,AK1689,AP1689,AU1689)+AX1689/_xlfn.XLOOKUP(_xlfn.XLOOKUP($F1689,Clientes!$B$4:$B$39,Clientes!$C$4:$C$39),Cadastros!$L$6:$L$12,Cadastros!$M$6:$M$12)+IF($F1689="Bernardino Furlan",AY1689/2751.92,IF($F1689="Mauro José Salanti",AY1689/2751.92,AY1689/3356)),F1689&lt;&gt;0,SUM(L1689,Q1689,V1689,AA1689,AF1689,AK1689,AP1689,AU1689))))</f>
        <v xml:space="preserve"> </v>
      </c>
      <c r="BE1689" s="120"/>
      <c r="BF1689" s="120"/>
      <c r="BG1689" s="120"/>
    </row>
    <row r="1690" spans="1:59" s="3" customFormat="1" x14ac:dyDescent="0.3">
      <c r="A1690" s="15" t="str">
        <f t="shared" si="338"/>
        <v/>
      </c>
      <c r="B1690" s="25"/>
      <c r="C1690" s="26"/>
      <c r="D1690" s="279"/>
      <c r="E1690" s="27"/>
      <c r="F1690" s="28"/>
      <c r="G1690" s="27"/>
      <c r="H1690" s="28"/>
      <c r="I1690" s="28"/>
      <c r="J1690" s="255" t="str">
        <f>IF(H1690="","",(_xlfn.XLOOKUP(H1690,Cadastros!$D$6:$D$90,Cadastros!$E$6:$E$90))*(1-_xlfn.XLOOKUP(_xlfn.XLOOKUP($F1690,Clientes!$B$4:$B$39,Clientes!$C$4:$C$39),Cadastros!$L$6:$L$12,Cadastros!$N$6:$N$12)))</f>
        <v/>
      </c>
      <c r="K1690" s="168" t="str">
        <f t="shared" si="339"/>
        <v/>
      </c>
      <c r="L1690" s="168" t="str">
        <f>IFERROR(K1690/_xlfn.XLOOKUP(_xlfn.XLOOKUP($F1690,Clientes!$B$4:$B$39,Clientes!$C$4:$C$39),Cadastros!$L$6:$L$12,Cadastros!$M$6:$M$12)," ")</f>
        <v xml:space="preserve"> </v>
      </c>
      <c r="M1690" s="28"/>
      <c r="N1690" s="28"/>
      <c r="O1690" s="255" t="str">
        <f>IF(M1690="","",(_xlfn.XLOOKUP(M1690,Cadastros!$D$6:$D$90,Cadastros!$E$6:$E$90))*(1-_xlfn.XLOOKUP(_xlfn.XLOOKUP($F1690,Clientes!$B$4:$B$39,Clientes!$C$4:$C$39),Cadastros!$L$6:$L$12,Cadastros!$N$6:$N$12)))</f>
        <v/>
      </c>
      <c r="P1690" s="168" t="str">
        <f t="shared" si="340"/>
        <v/>
      </c>
      <c r="Q1690" s="168" t="str">
        <f>IFERROR(P1690/_xlfn.XLOOKUP(_xlfn.XLOOKUP($F1690,Clientes!$B$4:$B$39,Clientes!$C$4:$C$39),Cadastros!$L$6:$L$12,Cadastros!$M$6:$M$12)," ")</f>
        <v xml:space="preserve"> </v>
      </c>
      <c r="R1690" s="28"/>
      <c r="S1690" s="28"/>
      <c r="T1690" s="255" t="str">
        <f>IF(R1690="","",(_xlfn.XLOOKUP(R1690,Cadastros!$D$6:$D$90,Cadastros!$E$6:$E$90))*(1-_xlfn.XLOOKUP(_xlfn.XLOOKUP($F1690,Clientes!$B$4:$B$39,Clientes!$C$4:$C$39),Cadastros!$L$6:$L$12,Cadastros!$N$6:$N$12)))</f>
        <v/>
      </c>
      <c r="U1690" s="168" t="str">
        <f t="shared" si="341"/>
        <v/>
      </c>
      <c r="V1690" s="168" t="str">
        <f>IFERROR(U1690/_xlfn.XLOOKUP(_xlfn.XLOOKUP($F1690,Clientes!$B$4:$B$39,Clientes!$C$4:$C$39),Cadastros!$L$6:$L$12,Cadastros!$M$6:$M$12)," ")</f>
        <v xml:space="preserve"> </v>
      </c>
      <c r="W1690" s="28"/>
      <c r="X1690" s="28"/>
      <c r="Y1690" s="255" t="str">
        <f>IF(W1690="","",(_xlfn.XLOOKUP(W1690,Cadastros!$D$6:$D$90,Cadastros!$E$6:$E$90))*(1-_xlfn.XLOOKUP(_xlfn.XLOOKUP($F1690,Clientes!$B$4:$B$39,Clientes!$C$4:$C$39),Cadastros!$L$6:$L$12,Cadastros!$N$6:$N$12)))</f>
        <v/>
      </c>
      <c r="Z1690" s="168" t="str">
        <f t="shared" si="342"/>
        <v/>
      </c>
      <c r="AA1690" s="168" t="str">
        <f>IFERROR(Z1690/_xlfn.XLOOKUP(_xlfn.XLOOKUP($F1690,Clientes!$B$4:$B$39,Clientes!$C$4:$C$39),Cadastros!$L$6:$L$12,Cadastros!$M$6:$M$12)," ")</f>
        <v xml:space="preserve"> </v>
      </c>
      <c r="AB1690" s="28"/>
      <c r="AC1690" s="28"/>
      <c r="AD1690" s="20" t="str">
        <f>IF(AB1690="","",IF($F1690="Bernardino Furlan",_xlfn.XLOOKUP(AB1690,Cadastros!$G$6:$G$90,Cadastros!$H$6:$H$90)*(1-0.18),IF($F1690="Mauro José Salanti",_xlfn.XLOOKUP(AB1690,Cadastros!$G$6:$G$90,Cadastros!$H$6:$H$90)*(1-0.18),_xlfn.XLOOKUP(AB1690,Cadastros!$G$6:$G$90,Cadastros!$H$6:$H$90))))</f>
        <v/>
      </c>
      <c r="AE1690" s="168" t="str">
        <f t="shared" si="343"/>
        <v/>
      </c>
      <c r="AF1690" s="168" t="str">
        <f t="shared" si="344"/>
        <v/>
      </c>
      <c r="AG1690" s="28"/>
      <c r="AH1690" s="28"/>
      <c r="AI1690" s="20" t="str">
        <f>IF(AG1690="","",IF($F1690="Bernardino Furlan",_xlfn.XLOOKUP(AG1690,Cadastros!$G$6:$G$90,Cadastros!$H$6:$H$90)*(1-0.18),IF($F1690="Mauro José Salanti",_xlfn.XLOOKUP(AG1690,Cadastros!$G$6:$G$90,Cadastros!$H$6:$H$90)*(1-0.18),_xlfn.XLOOKUP(AG1690,Cadastros!$G$6:$G$90,Cadastros!$H$6:$H$90))))</f>
        <v/>
      </c>
      <c r="AJ1690" s="168" t="str">
        <f t="shared" si="345"/>
        <v/>
      </c>
      <c r="AK1690" s="168" t="str">
        <f t="shared" si="346"/>
        <v/>
      </c>
      <c r="AL1690" s="28"/>
      <c r="AM1690" s="28"/>
      <c r="AN1690" s="20" t="str">
        <f>IF(AL1690="","",IF($F1690="Bernardino Furlan",_xlfn.XLOOKUP(AL1690,Cadastros!$G$6:$G$90,Cadastros!$H$6:$H$90)*(1-0.18),IF($F1690="Mauro José Salanti",_xlfn.XLOOKUP(AL1690,Cadastros!$G$6:$G$90,Cadastros!$H$6:$H$90)*(1-0.18),_xlfn.XLOOKUP(AL1690,Cadastros!$G$6:$G$90,Cadastros!$H$6:$H$90))))</f>
        <v/>
      </c>
      <c r="AO1690" s="168" t="str">
        <f t="shared" si="347"/>
        <v/>
      </c>
      <c r="AP1690" s="168" t="str">
        <f t="shared" si="348"/>
        <v/>
      </c>
      <c r="AQ1690" s="28"/>
      <c r="AR1690" s="28"/>
      <c r="AS1690" s="20" t="str">
        <f>IF(AQ1690="","",IF($F1690="Bernardino Furlan",_xlfn.XLOOKUP(AQ1690,Cadastros!$G$6:$G$90,Cadastros!$H$6:$H$90)*(1-0.18),IF($F1690="Mauro José Salanti",_xlfn.XLOOKUP(AQ1690,Cadastros!$G$6:$G$90,Cadastros!$H$6:$H$90)*(1-0.18),_xlfn.XLOOKUP(AQ1690,Cadastros!$G$6:$G$90,Cadastros!$H$6:$H$90))))</f>
        <v/>
      </c>
      <c r="AT1690" s="168" t="str">
        <f t="shared" si="349"/>
        <v/>
      </c>
      <c r="AU1690" s="168" t="str">
        <f t="shared" si="350"/>
        <v/>
      </c>
      <c r="AV1690" s="227"/>
      <c r="AW1690" s="30"/>
      <c r="AX1690" s="267"/>
      <c r="AY1690" s="267"/>
      <c r="AZ1690" s="29"/>
      <c r="BA1690" s="30"/>
      <c r="BB1690" s="23" t="str" cm="1">
        <f t="array" ref="BB1690">_xlfn.IFS(AW1690="SIM",SUM(K1690,P1690,U1690,Z1690,AE1690,AJ1690,AO1690,AT1690,AX1690,AY1690),F1690&lt;&gt;"",SUM(K1690,P1690,U1690,Z1690,AE1690,AJ1690,,AO1690,AT1690),F1690="","")</f>
        <v/>
      </c>
      <c r="BC1690" s="211" t="str" cm="1">
        <f t="array" ref="BC1690">_xlfn.IFS(E1690="","",G1690&lt;=E1690,BB1690*(1-0.03),G1690&lt;(E1690+8),BB1690,AZ1690="Boleto",BB1690*(1+0.001)^DATEDIF(E1690,G1690,"D"),AZ1690="Cheque",BB1690,AZ1690="Dinheiro","Alterar forma pgto")</f>
        <v/>
      </c>
      <c r="BD1690" s="276" t="str" cm="1">
        <f t="array" ref="BD1690">IF(F1690=0," ",IF(BC1690&lt;BB1690,(_xlfn.IFS(AW1690="SIM",SUM(L1690,Q1690,V1690,AA1690,AF1690,AK1690,AP1690,AU1690)+AX1690/_xlfn.XLOOKUP(_xlfn.XLOOKUP($F1690,Clientes!$B$4:$B$39,Clientes!$C$4:$C$39),Cadastros!$L$6:$L$12,Cadastros!$M$6:$M$12)+IF($F1690="Bernardino Furlan",AY1690/2751.92,IF($F1690="Mauro José Salanti",AY1690/2751.92,AY1690/3356)),F1690&lt;&gt;0,SUM(L1690,Q1690,V1690,AA1690,AF1690,AK1690,AP1690,AU1690)))*(1-0.03),_xlfn.IFS(AW1690="SIM",SUM(L1690,Q1690,V1690,AA1690,AF1690,AK1690,AP1690,AU1690)+AX1690/_xlfn.XLOOKUP(_xlfn.XLOOKUP($F1690,Clientes!$B$4:$B$39,Clientes!$C$4:$C$39),Cadastros!$L$6:$L$12,Cadastros!$M$6:$M$12)+IF($F1690="Bernardino Furlan",AY1690/2751.92,IF($F1690="Mauro José Salanti",AY1690/2751.92,AY1690/3356)),F1690&lt;&gt;0,SUM(L1690,Q1690,V1690,AA1690,AF1690,AK1690,AP1690,AU1690))))</f>
        <v xml:space="preserve"> </v>
      </c>
      <c r="BE1690" s="120"/>
      <c r="BF1690" s="120"/>
      <c r="BG1690" s="120"/>
    </row>
    <row r="1691" spans="1:59" s="3" customFormat="1" x14ac:dyDescent="0.3">
      <c r="A1691" s="15" t="str">
        <f t="shared" si="338"/>
        <v/>
      </c>
      <c r="B1691" s="25"/>
      <c r="C1691" s="26"/>
      <c r="D1691" s="279"/>
      <c r="E1691" s="27"/>
      <c r="F1691" s="28"/>
      <c r="G1691" s="27"/>
      <c r="H1691" s="28"/>
      <c r="I1691" s="28"/>
      <c r="J1691" s="255" t="str">
        <f>IF(H1691="","",(_xlfn.XLOOKUP(H1691,Cadastros!$D$6:$D$90,Cadastros!$E$6:$E$90))*(1-_xlfn.XLOOKUP(_xlfn.XLOOKUP($F1691,Clientes!$B$4:$B$39,Clientes!$C$4:$C$39),Cadastros!$L$6:$L$12,Cadastros!$N$6:$N$12)))</f>
        <v/>
      </c>
      <c r="K1691" s="168" t="str">
        <f t="shared" si="339"/>
        <v/>
      </c>
      <c r="L1691" s="168" t="str">
        <f>IFERROR(K1691/_xlfn.XLOOKUP(_xlfn.XLOOKUP($F1691,Clientes!$B$4:$B$39,Clientes!$C$4:$C$39),Cadastros!$L$6:$L$12,Cadastros!$M$6:$M$12)," ")</f>
        <v xml:space="preserve"> </v>
      </c>
      <c r="M1691" s="28"/>
      <c r="N1691" s="28"/>
      <c r="O1691" s="255" t="str">
        <f>IF(M1691="","",(_xlfn.XLOOKUP(M1691,Cadastros!$D$6:$D$90,Cadastros!$E$6:$E$90))*(1-_xlfn.XLOOKUP(_xlfn.XLOOKUP($F1691,Clientes!$B$4:$B$39,Clientes!$C$4:$C$39),Cadastros!$L$6:$L$12,Cadastros!$N$6:$N$12)))</f>
        <v/>
      </c>
      <c r="P1691" s="168" t="str">
        <f t="shared" si="340"/>
        <v/>
      </c>
      <c r="Q1691" s="168" t="str">
        <f>IFERROR(P1691/_xlfn.XLOOKUP(_xlfn.XLOOKUP($F1691,Clientes!$B$4:$B$39,Clientes!$C$4:$C$39),Cadastros!$L$6:$L$12,Cadastros!$M$6:$M$12)," ")</f>
        <v xml:space="preserve"> </v>
      </c>
      <c r="R1691" s="28"/>
      <c r="S1691" s="28"/>
      <c r="T1691" s="255" t="str">
        <f>IF(R1691="","",(_xlfn.XLOOKUP(R1691,Cadastros!$D$6:$D$90,Cadastros!$E$6:$E$90))*(1-_xlfn.XLOOKUP(_xlfn.XLOOKUP($F1691,Clientes!$B$4:$B$39,Clientes!$C$4:$C$39),Cadastros!$L$6:$L$12,Cadastros!$N$6:$N$12)))</f>
        <v/>
      </c>
      <c r="U1691" s="168" t="str">
        <f t="shared" si="341"/>
        <v/>
      </c>
      <c r="V1691" s="168" t="str">
        <f>IFERROR(U1691/_xlfn.XLOOKUP(_xlfn.XLOOKUP($F1691,Clientes!$B$4:$B$39,Clientes!$C$4:$C$39),Cadastros!$L$6:$L$12,Cadastros!$M$6:$M$12)," ")</f>
        <v xml:space="preserve"> </v>
      </c>
      <c r="W1691" s="28"/>
      <c r="X1691" s="28"/>
      <c r="Y1691" s="255" t="str">
        <f>IF(W1691="","",(_xlfn.XLOOKUP(W1691,Cadastros!$D$6:$D$90,Cadastros!$E$6:$E$90))*(1-_xlfn.XLOOKUP(_xlfn.XLOOKUP($F1691,Clientes!$B$4:$B$39,Clientes!$C$4:$C$39),Cadastros!$L$6:$L$12,Cadastros!$N$6:$N$12)))</f>
        <v/>
      </c>
      <c r="Z1691" s="168" t="str">
        <f t="shared" si="342"/>
        <v/>
      </c>
      <c r="AA1691" s="168" t="str">
        <f>IFERROR(Z1691/_xlfn.XLOOKUP(_xlfn.XLOOKUP($F1691,Clientes!$B$4:$B$39,Clientes!$C$4:$C$39),Cadastros!$L$6:$L$12,Cadastros!$M$6:$M$12)," ")</f>
        <v xml:space="preserve"> </v>
      </c>
      <c r="AB1691" s="28"/>
      <c r="AC1691" s="28"/>
      <c r="AD1691" s="20" t="str">
        <f>IF(AB1691="","",IF($F1691="Bernardino Furlan",_xlfn.XLOOKUP(AB1691,Cadastros!$G$6:$G$90,Cadastros!$H$6:$H$90)*(1-0.18),IF($F1691="Mauro José Salanti",_xlfn.XLOOKUP(AB1691,Cadastros!$G$6:$G$90,Cadastros!$H$6:$H$90)*(1-0.18),_xlfn.XLOOKUP(AB1691,Cadastros!$G$6:$G$90,Cadastros!$H$6:$H$90))))</f>
        <v/>
      </c>
      <c r="AE1691" s="168" t="str">
        <f t="shared" si="343"/>
        <v/>
      </c>
      <c r="AF1691" s="168" t="str">
        <f t="shared" si="344"/>
        <v/>
      </c>
      <c r="AG1691" s="28"/>
      <c r="AH1691" s="28"/>
      <c r="AI1691" s="20" t="str">
        <f>IF(AG1691="","",IF($F1691="Bernardino Furlan",_xlfn.XLOOKUP(AG1691,Cadastros!$G$6:$G$90,Cadastros!$H$6:$H$90)*(1-0.18),IF($F1691="Mauro José Salanti",_xlfn.XLOOKUP(AG1691,Cadastros!$G$6:$G$90,Cadastros!$H$6:$H$90)*(1-0.18),_xlfn.XLOOKUP(AG1691,Cadastros!$G$6:$G$90,Cadastros!$H$6:$H$90))))</f>
        <v/>
      </c>
      <c r="AJ1691" s="168" t="str">
        <f t="shared" si="345"/>
        <v/>
      </c>
      <c r="AK1691" s="168" t="str">
        <f t="shared" si="346"/>
        <v/>
      </c>
      <c r="AL1691" s="28"/>
      <c r="AM1691" s="28"/>
      <c r="AN1691" s="20" t="str">
        <f>IF(AL1691="","",IF($F1691="Bernardino Furlan",_xlfn.XLOOKUP(AL1691,Cadastros!$G$6:$G$90,Cadastros!$H$6:$H$90)*(1-0.18),IF($F1691="Mauro José Salanti",_xlfn.XLOOKUP(AL1691,Cadastros!$G$6:$G$90,Cadastros!$H$6:$H$90)*(1-0.18),_xlfn.XLOOKUP(AL1691,Cadastros!$G$6:$G$90,Cadastros!$H$6:$H$90))))</f>
        <v/>
      </c>
      <c r="AO1691" s="168" t="str">
        <f t="shared" si="347"/>
        <v/>
      </c>
      <c r="AP1691" s="168" t="str">
        <f t="shared" si="348"/>
        <v/>
      </c>
      <c r="AQ1691" s="28"/>
      <c r="AR1691" s="28"/>
      <c r="AS1691" s="20" t="str">
        <f>IF(AQ1691="","",IF($F1691="Bernardino Furlan",_xlfn.XLOOKUP(AQ1691,Cadastros!$G$6:$G$90,Cadastros!$H$6:$H$90)*(1-0.18),IF($F1691="Mauro José Salanti",_xlfn.XLOOKUP(AQ1691,Cadastros!$G$6:$G$90,Cadastros!$H$6:$H$90)*(1-0.18),_xlfn.XLOOKUP(AQ1691,Cadastros!$G$6:$G$90,Cadastros!$H$6:$H$90))))</f>
        <v/>
      </c>
      <c r="AT1691" s="168" t="str">
        <f t="shared" si="349"/>
        <v/>
      </c>
      <c r="AU1691" s="168" t="str">
        <f t="shared" si="350"/>
        <v/>
      </c>
      <c r="AV1691" s="227"/>
      <c r="AW1691" s="30"/>
      <c r="AX1691" s="267"/>
      <c r="AY1691" s="267"/>
      <c r="AZ1691" s="29"/>
      <c r="BA1691" s="30"/>
      <c r="BB1691" s="23" t="str" cm="1">
        <f t="array" ref="BB1691">_xlfn.IFS(AW1691="SIM",SUM(K1691,P1691,U1691,Z1691,AE1691,AJ1691,AO1691,AT1691,AX1691,AY1691),F1691&lt;&gt;"",SUM(K1691,P1691,U1691,Z1691,AE1691,AJ1691,,AO1691,AT1691),F1691="","")</f>
        <v/>
      </c>
      <c r="BC1691" s="211" t="str" cm="1">
        <f t="array" ref="BC1691">_xlfn.IFS(E1691="","",G1691&lt;=E1691,BB1691*(1-0.03),G1691&lt;(E1691+8),BB1691,AZ1691="Boleto",BB1691*(1+0.001)^DATEDIF(E1691,G1691,"D"),AZ1691="Cheque",BB1691,AZ1691="Dinheiro","Alterar forma pgto")</f>
        <v/>
      </c>
      <c r="BD1691" s="276" t="str" cm="1">
        <f t="array" ref="BD1691">IF(F1691=0," ",IF(BC1691&lt;BB1691,(_xlfn.IFS(AW1691="SIM",SUM(L1691,Q1691,V1691,AA1691,AF1691,AK1691,AP1691,AU1691)+AX1691/_xlfn.XLOOKUP(_xlfn.XLOOKUP($F1691,Clientes!$B$4:$B$39,Clientes!$C$4:$C$39),Cadastros!$L$6:$L$12,Cadastros!$M$6:$M$12)+IF($F1691="Bernardino Furlan",AY1691/2751.92,IF($F1691="Mauro José Salanti",AY1691/2751.92,AY1691/3356)),F1691&lt;&gt;0,SUM(L1691,Q1691,V1691,AA1691,AF1691,AK1691,AP1691,AU1691)))*(1-0.03),_xlfn.IFS(AW1691="SIM",SUM(L1691,Q1691,V1691,AA1691,AF1691,AK1691,AP1691,AU1691)+AX1691/_xlfn.XLOOKUP(_xlfn.XLOOKUP($F1691,Clientes!$B$4:$B$39,Clientes!$C$4:$C$39),Cadastros!$L$6:$L$12,Cadastros!$M$6:$M$12)+IF($F1691="Bernardino Furlan",AY1691/2751.92,IF($F1691="Mauro José Salanti",AY1691/2751.92,AY1691/3356)),F1691&lt;&gt;0,SUM(L1691,Q1691,V1691,AA1691,AF1691,AK1691,AP1691,AU1691))))</f>
        <v xml:space="preserve"> </v>
      </c>
      <c r="BE1691" s="120"/>
      <c r="BF1691" s="120"/>
      <c r="BG1691" s="120"/>
    </row>
    <row r="1692" spans="1:59" s="3" customFormat="1" x14ac:dyDescent="0.3">
      <c r="A1692" s="15" t="str">
        <f t="shared" si="338"/>
        <v/>
      </c>
      <c r="B1692" s="25"/>
      <c r="C1692" s="26"/>
      <c r="D1692" s="279"/>
      <c r="E1692" s="27"/>
      <c r="F1692" s="28"/>
      <c r="G1692" s="27"/>
      <c r="H1692" s="28"/>
      <c r="I1692" s="28"/>
      <c r="J1692" s="255" t="str">
        <f>IF(H1692="","",(_xlfn.XLOOKUP(H1692,Cadastros!$D$6:$D$90,Cadastros!$E$6:$E$90))*(1-_xlfn.XLOOKUP(_xlfn.XLOOKUP($F1692,Clientes!$B$4:$B$39,Clientes!$C$4:$C$39),Cadastros!$L$6:$L$12,Cadastros!$N$6:$N$12)))</f>
        <v/>
      </c>
      <c r="K1692" s="168" t="str">
        <f t="shared" si="339"/>
        <v/>
      </c>
      <c r="L1692" s="168" t="str">
        <f>IFERROR(K1692/_xlfn.XLOOKUP(_xlfn.XLOOKUP($F1692,Clientes!$B$4:$B$39,Clientes!$C$4:$C$39),Cadastros!$L$6:$L$12,Cadastros!$M$6:$M$12)," ")</f>
        <v xml:space="preserve"> </v>
      </c>
      <c r="M1692" s="28"/>
      <c r="N1692" s="28"/>
      <c r="O1692" s="255" t="str">
        <f>IF(M1692="","",(_xlfn.XLOOKUP(M1692,Cadastros!$D$6:$D$90,Cadastros!$E$6:$E$90))*(1-_xlfn.XLOOKUP(_xlfn.XLOOKUP($F1692,Clientes!$B$4:$B$39,Clientes!$C$4:$C$39),Cadastros!$L$6:$L$12,Cadastros!$N$6:$N$12)))</f>
        <v/>
      </c>
      <c r="P1692" s="168" t="str">
        <f t="shared" si="340"/>
        <v/>
      </c>
      <c r="Q1692" s="168" t="str">
        <f>IFERROR(P1692/_xlfn.XLOOKUP(_xlfn.XLOOKUP($F1692,Clientes!$B$4:$B$39,Clientes!$C$4:$C$39),Cadastros!$L$6:$L$12,Cadastros!$M$6:$M$12)," ")</f>
        <v xml:space="preserve"> </v>
      </c>
      <c r="R1692" s="28"/>
      <c r="S1692" s="28"/>
      <c r="T1692" s="255" t="str">
        <f>IF(R1692="","",(_xlfn.XLOOKUP(R1692,Cadastros!$D$6:$D$90,Cadastros!$E$6:$E$90))*(1-_xlfn.XLOOKUP(_xlfn.XLOOKUP($F1692,Clientes!$B$4:$B$39,Clientes!$C$4:$C$39),Cadastros!$L$6:$L$12,Cadastros!$N$6:$N$12)))</f>
        <v/>
      </c>
      <c r="U1692" s="168" t="str">
        <f t="shared" si="341"/>
        <v/>
      </c>
      <c r="V1692" s="168" t="str">
        <f>IFERROR(U1692/_xlfn.XLOOKUP(_xlfn.XLOOKUP($F1692,Clientes!$B$4:$B$39,Clientes!$C$4:$C$39),Cadastros!$L$6:$L$12,Cadastros!$M$6:$M$12)," ")</f>
        <v xml:space="preserve"> </v>
      </c>
      <c r="W1692" s="28"/>
      <c r="X1692" s="28"/>
      <c r="Y1692" s="255" t="str">
        <f>IF(W1692="","",(_xlfn.XLOOKUP(W1692,Cadastros!$D$6:$D$90,Cadastros!$E$6:$E$90))*(1-_xlfn.XLOOKUP(_xlfn.XLOOKUP($F1692,Clientes!$B$4:$B$39,Clientes!$C$4:$C$39),Cadastros!$L$6:$L$12,Cadastros!$N$6:$N$12)))</f>
        <v/>
      </c>
      <c r="Z1692" s="168" t="str">
        <f t="shared" si="342"/>
        <v/>
      </c>
      <c r="AA1692" s="168" t="str">
        <f>IFERROR(Z1692/_xlfn.XLOOKUP(_xlfn.XLOOKUP($F1692,Clientes!$B$4:$B$39,Clientes!$C$4:$C$39),Cadastros!$L$6:$L$12,Cadastros!$M$6:$M$12)," ")</f>
        <v xml:space="preserve"> </v>
      </c>
      <c r="AB1692" s="28"/>
      <c r="AC1692" s="28"/>
      <c r="AD1692" s="20" t="str">
        <f>IF(AB1692="","",IF($F1692="Bernardino Furlan",_xlfn.XLOOKUP(AB1692,Cadastros!$G$6:$G$90,Cadastros!$H$6:$H$90)*(1-0.18),IF($F1692="Mauro José Salanti",_xlfn.XLOOKUP(AB1692,Cadastros!$G$6:$G$90,Cadastros!$H$6:$H$90)*(1-0.18),_xlfn.XLOOKUP(AB1692,Cadastros!$G$6:$G$90,Cadastros!$H$6:$H$90))))</f>
        <v/>
      </c>
      <c r="AE1692" s="168" t="str">
        <f t="shared" si="343"/>
        <v/>
      </c>
      <c r="AF1692" s="168" t="str">
        <f t="shared" si="344"/>
        <v/>
      </c>
      <c r="AG1692" s="28"/>
      <c r="AH1692" s="28"/>
      <c r="AI1692" s="20" t="str">
        <f>IF(AG1692="","",IF($F1692="Bernardino Furlan",_xlfn.XLOOKUP(AG1692,Cadastros!$G$6:$G$90,Cadastros!$H$6:$H$90)*(1-0.18),IF($F1692="Mauro José Salanti",_xlfn.XLOOKUP(AG1692,Cadastros!$G$6:$G$90,Cadastros!$H$6:$H$90)*(1-0.18),_xlfn.XLOOKUP(AG1692,Cadastros!$G$6:$G$90,Cadastros!$H$6:$H$90))))</f>
        <v/>
      </c>
      <c r="AJ1692" s="168" t="str">
        <f t="shared" si="345"/>
        <v/>
      </c>
      <c r="AK1692" s="168" t="str">
        <f t="shared" si="346"/>
        <v/>
      </c>
      <c r="AL1692" s="28"/>
      <c r="AM1692" s="28"/>
      <c r="AN1692" s="20" t="str">
        <f>IF(AL1692="","",IF($F1692="Bernardino Furlan",_xlfn.XLOOKUP(AL1692,Cadastros!$G$6:$G$90,Cadastros!$H$6:$H$90)*(1-0.18),IF($F1692="Mauro José Salanti",_xlfn.XLOOKUP(AL1692,Cadastros!$G$6:$G$90,Cadastros!$H$6:$H$90)*(1-0.18),_xlfn.XLOOKUP(AL1692,Cadastros!$G$6:$G$90,Cadastros!$H$6:$H$90))))</f>
        <v/>
      </c>
      <c r="AO1692" s="168" t="str">
        <f t="shared" si="347"/>
        <v/>
      </c>
      <c r="AP1692" s="168" t="str">
        <f t="shared" si="348"/>
        <v/>
      </c>
      <c r="AQ1692" s="28"/>
      <c r="AR1692" s="28"/>
      <c r="AS1692" s="20" t="str">
        <f>IF(AQ1692="","",IF($F1692="Bernardino Furlan",_xlfn.XLOOKUP(AQ1692,Cadastros!$G$6:$G$90,Cadastros!$H$6:$H$90)*(1-0.18),IF($F1692="Mauro José Salanti",_xlfn.XLOOKUP(AQ1692,Cadastros!$G$6:$G$90,Cadastros!$H$6:$H$90)*(1-0.18),_xlfn.XLOOKUP(AQ1692,Cadastros!$G$6:$G$90,Cadastros!$H$6:$H$90))))</f>
        <v/>
      </c>
      <c r="AT1692" s="168" t="str">
        <f t="shared" si="349"/>
        <v/>
      </c>
      <c r="AU1692" s="168" t="str">
        <f t="shared" si="350"/>
        <v/>
      </c>
      <c r="AV1692" s="227"/>
      <c r="AW1692" s="30"/>
      <c r="AX1692" s="267"/>
      <c r="AY1692" s="267"/>
      <c r="AZ1692" s="29"/>
      <c r="BA1692" s="30"/>
      <c r="BB1692" s="23" t="str" cm="1">
        <f t="array" ref="BB1692">_xlfn.IFS(AW1692="SIM",SUM(K1692,P1692,U1692,Z1692,AE1692,AJ1692,AO1692,AT1692,AX1692,AY1692),F1692&lt;&gt;"",SUM(K1692,P1692,U1692,Z1692,AE1692,AJ1692,,AO1692,AT1692),F1692="","")</f>
        <v/>
      </c>
      <c r="BC1692" s="211" t="str" cm="1">
        <f t="array" ref="BC1692">_xlfn.IFS(E1692="","",G1692&lt;=E1692,BB1692*(1-0.03),G1692&lt;(E1692+8),BB1692,AZ1692="Boleto",BB1692*(1+0.001)^DATEDIF(E1692,G1692,"D"),AZ1692="Cheque",BB1692,AZ1692="Dinheiro","Alterar forma pgto")</f>
        <v/>
      </c>
      <c r="BD1692" s="276" t="str" cm="1">
        <f t="array" ref="BD1692">IF(F1692=0," ",IF(BC1692&lt;BB1692,(_xlfn.IFS(AW1692="SIM",SUM(L1692,Q1692,V1692,AA1692,AF1692,AK1692,AP1692,AU1692)+AX1692/_xlfn.XLOOKUP(_xlfn.XLOOKUP($F1692,Clientes!$B$4:$B$39,Clientes!$C$4:$C$39),Cadastros!$L$6:$L$12,Cadastros!$M$6:$M$12)+IF($F1692="Bernardino Furlan",AY1692/2751.92,IF($F1692="Mauro José Salanti",AY1692/2751.92,AY1692/3356)),F1692&lt;&gt;0,SUM(L1692,Q1692,V1692,AA1692,AF1692,AK1692,AP1692,AU1692)))*(1-0.03),_xlfn.IFS(AW1692="SIM",SUM(L1692,Q1692,V1692,AA1692,AF1692,AK1692,AP1692,AU1692)+AX1692/_xlfn.XLOOKUP(_xlfn.XLOOKUP($F1692,Clientes!$B$4:$B$39,Clientes!$C$4:$C$39),Cadastros!$L$6:$L$12,Cadastros!$M$6:$M$12)+IF($F1692="Bernardino Furlan",AY1692/2751.92,IF($F1692="Mauro José Salanti",AY1692/2751.92,AY1692/3356)),F1692&lt;&gt;0,SUM(L1692,Q1692,V1692,AA1692,AF1692,AK1692,AP1692,AU1692))))</f>
        <v xml:space="preserve"> </v>
      </c>
      <c r="BE1692" s="120"/>
      <c r="BF1692" s="120"/>
      <c r="BG1692" s="120"/>
    </row>
    <row r="1693" spans="1:59" s="3" customFormat="1" x14ac:dyDescent="0.3">
      <c r="A1693" s="15" t="str">
        <f t="shared" si="338"/>
        <v/>
      </c>
      <c r="B1693" s="25"/>
      <c r="C1693" s="26"/>
      <c r="D1693" s="279"/>
      <c r="E1693" s="27"/>
      <c r="F1693" s="28"/>
      <c r="G1693" s="27"/>
      <c r="H1693" s="28"/>
      <c r="I1693" s="28"/>
      <c r="J1693" s="255" t="str">
        <f>IF(H1693="","",(_xlfn.XLOOKUP(H1693,Cadastros!$D$6:$D$90,Cadastros!$E$6:$E$90))*(1-_xlfn.XLOOKUP(_xlfn.XLOOKUP($F1693,Clientes!$B$4:$B$39,Clientes!$C$4:$C$39),Cadastros!$L$6:$L$12,Cadastros!$N$6:$N$12)))</f>
        <v/>
      </c>
      <c r="K1693" s="168" t="str">
        <f t="shared" si="339"/>
        <v/>
      </c>
      <c r="L1693" s="168" t="str">
        <f>IFERROR(K1693/_xlfn.XLOOKUP(_xlfn.XLOOKUP($F1693,Clientes!$B$4:$B$39,Clientes!$C$4:$C$39),Cadastros!$L$6:$L$12,Cadastros!$M$6:$M$12)," ")</f>
        <v xml:space="preserve"> </v>
      </c>
      <c r="M1693" s="28"/>
      <c r="N1693" s="28"/>
      <c r="O1693" s="255" t="str">
        <f>IF(M1693="","",(_xlfn.XLOOKUP(M1693,Cadastros!$D$6:$D$90,Cadastros!$E$6:$E$90))*(1-_xlfn.XLOOKUP(_xlfn.XLOOKUP($F1693,Clientes!$B$4:$B$39,Clientes!$C$4:$C$39),Cadastros!$L$6:$L$12,Cadastros!$N$6:$N$12)))</f>
        <v/>
      </c>
      <c r="P1693" s="168" t="str">
        <f t="shared" si="340"/>
        <v/>
      </c>
      <c r="Q1693" s="168" t="str">
        <f>IFERROR(P1693/_xlfn.XLOOKUP(_xlfn.XLOOKUP($F1693,Clientes!$B$4:$B$39,Clientes!$C$4:$C$39),Cadastros!$L$6:$L$12,Cadastros!$M$6:$M$12)," ")</f>
        <v xml:space="preserve"> </v>
      </c>
      <c r="R1693" s="28"/>
      <c r="S1693" s="28"/>
      <c r="T1693" s="255" t="str">
        <f>IF(R1693="","",(_xlfn.XLOOKUP(R1693,Cadastros!$D$6:$D$90,Cadastros!$E$6:$E$90))*(1-_xlfn.XLOOKUP(_xlfn.XLOOKUP($F1693,Clientes!$B$4:$B$39,Clientes!$C$4:$C$39),Cadastros!$L$6:$L$12,Cadastros!$N$6:$N$12)))</f>
        <v/>
      </c>
      <c r="U1693" s="168" t="str">
        <f t="shared" si="341"/>
        <v/>
      </c>
      <c r="V1693" s="168" t="str">
        <f>IFERROR(U1693/_xlfn.XLOOKUP(_xlfn.XLOOKUP($F1693,Clientes!$B$4:$B$39,Clientes!$C$4:$C$39),Cadastros!$L$6:$L$12,Cadastros!$M$6:$M$12)," ")</f>
        <v xml:space="preserve"> </v>
      </c>
      <c r="W1693" s="28"/>
      <c r="X1693" s="28"/>
      <c r="Y1693" s="255" t="str">
        <f>IF(W1693="","",(_xlfn.XLOOKUP(W1693,Cadastros!$D$6:$D$90,Cadastros!$E$6:$E$90))*(1-_xlfn.XLOOKUP(_xlfn.XLOOKUP($F1693,Clientes!$B$4:$B$39,Clientes!$C$4:$C$39),Cadastros!$L$6:$L$12,Cadastros!$N$6:$N$12)))</f>
        <v/>
      </c>
      <c r="Z1693" s="168" t="str">
        <f t="shared" si="342"/>
        <v/>
      </c>
      <c r="AA1693" s="168" t="str">
        <f>IFERROR(Z1693/_xlfn.XLOOKUP(_xlfn.XLOOKUP($F1693,Clientes!$B$4:$B$39,Clientes!$C$4:$C$39),Cadastros!$L$6:$L$12,Cadastros!$M$6:$M$12)," ")</f>
        <v xml:space="preserve"> </v>
      </c>
      <c r="AB1693" s="28"/>
      <c r="AC1693" s="28"/>
      <c r="AD1693" s="20" t="str">
        <f>IF(AB1693="","",IF($F1693="Bernardino Furlan",_xlfn.XLOOKUP(AB1693,Cadastros!$G$6:$G$90,Cadastros!$H$6:$H$90)*(1-0.18),IF($F1693="Mauro José Salanti",_xlfn.XLOOKUP(AB1693,Cadastros!$G$6:$G$90,Cadastros!$H$6:$H$90)*(1-0.18),_xlfn.XLOOKUP(AB1693,Cadastros!$G$6:$G$90,Cadastros!$H$6:$H$90))))</f>
        <v/>
      </c>
      <c r="AE1693" s="168" t="str">
        <f t="shared" si="343"/>
        <v/>
      </c>
      <c r="AF1693" s="168" t="str">
        <f t="shared" si="344"/>
        <v/>
      </c>
      <c r="AG1693" s="28"/>
      <c r="AH1693" s="28"/>
      <c r="AI1693" s="20" t="str">
        <f>IF(AG1693="","",IF($F1693="Bernardino Furlan",_xlfn.XLOOKUP(AG1693,Cadastros!$G$6:$G$90,Cadastros!$H$6:$H$90)*(1-0.18),IF($F1693="Mauro José Salanti",_xlfn.XLOOKUP(AG1693,Cadastros!$G$6:$G$90,Cadastros!$H$6:$H$90)*(1-0.18),_xlfn.XLOOKUP(AG1693,Cadastros!$G$6:$G$90,Cadastros!$H$6:$H$90))))</f>
        <v/>
      </c>
      <c r="AJ1693" s="168" t="str">
        <f t="shared" si="345"/>
        <v/>
      </c>
      <c r="AK1693" s="168" t="str">
        <f t="shared" si="346"/>
        <v/>
      </c>
      <c r="AL1693" s="28"/>
      <c r="AM1693" s="28"/>
      <c r="AN1693" s="20" t="str">
        <f>IF(AL1693="","",IF($F1693="Bernardino Furlan",_xlfn.XLOOKUP(AL1693,Cadastros!$G$6:$G$90,Cadastros!$H$6:$H$90)*(1-0.18),IF($F1693="Mauro José Salanti",_xlfn.XLOOKUP(AL1693,Cadastros!$G$6:$G$90,Cadastros!$H$6:$H$90)*(1-0.18),_xlfn.XLOOKUP(AL1693,Cadastros!$G$6:$G$90,Cadastros!$H$6:$H$90))))</f>
        <v/>
      </c>
      <c r="AO1693" s="168" t="str">
        <f t="shared" si="347"/>
        <v/>
      </c>
      <c r="AP1693" s="168" t="str">
        <f t="shared" si="348"/>
        <v/>
      </c>
      <c r="AQ1693" s="28"/>
      <c r="AR1693" s="28"/>
      <c r="AS1693" s="20" t="str">
        <f>IF(AQ1693="","",IF($F1693="Bernardino Furlan",_xlfn.XLOOKUP(AQ1693,Cadastros!$G$6:$G$90,Cadastros!$H$6:$H$90)*(1-0.18),IF($F1693="Mauro José Salanti",_xlfn.XLOOKUP(AQ1693,Cadastros!$G$6:$G$90,Cadastros!$H$6:$H$90)*(1-0.18),_xlfn.XLOOKUP(AQ1693,Cadastros!$G$6:$G$90,Cadastros!$H$6:$H$90))))</f>
        <v/>
      </c>
      <c r="AT1693" s="168" t="str">
        <f t="shared" si="349"/>
        <v/>
      </c>
      <c r="AU1693" s="168" t="str">
        <f t="shared" si="350"/>
        <v/>
      </c>
      <c r="AV1693" s="227"/>
      <c r="AW1693" s="30"/>
      <c r="AX1693" s="267"/>
      <c r="AY1693" s="267"/>
      <c r="AZ1693" s="29"/>
      <c r="BA1693" s="30"/>
      <c r="BB1693" s="23" t="str" cm="1">
        <f t="array" ref="BB1693">_xlfn.IFS(AW1693="SIM",SUM(K1693,P1693,U1693,Z1693,AE1693,AJ1693,AO1693,AT1693,AX1693,AY1693),F1693&lt;&gt;"",SUM(K1693,P1693,U1693,Z1693,AE1693,AJ1693,,AO1693,AT1693),F1693="","")</f>
        <v/>
      </c>
      <c r="BC1693" s="211" t="str" cm="1">
        <f t="array" ref="BC1693">_xlfn.IFS(E1693="","",G1693&lt;=E1693,BB1693*(1-0.03),G1693&lt;(E1693+8),BB1693,AZ1693="Boleto",BB1693*(1+0.001)^DATEDIF(E1693,G1693,"D"),AZ1693="Cheque",BB1693,AZ1693="Dinheiro","Alterar forma pgto")</f>
        <v/>
      </c>
      <c r="BD1693" s="276" t="str" cm="1">
        <f t="array" ref="BD1693">IF(F1693=0," ",IF(BC1693&lt;BB1693,(_xlfn.IFS(AW1693="SIM",SUM(L1693,Q1693,V1693,AA1693,AF1693,AK1693,AP1693,AU1693)+AX1693/_xlfn.XLOOKUP(_xlfn.XLOOKUP($F1693,Clientes!$B$4:$B$39,Clientes!$C$4:$C$39),Cadastros!$L$6:$L$12,Cadastros!$M$6:$M$12)+IF($F1693="Bernardino Furlan",AY1693/2751.92,IF($F1693="Mauro José Salanti",AY1693/2751.92,AY1693/3356)),F1693&lt;&gt;0,SUM(L1693,Q1693,V1693,AA1693,AF1693,AK1693,AP1693,AU1693)))*(1-0.03),_xlfn.IFS(AW1693="SIM",SUM(L1693,Q1693,V1693,AA1693,AF1693,AK1693,AP1693,AU1693)+AX1693/_xlfn.XLOOKUP(_xlfn.XLOOKUP($F1693,Clientes!$B$4:$B$39,Clientes!$C$4:$C$39),Cadastros!$L$6:$L$12,Cadastros!$M$6:$M$12)+IF($F1693="Bernardino Furlan",AY1693/2751.92,IF($F1693="Mauro José Salanti",AY1693/2751.92,AY1693/3356)),F1693&lt;&gt;0,SUM(L1693,Q1693,V1693,AA1693,AF1693,AK1693,AP1693,AU1693))))</f>
        <v xml:space="preserve"> </v>
      </c>
      <c r="BE1693" s="120"/>
      <c r="BF1693" s="120"/>
      <c r="BG1693" s="120"/>
    </row>
    <row r="1694" spans="1:59" s="3" customFormat="1" x14ac:dyDescent="0.3">
      <c r="A1694" s="15" t="str">
        <f t="shared" si="338"/>
        <v/>
      </c>
      <c r="B1694" s="25"/>
      <c r="C1694" s="26"/>
      <c r="D1694" s="279"/>
      <c r="E1694" s="27"/>
      <c r="F1694" s="28"/>
      <c r="G1694" s="27"/>
      <c r="H1694" s="28"/>
      <c r="I1694" s="28"/>
      <c r="J1694" s="255" t="str">
        <f>IF(H1694="","",(_xlfn.XLOOKUP(H1694,Cadastros!$D$6:$D$90,Cadastros!$E$6:$E$90))*(1-_xlfn.XLOOKUP(_xlfn.XLOOKUP($F1694,Clientes!$B$4:$B$39,Clientes!$C$4:$C$39),Cadastros!$L$6:$L$12,Cadastros!$N$6:$N$12)))</f>
        <v/>
      </c>
      <c r="K1694" s="168" t="str">
        <f t="shared" si="339"/>
        <v/>
      </c>
      <c r="L1694" s="168" t="str">
        <f>IFERROR(K1694/_xlfn.XLOOKUP(_xlfn.XLOOKUP($F1694,Clientes!$B$4:$B$39,Clientes!$C$4:$C$39),Cadastros!$L$6:$L$12,Cadastros!$M$6:$M$12)," ")</f>
        <v xml:space="preserve"> </v>
      </c>
      <c r="M1694" s="28"/>
      <c r="N1694" s="28"/>
      <c r="O1694" s="255" t="str">
        <f>IF(M1694="","",(_xlfn.XLOOKUP(M1694,Cadastros!$D$6:$D$90,Cadastros!$E$6:$E$90))*(1-_xlfn.XLOOKUP(_xlfn.XLOOKUP($F1694,Clientes!$B$4:$B$39,Clientes!$C$4:$C$39),Cadastros!$L$6:$L$12,Cadastros!$N$6:$N$12)))</f>
        <v/>
      </c>
      <c r="P1694" s="168" t="str">
        <f t="shared" si="340"/>
        <v/>
      </c>
      <c r="Q1694" s="168" t="str">
        <f>IFERROR(P1694/_xlfn.XLOOKUP(_xlfn.XLOOKUP($F1694,Clientes!$B$4:$B$39,Clientes!$C$4:$C$39),Cadastros!$L$6:$L$12,Cadastros!$M$6:$M$12)," ")</f>
        <v xml:space="preserve"> </v>
      </c>
      <c r="R1694" s="28"/>
      <c r="S1694" s="28"/>
      <c r="T1694" s="255" t="str">
        <f>IF(R1694="","",(_xlfn.XLOOKUP(R1694,Cadastros!$D$6:$D$90,Cadastros!$E$6:$E$90))*(1-_xlfn.XLOOKUP(_xlfn.XLOOKUP($F1694,Clientes!$B$4:$B$39,Clientes!$C$4:$C$39),Cadastros!$L$6:$L$12,Cadastros!$N$6:$N$12)))</f>
        <v/>
      </c>
      <c r="U1694" s="168" t="str">
        <f t="shared" si="341"/>
        <v/>
      </c>
      <c r="V1694" s="168" t="str">
        <f>IFERROR(U1694/_xlfn.XLOOKUP(_xlfn.XLOOKUP($F1694,Clientes!$B$4:$B$39,Clientes!$C$4:$C$39),Cadastros!$L$6:$L$12,Cadastros!$M$6:$M$12)," ")</f>
        <v xml:space="preserve"> </v>
      </c>
      <c r="W1694" s="28"/>
      <c r="X1694" s="28"/>
      <c r="Y1694" s="255" t="str">
        <f>IF(W1694="","",(_xlfn.XLOOKUP(W1694,Cadastros!$D$6:$D$90,Cadastros!$E$6:$E$90))*(1-_xlfn.XLOOKUP(_xlfn.XLOOKUP($F1694,Clientes!$B$4:$B$39,Clientes!$C$4:$C$39),Cadastros!$L$6:$L$12,Cadastros!$N$6:$N$12)))</f>
        <v/>
      </c>
      <c r="Z1694" s="168" t="str">
        <f t="shared" si="342"/>
        <v/>
      </c>
      <c r="AA1694" s="168" t="str">
        <f>IFERROR(Z1694/_xlfn.XLOOKUP(_xlfn.XLOOKUP($F1694,Clientes!$B$4:$B$39,Clientes!$C$4:$C$39),Cadastros!$L$6:$L$12,Cadastros!$M$6:$M$12)," ")</f>
        <v xml:space="preserve"> </v>
      </c>
      <c r="AB1694" s="28"/>
      <c r="AC1694" s="28"/>
      <c r="AD1694" s="20" t="str">
        <f>IF(AB1694="","",IF($F1694="Bernardino Furlan",_xlfn.XLOOKUP(AB1694,Cadastros!$G$6:$G$90,Cadastros!$H$6:$H$90)*(1-0.18),IF($F1694="Mauro José Salanti",_xlfn.XLOOKUP(AB1694,Cadastros!$G$6:$G$90,Cadastros!$H$6:$H$90)*(1-0.18),_xlfn.XLOOKUP(AB1694,Cadastros!$G$6:$G$90,Cadastros!$H$6:$H$90))))</f>
        <v/>
      </c>
      <c r="AE1694" s="168" t="str">
        <f t="shared" si="343"/>
        <v/>
      </c>
      <c r="AF1694" s="168" t="str">
        <f t="shared" si="344"/>
        <v/>
      </c>
      <c r="AG1694" s="28"/>
      <c r="AH1694" s="28"/>
      <c r="AI1694" s="20" t="str">
        <f>IF(AG1694="","",IF($F1694="Bernardino Furlan",_xlfn.XLOOKUP(AG1694,Cadastros!$G$6:$G$90,Cadastros!$H$6:$H$90)*(1-0.18),IF($F1694="Mauro José Salanti",_xlfn.XLOOKUP(AG1694,Cadastros!$G$6:$G$90,Cadastros!$H$6:$H$90)*(1-0.18),_xlfn.XLOOKUP(AG1694,Cadastros!$G$6:$G$90,Cadastros!$H$6:$H$90))))</f>
        <v/>
      </c>
      <c r="AJ1694" s="168" t="str">
        <f t="shared" si="345"/>
        <v/>
      </c>
      <c r="AK1694" s="168" t="str">
        <f t="shared" si="346"/>
        <v/>
      </c>
      <c r="AL1694" s="28"/>
      <c r="AM1694" s="28"/>
      <c r="AN1694" s="20" t="str">
        <f>IF(AL1694="","",IF($F1694="Bernardino Furlan",_xlfn.XLOOKUP(AL1694,Cadastros!$G$6:$G$90,Cadastros!$H$6:$H$90)*(1-0.18),IF($F1694="Mauro José Salanti",_xlfn.XLOOKUP(AL1694,Cadastros!$G$6:$G$90,Cadastros!$H$6:$H$90)*(1-0.18),_xlfn.XLOOKUP(AL1694,Cadastros!$G$6:$G$90,Cadastros!$H$6:$H$90))))</f>
        <v/>
      </c>
      <c r="AO1694" s="168" t="str">
        <f t="shared" si="347"/>
        <v/>
      </c>
      <c r="AP1694" s="168" t="str">
        <f t="shared" si="348"/>
        <v/>
      </c>
      <c r="AQ1694" s="28"/>
      <c r="AR1694" s="28"/>
      <c r="AS1694" s="20" t="str">
        <f>IF(AQ1694="","",IF($F1694="Bernardino Furlan",_xlfn.XLOOKUP(AQ1694,Cadastros!$G$6:$G$90,Cadastros!$H$6:$H$90)*(1-0.18),IF($F1694="Mauro José Salanti",_xlfn.XLOOKUP(AQ1694,Cadastros!$G$6:$G$90,Cadastros!$H$6:$H$90)*(1-0.18),_xlfn.XLOOKUP(AQ1694,Cadastros!$G$6:$G$90,Cadastros!$H$6:$H$90))))</f>
        <v/>
      </c>
      <c r="AT1694" s="168" t="str">
        <f t="shared" si="349"/>
        <v/>
      </c>
      <c r="AU1694" s="168" t="str">
        <f t="shared" si="350"/>
        <v/>
      </c>
      <c r="AV1694" s="227"/>
      <c r="AW1694" s="30"/>
      <c r="AX1694" s="267"/>
      <c r="AY1694" s="267"/>
      <c r="AZ1694" s="29"/>
      <c r="BA1694" s="30"/>
      <c r="BB1694" s="23" t="str" cm="1">
        <f t="array" ref="BB1694">_xlfn.IFS(AW1694="SIM",SUM(K1694,P1694,U1694,Z1694,AE1694,AJ1694,AO1694,AT1694,AX1694,AY1694),F1694&lt;&gt;"",SUM(K1694,P1694,U1694,Z1694,AE1694,AJ1694,,AO1694,AT1694),F1694="","")</f>
        <v/>
      </c>
      <c r="BC1694" s="211" t="str" cm="1">
        <f t="array" ref="BC1694">_xlfn.IFS(E1694="","",G1694&lt;=E1694,BB1694*(1-0.03),G1694&lt;(E1694+8),BB1694,AZ1694="Boleto",BB1694*(1+0.001)^DATEDIF(E1694,G1694,"D"),AZ1694="Cheque",BB1694,AZ1694="Dinheiro","Alterar forma pgto")</f>
        <v/>
      </c>
      <c r="BD1694" s="276" t="str" cm="1">
        <f t="array" ref="BD1694">IF(F1694=0," ",IF(BC1694&lt;BB1694,(_xlfn.IFS(AW1694="SIM",SUM(L1694,Q1694,V1694,AA1694,AF1694,AK1694,AP1694,AU1694)+AX1694/_xlfn.XLOOKUP(_xlfn.XLOOKUP($F1694,Clientes!$B$4:$B$39,Clientes!$C$4:$C$39),Cadastros!$L$6:$L$12,Cadastros!$M$6:$M$12)+IF($F1694="Bernardino Furlan",AY1694/2751.92,IF($F1694="Mauro José Salanti",AY1694/2751.92,AY1694/3356)),F1694&lt;&gt;0,SUM(L1694,Q1694,V1694,AA1694,AF1694,AK1694,AP1694,AU1694)))*(1-0.03),_xlfn.IFS(AW1694="SIM",SUM(L1694,Q1694,V1694,AA1694,AF1694,AK1694,AP1694,AU1694)+AX1694/_xlfn.XLOOKUP(_xlfn.XLOOKUP($F1694,Clientes!$B$4:$B$39,Clientes!$C$4:$C$39),Cadastros!$L$6:$L$12,Cadastros!$M$6:$M$12)+IF($F1694="Bernardino Furlan",AY1694/2751.92,IF($F1694="Mauro José Salanti",AY1694/2751.92,AY1694/3356)),F1694&lt;&gt;0,SUM(L1694,Q1694,V1694,AA1694,AF1694,AK1694,AP1694,AU1694))))</f>
        <v xml:space="preserve"> </v>
      </c>
      <c r="BE1694" s="120"/>
      <c r="BF1694" s="120"/>
      <c r="BG1694" s="120"/>
    </row>
    <row r="1695" spans="1:59" s="3" customFormat="1" x14ac:dyDescent="0.3">
      <c r="A1695" s="15" t="str">
        <f t="shared" si="338"/>
        <v/>
      </c>
      <c r="B1695" s="25"/>
      <c r="C1695" s="26"/>
      <c r="D1695" s="279"/>
      <c r="E1695" s="27"/>
      <c r="F1695" s="28"/>
      <c r="G1695" s="27"/>
      <c r="H1695" s="28"/>
      <c r="I1695" s="28"/>
      <c r="J1695" s="255" t="str">
        <f>IF(H1695="","",(_xlfn.XLOOKUP(H1695,Cadastros!$D$6:$D$90,Cadastros!$E$6:$E$90))*(1-_xlfn.XLOOKUP(_xlfn.XLOOKUP($F1695,Clientes!$B$4:$B$39,Clientes!$C$4:$C$39),Cadastros!$L$6:$L$12,Cadastros!$N$6:$N$12)))</f>
        <v/>
      </c>
      <c r="K1695" s="168" t="str">
        <f t="shared" si="339"/>
        <v/>
      </c>
      <c r="L1695" s="168" t="str">
        <f>IFERROR(K1695/_xlfn.XLOOKUP(_xlfn.XLOOKUP($F1695,Clientes!$B$4:$B$39,Clientes!$C$4:$C$39),Cadastros!$L$6:$L$12,Cadastros!$M$6:$M$12)," ")</f>
        <v xml:space="preserve"> </v>
      </c>
      <c r="M1695" s="28"/>
      <c r="N1695" s="28"/>
      <c r="O1695" s="255" t="str">
        <f>IF(M1695="","",(_xlfn.XLOOKUP(M1695,Cadastros!$D$6:$D$90,Cadastros!$E$6:$E$90))*(1-_xlfn.XLOOKUP(_xlfn.XLOOKUP($F1695,Clientes!$B$4:$B$39,Clientes!$C$4:$C$39),Cadastros!$L$6:$L$12,Cadastros!$N$6:$N$12)))</f>
        <v/>
      </c>
      <c r="P1695" s="168" t="str">
        <f t="shared" si="340"/>
        <v/>
      </c>
      <c r="Q1695" s="168" t="str">
        <f>IFERROR(P1695/_xlfn.XLOOKUP(_xlfn.XLOOKUP($F1695,Clientes!$B$4:$B$39,Clientes!$C$4:$C$39),Cadastros!$L$6:$L$12,Cadastros!$M$6:$M$12)," ")</f>
        <v xml:space="preserve"> </v>
      </c>
      <c r="R1695" s="28"/>
      <c r="S1695" s="28"/>
      <c r="T1695" s="255" t="str">
        <f>IF(R1695="","",(_xlfn.XLOOKUP(R1695,Cadastros!$D$6:$D$90,Cadastros!$E$6:$E$90))*(1-_xlfn.XLOOKUP(_xlfn.XLOOKUP($F1695,Clientes!$B$4:$B$39,Clientes!$C$4:$C$39),Cadastros!$L$6:$L$12,Cadastros!$N$6:$N$12)))</f>
        <v/>
      </c>
      <c r="U1695" s="168" t="str">
        <f t="shared" si="341"/>
        <v/>
      </c>
      <c r="V1695" s="168" t="str">
        <f>IFERROR(U1695/_xlfn.XLOOKUP(_xlfn.XLOOKUP($F1695,Clientes!$B$4:$B$39,Clientes!$C$4:$C$39),Cadastros!$L$6:$L$12,Cadastros!$M$6:$M$12)," ")</f>
        <v xml:space="preserve"> </v>
      </c>
      <c r="W1695" s="28"/>
      <c r="X1695" s="28"/>
      <c r="Y1695" s="255" t="str">
        <f>IF(W1695="","",(_xlfn.XLOOKUP(W1695,Cadastros!$D$6:$D$90,Cadastros!$E$6:$E$90))*(1-_xlfn.XLOOKUP(_xlfn.XLOOKUP($F1695,Clientes!$B$4:$B$39,Clientes!$C$4:$C$39),Cadastros!$L$6:$L$12,Cadastros!$N$6:$N$12)))</f>
        <v/>
      </c>
      <c r="Z1695" s="168" t="str">
        <f t="shared" si="342"/>
        <v/>
      </c>
      <c r="AA1695" s="168" t="str">
        <f>IFERROR(Z1695/_xlfn.XLOOKUP(_xlfn.XLOOKUP($F1695,Clientes!$B$4:$B$39,Clientes!$C$4:$C$39),Cadastros!$L$6:$L$12,Cadastros!$M$6:$M$12)," ")</f>
        <v xml:space="preserve"> </v>
      </c>
      <c r="AB1695" s="28"/>
      <c r="AC1695" s="28"/>
      <c r="AD1695" s="20" t="str">
        <f>IF(AB1695="","",IF($F1695="Bernardino Furlan",_xlfn.XLOOKUP(AB1695,Cadastros!$G$6:$G$90,Cadastros!$H$6:$H$90)*(1-0.18),IF($F1695="Mauro José Salanti",_xlfn.XLOOKUP(AB1695,Cadastros!$G$6:$G$90,Cadastros!$H$6:$H$90)*(1-0.18),_xlfn.XLOOKUP(AB1695,Cadastros!$G$6:$G$90,Cadastros!$H$6:$H$90))))</f>
        <v/>
      </c>
      <c r="AE1695" s="168" t="str">
        <f t="shared" si="343"/>
        <v/>
      </c>
      <c r="AF1695" s="168" t="str">
        <f t="shared" si="344"/>
        <v/>
      </c>
      <c r="AG1695" s="28"/>
      <c r="AH1695" s="28"/>
      <c r="AI1695" s="20" t="str">
        <f>IF(AG1695="","",IF($F1695="Bernardino Furlan",_xlfn.XLOOKUP(AG1695,Cadastros!$G$6:$G$90,Cadastros!$H$6:$H$90)*(1-0.18),IF($F1695="Mauro José Salanti",_xlfn.XLOOKUP(AG1695,Cadastros!$G$6:$G$90,Cadastros!$H$6:$H$90)*(1-0.18),_xlfn.XLOOKUP(AG1695,Cadastros!$G$6:$G$90,Cadastros!$H$6:$H$90))))</f>
        <v/>
      </c>
      <c r="AJ1695" s="168" t="str">
        <f t="shared" si="345"/>
        <v/>
      </c>
      <c r="AK1695" s="168" t="str">
        <f t="shared" si="346"/>
        <v/>
      </c>
      <c r="AL1695" s="28"/>
      <c r="AM1695" s="28"/>
      <c r="AN1695" s="20" t="str">
        <f>IF(AL1695="","",IF($F1695="Bernardino Furlan",_xlfn.XLOOKUP(AL1695,Cadastros!$G$6:$G$90,Cadastros!$H$6:$H$90)*(1-0.18),IF($F1695="Mauro José Salanti",_xlfn.XLOOKUP(AL1695,Cadastros!$G$6:$G$90,Cadastros!$H$6:$H$90)*(1-0.18),_xlfn.XLOOKUP(AL1695,Cadastros!$G$6:$G$90,Cadastros!$H$6:$H$90))))</f>
        <v/>
      </c>
      <c r="AO1695" s="168" t="str">
        <f t="shared" si="347"/>
        <v/>
      </c>
      <c r="AP1695" s="168" t="str">
        <f t="shared" si="348"/>
        <v/>
      </c>
      <c r="AQ1695" s="28"/>
      <c r="AR1695" s="28"/>
      <c r="AS1695" s="20" t="str">
        <f>IF(AQ1695="","",IF($F1695="Bernardino Furlan",_xlfn.XLOOKUP(AQ1695,Cadastros!$G$6:$G$90,Cadastros!$H$6:$H$90)*(1-0.18),IF($F1695="Mauro José Salanti",_xlfn.XLOOKUP(AQ1695,Cadastros!$G$6:$G$90,Cadastros!$H$6:$H$90)*(1-0.18),_xlfn.XLOOKUP(AQ1695,Cadastros!$G$6:$G$90,Cadastros!$H$6:$H$90))))</f>
        <v/>
      </c>
      <c r="AT1695" s="168" t="str">
        <f t="shared" si="349"/>
        <v/>
      </c>
      <c r="AU1695" s="168" t="str">
        <f t="shared" si="350"/>
        <v/>
      </c>
      <c r="AV1695" s="227"/>
      <c r="AW1695" s="30"/>
      <c r="AX1695" s="267"/>
      <c r="AY1695" s="267"/>
      <c r="AZ1695" s="29"/>
      <c r="BA1695" s="30"/>
      <c r="BB1695" s="23" t="str" cm="1">
        <f t="array" ref="BB1695">_xlfn.IFS(AW1695="SIM",SUM(K1695,P1695,U1695,Z1695,AE1695,AJ1695,AO1695,AT1695,AX1695,AY1695),F1695&lt;&gt;"",SUM(K1695,P1695,U1695,Z1695,AE1695,AJ1695,,AO1695,AT1695),F1695="","")</f>
        <v/>
      </c>
      <c r="BC1695" s="211" t="str" cm="1">
        <f t="array" ref="BC1695">_xlfn.IFS(E1695="","",G1695&lt;=E1695,BB1695*(1-0.03),G1695&lt;(E1695+8),BB1695,AZ1695="Boleto",BB1695*(1+0.001)^DATEDIF(E1695,G1695,"D"),AZ1695="Cheque",BB1695,AZ1695="Dinheiro","Alterar forma pgto")</f>
        <v/>
      </c>
      <c r="BD1695" s="276" t="str" cm="1">
        <f t="array" ref="BD1695">IF(F1695=0," ",IF(BC1695&lt;BB1695,(_xlfn.IFS(AW1695="SIM",SUM(L1695,Q1695,V1695,AA1695,AF1695,AK1695,AP1695,AU1695)+AX1695/_xlfn.XLOOKUP(_xlfn.XLOOKUP($F1695,Clientes!$B$4:$B$39,Clientes!$C$4:$C$39),Cadastros!$L$6:$L$12,Cadastros!$M$6:$M$12)+IF($F1695="Bernardino Furlan",AY1695/2751.92,IF($F1695="Mauro José Salanti",AY1695/2751.92,AY1695/3356)),F1695&lt;&gt;0,SUM(L1695,Q1695,V1695,AA1695,AF1695,AK1695,AP1695,AU1695)))*(1-0.03),_xlfn.IFS(AW1695="SIM",SUM(L1695,Q1695,V1695,AA1695,AF1695,AK1695,AP1695,AU1695)+AX1695/_xlfn.XLOOKUP(_xlfn.XLOOKUP($F1695,Clientes!$B$4:$B$39,Clientes!$C$4:$C$39),Cadastros!$L$6:$L$12,Cadastros!$M$6:$M$12)+IF($F1695="Bernardino Furlan",AY1695/2751.92,IF($F1695="Mauro José Salanti",AY1695/2751.92,AY1695/3356)),F1695&lt;&gt;0,SUM(L1695,Q1695,V1695,AA1695,AF1695,AK1695,AP1695,AU1695))))</f>
        <v xml:space="preserve"> </v>
      </c>
      <c r="BE1695" s="120"/>
      <c r="BF1695" s="120"/>
      <c r="BG1695" s="120"/>
    </row>
    <row r="1696" spans="1:59" s="3" customFormat="1" x14ac:dyDescent="0.3">
      <c r="A1696" s="15" t="str">
        <f t="shared" si="338"/>
        <v/>
      </c>
      <c r="B1696" s="25"/>
      <c r="C1696" s="26"/>
      <c r="D1696" s="279"/>
      <c r="E1696" s="27"/>
      <c r="F1696" s="28"/>
      <c r="G1696" s="27"/>
      <c r="H1696" s="28"/>
      <c r="I1696" s="28"/>
      <c r="J1696" s="255" t="str">
        <f>IF(H1696="","",(_xlfn.XLOOKUP(H1696,Cadastros!$D$6:$D$90,Cadastros!$E$6:$E$90))*(1-_xlfn.XLOOKUP(_xlfn.XLOOKUP($F1696,Clientes!$B$4:$B$39,Clientes!$C$4:$C$39),Cadastros!$L$6:$L$12,Cadastros!$N$6:$N$12)))</f>
        <v/>
      </c>
      <c r="K1696" s="168" t="str">
        <f t="shared" si="339"/>
        <v/>
      </c>
      <c r="L1696" s="168" t="str">
        <f>IFERROR(K1696/_xlfn.XLOOKUP(_xlfn.XLOOKUP($F1696,Clientes!$B$4:$B$39,Clientes!$C$4:$C$39),Cadastros!$L$6:$L$12,Cadastros!$M$6:$M$12)," ")</f>
        <v xml:space="preserve"> </v>
      </c>
      <c r="M1696" s="28"/>
      <c r="N1696" s="28"/>
      <c r="O1696" s="255" t="str">
        <f>IF(M1696="","",(_xlfn.XLOOKUP(M1696,Cadastros!$D$6:$D$90,Cadastros!$E$6:$E$90))*(1-_xlfn.XLOOKUP(_xlfn.XLOOKUP($F1696,Clientes!$B$4:$B$39,Clientes!$C$4:$C$39),Cadastros!$L$6:$L$12,Cadastros!$N$6:$N$12)))</f>
        <v/>
      </c>
      <c r="P1696" s="168" t="str">
        <f t="shared" si="340"/>
        <v/>
      </c>
      <c r="Q1696" s="168" t="str">
        <f>IFERROR(P1696/_xlfn.XLOOKUP(_xlfn.XLOOKUP($F1696,Clientes!$B$4:$B$39,Clientes!$C$4:$C$39),Cadastros!$L$6:$L$12,Cadastros!$M$6:$M$12)," ")</f>
        <v xml:space="preserve"> </v>
      </c>
      <c r="R1696" s="28"/>
      <c r="S1696" s="28"/>
      <c r="T1696" s="255" t="str">
        <f>IF(R1696="","",(_xlfn.XLOOKUP(R1696,Cadastros!$D$6:$D$90,Cadastros!$E$6:$E$90))*(1-_xlfn.XLOOKUP(_xlfn.XLOOKUP($F1696,Clientes!$B$4:$B$39,Clientes!$C$4:$C$39),Cadastros!$L$6:$L$12,Cadastros!$N$6:$N$12)))</f>
        <v/>
      </c>
      <c r="U1696" s="168" t="str">
        <f t="shared" si="341"/>
        <v/>
      </c>
      <c r="V1696" s="168" t="str">
        <f>IFERROR(U1696/_xlfn.XLOOKUP(_xlfn.XLOOKUP($F1696,Clientes!$B$4:$B$39,Clientes!$C$4:$C$39),Cadastros!$L$6:$L$12,Cadastros!$M$6:$M$12)," ")</f>
        <v xml:space="preserve"> </v>
      </c>
      <c r="W1696" s="28"/>
      <c r="X1696" s="28"/>
      <c r="Y1696" s="255" t="str">
        <f>IF(W1696="","",(_xlfn.XLOOKUP(W1696,Cadastros!$D$6:$D$90,Cadastros!$E$6:$E$90))*(1-_xlfn.XLOOKUP(_xlfn.XLOOKUP($F1696,Clientes!$B$4:$B$39,Clientes!$C$4:$C$39),Cadastros!$L$6:$L$12,Cadastros!$N$6:$N$12)))</f>
        <v/>
      </c>
      <c r="Z1696" s="168" t="str">
        <f t="shared" si="342"/>
        <v/>
      </c>
      <c r="AA1696" s="168" t="str">
        <f>IFERROR(Z1696/_xlfn.XLOOKUP(_xlfn.XLOOKUP($F1696,Clientes!$B$4:$B$39,Clientes!$C$4:$C$39),Cadastros!$L$6:$L$12,Cadastros!$M$6:$M$12)," ")</f>
        <v xml:space="preserve"> </v>
      </c>
      <c r="AB1696" s="28"/>
      <c r="AC1696" s="28"/>
      <c r="AD1696" s="20" t="str">
        <f>IF(AB1696="","",IF($F1696="Bernardino Furlan",_xlfn.XLOOKUP(AB1696,Cadastros!$G$6:$G$90,Cadastros!$H$6:$H$90)*(1-0.18),IF($F1696="Mauro José Salanti",_xlfn.XLOOKUP(AB1696,Cadastros!$G$6:$G$90,Cadastros!$H$6:$H$90)*(1-0.18),_xlfn.XLOOKUP(AB1696,Cadastros!$G$6:$G$90,Cadastros!$H$6:$H$90))))</f>
        <v/>
      </c>
      <c r="AE1696" s="168" t="str">
        <f t="shared" si="343"/>
        <v/>
      </c>
      <c r="AF1696" s="168" t="str">
        <f t="shared" si="344"/>
        <v/>
      </c>
      <c r="AG1696" s="28"/>
      <c r="AH1696" s="28"/>
      <c r="AI1696" s="20" t="str">
        <f>IF(AG1696="","",IF($F1696="Bernardino Furlan",_xlfn.XLOOKUP(AG1696,Cadastros!$G$6:$G$90,Cadastros!$H$6:$H$90)*(1-0.18),IF($F1696="Mauro José Salanti",_xlfn.XLOOKUP(AG1696,Cadastros!$G$6:$G$90,Cadastros!$H$6:$H$90)*(1-0.18),_xlfn.XLOOKUP(AG1696,Cadastros!$G$6:$G$90,Cadastros!$H$6:$H$90))))</f>
        <v/>
      </c>
      <c r="AJ1696" s="168" t="str">
        <f t="shared" si="345"/>
        <v/>
      </c>
      <c r="AK1696" s="168" t="str">
        <f t="shared" si="346"/>
        <v/>
      </c>
      <c r="AL1696" s="28"/>
      <c r="AM1696" s="28"/>
      <c r="AN1696" s="20" t="str">
        <f>IF(AL1696="","",IF($F1696="Bernardino Furlan",_xlfn.XLOOKUP(AL1696,Cadastros!$G$6:$G$90,Cadastros!$H$6:$H$90)*(1-0.18),IF($F1696="Mauro José Salanti",_xlfn.XLOOKUP(AL1696,Cadastros!$G$6:$G$90,Cadastros!$H$6:$H$90)*(1-0.18),_xlfn.XLOOKUP(AL1696,Cadastros!$G$6:$G$90,Cadastros!$H$6:$H$90))))</f>
        <v/>
      </c>
      <c r="AO1696" s="168" t="str">
        <f t="shared" si="347"/>
        <v/>
      </c>
      <c r="AP1696" s="168" t="str">
        <f t="shared" si="348"/>
        <v/>
      </c>
      <c r="AQ1696" s="28"/>
      <c r="AR1696" s="28"/>
      <c r="AS1696" s="20" t="str">
        <f>IF(AQ1696="","",IF($F1696="Bernardino Furlan",_xlfn.XLOOKUP(AQ1696,Cadastros!$G$6:$G$90,Cadastros!$H$6:$H$90)*(1-0.18),IF($F1696="Mauro José Salanti",_xlfn.XLOOKUP(AQ1696,Cadastros!$G$6:$G$90,Cadastros!$H$6:$H$90)*(1-0.18),_xlfn.XLOOKUP(AQ1696,Cadastros!$G$6:$G$90,Cadastros!$H$6:$H$90))))</f>
        <v/>
      </c>
      <c r="AT1696" s="168" t="str">
        <f t="shared" si="349"/>
        <v/>
      </c>
      <c r="AU1696" s="168" t="str">
        <f t="shared" si="350"/>
        <v/>
      </c>
      <c r="AV1696" s="227"/>
      <c r="AW1696" s="30"/>
      <c r="AX1696" s="267"/>
      <c r="AY1696" s="267"/>
      <c r="AZ1696" s="29"/>
      <c r="BA1696" s="30"/>
      <c r="BB1696" s="23" t="str" cm="1">
        <f t="array" ref="BB1696">_xlfn.IFS(AW1696="SIM",SUM(K1696,P1696,U1696,Z1696,AE1696,AJ1696,AO1696,AT1696,AX1696,AY1696),F1696&lt;&gt;"",SUM(K1696,P1696,U1696,Z1696,AE1696,AJ1696,,AO1696,AT1696),F1696="","")</f>
        <v/>
      </c>
      <c r="BC1696" s="211" t="str" cm="1">
        <f t="array" ref="BC1696">_xlfn.IFS(E1696="","",G1696&lt;=E1696,BB1696*(1-0.03),G1696&lt;(E1696+8),BB1696,AZ1696="Boleto",BB1696*(1+0.001)^DATEDIF(E1696,G1696,"D"),AZ1696="Cheque",BB1696,AZ1696="Dinheiro","Alterar forma pgto")</f>
        <v/>
      </c>
      <c r="BD1696" s="276" t="str" cm="1">
        <f t="array" ref="BD1696">IF(F1696=0," ",IF(BC1696&lt;BB1696,(_xlfn.IFS(AW1696="SIM",SUM(L1696,Q1696,V1696,AA1696,AF1696,AK1696,AP1696,AU1696)+AX1696/_xlfn.XLOOKUP(_xlfn.XLOOKUP($F1696,Clientes!$B$4:$B$39,Clientes!$C$4:$C$39),Cadastros!$L$6:$L$12,Cadastros!$M$6:$M$12)+IF($F1696="Bernardino Furlan",AY1696/2751.92,IF($F1696="Mauro José Salanti",AY1696/2751.92,AY1696/3356)),F1696&lt;&gt;0,SUM(L1696,Q1696,V1696,AA1696,AF1696,AK1696,AP1696,AU1696)))*(1-0.03),_xlfn.IFS(AW1696="SIM",SUM(L1696,Q1696,V1696,AA1696,AF1696,AK1696,AP1696,AU1696)+AX1696/_xlfn.XLOOKUP(_xlfn.XLOOKUP($F1696,Clientes!$B$4:$B$39,Clientes!$C$4:$C$39),Cadastros!$L$6:$L$12,Cadastros!$M$6:$M$12)+IF($F1696="Bernardino Furlan",AY1696/2751.92,IF($F1696="Mauro José Salanti",AY1696/2751.92,AY1696/3356)),F1696&lt;&gt;0,SUM(L1696,Q1696,V1696,AA1696,AF1696,AK1696,AP1696,AU1696))))</f>
        <v xml:space="preserve"> </v>
      </c>
      <c r="BE1696" s="120"/>
      <c r="BF1696" s="120"/>
      <c r="BG1696" s="120"/>
    </row>
    <row r="1697" spans="1:59" s="3" customFormat="1" x14ac:dyDescent="0.3">
      <c r="A1697" s="15" t="str">
        <f t="shared" si="338"/>
        <v/>
      </c>
      <c r="B1697" s="25"/>
      <c r="C1697" s="26"/>
      <c r="D1697" s="279"/>
      <c r="E1697" s="27"/>
      <c r="F1697" s="28"/>
      <c r="G1697" s="27"/>
      <c r="H1697" s="28"/>
      <c r="I1697" s="28"/>
      <c r="J1697" s="255" t="str">
        <f>IF(H1697="","",(_xlfn.XLOOKUP(H1697,Cadastros!$D$6:$D$90,Cadastros!$E$6:$E$90))*(1-_xlfn.XLOOKUP(_xlfn.XLOOKUP($F1697,Clientes!$B$4:$B$39,Clientes!$C$4:$C$39),Cadastros!$L$6:$L$12,Cadastros!$N$6:$N$12)))</f>
        <v/>
      </c>
      <c r="K1697" s="168" t="str">
        <f t="shared" si="339"/>
        <v/>
      </c>
      <c r="L1697" s="168" t="str">
        <f>IFERROR(K1697/_xlfn.XLOOKUP(_xlfn.XLOOKUP($F1697,Clientes!$B$4:$B$39,Clientes!$C$4:$C$39),Cadastros!$L$6:$L$12,Cadastros!$M$6:$M$12)," ")</f>
        <v xml:space="preserve"> </v>
      </c>
      <c r="M1697" s="28"/>
      <c r="N1697" s="28"/>
      <c r="O1697" s="255" t="str">
        <f>IF(M1697="","",(_xlfn.XLOOKUP(M1697,Cadastros!$D$6:$D$90,Cadastros!$E$6:$E$90))*(1-_xlfn.XLOOKUP(_xlfn.XLOOKUP($F1697,Clientes!$B$4:$B$39,Clientes!$C$4:$C$39),Cadastros!$L$6:$L$12,Cadastros!$N$6:$N$12)))</f>
        <v/>
      </c>
      <c r="P1697" s="168" t="str">
        <f t="shared" si="340"/>
        <v/>
      </c>
      <c r="Q1697" s="168" t="str">
        <f>IFERROR(P1697/_xlfn.XLOOKUP(_xlfn.XLOOKUP($F1697,Clientes!$B$4:$B$39,Clientes!$C$4:$C$39),Cadastros!$L$6:$L$12,Cadastros!$M$6:$M$12)," ")</f>
        <v xml:space="preserve"> </v>
      </c>
      <c r="R1697" s="28"/>
      <c r="S1697" s="28"/>
      <c r="T1697" s="255" t="str">
        <f>IF(R1697="","",(_xlfn.XLOOKUP(R1697,Cadastros!$D$6:$D$90,Cadastros!$E$6:$E$90))*(1-_xlfn.XLOOKUP(_xlfn.XLOOKUP($F1697,Clientes!$B$4:$B$39,Clientes!$C$4:$C$39),Cadastros!$L$6:$L$12,Cadastros!$N$6:$N$12)))</f>
        <v/>
      </c>
      <c r="U1697" s="168" t="str">
        <f t="shared" si="341"/>
        <v/>
      </c>
      <c r="V1697" s="168" t="str">
        <f>IFERROR(U1697/_xlfn.XLOOKUP(_xlfn.XLOOKUP($F1697,Clientes!$B$4:$B$39,Clientes!$C$4:$C$39),Cadastros!$L$6:$L$12,Cadastros!$M$6:$M$12)," ")</f>
        <v xml:space="preserve"> </v>
      </c>
      <c r="W1697" s="28"/>
      <c r="X1697" s="28"/>
      <c r="Y1697" s="255" t="str">
        <f>IF(W1697="","",(_xlfn.XLOOKUP(W1697,Cadastros!$D$6:$D$90,Cadastros!$E$6:$E$90))*(1-_xlfn.XLOOKUP(_xlfn.XLOOKUP($F1697,Clientes!$B$4:$B$39,Clientes!$C$4:$C$39),Cadastros!$L$6:$L$12,Cadastros!$N$6:$N$12)))</f>
        <v/>
      </c>
      <c r="Z1697" s="168" t="str">
        <f t="shared" si="342"/>
        <v/>
      </c>
      <c r="AA1697" s="168" t="str">
        <f>IFERROR(Z1697/_xlfn.XLOOKUP(_xlfn.XLOOKUP($F1697,Clientes!$B$4:$B$39,Clientes!$C$4:$C$39),Cadastros!$L$6:$L$12,Cadastros!$M$6:$M$12)," ")</f>
        <v xml:space="preserve"> </v>
      </c>
      <c r="AB1697" s="28"/>
      <c r="AC1697" s="28"/>
      <c r="AD1697" s="20" t="str">
        <f>IF(AB1697="","",IF($F1697="Bernardino Furlan",_xlfn.XLOOKUP(AB1697,Cadastros!$G$6:$G$90,Cadastros!$H$6:$H$90)*(1-0.18),IF($F1697="Mauro José Salanti",_xlfn.XLOOKUP(AB1697,Cadastros!$G$6:$G$90,Cadastros!$H$6:$H$90)*(1-0.18),_xlfn.XLOOKUP(AB1697,Cadastros!$G$6:$G$90,Cadastros!$H$6:$H$90))))</f>
        <v/>
      </c>
      <c r="AE1697" s="168" t="str">
        <f t="shared" si="343"/>
        <v/>
      </c>
      <c r="AF1697" s="168" t="str">
        <f t="shared" si="344"/>
        <v/>
      </c>
      <c r="AG1697" s="28"/>
      <c r="AH1697" s="28"/>
      <c r="AI1697" s="20" t="str">
        <f>IF(AG1697="","",IF($F1697="Bernardino Furlan",_xlfn.XLOOKUP(AG1697,Cadastros!$G$6:$G$90,Cadastros!$H$6:$H$90)*(1-0.18),IF($F1697="Mauro José Salanti",_xlfn.XLOOKUP(AG1697,Cadastros!$G$6:$G$90,Cadastros!$H$6:$H$90)*(1-0.18),_xlfn.XLOOKUP(AG1697,Cadastros!$G$6:$G$90,Cadastros!$H$6:$H$90))))</f>
        <v/>
      </c>
      <c r="AJ1697" s="168" t="str">
        <f t="shared" si="345"/>
        <v/>
      </c>
      <c r="AK1697" s="168" t="str">
        <f t="shared" si="346"/>
        <v/>
      </c>
      <c r="AL1697" s="28"/>
      <c r="AM1697" s="28"/>
      <c r="AN1697" s="20" t="str">
        <f>IF(AL1697="","",IF($F1697="Bernardino Furlan",_xlfn.XLOOKUP(AL1697,Cadastros!$G$6:$G$90,Cadastros!$H$6:$H$90)*(1-0.18),IF($F1697="Mauro José Salanti",_xlfn.XLOOKUP(AL1697,Cadastros!$G$6:$G$90,Cadastros!$H$6:$H$90)*(1-0.18),_xlfn.XLOOKUP(AL1697,Cadastros!$G$6:$G$90,Cadastros!$H$6:$H$90))))</f>
        <v/>
      </c>
      <c r="AO1697" s="168" t="str">
        <f t="shared" si="347"/>
        <v/>
      </c>
      <c r="AP1697" s="168" t="str">
        <f t="shared" si="348"/>
        <v/>
      </c>
      <c r="AQ1697" s="28"/>
      <c r="AR1697" s="28"/>
      <c r="AS1697" s="20" t="str">
        <f>IF(AQ1697="","",IF($F1697="Bernardino Furlan",_xlfn.XLOOKUP(AQ1697,Cadastros!$G$6:$G$90,Cadastros!$H$6:$H$90)*(1-0.18),IF($F1697="Mauro José Salanti",_xlfn.XLOOKUP(AQ1697,Cadastros!$G$6:$G$90,Cadastros!$H$6:$H$90)*(1-0.18),_xlfn.XLOOKUP(AQ1697,Cadastros!$G$6:$G$90,Cadastros!$H$6:$H$90))))</f>
        <v/>
      </c>
      <c r="AT1697" s="168" t="str">
        <f t="shared" si="349"/>
        <v/>
      </c>
      <c r="AU1697" s="168" t="str">
        <f t="shared" si="350"/>
        <v/>
      </c>
      <c r="AV1697" s="227"/>
      <c r="AW1697" s="30"/>
      <c r="AX1697" s="267"/>
      <c r="AY1697" s="267"/>
      <c r="AZ1697" s="29"/>
      <c r="BA1697" s="30"/>
      <c r="BB1697" s="23" t="str" cm="1">
        <f t="array" ref="BB1697">_xlfn.IFS(AW1697="SIM",SUM(K1697,P1697,U1697,Z1697,AE1697,AJ1697,AO1697,AT1697,AX1697,AY1697),F1697&lt;&gt;"",SUM(K1697,P1697,U1697,Z1697,AE1697,AJ1697,,AO1697,AT1697),F1697="","")</f>
        <v/>
      </c>
      <c r="BC1697" s="211" t="str" cm="1">
        <f t="array" ref="BC1697">_xlfn.IFS(E1697="","",G1697&lt;=E1697,BB1697*(1-0.03),G1697&lt;(E1697+8),BB1697,AZ1697="Boleto",BB1697*(1+0.001)^DATEDIF(E1697,G1697,"D"),AZ1697="Cheque",BB1697,AZ1697="Dinheiro","Alterar forma pgto")</f>
        <v/>
      </c>
      <c r="BD1697" s="276" t="str" cm="1">
        <f t="array" ref="BD1697">IF(F1697=0," ",IF(BC1697&lt;BB1697,(_xlfn.IFS(AW1697="SIM",SUM(L1697,Q1697,V1697,AA1697,AF1697,AK1697,AP1697,AU1697)+AX1697/_xlfn.XLOOKUP(_xlfn.XLOOKUP($F1697,Clientes!$B$4:$B$39,Clientes!$C$4:$C$39),Cadastros!$L$6:$L$12,Cadastros!$M$6:$M$12)+IF($F1697="Bernardino Furlan",AY1697/2751.92,IF($F1697="Mauro José Salanti",AY1697/2751.92,AY1697/3356)),F1697&lt;&gt;0,SUM(L1697,Q1697,V1697,AA1697,AF1697,AK1697,AP1697,AU1697)))*(1-0.03),_xlfn.IFS(AW1697="SIM",SUM(L1697,Q1697,V1697,AA1697,AF1697,AK1697,AP1697,AU1697)+AX1697/_xlfn.XLOOKUP(_xlfn.XLOOKUP($F1697,Clientes!$B$4:$B$39,Clientes!$C$4:$C$39),Cadastros!$L$6:$L$12,Cadastros!$M$6:$M$12)+IF($F1697="Bernardino Furlan",AY1697/2751.92,IF($F1697="Mauro José Salanti",AY1697/2751.92,AY1697/3356)),F1697&lt;&gt;0,SUM(L1697,Q1697,V1697,AA1697,AF1697,AK1697,AP1697,AU1697))))</f>
        <v xml:space="preserve"> </v>
      </c>
      <c r="BE1697" s="120"/>
      <c r="BF1697" s="120"/>
      <c r="BG1697" s="120"/>
    </row>
    <row r="1698" spans="1:59" s="3" customFormat="1" x14ac:dyDescent="0.3">
      <c r="A1698" s="15" t="str">
        <f t="shared" si="338"/>
        <v/>
      </c>
      <c r="B1698" s="25"/>
      <c r="C1698" s="26"/>
      <c r="D1698" s="279"/>
      <c r="E1698" s="27"/>
      <c r="F1698" s="28"/>
      <c r="G1698" s="27"/>
      <c r="H1698" s="28"/>
      <c r="I1698" s="28"/>
      <c r="J1698" s="255" t="str">
        <f>IF(H1698="","",(_xlfn.XLOOKUP(H1698,Cadastros!$D$6:$D$90,Cadastros!$E$6:$E$90))*(1-_xlfn.XLOOKUP(_xlfn.XLOOKUP($F1698,Clientes!$B$4:$B$39,Clientes!$C$4:$C$39),Cadastros!$L$6:$L$12,Cadastros!$N$6:$N$12)))</f>
        <v/>
      </c>
      <c r="K1698" s="168" t="str">
        <f t="shared" si="339"/>
        <v/>
      </c>
      <c r="L1698" s="168" t="str">
        <f>IFERROR(K1698/_xlfn.XLOOKUP(_xlfn.XLOOKUP($F1698,Clientes!$B$4:$B$39,Clientes!$C$4:$C$39),Cadastros!$L$6:$L$12,Cadastros!$M$6:$M$12)," ")</f>
        <v xml:space="preserve"> </v>
      </c>
      <c r="M1698" s="28"/>
      <c r="N1698" s="28"/>
      <c r="O1698" s="255" t="str">
        <f>IF(M1698="","",(_xlfn.XLOOKUP(M1698,Cadastros!$D$6:$D$90,Cadastros!$E$6:$E$90))*(1-_xlfn.XLOOKUP(_xlfn.XLOOKUP($F1698,Clientes!$B$4:$B$39,Clientes!$C$4:$C$39),Cadastros!$L$6:$L$12,Cadastros!$N$6:$N$12)))</f>
        <v/>
      </c>
      <c r="P1698" s="168" t="str">
        <f t="shared" si="340"/>
        <v/>
      </c>
      <c r="Q1698" s="168" t="str">
        <f>IFERROR(P1698/_xlfn.XLOOKUP(_xlfn.XLOOKUP($F1698,Clientes!$B$4:$B$39,Clientes!$C$4:$C$39),Cadastros!$L$6:$L$12,Cadastros!$M$6:$M$12)," ")</f>
        <v xml:space="preserve"> </v>
      </c>
      <c r="R1698" s="28"/>
      <c r="S1698" s="28"/>
      <c r="T1698" s="255" t="str">
        <f>IF(R1698="","",(_xlfn.XLOOKUP(R1698,Cadastros!$D$6:$D$90,Cadastros!$E$6:$E$90))*(1-_xlfn.XLOOKUP(_xlfn.XLOOKUP($F1698,Clientes!$B$4:$B$39,Clientes!$C$4:$C$39),Cadastros!$L$6:$L$12,Cadastros!$N$6:$N$12)))</f>
        <v/>
      </c>
      <c r="U1698" s="168" t="str">
        <f t="shared" si="341"/>
        <v/>
      </c>
      <c r="V1698" s="168" t="str">
        <f>IFERROR(U1698/_xlfn.XLOOKUP(_xlfn.XLOOKUP($F1698,Clientes!$B$4:$B$39,Clientes!$C$4:$C$39),Cadastros!$L$6:$L$12,Cadastros!$M$6:$M$12)," ")</f>
        <v xml:space="preserve"> </v>
      </c>
      <c r="W1698" s="28"/>
      <c r="X1698" s="28"/>
      <c r="Y1698" s="255" t="str">
        <f>IF(W1698="","",(_xlfn.XLOOKUP(W1698,Cadastros!$D$6:$D$90,Cadastros!$E$6:$E$90))*(1-_xlfn.XLOOKUP(_xlfn.XLOOKUP($F1698,Clientes!$B$4:$B$39,Clientes!$C$4:$C$39),Cadastros!$L$6:$L$12,Cadastros!$N$6:$N$12)))</f>
        <v/>
      </c>
      <c r="Z1698" s="168" t="str">
        <f t="shared" si="342"/>
        <v/>
      </c>
      <c r="AA1698" s="168" t="str">
        <f>IFERROR(Z1698/_xlfn.XLOOKUP(_xlfn.XLOOKUP($F1698,Clientes!$B$4:$B$39,Clientes!$C$4:$C$39),Cadastros!$L$6:$L$12,Cadastros!$M$6:$M$12)," ")</f>
        <v xml:space="preserve"> </v>
      </c>
      <c r="AB1698" s="28"/>
      <c r="AC1698" s="28"/>
      <c r="AD1698" s="20" t="str">
        <f>IF(AB1698="","",IF($F1698="Bernardino Furlan",_xlfn.XLOOKUP(AB1698,Cadastros!$G$6:$G$90,Cadastros!$H$6:$H$90)*(1-0.18),IF($F1698="Mauro José Salanti",_xlfn.XLOOKUP(AB1698,Cadastros!$G$6:$G$90,Cadastros!$H$6:$H$90)*(1-0.18),_xlfn.XLOOKUP(AB1698,Cadastros!$G$6:$G$90,Cadastros!$H$6:$H$90))))</f>
        <v/>
      </c>
      <c r="AE1698" s="168" t="str">
        <f t="shared" si="343"/>
        <v/>
      </c>
      <c r="AF1698" s="168" t="str">
        <f t="shared" si="344"/>
        <v/>
      </c>
      <c r="AG1698" s="28"/>
      <c r="AH1698" s="28"/>
      <c r="AI1698" s="20" t="str">
        <f>IF(AG1698="","",IF($F1698="Bernardino Furlan",_xlfn.XLOOKUP(AG1698,Cadastros!$G$6:$G$90,Cadastros!$H$6:$H$90)*(1-0.18),IF($F1698="Mauro José Salanti",_xlfn.XLOOKUP(AG1698,Cadastros!$G$6:$G$90,Cadastros!$H$6:$H$90)*(1-0.18),_xlfn.XLOOKUP(AG1698,Cadastros!$G$6:$G$90,Cadastros!$H$6:$H$90))))</f>
        <v/>
      </c>
      <c r="AJ1698" s="168" t="str">
        <f t="shared" si="345"/>
        <v/>
      </c>
      <c r="AK1698" s="168" t="str">
        <f t="shared" si="346"/>
        <v/>
      </c>
      <c r="AL1698" s="28"/>
      <c r="AM1698" s="28"/>
      <c r="AN1698" s="20" t="str">
        <f>IF(AL1698="","",IF($F1698="Bernardino Furlan",_xlfn.XLOOKUP(AL1698,Cadastros!$G$6:$G$90,Cadastros!$H$6:$H$90)*(1-0.18),IF($F1698="Mauro José Salanti",_xlfn.XLOOKUP(AL1698,Cadastros!$G$6:$G$90,Cadastros!$H$6:$H$90)*(1-0.18),_xlfn.XLOOKUP(AL1698,Cadastros!$G$6:$G$90,Cadastros!$H$6:$H$90))))</f>
        <v/>
      </c>
      <c r="AO1698" s="168" t="str">
        <f t="shared" si="347"/>
        <v/>
      </c>
      <c r="AP1698" s="168" t="str">
        <f t="shared" si="348"/>
        <v/>
      </c>
      <c r="AQ1698" s="28"/>
      <c r="AR1698" s="28"/>
      <c r="AS1698" s="20" t="str">
        <f>IF(AQ1698="","",IF($F1698="Bernardino Furlan",_xlfn.XLOOKUP(AQ1698,Cadastros!$G$6:$G$90,Cadastros!$H$6:$H$90)*(1-0.18),IF($F1698="Mauro José Salanti",_xlfn.XLOOKUP(AQ1698,Cadastros!$G$6:$G$90,Cadastros!$H$6:$H$90)*(1-0.18),_xlfn.XLOOKUP(AQ1698,Cadastros!$G$6:$G$90,Cadastros!$H$6:$H$90))))</f>
        <v/>
      </c>
      <c r="AT1698" s="168" t="str">
        <f t="shared" si="349"/>
        <v/>
      </c>
      <c r="AU1698" s="168" t="str">
        <f t="shared" si="350"/>
        <v/>
      </c>
      <c r="AV1698" s="227"/>
      <c r="AW1698" s="30"/>
      <c r="AX1698" s="267"/>
      <c r="AY1698" s="267"/>
      <c r="AZ1698" s="29"/>
      <c r="BA1698" s="30"/>
      <c r="BB1698" s="23" t="str" cm="1">
        <f t="array" ref="BB1698">_xlfn.IFS(AW1698="SIM",SUM(K1698,P1698,U1698,Z1698,AE1698,AJ1698,AO1698,AT1698,AX1698,AY1698),F1698&lt;&gt;"",SUM(K1698,P1698,U1698,Z1698,AE1698,AJ1698,,AO1698,AT1698),F1698="","")</f>
        <v/>
      </c>
      <c r="BC1698" s="211" t="str" cm="1">
        <f t="array" ref="BC1698">_xlfn.IFS(E1698="","",G1698&lt;=E1698,BB1698*(1-0.03),G1698&lt;(E1698+8),BB1698,AZ1698="Boleto",BB1698*(1+0.001)^DATEDIF(E1698,G1698,"D"),AZ1698="Cheque",BB1698,AZ1698="Dinheiro","Alterar forma pgto")</f>
        <v/>
      </c>
      <c r="BD1698" s="276" t="str" cm="1">
        <f t="array" ref="BD1698">IF(F1698=0," ",IF(BC1698&lt;BB1698,(_xlfn.IFS(AW1698="SIM",SUM(L1698,Q1698,V1698,AA1698,AF1698,AK1698,AP1698,AU1698)+AX1698/_xlfn.XLOOKUP(_xlfn.XLOOKUP($F1698,Clientes!$B$4:$B$39,Clientes!$C$4:$C$39),Cadastros!$L$6:$L$12,Cadastros!$M$6:$M$12)+IF($F1698="Bernardino Furlan",AY1698/2751.92,IF($F1698="Mauro José Salanti",AY1698/2751.92,AY1698/3356)),F1698&lt;&gt;0,SUM(L1698,Q1698,V1698,AA1698,AF1698,AK1698,AP1698,AU1698)))*(1-0.03),_xlfn.IFS(AW1698="SIM",SUM(L1698,Q1698,V1698,AA1698,AF1698,AK1698,AP1698,AU1698)+AX1698/_xlfn.XLOOKUP(_xlfn.XLOOKUP($F1698,Clientes!$B$4:$B$39,Clientes!$C$4:$C$39),Cadastros!$L$6:$L$12,Cadastros!$M$6:$M$12)+IF($F1698="Bernardino Furlan",AY1698/2751.92,IF($F1698="Mauro José Salanti",AY1698/2751.92,AY1698/3356)),F1698&lt;&gt;0,SUM(L1698,Q1698,V1698,AA1698,AF1698,AK1698,AP1698,AU1698))))</f>
        <v xml:space="preserve"> </v>
      </c>
      <c r="BE1698" s="120"/>
      <c r="BF1698" s="120"/>
      <c r="BG1698" s="120"/>
    </row>
    <row r="1699" spans="1:59" s="3" customFormat="1" x14ac:dyDescent="0.3">
      <c r="A1699" s="15" t="str">
        <f t="shared" si="338"/>
        <v/>
      </c>
      <c r="B1699" s="25"/>
      <c r="C1699" s="26"/>
      <c r="D1699" s="279"/>
      <c r="E1699" s="27"/>
      <c r="F1699" s="28"/>
      <c r="G1699" s="27"/>
      <c r="H1699" s="28"/>
      <c r="I1699" s="28"/>
      <c r="J1699" s="255" t="str">
        <f>IF(H1699="","",(_xlfn.XLOOKUP(H1699,Cadastros!$D$6:$D$90,Cadastros!$E$6:$E$90))*(1-_xlfn.XLOOKUP(_xlfn.XLOOKUP($F1699,Clientes!$B$4:$B$39,Clientes!$C$4:$C$39),Cadastros!$L$6:$L$12,Cadastros!$N$6:$N$12)))</f>
        <v/>
      </c>
      <c r="K1699" s="168" t="str">
        <f t="shared" si="339"/>
        <v/>
      </c>
      <c r="L1699" s="168" t="str">
        <f>IFERROR(K1699/_xlfn.XLOOKUP(_xlfn.XLOOKUP($F1699,Clientes!$B$4:$B$39,Clientes!$C$4:$C$39),Cadastros!$L$6:$L$12,Cadastros!$M$6:$M$12)," ")</f>
        <v xml:space="preserve"> </v>
      </c>
      <c r="M1699" s="28"/>
      <c r="N1699" s="28"/>
      <c r="O1699" s="255" t="str">
        <f>IF(M1699="","",(_xlfn.XLOOKUP(M1699,Cadastros!$D$6:$D$90,Cadastros!$E$6:$E$90))*(1-_xlfn.XLOOKUP(_xlfn.XLOOKUP($F1699,Clientes!$B$4:$B$39,Clientes!$C$4:$C$39),Cadastros!$L$6:$L$12,Cadastros!$N$6:$N$12)))</f>
        <v/>
      </c>
      <c r="P1699" s="168" t="str">
        <f t="shared" si="340"/>
        <v/>
      </c>
      <c r="Q1699" s="168" t="str">
        <f>IFERROR(P1699/_xlfn.XLOOKUP(_xlfn.XLOOKUP($F1699,Clientes!$B$4:$B$39,Clientes!$C$4:$C$39),Cadastros!$L$6:$L$12,Cadastros!$M$6:$M$12)," ")</f>
        <v xml:space="preserve"> </v>
      </c>
      <c r="R1699" s="28"/>
      <c r="S1699" s="28"/>
      <c r="T1699" s="255" t="str">
        <f>IF(R1699="","",(_xlfn.XLOOKUP(R1699,Cadastros!$D$6:$D$90,Cadastros!$E$6:$E$90))*(1-_xlfn.XLOOKUP(_xlfn.XLOOKUP($F1699,Clientes!$B$4:$B$39,Clientes!$C$4:$C$39),Cadastros!$L$6:$L$12,Cadastros!$N$6:$N$12)))</f>
        <v/>
      </c>
      <c r="U1699" s="168" t="str">
        <f t="shared" si="341"/>
        <v/>
      </c>
      <c r="V1699" s="168" t="str">
        <f>IFERROR(U1699/_xlfn.XLOOKUP(_xlfn.XLOOKUP($F1699,Clientes!$B$4:$B$39,Clientes!$C$4:$C$39),Cadastros!$L$6:$L$12,Cadastros!$M$6:$M$12)," ")</f>
        <v xml:space="preserve"> </v>
      </c>
      <c r="W1699" s="28"/>
      <c r="X1699" s="28"/>
      <c r="Y1699" s="255" t="str">
        <f>IF(W1699="","",(_xlfn.XLOOKUP(W1699,Cadastros!$D$6:$D$90,Cadastros!$E$6:$E$90))*(1-_xlfn.XLOOKUP(_xlfn.XLOOKUP($F1699,Clientes!$B$4:$B$39,Clientes!$C$4:$C$39),Cadastros!$L$6:$L$12,Cadastros!$N$6:$N$12)))</f>
        <v/>
      </c>
      <c r="Z1699" s="168" t="str">
        <f t="shared" si="342"/>
        <v/>
      </c>
      <c r="AA1699" s="168" t="str">
        <f>IFERROR(Z1699/_xlfn.XLOOKUP(_xlfn.XLOOKUP($F1699,Clientes!$B$4:$B$39,Clientes!$C$4:$C$39),Cadastros!$L$6:$L$12,Cadastros!$M$6:$M$12)," ")</f>
        <v xml:space="preserve"> </v>
      </c>
      <c r="AB1699" s="28"/>
      <c r="AC1699" s="28"/>
      <c r="AD1699" s="20" t="str">
        <f>IF(AB1699="","",IF($F1699="Bernardino Furlan",_xlfn.XLOOKUP(AB1699,Cadastros!$G$6:$G$90,Cadastros!$H$6:$H$90)*(1-0.18),IF($F1699="Mauro José Salanti",_xlfn.XLOOKUP(AB1699,Cadastros!$G$6:$G$90,Cadastros!$H$6:$H$90)*(1-0.18),_xlfn.XLOOKUP(AB1699,Cadastros!$G$6:$G$90,Cadastros!$H$6:$H$90))))</f>
        <v/>
      </c>
      <c r="AE1699" s="168" t="str">
        <f t="shared" si="343"/>
        <v/>
      </c>
      <c r="AF1699" s="168" t="str">
        <f t="shared" si="344"/>
        <v/>
      </c>
      <c r="AG1699" s="28"/>
      <c r="AH1699" s="28"/>
      <c r="AI1699" s="20" t="str">
        <f>IF(AG1699="","",IF($F1699="Bernardino Furlan",_xlfn.XLOOKUP(AG1699,Cadastros!$G$6:$G$90,Cadastros!$H$6:$H$90)*(1-0.18),IF($F1699="Mauro José Salanti",_xlfn.XLOOKUP(AG1699,Cadastros!$G$6:$G$90,Cadastros!$H$6:$H$90)*(1-0.18),_xlfn.XLOOKUP(AG1699,Cadastros!$G$6:$G$90,Cadastros!$H$6:$H$90))))</f>
        <v/>
      </c>
      <c r="AJ1699" s="168" t="str">
        <f t="shared" si="345"/>
        <v/>
      </c>
      <c r="AK1699" s="168" t="str">
        <f t="shared" si="346"/>
        <v/>
      </c>
      <c r="AL1699" s="28"/>
      <c r="AM1699" s="28"/>
      <c r="AN1699" s="20" t="str">
        <f>IF(AL1699="","",IF($F1699="Bernardino Furlan",_xlfn.XLOOKUP(AL1699,Cadastros!$G$6:$G$90,Cadastros!$H$6:$H$90)*(1-0.18),IF($F1699="Mauro José Salanti",_xlfn.XLOOKUP(AL1699,Cadastros!$G$6:$G$90,Cadastros!$H$6:$H$90)*(1-0.18),_xlfn.XLOOKUP(AL1699,Cadastros!$G$6:$G$90,Cadastros!$H$6:$H$90))))</f>
        <v/>
      </c>
      <c r="AO1699" s="168" t="str">
        <f t="shared" si="347"/>
        <v/>
      </c>
      <c r="AP1699" s="168" t="str">
        <f t="shared" si="348"/>
        <v/>
      </c>
      <c r="AQ1699" s="28"/>
      <c r="AR1699" s="28"/>
      <c r="AS1699" s="20" t="str">
        <f>IF(AQ1699="","",IF($F1699="Bernardino Furlan",_xlfn.XLOOKUP(AQ1699,Cadastros!$G$6:$G$90,Cadastros!$H$6:$H$90)*(1-0.18),IF($F1699="Mauro José Salanti",_xlfn.XLOOKUP(AQ1699,Cadastros!$G$6:$G$90,Cadastros!$H$6:$H$90)*(1-0.18),_xlfn.XLOOKUP(AQ1699,Cadastros!$G$6:$G$90,Cadastros!$H$6:$H$90))))</f>
        <v/>
      </c>
      <c r="AT1699" s="168" t="str">
        <f t="shared" si="349"/>
        <v/>
      </c>
      <c r="AU1699" s="168" t="str">
        <f t="shared" si="350"/>
        <v/>
      </c>
      <c r="AV1699" s="227"/>
      <c r="AW1699" s="30"/>
      <c r="AX1699" s="267"/>
      <c r="AY1699" s="267"/>
      <c r="AZ1699" s="29"/>
      <c r="BA1699" s="30"/>
      <c r="BB1699" s="23" t="str" cm="1">
        <f t="array" ref="BB1699">_xlfn.IFS(AW1699="SIM",SUM(K1699,P1699,U1699,Z1699,AE1699,AJ1699,AO1699,AT1699,AX1699,AY1699),F1699&lt;&gt;"",SUM(K1699,P1699,U1699,Z1699,AE1699,AJ1699,,AO1699,AT1699),F1699="","")</f>
        <v/>
      </c>
      <c r="BC1699" s="211" t="str" cm="1">
        <f t="array" ref="BC1699">_xlfn.IFS(E1699="","",G1699&lt;=E1699,BB1699*(1-0.03),G1699&lt;(E1699+8),BB1699,AZ1699="Boleto",BB1699*(1+0.001)^DATEDIF(E1699,G1699,"D"),AZ1699="Cheque",BB1699,AZ1699="Dinheiro","Alterar forma pgto")</f>
        <v/>
      </c>
      <c r="BD1699" s="276" t="str" cm="1">
        <f t="array" ref="BD1699">IF(F1699=0," ",IF(BC1699&lt;BB1699,(_xlfn.IFS(AW1699="SIM",SUM(L1699,Q1699,V1699,AA1699,AF1699,AK1699,AP1699,AU1699)+AX1699/_xlfn.XLOOKUP(_xlfn.XLOOKUP($F1699,Clientes!$B$4:$B$39,Clientes!$C$4:$C$39),Cadastros!$L$6:$L$12,Cadastros!$M$6:$M$12)+IF($F1699="Bernardino Furlan",AY1699/2751.92,IF($F1699="Mauro José Salanti",AY1699/2751.92,AY1699/3356)),F1699&lt;&gt;0,SUM(L1699,Q1699,V1699,AA1699,AF1699,AK1699,AP1699,AU1699)))*(1-0.03),_xlfn.IFS(AW1699="SIM",SUM(L1699,Q1699,V1699,AA1699,AF1699,AK1699,AP1699,AU1699)+AX1699/_xlfn.XLOOKUP(_xlfn.XLOOKUP($F1699,Clientes!$B$4:$B$39,Clientes!$C$4:$C$39),Cadastros!$L$6:$L$12,Cadastros!$M$6:$M$12)+IF($F1699="Bernardino Furlan",AY1699/2751.92,IF($F1699="Mauro José Salanti",AY1699/2751.92,AY1699/3356)),F1699&lt;&gt;0,SUM(L1699,Q1699,V1699,AA1699,AF1699,AK1699,AP1699,AU1699))))</f>
        <v xml:space="preserve"> </v>
      </c>
      <c r="BE1699" s="120"/>
      <c r="BF1699" s="120"/>
      <c r="BG1699" s="120"/>
    </row>
    <row r="1700" spans="1:59" s="3" customFormat="1" x14ac:dyDescent="0.3">
      <c r="A1700" s="15" t="str">
        <f t="shared" si="338"/>
        <v/>
      </c>
      <c r="B1700" s="25"/>
      <c r="C1700" s="26"/>
      <c r="D1700" s="279"/>
      <c r="E1700" s="27"/>
      <c r="F1700" s="28"/>
      <c r="G1700" s="27"/>
      <c r="H1700" s="28"/>
      <c r="I1700" s="28"/>
      <c r="J1700" s="255" t="str">
        <f>IF(H1700="","",(_xlfn.XLOOKUP(H1700,Cadastros!$D$6:$D$90,Cadastros!$E$6:$E$90))*(1-_xlfn.XLOOKUP(_xlfn.XLOOKUP($F1700,Clientes!$B$4:$B$39,Clientes!$C$4:$C$39),Cadastros!$L$6:$L$12,Cadastros!$N$6:$N$12)))</f>
        <v/>
      </c>
      <c r="K1700" s="168" t="str">
        <f t="shared" si="339"/>
        <v/>
      </c>
      <c r="L1700" s="168" t="str">
        <f>IFERROR(K1700/_xlfn.XLOOKUP(_xlfn.XLOOKUP($F1700,Clientes!$B$4:$B$39,Clientes!$C$4:$C$39),Cadastros!$L$6:$L$12,Cadastros!$M$6:$M$12)," ")</f>
        <v xml:space="preserve"> </v>
      </c>
      <c r="M1700" s="28"/>
      <c r="N1700" s="28"/>
      <c r="O1700" s="255" t="str">
        <f>IF(M1700="","",(_xlfn.XLOOKUP(M1700,Cadastros!$D$6:$D$90,Cadastros!$E$6:$E$90))*(1-_xlfn.XLOOKUP(_xlfn.XLOOKUP($F1700,Clientes!$B$4:$B$39,Clientes!$C$4:$C$39),Cadastros!$L$6:$L$12,Cadastros!$N$6:$N$12)))</f>
        <v/>
      </c>
      <c r="P1700" s="168" t="str">
        <f t="shared" si="340"/>
        <v/>
      </c>
      <c r="Q1700" s="168" t="str">
        <f>IFERROR(P1700/_xlfn.XLOOKUP(_xlfn.XLOOKUP($F1700,Clientes!$B$4:$B$39,Clientes!$C$4:$C$39),Cadastros!$L$6:$L$12,Cadastros!$M$6:$M$12)," ")</f>
        <v xml:space="preserve"> </v>
      </c>
      <c r="R1700" s="28"/>
      <c r="S1700" s="28"/>
      <c r="T1700" s="255" t="str">
        <f>IF(R1700="","",(_xlfn.XLOOKUP(R1700,Cadastros!$D$6:$D$90,Cadastros!$E$6:$E$90))*(1-_xlfn.XLOOKUP(_xlfn.XLOOKUP($F1700,Clientes!$B$4:$B$39,Clientes!$C$4:$C$39),Cadastros!$L$6:$L$12,Cadastros!$N$6:$N$12)))</f>
        <v/>
      </c>
      <c r="U1700" s="168" t="str">
        <f t="shared" si="341"/>
        <v/>
      </c>
      <c r="V1700" s="168" t="str">
        <f>IFERROR(U1700/_xlfn.XLOOKUP(_xlfn.XLOOKUP($F1700,Clientes!$B$4:$B$39,Clientes!$C$4:$C$39),Cadastros!$L$6:$L$12,Cadastros!$M$6:$M$12)," ")</f>
        <v xml:space="preserve"> </v>
      </c>
      <c r="W1700" s="28"/>
      <c r="X1700" s="28"/>
      <c r="Y1700" s="255" t="str">
        <f>IF(W1700="","",(_xlfn.XLOOKUP(W1700,Cadastros!$D$6:$D$90,Cadastros!$E$6:$E$90))*(1-_xlfn.XLOOKUP(_xlfn.XLOOKUP($F1700,Clientes!$B$4:$B$39,Clientes!$C$4:$C$39),Cadastros!$L$6:$L$12,Cadastros!$N$6:$N$12)))</f>
        <v/>
      </c>
      <c r="Z1700" s="168" t="str">
        <f t="shared" si="342"/>
        <v/>
      </c>
      <c r="AA1700" s="168" t="str">
        <f>IFERROR(Z1700/_xlfn.XLOOKUP(_xlfn.XLOOKUP($F1700,Clientes!$B$4:$B$39,Clientes!$C$4:$C$39),Cadastros!$L$6:$L$12,Cadastros!$M$6:$M$12)," ")</f>
        <v xml:space="preserve"> </v>
      </c>
      <c r="AB1700" s="28"/>
      <c r="AC1700" s="28"/>
      <c r="AD1700" s="20" t="str">
        <f>IF(AB1700="","",IF($F1700="Bernardino Furlan",_xlfn.XLOOKUP(AB1700,Cadastros!$G$6:$G$90,Cadastros!$H$6:$H$90)*(1-0.18),IF($F1700="Mauro José Salanti",_xlfn.XLOOKUP(AB1700,Cadastros!$G$6:$G$90,Cadastros!$H$6:$H$90)*(1-0.18),_xlfn.XLOOKUP(AB1700,Cadastros!$G$6:$G$90,Cadastros!$H$6:$H$90))))</f>
        <v/>
      </c>
      <c r="AE1700" s="168" t="str">
        <f t="shared" si="343"/>
        <v/>
      </c>
      <c r="AF1700" s="168" t="str">
        <f t="shared" si="344"/>
        <v/>
      </c>
      <c r="AG1700" s="28"/>
      <c r="AH1700" s="28"/>
      <c r="AI1700" s="20" t="str">
        <f>IF(AG1700="","",IF($F1700="Bernardino Furlan",_xlfn.XLOOKUP(AG1700,Cadastros!$G$6:$G$90,Cadastros!$H$6:$H$90)*(1-0.18),IF($F1700="Mauro José Salanti",_xlfn.XLOOKUP(AG1700,Cadastros!$G$6:$G$90,Cadastros!$H$6:$H$90)*(1-0.18),_xlfn.XLOOKUP(AG1700,Cadastros!$G$6:$G$90,Cadastros!$H$6:$H$90))))</f>
        <v/>
      </c>
      <c r="AJ1700" s="168" t="str">
        <f t="shared" si="345"/>
        <v/>
      </c>
      <c r="AK1700" s="168" t="str">
        <f t="shared" si="346"/>
        <v/>
      </c>
      <c r="AL1700" s="28"/>
      <c r="AM1700" s="28"/>
      <c r="AN1700" s="20" t="str">
        <f>IF(AL1700="","",IF($F1700="Bernardino Furlan",_xlfn.XLOOKUP(AL1700,Cadastros!$G$6:$G$90,Cadastros!$H$6:$H$90)*(1-0.18),IF($F1700="Mauro José Salanti",_xlfn.XLOOKUP(AL1700,Cadastros!$G$6:$G$90,Cadastros!$H$6:$H$90)*(1-0.18),_xlfn.XLOOKUP(AL1700,Cadastros!$G$6:$G$90,Cadastros!$H$6:$H$90))))</f>
        <v/>
      </c>
      <c r="AO1700" s="168" t="str">
        <f t="shared" si="347"/>
        <v/>
      </c>
      <c r="AP1700" s="168" t="str">
        <f t="shared" si="348"/>
        <v/>
      </c>
      <c r="AQ1700" s="28"/>
      <c r="AR1700" s="28"/>
      <c r="AS1700" s="20" t="str">
        <f>IF(AQ1700="","",IF($F1700="Bernardino Furlan",_xlfn.XLOOKUP(AQ1700,Cadastros!$G$6:$G$90,Cadastros!$H$6:$H$90)*(1-0.18),IF($F1700="Mauro José Salanti",_xlfn.XLOOKUP(AQ1700,Cadastros!$G$6:$G$90,Cadastros!$H$6:$H$90)*(1-0.18),_xlfn.XLOOKUP(AQ1700,Cadastros!$G$6:$G$90,Cadastros!$H$6:$H$90))))</f>
        <v/>
      </c>
      <c r="AT1700" s="168" t="str">
        <f t="shared" si="349"/>
        <v/>
      </c>
      <c r="AU1700" s="168" t="str">
        <f t="shared" si="350"/>
        <v/>
      </c>
      <c r="AV1700" s="227"/>
      <c r="AW1700" s="30"/>
      <c r="AX1700" s="267"/>
      <c r="AY1700" s="267"/>
      <c r="AZ1700" s="29"/>
      <c r="BA1700" s="30"/>
      <c r="BB1700" s="23" t="str" cm="1">
        <f t="array" ref="BB1700">_xlfn.IFS(AW1700="SIM",SUM(K1700,P1700,U1700,Z1700,AE1700,AJ1700,AO1700,AT1700,AX1700,AY1700),F1700&lt;&gt;"",SUM(K1700,P1700,U1700,Z1700,AE1700,AJ1700,,AO1700,AT1700),F1700="","")</f>
        <v/>
      </c>
      <c r="BC1700" s="211" t="str" cm="1">
        <f t="array" ref="BC1700">_xlfn.IFS(E1700="","",G1700&lt;=E1700,BB1700*(1-0.03),G1700&lt;(E1700+8),BB1700,AZ1700="Boleto",BB1700*(1+0.001)^DATEDIF(E1700,G1700,"D"),AZ1700="Cheque",BB1700,AZ1700="Dinheiro","Alterar forma pgto")</f>
        <v/>
      </c>
      <c r="BD1700" s="276" t="str" cm="1">
        <f t="array" ref="BD1700">IF(F1700=0," ",IF(BC1700&lt;BB1700,(_xlfn.IFS(AW1700="SIM",SUM(L1700,Q1700,V1700,AA1700,AF1700,AK1700,AP1700,AU1700)+AX1700/_xlfn.XLOOKUP(_xlfn.XLOOKUP($F1700,Clientes!$B$4:$B$39,Clientes!$C$4:$C$39),Cadastros!$L$6:$L$12,Cadastros!$M$6:$M$12)+IF($F1700="Bernardino Furlan",AY1700/2751.92,IF($F1700="Mauro José Salanti",AY1700/2751.92,AY1700/3356)),F1700&lt;&gt;0,SUM(L1700,Q1700,V1700,AA1700,AF1700,AK1700,AP1700,AU1700)))*(1-0.03),_xlfn.IFS(AW1700="SIM",SUM(L1700,Q1700,V1700,AA1700,AF1700,AK1700,AP1700,AU1700)+AX1700/_xlfn.XLOOKUP(_xlfn.XLOOKUP($F1700,Clientes!$B$4:$B$39,Clientes!$C$4:$C$39),Cadastros!$L$6:$L$12,Cadastros!$M$6:$M$12)+IF($F1700="Bernardino Furlan",AY1700/2751.92,IF($F1700="Mauro José Salanti",AY1700/2751.92,AY1700/3356)),F1700&lt;&gt;0,SUM(L1700,Q1700,V1700,AA1700,AF1700,AK1700,AP1700,AU1700))))</f>
        <v xml:space="preserve"> </v>
      </c>
      <c r="BE1700" s="120"/>
      <c r="BF1700" s="120"/>
      <c r="BG1700" s="120"/>
    </row>
    <row r="1701" spans="1:59" s="3" customFormat="1" x14ac:dyDescent="0.3">
      <c r="A1701" s="15" t="str">
        <f t="shared" si="338"/>
        <v/>
      </c>
      <c r="B1701" s="25"/>
      <c r="C1701" s="26"/>
      <c r="D1701" s="279"/>
      <c r="E1701" s="27"/>
      <c r="F1701" s="28"/>
      <c r="G1701" s="27"/>
      <c r="H1701" s="28"/>
      <c r="I1701" s="28"/>
      <c r="J1701" s="255" t="str">
        <f>IF(H1701="","",(_xlfn.XLOOKUP(H1701,Cadastros!$D$6:$D$90,Cadastros!$E$6:$E$90))*(1-_xlfn.XLOOKUP(_xlfn.XLOOKUP($F1701,Clientes!$B$4:$B$39,Clientes!$C$4:$C$39),Cadastros!$L$6:$L$12,Cadastros!$N$6:$N$12)))</f>
        <v/>
      </c>
      <c r="K1701" s="168" t="str">
        <f t="shared" si="339"/>
        <v/>
      </c>
      <c r="L1701" s="168" t="str">
        <f>IFERROR(K1701/_xlfn.XLOOKUP(_xlfn.XLOOKUP($F1701,Clientes!$B$4:$B$39,Clientes!$C$4:$C$39),Cadastros!$L$6:$L$12,Cadastros!$M$6:$M$12)," ")</f>
        <v xml:space="preserve"> </v>
      </c>
      <c r="M1701" s="28"/>
      <c r="N1701" s="28"/>
      <c r="O1701" s="255" t="str">
        <f>IF(M1701="","",(_xlfn.XLOOKUP(M1701,Cadastros!$D$6:$D$90,Cadastros!$E$6:$E$90))*(1-_xlfn.XLOOKUP(_xlfn.XLOOKUP($F1701,Clientes!$B$4:$B$39,Clientes!$C$4:$C$39),Cadastros!$L$6:$L$12,Cadastros!$N$6:$N$12)))</f>
        <v/>
      </c>
      <c r="P1701" s="168" t="str">
        <f t="shared" si="340"/>
        <v/>
      </c>
      <c r="Q1701" s="168" t="str">
        <f>IFERROR(P1701/_xlfn.XLOOKUP(_xlfn.XLOOKUP($F1701,Clientes!$B$4:$B$39,Clientes!$C$4:$C$39),Cadastros!$L$6:$L$12,Cadastros!$M$6:$M$12)," ")</f>
        <v xml:space="preserve"> </v>
      </c>
      <c r="R1701" s="28"/>
      <c r="S1701" s="28"/>
      <c r="T1701" s="255" t="str">
        <f>IF(R1701="","",(_xlfn.XLOOKUP(R1701,Cadastros!$D$6:$D$90,Cadastros!$E$6:$E$90))*(1-_xlfn.XLOOKUP(_xlfn.XLOOKUP($F1701,Clientes!$B$4:$B$39,Clientes!$C$4:$C$39),Cadastros!$L$6:$L$12,Cadastros!$N$6:$N$12)))</f>
        <v/>
      </c>
      <c r="U1701" s="168" t="str">
        <f t="shared" si="341"/>
        <v/>
      </c>
      <c r="V1701" s="168" t="str">
        <f>IFERROR(U1701/_xlfn.XLOOKUP(_xlfn.XLOOKUP($F1701,Clientes!$B$4:$B$39,Clientes!$C$4:$C$39),Cadastros!$L$6:$L$12,Cadastros!$M$6:$M$12)," ")</f>
        <v xml:space="preserve"> </v>
      </c>
      <c r="W1701" s="28"/>
      <c r="X1701" s="28"/>
      <c r="Y1701" s="255" t="str">
        <f>IF(W1701="","",(_xlfn.XLOOKUP(W1701,Cadastros!$D$6:$D$90,Cadastros!$E$6:$E$90))*(1-_xlfn.XLOOKUP(_xlfn.XLOOKUP($F1701,Clientes!$B$4:$B$39,Clientes!$C$4:$C$39),Cadastros!$L$6:$L$12,Cadastros!$N$6:$N$12)))</f>
        <v/>
      </c>
      <c r="Z1701" s="168" t="str">
        <f t="shared" si="342"/>
        <v/>
      </c>
      <c r="AA1701" s="168" t="str">
        <f>IFERROR(Z1701/_xlfn.XLOOKUP(_xlfn.XLOOKUP($F1701,Clientes!$B$4:$B$39,Clientes!$C$4:$C$39),Cadastros!$L$6:$L$12,Cadastros!$M$6:$M$12)," ")</f>
        <v xml:space="preserve"> </v>
      </c>
      <c r="AB1701" s="28"/>
      <c r="AC1701" s="28"/>
      <c r="AD1701" s="20" t="str">
        <f>IF(AB1701="","",IF($F1701="Bernardino Furlan",_xlfn.XLOOKUP(AB1701,Cadastros!$G$6:$G$90,Cadastros!$H$6:$H$90)*(1-0.18),IF($F1701="Mauro José Salanti",_xlfn.XLOOKUP(AB1701,Cadastros!$G$6:$G$90,Cadastros!$H$6:$H$90)*(1-0.18),_xlfn.XLOOKUP(AB1701,Cadastros!$G$6:$G$90,Cadastros!$H$6:$H$90))))</f>
        <v/>
      </c>
      <c r="AE1701" s="168" t="str">
        <f t="shared" si="343"/>
        <v/>
      </c>
      <c r="AF1701" s="168" t="str">
        <f t="shared" si="344"/>
        <v/>
      </c>
      <c r="AG1701" s="28"/>
      <c r="AH1701" s="28"/>
      <c r="AI1701" s="20" t="str">
        <f>IF(AG1701="","",IF($F1701="Bernardino Furlan",_xlfn.XLOOKUP(AG1701,Cadastros!$G$6:$G$90,Cadastros!$H$6:$H$90)*(1-0.18),IF($F1701="Mauro José Salanti",_xlfn.XLOOKUP(AG1701,Cadastros!$G$6:$G$90,Cadastros!$H$6:$H$90)*(1-0.18),_xlfn.XLOOKUP(AG1701,Cadastros!$G$6:$G$90,Cadastros!$H$6:$H$90))))</f>
        <v/>
      </c>
      <c r="AJ1701" s="168" t="str">
        <f t="shared" si="345"/>
        <v/>
      </c>
      <c r="AK1701" s="168" t="str">
        <f t="shared" si="346"/>
        <v/>
      </c>
      <c r="AL1701" s="28"/>
      <c r="AM1701" s="28"/>
      <c r="AN1701" s="20" t="str">
        <f>IF(AL1701="","",IF($F1701="Bernardino Furlan",_xlfn.XLOOKUP(AL1701,Cadastros!$G$6:$G$90,Cadastros!$H$6:$H$90)*(1-0.18),IF($F1701="Mauro José Salanti",_xlfn.XLOOKUP(AL1701,Cadastros!$G$6:$G$90,Cadastros!$H$6:$H$90)*(1-0.18),_xlfn.XLOOKUP(AL1701,Cadastros!$G$6:$G$90,Cadastros!$H$6:$H$90))))</f>
        <v/>
      </c>
      <c r="AO1701" s="168" t="str">
        <f t="shared" si="347"/>
        <v/>
      </c>
      <c r="AP1701" s="168" t="str">
        <f t="shared" si="348"/>
        <v/>
      </c>
      <c r="AQ1701" s="28"/>
      <c r="AR1701" s="28"/>
      <c r="AS1701" s="20" t="str">
        <f>IF(AQ1701="","",IF($F1701="Bernardino Furlan",_xlfn.XLOOKUP(AQ1701,Cadastros!$G$6:$G$90,Cadastros!$H$6:$H$90)*(1-0.18),IF($F1701="Mauro José Salanti",_xlfn.XLOOKUP(AQ1701,Cadastros!$G$6:$G$90,Cadastros!$H$6:$H$90)*(1-0.18),_xlfn.XLOOKUP(AQ1701,Cadastros!$G$6:$G$90,Cadastros!$H$6:$H$90))))</f>
        <v/>
      </c>
      <c r="AT1701" s="168" t="str">
        <f t="shared" si="349"/>
        <v/>
      </c>
      <c r="AU1701" s="168" t="str">
        <f t="shared" si="350"/>
        <v/>
      </c>
      <c r="AV1701" s="227"/>
      <c r="AW1701" s="30"/>
      <c r="AX1701" s="267"/>
      <c r="AY1701" s="267"/>
      <c r="AZ1701" s="29"/>
      <c r="BA1701" s="30"/>
      <c r="BB1701" s="23" t="str" cm="1">
        <f t="array" ref="BB1701">_xlfn.IFS(AW1701="SIM",SUM(K1701,P1701,U1701,Z1701,AE1701,AJ1701,AO1701,AT1701,AX1701,AY1701),F1701&lt;&gt;"",SUM(K1701,P1701,U1701,Z1701,AE1701,AJ1701,,AO1701,AT1701),F1701="","")</f>
        <v/>
      </c>
      <c r="BC1701" s="211" t="str" cm="1">
        <f t="array" ref="BC1701">_xlfn.IFS(E1701="","",G1701&lt;=E1701,BB1701*(1-0.03),G1701&lt;(E1701+8),BB1701,AZ1701="Boleto",BB1701*(1+0.001)^DATEDIF(E1701,G1701,"D"),AZ1701="Cheque",BB1701,AZ1701="Dinheiro","Alterar forma pgto")</f>
        <v/>
      </c>
      <c r="BD1701" s="276" t="str" cm="1">
        <f t="array" ref="BD1701">IF(F1701=0," ",IF(BC1701&lt;BB1701,(_xlfn.IFS(AW1701="SIM",SUM(L1701,Q1701,V1701,AA1701,AF1701,AK1701,AP1701,AU1701)+AX1701/_xlfn.XLOOKUP(_xlfn.XLOOKUP($F1701,Clientes!$B$4:$B$39,Clientes!$C$4:$C$39),Cadastros!$L$6:$L$12,Cadastros!$M$6:$M$12)+IF($F1701="Bernardino Furlan",AY1701/2751.92,IF($F1701="Mauro José Salanti",AY1701/2751.92,AY1701/3356)),F1701&lt;&gt;0,SUM(L1701,Q1701,V1701,AA1701,AF1701,AK1701,AP1701,AU1701)))*(1-0.03),_xlfn.IFS(AW1701="SIM",SUM(L1701,Q1701,V1701,AA1701,AF1701,AK1701,AP1701,AU1701)+AX1701/_xlfn.XLOOKUP(_xlfn.XLOOKUP($F1701,Clientes!$B$4:$B$39,Clientes!$C$4:$C$39),Cadastros!$L$6:$L$12,Cadastros!$M$6:$M$12)+IF($F1701="Bernardino Furlan",AY1701/2751.92,IF($F1701="Mauro José Salanti",AY1701/2751.92,AY1701/3356)),F1701&lt;&gt;0,SUM(L1701,Q1701,V1701,AA1701,AF1701,AK1701,AP1701,AU1701))))</f>
        <v xml:space="preserve"> </v>
      </c>
      <c r="BE1701" s="120"/>
      <c r="BF1701" s="120"/>
      <c r="BG1701" s="120"/>
    </row>
    <row r="1702" spans="1:59" s="3" customFormat="1" x14ac:dyDescent="0.3">
      <c r="A1702" s="15" t="str">
        <f t="shared" si="338"/>
        <v/>
      </c>
      <c r="B1702" s="25"/>
      <c r="C1702" s="26"/>
      <c r="D1702" s="279"/>
      <c r="E1702" s="27"/>
      <c r="F1702" s="28"/>
      <c r="G1702" s="27"/>
      <c r="H1702" s="28"/>
      <c r="I1702" s="28"/>
      <c r="J1702" s="255" t="str">
        <f>IF(H1702="","",(_xlfn.XLOOKUP(H1702,Cadastros!$D$6:$D$90,Cadastros!$E$6:$E$90))*(1-_xlfn.XLOOKUP(_xlfn.XLOOKUP($F1702,Clientes!$B$4:$B$39,Clientes!$C$4:$C$39),Cadastros!$L$6:$L$12,Cadastros!$N$6:$N$12)))</f>
        <v/>
      </c>
      <c r="K1702" s="168" t="str">
        <f t="shared" si="339"/>
        <v/>
      </c>
      <c r="L1702" s="168" t="str">
        <f>IFERROR(K1702/_xlfn.XLOOKUP(_xlfn.XLOOKUP($F1702,Clientes!$B$4:$B$39,Clientes!$C$4:$C$39),Cadastros!$L$6:$L$12,Cadastros!$M$6:$M$12)," ")</f>
        <v xml:space="preserve"> </v>
      </c>
      <c r="M1702" s="28"/>
      <c r="N1702" s="28"/>
      <c r="O1702" s="255" t="str">
        <f>IF(M1702="","",(_xlfn.XLOOKUP(M1702,Cadastros!$D$6:$D$90,Cadastros!$E$6:$E$90))*(1-_xlfn.XLOOKUP(_xlfn.XLOOKUP($F1702,Clientes!$B$4:$B$39,Clientes!$C$4:$C$39),Cadastros!$L$6:$L$12,Cadastros!$N$6:$N$12)))</f>
        <v/>
      </c>
      <c r="P1702" s="168" t="str">
        <f t="shared" si="340"/>
        <v/>
      </c>
      <c r="Q1702" s="168" t="str">
        <f>IFERROR(P1702/_xlfn.XLOOKUP(_xlfn.XLOOKUP($F1702,Clientes!$B$4:$B$39,Clientes!$C$4:$C$39),Cadastros!$L$6:$L$12,Cadastros!$M$6:$M$12)," ")</f>
        <v xml:space="preserve"> </v>
      </c>
      <c r="R1702" s="28"/>
      <c r="S1702" s="28"/>
      <c r="T1702" s="255" t="str">
        <f>IF(R1702="","",(_xlfn.XLOOKUP(R1702,Cadastros!$D$6:$D$90,Cadastros!$E$6:$E$90))*(1-_xlfn.XLOOKUP(_xlfn.XLOOKUP($F1702,Clientes!$B$4:$B$39,Clientes!$C$4:$C$39),Cadastros!$L$6:$L$12,Cadastros!$N$6:$N$12)))</f>
        <v/>
      </c>
      <c r="U1702" s="168" t="str">
        <f t="shared" si="341"/>
        <v/>
      </c>
      <c r="V1702" s="168" t="str">
        <f>IFERROR(U1702/_xlfn.XLOOKUP(_xlfn.XLOOKUP($F1702,Clientes!$B$4:$B$39,Clientes!$C$4:$C$39),Cadastros!$L$6:$L$12,Cadastros!$M$6:$M$12)," ")</f>
        <v xml:space="preserve"> </v>
      </c>
      <c r="W1702" s="28"/>
      <c r="X1702" s="28"/>
      <c r="Y1702" s="255" t="str">
        <f>IF(W1702="","",(_xlfn.XLOOKUP(W1702,Cadastros!$D$6:$D$90,Cadastros!$E$6:$E$90))*(1-_xlfn.XLOOKUP(_xlfn.XLOOKUP($F1702,Clientes!$B$4:$B$39,Clientes!$C$4:$C$39),Cadastros!$L$6:$L$12,Cadastros!$N$6:$N$12)))</f>
        <v/>
      </c>
      <c r="Z1702" s="168" t="str">
        <f t="shared" si="342"/>
        <v/>
      </c>
      <c r="AA1702" s="168" t="str">
        <f>IFERROR(Z1702/_xlfn.XLOOKUP(_xlfn.XLOOKUP($F1702,Clientes!$B$4:$B$39,Clientes!$C$4:$C$39),Cadastros!$L$6:$L$12,Cadastros!$M$6:$M$12)," ")</f>
        <v xml:space="preserve"> </v>
      </c>
      <c r="AB1702" s="28"/>
      <c r="AC1702" s="28"/>
      <c r="AD1702" s="20" t="str">
        <f>IF(AB1702="","",IF($F1702="Bernardino Furlan",_xlfn.XLOOKUP(AB1702,Cadastros!$G$6:$G$90,Cadastros!$H$6:$H$90)*(1-0.18),IF($F1702="Mauro José Salanti",_xlfn.XLOOKUP(AB1702,Cadastros!$G$6:$G$90,Cadastros!$H$6:$H$90)*(1-0.18),_xlfn.XLOOKUP(AB1702,Cadastros!$G$6:$G$90,Cadastros!$H$6:$H$90))))</f>
        <v/>
      </c>
      <c r="AE1702" s="168" t="str">
        <f t="shared" si="343"/>
        <v/>
      </c>
      <c r="AF1702" s="168" t="str">
        <f t="shared" si="344"/>
        <v/>
      </c>
      <c r="AG1702" s="28"/>
      <c r="AH1702" s="28"/>
      <c r="AI1702" s="20" t="str">
        <f>IF(AG1702="","",IF($F1702="Bernardino Furlan",_xlfn.XLOOKUP(AG1702,Cadastros!$G$6:$G$90,Cadastros!$H$6:$H$90)*(1-0.18),IF($F1702="Mauro José Salanti",_xlfn.XLOOKUP(AG1702,Cadastros!$G$6:$G$90,Cadastros!$H$6:$H$90)*(1-0.18),_xlfn.XLOOKUP(AG1702,Cadastros!$G$6:$G$90,Cadastros!$H$6:$H$90))))</f>
        <v/>
      </c>
      <c r="AJ1702" s="168" t="str">
        <f t="shared" si="345"/>
        <v/>
      </c>
      <c r="AK1702" s="168" t="str">
        <f t="shared" si="346"/>
        <v/>
      </c>
      <c r="AL1702" s="28"/>
      <c r="AM1702" s="28"/>
      <c r="AN1702" s="20" t="str">
        <f>IF(AL1702="","",IF($F1702="Bernardino Furlan",_xlfn.XLOOKUP(AL1702,Cadastros!$G$6:$G$90,Cadastros!$H$6:$H$90)*(1-0.18),IF($F1702="Mauro José Salanti",_xlfn.XLOOKUP(AL1702,Cadastros!$G$6:$G$90,Cadastros!$H$6:$H$90)*(1-0.18),_xlfn.XLOOKUP(AL1702,Cadastros!$G$6:$G$90,Cadastros!$H$6:$H$90))))</f>
        <v/>
      </c>
      <c r="AO1702" s="168" t="str">
        <f t="shared" si="347"/>
        <v/>
      </c>
      <c r="AP1702" s="168" t="str">
        <f t="shared" si="348"/>
        <v/>
      </c>
      <c r="AQ1702" s="28"/>
      <c r="AR1702" s="28"/>
      <c r="AS1702" s="20" t="str">
        <f>IF(AQ1702="","",IF($F1702="Bernardino Furlan",_xlfn.XLOOKUP(AQ1702,Cadastros!$G$6:$G$90,Cadastros!$H$6:$H$90)*(1-0.18),IF($F1702="Mauro José Salanti",_xlfn.XLOOKUP(AQ1702,Cadastros!$G$6:$G$90,Cadastros!$H$6:$H$90)*(1-0.18),_xlfn.XLOOKUP(AQ1702,Cadastros!$G$6:$G$90,Cadastros!$H$6:$H$90))))</f>
        <v/>
      </c>
      <c r="AT1702" s="168" t="str">
        <f t="shared" si="349"/>
        <v/>
      </c>
      <c r="AU1702" s="168" t="str">
        <f t="shared" si="350"/>
        <v/>
      </c>
      <c r="AV1702" s="227"/>
      <c r="AW1702" s="30"/>
      <c r="AX1702" s="267"/>
      <c r="AY1702" s="267"/>
      <c r="AZ1702" s="29"/>
      <c r="BA1702" s="30"/>
      <c r="BB1702" s="23" t="str" cm="1">
        <f t="array" ref="BB1702">_xlfn.IFS(AW1702="SIM",SUM(K1702,P1702,U1702,Z1702,AE1702,AJ1702,AO1702,AT1702,AX1702,AY1702),F1702&lt;&gt;"",SUM(K1702,P1702,U1702,Z1702,AE1702,AJ1702,,AO1702,AT1702),F1702="","")</f>
        <v/>
      </c>
      <c r="BC1702" s="211" t="str" cm="1">
        <f t="array" ref="BC1702">_xlfn.IFS(E1702="","",G1702&lt;=E1702,BB1702*(1-0.03),G1702&lt;(E1702+8),BB1702,AZ1702="Boleto",BB1702*(1+0.001)^DATEDIF(E1702,G1702,"D"),AZ1702="Cheque",BB1702,AZ1702="Dinheiro","Alterar forma pgto")</f>
        <v/>
      </c>
      <c r="BD1702" s="276" t="str" cm="1">
        <f t="array" ref="BD1702">IF(F1702=0," ",IF(BC1702&lt;BB1702,(_xlfn.IFS(AW1702="SIM",SUM(L1702,Q1702,V1702,AA1702,AF1702,AK1702,AP1702,AU1702)+AX1702/_xlfn.XLOOKUP(_xlfn.XLOOKUP($F1702,Clientes!$B$4:$B$39,Clientes!$C$4:$C$39),Cadastros!$L$6:$L$12,Cadastros!$M$6:$M$12)+IF($F1702="Bernardino Furlan",AY1702/2751.92,IF($F1702="Mauro José Salanti",AY1702/2751.92,AY1702/3356)),F1702&lt;&gt;0,SUM(L1702,Q1702,V1702,AA1702,AF1702,AK1702,AP1702,AU1702)))*(1-0.03),_xlfn.IFS(AW1702="SIM",SUM(L1702,Q1702,V1702,AA1702,AF1702,AK1702,AP1702,AU1702)+AX1702/_xlfn.XLOOKUP(_xlfn.XLOOKUP($F1702,Clientes!$B$4:$B$39,Clientes!$C$4:$C$39),Cadastros!$L$6:$L$12,Cadastros!$M$6:$M$12)+IF($F1702="Bernardino Furlan",AY1702/2751.92,IF($F1702="Mauro José Salanti",AY1702/2751.92,AY1702/3356)),F1702&lt;&gt;0,SUM(L1702,Q1702,V1702,AA1702,AF1702,AK1702,AP1702,AU1702))))</f>
        <v xml:space="preserve"> </v>
      </c>
      <c r="BE1702" s="120"/>
      <c r="BF1702" s="120"/>
      <c r="BG1702" s="120"/>
    </row>
    <row r="1703" spans="1:59" s="3" customFormat="1" x14ac:dyDescent="0.3">
      <c r="A1703" s="15" t="str">
        <f t="shared" si="338"/>
        <v/>
      </c>
      <c r="B1703" s="25"/>
      <c r="C1703" s="26"/>
      <c r="D1703" s="279"/>
      <c r="E1703" s="27"/>
      <c r="F1703" s="28"/>
      <c r="G1703" s="27"/>
      <c r="H1703" s="28"/>
      <c r="I1703" s="28"/>
      <c r="J1703" s="255" t="str">
        <f>IF(H1703="","",(_xlfn.XLOOKUP(H1703,Cadastros!$D$6:$D$90,Cadastros!$E$6:$E$90))*(1-_xlfn.XLOOKUP(_xlfn.XLOOKUP($F1703,Clientes!$B$4:$B$39,Clientes!$C$4:$C$39),Cadastros!$L$6:$L$12,Cadastros!$N$6:$N$12)))</f>
        <v/>
      </c>
      <c r="K1703" s="168" t="str">
        <f t="shared" si="339"/>
        <v/>
      </c>
      <c r="L1703" s="168" t="str">
        <f>IFERROR(K1703/_xlfn.XLOOKUP(_xlfn.XLOOKUP($F1703,Clientes!$B$4:$B$39,Clientes!$C$4:$C$39),Cadastros!$L$6:$L$12,Cadastros!$M$6:$M$12)," ")</f>
        <v xml:space="preserve"> </v>
      </c>
      <c r="M1703" s="28"/>
      <c r="N1703" s="28"/>
      <c r="O1703" s="255" t="str">
        <f>IF(M1703="","",(_xlfn.XLOOKUP(M1703,Cadastros!$D$6:$D$90,Cadastros!$E$6:$E$90))*(1-_xlfn.XLOOKUP(_xlfn.XLOOKUP($F1703,Clientes!$B$4:$B$39,Clientes!$C$4:$C$39),Cadastros!$L$6:$L$12,Cadastros!$N$6:$N$12)))</f>
        <v/>
      </c>
      <c r="P1703" s="168" t="str">
        <f t="shared" si="340"/>
        <v/>
      </c>
      <c r="Q1703" s="168" t="str">
        <f>IFERROR(P1703/_xlfn.XLOOKUP(_xlfn.XLOOKUP($F1703,Clientes!$B$4:$B$39,Clientes!$C$4:$C$39),Cadastros!$L$6:$L$12,Cadastros!$M$6:$M$12)," ")</f>
        <v xml:space="preserve"> </v>
      </c>
      <c r="R1703" s="28"/>
      <c r="S1703" s="28"/>
      <c r="T1703" s="255" t="str">
        <f>IF(R1703="","",(_xlfn.XLOOKUP(R1703,Cadastros!$D$6:$D$90,Cadastros!$E$6:$E$90))*(1-_xlfn.XLOOKUP(_xlfn.XLOOKUP($F1703,Clientes!$B$4:$B$39,Clientes!$C$4:$C$39),Cadastros!$L$6:$L$12,Cadastros!$N$6:$N$12)))</f>
        <v/>
      </c>
      <c r="U1703" s="168" t="str">
        <f t="shared" si="341"/>
        <v/>
      </c>
      <c r="V1703" s="168" t="str">
        <f>IFERROR(U1703/_xlfn.XLOOKUP(_xlfn.XLOOKUP($F1703,Clientes!$B$4:$B$39,Clientes!$C$4:$C$39),Cadastros!$L$6:$L$12,Cadastros!$M$6:$M$12)," ")</f>
        <v xml:space="preserve"> </v>
      </c>
      <c r="W1703" s="28"/>
      <c r="X1703" s="28"/>
      <c r="Y1703" s="255" t="str">
        <f>IF(W1703="","",(_xlfn.XLOOKUP(W1703,Cadastros!$D$6:$D$90,Cadastros!$E$6:$E$90))*(1-_xlfn.XLOOKUP(_xlfn.XLOOKUP($F1703,Clientes!$B$4:$B$39,Clientes!$C$4:$C$39),Cadastros!$L$6:$L$12,Cadastros!$N$6:$N$12)))</f>
        <v/>
      </c>
      <c r="Z1703" s="168" t="str">
        <f t="shared" si="342"/>
        <v/>
      </c>
      <c r="AA1703" s="168" t="str">
        <f>IFERROR(Z1703/_xlfn.XLOOKUP(_xlfn.XLOOKUP($F1703,Clientes!$B$4:$B$39,Clientes!$C$4:$C$39),Cadastros!$L$6:$L$12,Cadastros!$M$6:$M$12)," ")</f>
        <v xml:space="preserve"> </v>
      </c>
      <c r="AB1703" s="28"/>
      <c r="AC1703" s="28"/>
      <c r="AD1703" s="20" t="str">
        <f>IF(AB1703="","",IF($F1703="Bernardino Furlan",_xlfn.XLOOKUP(AB1703,Cadastros!$G$6:$G$90,Cadastros!$H$6:$H$90)*(1-0.18),IF($F1703="Mauro José Salanti",_xlfn.XLOOKUP(AB1703,Cadastros!$G$6:$G$90,Cadastros!$H$6:$H$90)*(1-0.18),_xlfn.XLOOKUP(AB1703,Cadastros!$G$6:$G$90,Cadastros!$H$6:$H$90))))</f>
        <v/>
      </c>
      <c r="AE1703" s="168" t="str">
        <f t="shared" si="343"/>
        <v/>
      </c>
      <c r="AF1703" s="168" t="str">
        <f t="shared" si="344"/>
        <v/>
      </c>
      <c r="AG1703" s="28"/>
      <c r="AH1703" s="28"/>
      <c r="AI1703" s="20" t="str">
        <f>IF(AG1703="","",IF($F1703="Bernardino Furlan",_xlfn.XLOOKUP(AG1703,Cadastros!$G$6:$G$90,Cadastros!$H$6:$H$90)*(1-0.18),IF($F1703="Mauro José Salanti",_xlfn.XLOOKUP(AG1703,Cadastros!$G$6:$G$90,Cadastros!$H$6:$H$90)*(1-0.18),_xlfn.XLOOKUP(AG1703,Cadastros!$G$6:$G$90,Cadastros!$H$6:$H$90))))</f>
        <v/>
      </c>
      <c r="AJ1703" s="168" t="str">
        <f t="shared" si="345"/>
        <v/>
      </c>
      <c r="AK1703" s="168" t="str">
        <f t="shared" si="346"/>
        <v/>
      </c>
      <c r="AL1703" s="28"/>
      <c r="AM1703" s="28"/>
      <c r="AN1703" s="20" t="str">
        <f>IF(AL1703="","",IF($F1703="Bernardino Furlan",_xlfn.XLOOKUP(AL1703,Cadastros!$G$6:$G$90,Cadastros!$H$6:$H$90)*(1-0.18),IF($F1703="Mauro José Salanti",_xlfn.XLOOKUP(AL1703,Cadastros!$G$6:$G$90,Cadastros!$H$6:$H$90)*(1-0.18),_xlfn.XLOOKUP(AL1703,Cadastros!$G$6:$G$90,Cadastros!$H$6:$H$90))))</f>
        <v/>
      </c>
      <c r="AO1703" s="168" t="str">
        <f t="shared" si="347"/>
        <v/>
      </c>
      <c r="AP1703" s="168" t="str">
        <f t="shared" si="348"/>
        <v/>
      </c>
      <c r="AQ1703" s="28"/>
      <c r="AR1703" s="28"/>
      <c r="AS1703" s="20" t="str">
        <f>IF(AQ1703="","",IF($F1703="Bernardino Furlan",_xlfn.XLOOKUP(AQ1703,Cadastros!$G$6:$G$90,Cadastros!$H$6:$H$90)*(1-0.18),IF($F1703="Mauro José Salanti",_xlfn.XLOOKUP(AQ1703,Cadastros!$G$6:$G$90,Cadastros!$H$6:$H$90)*(1-0.18),_xlfn.XLOOKUP(AQ1703,Cadastros!$G$6:$G$90,Cadastros!$H$6:$H$90))))</f>
        <v/>
      </c>
      <c r="AT1703" s="168" t="str">
        <f t="shared" si="349"/>
        <v/>
      </c>
      <c r="AU1703" s="168" t="str">
        <f t="shared" si="350"/>
        <v/>
      </c>
      <c r="AV1703" s="227"/>
      <c r="AW1703" s="30"/>
      <c r="AX1703" s="267"/>
      <c r="AY1703" s="267"/>
      <c r="AZ1703" s="29"/>
      <c r="BA1703" s="30"/>
      <c r="BB1703" s="23" t="str" cm="1">
        <f t="array" ref="BB1703">_xlfn.IFS(AW1703="SIM",SUM(K1703,P1703,U1703,Z1703,AE1703,AJ1703,AO1703,AT1703,AX1703,AY1703),F1703&lt;&gt;"",SUM(K1703,P1703,U1703,Z1703,AE1703,AJ1703,,AO1703,AT1703),F1703="","")</f>
        <v/>
      </c>
      <c r="BC1703" s="211" t="str" cm="1">
        <f t="array" ref="BC1703">_xlfn.IFS(E1703="","",G1703&lt;=E1703,BB1703*(1-0.03),G1703&lt;(E1703+8),BB1703,AZ1703="Boleto",BB1703*(1+0.001)^DATEDIF(E1703,G1703,"D"),AZ1703="Cheque",BB1703,AZ1703="Dinheiro","Alterar forma pgto")</f>
        <v/>
      </c>
      <c r="BD1703" s="276" t="str" cm="1">
        <f t="array" ref="BD1703">IF(F1703=0," ",IF(BC1703&lt;BB1703,(_xlfn.IFS(AW1703="SIM",SUM(L1703,Q1703,V1703,AA1703,AF1703,AK1703,AP1703,AU1703)+AX1703/_xlfn.XLOOKUP(_xlfn.XLOOKUP($F1703,Clientes!$B$4:$B$39,Clientes!$C$4:$C$39),Cadastros!$L$6:$L$12,Cadastros!$M$6:$M$12)+IF($F1703="Bernardino Furlan",AY1703/2751.92,IF($F1703="Mauro José Salanti",AY1703/2751.92,AY1703/3356)),F1703&lt;&gt;0,SUM(L1703,Q1703,V1703,AA1703,AF1703,AK1703,AP1703,AU1703)))*(1-0.03),_xlfn.IFS(AW1703="SIM",SUM(L1703,Q1703,V1703,AA1703,AF1703,AK1703,AP1703,AU1703)+AX1703/_xlfn.XLOOKUP(_xlfn.XLOOKUP($F1703,Clientes!$B$4:$B$39,Clientes!$C$4:$C$39),Cadastros!$L$6:$L$12,Cadastros!$M$6:$M$12)+IF($F1703="Bernardino Furlan",AY1703/2751.92,IF($F1703="Mauro José Salanti",AY1703/2751.92,AY1703/3356)),F1703&lt;&gt;0,SUM(L1703,Q1703,V1703,AA1703,AF1703,AK1703,AP1703,AU1703))))</f>
        <v xml:space="preserve"> </v>
      </c>
      <c r="BE1703" s="120"/>
      <c r="BF1703" s="120"/>
      <c r="BG1703" s="120"/>
    </row>
    <row r="1704" spans="1:59" s="3" customFormat="1" x14ac:dyDescent="0.3">
      <c r="A1704" s="15" t="str">
        <f t="shared" si="338"/>
        <v/>
      </c>
      <c r="B1704" s="25"/>
      <c r="C1704" s="26"/>
      <c r="D1704" s="279"/>
      <c r="E1704" s="27"/>
      <c r="F1704" s="28"/>
      <c r="G1704" s="27"/>
      <c r="H1704" s="28"/>
      <c r="I1704" s="28"/>
      <c r="J1704" s="255" t="str">
        <f>IF(H1704="","",(_xlfn.XLOOKUP(H1704,Cadastros!$D$6:$D$90,Cadastros!$E$6:$E$90))*(1-_xlfn.XLOOKUP(_xlfn.XLOOKUP($F1704,Clientes!$B$4:$B$39,Clientes!$C$4:$C$39),Cadastros!$L$6:$L$12,Cadastros!$N$6:$N$12)))</f>
        <v/>
      </c>
      <c r="K1704" s="168" t="str">
        <f t="shared" si="339"/>
        <v/>
      </c>
      <c r="L1704" s="168" t="str">
        <f>IFERROR(K1704/_xlfn.XLOOKUP(_xlfn.XLOOKUP($F1704,Clientes!$B$4:$B$39,Clientes!$C$4:$C$39),Cadastros!$L$6:$L$12,Cadastros!$M$6:$M$12)," ")</f>
        <v xml:space="preserve"> </v>
      </c>
      <c r="M1704" s="28"/>
      <c r="N1704" s="28"/>
      <c r="O1704" s="255" t="str">
        <f>IF(M1704="","",(_xlfn.XLOOKUP(M1704,Cadastros!$D$6:$D$90,Cadastros!$E$6:$E$90))*(1-_xlfn.XLOOKUP(_xlfn.XLOOKUP($F1704,Clientes!$B$4:$B$39,Clientes!$C$4:$C$39),Cadastros!$L$6:$L$12,Cadastros!$N$6:$N$12)))</f>
        <v/>
      </c>
      <c r="P1704" s="168" t="str">
        <f t="shared" si="340"/>
        <v/>
      </c>
      <c r="Q1704" s="168" t="str">
        <f>IFERROR(P1704/_xlfn.XLOOKUP(_xlfn.XLOOKUP($F1704,Clientes!$B$4:$B$39,Clientes!$C$4:$C$39),Cadastros!$L$6:$L$12,Cadastros!$M$6:$M$12)," ")</f>
        <v xml:space="preserve"> </v>
      </c>
      <c r="R1704" s="28"/>
      <c r="S1704" s="28"/>
      <c r="T1704" s="255" t="str">
        <f>IF(R1704="","",(_xlfn.XLOOKUP(R1704,Cadastros!$D$6:$D$90,Cadastros!$E$6:$E$90))*(1-_xlfn.XLOOKUP(_xlfn.XLOOKUP($F1704,Clientes!$B$4:$B$39,Clientes!$C$4:$C$39),Cadastros!$L$6:$L$12,Cadastros!$N$6:$N$12)))</f>
        <v/>
      </c>
      <c r="U1704" s="168" t="str">
        <f t="shared" si="341"/>
        <v/>
      </c>
      <c r="V1704" s="168" t="str">
        <f>IFERROR(U1704/_xlfn.XLOOKUP(_xlfn.XLOOKUP($F1704,Clientes!$B$4:$B$39,Clientes!$C$4:$C$39),Cadastros!$L$6:$L$12,Cadastros!$M$6:$M$12)," ")</f>
        <v xml:space="preserve"> </v>
      </c>
      <c r="W1704" s="28"/>
      <c r="X1704" s="28"/>
      <c r="Y1704" s="255" t="str">
        <f>IF(W1704="","",(_xlfn.XLOOKUP(W1704,Cadastros!$D$6:$D$90,Cadastros!$E$6:$E$90))*(1-_xlfn.XLOOKUP(_xlfn.XLOOKUP($F1704,Clientes!$B$4:$B$39,Clientes!$C$4:$C$39),Cadastros!$L$6:$L$12,Cadastros!$N$6:$N$12)))</f>
        <v/>
      </c>
      <c r="Z1704" s="168" t="str">
        <f t="shared" si="342"/>
        <v/>
      </c>
      <c r="AA1704" s="168" t="str">
        <f>IFERROR(Z1704/_xlfn.XLOOKUP(_xlfn.XLOOKUP($F1704,Clientes!$B$4:$B$39,Clientes!$C$4:$C$39),Cadastros!$L$6:$L$12,Cadastros!$M$6:$M$12)," ")</f>
        <v xml:space="preserve"> </v>
      </c>
      <c r="AB1704" s="28"/>
      <c r="AC1704" s="28"/>
      <c r="AD1704" s="20" t="str">
        <f>IF(AB1704="","",IF($F1704="Bernardino Furlan",_xlfn.XLOOKUP(AB1704,Cadastros!$G$6:$G$90,Cadastros!$H$6:$H$90)*(1-0.18),IF($F1704="Mauro José Salanti",_xlfn.XLOOKUP(AB1704,Cadastros!$G$6:$G$90,Cadastros!$H$6:$H$90)*(1-0.18),_xlfn.XLOOKUP(AB1704,Cadastros!$G$6:$G$90,Cadastros!$H$6:$H$90))))</f>
        <v/>
      </c>
      <c r="AE1704" s="168" t="str">
        <f t="shared" si="343"/>
        <v/>
      </c>
      <c r="AF1704" s="168" t="str">
        <f t="shared" si="344"/>
        <v/>
      </c>
      <c r="AG1704" s="28"/>
      <c r="AH1704" s="28"/>
      <c r="AI1704" s="20" t="str">
        <f>IF(AG1704="","",IF($F1704="Bernardino Furlan",_xlfn.XLOOKUP(AG1704,Cadastros!$G$6:$G$90,Cadastros!$H$6:$H$90)*(1-0.18),IF($F1704="Mauro José Salanti",_xlfn.XLOOKUP(AG1704,Cadastros!$G$6:$G$90,Cadastros!$H$6:$H$90)*(1-0.18),_xlfn.XLOOKUP(AG1704,Cadastros!$G$6:$G$90,Cadastros!$H$6:$H$90))))</f>
        <v/>
      </c>
      <c r="AJ1704" s="168" t="str">
        <f t="shared" si="345"/>
        <v/>
      </c>
      <c r="AK1704" s="168" t="str">
        <f t="shared" si="346"/>
        <v/>
      </c>
      <c r="AL1704" s="28"/>
      <c r="AM1704" s="28"/>
      <c r="AN1704" s="20" t="str">
        <f>IF(AL1704="","",IF($F1704="Bernardino Furlan",_xlfn.XLOOKUP(AL1704,Cadastros!$G$6:$G$90,Cadastros!$H$6:$H$90)*(1-0.18),IF($F1704="Mauro José Salanti",_xlfn.XLOOKUP(AL1704,Cadastros!$G$6:$G$90,Cadastros!$H$6:$H$90)*(1-0.18),_xlfn.XLOOKUP(AL1704,Cadastros!$G$6:$G$90,Cadastros!$H$6:$H$90))))</f>
        <v/>
      </c>
      <c r="AO1704" s="168" t="str">
        <f t="shared" si="347"/>
        <v/>
      </c>
      <c r="AP1704" s="168" t="str">
        <f t="shared" si="348"/>
        <v/>
      </c>
      <c r="AQ1704" s="28"/>
      <c r="AR1704" s="28"/>
      <c r="AS1704" s="20" t="str">
        <f>IF(AQ1704="","",IF($F1704="Bernardino Furlan",_xlfn.XLOOKUP(AQ1704,Cadastros!$G$6:$G$90,Cadastros!$H$6:$H$90)*(1-0.18),IF($F1704="Mauro José Salanti",_xlfn.XLOOKUP(AQ1704,Cadastros!$G$6:$G$90,Cadastros!$H$6:$H$90)*(1-0.18),_xlfn.XLOOKUP(AQ1704,Cadastros!$G$6:$G$90,Cadastros!$H$6:$H$90))))</f>
        <v/>
      </c>
      <c r="AT1704" s="168" t="str">
        <f t="shared" si="349"/>
        <v/>
      </c>
      <c r="AU1704" s="168" t="str">
        <f t="shared" si="350"/>
        <v/>
      </c>
      <c r="AV1704" s="227"/>
      <c r="AW1704" s="30"/>
      <c r="AX1704" s="267"/>
      <c r="AY1704" s="267"/>
      <c r="AZ1704" s="29"/>
      <c r="BA1704" s="30"/>
      <c r="BB1704" s="23" t="str" cm="1">
        <f t="array" ref="BB1704">_xlfn.IFS(AW1704="SIM",SUM(K1704,P1704,U1704,Z1704,AE1704,AJ1704,AO1704,AT1704,AX1704,AY1704),F1704&lt;&gt;"",SUM(K1704,P1704,U1704,Z1704,AE1704,AJ1704,,AO1704,AT1704),F1704="","")</f>
        <v/>
      </c>
      <c r="BC1704" s="211" t="str" cm="1">
        <f t="array" ref="BC1704">_xlfn.IFS(E1704="","",G1704&lt;=E1704,BB1704*(1-0.03),G1704&lt;(E1704+8),BB1704,AZ1704="Boleto",BB1704*(1+0.001)^DATEDIF(E1704,G1704,"D"),AZ1704="Cheque",BB1704,AZ1704="Dinheiro","Alterar forma pgto")</f>
        <v/>
      </c>
      <c r="BD1704" s="276" t="str" cm="1">
        <f t="array" ref="BD1704">IF(F1704=0," ",IF(BC1704&lt;BB1704,(_xlfn.IFS(AW1704="SIM",SUM(L1704,Q1704,V1704,AA1704,AF1704,AK1704,AP1704,AU1704)+AX1704/_xlfn.XLOOKUP(_xlfn.XLOOKUP($F1704,Clientes!$B$4:$B$39,Clientes!$C$4:$C$39),Cadastros!$L$6:$L$12,Cadastros!$M$6:$M$12)+IF($F1704="Bernardino Furlan",AY1704/2751.92,IF($F1704="Mauro José Salanti",AY1704/2751.92,AY1704/3356)),F1704&lt;&gt;0,SUM(L1704,Q1704,V1704,AA1704,AF1704,AK1704,AP1704,AU1704)))*(1-0.03),_xlfn.IFS(AW1704="SIM",SUM(L1704,Q1704,V1704,AA1704,AF1704,AK1704,AP1704,AU1704)+AX1704/_xlfn.XLOOKUP(_xlfn.XLOOKUP($F1704,Clientes!$B$4:$B$39,Clientes!$C$4:$C$39),Cadastros!$L$6:$L$12,Cadastros!$M$6:$M$12)+IF($F1704="Bernardino Furlan",AY1704/2751.92,IF($F1704="Mauro José Salanti",AY1704/2751.92,AY1704/3356)),F1704&lt;&gt;0,SUM(L1704,Q1704,V1704,AA1704,AF1704,AK1704,AP1704,AU1704))))</f>
        <v xml:space="preserve"> </v>
      </c>
      <c r="BE1704" s="120"/>
      <c r="BF1704" s="120"/>
      <c r="BG1704" s="120"/>
    </row>
    <row r="1705" spans="1:59" s="3" customFormat="1" x14ac:dyDescent="0.3">
      <c r="A1705" s="15" t="str">
        <f t="shared" si="338"/>
        <v/>
      </c>
      <c r="B1705" s="25"/>
      <c r="C1705" s="26"/>
      <c r="D1705" s="279"/>
      <c r="E1705" s="27"/>
      <c r="F1705" s="28"/>
      <c r="G1705" s="27"/>
      <c r="H1705" s="28"/>
      <c r="I1705" s="28"/>
      <c r="J1705" s="255" t="str">
        <f>IF(H1705="","",(_xlfn.XLOOKUP(H1705,Cadastros!$D$6:$D$90,Cadastros!$E$6:$E$90))*(1-_xlfn.XLOOKUP(_xlfn.XLOOKUP($F1705,Clientes!$B$4:$B$39,Clientes!$C$4:$C$39),Cadastros!$L$6:$L$12,Cadastros!$N$6:$N$12)))</f>
        <v/>
      </c>
      <c r="K1705" s="168" t="str">
        <f t="shared" si="339"/>
        <v/>
      </c>
      <c r="L1705" s="168" t="str">
        <f>IFERROR(K1705/_xlfn.XLOOKUP(_xlfn.XLOOKUP($F1705,Clientes!$B$4:$B$39,Clientes!$C$4:$C$39),Cadastros!$L$6:$L$12,Cadastros!$M$6:$M$12)," ")</f>
        <v xml:space="preserve"> </v>
      </c>
      <c r="M1705" s="28"/>
      <c r="N1705" s="28"/>
      <c r="O1705" s="255" t="str">
        <f>IF(M1705="","",(_xlfn.XLOOKUP(M1705,Cadastros!$D$6:$D$90,Cadastros!$E$6:$E$90))*(1-_xlfn.XLOOKUP(_xlfn.XLOOKUP($F1705,Clientes!$B$4:$B$39,Clientes!$C$4:$C$39),Cadastros!$L$6:$L$12,Cadastros!$N$6:$N$12)))</f>
        <v/>
      </c>
      <c r="P1705" s="168" t="str">
        <f t="shared" si="340"/>
        <v/>
      </c>
      <c r="Q1705" s="168" t="str">
        <f>IFERROR(P1705/_xlfn.XLOOKUP(_xlfn.XLOOKUP($F1705,Clientes!$B$4:$B$39,Clientes!$C$4:$C$39),Cadastros!$L$6:$L$12,Cadastros!$M$6:$M$12)," ")</f>
        <v xml:space="preserve"> </v>
      </c>
      <c r="R1705" s="28"/>
      <c r="S1705" s="28"/>
      <c r="T1705" s="255" t="str">
        <f>IF(R1705="","",(_xlfn.XLOOKUP(R1705,Cadastros!$D$6:$D$90,Cadastros!$E$6:$E$90))*(1-_xlfn.XLOOKUP(_xlfn.XLOOKUP($F1705,Clientes!$B$4:$B$39,Clientes!$C$4:$C$39),Cadastros!$L$6:$L$12,Cadastros!$N$6:$N$12)))</f>
        <v/>
      </c>
      <c r="U1705" s="168" t="str">
        <f t="shared" si="341"/>
        <v/>
      </c>
      <c r="V1705" s="168" t="str">
        <f>IFERROR(U1705/_xlfn.XLOOKUP(_xlfn.XLOOKUP($F1705,Clientes!$B$4:$B$39,Clientes!$C$4:$C$39),Cadastros!$L$6:$L$12,Cadastros!$M$6:$M$12)," ")</f>
        <v xml:space="preserve"> </v>
      </c>
      <c r="W1705" s="28"/>
      <c r="X1705" s="28"/>
      <c r="Y1705" s="255" t="str">
        <f>IF(W1705="","",(_xlfn.XLOOKUP(W1705,Cadastros!$D$6:$D$90,Cadastros!$E$6:$E$90))*(1-_xlfn.XLOOKUP(_xlfn.XLOOKUP($F1705,Clientes!$B$4:$B$39,Clientes!$C$4:$C$39),Cadastros!$L$6:$L$12,Cadastros!$N$6:$N$12)))</f>
        <v/>
      </c>
      <c r="Z1705" s="168" t="str">
        <f t="shared" si="342"/>
        <v/>
      </c>
      <c r="AA1705" s="168" t="str">
        <f>IFERROR(Z1705/_xlfn.XLOOKUP(_xlfn.XLOOKUP($F1705,Clientes!$B$4:$B$39,Clientes!$C$4:$C$39),Cadastros!$L$6:$L$12,Cadastros!$M$6:$M$12)," ")</f>
        <v xml:space="preserve"> </v>
      </c>
      <c r="AB1705" s="28"/>
      <c r="AC1705" s="28"/>
      <c r="AD1705" s="20" t="str">
        <f>IF(AB1705="","",IF($F1705="Bernardino Furlan",_xlfn.XLOOKUP(AB1705,Cadastros!$G$6:$G$90,Cadastros!$H$6:$H$90)*(1-0.18),IF($F1705="Mauro José Salanti",_xlfn.XLOOKUP(AB1705,Cadastros!$G$6:$G$90,Cadastros!$H$6:$H$90)*(1-0.18),_xlfn.XLOOKUP(AB1705,Cadastros!$G$6:$G$90,Cadastros!$H$6:$H$90))))</f>
        <v/>
      </c>
      <c r="AE1705" s="168" t="str">
        <f t="shared" si="343"/>
        <v/>
      </c>
      <c r="AF1705" s="168" t="str">
        <f t="shared" si="344"/>
        <v/>
      </c>
      <c r="AG1705" s="28"/>
      <c r="AH1705" s="28"/>
      <c r="AI1705" s="20" t="str">
        <f>IF(AG1705="","",IF($F1705="Bernardino Furlan",_xlfn.XLOOKUP(AG1705,Cadastros!$G$6:$G$90,Cadastros!$H$6:$H$90)*(1-0.18),IF($F1705="Mauro José Salanti",_xlfn.XLOOKUP(AG1705,Cadastros!$G$6:$G$90,Cadastros!$H$6:$H$90)*(1-0.18),_xlfn.XLOOKUP(AG1705,Cadastros!$G$6:$G$90,Cadastros!$H$6:$H$90))))</f>
        <v/>
      </c>
      <c r="AJ1705" s="168" t="str">
        <f t="shared" si="345"/>
        <v/>
      </c>
      <c r="AK1705" s="168" t="str">
        <f t="shared" si="346"/>
        <v/>
      </c>
      <c r="AL1705" s="28"/>
      <c r="AM1705" s="28"/>
      <c r="AN1705" s="20" t="str">
        <f>IF(AL1705="","",IF($F1705="Bernardino Furlan",_xlfn.XLOOKUP(AL1705,Cadastros!$G$6:$G$90,Cadastros!$H$6:$H$90)*(1-0.18),IF($F1705="Mauro José Salanti",_xlfn.XLOOKUP(AL1705,Cadastros!$G$6:$G$90,Cadastros!$H$6:$H$90)*(1-0.18),_xlfn.XLOOKUP(AL1705,Cadastros!$G$6:$G$90,Cadastros!$H$6:$H$90))))</f>
        <v/>
      </c>
      <c r="AO1705" s="168" t="str">
        <f t="shared" si="347"/>
        <v/>
      </c>
      <c r="AP1705" s="168" t="str">
        <f t="shared" si="348"/>
        <v/>
      </c>
      <c r="AQ1705" s="28"/>
      <c r="AR1705" s="28"/>
      <c r="AS1705" s="20" t="str">
        <f>IF(AQ1705="","",IF($F1705="Bernardino Furlan",_xlfn.XLOOKUP(AQ1705,Cadastros!$G$6:$G$90,Cadastros!$H$6:$H$90)*(1-0.18),IF($F1705="Mauro José Salanti",_xlfn.XLOOKUP(AQ1705,Cadastros!$G$6:$G$90,Cadastros!$H$6:$H$90)*(1-0.18),_xlfn.XLOOKUP(AQ1705,Cadastros!$G$6:$G$90,Cadastros!$H$6:$H$90))))</f>
        <v/>
      </c>
      <c r="AT1705" s="168" t="str">
        <f t="shared" si="349"/>
        <v/>
      </c>
      <c r="AU1705" s="168" t="str">
        <f t="shared" si="350"/>
        <v/>
      </c>
      <c r="AV1705" s="227"/>
      <c r="AW1705" s="30"/>
      <c r="AX1705" s="267"/>
      <c r="AY1705" s="267"/>
      <c r="AZ1705" s="29"/>
      <c r="BA1705" s="30"/>
      <c r="BB1705" s="23" t="str" cm="1">
        <f t="array" ref="BB1705">_xlfn.IFS(AW1705="SIM",SUM(K1705,P1705,U1705,Z1705,AE1705,AJ1705,AO1705,AT1705,AX1705,AY1705),F1705&lt;&gt;"",SUM(K1705,P1705,U1705,Z1705,AE1705,AJ1705,,AO1705,AT1705),F1705="","")</f>
        <v/>
      </c>
      <c r="BC1705" s="211" t="str" cm="1">
        <f t="array" ref="BC1705">_xlfn.IFS(E1705="","",G1705&lt;=E1705,BB1705*(1-0.03),G1705&lt;(E1705+8),BB1705,AZ1705="Boleto",BB1705*(1+0.001)^DATEDIF(E1705,G1705,"D"),AZ1705="Cheque",BB1705,AZ1705="Dinheiro","Alterar forma pgto")</f>
        <v/>
      </c>
      <c r="BD1705" s="276" t="str" cm="1">
        <f t="array" ref="BD1705">IF(F1705=0," ",IF(BC1705&lt;BB1705,(_xlfn.IFS(AW1705="SIM",SUM(L1705,Q1705,V1705,AA1705,AF1705,AK1705,AP1705,AU1705)+AX1705/_xlfn.XLOOKUP(_xlfn.XLOOKUP($F1705,Clientes!$B$4:$B$39,Clientes!$C$4:$C$39),Cadastros!$L$6:$L$12,Cadastros!$M$6:$M$12)+IF($F1705="Bernardino Furlan",AY1705/2751.92,IF($F1705="Mauro José Salanti",AY1705/2751.92,AY1705/3356)),F1705&lt;&gt;0,SUM(L1705,Q1705,V1705,AA1705,AF1705,AK1705,AP1705,AU1705)))*(1-0.03),_xlfn.IFS(AW1705="SIM",SUM(L1705,Q1705,V1705,AA1705,AF1705,AK1705,AP1705,AU1705)+AX1705/_xlfn.XLOOKUP(_xlfn.XLOOKUP($F1705,Clientes!$B$4:$B$39,Clientes!$C$4:$C$39),Cadastros!$L$6:$L$12,Cadastros!$M$6:$M$12)+IF($F1705="Bernardino Furlan",AY1705/2751.92,IF($F1705="Mauro José Salanti",AY1705/2751.92,AY1705/3356)),F1705&lt;&gt;0,SUM(L1705,Q1705,V1705,AA1705,AF1705,AK1705,AP1705,AU1705))))</f>
        <v xml:space="preserve"> </v>
      </c>
      <c r="BE1705" s="120"/>
      <c r="BF1705" s="120"/>
      <c r="BG1705" s="120"/>
    </row>
    <row r="1706" spans="1:59" s="3" customFormat="1" x14ac:dyDescent="0.3">
      <c r="A1706" s="15" t="str">
        <f t="shared" si="338"/>
        <v/>
      </c>
      <c r="B1706" s="25"/>
      <c r="C1706" s="26"/>
      <c r="D1706" s="279"/>
      <c r="E1706" s="27"/>
      <c r="F1706" s="28"/>
      <c r="G1706" s="27"/>
      <c r="H1706" s="28"/>
      <c r="I1706" s="28"/>
      <c r="J1706" s="255" t="str">
        <f>IF(H1706="","",(_xlfn.XLOOKUP(H1706,Cadastros!$D$6:$D$90,Cadastros!$E$6:$E$90))*(1-_xlfn.XLOOKUP(_xlfn.XLOOKUP($F1706,Clientes!$B$4:$B$39,Clientes!$C$4:$C$39),Cadastros!$L$6:$L$12,Cadastros!$N$6:$N$12)))</f>
        <v/>
      </c>
      <c r="K1706" s="168" t="str">
        <f t="shared" si="339"/>
        <v/>
      </c>
      <c r="L1706" s="168" t="str">
        <f>IFERROR(K1706/_xlfn.XLOOKUP(_xlfn.XLOOKUP($F1706,Clientes!$B$4:$B$39,Clientes!$C$4:$C$39),Cadastros!$L$6:$L$12,Cadastros!$M$6:$M$12)," ")</f>
        <v xml:space="preserve"> </v>
      </c>
      <c r="M1706" s="28"/>
      <c r="N1706" s="28"/>
      <c r="O1706" s="255" t="str">
        <f>IF(M1706="","",(_xlfn.XLOOKUP(M1706,Cadastros!$D$6:$D$90,Cadastros!$E$6:$E$90))*(1-_xlfn.XLOOKUP(_xlfn.XLOOKUP($F1706,Clientes!$B$4:$B$39,Clientes!$C$4:$C$39),Cadastros!$L$6:$L$12,Cadastros!$N$6:$N$12)))</f>
        <v/>
      </c>
      <c r="P1706" s="168" t="str">
        <f t="shared" si="340"/>
        <v/>
      </c>
      <c r="Q1706" s="168" t="str">
        <f>IFERROR(P1706/_xlfn.XLOOKUP(_xlfn.XLOOKUP($F1706,Clientes!$B$4:$B$39,Clientes!$C$4:$C$39),Cadastros!$L$6:$L$12,Cadastros!$M$6:$M$12)," ")</f>
        <v xml:space="preserve"> </v>
      </c>
      <c r="R1706" s="28"/>
      <c r="S1706" s="28"/>
      <c r="T1706" s="255" t="str">
        <f>IF(R1706="","",(_xlfn.XLOOKUP(R1706,Cadastros!$D$6:$D$90,Cadastros!$E$6:$E$90))*(1-_xlfn.XLOOKUP(_xlfn.XLOOKUP($F1706,Clientes!$B$4:$B$39,Clientes!$C$4:$C$39),Cadastros!$L$6:$L$12,Cadastros!$N$6:$N$12)))</f>
        <v/>
      </c>
      <c r="U1706" s="168" t="str">
        <f t="shared" si="341"/>
        <v/>
      </c>
      <c r="V1706" s="168" t="str">
        <f>IFERROR(U1706/_xlfn.XLOOKUP(_xlfn.XLOOKUP($F1706,Clientes!$B$4:$B$39,Clientes!$C$4:$C$39),Cadastros!$L$6:$L$12,Cadastros!$M$6:$M$12)," ")</f>
        <v xml:space="preserve"> </v>
      </c>
      <c r="W1706" s="28"/>
      <c r="X1706" s="28"/>
      <c r="Y1706" s="255" t="str">
        <f>IF(W1706="","",(_xlfn.XLOOKUP(W1706,Cadastros!$D$6:$D$90,Cadastros!$E$6:$E$90))*(1-_xlfn.XLOOKUP(_xlfn.XLOOKUP($F1706,Clientes!$B$4:$B$39,Clientes!$C$4:$C$39),Cadastros!$L$6:$L$12,Cadastros!$N$6:$N$12)))</f>
        <v/>
      </c>
      <c r="Z1706" s="168" t="str">
        <f t="shared" si="342"/>
        <v/>
      </c>
      <c r="AA1706" s="168" t="str">
        <f>IFERROR(Z1706/_xlfn.XLOOKUP(_xlfn.XLOOKUP($F1706,Clientes!$B$4:$B$39,Clientes!$C$4:$C$39),Cadastros!$L$6:$L$12,Cadastros!$M$6:$M$12)," ")</f>
        <v xml:space="preserve"> </v>
      </c>
      <c r="AB1706" s="28"/>
      <c r="AC1706" s="28"/>
      <c r="AD1706" s="20" t="str">
        <f>IF(AB1706="","",IF($F1706="Bernardino Furlan",_xlfn.XLOOKUP(AB1706,Cadastros!$G$6:$G$90,Cadastros!$H$6:$H$90)*(1-0.18),IF($F1706="Mauro José Salanti",_xlfn.XLOOKUP(AB1706,Cadastros!$G$6:$G$90,Cadastros!$H$6:$H$90)*(1-0.18),_xlfn.XLOOKUP(AB1706,Cadastros!$G$6:$G$90,Cadastros!$H$6:$H$90))))</f>
        <v/>
      </c>
      <c r="AE1706" s="168" t="str">
        <f t="shared" si="343"/>
        <v/>
      </c>
      <c r="AF1706" s="168" t="str">
        <f t="shared" si="344"/>
        <v/>
      </c>
      <c r="AG1706" s="28"/>
      <c r="AH1706" s="28"/>
      <c r="AI1706" s="20" t="str">
        <f>IF(AG1706="","",IF($F1706="Bernardino Furlan",_xlfn.XLOOKUP(AG1706,Cadastros!$G$6:$G$90,Cadastros!$H$6:$H$90)*(1-0.18),IF($F1706="Mauro José Salanti",_xlfn.XLOOKUP(AG1706,Cadastros!$G$6:$G$90,Cadastros!$H$6:$H$90)*(1-0.18),_xlfn.XLOOKUP(AG1706,Cadastros!$G$6:$G$90,Cadastros!$H$6:$H$90))))</f>
        <v/>
      </c>
      <c r="AJ1706" s="168" t="str">
        <f t="shared" si="345"/>
        <v/>
      </c>
      <c r="AK1706" s="168" t="str">
        <f t="shared" si="346"/>
        <v/>
      </c>
      <c r="AL1706" s="28"/>
      <c r="AM1706" s="28"/>
      <c r="AN1706" s="20" t="str">
        <f>IF(AL1706="","",IF($F1706="Bernardino Furlan",_xlfn.XLOOKUP(AL1706,Cadastros!$G$6:$G$90,Cadastros!$H$6:$H$90)*(1-0.18),IF($F1706="Mauro José Salanti",_xlfn.XLOOKUP(AL1706,Cadastros!$G$6:$G$90,Cadastros!$H$6:$H$90)*(1-0.18),_xlfn.XLOOKUP(AL1706,Cadastros!$G$6:$G$90,Cadastros!$H$6:$H$90))))</f>
        <v/>
      </c>
      <c r="AO1706" s="168" t="str">
        <f t="shared" si="347"/>
        <v/>
      </c>
      <c r="AP1706" s="168" t="str">
        <f t="shared" si="348"/>
        <v/>
      </c>
      <c r="AQ1706" s="28"/>
      <c r="AR1706" s="28"/>
      <c r="AS1706" s="20" t="str">
        <f>IF(AQ1706="","",IF($F1706="Bernardino Furlan",_xlfn.XLOOKUP(AQ1706,Cadastros!$G$6:$G$90,Cadastros!$H$6:$H$90)*(1-0.18),IF($F1706="Mauro José Salanti",_xlfn.XLOOKUP(AQ1706,Cadastros!$G$6:$G$90,Cadastros!$H$6:$H$90)*(1-0.18),_xlfn.XLOOKUP(AQ1706,Cadastros!$G$6:$G$90,Cadastros!$H$6:$H$90))))</f>
        <v/>
      </c>
      <c r="AT1706" s="168" t="str">
        <f t="shared" si="349"/>
        <v/>
      </c>
      <c r="AU1706" s="168" t="str">
        <f t="shared" si="350"/>
        <v/>
      </c>
      <c r="AV1706" s="227"/>
      <c r="AW1706" s="30"/>
      <c r="AX1706" s="267"/>
      <c r="AY1706" s="267"/>
      <c r="AZ1706" s="29"/>
      <c r="BA1706" s="30"/>
      <c r="BB1706" s="23" t="str" cm="1">
        <f t="array" ref="BB1706">_xlfn.IFS(AW1706="SIM",SUM(K1706,P1706,U1706,Z1706,AE1706,AJ1706,AO1706,AT1706,AX1706,AY1706),F1706&lt;&gt;"",SUM(K1706,P1706,U1706,Z1706,AE1706,AJ1706,,AO1706,AT1706),F1706="","")</f>
        <v/>
      </c>
      <c r="BC1706" s="211" t="str" cm="1">
        <f t="array" ref="BC1706">_xlfn.IFS(E1706="","",G1706&lt;=E1706,BB1706*(1-0.03),G1706&lt;(E1706+8),BB1706,AZ1706="Boleto",BB1706*(1+0.001)^DATEDIF(E1706,G1706,"D"),AZ1706="Cheque",BB1706,AZ1706="Dinheiro","Alterar forma pgto")</f>
        <v/>
      </c>
      <c r="BD1706" s="276" t="str" cm="1">
        <f t="array" ref="BD1706">IF(F1706=0," ",IF(BC1706&lt;BB1706,(_xlfn.IFS(AW1706="SIM",SUM(L1706,Q1706,V1706,AA1706,AF1706,AK1706,AP1706,AU1706)+AX1706/_xlfn.XLOOKUP(_xlfn.XLOOKUP($F1706,Clientes!$B$4:$B$39,Clientes!$C$4:$C$39),Cadastros!$L$6:$L$12,Cadastros!$M$6:$M$12)+IF($F1706="Bernardino Furlan",AY1706/2751.92,IF($F1706="Mauro José Salanti",AY1706/2751.92,AY1706/3356)),F1706&lt;&gt;0,SUM(L1706,Q1706,V1706,AA1706,AF1706,AK1706,AP1706,AU1706)))*(1-0.03),_xlfn.IFS(AW1706="SIM",SUM(L1706,Q1706,V1706,AA1706,AF1706,AK1706,AP1706,AU1706)+AX1706/_xlfn.XLOOKUP(_xlfn.XLOOKUP($F1706,Clientes!$B$4:$B$39,Clientes!$C$4:$C$39),Cadastros!$L$6:$L$12,Cadastros!$M$6:$M$12)+IF($F1706="Bernardino Furlan",AY1706/2751.92,IF($F1706="Mauro José Salanti",AY1706/2751.92,AY1706/3356)),F1706&lt;&gt;0,SUM(L1706,Q1706,V1706,AA1706,AF1706,AK1706,AP1706,AU1706))))</f>
        <v xml:space="preserve"> </v>
      </c>
      <c r="BE1706" s="120"/>
      <c r="BF1706" s="120"/>
      <c r="BG1706" s="120"/>
    </row>
    <row r="1707" spans="1:59" s="3" customFormat="1" x14ac:dyDescent="0.3">
      <c r="A1707" s="15" t="str">
        <f t="shared" si="338"/>
        <v/>
      </c>
      <c r="B1707" s="25"/>
      <c r="C1707" s="26"/>
      <c r="D1707" s="279"/>
      <c r="E1707" s="27"/>
      <c r="F1707" s="28"/>
      <c r="G1707" s="27"/>
      <c r="H1707" s="28"/>
      <c r="I1707" s="28"/>
      <c r="J1707" s="255" t="str">
        <f>IF(H1707="","",(_xlfn.XLOOKUP(H1707,Cadastros!$D$6:$D$90,Cadastros!$E$6:$E$90))*(1-_xlfn.XLOOKUP(_xlfn.XLOOKUP($F1707,Clientes!$B$4:$B$39,Clientes!$C$4:$C$39),Cadastros!$L$6:$L$12,Cadastros!$N$6:$N$12)))</f>
        <v/>
      </c>
      <c r="K1707" s="168" t="str">
        <f t="shared" si="339"/>
        <v/>
      </c>
      <c r="L1707" s="168" t="str">
        <f>IFERROR(K1707/_xlfn.XLOOKUP(_xlfn.XLOOKUP($F1707,Clientes!$B$4:$B$39,Clientes!$C$4:$C$39),Cadastros!$L$6:$L$12,Cadastros!$M$6:$M$12)," ")</f>
        <v xml:space="preserve"> </v>
      </c>
      <c r="M1707" s="28"/>
      <c r="N1707" s="28"/>
      <c r="O1707" s="255" t="str">
        <f>IF(M1707="","",(_xlfn.XLOOKUP(M1707,Cadastros!$D$6:$D$90,Cadastros!$E$6:$E$90))*(1-_xlfn.XLOOKUP(_xlfn.XLOOKUP($F1707,Clientes!$B$4:$B$39,Clientes!$C$4:$C$39),Cadastros!$L$6:$L$12,Cadastros!$N$6:$N$12)))</f>
        <v/>
      </c>
      <c r="P1707" s="168" t="str">
        <f t="shared" si="340"/>
        <v/>
      </c>
      <c r="Q1707" s="168" t="str">
        <f>IFERROR(P1707/_xlfn.XLOOKUP(_xlfn.XLOOKUP($F1707,Clientes!$B$4:$B$39,Clientes!$C$4:$C$39),Cadastros!$L$6:$L$12,Cadastros!$M$6:$M$12)," ")</f>
        <v xml:space="preserve"> </v>
      </c>
      <c r="R1707" s="28"/>
      <c r="S1707" s="28"/>
      <c r="T1707" s="255" t="str">
        <f>IF(R1707="","",(_xlfn.XLOOKUP(R1707,Cadastros!$D$6:$D$90,Cadastros!$E$6:$E$90))*(1-_xlfn.XLOOKUP(_xlfn.XLOOKUP($F1707,Clientes!$B$4:$B$39,Clientes!$C$4:$C$39),Cadastros!$L$6:$L$12,Cadastros!$N$6:$N$12)))</f>
        <v/>
      </c>
      <c r="U1707" s="168" t="str">
        <f t="shared" si="341"/>
        <v/>
      </c>
      <c r="V1707" s="168" t="str">
        <f>IFERROR(U1707/_xlfn.XLOOKUP(_xlfn.XLOOKUP($F1707,Clientes!$B$4:$B$39,Clientes!$C$4:$C$39),Cadastros!$L$6:$L$12,Cadastros!$M$6:$M$12)," ")</f>
        <v xml:space="preserve"> </v>
      </c>
      <c r="W1707" s="28"/>
      <c r="X1707" s="28"/>
      <c r="Y1707" s="255" t="str">
        <f>IF(W1707="","",(_xlfn.XLOOKUP(W1707,Cadastros!$D$6:$D$90,Cadastros!$E$6:$E$90))*(1-_xlfn.XLOOKUP(_xlfn.XLOOKUP($F1707,Clientes!$B$4:$B$39,Clientes!$C$4:$C$39),Cadastros!$L$6:$L$12,Cadastros!$N$6:$N$12)))</f>
        <v/>
      </c>
      <c r="Z1707" s="168" t="str">
        <f t="shared" si="342"/>
        <v/>
      </c>
      <c r="AA1707" s="168" t="str">
        <f>IFERROR(Z1707/_xlfn.XLOOKUP(_xlfn.XLOOKUP($F1707,Clientes!$B$4:$B$39,Clientes!$C$4:$C$39),Cadastros!$L$6:$L$12,Cadastros!$M$6:$M$12)," ")</f>
        <v xml:space="preserve"> </v>
      </c>
      <c r="AB1707" s="28"/>
      <c r="AC1707" s="28"/>
      <c r="AD1707" s="20" t="str">
        <f>IF(AB1707="","",IF($F1707="Bernardino Furlan",_xlfn.XLOOKUP(AB1707,Cadastros!$G$6:$G$90,Cadastros!$H$6:$H$90)*(1-0.18),IF($F1707="Mauro José Salanti",_xlfn.XLOOKUP(AB1707,Cadastros!$G$6:$G$90,Cadastros!$H$6:$H$90)*(1-0.18),_xlfn.XLOOKUP(AB1707,Cadastros!$G$6:$G$90,Cadastros!$H$6:$H$90))))</f>
        <v/>
      </c>
      <c r="AE1707" s="168" t="str">
        <f t="shared" si="343"/>
        <v/>
      </c>
      <c r="AF1707" s="168" t="str">
        <f t="shared" si="344"/>
        <v/>
      </c>
      <c r="AG1707" s="28"/>
      <c r="AH1707" s="28"/>
      <c r="AI1707" s="20" t="str">
        <f>IF(AG1707="","",IF($F1707="Bernardino Furlan",_xlfn.XLOOKUP(AG1707,Cadastros!$G$6:$G$90,Cadastros!$H$6:$H$90)*(1-0.18),IF($F1707="Mauro José Salanti",_xlfn.XLOOKUP(AG1707,Cadastros!$G$6:$G$90,Cadastros!$H$6:$H$90)*(1-0.18),_xlfn.XLOOKUP(AG1707,Cadastros!$G$6:$G$90,Cadastros!$H$6:$H$90))))</f>
        <v/>
      </c>
      <c r="AJ1707" s="168" t="str">
        <f t="shared" si="345"/>
        <v/>
      </c>
      <c r="AK1707" s="168" t="str">
        <f t="shared" si="346"/>
        <v/>
      </c>
      <c r="AL1707" s="28"/>
      <c r="AM1707" s="28"/>
      <c r="AN1707" s="20" t="str">
        <f>IF(AL1707="","",IF($F1707="Bernardino Furlan",_xlfn.XLOOKUP(AL1707,Cadastros!$G$6:$G$90,Cadastros!$H$6:$H$90)*(1-0.18),IF($F1707="Mauro José Salanti",_xlfn.XLOOKUP(AL1707,Cadastros!$G$6:$G$90,Cadastros!$H$6:$H$90)*(1-0.18),_xlfn.XLOOKUP(AL1707,Cadastros!$G$6:$G$90,Cadastros!$H$6:$H$90))))</f>
        <v/>
      </c>
      <c r="AO1707" s="168" t="str">
        <f t="shared" si="347"/>
        <v/>
      </c>
      <c r="AP1707" s="168" t="str">
        <f t="shared" si="348"/>
        <v/>
      </c>
      <c r="AQ1707" s="28"/>
      <c r="AR1707" s="28"/>
      <c r="AS1707" s="20" t="str">
        <f>IF(AQ1707="","",IF($F1707="Bernardino Furlan",_xlfn.XLOOKUP(AQ1707,Cadastros!$G$6:$G$90,Cadastros!$H$6:$H$90)*(1-0.18),IF($F1707="Mauro José Salanti",_xlfn.XLOOKUP(AQ1707,Cadastros!$G$6:$G$90,Cadastros!$H$6:$H$90)*(1-0.18),_xlfn.XLOOKUP(AQ1707,Cadastros!$G$6:$G$90,Cadastros!$H$6:$H$90))))</f>
        <v/>
      </c>
      <c r="AT1707" s="168" t="str">
        <f t="shared" si="349"/>
        <v/>
      </c>
      <c r="AU1707" s="168" t="str">
        <f t="shared" si="350"/>
        <v/>
      </c>
      <c r="AV1707" s="227"/>
      <c r="AW1707" s="30"/>
      <c r="AX1707" s="267"/>
      <c r="AY1707" s="267"/>
      <c r="AZ1707" s="29"/>
      <c r="BA1707" s="30"/>
      <c r="BB1707" s="23" t="str" cm="1">
        <f t="array" ref="BB1707">_xlfn.IFS(AW1707="SIM",SUM(K1707,P1707,U1707,Z1707,AE1707,AJ1707,AO1707,AT1707,AX1707,AY1707),F1707&lt;&gt;"",SUM(K1707,P1707,U1707,Z1707,AE1707,AJ1707,,AO1707,AT1707),F1707="","")</f>
        <v/>
      </c>
      <c r="BC1707" s="211" t="str" cm="1">
        <f t="array" ref="BC1707">_xlfn.IFS(E1707="","",G1707&lt;=E1707,BB1707*(1-0.03),G1707&lt;(E1707+8),BB1707,AZ1707="Boleto",BB1707*(1+0.001)^DATEDIF(E1707,G1707,"D"),AZ1707="Cheque",BB1707,AZ1707="Dinheiro","Alterar forma pgto")</f>
        <v/>
      </c>
      <c r="BD1707" s="276" t="str" cm="1">
        <f t="array" ref="BD1707">IF(F1707=0," ",IF(BC1707&lt;BB1707,(_xlfn.IFS(AW1707="SIM",SUM(L1707,Q1707,V1707,AA1707,AF1707,AK1707,AP1707,AU1707)+AX1707/_xlfn.XLOOKUP(_xlfn.XLOOKUP($F1707,Clientes!$B$4:$B$39,Clientes!$C$4:$C$39),Cadastros!$L$6:$L$12,Cadastros!$M$6:$M$12)+IF($F1707="Bernardino Furlan",AY1707/2751.92,IF($F1707="Mauro José Salanti",AY1707/2751.92,AY1707/3356)),F1707&lt;&gt;0,SUM(L1707,Q1707,V1707,AA1707,AF1707,AK1707,AP1707,AU1707)))*(1-0.03),_xlfn.IFS(AW1707="SIM",SUM(L1707,Q1707,V1707,AA1707,AF1707,AK1707,AP1707,AU1707)+AX1707/_xlfn.XLOOKUP(_xlfn.XLOOKUP($F1707,Clientes!$B$4:$B$39,Clientes!$C$4:$C$39),Cadastros!$L$6:$L$12,Cadastros!$M$6:$M$12)+IF($F1707="Bernardino Furlan",AY1707/2751.92,IF($F1707="Mauro José Salanti",AY1707/2751.92,AY1707/3356)),F1707&lt;&gt;0,SUM(L1707,Q1707,V1707,AA1707,AF1707,AK1707,AP1707,AU1707))))</f>
        <v xml:space="preserve"> </v>
      </c>
      <c r="BE1707" s="120"/>
      <c r="BF1707" s="120"/>
      <c r="BG1707" s="120"/>
    </row>
    <row r="1708" spans="1:59" s="3" customFormat="1" x14ac:dyDescent="0.3">
      <c r="A1708" s="15" t="str">
        <f t="shared" si="338"/>
        <v/>
      </c>
      <c r="B1708" s="25"/>
      <c r="C1708" s="26"/>
      <c r="D1708" s="279"/>
      <c r="E1708" s="27"/>
      <c r="F1708" s="28"/>
      <c r="G1708" s="27"/>
      <c r="H1708" s="28"/>
      <c r="I1708" s="28"/>
      <c r="J1708" s="255" t="str">
        <f>IF(H1708="","",(_xlfn.XLOOKUP(H1708,Cadastros!$D$6:$D$90,Cadastros!$E$6:$E$90))*(1-_xlfn.XLOOKUP(_xlfn.XLOOKUP($F1708,Clientes!$B$4:$B$39,Clientes!$C$4:$C$39),Cadastros!$L$6:$L$12,Cadastros!$N$6:$N$12)))</f>
        <v/>
      </c>
      <c r="K1708" s="168" t="str">
        <f t="shared" si="339"/>
        <v/>
      </c>
      <c r="L1708" s="168" t="str">
        <f>IFERROR(K1708/_xlfn.XLOOKUP(_xlfn.XLOOKUP($F1708,Clientes!$B$4:$B$39,Clientes!$C$4:$C$39),Cadastros!$L$6:$L$12,Cadastros!$M$6:$M$12)," ")</f>
        <v xml:space="preserve"> </v>
      </c>
      <c r="M1708" s="28"/>
      <c r="N1708" s="28"/>
      <c r="O1708" s="255" t="str">
        <f>IF(M1708="","",(_xlfn.XLOOKUP(M1708,Cadastros!$D$6:$D$90,Cadastros!$E$6:$E$90))*(1-_xlfn.XLOOKUP(_xlfn.XLOOKUP($F1708,Clientes!$B$4:$B$39,Clientes!$C$4:$C$39),Cadastros!$L$6:$L$12,Cadastros!$N$6:$N$12)))</f>
        <v/>
      </c>
      <c r="P1708" s="168" t="str">
        <f t="shared" si="340"/>
        <v/>
      </c>
      <c r="Q1708" s="168" t="str">
        <f>IFERROR(P1708/_xlfn.XLOOKUP(_xlfn.XLOOKUP($F1708,Clientes!$B$4:$B$39,Clientes!$C$4:$C$39),Cadastros!$L$6:$L$12,Cadastros!$M$6:$M$12)," ")</f>
        <v xml:space="preserve"> </v>
      </c>
      <c r="R1708" s="28"/>
      <c r="S1708" s="28"/>
      <c r="T1708" s="255" t="str">
        <f>IF(R1708="","",(_xlfn.XLOOKUP(R1708,Cadastros!$D$6:$D$90,Cadastros!$E$6:$E$90))*(1-_xlfn.XLOOKUP(_xlfn.XLOOKUP($F1708,Clientes!$B$4:$B$39,Clientes!$C$4:$C$39),Cadastros!$L$6:$L$12,Cadastros!$N$6:$N$12)))</f>
        <v/>
      </c>
      <c r="U1708" s="168" t="str">
        <f t="shared" si="341"/>
        <v/>
      </c>
      <c r="V1708" s="168" t="str">
        <f>IFERROR(U1708/_xlfn.XLOOKUP(_xlfn.XLOOKUP($F1708,Clientes!$B$4:$B$39,Clientes!$C$4:$C$39),Cadastros!$L$6:$L$12,Cadastros!$M$6:$M$12)," ")</f>
        <v xml:space="preserve"> </v>
      </c>
      <c r="W1708" s="28"/>
      <c r="X1708" s="28"/>
      <c r="Y1708" s="255" t="str">
        <f>IF(W1708="","",(_xlfn.XLOOKUP(W1708,Cadastros!$D$6:$D$90,Cadastros!$E$6:$E$90))*(1-_xlfn.XLOOKUP(_xlfn.XLOOKUP($F1708,Clientes!$B$4:$B$39,Clientes!$C$4:$C$39),Cadastros!$L$6:$L$12,Cadastros!$N$6:$N$12)))</f>
        <v/>
      </c>
      <c r="Z1708" s="168" t="str">
        <f t="shared" si="342"/>
        <v/>
      </c>
      <c r="AA1708" s="168" t="str">
        <f>IFERROR(Z1708/_xlfn.XLOOKUP(_xlfn.XLOOKUP($F1708,Clientes!$B$4:$B$39,Clientes!$C$4:$C$39),Cadastros!$L$6:$L$12,Cadastros!$M$6:$M$12)," ")</f>
        <v xml:space="preserve"> </v>
      </c>
      <c r="AB1708" s="28"/>
      <c r="AC1708" s="28"/>
      <c r="AD1708" s="20" t="str">
        <f>IF(AB1708="","",IF($F1708="Bernardino Furlan",_xlfn.XLOOKUP(AB1708,Cadastros!$G$6:$G$90,Cadastros!$H$6:$H$90)*(1-0.18),IF($F1708="Mauro José Salanti",_xlfn.XLOOKUP(AB1708,Cadastros!$G$6:$G$90,Cadastros!$H$6:$H$90)*(1-0.18),_xlfn.XLOOKUP(AB1708,Cadastros!$G$6:$G$90,Cadastros!$H$6:$H$90))))</f>
        <v/>
      </c>
      <c r="AE1708" s="168" t="str">
        <f t="shared" si="343"/>
        <v/>
      </c>
      <c r="AF1708" s="168" t="str">
        <f t="shared" si="344"/>
        <v/>
      </c>
      <c r="AG1708" s="28"/>
      <c r="AH1708" s="28"/>
      <c r="AI1708" s="20" t="str">
        <f>IF(AG1708="","",IF($F1708="Bernardino Furlan",_xlfn.XLOOKUP(AG1708,Cadastros!$G$6:$G$90,Cadastros!$H$6:$H$90)*(1-0.18),IF($F1708="Mauro José Salanti",_xlfn.XLOOKUP(AG1708,Cadastros!$G$6:$G$90,Cadastros!$H$6:$H$90)*(1-0.18),_xlfn.XLOOKUP(AG1708,Cadastros!$G$6:$G$90,Cadastros!$H$6:$H$90))))</f>
        <v/>
      </c>
      <c r="AJ1708" s="168" t="str">
        <f t="shared" si="345"/>
        <v/>
      </c>
      <c r="AK1708" s="168" t="str">
        <f t="shared" si="346"/>
        <v/>
      </c>
      <c r="AL1708" s="28"/>
      <c r="AM1708" s="28"/>
      <c r="AN1708" s="20" t="str">
        <f>IF(AL1708="","",IF($F1708="Bernardino Furlan",_xlfn.XLOOKUP(AL1708,Cadastros!$G$6:$G$90,Cadastros!$H$6:$H$90)*(1-0.18),IF($F1708="Mauro José Salanti",_xlfn.XLOOKUP(AL1708,Cadastros!$G$6:$G$90,Cadastros!$H$6:$H$90)*(1-0.18),_xlfn.XLOOKUP(AL1708,Cadastros!$G$6:$G$90,Cadastros!$H$6:$H$90))))</f>
        <v/>
      </c>
      <c r="AO1708" s="168" t="str">
        <f t="shared" si="347"/>
        <v/>
      </c>
      <c r="AP1708" s="168" t="str">
        <f t="shared" si="348"/>
        <v/>
      </c>
      <c r="AQ1708" s="28"/>
      <c r="AR1708" s="28"/>
      <c r="AS1708" s="20" t="str">
        <f>IF(AQ1708="","",IF($F1708="Bernardino Furlan",_xlfn.XLOOKUP(AQ1708,Cadastros!$G$6:$G$90,Cadastros!$H$6:$H$90)*(1-0.18),IF($F1708="Mauro José Salanti",_xlfn.XLOOKUP(AQ1708,Cadastros!$G$6:$G$90,Cadastros!$H$6:$H$90)*(1-0.18),_xlfn.XLOOKUP(AQ1708,Cadastros!$G$6:$G$90,Cadastros!$H$6:$H$90))))</f>
        <v/>
      </c>
      <c r="AT1708" s="168" t="str">
        <f t="shared" si="349"/>
        <v/>
      </c>
      <c r="AU1708" s="168" t="str">
        <f t="shared" si="350"/>
        <v/>
      </c>
      <c r="AV1708" s="227"/>
      <c r="AW1708" s="30"/>
      <c r="AX1708" s="267"/>
      <c r="AY1708" s="267"/>
      <c r="AZ1708" s="29"/>
      <c r="BA1708" s="30"/>
      <c r="BB1708" s="23" t="str" cm="1">
        <f t="array" ref="BB1708">_xlfn.IFS(AW1708="SIM",SUM(K1708,P1708,U1708,Z1708,AE1708,AJ1708,AO1708,AT1708,AX1708,AY1708),F1708&lt;&gt;"",SUM(K1708,P1708,U1708,Z1708,AE1708,AJ1708,,AO1708,AT1708),F1708="","")</f>
        <v/>
      </c>
      <c r="BC1708" s="211" t="str" cm="1">
        <f t="array" ref="BC1708">_xlfn.IFS(E1708="","",G1708&lt;=E1708,BB1708*(1-0.03),G1708&lt;(E1708+8),BB1708,AZ1708="Boleto",BB1708*(1+0.001)^DATEDIF(E1708,G1708,"D"),AZ1708="Cheque",BB1708,AZ1708="Dinheiro","Alterar forma pgto")</f>
        <v/>
      </c>
      <c r="BD1708" s="276" t="str" cm="1">
        <f t="array" ref="BD1708">IF(F1708=0," ",IF(BC1708&lt;BB1708,(_xlfn.IFS(AW1708="SIM",SUM(L1708,Q1708,V1708,AA1708,AF1708,AK1708,AP1708,AU1708)+AX1708/_xlfn.XLOOKUP(_xlfn.XLOOKUP($F1708,Clientes!$B$4:$B$39,Clientes!$C$4:$C$39),Cadastros!$L$6:$L$12,Cadastros!$M$6:$M$12)+IF($F1708="Bernardino Furlan",AY1708/2751.92,IF($F1708="Mauro José Salanti",AY1708/2751.92,AY1708/3356)),F1708&lt;&gt;0,SUM(L1708,Q1708,V1708,AA1708,AF1708,AK1708,AP1708,AU1708)))*(1-0.03),_xlfn.IFS(AW1708="SIM",SUM(L1708,Q1708,V1708,AA1708,AF1708,AK1708,AP1708,AU1708)+AX1708/_xlfn.XLOOKUP(_xlfn.XLOOKUP($F1708,Clientes!$B$4:$B$39,Clientes!$C$4:$C$39),Cadastros!$L$6:$L$12,Cadastros!$M$6:$M$12)+IF($F1708="Bernardino Furlan",AY1708/2751.92,IF($F1708="Mauro José Salanti",AY1708/2751.92,AY1708/3356)),F1708&lt;&gt;0,SUM(L1708,Q1708,V1708,AA1708,AF1708,AK1708,AP1708,AU1708))))</f>
        <v xml:space="preserve"> </v>
      </c>
      <c r="BE1708" s="120"/>
      <c r="BF1708" s="120"/>
      <c r="BG1708" s="120"/>
    </row>
    <row r="1709" spans="1:59" s="3" customFormat="1" x14ac:dyDescent="0.3">
      <c r="A1709" s="15" t="str">
        <f t="shared" si="338"/>
        <v/>
      </c>
      <c r="B1709" s="25"/>
      <c r="C1709" s="26"/>
      <c r="D1709" s="279"/>
      <c r="E1709" s="27"/>
      <c r="F1709" s="28"/>
      <c r="G1709" s="27"/>
      <c r="H1709" s="28"/>
      <c r="I1709" s="28"/>
      <c r="J1709" s="255" t="str">
        <f>IF(H1709="","",(_xlfn.XLOOKUP(H1709,Cadastros!$D$6:$D$90,Cadastros!$E$6:$E$90))*(1-_xlfn.XLOOKUP(_xlfn.XLOOKUP($F1709,Clientes!$B$4:$B$39,Clientes!$C$4:$C$39),Cadastros!$L$6:$L$12,Cadastros!$N$6:$N$12)))</f>
        <v/>
      </c>
      <c r="K1709" s="168" t="str">
        <f t="shared" si="339"/>
        <v/>
      </c>
      <c r="L1709" s="168" t="str">
        <f>IFERROR(K1709/_xlfn.XLOOKUP(_xlfn.XLOOKUP($F1709,Clientes!$B$4:$B$39,Clientes!$C$4:$C$39),Cadastros!$L$6:$L$12,Cadastros!$M$6:$M$12)," ")</f>
        <v xml:space="preserve"> </v>
      </c>
      <c r="M1709" s="28"/>
      <c r="N1709" s="28"/>
      <c r="O1709" s="255" t="str">
        <f>IF(M1709="","",(_xlfn.XLOOKUP(M1709,Cadastros!$D$6:$D$90,Cadastros!$E$6:$E$90))*(1-_xlfn.XLOOKUP(_xlfn.XLOOKUP($F1709,Clientes!$B$4:$B$39,Clientes!$C$4:$C$39),Cadastros!$L$6:$L$12,Cadastros!$N$6:$N$12)))</f>
        <v/>
      </c>
      <c r="P1709" s="168" t="str">
        <f t="shared" si="340"/>
        <v/>
      </c>
      <c r="Q1709" s="168" t="str">
        <f>IFERROR(P1709/_xlfn.XLOOKUP(_xlfn.XLOOKUP($F1709,Clientes!$B$4:$B$39,Clientes!$C$4:$C$39),Cadastros!$L$6:$L$12,Cadastros!$M$6:$M$12)," ")</f>
        <v xml:space="preserve"> </v>
      </c>
      <c r="R1709" s="28"/>
      <c r="S1709" s="28"/>
      <c r="T1709" s="255" t="str">
        <f>IF(R1709="","",(_xlfn.XLOOKUP(R1709,Cadastros!$D$6:$D$90,Cadastros!$E$6:$E$90))*(1-_xlfn.XLOOKUP(_xlfn.XLOOKUP($F1709,Clientes!$B$4:$B$39,Clientes!$C$4:$C$39),Cadastros!$L$6:$L$12,Cadastros!$N$6:$N$12)))</f>
        <v/>
      </c>
      <c r="U1709" s="168" t="str">
        <f t="shared" si="341"/>
        <v/>
      </c>
      <c r="V1709" s="168" t="str">
        <f>IFERROR(U1709/_xlfn.XLOOKUP(_xlfn.XLOOKUP($F1709,Clientes!$B$4:$B$39,Clientes!$C$4:$C$39),Cadastros!$L$6:$L$12,Cadastros!$M$6:$M$12)," ")</f>
        <v xml:space="preserve"> </v>
      </c>
      <c r="W1709" s="28"/>
      <c r="X1709" s="28"/>
      <c r="Y1709" s="255" t="str">
        <f>IF(W1709="","",(_xlfn.XLOOKUP(W1709,Cadastros!$D$6:$D$90,Cadastros!$E$6:$E$90))*(1-_xlfn.XLOOKUP(_xlfn.XLOOKUP($F1709,Clientes!$B$4:$B$39,Clientes!$C$4:$C$39),Cadastros!$L$6:$L$12,Cadastros!$N$6:$N$12)))</f>
        <v/>
      </c>
      <c r="Z1709" s="168" t="str">
        <f t="shared" si="342"/>
        <v/>
      </c>
      <c r="AA1709" s="168" t="str">
        <f>IFERROR(Z1709/_xlfn.XLOOKUP(_xlfn.XLOOKUP($F1709,Clientes!$B$4:$B$39,Clientes!$C$4:$C$39),Cadastros!$L$6:$L$12,Cadastros!$M$6:$M$12)," ")</f>
        <v xml:space="preserve"> </v>
      </c>
      <c r="AB1709" s="28"/>
      <c r="AC1709" s="28"/>
      <c r="AD1709" s="20" t="str">
        <f>IF(AB1709="","",IF($F1709="Bernardino Furlan",_xlfn.XLOOKUP(AB1709,Cadastros!$G$6:$G$90,Cadastros!$H$6:$H$90)*(1-0.18),IF($F1709="Mauro José Salanti",_xlfn.XLOOKUP(AB1709,Cadastros!$G$6:$G$90,Cadastros!$H$6:$H$90)*(1-0.18),_xlfn.XLOOKUP(AB1709,Cadastros!$G$6:$G$90,Cadastros!$H$6:$H$90))))</f>
        <v/>
      </c>
      <c r="AE1709" s="168" t="str">
        <f t="shared" si="343"/>
        <v/>
      </c>
      <c r="AF1709" s="168" t="str">
        <f t="shared" si="344"/>
        <v/>
      </c>
      <c r="AG1709" s="28"/>
      <c r="AH1709" s="28"/>
      <c r="AI1709" s="20" t="str">
        <f>IF(AG1709="","",IF($F1709="Bernardino Furlan",_xlfn.XLOOKUP(AG1709,Cadastros!$G$6:$G$90,Cadastros!$H$6:$H$90)*(1-0.18),IF($F1709="Mauro José Salanti",_xlfn.XLOOKUP(AG1709,Cadastros!$G$6:$G$90,Cadastros!$H$6:$H$90)*(1-0.18),_xlfn.XLOOKUP(AG1709,Cadastros!$G$6:$G$90,Cadastros!$H$6:$H$90))))</f>
        <v/>
      </c>
      <c r="AJ1709" s="168" t="str">
        <f t="shared" si="345"/>
        <v/>
      </c>
      <c r="AK1709" s="168" t="str">
        <f t="shared" si="346"/>
        <v/>
      </c>
      <c r="AL1709" s="28"/>
      <c r="AM1709" s="28"/>
      <c r="AN1709" s="20" t="str">
        <f>IF(AL1709="","",IF($F1709="Bernardino Furlan",_xlfn.XLOOKUP(AL1709,Cadastros!$G$6:$G$90,Cadastros!$H$6:$H$90)*(1-0.18),IF($F1709="Mauro José Salanti",_xlfn.XLOOKUP(AL1709,Cadastros!$G$6:$G$90,Cadastros!$H$6:$H$90)*(1-0.18),_xlfn.XLOOKUP(AL1709,Cadastros!$G$6:$G$90,Cadastros!$H$6:$H$90))))</f>
        <v/>
      </c>
      <c r="AO1709" s="168" t="str">
        <f t="shared" si="347"/>
        <v/>
      </c>
      <c r="AP1709" s="168" t="str">
        <f t="shared" si="348"/>
        <v/>
      </c>
      <c r="AQ1709" s="28"/>
      <c r="AR1709" s="28"/>
      <c r="AS1709" s="20" t="str">
        <f>IF(AQ1709="","",IF($F1709="Bernardino Furlan",_xlfn.XLOOKUP(AQ1709,Cadastros!$G$6:$G$90,Cadastros!$H$6:$H$90)*(1-0.18),IF($F1709="Mauro José Salanti",_xlfn.XLOOKUP(AQ1709,Cadastros!$G$6:$G$90,Cadastros!$H$6:$H$90)*(1-0.18),_xlfn.XLOOKUP(AQ1709,Cadastros!$G$6:$G$90,Cadastros!$H$6:$H$90))))</f>
        <v/>
      </c>
      <c r="AT1709" s="168" t="str">
        <f t="shared" si="349"/>
        <v/>
      </c>
      <c r="AU1709" s="168" t="str">
        <f t="shared" si="350"/>
        <v/>
      </c>
      <c r="AV1709" s="227"/>
      <c r="AW1709" s="30"/>
      <c r="AX1709" s="267"/>
      <c r="AY1709" s="267"/>
      <c r="AZ1709" s="29"/>
      <c r="BA1709" s="30"/>
      <c r="BB1709" s="23" t="str" cm="1">
        <f t="array" ref="BB1709">_xlfn.IFS(AW1709="SIM",SUM(K1709,P1709,U1709,Z1709,AE1709,AJ1709,AO1709,AT1709,AX1709,AY1709),F1709&lt;&gt;"",SUM(K1709,P1709,U1709,Z1709,AE1709,AJ1709,,AO1709,AT1709),F1709="","")</f>
        <v/>
      </c>
      <c r="BC1709" s="211" t="str" cm="1">
        <f t="array" ref="BC1709">_xlfn.IFS(E1709="","",G1709&lt;=E1709,BB1709*(1-0.03),G1709&lt;(E1709+8),BB1709,AZ1709="Boleto",BB1709*(1+0.001)^DATEDIF(E1709,G1709,"D"),AZ1709="Cheque",BB1709,AZ1709="Dinheiro","Alterar forma pgto")</f>
        <v/>
      </c>
      <c r="BD1709" s="276" t="str" cm="1">
        <f t="array" ref="BD1709">IF(F1709=0," ",IF(BC1709&lt;BB1709,(_xlfn.IFS(AW1709="SIM",SUM(L1709,Q1709,V1709,AA1709,AF1709,AK1709,AP1709,AU1709)+AX1709/_xlfn.XLOOKUP(_xlfn.XLOOKUP($F1709,Clientes!$B$4:$B$39,Clientes!$C$4:$C$39),Cadastros!$L$6:$L$12,Cadastros!$M$6:$M$12)+IF($F1709="Bernardino Furlan",AY1709/2751.92,IF($F1709="Mauro José Salanti",AY1709/2751.92,AY1709/3356)),F1709&lt;&gt;0,SUM(L1709,Q1709,V1709,AA1709,AF1709,AK1709,AP1709,AU1709)))*(1-0.03),_xlfn.IFS(AW1709="SIM",SUM(L1709,Q1709,V1709,AA1709,AF1709,AK1709,AP1709,AU1709)+AX1709/_xlfn.XLOOKUP(_xlfn.XLOOKUP($F1709,Clientes!$B$4:$B$39,Clientes!$C$4:$C$39),Cadastros!$L$6:$L$12,Cadastros!$M$6:$M$12)+IF($F1709="Bernardino Furlan",AY1709/2751.92,IF($F1709="Mauro José Salanti",AY1709/2751.92,AY1709/3356)),F1709&lt;&gt;0,SUM(L1709,Q1709,V1709,AA1709,AF1709,AK1709,AP1709,AU1709))))</f>
        <v xml:space="preserve"> </v>
      </c>
      <c r="BE1709" s="120"/>
      <c r="BF1709" s="120"/>
      <c r="BG1709" s="120"/>
    </row>
    <row r="1710" spans="1:59" s="3" customFormat="1" x14ac:dyDescent="0.3">
      <c r="A1710" s="15" t="str">
        <f t="shared" si="338"/>
        <v/>
      </c>
      <c r="B1710" s="25"/>
      <c r="C1710" s="26"/>
      <c r="D1710" s="279"/>
      <c r="E1710" s="27"/>
      <c r="F1710" s="28"/>
      <c r="G1710" s="27"/>
      <c r="H1710" s="28"/>
      <c r="I1710" s="28"/>
      <c r="J1710" s="255" t="str">
        <f>IF(H1710="","",(_xlfn.XLOOKUP(H1710,Cadastros!$D$6:$D$90,Cadastros!$E$6:$E$90))*(1-_xlfn.XLOOKUP(_xlfn.XLOOKUP($F1710,Clientes!$B$4:$B$39,Clientes!$C$4:$C$39),Cadastros!$L$6:$L$12,Cadastros!$N$6:$N$12)))</f>
        <v/>
      </c>
      <c r="K1710" s="168" t="str">
        <f t="shared" si="339"/>
        <v/>
      </c>
      <c r="L1710" s="168" t="str">
        <f>IFERROR(K1710/_xlfn.XLOOKUP(_xlfn.XLOOKUP($F1710,Clientes!$B$4:$B$39,Clientes!$C$4:$C$39),Cadastros!$L$6:$L$12,Cadastros!$M$6:$M$12)," ")</f>
        <v xml:space="preserve"> </v>
      </c>
      <c r="M1710" s="28"/>
      <c r="N1710" s="28"/>
      <c r="O1710" s="255" t="str">
        <f>IF(M1710="","",(_xlfn.XLOOKUP(M1710,Cadastros!$D$6:$D$90,Cadastros!$E$6:$E$90))*(1-_xlfn.XLOOKUP(_xlfn.XLOOKUP($F1710,Clientes!$B$4:$B$39,Clientes!$C$4:$C$39),Cadastros!$L$6:$L$12,Cadastros!$N$6:$N$12)))</f>
        <v/>
      </c>
      <c r="P1710" s="168" t="str">
        <f t="shared" si="340"/>
        <v/>
      </c>
      <c r="Q1710" s="168" t="str">
        <f>IFERROR(P1710/_xlfn.XLOOKUP(_xlfn.XLOOKUP($F1710,Clientes!$B$4:$B$39,Clientes!$C$4:$C$39),Cadastros!$L$6:$L$12,Cadastros!$M$6:$M$12)," ")</f>
        <v xml:space="preserve"> </v>
      </c>
      <c r="R1710" s="28"/>
      <c r="S1710" s="28"/>
      <c r="T1710" s="255" t="str">
        <f>IF(R1710="","",(_xlfn.XLOOKUP(R1710,Cadastros!$D$6:$D$90,Cadastros!$E$6:$E$90))*(1-_xlfn.XLOOKUP(_xlfn.XLOOKUP($F1710,Clientes!$B$4:$B$39,Clientes!$C$4:$C$39),Cadastros!$L$6:$L$12,Cadastros!$N$6:$N$12)))</f>
        <v/>
      </c>
      <c r="U1710" s="168" t="str">
        <f t="shared" si="341"/>
        <v/>
      </c>
      <c r="V1710" s="168" t="str">
        <f>IFERROR(U1710/_xlfn.XLOOKUP(_xlfn.XLOOKUP($F1710,Clientes!$B$4:$B$39,Clientes!$C$4:$C$39),Cadastros!$L$6:$L$12,Cadastros!$M$6:$M$12)," ")</f>
        <v xml:space="preserve"> </v>
      </c>
      <c r="W1710" s="28"/>
      <c r="X1710" s="28"/>
      <c r="Y1710" s="255" t="str">
        <f>IF(W1710="","",(_xlfn.XLOOKUP(W1710,Cadastros!$D$6:$D$90,Cadastros!$E$6:$E$90))*(1-_xlfn.XLOOKUP(_xlfn.XLOOKUP($F1710,Clientes!$B$4:$B$39,Clientes!$C$4:$C$39),Cadastros!$L$6:$L$12,Cadastros!$N$6:$N$12)))</f>
        <v/>
      </c>
      <c r="Z1710" s="168" t="str">
        <f t="shared" si="342"/>
        <v/>
      </c>
      <c r="AA1710" s="168" t="str">
        <f>IFERROR(Z1710/_xlfn.XLOOKUP(_xlfn.XLOOKUP($F1710,Clientes!$B$4:$B$39,Clientes!$C$4:$C$39),Cadastros!$L$6:$L$12,Cadastros!$M$6:$M$12)," ")</f>
        <v xml:space="preserve"> </v>
      </c>
      <c r="AB1710" s="28"/>
      <c r="AC1710" s="28"/>
      <c r="AD1710" s="20" t="str">
        <f>IF(AB1710="","",IF($F1710="Bernardino Furlan",_xlfn.XLOOKUP(AB1710,Cadastros!$G$6:$G$90,Cadastros!$H$6:$H$90)*(1-0.18),IF($F1710="Mauro José Salanti",_xlfn.XLOOKUP(AB1710,Cadastros!$G$6:$G$90,Cadastros!$H$6:$H$90)*(1-0.18),_xlfn.XLOOKUP(AB1710,Cadastros!$G$6:$G$90,Cadastros!$H$6:$H$90))))</f>
        <v/>
      </c>
      <c r="AE1710" s="168" t="str">
        <f t="shared" si="343"/>
        <v/>
      </c>
      <c r="AF1710" s="168" t="str">
        <f t="shared" si="344"/>
        <v/>
      </c>
      <c r="AG1710" s="28"/>
      <c r="AH1710" s="28"/>
      <c r="AI1710" s="20" t="str">
        <f>IF(AG1710="","",IF($F1710="Bernardino Furlan",_xlfn.XLOOKUP(AG1710,Cadastros!$G$6:$G$90,Cadastros!$H$6:$H$90)*(1-0.18),IF($F1710="Mauro José Salanti",_xlfn.XLOOKUP(AG1710,Cadastros!$G$6:$G$90,Cadastros!$H$6:$H$90)*(1-0.18),_xlfn.XLOOKUP(AG1710,Cadastros!$G$6:$G$90,Cadastros!$H$6:$H$90))))</f>
        <v/>
      </c>
      <c r="AJ1710" s="168" t="str">
        <f t="shared" si="345"/>
        <v/>
      </c>
      <c r="AK1710" s="168" t="str">
        <f t="shared" si="346"/>
        <v/>
      </c>
      <c r="AL1710" s="28"/>
      <c r="AM1710" s="28"/>
      <c r="AN1710" s="20" t="str">
        <f>IF(AL1710="","",IF($F1710="Bernardino Furlan",_xlfn.XLOOKUP(AL1710,Cadastros!$G$6:$G$90,Cadastros!$H$6:$H$90)*(1-0.18),IF($F1710="Mauro José Salanti",_xlfn.XLOOKUP(AL1710,Cadastros!$G$6:$G$90,Cadastros!$H$6:$H$90)*(1-0.18),_xlfn.XLOOKUP(AL1710,Cadastros!$G$6:$G$90,Cadastros!$H$6:$H$90))))</f>
        <v/>
      </c>
      <c r="AO1710" s="168" t="str">
        <f t="shared" si="347"/>
        <v/>
      </c>
      <c r="AP1710" s="168" t="str">
        <f t="shared" si="348"/>
        <v/>
      </c>
      <c r="AQ1710" s="28"/>
      <c r="AR1710" s="28"/>
      <c r="AS1710" s="20" t="str">
        <f>IF(AQ1710="","",IF($F1710="Bernardino Furlan",_xlfn.XLOOKUP(AQ1710,Cadastros!$G$6:$G$90,Cadastros!$H$6:$H$90)*(1-0.18),IF($F1710="Mauro José Salanti",_xlfn.XLOOKUP(AQ1710,Cadastros!$G$6:$G$90,Cadastros!$H$6:$H$90)*(1-0.18),_xlfn.XLOOKUP(AQ1710,Cadastros!$G$6:$G$90,Cadastros!$H$6:$H$90))))</f>
        <v/>
      </c>
      <c r="AT1710" s="168" t="str">
        <f t="shared" si="349"/>
        <v/>
      </c>
      <c r="AU1710" s="168" t="str">
        <f t="shared" si="350"/>
        <v/>
      </c>
      <c r="AV1710" s="227"/>
      <c r="AW1710" s="30"/>
      <c r="AX1710" s="267"/>
      <c r="AY1710" s="267"/>
      <c r="AZ1710" s="29"/>
      <c r="BA1710" s="30"/>
      <c r="BB1710" s="23" t="str" cm="1">
        <f t="array" ref="BB1710">_xlfn.IFS(AW1710="SIM",SUM(K1710,P1710,U1710,Z1710,AE1710,AJ1710,AO1710,AT1710,AX1710,AY1710),F1710&lt;&gt;"",SUM(K1710,P1710,U1710,Z1710,AE1710,AJ1710,,AO1710,AT1710),F1710="","")</f>
        <v/>
      </c>
      <c r="BC1710" s="211" t="str" cm="1">
        <f t="array" ref="BC1710">_xlfn.IFS(E1710="","",G1710&lt;=E1710,BB1710*(1-0.03),G1710&lt;(E1710+8),BB1710,AZ1710="Boleto",BB1710*(1+0.001)^DATEDIF(E1710,G1710,"D"),AZ1710="Cheque",BB1710,AZ1710="Dinheiro","Alterar forma pgto")</f>
        <v/>
      </c>
      <c r="BD1710" s="276" t="str" cm="1">
        <f t="array" ref="BD1710">IF(F1710=0," ",IF(BC1710&lt;BB1710,(_xlfn.IFS(AW1710="SIM",SUM(L1710,Q1710,V1710,AA1710,AF1710,AK1710,AP1710,AU1710)+AX1710/_xlfn.XLOOKUP(_xlfn.XLOOKUP($F1710,Clientes!$B$4:$B$39,Clientes!$C$4:$C$39),Cadastros!$L$6:$L$12,Cadastros!$M$6:$M$12)+IF($F1710="Bernardino Furlan",AY1710/2751.92,IF($F1710="Mauro José Salanti",AY1710/2751.92,AY1710/3356)),F1710&lt;&gt;0,SUM(L1710,Q1710,V1710,AA1710,AF1710,AK1710,AP1710,AU1710)))*(1-0.03),_xlfn.IFS(AW1710="SIM",SUM(L1710,Q1710,V1710,AA1710,AF1710,AK1710,AP1710,AU1710)+AX1710/_xlfn.XLOOKUP(_xlfn.XLOOKUP($F1710,Clientes!$B$4:$B$39,Clientes!$C$4:$C$39),Cadastros!$L$6:$L$12,Cadastros!$M$6:$M$12)+IF($F1710="Bernardino Furlan",AY1710/2751.92,IF($F1710="Mauro José Salanti",AY1710/2751.92,AY1710/3356)),F1710&lt;&gt;0,SUM(L1710,Q1710,V1710,AA1710,AF1710,AK1710,AP1710,AU1710))))</f>
        <v xml:space="preserve"> </v>
      </c>
      <c r="BE1710" s="120"/>
      <c r="BF1710" s="120"/>
      <c r="BG1710" s="120"/>
    </row>
    <row r="1711" spans="1:59" s="3" customFormat="1" x14ac:dyDescent="0.3">
      <c r="A1711" s="15" t="str">
        <f t="shared" si="338"/>
        <v/>
      </c>
      <c r="B1711" s="25"/>
      <c r="C1711" s="26"/>
      <c r="D1711" s="279"/>
      <c r="E1711" s="27"/>
      <c r="F1711" s="28"/>
      <c r="G1711" s="27"/>
      <c r="H1711" s="28"/>
      <c r="I1711" s="28"/>
      <c r="J1711" s="255" t="str">
        <f>IF(H1711="","",(_xlfn.XLOOKUP(H1711,Cadastros!$D$6:$D$90,Cadastros!$E$6:$E$90))*(1-_xlfn.XLOOKUP(_xlfn.XLOOKUP($F1711,Clientes!$B$4:$B$39,Clientes!$C$4:$C$39),Cadastros!$L$6:$L$12,Cadastros!$N$6:$N$12)))</f>
        <v/>
      </c>
      <c r="K1711" s="168" t="str">
        <f t="shared" si="339"/>
        <v/>
      </c>
      <c r="L1711" s="168" t="str">
        <f>IFERROR(K1711/_xlfn.XLOOKUP(_xlfn.XLOOKUP($F1711,Clientes!$B$4:$B$39,Clientes!$C$4:$C$39),Cadastros!$L$6:$L$12,Cadastros!$M$6:$M$12)," ")</f>
        <v xml:space="preserve"> </v>
      </c>
      <c r="M1711" s="28"/>
      <c r="N1711" s="28"/>
      <c r="O1711" s="255" t="str">
        <f>IF(M1711="","",(_xlfn.XLOOKUP(M1711,Cadastros!$D$6:$D$90,Cadastros!$E$6:$E$90))*(1-_xlfn.XLOOKUP(_xlfn.XLOOKUP($F1711,Clientes!$B$4:$B$39,Clientes!$C$4:$C$39),Cadastros!$L$6:$L$12,Cadastros!$N$6:$N$12)))</f>
        <v/>
      </c>
      <c r="P1711" s="168" t="str">
        <f t="shared" si="340"/>
        <v/>
      </c>
      <c r="Q1711" s="168" t="str">
        <f>IFERROR(P1711/_xlfn.XLOOKUP(_xlfn.XLOOKUP($F1711,Clientes!$B$4:$B$39,Clientes!$C$4:$C$39),Cadastros!$L$6:$L$12,Cadastros!$M$6:$M$12)," ")</f>
        <v xml:space="preserve"> </v>
      </c>
      <c r="R1711" s="28"/>
      <c r="S1711" s="28"/>
      <c r="T1711" s="255" t="str">
        <f>IF(R1711="","",(_xlfn.XLOOKUP(R1711,Cadastros!$D$6:$D$90,Cadastros!$E$6:$E$90))*(1-_xlfn.XLOOKUP(_xlfn.XLOOKUP($F1711,Clientes!$B$4:$B$39,Clientes!$C$4:$C$39),Cadastros!$L$6:$L$12,Cadastros!$N$6:$N$12)))</f>
        <v/>
      </c>
      <c r="U1711" s="168" t="str">
        <f t="shared" si="341"/>
        <v/>
      </c>
      <c r="V1711" s="168" t="str">
        <f>IFERROR(U1711/_xlfn.XLOOKUP(_xlfn.XLOOKUP($F1711,Clientes!$B$4:$B$39,Clientes!$C$4:$C$39),Cadastros!$L$6:$L$12,Cadastros!$M$6:$M$12)," ")</f>
        <v xml:space="preserve"> </v>
      </c>
      <c r="W1711" s="28"/>
      <c r="X1711" s="28"/>
      <c r="Y1711" s="255" t="str">
        <f>IF(W1711="","",(_xlfn.XLOOKUP(W1711,Cadastros!$D$6:$D$90,Cadastros!$E$6:$E$90))*(1-_xlfn.XLOOKUP(_xlfn.XLOOKUP($F1711,Clientes!$B$4:$B$39,Clientes!$C$4:$C$39),Cadastros!$L$6:$L$12,Cadastros!$N$6:$N$12)))</f>
        <v/>
      </c>
      <c r="Z1711" s="168" t="str">
        <f t="shared" si="342"/>
        <v/>
      </c>
      <c r="AA1711" s="168" t="str">
        <f>IFERROR(Z1711/_xlfn.XLOOKUP(_xlfn.XLOOKUP($F1711,Clientes!$B$4:$B$39,Clientes!$C$4:$C$39),Cadastros!$L$6:$L$12,Cadastros!$M$6:$M$12)," ")</f>
        <v xml:space="preserve"> </v>
      </c>
      <c r="AB1711" s="28"/>
      <c r="AC1711" s="28"/>
      <c r="AD1711" s="20" t="str">
        <f>IF(AB1711="","",IF($F1711="Bernardino Furlan",_xlfn.XLOOKUP(AB1711,Cadastros!$G$6:$G$90,Cadastros!$H$6:$H$90)*(1-0.18),IF($F1711="Mauro José Salanti",_xlfn.XLOOKUP(AB1711,Cadastros!$G$6:$G$90,Cadastros!$H$6:$H$90)*(1-0.18),_xlfn.XLOOKUP(AB1711,Cadastros!$G$6:$G$90,Cadastros!$H$6:$H$90))))</f>
        <v/>
      </c>
      <c r="AE1711" s="168" t="str">
        <f t="shared" si="343"/>
        <v/>
      </c>
      <c r="AF1711" s="168" t="str">
        <f t="shared" si="344"/>
        <v/>
      </c>
      <c r="AG1711" s="28"/>
      <c r="AH1711" s="28"/>
      <c r="AI1711" s="20" t="str">
        <f>IF(AG1711="","",IF($F1711="Bernardino Furlan",_xlfn.XLOOKUP(AG1711,Cadastros!$G$6:$G$90,Cadastros!$H$6:$H$90)*(1-0.18),IF($F1711="Mauro José Salanti",_xlfn.XLOOKUP(AG1711,Cadastros!$G$6:$G$90,Cadastros!$H$6:$H$90)*(1-0.18),_xlfn.XLOOKUP(AG1711,Cadastros!$G$6:$G$90,Cadastros!$H$6:$H$90))))</f>
        <v/>
      </c>
      <c r="AJ1711" s="168" t="str">
        <f t="shared" si="345"/>
        <v/>
      </c>
      <c r="AK1711" s="168" t="str">
        <f t="shared" si="346"/>
        <v/>
      </c>
      <c r="AL1711" s="28"/>
      <c r="AM1711" s="28"/>
      <c r="AN1711" s="20" t="str">
        <f>IF(AL1711="","",IF($F1711="Bernardino Furlan",_xlfn.XLOOKUP(AL1711,Cadastros!$G$6:$G$90,Cadastros!$H$6:$H$90)*(1-0.18),IF($F1711="Mauro José Salanti",_xlfn.XLOOKUP(AL1711,Cadastros!$G$6:$G$90,Cadastros!$H$6:$H$90)*(1-0.18),_xlfn.XLOOKUP(AL1711,Cadastros!$G$6:$G$90,Cadastros!$H$6:$H$90))))</f>
        <v/>
      </c>
      <c r="AO1711" s="168" t="str">
        <f t="shared" si="347"/>
        <v/>
      </c>
      <c r="AP1711" s="168" t="str">
        <f t="shared" si="348"/>
        <v/>
      </c>
      <c r="AQ1711" s="28"/>
      <c r="AR1711" s="28"/>
      <c r="AS1711" s="20" t="str">
        <f>IF(AQ1711="","",IF($F1711="Bernardino Furlan",_xlfn.XLOOKUP(AQ1711,Cadastros!$G$6:$G$90,Cadastros!$H$6:$H$90)*(1-0.18),IF($F1711="Mauro José Salanti",_xlfn.XLOOKUP(AQ1711,Cadastros!$G$6:$G$90,Cadastros!$H$6:$H$90)*(1-0.18),_xlfn.XLOOKUP(AQ1711,Cadastros!$G$6:$G$90,Cadastros!$H$6:$H$90))))</f>
        <v/>
      </c>
      <c r="AT1711" s="168" t="str">
        <f t="shared" si="349"/>
        <v/>
      </c>
      <c r="AU1711" s="168" t="str">
        <f t="shared" si="350"/>
        <v/>
      </c>
      <c r="AV1711" s="227"/>
      <c r="AW1711" s="30"/>
      <c r="AX1711" s="267"/>
      <c r="AY1711" s="267"/>
      <c r="AZ1711" s="29"/>
      <c r="BA1711" s="30"/>
      <c r="BB1711" s="23" t="str" cm="1">
        <f t="array" ref="BB1711">_xlfn.IFS(AW1711="SIM",SUM(K1711,P1711,U1711,Z1711,AE1711,AJ1711,AO1711,AT1711,AX1711,AY1711),F1711&lt;&gt;"",SUM(K1711,P1711,U1711,Z1711,AE1711,AJ1711,,AO1711,AT1711),F1711="","")</f>
        <v/>
      </c>
      <c r="BC1711" s="211" t="str" cm="1">
        <f t="array" ref="BC1711">_xlfn.IFS(E1711="","",G1711&lt;=E1711,BB1711*(1-0.03),G1711&lt;(E1711+8),BB1711,AZ1711="Boleto",BB1711*(1+0.001)^DATEDIF(E1711,G1711,"D"),AZ1711="Cheque",BB1711,AZ1711="Dinheiro","Alterar forma pgto")</f>
        <v/>
      </c>
      <c r="BD1711" s="276" t="str" cm="1">
        <f t="array" ref="BD1711">IF(F1711=0," ",IF(BC1711&lt;BB1711,(_xlfn.IFS(AW1711="SIM",SUM(L1711,Q1711,V1711,AA1711,AF1711,AK1711,AP1711,AU1711)+AX1711/_xlfn.XLOOKUP(_xlfn.XLOOKUP($F1711,Clientes!$B$4:$B$39,Clientes!$C$4:$C$39),Cadastros!$L$6:$L$12,Cadastros!$M$6:$M$12)+IF($F1711="Bernardino Furlan",AY1711/2751.92,IF($F1711="Mauro José Salanti",AY1711/2751.92,AY1711/3356)),F1711&lt;&gt;0,SUM(L1711,Q1711,V1711,AA1711,AF1711,AK1711,AP1711,AU1711)))*(1-0.03),_xlfn.IFS(AW1711="SIM",SUM(L1711,Q1711,V1711,AA1711,AF1711,AK1711,AP1711,AU1711)+AX1711/_xlfn.XLOOKUP(_xlfn.XLOOKUP($F1711,Clientes!$B$4:$B$39,Clientes!$C$4:$C$39),Cadastros!$L$6:$L$12,Cadastros!$M$6:$M$12)+IF($F1711="Bernardino Furlan",AY1711/2751.92,IF($F1711="Mauro José Salanti",AY1711/2751.92,AY1711/3356)),F1711&lt;&gt;0,SUM(L1711,Q1711,V1711,AA1711,AF1711,AK1711,AP1711,AU1711))))</f>
        <v xml:space="preserve"> </v>
      </c>
      <c r="BE1711" s="120"/>
      <c r="BF1711" s="120"/>
      <c r="BG1711" s="120"/>
    </row>
    <row r="1712" spans="1:59" s="3" customFormat="1" x14ac:dyDescent="0.3">
      <c r="A1712" s="15" t="str">
        <f t="shared" si="338"/>
        <v/>
      </c>
      <c r="B1712" s="25"/>
      <c r="C1712" s="26"/>
      <c r="D1712" s="279"/>
      <c r="E1712" s="27"/>
      <c r="F1712" s="28"/>
      <c r="G1712" s="27"/>
      <c r="H1712" s="28"/>
      <c r="I1712" s="28"/>
      <c r="J1712" s="255" t="str">
        <f>IF(H1712="","",(_xlfn.XLOOKUP(H1712,Cadastros!$D$6:$D$90,Cadastros!$E$6:$E$90))*(1-_xlfn.XLOOKUP(_xlfn.XLOOKUP($F1712,Clientes!$B$4:$B$39,Clientes!$C$4:$C$39),Cadastros!$L$6:$L$12,Cadastros!$N$6:$N$12)))</f>
        <v/>
      </c>
      <c r="K1712" s="168" t="str">
        <f t="shared" si="339"/>
        <v/>
      </c>
      <c r="L1712" s="168" t="str">
        <f>IFERROR(K1712/_xlfn.XLOOKUP(_xlfn.XLOOKUP($F1712,Clientes!$B$4:$B$39,Clientes!$C$4:$C$39),Cadastros!$L$6:$L$12,Cadastros!$M$6:$M$12)," ")</f>
        <v xml:space="preserve"> </v>
      </c>
      <c r="M1712" s="28"/>
      <c r="N1712" s="28"/>
      <c r="O1712" s="255" t="str">
        <f>IF(M1712="","",(_xlfn.XLOOKUP(M1712,Cadastros!$D$6:$D$90,Cadastros!$E$6:$E$90))*(1-_xlfn.XLOOKUP(_xlfn.XLOOKUP($F1712,Clientes!$B$4:$B$39,Clientes!$C$4:$C$39),Cadastros!$L$6:$L$12,Cadastros!$N$6:$N$12)))</f>
        <v/>
      </c>
      <c r="P1712" s="168" t="str">
        <f t="shared" si="340"/>
        <v/>
      </c>
      <c r="Q1712" s="168" t="str">
        <f>IFERROR(P1712/_xlfn.XLOOKUP(_xlfn.XLOOKUP($F1712,Clientes!$B$4:$B$39,Clientes!$C$4:$C$39),Cadastros!$L$6:$L$12,Cadastros!$M$6:$M$12)," ")</f>
        <v xml:space="preserve"> </v>
      </c>
      <c r="R1712" s="28"/>
      <c r="S1712" s="28"/>
      <c r="T1712" s="255" t="str">
        <f>IF(R1712="","",(_xlfn.XLOOKUP(R1712,Cadastros!$D$6:$D$90,Cadastros!$E$6:$E$90))*(1-_xlfn.XLOOKUP(_xlfn.XLOOKUP($F1712,Clientes!$B$4:$B$39,Clientes!$C$4:$C$39),Cadastros!$L$6:$L$12,Cadastros!$N$6:$N$12)))</f>
        <v/>
      </c>
      <c r="U1712" s="168" t="str">
        <f t="shared" si="341"/>
        <v/>
      </c>
      <c r="V1712" s="168" t="str">
        <f>IFERROR(U1712/_xlfn.XLOOKUP(_xlfn.XLOOKUP($F1712,Clientes!$B$4:$B$39,Clientes!$C$4:$C$39),Cadastros!$L$6:$L$12,Cadastros!$M$6:$M$12)," ")</f>
        <v xml:space="preserve"> </v>
      </c>
      <c r="W1712" s="28"/>
      <c r="X1712" s="28"/>
      <c r="Y1712" s="255" t="str">
        <f>IF(W1712="","",(_xlfn.XLOOKUP(W1712,Cadastros!$D$6:$D$90,Cadastros!$E$6:$E$90))*(1-_xlfn.XLOOKUP(_xlfn.XLOOKUP($F1712,Clientes!$B$4:$B$39,Clientes!$C$4:$C$39),Cadastros!$L$6:$L$12,Cadastros!$N$6:$N$12)))</f>
        <v/>
      </c>
      <c r="Z1712" s="168" t="str">
        <f t="shared" si="342"/>
        <v/>
      </c>
      <c r="AA1712" s="168" t="str">
        <f>IFERROR(Z1712/_xlfn.XLOOKUP(_xlfn.XLOOKUP($F1712,Clientes!$B$4:$B$39,Clientes!$C$4:$C$39),Cadastros!$L$6:$L$12,Cadastros!$M$6:$M$12)," ")</f>
        <v xml:space="preserve"> </v>
      </c>
      <c r="AB1712" s="28"/>
      <c r="AC1712" s="28"/>
      <c r="AD1712" s="20" t="str">
        <f>IF(AB1712="","",IF($F1712="Bernardino Furlan",_xlfn.XLOOKUP(AB1712,Cadastros!$G$6:$G$90,Cadastros!$H$6:$H$90)*(1-0.18),IF($F1712="Mauro José Salanti",_xlfn.XLOOKUP(AB1712,Cadastros!$G$6:$G$90,Cadastros!$H$6:$H$90)*(1-0.18),_xlfn.XLOOKUP(AB1712,Cadastros!$G$6:$G$90,Cadastros!$H$6:$H$90))))</f>
        <v/>
      </c>
      <c r="AE1712" s="168" t="str">
        <f t="shared" si="343"/>
        <v/>
      </c>
      <c r="AF1712" s="168" t="str">
        <f t="shared" si="344"/>
        <v/>
      </c>
      <c r="AG1712" s="28"/>
      <c r="AH1712" s="28"/>
      <c r="AI1712" s="20" t="str">
        <f>IF(AG1712="","",IF($F1712="Bernardino Furlan",_xlfn.XLOOKUP(AG1712,Cadastros!$G$6:$G$90,Cadastros!$H$6:$H$90)*(1-0.18),IF($F1712="Mauro José Salanti",_xlfn.XLOOKUP(AG1712,Cadastros!$G$6:$G$90,Cadastros!$H$6:$H$90)*(1-0.18),_xlfn.XLOOKUP(AG1712,Cadastros!$G$6:$G$90,Cadastros!$H$6:$H$90))))</f>
        <v/>
      </c>
      <c r="AJ1712" s="168" t="str">
        <f t="shared" si="345"/>
        <v/>
      </c>
      <c r="AK1712" s="168" t="str">
        <f t="shared" si="346"/>
        <v/>
      </c>
      <c r="AL1712" s="28"/>
      <c r="AM1712" s="28"/>
      <c r="AN1712" s="20" t="str">
        <f>IF(AL1712="","",IF($F1712="Bernardino Furlan",_xlfn.XLOOKUP(AL1712,Cadastros!$G$6:$G$90,Cadastros!$H$6:$H$90)*(1-0.18),IF($F1712="Mauro José Salanti",_xlfn.XLOOKUP(AL1712,Cadastros!$G$6:$G$90,Cadastros!$H$6:$H$90)*(1-0.18),_xlfn.XLOOKUP(AL1712,Cadastros!$G$6:$G$90,Cadastros!$H$6:$H$90))))</f>
        <v/>
      </c>
      <c r="AO1712" s="168" t="str">
        <f t="shared" si="347"/>
        <v/>
      </c>
      <c r="AP1712" s="168" t="str">
        <f t="shared" si="348"/>
        <v/>
      </c>
      <c r="AQ1712" s="28"/>
      <c r="AR1712" s="28"/>
      <c r="AS1712" s="20" t="str">
        <f>IF(AQ1712="","",IF($F1712="Bernardino Furlan",_xlfn.XLOOKUP(AQ1712,Cadastros!$G$6:$G$90,Cadastros!$H$6:$H$90)*(1-0.18),IF($F1712="Mauro José Salanti",_xlfn.XLOOKUP(AQ1712,Cadastros!$G$6:$G$90,Cadastros!$H$6:$H$90)*(1-0.18),_xlfn.XLOOKUP(AQ1712,Cadastros!$G$6:$G$90,Cadastros!$H$6:$H$90))))</f>
        <v/>
      </c>
      <c r="AT1712" s="168" t="str">
        <f t="shared" si="349"/>
        <v/>
      </c>
      <c r="AU1712" s="168" t="str">
        <f t="shared" si="350"/>
        <v/>
      </c>
      <c r="AV1712" s="227"/>
      <c r="AW1712" s="30"/>
      <c r="AX1712" s="267"/>
      <c r="AY1712" s="267"/>
      <c r="AZ1712" s="29"/>
      <c r="BA1712" s="30"/>
      <c r="BB1712" s="23" t="str" cm="1">
        <f t="array" ref="BB1712">_xlfn.IFS(AW1712="SIM",SUM(K1712,P1712,U1712,Z1712,AE1712,AJ1712,AO1712,AT1712,AX1712,AY1712),F1712&lt;&gt;"",SUM(K1712,P1712,U1712,Z1712,AE1712,AJ1712,,AO1712,AT1712),F1712="","")</f>
        <v/>
      </c>
      <c r="BC1712" s="211" t="str" cm="1">
        <f t="array" ref="BC1712">_xlfn.IFS(E1712="","",G1712&lt;=E1712,BB1712*(1-0.03),G1712&lt;(E1712+8),BB1712,AZ1712="Boleto",BB1712*(1+0.001)^DATEDIF(E1712,G1712,"D"),AZ1712="Cheque",BB1712,AZ1712="Dinheiro","Alterar forma pgto")</f>
        <v/>
      </c>
      <c r="BD1712" s="276" t="str" cm="1">
        <f t="array" ref="BD1712">IF(F1712=0," ",IF(BC1712&lt;BB1712,(_xlfn.IFS(AW1712="SIM",SUM(L1712,Q1712,V1712,AA1712,AF1712,AK1712,AP1712,AU1712)+AX1712/_xlfn.XLOOKUP(_xlfn.XLOOKUP($F1712,Clientes!$B$4:$B$39,Clientes!$C$4:$C$39),Cadastros!$L$6:$L$12,Cadastros!$M$6:$M$12)+IF($F1712="Bernardino Furlan",AY1712/2751.92,IF($F1712="Mauro José Salanti",AY1712/2751.92,AY1712/3356)),F1712&lt;&gt;0,SUM(L1712,Q1712,V1712,AA1712,AF1712,AK1712,AP1712,AU1712)))*(1-0.03),_xlfn.IFS(AW1712="SIM",SUM(L1712,Q1712,V1712,AA1712,AF1712,AK1712,AP1712,AU1712)+AX1712/_xlfn.XLOOKUP(_xlfn.XLOOKUP($F1712,Clientes!$B$4:$B$39,Clientes!$C$4:$C$39),Cadastros!$L$6:$L$12,Cadastros!$M$6:$M$12)+IF($F1712="Bernardino Furlan",AY1712/2751.92,IF($F1712="Mauro José Salanti",AY1712/2751.92,AY1712/3356)),F1712&lt;&gt;0,SUM(L1712,Q1712,V1712,AA1712,AF1712,AK1712,AP1712,AU1712))))</f>
        <v xml:space="preserve"> </v>
      </c>
      <c r="BE1712" s="120"/>
      <c r="BF1712" s="120"/>
      <c r="BG1712" s="120"/>
    </row>
    <row r="1713" spans="1:59" s="3" customFormat="1" x14ac:dyDescent="0.3">
      <c r="A1713" s="15" t="str">
        <f t="shared" si="338"/>
        <v/>
      </c>
      <c r="B1713" s="25"/>
      <c r="C1713" s="26"/>
      <c r="D1713" s="279"/>
      <c r="E1713" s="27"/>
      <c r="F1713" s="28"/>
      <c r="G1713" s="27"/>
      <c r="H1713" s="28"/>
      <c r="I1713" s="28"/>
      <c r="J1713" s="255" t="str">
        <f>IF(H1713="","",(_xlfn.XLOOKUP(H1713,Cadastros!$D$6:$D$90,Cadastros!$E$6:$E$90))*(1-_xlfn.XLOOKUP(_xlfn.XLOOKUP($F1713,Clientes!$B$4:$B$39,Clientes!$C$4:$C$39),Cadastros!$L$6:$L$12,Cadastros!$N$6:$N$12)))</f>
        <v/>
      </c>
      <c r="K1713" s="168" t="str">
        <f t="shared" si="339"/>
        <v/>
      </c>
      <c r="L1713" s="168" t="str">
        <f>IFERROR(K1713/_xlfn.XLOOKUP(_xlfn.XLOOKUP($F1713,Clientes!$B$4:$B$39,Clientes!$C$4:$C$39),Cadastros!$L$6:$L$12,Cadastros!$M$6:$M$12)," ")</f>
        <v xml:space="preserve"> </v>
      </c>
      <c r="M1713" s="28"/>
      <c r="N1713" s="28"/>
      <c r="O1713" s="255" t="str">
        <f>IF(M1713="","",(_xlfn.XLOOKUP(M1713,Cadastros!$D$6:$D$90,Cadastros!$E$6:$E$90))*(1-_xlfn.XLOOKUP(_xlfn.XLOOKUP($F1713,Clientes!$B$4:$B$39,Clientes!$C$4:$C$39),Cadastros!$L$6:$L$12,Cadastros!$N$6:$N$12)))</f>
        <v/>
      </c>
      <c r="P1713" s="168" t="str">
        <f t="shared" si="340"/>
        <v/>
      </c>
      <c r="Q1713" s="168" t="str">
        <f>IFERROR(P1713/_xlfn.XLOOKUP(_xlfn.XLOOKUP($F1713,Clientes!$B$4:$B$39,Clientes!$C$4:$C$39),Cadastros!$L$6:$L$12,Cadastros!$M$6:$M$12)," ")</f>
        <v xml:space="preserve"> </v>
      </c>
      <c r="R1713" s="28"/>
      <c r="S1713" s="28"/>
      <c r="T1713" s="255" t="str">
        <f>IF(R1713="","",(_xlfn.XLOOKUP(R1713,Cadastros!$D$6:$D$90,Cadastros!$E$6:$E$90))*(1-_xlfn.XLOOKUP(_xlfn.XLOOKUP($F1713,Clientes!$B$4:$B$39,Clientes!$C$4:$C$39),Cadastros!$L$6:$L$12,Cadastros!$N$6:$N$12)))</f>
        <v/>
      </c>
      <c r="U1713" s="168" t="str">
        <f t="shared" si="341"/>
        <v/>
      </c>
      <c r="V1713" s="168" t="str">
        <f>IFERROR(U1713/_xlfn.XLOOKUP(_xlfn.XLOOKUP($F1713,Clientes!$B$4:$B$39,Clientes!$C$4:$C$39),Cadastros!$L$6:$L$12,Cadastros!$M$6:$M$12)," ")</f>
        <v xml:space="preserve"> </v>
      </c>
      <c r="W1713" s="28"/>
      <c r="X1713" s="28"/>
      <c r="Y1713" s="255" t="str">
        <f>IF(W1713="","",(_xlfn.XLOOKUP(W1713,Cadastros!$D$6:$D$90,Cadastros!$E$6:$E$90))*(1-_xlfn.XLOOKUP(_xlfn.XLOOKUP($F1713,Clientes!$B$4:$B$39,Clientes!$C$4:$C$39),Cadastros!$L$6:$L$12,Cadastros!$N$6:$N$12)))</f>
        <v/>
      </c>
      <c r="Z1713" s="168" t="str">
        <f t="shared" si="342"/>
        <v/>
      </c>
      <c r="AA1713" s="168" t="str">
        <f>IFERROR(Z1713/_xlfn.XLOOKUP(_xlfn.XLOOKUP($F1713,Clientes!$B$4:$B$39,Clientes!$C$4:$C$39),Cadastros!$L$6:$L$12,Cadastros!$M$6:$M$12)," ")</f>
        <v xml:space="preserve"> </v>
      </c>
      <c r="AB1713" s="28"/>
      <c r="AC1713" s="28"/>
      <c r="AD1713" s="20" t="str">
        <f>IF(AB1713="","",IF($F1713="Bernardino Furlan",_xlfn.XLOOKUP(AB1713,Cadastros!$G$6:$G$90,Cadastros!$H$6:$H$90)*(1-0.18),IF($F1713="Mauro José Salanti",_xlfn.XLOOKUP(AB1713,Cadastros!$G$6:$G$90,Cadastros!$H$6:$H$90)*(1-0.18),_xlfn.XLOOKUP(AB1713,Cadastros!$G$6:$G$90,Cadastros!$H$6:$H$90))))</f>
        <v/>
      </c>
      <c r="AE1713" s="168" t="str">
        <f t="shared" si="343"/>
        <v/>
      </c>
      <c r="AF1713" s="168" t="str">
        <f t="shared" si="344"/>
        <v/>
      </c>
      <c r="AG1713" s="28"/>
      <c r="AH1713" s="28"/>
      <c r="AI1713" s="20" t="str">
        <f>IF(AG1713="","",IF($F1713="Bernardino Furlan",_xlfn.XLOOKUP(AG1713,Cadastros!$G$6:$G$90,Cadastros!$H$6:$H$90)*(1-0.18),IF($F1713="Mauro José Salanti",_xlfn.XLOOKUP(AG1713,Cadastros!$G$6:$G$90,Cadastros!$H$6:$H$90)*(1-0.18),_xlfn.XLOOKUP(AG1713,Cadastros!$G$6:$G$90,Cadastros!$H$6:$H$90))))</f>
        <v/>
      </c>
      <c r="AJ1713" s="168" t="str">
        <f t="shared" si="345"/>
        <v/>
      </c>
      <c r="AK1713" s="168" t="str">
        <f t="shared" si="346"/>
        <v/>
      </c>
      <c r="AL1713" s="28"/>
      <c r="AM1713" s="28"/>
      <c r="AN1713" s="20" t="str">
        <f>IF(AL1713="","",IF($F1713="Bernardino Furlan",_xlfn.XLOOKUP(AL1713,Cadastros!$G$6:$G$90,Cadastros!$H$6:$H$90)*(1-0.18),IF($F1713="Mauro José Salanti",_xlfn.XLOOKUP(AL1713,Cadastros!$G$6:$G$90,Cadastros!$H$6:$H$90)*(1-0.18),_xlfn.XLOOKUP(AL1713,Cadastros!$G$6:$G$90,Cadastros!$H$6:$H$90))))</f>
        <v/>
      </c>
      <c r="AO1713" s="168" t="str">
        <f t="shared" si="347"/>
        <v/>
      </c>
      <c r="AP1713" s="168" t="str">
        <f t="shared" si="348"/>
        <v/>
      </c>
      <c r="AQ1713" s="28"/>
      <c r="AR1713" s="28"/>
      <c r="AS1713" s="20" t="str">
        <f>IF(AQ1713="","",IF($F1713="Bernardino Furlan",_xlfn.XLOOKUP(AQ1713,Cadastros!$G$6:$G$90,Cadastros!$H$6:$H$90)*(1-0.18),IF($F1713="Mauro José Salanti",_xlfn.XLOOKUP(AQ1713,Cadastros!$G$6:$G$90,Cadastros!$H$6:$H$90)*(1-0.18),_xlfn.XLOOKUP(AQ1713,Cadastros!$G$6:$G$90,Cadastros!$H$6:$H$90))))</f>
        <v/>
      </c>
      <c r="AT1713" s="168" t="str">
        <f t="shared" si="349"/>
        <v/>
      </c>
      <c r="AU1713" s="168" t="str">
        <f t="shared" si="350"/>
        <v/>
      </c>
      <c r="AV1713" s="227"/>
      <c r="AW1713" s="30"/>
      <c r="AX1713" s="267"/>
      <c r="AY1713" s="267"/>
      <c r="AZ1713" s="29"/>
      <c r="BA1713" s="30"/>
      <c r="BB1713" s="23" t="str" cm="1">
        <f t="array" ref="BB1713">_xlfn.IFS(AW1713="SIM",SUM(K1713,P1713,U1713,Z1713,AE1713,AJ1713,AO1713,AT1713,AX1713,AY1713),F1713&lt;&gt;"",SUM(K1713,P1713,U1713,Z1713,AE1713,AJ1713,,AO1713,AT1713),F1713="","")</f>
        <v/>
      </c>
      <c r="BC1713" s="211" t="str" cm="1">
        <f t="array" ref="BC1713">_xlfn.IFS(E1713="","",G1713&lt;=E1713,BB1713*(1-0.03),G1713&lt;(E1713+8),BB1713,AZ1713="Boleto",BB1713*(1+0.001)^DATEDIF(E1713,G1713,"D"),AZ1713="Cheque",BB1713,AZ1713="Dinheiro","Alterar forma pgto")</f>
        <v/>
      </c>
      <c r="BD1713" s="276" t="str" cm="1">
        <f t="array" ref="BD1713">IF(F1713=0," ",IF(BC1713&lt;BB1713,(_xlfn.IFS(AW1713="SIM",SUM(L1713,Q1713,V1713,AA1713,AF1713,AK1713,AP1713,AU1713)+AX1713/_xlfn.XLOOKUP(_xlfn.XLOOKUP($F1713,Clientes!$B$4:$B$39,Clientes!$C$4:$C$39),Cadastros!$L$6:$L$12,Cadastros!$M$6:$M$12)+IF($F1713="Bernardino Furlan",AY1713/2751.92,IF($F1713="Mauro José Salanti",AY1713/2751.92,AY1713/3356)),F1713&lt;&gt;0,SUM(L1713,Q1713,V1713,AA1713,AF1713,AK1713,AP1713,AU1713)))*(1-0.03),_xlfn.IFS(AW1713="SIM",SUM(L1713,Q1713,V1713,AA1713,AF1713,AK1713,AP1713,AU1713)+AX1713/_xlfn.XLOOKUP(_xlfn.XLOOKUP($F1713,Clientes!$B$4:$B$39,Clientes!$C$4:$C$39),Cadastros!$L$6:$L$12,Cadastros!$M$6:$M$12)+IF($F1713="Bernardino Furlan",AY1713/2751.92,IF($F1713="Mauro José Salanti",AY1713/2751.92,AY1713/3356)),F1713&lt;&gt;0,SUM(L1713,Q1713,V1713,AA1713,AF1713,AK1713,AP1713,AU1713))))</f>
        <v xml:space="preserve"> </v>
      </c>
      <c r="BE1713" s="120"/>
      <c r="BF1713" s="120"/>
      <c r="BG1713" s="120"/>
    </row>
    <row r="1714" spans="1:59" s="3" customFormat="1" x14ac:dyDescent="0.3">
      <c r="A1714" s="15" t="str">
        <f t="shared" si="338"/>
        <v/>
      </c>
      <c r="B1714" s="25"/>
      <c r="C1714" s="26"/>
      <c r="D1714" s="279"/>
      <c r="E1714" s="27"/>
      <c r="F1714" s="28"/>
      <c r="G1714" s="27"/>
      <c r="H1714" s="28"/>
      <c r="I1714" s="28"/>
      <c r="J1714" s="255" t="str">
        <f>IF(H1714="","",(_xlfn.XLOOKUP(H1714,Cadastros!$D$6:$D$90,Cadastros!$E$6:$E$90))*(1-_xlfn.XLOOKUP(_xlfn.XLOOKUP($F1714,Clientes!$B$4:$B$39,Clientes!$C$4:$C$39),Cadastros!$L$6:$L$12,Cadastros!$N$6:$N$12)))</f>
        <v/>
      </c>
      <c r="K1714" s="168" t="str">
        <f t="shared" si="339"/>
        <v/>
      </c>
      <c r="L1714" s="168" t="str">
        <f>IFERROR(K1714/_xlfn.XLOOKUP(_xlfn.XLOOKUP($F1714,Clientes!$B$4:$B$39,Clientes!$C$4:$C$39),Cadastros!$L$6:$L$12,Cadastros!$M$6:$M$12)," ")</f>
        <v xml:space="preserve"> </v>
      </c>
      <c r="M1714" s="28"/>
      <c r="N1714" s="28"/>
      <c r="O1714" s="255" t="str">
        <f>IF(M1714="","",(_xlfn.XLOOKUP(M1714,Cadastros!$D$6:$D$90,Cadastros!$E$6:$E$90))*(1-_xlfn.XLOOKUP(_xlfn.XLOOKUP($F1714,Clientes!$B$4:$B$39,Clientes!$C$4:$C$39),Cadastros!$L$6:$L$12,Cadastros!$N$6:$N$12)))</f>
        <v/>
      </c>
      <c r="P1714" s="168" t="str">
        <f t="shared" si="340"/>
        <v/>
      </c>
      <c r="Q1714" s="168" t="str">
        <f>IFERROR(P1714/_xlfn.XLOOKUP(_xlfn.XLOOKUP($F1714,Clientes!$B$4:$B$39,Clientes!$C$4:$C$39),Cadastros!$L$6:$L$12,Cadastros!$M$6:$M$12)," ")</f>
        <v xml:space="preserve"> </v>
      </c>
      <c r="R1714" s="28"/>
      <c r="S1714" s="28"/>
      <c r="T1714" s="255" t="str">
        <f>IF(R1714="","",(_xlfn.XLOOKUP(R1714,Cadastros!$D$6:$D$90,Cadastros!$E$6:$E$90))*(1-_xlfn.XLOOKUP(_xlfn.XLOOKUP($F1714,Clientes!$B$4:$B$39,Clientes!$C$4:$C$39),Cadastros!$L$6:$L$12,Cadastros!$N$6:$N$12)))</f>
        <v/>
      </c>
      <c r="U1714" s="168" t="str">
        <f t="shared" si="341"/>
        <v/>
      </c>
      <c r="V1714" s="168" t="str">
        <f>IFERROR(U1714/_xlfn.XLOOKUP(_xlfn.XLOOKUP($F1714,Clientes!$B$4:$B$39,Clientes!$C$4:$C$39),Cadastros!$L$6:$L$12,Cadastros!$M$6:$M$12)," ")</f>
        <v xml:space="preserve"> </v>
      </c>
      <c r="W1714" s="28"/>
      <c r="X1714" s="28"/>
      <c r="Y1714" s="255" t="str">
        <f>IF(W1714="","",(_xlfn.XLOOKUP(W1714,Cadastros!$D$6:$D$90,Cadastros!$E$6:$E$90))*(1-_xlfn.XLOOKUP(_xlfn.XLOOKUP($F1714,Clientes!$B$4:$B$39,Clientes!$C$4:$C$39),Cadastros!$L$6:$L$12,Cadastros!$N$6:$N$12)))</f>
        <v/>
      </c>
      <c r="Z1714" s="168" t="str">
        <f t="shared" si="342"/>
        <v/>
      </c>
      <c r="AA1714" s="168" t="str">
        <f>IFERROR(Z1714/_xlfn.XLOOKUP(_xlfn.XLOOKUP($F1714,Clientes!$B$4:$B$39,Clientes!$C$4:$C$39),Cadastros!$L$6:$L$12,Cadastros!$M$6:$M$12)," ")</f>
        <v xml:space="preserve"> </v>
      </c>
      <c r="AB1714" s="28"/>
      <c r="AC1714" s="28"/>
      <c r="AD1714" s="20" t="str">
        <f>IF(AB1714="","",IF($F1714="Bernardino Furlan",_xlfn.XLOOKUP(AB1714,Cadastros!$G$6:$G$90,Cadastros!$H$6:$H$90)*(1-0.18),IF($F1714="Mauro José Salanti",_xlfn.XLOOKUP(AB1714,Cadastros!$G$6:$G$90,Cadastros!$H$6:$H$90)*(1-0.18),_xlfn.XLOOKUP(AB1714,Cadastros!$G$6:$G$90,Cadastros!$H$6:$H$90))))</f>
        <v/>
      </c>
      <c r="AE1714" s="168" t="str">
        <f t="shared" si="343"/>
        <v/>
      </c>
      <c r="AF1714" s="168" t="str">
        <f t="shared" si="344"/>
        <v/>
      </c>
      <c r="AG1714" s="28"/>
      <c r="AH1714" s="28"/>
      <c r="AI1714" s="20" t="str">
        <f>IF(AG1714="","",IF($F1714="Bernardino Furlan",_xlfn.XLOOKUP(AG1714,Cadastros!$G$6:$G$90,Cadastros!$H$6:$H$90)*(1-0.18),IF($F1714="Mauro José Salanti",_xlfn.XLOOKUP(AG1714,Cadastros!$G$6:$G$90,Cadastros!$H$6:$H$90)*(1-0.18),_xlfn.XLOOKUP(AG1714,Cadastros!$G$6:$G$90,Cadastros!$H$6:$H$90))))</f>
        <v/>
      </c>
      <c r="AJ1714" s="168" t="str">
        <f t="shared" si="345"/>
        <v/>
      </c>
      <c r="AK1714" s="168" t="str">
        <f t="shared" si="346"/>
        <v/>
      </c>
      <c r="AL1714" s="28"/>
      <c r="AM1714" s="28"/>
      <c r="AN1714" s="20" t="str">
        <f>IF(AL1714="","",IF($F1714="Bernardino Furlan",_xlfn.XLOOKUP(AL1714,Cadastros!$G$6:$G$90,Cadastros!$H$6:$H$90)*(1-0.18),IF($F1714="Mauro José Salanti",_xlfn.XLOOKUP(AL1714,Cadastros!$G$6:$G$90,Cadastros!$H$6:$H$90)*(1-0.18),_xlfn.XLOOKUP(AL1714,Cadastros!$G$6:$G$90,Cadastros!$H$6:$H$90))))</f>
        <v/>
      </c>
      <c r="AO1714" s="168" t="str">
        <f t="shared" si="347"/>
        <v/>
      </c>
      <c r="AP1714" s="168" t="str">
        <f t="shared" si="348"/>
        <v/>
      </c>
      <c r="AQ1714" s="28"/>
      <c r="AR1714" s="28"/>
      <c r="AS1714" s="20" t="str">
        <f>IF(AQ1714="","",IF($F1714="Bernardino Furlan",_xlfn.XLOOKUP(AQ1714,Cadastros!$G$6:$G$90,Cadastros!$H$6:$H$90)*(1-0.18),IF($F1714="Mauro José Salanti",_xlfn.XLOOKUP(AQ1714,Cadastros!$G$6:$G$90,Cadastros!$H$6:$H$90)*(1-0.18),_xlfn.XLOOKUP(AQ1714,Cadastros!$G$6:$G$90,Cadastros!$H$6:$H$90))))</f>
        <v/>
      </c>
      <c r="AT1714" s="168" t="str">
        <f t="shared" si="349"/>
        <v/>
      </c>
      <c r="AU1714" s="168" t="str">
        <f t="shared" si="350"/>
        <v/>
      </c>
      <c r="AV1714" s="227"/>
      <c r="AW1714" s="30"/>
      <c r="AX1714" s="267"/>
      <c r="AY1714" s="267"/>
      <c r="AZ1714" s="29"/>
      <c r="BA1714" s="30"/>
      <c r="BB1714" s="23" t="str" cm="1">
        <f t="array" ref="BB1714">_xlfn.IFS(AW1714="SIM",SUM(K1714,P1714,U1714,Z1714,AE1714,AJ1714,AO1714,AT1714,AX1714,AY1714),F1714&lt;&gt;"",SUM(K1714,P1714,U1714,Z1714,AE1714,AJ1714,,AO1714,AT1714),F1714="","")</f>
        <v/>
      </c>
      <c r="BC1714" s="211" t="str" cm="1">
        <f t="array" ref="BC1714">_xlfn.IFS(E1714="","",G1714&lt;=E1714,BB1714*(1-0.03),G1714&lt;(E1714+8),BB1714,AZ1714="Boleto",BB1714*(1+0.001)^DATEDIF(E1714,G1714,"D"),AZ1714="Cheque",BB1714,AZ1714="Dinheiro","Alterar forma pgto")</f>
        <v/>
      </c>
      <c r="BD1714" s="276" t="str" cm="1">
        <f t="array" ref="BD1714">IF(F1714=0," ",IF(BC1714&lt;BB1714,(_xlfn.IFS(AW1714="SIM",SUM(L1714,Q1714,V1714,AA1714,AF1714,AK1714,AP1714,AU1714)+AX1714/_xlfn.XLOOKUP(_xlfn.XLOOKUP($F1714,Clientes!$B$4:$B$39,Clientes!$C$4:$C$39),Cadastros!$L$6:$L$12,Cadastros!$M$6:$M$12)+IF($F1714="Bernardino Furlan",AY1714/2751.92,IF($F1714="Mauro José Salanti",AY1714/2751.92,AY1714/3356)),F1714&lt;&gt;0,SUM(L1714,Q1714,V1714,AA1714,AF1714,AK1714,AP1714,AU1714)))*(1-0.03),_xlfn.IFS(AW1714="SIM",SUM(L1714,Q1714,V1714,AA1714,AF1714,AK1714,AP1714,AU1714)+AX1714/_xlfn.XLOOKUP(_xlfn.XLOOKUP($F1714,Clientes!$B$4:$B$39,Clientes!$C$4:$C$39),Cadastros!$L$6:$L$12,Cadastros!$M$6:$M$12)+IF($F1714="Bernardino Furlan",AY1714/2751.92,IF($F1714="Mauro José Salanti",AY1714/2751.92,AY1714/3356)),F1714&lt;&gt;0,SUM(L1714,Q1714,V1714,AA1714,AF1714,AK1714,AP1714,AU1714))))</f>
        <v xml:space="preserve"> </v>
      </c>
      <c r="BE1714" s="120"/>
      <c r="BF1714" s="120"/>
      <c r="BG1714" s="120"/>
    </row>
    <row r="1715" spans="1:59" s="3" customFormat="1" x14ac:dyDescent="0.3">
      <c r="A1715" s="15" t="str">
        <f t="shared" si="338"/>
        <v/>
      </c>
      <c r="B1715" s="25"/>
      <c r="C1715" s="26"/>
      <c r="D1715" s="279"/>
      <c r="E1715" s="27"/>
      <c r="F1715" s="28"/>
      <c r="G1715" s="27"/>
      <c r="H1715" s="28"/>
      <c r="I1715" s="28"/>
      <c r="J1715" s="255" t="str">
        <f>IF(H1715="","",(_xlfn.XLOOKUP(H1715,Cadastros!$D$6:$D$90,Cadastros!$E$6:$E$90))*(1-_xlfn.XLOOKUP(_xlfn.XLOOKUP($F1715,Clientes!$B$4:$B$39,Clientes!$C$4:$C$39),Cadastros!$L$6:$L$12,Cadastros!$N$6:$N$12)))</f>
        <v/>
      </c>
      <c r="K1715" s="168" t="str">
        <f t="shared" si="339"/>
        <v/>
      </c>
      <c r="L1715" s="168" t="str">
        <f>IFERROR(K1715/_xlfn.XLOOKUP(_xlfn.XLOOKUP($F1715,Clientes!$B$4:$B$39,Clientes!$C$4:$C$39),Cadastros!$L$6:$L$12,Cadastros!$M$6:$M$12)," ")</f>
        <v xml:space="preserve"> </v>
      </c>
      <c r="M1715" s="28"/>
      <c r="N1715" s="28"/>
      <c r="O1715" s="255" t="str">
        <f>IF(M1715="","",(_xlfn.XLOOKUP(M1715,Cadastros!$D$6:$D$90,Cadastros!$E$6:$E$90))*(1-_xlfn.XLOOKUP(_xlfn.XLOOKUP($F1715,Clientes!$B$4:$B$39,Clientes!$C$4:$C$39),Cadastros!$L$6:$L$12,Cadastros!$N$6:$N$12)))</f>
        <v/>
      </c>
      <c r="P1715" s="168" t="str">
        <f t="shared" si="340"/>
        <v/>
      </c>
      <c r="Q1715" s="168" t="str">
        <f>IFERROR(P1715/_xlfn.XLOOKUP(_xlfn.XLOOKUP($F1715,Clientes!$B$4:$B$39,Clientes!$C$4:$C$39),Cadastros!$L$6:$L$12,Cadastros!$M$6:$M$12)," ")</f>
        <v xml:space="preserve"> </v>
      </c>
      <c r="R1715" s="28"/>
      <c r="S1715" s="28"/>
      <c r="T1715" s="255" t="str">
        <f>IF(R1715="","",(_xlfn.XLOOKUP(R1715,Cadastros!$D$6:$D$90,Cadastros!$E$6:$E$90))*(1-_xlfn.XLOOKUP(_xlfn.XLOOKUP($F1715,Clientes!$B$4:$B$39,Clientes!$C$4:$C$39),Cadastros!$L$6:$L$12,Cadastros!$N$6:$N$12)))</f>
        <v/>
      </c>
      <c r="U1715" s="168" t="str">
        <f t="shared" si="341"/>
        <v/>
      </c>
      <c r="V1715" s="168" t="str">
        <f>IFERROR(U1715/_xlfn.XLOOKUP(_xlfn.XLOOKUP($F1715,Clientes!$B$4:$B$39,Clientes!$C$4:$C$39),Cadastros!$L$6:$L$12,Cadastros!$M$6:$M$12)," ")</f>
        <v xml:space="preserve"> </v>
      </c>
      <c r="W1715" s="28"/>
      <c r="X1715" s="28"/>
      <c r="Y1715" s="255" t="str">
        <f>IF(W1715="","",(_xlfn.XLOOKUP(W1715,Cadastros!$D$6:$D$90,Cadastros!$E$6:$E$90))*(1-_xlfn.XLOOKUP(_xlfn.XLOOKUP($F1715,Clientes!$B$4:$B$39,Clientes!$C$4:$C$39),Cadastros!$L$6:$L$12,Cadastros!$N$6:$N$12)))</f>
        <v/>
      </c>
      <c r="Z1715" s="168" t="str">
        <f t="shared" si="342"/>
        <v/>
      </c>
      <c r="AA1715" s="168" t="str">
        <f>IFERROR(Z1715/_xlfn.XLOOKUP(_xlfn.XLOOKUP($F1715,Clientes!$B$4:$B$39,Clientes!$C$4:$C$39),Cadastros!$L$6:$L$12,Cadastros!$M$6:$M$12)," ")</f>
        <v xml:space="preserve"> </v>
      </c>
      <c r="AB1715" s="28"/>
      <c r="AC1715" s="28"/>
      <c r="AD1715" s="20" t="str">
        <f>IF(AB1715="","",IF($F1715="Bernardino Furlan",_xlfn.XLOOKUP(AB1715,Cadastros!$G$6:$G$90,Cadastros!$H$6:$H$90)*(1-0.18),IF($F1715="Mauro José Salanti",_xlfn.XLOOKUP(AB1715,Cadastros!$G$6:$G$90,Cadastros!$H$6:$H$90)*(1-0.18),_xlfn.XLOOKUP(AB1715,Cadastros!$G$6:$G$90,Cadastros!$H$6:$H$90))))</f>
        <v/>
      </c>
      <c r="AE1715" s="168" t="str">
        <f t="shared" si="343"/>
        <v/>
      </c>
      <c r="AF1715" s="168" t="str">
        <f t="shared" si="344"/>
        <v/>
      </c>
      <c r="AG1715" s="28"/>
      <c r="AH1715" s="28"/>
      <c r="AI1715" s="20" t="str">
        <f>IF(AG1715="","",IF($F1715="Bernardino Furlan",_xlfn.XLOOKUP(AG1715,Cadastros!$G$6:$G$90,Cadastros!$H$6:$H$90)*(1-0.18),IF($F1715="Mauro José Salanti",_xlfn.XLOOKUP(AG1715,Cadastros!$G$6:$G$90,Cadastros!$H$6:$H$90)*(1-0.18),_xlfn.XLOOKUP(AG1715,Cadastros!$G$6:$G$90,Cadastros!$H$6:$H$90))))</f>
        <v/>
      </c>
      <c r="AJ1715" s="168" t="str">
        <f t="shared" si="345"/>
        <v/>
      </c>
      <c r="AK1715" s="168" t="str">
        <f t="shared" si="346"/>
        <v/>
      </c>
      <c r="AL1715" s="28"/>
      <c r="AM1715" s="28"/>
      <c r="AN1715" s="20" t="str">
        <f>IF(AL1715="","",IF($F1715="Bernardino Furlan",_xlfn.XLOOKUP(AL1715,Cadastros!$G$6:$G$90,Cadastros!$H$6:$H$90)*(1-0.18),IF($F1715="Mauro José Salanti",_xlfn.XLOOKUP(AL1715,Cadastros!$G$6:$G$90,Cadastros!$H$6:$H$90)*(1-0.18),_xlfn.XLOOKUP(AL1715,Cadastros!$G$6:$G$90,Cadastros!$H$6:$H$90))))</f>
        <v/>
      </c>
      <c r="AO1715" s="168" t="str">
        <f t="shared" si="347"/>
        <v/>
      </c>
      <c r="AP1715" s="168" t="str">
        <f t="shared" si="348"/>
        <v/>
      </c>
      <c r="AQ1715" s="28"/>
      <c r="AR1715" s="28"/>
      <c r="AS1715" s="20" t="str">
        <f>IF(AQ1715="","",IF($F1715="Bernardino Furlan",_xlfn.XLOOKUP(AQ1715,Cadastros!$G$6:$G$90,Cadastros!$H$6:$H$90)*(1-0.18),IF($F1715="Mauro José Salanti",_xlfn.XLOOKUP(AQ1715,Cadastros!$G$6:$G$90,Cadastros!$H$6:$H$90)*(1-0.18),_xlfn.XLOOKUP(AQ1715,Cadastros!$G$6:$G$90,Cadastros!$H$6:$H$90))))</f>
        <v/>
      </c>
      <c r="AT1715" s="168" t="str">
        <f t="shared" si="349"/>
        <v/>
      </c>
      <c r="AU1715" s="168" t="str">
        <f t="shared" si="350"/>
        <v/>
      </c>
      <c r="AV1715" s="227"/>
      <c r="AW1715" s="30"/>
      <c r="AX1715" s="267"/>
      <c r="AY1715" s="267"/>
      <c r="AZ1715" s="29"/>
      <c r="BA1715" s="30"/>
      <c r="BB1715" s="23" t="str" cm="1">
        <f t="array" ref="BB1715">_xlfn.IFS(AW1715="SIM",SUM(K1715,P1715,U1715,Z1715,AE1715,AJ1715,AO1715,AT1715,AX1715,AY1715),F1715&lt;&gt;"",SUM(K1715,P1715,U1715,Z1715,AE1715,AJ1715,,AO1715,AT1715),F1715="","")</f>
        <v/>
      </c>
      <c r="BC1715" s="211" t="str" cm="1">
        <f t="array" ref="BC1715">_xlfn.IFS(E1715="","",G1715&lt;=E1715,BB1715*(1-0.03),G1715&lt;(E1715+8),BB1715,AZ1715="Boleto",BB1715*(1+0.001)^DATEDIF(E1715,G1715,"D"),AZ1715="Cheque",BB1715,AZ1715="Dinheiro","Alterar forma pgto")</f>
        <v/>
      </c>
      <c r="BD1715" s="276" t="str" cm="1">
        <f t="array" ref="BD1715">IF(F1715=0," ",IF(BC1715&lt;BB1715,(_xlfn.IFS(AW1715="SIM",SUM(L1715,Q1715,V1715,AA1715,AF1715,AK1715,AP1715,AU1715)+AX1715/_xlfn.XLOOKUP(_xlfn.XLOOKUP($F1715,Clientes!$B$4:$B$39,Clientes!$C$4:$C$39),Cadastros!$L$6:$L$12,Cadastros!$M$6:$M$12)+IF($F1715="Bernardino Furlan",AY1715/2751.92,IF($F1715="Mauro José Salanti",AY1715/2751.92,AY1715/3356)),F1715&lt;&gt;0,SUM(L1715,Q1715,V1715,AA1715,AF1715,AK1715,AP1715,AU1715)))*(1-0.03),_xlfn.IFS(AW1715="SIM",SUM(L1715,Q1715,V1715,AA1715,AF1715,AK1715,AP1715,AU1715)+AX1715/_xlfn.XLOOKUP(_xlfn.XLOOKUP($F1715,Clientes!$B$4:$B$39,Clientes!$C$4:$C$39),Cadastros!$L$6:$L$12,Cadastros!$M$6:$M$12)+IF($F1715="Bernardino Furlan",AY1715/2751.92,IF($F1715="Mauro José Salanti",AY1715/2751.92,AY1715/3356)),F1715&lt;&gt;0,SUM(L1715,Q1715,V1715,AA1715,AF1715,AK1715,AP1715,AU1715))))</f>
        <v xml:space="preserve"> </v>
      </c>
      <c r="BE1715" s="120"/>
      <c r="BF1715" s="120"/>
      <c r="BG1715" s="120"/>
    </row>
    <row r="1716" spans="1:59" s="3" customFormat="1" x14ac:dyDescent="0.3">
      <c r="A1716" s="15" t="str">
        <f t="shared" si="338"/>
        <v/>
      </c>
      <c r="B1716" s="25"/>
      <c r="C1716" s="26"/>
      <c r="D1716" s="279"/>
      <c r="E1716" s="27"/>
      <c r="F1716" s="28"/>
      <c r="G1716" s="27"/>
      <c r="H1716" s="28"/>
      <c r="I1716" s="28"/>
      <c r="J1716" s="255" t="str">
        <f>IF(H1716="","",(_xlfn.XLOOKUP(H1716,Cadastros!$D$6:$D$90,Cadastros!$E$6:$E$90))*(1-_xlfn.XLOOKUP(_xlfn.XLOOKUP($F1716,Clientes!$B$4:$B$39,Clientes!$C$4:$C$39),Cadastros!$L$6:$L$12,Cadastros!$N$6:$N$12)))</f>
        <v/>
      </c>
      <c r="K1716" s="168" t="str">
        <f t="shared" si="339"/>
        <v/>
      </c>
      <c r="L1716" s="168" t="str">
        <f>IFERROR(K1716/_xlfn.XLOOKUP(_xlfn.XLOOKUP($F1716,Clientes!$B$4:$B$39,Clientes!$C$4:$C$39),Cadastros!$L$6:$L$12,Cadastros!$M$6:$M$12)," ")</f>
        <v xml:space="preserve"> </v>
      </c>
      <c r="M1716" s="28"/>
      <c r="N1716" s="28"/>
      <c r="O1716" s="255" t="str">
        <f>IF(M1716="","",(_xlfn.XLOOKUP(M1716,Cadastros!$D$6:$D$90,Cadastros!$E$6:$E$90))*(1-_xlfn.XLOOKUP(_xlfn.XLOOKUP($F1716,Clientes!$B$4:$B$39,Clientes!$C$4:$C$39),Cadastros!$L$6:$L$12,Cadastros!$N$6:$N$12)))</f>
        <v/>
      </c>
      <c r="P1716" s="168" t="str">
        <f t="shared" si="340"/>
        <v/>
      </c>
      <c r="Q1716" s="168" t="str">
        <f>IFERROR(P1716/_xlfn.XLOOKUP(_xlfn.XLOOKUP($F1716,Clientes!$B$4:$B$39,Clientes!$C$4:$C$39),Cadastros!$L$6:$L$12,Cadastros!$M$6:$M$12)," ")</f>
        <v xml:space="preserve"> </v>
      </c>
      <c r="R1716" s="28"/>
      <c r="S1716" s="28"/>
      <c r="T1716" s="255" t="str">
        <f>IF(R1716="","",(_xlfn.XLOOKUP(R1716,Cadastros!$D$6:$D$90,Cadastros!$E$6:$E$90))*(1-_xlfn.XLOOKUP(_xlfn.XLOOKUP($F1716,Clientes!$B$4:$B$39,Clientes!$C$4:$C$39),Cadastros!$L$6:$L$12,Cadastros!$N$6:$N$12)))</f>
        <v/>
      </c>
      <c r="U1716" s="168" t="str">
        <f t="shared" si="341"/>
        <v/>
      </c>
      <c r="V1716" s="168" t="str">
        <f>IFERROR(U1716/_xlfn.XLOOKUP(_xlfn.XLOOKUP($F1716,Clientes!$B$4:$B$39,Clientes!$C$4:$C$39),Cadastros!$L$6:$L$12,Cadastros!$M$6:$M$12)," ")</f>
        <v xml:space="preserve"> </v>
      </c>
      <c r="W1716" s="28"/>
      <c r="X1716" s="28"/>
      <c r="Y1716" s="255" t="str">
        <f>IF(W1716="","",(_xlfn.XLOOKUP(W1716,Cadastros!$D$6:$D$90,Cadastros!$E$6:$E$90))*(1-_xlfn.XLOOKUP(_xlfn.XLOOKUP($F1716,Clientes!$B$4:$B$39,Clientes!$C$4:$C$39),Cadastros!$L$6:$L$12,Cadastros!$N$6:$N$12)))</f>
        <v/>
      </c>
      <c r="Z1716" s="168" t="str">
        <f t="shared" si="342"/>
        <v/>
      </c>
      <c r="AA1716" s="168" t="str">
        <f>IFERROR(Z1716/_xlfn.XLOOKUP(_xlfn.XLOOKUP($F1716,Clientes!$B$4:$B$39,Clientes!$C$4:$C$39),Cadastros!$L$6:$L$12,Cadastros!$M$6:$M$12)," ")</f>
        <v xml:space="preserve"> </v>
      </c>
      <c r="AB1716" s="28"/>
      <c r="AC1716" s="28"/>
      <c r="AD1716" s="20" t="str">
        <f>IF(AB1716="","",IF($F1716="Bernardino Furlan",_xlfn.XLOOKUP(AB1716,Cadastros!$G$6:$G$90,Cadastros!$H$6:$H$90)*(1-0.18),IF($F1716="Mauro José Salanti",_xlfn.XLOOKUP(AB1716,Cadastros!$G$6:$G$90,Cadastros!$H$6:$H$90)*(1-0.18),_xlfn.XLOOKUP(AB1716,Cadastros!$G$6:$G$90,Cadastros!$H$6:$H$90))))</f>
        <v/>
      </c>
      <c r="AE1716" s="168" t="str">
        <f t="shared" si="343"/>
        <v/>
      </c>
      <c r="AF1716" s="168" t="str">
        <f t="shared" si="344"/>
        <v/>
      </c>
      <c r="AG1716" s="28"/>
      <c r="AH1716" s="28"/>
      <c r="AI1716" s="20" t="str">
        <f>IF(AG1716="","",IF($F1716="Bernardino Furlan",_xlfn.XLOOKUP(AG1716,Cadastros!$G$6:$G$90,Cadastros!$H$6:$H$90)*(1-0.18),IF($F1716="Mauro José Salanti",_xlfn.XLOOKUP(AG1716,Cadastros!$G$6:$G$90,Cadastros!$H$6:$H$90)*(1-0.18),_xlfn.XLOOKUP(AG1716,Cadastros!$G$6:$G$90,Cadastros!$H$6:$H$90))))</f>
        <v/>
      </c>
      <c r="AJ1716" s="168" t="str">
        <f t="shared" si="345"/>
        <v/>
      </c>
      <c r="AK1716" s="168" t="str">
        <f t="shared" si="346"/>
        <v/>
      </c>
      <c r="AL1716" s="28"/>
      <c r="AM1716" s="28"/>
      <c r="AN1716" s="20" t="str">
        <f>IF(AL1716="","",IF($F1716="Bernardino Furlan",_xlfn.XLOOKUP(AL1716,Cadastros!$G$6:$G$90,Cadastros!$H$6:$H$90)*(1-0.18),IF($F1716="Mauro José Salanti",_xlfn.XLOOKUP(AL1716,Cadastros!$G$6:$G$90,Cadastros!$H$6:$H$90)*(1-0.18),_xlfn.XLOOKUP(AL1716,Cadastros!$G$6:$G$90,Cadastros!$H$6:$H$90))))</f>
        <v/>
      </c>
      <c r="AO1716" s="168" t="str">
        <f t="shared" si="347"/>
        <v/>
      </c>
      <c r="AP1716" s="168" t="str">
        <f t="shared" si="348"/>
        <v/>
      </c>
      <c r="AQ1716" s="28"/>
      <c r="AR1716" s="28"/>
      <c r="AS1716" s="20" t="str">
        <f>IF(AQ1716="","",IF($F1716="Bernardino Furlan",_xlfn.XLOOKUP(AQ1716,Cadastros!$G$6:$G$90,Cadastros!$H$6:$H$90)*(1-0.18),IF($F1716="Mauro José Salanti",_xlfn.XLOOKUP(AQ1716,Cadastros!$G$6:$G$90,Cadastros!$H$6:$H$90)*(1-0.18),_xlfn.XLOOKUP(AQ1716,Cadastros!$G$6:$G$90,Cadastros!$H$6:$H$90))))</f>
        <v/>
      </c>
      <c r="AT1716" s="168" t="str">
        <f t="shared" si="349"/>
        <v/>
      </c>
      <c r="AU1716" s="168" t="str">
        <f t="shared" si="350"/>
        <v/>
      </c>
      <c r="AV1716" s="227"/>
      <c r="AW1716" s="30"/>
      <c r="AX1716" s="267"/>
      <c r="AY1716" s="267"/>
      <c r="AZ1716" s="29"/>
      <c r="BA1716" s="30"/>
      <c r="BB1716" s="23" t="str" cm="1">
        <f t="array" ref="BB1716">_xlfn.IFS(AW1716="SIM",SUM(K1716,P1716,U1716,Z1716,AE1716,AJ1716,AO1716,AT1716,AX1716,AY1716),F1716&lt;&gt;"",SUM(K1716,P1716,U1716,Z1716,AE1716,AJ1716,,AO1716,AT1716),F1716="","")</f>
        <v/>
      </c>
      <c r="BC1716" s="211" t="str" cm="1">
        <f t="array" ref="BC1716">_xlfn.IFS(E1716="","",G1716&lt;=E1716,BB1716*(1-0.03),G1716&lt;(E1716+8),BB1716,AZ1716="Boleto",BB1716*(1+0.001)^DATEDIF(E1716,G1716,"D"),AZ1716="Cheque",BB1716,AZ1716="Dinheiro","Alterar forma pgto")</f>
        <v/>
      </c>
      <c r="BD1716" s="276" t="str" cm="1">
        <f t="array" ref="BD1716">IF(F1716=0," ",IF(BC1716&lt;BB1716,(_xlfn.IFS(AW1716="SIM",SUM(L1716,Q1716,V1716,AA1716,AF1716,AK1716,AP1716,AU1716)+AX1716/_xlfn.XLOOKUP(_xlfn.XLOOKUP($F1716,Clientes!$B$4:$B$39,Clientes!$C$4:$C$39),Cadastros!$L$6:$L$12,Cadastros!$M$6:$M$12)+IF($F1716="Bernardino Furlan",AY1716/2751.92,IF($F1716="Mauro José Salanti",AY1716/2751.92,AY1716/3356)),F1716&lt;&gt;0,SUM(L1716,Q1716,V1716,AA1716,AF1716,AK1716,AP1716,AU1716)))*(1-0.03),_xlfn.IFS(AW1716="SIM",SUM(L1716,Q1716,V1716,AA1716,AF1716,AK1716,AP1716,AU1716)+AX1716/_xlfn.XLOOKUP(_xlfn.XLOOKUP($F1716,Clientes!$B$4:$B$39,Clientes!$C$4:$C$39),Cadastros!$L$6:$L$12,Cadastros!$M$6:$M$12)+IF($F1716="Bernardino Furlan",AY1716/2751.92,IF($F1716="Mauro José Salanti",AY1716/2751.92,AY1716/3356)),F1716&lt;&gt;0,SUM(L1716,Q1716,V1716,AA1716,AF1716,AK1716,AP1716,AU1716))))</f>
        <v xml:space="preserve"> </v>
      </c>
      <c r="BE1716" s="120"/>
      <c r="BF1716" s="120"/>
      <c r="BG1716" s="120"/>
    </row>
    <row r="1717" spans="1:59" s="3" customFormat="1" x14ac:dyDescent="0.3">
      <c r="A1717" s="15" t="str">
        <f t="shared" si="338"/>
        <v/>
      </c>
      <c r="B1717" s="25"/>
      <c r="C1717" s="26"/>
      <c r="D1717" s="279"/>
      <c r="E1717" s="27"/>
      <c r="F1717" s="28"/>
      <c r="G1717" s="27"/>
      <c r="H1717" s="28"/>
      <c r="I1717" s="28"/>
      <c r="J1717" s="255" t="str">
        <f>IF(H1717="","",(_xlfn.XLOOKUP(H1717,Cadastros!$D$6:$D$90,Cadastros!$E$6:$E$90))*(1-_xlfn.XLOOKUP(_xlfn.XLOOKUP($F1717,Clientes!$B$4:$B$39,Clientes!$C$4:$C$39),Cadastros!$L$6:$L$12,Cadastros!$N$6:$N$12)))</f>
        <v/>
      </c>
      <c r="K1717" s="168" t="str">
        <f t="shared" si="339"/>
        <v/>
      </c>
      <c r="L1717" s="168" t="str">
        <f>IFERROR(K1717/_xlfn.XLOOKUP(_xlfn.XLOOKUP($F1717,Clientes!$B$4:$B$39,Clientes!$C$4:$C$39),Cadastros!$L$6:$L$12,Cadastros!$M$6:$M$12)," ")</f>
        <v xml:space="preserve"> </v>
      </c>
      <c r="M1717" s="28"/>
      <c r="N1717" s="28"/>
      <c r="O1717" s="255" t="str">
        <f>IF(M1717="","",(_xlfn.XLOOKUP(M1717,Cadastros!$D$6:$D$90,Cadastros!$E$6:$E$90))*(1-_xlfn.XLOOKUP(_xlfn.XLOOKUP($F1717,Clientes!$B$4:$B$39,Clientes!$C$4:$C$39),Cadastros!$L$6:$L$12,Cadastros!$N$6:$N$12)))</f>
        <v/>
      </c>
      <c r="P1717" s="168" t="str">
        <f t="shared" si="340"/>
        <v/>
      </c>
      <c r="Q1717" s="168" t="str">
        <f>IFERROR(P1717/_xlfn.XLOOKUP(_xlfn.XLOOKUP($F1717,Clientes!$B$4:$B$39,Clientes!$C$4:$C$39),Cadastros!$L$6:$L$12,Cadastros!$M$6:$M$12)," ")</f>
        <v xml:space="preserve"> </v>
      </c>
      <c r="R1717" s="28"/>
      <c r="S1717" s="28"/>
      <c r="T1717" s="255" t="str">
        <f>IF(R1717="","",(_xlfn.XLOOKUP(R1717,Cadastros!$D$6:$D$90,Cadastros!$E$6:$E$90))*(1-_xlfn.XLOOKUP(_xlfn.XLOOKUP($F1717,Clientes!$B$4:$B$39,Clientes!$C$4:$C$39),Cadastros!$L$6:$L$12,Cadastros!$N$6:$N$12)))</f>
        <v/>
      </c>
      <c r="U1717" s="168" t="str">
        <f t="shared" si="341"/>
        <v/>
      </c>
      <c r="V1717" s="168" t="str">
        <f>IFERROR(U1717/_xlfn.XLOOKUP(_xlfn.XLOOKUP($F1717,Clientes!$B$4:$B$39,Clientes!$C$4:$C$39),Cadastros!$L$6:$L$12,Cadastros!$M$6:$M$12)," ")</f>
        <v xml:space="preserve"> </v>
      </c>
      <c r="W1717" s="28"/>
      <c r="X1717" s="28"/>
      <c r="Y1717" s="255" t="str">
        <f>IF(W1717="","",(_xlfn.XLOOKUP(W1717,Cadastros!$D$6:$D$90,Cadastros!$E$6:$E$90))*(1-_xlfn.XLOOKUP(_xlfn.XLOOKUP($F1717,Clientes!$B$4:$B$39,Clientes!$C$4:$C$39),Cadastros!$L$6:$L$12,Cadastros!$N$6:$N$12)))</f>
        <v/>
      </c>
      <c r="Z1717" s="168" t="str">
        <f t="shared" si="342"/>
        <v/>
      </c>
      <c r="AA1717" s="168" t="str">
        <f>IFERROR(Z1717/_xlfn.XLOOKUP(_xlfn.XLOOKUP($F1717,Clientes!$B$4:$B$39,Clientes!$C$4:$C$39),Cadastros!$L$6:$L$12,Cadastros!$M$6:$M$12)," ")</f>
        <v xml:space="preserve"> </v>
      </c>
      <c r="AB1717" s="28"/>
      <c r="AC1717" s="28"/>
      <c r="AD1717" s="20" t="str">
        <f>IF(AB1717="","",IF($F1717="Bernardino Furlan",_xlfn.XLOOKUP(AB1717,Cadastros!$G$6:$G$90,Cadastros!$H$6:$H$90)*(1-0.18),IF($F1717="Mauro José Salanti",_xlfn.XLOOKUP(AB1717,Cadastros!$G$6:$G$90,Cadastros!$H$6:$H$90)*(1-0.18),_xlfn.XLOOKUP(AB1717,Cadastros!$G$6:$G$90,Cadastros!$H$6:$H$90))))</f>
        <v/>
      </c>
      <c r="AE1717" s="168" t="str">
        <f t="shared" si="343"/>
        <v/>
      </c>
      <c r="AF1717" s="168" t="str">
        <f t="shared" si="344"/>
        <v/>
      </c>
      <c r="AG1717" s="28"/>
      <c r="AH1717" s="28"/>
      <c r="AI1717" s="20" t="str">
        <f>IF(AG1717="","",IF($F1717="Bernardino Furlan",_xlfn.XLOOKUP(AG1717,Cadastros!$G$6:$G$90,Cadastros!$H$6:$H$90)*(1-0.18),IF($F1717="Mauro José Salanti",_xlfn.XLOOKUP(AG1717,Cadastros!$G$6:$G$90,Cadastros!$H$6:$H$90)*(1-0.18),_xlfn.XLOOKUP(AG1717,Cadastros!$G$6:$G$90,Cadastros!$H$6:$H$90))))</f>
        <v/>
      </c>
      <c r="AJ1717" s="168" t="str">
        <f t="shared" si="345"/>
        <v/>
      </c>
      <c r="AK1717" s="168" t="str">
        <f t="shared" si="346"/>
        <v/>
      </c>
      <c r="AL1717" s="28"/>
      <c r="AM1717" s="28"/>
      <c r="AN1717" s="20" t="str">
        <f>IF(AL1717="","",IF($F1717="Bernardino Furlan",_xlfn.XLOOKUP(AL1717,Cadastros!$G$6:$G$90,Cadastros!$H$6:$H$90)*(1-0.18),IF($F1717="Mauro José Salanti",_xlfn.XLOOKUP(AL1717,Cadastros!$G$6:$G$90,Cadastros!$H$6:$H$90)*(1-0.18),_xlfn.XLOOKUP(AL1717,Cadastros!$G$6:$G$90,Cadastros!$H$6:$H$90))))</f>
        <v/>
      </c>
      <c r="AO1717" s="168" t="str">
        <f t="shared" si="347"/>
        <v/>
      </c>
      <c r="AP1717" s="168" t="str">
        <f t="shared" si="348"/>
        <v/>
      </c>
      <c r="AQ1717" s="28"/>
      <c r="AR1717" s="28"/>
      <c r="AS1717" s="20" t="str">
        <f>IF(AQ1717="","",IF($F1717="Bernardino Furlan",_xlfn.XLOOKUP(AQ1717,Cadastros!$G$6:$G$90,Cadastros!$H$6:$H$90)*(1-0.18),IF($F1717="Mauro José Salanti",_xlfn.XLOOKUP(AQ1717,Cadastros!$G$6:$G$90,Cadastros!$H$6:$H$90)*(1-0.18),_xlfn.XLOOKUP(AQ1717,Cadastros!$G$6:$G$90,Cadastros!$H$6:$H$90))))</f>
        <v/>
      </c>
      <c r="AT1717" s="168" t="str">
        <f t="shared" si="349"/>
        <v/>
      </c>
      <c r="AU1717" s="168" t="str">
        <f t="shared" si="350"/>
        <v/>
      </c>
      <c r="AV1717" s="227"/>
      <c r="AW1717" s="30"/>
      <c r="AX1717" s="267"/>
      <c r="AY1717" s="267"/>
      <c r="AZ1717" s="29"/>
      <c r="BA1717" s="30"/>
      <c r="BB1717" s="23" t="str" cm="1">
        <f t="array" ref="BB1717">_xlfn.IFS(AW1717="SIM",SUM(K1717,P1717,U1717,Z1717,AE1717,AJ1717,AO1717,AT1717,AX1717,AY1717),F1717&lt;&gt;"",SUM(K1717,P1717,U1717,Z1717,AE1717,AJ1717,,AO1717,AT1717),F1717="","")</f>
        <v/>
      </c>
      <c r="BC1717" s="211" t="str" cm="1">
        <f t="array" ref="BC1717">_xlfn.IFS(E1717="","",G1717&lt;=E1717,BB1717*(1-0.03),G1717&lt;(E1717+8),BB1717,AZ1717="Boleto",BB1717*(1+0.001)^DATEDIF(E1717,G1717,"D"),AZ1717="Cheque",BB1717,AZ1717="Dinheiro","Alterar forma pgto")</f>
        <v/>
      </c>
      <c r="BD1717" s="276" t="str" cm="1">
        <f t="array" ref="BD1717">IF(F1717=0," ",IF(BC1717&lt;BB1717,(_xlfn.IFS(AW1717="SIM",SUM(L1717,Q1717,V1717,AA1717,AF1717,AK1717,AP1717,AU1717)+AX1717/_xlfn.XLOOKUP(_xlfn.XLOOKUP($F1717,Clientes!$B$4:$B$39,Clientes!$C$4:$C$39),Cadastros!$L$6:$L$12,Cadastros!$M$6:$M$12)+IF($F1717="Bernardino Furlan",AY1717/2751.92,IF($F1717="Mauro José Salanti",AY1717/2751.92,AY1717/3356)),F1717&lt;&gt;0,SUM(L1717,Q1717,V1717,AA1717,AF1717,AK1717,AP1717,AU1717)))*(1-0.03),_xlfn.IFS(AW1717="SIM",SUM(L1717,Q1717,V1717,AA1717,AF1717,AK1717,AP1717,AU1717)+AX1717/_xlfn.XLOOKUP(_xlfn.XLOOKUP($F1717,Clientes!$B$4:$B$39,Clientes!$C$4:$C$39),Cadastros!$L$6:$L$12,Cadastros!$M$6:$M$12)+IF($F1717="Bernardino Furlan",AY1717/2751.92,IF($F1717="Mauro José Salanti",AY1717/2751.92,AY1717/3356)),F1717&lt;&gt;0,SUM(L1717,Q1717,V1717,AA1717,AF1717,AK1717,AP1717,AU1717))))</f>
        <v xml:space="preserve"> </v>
      </c>
      <c r="BE1717" s="120"/>
      <c r="BF1717" s="120"/>
      <c r="BG1717" s="120"/>
    </row>
    <row r="1718" spans="1:59" s="3" customFormat="1" x14ac:dyDescent="0.3">
      <c r="A1718" s="15" t="str">
        <f t="shared" si="338"/>
        <v/>
      </c>
      <c r="B1718" s="25"/>
      <c r="C1718" s="26"/>
      <c r="D1718" s="279"/>
      <c r="E1718" s="27"/>
      <c r="F1718" s="28"/>
      <c r="G1718" s="27"/>
      <c r="H1718" s="28"/>
      <c r="I1718" s="28"/>
      <c r="J1718" s="255" t="str">
        <f>IF(H1718="","",(_xlfn.XLOOKUP(H1718,Cadastros!$D$6:$D$90,Cadastros!$E$6:$E$90))*(1-_xlfn.XLOOKUP(_xlfn.XLOOKUP($F1718,Clientes!$B$4:$B$39,Clientes!$C$4:$C$39),Cadastros!$L$6:$L$12,Cadastros!$N$6:$N$12)))</f>
        <v/>
      </c>
      <c r="K1718" s="168" t="str">
        <f t="shared" si="339"/>
        <v/>
      </c>
      <c r="L1718" s="168" t="str">
        <f>IFERROR(K1718/_xlfn.XLOOKUP(_xlfn.XLOOKUP($F1718,Clientes!$B$4:$B$39,Clientes!$C$4:$C$39),Cadastros!$L$6:$L$12,Cadastros!$M$6:$M$12)," ")</f>
        <v xml:space="preserve"> </v>
      </c>
      <c r="M1718" s="28"/>
      <c r="N1718" s="28"/>
      <c r="O1718" s="255" t="str">
        <f>IF(M1718="","",(_xlfn.XLOOKUP(M1718,Cadastros!$D$6:$D$90,Cadastros!$E$6:$E$90))*(1-_xlfn.XLOOKUP(_xlfn.XLOOKUP($F1718,Clientes!$B$4:$B$39,Clientes!$C$4:$C$39),Cadastros!$L$6:$L$12,Cadastros!$N$6:$N$12)))</f>
        <v/>
      </c>
      <c r="P1718" s="168" t="str">
        <f t="shared" si="340"/>
        <v/>
      </c>
      <c r="Q1718" s="168" t="str">
        <f>IFERROR(P1718/_xlfn.XLOOKUP(_xlfn.XLOOKUP($F1718,Clientes!$B$4:$B$39,Clientes!$C$4:$C$39),Cadastros!$L$6:$L$12,Cadastros!$M$6:$M$12)," ")</f>
        <v xml:space="preserve"> </v>
      </c>
      <c r="R1718" s="28"/>
      <c r="S1718" s="28"/>
      <c r="T1718" s="255" t="str">
        <f>IF(R1718="","",(_xlfn.XLOOKUP(R1718,Cadastros!$D$6:$D$90,Cadastros!$E$6:$E$90))*(1-_xlfn.XLOOKUP(_xlfn.XLOOKUP($F1718,Clientes!$B$4:$B$39,Clientes!$C$4:$C$39),Cadastros!$L$6:$L$12,Cadastros!$N$6:$N$12)))</f>
        <v/>
      </c>
      <c r="U1718" s="168" t="str">
        <f t="shared" si="341"/>
        <v/>
      </c>
      <c r="V1718" s="168" t="str">
        <f>IFERROR(U1718/_xlfn.XLOOKUP(_xlfn.XLOOKUP($F1718,Clientes!$B$4:$B$39,Clientes!$C$4:$C$39),Cadastros!$L$6:$L$12,Cadastros!$M$6:$M$12)," ")</f>
        <v xml:space="preserve"> </v>
      </c>
      <c r="W1718" s="28"/>
      <c r="X1718" s="28"/>
      <c r="Y1718" s="255" t="str">
        <f>IF(W1718="","",(_xlfn.XLOOKUP(W1718,Cadastros!$D$6:$D$90,Cadastros!$E$6:$E$90))*(1-_xlfn.XLOOKUP(_xlfn.XLOOKUP($F1718,Clientes!$B$4:$B$39,Clientes!$C$4:$C$39),Cadastros!$L$6:$L$12,Cadastros!$N$6:$N$12)))</f>
        <v/>
      </c>
      <c r="Z1718" s="168" t="str">
        <f t="shared" si="342"/>
        <v/>
      </c>
      <c r="AA1718" s="168" t="str">
        <f>IFERROR(Z1718/_xlfn.XLOOKUP(_xlfn.XLOOKUP($F1718,Clientes!$B$4:$B$39,Clientes!$C$4:$C$39),Cadastros!$L$6:$L$12,Cadastros!$M$6:$M$12)," ")</f>
        <v xml:space="preserve"> </v>
      </c>
      <c r="AB1718" s="28"/>
      <c r="AC1718" s="28"/>
      <c r="AD1718" s="20" t="str">
        <f>IF(AB1718="","",IF($F1718="Bernardino Furlan",_xlfn.XLOOKUP(AB1718,Cadastros!$G$6:$G$90,Cadastros!$H$6:$H$90)*(1-0.18),IF($F1718="Mauro José Salanti",_xlfn.XLOOKUP(AB1718,Cadastros!$G$6:$G$90,Cadastros!$H$6:$H$90)*(1-0.18),_xlfn.XLOOKUP(AB1718,Cadastros!$G$6:$G$90,Cadastros!$H$6:$H$90))))</f>
        <v/>
      </c>
      <c r="AE1718" s="168" t="str">
        <f t="shared" si="343"/>
        <v/>
      </c>
      <c r="AF1718" s="168" t="str">
        <f t="shared" si="344"/>
        <v/>
      </c>
      <c r="AG1718" s="28"/>
      <c r="AH1718" s="28"/>
      <c r="AI1718" s="20" t="str">
        <f>IF(AG1718="","",IF($F1718="Bernardino Furlan",_xlfn.XLOOKUP(AG1718,Cadastros!$G$6:$G$90,Cadastros!$H$6:$H$90)*(1-0.18),IF($F1718="Mauro José Salanti",_xlfn.XLOOKUP(AG1718,Cadastros!$G$6:$G$90,Cadastros!$H$6:$H$90)*(1-0.18),_xlfn.XLOOKUP(AG1718,Cadastros!$G$6:$G$90,Cadastros!$H$6:$H$90))))</f>
        <v/>
      </c>
      <c r="AJ1718" s="168" t="str">
        <f t="shared" si="345"/>
        <v/>
      </c>
      <c r="AK1718" s="168" t="str">
        <f t="shared" si="346"/>
        <v/>
      </c>
      <c r="AL1718" s="28"/>
      <c r="AM1718" s="28"/>
      <c r="AN1718" s="20" t="str">
        <f>IF(AL1718="","",IF($F1718="Bernardino Furlan",_xlfn.XLOOKUP(AL1718,Cadastros!$G$6:$G$90,Cadastros!$H$6:$H$90)*(1-0.18),IF($F1718="Mauro José Salanti",_xlfn.XLOOKUP(AL1718,Cadastros!$G$6:$G$90,Cadastros!$H$6:$H$90)*(1-0.18),_xlfn.XLOOKUP(AL1718,Cadastros!$G$6:$G$90,Cadastros!$H$6:$H$90))))</f>
        <v/>
      </c>
      <c r="AO1718" s="168" t="str">
        <f t="shared" si="347"/>
        <v/>
      </c>
      <c r="AP1718" s="168" t="str">
        <f t="shared" si="348"/>
        <v/>
      </c>
      <c r="AQ1718" s="28"/>
      <c r="AR1718" s="28"/>
      <c r="AS1718" s="20" t="str">
        <f>IF(AQ1718="","",IF($F1718="Bernardino Furlan",_xlfn.XLOOKUP(AQ1718,Cadastros!$G$6:$G$90,Cadastros!$H$6:$H$90)*(1-0.18),IF($F1718="Mauro José Salanti",_xlfn.XLOOKUP(AQ1718,Cadastros!$G$6:$G$90,Cadastros!$H$6:$H$90)*(1-0.18),_xlfn.XLOOKUP(AQ1718,Cadastros!$G$6:$G$90,Cadastros!$H$6:$H$90))))</f>
        <v/>
      </c>
      <c r="AT1718" s="168" t="str">
        <f t="shared" si="349"/>
        <v/>
      </c>
      <c r="AU1718" s="168" t="str">
        <f t="shared" si="350"/>
        <v/>
      </c>
      <c r="AV1718" s="227"/>
      <c r="AW1718" s="30"/>
      <c r="AX1718" s="267"/>
      <c r="AY1718" s="267"/>
      <c r="AZ1718" s="29"/>
      <c r="BA1718" s="30"/>
      <c r="BB1718" s="23" t="str" cm="1">
        <f t="array" ref="BB1718">_xlfn.IFS(AW1718="SIM",SUM(K1718,P1718,U1718,Z1718,AE1718,AJ1718,AO1718,AT1718,AX1718,AY1718),F1718&lt;&gt;"",SUM(K1718,P1718,U1718,Z1718,AE1718,AJ1718,,AO1718,AT1718),F1718="","")</f>
        <v/>
      </c>
      <c r="BC1718" s="211" t="str" cm="1">
        <f t="array" ref="BC1718">_xlfn.IFS(E1718="","",G1718&lt;=E1718,BB1718*(1-0.03),G1718&lt;(E1718+8),BB1718,AZ1718="Boleto",BB1718*(1+0.001)^DATEDIF(E1718,G1718,"D"),AZ1718="Cheque",BB1718,AZ1718="Dinheiro","Alterar forma pgto")</f>
        <v/>
      </c>
      <c r="BD1718" s="276" t="str" cm="1">
        <f t="array" ref="BD1718">IF(F1718=0," ",IF(BC1718&lt;BB1718,(_xlfn.IFS(AW1718="SIM",SUM(L1718,Q1718,V1718,AA1718,AF1718,AK1718,AP1718,AU1718)+AX1718/_xlfn.XLOOKUP(_xlfn.XLOOKUP($F1718,Clientes!$B$4:$B$39,Clientes!$C$4:$C$39),Cadastros!$L$6:$L$12,Cadastros!$M$6:$M$12)+IF($F1718="Bernardino Furlan",AY1718/2751.92,IF($F1718="Mauro José Salanti",AY1718/2751.92,AY1718/3356)),F1718&lt;&gt;0,SUM(L1718,Q1718,V1718,AA1718,AF1718,AK1718,AP1718,AU1718)))*(1-0.03),_xlfn.IFS(AW1718="SIM",SUM(L1718,Q1718,V1718,AA1718,AF1718,AK1718,AP1718,AU1718)+AX1718/_xlfn.XLOOKUP(_xlfn.XLOOKUP($F1718,Clientes!$B$4:$B$39,Clientes!$C$4:$C$39),Cadastros!$L$6:$L$12,Cadastros!$M$6:$M$12)+IF($F1718="Bernardino Furlan",AY1718/2751.92,IF($F1718="Mauro José Salanti",AY1718/2751.92,AY1718/3356)),F1718&lt;&gt;0,SUM(L1718,Q1718,V1718,AA1718,AF1718,AK1718,AP1718,AU1718))))</f>
        <v xml:space="preserve"> </v>
      </c>
      <c r="BE1718" s="120"/>
      <c r="BF1718" s="120"/>
      <c r="BG1718" s="120"/>
    </row>
    <row r="1719" spans="1:59" s="3" customFormat="1" x14ac:dyDescent="0.3">
      <c r="A1719" s="15" t="str">
        <f t="shared" si="338"/>
        <v/>
      </c>
      <c r="B1719" s="25"/>
      <c r="C1719" s="26"/>
      <c r="D1719" s="279"/>
      <c r="E1719" s="27"/>
      <c r="F1719" s="28"/>
      <c r="G1719" s="27"/>
      <c r="H1719" s="28"/>
      <c r="I1719" s="28"/>
      <c r="J1719" s="255" t="str">
        <f>IF(H1719="","",(_xlfn.XLOOKUP(H1719,Cadastros!$D$6:$D$90,Cadastros!$E$6:$E$90))*(1-_xlfn.XLOOKUP(_xlfn.XLOOKUP($F1719,Clientes!$B$4:$B$39,Clientes!$C$4:$C$39),Cadastros!$L$6:$L$12,Cadastros!$N$6:$N$12)))</f>
        <v/>
      </c>
      <c r="K1719" s="168" t="str">
        <f t="shared" si="339"/>
        <v/>
      </c>
      <c r="L1719" s="168" t="str">
        <f>IFERROR(K1719/_xlfn.XLOOKUP(_xlfn.XLOOKUP($F1719,Clientes!$B$4:$B$39,Clientes!$C$4:$C$39),Cadastros!$L$6:$L$12,Cadastros!$M$6:$M$12)," ")</f>
        <v xml:space="preserve"> </v>
      </c>
      <c r="M1719" s="28"/>
      <c r="N1719" s="28"/>
      <c r="O1719" s="255" t="str">
        <f>IF(M1719="","",(_xlfn.XLOOKUP(M1719,Cadastros!$D$6:$D$90,Cadastros!$E$6:$E$90))*(1-_xlfn.XLOOKUP(_xlfn.XLOOKUP($F1719,Clientes!$B$4:$B$39,Clientes!$C$4:$C$39),Cadastros!$L$6:$L$12,Cadastros!$N$6:$N$12)))</f>
        <v/>
      </c>
      <c r="P1719" s="168" t="str">
        <f t="shared" si="340"/>
        <v/>
      </c>
      <c r="Q1719" s="168" t="str">
        <f>IFERROR(P1719/_xlfn.XLOOKUP(_xlfn.XLOOKUP($F1719,Clientes!$B$4:$B$39,Clientes!$C$4:$C$39),Cadastros!$L$6:$L$12,Cadastros!$M$6:$M$12)," ")</f>
        <v xml:space="preserve"> </v>
      </c>
      <c r="R1719" s="28"/>
      <c r="S1719" s="28"/>
      <c r="T1719" s="255" t="str">
        <f>IF(R1719="","",(_xlfn.XLOOKUP(R1719,Cadastros!$D$6:$D$90,Cadastros!$E$6:$E$90))*(1-_xlfn.XLOOKUP(_xlfn.XLOOKUP($F1719,Clientes!$B$4:$B$39,Clientes!$C$4:$C$39),Cadastros!$L$6:$L$12,Cadastros!$N$6:$N$12)))</f>
        <v/>
      </c>
      <c r="U1719" s="168" t="str">
        <f t="shared" si="341"/>
        <v/>
      </c>
      <c r="V1719" s="168" t="str">
        <f>IFERROR(U1719/_xlfn.XLOOKUP(_xlfn.XLOOKUP($F1719,Clientes!$B$4:$B$39,Clientes!$C$4:$C$39),Cadastros!$L$6:$L$12,Cadastros!$M$6:$M$12)," ")</f>
        <v xml:space="preserve"> </v>
      </c>
      <c r="W1719" s="28"/>
      <c r="X1719" s="28"/>
      <c r="Y1719" s="255" t="str">
        <f>IF(W1719="","",(_xlfn.XLOOKUP(W1719,Cadastros!$D$6:$D$90,Cadastros!$E$6:$E$90))*(1-_xlfn.XLOOKUP(_xlfn.XLOOKUP($F1719,Clientes!$B$4:$B$39,Clientes!$C$4:$C$39),Cadastros!$L$6:$L$12,Cadastros!$N$6:$N$12)))</f>
        <v/>
      </c>
      <c r="Z1719" s="168" t="str">
        <f t="shared" si="342"/>
        <v/>
      </c>
      <c r="AA1719" s="168" t="str">
        <f>IFERROR(Z1719/_xlfn.XLOOKUP(_xlfn.XLOOKUP($F1719,Clientes!$B$4:$B$39,Clientes!$C$4:$C$39),Cadastros!$L$6:$L$12,Cadastros!$M$6:$M$12)," ")</f>
        <v xml:space="preserve"> </v>
      </c>
      <c r="AB1719" s="28"/>
      <c r="AC1719" s="28"/>
      <c r="AD1719" s="20" t="str">
        <f>IF(AB1719="","",IF($F1719="Bernardino Furlan",_xlfn.XLOOKUP(AB1719,Cadastros!$G$6:$G$90,Cadastros!$H$6:$H$90)*(1-0.18),IF($F1719="Mauro José Salanti",_xlfn.XLOOKUP(AB1719,Cadastros!$G$6:$G$90,Cadastros!$H$6:$H$90)*(1-0.18),_xlfn.XLOOKUP(AB1719,Cadastros!$G$6:$G$90,Cadastros!$H$6:$H$90))))</f>
        <v/>
      </c>
      <c r="AE1719" s="168" t="str">
        <f t="shared" si="343"/>
        <v/>
      </c>
      <c r="AF1719" s="168" t="str">
        <f t="shared" si="344"/>
        <v/>
      </c>
      <c r="AG1719" s="28"/>
      <c r="AH1719" s="28"/>
      <c r="AI1719" s="20" t="str">
        <f>IF(AG1719="","",IF($F1719="Bernardino Furlan",_xlfn.XLOOKUP(AG1719,Cadastros!$G$6:$G$90,Cadastros!$H$6:$H$90)*(1-0.18),IF($F1719="Mauro José Salanti",_xlfn.XLOOKUP(AG1719,Cadastros!$G$6:$G$90,Cadastros!$H$6:$H$90)*(1-0.18),_xlfn.XLOOKUP(AG1719,Cadastros!$G$6:$G$90,Cadastros!$H$6:$H$90))))</f>
        <v/>
      </c>
      <c r="AJ1719" s="168" t="str">
        <f t="shared" si="345"/>
        <v/>
      </c>
      <c r="AK1719" s="168" t="str">
        <f t="shared" si="346"/>
        <v/>
      </c>
      <c r="AL1719" s="28"/>
      <c r="AM1719" s="28"/>
      <c r="AN1719" s="20" t="str">
        <f>IF(AL1719="","",IF($F1719="Bernardino Furlan",_xlfn.XLOOKUP(AL1719,Cadastros!$G$6:$G$90,Cadastros!$H$6:$H$90)*(1-0.18),IF($F1719="Mauro José Salanti",_xlfn.XLOOKUP(AL1719,Cadastros!$G$6:$G$90,Cadastros!$H$6:$H$90)*(1-0.18),_xlfn.XLOOKUP(AL1719,Cadastros!$G$6:$G$90,Cadastros!$H$6:$H$90))))</f>
        <v/>
      </c>
      <c r="AO1719" s="168" t="str">
        <f t="shared" si="347"/>
        <v/>
      </c>
      <c r="AP1719" s="168" t="str">
        <f t="shared" si="348"/>
        <v/>
      </c>
      <c r="AQ1719" s="28"/>
      <c r="AR1719" s="28"/>
      <c r="AS1719" s="20" t="str">
        <f>IF(AQ1719="","",IF($F1719="Bernardino Furlan",_xlfn.XLOOKUP(AQ1719,Cadastros!$G$6:$G$90,Cadastros!$H$6:$H$90)*(1-0.18),IF($F1719="Mauro José Salanti",_xlfn.XLOOKUP(AQ1719,Cadastros!$G$6:$G$90,Cadastros!$H$6:$H$90)*(1-0.18),_xlfn.XLOOKUP(AQ1719,Cadastros!$G$6:$G$90,Cadastros!$H$6:$H$90))))</f>
        <v/>
      </c>
      <c r="AT1719" s="168" t="str">
        <f t="shared" si="349"/>
        <v/>
      </c>
      <c r="AU1719" s="168" t="str">
        <f t="shared" si="350"/>
        <v/>
      </c>
      <c r="AV1719" s="227"/>
      <c r="AW1719" s="30"/>
      <c r="AX1719" s="267"/>
      <c r="AY1719" s="267"/>
      <c r="AZ1719" s="29"/>
      <c r="BA1719" s="30"/>
      <c r="BB1719" s="23" t="str" cm="1">
        <f t="array" ref="BB1719">_xlfn.IFS(AW1719="SIM",SUM(K1719,P1719,U1719,Z1719,AE1719,AJ1719,AO1719,AT1719,AX1719,AY1719),F1719&lt;&gt;"",SUM(K1719,P1719,U1719,Z1719,AE1719,AJ1719,,AO1719,AT1719),F1719="","")</f>
        <v/>
      </c>
      <c r="BC1719" s="211" t="str" cm="1">
        <f t="array" ref="BC1719">_xlfn.IFS(E1719="","",G1719&lt;=E1719,BB1719*(1-0.03),G1719&lt;(E1719+8),BB1719,AZ1719="Boleto",BB1719*(1+0.001)^DATEDIF(E1719,G1719,"D"),AZ1719="Cheque",BB1719,AZ1719="Dinheiro","Alterar forma pgto")</f>
        <v/>
      </c>
      <c r="BD1719" s="276" t="str" cm="1">
        <f t="array" ref="BD1719">IF(F1719=0," ",IF(BC1719&lt;BB1719,(_xlfn.IFS(AW1719="SIM",SUM(L1719,Q1719,V1719,AA1719,AF1719,AK1719,AP1719,AU1719)+AX1719/_xlfn.XLOOKUP(_xlfn.XLOOKUP($F1719,Clientes!$B$4:$B$39,Clientes!$C$4:$C$39),Cadastros!$L$6:$L$12,Cadastros!$M$6:$M$12)+IF($F1719="Bernardino Furlan",AY1719/2751.92,IF($F1719="Mauro José Salanti",AY1719/2751.92,AY1719/3356)),F1719&lt;&gt;0,SUM(L1719,Q1719,V1719,AA1719,AF1719,AK1719,AP1719,AU1719)))*(1-0.03),_xlfn.IFS(AW1719="SIM",SUM(L1719,Q1719,V1719,AA1719,AF1719,AK1719,AP1719,AU1719)+AX1719/_xlfn.XLOOKUP(_xlfn.XLOOKUP($F1719,Clientes!$B$4:$B$39,Clientes!$C$4:$C$39),Cadastros!$L$6:$L$12,Cadastros!$M$6:$M$12)+IF($F1719="Bernardino Furlan",AY1719/2751.92,IF($F1719="Mauro José Salanti",AY1719/2751.92,AY1719/3356)),F1719&lt;&gt;0,SUM(L1719,Q1719,V1719,AA1719,AF1719,AK1719,AP1719,AU1719))))</f>
        <v xml:space="preserve"> </v>
      </c>
      <c r="BE1719" s="120"/>
      <c r="BF1719" s="120"/>
      <c r="BG1719" s="120"/>
    </row>
    <row r="1720" spans="1:59" s="3" customFormat="1" x14ac:dyDescent="0.3">
      <c r="A1720" s="15" t="str">
        <f t="shared" si="338"/>
        <v/>
      </c>
      <c r="B1720" s="25"/>
      <c r="C1720" s="26"/>
      <c r="D1720" s="279"/>
      <c r="E1720" s="27"/>
      <c r="F1720" s="28"/>
      <c r="G1720" s="27"/>
      <c r="H1720" s="28"/>
      <c r="I1720" s="28"/>
      <c r="J1720" s="255" t="str">
        <f>IF(H1720="","",(_xlfn.XLOOKUP(H1720,Cadastros!$D$6:$D$90,Cadastros!$E$6:$E$90))*(1-_xlfn.XLOOKUP(_xlfn.XLOOKUP($F1720,Clientes!$B$4:$B$39,Clientes!$C$4:$C$39),Cadastros!$L$6:$L$12,Cadastros!$N$6:$N$12)))</f>
        <v/>
      </c>
      <c r="K1720" s="168" t="str">
        <f t="shared" si="339"/>
        <v/>
      </c>
      <c r="L1720" s="168" t="str">
        <f>IFERROR(K1720/_xlfn.XLOOKUP(_xlfn.XLOOKUP($F1720,Clientes!$B$4:$B$39,Clientes!$C$4:$C$39),Cadastros!$L$6:$L$12,Cadastros!$M$6:$M$12)," ")</f>
        <v xml:space="preserve"> </v>
      </c>
      <c r="M1720" s="28"/>
      <c r="N1720" s="28"/>
      <c r="O1720" s="255" t="str">
        <f>IF(M1720="","",(_xlfn.XLOOKUP(M1720,Cadastros!$D$6:$D$90,Cadastros!$E$6:$E$90))*(1-_xlfn.XLOOKUP(_xlfn.XLOOKUP($F1720,Clientes!$B$4:$B$39,Clientes!$C$4:$C$39),Cadastros!$L$6:$L$12,Cadastros!$N$6:$N$12)))</f>
        <v/>
      </c>
      <c r="P1720" s="168" t="str">
        <f t="shared" si="340"/>
        <v/>
      </c>
      <c r="Q1720" s="168" t="str">
        <f>IFERROR(P1720/_xlfn.XLOOKUP(_xlfn.XLOOKUP($F1720,Clientes!$B$4:$B$39,Clientes!$C$4:$C$39),Cadastros!$L$6:$L$12,Cadastros!$M$6:$M$12)," ")</f>
        <v xml:space="preserve"> </v>
      </c>
      <c r="R1720" s="28"/>
      <c r="S1720" s="28"/>
      <c r="T1720" s="255" t="str">
        <f>IF(R1720="","",(_xlfn.XLOOKUP(R1720,Cadastros!$D$6:$D$90,Cadastros!$E$6:$E$90))*(1-_xlfn.XLOOKUP(_xlfn.XLOOKUP($F1720,Clientes!$B$4:$B$39,Clientes!$C$4:$C$39),Cadastros!$L$6:$L$12,Cadastros!$N$6:$N$12)))</f>
        <v/>
      </c>
      <c r="U1720" s="168" t="str">
        <f t="shared" si="341"/>
        <v/>
      </c>
      <c r="V1720" s="168" t="str">
        <f>IFERROR(U1720/_xlfn.XLOOKUP(_xlfn.XLOOKUP($F1720,Clientes!$B$4:$B$39,Clientes!$C$4:$C$39),Cadastros!$L$6:$L$12,Cadastros!$M$6:$M$12)," ")</f>
        <v xml:space="preserve"> </v>
      </c>
      <c r="W1720" s="28"/>
      <c r="X1720" s="28"/>
      <c r="Y1720" s="255" t="str">
        <f>IF(W1720="","",(_xlfn.XLOOKUP(W1720,Cadastros!$D$6:$D$90,Cadastros!$E$6:$E$90))*(1-_xlfn.XLOOKUP(_xlfn.XLOOKUP($F1720,Clientes!$B$4:$B$39,Clientes!$C$4:$C$39),Cadastros!$L$6:$L$12,Cadastros!$N$6:$N$12)))</f>
        <v/>
      </c>
      <c r="Z1720" s="168" t="str">
        <f t="shared" si="342"/>
        <v/>
      </c>
      <c r="AA1720" s="168" t="str">
        <f>IFERROR(Z1720/_xlfn.XLOOKUP(_xlfn.XLOOKUP($F1720,Clientes!$B$4:$B$39,Clientes!$C$4:$C$39),Cadastros!$L$6:$L$12,Cadastros!$M$6:$M$12)," ")</f>
        <v xml:space="preserve"> </v>
      </c>
      <c r="AB1720" s="28"/>
      <c r="AC1720" s="28"/>
      <c r="AD1720" s="20" t="str">
        <f>IF(AB1720="","",IF($F1720="Bernardino Furlan",_xlfn.XLOOKUP(AB1720,Cadastros!$G$6:$G$90,Cadastros!$H$6:$H$90)*(1-0.18),IF($F1720="Mauro José Salanti",_xlfn.XLOOKUP(AB1720,Cadastros!$G$6:$G$90,Cadastros!$H$6:$H$90)*(1-0.18),_xlfn.XLOOKUP(AB1720,Cadastros!$G$6:$G$90,Cadastros!$H$6:$H$90))))</f>
        <v/>
      </c>
      <c r="AE1720" s="168" t="str">
        <f t="shared" si="343"/>
        <v/>
      </c>
      <c r="AF1720" s="168" t="str">
        <f t="shared" si="344"/>
        <v/>
      </c>
      <c r="AG1720" s="28"/>
      <c r="AH1720" s="28"/>
      <c r="AI1720" s="20" t="str">
        <f>IF(AG1720="","",IF($F1720="Bernardino Furlan",_xlfn.XLOOKUP(AG1720,Cadastros!$G$6:$G$90,Cadastros!$H$6:$H$90)*(1-0.18),IF($F1720="Mauro José Salanti",_xlfn.XLOOKUP(AG1720,Cadastros!$G$6:$G$90,Cadastros!$H$6:$H$90)*(1-0.18),_xlfn.XLOOKUP(AG1720,Cadastros!$G$6:$G$90,Cadastros!$H$6:$H$90))))</f>
        <v/>
      </c>
      <c r="AJ1720" s="168" t="str">
        <f t="shared" si="345"/>
        <v/>
      </c>
      <c r="AK1720" s="168" t="str">
        <f t="shared" si="346"/>
        <v/>
      </c>
      <c r="AL1720" s="28"/>
      <c r="AM1720" s="28"/>
      <c r="AN1720" s="20" t="str">
        <f>IF(AL1720="","",IF($F1720="Bernardino Furlan",_xlfn.XLOOKUP(AL1720,Cadastros!$G$6:$G$90,Cadastros!$H$6:$H$90)*(1-0.18),IF($F1720="Mauro José Salanti",_xlfn.XLOOKUP(AL1720,Cadastros!$G$6:$G$90,Cadastros!$H$6:$H$90)*(1-0.18),_xlfn.XLOOKUP(AL1720,Cadastros!$G$6:$G$90,Cadastros!$H$6:$H$90))))</f>
        <v/>
      </c>
      <c r="AO1720" s="168" t="str">
        <f t="shared" si="347"/>
        <v/>
      </c>
      <c r="AP1720" s="168" t="str">
        <f t="shared" si="348"/>
        <v/>
      </c>
      <c r="AQ1720" s="28"/>
      <c r="AR1720" s="28"/>
      <c r="AS1720" s="20" t="str">
        <f>IF(AQ1720="","",IF($F1720="Bernardino Furlan",_xlfn.XLOOKUP(AQ1720,Cadastros!$G$6:$G$90,Cadastros!$H$6:$H$90)*(1-0.18),IF($F1720="Mauro José Salanti",_xlfn.XLOOKUP(AQ1720,Cadastros!$G$6:$G$90,Cadastros!$H$6:$H$90)*(1-0.18),_xlfn.XLOOKUP(AQ1720,Cadastros!$G$6:$G$90,Cadastros!$H$6:$H$90))))</f>
        <v/>
      </c>
      <c r="AT1720" s="168" t="str">
        <f t="shared" si="349"/>
        <v/>
      </c>
      <c r="AU1720" s="168" t="str">
        <f t="shared" si="350"/>
        <v/>
      </c>
      <c r="AV1720" s="227"/>
      <c r="AW1720" s="30"/>
      <c r="AX1720" s="267"/>
      <c r="AY1720" s="267"/>
      <c r="AZ1720" s="29"/>
      <c r="BA1720" s="30"/>
      <c r="BB1720" s="23" t="str" cm="1">
        <f t="array" ref="BB1720">_xlfn.IFS(AW1720="SIM",SUM(K1720,P1720,U1720,Z1720,AE1720,AJ1720,AO1720,AT1720,AX1720,AY1720),F1720&lt;&gt;"",SUM(K1720,P1720,U1720,Z1720,AE1720,AJ1720,,AO1720,AT1720),F1720="","")</f>
        <v/>
      </c>
      <c r="BC1720" s="211" t="str" cm="1">
        <f t="array" ref="BC1720">_xlfn.IFS(E1720="","",G1720&lt;=E1720,BB1720*(1-0.03),G1720&lt;(E1720+8),BB1720,AZ1720="Boleto",BB1720*(1+0.001)^DATEDIF(E1720,G1720,"D"),AZ1720="Cheque",BB1720,AZ1720="Dinheiro","Alterar forma pgto")</f>
        <v/>
      </c>
      <c r="BD1720" s="276" t="str" cm="1">
        <f t="array" ref="BD1720">IF(F1720=0," ",IF(BC1720&lt;BB1720,(_xlfn.IFS(AW1720="SIM",SUM(L1720,Q1720,V1720,AA1720,AF1720,AK1720,AP1720,AU1720)+AX1720/_xlfn.XLOOKUP(_xlfn.XLOOKUP($F1720,Clientes!$B$4:$B$39,Clientes!$C$4:$C$39),Cadastros!$L$6:$L$12,Cadastros!$M$6:$M$12)+IF($F1720="Bernardino Furlan",AY1720/2751.92,IF($F1720="Mauro José Salanti",AY1720/2751.92,AY1720/3356)),F1720&lt;&gt;0,SUM(L1720,Q1720,V1720,AA1720,AF1720,AK1720,AP1720,AU1720)))*(1-0.03),_xlfn.IFS(AW1720="SIM",SUM(L1720,Q1720,V1720,AA1720,AF1720,AK1720,AP1720,AU1720)+AX1720/_xlfn.XLOOKUP(_xlfn.XLOOKUP($F1720,Clientes!$B$4:$B$39,Clientes!$C$4:$C$39),Cadastros!$L$6:$L$12,Cadastros!$M$6:$M$12)+IF($F1720="Bernardino Furlan",AY1720/2751.92,IF($F1720="Mauro José Salanti",AY1720/2751.92,AY1720/3356)),F1720&lt;&gt;0,SUM(L1720,Q1720,V1720,AA1720,AF1720,AK1720,AP1720,AU1720))))</f>
        <v xml:space="preserve"> </v>
      </c>
      <c r="BE1720" s="120"/>
      <c r="BF1720" s="120"/>
      <c r="BG1720" s="120"/>
    </row>
    <row r="1721" spans="1:59" s="3" customFormat="1" x14ac:dyDescent="0.3">
      <c r="A1721" s="15" t="str">
        <f t="shared" si="338"/>
        <v/>
      </c>
      <c r="B1721" s="25"/>
      <c r="C1721" s="26"/>
      <c r="D1721" s="279"/>
      <c r="E1721" s="27"/>
      <c r="F1721" s="28"/>
      <c r="G1721" s="27"/>
      <c r="H1721" s="28"/>
      <c r="I1721" s="28"/>
      <c r="J1721" s="255" t="str">
        <f>IF(H1721="","",(_xlfn.XLOOKUP(H1721,Cadastros!$D$6:$D$90,Cadastros!$E$6:$E$90))*(1-_xlfn.XLOOKUP(_xlfn.XLOOKUP($F1721,Clientes!$B$4:$B$39,Clientes!$C$4:$C$39),Cadastros!$L$6:$L$12,Cadastros!$N$6:$N$12)))</f>
        <v/>
      </c>
      <c r="K1721" s="168" t="str">
        <f t="shared" si="339"/>
        <v/>
      </c>
      <c r="L1721" s="168" t="str">
        <f>IFERROR(K1721/_xlfn.XLOOKUP(_xlfn.XLOOKUP($F1721,Clientes!$B$4:$B$39,Clientes!$C$4:$C$39),Cadastros!$L$6:$L$12,Cadastros!$M$6:$M$12)," ")</f>
        <v xml:space="preserve"> </v>
      </c>
      <c r="M1721" s="28"/>
      <c r="N1721" s="28"/>
      <c r="O1721" s="255" t="str">
        <f>IF(M1721="","",(_xlfn.XLOOKUP(M1721,Cadastros!$D$6:$D$90,Cadastros!$E$6:$E$90))*(1-_xlfn.XLOOKUP(_xlfn.XLOOKUP($F1721,Clientes!$B$4:$B$39,Clientes!$C$4:$C$39),Cadastros!$L$6:$L$12,Cadastros!$N$6:$N$12)))</f>
        <v/>
      </c>
      <c r="P1721" s="168" t="str">
        <f t="shared" si="340"/>
        <v/>
      </c>
      <c r="Q1721" s="168" t="str">
        <f>IFERROR(P1721/_xlfn.XLOOKUP(_xlfn.XLOOKUP($F1721,Clientes!$B$4:$B$39,Clientes!$C$4:$C$39),Cadastros!$L$6:$L$12,Cadastros!$M$6:$M$12)," ")</f>
        <v xml:space="preserve"> </v>
      </c>
      <c r="R1721" s="28"/>
      <c r="S1721" s="28"/>
      <c r="T1721" s="255" t="str">
        <f>IF(R1721="","",(_xlfn.XLOOKUP(R1721,Cadastros!$D$6:$D$90,Cadastros!$E$6:$E$90))*(1-_xlfn.XLOOKUP(_xlfn.XLOOKUP($F1721,Clientes!$B$4:$B$39,Clientes!$C$4:$C$39),Cadastros!$L$6:$L$12,Cadastros!$N$6:$N$12)))</f>
        <v/>
      </c>
      <c r="U1721" s="168" t="str">
        <f t="shared" si="341"/>
        <v/>
      </c>
      <c r="V1721" s="168" t="str">
        <f>IFERROR(U1721/_xlfn.XLOOKUP(_xlfn.XLOOKUP($F1721,Clientes!$B$4:$B$39,Clientes!$C$4:$C$39),Cadastros!$L$6:$L$12,Cadastros!$M$6:$M$12)," ")</f>
        <v xml:space="preserve"> </v>
      </c>
      <c r="W1721" s="28"/>
      <c r="X1721" s="28"/>
      <c r="Y1721" s="255" t="str">
        <f>IF(W1721="","",(_xlfn.XLOOKUP(W1721,Cadastros!$D$6:$D$90,Cadastros!$E$6:$E$90))*(1-_xlfn.XLOOKUP(_xlfn.XLOOKUP($F1721,Clientes!$B$4:$B$39,Clientes!$C$4:$C$39),Cadastros!$L$6:$L$12,Cadastros!$N$6:$N$12)))</f>
        <v/>
      </c>
      <c r="Z1721" s="168" t="str">
        <f t="shared" si="342"/>
        <v/>
      </c>
      <c r="AA1721" s="168" t="str">
        <f>IFERROR(Z1721/_xlfn.XLOOKUP(_xlfn.XLOOKUP($F1721,Clientes!$B$4:$B$39,Clientes!$C$4:$C$39),Cadastros!$L$6:$L$12,Cadastros!$M$6:$M$12)," ")</f>
        <v xml:space="preserve"> </v>
      </c>
      <c r="AB1721" s="28"/>
      <c r="AC1721" s="28"/>
      <c r="AD1721" s="20" t="str">
        <f>IF(AB1721="","",IF($F1721="Bernardino Furlan",_xlfn.XLOOKUP(AB1721,Cadastros!$G$6:$G$90,Cadastros!$H$6:$H$90)*(1-0.18),IF($F1721="Mauro José Salanti",_xlfn.XLOOKUP(AB1721,Cadastros!$G$6:$G$90,Cadastros!$H$6:$H$90)*(1-0.18),_xlfn.XLOOKUP(AB1721,Cadastros!$G$6:$G$90,Cadastros!$H$6:$H$90))))</f>
        <v/>
      </c>
      <c r="AE1721" s="168" t="str">
        <f t="shared" si="343"/>
        <v/>
      </c>
      <c r="AF1721" s="168" t="str">
        <f t="shared" si="344"/>
        <v/>
      </c>
      <c r="AG1721" s="28"/>
      <c r="AH1721" s="28"/>
      <c r="AI1721" s="20" t="str">
        <f>IF(AG1721="","",IF($F1721="Bernardino Furlan",_xlfn.XLOOKUP(AG1721,Cadastros!$G$6:$G$90,Cadastros!$H$6:$H$90)*(1-0.18),IF($F1721="Mauro José Salanti",_xlfn.XLOOKUP(AG1721,Cadastros!$G$6:$G$90,Cadastros!$H$6:$H$90)*(1-0.18),_xlfn.XLOOKUP(AG1721,Cadastros!$G$6:$G$90,Cadastros!$H$6:$H$90))))</f>
        <v/>
      </c>
      <c r="AJ1721" s="168" t="str">
        <f t="shared" si="345"/>
        <v/>
      </c>
      <c r="AK1721" s="168" t="str">
        <f t="shared" si="346"/>
        <v/>
      </c>
      <c r="AL1721" s="28"/>
      <c r="AM1721" s="28"/>
      <c r="AN1721" s="20" t="str">
        <f>IF(AL1721="","",IF($F1721="Bernardino Furlan",_xlfn.XLOOKUP(AL1721,Cadastros!$G$6:$G$90,Cadastros!$H$6:$H$90)*(1-0.18),IF($F1721="Mauro José Salanti",_xlfn.XLOOKUP(AL1721,Cadastros!$G$6:$G$90,Cadastros!$H$6:$H$90)*(1-0.18),_xlfn.XLOOKUP(AL1721,Cadastros!$G$6:$G$90,Cadastros!$H$6:$H$90))))</f>
        <v/>
      </c>
      <c r="AO1721" s="168" t="str">
        <f t="shared" si="347"/>
        <v/>
      </c>
      <c r="AP1721" s="168" t="str">
        <f t="shared" si="348"/>
        <v/>
      </c>
      <c r="AQ1721" s="28"/>
      <c r="AR1721" s="28"/>
      <c r="AS1721" s="20" t="str">
        <f>IF(AQ1721="","",IF($F1721="Bernardino Furlan",_xlfn.XLOOKUP(AQ1721,Cadastros!$G$6:$G$90,Cadastros!$H$6:$H$90)*(1-0.18),IF($F1721="Mauro José Salanti",_xlfn.XLOOKUP(AQ1721,Cadastros!$G$6:$G$90,Cadastros!$H$6:$H$90)*(1-0.18),_xlfn.XLOOKUP(AQ1721,Cadastros!$G$6:$G$90,Cadastros!$H$6:$H$90))))</f>
        <v/>
      </c>
      <c r="AT1721" s="168" t="str">
        <f t="shared" si="349"/>
        <v/>
      </c>
      <c r="AU1721" s="168" t="str">
        <f t="shared" si="350"/>
        <v/>
      </c>
      <c r="AV1721" s="227"/>
      <c r="AW1721" s="30"/>
      <c r="AX1721" s="267"/>
      <c r="AY1721" s="267"/>
      <c r="AZ1721" s="29"/>
      <c r="BA1721" s="30"/>
      <c r="BB1721" s="23" t="str" cm="1">
        <f t="array" ref="BB1721">_xlfn.IFS(AW1721="SIM",SUM(K1721,P1721,U1721,Z1721,AE1721,AJ1721,AO1721,AT1721,AX1721,AY1721),F1721&lt;&gt;"",SUM(K1721,P1721,U1721,Z1721,AE1721,AJ1721,,AO1721,AT1721),F1721="","")</f>
        <v/>
      </c>
      <c r="BC1721" s="211" t="str" cm="1">
        <f t="array" ref="BC1721">_xlfn.IFS(E1721="","",G1721&lt;=E1721,BB1721*(1-0.03),G1721&lt;(E1721+8),BB1721,AZ1721="Boleto",BB1721*(1+0.001)^DATEDIF(E1721,G1721,"D"),AZ1721="Cheque",BB1721,AZ1721="Dinheiro","Alterar forma pgto")</f>
        <v/>
      </c>
      <c r="BD1721" s="276" t="str" cm="1">
        <f t="array" ref="BD1721">IF(F1721=0," ",IF(BC1721&lt;BB1721,(_xlfn.IFS(AW1721="SIM",SUM(L1721,Q1721,V1721,AA1721,AF1721,AK1721,AP1721,AU1721)+AX1721/_xlfn.XLOOKUP(_xlfn.XLOOKUP($F1721,Clientes!$B$4:$B$39,Clientes!$C$4:$C$39),Cadastros!$L$6:$L$12,Cadastros!$M$6:$M$12)+IF($F1721="Bernardino Furlan",AY1721/2751.92,IF($F1721="Mauro José Salanti",AY1721/2751.92,AY1721/3356)),F1721&lt;&gt;0,SUM(L1721,Q1721,V1721,AA1721,AF1721,AK1721,AP1721,AU1721)))*(1-0.03),_xlfn.IFS(AW1721="SIM",SUM(L1721,Q1721,V1721,AA1721,AF1721,AK1721,AP1721,AU1721)+AX1721/_xlfn.XLOOKUP(_xlfn.XLOOKUP($F1721,Clientes!$B$4:$B$39,Clientes!$C$4:$C$39),Cadastros!$L$6:$L$12,Cadastros!$M$6:$M$12)+IF($F1721="Bernardino Furlan",AY1721/2751.92,IF($F1721="Mauro José Salanti",AY1721/2751.92,AY1721/3356)),F1721&lt;&gt;0,SUM(L1721,Q1721,V1721,AA1721,AF1721,AK1721,AP1721,AU1721))))</f>
        <v xml:space="preserve"> </v>
      </c>
      <c r="BE1721" s="120"/>
      <c r="BF1721" s="120"/>
      <c r="BG1721" s="120"/>
    </row>
    <row r="1722" spans="1:59" s="3" customFormat="1" x14ac:dyDescent="0.3">
      <c r="A1722" s="15" t="str">
        <f t="shared" si="338"/>
        <v/>
      </c>
      <c r="B1722" s="25"/>
      <c r="C1722" s="26"/>
      <c r="D1722" s="279"/>
      <c r="E1722" s="27"/>
      <c r="F1722" s="28"/>
      <c r="G1722" s="27"/>
      <c r="H1722" s="28"/>
      <c r="I1722" s="28"/>
      <c r="J1722" s="255" t="str">
        <f>IF(H1722="","",(_xlfn.XLOOKUP(H1722,Cadastros!$D$6:$D$90,Cadastros!$E$6:$E$90))*(1-_xlfn.XLOOKUP(_xlfn.XLOOKUP($F1722,Clientes!$B$4:$B$39,Clientes!$C$4:$C$39),Cadastros!$L$6:$L$12,Cadastros!$N$6:$N$12)))</f>
        <v/>
      </c>
      <c r="K1722" s="168" t="str">
        <f t="shared" si="339"/>
        <v/>
      </c>
      <c r="L1722" s="168" t="str">
        <f>IFERROR(K1722/_xlfn.XLOOKUP(_xlfn.XLOOKUP($F1722,Clientes!$B$4:$B$39,Clientes!$C$4:$C$39),Cadastros!$L$6:$L$12,Cadastros!$M$6:$M$12)," ")</f>
        <v xml:space="preserve"> </v>
      </c>
      <c r="M1722" s="28"/>
      <c r="N1722" s="28"/>
      <c r="O1722" s="255" t="str">
        <f>IF(M1722="","",(_xlfn.XLOOKUP(M1722,Cadastros!$D$6:$D$90,Cadastros!$E$6:$E$90))*(1-_xlfn.XLOOKUP(_xlfn.XLOOKUP($F1722,Clientes!$B$4:$B$39,Clientes!$C$4:$C$39),Cadastros!$L$6:$L$12,Cadastros!$N$6:$N$12)))</f>
        <v/>
      </c>
      <c r="P1722" s="168" t="str">
        <f t="shared" si="340"/>
        <v/>
      </c>
      <c r="Q1722" s="168" t="str">
        <f>IFERROR(P1722/_xlfn.XLOOKUP(_xlfn.XLOOKUP($F1722,Clientes!$B$4:$B$39,Clientes!$C$4:$C$39),Cadastros!$L$6:$L$12,Cadastros!$M$6:$M$12)," ")</f>
        <v xml:space="preserve"> </v>
      </c>
      <c r="R1722" s="28"/>
      <c r="S1722" s="28"/>
      <c r="T1722" s="255" t="str">
        <f>IF(R1722="","",(_xlfn.XLOOKUP(R1722,Cadastros!$D$6:$D$90,Cadastros!$E$6:$E$90))*(1-_xlfn.XLOOKUP(_xlfn.XLOOKUP($F1722,Clientes!$B$4:$B$39,Clientes!$C$4:$C$39),Cadastros!$L$6:$L$12,Cadastros!$N$6:$N$12)))</f>
        <v/>
      </c>
      <c r="U1722" s="168" t="str">
        <f t="shared" si="341"/>
        <v/>
      </c>
      <c r="V1722" s="168" t="str">
        <f>IFERROR(U1722/_xlfn.XLOOKUP(_xlfn.XLOOKUP($F1722,Clientes!$B$4:$B$39,Clientes!$C$4:$C$39),Cadastros!$L$6:$L$12,Cadastros!$M$6:$M$12)," ")</f>
        <v xml:space="preserve"> </v>
      </c>
      <c r="W1722" s="28"/>
      <c r="X1722" s="28"/>
      <c r="Y1722" s="255" t="str">
        <f>IF(W1722="","",(_xlfn.XLOOKUP(W1722,Cadastros!$D$6:$D$90,Cadastros!$E$6:$E$90))*(1-_xlfn.XLOOKUP(_xlfn.XLOOKUP($F1722,Clientes!$B$4:$B$39,Clientes!$C$4:$C$39),Cadastros!$L$6:$L$12,Cadastros!$N$6:$N$12)))</f>
        <v/>
      </c>
      <c r="Z1722" s="168" t="str">
        <f t="shared" si="342"/>
        <v/>
      </c>
      <c r="AA1722" s="168" t="str">
        <f>IFERROR(Z1722/_xlfn.XLOOKUP(_xlfn.XLOOKUP($F1722,Clientes!$B$4:$B$39,Clientes!$C$4:$C$39),Cadastros!$L$6:$L$12,Cadastros!$M$6:$M$12)," ")</f>
        <v xml:space="preserve"> </v>
      </c>
      <c r="AB1722" s="28"/>
      <c r="AC1722" s="28"/>
      <c r="AD1722" s="20" t="str">
        <f>IF(AB1722="","",IF($F1722="Bernardino Furlan",_xlfn.XLOOKUP(AB1722,Cadastros!$G$6:$G$90,Cadastros!$H$6:$H$90)*(1-0.18),IF($F1722="Mauro José Salanti",_xlfn.XLOOKUP(AB1722,Cadastros!$G$6:$G$90,Cadastros!$H$6:$H$90)*(1-0.18),_xlfn.XLOOKUP(AB1722,Cadastros!$G$6:$G$90,Cadastros!$H$6:$H$90))))</f>
        <v/>
      </c>
      <c r="AE1722" s="168" t="str">
        <f t="shared" si="343"/>
        <v/>
      </c>
      <c r="AF1722" s="168" t="str">
        <f t="shared" si="344"/>
        <v/>
      </c>
      <c r="AG1722" s="28"/>
      <c r="AH1722" s="28"/>
      <c r="AI1722" s="20" t="str">
        <f>IF(AG1722="","",IF($F1722="Bernardino Furlan",_xlfn.XLOOKUP(AG1722,Cadastros!$G$6:$G$90,Cadastros!$H$6:$H$90)*(1-0.18),IF($F1722="Mauro José Salanti",_xlfn.XLOOKUP(AG1722,Cadastros!$G$6:$G$90,Cadastros!$H$6:$H$90)*(1-0.18),_xlfn.XLOOKUP(AG1722,Cadastros!$G$6:$G$90,Cadastros!$H$6:$H$90))))</f>
        <v/>
      </c>
      <c r="AJ1722" s="168" t="str">
        <f t="shared" si="345"/>
        <v/>
      </c>
      <c r="AK1722" s="168" t="str">
        <f t="shared" si="346"/>
        <v/>
      </c>
      <c r="AL1722" s="28"/>
      <c r="AM1722" s="28"/>
      <c r="AN1722" s="20" t="str">
        <f>IF(AL1722="","",IF($F1722="Bernardino Furlan",_xlfn.XLOOKUP(AL1722,Cadastros!$G$6:$G$90,Cadastros!$H$6:$H$90)*(1-0.18),IF($F1722="Mauro José Salanti",_xlfn.XLOOKUP(AL1722,Cadastros!$G$6:$G$90,Cadastros!$H$6:$H$90)*(1-0.18),_xlfn.XLOOKUP(AL1722,Cadastros!$G$6:$G$90,Cadastros!$H$6:$H$90))))</f>
        <v/>
      </c>
      <c r="AO1722" s="168" t="str">
        <f t="shared" si="347"/>
        <v/>
      </c>
      <c r="AP1722" s="168" t="str">
        <f t="shared" si="348"/>
        <v/>
      </c>
      <c r="AQ1722" s="28"/>
      <c r="AR1722" s="28"/>
      <c r="AS1722" s="20" t="str">
        <f>IF(AQ1722="","",IF($F1722="Bernardino Furlan",_xlfn.XLOOKUP(AQ1722,Cadastros!$G$6:$G$90,Cadastros!$H$6:$H$90)*(1-0.18),IF($F1722="Mauro José Salanti",_xlfn.XLOOKUP(AQ1722,Cadastros!$G$6:$G$90,Cadastros!$H$6:$H$90)*(1-0.18),_xlfn.XLOOKUP(AQ1722,Cadastros!$G$6:$G$90,Cadastros!$H$6:$H$90))))</f>
        <v/>
      </c>
      <c r="AT1722" s="168" t="str">
        <f t="shared" si="349"/>
        <v/>
      </c>
      <c r="AU1722" s="168" t="str">
        <f t="shared" si="350"/>
        <v/>
      </c>
      <c r="AV1722" s="227"/>
      <c r="AW1722" s="30"/>
      <c r="AX1722" s="267"/>
      <c r="AY1722" s="267"/>
      <c r="AZ1722" s="29"/>
      <c r="BA1722" s="30"/>
      <c r="BB1722" s="23" t="str" cm="1">
        <f t="array" ref="BB1722">_xlfn.IFS(AW1722="SIM",SUM(K1722,P1722,U1722,Z1722,AE1722,AJ1722,AO1722,AT1722,AX1722,AY1722),F1722&lt;&gt;"",SUM(K1722,P1722,U1722,Z1722,AE1722,AJ1722,,AO1722,AT1722),F1722="","")</f>
        <v/>
      </c>
      <c r="BC1722" s="211" t="str" cm="1">
        <f t="array" ref="BC1722">_xlfn.IFS(E1722="","",G1722&lt;=E1722,BB1722*(1-0.03),G1722&lt;(E1722+8),BB1722,AZ1722="Boleto",BB1722*(1+0.001)^DATEDIF(E1722,G1722,"D"),AZ1722="Cheque",BB1722,AZ1722="Dinheiro","Alterar forma pgto")</f>
        <v/>
      </c>
      <c r="BD1722" s="276" t="str" cm="1">
        <f t="array" ref="BD1722">IF(F1722=0," ",IF(BC1722&lt;BB1722,(_xlfn.IFS(AW1722="SIM",SUM(L1722,Q1722,V1722,AA1722,AF1722,AK1722,AP1722,AU1722)+AX1722/_xlfn.XLOOKUP(_xlfn.XLOOKUP($F1722,Clientes!$B$4:$B$39,Clientes!$C$4:$C$39),Cadastros!$L$6:$L$12,Cadastros!$M$6:$M$12)+IF($F1722="Bernardino Furlan",AY1722/2751.92,IF($F1722="Mauro José Salanti",AY1722/2751.92,AY1722/3356)),F1722&lt;&gt;0,SUM(L1722,Q1722,V1722,AA1722,AF1722,AK1722,AP1722,AU1722)))*(1-0.03),_xlfn.IFS(AW1722="SIM",SUM(L1722,Q1722,V1722,AA1722,AF1722,AK1722,AP1722,AU1722)+AX1722/_xlfn.XLOOKUP(_xlfn.XLOOKUP($F1722,Clientes!$B$4:$B$39,Clientes!$C$4:$C$39),Cadastros!$L$6:$L$12,Cadastros!$M$6:$M$12)+IF($F1722="Bernardino Furlan",AY1722/2751.92,IF($F1722="Mauro José Salanti",AY1722/2751.92,AY1722/3356)),F1722&lt;&gt;0,SUM(L1722,Q1722,V1722,AA1722,AF1722,AK1722,AP1722,AU1722))))</f>
        <v xml:space="preserve"> </v>
      </c>
      <c r="BE1722" s="120"/>
      <c r="BF1722" s="120"/>
      <c r="BG1722" s="120"/>
    </row>
    <row r="1723" spans="1:59" s="3" customFormat="1" x14ac:dyDescent="0.3">
      <c r="A1723" s="15" t="str">
        <f t="shared" si="338"/>
        <v/>
      </c>
      <c r="B1723" s="25"/>
      <c r="C1723" s="26"/>
      <c r="D1723" s="279"/>
      <c r="E1723" s="27"/>
      <c r="F1723" s="28"/>
      <c r="G1723" s="27"/>
      <c r="H1723" s="28"/>
      <c r="I1723" s="28"/>
      <c r="J1723" s="255" t="str">
        <f>IF(H1723="","",(_xlfn.XLOOKUP(H1723,Cadastros!$D$6:$D$90,Cadastros!$E$6:$E$90))*(1-_xlfn.XLOOKUP(_xlfn.XLOOKUP($F1723,Clientes!$B$4:$B$39,Clientes!$C$4:$C$39),Cadastros!$L$6:$L$12,Cadastros!$N$6:$N$12)))</f>
        <v/>
      </c>
      <c r="K1723" s="168" t="str">
        <f t="shared" si="339"/>
        <v/>
      </c>
      <c r="L1723" s="168" t="str">
        <f>IFERROR(K1723/_xlfn.XLOOKUP(_xlfn.XLOOKUP($F1723,Clientes!$B$4:$B$39,Clientes!$C$4:$C$39),Cadastros!$L$6:$L$12,Cadastros!$M$6:$M$12)," ")</f>
        <v xml:space="preserve"> </v>
      </c>
      <c r="M1723" s="28"/>
      <c r="N1723" s="28"/>
      <c r="O1723" s="255" t="str">
        <f>IF(M1723="","",(_xlfn.XLOOKUP(M1723,Cadastros!$D$6:$D$90,Cadastros!$E$6:$E$90))*(1-_xlfn.XLOOKUP(_xlfn.XLOOKUP($F1723,Clientes!$B$4:$B$39,Clientes!$C$4:$C$39),Cadastros!$L$6:$L$12,Cadastros!$N$6:$N$12)))</f>
        <v/>
      </c>
      <c r="P1723" s="168" t="str">
        <f t="shared" si="340"/>
        <v/>
      </c>
      <c r="Q1723" s="168" t="str">
        <f>IFERROR(P1723/_xlfn.XLOOKUP(_xlfn.XLOOKUP($F1723,Clientes!$B$4:$B$39,Clientes!$C$4:$C$39),Cadastros!$L$6:$L$12,Cadastros!$M$6:$M$12)," ")</f>
        <v xml:space="preserve"> </v>
      </c>
      <c r="R1723" s="28"/>
      <c r="S1723" s="28"/>
      <c r="T1723" s="255" t="str">
        <f>IF(R1723="","",(_xlfn.XLOOKUP(R1723,Cadastros!$D$6:$D$90,Cadastros!$E$6:$E$90))*(1-_xlfn.XLOOKUP(_xlfn.XLOOKUP($F1723,Clientes!$B$4:$B$39,Clientes!$C$4:$C$39),Cadastros!$L$6:$L$12,Cadastros!$N$6:$N$12)))</f>
        <v/>
      </c>
      <c r="U1723" s="168" t="str">
        <f t="shared" si="341"/>
        <v/>
      </c>
      <c r="V1723" s="168" t="str">
        <f>IFERROR(U1723/_xlfn.XLOOKUP(_xlfn.XLOOKUP($F1723,Clientes!$B$4:$B$39,Clientes!$C$4:$C$39),Cadastros!$L$6:$L$12,Cadastros!$M$6:$M$12)," ")</f>
        <v xml:space="preserve"> </v>
      </c>
      <c r="W1723" s="28"/>
      <c r="X1723" s="28"/>
      <c r="Y1723" s="255" t="str">
        <f>IF(W1723="","",(_xlfn.XLOOKUP(W1723,Cadastros!$D$6:$D$90,Cadastros!$E$6:$E$90))*(1-_xlfn.XLOOKUP(_xlfn.XLOOKUP($F1723,Clientes!$B$4:$B$39,Clientes!$C$4:$C$39),Cadastros!$L$6:$L$12,Cadastros!$N$6:$N$12)))</f>
        <v/>
      </c>
      <c r="Z1723" s="168" t="str">
        <f t="shared" si="342"/>
        <v/>
      </c>
      <c r="AA1723" s="168" t="str">
        <f>IFERROR(Z1723/_xlfn.XLOOKUP(_xlfn.XLOOKUP($F1723,Clientes!$B$4:$B$39,Clientes!$C$4:$C$39),Cadastros!$L$6:$L$12,Cadastros!$M$6:$M$12)," ")</f>
        <v xml:space="preserve"> </v>
      </c>
      <c r="AB1723" s="28"/>
      <c r="AC1723" s="28"/>
      <c r="AD1723" s="20" t="str">
        <f>IF(AB1723="","",IF($F1723="Bernardino Furlan",_xlfn.XLOOKUP(AB1723,Cadastros!$G$6:$G$90,Cadastros!$H$6:$H$90)*(1-0.18),IF($F1723="Mauro José Salanti",_xlfn.XLOOKUP(AB1723,Cadastros!$G$6:$G$90,Cadastros!$H$6:$H$90)*(1-0.18),_xlfn.XLOOKUP(AB1723,Cadastros!$G$6:$G$90,Cadastros!$H$6:$H$90))))</f>
        <v/>
      </c>
      <c r="AE1723" s="168" t="str">
        <f t="shared" si="343"/>
        <v/>
      </c>
      <c r="AF1723" s="168" t="str">
        <f t="shared" si="344"/>
        <v/>
      </c>
      <c r="AG1723" s="28"/>
      <c r="AH1723" s="28"/>
      <c r="AI1723" s="20" t="str">
        <f>IF(AG1723="","",IF($F1723="Bernardino Furlan",_xlfn.XLOOKUP(AG1723,Cadastros!$G$6:$G$90,Cadastros!$H$6:$H$90)*(1-0.18),IF($F1723="Mauro José Salanti",_xlfn.XLOOKUP(AG1723,Cadastros!$G$6:$G$90,Cadastros!$H$6:$H$90)*(1-0.18),_xlfn.XLOOKUP(AG1723,Cadastros!$G$6:$G$90,Cadastros!$H$6:$H$90))))</f>
        <v/>
      </c>
      <c r="AJ1723" s="168" t="str">
        <f t="shared" si="345"/>
        <v/>
      </c>
      <c r="AK1723" s="168" t="str">
        <f t="shared" si="346"/>
        <v/>
      </c>
      <c r="AL1723" s="28"/>
      <c r="AM1723" s="28"/>
      <c r="AN1723" s="20" t="str">
        <f>IF(AL1723="","",IF($F1723="Bernardino Furlan",_xlfn.XLOOKUP(AL1723,Cadastros!$G$6:$G$90,Cadastros!$H$6:$H$90)*(1-0.18),IF($F1723="Mauro José Salanti",_xlfn.XLOOKUP(AL1723,Cadastros!$G$6:$G$90,Cadastros!$H$6:$H$90)*(1-0.18),_xlfn.XLOOKUP(AL1723,Cadastros!$G$6:$G$90,Cadastros!$H$6:$H$90))))</f>
        <v/>
      </c>
      <c r="AO1723" s="168" t="str">
        <f t="shared" si="347"/>
        <v/>
      </c>
      <c r="AP1723" s="168" t="str">
        <f t="shared" si="348"/>
        <v/>
      </c>
      <c r="AQ1723" s="28"/>
      <c r="AR1723" s="28"/>
      <c r="AS1723" s="20" t="str">
        <f>IF(AQ1723="","",IF($F1723="Bernardino Furlan",_xlfn.XLOOKUP(AQ1723,Cadastros!$G$6:$G$90,Cadastros!$H$6:$H$90)*(1-0.18),IF($F1723="Mauro José Salanti",_xlfn.XLOOKUP(AQ1723,Cadastros!$G$6:$G$90,Cadastros!$H$6:$H$90)*(1-0.18),_xlfn.XLOOKUP(AQ1723,Cadastros!$G$6:$G$90,Cadastros!$H$6:$H$90))))</f>
        <v/>
      </c>
      <c r="AT1723" s="168" t="str">
        <f t="shared" si="349"/>
        <v/>
      </c>
      <c r="AU1723" s="168" t="str">
        <f t="shared" si="350"/>
        <v/>
      </c>
      <c r="AV1723" s="227"/>
      <c r="AW1723" s="30"/>
      <c r="AX1723" s="267"/>
      <c r="AY1723" s="267"/>
      <c r="AZ1723" s="29"/>
      <c r="BA1723" s="30"/>
      <c r="BB1723" s="23" t="str" cm="1">
        <f t="array" ref="BB1723">_xlfn.IFS(AW1723="SIM",SUM(K1723,P1723,U1723,Z1723,AE1723,AJ1723,AO1723,AT1723,AX1723,AY1723),F1723&lt;&gt;"",SUM(K1723,P1723,U1723,Z1723,AE1723,AJ1723,,AO1723,AT1723),F1723="","")</f>
        <v/>
      </c>
      <c r="BC1723" s="211" t="str" cm="1">
        <f t="array" ref="BC1723">_xlfn.IFS(E1723="","",G1723&lt;=E1723,BB1723*(1-0.03),G1723&lt;(E1723+8),BB1723,AZ1723="Boleto",BB1723*(1+0.001)^DATEDIF(E1723,G1723,"D"),AZ1723="Cheque",BB1723,AZ1723="Dinheiro","Alterar forma pgto")</f>
        <v/>
      </c>
      <c r="BD1723" s="276" t="str" cm="1">
        <f t="array" ref="BD1723">IF(F1723=0," ",IF(BC1723&lt;BB1723,(_xlfn.IFS(AW1723="SIM",SUM(L1723,Q1723,V1723,AA1723,AF1723,AK1723,AP1723,AU1723)+AX1723/_xlfn.XLOOKUP(_xlfn.XLOOKUP($F1723,Clientes!$B$4:$B$39,Clientes!$C$4:$C$39),Cadastros!$L$6:$L$12,Cadastros!$M$6:$M$12)+IF($F1723="Bernardino Furlan",AY1723/2751.92,IF($F1723="Mauro José Salanti",AY1723/2751.92,AY1723/3356)),F1723&lt;&gt;0,SUM(L1723,Q1723,V1723,AA1723,AF1723,AK1723,AP1723,AU1723)))*(1-0.03),_xlfn.IFS(AW1723="SIM",SUM(L1723,Q1723,V1723,AA1723,AF1723,AK1723,AP1723,AU1723)+AX1723/_xlfn.XLOOKUP(_xlfn.XLOOKUP($F1723,Clientes!$B$4:$B$39,Clientes!$C$4:$C$39),Cadastros!$L$6:$L$12,Cadastros!$M$6:$M$12)+IF($F1723="Bernardino Furlan",AY1723/2751.92,IF($F1723="Mauro José Salanti",AY1723/2751.92,AY1723/3356)),F1723&lt;&gt;0,SUM(L1723,Q1723,V1723,AA1723,AF1723,AK1723,AP1723,AU1723))))</f>
        <v xml:space="preserve"> </v>
      </c>
      <c r="BE1723" s="120"/>
      <c r="BF1723" s="120"/>
      <c r="BG1723" s="120"/>
    </row>
    <row r="1724" spans="1:59" s="3" customFormat="1" x14ac:dyDescent="0.3">
      <c r="A1724" s="15" t="str">
        <f t="shared" si="338"/>
        <v/>
      </c>
      <c r="B1724" s="25"/>
      <c r="C1724" s="26"/>
      <c r="D1724" s="279"/>
      <c r="E1724" s="27"/>
      <c r="F1724" s="28"/>
      <c r="G1724" s="27"/>
      <c r="H1724" s="28"/>
      <c r="I1724" s="28"/>
      <c r="J1724" s="255" t="str">
        <f>IF(H1724="","",(_xlfn.XLOOKUP(H1724,Cadastros!$D$6:$D$90,Cadastros!$E$6:$E$90))*(1-_xlfn.XLOOKUP(_xlfn.XLOOKUP($F1724,Clientes!$B$4:$B$39,Clientes!$C$4:$C$39),Cadastros!$L$6:$L$12,Cadastros!$N$6:$N$12)))</f>
        <v/>
      </c>
      <c r="K1724" s="168" t="str">
        <f t="shared" si="339"/>
        <v/>
      </c>
      <c r="L1724" s="168" t="str">
        <f>IFERROR(K1724/_xlfn.XLOOKUP(_xlfn.XLOOKUP($F1724,Clientes!$B$4:$B$39,Clientes!$C$4:$C$39),Cadastros!$L$6:$L$12,Cadastros!$M$6:$M$12)," ")</f>
        <v xml:space="preserve"> </v>
      </c>
      <c r="M1724" s="28"/>
      <c r="N1724" s="28"/>
      <c r="O1724" s="255" t="str">
        <f>IF(M1724="","",(_xlfn.XLOOKUP(M1724,Cadastros!$D$6:$D$90,Cadastros!$E$6:$E$90))*(1-_xlfn.XLOOKUP(_xlfn.XLOOKUP($F1724,Clientes!$B$4:$B$39,Clientes!$C$4:$C$39),Cadastros!$L$6:$L$12,Cadastros!$N$6:$N$12)))</f>
        <v/>
      </c>
      <c r="P1724" s="168" t="str">
        <f t="shared" si="340"/>
        <v/>
      </c>
      <c r="Q1724" s="168" t="str">
        <f>IFERROR(P1724/_xlfn.XLOOKUP(_xlfn.XLOOKUP($F1724,Clientes!$B$4:$B$39,Clientes!$C$4:$C$39),Cadastros!$L$6:$L$12,Cadastros!$M$6:$M$12)," ")</f>
        <v xml:space="preserve"> </v>
      </c>
      <c r="R1724" s="28"/>
      <c r="S1724" s="28"/>
      <c r="T1724" s="255" t="str">
        <f>IF(R1724="","",(_xlfn.XLOOKUP(R1724,Cadastros!$D$6:$D$90,Cadastros!$E$6:$E$90))*(1-_xlfn.XLOOKUP(_xlfn.XLOOKUP($F1724,Clientes!$B$4:$B$39,Clientes!$C$4:$C$39),Cadastros!$L$6:$L$12,Cadastros!$N$6:$N$12)))</f>
        <v/>
      </c>
      <c r="U1724" s="168" t="str">
        <f t="shared" si="341"/>
        <v/>
      </c>
      <c r="V1724" s="168" t="str">
        <f>IFERROR(U1724/_xlfn.XLOOKUP(_xlfn.XLOOKUP($F1724,Clientes!$B$4:$B$39,Clientes!$C$4:$C$39),Cadastros!$L$6:$L$12,Cadastros!$M$6:$M$12)," ")</f>
        <v xml:space="preserve"> </v>
      </c>
      <c r="W1724" s="28"/>
      <c r="X1724" s="28"/>
      <c r="Y1724" s="255" t="str">
        <f>IF(W1724="","",(_xlfn.XLOOKUP(W1724,Cadastros!$D$6:$D$90,Cadastros!$E$6:$E$90))*(1-_xlfn.XLOOKUP(_xlfn.XLOOKUP($F1724,Clientes!$B$4:$B$39,Clientes!$C$4:$C$39),Cadastros!$L$6:$L$12,Cadastros!$N$6:$N$12)))</f>
        <v/>
      </c>
      <c r="Z1724" s="168" t="str">
        <f t="shared" si="342"/>
        <v/>
      </c>
      <c r="AA1724" s="168" t="str">
        <f>IFERROR(Z1724/_xlfn.XLOOKUP(_xlfn.XLOOKUP($F1724,Clientes!$B$4:$B$39,Clientes!$C$4:$C$39),Cadastros!$L$6:$L$12,Cadastros!$M$6:$M$12)," ")</f>
        <v xml:space="preserve"> </v>
      </c>
      <c r="AB1724" s="28"/>
      <c r="AC1724" s="28"/>
      <c r="AD1724" s="20" t="str">
        <f>IF(AB1724="","",IF($F1724="Bernardino Furlan",_xlfn.XLOOKUP(AB1724,Cadastros!$G$6:$G$90,Cadastros!$H$6:$H$90)*(1-0.18),IF($F1724="Mauro José Salanti",_xlfn.XLOOKUP(AB1724,Cadastros!$G$6:$G$90,Cadastros!$H$6:$H$90)*(1-0.18),_xlfn.XLOOKUP(AB1724,Cadastros!$G$6:$G$90,Cadastros!$H$6:$H$90))))</f>
        <v/>
      </c>
      <c r="AE1724" s="168" t="str">
        <f t="shared" si="343"/>
        <v/>
      </c>
      <c r="AF1724" s="168" t="str">
        <f t="shared" si="344"/>
        <v/>
      </c>
      <c r="AG1724" s="28"/>
      <c r="AH1724" s="28"/>
      <c r="AI1724" s="20" t="str">
        <f>IF(AG1724="","",IF($F1724="Bernardino Furlan",_xlfn.XLOOKUP(AG1724,Cadastros!$G$6:$G$90,Cadastros!$H$6:$H$90)*(1-0.18),IF($F1724="Mauro José Salanti",_xlfn.XLOOKUP(AG1724,Cadastros!$G$6:$G$90,Cadastros!$H$6:$H$90)*(1-0.18),_xlfn.XLOOKUP(AG1724,Cadastros!$G$6:$G$90,Cadastros!$H$6:$H$90))))</f>
        <v/>
      </c>
      <c r="AJ1724" s="168" t="str">
        <f t="shared" si="345"/>
        <v/>
      </c>
      <c r="AK1724" s="168" t="str">
        <f t="shared" si="346"/>
        <v/>
      </c>
      <c r="AL1724" s="28"/>
      <c r="AM1724" s="28"/>
      <c r="AN1724" s="20" t="str">
        <f>IF(AL1724="","",IF($F1724="Bernardino Furlan",_xlfn.XLOOKUP(AL1724,Cadastros!$G$6:$G$90,Cadastros!$H$6:$H$90)*(1-0.18),IF($F1724="Mauro José Salanti",_xlfn.XLOOKUP(AL1724,Cadastros!$G$6:$G$90,Cadastros!$H$6:$H$90)*(1-0.18),_xlfn.XLOOKUP(AL1724,Cadastros!$G$6:$G$90,Cadastros!$H$6:$H$90))))</f>
        <v/>
      </c>
      <c r="AO1724" s="168" t="str">
        <f t="shared" si="347"/>
        <v/>
      </c>
      <c r="AP1724" s="168" t="str">
        <f t="shared" si="348"/>
        <v/>
      </c>
      <c r="AQ1724" s="28"/>
      <c r="AR1724" s="28"/>
      <c r="AS1724" s="20" t="str">
        <f>IF(AQ1724="","",IF($F1724="Bernardino Furlan",_xlfn.XLOOKUP(AQ1724,Cadastros!$G$6:$G$90,Cadastros!$H$6:$H$90)*(1-0.18),IF($F1724="Mauro José Salanti",_xlfn.XLOOKUP(AQ1724,Cadastros!$G$6:$G$90,Cadastros!$H$6:$H$90)*(1-0.18),_xlfn.XLOOKUP(AQ1724,Cadastros!$G$6:$G$90,Cadastros!$H$6:$H$90))))</f>
        <v/>
      </c>
      <c r="AT1724" s="168" t="str">
        <f t="shared" si="349"/>
        <v/>
      </c>
      <c r="AU1724" s="168" t="str">
        <f t="shared" si="350"/>
        <v/>
      </c>
      <c r="AV1724" s="227"/>
      <c r="AW1724" s="30"/>
      <c r="AX1724" s="267"/>
      <c r="AY1724" s="267"/>
      <c r="AZ1724" s="29"/>
      <c r="BA1724" s="30"/>
      <c r="BB1724" s="23" t="str" cm="1">
        <f t="array" ref="BB1724">_xlfn.IFS(AW1724="SIM",SUM(K1724,P1724,U1724,Z1724,AE1724,AJ1724,AO1724,AT1724,AX1724,AY1724),F1724&lt;&gt;"",SUM(K1724,P1724,U1724,Z1724,AE1724,AJ1724,,AO1724,AT1724),F1724="","")</f>
        <v/>
      </c>
      <c r="BC1724" s="211" t="str" cm="1">
        <f t="array" ref="BC1724">_xlfn.IFS(E1724="","",G1724&lt;=E1724,BB1724*(1-0.03),G1724&lt;(E1724+8),BB1724,AZ1724="Boleto",BB1724*(1+0.001)^DATEDIF(E1724,G1724,"D"),AZ1724="Cheque",BB1724,AZ1724="Dinheiro","Alterar forma pgto")</f>
        <v/>
      </c>
      <c r="BD1724" s="276" t="str" cm="1">
        <f t="array" ref="BD1724">IF(F1724=0," ",IF(BC1724&lt;BB1724,(_xlfn.IFS(AW1724="SIM",SUM(L1724,Q1724,V1724,AA1724,AF1724,AK1724,AP1724,AU1724)+AX1724/_xlfn.XLOOKUP(_xlfn.XLOOKUP($F1724,Clientes!$B$4:$B$39,Clientes!$C$4:$C$39),Cadastros!$L$6:$L$12,Cadastros!$M$6:$M$12)+IF($F1724="Bernardino Furlan",AY1724/2751.92,IF($F1724="Mauro José Salanti",AY1724/2751.92,AY1724/3356)),F1724&lt;&gt;0,SUM(L1724,Q1724,V1724,AA1724,AF1724,AK1724,AP1724,AU1724)))*(1-0.03),_xlfn.IFS(AW1724="SIM",SUM(L1724,Q1724,V1724,AA1724,AF1724,AK1724,AP1724,AU1724)+AX1724/_xlfn.XLOOKUP(_xlfn.XLOOKUP($F1724,Clientes!$B$4:$B$39,Clientes!$C$4:$C$39),Cadastros!$L$6:$L$12,Cadastros!$M$6:$M$12)+IF($F1724="Bernardino Furlan",AY1724/2751.92,IF($F1724="Mauro José Salanti",AY1724/2751.92,AY1724/3356)),F1724&lt;&gt;0,SUM(L1724,Q1724,V1724,AA1724,AF1724,AK1724,AP1724,AU1724))))</f>
        <v xml:space="preserve"> </v>
      </c>
      <c r="BE1724" s="120"/>
      <c r="BF1724" s="120"/>
      <c r="BG1724" s="120"/>
    </row>
    <row r="1725" spans="1:59" s="3" customFormat="1" x14ac:dyDescent="0.3">
      <c r="A1725" s="15" t="str">
        <f t="shared" si="338"/>
        <v/>
      </c>
      <c r="B1725" s="25"/>
      <c r="C1725" s="26"/>
      <c r="D1725" s="279"/>
      <c r="E1725" s="27"/>
      <c r="F1725" s="28"/>
      <c r="G1725" s="27"/>
      <c r="H1725" s="28"/>
      <c r="I1725" s="28"/>
      <c r="J1725" s="255" t="str">
        <f>IF(H1725="","",(_xlfn.XLOOKUP(H1725,Cadastros!$D$6:$D$90,Cadastros!$E$6:$E$90))*(1-_xlfn.XLOOKUP(_xlfn.XLOOKUP($F1725,Clientes!$B$4:$B$39,Clientes!$C$4:$C$39),Cadastros!$L$6:$L$12,Cadastros!$N$6:$N$12)))</f>
        <v/>
      </c>
      <c r="K1725" s="168" t="str">
        <f t="shared" si="339"/>
        <v/>
      </c>
      <c r="L1725" s="168" t="str">
        <f>IFERROR(K1725/_xlfn.XLOOKUP(_xlfn.XLOOKUP($F1725,Clientes!$B$4:$B$39,Clientes!$C$4:$C$39),Cadastros!$L$6:$L$12,Cadastros!$M$6:$M$12)," ")</f>
        <v xml:space="preserve"> </v>
      </c>
      <c r="M1725" s="28"/>
      <c r="N1725" s="28"/>
      <c r="O1725" s="255" t="str">
        <f>IF(M1725="","",(_xlfn.XLOOKUP(M1725,Cadastros!$D$6:$D$90,Cadastros!$E$6:$E$90))*(1-_xlfn.XLOOKUP(_xlfn.XLOOKUP($F1725,Clientes!$B$4:$B$39,Clientes!$C$4:$C$39),Cadastros!$L$6:$L$12,Cadastros!$N$6:$N$12)))</f>
        <v/>
      </c>
      <c r="P1725" s="168" t="str">
        <f t="shared" si="340"/>
        <v/>
      </c>
      <c r="Q1725" s="168" t="str">
        <f>IFERROR(P1725/_xlfn.XLOOKUP(_xlfn.XLOOKUP($F1725,Clientes!$B$4:$B$39,Clientes!$C$4:$C$39),Cadastros!$L$6:$L$12,Cadastros!$M$6:$M$12)," ")</f>
        <v xml:space="preserve"> </v>
      </c>
      <c r="R1725" s="28"/>
      <c r="S1725" s="28"/>
      <c r="T1725" s="255" t="str">
        <f>IF(R1725="","",(_xlfn.XLOOKUP(R1725,Cadastros!$D$6:$D$90,Cadastros!$E$6:$E$90))*(1-_xlfn.XLOOKUP(_xlfn.XLOOKUP($F1725,Clientes!$B$4:$B$39,Clientes!$C$4:$C$39),Cadastros!$L$6:$L$12,Cadastros!$N$6:$N$12)))</f>
        <v/>
      </c>
      <c r="U1725" s="168" t="str">
        <f t="shared" si="341"/>
        <v/>
      </c>
      <c r="V1725" s="168" t="str">
        <f>IFERROR(U1725/_xlfn.XLOOKUP(_xlfn.XLOOKUP($F1725,Clientes!$B$4:$B$39,Clientes!$C$4:$C$39),Cadastros!$L$6:$L$12,Cadastros!$M$6:$M$12)," ")</f>
        <v xml:space="preserve"> </v>
      </c>
      <c r="W1725" s="28"/>
      <c r="X1725" s="28"/>
      <c r="Y1725" s="255" t="str">
        <f>IF(W1725="","",(_xlfn.XLOOKUP(W1725,Cadastros!$D$6:$D$90,Cadastros!$E$6:$E$90))*(1-_xlfn.XLOOKUP(_xlfn.XLOOKUP($F1725,Clientes!$B$4:$B$39,Clientes!$C$4:$C$39),Cadastros!$L$6:$L$12,Cadastros!$N$6:$N$12)))</f>
        <v/>
      </c>
      <c r="Z1725" s="168" t="str">
        <f t="shared" si="342"/>
        <v/>
      </c>
      <c r="AA1725" s="168" t="str">
        <f>IFERROR(Z1725/_xlfn.XLOOKUP(_xlfn.XLOOKUP($F1725,Clientes!$B$4:$B$39,Clientes!$C$4:$C$39),Cadastros!$L$6:$L$12,Cadastros!$M$6:$M$12)," ")</f>
        <v xml:space="preserve"> </v>
      </c>
      <c r="AB1725" s="28"/>
      <c r="AC1725" s="28"/>
      <c r="AD1725" s="20" t="str">
        <f>IF(AB1725="","",IF($F1725="Bernardino Furlan",_xlfn.XLOOKUP(AB1725,Cadastros!$G$6:$G$90,Cadastros!$H$6:$H$90)*(1-0.18),IF($F1725="Mauro José Salanti",_xlfn.XLOOKUP(AB1725,Cadastros!$G$6:$G$90,Cadastros!$H$6:$H$90)*(1-0.18),_xlfn.XLOOKUP(AB1725,Cadastros!$G$6:$G$90,Cadastros!$H$6:$H$90))))</f>
        <v/>
      </c>
      <c r="AE1725" s="168" t="str">
        <f t="shared" si="343"/>
        <v/>
      </c>
      <c r="AF1725" s="168" t="str">
        <f t="shared" si="344"/>
        <v/>
      </c>
      <c r="AG1725" s="28"/>
      <c r="AH1725" s="28"/>
      <c r="AI1725" s="20" t="str">
        <f>IF(AG1725="","",IF($F1725="Bernardino Furlan",_xlfn.XLOOKUP(AG1725,Cadastros!$G$6:$G$90,Cadastros!$H$6:$H$90)*(1-0.18),IF($F1725="Mauro José Salanti",_xlfn.XLOOKUP(AG1725,Cadastros!$G$6:$G$90,Cadastros!$H$6:$H$90)*(1-0.18),_xlfn.XLOOKUP(AG1725,Cadastros!$G$6:$G$90,Cadastros!$H$6:$H$90))))</f>
        <v/>
      </c>
      <c r="AJ1725" s="168" t="str">
        <f t="shared" si="345"/>
        <v/>
      </c>
      <c r="AK1725" s="168" t="str">
        <f t="shared" si="346"/>
        <v/>
      </c>
      <c r="AL1725" s="28"/>
      <c r="AM1725" s="28"/>
      <c r="AN1725" s="20" t="str">
        <f>IF(AL1725="","",IF($F1725="Bernardino Furlan",_xlfn.XLOOKUP(AL1725,Cadastros!$G$6:$G$90,Cadastros!$H$6:$H$90)*(1-0.18),IF($F1725="Mauro José Salanti",_xlfn.XLOOKUP(AL1725,Cadastros!$G$6:$G$90,Cadastros!$H$6:$H$90)*(1-0.18),_xlfn.XLOOKUP(AL1725,Cadastros!$G$6:$G$90,Cadastros!$H$6:$H$90))))</f>
        <v/>
      </c>
      <c r="AO1725" s="168" t="str">
        <f t="shared" si="347"/>
        <v/>
      </c>
      <c r="AP1725" s="168" t="str">
        <f t="shared" si="348"/>
        <v/>
      </c>
      <c r="AQ1725" s="28"/>
      <c r="AR1725" s="28"/>
      <c r="AS1725" s="20" t="str">
        <f>IF(AQ1725="","",IF($F1725="Bernardino Furlan",_xlfn.XLOOKUP(AQ1725,Cadastros!$G$6:$G$90,Cadastros!$H$6:$H$90)*(1-0.18),IF($F1725="Mauro José Salanti",_xlfn.XLOOKUP(AQ1725,Cadastros!$G$6:$G$90,Cadastros!$H$6:$H$90)*(1-0.18),_xlfn.XLOOKUP(AQ1725,Cadastros!$G$6:$G$90,Cadastros!$H$6:$H$90))))</f>
        <v/>
      </c>
      <c r="AT1725" s="168" t="str">
        <f t="shared" si="349"/>
        <v/>
      </c>
      <c r="AU1725" s="168" t="str">
        <f t="shared" si="350"/>
        <v/>
      </c>
      <c r="AV1725" s="227"/>
      <c r="AW1725" s="30"/>
      <c r="AX1725" s="267"/>
      <c r="AY1725" s="267"/>
      <c r="AZ1725" s="29"/>
      <c r="BA1725" s="30"/>
      <c r="BB1725" s="23" t="str" cm="1">
        <f t="array" ref="BB1725">_xlfn.IFS(AW1725="SIM",SUM(K1725,P1725,U1725,Z1725,AE1725,AJ1725,AO1725,AT1725,AX1725,AY1725),F1725&lt;&gt;"",SUM(K1725,P1725,U1725,Z1725,AE1725,AJ1725,,AO1725,AT1725),F1725="","")</f>
        <v/>
      </c>
      <c r="BC1725" s="211" t="str" cm="1">
        <f t="array" ref="BC1725">_xlfn.IFS(E1725="","",G1725&lt;=E1725,BB1725*(1-0.03),G1725&lt;(E1725+8),BB1725,AZ1725="Boleto",BB1725*(1+0.001)^DATEDIF(E1725,G1725,"D"),AZ1725="Cheque",BB1725,AZ1725="Dinheiro","Alterar forma pgto")</f>
        <v/>
      </c>
      <c r="BD1725" s="276" t="str" cm="1">
        <f t="array" ref="BD1725">IF(F1725=0," ",IF(BC1725&lt;BB1725,(_xlfn.IFS(AW1725="SIM",SUM(L1725,Q1725,V1725,AA1725,AF1725,AK1725,AP1725,AU1725)+AX1725/_xlfn.XLOOKUP(_xlfn.XLOOKUP($F1725,Clientes!$B$4:$B$39,Clientes!$C$4:$C$39),Cadastros!$L$6:$L$12,Cadastros!$M$6:$M$12)+IF($F1725="Bernardino Furlan",AY1725/2751.92,IF($F1725="Mauro José Salanti",AY1725/2751.92,AY1725/3356)),F1725&lt;&gt;0,SUM(L1725,Q1725,V1725,AA1725,AF1725,AK1725,AP1725,AU1725)))*(1-0.03),_xlfn.IFS(AW1725="SIM",SUM(L1725,Q1725,V1725,AA1725,AF1725,AK1725,AP1725,AU1725)+AX1725/_xlfn.XLOOKUP(_xlfn.XLOOKUP($F1725,Clientes!$B$4:$B$39,Clientes!$C$4:$C$39),Cadastros!$L$6:$L$12,Cadastros!$M$6:$M$12)+IF($F1725="Bernardino Furlan",AY1725/2751.92,IF($F1725="Mauro José Salanti",AY1725/2751.92,AY1725/3356)),F1725&lt;&gt;0,SUM(L1725,Q1725,V1725,AA1725,AF1725,AK1725,AP1725,AU1725))))</f>
        <v xml:space="preserve"> </v>
      </c>
      <c r="BE1725" s="120"/>
      <c r="BF1725" s="120"/>
      <c r="BG1725" s="120"/>
    </row>
    <row r="1726" spans="1:59" s="3" customFormat="1" x14ac:dyDescent="0.3">
      <c r="A1726" s="15" t="str">
        <f t="shared" si="338"/>
        <v/>
      </c>
      <c r="B1726" s="25"/>
      <c r="C1726" s="26"/>
      <c r="D1726" s="279"/>
      <c r="E1726" s="27"/>
      <c r="F1726" s="28"/>
      <c r="G1726" s="27"/>
      <c r="H1726" s="28"/>
      <c r="I1726" s="28"/>
      <c r="J1726" s="255" t="str">
        <f>IF(H1726="","",(_xlfn.XLOOKUP(H1726,Cadastros!$D$6:$D$90,Cadastros!$E$6:$E$90))*(1-_xlfn.XLOOKUP(_xlfn.XLOOKUP($F1726,Clientes!$B$4:$B$39,Clientes!$C$4:$C$39),Cadastros!$L$6:$L$12,Cadastros!$N$6:$N$12)))</f>
        <v/>
      </c>
      <c r="K1726" s="168" t="str">
        <f t="shared" si="339"/>
        <v/>
      </c>
      <c r="L1726" s="168" t="str">
        <f>IFERROR(K1726/_xlfn.XLOOKUP(_xlfn.XLOOKUP($F1726,Clientes!$B$4:$B$39,Clientes!$C$4:$C$39),Cadastros!$L$6:$L$12,Cadastros!$M$6:$M$12)," ")</f>
        <v xml:space="preserve"> </v>
      </c>
      <c r="M1726" s="28"/>
      <c r="N1726" s="28"/>
      <c r="O1726" s="255" t="str">
        <f>IF(M1726="","",(_xlfn.XLOOKUP(M1726,Cadastros!$D$6:$D$90,Cadastros!$E$6:$E$90))*(1-_xlfn.XLOOKUP(_xlfn.XLOOKUP($F1726,Clientes!$B$4:$B$39,Clientes!$C$4:$C$39),Cadastros!$L$6:$L$12,Cadastros!$N$6:$N$12)))</f>
        <v/>
      </c>
      <c r="P1726" s="168" t="str">
        <f t="shared" si="340"/>
        <v/>
      </c>
      <c r="Q1726" s="168" t="str">
        <f>IFERROR(P1726/_xlfn.XLOOKUP(_xlfn.XLOOKUP($F1726,Clientes!$B$4:$B$39,Clientes!$C$4:$C$39),Cadastros!$L$6:$L$12,Cadastros!$M$6:$M$12)," ")</f>
        <v xml:space="preserve"> </v>
      </c>
      <c r="R1726" s="28"/>
      <c r="S1726" s="28"/>
      <c r="T1726" s="255" t="str">
        <f>IF(R1726="","",(_xlfn.XLOOKUP(R1726,Cadastros!$D$6:$D$90,Cadastros!$E$6:$E$90))*(1-_xlfn.XLOOKUP(_xlfn.XLOOKUP($F1726,Clientes!$B$4:$B$39,Clientes!$C$4:$C$39),Cadastros!$L$6:$L$12,Cadastros!$N$6:$N$12)))</f>
        <v/>
      </c>
      <c r="U1726" s="168" t="str">
        <f t="shared" si="341"/>
        <v/>
      </c>
      <c r="V1726" s="168" t="str">
        <f>IFERROR(U1726/_xlfn.XLOOKUP(_xlfn.XLOOKUP($F1726,Clientes!$B$4:$B$39,Clientes!$C$4:$C$39),Cadastros!$L$6:$L$12,Cadastros!$M$6:$M$12)," ")</f>
        <v xml:space="preserve"> </v>
      </c>
      <c r="W1726" s="28"/>
      <c r="X1726" s="28"/>
      <c r="Y1726" s="255" t="str">
        <f>IF(W1726="","",(_xlfn.XLOOKUP(W1726,Cadastros!$D$6:$D$90,Cadastros!$E$6:$E$90))*(1-_xlfn.XLOOKUP(_xlfn.XLOOKUP($F1726,Clientes!$B$4:$B$39,Clientes!$C$4:$C$39),Cadastros!$L$6:$L$12,Cadastros!$N$6:$N$12)))</f>
        <v/>
      </c>
      <c r="Z1726" s="168" t="str">
        <f t="shared" si="342"/>
        <v/>
      </c>
      <c r="AA1726" s="168" t="str">
        <f>IFERROR(Z1726/_xlfn.XLOOKUP(_xlfn.XLOOKUP($F1726,Clientes!$B$4:$B$39,Clientes!$C$4:$C$39),Cadastros!$L$6:$L$12,Cadastros!$M$6:$M$12)," ")</f>
        <v xml:space="preserve"> </v>
      </c>
      <c r="AB1726" s="28"/>
      <c r="AC1726" s="28"/>
      <c r="AD1726" s="20" t="str">
        <f>IF(AB1726="","",IF($F1726="Bernardino Furlan",_xlfn.XLOOKUP(AB1726,Cadastros!$G$6:$G$90,Cadastros!$H$6:$H$90)*(1-0.18),IF($F1726="Mauro José Salanti",_xlfn.XLOOKUP(AB1726,Cadastros!$G$6:$G$90,Cadastros!$H$6:$H$90)*(1-0.18),_xlfn.XLOOKUP(AB1726,Cadastros!$G$6:$G$90,Cadastros!$H$6:$H$90))))</f>
        <v/>
      </c>
      <c r="AE1726" s="168" t="str">
        <f t="shared" si="343"/>
        <v/>
      </c>
      <c r="AF1726" s="168" t="str">
        <f t="shared" si="344"/>
        <v/>
      </c>
      <c r="AG1726" s="28"/>
      <c r="AH1726" s="28"/>
      <c r="AI1726" s="20" t="str">
        <f>IF(AG1726="","",IF($F1726="Bernardino Furlan",_xlfn.XLOOKUP(AG1726,Cadastros!$G$6:$G$90,Cadastros!$H$6:$H$90)*(1-0.18),IF($F1726="Mauro José Salanti",_xlfn.XLOOKUP(AG1726,Cadastros!$G$6:$G$90,Cadastros!$H$6:$H$90)*(1-0.18),_xlfn.XLOOKUP(AG1726,Cadastros!$G$6:$G$90,Cadastros!$H$6:$H$90))))</f>
        <v/>
      </c>
      <c r="AJ1726" s="168" t="str">
        <f t="shared" si="345"/>
        <v/>
      </c>
      <c r="AK1726" s="168" t="str">
        <f t="shared" si="346"/>
        <v/>
      </c>
      <c r="AL1726" s="28"/>
      <c r="AM1726" s="28"/>
      <c r="AN1726" s="20" t="str">
        <f>IF(AL1726="","",IF($F1726="Bernardino Furlan",_xlfn.XLOOKUP(AL1726,Cadastros!$G$6:$G$90,Cadastros!$H$6:$H$90)*(1-0.18),IF($F1726="Mauro José Salanti",_xlfn.XLOOKUP(AL1726,Cadastros!$G$6:$G$90,Cadastros!$H$6:$H$90)*(1-0.18),_xlfn.XLOOKUP(AL1726,Cadastros!$G$6:$G$90,Cadastros!$H$6:$H$90))))</f>
        <v/>
      </c>
      <c r="AO1726" s="168" t="str">
        <f t="shared" si="347"/>
        <v/>
      </c>
      <c r="AP1726" s="168" t="str">
        <f t="shared" si="348"/>
        <v/>
      </c>
      <c r="AQ1726" s="28"/>
      <c r="AR1726" s="28"/>
      <c r="AS1726" s="20" t="str">
        <f>IF(AQ1726="","",IF($F1726="Bernardino Furlan",_xlfn.XLOOKUP(AQ1726,Cadastros!$G$6:$G$90,Cadastros!$H$6:$H$90)*(1-0.18),IF($F1726="Mauro José Salanti",_xlfn.XLOOKUP(AQ1726,Cadastros!$G$6:$G$90,Cadastros!$H$6:$H$90)*(1-0.18),_xlfn.XLOOKUP(AQ1726,Cadastros!$G$6:$G$90,Cadastros!$H$6:$H$90))))</f>
        <v/>
      </c>
      <c r="AT1726" s="168" t="str">
        <f t="shared" si="349"/>
        <v/>
      </c>
      <c r="AU1726" s="168" t="str">
        <f t="shared" si="350"/>
        <v/>
      </c>
      <c r="AV1726" s="227"/>
      <c r="AW1726" s="30"/>
      <c r="AX1726" s="267"/>
      <c r="AY1726" s="267"/>
      <c r="AZ1726" s="29"/>
      <c r="BA1726" s="30"/>
      <c r="BB1726" s="23" t="str" cm="1">
        <f t="array" ref="BB1726">_xlfn.IFS(AW1726="SIM",SUM(K1726,P1726,U1726,Z1726,AE1726,AJ1726,AO1726,AT1726,AX1726,AY1726),F1726&lt;&gt;"",SUM(K1726,P1726,U1726,Z1726,AE1726,AJ1726,,AO1726,AT1726),F1726="","")</f>
        <v/>
      </c>
      <c r="BC1726" s="211" t="str" cm="1">
        <f t="array" ref="BC1726">_xlfn.IFS(E1726="","",G1726&lt;=E1726,BB1726*(1-0.03),G1726&lt;(E1726+8),BB1726,AZ1726="Boleto",BB1726*(1+0.001)^DATEDIF(E1726,G1726,"D"),AZ1726="Cheque",BB1726,AZ1726="Dinheiro","Alterar forma pgto")</f>
        <v/>
      </c>
      <c r="BD1726" s="276" t="str" cm="1">
        <f t="array" ref="BD1726">IF(F1726=0," ",IF(BC1726&lt;BB1726,(_xlfn.IFS(AW1726="SIM",SUM(L1726,Q1726,V1726,AA1726,AF1726,AK1726,AP1726,AU1726)+AX1726/_xlfn.XLOOKUP(_xlfn.XLOOKUP($F1726,Clientes!$B$4:$B$39,Clientes!$C$4:$C$39),Cadastros!$L$6:$L$12,Cadastros!$M$6:$M$12)+IF($F1726="Bernardino Furlan",AY1726/2751.92,IF($F1726="Mauro José Salanti",AY1726/2751.92,AY1726/3356)),F1726&lt;&gt;0,SUM(L1726,Q1726,V1726,AA1726,AF1726,AK1726,AP1726,AU1726)))*(1-0.03),_xlfn.IFS(AW1726="SIM",SUM(L1726,Q1726,V1726,AA1726,AF1726,AK1726,AP1726,AU1726)+AX1726/_xlfn.XLOOKUP(_xlfn.XLOOKUP($F1726,Clientes!$B$4:$B$39,Clientes!$C$4:$C$39),Cadastros!$L$6:$L$12,Cadastros!$M$6:$M$12)+IF($F1726="Bernardino Furlan",AY1726/2751.92,IF($F1726="Mauro José Salanti",AY1726/2751.92,AY1726/3356)),F1726&lt;&gt;0,SUM(L1726,Q1726,V1726,AA1726,AF1726,AK1726,AP1726,AU1726))))</f>
        <v xml:space="preserve"> </v>
      </c>
      <c r="BE1726" s="120"/>
      <c r="BF1726" s="120"/>
      <c r="BG1726" s="120"/>
    </row>
    <row r="1727" spans="1:59" s="3" customFormat="1" x14ac:dyDescent="0.3">
      <c r="A1727" s="15" t="str">
        <f t="shared" si="338"/>
        <v/>
      </c>
      <c r="B1727" s="25"/>
      <c r="C1727" s="26"/>
      <c r="D1727" s="279"/>
      <c r="E1727" s="27"/>
      <c r="F1727" s="28"/>
      <c r="G1727" s="27"/>
      <c r="H1727" s="28"/>
      <c r="I1727" s="28"/>
      <c r="J1727" s="255" t="str">
        <f>IF(H1727="","",(_xlfn.XLOOKUP(H1727,Cadastros!$D$6:$D$90,Cadastros!$E$6:$E$90))*(1-_xlfn.XLOOKUP(_xlfn.XLOOKUP($F1727,Clientes!$B$4:$B$39,Clientes!$C$4:$C$39),Cadastros!$L$6:$L$12,Cadastros!$N$6:$N$12)))</f>
        <v/>
      </c>
      <c r="K1727" s="168" t="str">
        <f t="shared" si="339"/>
        <v/>
      </c>
      <c r="L1727" s="168" t="str">
        <f>IFERROR(K1727/_xlfn.XLOOKUP(_xlfn.XLOOKUP($F1727,Clientes!$B$4:$B$39,Clientes!$C$4:$C$39),Cadastros!$L$6:$L$12,Cadastros!$M$6:$M$12)," ")</f>
        <v xml:space="preserve"> </v>
      </c>
      <c r="M1727" s="28"/>
      <c r="N1727" s="28"/>
      <c r="O1727" s="255" t="str">
        <f>IF(M1727="","",(_xlfn.XLOOKUP(M1727,Cadastros!$D$6:$D$90,Cadastros!$E$6:$E$90))*(1-_xlfn.XLOOKUP(_xlfn.XLOOKUP($F1727,Clientes!$B$4:$B$39,Clientes!$C$4:$C$39),Cadastros!$L$6:$L$12,Cadastros!$N$6:$N$12)))</f>
        <v/>
      </c>
      <c r="P1727" s="168" t="str">
        <f t="shared" si="340"/>
        <v/>
      </c>
      <c r="Q1727" s="168" t="str">
        <f>IFERROR(P1727/_xlfn.XLOOKUP(_xlfn.XLOOKUP($F1727,Clientes!$B$4:$B$39,Clientes!$C$4:$C$39),Cadastros!$L$6:$L$12,Cadastros!$M$6:$M$12)," ")</f>
        <v xml:space="preserve"> </v>
      </c>
      <c r="R1727" s="28"/>
      <c r="S1727" s="28"/>
      <c r="T1727" s="255" t="str">
        <f>IF(R1727="","",(_xlfn.XLOOKUP(R1727,Cadastros!$D$6:$D$90,Cadastros!$E$6:$E$90))*(1-_xlfn.XLOOKUP(_xlfn.XLOOKUP($F1727,Clientes!$B$4:$B$39,Clientes!$C$4:$C$39),Cadastros!$L$6:$L$12,Cadastros!$N$6:$N$12)))</f>
        <v/>
      </c>
      <c r="U1727" s="168" t="str">
        <f t="shared" si="341"/>
        <v/>
      </c>
      <c r="V1727" s="168" t="str">
        <f>IFERROR(U1727/_xlfn.XLOOKUP(_xlfn.XLOOKUP($F1727,Clientes!$B$4:$B$39,Clientes!$C$4:$C$39),Cadastros!$L$6:$L$12,Cadastros!$M$6:$M$12)," ")</f>
        <v xml:space="preserve"> </v>
      </c>
      <c r="W1727" s="28"/>
      <c r="X1727" s="28"/>
      <c r="Y1727" s="255" t="str">
        <f>IF(W1727="","",(_xlfn.XLOOKUP(W1727,Cadastros!$D$6:$D$90,Cadastros!$E$6:$E$90))*(1-_xlfn.XLOOKUP(_xlfn.XLOOKUP($F1727,Clientes!$B$4:$B$39,Clientes!$C$4:$C$39),Cadastros!$L$6:$L$12,Cadastros!$N$6:$N$12)))</f>
        <v/>
      </c>
      <c r="Z1727" s="168" t="str">
        <f t="shared" si="342"/>
        <v/>
      </c>
      <c r="AA1727" s="168" t="str">
        <f>IFERROR(Z1727/_xlfn.XLOOKUP(_xlfn.XLOOKUP($F1727,Clientes!$B$4:$B$39,Clientes!$C$4:$C$39),Cadastros!$L$6:$L$12,Cadastros!$M$6:$M$12)," ")</f>
        <v xml:space="preserve"> </v>
      </c>
      <c r="AB1727" s="28"/>
      <c r="AC1727" s="28"/>
      <c r="AD1727" s="20" t="str">
        <f>IF(AB1727="","",IF($F1727="Bernardino Furlan",_xlfn.XLOOKUP(AB1727,Cadastros!$G$6:$G$90,Cadastros!$H$6:$H$90)*(1-0.18),IF($F1727="Mauro José Salanti",_xlfn.XLOOKUP(AB1727,Cadastros!$G$6:$G$90,Cadastros!$H$6:$H$90)*(1-0.18),_xlfn.XLOOKUP(AB1727,Cadastros!$G$6:$G$90,Cadastros!$H$6:$H$90))))</f>
        <v/>
      </c>
      <c r="AE1727" s="168" t="str">
        <f t="shared" si="343"/>
        <v/>
      </c>
      <c r="AF1727" s="168" t="str">
        <f t="shared" si="344"/>
        <v/>
      </c>
      <c r="AG1727" s="28"/>
      <c r="AH1727" s="28"/>
      <c r="AI1727" s="20" t="str">
        <f>IF(AG1727="","",IF($F1727="Bernardino Furlan",_xlfn.XLOOKUP(AG1727,Cadastros!$G$6:$G$90,Cadastros!$H$6:$H$90)*(1-0.18),IF($F1727="Mauro José Salanti",_xlfn.XLOOKUP(AG1727,Cadastros!$G$6:$G$90,Cadastros!$H$6:$H$90)*(1-0.18),_xlfn.XLOOKUP(AG1727,Cadastros!$G$6:$G$90,Cadastros!$H$6:$H$90))))</f>
        <v/>
      </c>
      <c r="AJ1727" s="168" t="str">
        <f t="shared" si="345"/>
        <v/>
      </c>
      <c r="AK1727" s="168" t="str">
        <f t="shared" si="346"/>
        <v/>
      </c>
      <c r="AL1727" s="28"/>
      <c r="AM1727" s="28"/>
      <c r="AN1727" s="20" t="str">
        <f>IF(AL1727="","",IF($F1727="Bernardino Furlan",_xlfn.XLOOKUP(AL1727,Cadastros!$G$6:$G$90,Cadastros!$H$6:$H$90)*(1-0.18),IF($F1727="Mauro José Salanti",_xlfn.XLOOKUP(AL1727,Cadastros!$G$6:$G$90,Cadastros!$H$6:$H$90)*(1-0.18),_xlfn.XLOOKUP(AL1727,Cadastros!$G$6:$G$90,Cadastros!$H$6:$H$90))))</f>
        <v/>
      </c>
      <c r="AO1727" s="168" t="str">
        <f t="shared" si="347"/>
        <v/>
      </c>
      <c r="AP1727" s="168" t="str">
        <f t="shared" si="348"/>
        <v/>
      </c>
      <c r="AQ1727" s="28"/>
      <c r="AR1727" s="28"/>
      <c r="AS1727" s="20" t="str">
        <f>IF(AQ1727="","",IF($F1727="Bernardino Furlan",_xlfn.XLOOKUP(AQ1727,Cadastros!$G$6:$G$90,Cadastros!$H$6:$H$90)*(1-0.18),IF($F1727="Mauro José Salanti",_xlfn.XLOOKUP(AQ1727,Cadastros!$G$6:$G$90,Cadastros!$H$6:$H$90)*(1-0.18),_xlfn.XLOOKUP(AQ1727,Cadastros!$G$6:$G$90,Cadastros!$H$6:$H$90))))</f>
        <v/>
      </c>
      <c r="AT1727" s="168" t="str">
        <f t="shared" si="349"/>
        <v/>
      </c>
      <c r="AU1727" s="168" t="str">
        <f t="shared" si="350"/>
        <v/>
      </c>
      <c r="AV1727" s="227"/>
      <c r="AW1727" s="30"/>
      <c r="AX1727" s="267"/>
      <c r="AY1727" s="267"/>
      <c r="AZ1727" s="29"/>
      <c r="BA1727" s="30"/>
      <c r="BB1727" s="23" t="str" cm="1">
        <f t="array" ref="BB1727">_xlfn.IFS(AW1727="SIM",SUM(K1727,P1727,U1727,Z1727,AE1727,AJ1727,AO1727,AT1727,AX1727,AY1727),F1727&lt;&gt;"",SUM(K1727,P1727,U1727,Z1727,AE1727,AJ1727,,AO1727,AT1727),F1727="","")</f>
        <v/>
      </c>
      <c r="BC1727" s="211" t="str" cm="1">
        <f t="array" ref="BC1727">_xlfn.IFS(E1727="","",G1727&lt;=E1727,BB1727*(1-0.03),G1727&lt;(E1727+8),BB1727,AZ1727="Boleto",BB1727*(1+0.001)^DATEDIF(E1727,G1727,"D"),AZ1727="Cheque",BB1727,AZ1727="Dinheiro","Alterar forma pgto")</f>
        <v/>
      </c>
      <c r="BD1727" s="276" t="str" cm="1">
        <f t="array" ref="BD1727">IF(F1727=0," ",IF(BC1727&lt;BB1727,(_xlfn.IFS(AW1727="SIM",SUM(L1727,Q1727,V1727,AA1727,AF1727,AK1727,AP1727,AU1727)+AX1727/_xlfn.XLOOKUP(_xlfn.XLOOKUP($F1727,Clientes!$B$4:$B$39,Clientes!$C$4:$C$39),Cadastros!$L$6:$L$12,Cadastros!$M$6:$M$12)+IF($F1727="Bernardino Furlan",AY1727/2751.92,IF($F1727="Mauro José Salanti",AY1727/2751.92,AY1727/3356)),F1727&lt;&gt;0,SUM(L1727,Q1727,V1727,AA1727,AF1727,AK1727,AP1727,AU1727)))*(1-0.03),_xlfn.IFS(AW1727="SIM",SUM(L1727,Q1727,V1727,AA1727,AF1727,AK1727,AP1727,AU1727)+AX1727/_xlfn.XLOOKUP(_xlfn.XLOOKUP($F1727,Clientes!$B$4:$B$39,Clientes!$C$4:$C$39),Cadastros!$L$6:$L$12,Cadastros!$M$6:$M$12)+IF($F1727="Bernardino Furlan",AY1727/2751.92,IF($F1727="Mauro José Salanti",AY1727/2751.92,AY1727/3356)),F1727&lt;&gt;0,SUM(L1727,Q1727,V1727,AA1727,AF1727,AK1727,AP1727,AU1727))))</f>
        <v xml:space="preserve"> </v>
      </c>
      <c r="BE1727" s="120"/>
      <c r="BF1727" s="120"/>
      <c r="BG1727" s="120"/>
    </row>
    <row r="1728" spans="1:59" s="3" customFormat="1" x14ac:dyDescent="0.3">
      <c r="A1728" s="15" t="str">
        <f t="shared" si="338"/>
        <v/>
      </c>
      <c r="B1728" s="25"/>
      <c r="C1728" s="26"/>
      <c r="D1728" s="279"/>
      <c r="E1728" s="27"/>
      <c r="F1728" s="28"/>
      <c r="G1728" s="27"/>
      <c r="H1728" s="28"/>
      <c r="I1728" s="28"/>
      <c r="J1728" s="255" t="str">
        <f>IF(H1728="","",(_xlfn.XLOOKUP(H1728,Cadastros!$D$6:$D$90,Cadastros!$E$6:$E$90))*(1-_xlfn.XLOOKUP(_xlfn.XLOOKUP($F1728,Clientes!$B$4:$B$39,Clientes!$C$4:$C$39),Cadastros!$L$6:$L$12,Cadastros!$N$6:$N$12)))</f>
        <v/>
      </c>
      <c r="K1728" s="168" t="str">
        <f t="shared" si="339"/>
        <v/>
      </c>
      <c r="L1728" s="168" t="str">
        <f>IFERROR(K1728/_xlfn.XLOOKUP(_xlfn.XLOOKUP($F1728,Clientes!$B$4:$B$39,Clientes!$C$4:$C$39),Cadastros!$L$6:$L$12,Cadastros!$M$6:$M$12)," ")</f>
        <v xml:space="preserve"> </v>
      </c>
      <c r="M1728" s="28"/>
      <c r="N1728" s="28"/>
      <c r="O1728" s="255" t="str">
        <f>IF(M1728="","",(_xlfn.XLOOKUP(M1728,Cadastros!$D$6:$D$90,Cadastros!$E$6:$E$90))*(1-_xlfn.XLOOKUP(_xlfn.XLOOKUP($F1728,Clientes!$B$4:$B$39,Clientes!$C$4:$C$39),Cadastros!$L$6:$L$12,Cadastros!$N$6:$N$12)))</f>
        <v/>
      </c>
      <c r="P1728" s="168" t="str">
        <f t="shared" si="340"/>
        <v/>
      </c>
      <c r="Q1728" s="168" t="str">
        <f>IFERROR(P1728/_xlfn.XLOOKUP(_xlfn.XLOOKUP($F1728,Clientes!$B$4:$B$39,Clientes!$C$4:$C$39),Cadastros!$L$6:$L$12,Cadastros!$M$6:$M$12)," ")</f>
        <v xml:space="preserve"> </v>
      </c>
      <c r="R1728" s="28"/>
      <c r="S1728" s="28"/>
      <c r="T1728" s="255" t="str">
        <f>IF(R1728="","",(_xlfn.XLOOKUP(R1728,Cadastros!$D$6:$D$90,Cadastros!$E$6:$E$90))*(1-_xlfn.XLOOKUP(_xlfn.XLOOKUP($F1728,Clientes!$B$4:$B$39,Clientes!$C$4:$C$39),Cadastros!$L$6:$L$12,Cadastros!$N$6:$N$12)))</f>
        <v/>
      </c>
      <c r="U1728" s="168" t="str">
        <f t="shared" si="341"/>
        <v/>
      </c>
      <c r="V1728" s="168" t="str">
        <f>IFERROR(U1728/_xlfn.XLOOKUP(_xlfn.XLOOKUP($F1728,Clientes!$B$4:$B$39,Clientes!$C$4:$C$39),Cadastros!$L$6:$L$12,Cadastros!$M$6:$M$12)," ")</f>
        <v xml:space="preserve"> </v>
      </c>
      <c r="W1728" s="28"/>
      <c r="X1728" s="28"/>
      <c r="Y1728" s="255" t="str">
        <f>IF(W1728="","",(_xlfn.XLOOKUP(W1728,Cadastros!$D$6:$D$90,Cadastros!$E$6:$E$90))*(1-_xlfn.XLOOKUP(_xlfn.XLOOKUP($F1728,Clientes!$B$4:$B$39,Clientes!$C$4:$C$39),Cadastros!$L$6:$L$12,Cadastros!$N$6:$N$12)))</f>
        <v/>
      </c>
      <c r="Z1728" s="168" t="str">
        <f t="shared" si="342"/>
        <v/>
      </c>
      <c r="AA1728" s="168" t="str">
        <f>IFERROR(Z1728/_xlfn.XLOOKUP(_xlfn.XLOOKUP($F1728,Clientes!$B$4:$B$39,Clientes!$C$4:$C$39),Cadastros!$L$6:$L$12,Cadastros!$M$6:$M$12)," ")</f>
        <v xml:space="preserve"> </v>
      </c>
      <c r="AB1728" s="28"/>
      <c r="AC1728" s="28"/>
      <c r="AD1728" s="20" t="str">
        <f>IF(AB1728="","",IF($F1728="Bernardino Furlan",_xlfn.XLOOKUP(AB1728,Cadastros!$G$6:$G$90,Cadastros!$H$6:$H$90)*(1-0.18),IF($F1728="Mauro José Salanti",_xlfn.XLOOKUP(AB1728,Cadastros!$G$6:$G$90,Cadastros!$H$6:$H$90)*(1-0.18),_xlfn.XLOOKUP(AB1728,Cadastros!$G$6:$G$90,Cadastros!$H$6:$H$90))))</f>
        <v/>
      </c>
      <c r="AE1728" s="168" t="str">
        <f t="shared" si="343"/>
        <v/>
      </c>
      <c r="AF1728" s="168" t="str">
        <f t="shared" si="344"/>
        <v/>
      </c>
      <c r="AG1728" s="28"/>
      <c r="AH1728" s="28"/>
      <c r="AI1728" s="20" t="str">
        <f>IF(AG1728="","",IF($F1728="Bernardino Furlan",_xlfn.XLOOKUP(AG1728,Cadastros!$G$6:$G$90,Cadastros!$H$6:$H$90)*(1-0.18),IF($F1728="Mauro José Salanti",_xlfn.XLOOKUP(AG1728,Cadastros!$G$6:$G$90,Cadastros!$H$6:$H$90)*(1-0.18),_xlfn.XLOOKUP(AG1728,Cadastros!$G$6:$G$90,Cadastros!$H$6:$H$90))))</f>
        <v/>
      </c>
      <c r="AJ1728" s="168" t="str">
        <f t="shared" si="345"/>
        <v/>
      </c>
      <c r="AK1728" s="168" t="str">
        <f t="shared" si="346"/>
        <v/>
      </c>
      <c r="AL1728" s="28"/>
      <c r="AM1728" s="28"/>
      <c r="AN1728" s="20" t="str">
        <f>IF(AL1728="","",IF($F1728="Bernardino Furlan",_xlfn.XLOOKUP(AL1728,Cadastros!$G$6:$G$90,Cadastros!$H$6:$H$90)*(1-0.18),IF($F1728="Mauro José Salanti",_xlfn.XLOOKUP(AL1728,Cadastros!$G$6:$G$90,Cadastros!$H$6:$H$90)*(1-0.18),_xlfn.XLOOKUP(AL1728,Cadastros!$G$6:$G$90,Cadastros!$H$6:$H$90))))</f>
        <v/>
      </c>
      <c r="AO1728" s="168" t="str">
        <f t="shared" si="347"/>
        <v/>
      </c>
      <c r="AP1728" s="168" t="str">
        <f t="shared" si="348"/>
        <v/>
      </c>
      <c r="AQ1728" s="28"/>
      <c r="AR1728" s="28"/>
      <c r="AS1728" s="20" t="str">
        <f>IF(AQ1728="","",IF($F1728="Bernardino Furlan",_xlfn.XLOOKUP(AQ1728,Cadastros!$G$6:$G$90,Cadastros!$H$6:$H$90)*(1-0.18),IF($F1728="Mauro José Salanti",_xlfn.XLOOKUP(AQ1728,Cadastros!$G$6:$G$90,Cadastros!$H$6:$H$90)*(1-0.18),_xlfn.XLOOKUP(AQ1728,Cadastros!$G$6:$G$90,Cadastros!$H$6:$H$90))))</f>
        <v/>
      </c>
      <c r="AT1728" s="168" t="str">
        <f t="shared" si="349"/>
        <v/>
      </c>
      <c r="AU1728" s="168" t="str">
        <f t="shared" si="350"/>
        <v/>
      </c>
      <c r="AV1728" s="227"/>
      <c r="AW1728" s="30"/>
      <c r="AX1728" s="267"/>
      <c r="AY1728" s="267"/>
      <c r="AZ1728" s="29"/>
      <c r="BA1728" s="30"/>
      <c r="BB1728" s="23" t="str" cm="1">
        <f t="array" ref="BB1728">_xlfn.IFS(AW1728="SIM",SUM(K1728,P1728,U1728,Z1728,AE1728,AJ1728,AO1728,AT1728,AX1728,AY1728),F1728&lt;&gt;"",SUM(K1728,P1728,U1728,Z1728,AE1728,AJ1728,,AO1728,AT1728),F1728="","")</f>
        <v/>
      </c>
      <c r="BC1728" s="211" t="str" cm="1">
        <f t="array" ref="BC1728">_xlfn.IFS(E1728="","",G1728&lt;=E1728,BB1728*(1-0.03),G1728&lt;(E1728+8),BB1728,AZ1728="Boleto",BB1728*(1+0.001)^DATEDIF(E1728,G1728,"D"),AZ1728="Cheque",BB1728,AZ1728="Dinheiro","Alterar forma pgto")</f>
        <v/>
      </c>
      <c r="BD1728" s="276" t="str" cm="1">
        <f t="array" ref="BD1728">IF(F1728=0," ",IF(BC1728&lt;BB1728,(_xlfn.IFS(AW1728="SIM",SUM(L1728,Q1728,V1728,AA1728,AF1728,AK1728,AP1728,AU1728)+AX1728/_xlfn.XLOOKUP(_xlfn.XLOOKUP($F1728,Clientes!$B$4:$B$39,Clientes!$C$4:$C$39),Cadastros!$L$6:$L$12,Cadastros!$M$6:$M$12)+IF($F1728="Bernardino Furlan",AY1728/2751.92,IF($F1728="Mauro José Salanti",AY1728/2751.92,AY1728/3356)),F1728&lt;&gt;0,SUM(L1728,Q1728,V1728,AA1728,AF1728,AK1728,AP1728,AU1728)))*(1-0.03),_xlfn.IFS(AW1728="SIM",SUM(L1728,Q1728,V1728,AA1728,AF1728,AK1728,AP1728,AU1728)+AX1728/_xlfn.XLOOKUP(_xlfn.XLOOKUP($F1728,Clientes!$B$4:$B$39,Clientes!$C$4:$C$39),Cadastros!$L$6:$L$12,Cadastros!$M$6:$M$12)+IF($F1728="Bernardino Furlan",AY1728/2751.92,IF($F1728="Mauro José Salanti",AY1728/2751.92,AY1728/3356)),F1728&lt;&gt;0,SUM(L1728,Q1728,V1728,AA1728,AF1728,AK1728,AP1728,AU1728))))</f>
        <v xml:space="preserve"> </v>
      </c>
      <c r="BE1728" s="120"/>
      <c r="BF1728" s="120"/>
      <c r="BG1728" s="120"/>
    </row>
    <row r="1729" spans="1:59" s="3" customFormat="1" x14ac:dyDescent="0.3">
      <c r="A1729" s="15" t="str">
        <f t="shared" si="338"/>
        <v/>
      </c>
      <c r="B1729" s="25"/>
      <c r="C1729" s="26"/>
      <c r="D1729" s="279"/>
      <c r="E1729" s="27"/>
      <c r="F1729" s="28"/>
      <c r="G1729" s="27"/>
      <c r="H1729" s="28"/>
      <c r="I1729" s="28"/>
      <c r="J1729" s="255" t="str">
        <f>IF(H1729="","",(_xlfn.XLOOKUP(H1729,Cadastros!$D$6:$D$90,Cadastros!$E$6:$E$90))*(1-_xlfn.XLOOKUP(_xlfn.XLOOKUP($F1729,Clientes!$B$4:$B$39,Clientes!$C$4:$C$39),Cadastros!$L$6:$L$12,Cadastros!$N$6:$N$12)))</f>
        <v/>
      </c>
      <c r="K1729" s="168" t="str">
        <f t="shared" si="339"/>
        <v/>
      </c>
      <c r="L1729" s="168" t="str">
        <f>IFERROR(K1729/_xlfn.XLOOKUP(_xlfn.XLOOKUP($F1729,Clientes!$B$4:$B$39,Clientes!$C$4:$C$39),Cadastros!$L$6:$L$12,Cadastros!$M$6:$M$12)," ")</f>
        <v xml:space="preserve"> </v>
      </c>
      <c r="M1729" s="28"/>
      <c r="N1729" s="28"/>
      <c r="O1729" s="255" t="str">
        <f>IF(M1729="","",(_xlfn.XLOOKUP(M1729,Cadastros!$D$6:$D$90,Cadastros!$E$6:$E$90))*(1-_xlfn.XLOOKUP(_xlfn.XLOOKUP($F1729,Clientes!$B$4:$B$39,Clientes!$C$4:$C$39),Cadastros!$L$6:$L$12,Cadastros!$N$6:$N$12)))</f>
        <v/>
      </c>
      <c r="P1729" s="168" t="str">
        <f t="shared" si="340"/>
        <v/>
      </c>
      <c r="Q1729" s="168" t="str">
        <f>IFERROR(P1729/_xlfn.XLOOKUP(_xlfn.XLOOKUP($F1729,Clientes!$B$4:$B$39,Clientes!$C$4:$C$39),Cadastros!$L$6:$L$12,Cadastros!$M$6:$M$12)," ")</f>
        <v xml:space="preserve"> </v>
      </c>
      <c r="R1729" s="28"/>
      <c r="S1729" s="28"/>
      <c r="T1729" s="255" t="str">
        <f>IF(R1729="","",(_xlfn.XLOOKUP(R1729,Cadastros!$D$6:$D$90,Cadastros!$E$6:$E$90))*(1-_xlfn.XLOOKUP(_xlfn.XLOOKUP($F1729,Clientes!$B$4:$B$39,Clientes!$C$4:$C$39),Cadastros!$L$6:$L$12,Cadastros!$N$6:$N$12)))</f>
        <v/>
      </c>
      <c r="U1729" s="168" t="str">
        <f t="shared" si="341"/>
        <v/>
      </c>
      <c r="V1729" s="168" t="str">
        <f>IFERROR(U1729/_xlfn.XLOOKUP(_xlfn.XLOOKUP($F1729,Clientes!$B$4:$B$39,Clientes!$C$4:$C$39),Cadastros!$L$6:$L$12,Cadastros!$M$6:$M$12)," ")</f>
        <v xml:space="preserve"> </v>
      </c>
      <c r="W1729" s="28"/>
      <c r="X1729" s="28"/>
      <c r="Y1729" s="255" t="str">
        <f>IF(W1729="","",(_xlfn.XLOOKUP(W1729,Cadastros!$D$6:$D$90,Cadastros!$E$6:$E$90))*(1-_xlfn.XLOOKUP(_xlfn.XLOOKUP($F1729,Clientes!$B$4:$B$39,Clientes!$C$4:$C$39),Cadastros!$L$6:$L$12,Cadastros!$N$6:$N$12)))</f>
        <v/>
      </c>
      <c r="Z1729" s="168" t="str">
        <f t="shared" si="342"/>
        <v/>
      </c>
      <c r="AA1729" s="168" t="str">
        <f>IFERROR(Z1729/_xlfn.XLOOKUP(_xlfn.XLOOKUP($F1729,Clientes!$B$4:$B$39,Clientes!$C$4:$C$39),Cadastros!$L$6:$L$12,Cadastros!$M$6:$M$12)," ")</f>
        <v xml:space="preserve"> </v>
      </c>
      <c r="AB1729" s="28"/>
      <c r="AC1729" s="28"/>
      <c r="AD1729" s="20" t="str">
        <f>IF(AB1729="","",IF($F1729="Bernardino Furlan",_xlfn.XLOOKUP(AB1729,Cadastros!$G$6:$G$90,Cadastros!$H$6:$H$90)*(1-0.18),IF($F1729="Mauro José Salanti",_xlfn.XLOOKUP(AB1729,Cadastros!$G$6:$G$90,Cadastros!$H$6:$H$90)*(1-0.18),_xlfn.XLOOKUP(AB1729,Cadastros!$G$6:$G$90,Cadastros!$H$6:$H$90))))</f>
        <v/>
      </c>
      <c r="AE1729" s="168" t="str">
        <f t="shared" si="343"/>
        <v/>
      </c>
      <c r="AF1729" s="168" t="str">
        <f t="shared" si="344"/>
        <v/>
      </c>
      <c r="AG1729" s="28"/>
      <c r="AH1729" s="28"/>
      <c r="AI1729" s="20" t="str">
        <f>IF(AG1729="","",IF($F1729="Bernardino Furlan",_xlfn.XLOOKUP(AG1729,Cadastros!$G$6:$G$90,Cadastros!$H$6:$H$90)*(1-0.18),IF($F1729="Mauro José Salanti",_xlfn.XLOOKUP(AG1729,Cadastros!$G$6:$G$90,Cadastros!$H$6:$H$90)*(1-0.18),_xlfn.XLOOKUP(AG1729,Cadastros!$G$6:$G$90,Cadastros!$H$6:$H$90))))</f>
        <v/>
      </c>
      <c r="AJ1729" s="168" t="str">
        <f t="shared" si="345"/>
        <v/>
      </c>
      <c r="AK1729" s="168" t="str">
        <f t="shared" si="346"/>
        <v/>
      </c>
      <c r="AL1729" s="28"/>
      <c r="AM1729" s="28"/>
      <c r="AN1729" s="20" t="str">
        <f>IF(AL1729="","",IF($F1729="Bernardino Furlan",_xlfn.XLOOKUP(AL1729,Cadastros!$G$6:$G$90,Cadastros!$H$6:$H$90)*(1-0.18),IF($F1729="Mauro José Salanti",_xlfn.XLOOKUP(AL1729,Cadastros!$G$6:$G$90,Cadastros!$H$6:$H$90)*(1-0.18),_xlfn.XLOOKUP(AL1729,Cadastros!$G$6:$G$90,Cadastros!$H$6:$H$90))))</f>
        <v/>
      </c>
      <c r="AO1729" s="168" t="str">
        <f t="shared" si="347"/>
        <v/>
      </c>
      <c r="AP1729" s="168" t="str">
        <f t="shared" si="348"/>
        <v/>
      </c>
      <c r="AQ1729" s="28"/>
      <c r="AR1729" s="28"/>
      <c r="AS1729" s="20" t="str">
        <f>IF(AQ1729="","",IF($F1729="Bernardino Furlan",_xlfn.XLOOKUP(AQ1729,Cadastros!$G$6:$G$90,Cadastros!$H$6:$H$90)*(1-0.18),IF($F1729="Mauro José Salanti",_xlfn.XLOOKUP(AQ1729,Cadastros!$G$6:$G$90,Cadastros!$H$6:$H$90)*(1-0.18),_xlfn.XLOOKUP(AQ1729,Cadastros!$G$6:$G$90,Cadastros!$H$6:$H$90))))</f>
        <v/>
      </c>
      <c r="AT1729" s="168" t="str">
        <f t="shared" si="349"/>
        <v/>
      </c>
      <c r="AU1729" s="168" t="str">
        <f t="shared" si="350"/>
        <v/>
      </c>
      <c r="AV1729" s="227"/>
      <c r="AW1729" s="30"/>
      <c r="AX1729" s="267"/>
      <c r="AY1729" s="267"/>
      <c r="AZ1729" s="29"/>
      <c r="BA1729" s="30"/>
      <c r="BB1729" s="23" t="str" cm="1">
        <f t="array" ref="BB1729">_xlfn.IFS(AW1729="SIM",SUM(K1729,P1729,U1729,Z1729,AE1729,AJ1729,AO1729,AT1729,AX1729,AY1729),F1729&lt;&gt;"",SUM(K1729,P1729,U1729,Z1729,AE1729,AJ1729,,AO1729,AT1729),F1729="","")</f>
        <v/>
      </c>
      <c r="BC1729" s="211" t="str" cm="1">
        <f t="array" ref="BC1729">_xlfn.IFS(E1729="","",G1729&lt;=E1729,BB1729*(1-0.03),G1729&lt;(E1729+8),BB1729,AZ1729="Boleto",BB1729*(1+0.001)^DATEDIF(E1729,G1729,"D"),AZ1729="Cheque",BB1729,AZ1729="Dinheiro","Alterar forma pgto")</f>
        <v/>
      </c>
      <c r="BD1729" s="276" t="str" cm="1">
        <f t="array" ref="BD1729">IF(F1729=0," ",IF(BC1729&lt;BB1729,(_xlfn.IFS(AW1729="SIM",SUM(L1729,Q1729,V1729,AA1729,AF1729,AK1729,AP1729,AU1729)+AX1729/_xlfn.XLOOKUP(_xlfn.XLOOKUP($F1729,Clientes!$B$4:$B$39,Clientes!$C$4:$C$39),Cadastros!$L$6:$L$12,Cadastros!$M$6:$M$12)+IF($F1729="Bernardino Furlan",AY1729/2751.92,IF($F1729="Mauro José Salanti",AY1729/2751.92,AY1729/3356)),F1729&lt;&gt;0,SUM(L1729,Q1729,V1729,AA1729,AF1729,AK1729,AP1729,AU1729)))*(1-0.03),_xlfn.IFS(AW1729="SIM",SUM(L1729,Q1729,V1729,AA1729,AF1729,AK1729,AP1729,AU1729)+AX1729/_xlfn.XLOOKUP(_xlfn.XLOOKUP($F1729,Clientes!$B$4:$B$39,Clientes!$C$4:$C$39),Cadastros!$L$6:$L$12,Cadastros!$M$6:$M$12)+IF($F1729="Bernardino Furlan",AY1729/2751.92,IF($F1729="Mauro José Salanti",AY1729/2751.92,AY1729/3356)),F1729&lt;&gt;0,SUM(L1729,Q1729,V1729,AA1729,AF1729,AK1729,AP1729,AU1729))))</f>
        <v xml:space="preserve"> </v>
      </c>
      <c r="BE1729" s="120"/>
      <c r="BF1729" s="120"/>
      <c r="BG1729" s="120"/>
    </row>
    <row r="1730" spans="1:59" s="3" customFormat="1" x14ac:dyDescent="0.3">
      <c r="A1730" s="15" t="str">
        <f t="shared" si="338"/>
        <v/>
      </c>
      <c r="B1730" s="25"/>
      <c r="C1730" s="26"/>
      <c r="D1730" s="279"/>
      <c r="E1730" s="27"/>
      <c r="F1730" s="28"/>
      <c r="G1730" s="27"/>
      <c r="H1730" s="28"/>
      <c r="I1730" s="28"/>
      <c r="J1730" s="255" t="str">
        <f>IF(H1730="","",(_xlfn.XLOOKUP(H1730,Cadastros!$D$6:$D$90,Cadastros!$E$6:$E$90))*(1-_xlfn.XLOOKUP(_xlfn.XLOOKUP($F1730,Clientes!$B$4:$B$39,Clientes!$C$4:$C$39),Cadastros!$L$6:$L$12,Cadastros!$N$6:$N$12)))</f>
        <v/>
      </c>
      <c r="K1730" s="168" t="str">
        <f t="shared" si="339"/>
        <v/>
      </c>
      <c r="L1730" s="168" t="str">
        <f>IFERROR(K1730/_xlfn.XLOOKUP(_xlfn.XLOOKUP($F1730,Clientes!$B$4:$B$39,Clientes!$C$4:$C$39),Cadastros!$L$6:$L$12,Cadastros!$M$6:$M$12)," ")</f>
        <v xml:space="preserve"> </v>
      </c>
      <c r="M1730" s="28"/>
      <c r="N1730" s="28"/>
      <c r="O1730" s="255" t="str">
        <f>IF(M1730="","",(_xlfn.XLOOKUP(M1730,Cadastros!$D$6:$D$90,Cadastros!$E$6:$E$90))*(1-_xlfn.XLOOKUP(_xlfn.XLOOKUP($F1730,Clientes!$B$4:$B$39,Clientes!$C$4:$C$39),Cadastros!$L$6:$L$12,Cadastros!$N$6:$N$12)))</f>
        <v/>
      </c>
      <c r="P1730" s="168" t="str">
        <f t="shared" si="340"/>
        <v/>
      </c>
      <c r="Q1730" s="168" t="str">
        <f>IFERROR(P1730/_xlfn.XLOOKUP(_xlfn.XLOOKUP($F1730,Clientes!$B$4:$B$39,Clientes!$C$4:$C$39),Cadastros!$L$6:$L$12,Cadastros!$M$6:$M$12)," ")</f>
        <v xml:space="preserve"> </v>
      </c>
      <c r="R1730" s="28"/>
      <c r="S1730" s="28"/>
      <c r="T1730" s="255" t="str">
        <f>IF(R1730="","",(_xlfn.XLOOKUP(R1730,Cadastros!$D$6:$D$90,Cadastros!$E$6:$E$90))*(1-_xlfn.XLOOKUP(_xlfn.XLOOKUP($F1730,Clientes!$B$4:$B$39,Clientes!$C$4:$C$39),Cadastros!$L$6:$L$12,Cadastros!$N$6:$N$12)))</f>
        <v/>
      </c>
      <c r="U1730" s="168" t="str">
        <f t="shared" si="341"/>
        <v/>
      </c>
      <c r="V1730" s="168" t="str">
        <f>IFERROR(U1730/_xlfn.XLOOKUP(_xlfn.XLOOKUP($F1730,Clientes!$B$4:$B$39,Clientes!$C$4:$C$39),Cadastros!$L$6:$L$12,Cadastros!$M$6:$M$12)," ")</f>
        <v xml:space="preserve"> </v>
      </c>
      <c r="W1730" s="28"/>
      <c r="X1730" s="28"/>
      <c r="Y1730" s="255" t="str">
        <f>IF(W1730="","",(_xlfn.XLOOKUP(W1730,Cadastros!$D$6:$D$90,Cadastros!$E$6:$E$90))*(1-_xlfn.XLOOKUP(_xlfn.XLOOKUP($F1730,Clientes!$B$4:$B$39,Clientes!$C$4:$C$39),Cadastros!$L$6:$L$12,Cadastros!$N$6:$N$12)))</f>
        <v/>
      </c>
      <c r="Z1730" s="168" t="str">
        <f t="shared" si="342"/>
        <v/>
      </c>
      <c r="AA1730" s="168" t="str">
        <f>IFERROR(Z1730/_xlfn.XLOOKUP(_xlfn.XLOOKUP($F1730,Clientes!$B$4:$B$39,Clientes!$C$4:$C$39),Cadastros!$L$6:$L$12,Cadastros!$M$6:$M$12)," ")</f>
        <v xml:space="preserve"> </v>
      </c>
      <c r="AB1730" s="28"/>
      <c r="AC1730" s="28"/>
      <c r="AD1730" s="20" t="str">
        <f>IF(AB1730="","",IF($F1730="Bernardino Furlan",_xlfn.XLOOKUP(AB1730,Cadastros!$G$6:$G$90,Cadastros!$H$6:$H$90)*(1-0.18),IF($F1730="Mauro José Salanti",_xlfn.XLOOKUP(AB1730,Cadastros!$G$6:$G$90,Cadastros!$H$6:$H$90)*(1-0.18),_xlfn.XLOOKUP(AB1730,Cadastros!$G$6:$G$90,Cadastros!$H$6:$H$90))))</f>
        <v/>
      </c>
      <c r="AE1730" s="168" t="str">
        <f t="shared" si="343"/>
        <v/>
      </c>
      <c r="AF1730" s="168" t="str">
        <f t="shared" si="344"/>
        <v/>
      </c>
      <c r="AG1730" s="28"/>
      <c r="AH1730" s="28"/>
      <c r="AI1730" s="20" t="str">
        <f>IF(AG1730="","",IF($F1730="Bernardino Furlan",_xlfn.XLOOKUP(AG1730,Cadastros!$G$6:$G$90,Cadastros!$H$6:$H$90)*(1-0.18),IF($F1730="Mauro José Salanti",_xlfn.XLOOKUP(AG1730,Cadastros!$G$6:$G$90,Cadastros!$H$6:$H$90)*(1-0.18),_xlfn.XLOOKUP(AG1730,Cadastros!$G$6:$G$90,Cadastros!$H$6:$H$90))))</f>
        <v/>
      </c>
      <c r="AJ1730" s="168" t="str">
        <f t="shared" si="345"/>
        <v/>
      </c>
      <c r="AK1730" s="168" t="str">
        <f t="shared" si="346"/>
        <v/>
      </c>
      <c r="AL1730" s="28"/>
      <c r="AM1730" s="28"/>
      <c r="AN1730" s="20" t="str">
        <f>IF(AL1730="","",IF($F1730="Bernardino Furlan",_xlfn.XLOOKUP(AL1730,Cadastros!$G$6:$G$90,Cadastros!$H$6:$H$90)*(1-0.18),IF($F1730="Mauro José Salanti",_xlfn.XLOOKUP(AL1730,Cadastros!$G$6:$G$90,Cadastros!$H$6:$H$90)*(1-0.18),_xlfn.XLOOKUP(AL1730,Cadastros!$G$6:$G$90,Cadastros!$H$6:$H$90))))</f>
        <v/>
      </c>
      <c r="AO1730" s="168" t="str">
        <f t="shared" si="347"/>
        <v/>
      </c>
      <c r="AP1730" s="168" t="str">
        <f t="shared" si="348"/>
        <v/>
      </c>
      <c r="AQ1730" s="28"/>
      <c r="AR1730" s="28"/>
      <c r="AS1730" s="20" t="str">
        <f>IF(AQ1730="","",IF($F1730="Bernardino Furlan",_xlfn.XLOOKUP(AQ1730,Cadastros!$G$6:$G$90,Cadastros!$H$6:$H$90)*(1-0.18),IF($F1730="Mauro José Salanti",_xlfn.XLOOKUP(AQ1730,Cadastros!$G$6:$G$90,Cadastros!$H$6:$H$90)*(1-0.18),_xlfn.XLOOKUP(AQ1730,Cadastros!$G$6:$G$90,Cadastros!$H$6:$H$90))))</f>
        <v/>
      </c>
      <c r="AT1730" s="168" t="str">
        <f t="shared" si="349"/>
        <v/>
      </c>
      <c r="AU1730" s="168" t="str">
        <f t="shared" si="350"/>
        <v/>
      </c>
      <c r="AV1730" s="227"/>
      <c r="AW1730" s="30"/>
      <c r="AX1730" s="267"/>
      <c r="AY1730" s="267"/>
      <c r="AZ1730" s="29"/>
      <c r="BA1730" s="30"/>
      <c r="BB1730" s="23" t="str" cm="1">
        <f t="array" ref="BB1730">_xlfn.IFS(AW1730="SIM",SUM(K1730,P1730,U1730,Z1730,AE1730,AJ1730,AO1730,AT1730,AX1730,AY1730),F1730&lt;&gt;"",SUM(K1730,P1730,U1730,Z1730,AE1730,AJ1730,,AO1730,AT1730),F1730="","")</f>
        <v/>
      </c>
      <c r="BC1730" s="211" t="str" cm="1">
        <f t="array" ref="BC1730">_xlfn.IFS(E1730="","",G1730&lt;=E1730,BB1730*(1-0.03),G1730&lt;(E1730+8),BB1730,AZ1730="Boleto",BB1730*(1+0.001)^DATEDIF(E1730,G1730,"D"),AZ1730="Cheque",BB1730,AZ1730="Dinheiro","Alterar forma pgto")</f>
        <v/>
      </c>
      <c r="BD1730" s="276" t="str" cm="1">
        <f t="array" ref="BD1730">IF(F1730=0," ",IF(BC1730&lt;BB1730,(_xlfn.IFS(AW1730="SIM",SUM(L1730,Q1730,V1730,AA1730,AF1730,AK1730,AP1730,AU1730)+AX1730/_xlfn.XLOOKUP(_xlfn.XLOOKUP($F1730,Clientes!$B$4:$B$39,Clientes!$C$4:$C$39),Cadastros!$L$6:$L$12,Cadastros!$M$6:$M$12)+IF($F1730="Bernardino Furlan",AY1730/2751.92,IF($F1730="Mauro José Salanti",AY1730/2751.92,AY1730/3356)),F1730&lt;&gt;0,SUM(L1730,Q1730,V1730,AA1730,AF1730,AK1730,AP1730,AU1730)))*(1-0.03),_xlfn.IFS(AW1730="SIM",SUM(L1730,Q1730,V1730,AA1730,AF1730,AK1730,AP1730,AU1730)+AX1730/_xlfn.XLOOKUP(_xlfn.XLOOKUP($F1730,Clientes!$B$4:$B$39,Clientes!$C$4:$C$39),Cadastros!$L$6:$L$12,Cadastros!$M$6:$M$12)+IF($F1730="Bernardino Furlan",AY1730/2751.92,IF($F1730="Mauro José Salanti",AY1730/2751.92,AY1730/3356)),F1730&lt;&gt;0,SUM(L1730,Q1730,V1730,AA1730,AF1730,AK1730,AP1730,AU1730))))</f>
        <v xml:space="preserve"> </v>
      </c>
      <c r="BE1730" s="120"/>
      <c r="BF1730" s="120"/>
      <c r="BG1730" s="120"/>
    </row>
    <row r="1731" spans="1:59" s="3" customFormat="1" x14ac:dyDescent="0.3">
      <c r="A1731" s="15" t="str">
        <f t="shared" si="338"/>
        <v/>
      </c>
      <c r="B1731" s="25"/>
      <c r="C1731" s="26"/>
      <c r="D1731" s="279"/>
      <c r="E1731" s="27"/>
      <c r="F1731" s="28"/>
      <c r="G1731" s="27"/>
      <c r="H1731" s="28"/>
      <c r="I1731" s="28"/>
      <c r="J1731" s="255" t="str">
        <f>IF(H1731="","",(_xlfn.XLOOKUP(H1731,Cadastros!$D$6:$D$90,Cadastros!$E$6:$E$90))*(1-_xlfn.XLOOKUP(_xlfn.XLOOKUP($F1731,Clientes!$B$4:$B$39,Clientes!$C$4:$C$39),Cadastros!$L$6:$L$12,Cadastros!$N$6:$N$12)))</f>
        <v/>
      </c>
      <c r="K1731" s="168" t="str">
        <f t="shared" si="339"/>
        <v/>
      </c>
      <c r="L1731" s="168" t="str">
        <f>IFERROR(K1731/_xlfn.XLOOKUP(_xlfn.XLOOKUP($F1731,Clientes!$B$4:$B$39,Clientes!$C$4:$C$39),Cadastros!$L$6:$L$12,Cadastros!$M$6:$M$12)," ")</f>
        <v xml:space="preserve"> </v>
      </c>
      <c r="M1731" s="28"/>
      <c r="N1731" s="28"/>
      <c r="O1731" s="255" t="str">
        <f>IF(M1731="","",(_xlfn.XLOOKUP(M1731,Cadastros!$D$6:$D$90,Cadastros!$E$6:$E$90))*(1-_xlfn.XLOOKUP(_xlfn.XLOOKUP($F1731,Clientes!$B$4:$B$39,Clientes!$C$4:$C$39),Cadastros!$L$6:$L$12,Cadastros!$N$6:$N$12)))</f>
        <v/>
      </c>
      <c r="P1731" s="168" t="str">
        <f t="shared" si="340"/>
        <v/>
      </c>
      <c r="Q1731" s="168" t="str">
        <f>IFERROR(P1731/_xlfn.XLOOKUP(_xlfn.XLOOKUP($F1731,Clientes!$B$4:$B$39,Clientes!$C$4:$C$39),Cadastros!$L$6:$L$12,Cadastros!$M$6:$M$12)," ")</f>
        <v xml:space="preserve"> </v>
      </c>
      <c r="R1731" s="28"/>
      <c r="S1731" s="28"/>
      <c r="T1731" s="255" t="str">
        <f>IF(R1731="","",(_xlfn.XLOOKUP(R1731,Cadastros!$D$6:$D$90,Cadastros!$E$6:$E$90))*(1-_xlfn.XLOOKUP(_xlfn.XLOOKUP($F1731,Clientes!$B$4:$B$39,Clientes!$C$4:$C$39),Cadastros!$L$6:$L$12,Cadastros!$N$6:$N$12)))</f>
        <v/>
      </c>
      <c r="U1731" s="168" t="str">
        <f t="shared" si="341"/>
        <v/>
      </c>
      <c r="V1731" s="168" t="str">
        <f>IFERROR(U1731/_xlfn.XLOOKUP(_xlfn.XLOOKUP($F1731,Clientes!$B$4:$B$39,Clientes!$C$4:$C$39),Cadastros!$L$6:$L$12,Cadastros!$M$6:$M$12)," ")</f>
        <v xml:space="preserve"> </v>
      </c>
      <c r="W1731" s="28"/>
      <c r="X1731" s="28"/>
      <c r="Y1731" s="255" t="str">
        <f>IF(W1731="","",(_xlfn.XLOOKUP(W1731,Cadastros!$D$6:$D$90,Cadastros!$E$6:$E$90))*(1-_xlfn.XLOOKUP(_xlfn.XLOOKUP($F1731,Clientes!$B$4:$B$39,Clientes!$C$4:$C$39),Cadastros!$L$6:$L$12,Cadastros!$N$6:$N$12)))</f>
        <v/>
      </c>
      <c r="Z1731" s="168" t="str">
        <f t="shared" si="342"/>
        <v/>
      </c>
      <c r="AA1731" s="168" t="str">
        <f>IFERROR(Z1731/_xlfn.XLOOKUP(_xlfn.XLOOKUP($F1731,Clientes!$B$4:$B$39,Clientes!$C$4:$C$39),Cadastros!$L$6:$L$12,Cadastros!$M$6:$M$12)," ")</f>
        <v xml:space="preserve"> </v>
      </c>
      <c r="AB1731" s="28"/>
      <c r="AC1731" s="28"/>
      <c r="AD1731" s="20" t="str">
        <f>IF(AB1731="","",IF($F1731="Bernardino Furlan",_xlfn.XLOOKUP(AB1731,Cadastros!$G$6:$G$90,Cadastros!$H$6:$H$90)*(1-0.18),IF($F1731="Mauro José Salanti",_xlfn.XLOOKUP(AB1731,Cadastros!$G$6:$G$90,Cadastros!$H$6:$H$90)*(1-0.18),_xlfn.XLOOKUP(AB1731,Cadastros!$G$6:$G$90,Cadastros!$H$6:$H$90))))</f>
        <v/>
      </c>
      <c r="AE1731" s="168" t="str">
        <f t="shared" si="343"/>
        <v/>
      </c>
      <c r="AF1731" s="168" t="str">
        <f t="shared" si="344"/>
        <v/>
      </c>
      <c r="AG1731" s="28"/>
      <c r="AH1731" s="28"/>
      <c r="AI1731" s="20" t="str">
        <f>IF(AG1731="","",IF($F1731="Bernardino Furlan",_xlfn.XLOOKUP(AG1731,Cadastros!$G$6:$G$90,Cadastros!$H$6:$H$90)*(1-0.18),IF($F1731="Mauro José Salanti",_xlfn.XLOOKUP(AG1731,Cadastros!$G$6:$G$90,Cadastros!$H$6:$H$90)*(1-0.18),_xlfn.XLOOKUP(AG1731,Cadastros!$G$6:$G$90,Cadastros!$H$6:$H$90))))</f>
        <v/>
      </c>
      <c r="AJ1731" s="168" t="str">
        <f t="shared" si="345"/>
        <v/>
      </c>
      <c r="AK1731" s="168" t="str">
        <f t="shared" si="346"/>
        <v/>
      </c>
      <c r="AL1731" s="28"/>
      <c r="AM1731" s="28"/>
      <c r="AN1731" s="20" t="str">
        <f>IF(AL1731="","",IF($F1731="Bernardino Furlan",_xlfn.XLOOKUP(AL1731,Cadastros!$G$6:$G$90,Cadastros!$H$6:$H$90)*(1-0.18),IF($F1731="Mauro José Salanti",_xlfn.XLOOKUP(AL1731,Cadastros!$G$6:$G$90,Cadastros!$H$6:$H$90)*(1-0.18),_xlfn.XLOOKUP(AL1731,Cadastros!$G$6:$G$90,Cadastros!$H$6:$H$90))))</f>
        <v/>
      </c>
      <c r="AO1731" s="168" t="str">
        <f t="shared" si="347"/>
        <v/>
      </c>
      <c r="AP1731" s="168" t="str">
        <f t="shared" si="348"/>
        <v/>
      </c>
      <c r="AQ1731" s="28"/>
      <c r="AR1731" s="28"/>
      <c r="AS1731" s="20" t="str">
        <f>IF(AQ1731="","",IF($F1731="Bernardino Furlan",_xlfn.XLOOKUP(AQ1731,Cadastros!$G$6:$G$90,Cadastros!$H$6:$H$90)*(1-0.18),IF($F1731="Mauro José Salanti",_xlfn.XLOOKUP(AQ1731,Cadastros!$G$6:$G$90,Cadastros!$H$6:$H$90)*(1-0.18),_xlfn.XLOOKUP(AQ1731,Cadastros!$G$6:$G$90,Cadastros!$H$6:$H$90))))</f>
        <v/>
      </c>
      <c r="AT1731" s="168" t="str">
        <f t="shared" si="349"/>
        <v/>
      </c>
      <c r="AU1731" s="168" t="str">
        <f t="shared" si="350"/>
        <v/>
      </c>
      <c r="AV1731" s="227"/>
      <c r="AW1731" s="30"/>
      <c r="AX1731" s="267"/>
      <c r="AY1731" s="267"/>
      <c r="AZ1731" s="29"/>
      <c r="BA1731" s="30"/>
      <c r="BB1731" s="23" t="str" cm="1">
        <f t="array" ref="BB1731">_xlfn.IFS(AW1731="SIM",SUM(K1731,P1731,U1731,Z1731,AE1731,AJ1731,AO1731,AT1731,AX1731,AY1731),F1731&lt;&gt;"",SUM(K1731,P1731,U1731,Z1731,AE1731,AJ1731,,AO1731,AT1731),F1731="","")</f>
        <v/>
      </c>
      <c r="BC1731" s="211" t="str" cm="1">
        <f t="array" ref="BC1731">_xlfn.IFS(E1731="","",G1731&lt;=E1731,BB1731*(1-0.03),G1731&lt;(E1731+8),BB1731,AZ1731="Boleto",BB1731*(1+0.001)^DATEDIF(E1731,G1731,"D"),AZ1731="Cheque",BB1731,AZ1731="Dinheiro","Alterar forma pgto")</f>
        <v/>
      </c>
      <c r="BD1731" s="276" t="str" cm="1">
        <f t="array" ref="BD1731">IF(F1731=0," ",IF(BC1731&lt;BB1731,(_xlfn.IFS(AW1731="SIM",SUM(L1731,Q1731,V1731,AA1731,AF1731,AK1731,AP1731,AU1731)+AX1731/_xlfn.XLOOKUP(_xlfn.XLOOKUP($F1731,Clientes!$B$4:$B$39,Clientes!$C$4:$C$39),Cadastros!$L$6:$L$12,Cadastros!$M$6:$M$12)+IF($F1731="Bernardino Furlan",AY1731/2751.92,IF($F1731="Mauro José Salanti",AY1731/2751.92,AY1731/3356)),F1731&lt;&gt;0,SUM(L1731,Q1731,V1731,AA1731,AF1731,AK1731,AP1731,AU1731)))*(1-0.03),_xlfn.IFS(AW1731="SIM",SUM(L1731,Q1731,V1731,AA1731,AF1731,AK1731,AP1731,AU1731)+AX1731/_xlfn.XLOOKUP(_xlfn.XLOOKUP($F1731,Clientes!$B$4:$B$39,Clientes!$C$4:$C$39),Cadastros!$L$6:$L$12,Cadastros!$M$6:$M$12)+IF($F1731="Bernardino Furlan",AY1731/2751.92,IF($F1731="Mauro José Salanti",AY1731/2751.92,AY1731/3356)),F1731&lt;&gt;0,SUM(L1731,Q1731,V1731,AA1731,AF1731,AK1731,AP1731,AU1731))))</f>
        <v xml:space="preserve"> </v>
      </c>
      <c r="BE1731" s="120"/>
      <c r="BF1731" s="120"/>
      <c r="BG1731" s="120"/>
    </row>
    <row r="1732" spans="1:59" s="3" customFormat="1" x14ac:dyDescent="0.3">
      <c r="A1732" s="15" t="str">
        <f t="shared" si="338"/>
        <v/>
      </c>
      <c r="B1732" s="25"/>
      <c r="C1732" s="26"/>
      <c r="D1732" s="279"/>
      <c r="E1732" s="27"/>
      <c r="F1732" s="28"/>
      <c r="G1732" s="27"/>
      <c r="H1732" s="28"/>
      <c r="I1732" s="28"/>
      <c r="J1732" s="255" t="str">
        <f>IF(H1732="","",(_xlfn.XLOOKUP(H1732,Cadastros!$D$6:$D$90,Cadastros!$E$6:$E$90))*(1-_xlfn.XLOOKUP(_xlfn.XLOOKUP($F1732,Clientes!$B$4:$B$39,Clientes!$C$4:$C$39),Cadastros!$L$6:$L$12,Cadastros!$N$6:$N$12)))</f>
        <v/>
      </c>
      <c r="K1732" s="168" t="str">
        <f t="shared" si="339"/>
        <v/>
      </c>
      <c r="L1732" s="168" t="str">
        <f>IFERROR(K1732/_xlfn.XLOOKUP(_xlfn.XLOOKUP($F1732,Clientes!$B$4:$B$39,Clientes!$C$4:$C$39),Cadastros!$L$6:$L$12,Cadastros!$M$6:$M$12)," ")</f>
        <v xml:space="preserve"> </v>
      </c>
      <c r="M1732" s="28"/>
      <c r="N1732" s="28"/>
      <c r="O1732" s="255" t="str">
        <f>IF(M1732="","",(_xlfn.XLOOKUP(M1732,Cadastros!$D$6:$D$90,Cadastros!$E$6:$E$90))*(1-_xlfn.XLOOKUP(_xlfn.XLOOKUP($F1732,Clientes!$B$4:$B$39,Clientes!$C$4:$C$39),Cadastros!$L$6:$L$12,Cadastros!$N$6:$N$12)))</f>
        <v/>
      </c>
      <c r="P1732" s="168" t="str">
        <f t="shared" si="340"/>
        <v/>
      </c>
      <c r="Q1732" s="168" t="str">
        <f>IFERROR(P1732/_xlfn.XLOOKUP(_xlfn.XLOOKUP($F1732,Clientes!$B$4:$B$39,Clientes!$C$4:$C$39),Cadastros!$L$6:$L$12,Cadastros!$M$6:$M$12)," ")</f>
        <v xml:space="preserve"> </v>
      </c>
      <c r="R1732" s="28"/>
      <c r="S1732" s="28"/>
      <c r="T1732" s="255" t="str">
        <f>IF(R1732="","",(_xlfn.XLOOKUP(R1732,Cadastros!$D$6:$D$90,Cadastros!$E$6:$E$90))*(1-_xlfn.XLOOKUP(_xlfn.XLOOKUP($F1732,Clientes!$B$4:$B$39,Clientes!$C$4:$C$39),Cadastros!$L$6:$L$12,Cadastros!$N$6:$N$12)))</f>
        <v/>
      </c>
      <c r="U1732" s="168" t="str">
        <f t="shared" si="341"/>
        <v/>
      </c>
      <c r="V1732" s="168" t="str">
        <f>IFERROR(U1732/_xlfn.XLOOKUP(_xlfn.XLOOKUP($F1732,Clientes!$B$4:$B$39,Clientes!$C$4:$C$39),Cadastros!$L$6:$L$12,Cadastros!$M$6:$M$12)," ")</f>
        <v xml:space="preserve"> </v>
      </c>
      <c r="W1732" s="28"/>
      <c r="X1732" s="28"/>
      <c r="Y1732" s="255" t="str">
        <f>IF(W1732="","",(_xlfn.XLOOKUP(W1732,Cadastros!$D$6:$D$90,Cadastros!$E$6:$E$90))*(1-_xlfn.XLOOKUP(_xlfn.XLOOKUP($F1732,Clientes!$B$4:$B$39,Clientes!$C$4:$C$39),Cadastros!$L$6:$L$12,Cadastros!$N$6:$N$12)))</f>
        <v/>
      </c>
      <c r="Z1732" s="168" t="str">
        <f t="shared" si="342"/>
        <v/>
      </c>
      <c r="AA1732" s="168" t="str">
        <f>IFERROR(Z1732/_xlfn.XLOOKUP(_xlfn.XLOOKUP($F1732,Clientes!$B$4:$B$39,Clientes!$C$4:$C$39),Cadastros!$L$6:$L$12,Cadastros!$M$6:$M$12)," ")</f>
        <v xml:space="preserve"> </v>
      </c>
      <c r="AB1732" s="28"/>
      <c r="AC1732" s="28"/>
      <c r="AD1732" s="20" t="str">
        <f>IF(AB1732="","",IF($F1732="Bernardino Furlan",_xlfn.XLOOKUP(AB1732,Cadastros!$G$6:$G$90,Cadastros!$H$6:$H$90)*(1-0.18),IF($F1732="Mauro José Salanti",_xlfn.XLOOKUP(AB1732,Cadastros!$G$6:$G$90,Cadastros!$H$6:$H$90)*(1-0.18),_xlfn.XLOOKUP(AB1732,Cadastros!$G$6:$G$90,Cadastros!$H$6:$H$90))))</f>
        <v/>
      </c>
      <c r="AE1732" s="168" t="str">
        <f t="shared" si="343"/>
        <v/>
      </c>
      <c r="AF1732" s="168" t="str">
        <f t="shared" si="344"/>
        <v/>
      </c>
      <c r="AG1732" s="28"/>
      <c r="AH1732" s="28"/>
      <c r="AI1732" s="20" t="str">
        <f>IF(AG1732="","",IF($F1732="Bernardino Furlan",_xlfn.XLOOKUP(AG1732,Cadastros!$G$6:$G$90,Cadastros!$H$6:$H$90)*(1-0.18),IF($F1732="Mauro José Salanti",_xlfn.XLOOKUP(AG1732,Cadastros!$G$6:$G$90,Cadastros!$H$6:$H$90)*(1-0.18),_xlfn.XLOOKUP(AG1732,Cadastros!$G$6:$G$90,Cadastros!$H$6:$H$90))))</f>
        <v/>
      </c>
      <c r="AJ1732" s="168" t="str">
        <f t="shared" si="345"/>
        <v/>
      </c>
      <c r="AK1732" s="168" t="str">
        <f t="shared" si="346"/>
        <v/>
      </c>
      <c r="AL1732" s="28"/>
      <c r="AM1732" s="28"/>
      <c r="AN1732" s="20" t="str">
        <f>IF(AL1732="","",IF($F1732="Bernardino Furlan",_xlfn.XLOOKUP(AL1732,Cadastros!$G$6:$G$90,Cadastros!$H$6:$H$90)*(1-0.18),IF($F1732="Mauro José Salanti",_xlfn.XLOOKUP(AL1732,Cadastros!$G$6:$G$90,Cadastros!$H$6:$H$90)*(1-0.18),_xlfn.XLOOKUP(AL1732,Cadastros!$G$6:$G$90,Cadastros!$H$6:$H$90))))</f>
        <v/>
      </c>
      <c r="AO1732" s="168" t="str">
        <f t="shared" si="347"/>
        <v/>
      </c>
      <c r="AP1732" s="168" t="str">
        <f t="shared" si="348"/>
        <v/>
      </c>
      <c r="AQ1732" s="28"/>
      <c r="AR1732" s="28"/>
      <c r="AS1732" s="20" t="str">
        <f>IF(AQ1732="","",IF($F1732="Bernardino Furlan",_xlfn.XLOOKUP(AQ1732,Cadastros!$G$6:$G$90,Cadastros!$H$6:$H$90)*(1-0.18),IF($F1732="Mauro José Salanti",_xlfn.XLOOKUP(AQ1732,Cadastros!$G$6:$G$90,Cadastros!$H$6:$H$90)*(1-0.18),_xlfn.XLOOKUP(AQ1732,Cadastros!$G$6:$G$90,Cadastros!$H$6:$H$90))))</f>
        <v/>
      </c>
      <c r="AT1732" s="168" t="str">
        <f t="shared" si="349"/>
        <v/>
      </c>
      <c r="AU1732" s="168" t="str">
        <f t="shared" si="350"/>
        <v/>
      </c>
      <c r="AV1732" s="227"/>
      <c r="AW1732" s="30"/>
      <c r="AX1732" s="267"/>
      <c r="AY1732" s="267"/>
      <c r="AZ1732" s="29"/>
      <c r="BA1732" s="30"/>
      <c r="BB1732" s="23" t="str" cm="1">
        <f t="array" ref="BB1732">_xlfn.IFS(AW1732="SIM",SUM(K1732,P1732,U1732,Z1732,AE1732,AJ1732,AO1732,AT1732,AX1732,AY1732),F1732&lt;&gt;"",SUM(K1732,P1732,U1732,Z1732,AE1732,AJ1732,,AO1732,AT1732),F1732="","")</f>
        <v/>
      </c>
      <c r="BC1732" s="211" t="str" cm="1">
        <f t="array" ref="BC1732">_xlfn.IFS(E1732="","",G1732&lt;=E1732,BB1732*(1-0.03),G1732&lt;(E1732+8),BB1732,AZ1732="Boleto",BB1732*(1+0.001)^DATEDIF(E1732,G1732,"D"),AZ1732="Cheque",BB1732,AZ1732="Dinheiro","Alterar forma pgto")</f>
        <v/>
      </c>
      <c r="BD1732" s="276" t="str" cm="1">
        <f t="array" ref="BD1732">IF(F1732=0," ",IF(BC1732&lt;BB1732,(_xlfn.IFS(AW1732="SIM",SUM(L1732,Q1732,V1732,AA1732,AF1732,AK1732,AP1732,AU1732)+AX1732/_xlfn.XLOOKUP(_xlfn.XLOOKUP($F1732,Clientes!$B$4:$B$39,Clientes!$C$4:$C$39),Cadastros!$L$6:$L$12,Cadastros!$M$6:$M$12)+IF($F1732="Bernardino Furlan",AY1732/2751.92,IF($F1732="Mauro José Salanti",AY1732/2751.92,AY1732/3356)),F1732&lt;&gt;0,SUM(L1732,Q1732,V1732,AA1732,AF1732,AK1732,AP1732,AU1732)))*(1-0.03),_xlfn.IFS(AW1732="SIM",SUM(L1732,Q1732,V1732,AA1732,AF1732,AK1732,AP1732,AU1732)+AX1732/_xlfn.XLOOKUP(_xlfn.XLOOKUP($F1732,Clientes!$B$4:$B$39,Clientes!$C$4:$C$39),Cadastros!$L$6:$L$12,Cadastros!$M$6:$M$12)+IF($F1732="Bernardino Furlan",AY1732/2751.92,IF($F1732="Mauro José Salanti",AY1732/2751.92,AY1732/3356)),F1732&lt;&gt;0,SUM(L1732,Q1732,V1732,AA1732,AF1732,AK1732,AP1732,AU1732))))</f>
        <v xml:space="preserve"> </v>
      </c>
      <c r="BE1732" s="120"/>
      <c r="BF1732" s="120"/>
      <c r="BG1732" s="120"/>
    </row>
    <row r="1733" spans="1:59" s="3" customFormat="1" x14ac:dyDescent="0.3">
      <c r="A1733" s="15" t="str">
        <f t="shared" si="338"/>
        <v/>
      </c>
      <c r="B1733" s="25"/>
      <c r="C1733" s="26"/>
      <c r="D1733" s="279"/>
      <c r="E1733" s="27"/>
      <c r="F1733" s="28"/>
      <c r="G1733" s="27"/>
      <c r="H1733" s="28"/>
      <c r="I1733" s="28"/>
      <c r="J1733" s="255" t="str">
        <f>IF(H1733="","",(_xlfn.XLOOKUP(H1733,Cadastros!$D$6:$D$90,Cadastros!$E$6:$E$90))*(1-_xlfn.XLOOKUP(_xlfn.XLOOKUP($F1733,Clientes!$B$4:$B$39,Clientes!$C$4:$C$39),Cadastros!$L$6:$L$12,Cadastros!$N$6:$N$12)))</f>
        <v/>
      </c>
      <c r="K1733" s="168" t="str">
        <f t="shared" si="339"/>
        <v/>
      </c>
      <c r="L1733" s="168" t="str">
        <f>IFERROR(K1733/_xlfn.XLOOKUP(_xlfn.XLOOKUP($F1733,Clientes!$B$4:$B$39,Clientes!$C$4:$C$39),Cadastros!$L$6:$L$12,Cadastros!$M$6:$M$12)," ")</f>
        <v xml:space="preserve"> </v>
      </c>
      <c r="M1733" s="28"/>
      <c r="N1733" s="28"/>
      <c r="O1733" s="255" t="str">
        <f>IF(M1733="","",(_xlfn.XLOOKUP(M1733,Cadastros!$D$6:$D$90,Cadastros!$E$6:$E$90))*(1-_xlfn.XLOOKUP(_xlfn.XLOOKUP($F1733,Clientes!$B$4:$B$39,Clientes!$C$4:$C$39),Cadastros!$L$6:$L$12,Cadastros!$N$6:$N$12)))</f>
        <v/>
      </c>
      <c r="P1733" s="168" t="str">
        <f t="shared" si="340"/>
        <v/>
      </c>
      <c r="Q1733" s="168" t="str">
        <f>IFERROR(P1733/_xlfn.XLOOKUP(_xlfn.XLOOKUP($F1733,Clientes!$B$4:$B$39,Clientes!$C$4:$C$39),Cadastros!$L$6:$L$12,Cadastros!$M$6:$M$12)," ")</f>
        <v xml:space="preserve"> </v>
      </c>
      <c r="R1733" s="28"/>
      <c r="S1733" s="28"/>
      <c r="T1733" s="255" t="str">
        <f>IF(R1733="","",(_xlfn.XLOOKUP(R1733,Cadastros!$D$6:$D$90,Cadastros!$E$6:$E$90))*(1-_xlfn.XLOOKUP(_xlfn.XLOOKUP($F1733,Clientes!$B$4:$B$39,Clientes!$C$4:$C$39),Cadastros!$L$6:$L$12,Cadastros!$N$6:$N$12)))</f>
        <v/>
      </c>
      <c r="U1733" s="168" t="str">
        <f t="shared" si="341"/>
        <v/>
      </c>
      <c r="V1733" s="168" t="str">
        <f>IFERROR(U1733/_xlfn.XLOOKUP(_xlfn.XLOOKUP($F1733,Clientes!$B$4:$B$39,Clientes!$C$4:$C$39),Cadastros!$L$6:$L$12,Cadastros!$M$6:$M$12)," ")</f>
        <v xml:space="preserve"> </v>
      </c>
      <c r="W1733" s="28"/>
      <c r="X1733" s="28"/>
      <c r="Y1733" s="255" t="str">
        <f>IF(W1733="","",(_xlfn.XLOOKUP(W1733,Cadastros!$D$6:$D$90,Cadastros!$E$6:$E$90))*(1-_xlfn.XLOOKUP(_xlfn.XLOOKUP($F1733,Clientes!$B$4:$B$39,Clientes!$C$4:$C$39),Cadastros!$L$6:$L$12,Cadastros!$N$6:$N$12)))</f>
        <v/>
      </c>
      <c r="Z1733" s="168" t="str">
        <f t="shared" si="342"/>
        <v/>
      </c>
      <c r="AA1733" s="168" t="str">
        <f>IFERROR(Z1733/_xlfn.XLOOKUP(_xlfn.XLOOKUP($F1733,Clientes!$B$4:$B$39,Clientes!$C$4:$C$39),Cadastros!$L$6:$L$12,Cadastros!$M$6:$M$12)," ")</f>
        <v xml:space="preserve"> </v>
      </c>
      <c r="AB1733" s="28"/>
      <c r="AC1733" s="28"/>
      <c r="AD1733" s="20" t="str">
        <f>IF(AB1733="","",IF($F1733="Bernardino Furlan",_xlfn.XLOOKUP(AB1733,Cadastros!$G$6:$G$90,Cadastros!$H$6:$H$90)*(1-0.18),IF($F1733="Mauro José Salanti",_xlfn.XLOOKUP(AB1733,Cadastros!$G$6:$G$90,Cadastros!$H$6:$H$90)*(1-0.18),_xlfn.XLOOKUP(AB1733,Cadastros!$G$6:$G$90,Cadastros!$H$6:$H$90))))</f>
        <v/>
      </c>
      <c r="AE1733" s="168" t="str">
        <f t="shared" si="343"/>
        <v/>
      </c>
      <c r="AF1733" s="168" t="str">
        <f t="shared" si="344"/>
        <v/>
      </c>
      <c r="AG1733" s="28"/>
      <c r="AH1733" s="28"/>
      <c r="AI1733" s="20" t="str">
        <f>IF(AG1733="","",IF($F1733="Bernardino Furlan",_xlfn.XLOOKUP(AG1733,Cadastros!$G$6:$G$90,Cadastros!$H$6:$H$90)*(1-0.18),IF($F1733="Mauro José Salanti",_xlfn.XLOOKUP(AG1733,Cadastros!$G$6:$G$90,Cadastros!$H$6:$H$90)*(1-0.18),_xlfn.XLOOKUP(AG1733,Cadastros!$G$6:$G$90,Cadastros!$H$6:$H$90))))</f>
        <v/>
      </c>
      <c r="AJ1733" s="168" t="str">
        <f t="shared" si="345"/>
        <v/>
      </c>
      <c r="AK1733" s="168" t="str">
        <f t="shared" si="346"/>
        <v/>
      </c>
      <c r="AL1733" s="28"/>
      <c r="AM1733" s="28"/>
      <c r="AN1733" s="20" t="str">
        <f>IF(AL1733="","",IF($F1733="Bernardino Furlan",_xlfn.XLOOKUP(AL1733,Cadastros!$G$6:$G$90,Cadastros!$H$6:$H$90)*(1-0.18),IF($F1733="Mauro José Salanti",_xlfn.XLOOKUP(AL1733,Cadastros!$G$6:$G$90,Cadastros!$H$6:$H$90)*(1-0.18),_xlfn.XLOOKUP(AL1733,Cadastros!$G$6:$G$90,Cadastros!$H$6:$H$90))))</f>
        <v/>
      </c>
      <c r="AO1733" s="168" t="str">
        <f t="shared" si="347"/>
        <v/>
      </c>
      <c r="AP1733" s="168" t="str">
        <f t="shared" si="348"/>
        <v/>
      </c>
      <c r="AQ1733" s="28"/>
      <c r="AR1733" s="28"/>
      <c r="AS1733" s="20" t="str">
        <f>IF(AQ1733="","",IF($F1733="Bernardino Furlan",_xlfn.XLOOKUP(AQ1733,Cadastros!$G$6:$G$90,Cadastros!$H$6:$H$90)*(1-0.18),IF($F1733="Mauro José Salanti",_xlfn.XLOOKUP(AQ1733,Cadastros!$G$6:$G$90,Cadastros!$H$6:$H$90)*(1-0.18),_xlfn.XLOOKUP(AQ1733,Cadastros!$G$6:$G$90,Cadastros!$H$6:$H$90))))</f>
        <v/>
      </c>
      <c r="AT1733" s="168" t="str">
        <f t="shared" si="349"/>
        <v/>
      </c>
      <c r="AU1733" s="168" t="str">
        <f t="shared" si="350"/>
        <v/>
      </c>
      <c r="AV1733" s="227"/>
      <c r="AW1733" s="30"/>
      <c r="AX1733" s="267"/>
      <c r="AY1733" s="267"/>
      <c r="AZ1733" s="29"/>
      <c r="BA1733" s="30"/>
      <c r="BB1733" s="23" t="str" cm="1">
        <f t="array" ref="BB1733">_xlfn.IFS(AW1733="SIM",SUM(K1733,P1733,U1733,Z1733,AE1733,AJ1733,AO1733,AT1733,AX1733,AY1733),F1733&lt;&gt;"",SUM(K1733,P1733,U1733,Z1733,AE1733,AJ1733,,AO1733,AT1733),F1733="","")</f>
        <v/>
      </c>
      <c r="BC1733" s="211" t="str" cm="1">
        <f t="array" ref="BC1733">_xlfn.IFS(E1733="","",G1733&lt;=E1733,BB1733*(1-0.03),G1733&lt;(E1733+8),BB1733,AZ1733="Boleto",BB1733*(1+0.001)^DATEDIF(E1733,G1733,"D"),AZ1733="Cheque",BB1733,AZ1733="Dinheiro","Alterar forma pgto")</f>
        <v/>
      </c>
      <c r="BD1733" s="276" t="str" cm="1">
        <f t="array" ref="BD1733">IF(F1733=0," ",IF(BC1733&lt;BB1733,(_xlfn.IFS(AW1733="SIM",SUM(L1733,Q1733,V1733,AA1733,AF1733,AK1733,AP1733,AU1733)+AX1733/_xlfn.XLOOKUP(_xlfn.XLOOKUP($F1733,Clientes!$B$4:$B$39,Clientes!$C$4:$C$39),Cadastros!$L$6:$L$12,Cadastros!$M$6:$M$12)+IF($F1733="Bernardino Furlan",AY1733/2751.92,IF($F1733="Mauro José Salanti",AY1733/2751.92,AY1733/3356)),F1733&lt;&gt;0,SUM(L1733,Q1733,V1733,AA1733,AF1733,AK1733,AP1733,AU1733)))*(1-0.03),_xlfn.IFS(AW1733="SIM",SUM(L1733,Q1733,V1733,AA1733,AF1733,AK1733,AP1733,AU1733)+AX1733/_xlfn.XLOOKUP(_xlfn.XLOOKUP($F1733,Clientes!$B$4:$B$39,Clientes!$C$4:$C$39),Cadastros!$L$6:$L$12,Cadastros!$M$6:$M$12)+IF($F1733="Bernardino Furlan",AY1733/2751.92,IF($F1733="Mauro José Salanti",AY1733/2751.92,AY1733/3356)),F1733&lt;&gt;0,SUM(L1733,Q1733,V1733,AA1733,AF1733,AK1733,AP1733,AU1733))))</f>
        <v xml:space="preserve"> </v>
      </c>
      <c r="BE1733" s="120"/>
      <c r="BF1733" s="120"/>
      <c r="BG1733" s="120"/>
    </row>
    <row r="1734" spans="1:59" s="3" customFormat="1" x14ac:dyDescent="0.3">
      <c r="A1734" s="15" t="str">
        <f t="shared" si="338"/>
        <v/>
      </c>
      <c r="B1734" s="25"/>
      <c r="C1734" s="26"/>
      <c r="D1734" s="279"/>
      <c r="E1734" s="27"/>
      <c r="F1734" s="28"/>
      <c r="G1734" s="27"/>
      <c r="H1734" s="28"/>
      <c r="I1734" s="28"/>
      <c r="J1734" s="255" t="str">
        <f>IF(H1734="","",(_xlfn.XLOOKUP(H1734,Cadastros!$D$6:$D$90,Cadastros!$E$6:$E$90))*(1-_xlfn.XLOOKUP(_xlfn.XLOOKUP($F1734,Clientes!$B$4:$B$39,Clientes!$C$4:$C$39),Cadastros!$L$6:$L$12,Cadastros!$N$6:$N$12)))</f>
        <v/>
      </c>
      <c r="K1734" s="168" t="str">
        <f t="shared" si="339"/>
        <v/>
      </c>
      <c r="L1734" s="168" t="str">
        <f>IFERROR(K1734/_xlfn.XLOOKUP(_xlfn.XLOOKUP($F1734,Clientes!$B$4:$B$39,Clientes!$C$4:$C$39),Cadastros!$L$6:$L$12,Cadastros!$M$6:$M$12)," ")</f>
        <v xml:space="preserve"> </v>
      </c>
      <c r="M1734" s="28"/>
      <c r="N1734" s="28"/>
      <c r="O1734" s="255" t="str">
        <f>IF(M1734="","",(_xlfn.XLOOKUP(M1734,Cadastros!$D$6:$D$90,Cadastros!$E$6:$E$90))*(1-_xlfn.XLOOKUP(_xlfn.XLOOKUP($F1734,Clientes!$B$4:$B$39,Clientes!$C$4:$C$39),Cadastros!$L$6:$L$12,Cadastros!$N$6:$N$12)))</f>
        <v/>
      </c>
      <c r="P1734" s="168" t="str">
        <f t="shared" si="340"/>
        <v/>
      </c>
      <c r="Q1734" s="168" t="str">
        <f>IFERROR(P1734/_xlfn.XLOOKUP(_xlfn.XLOOKUP($F1734,Clientes!$B$4:$B$39,Clientes!$C$4:$C$39),Cadastros!$L$6:$L$12,Cadastros!$M$6:$M$12)," ")</f>
        <v xml:space="preserve"> </v>
      </c>
      <c r="R1734" s="28"/>
      <c r="S1734" s="28"/>
      <c r="T1734" s="255" t="str">
        <f>IF(R1734="","",(_xlfn.XLOOKUP(R1734,Cadastros!$D$6:$D$90,Cadastros!$E$6:$E$90))*(1-_xlfn.XLOOKUP(_xlfn.XLOOKUP($F1734,Clientes!$B$4:$B$39,Clientes!$C$4:$C$39),Cadastros!$L$6:$L$12,Cadastros!$N$6:$N$12)))</f>
        <v/>
      </c>
      <c r="U1734" s="168" t="str">
        <f t="shared" si="341"/>
        <v/>
      </c>
      <c r="V1734" s="168" t="str">
        <f>IFERROR(U1734/_xlfn.XLOOKUP(_xlfn.XLOOKUP($F1734,Clientes!$B$4:$B$39,Clientes!$C$4:$C$39),Cadastros!$L$6:$L$12,Cadastros!$M$6:$M$12)," ")</f>
        <v xml:space="preserve"> </v>
      </c>
      <c r="W1734" s="28"/>
      <c r="X1734" s="28"/>
      <c r="Y1734" s="255" t="str">
        <f>IF(W1734="","",(_xlfn.XLOOKUP(W1734,Cadastros!$D$6:$D$90,Cadastros!$E$6:$E$90))*(1-_xlfn.XLOOKUP(_xlfn.XLOOKUP($F1734,Clientes!$B$4:$B$39,Clientes!$C$4:$C$39),Cadastros!$L$6:$L$12,Cadastros!$N$6:$N$12)))</f>
        <v/>
      </c>
      <c r="Z1734" s="168" t="str">
        <f t="shared" si="342"/>
        <v/>
      </c>
      <c r="AA1734" s="168" t="str">
        <f>IFERROR(Z1734/_xlfn.XLOOKUP(_xlfn.XLOOKUP($F1734,Clientes!$B$4:$B$39,Clientes!$C$4:$C$39),Cadastros!$L$6:$L$12,Cadastros!$M$6:$M$12)," ")</f>
        <v xml:space="preserve"> </v>
      </c>
      <c r="AB1734" s="28"/>
      <c r="AC1734" s="28"/>
      <c r="AD1734" s="20" t="str">
        <f>IF(AB1734="","",IF($F1734="Bernardino Furlan",_xlfn.XLOOKUP(AB1734,Cadastros!$G$6:$G$90,Cadastros!$H$6:$H$90)*(1-0.18),IF($F1734="Mauro José Salanti",_xlfn.XLOOKUP(AB1734,Cadastros!$G$6:$G$90,Cadastros!$H$6:$H$90)*(1-0.18),_xlfn.XLOOKUP(AB1734,Cadastros!$G$6:$G$90,Cadastros!$H$6:$H$90))))</f>
        <v/>
      </c>
      <c r="AE1734" s="168" t="str">
        <f t="shared" si="343"/>
        <v/>
      </c>
      <c r="AF1734" s="168" t="str">
        <f t="shared" si="344"/>
        <v/>
      </c>
      <c r="AG1734" s="28"/>
      <c r="AH1734" s="28"/>
      <c r="AI1734" s="20" t="str">
        <f>IF(AG1734="","",IF($F1734="Bernardino Furlan",_xlfn.XLOOKUP(AG1734,Cadastros!$G$6:$G$90,Cadastros!$H$6:$H$90)*(1-0.18),IF($F1734="Mauro José Salanti",_xlfn.XLOOKUP(AG1734,Cadastros!$G$6:$G$90,Cadastros!$H$6:$H$90)*(1-0.18),_xlfn.XLOOKUP(AG1734,Cadastros!$G$6:$G$90,Cadastros!$H$6:$H$90))))</f>
        <v/>
      </c>
      <c r="AJ1734" s="168" t="str">
        <f t="shared" si="345"/>
        <v/>
      </c>
      <c r="AK1734" s="168" t="str">
        <f t="shared" si="346"/>
        <v/>
      </c>
      <c r="AL1734" s="28"/>
      <c r="AM1734" s="28"/>
      <c r="AN1734" s="20" t="str">
        <f>IF(AL1734="","",IF($F1734="Bernardino Furlan",_xlfn.XLOOKUP(AL1734,Cadastros!$G$6:$G$90,Cadastros!$H$6:$H$90)*(1-0.18),IF($F1734="Mauro José Salanti",_xlfn.XLOOKUP(AL1734,Cadastros!$G$6:$G$90,Cadastros!$H$6:$H$90)*(1-0.18),_xlfn.XLOOKUP(AL1734,Cadastros!$G$6:$G$90,Cadastros!$H$6:$H$90))))</f>
        <v/>
      </c>
      <c r="AO1734" s="168" t="str">
        <f t="shared" si="347"/>
        <v/>
      </c>
      <c r="AP1734" s="168" t="str">
        <f t="shared" si="348"/>
        <v/>
      </c>
      <c r="AQ1734" s="28"/>
      <c r="AR1734" s="28"/>
      <c r="AS1734" s="20" t="str">
        <f>IF(AQ1734="","",IF($F1734="Bernardino Furlan",_xlfn.XLOOKUP(AQ1734,Cadastros!$G$6:$G$90,Cadastros!$H$6:$H$90)*(1-0.18),IF($F1734="Mauro José Salanti",_xlfn.XLOOKUP(AQ1734,Cadastros!$G$6:$G$90,Cadastros!$H$6:$H$90)*(1-0.18),_xlfn.XLOOKUP(AQ1734,Cadastros!$G$6:$G$90,Cadastros!$H$6:$H$90))))</f>
        <v/>
      </c>
      <c r="AT1734" s="168" t="str">
        <f t="shared" si="349"/>
        <v/>
      </c>
      <c r="AU1734" s="168" t="str">
        <f t="shared" si="350"/>
        <v/>
      </c>
      <c r="AV1734" s="227"/>
      <c r="AW1734" s="30"/>
      <c r="AX1734" s="267"/>
      <c r="AY1734" s="267"/>
      <c r="AZ1734" s="29"/>
      <c r="BA1734" s="30"/>
      <c r="BB1734" s="23" t="str" cm="1">
        <f t="array" ref="BB1734">_xlfn.IFS(AW1734="SIM",SUM(K1734,P1734,U1734,Z1734,AE1734,AJ1734,AO1734,AT1734,AX1734,AY1734),F1734&lt;&gt;"",SUM(K1734,P1734,U1734,Z1734,AE1734,AJ1734,,AO1734,AT1734),F1734="","")</f>
        <v/>
      </c>
      <c r="BC1734" s="211" t="str" cm="1">
        <f t="array" ref="BC1734">_xlfn.IFS(E1734="","",G1734&lt;=E1734,BB1734*(1-0.03),G1734&lt;(E1734+8),BB1734,AZ1734="Boleto",BB1734*(1+0.001)^DATEDIF(E1734,G1734,"D"),AZ1734="Cheque",BB1734,AZ1734="Dinheiro","Alterar forma pgto")</f>
        <v/>
      </c>
      <c r="BD1734" s="276" t="str" cm="1">
        <f t="array" ref="BD1734">IF(F1734=0," ",IF(BC1734&lt;BB1734,(_xlfn.IFS(AW1734="SIM",SUM(L1734,Q1734,V1734,AA1734,AF1734,AK1734,AP1734,AU1734)+AX1734/_xlfn.XLOOKUP(_xlfn.XLOOKUP($F1734,Clientes!$B$4:$B$39,Clientes!$C$4:$C$39),Cadastros!$L$6:$L$12,Cadastros!$M$6:$M$12)+IF($F1734="Bernardino Furlan",AY1734/2751.92,IF($F1734="Mauro José Salanti",AY1734/2751.92,AY1734/3356)),F1734&lt;&gt;0,SUM(L1734,Q1734,V1734,AA1734,AF1734,AK1734,AP1734,AU1734)))*(1-0.03),_xlfn.IFS(AW1734="SIM",SUM(L1734,Q1734,V1734,AA1734,AF1734,AK1734,AP1734,AU1734)+AX1734/_xlfn.XLOOKUP(_xlfn.XLOOKUP($F1734,Clientes!$B$4:$B$39,Clientes!$C$4:$C$39),Cadastros!$L$6:$L$12,Cadastros!$M$6:$M$12)+IF($F1734="Bernardino Furlan",AY1734/2751.92,IF($F1734="Mauro José Salanti",AY1734/2751.92,AY1734/3356)),F1734&lt;&gt;0,SUM(L1734,Q1734,V1734,AA1734,AF1734,AK1734,AP1734,AU1734))))</f>
        <v xml:space="preserve"> </v>
      </c>
      <c r="BE1734" s="120"/>
      <c r="BF1734" s="120"/>
      <c r="BG1734" s="120"/>
    </row>
    <row r="1735" spans="1:59" s="3" customFormat="1" x14ac:dyDescent="0.3">
      <c r="A1735" s="15" t="str">
        <f t="shared" si="338"/>
        <v/>
      </c>
      <c r="B1735" s="25"/>
      <c r="C1735" s="26"/>
      <c r="D1735" s="279"/>
      <c r="E1735" s="27"/>
      <c r="F1735" s="28"/>
      <c r="G1735" s="27"/>
      <c r="H1735" s="28"/>
      <c r="I1735" s="28"/>
      <c r="J1735" s="255" t="str">
        <f>IF(H1735="","",(_xlfn.XLOOKUP(H1735,Cadastros!$D$6:$D$90,Cadastros!$E$6:$E$90))*(1-_xlfn.XLOOKUP(_xlfn.XLOOKUP($F1735,Clientes!$B$4:$B$39,Clientes!$C$4:$C$39),Cadastros!$L$6:$L$12,Cadastros!$N$6:$N$12)))</f>
        <v/>
      </c>
      <c r="K1735" s="168" t="str">
        <f t="shared" si="339"/>
        <v/>
      </c>
      <c r="L1735" s="168" t="str">
        <f>IFERROR(K1735/_xlfn.XLOOKUP(_xlfn.XLOOKUP($F1735,Clientes!$B$4:$B$39,Clientes!$C$4:$C$39),Cadastros!$L$6:$L$12,Cadastros!$M$6:$M$12)," ")</f>
        <v xml:space="preserve"> </v>
      </c>
      <c r="M1735" s="28"/>
      <c r="N1735" s="28"/>
      <c r="O1735" s="255" t="str">
        <f>IF(M1735="","",(_xlfn.XLOOKUP(M1735,Cadastros!$D$6:$D$90,Cadastros!$E$6:$E$90))*(1-_xlfn.XLOOKUP(_xlfn.XLOOKUP($F1735,Clientes!$B$4:$B$39,Clientes!$C$4:$C$39),Cadastros!$L$6:$L$12,Cadastros!$N$6:$N$12)))</f>
        <v/>
      </c>
      <c r="P1735" s="168" t="str">
        <f t="shared" si="340"/>
        <v/>
      </c>
      <c r="Q1735" s="168" t="str">
        <f>IFERROR(P1735/_xlfn.XLOOKUP(_xlfn.XLOOKUP($F1735,Clientes!$B$4:$B$39,Clientes!$C$4:$C$39),Cadastros!$L$6:$L$12,Cadastros!$M$6:$M$12)," ")</f>
        <v xml:space="preserve"> </v>
      </c>
      <c r="R1735" s="28"/>
      <c r="S1735" s="28"/>
      <c r="T1735" s="255" t="str">
        <f>IF(R1735="","",(_xlfn.XLOOKUP(R1735,Cadastros!$D$6:$D$90,Cadastros!$E$6:$E$90))*(1-_xlfn.XLOOKUP(_xlfn.XLOOKUP($F1735,Clientes!$B$4:$B$39,Clientes!$C$4:$C$39),Cadastros!$L$6:$L$12,Cadastros!$N$6:$N$12)))</f>
        <v/>
      </c>
      <c r="U1735" s="168" t="str">
        <f t="shared" si="341"/>
        <v/>
      </c>
      <c r="V1735" s="168" t="str">
        <f>IFERROR(U1735/_xlfn.XLOOKUP(_xlfn.XLOOKUP($F1735,Clientes!$B$4:$B$39,Clientes!$C$4:$C$39),Cadastros!$L$6:$L$12,Cadastros!$M$6:$M$12)," ")</f>
        <v xml:space="preserve"> </v>
      </c>
      <c r="W1735" s="28"/>
      <c r="X1735" s="28"/>
      <c r="Y1735" s="255" t="str">
        <f>IF(W1735="","",(_xlfn.XLOOKUP(W1735,Cadastros!$D$6:$D$90,Cadastros!$E$6:$E$90))*(1-_xlfn.XLOOKUP(_xlfn.XLOOKUP($F1735,Clientes!$B$4:$B$39,Clientes!$C$4:$C$39),Cadastros!$L$6:$L$12,Cadastros!$N$6:$N$12)))</f>
        <v/>
      </c>
      <c r="Z1735" s="168" t="str">
        <f t="shared" si="342"/>
        <v/>
      </c>
      <c r="AA1735" s="168" t="str">
        <f>IFERROR(Z1735/_xlfn.XLOOKUP(_xlfn.XLOOKUP($F1735,Clientes!$B$4:$B$39,Clientes!$C$4:$C$39),Cadastros!$L$6:$L$12,Cadastros!$M$6:$M$12)," ")</f>
        <v xml:space="preserve"> </v>
      </c>
      <c r="AB1735" s="28"/>
      <c r="AC1735" s="28"/>
      <c r="AD1735" s="20" t="str">
        <f>IF(AB1735="","",IF($F1735="Bernardino Furlan",_xlfn.XLOOKUP(AB1735,Cadastros!$G$6:$G$90,Cadastros!$H$6:$H$90)*(1-0.18),IF($F1735="Mauro José Salanti",_xlfn.XLOOKUP(AB1735,Cadastros!$G$6:$G$90,Cadastros!$H$6:$H$90)*(1-0.18),_xlfn.XLOOKUP(AB1735,Cadastros!$G$6:$G$90,Cadastros!$H$6:$H$90))))</f>
        <v/>
      </c>
      <c r="AE1735" s="168" t="str">
        <f t="shared" si="343"/>
        <v/>
      </c>
      <c r="AF1735" s="168" t="str">
        <f t="shared" si="344"/>
        <v/>
      </c>
      <c r="AG1735" s="28"/>
      <c r="AH1735" s="28"/>
      <c r="AI1735" s="20" t="str">
        <f>IF(AG1735="","",IF($F1735="Bernardino Furlan",_xlfn.XLOOKUP(AG1735,Cadastros!$G$6:$G$90,Cadastros!$H$6:$H$90)*(1-0.18),IF($F1735="Mauro José Salanti",_xlfn.XLOOKUP(AG1735,Cadastros!$G$6:$G$90,Cadastros!$H$6:$H$90)*(1-0.18),_xlfn.XLOOKUP(AG1735,Cadastros!$G$6:$G$90,Cadastros!$H$6:$H$90))))</f>
        <v/>
      </c>
      <c r="AJ1735" s="168" t="str">
        <f t="shared" si="345"/>
        <v/>
      </c>
      <c r="AK1735" s="168" t="str">
        <f t="shared" si="346"/>
        <v/>
      </c>
      <c r="AL1735" s="28"/>
      <c r="AM1735" s="28"/>
      <c r="AN1735" s="20" t="str">
        <f>IF(AL1735="","",IF($F1735="Bernardino Furlan",_xlfn.XLOOKUP(AL1735,Cadastros!$G$6:$G$90,Cadastros!$H$6:$H$90)*(1-0.18),IF($F1735="Mauro José Salanti",_xlfn.XLOOKUP(AL1735,Cadastros!$G$6:$G$90,Cadastros!$H$6:$H$90)*(1-0.18),_xlfn.XLOOKUP(AL1735,Cadastros!$G$6:$G$90,Cadastros!$H$6:$H$90))))</f>
        <v/>
      </c>
      <c r="AO1735" s="168" t="str">
        <f t="shared" si="347"/>
        <v/>
      </c>
      <c r="AP1735" s="168" t="str">
        <f t="shared" si="348"/>
        <v/>
      </c>
      <c r="AQ1735" s="28"/>
      <c r="AR1735" s="28"/>
      <c r="AS1735" s="20" t="str">
        <f>IF(AQ1735="","",IF($F1735="Bernardino Furlan",_xlfn.XLOOKUP(AQ1735,Cadastros!$G$6:$G$90,Cadastros!$H$6:$H$90)*(1-0.18),IF($F1735="Mauro José Salanti",_xlfn.XLOOKUP(AQ1735,Cadastros!$G$6:$G$90,Cadastros!$H$6:$H$90)*(1-0.18),_xlfn.XLOOKUP(AQ1735,Cadastros!$G$6:$G$90,Cadastros!$H$6:$H$90))))</f>
        <v/>
      </c>
      <c r="AT1735" s="168" t="str">
        <f t="shared" si="349"/>
        <v/>
      </c>
      <c r="AU1735" s="168" t="str">
        <f t="shared" si="350"/>
        <v/>
      </c>
      <c r="AV1735" s="227"/>
      <c r="AW1735" s="30"/>
      <c r="AX1735" s="267"/>
      <c r="AY1735" s="267"/>
      <c r="AZ1735" s="29"/>
      <c r="BA1735" s="30"/>
      <c r="BB1735" s="23" t="str" cm="1">
        <f t="array" ref="BB1735">_xlfn.IFS(AW1735="SIM",SUM(K1735,P1735,U1735,Z1735,AE1735,AJ1735,AO1735,AT1735,AX1735,AY1735),F1735&lt;&gt;"",SUM(K1735,P1735,U1735,Z1735,AE1735,AJ1735,,AO1735,AT1735),F1735="","")</f>
        <v/>
      </c>
      <c r="BC1735" s="211" t="str" cm="1">
        <f t="array" ref="BC1735">_xlfn.IFS(E1735="","",G1735&lt;=E1735,BB1735*(1-0.03),G1735&lt;(E1735+8),BB1735,AZ1735="Boleto",BB1735*(1+0.001)^DATEDIF(E1735,G1735,"D"),AZ1735="Cheque",BB1735,AZ1735="Dinheiro","Alterar forma pgto")</f>
        <v/>
      </c>
      <c r="BD1735" s="276" t="str" cm="1">
        <f t="array" ref="BD1735">IF(F1735=0," ",IF(BC1735&lt;BB1735,(_xlfn.IFS(AW1735="SIM",SUM(L1735,Q1735,V1735,AA1735,AF1735,AK1735,AP1735,AU1735)+AX1735/_xlfn.XLOOKUP(_xlfn.XLOOKUP($F1735,Clientes!$B$4:$B$39,Clientes!$C$4:$C$39),Cadastros!$L$6:$L$12,Cadastros!$M$6:$M$12)+IF($F1735="Bernardino Furlan",AY1735/2751.92,IF($F1735="Mauro José Salanti",AY1735/2751.92,AY1735/3356)),F1735&lt;&gt;0,SUM(L1735,Q1735,V1735,AA1735,AF1735,AK1735,AP1735,AU1735)))*(1-0.03),_xlfn.IFS(AW1735="SIM",SUM(L1735,Q1735,V1735,AA1735,AF1735,AK1735,AP1735,AU1735)+AX1735/_xlfn.XLOOKUP(_xlfn.XLOOKUP($F1735,Clientes!$B$4:$B$39,Clientes!$C$4:$C$39),Cadastros!$L$6:$L$12,Cadastros!$M$6:$M$12)+IF($F1735="Bernardino Furlan",AY1735/2751.92,IF($F1735="Mauro José Salanti",AY1735/2751.92,AY1735/3356)),F1735&lt;&gt;0,SUM(L1735,Q1735,V1735,AA1735,AF1735,AK1735,AP1735,AU1735))))</f>
        <v xml:space="preserve"> </v>
      </c>
      <c r="BE1735" s="120"/>
      <c r="BF1735" s="120"/>
      <c r="BG1735" s="120"/>
    </row>
    <row r="1736" spans="1:59" s="3" customFormat="1" x14ac:dyDescent="0.3">
      <c r="A1736" s="15" t="str">
        <f t="shared" ref="A1736:A1799" si="351">IF(C1736="orçamento",25%,IF(C1736="aprovado",50%,IF(C1736="entregue",100%,IF(C1736="não aceito",0%,""))))</f>
        <v/>
      </c>
      <c r="B1736" s="25"/>
      <c r="C1736" s="26"/>
      <c r="D1736" s="279"/>
      <c r="E1736" s="27"/>
      <c r="F1736" s="28"/>
      <c r="G1736" s="27"/>
      <c r="H1736" s="28"/>
      <c r="I1736" s="28"/>
      <c r="J1736" s="255" t="str">
        <f>IF(H1736="","",(_xlfn.XLOOKUP(H1736,Cadastros!$D$6:$D$90,Cadastros!$E$6:$E$90))*(1-_xlfn.XLOOKUP(_xlfn.XLOOKUP($F1736,Clientes!$B$4:$B$39,Clientes!$C$4:$C$39),Cadastros!$L$6:$L$12,Cadastros!$N$6:$N$12)))</f>
        <v/>
      </c>
      <c r="K1736" s="168" t="str">
        <f t="shared" ref="K1736:K1799" si="352">IF(J1736="","",I1736*J1736)</f>
        <v/>
      </c>
      <c r="L1736" s="168" t="str">
        <f>IFERROR(K1736/_xlfn.XLOOKUP(_xlfn.XLOOKUP($F1736,Clientes!$B$4:$B$39,Clientes!$C$4:$C$39),Cadastros!$L$6:$L$12,Cadastros!$M$6:$M$12)," ")</f>
        <v xml:space="preserve"> </v>
      </c>
      <c r="M1736" s="28"/>
      <c r="N1736" s="28"/>
      <c r="O1736" s="255" t="str">
        <f>IF(M1736="","",(_xlfn.XLOOKUP(M1736,Cadastros!$D$6:$D$90,Cadastros!$E$6:$E$90))*(1-_xlfn.XLOOKUP(_xlfn.XLOOKUP($F1736,Clientes!$B$4:$B$39,Clientes!$C$4:$C$39),Cadastros!$L$6:$L$12,Cadastros!$N$6:$N$12)))</f>
        <v/>
      </c>
      <c r="P1736" s="168" t="str">
        <f t="shared" ref="P1736:P1799" si="353">IF(O1736="","",N1736*O1736)</f>
        <v/>
      </c>
      <c r="Q1736" s="168" t="str">
        <f>IFERROR(P1736/_xlfn.XLOOKUP(_xlfn.XLOOKUP($F1736,Clientes!$B$4:$B$39,Clientes!$C$4:$C$39),Cadastros!$L$6:$L$12,Cadastros!$M$6:$M$12)," ")</f>
        <v xml:space="preserve"> </v>
      </c>
      <c r="R1736" s="28"/>
      <c r="S1736" s="28"/>
      <c r="T1736" s="255" t="str">
        <f>IF(R1736="","",(_xlfn.XLOOKUP(R1736,Cadastros!$D$6:$D$90,Cadastros!$E$6:$E$90))*(1-_xlfn.XLOOKUP(_xlfn.XLOOKUP($F1736,Clientes!$B$4:$B$39,Clientes!$C$4:$C$39),Cadastros!$L$6:$L$12,Cadastros!$N$6:$N$12)))</f>
        <v/>
      </c>
      <c r="U1736" s="168" t="str">
        <f t="shared" ref="U1736:U1799" si="354">IF(T1736="","",S1736*T1736)</f>
        <v/>
      </c>
      <c r="V1736" s="168" t="str">
        <f>IFERROR(U1736/_xlfn.XLOOKUP(_xlfn.XLOOKUP($F1736,Clientes!$B$4:$B$39,Clientes!$C$4:$C$39),Cadastros!$L$6:$L$12,Cadastros!$M$6:$M$12)," ")</f>
        <v xml:space="preserve"> </v>
      </c>
      <c r="W1736" s="28"/>
      <c r="X1736" s="28"/>
      <c r="Y1736" s="255" t="str">
        <f>IF(W1736="","",(_xlfn.XLOOKUP(W1736,Cadastros!$D$6:$D$90,Cadastros!$E$6:$E$90))*(1-_xlfn.XLOOKUP(_xlfn.XLOOKUP($F1736,Clientes!$B$4:$B$39,Clientes!$C$4:$C$39),Cadastros!$L$6:$L$12,Cadastros!$N$6:$N$12)))</f>
        <v/>
      </c>
      <c r="Z1736" s="168" t="str">
        <f t="shared" ref="Z1736:Z1799" si="355">IF(Y1736="","",X1736*Y1736)</f>
        <v/>
      </c>
      <c r="AA1736" s="168" t="str">
        <f>IFERROR(Z1736/_xlfn.XLOOKUP(_xlfn.XLOOKUP($F1736,Clientes!$B$4:$B$39,Clientes!$C$4:$C$39),Cadastros!$L$6:$L$12,Cadastros!$M$6:$M$12)," ")</f>
        <v xml:space="preserve"> </v>
      </c>
      <c r="AB1736" s="28"/>
      <c r="AC1736" s="28"/>
      <c r="AD1736" s="20" t="str">
        <f>IF(AB1736="","",IF($F1736="Bernardino Furlan",_xlfn.XLOOKUP(AB1736,Cadastros!$G$6:$G$90,Cadastros!$H$6:$H$90)*(1-0.18),IF($F1736="Mauro José Salanti",_xlfn.XLOOKUP(AB1736,Cadastros!$G$6:$G$90,Cadastros!$H$6:$H$90)*(1-0.18),_xlfn.XLOOKUP(AB1736,Cadastros!$G$6:$G$90,Cadastros!$H$6:$H$90))))</f>
        <v/>
      </c>
      <c r="AE1736" s="168" t="str">
        <f t="shared" ref="AE1736:AE1799" si="356">IF(AD1736="","",AC1736*AD1736)</f>
        <v/>
      </c>
      <c r="AF1736" s="168" t="str">
        <f t="shared" ref="AF1736:AF1799" si="357">IFERROR(IF($F1736="Bernardino Furlan",AE1736/2751.92,IF($F1736="Mauro José Salanti",AE1736/2751.92,AE1736/3356)),"")</f>
        <v/>
      </c>
      <c r="AG1736" s="28"/>
      <c r="AH1736" s="28"/>
      <c r="AI1736" s="20" t="str">
        <f>IF(AG1736="","",IF($F1736="Bernardino Furlan",_xlfn.XLOOKUP(AG1736,Cadastros!$G$6:$G$90,Cadastros!$H$6:$H$90)*(1-0.18),IF($F1736="Mauro José Salanti",_xlfn.XLOOKUP(AG1736,Cadastros!$G$6:$G$90,Cadastros!$H$6:$H$90)*(1-0.18),_xlfn.XLOOKUP(AG1736,Cadastros!$G$6:$G$90,Cadastros!$H$6:$H$90))))</f>
        <v/>
      </c>
      <c r="AJ1736" s="168" t="str">
        <f t="shared" ref="AJ1736:AJ1799" si="358">IF(AI1736="","",AH1736*AI1736)</f>
        <v/>
      </c>
      <c r="AK1736" s="168" t="str">
        <f t="shared" ref="AK1736:AK1799" si="359">IFERROR(IF($F1736="Bernardino Furlan",AJ1736/2751.92,IF($F1736="Mauro José Salanti",AJ1736/2751.92,AJ1736/3356)),"")</f>
        <v/>
      </c>
      <c r="AL1736" s="28"/>
      <c r="AM1736" s="28"/>
      <c r="AN1736" s="20" t="str">
        <f>IF(AL1736="","",IF($F1736="Bernardino Furlan",_xlfn.XLOOKUP(AL1736,Cadastros!$G$6:$G$90,Cadastros!$H$6:$H$90)*(1-0.18),IF($F1736="Mauro José Salanti",_xlfn.XLOOKUP(AL1736,Cadastros!$G$6:$G$90,Cadastros!$H$6:$H$90)*(1-0.18),_xlfn.XLOOKUP(AL1736,Cadastros!$G$6:$G$90,Cadastros!$H$6:$H$90))))</f>
        <v/>
      </c>
      <c r="AO1736" s="168" t="str">
        <f t="shared" ref="AO1736:AO1799" si="360">IF(AN1736="","",AM1736*AN1736)</f>
        <v/>
      </c>
      <c r="AP1736" s="168" t="str">
        <f t="shared" ref="AP1736:AP1799" si="361">IFERROR(IF($F1736="Bernardino Furlan",AO1736/2751.92,IF($F1736="Mauro José Salanti",AO1736/2751.92,AO1736/3356)),"")</f>
        <v/>
      </c>
      <c r="AQ1736" s="28"/>
      <c r="AR1736" s="28"/>
      <c r="AS1736" s="20" t="str">
        <f>IF(AQ1736="","",IF($F1736="Bernardino Furlan",_xlfn.XLOOKUP(AQ1736,Cadastros!$G$6:$G$90,Cadastros!$H$6:$H$90)*(1-0.18),IF($F1736="Mauro José Salanti",_xlfn.XLOOKUP(AQ1736,Cadastros!$G$6:$G$90,Cadastros!$H$6:$H$90)*(1-0.18),_xlfn.XLOOKUP(AQ1736,Cadastros!$G$6:$G$90,Cadastros!$H$6:$H$90))))</f>
        <v/>
      </c>
      <c r="AT1736" s="168" t="str">
        <f t="shared" ref="AT1736:AT1799" si="362">IF(AS1736="","",AR1736*AS1736)</f>
        <v/>
      </c>
      <c r="AU1736" s="168" t="str">
        <f t="shared" ref="AU1736:AU1799" si="363">IFERROR(IF($F1736="Bernardino Furlan",AT1736/2751.92,IF($F1736="Mauro José Salanti",AT1736/2751.92,AT1736/3356)),"")</f>
        <v/>
      </c>
      <c r="AV1736" s="227"/>
      <c r="AW1736" s="30"/>
      <c r="AX1736" s="267"/>
      <c r="AY1736" s="267"/>
      <c r="AZ1736" s="29"/>
      <c r="BA1736" s="30"/>
      <c r="BB1736" s="23" t="str" cm="1">
        <f t="array" ref="BB1736">_xlfn.IFS(AW1736="SIM",SUM(K1736,P1736,U1736,Z1736,AE1736,AJ1736,AO1736,AT1736,AX1736,AY1736),F1736&lt;&gt;"",SUM(K1736,P1736,U1736,Z1736,AE1736,AJ1736,,AO1736,AT1736),F1736="","")</f>
        <v/>
      </c>
      <c r="BC1736" s="211" t="str" cm="1">
        <f t="array" ref="BC1736">_xlfn.IFS(E1736="","",G1736&lt;=E1736,BB1736*(1-0.03),G1736&lt;(E1736+8),BB1736,AZ1736="Boleto",BB1736*(1+0.001)^DATEDIF(E1736,G1736,"D"),AZ1736="Cheque",BB1736,AZ1736="Dinheiro","Alterar forma pgto")</f>
        <v/>
      </c>
      <c r="BD1736" s="276" t="str" cm="1">
        <f t="array" ref="BD1736">IF(F1736=0," ",IF(BC1736&lt;BB1736,(_xlfn.IFS(AW1736="SIM",SUM(L1736,Q1736,V1736,AA1736,AF1736,AK1736,AP1736,AU1736)+AX1736/_xlfn.XLOOKUP(_xlfn.XLOOKUP($F1736,Clientes!$B$4:$B$39,Clientes!$C$4:$C$39),Cadastros!$L$6:$L$12,Cadastros!$M$6:$M$12)+IF($F1736="Bernardino Furlan",AY1736/2751.92,IF($F1736="Mauro José Salanti",AY1736/2751.92,AY1736/3356)),F1736&lt;&gt;0,SUM(L1736,Q1736,V1736,AA1736,AF1736,AK1736,AP1736,AU1736)))*(1-0.03),_xlfn.IFS(AW1736="SIM",SUM(L1736,Q1736,V1736,AA1736,AF1736,AK1736,AP1736,AU1736)+AX1736/_xlfn.XLOOKUP(_xlfn.XLOOKUP($F1736,Clientes!$B$4:$B$39,Clientes!$C$4:$C$39),Cadastros!$L$6:$L$12,Cadastros!$M$6:$M$12)+IF($F1736="Bernardino Furlan",AY1736/2751.92,IF($F1736="Mauro José Salanti",AY1736/2751.92,AY1736/3356)),F1736&lt;&gt;0,SUM(L1736,Q1736,V1736,AA1736,AF1736,AK1736,AP1736,AU1736))))</f>
        <v xml:space="preserve"> </v>
      </c>
      <c r="BE1736" s="120"/>
      <c r="BF1736" s="120"/>
      <c r="BG1736" s="120"/>
    </row>
    <row r="1737" spans="1:59" s="3" customFormat="1" x14ac:dyDescent="0.3">
      <c r="A1737" s="15" t="str">
        <f t="shared" si="351"/>
        <v/>
      </c>
      <c r="B1737" s="25"/>
      <c r="C1737" s="26"/>
      <c r="D1737" s="279"/>
      <c r="E1737" s="27"/>
      <c r="F1737" s="28"/>
      <c r="G1737" s="27"/>
      <c r="H1737" s="28"/>
      <c r="I1737" s="28"/>
      <c r="J1737" s="255" t="str">
        <f>IF(H1737="","",(_xlfn.XLOOKUP(H1737,Cadastros!$D$6:$D$90,Cadastros!$E$6:$E$90))*(1-_xlfn.XLOOKUP(_xlfn.XLOOKUP($F1737,Clientes!$B$4:$B$39,Clientes!$C$4:$C$39),Cadastros!$L$6:$L$12,Cadastros!$N$6:$N$12)))</f>
        <v/>
      </c>
      <c r="K1737" s="168" t="str">
        <f t="shared" si="352"/>
        <v/>
      </c>
      <c r="L1737" s="168" t="str">
        <f>IFERROR(K1737/_xlfn.XLOOKUP(_xlfn.XLOOKUP($F1737,Clientes!$B$4:$B$39,Clientes!$C$4:$C$39),Cadastros!$L$6:$L$12,Cadastros!$M$6:$M$12)," ")</f>
        <v xml:space="preserve"> </v>
      </c>
      <c r="M1737" s="28"/>
      <c r="N1737" s="28"/>
      <c r="O1737" s="255" t="str">
        <f>IF(M1737="","",(_xlfn.XLOOKUP(M1737,Cadastros!$D$6:$D$90,Cadastros!$E$6:$E$90))*(1-_xlfn.XLOOKUP(_xlfn.XLOOKUP($F1737,Clientes!$B$4:$B$39,Clientes!$C$4:$C$39),Cadastros!$L$6:$L$12,Cadastros!$N$6:$N$12)))</f>
        <v/>
      </c>
      <c r="P1737" s="168" t="str">
        <f t="shared" si="353"/>
        <v/>
      </c>
      <c r="Q1737" s="168" t="str">
        <f>IFERROR(P1737/_xlfn.XLOOKUP(_xlfn.XLOOKUP($F1737,Clientes!$B$4:$B$39,Clientes!$C$4:$C$39),Cadastros!$L$6:$L$12,Cadastros!$M$6:$M$12)," ")</f>
        <v xml:space="preserve"> </v>
      </c>
      <c r="R1737" s="28"/>
      <c r="S1737" s="28"/>
      <c r="T1737" s="255" t="str">
        <f>IF(R1737="","",(_xlfn.XLOOKUP(R1737,Cadastros!$D$6:$D$90,Cadastros!$E$6:$E$90))*(1-_xlfn.XLOOKUP(_xlfn.XLOOKUP($F1737,Clientes!$B$4:$B$39,Clientes!$C$4:$C$39),Cadastros!$L$6:$L$12,Cadastros!$N$6:$N$12)))</f>
        <v/>
      </c>
      <c r="U1737" s="168" t="str">
        <f t="shared" si="354"/>
        <v/>
      </c>
      <c r="V1737" s="168" t="str">
        <f>IFERROR(U1737/_xlfn.XLOOKUP(_xlfn.XLOOKUP($F1737,Clientes!$B$4:$B$39,Clientes!$C$4:$C$39),Cadastros!$L$6:$L$12,Cadastros!$M$6:$M$12)," ")</f>
        <v xml:space="preserve"> </v>
      </c>
      <c r="W1737" s="28"/>
      <c r="X1737" s="28"/>
      <c r="Y1737" s="255" t="str">
        <f>IF(W1737="","",(_xlfn.XLOOKUP(W1737,Cadastros!$D$6:$D$90,Cadastros!$E$6:$E$90))*(1-_xlfn.XLOOKUP(_xlfn.XLOOKUP($F1737,Clientes!$B$4:$B$39,Clientes!$C$4:$C$39),Cadastros!$L$6:$L$12,Cadastros!$N$6:$N$12)))</f>
        <v/>
      </c>
      <c r="Z1737" s="168" t="str">
        <f t="shared" si="355"/>
        <v/>
      </c>
      <c r="AA1737" s="168" t="str">
        <f>IFERROR(Z1737/_xlfn.XLOOKUP(_xlfn.XLOOKUP($F1737,Clientes!$B$4:$B$39,Clientes!$C$4:$C$39),Cadastros!$L$6:$L$12,Cadastros!$M$6:$M$12)," ")</f>
        <v xml:space="preserve"> </v>
      </c>
      <c r="AB1737" s="28"/>
      <c r="AC1737" s="28"/>
      <c r="AD1737" s="20" t="str">
        <f>IF(AB1737="","",IF($F1737="Bernardino Furlan",_xlfn.XLOOKUP(AB1737,Cadastros!$G$6:$G$90,Cadastros!$H$6:$H$90)*(1-0.18),IF($F1737="Mauro José Salanti",_xlfn.XLOOKUP(AB1737,Cadastros!$G$6:$G$90,Cadastros!$H$6:$H$90)*(1-0.18),_xlfn.XLOOKUP(AB1737,Cadastros!$G$6:$G$90,Cadastros!$H$6:$H$90))))</f>
        <v/>
      </c>
      <c r="AE1737" s="168" t="str">
        <f t="shared" si="356"/>
        <v/>
      </c>
      <c r="AF1737" s="168" t="str">
        <f t="shared" si="357"/>
        <v/>
      </c>
      <c r="AG1737" s="28"/>
      <c r="AH1737" s="28"/>
      <c r="AI1737" s="20" t="str">
        <f>IF(AG1737="","",IF($F1737="Bernardino Furlan",_xlfn.XLOOKUP(AG1737,Cadastros!$G$6:$G$90,Cadastros!$H$6:$H$90)*(1-0.18),IF($F1737="Mauro José Salanti",_xlfn.XLOOKUP(AG1737,Cadastros!$G$6:$G$90,Cadastros!$H$6:$H$90)*(1-0.18),_xlfn.XLOOKUP(AG1737,Cadastros!$G$6:$G$90,Cadastros!$H$6:$H$90))))</f>
        <v/>
      </c>
      <c r="AJ1737" s="168" t="str">
        <f t="shared" si="358"/>
        <v/>
      </c>
      <c r="AK1737" s="168" t="str">
        <f t="shared" si="359"/>
        <v/>
      </c>
      <c r="AL1737" s="28"/>
      <c r="AM1737" s="28"/>
      <c r="AN1737" s="20" t="str">
        <f>IF(AL1737="","",IF($F1737="Bernardino Furlan",_xlfn.XLOOKUP(AL1737,Cadastros!$G$6:$G$90,Cadastros!$H$6:$H$90)*(1-0.18),IF($F1737="Mauro José Salanti",_xlfn.XLOOKUP(AL1737,Cadastros!$G$6:$G$90,Cadastros!$H$6:$H$90)*(1-0.18),_xlfn.XLOOKUP(AL1737,Cadastros!$G$6:$G$90,Cadastros!$H$6:$H$90))))</f>
        <v/>
      </c>
      <c r="AO1737" s="168" t="str">
        <f t="shared" si="360"/>
        <v/>
      </c>
      <c r="AP1737" s="168" t="str">
        <f t="shared" si="361"/>
        <v/>
      </c>
      <c r="AQ1737" s="28"/>
      <c r="AR1737" s="28"/>
      <c r="AS1737" s="20" t="str">
        <f>IF(AQ1737="","",IF($F1737="Bernardino Furlan",_xlfn.XLOOKUP(AQ1737,Cadastros!$G$6:$G$90,Cadastros!$H$6:$H$90)*(1-0.18),IF($F1737="Mauro José Salanti",_xlfn.XLOOKUP(AQ1737,Cadastros!$G$6:$G$90,Cadastros!$H$6:$H$90)*(1-0.18),_xlfn.XLOOKUP(AQ1737,Cadastros!$G$6:$G$90,Cadastros!$H$6:$H$90))))</f>
        <v/>
      </c>
      <c r="AT1737" s="168" t="str">
        <f t="shared" si="362"/>
        <v/>
      </c>
      <c r="AU1737" s="168" t="str">
        <f t="shared" si="363"/>
        <v/>
      </c>
      <c r="AV1737" s="227"/>
      <c r="AW1737" s="30"/>
      <c r="AX1737" s="267"/>
      <c r="AY1737" s="267"/>
      <c r="AZ1737" s="29"/>
      <c r="BA1737" s="30"/>
      <c r="BB1737" s="23" t="str" cm="1">
        <f t="array" ref="BB1737">_xlfn.IFS(AW1737="SIM",SUM(K1737,P1737,U1737,Z1737,AE1737,AJ1737,AO1737,AT1737,AX1737,AY1737),F1737&lt;&gt;"",SUM(K1737,P1737,U1737,Z1737,AE1737,AJ1737,,AO1737,AT1737),F1737="","")</f>
        <v/>
      </c>
      <c r="BC1737" s="211" t="str" cm="1">
        <f t="array" ref="BC1737">_xlfn.IFS(E1737="","",G1737&lt;=E1737,BB1737*(1-0.03),G1737&lt;(E1737+8),BB1737,AZ1737="Boleto",BB1737*(1+0.001)^DATEDIF(E1737,G1737,"D"),AZ1737="Cheque",BB1737,AZ1737="Dinheiro","Alterar forma pgto")</f>
        <v/>
      </c>
      <c r="BD1737" s="276" t="str" cm="1">
        <f t="array" ref="BD1737">IF(F1737=0," ",IF(BC1737&lt;BB1737,(_xlfn.IFS(AW1737="SIM",SUM(L1737,Q1737,V1737,AA1737,AF1737,AK1737,AP1737,AU1737)+AX1737/_xlfn.XLOOKUP(_xlfn.XLOOKUP($F1737,Clientes!$B$4:$B$39,Clientes!$C$4:$C$39),Cadastros!$L$6:$L$12,Cadastros!$M$6:$M$12)+IF($F1737="Bernardino Furlan",AY1737/2751.92,IF($F1737="Mauro José Salanti",AY1737/2751.92,AY1737/3356)),F1737&lt;&gt;0,SUM(L1737,Q1737,V1737,AA1737,AF1737,AK1737,AP1737,AU1737)))*(1-0.03),_xlfn.IFS(AW1737="SIM",SUM(L1737,Q1737,V1737,AA1737,AF1737,AK1737,AP1737,AU1737)+AX1737/_xlfn.XLOOKUP(_xlfn.XLOOKUP($F1737,Clientes!$B$4:$B$39,Clientes!$C$4:$C$39),Cadastros!$L$6:$L$12,Cadastros!$M$6:$M$12)+IF($F1737="Bernardino Furlan",AY1737/2751.92,IF($F1737="Mauro José Salanti",AY1737/2751.92,AY1737/3356)),F1737&lt;&gt;0,SUM(L1737,Q1737,V1737,AA1737,AF1737,AK1737,AP1737,AU1737))))</f>
        <v xml:space="preserve"> </v>
      </c>
      <c r="BE1737" s="120"/>
      <c r="BF1737" s="120"/>
      <c r="BG1737" s="120"/>
    </row>
    <row r="1738" spans="1:59" s="3" customFormat="1" x14ac:dyDescent="0.3">
      <c r="A1738" s="15" t="str">
        <f t="shared" si="351"/>
        <v/>
      </c>
      <c r="B1738" s="25"/>
      <c r="C1738" s="26"/>
      <c r="D1738" s="279"/>
      <c r="E1738" s="27"/>
      <c r="F1738" s="28"/>
      <c r="G1738" s="27"/>
      <c r="H1738" s="28"/>
      <c r="I1738" s="28"/>
      <c r="J1738" s="255" t="str">
        <f>IF(H1738="","",(_xlfn.XLOOKUP(H1738,Cadastros!$D$6:$D$90,Cadastros!$E$6:$E$90))*(1-_xlfn.XLOOKUP(_xlfn.XLOOKUP($F1738,Clientes!$B$4:$B$39,Clientes!$C$4:$C$39),Cadastros!$L$6:$L$12,Cadastros!$N$6:$N$12)))</f>
        <v/>
      </c>
      <c r="K1738" s="168" t="str">
        <f t="shared" si="352"/>
        <v/>
      </c>
      <c r="L1738" s="168" t="str">
        <f>IFERROR(K1738/_xlfn.XLOOKUP(_xlfn.XLOOKUP($F1738,Clientes!$B$4:$B$39,Clientes!$C$4:$C$39),Cadastros!$L$6:$L$12,Cadastros!$M$6:$M$12)," ")</f>
        <v xml:space="preserve"> </v>
      </c>
      <c r="M1738" s="28"/>
      <c r="N1738" s="28"/>
      <c r="O1738" s="255" t="str">
        <f>IF(M1738="","",(_xlfn.XLOOKUP(M1738,Cadastros!$D$6:$D$90,Cadastros!$E$6:$E$90))*(1-_xlfn.XLOOKUP(_xlfn.XLOOKUP($F1738,Clientes!$B$4:$B$39,Clientes!$C$4:$C$39),Cadastros!$L$6:$L$12,Cadastros!$N$6:$N$12)))</f>
        <v/>
      </c>
      <c r="P1738" s="168" t="str">
        <f t="shared" si="353"/>
        <v/>
      </c>
      <c r="Q1738" s="168" t="str">
        <f>IFERROR(P1738/_xlfn.XLOOKUP(_xlfn.XLOOKUP($F1738,Clientes!$B$4:$B$39,Clientes!$C$4:$C$39),Cadastros!$L$6:$L$12,Cadastros!$M$6:$M$12)," ")</f>
        <v xml:space="preserve"> </v>
      </c>
      <c r="R1738" s="28"/>
      <c r="S1738" s="28"/>
      <c r="T1738" s="255" t="str">
        <f>IF(R1738="","",(_xlfn.XLOOKUP(R1738,Cadastros!$D$6:$D$90,Cadastros!$E$6:$E$90))*(1-_xlfn.XLOOKUP(_xlfn.XLOOKUP($F1738,Clientes!$B$4:$B$39,Clientes!$C$4:$C$39),Cadastros!$L$6:$L$12,Cadastros!$N$6:$N$12)))</f>
        <v/>
      </c>
      <c r="U1738" s="168" t="str">
        <f t="shared" si="354"/>
        <v/>
      </c>
      <c r="V1738" s="168" t="str">
        <f>IFERROR(U1738/_xlfn.XLOOKUP(_xlfn.XLOOKUP($F1738,Clientes!$B$4:$B$39,Clientes!$C$4:$C$39),Cadastros!$L$6:$L$12,Cadastros!$M$6:$M$12)," ")</f>
        <v xml:space="preserve"> </v>
      </c>
      <c r="W1738" s="28"/>
      <c r="X1738" s="28"/>
      <c r="Y1738" s="255" t="str">
        <f>IF(W1738="","",(_xlfn.XLOOKUP(W1738,Cadastros!$D$6:$D$90,Cadastros!$E$6:$E$90))*(1-_xlfn.XLOOKUP(_xlfn.XLOOKUP($F1738,Clientes!$B$4:$B$39,Clientes!$C$4:$C$39),Cadastros!$L$6:$L$12,Cadastros!$N$6:$N$12)))</f>
        <v/>
      </c>
      <c r="Z1738" s="168" t="str">
        <f t="shared" si="355"/>
        <v/>
      </c>
      <c r="AA1738" s="168" t="str">
        <f>IFERROR(Z1738/_xlfn.XLOOKUP(_xlfn.XLOOKUP($F1738,Clientes!$B$4:$B$39,Clientes!$C$4:$C$39),Cadastros!$L$6:$L$12,Cadastros!$M$6:$M$12)," ")</f>
        <v xml:space="preserve"> </v>
      </c>
      <c r="AB1738" s="28"/>
      <c r="AC1738" s="28"/>
      <c r="AD1738" s="20" t="str">
        <f>IF(AB1738="","",IF($F1738="Bernardino Furlan",_xlfn.XLOOKUP(AB1738,Cadastros!$G$6:$G$90,Cadastros!$H$6:$H$90)*(1-0.18),IF($F1738="Mauro José Salanti",_xlfn.XLOOKUP(AB1738,Cadastros!$G$6:$G$90,Cadastros!$H$6:$H$90)*(1-0.18),_xlfn.XLOOKUP(AB1738,Cadastros!$G$6:$G$90,Cadastros!$H$6:$H$90))))</f>
        <v/>
      </c>
      <c r="AE1738" s="168" t="str">
        <f t="shared" si="356"/>
        <v/>
      </c>
      <c r="AF1738" s="168" t="str">
        <f t="shared" si="357"/>
        <v/>
      </c>
      <c r="AG1738" s="28"/>
      <c r="AH1738" s="28"/>
      <c r="AI1738" s="20" t="str">
        <f>IF(AG1738="","",IF($F1738="Bernardino Furlan",_xlfn.XLOOKUP(AG1738,Cadastros!$G$6:$G$90,Cadastros!$H$6:$H$90)*(1-0.18),IF($F1738="Mauro José Salanti",_xlfn.XLOOKUP(AG1738,Cadastros!$G$6:$G$90,Cadastros!$H$6:$H$90)*(1-0.18),_xlfn.XLOOKUP(AG1738,Cadastros!$G$6:$G$90,Cadastros!$H$6:$H$90))))</f>
        <v/>
      </c>
      <c r="AJ1738" s="168" t="str">
        <f t="shared" si="358"/>
        <v/>
      </c>
      <c r="AK1738" s="168" t="str">
        <f t="shared" si="359"/>
        <v/>
      </c>
      <c r="AL1738" s="28"/>
      <c r="AM1738" s="28"/>
      <c r="AN1738" s="20" t="str">
        <f>IF(AL1738="","",IF($F1738="Bernardino Furlan",_xlfn.XLOOKUP(AL1738,Cadastros!$G$6:$G$90,Cadastros!$H$6:$H$90)*(1-0.18),IF($F1738="Mauro José Salanti",_xlfn.XLOOKUP(AL1738,Cadastros!$G$6:$G$90,Cadastros!$H$6:$H$90)*(1-0.18),_xlfn.XLOOKUP(AL1738,Cadastros!$G$6:$G$90,Cadastros!$H$6:$H$90))))</f>
        <v/>
      </c>
      <c r="AO1738" s="168" t="str">
        <f t="shared" si="360"/>
        <v/>
      </c>
      <c r="AP1738" s="168" t="str">
        <f t="shared" si="361"/>
        <v/>
      </c>
      <c r="AQ1738" s="28"/>
      <c r="AR1738" s="28"/>
      <c r="AS1738" s="20" t="str">
        <f>IF(AQ1738="","",IF($F1738="Bernardino Furlan",_xlfn.XLOOKUP(AQ1738,Cadastros!$G$6:$G$90,Cadastros!$H$6:$H$90)*(1-0.18),IF($F1738="Mauro José Salanti",_xlfn.XLOOKUP(AQ1738,Cadastros!$G$6:$G$90,Cadastros!$H$6:$H$90)*(1-0.18),_xlfn.XLOOKUP(AQ1738,Cadastros!$G$6:$G$90,Cadastros!$H$6:$H$90))))</f>
        <v/>
      </c>
      <c r="AT1738" s="168" t="str">
        <f t="shared" si="362"/>
        <v/>
      </c>
      <c r="AU1738" s="168" t="str">
        <f t="shared" si="363"/>
        <v/>
      </c>
      <c r="AV1738" s="227"/>
      <c r="AW1738" s="30"/>
      <c r="AX1738" s="267"/>
      <c r="AY1738" s="267"/>
      <c r="AZ1738" s="29"/>
      <c r="BA1738" s="30"/>
      <c r="BB1738" s="23" t="str" cm="1">
        <f t="array" ref="BB1738">_xlfn.IFS(AW1738="SIM",SUM(K1738,P1738,U1738,Z1738,AE1738,AJ1738,AO1738,AT1738,AX1738,AY1738),F1738&lt;&gt;"",SUM(K1738,P1738,U1738,Z1738,AE1738,AJ1738,,AO1738,AT1738),F1738="","")</f>
        <v/>
      </c>
      <c r="BC1738" s="211" t="str" cm="1">
        <f t="array" ref="BC1738">_xlfn.IFS(E1738="","",G1738&lt;=E1738,BB1738*(1-0.03),G1738&lt;(E1738+8),BB1738,AZ1738="Boleto",BB1738*(1+0.001)^DATEDIF(E1738,G1738,"D"),AZ1738="Cheque",BB1738,AZ1738="Dinheiro","Alterar forma pgto")</f>
        <v/>
      </c>
      <c r="BD1738" s="276" t="str" cm="1">
        <f t="array" ref="BD1738">IF(F1738=0," ",IF(BC1738&lt;BB1738,(_xlfn.IFS(AW1738="SIM",SUM(L1738,Q1738,V1738,AA1738,AF1738,AK1738,AP1738,AU1738)+AX1738/_xlfn.XLOOKUP(_xlfn.XLOOKUP($F1738,Clientes!$B$4:$B$39,Clientes!$C$4:$C$39),Cadastros!$L$6:$L$12,Cadastros!$M$6:$M$12)+IF($F1738="Bernardino Furlan",AY1738/2751.92,IF($F1738="Mauro José Salanti",AY1738/2751.92,AY1738/3356)),F1738&lt;&gt;0,SUM(L1738,Q1738,V1738,AA1738,AF1738,AK1738,AP1738,AU1738)))*(1-0.03),_xlfn.IFS(AW1738="SIM",SUM(L1738,Q1738,V1738,AA1738,AF1738,AK1738,AP1738,AU1738)+AX1738/_xlfn.XLOOKUP(_xlfn.XLOOKUP($F1738,Clientes!$B$4:$B$39,Clientes!$C$4:$C$39),Cadastros!$L$6:$L$12,Cadastros!$M$6:$M$12)+IF($F1738="Bernardino Furlan",AY1738/2751.92,IF($F1738="Mauro José Salanti",AY1738/2751.92,AY1738/3356)),F1738&lt;&gt;0,SUM(L1738,Q1738,V1738,AA1738,AF1738,AK1738,AP1738,AU1738))))</f>
        <v xml:space="preserve"> </v>
      </c>
      <c r="BE1738" s="120"/>
      <c r="BF1738" s="120"/>
      <c r="BG1738" s="120"/>
    </row>
    <row r="1739" spans="1:59" s="3" customFormat="1" x14ac:dyDescent="0.3">
      <c r="A1739" s="15" t="str">
        <f t="shared" si="351"/>
        <v/>
      </c>
      <c r="B1739" s="25"/>
      <c r="C1739" s="26"/>
      <c r="D1739" s="279"/>
      <c r="E1739" s="27"/>
      <c r="F1739" s="28"/>
      <c r="G1739" s="27"/>
      <c r="H1739" s="28"/>
      <c r="I1739" s="28"/>
      <c r="J1739" s="255" t="str">
        <f>IF(H1739="","",(_xlfn.XLOOKUP(H1739,Cadastros!$D$6:$D$90,Cadastros!$E$6:$E$90))*(1-_xlfn.XLOOKUP(_xlfn.XLOOKUP($F1739,Clientes!$B$4:$B$39,Clientes!$C$4:$C$39),Cadastros!$L$6:$L$12,Cadastros!$N$6:$N$12)))</f>
        <v/>
      </c>
      <c r="K1739" s="168" t="str">
        <f t="shared" si="352"/>
        <v/>
      </c>
      <c r="L1739" s="168" t="str">
        <f>IFERROR(K1739/_xlfn.XLOOKUP(_xlfn.XLOOKUP($F1739,Clientes!$B$4:$B$39,Clientes!$C$4:$C$39),Cadastros!$L$6:$L$12,Cadastros!$M$6:$M$12)," ")</f>
        <v xml:space="preserve"> </v>
      </c>
      <c r="M1739" s="28"/>
      <c r="N1739" s="28"/>
      <c r="O1739" s="255" t="str">
        <f>IF(M1739="","",(_xlfn.XLOOKUP(M1739,Cadastros!$D$6:$D$90,Cadastros!$E$6:$E$90))*(1-_xlfn.XLOOKUP(_xlfn.XLOOKUP($F1739,Clientes!$B$4:$B$39,Clientes!$C$4:$C$39),Cadastros!$L$6:$L$12,Cadastros!$N$6:$N$12)))</f>
        <v/>
      </c>
      <c r="P1739" s="168" t="str">
        <f t="shared" si="353"/>
        <v/>
      </c>
      <c r="Q1739" s="168" t="str">
        <f>IFERROR(P1739/_xlfn.XLOOKUP(_xlfn.XLOOKUP($F1739,Clientes!$B$4:$B$39,Clientes!$C$4:$C$39),Cadastros!$L$6:$L$12,Cadastros!$M$6:$M$12)," ")</f>
        <v xml:space="preserve"> </v>
      </c>
      <c r="R1739" s="28"/>
      <c r="S1739" s="28"/>
      <c r="T1739" s="255" t="str">
        <f>IF(R1739="","",(_xlfn.XLOOKUP(R1739,Cadastros!$D$6:$D$90,Cadastros!$E$6:$E$90))*(1-_xlfn.XLOOKUP(_xlfn.XLOOKUP($F1739,Clientes!$B$4:$B$39,Clientes!$C$4:$C$39),Cadastros!$L$6:$L$12,Cadastros!$N$6:$N$12)))</f>
        <v/>
      </c>
      <c r="U1739" s="168" t="str">
        <f t="shared" si="354"/>
        <v/>
      </c>
      <c r="V1739" s="168" t="str">
        <f>IFERROR(U1739/_xlfn.XLOOKUP(_xlfn.XLOOKUP($F1739,Clientes!$B$4:$B$39,Clientes!$C$4:$C$39),Cadastros!$L$6:$L$12,Cadastros!$M$6:$M$12)," ")</f>
        <v xml:space="preserve"> </v>
      </c>
      <c r="W1739" s="28"/>
      <c r="X1739" s="28"/>
      <c r="Y1739" s="255" t="str">
        <f>IF(W1739="","",(_xlfn.XLOOKUP(W1739,Cadastros!$D$6:$D$90,Cadastros!$E$6:$E$90))*(1-_xlfn.XLOOKUP(_xlfn.XLOOKUP($F1739,Clientes!$B$4:$B$39,Clientes!$C$4:$C$39),Cadastros!$L$6:$L$12,Cadastros!$N$6:$N$12)))</f>
        <v/>
      </c>
      <c r="Z1739" s="168" t="str">
        <f t="shared" si="355"/>
        <v/>
      </c>
      <c r="AA1739" s="168" t="str">
        <f>IFERROR(Z1739/_xlfn.XLOOKUP(_xlfn.XLOOKUP($F1739,Clientes!$B$4:$B$39,Clientes!$C$4:$C$39),Cadastros!$L$6:$L$12,Cadastros!$M$6:$M$12)," ")</f>
        <v xml:space="preserve"> </v>
      </c>
      <c r="AB1739" s="28"/>
      <c r="AC1739" s="28"/>
      <c r="AD1739" s="20" t="str">
        <f>IF(AB1739="","",IF($F1739="Bernardino Furlan",_xlfn.XLOOKUP(AB1739,Cadastros!$G$6:$G$90,Cadastros!$H$6:$H$90)*(1-0.18),IF($F1739="Mauro José Salanti",_xlfn.XLOOKUP(AB1739,Cadastros!$G$6:$G$90,Cadastros!$H$6:$H$90)*(1-0.18),_xlfn.XLOOKUP(AB1739,Cadastros!$G$6:$G$90,Cadastros!$H$6:$H$90))))</f>
        <v/>
      </c>
      <c r="AE1739" s="168" t="str">
        <f t="shared" si="356"/>
        <v/>
      </c>
      <c r="AF1739" s="168" t="str">
        <f t="shared" si="357"/>
        <v/>
      </c>
      <c r="AG1739" s="28"/>
      <c r="AH1739" s="28"/>
      <c r="AI1739" s="20" t="str">
        <f>IF(AG1739="","",IF($F1739="Bernardino Furlan",_xlfn.XLOOKUP(AG1739,Cadastros!$G$6:$G$90,Cadastros!$H$6:$H$90)*(1-0.18),IF($F1739="Mauro José Salanti",_xlfn.XLOOKUP(AG1739,Cadastros!$G$6:$G$90,Cadastros!$H$6:$H$90)*(1-0.18),_xlfn.XLOOKUP(AG1739,Cadastros!$G$6:$G$90,Cadastros!$H$6:$H$90))))</f>
        <v/>
      </c>
      <c r="AJ1739" s="168" t="str">
        <f t="shared" si="358"/>
        <v/>
      </c>
      <c r="AK1739" s="168" t="str">
        <f t="shared" si="359"/>
        <v/>
      </c>
      <c r="AL1739" s="28"/>
      <c r="AM1739" s="28"/>
      <c r="AN1739" s="20" t="str">
        <f>IF(AL1739="","",IF($F1739="Bernardino Furlan",_xlfn.XLOOKUP(AL1739,Cadastros!$G$6:$G$90,Cadastros!$H$6:$H$90)*(1-0.18),IF($F1739="Mauro José Salanti",_xlfn.XLOOKUP(AL1739,Cadastros!$G$6:$G$90,Cadastros!$H$6:$H$90)*(1-0.18),_xlfn.XLOOKUP(AL1739,Cadastros!$G$6:$G$90,Cadastros!$H$6:$H$90))))</f>
        <v/>
      </c>
      <c r="AO1739" s="168" t="str">
        <f t="shared" si="360"/>
        <v/>
      </c>
      <c r="AP1739" s="168" t="str">
        <f t="shared" si="361"/>
        <v/>
      </c>
      <c r="AQ1739" s="28"/>
      <c r="AR1739" s="28"/>
      <c r="AS1739" s="20" t="str">
        <f>IF(AQ1739="","",IF($F1739="Bernardino Furlan",_xlfn.XLOOKUP(AQ1739,Cadastros!$G$6:$G$90,Cadastros!$H$6:$H$90)*(1-0.18),IF($F1739="Mauro José Salanti",_xlfn.XLOOKUP(AQ1739,Cadastros!$G$6:$G$90,Cadastros!$H$6:$H$90)*(1-0.18),_xlfn.XLOOKUP(AQ1739,Cadastros!$G$6:$G$90,Cadastros!$H$6:$H$90))))</f>
        <v/>
      </c>
      <c r="AT1739" s="168" t="str">
        <f t="shared" si="362"/>
        <v/>
      </c>
      <c r="AU1739" s="168" t="str">
        <f t="shared" si="363"/>
        <v/>
      </c>
      <c r="AV1739" s="227"/>
      <c r="AW1739" s="30"/>
      <c r="AX1739" s="267"/>
      <c r="AY1739" s="267"/>
      <c r="AZ1739" s="29"/>
      <c r="BA1739" s="30"/>
      <c r="BB1739" s="23" t="str" cm="1">
        <f t="array" ref="BB1739">_xlfn.IFS(AW1739="SIM",SUM(K1739,P1739,U1739,Z1739,AE1739,AJ1739,AO1739,AT1739,AX1739,AY1739),F1739&lt;&gt;"",SUM(K1739,P1739,U1739,Z1739,AE1739,AJ1739,,AO1739,AT1739),F1739="","")</f>
        <v/>
      </c>
      <c r="BC1739" s="211" t="str" cm="1">
        <f t="array" ref="BC1739">_xlfn.IFS(E1739="","",G1739&lt;=E1739,BB1739*(1-0.03),G1739&lt;(E1739+8),BB1739,AZ1739="Boleto",BB1739*(1+0.001)^DATEDIF(E1739,G1739,"D"),AZ1739="Cheque",BB1739,AZ1739="Dinheiro","Alterar forma pgto")</f>
        <v/>
      </c>
      <c r="BD1739" s="276" t="str" cm="1">
        <f t="array" ref="BD1739">IF(F1739=0," ",IF(BC1739&lt;BB1739,(_xlfn.IFS(AW1739="SIM",SUM(L1739,Q1739,V1739,AA1739,AF1739,AK1739,AP1739,AU1739)+AX1739/_xlfn.XLOOKUP(_xlfn.XLOOKUP($F1739,Clientes!$B$4:$B$39,Clientes!$C$4:$C$39),Cadastros!$L$6:$L$12,Cadastros!$M$6:$M$12)+IF($F1739="Bernardino Furlan",AY1739/2751.92,IF($F1739="Mauro José Salanti",AY1739/2751.92,AY1739/3356)),F1739&lt;&gt;0,SUM(L1739,Q1739,V1739,AA1739,AF1739,AK1739,AP1739,AU1739)))*(1-0.03),_xlfn.IFS(AW1739="SIM",SUM(L1739,Q1739,V1739,AA1739,AF1739,AK1739,AP1739,AU1739)+AX1739/_xlfn.XLOOKUP(_xlfn.XLOOKUP($F1739,Clientes!$B$4:$B$39,Clientes!$C$4:$C$39),Cadastros!$L$6:$L$12,Cadastros!$M$6:$M$12)+IF($F1739="Bernardino Furlan",AY1739/2751.92,IF($F1739="Mauro José Salanti",AY1739/2751.92,AY1739/3356)),F1739&lt;&gt;0,SUM(L1739,Q1739,V1739,AA1739,AF1739,AK1739,AP1739,AU1739))))</f>
        <v xml:space="preserve"> </v>
      </c>
      <c r="BE1739" s="120"/>
      <c r="BF1739" s="120"/>
      <c r="BG1739" s="120"/>
    </row>
    <row r="1740" spans="1:59" s="3" customFormat="1" x14ac:dyDescent="0.3">
      <c r="A1740" s="15" t="str">
        <f t="shared" si="351"/>
        <v/>
      </c>
      <c r="B1740" s="25"/>
      <c r="C1740" s="26"/>
      <c r="D1740" s="279"/>
      <c r="E1740" s="27"/>
      <c r="F1740" s="28"/>
      <c r="G1740" s="27"/>
      <c r="H1740" s="28"/>
      <c r="I1740" s="28"/>
      <c r="J1740" s="255" t="str">
        <f>IF(H1740="","",(_xlfn.XLOOKUP(H1740,Cadastros!$D$6:$D$90,Cadastros!$E$6:$E$90))*(1-_xlfn.XLOOKUP(_xlfn.XLOOKUP($F1740,Clientes!$B$4:$B$39,Clientes!$C$4:$C$39),Cadastros!$L$6:$L$12,Cadastros!$N$6:$N$12)))</f>
        <v/>
      </c>
      <c r="K1740" s="168" t="str">
        <f t="shared" si="352"/>
        <v/>
      </c>
      <c r="L1740" s="168" t="str">
        <f>IFERROR(K1740/_xlfn.XLOOKUP(_xlfn.XLOOKUP($F1740,Clientes!$B$4:$B$39,Clientes!$C$4:$C$39),Cadastros!$L$6:$L$12,Cadastros!$M$6:$M$12)," ")</f>
        <v xml:space="preserve"> </v>
      </c>
      <c r="M1740" s="28"/>
      <c r="N1740" s="28"/>
      <c r="O1740" s="255" t="str">
        <f>IF(M1740="","",(_xlfn.XLOOKUP(M1740,Cadastros!$D$6:$D$90,Cadastros!$E$6:$E$90))*(1-_xlfn.XLOOKUP(_xlfn.XLOOKUP($F1740,Clientes!$B$4:$B$39,Clientes!$C$4:$C$39),Cadastros!$L$6:$L$12,Cadastros!$N$6:$N$12)))</f>
        <v/>
      </c>
      <c r="P1740" s="168" t="str">
        <f t="shared" si="353"/>
        <v/>
      </c>
      <c r="Q1740" s="168" t="str">
        <f>IFERROR(P1740/_xlfn.XLOOKUP(_xlfn.XLOOKUP($F1740,Clientes!$B$4:$B$39,Clientes!$C$4:$C$39),Cadastros!$L$6:$L$12,Cadastros!$M$6:$M$12)," ")</f>
        <v xml:space="preserve"> </v>
      </c>
      <c r="R1740" s="28"/>
      <c r="S1740" s="28"/>
      <c r="T1740" s="255" t="str">
        <f>IF(R1740="","",(_xlfn.XLOOKUP(R1740,Cadastros!$D$6:$D$90,Cadastros!$E$6:$E$90))*(1-_xlfn.XLOOKUP(_xlfn.XLOOKUP($F1740,Clientes!$B$4:$B$39,Clientes!$C$4:$C$39),Cadastros!$L$6:$L$12,Cadastros!$N$6:$N$12)))</f>
        <v/>
      </c>
      <c r="U1740" s="168" t="str">
        <f t="shared" si="354"/>
        <v/>
      </c>
      <c r="V1740" s="168" t="str">
        <f>IFERROR(U1740/_xlfn.XLOOKUP(_xlfn.XLOOKUP($F1740,Clientes!$B$4:$B$39,Clientes!$C$4:$C$39),Cadastros!$L$6:$L$12,Cadastros!$M$6:$M$12)," ")</f>
        <v xml:space="preserve"> </v>
      </c>
      <c r="W1740" s="28"/>
      <c r="X1740" s="28"/>
      <c r="Y1740" s="255" t="str">
        <f>IF(W1740="","",(_xlfn.XLOOKUP(W1740,Cadastros!$D$6:$D$90,Cadastros!$E$6:$E$90))*(1-_xlfn.XLOOKUP(_xlfn.XLOOKUP($F1740,Clientes!$B$4:$B$39,Clientes!$C$4:$C$39),Cadastros!$L$6:$L$12,Cadastros!$N$6:$N$12)))</f>
        <v/>
      </c>
      <c r="Z1740" s="168" t="str">
        <f t="shared" si="355"/>
        <v/>
      </c>
      <c r="AA1740" s="168" t="str">
        <f>IFERROR(Z1740/_xlfn.XLOOKUP(_xlfn.XLOOKUP($F1740,Clientes!$B$4:$B$39,Clientes!$C$4:$C$39),Cadastros!$L$6:$L$12,Cadastros!$M$6:$M$12)," ")</f>
        <v xml:space="preserve"> </v>
      </c>
      <c r="AB1740" s="28"/>
      <c r="AC1740" s="28"/>
      <c r="AD1740" s="20" t="str">
        <f>IF(AB1740="","",IF($F1740="Bernardino Furlan",_xlfn.XLOOKUP(AB1740,Cadastros!$G$6:$G$90,Cadastros!$H$6:$H$90)*(1-0.18),IF($F1740="Mauro José Salanti",_xlfn.XLOOKUP(AB1740,Cadastros!$G$6:$G$90,Cadastros!$H$6:$H$90)*(1-0.18),_xlfn.XLOOKUP(AB1740,Cadastros!$G$6:$G$90,Cadastros!$H$6:$H$90))))</f>
        <v/>
      </c>
      <c r="AE1740" s="168" t="str">
        <f t="shared" si="356"/>
        <v/>
      </c>
      <c r="AF1740" s="168" t="str">
        <f t="shared" si="357"/>
        <v/>
      </c>
      <c r="AG1740" s="28"/>
      <c r="AH1740" s="28"/>
      <c r="AI1740" s="20" t="str">
        <f>IF(AG1740="","",IF($F1740="Bernardino Furlan",_xlfn.XLOOKUP(AG1740,Cadastros!$G$6:$G$90,Cadastros!$H$6:$H$90)*(1-0.18),IF($F1740="Mauro José Salanti",_xlfn.XLOOKUP(AG1740,Cadastros!$G$6:$G$90,Cadastros!$H$6:$H$90)*(1-0.18),_xlfn.XLOOKUP(AG1740,Cadastros!$G$6:$G$90,Cadastros!$H$6:$H$90))))</f>
        <v/>
      </c>
      <c r="AJ1740" s="168" t="str">
        <f t="shared" si="358"/>
        <v/>
      </c>
      <c r="AK1740" s="168" t="str">
        <f t="shared" si="359"/>
        <v/>
      </c>
      <c r="AL1740" s="28"/>
      <c r="AM1740" s="28"/>
      <c r="AN1740" s="20" t="str">
        <f>IF(AL1740="","",IF($F1740="Bernardino Furlan",_xlfn.XLOOKUP(AL1740,Cadastros!$G$6:$G$90,Cadastros!$H$6:$H$90)*(1-0.18),IF($F1740="Mauro José Salanti",_xlfn.XLOOKUP(AL1740,Cadastros!$G$6:$G$90,Cadastros!$H$6:$H$90)*(1-0.18),_xlfn.XLOOKUP(AL1740,Cadastros!$G$6:$G$90,Cadastros!$H$6:$H$90))))</f>
        <v/>
      </c>
      <c r="AO1740" s="168" t="str">
        <f t="shared" si="360"/>
        <v/>
      </c>
      <c r="AP1740" s="168" t="str">
        <f t="shared" si="361"/>
        <v/>
      </c>
      <c r="AQ1740" s="28"/>
      <c r="AR1740" s="28"/>
      <c r="AS1740" s="20" t="str">
        <f>IF(AQ1740="","",IF($F1740="Bernardino Furlan",_xlfn.XLOOKUP(AQ1740,Cadastros!$G$6:$G$90,Cadastros!$H$6:$H$90)*(1-0.18),IF($F1740="Mauro José Salanti",_xlfn.XLOOKUP(AQ1740,Cadastros!$G$6:$G$90,Cadastros!$H$6:$H$90)*(1-0.18),_xlfn.XLOOKUP(AQ1740,Cadastros!$G$6:$G$90,Cadastros!$H$6:$H$90))))</f>
        <v/>
      </c>
      <c r="AT1740" s="168" t="str">
        <f t="shared" si="362"/>
        <v/>
      </c>
      <c r="AU1740" s="168" t="str">
        <f t="shared" si="363"/>
        <v/>
      </c>
      <c r="AV1740" s="227"/>
      <c r="AW1740" s="30"/>
      <c r="AX1740" s="267"/>
      <c r="AY1740" s="267"/>
      <c r="AZ1740" s="29"/>
      <c r="BA1740" s="30"/>
      <c r="BB1740" s="23" t="str" cm="1">
        <f t="array" ref="BB1740">_xlfn.IFS(AW1740="SIM",SUM(K1740,P1740,U1740,Z1740,AE1740,AJ1740,AO1740,AT1740,AX1740,AY1740),F1740&lt;&gt;"",SUM(K1740,P1740,U1740,Z1740,AE1740,AJ1740,,AO1740,AT1740),F1740="","")</f>
        <v/>
      </c>
      <c r="BC1740" s="211" t="str" cm="1">
        <f t="array" ref="BC1740">_xlfn.IFS(E1740="","",G1740&lt;=E1740,BB1740*(1-0.03),G1740&lt;(E1740+8),BB1740,AZ1740="Boleto",BB1740*(1+0.001)^DATEDIF(E1740,G1740,"D"),AZ1740="Cheque",BB1740,AZ1740="Dinheiro","Alterar forma pgto")</f>
        <v/>
      </c>
      <c r="BD1740" s="276" t="str" cm="1">
        <f t="array" ref="BD1740">IF(F1740=0," ",IF(BC1740&lt;BB1740,(_xlfn.IFS(AW1740="SIM",SUM(L1740,Q1740,V1740,AA1740,AF1740,AK1740,AP1740,AU1740)+AX1740/_xlfn.XLOOKUP(_xlfn.XLOOKUP($F1740,Clientes!$B$4:$B$39,Clientes!$C$4:$C$39),Cadastros!$L$6:$L$12,Cadastros!$M$6:$M$12)+IF($F1740="Bernardino Furlan",AY1740/2751.92,IF($F1740="Mauro José Salanti",AY1740/2751.92,AY1740/3356)),F1740&lt;&gt;0,SUM(L1740,Q1740,V1740,AA1740,AF1740,AK1740,AP1740,AU1740)))*(1-0.03),_xlfn.IFS(AW1740="SIM",SUM(L1740,Q1740,V1740,AA1740,AF1740,AK1740,AP1740,AU1740)+AX1740/_xlfn.XLOOKUP(_xlfn.XLOOKUP($F1740,Clientes!$B$4:$B$39,Clientes!$C$4:$C$39),Cadastros!$L$6:$L$12,Cadastros!$M$6:$M$12)+IF($F1740="Bernardino Furlan",AY1740/2751.92,IF($F1740="Mauro José Salanti",AY1740/2751.92,AY1740/3356)),F1740&lt;&gt;0,SUM(L1740,Q1740,V1740,AA1740,AF1740,AK1740,AP1740,AU1740))))</f>
        <v xml:space="preserve"> </v>
      </c>
      <c r="BE1740" s="120"/>
      <c r="BF1740" s="120"/>
      <c r="BG1740" s="120"/>
    </row>
    <row r="1741" spans="1:59" s="3" customFormat="1" x14ac:dyDescent="0.3">
      <c r="A1741" s="15" t="str">
        <f t="shared" si="351"/>
        <v/>
      </c>
      <c r="B1741" s="25"/>
      <c r="C1741" s="26"/>
      <c r="D1741" s="279"/>
      <c r="E1741" s="27"/>
      <c r="F1741" s="28"/>
      <c r="G1741" s="27"/>
      <c r="H1741" s="28"/>
      <c r="I1741" s="28"/>
      <c r="J1741" s="255" t="str">
        <f>IF(H1741="","",(_xlfn.XLOOKUP(H1741,Cadastros!$D$6:$D$90,Cadastros!$E$6:$E$90))*(1-_xlfn.XLOOKUP(_xlfn.XLOOKUP($F1741,Clientes!$B$4:$B$39,Clientes!$C$4:$C$39),Cadastros!$L$6:$L$12,Cadastros!$N$6:$N$12)))</f>
        <v/>
      </c>
      <c r="K1741" s="168" t="str">
        <f t="shared" si="352"/>
        <v/>
      </c>
      <c r="L1741" s="168" t="str">
        <f>IFERROR(K1741/_xlfn.XLOOKUP(_xlfn.XLOOKUP($F1741,Clientes!$B$4:$B$39,Clientes!$C$4:$C$39),Cadastros!$L$6:$L$12,Cadastros!$M$6:$M$12)," ")</f>
        <v xml:space="preserve"> </v>
      </c>
      <c r="M1741" s="28"/>
      <c r="N1741" s="28"/>
      <c r="O1741" s="255" t="str">
        <f>IF(M1741="","",(_xlfn.XLOOKUP(M1741,Cadastros!$D$6:$D$90,Cadastros!$E$6:$E$90))*(1-_xlfn.XLOOKUP(_xlfn.XLOOKUP($F1741,Clientes!$B$4:$B$39,Clientes!$C$4:$C$39),Cadastros!$L$6:$L$12,Cadastros!$N$6:$N$12)))</f>
        <v/>
      </c>
      <c r="P1741" s="168" t="str">
        <f t="shared" si="353"/>
        <v/>
      </c>
      <c r="Q1741" s="168" t="str">
        <f>IFERROR(P1741/_xlfn.XLOOKUP(_xlfn.XLOOKUP($F1741,Clientes!$B$4:$B$39,Clientes!$C$4:$C$39),Cadastros!$L$6:$L$12,Cadastros!$M$6:$M$12)," ")</f>
        <v xml:space="preserve"> </v>
      </c>
      <c r="R1741" s="28"/>
      <c r="S1741" s="28"/>
      <c r="T1741" s="255" t="str">
        <f>IF(R1741="","",(_xlfn.XLOOKUP(R1741,Cadastros!$D$6:$D$90,Cadastros!$E$6:$E$90))*(1-_xlfn.XLOOKUP(_xlfn.XLOOKUP($F1741,Clientes!$B$4:$B$39,Clientes!$C$4:$C$39),Cadastros!$L$6:$L$12,Cadastros!$N$6:$N$12)))</f>
        <v/>
      </c>
      <c r="U1741" s="168" t="str">
        <f t="shared" si="354"/>
        <v/>
      </c>
      <c r="V1741" s="168" t="str">
        <f>IFERROR(U1741/_xlfn.XLOOKUP(_xlfn.XLOOKUP($F1741,Clientes!$B$4:$B$39,Clientes!$C$4:$C$39),Cadastros!$L$6:$L$12,Cadastros!$M$6:$M$12)," ")</f>
        <v xml:space="preserve"> </v>
      </c>
      <c r="W1741" s="28"/>
      <c r="X1741" s="28"/>
      <c r="Y1741" s="255" t="str">
        <f>IF(W1741="","",(_xlfn.XLOOKUP(W1741,Cadastros!$D$6:$D$90,Cadastros!$E$6:$E$90))*(1-_xlfn.XLOOKUP(_xlfn.XLOOKUP($F1741,Clientes!$B$4:$B$39,Clientes!$C$4:$C$39),Cadastros!$L$6:$L$12,Cadastros!$N$6:$N$12)))</f>
        <v/>
      </c>
      <c r="Z1741" s="168" t="str">
        <f t="shared" si="355"/>
        <v/>
      </c>
      <c r="AA1741" s="168" t="str">
        <f>IFERROR(Z1741/_xlfn.XLOOKUP(_xlfn.XLOOKUP($F1741,Clientes!$B$4:$B$39,Clientes!$C$4:$C$39),Cadastros!$L$6:$L$12,Cadastros!$M$6:$M$12)," ")</f>
        <v xml:space="preserve"> </v>
      </c>
      <c r="AB1741" s="28"/>
      <c r="AC1741" s="28"/>
      <c r="AD1741" s="20" t="str">
        <f>IF(AB1741="","",IF($F1741="Bernardino Furlan",_xlfn.XLOOKUP(AB1741,Cadastros!$G$6:$G$90,Cadastros!$H$6:$H$90)*(1-0.18),IF($F1741="Mauro José Salanti",_xlfn.XLOOKUP(AB1741,Cadastros!$G$6:$G$90,Cadastros!$H$6:$H$90)*(1-0.18),_xlfn.XLOOKUP(AB1741,Cadastros!$G$6:$G$90,Cadastros!$H$6:$H$90))))</f>
        <v/>
      </c>
      <c r="AE1741" s="168" t="str">
        <f t="shared" si="356"/>
        <v/>
      </c>
      <c r="AF1741" s="168" t="str">
        <f t="shared" si="357"/>
        <v/>
      </c>
      <c r="AG1741" s="28"/>
      <c r="AH1741" s="28"/>
      <c r="AI1741" s="20" t="str">
        <f>IF(AG1741="","",IF($F1741="Bernardino Furlan",_xlfn.XLOOKUP(AG1741,Cadastros!$G$6:$G$90,Cadastros!$H$6:$H$90)*(1-0.18),IF($F1741="Mauro José Salanti",_xlfn.XLOOKUP(AG1741,Cadastros!$G$6:$G$90,Cadastros!$H$6:$H$90)*(1-0.18),_xlfn.XLOOKUP(AG1741,Cadastros!$G$6:$G$90,Cadastros!$H$6:$H$90))))</f>
        <v/>
      </c>
      <c r="AJ1741" s="168" t="str">
        <f t="shared" si="358"/>
        <v/>
      </c>
      <c r="AK1741" s="168" t="str">
        <f t="shared" si="359"/>
        <v/>
      </c>
      <c r="AL1741" s="28"/>
      <c r="AM1741" s="28"/>
      <c r="AN1741" s="20" t="str">
        <f>IF(AL1741="","",IF($F1741="Bernardino Furlan",_xlfn.XLOOKUP(AL1741,Cadastros!$G$6:$G$90,Cadastros!$H$6:$H$90)*(1-0.18),IF($F1741="Mauro José Salanti",_xlfn.XLOOKUP(AL1741,Cadastros!$G$6:$G$90,Cadastros!$H$6:$H$90)*(1-0.18),_xlfn.XLOOKUP(AL1741,Cadastros!$G$6:$G$90,Cadastros!$H$6:$H$90))))</f>
        <v/>
      </c>
      <c r="AO1741" s="168" t="str">
        <f t="shared" si="360"/>
        <v/>
      </c>
      <c r="AP1741" s="168" t="str">
        <f t="shared" si="361"/>
        <v/>
      </c>
      <c r="AQ1741" s="28"/>
      <c r="AR1741" s="28"/>
      <c r="AS1741" s="20" t="str">
        <f>IF(AQ1741="","",IF($F1741="Bernardino Furlan",_xlfn.XLOOKUP(AQ1741,Cadastros!$G$6:$G$90,Cadastros!$H$6:$H$90)*(1-0.18),IF($F1741="Mauro José Salanti",_xlfn.XLOOKUP(AQ1741,Cadastros!$G$6:$G$90,Cadastros!$H$6:$H$90)*(1-0.18),_xlfn.XLOOKUP(AQ1741,Cadastros!$G$6:$G$90,Cadastros!$H$6:$H$90))))</f>
        <v/>
      </c>
      <c r="AT1741" s="168" t="str">
        <f t="shared" si="362"/>
        <v/>
      </c>
      <c r="AU1741" s="168" t="str">
        <f t="shared" si="363"/>
        <v/>
      </c>
      <c r="AV1741" s="227"/>
      <c r="AW1741" s="30"/>
      <c r="AX1741" s="267"/>
      <c r="AY1741" s="267"/>
      <c r="AZ1741" s="29"/>
      <c r="BA1741" s="30"/>
      <c r="BB1741" s="23" t="str" cm="1">
        <f t="array" ref="BB1741">_xlfn.IFS(AW1741="SIM",SUM(K1741,P1741,U1741,Z1741,AE1741,AJ1741,AO1741,AT1741,AX1741,AY1741),F1741&lt;&gt;"",SUM(K1741,P1741,U1741,Z1741,AE1741,AJ1741,,AO1741,AT1741),F1741="","")</f>
        <v/>
      </c>
      <c r="BC1741" s="211" t="str" cm="1">
        <f t="array" ref="BC1741">_xlfn.IFS(E1741="","",G1741&lt;=E1741,BB1741*(1-0.03),G1741&lt;(E1741+8),BB1741,AZ1741="Boleto",BB1741*(1+0.001)^DATEDIF(E1741,G1741,"D"),AZ1741="Cheque",BB1741,AZ1741="Dinheiro","Alterar forma pgto")</f>
        <v/>
      </c>
      <c r="BD1741" s="276" t="str" cm="1">
        <f t="array" ref="BD1741">IF(F1741=0," ",IF(BC1741&lt;BB1741,(_xlfn.IFS(AW1741="SIM",SUM(L1741,Q1741,V1741,AA1741,AF1741,AK1741,AP1741,AU1741)+AX1741/_xlfn.XLOOKUP(_xlfn.XLOOKUP($F1741,Clientes!$B$4:$B$39,Clientes!$C$4:$C$39),Cadastros!$L$6:$L$12,Cadastros!$M$6:$M$12)+IF($F1741="Bernardino Furlan",AY1741/2751.92,IF($F1741="Mauro José Salanti",AY1741/2751.92,AY1741/3356)),F1741&lt;&gt;0,SUM(L1741,Q1741,V1741,AA1741,AF1741,AK1741,AP1741,AU1741)))*(1-0.03),_xlfn.IFS(AW1741="SIM",SUM(L1741,Q1741,V1741,AA1741,AF1741,AK1741,AP1741,AU1741)+AX1741/_xlfn.XLOOKUP(_xlfn.XLOOKUP($F1741,Clientes!$B$4:$B$39,Clientes!$C$4:$C$39),Cadastros!$L$6:$L$12,Cadastros!$M$6:$M$12)+IF($F1741="Bernardino Furlan",AY1741/2751.92,IF($F1741="Mauro José Salanti",AY1741/2751.92,AY1741/3356)),F1741&lt;&gt;0,SUM(L1741,Q1741,V1741,AA1741,AF1741,AK1741,AP1741,AU1741))))</f>
        <v xml:space="preserve"> </v>
      </c>
      <c r="BE1741" s="120"/>
      <c r="BF1741" s="120"/>
      <c r="BG1741" s="120"/>
    </row>
    <row r="1742" spans="1:59" s="3" customFormat="1" x14ac:dyDescent="0.3">
      <c r="A1742" s="15" t="str">
        <f t="shared" si="351"/>
        <v/>
      </c>
      <c r="B1742" s="25"/>
      <c r="C1742" s="26"/>
      <c r="D1742" s="279"/>
      <c r="E1742" s="27"/>
      <c r="F1742" s="28"/>
      <c r="G1742" s="27"/>
      <c r="H1742" s="28"/>
      <c r="I1742" s="28"/>
      <c r="J1742" s="255" t="str">
        <f>IF(H1742="","",(_xlfn.XLOOKUP(H1742,Cadastros!$D$6:$D$90,Cadastros!$E$6:$E$90))*(1-_xlfn.XLOOKUP(_xlfn.XLOOKUP($F1742,Clientes!$B$4:$B$39,Clientes!$C$4:$C$39),Cadastros!$L$6:$L$12,Cadastros!$N$6:$N$12)))</f>
        <v/>
      </c>
      <c r="K1742" s="168" t="str">
        <f t="shared" si="352"/>
        <v/>
      </c>
      <c r="L1742" s="168" t="str">
        <f>IFERROR(K1742/_xlfn.XLOOKUP(_xlfn.XLOOKUP($F1742,Clientes!$B$4:$B$39,Clientes!$C$4:$C$39),Cadastros!$L$6:$L$12,Cadastros!$M$6:$M$12)," ")</f>
        <v xml:space="preserve"> </v>
      </c>
      <c r="M1742" s="28"/>
      <c r="N1742" s="28"/>
      <c r="O1742" s="255" t="str">
        <f>IF(M1742="","",(_xlfn.XLOOKUP(M1742,Cadastros!$D$6:$D$90,Cadastros!$E$6:$E$90))*(1-_xlfn.XLOOKUP(_xlfn.XLOOKUP($F1742,Clientes!$B$4:$B$39,Clientes!$C$4:$C$39),Cadastros!$L$6:$L$12,Cadastros!$N$6:$N$12)))</f>
        <v/>
      </c>
      <c r="P1742" s="168" t="str">
        <f t="shared" si="353"/>
        <v/>
      </c>
      <c r="Q1742" s="168" t="str">
        <f>IFERROR(P1742/_xlfn.XLOOKUP(_xlfn.XLOOKUP($F1742,Clientes!$B$4:$B$39,Clientes!$C$4:$C$39),Cadastros!$L$6:$L$12,Cadastros!$M$6:$M$12)," ")</f>
        <v xml:space="preserve"> </v>
      </c>
      <c r="R1742" s="28"/>
      <c r="S1742" s="28"/>
      <c r="T1742" s="255" t="str">
        <f>IF(R1742="","",(_xlfn.XLOOKUP(R1742,Cadastros!$D$6:$D$90,Cadastros!$E$6:$E$90))*(1-_xlfn.XLOOKUP(_xlfn.XLOOKUP($F1742,Clientes!$B$4:$B$39,Clientes!$C$4:$C$39),Cadastros!$L$6:$L$12,Cadastros!$N$6:$N$12)))</f>
        <v/>
      </c>
      <c r="U1742" s="168" t="str">
        <f t="shared" si="354"/>
        <v/>
      </c>
      <c r="V1742" s="168" t="str">
        <f>IFERROR(U1742/_xlfn.XLOOKUP(_xlfn.XLOOKUP($F1742,Clientes!$B$4:$B$39,Clientes!$C$4:$C$39),Cadastros!$L$6:$L$12,Cadastros!$M$6:$M$12)," ")</f>
        <v xml:space="preserve"> </v>
      </c>
      <c r="W1742" s="28"/>
      <c r="X1742" s="28"/>
      <c r="Y1742" s="255" t="str">
        <f>IF(W1742="","",(_xlfn.XLOOKUP(W1742,Cadastros!$D$6:$D$90,Cadastros!$E$6:$E$90))*(1-_xlfn.XLOOKUP(_xlfn.XLOOKUP($F1742,Clientes!$B$4:$B$39,Clientes!$C$4:$C$39),Cadastros!$L$6:$L$12,Cadastros!$N$6:$N$12)))</f>
        <v/>
      </c>
      <c r="Z1742" s="168" t="str">
        <f t="shared" si="355"/>
        <v/>
      </c>
      <c r="AA1742" s="168" t="str">
        <f>IFERROR(Z1742/_xlfn.XLOOKUP(_xlfn.XLOOKUP($F1742,Clientes!$B$4:$B$39,Clientes!$C$4:$C$39),Cadastros!$L$6:$L$12,Cadastros!$M$6:$M$12)," ")</f>
        <v xml:space="preserve"> </v>
      </c>
      <c r="AB1742" s="28"/>
      <c r="AC1742" s="28"/>
      <c r="AD1742" s="20" t="str">
        <f>IF(AB1742="","",IF($F1742="Bernardino Furlan",_xlfn.XLOOKUP(AB1742,Cadastros!$G$6:$G$90,Cadastros!$H$6:$H$90)*(1-0.18),IF($F1742="Mauro José Salanti",_xlfn.XLOOKUP(AB1742,Cadastros!$G$6:$G$90,Cadastros!$H$6:$H$90)*(1-0.18),_xlfn.XLOOKUP(AB1742,Cadastros!$G$6:$G$90,Cadastros!$H$6:$H$90))))</f>
        <v/>
      </c>
      <c r="AE1742" s="168" t="str">
        <f t="shared" si="356"/>
        <v/>
      </c>
      <c r="AF1742" s="168" t="str">
        <f t="shared" si="357"/>
        <v/>
      </c>
      <c r="AG1742" s="28"/>
      <c r="AH1742" s="28"/>
      <c r="AI1742" s="20" t="str">
        <f>IF(AG1742="","",IF($F1742="Bernardino Furlan",_xlfn.XLOOKUP(AG1742,Cadastros!$G$6:$G$90,Cadastros!$H$6:$H$90)*(1-0.18),IF($F1742="Mauro José Salanti",_xlfn.XLOOKUP(AG1742,Cadastros!$G$6:$G$90,Cadastros!$H$6:$H$90)*(1-0.18),_xlfn.XLOOKUP(AG1742,Cadastros!$G$6:$G$90,Cadastros!$H$6:$H$90))))</f>
        <v/>
      </c>
      <c r="AJ1742" s="168" t="str">
        <f t="shared" si="358"/>
        <v/>
      </c>
      <c r="AK1742" s="168" t="str">
        <f t="shared" si="359"/>
        <v/>
      </c>
      <c r="AL1742" s="28"/>
      <c r="AM1742" s="28"/>
      <c r="AN1742" s="20" t="str">
        <f>IF(AL1742="","",IF($F1742="Bernardino Furlan",_xlfn.XLOOKUP(AL1742,Cadastros!$G$6:$G$90,Cadastros!$H$6:$H$90)*(1-0.18),IF($F1742="Mauro José Salanti",_xlfn.XLOOKUP(AL1742,Cadastros!$G$6:$G$90,Cadastros!$H$6:$H$90)*(1-0.18),_xlfn.XLOOKUP(AL1742,Cadastros!$G$6:$G$90,Cadastros!$H$6:$H$90))))</f>
        <v/>
      </c>
      <c r="AO1742" s="168" t="str">
        <f t="shared" si="360"/>
        <v/>
      </c>
      <c r="AP1742" s="168" t="str">
        <f t="shared" si="361"/>
        <v/>
      </c>
      <c r="AQ1742" s="28"/>
      <c r="AR1742" s="28"/>
      <c r="AS1742" s="20" t="str">
        <f>IF(AQ1742="","",IF($F1742="Bernardino Furlan",_xlfn.XLOOKUP(AQ1742,Cadastros!$G$6:$G$90,Cadastros!$H$6:$H$90)*(1-0.18),IF($F1742="Mauro José Salanti",_xlfn.XLOOKUP(AQ1742,Cadastros!$G$6:$G$90,Cadastros!$H$6:$H$90)*(1-0.18),_xlfn.XLOOKUP(AQ1742,Cadastros!$G$6:$G$90,Cadastros!$H$6:$H$90))))</f>
        <v/>
      </c>
      <c r="AT1742" s="168" t="str">
        <f t="shared" si="362"/>
        <v/>
      </c>
      <c r="AU1742" s="168" t="str">
        <f t="shared" si="363"/>
        <v/>
      </c>
      <c r="AV1742" s="227"/>
      <c r="AW1742" s="30"/>
      <c r="AX1742" s="267"/>
      <c r="AY1742" s="267"/>
      <c r="AZ1742" s="29"/>
      <c r="BA1742" s="30"/>
      <c r="BB1742" s="23" t="str" cm="1">
        <f t="array" ref="BB1742">_xlfn.IFS(AW1742="SIM",SUM(K1742,P1742,U1742,Z1742,AE1742,AJ1742,AO1742,AT1742,AX1742,AY1742),F1742&lt;&gt;"",SUM(K1742,P1742,U1742,Z1742,AE1742,AJ1742,,AO1742,AT1742),F1742="","")</f>
        <v/>
      </c>
      <c r="BC1742" s="211" t="str" cm="1">
        <f t="array" ref="BC1742">_xlfn.IFS(E1742="","",G1742&lt;=E1742,BB1742*(1-0.03),G1742&lt;(E1742+8),BB1742,AZ1742="Boleto",BB1742*(1+0.001)^DATEDIF(E1742,G1742,"D"),AZ1742="Cheque",BB1742,AZ1742="Dinheiro","Alterar forma pgto")</f>
        <v/>
      </c>
      <c r="BD1742" s="276" t="str" cm="1">
        <f t="array" ref="BD1742">IF(F1742=0," ",IF(BC1742&lt;BB1742,(_xlfn.IFS(AW1742="SIM",SUM(L1742,Q1742,V1742,AA1742,AF1742,AK1742,AP1742,AU1742)+AX1742/_xlfn.XLOOKUP(_xlfn.XLOOKUP($F1742,Clientes!$B$4:$B$39,Clientes!$C$4:$C$39),Cadastros!$L$6:$L$12,Cadastros!$M$6:$M$12)+IF($F1742="Bernardino Furlan",AY1742/2751.92,IF($F1742="Mauro José Salanti",AY1742/2751.92,AY1742/3356)),F1742&lt;&gt;0,SUM(L1742,Q1742,V1742,AA1742,AF1742,AK1742,AP1742,AU1742)))*(1-0.03),_xlfn.IFS(AW1742="SIM",SUM(L1742,Q1742,V1742,AA1742,AF1742,AK1742,AP1742,AU1742)+AX1742/_xlfn.XLOOKUP(_xlfn.XLOOKUP($F1742,Clientes!$B$4:$B$39,Clientes!$C$4:$C$39),Cadastros!$L$6:$L$12,Cadastros!$M$6:$M$12)+IF($F1742="Bernardino Furlan",AY1742/2751.92,IF($F1742="Mauro José Salanti",AY1742/2751.92,AY1742/3356)),F1742&lt;&gt;0,SUM(L1742,Q1742,V1742,AA1742,AF1742,AK1742,AP1742,AU1742))))</f>
        <v xml:space="preserve"> </v>
      </c>
      <c r="BE1742" s="120"/>
      <c r="BF1742" s="120"/>
      <c r="BG1742" s="120"/>
    </row>
    <row r="1743" spans="1:59" s="3" customFormat="1" x14ac:dyDescent="0.3">
      <c r="A1743" s="15" t="str">
        <f t="shared" si="351"/>
        <v/>
      </c>
      <c r="B1743" s="25"/>
      <c r="C1743" s="26"/>
      <c r="D1743" s="279"/>
      <c r="E1743" s="27"/>
      <c r="F1743" s="28"/>
      <c r="G1743" s="27"/>
      <c r="H1743" s="28"/>
      <c r="I1743" s="28"/>
      <c r="J1743" s="255" t="str">
        <f>IF(H1743="","",(_xlfn.XLOOKUP(H1743,Cadastros!$D$6:$D$90,Cadastros!$E$6:$E$90))*(1-_xlfn.XLOOKUP(_xlfn.XLOOKUP($F1743,Clientes!$B$4:$B$39,Clientes!$C$4:$C$39),Cadastros!$L$6:$L$12,Cadastros!$N$6:$N$12)))</f>
        <v/>
      </c>
      <c r="K1743" s="168" t="str">
        <f t="shared" si="352"/>
        <v/>
      </c>
      <c r="L1743" s="168" t="str">
        <f>IFERROR(K1743/_xlfn.XLOOKUP(_xlfn.XLOOKUP($F1743,Clientes!$B$4:$B$39,Clientes!$C$4:$C$39),Cadastros!$L$6:$L$12,Cadastros!$M$6:$M$12)," ")</f>
        <v xml:space="preserve"> </v>
      </c>
      <c r="M1743" s="28"/>
      <c r="N1743" s="28"/>
      <c r="O1743" s="255" t="str">
        <f>IF(M1743="","",(_xlfn.XLOOKUP(M1743,Cadastros!$D$6:$D$90,Cadastros!$E$6:$E$90))*(1-_xlfn.XLOOKUP(_xlfn.XLOOKUP($F1743,Clientes!$B$4:$B$39,Clientes!$C$4:$C$39),Cadastros!$L$6:$L$12,Cadastros!$N$6:$N$12)))</f>
        <v/>
      </c>
      <c r="P1743" s="168" t="str">
        <f t="shared" si="353"/>
        <v/>
      </c>
      <c r="Q1743" s="168" t="str">
        <f>IFERROR(P1743/_xlfn.XLOOKUP(_xlfn.XLOOKUP($F1743,Clientes!$B$4:$B$39,Clientes!$C$4:$C$39),Cadastros!$L$6:$L$12,Cadastros!$M$6:$M$12)," ")</f>
        <v xml:space="preserve"> </v>
      </c>
      <c r="R1743" s="28"/>
      <c r="S1743" s="28"/>
      <c r="T1743" s="255" t="str">
        <f>IF(R1743="","",(_xlfn.XLOOKUP(R1743,Cadastros!$D$6:$D$90,Cadastros!$E$6:$E$90))*(1-_xlfn.XLOOKUP(_xlfn.XLOOKUP($F1743,Clientes!$B$4:$B$39,Clientes!$C$4:$C$39),Cadastros!$L$6:$L$12,Cadastros!$N$6:$N$12)))</f>
        <v/>
      </c>
      <c r="U1743" s="168" t="str">
        <f t="shared" si="354"/>
        <v/>
      </c>
      <c r="V1743" s="168" t="str">
        <f>IFERROR(U1743/_xlfn.XLOOKUP(_xlfn.XLOOKUP($F1743,Clientes!$B$4:$B$39,Clientes!$C$4:$C$39),Cadastros!$L$6:$L$12,Cadastros!$M$6:$M$12)," ")</f>
        <v xml:space="preserve"> </v>
      </c>
      <c r="W1743" s="28"/>
      <c r="X1743" s="28"/>
      <c r="Y1743" s="255" t="str">
        <f>IF(W1743="","",(_xlfn.XLOOKUP(W1743,Cadastros!$D$6:$D$90,Cadastros!$E$6:$E$90))*(1-_xlfn.XLOOKUP(_xlfn.XLOOKUP($F1743,Clientes!$B$4:$B$39,Clientes!$C$4:$C$39),Cadastros!$L$6:$L$12,Cadastros!$N$6:$N$12)))</f>
        <v/>
      </c>
      <c r="Z1743" s="168" t="str">
        <f t="shared" si="355"/>
        <v/>
      </c>
      <c r="AA1743" s="168" t="str">
        <f>IFERROR(Z1743/_xlfn.XLOOKUP(_xlfn.XLOOKUP($F1743,Clientes!$B$4:$B$39,Clientes!$C$4:$C$39),Cadastros!$L$6:$L$12,Cadastros!$M$6:$M$12)," ")</f>
        <v xml:space="preserve"> </v>
      </c>
      <c r="AB1743" s="28"/>
      <c r="AC1743" s="28"/>
      <c r="AD1743" s="20" t="str">
        <f>IF(AB1743="","",IF($F1743="Bernardino Furlan",_xlfn.XLOOKUP(AB1743,Cadastros!$G$6:$G$90,Cadastros!$H$6:$H$90)*(1-0.18),IF($F1743="Mauro José Salanti",_xlfn.XLOOKUP(AB1743,Cadastros!$G$6:$G$90,Cadastros!$H$6:$H$90)*(1-0.18),_xlfn.XLOOKUP(AB1743,Cadastros!$G$6:$G$90,Cadastros!$H$6:$H$90))))</f>
        <v/>
      </c>
      <c r="AE1743" s="168" t="str">
        <f t="shared" si="356"/>
        <v/>
      </c>
      <c r="AF1743" s="168" t="str">
        <f t="shared" si="357"/>
        <v/>
      </c>
      <c r="AG1743" s="28"/>
      <c r="AH1743" s="28"/>
      <c r="AI1743" s="20" t="str">
        <f>IF(AG1743="","",IF($F1743="Bernardino Furlan",_xlfn.XLOOKUP(AG1743,Cadastros!$G$6:$G$90,Cadastros!$H$6:$H$90)*(1-0.18),IF($F1743="Mauro José Salanti",_xlfn.XLOOKUP(AG1743,Cadastros!$G$6:$G$90,Cadastros!$H$6:$H$90)*(1-0.18),_xlfn.XLOOKUP(AG1743,Cadastros!$G$6:$G$90,Cadastros!$H$6:$H$90))))</f>
        <v/>
      </c>
      <c r="AJ1743" s="168" t="str">
        <f t="shared" si="358"/>
        <v/>
      </c>
      <c r="AK1743" s="168" t="str">
        <f t="shared" si="359"/>
        <v/>
      </c>
      <c r="AL1743" s="28"/>
      <c r="AM1743" s="28"/>
      <c r="AN1743" s="20" t="str">
        <f>IF(AL1743="","",IF($F1743="Bernardino Furlan",_xlfn.XLOOKUP(AL1743,Cadastros!$G$6:$G$90,Cadastros!$H$6:$H$90)*(1-0.18),IF($F1743="Mauro José Salanti",_xlfn.XLOOKUP(AL1743,Cadastros!$G$6:$G$90,Cadastros!$H$6:$H$90)*(1-0.18),_xlfn.XLOOKUP(AL1743,Cadastros!$G$6:$G$90,Cadastros!$H$6:$H$90))))</f>
        <v/>
      </c>
      <c r="AO1743" s="168" t="str">
        <f t="shared" si="360"/>
        <v/>
      </c>
      <c r="AP1743" s="168" t="str">
        <f t="shared" si="361"/>
        <v/>
      </c>
      <c r="AQ1743" s="28"/>
      <c r="AR1743" s="28"/>
      <c r="AS1743" s="20" t="str">
        <f>IF(AQ1743="","",IF($F1743="Bernardino Furlan",_xlfn.XLOOKUP(AQ1743,Cadastros!$G$6:$G$90,Cadastros!$H$6:$H$90)*(1-0.18),IF($F1743="Mauro José Salanti",_xlfn.XLOOKUP(AQ1743,Cadastros!$G$6:$G$90,Cadastros!$H$6:$H$90)*(1-0.18),_xlfn.XLOOKUP(AQ1743,Cadastros!$G$6:$G$90,Cadastros!$H$6:$H$90))))</f>
        <v/>
      </c>
      <c r="AT1743" s="168" t="str">
        <f t="shared" si="362"/>
        <v/>
      </c>
      <c r="AU1743" s="168" t="str">
        <f t="shared" si="363"/>
        <v/>
      </c>
      <c r="AV1743" s="227"/>
      <c r="AW1743" s="30"/>
      <c r="AX1743" s="267"/>
      <c r="AY1743" s="267"/>
      <c r="AZ1743" s="29"/>
      <c r="BA1743" s="30"/>
      <c r="BB1743" s="23" t="str" cm="1">
        <f t="array" ref="BB1743">_xlfn.IFS(AW1743="SIM",SUM(K1743,P1743,U1743,Z1743,AE1743,AJ1743,AO1743,AT1743,AX1743,AY1743),F1743&lt;&gt;"",SUM(K1743,P1743,U1743,Z1743,AE1743,AJ1743,,AO1743,AT1743),F1743="","")</f>
        <v/>
      </c>
      <c r="BC1743" s="211" t="str" cm="1">
        <f t="array" ref="BC1743">_xlfn.IFS(E1743="","",G1743&lt;=E1743,BB1743*(1-0.03),G1743&lt;(E1743+8),BB1743,AZ1743="Boleto",BB1743*(1+0.001)^DATEDIF(E1743,G1743,"D"),AZ1743="Cheque",BB1743,AZ1743="Dinheiro","Alterar forma pgto")</f>
        <v/>
      </c>
      <c r="BD1743" s="276" t="str" cm="1">
        <f t="array" ref="BD1743">IF(F1743=0," ",IF(BC1743&lt;BB1743,(_xlfn.IFS(AW1743="SIM",SUM(L1743,Q1743,V1743,AA1743,AF1743,AK1743,AP1743,AU1743)+AX1743/_xlfn.XLOOKUP(_xlfn.XLOOKUP($F1743,Clientes!$B$4:$B$39,Clientes!$C$4:$C$39),Cadastros!$L$6:$L$12,Cadastros!$M$6:$M$12)+IF($F1743="Bernardino Furlan",AY1743/2751.92,IF($F1743="Mauro José Salanti",AY1743/2751.92,AY1743/3356)),F1743&lt;&gt;0,SUM(L1743,Q1743,V1743,AA1743,AF1743,AK1743,AP1743,AU1743)))*(1-0.03),_xlfn.IFS(AW1743="SIM",SUM(L1743,Q1743,V1743,AA1743,AF1743,AK1743,AP1743,AU1743)+AX1743/_xlfn.XLOOKUP(_xlfn.XLOOKUP($F1743,Clientes!$B$4:$B$39,Clientes!$C$4:$C$39),Cadastros!$L$6:$L$12,Cadastros!$M$6:$M$12)+IF($F1743="Bernardino Furlan",AY1743/2751.92,IF($F1743="Mauro José Salanti",AY1743/2751.92,AY1743/3356)),F1743&lt;&gt;0,SUM(L1743,Q1743,V1743,AA1743,AF1743,AK1743,AP1743,AU1743))))</f>
        <v xml:space="preserve"> </v>
      </c>
      <c r="BE1743" s="120"/>
      <c r="BF1743" s="120"/>
      <c r="BG1743" s="120"/>
    </row>
    <row r="1744" spans="1:59" s="3" customFormat="1" x14ac:dyDescent="0.3">
      <c r="A1744" s="15" t="str">
        <f t="shared" si="351"/>
        <v/>
      </c>
      <c r="B1744" s="25"/>
      <c r="C1744" s="26"/>
      <c r="D1744" s="279"/>
      <c r="E1744" s="27"/>
      <c r="F1744" s="28"/>
      <c r="G1744" s="27"/>
      <c r="H1744" s="28"/>
      <c r="I1744" s="28"/>
      <c r="J1744" s="255" t="str">
        <f>IF(H1744="","",(_xlfn.XLOOKUP(H1744,Cadastros!$D$6:$D$90,Cadastros!$E$6:$E$90))*(1-_xlfn.XLOOKUP(_xlfn.XLOOKUP($F1744,Clientes!$B$4:$B$39,Clientes!$C$4:$C$39),Cadastros!$L$6:$L$12,Cadastros!$N$6:$N$12)))</f>
        <v/>
      </c>
      <c r="K1744" s="168" t="str">
        <f t="shared" si="352"/>
        <v/>
      </c>
      <c r="L1744" s="168" t="str">
        <f>IFERROR(K1744/_xlfn.XLOOKUP(_xlfn.XLOOKUP($F1744,Clientes!$B$4:$B$39,Clientes!$C$4:$C$39),Cadastros!$L$6:$L$12,Cadastros!$M$6:$M$12)," ")</f>
        <v xml:space="preserve"> </v>
      </c>
      <c r="M1744" s="28"/>
      <c r="N1744" s="28"/>
      <c r="O1744" s="255" t="str">
        <f>IF(M1744="","",(_xlfn.XLOOKUP(M1744,Cadastros!$D$6:$D$90,Cadastros!$E$6:$E$90))*(1-_xlfn.XLOOKUP(_xlfn.XLOOKUP($F1744,Clientes!$B$4:$B$39,Clientes!$C$4:$C$39),Cadastros!$L$6:$L$12,Cadastros!$N$6:$N$12)))</f>
        <v/>
      </c>
      <c r="P1744" s="168" t="str">
        <f t="shared" si="353"/>
        <v/>
      </c>
      <c r="Q1744" s="168" t="str">
        <f>IFERROR(P1744/_xlfn.XLOOKUP(_xlfn.XLOOKUP($F1744,Clientes!$B$4:$B$39,Clientes!$C$4:$C$39),Cadastros!$L$6:$L$12,Cadastros!$M$6:$M$12)," ")</f>
        <v xml:space="preserve"> </v>
      </c>
      <c r="R1744" s="28"/>
      <c r="S1744" s="28"/>
      <c r="T1744" s="255" t="str">
        <f>IF(R1744="","",(_xlfn.XLOOKUP(R1744,Cadastros!$D$6:$D$90,Cadastros!$E$6:$E$90))*(1-_xlfn.XLOOKUP(_xlfn.XLOOKUP($F1744,Clientes!$B$4:$B$39,Clientes!$C$4:$C$39),Cadastros!$L$6:$L$12,Cadastros!$N$6:$N$12)))</f>
        <v/>
      </c>
      <c r="U1744" s="168" t="str">
        <f t="shared" si="354"/>
        <v/>
      </c>
      <c r="V1744" s="168" t="str">
        <f>IFERROR(U1744/_xlfn.XLOOKUP(_xlfn.XLOOKUP($F1744,Clientes!$B$4:$B$39,Clientes!$C$4:$C$39),Cadastros!$L$6:$L$12,Cadastros!$M$6:$M$12)," ")</f>
        <v xml:space="preserve"> </v>
      </c>
      <c r="W1744" s="28"/>
      <c r="X1744" s="28"/>
      <c r="Y1744" s="255" t="str">
        <f>IF(W1744="","",(_xlfn.XLOOKUP(W1744,Cadastros!$D$6:$D$90,Cadastros!$E$6:$E$90))*(1-_xlfn.XLOOKUP(_xlfn.XLOOKUP($F1744,Clientes!$B$4:$B$39,Clientes!$C$4:$C$39),Cadastros!$L$6:$L$12,Cadastros!$N$6:$N$12)))</f>
        <v/>
      </c>
      <c r="Z1744" s="168" t="str">
        <f t="shared" si="355"/>
        <v/>
      </c>
      <c r="AA1744" s="168" t="str">
        <f>IFERROR(Z1744/_xlfn.XLOOKUP(_xlfn.XLOOKUP($F1744,Clientes!$B$4:$B$39,Clientes!$C$4:$C$39),Cadastros!$L$6:$L$12,Cadastros!$M$6:$M$12)," ")</f>
        <v xml:space="preserve"> </v>
      </c>
      <c r="AB1744" s="28"/>
      <c r="AC1744" s="28"/>
      <c r="AD1744" s="20" t="str">
        <f>IF(AB1744="","",IF($F1744="Bernardino Furlan",_xlfn.XLOOKUP(AB1744,Cadastros!$G$6:$G$90,Cadastros!$H$6:$H$90)*(1-0.18),IF($F1744="Mauro José Salanti",_xlfn.XLOOKUP(AB1744,Cadastros!$G$6:$G$90,Cadastros!$H$6:$H$90)*(1-0.18),_xlfn.XLOOKUP(AB1744,Cadastros!$G$6:$G$90,Cadastros!$H$6:$H$90))))</f>
        <v/>
      </c>
      <c r="AE1744" s="168" t="str">
        <f t="shared" si="356"/>
        <v/>
      </c>
      <c r="AF1744" s="168" t="str">
        <f t="shared" si="357"/>
        <v/>
      </c>
      <c r="AG1744" s="28"/>
      <c r="AH1744" s="28"/>
      <c r="AI1744" s="20" t="str">
        <f>IF(AG1744="","",IF($F1744="Bernardino Furlan",_xlfn.XLOOKUP(AG1744,Cadastros!$G$6:$G$90,Cadastros!$H$6:$H$90)*(1-0.18),IF($F1744="Mauro José Salanti",_xlfn.XLOOKUP(AG1744,Cadastros!$G$6:$G$90,Cadastros!$H$6:$H$90)*(1-0.18),_xlfn.XLOOKUP(AG1744,Cadastros!$G$6:$G$90,Cadastros!$H$6:$H$90))))</f>
        <v/>
      </c>
      <c r="AJ1744" s="168" t="str">
        <f t="shared" si="358"/>
        <v/>
      </c>
      <c r="AK1744" s="168" t="str">
        <f t="shared" si="359"/>
        <v/>
      </c>
      <c r="AL1744" s="28"/>
      <c r="AM1744" s="28"/>
      <c r="AN1744" s="20" t="str">
        <f>IF(AL1744="","",IF($F1744="Bernardino Furlan",_xlfn.XLOOKUP(AL1744,Cadastros!$G$6:$G$90,Cadastros!$H$6:$H$90)*(1-0.18),IF($F1744="Mauro José Salanti",_xlfn.XLOOKUP(AL1744,Cadastros!$G$6:$G$90,Cadastros!$H$6:$H$90)*(1-0.18),_xlfn.XLOOKUP(AL1744,Cadastros!$G$6:$G$90,Cadastros!$H$6:$H$90))))</f>
        <v/>
      </c>
      <c r="AO1744" s="168" t="str">
        <f t="shared" si="360"/>
        <v/>
      </c>
      <c r="AP1744" s="168" t="str">
        <f t="shared" si="361"/>
        <v/>
      </c>
      <c r="AQ1744" s="28"/>
      <c r="AR1744" s="28"/>
      <c r="AS1744" s="20" t="str">
        <f>IF(AQ1744="","",IF($F1744="Bernardino Furlan",_xlfn.XLOOKUP(AQ1744,Cadastros!$G$6:$G$90,Cadastros!$H$6:$H$90)*(1-0.18),IF($F1744="Mauro José Salanti",_xlfn.XLOOKUP(AQ1744,Cadastros!$G$6:$G$90,Cadastros!$H$6:$H$90)*(1-0.18),_xlfn.XLOOKUP(AQ1744,Cadastros!$G$6:$G$90,Cadastros!$H$6:$H$90))))</f>
        <v/>
      </c>
      <c r="AT1744" s="168" t="str">
        <f t="shared" si="362"/>
        <v/>
      </c>
      <c r="AU1744" s="168" t="str">
        <f t="shared" si="363"/>
        <v/>
      </c>
      <c r="AV1744" s="227"/>
      <c r="AW1744" s="30"/>
      <c r="AX1744" s="267"/>
      <c r="AY1744" s="267"/>
      <c r="AZ1744" s="29"/>
      <c r="BA1744" s="30"/>
      <c r="BB1744" s="23" t="str" cm="1">
        <f t="array" ref="BB1744">_xlfn.IFS(AW1744="SIM",SUM(K1744,P1744,U1744,Z1744,AE1744,AJ1744,AO1744,AT1744,AX1744,AY1744),F1744&lt;&gt;"",SUM(K1744,P1744,U1744,Z1744,AE1744,AJ1744,,AO1744,AT1744),F1744="","")</f>
        <v/>
      </c>
      <c r="BC1744" s="211" t="str" cm="1">
        <f t="array" ref="BC1744">_xlfn.IFS(E1744="","",G1744&lt;=E1744,BB1744*(1-0.03),G1744&lt;(E1744+8),BB1744,AZ1744="Boleto",BB1744*(1+0.001)^DATEDIF(E1744,G1744,"D"),AZ1744="Cheque",BB1744,AZ1744="Dinheiro","Alterar forma pgto")</f>
        <v/>
      </c>
      <c r="BD1744" s="276" t="str" cm="1">
        <f t="array" ref="BD1744">IF(F1744=0," ",IF(BC1744&lt;BB1744,(_xlfn.IFS(AW1744="SIM",SUM(L1744,Q1744,V1744,AA1744,AF1744,AK1744,AP1744,AU1744)+AX1744/_xlfn.XLOOKUP(_xlfn.XLOOKUP($F1744,Clientes!$B$4:$B$39,Clientes!$C$4:$C$39),Cadastros!$L$6:$L$12,Cadastros!$M$6:$M$12)+IF($F1744="Bernardino Furlan",AY1744/2751.92,IF($F1744="Mauro José Salanti",AY1744/2751.92,AY1744/3356)),F1744&lt;&gt;0,SUM(L1744,Q1744,V1744,AA1744,AF1744,AK1744,AP1744,AU1744)))*(1-0.03),_xlfn.IFS(AW1744="SIM",SUM(L1744,Q1744,V1744,AA1744,AF1744,AK1744,AP1744,AU1744)+AX1744/_xlfn.XLOOKUP(_xlfn.XLOOKUP($F1744,Clientes!$B$4:$B$39,Clientes!$C$4:$C$39),Cadastros!$L$6:$L$12,Cadastros!$M$6:$M$12)+IF($F1744="Bernardino Furlan",AY1744/2751.92,IF($F1744="Mauro José Salanti",AY1744/2751.92,AY1744/3356)),F1744&lt;&gt;0,SUM(L1744,Q1744,V1744,AA1744,AF1744,AK1744,AP1744,AU1744))))</f>
        <v xml:space="preserve"> </v>
      </c>
      <c r="BE1744" s="120"/>
      <c r="BF1744" s="120"/>
      <c r="BG1744" s="120"/>
    </row>
    <row r="1745" spans="1:59" s="3" customFormat="1" x14ac:dyDescent="0.3">
      <c r="A1745" s="15" t="str">
        <f t="shared" si="351"/>
        <v/>
      </c>
      <c r="B1745" s="25"/>
      <c r="C1745" s="26"/>
      <c r="D1745" s="279"/>
      <c r="E1745" s="27"/>
      <c r="F1745" s="28"/>
      <c r="G1745" s="27"/>
      <c r="H1745" s="28"/>
      <c r="I1745" s="28"/>
      <c r="J1745" s="255" t="str">
        <f>IF(H1745="","",(_xlfn.XLOOKUP(H1745,Cadastros!$D$6:$D$90,Cadastros!$E$6:$E$90))*(1-_xlfn.XLOOKUP(_xlfn.XLOOKUP($F1745,Clientes!$B$4:$B$39,Clientes!$C$4:$C$39),Cadastros!$L$6:$L$12,Cadastros!$N$6:$N$12)))</f>
        <v/>
      </c>
      <c r="K1745" s="168" t="str">
        <f t="shared" si="352"/>
        <v/>
      </c>
      <c r="L1745" s="168" t="str">
        <f>IFERROR(K1745/_xlfn.XLOOKUP(_xlfn.XLOOKUP($F1745,Clientes!$B$4:$B$39,Clientes!$C$4:$C$39),Cadastros!$L$6:$L$12,Cadastros!$M$6:$M$12)," ")</f>
        <v xml:space="preserve"> </v>
      </c>
      <c r="M1745" s="28"/>
      <c r="N1745" s="28"/>
      <c r="O1745" s="255" t="str">
        <f>IF(M1745="","",(_xlfn.XLOOKUP(M1745,Cadastros!$D$6:$D$90,Cadastros!$E$6:$E$90))*(1-_xlfn.XLOOKUP(_xlfn.XLOOKUP($F1745,Clientes!$B$4:$B$39,Clientes!$C$4:$C$39),Cadastros!$L$6:$L$12,Cadastros!$N$6:$N$12)))</f>
        <v/>
      </c>
      <c r="P1745" s="168" t="str">
        <f t="shared" si="353"/>
        <v/>
      </c>
      <c r="Q1745" s="168" t="str">
        <f>IFERROR(P1745/_xlfn.XLOOKUP(_xlfn.XLOOKUP($F1745,Clientes!$B$4:$B$39,Clientes!$C$4:$C$39),Cadastros!$L$6:$L$12,Cadastros!$M$6:$M$12)," ")</f>
        <v xml:space="preserve"> </v>
      </c>
      <c r="R1745" s="28"/>
      <c r="S1745" s="28"/>
      <c r="T1745" s="255" t="str">
        <f>IF(R1745="","",(_xlfn.XLOOKUP(R1745,Cadastros!$D$6:$D$90,Cadastros!$E$6:$E$90))*(1-_xlfn.XLOOKUP(_xlfn.XLOOKUP($F1745,Clientes!$B$4:$B$39,Clientes!$C$4:$C$39),Cadastros!$L$6:$L$12,Cadastros!$N$6:$N$12)))</f>
        <v/>
      </c>
      <c r="U1745" s="168" t="str">
        <f t="shared" si="354"/>
        <v/>
      </c>
      <c r="V1745" s="168" t="str">
        <f>IFERROR(U1745/_xlfn.XLOOKUP(_xlfn.XLOOKUP($F1745,Clientes!$B$4:$B$39,Clientes!$C$4:$C$39),Cadastros!$L$6:$L$12,Cadastros!$M$6:$M$12)," ")</f>
        <v xml:space="preserve"> </v>
      </c>
      <c r="W1745" s="28"/>
      <c r="X1745" s="28"/>
      <c r="Y1745" s="255" t="str">
        <f>IF(W1745="","",(_xlfn.XLOOKUP(W1745,Cadastros!$D$6:$D$90,Cadastros!$E$6:$E$90))*(1-_xlfn.XLOOKUP(_xlfn.XLOOKUP($F1745,Clientes!$B$4:$B$39,Clientes!$C$4:$C$39),Cadastros!$L$6:$L$12,Cadastros!$N$6:$N$12)))</f>
        <v/>
      </c>
      <c r="Z1745" s="168" t="str">
        <f t="shared" si="355"/>
        <v/>
      </c>
      <c r="AA1745" s="168" t="str">
        <f>IFERROR(Z1745/_xlfn.XLOOKUP(_xlfn.XLOOKUP($F1745,Clientes!$B$4:$B$39,Clientes!$C$4:$C$39),Cadastros!$L$6:$L$12,Cadastros!$M$6:$M$12)," ")</f>
        <v xml:space="preserve"> </v>
      </c>
      <c r="AB1745" s="28"/>
      <c r="AC1745" s="28"/>
      <c r="AD1745" s="20" t="str">
        <f>IF(AB1745="","",IF($F1745="Bernardino Furlan",_xlfn.XLOOKUP(AB1745,Cadastros!$G$6:$G$90,Cadastros!$H$6:$H$90)*(1-0.18),IF($F1745="Mauro José Salanti",_xlfn.XLOOKUP(AB1745,Cadastros!$G$6:$G$90,Cadastros!$H$6:$H$90)*(1-0.18),_xlfn.XLOOKUP(AB1745,Cadastros!$G$6:$G$90,Cadastros!$H$6:$H$90))))</f>
        <v/>
      </c>
      <c r="AE1745" s="168" t="str">
        <f t="shared" si="356"/>
        <v/>
      </c>
      <c r="AF1745" s="168" t="str">
        <f t="shared" si="357"/>
        <v/>
      </c>
      <c r="AG1745" s="28"/>
      <c r="AH1745" s="28"/>
      <c r="AI1745" s="20" t="str">
        <f>IF(AG1745="","",IF($F1745="Bernardino Furlan",_xlfn.XLOOKUP(AG1745,Cadastros!$G$6:$G$90,Cadastros!$H$6:$H$90)*(1-0.18),IF($F1745="Mauro José Salanti",_xlfn.XLOOKUP(AG1745,Cadastros!$G$6:$G$90,Cadastros!$H$6:$H$90)*(1-0.18),_xlfn.XLOOKUP(AG1745,Cadastros!$G$6:$G$90,Cadastros!$H$6:$H$90))))</f>
        <v/>
      </c>
      <c r="AJ1745" s="168" t="str">
        <f t="shared" si="358"/>
        <v/>
      </c>
      <c r="AK1745" s="168" t="str">
        <f t="shared" si="359"/>
        <v/>
      </c>
      <c r="AL1745" s="28"/>
      <c r="AM1745" s="28"/>
      <c r="AN1745" s="20" t="str">
        <f>IF(AL1745="","",IF($F1745="Bernardino Furlan",_xlfn.XLOOKUP(AL1745,Cadastros!$G$6:$G$90,Cadastros!$H$6:$H$90)*(1-0.18),IF($F1745="Mauro José Salanti",_xlfn.XLOOKUP(AL1745,Cadastros!$G$6:$G$90,Cadastros!$H$6:$H$90)*(1-0.18),_xlfn.XLOOKUP(AL1745,Cadastros!$G$6:$G$90,Cadastros!$H$6:$H$90))))</f>
        <v/>
      </c>
      <c r="AO1745" s="168" t="str">
        <f t="shared" si="360"/>
        <v/>
      </c>
      <c r="AP1745" s="168" t="str">
        <f t="shared" si="361"/>
        <v/>
      </c>
      <c r="AQ1745" s="28"/>
      <c r="AR1745" s="28"/>
      <c r="AS1745" s="20" t="str">
        <f>IF(AQ1745="","",IF($F1745="Bernardino Furlan",_xlfn.XLOOKUP(AQ1745,Cadastros!$G$6:$G$90,Cadastros!$H$6:$H$90)*(1-0.18),IF($F1745="Mauro José Salanti",_xlfn.XLOOKUP(AQ1745,Cadastros!$G$6:$G$90,Cadastros!$H$6:$H$90)*(1-0.18),_xlfn.XLOOKUP(AQ1745,Cadastros!$G$6:$G$90,Cadastros!$H$6:$H$90))))</f>
        <v/>
      </c>
      <c r="AT1745" s="168" t="str">
        <f t="shared" si="362"/>
        <v/>
      </c>
      <c r="AU1745" s="168" t="str">
        <f t="shared" si="363"/>
        <v/>
      </c>
      <c r="AV1745" s="227"/>
      <c r="AW1745" s="30"/>
      <c r="AX1745" s="267"/>
      <c r="AY1745" s="267"/>
      <c r="AZ1745" s="29"/>
      <c r="BA1745" s="30"/>
      <c r="BB1745" s="23" t="str" cm="1">
        <f t="array" ref="BB1745">_xlfn.IFS(AW1745="SIM",SUM(K1745,P1745,U1745,Z1745,AE1745,AJ1745,AO1745,AT1745,AX1745,AY1745),F1745&lt;&gt;"",SUM(K1745,P1745,U1745,Z1745,AE1745,AJ1745,,AO1745,AT1745),F1745="","")</f>
        <v/>
      </c>
      <c r="BC1745" s="211" t="str" cm="1">
        <f t="array" ref="BC1745">_xlfn.IFS(E1745="","",G1745&lt;=E1745,BB1745*(1-0.03),G1745&lt;(E1745+8),BB1745,AZ1745="Boleto",BB1745*(1+0.001)^DATEDIF(E1745,G1745,"D"),AZ1745="Cheque",BB1745,AZ1745="Dinheiro","Alterar forma pgto")</f>
        <v/>
      </c>
      <c r="BD1745" s="276" t="str" cm="1">
        <f t="array" ref="BD1745">IF(F1745=0," ",IF(BC1745&lt;BB1745,(_xlfn.IFS(AW1745="SIM",SUM(L1745,Q1745,V1745,AA1745,AF1745,AK1745,AP1745,AU1745)+AX1745/_xlfn.XLOOKUP(_xlfn.XLOOKUP($F1745,Clientes!$B$4:$B$39,Clientes!$C$4:$C$39),Cadastros!$L$6:$L$12,Cadastros!$M$6:$M$12)+IF($F1745="Bernardino Furlan",AY1745/2751.92,IF($F1745="Mauro José Salanti",AY1745/2751.92,AY1745/3356)),F1745&lt;&gt;0,SUM(L1745,Q1745,V1745,AA1745,AF1745,AK1745,AP1745,AU1745)))*(1-0.03),_xlfn.IFS(AW1745="SIM",SUM(L1745,Q1745,V1745,AA1745,AF1745,AK1745,AP1745,AU1745)+AX1745/_xlfn.XLOOKUP(_xlfn.XLOOKUP($F1745,Clientes!$B$4:$B$39,Clientes!$C$4:$C$39),Cadastros!$L$6:$L$12,Cadastros!$M$6:$M$12)+IF($F1745="Bernardino Furlan",AY1745/2751.92,IF($F1745="Mauro José Salanti",AY1745/2751.92,AY1745/3356)),F1745&lt;&gt;0,SUM(L1745,Q1745,V1745,AA1745,AF1745,AK1745,AP1745,AU1745))))</f>
        <v xml:space="preserve"> </v>
      </c>
      <c r="BE1745" s="120"/>
      <c r="BF1745" s="120"/>
      <c r="BG1745" s="120"/>
    </row>
    <row r="1746" spans="1:59" s="3" customFormat="1" x14ac:dyDescent="0.3">
      <c r="A1746" s="15" t="str">
        <f t="shared" si="351"/>
        <v/>
      </c>
      <c r="B1746" s="25"/>
      <c r="C1746" s="26"/>
      <c r="D1746" s="279"/>
      <c r="E1746" s="27"/>
      <c r="F1746" s="28"/>
      <c r="G1746" s="27"/>
      <c r="H1746" s="28"/>
      <c r="I1746" s="28"/>
      <c r="J1746" s="255" t="str">
        <f>IF(H1746="","",(_xlfn.XLOOKUP(H1746,Cadastros!$D$6:$D$90,Cadastros!$E$6:$E$90))*(1-_xlfn.XLOOKUP(_xlfn.XLOOKUP($F1746,Clientes!$B$4:$B$39,Clientes!$C$4:$C$39),Cadastros!$L$6:$L$12,Cadastros!$N$6:$N$12)))</f>
        <v/>
      </c>
      <c r="K1746" s="168" t="str">
        <f t="shared" si="352"/>
        <v/>
      </c>
      <c r="L1746" s="168" t="str">
        <f>IFERROR(K1746/_xlfn.XLOOKUP(_xlfn.XLOOKUP($F1746,Clientes!$B$4:$B$39,Clientes!$C$4:$C$39),Cadastros!$L$6:$L$12,Cadastros!$M$6:$M$12)," ")</f>
        <v xml:space="preserve"> </v>
      </c>
      <c r="M1746" s="28"/>
      <c r="N1746" s="28"/>
      <c r="O1746" s="255" t="str">
        <f>IF(M1746="","",(_xlfn.XLOOKUP(M1746,Cadastros!$D$6:$D$90,Cadastros!$E$6:$E$90))*(1-_xlfn.XLOOKUP(_xlfn.XLOOKUP($F1746,Clientes!$B$4:$B$39,Clientes!$C$4:$C$39),Cadastros!$L$6:$L$12,Cadastros!$N$6:$N$12)))</f>
        <v/>
      </c>
      <c r="P1746" s="168" t="str">
        <f t="shared" si="353"/>
        <v/>
      </c>
      <c r="Q1746" s="168" t="str">
        <f>IFERROR(P1746/_xlfn.XLOOKUP(_xlfn.XLOOKUP($F1746,Clientes!$B$4:$B$39,Clientes!$C$4:$C$39),Cadastros!$L$6:$L$12,Cadastros!$M$6:$M$12)," ")</f>
        <v xml:space="preserve"> </v>
      </c>
      <c r="R1746" s="28"/>
      <c r="S1746" s="28"/>
      <c r="T1746" s="255" t="str">
        <f>IF(R1746="","",(_xlfn.XLOOKUP(R1746,Cadastros!$D$6:$D$90,Cadastros!$E$6:$E$90))*(1-_xlfn.XLOOKUP(_xlfn.XLOOKUP($F1746,Clientes!$B$4:$B$39,Clientes!$C$4:$C$39),Cadastros!$L$6:$L$12,Cadastros!$N$6:$N$12)))</f>
        <v/>
      </c>
      <c r="U1746" s="168" t="str">
        <f t="shared" si="354"/>
        <v/>
      </c>
      <c r="V1746" s="168" t="str">
        <f>IFERROR(U1746/_xlfn.XLOOKUP(_xlfn.XLOOKUP($F1746,Clientes!$B$4:$B$39,Clientes!$C$4:$C$39),Cadastros!$L$6:$L$12,Cadastros!$M$6:$M$12)," ")</f>
        <v xml:space="preserve"> </v>
      </c>
      <c r="W1746" s="28"/>
      <c r="X1746" s="28"/>
      <c r="Y1746" s="255" t="str">
        <f>IF(W1746="","",(_xlfn.XLOOKUP(W1746,Cadastros!$D$6:$D$90,Cadastros!$E$6:$E$90))*(1-_xlfn.XLOOKUP(_xlfn.XLOOKUP($F1746,Clientes!$B$4:$B$39,Clientes!$C$4:$C$39),Cadastros!$L$6:$L$12,Cadastros!$N$6:$N$12)))</f>
        <v/>
      </c>
      <c r="Z1746" s="168" t="str">
        <f t="shared" si="355"/>
        <v/>
      </c>
      <c r="AA1746" s="168" t="str">
        <f>IFERROR(Z1746/_xlfn.XLOOKUP(_xlfn.XLOOKUP($F1746,Clientes!$B$4:$B$39,Clientes!$C$4:$C$39),Cadastros!$L$6:$L$12,Cadastros!$M$6:$M$12)," ")</f>
        <v xml:space="preserve"> </v>
      </c>
      <c r="AB1746" s="28"/>
      <c r="AC1746" s="28"/>
      <c r="AD1746" s="20" t="str">
        <f>IF(AB1746="","",IF($F1746="Bernardino Furlan",_xlfn.XLOOKUP(AB1746,Cadastros!$G$6:$G$90,Cadastros!$H$6:$H$90)*(1-0.18),IF($F1746="Mauro José Salanti",_xlfn.XLOOKUP(AB1746,Cadastros!$G$6:$G$90,Cadastros!$H$6:$H$90)*(1-0.18),_xlfn.XLOOKUP(AB1746,Cadastros!$G$6:$G$90,Cadastros!$H$6:$H$90))))</f>
        <v/>
      </c>
      <c r="AE1746" s="168" t="str">
        <f t="shared" si="356"/>
        <v/>
      </c>
      <c r="AF1746" s="168" t="str">
        <f t="shared" si="357"/>
        <v/>
      </c>
      <c r="AG1746" s="28"/>
      <c r="AH1746" s="28"/>
      <c r="AI1746" s="20" t="str">
        <f>IF(AG1746="","",IF($F1746="Bernardino Furlan",_xlfn.XLOOKUP(AG1746,Cadastros!$G$6:$G$90,Cadastros!$H$6:$H$90)*(1-0.18),IF($F1746="Mauro José Salanti",_xlfn.XLOOKUP(AG1746,Cadastros!$G$6:$G$90,Cadastros!$H$6:$H$90)*(1-0.18),_xlfn.XLOOKUP(AG1746,Cadastros!$G$6:$G$90,Cadastros!$H$6:$H$90))))</f>
        <v/>
      </c>
      <c r="AJ1746" s="168" t="str">
        <f t="shared" si="358"/>
        <v/>
      </c>
      <c r="AK1746" s="168" t="str">
        <f t="shared" si="359"/>
        <v/>
      </c>
      <c r="AL1746" s="28"/>
      <c r="AM1746" s="28"/>
      <c r="AN1746" s="20" t="str">
        <f>IF(AL1746="","",IF($F1746="Bernardino Furlan",_xlfn.XLOOKUP(AL1746,Cadastros!$G$6:$G$90,Cadastros!$H$6:$H$90)*(1-0.18),IF($F1746="Mauro José Salanti",_xlfn.XLOOKUP(AL1746,Cadastros!$G$6:$G$90,Cadastros!$H$6:$H$90)*(1-0.18),_xlfn.XLOOKUP(AL1746,Cadastros!$G$6:$G$90,Cadastros!$H$6:$H$90))))</f>
        <v/>
      </c>
      <c r="AO1746" s="168" t="str">
        <f t="shared" si="360"/>
        <v/>
      </c>
      <c r="AP1746" s="168" t="str">
        <f t="shared" si="361"/>
        <v/>
      </c>
      <c r="AQ1746" s="28"/>
      <c r="AR1746" s="28"/>
      <c r="AS1746" s="20" t="str">
        <f>IF(AQ1746="","",IF($F1746="Bernardino Furlan",_xlfn.XLOOKUP(AQ1746,Cadastros!$G$6:$G$90,Cadastros!$H$6:$H$90)*(1-0.18),IF($F1746="Mauro José Salanti",_xlfn.XLOOKUP(AQ1746,Cadastros!$G$6:$G$90,Cadastros!$H$6:$H$90)*(1-0.18),_xlfn.XLOOKUP(AQ1746,Cadastros!$G$6:$G$90,Cadastros!$H$6:$H$90))))</f>
        <v/>
      </c>
      <c r="AT1746" s="168" t="str">
        <f t="shared" si="362"/>
        <v/>
      </c>
      <c r="AU1746" s="168" t="str">
        <f t="shared" si="363"/>
        <v/>
      </c>
      <c r="AV1746" s="227"/>
      <c r="AW1746" s="30"/>
      <c r="AX1746" s="267"/>
      <c r="AY1746" s="267"/>
      <c r="AZ1746" s="29"/>
      <c r="BA1746" s="30"/>
      <c r="BB1746" s="23" t="str" cm="1">
        <f t="array" ref="BB1746">_xlfn.IFS(AW1746="SIM",SUM(K1746,P1746,U1746,Z1746,AE1746,AJ1746,AO1746,AT1746,AX1746,AY1746),F1746&lt;&gt;"",SUM(K1746,P1746,U1746,Z1746,AE1746,AJ1746,,AO1746,AT1746),F1746="","")</f>
        <v/>
      </c>
      <c r="BC1746" s="211" t="str" cm="1">
        <f t="array" ref="BC1746">_xlfn.IFS(E1746="","",G1746&lt;=E1746,BB1746*(1-0.03),G1746&lt;(E1746+8),BB1746,AZ1746="Boleto",BB1746*(1+0.001)^DATEDIF(E1746,G1746,"D"),AZ1746="Cheque",BB1746,AZ1746="Dinheiro","Alterar forma pgto")</f>
        <v/>
      </c>
      <c r="BD1746" s="276" t="str" cm="1">
        <f t="array" ref="BD1746">IF(F1746=0," ",IF(BC1746&lt;BB1746,(_xlfn.IFS(AW1746="SIM",SUM(L1746,Q1746,V1746,AA1746,AF1746,AK1746,AP1746,AU1746)+AX1746/_xlfn.XLOOKUP(_xlfn.XLOOKUP($F1746,Clientes!$B$4:$B$39,Clientes!$C$4:$C$39),Cadastros!$L$6:$L$12,Cadastros!$M$6:$M$12)+IF($F1746="Bernardino Furlan",AY1746/2751.92,IF($F1746="Mauro José Salanti",AY1746/2751.92,AY1746/3356)),F1746&lt;&gt;0,SUM(L1746,Q1746,V1746,AA1746,AF1746,AK1746,AP1746,AU1746)))*(1-0.03),_xlfn.IFS(AW1746="SIM",SUM(L1746,Q1746,V1746,AA1746,AF1746,AK1746,AP1746,AU1746)+AX1746/_xlfn.XLOOKUP(_xlfn.XLOOKUP($F1746,Clientes!$B$4:$B$39,Clientes!$C$4:$C$39),Cadastros!$L$6:$L$12,Cadastros!$M$6:$M$12)+IF($F1746="Bernardino Furlan",AY1746/2751.92,IF($F1746="Mauro José Salanti",AY1746/2751.92,AY1746/3356)),F1746&lt;&gt;0,SUM(L1746,Q1746,V1746,AA1746,AF1746,AK1746,AP1746,AU1746))))</f>
        <v xml:space="preserve"> </v>
      </c>
      <c r="BE1746" s="120"/>
      <c r="BF1746" s="120"/>
      <c r="BG1746" s="120"/>
    </row>
    <row r="1747" spans="1:59" s="3" customFormat="1" x14ac:dyDescent="0.3">
      <c r="A1747" s="15" t="str">
        <f t="shared" si="351"/>
        <v/>
      </c>
      <c r="B1747" s="25"/>
      <c r="C1747" s="26"/>
      <c r="D1747" s="279"/>
      <c r="E1747" s="27"/>
      <c r="F1747" s="28"/>
      <c r="G1747" s="27"/>
      <c r="H1747" s="28"/>
      <c r="I1747" s="28"/>
      <c r="J1747" s="255" t="str">
        <f>IF(H1747="","",(_xlfn.XLOOKUP(H1747,Cadastros!$D$6:$D$90,Cadastros!$E$6:$E$90))*(1-_xlfn.XLOOKUP(_xlfn.XLOOKUP($F1747,Clientes!$B$4:$B$39,Clientes!$C$4:$C$39),Cadastros!$L$6:$L$12,Cadastros!$N$6:$N$12)))</f>
        <v/>
      </c>
      <c r="K1747" s="168" t="str">
        <f t="shared" si="352"/>
        <v/>
      </c>
      <c r="L1747" s="168" t="str">
        <f>IFERROR(K1747/_xlfn.XLOOKUP(_xlfn.XLOOKUP($F1747,Clientes!$B$4:$B$39,Clientes!$C$4:$C$39),Cadastros!$L$6:$L$12,Cadastros!$M$6:$M$12)," ")</f>
        <v xml:space="preserve"> </v>
      </c>
      <c r="M1747" s="28"/>
      <c r="N1747" s="28"/>
      <c r="O1747" s="255" t="str">
        <f>IF(M1747="","",(_xlfn.XLOOKUP(M1747,Cadastros!$D$6:$D$90,Cadastros!$E$6:$E$90))*(1-_xlfn.XLOOKUP(_xlfn.XLOOKUP($F1747,Clientes!$B$4:$B$39,Clientes!$C$4:$C$39),Cadastros!$L$6:$L$12,Cadastros!$N$6:$N$12)))</f>
        <v/>
      </c>
      <c r="P1747" s="168" t="str">
        <f t="shared" si="353"/>
        <v/>
      </c>
      <c r="Q1747" s="168" t="str">
        <f>IFERROR(P1747/_xlfn.XLOOKUP(_xlfn.XLOOKUP($F1747,Clientes!$B$4:$B$39,Clientes!$C$4:$C$39),Cadastros!$L$6:$L$12,Cadastros!$M$6:$M$12)," ")</f>
        <v xml:space="preserve"> </v>
      </c>
      <c r="R1747" s="28"/>
      <c r="S1747" s="28"/>
      <c r="T1747" s="255" t="str">
        <f>IF(R1747="","",(_xlfn.XLOOKUP(R1747,Cadastros!$D$6:$D$90,Cadastros!$E$6:$E$90))*(1-_xlfn.XLOOKUP(_xlfn.XLOOKUP($F1747,Clientes!$B$4:$B$39,Clientes!$C$4:$C$39),Cadastros!$L$6:$L$12,Cadastros!$N$6:$N$12)))</f>
        <v/>
      </c>
      <c r="U1747" s="168" t="str">
        <f t="shared" si="354"/>
        <v/>
      </c>
      <c r="V1747" s="168" t="str">
        <f>IFERROR(U1747/_xlfn.XLOOKUP(_xlfn.XLOOKUP($F1747,Clientes!$B$4:$B$39,Clientes!$C$4:$C$39),Cadastros!$L$6:$L$12,Cadastros!$M$6:$M$12)," ")</f>
        <v xml:space="preserve"> </v>
      </c>
      <c r="W1747" s="28"/>
      <c r="X1747" s="28"/>
      <c r="Y1747" s="255" t="str">
        <f>IF(W1747="","",(_xlfn.XLOOKUP(W1747,Cadastros!$D$6:$D$90,Cadastros!$E$6:$E$90))*(1-_xlfn.XLOOKUP(_xlfn.XLOOKUP($F1747,Clientes!$B$4:$B$39,Clientes!$C$4:$C$39),Cadastros!$L$6:$L$12,Cadastros!$N$6:$N$12)))</f>
        <v/>
      </c>
      <c r="Z1747" s="168" t="str">
        <f t="shared" si="355"/>
        <v/>
      </c>
      <c r="AA1747" s="168" t="str">
        <f>IFERROR(Z1747/_xlfn.XLOOKUP(_xlfn.XLOOKUP($F1747,Clientes!$B$4:$B$39,Clientes!$C$4:$C$39),Cadastros!$L$6:$L$12,Cadastros!$M$6:$M$12)," ")</f>
        <v xml:space="preserve"> </v>
      </c>
      <c r="AB1747" s="28"/>
      <c r="AC1747" s="28"/>
      <c r="AD1747" s="20" t="str">
        <f>IF(AB1747="","",IF($F1747="Bernardino Furlan",_xlfn.XLOOKUP(AB1747,Cadastros!$G$6:$G$90,Cadastros!$H$6:$H$90)*(1-0.18),IF($F1747="Mauro José Salanti",_xlfn.XLOOKUP(AB1747,Cadastros!$G$6:$G$90,Cadastros!$H$6:$H$90)*(1-0.18),_xlfn.XLOOKUP(AB1747,Cadastros!$G$6:$G$90,Cadastros!$H$6:$H$90))))</f>
        <v/>
      </c>
      <c r="AE1747" s="168" t="str">
        <f t="shared" si="356"/>
        <v/>
      </c>
      <c r="AF1747" s="168" t="str">
        <f t="shared" si="357"/>
        <v/>
      </c>
      <c r="AG1747" s="28"/>
      <c r="AH1747" s="28"/>
      <c r="AI1747" s="20" t="str">
        <f>IF(AG1747="","",IF($F1747="Bernardino Furlan",_xlfn.XLOOKUP(AG1747,Cadastros!$G$6:$G$90,Cadastros!$H$6:$H$90)*(1-0.18),IF($F1747="Mauro José Salanti",_xlfn.XLOOKUP(AG1747,Cadastros!$G$6:$G$90,Cadastros!$H$6:$H$90)*(1-0.18),_xlfn.XLOOKUP(AG1747,Cadastros!$G$6:$G$90,Cadastros!$H$6:$H$90))))</f>
        <v/>
      </c>
      <c r="AJ1747" s="168" t="str">
        <f t="shared" si="358"/>
        <v/>
      </c>
      <c r="AK1747" s="168" t="str">
        <f t="shared" si="359"/>
        <v/>
      </c>
      <c r="AL1747" s="28"/>
      <c r="AM1747" s="28"/>
      <c r="AN1747" s="20" t="str">
        <f>IF(AL1747="","",IF($F1747="Bernardino Furlan",_xlfn.XLOOKUP(AL1747,Cadastros!$G$6:$G$90,Cadastros!$H$6:$H$90)*(1-0.18),IF($F1747="Mauro José Salanti",_xlfn.XLOOKUP(AL1747,Cadastros!$G$6:$G$90,Cadastros!$H$6:$H$90)*(1-0.18),_xlfn.XLOOKUP(AL1747,Cadastros!$G$6:$G$90,Cadastros!$H$6:$H$90))))</f>
        <v/>
      </c>
      <c r="AO1747" s="168" t="str">
        <f t="shared" si="360"/>
        <v/>
      </c>
      <c r="AP1747" s="168" t="str">
        <f t="shared" si="361"/>
        <v/>
      </c>
      <c r="AQ1747" s="28"/>
      <c r="AR1747" s="28"/>
      <c r="AS1747" s="20" t="str">
        <f>IF(AQ1747="","",IF($F1747="Bernardino Furlan",_xlfn.XLOOKUP(AQ1747,Cadastros!$G$6:$G$90,Cadastros!$H$6:$H$90)*(1-0.18),IF($F1747="Mauro José Salanti",_xlfn.XLOOKUP(AQ1747,Cadastros!$G$6:$G$90,Cadastros!$H$6:$H$90)*(1-0.18),_xlfn.XLOOKUP(AQ1747,Cadastros!$G$6:$G$90,Cadastros!$H$6:$H$90))))</f>
        <v/>
      </c>
      <c r="AT1747" s="168" t="str">
        <f t="shared" si="362"/>
        <v/>
      </c>
      <c r="AU1747" s="168" t="str">
        <f t="shared" si="363"/>
        <v/>
      </c>
      <c r="AV1747" s="227"/>
      <c r="AW1747" s="30"/>
      <c r="AX1747" s="267"/>
      <c r="AY1747" s="267"/>
      <c r="AZ1747" s="29"/>
      <c r="BA1747" s="30"/>
      <c r="BB1747" s="23" t="str" cm="1">
        <f t="array" ref="BB1747">_xlfn.IFS(AW1747="SIM",SUM(K1747,P1747,U1747,Z1747,AE1747,AJ1747,AO1747,AT1747,AX1747,AY1747),F1747&lt;&gt;"",SUM(K1747,P1747,U1747,Z1747,AE1747,AJ1747,,AO1747,AT1747),F1747="","")</f>
        <v/>
      </c>
      <c r="BC1747" s="211" t="str" cm="1">
        <f t="array" ref="BC1747">_xlfn.IFS(E1747="","",G1747&lt;=E1747,BB1747*(1-0.03),G1747&lt;(E1747+8),BB1747,AZ1747="Boleto",BB1747*(1+0.001)^DATEDIF(E1747,G1747,"D"),AZ1747="Cheque",BB1747,AZ1747="Dinheiro","Alterar forma pgto")</f>
        <v/>
      </c>
      <c r="BD1747" s="276" t="str" cm="1">
        <f t="array" ref="BD1747">IF(F1747=0," ",IF(BC1747&lt;BB1747,(_xlfn.IFS(AW1747="SIM",SUM(L1747,Q1747,V1747,AA1747,AF1747,AK1747,AP1747,AU1747)+AX1747/_xlfn.XLOOKUP(_xlfn.XLOOKUP($F1747,Clientes!$B$4:$B$39,Clientes!$C$4:$C$39),Cadastros!$L$6:$L$12,Cadastros!$M$6:$M$12)+IF($F1747="Bernardino Furlan",AY1747/2751.92,IF($F1747="Mauro José Salanti",AY1747/2751.92,AY1747/3356)),F1747&lt;&gt;0,SUM(L1747,Q1747,V1747,AA1747,AF1747,AK1747,AP1747,AU1747)))*(1-0.03),_xlfn.IFS(AW1747="SIM",SUM(L1747,Q1747,V1747,AA1747,AF1747,AK1747,AP1747,AU1747)+AX1747/_xlfn.XLOOKUP(_xlfn.XLOOKUP($F1747,Clientes!$B$4:$B$39,Clientes!$C$4:$C$39),Cadastros!$L$6:$L$12,Cadastros!$M$6:$M$12)+IF($F1747="Bernardino Furlan",AY1747/2751.92,IF($F1747="Mauro José Salanti",AY1747/2751.92,AY1747/3356)),F1747&lt;&gt;0,SUM(L1747,Q1747,V1747,AA1747,AF1747,AK1747,AP1747,AU1747))))</f>
        <v xml:space="preserve"> </v>
      </c>
      <c r="BE1747" s="120"/>
      <c r="BF1747" s="120"/>
      <c r="BG1747" s="120"/>
    </row>
    <row r="1748" spans="1:59" s="3" customFormat="1" x14ac:dyDescent="0.3">
      <c r="A1748" s="15" t="str">
        <f t="shared" si="351"/>
        <v/>
      </c>
      <c r="B1748" s="25"/>
      <c r="C1748" s="26"/>
      <c r="D1748" s="279"/>
      <c r="E1748" s="27"/>
      <c r="F1748" s="28"/>
      <c r="G1748" s="27"/>
      <c r="H1748" s="28"/>
      <c r="I1748" s="28"/>
      <c r="J1748" s="255" t="str">
        <f>IF(H1748="","",(_xlfn.XLOOKUP(H1748,Cadastros!$D$6:$D$90,Cadastros!$E$6:$E$90))*(1-_xlfn.XLOOKUP(_xlfn.XLOOKUP($F1748,Clientes!$B$4:$B$39,Clientes!$C$4:$C$39),Cadastros!$L$6:$L$12,Cadastros!$N$6:$N$12)))</f>
        <v/>
      </c>
      <c r="K1748" s="168" t="str">
        <f t="shared" si="352"/>
        <v/>
      </c>
      <c r="L1748" s="168" t="str">
        <f>IFERROR(K1748/_xlfn.XLOOKUP(_xlfn.XLOOKUP($F1748,Clientes!$B$4:$B$39,Clientes!$C$4:$C$39),Cadastros!$L$6:$L$12,Cadastros!$M$6:$M$12)," ")</f>
        <v xml:space="preserve"> </v>
      </c>
      <c r="M1748" s="28"/>
      <c r="N1748" s="28"/>
      <c r="O1748" s="255" t="str">
        <f>IF(M1748="","",(_xlfn.XLOOKUP(M1748,Cadastros!$D$6:$D$90,Cadastros!$E$6:$E$90))*(1-_xlfn.XLOOKUP(_xlfn.XLOOKUP($F1748,Clientes!$B$4:$B$39,Clientes!$C$4:$C$39),Cadastros!$L$6:$L$12,Cadastros!$N$6:$N$12)))</f>
        <v/>
      </c>
      <c r="P1748" s="168" t="str">
        <f t="shared" si="353"/>
        <v/>
      </c>
      <c r="Q1748" s="168" t="str">
        <f>IFERROR(P1748/_xlfn.XLOOKUP(_xlfn.XLOOKUP($F1748,Clientes!$B$4:$B$39,Clientes!$C$4:$C$39),Cadastros!$L$6:$L$12,Cadastros!$M$6:$M$12)," ")</f>
        <v xml:space="preserve"> </v>
      </c>
      <c r="R1748" s="28"/>
      <c r="S1748" s="28"/>
      <c r="T1748" s="255" t="str">
        <f>IF(R1748="","",(_xlfn.XLOOKUP(R1748,Cadastros!$D$6:$D$90,Cadastros!$E$6:$E$90))*(1-_xlfn.XLOOKUP(_xlfn.XLOOKUP($F1748,Clientes!$B$4:$B$39,Clientes!$C$4:$C$39),Cadastros!$L$6:$L$12,Cadastros!$N$6:$N$12)))</f>
        <v/>
      </c>
      <c r="U1748" s="168" t="str">
        <f t="shared" si="354"/>
        <v/>
      </c>
      <c r="V1748" s="168" t="str">
        <f>IFERROR(U1748/_xlfn.XLOOKUP(_xlfn.XLOOKUP($F1748,Clientes!$B$4:$B$39,Clientes!$C$4:$C$39),Cadastros!$L$6:$L$12,Cadastros!$M$6:$M$12)," ")</f>
        <v xml:space="preserve"> </v>
      </c>
      <c r="W1748" s="28"/>
      <c r="X1748" s="28"/>
      <c r="Y1748" s="255" t="str">
        <f>IF(W1748="","",(_xlfn.XLOOKUP(W1748,Cadastros!$D$6:$D$90,Cadastros!$E$6:$E$90))*(1-_xlfn.XLOOKUP(_xlfn.XLOOKUP($F1748,Clientes!$B$4:$B$39,Clientes!$C$4:$C$39),Cadastros!$L$6:$L$12,Cadastros!$N$6:$N$12)))</f>
        <v/>
      </c>
      <c r="Z1748" s="168" t="str">
        <f t="shared" si="355"/>
        <v/>
      </c>
      <c r="AA1748" s="168" t="str">
        <f>IFERROR(Z1748/_xlfn.XLOOKUP(_xlfn.XLOOKUP($F1748,Clientes!$B$4:$B$39,Clientes!$C$4:$C$39),Cadastros!$L$6:$L$12,Cadastros!$M$6:$M$12)," ")</f>
        <v xml:space="preserve"> </v>
      </c>
      <c r="AB1748" s="28"/>
      <c r="AC1748" s="28"/>
      <c r="AD1748" s="20" t="str">
        <f>IF(AB1748="","",IF($F1748="Bernardino Furlan",_xlfn.XLOOKUP(AB1748,Cadastros!$G$6:$G$90,Cadastros!$H$6:$H$90)*(1-0.18),IF($F1748="Mauro José Salanti",_xlfn.XLOOKUP(AB1748,Cadastros!$G$6:$G$90,Cadastros!$H$6:$H$90)*(1-0.18),_xlfn.XLOOKUP(AB1748,Cadastros!$G$6:$G$90,Cadastros!$H$6:$H$90))))</f>
        <v/>
      </c>
      <c r="AE1748" s="168" t="str">
        <f t="shared" si="356"/>
        <v/>
      </c>
      <c r="AF1748" s="168" t="str">
        <f t="shared" si="357"/>
        <v/>
      </c>
      <c r="AG1748" s="28"/>
      <c r="AH1748" s="28"/>
      <c r="AI1748" s="20" t="str">
        <f>IF(AG1748="","",IF($F1748="Bernardino Furlan",_xlfn.XLOOKUP(AG1748,Cadastros!$G$6:$G$90,Cadastros!$H$6:$H$90)*(1-0.18),IF($F1748="Mauro José Salanti",_xlfn.XLOOKUP(AG1748,Cadastros!$G$6:$G$90,Cadastros!$H$6:$H$90)*(1-0.18),_xlfn.XLOOKUP(AG1748,Cadastros!$G$6:$G$90,Cadastros!$H$6:$H$90))))</f>
        <v/>
      </c>
      <c r="AJ1748" s="168" t="str">
        <f t="shared" si="358"/>
        <v/>
      </c>
      <c r="AK1748" s="168" t="str">
        <f t="shared" si="359"/>
        <v/>
      </c>
      <c r="AL1748" s="28"/>
      <c r="AM1748" s="28"/>
      <c r="AN1748" s="20" t="str">
        <f>IF(AL1748="","",IF($F1748="Bernardino Furlan",_xlfn.XLOOKUP(AL1748,Cadastros!$G$6:$G$90,Cadastros!$H$6:$H$90)*(1-0.18),IF($F1748="Mauro José Salanti",_xlfn.XLOOKUP(AL1748,Cadastros!$G$6:$G$90,Cadastros!$H$6:$H$90)*(1-0.18),_xlfn.XLOOKUP(AL1748,Cadastros!$G$6:$G$90,Cadastros!$H$6:$H$90))))</f>
        <v/>
      </c>
      <c r="AO1748" s="168" t="str">
        <f t="shared" si="360"/>
        <v/>
      </c>
      <c r="AP1748" s="168" t="str">
        <f t="shared" si="361"/>
        <v/>
      </c>
      <c r="AQ1748" s="28"/>
      <c r="AR1748" s="28"/>
      <c r="AS1748" s="20" t="str">
        <f>IF(AQ1748="","",IF($F1748="Bernardino Furlan",_xlfn.XLOOKUP(AQ1748,Cadastros!$G$6:$G$90,Cadastros!$H$6:$H$90)*(1-0.18),IF($F1748="Mauro José Salanti",_xlfn.XLOOKUP(AQ1748,Cadastros!$G$6:$G$90,Cadastros!$H$6:$H$90)*(1-0.18),_xlfn.XLOOKUP(AQ1748,Cadastros!$G$6:$G$90,Cadastros!$H$6:$H$90))))</f>
        <v/>
      </c>
      <c r="AT1748" s="168" t="str">
        <f t="shared" si="362"/>
        <v/>
      </c>
      <c r="AU1748" s="168" t="str">
        <f t="shared" si="363"/>
        <v/>
      </c>
      <c r="AV1748" s="227"/>
      <c r="AW1748" s="30"/>
      <c r="AX1748" s="267"/>
      <c r="AY1748" s="267"/>
      <c r="AZ1748" s="29"/>
      <c r="BA1748" s="30"/>
      <c r="BB1748" s="23" t="str" cm="1">
        <f t="array" ref="BB1748">_xlfn.IFS(AW1748="SIM",SUM(K1748,P1748,U1748,Z1748,AE1748,AJ1748,AO1748,AT1748,AX1748,AY1748),F1748&lt;&gt;"",SUM(K1748,P1748,U1748,Z1748,AE1748,AJ1748,,AO1748,AT1748),F1748="","")</f>
        <v/>
      </c>
      <c r="BC1748" s="211" t="str" cm="1">
        <f t="array" ref="BC1748">_xlfn.IFS(E1748="","",G1748&lt;=E1748,BB1748*(1-0.03),G1748&lt;(E1748+8),BB1748,AZ1748="Boleto",BB1748*(1+0.001)^DATEDIF(E1748,G1748,"D"),AZ1748="Cheque",BB1748,AZ1748="Dinheiro","Alterar forma pgto")</f>
        <v/>
      </c>
      <c r="BD1748" s="276" t="str" cm="1">
        <f t="array" ref="BD1748">IF(F1748=0," ",IF(BC1748&lt;BB1748,(_xlfn.IFS(AW1748="SIM",SUM(L1748,Q1748,V1748,AA1748,AF1748,AK1748,AP1748,AU1748)+AX1748/_xlfn.XLOOKUP(_xlfn.XLOOKUP($F1748,Clientes!$B$4:$B$39,Clientes!$C$4:$C$39),Cadastros!$L$6:$L$12,Cadastros!$M$6:$M$12)+IF($F1748="Bernardino Furlan",AY1748/2751.92,IF($F1748="Mauro José Salanti",AY1748/2751.92,AY1748/3356)),F1748&lt;&gt;0,SUM(L1748,Q1748,V1748,AA1748,AF1748,AK1748,AP1748,AU1748)))*(1-0.03),_xlfn.IFS(AW1748="SIM",SUM(L1748,Q1748,V1748,AA1748,AF1748,AK1748,AP1748,AU1748)+AX1748/_xlfn.XLOOKUP(_xlfn.XLOOKUP($F1748,Clientes!$B$4:$B$39,Clientes!$C$4:$C$39),Cadastros!$L$6:$L$12,Cadastros!$M$6:$M$12)+IF($F1748="Bernardino Furlan",AY1748/2751.92,IF($F1748="Mauro José Salanti",AY1748/2751.92,AY1748/3356)),F1748&lt;&gt;0,SUM(L1748,Q1748,V1748,AA1748,AF1748,AK1748,AP1748,AU1748))))</f>
        <v xml:space="preserve"> </v>
      </c>
      <c r="BE1748" s="120"/>
      <c r="BF1748" s="120"/>
      <c r="BG1748" s="120"/>
    </row>
    <row r="1749" spans="1:59" s="3" customFormat="1" x14ac:dyDescent="0.3">
      <c r="A1749" s="15" t="str">
        <f t="shared" si="351"/>
        <v/>
      </c>
      <c r="B1749" s="25"/>
      <c r="C1749" s="26"/>
      <c r="D1749" s="279"/>
      <c r="E1749" s="27"/>
      <c r="F1749" s="28"/>
      <c r="G1749" s="27"/>
      <c r="H1749" s="28"/>
      <c r="I1749" s="28"/>
      <c r="J1749" s="255" t="str">
        <f>IF(H1749="","",(_xlfn.XLOOKUP(H1749,Cadastros!$D$6:$D$90,Cadastros!$E$6:$E$90))*(1-_xlfn.XLOOKUP(_xlfn.XLOOKUP($F1749,Clientes!$B$4:$B$39,Clientes!$C$4:$C$39),Cadastros!$L$6:$L$12,Cadastros!$N$6:$N$12)))</f>
        <v/>
      </c>
      <c r="K1749" s="168" t="str">
        <f t="shared" si="352"/>
        <v/>
      </c>
      <c r="L1749" s="168" t="str">
        <f>IFERROR(K1749/_xlfn.XLOOKUP(_xlfn.XLOOKUP($F1749,Clientes!$B$4:$B$39,Clientes!$C$4:$C$39),Cadastros!$L$6:$L$12,Cadastros!$M$6:$M$12)," ")</f>
        <v xml:space="preserve"> </v>
      </c>
      <c r="M1749" s="28"/>
      <c r="N1749" s="28"/>
      <c r="O1749" s="255" t="str">
        <f>IF(M1749="","",(_xlfn.XLOOKUP(M1749,Cadastros!$D$6:$D$90,Cadastros!$E$6:$E$90))*(1-_xlfn.XLOOKUP(_xlfn.XLOOKUP($F1749,Clientes!$B$4:$B$39,Clientes!$C$4:$C$39),Cadastros!$L$6:$L$12,Cadastros!$N$6:$N$12)))</f>
        <v/>
      </c>
      <c r="P1749" s="168" t="str">
        <f t="shared" si="353"/>
        <v/>
      </c>
      <c r="Q1749" s="168" t="str">
        <f>IFERROR(P1749/_xlfn.XLOOKUP(_xlfn.XLOOKUP($F1749,Clientes!$B$4:$B$39,Clientes!$C$4:$C$39),Cadastros!$L$6:$L$12,Cadastros!$M$6:$M$12)," ")</f>
        <v xml:space="preserve"> </v>
      </c>
      <c r="R1749" s="28"/>
      <c r="S1749" s="28"/>
      <c r="T1749" s="255" t="str">
        <f>IF(R1749="","",(_xlfn.XLOOKUP(R1749,Cadastros!$D$6:$D$90,Cadastros!$E$6:$E$90))*(1-_xlfn.XLOOKUP(_xlfn.XLOOKUP($F1749,Clientes!$B$4:$B$39,Clientes!$C$4:$C$39),Cadastros!$L$6:$L$12,Cadastros!$N$6:$N$12)))</f>
        <v/>
      </c>
      <c r="U1749" s="168" t="str">
        <f t="shared" si="354"/>
        <v/>
      </c>
      <c r="V1749" s="168" t="str">
        <f>IFERROR(U1749/_xlfn.XLOOKUP(_xlfn.XLOOKUP($F1749,Clientes!$B$4:$B$39,Clientes!$C$4:$C$39),Cadastros!$L$6:$L$12,Cadastros!$M$6:$M$12)," ")</f>
        <v xml:space="preserve"> </v>
      </c>
      <c r="W1749" s="28"/>
      <c r="X1749" s="28"/>
      <c r="Y1749" s="255" t="str">
        <f>IF(W1749="","",(_xlfn.XLOOKUP(W1749,Cadastros!$D$6:$D$90,Cadastros!$E$6:$E$90))*(1-_xlfn.XLOOKUP(_xlfn.XLOOKUP($F1749,Clientes!$B$4:$B$39,Clientes!$C$4:$C$39),Cadastros!$L$6:$L$12,Cadastros!$N$6:$N$12)))</f>
        <v/>
      </c>
      <c r="Z1749" s="168" t="str">
        <f t="shared" si="355"/>
        <v/>
      </c>
      <c r="AA1749" s="168" t="str">
        <f>IFERROR(Z1749/_xlfn.XLOOKUP(_xlfn.XLOOKUP($F1749,Clientes!$B$4:$B$39,Clientes!$C$4:$C$39),Cadastros!$L$6:$L$12,Cadastros!$M$6:$M$12)," ")</f>
        <v xml:space="preserve"> </v>
      </c>
      <c r="AB1749" s="28"/>
      <c r="AC1749" s="28"/>
      <c r="AD1749" s="20" t="str">
        <f>IF(AB1749="","",IF($F1749="Bernardino Furlan",_xlfn.XLOOKUP(AB1749,Cadastros!$G$6:$G$90,Cadastros!$H$6:$H$90)*(1-0.18),IF($F1749="Mauro José Salanti",_xlfn.XLOOKUP(AB1749,Cadastros!$G$6:$G$90,Cadastros!$H$6:$H$90)*(1-0.18),_xlfn.XLOOKUP(AB1749,Cadastros!$G$6:$G$90,Cadastros!$H$6:$H$90))))</f>
        <v/>
      </c>
      <c r="AE1749" s="168" t="str">
        <f t="shared" si="356"/>
        <v/>
      </c>
      <c r="AF1749" s="168" t="str">
        <f t="shared" si="357"/>
        <v/>
      </c>
      <c r="AG1749" s="28"/>
      <c r="AH1749" s="28"/>
      <c r="AI1749" s="20" t="str">
        <f>IF(AG1749="","",IF($F1749="Bernardino Furlan",_xlfn.XLOOKUP(AG1749,Cadastros!$G$6:$G$90,Cadastros!$H$6:$H$90)*(1-0.18),IF($F1749="Mauro José Salanti",_xlfn.XLOOKUP(AG1749,Cadastros!$G$6:$G$90,Cadastros!$H$6:$H$90)*(1-0.18),_xlfn.XLOOKUP(AG1749,Cadastros!$G$6:$G$90,Cadastros!$H$6:$H$90))))</f>
        <v/>
      </c>
      <c r="AJ1749" s="168" t="str">
        <f t="shared" si="358"/>
        <v/>
      </c>
      <c r="AK1749" s="168" t="str">
        <f t="shared" si="359"/>
        <v/>
      </c>
      <c r="AL1749" s="28"/>
      <c r="AM1749" s="28"/>
      <c r="AN1749" s="20" t="str">
        <f>IF(AL1749="","",IF($F1749="Bernardino Furlan",_xlfn.XLOOKUP(AL1749,Cadastros!$G$6:$G$90,Cadastros!$H$6:$H$90)*(1-0.18),IF($F1749="Mauro José Salanti",_xlfn.XLOOKUP(AL1749,Cadastros!$G$6:$G$90,Cadastros!$H$6:$H$90)*(1-0.18),_xlfn.XLOOKUP(AL1749,Cadastros!$G$6:$G$90,Cadastros!$H$6:$H$90))))</f>
        <v/>
      </c>
      <c r="AO1749" s="168" t="str">
        <f t="shared" si="360"/>
        <v/>
      </c>
      <c r="AP1749" s="168" t="str">
        <f t="shared" si="361"/>
        <v/>
      </c>
      <c r="AQ1749" s="28"/>
      <c r="AR1749" s="28"/>
      <c r="AS1749" s="20" t="str">
        <f>IF(AQ1749="","",IF($F1749="Bernardino Furlan",_xlfn.XLOOKUP(AQ1749,Cadastros!$G$6:$G$90,Cadastros!$H$6:$H$90)*(1-0.18),IF($F1749="Mauro José Salanti",_xlfn.XLOOKUP(AQ1749,Cadastros!$G$6:$G$90,Cadastros!$H$6:$H$90)*(1-0.18),_xlfn.XLOOKUP(AQ1749,Cadastros!$G$6:$G$90,Cadastros!$H$6:$H$90))))</f>
        <v/>
      </c>
      <c r="AT1749" s="168" t="str">
        <f t="shared" si="362"/>
        <v/>
      </c>
      <c r="AU1749" s="168" t="str">
        <f t="shared" si="363"/>
        <v/>
      </c>
      <c r="AV1749" s="227"/>
      <c r="AW1749" s="30"/>
      <c r="AX1749" s="267"/>
      <c r="AY1749" s="267"/>
      <c r="AZ1749" s="29"/>
      <c r="BA1749" s="30"/>
      <c r="BB1749" s="23" t="str" cm="1">
        <f t="array" ref="BB1749">_xlfn.IFS(AW1749="SIM",SUM(K1749,P1749,U1749,Z1749,AE1749,AJ1749,AO1749,AT1749,AX1749,AY1749),F1749&lt;&gt;"",SUM(K1749,P1749,U1749,Z1749,AE1749,AJ1749,,AO1749,AT1749),F1749="","")</f>
        <v/>
      </c>
      <c r="BC1749" s="211" t="str" cm="1">
        <f t="array" ref="BC1749">_xlfn.IFS(E1749="","",G1749&lt;=E1749,BB1749*(1-0.03),G1749&lt;(E1749+8),BB1749,AZ1749="Boleto",BB1749*(1+0.001)^DATEDIF(E1749,G1749,"D"),AZ1749="Cheque",BB1749,AZ1749="Dinheiro","Alterar forma pgto")</f>
        <v/>
      </c>
      <c r="BD1749" s="276" t="str" cm="1">
        <f t="array" ref="BD1749">IF(F1749=0," ",IF(BC1749&lt;BB1749,(_xlfn.IFS(AW1749="SIM",SUM(L1749,Q1749,V1749,AA1749,AF1749,AK1749,AP1749,AU1749)+AX1749/_xlfn.XLOOKUP(_xlfn.XLOOKUP($F1749,Clientes!$B$4:$B$39,Clientes!$C$4:$C$39),Cadastros!$L$6:$L$12,Cadastros!$M$6:$M$12)+IF($F1749="Bernardino Furlan",AY1749/2751.92,IF($F1749="Mauro José Salanti",AY1749/2751.92,AY1749/3356)),F1749&lt;&gt;0,SUM(L1749,Q1749,V1749,AA1749,AF1749,AK1749,AP1749,AU1749)))*(1-0.03),_xlfn.IFS(AW1749="SIM",SUM(L1749,Q1749,V1749,AA1749,AF1749,AK1749,AP1749,AU1749)+AX1749/_xlfn.XLOOKUP(_xlfn.XLOOKUP($F1749,Clientes!$B$4:$B$39,Clientes!$C$4:$C$39),Cadastros!$L$6:$L$12,Cadastros!$M$6:$M$12)+IF($F1749="Bernardino Furlan",AY1749/2751.92,IF($F1749="Mauro José Salanti",AY1749/2751.92,AY1749/3356)),F1749&lt;&gt;0,SUM(L1749,Q1749,V1749,AA1749,AF1749,AK1749,AP1749,AU1749))))</f>
        <v xml:space="preserve"> </v>
      </c>
      <c r="BE1749" s="120"/>
      <c r="BF1749" s="120"/>
      <c r="BG1749" s="120"/>
    </row>
    <row r="1750" spans="1:59" s="3" customFormat="1" x14ac:dyDescent="0.3">
      <c r="A1750" s="15" t="str">
        <f t="shared" si="351"/>
        <v/>
      </c>
      <c r="B1750" s="25"/>
      <c r="C1750" s="26"/>
      <c r="D1750" s="279"/>
      <c r="E1750" s="27"/>
      <c r="F1750" s="28"/>
      <c r="G1750" s="27"/>
      <c r="H1750" s="28"/>
      <c r="I1750" s="28"/>
      <c r="J1750" s="255" t="str">
        <f>IF(H1750="","",(_xlfn.XLOOKUP(H1750,Cadastros!$D$6:$D$90,Cadastros!$E$6:$E$90))*(1-_xlfn.XLOOKUP(_xlfn.XLOOKUP($F1750,Clientes!$B$4:$B$39,Clientes!$C$4:$C$39),Cadastros!$L$6:$L$12,Cadastros!$N$6:$N$12)))</f>
        <v/>
      </c>
      <c r="K1750" s="168" t="str">
        <f t="shared" si="352"/>
        <v/>
      </c>
      <c r="L1750" s="168" t="str">
        <f>IFERROR(K1750/_xlfn.XLOOKUP(_xlfn.XLOOKUP($F1750,Clientes!$B$4:$B$39,Clientes!$C$4:$C$39),Cadastros!$L$6:$L$12,Cadastros!$M$6:$M$12)," ")</f>
        <v xml:space="preserve"> </v>
      </c>
      <c r="M1750" s="28"/>
      <c r="N1750" s="28"/>
      <c r="O1750" s="255" t="str">
        <f>IF(M1750="","",(_xlfn.XLOOKUP(M1750,Cadastros!$D$6:$D$90,Cadastros!$E$6:$E$90))*(1-_xlfn.XLOOKUP(_xlfn.XLOOKUP($F1750,Clientes!$B$4:$B$39,Clientes!$C$4:$C$39),Cadastros!$L$6:$L$12,Cadastros!$N$6:$N$12)))</f>
        <v/>
      </c>
      <c r="P1750" s="168" t="str">
        <f t="shared" si="353"/>
        <v/>
      </c>
      <c r="Q1750" s="168" t="str">
        <f>IFERROR(P1750/_xlfn.XLOOKUP(_xlfn.XLOOKUP($F1750,Clientes!$B$4:$B$39,Clientes!$C$4:$C$39),Cadastros!$L$6:$L$12,Cadastros!$M$6:$M$12)," ")</f>
        <v xml:space="preserve"> </v>
      </c>
      <c r="R1750" s="28"/>
      <c r="S1750" s="28"/>
      <c r="T1750" s="255" t="str">
        <f>IF(R1750="","",(_xlfn.XLOOKUP(R1750,Cadastros!$D$6:$D$90,Cadastros!$E$6:$E$90))*(1-_xlfn.XLOOKUP(_xlfn.XLOOKUP($F1750,Clientes!$B$4:$B$39,Clientes!$C$4:$C$39),Cadastros!$L$6:$L$12,Cadastros!$N$6:$N$12)))</f>
        <v/>
      </c>
      <c r="U1750" s="168" t="str">
        <f t="shared" si="354"/>
        <v/>
      </c>
      <c r="V1750" s="168" t="str">
        <f>IFERROR(U1750/_xlfn.XLOOKUP(_xlfn.XLOOKUP($F1750,Clientes!$B$4:$B$39,Clientes!$C$4:$C$39),Cadastros!$L$6:$L$12,Cadastros!$M$6:$M$12)," ")</f>
        <v xml:space="preserve"> </v>
      </c>
      <c r="W1750" s="28"/>
      <c r="X1750" s="28"/>
      <c r="Y1750" s="255" t="str">
        <f>IF(W1750="","",(_xlfn.XLOOKUP(W1750,Cadastros!$D$6:$D$90,Cadastros!$E$6:$E$90))*(1-_xlfn.XLOOKUP(_xlfn.XLOOKUP($F1750,Clientes!$B$4:$B$39,Clientes!$C$4:$C$39),Cadastros!$L$6:$L$12,Cadastros!$N$6:$N$12)))</f>
        <v/>
      </c>
      <c r="Z1750" s="168" t="str">
        <f t="shared" si="355"/>
        <v/>
      </c>
      <c r="AA1750" s="168" t="str">
        <f>IFERROR(Z1750/_xlfn.XLOOKUP(_xlfn.XLOOKUP($F1750,Clientes!$B$4:$B$39,Clientes!$C$4:$C$39),Cadastros!$L$6:$L$12,Cadastros!$M$6:$M$12)," ")</f>
        <v xml:space="preserve"> </v>
      </c>
      <c r="AB1750" s="28"/>
      <c r="AC1750" s="28"/>
      <c r="AD1750" s="20" t="str">
        <f>IF(AB1750="","",IF($F1750="Bernardino Furlan",_xlfn.XLOOKUP(AB1750,Cadastros!$G$6:$G$90,Cadastros!$H$6:$H$90)*(1-0.18),IF($F1750="Mauro José Salanti",_xlfn.XLOOKUP(AB1750,Cadastros!$G$6:$G$90,Cadastros!$H$6:$H$90)*(1-0.18),_xlfn.XLOOKUP(AB1750,Cadastros!$G$6:$G$90,Cadastros!$H$6:$H$90))))</f>
        <v/>
      </c>
      <c r="AE1750" s="168" t="str">
        <f t="shared" si="356"/>
        <v/>
      </c>
      <c r="AF1750" s="168" t="str">
        <f t="shared" si="357"/>
        <v/>
      </c>
      <c r="AG1750" s="28"/>
      <c r="AH1750" s="28"/>
      <c r="AI1750" s="20" t="str">
        <f>IF(AG1750="","",IF($F1750="Bernardino Furlan",_xlfn.XLOOKUP(AG1750,Cadastros!$G$6:$G$90,Cadastros!$H$6:$H$90)*(1-0.18),IF($F1750="Mauro José Salanti",_xlfn.XLOOKUP(AG1750,Cadastros!$G$6:$G$90,Cadastros!$H$6:$H$90)*(1-0.18),_xlfn.XLOOKUP(AG1750,Cadastros!$G$6:$G$90,Cadastros!$H$6:$H$90))))</f>
        <v/>
      </c>
      <c r="AJ1750" s="168" t="str">
        <f t="shared" si="358"/>
        <v/>
      </c>
      <c r="AK1750" s="168" t="str">
        <f t="shared" si="359"/>
        <v/>
      </c>
      <c r="AL1750" s="28"/>
      <c r="AM1750" s="28"/>
      <c r="AN1750" s="20" t="str">
        <f>IF(AL1750="","",IF($F1750="Bernardino Furlan",_xlfn.XLOOKUP(AL1750,Cadastros!$G$6:$G$90,Cadastros!$H$6:$H$90)*(1-0.18),IF($F1750="Mauro José Salanti",_xlfn.XLOOKUP(AL1750,Cadastros!$G$6:$G$90,Cadastros!$H$6:$H$90)*(1-0.18),_xlfn.XLOOKUP(AL1750,Cadastros!$G$6:$G$90,Cadastros!$H$6:$H$90))))</f>
        <v/>
      </c>
      <c r="AO1750" s="168" t="str">
        <f t="shared" si="360"/>
        <v/>
      </c>
      <c r="AP1750" s="168" t="str">
        <f t="shared" si="361"/>
        <v/>
      </c>
      <c r="AQ1750" s="28"/>
      <c r="AR1750" s="28"/>
      <c r="AS1750" s="20" t="str">
        <f>IF(AQ1750="","",IF($F1750="Bernardino Furlan",_xlfn.XLOOKUP(AQ1750,Cadastros!$G$6:$G$90,Cadastros!$H$6:$H$90)*(1-0.18),IF($F1750="Mauro José Salanti",_xlfn.XLOOKUP(AQ1750,Cadastros!$G$6:$G$90,Cadastros!$H$6:$H$90)*(1-0.18),_xlfn.XLOOKUP(AQ1750,Cadastros!$G$6:$G$90,Cadastros!$H$6:$H$90))))</f>
        <v/>
      </c>
      <c r="AT1750" s="168" t="str">
        <f t="shared" si="362"/>
        <v/>
      </c>
      <c r="AU1750" s="168" t="str">
        <f t="shared" si="363"/>
        <v/>
      </c>
      <c r="AV1750" s="227"/>
      <c r="AW1750" s="30"/>
      <c r="AX1750" s="267"/>
      <c r="AY1750" s="267"/>
      <c r="AZ1750" s="29"/>
      <c r="BA1750" s="30"/>
      <c r="BB1750" s="23" t="str" cm="1">
        <f t="array" ref="BB1750">_xlfn.IFS(AW1750="SIM",SUM(K1750,P1750,U1750,Z1750,AE1750,AJ1750,AO1750,AT1750,AX1750,AY1750),F1750&lt;&gt;"",SUM(K1750,P1750,U1750,Z1750,AE1750,AJ1750,,AO1750,AT1750),F1750="","")</f>
        <v/>
      </c>
      <c r="BC1750" s="211" t="str" cm="1">
        <f t="array" ref="BC1750">_xlfn.IFS(E1750="","",G1750&lt;=E1750,BB1750*(1-0.03),G1750&lt;(E1750+8),BB1750,AZ1750="Boleto",BB1750*(1+0.001)^DATEDIF(E1750,G1750,"D"),AZ1750="Cheque",BB1750,AZ1750="Dinheiro","Alterar forma pgto")</f>
        <v/>
      </c>
      <c r="BD1750" s="276" t="str" cm="1">
        <f t="array" ref="BD1750">IF(F1750=0," ",IF(BC1750&lt;BB1750,(_xlfn.IFS(AW1750="SIM",SUM(L1750,Q1750,V1750,AA1750,AF1750,AK1750,AP1750,AU1750)+AX1750/_xlfn.XLOOKUP(_xlfn.XLOOKUP($F1750,Clientes!$B$4:$B$39,Clientes!$C$4:$C$39),Cadastros!$L$6:$L$12,Cadastros!$M$6:$M$12)+IF($F1750="Bernardino Furlan",AY1750/2751.92,IF($F1750="Mauro José Salanti",AY1750/2751.92,AY1750/3356)),F1750&lt;&gt;0,SUM(L1750,Q1750,V1750,AA1750,AF1750,AK1750,AP1750,AU1750)))*(1-0.03),_xlfn.IFS(AW1750="SIM",SUM(L1750,Q1750,V1750,AA1750,AF1750,AK1750,AP1750,AU1750)+AX1750/_xlfn.XLOOKUP(_xlfn.XLOOKUP($F1750,Clientes!$B$4:$B$39,Clientes!$C$4:$C$39),Cadastros!$L$6:$L$12,Cadastros!$M$6:$M$12)+IF($F1750="Bernardino Furlan",AY1750/2751.92,IF($F1750="Mauro José Salanti",AY1750/2751.92,AY1750/3356)),F1750&lt;&gt;0,SUM(L1750,Q1750,V1750,AA1750,AF1750,AK1750,AP1750,AU1750))))</f>
        <v xml:space="preserve"> </v>
      </c>
      <c r="BE1750" s="120"/>
      <c r="BF1750" s="120"/>
      <c r="BG1750" s="120"/>
    </row>
    <row r="1751" spans="1:59" s="3" customFormat="1" x14ac:dyDescent="0.3">
      <c r="A1751" s="15" t="str">
        <f t="shared" si="351"/>
        <v/>
      </c>
      <c r="B1751" s="25"/>
      <c r="C1751" s="26"/>
      <c r="D1751" s="279"/>
      <c r="E1751" s="27"/>
      <c r="F1751" s="28"/>
      <c r="G1751" s="27"/>
      <c r="H1751" s="28"/>
      <c r="I1751" s="28"/>
      <c r="J1751" s="255" t="str">
        <f>IF(H1751="","",(_xlfn.XLOOKUP(H1751,Cadastros!$D$6:$D$90,Cadastros!$E$6:$E$90))*(1-_xlfn.XLOOKUP(_xlfn.XLOOKUP($F1751,Clientes!$B$4:$B$39,Clientes!$C$4:$C$39),Cadastros!$L$6:$L$12,Cadastros!$N$6:$N$12)))</f>
        <v/>
      </c>
      <c r="K1751" s="168" t="str">
        <f t="shared" si="352"/>
        <v/>
      </c>
      <c r="L1751" s="168" t="str">
        <f>IFERROR(K1751/_xlfn.XLOOKUP(_xlfn.XLOOKUP($F1751,Clientes!$B$4:$B$39,Clientes!$C$4:$C$39),Cadastros!$L$6:$L$12,Cadastros!$M$6:$M$12)," ")</f>
        <v xml:space="preserve"> </v>
      </c>
      <c r="M1751" s="28"/>
      <c r="N1751" s="28"/>
      <c r="O1751" s="255" t="str">
        <f>IF(M1751="","",(_xlfn.XLOOKUP(M1751,Cadastros!$D$6:$D$90,Cadastros!$E$6:$E$90))*(1-_xlfn.XLOOKUP(_xlfn.XLOOKUP($F1751,Clientes!$B$4:$B$39,Clientes!$C$4:$C$39),Cadastros!$L$6:$L$12,Cadastros!$N$6:$N$12)))</f>
        <v/>
      </c>
      <c r="P1751" s="168" t="str">
        <f t="shared" si="353"/>
        <v/>
      </c>
      <c r="Q1751" s="168" t="str">
        <f>IFERROR(P1751/_xlfn.XLOOKUP(_xlfn.XLOOKUP($F1751,Clientes!$B$4:$B$39,Clientes!$C$4:$C$39),Cadastros!$L$6:$L$12,Cadastros!$M$6:$M$12)," ")</f>
        <v xml:space="preserve"> </v>
      </c>
      <c r="R1751" s="28"/>
      <c r="S1751" s="28"/>
      <c r="T1751" s="255" t="str">
        <f>IF(R1751="","",(_xlfn.XLOOKUP(R1751,Cadastros!$D$6:$D$90,Cadastros!$E$6:$E$90))*(1-_xlfn.XLOOKUP(_xlfn.XLOOKUP($F1751,Clientes!$B$4:$B$39,Clientes!$C$4:$C$39),Cadastros!$L$6:$L$12,Cadastros!$N$6:$N$12)))</f>
        <v/>
      </c>
      <c r="U1751" s="168" t="str">
        <f t="shared" si="354"/>
        <v/>
      </c>
      <c r="V1751" s="168" t="str">
        <f>IFERROR(U1751/_xlfn.XLOOKUP(_xlfn.XLOOKUP($F1751,Clientes!$B$4:$B$39,Clientes!$C$4:$C$39),Cadastros!$L$6:$L$12,Cadastros!$M$6:$M$12)," ")</f>
        <v xml:space="preserve"> </v>
      </c>
      <c r="W1751" s="28"/>
      <c r="X1751" s="28"/>
      <c r="Y1751" s="255" t="str">
        <f>IF(W1751="","",(_xlfn.XLOOKUP(W1751,Cadastros!$D$6:$D$90,Cadastros!$E$6:$E$90))*(1-_xlfn.XLOOKUP(_xlfn.XLOOKUP($F1751,Clientes!$B$4:$B$39,Clientes!$C$4:$C$39),Cadastros!$L$6:$L$12,Cadastros!$N$6:$N$12)))</f>
        <v/>
      </c>
      <c r="Z1751" s="168" t="str">
        <f t="shared" si="355"/>
        <v/>
      </c>
      <c r="AA1751" s="168" t="str">
        <f>IFERROR(Z1751/_xlfn.XLOOKUP(_xlfn.XLOOKUP($F1751,Clientes!$B$4:$B$39,Clientes!$C$4:$C$39),Cadastros!$L$6:$L$12,Cadastros!$M$6:$M$12)," ")</f>
        <v xml:space="preserve"> </v>
      </c>
      <c r="AB1751" s="28"/>
      <c r="AC1751" s="28"/>
      <c r="AD1751" s="20" t="str">
        <f>IF(AB1751="","",IF($F1751="Bernardino Furlan",_xlfn.XLOOKUP(AB1751,Cadastros!$G$6:$G$90,Cadastros!$H$6:$H$90)*(1-0.18),IF($F1751="Mauro José Salanti",_xlfn.XLOOKUP(AB1751,Cadastros!$G$6:$G$90,Cadastros!$H$6:$H$90)*(1-0.18),_xlfn.XLOOKUP(AB1751,Cadastros!$G$6:$G$90,Cadastros!$H$6:$H$90))))</f>
        <v/>
      </c>
      <c r="AE1751" s="168" t="str">
        <f t="shared" si="356"/>
        <v/>
      </c>
      <c r="AF1751" s="168" t="str">
        <f t="shared" si="357"/>
        <v/>
      </c>
      <c r="AG1751" s="28"/>
      <c r="AH1751" s="28"/>
      <c r="AI1751" s="20" t="str">
        <f>IF(AG1751="","",IF($F1751="Bernardino Furlan",_xlfn.XLOOKUP(AG1751,Cadastros!$G$6:$G$90,Cadastros!$H$6:$H$90)*(1-0.18),IF($F1751="Mauro José Salanti",_xlfn.XLOOKUP(AG1751,Cadastros!$G$6:$G$90,Cadastros!$H$6:$H$90)*(1-0.18),_xlfn.XLOOKUP(AG1751,Cadastros!$G$6:$G$90,Cadastros!$H$6:$H$90))))</f>
        <v/>
      </c>
      <c r="AJ1751" s="168" t="str">
        <f t="shared" si="358"/>
        <v/>
      </c>
      <c r="AK1751" s="168" t="str">
        <f t="shared" si="359"/>
        <v/>
      </c>
      <c r="AL1751" s="28"/>
      <c r="AM1751" s="28"/>
      <c r="AN1751" s="20" t="str">
        <f>IF(AL1751="","",IF($F1751="Bernardino Furlan",_xlfn.XLOOKUP(AL1751,Cadastros!$G$6:$G$90,Cadastros!$H$6:$H$90)*(1-0.18),IF($F1751="Mauro José Salanti",_xlfn.XLOOKUP(AL1751,Cadastros!$G$6:$G$90,Cadastros!$H$6:$H$90)*(1-0.18),_xlfn.XLOOKUP(AL1751,Cadastros!$G$6:$G$90,Cadastros!$H$6:$H$90))))</f>
        <v/>
      </c>
      <c r="AO1751" s="168" t="str">
        <f t="shared" si="360"/>
        <v/>
      </c>
      <c r="AP1751" s="168" t="str">
        <f t="shared" si="361"/>
        <v/>
      </c>
      <c r="AQ1751" s="28"/>
      <c r="AR1751" s="28"/>
      <c r="AS1751" s="20" t="str">
        <f>IF(AQ1751="","",IF($F1751="Bernardino Furlan",_xlfn.XLOOKUP(AQ1751,Cadastros!$G$6:$G$90,Cadastros!$H$6:$H$90)*(1-0.18),IF($F1751="Mauro José Salanti",_xlfn.XLOOKUP(AQ1751,Cadastros!$G$6:$G$90,Cadastros!$H$6:$H$90)*(1-0.18),_xlfn.XLOOKUP(AQ1751,Cadastros!$G$6:$G$90,Cadastros!$H$6:$H$90))))</f>
        <v/>
      </c>
      <c r="AT1751" s="168" t="str">
        <f t="shared" si="362"/>
        <v/>
      </c>
      <c r="AU1751" s="168" t="str">
        <f t="shared" si="363"/>
        <v/>
      </c>
      <c r="AV1751" s="227"/>
      <c r="AW1751" s="30"/>
      <c r="AX1751" s="267"/>
      <c r="AY1751" s="267"/>
      <c r="AZ1751" s="29"/>
      <c r="BA1751" s="30"/>
      <c r="BB1751" s="23" t="str" cm="1">
        <f t="array" ref="BB1751">_xlfn.IFS(AW1751="SIM",SUM(K1751,P1751,U1751,Z1751,AE1751,AJ1751,AO1751,AT1751,AX1751,AY1751),F1751&lt;&gt;"",SUM(K1751,P1751,U1751,Z1751,AE1751,AJ1751,,AO1751,AT1751),F1751="","")</f>
        <v/>
      </c>
      <c r="BC1751" s="211" t="str" cm="1">
        <f t="array" ref="BC1751">_xlfn.IFS(E1751="","",G1751&lt;=E1751,BB1751*(1-0.03),G1751&lt;(E1751+8),BB1751,AZ1751="Boleto",BB1751*(1+0.001)^DATEDIF(E1751,G1751,"D"),AZ1751="Cheque",BB1751,AZ1751="Dinheiro","Alterar forma pgto")</f>
        <v/>
      </c>
      <c r="BD1751" s="276" t="str" cm="1">
        <f t="array" ref="BD1751">IF(F1751=0," ",IF(BC1751&lt;BB1751,(_xlfn.IFS(AW1751="SIM",SUM(L1751,Q1751,V1751,AA1751,AF1751,AK1751,AP1751,AU1751)+AX1751/_xlfn.XLOOKUP(_xlfn.XLOOKUP($F1751,Clientes!$B$4:$B$39,Clientes!$C$4:$C$39),Cadastros!$L$6:$L$12,Cadastros!$M$6:$M$12)+IF($F1751="Bernardino Furlan",AY1751/2751.92,IF($F1751="Mauro José Salanti",AY1751/2751.92,AY1751/3356)),F1751&lt;&gt;0,SUM(L1751,Q1751,V1751,AA1751,AF1751,AK1751,AP1751,AU1751)))*(1-0.03),_xlfn.IFS(AW1751="SIM",SUM(L1751,Q1751,V1751,AA1751,AF1751,AK1751,AP1751,AU1751)+AX1751/_xlfn.XLOOKUP(_xlfn.XLOOKUP($F1751,Clientes!$B$4:$B$39,Clientes!$C$4:$C$39),Cadastros!$L$6:$L$12,Cadastros!$M$6:$M$12)+IF($F1751="Bernardino Furlan",AY1751/2751.92,IF($F1751="Mauro José Salanti",AY1751/2751.92,AY1751/3356)),F1751&lt;&gt;0,SUM(L1751,Q1751,V1751,AA1751,AF1751,AK1751,AP1751,AU1751))))</f>
        <v xml:space="preserve"> </v>
      </c>
      <c r="BE1751" s="120"/>
      <c r="BF1751" s="120"/>
      <c r="BG1751" s="120"/>
    </row>
    <row r="1752" spans="1:59" s="3" customFormat="1" x14ac:dyDescent="0.3">
      <c r="A1752" s="15" t="str">
        <f t="shared" si="351"/>
        <v/>
      </c>
      <c r="B1752" s="25"/>
      <c r="C1752" s="26"/>
      <c r="D1752" s="279"/>
      <c r="E1752" s="27"/>
      <c r="F1752" s="28"/>
      <c r="G1752" s="27"/>
      <c r="H1752" s="28"/>
      <c r="I1752" s="28"/>
      <c r="J1752" s="255" t="str">
        <f>IF(H1752="","",(_xlfn.XLOOKUP(H1752,Cadastros!$D$6:$D$90,Cadastros!$E$6:$E$90))*(1-_xlfn.XLOOKUP(_xlfn.XLOOKUP($F1752,Clientes!$B$4:$B$39,Clientes!$C$4:$C$39),Cadastros!$L$6:$L$12,Cadastros!$N$6:$N$12)))</f>
        <v/>
      </c>
      <c r="K1752" s="168" t="str">
        <f t="shared" si="352"/>
        <v/>
      </c>
      <c r="L1752" s="168" t="str">
        <f>IFERROR(K1752/_xlfn.XLOOKUP(_xlfn.XLOOKUP($F1752,Clientes!$B$4:$B$39,Clientes!$C$4:$C$39),Cadastros!$L$6:$L$12,Cadastros!$M$6:$M$12)," ")</f>
        <v xml:space="preserve"> </v>
      </c>
      <c r="M1752" s="28"/>
      <c r="N1752" s="28"/>
      <c r="O1752" s="255" t="str">
        <f>IF(M1752="","",(_xlfn.XLOOKUP(M1752,Cadastros!$D$6:$D$90,Cadastros!$E$6:$E$90))*(1-_xlfn.XLOOKUP(_xlfn.XLOOKUP($F1752,Clientes!$B$4:$B$39,Clientes!$C$4:$C$39),Cadastros!$L$6:$L$12,Cadastros!$N$6:$N$12)))</f>
        <v/>
      </c>
      <c r="P1752" s="168" t="str">
        <f t="shared" si="353"/>
        <v/>
      </c>
      <c r="Q1752" s="168" t="str">
        <f>IFERROR(P1752/_xlfn.XLOOKUP(_xlfn.XLOOKUP($F1752,Clientes!$B$4:$B$39,Clientes!$C$4:$C$39),Cadastros!$L$6:$L$12,Cadastros!$M$6:$M$12)," ")</f>
        <v xml:space="preserve"> </v>
      </c>
      <c r="R1752" s="28"/>
      <c r="S1752" s="28"/>
      <c r="T1752" s="255" t="str">
        <f>IF(R1752="","",(_xlfn.XLOOKUP(R1752,Cadastros!$D$6:$D$90,Cadastros!$E$6:$E$90))*(1-_xlfn.XLOOKUP(_xlfn.XLOOKUP($F1752,Clientes!$B$4:$B$39,Clientes!$C$4:$C$39),Cadastros!$L$6:$L$12,Cadastros!$N$6:$N$12)))</f>
        <v/>
      </c>
      <c r="U1752" s="168" t="str">
        <f t="shared" si="354"/>
        <v/>
      </c>
      <c r="V1752" s="168" t="str">
        <f>IFERROR(U1752/_xlfn.XLOOKUP(_xlfn.XLOOKUP($F1752,Clientes!$B$4:$B$39,Clientes!$C$4:$C$39),Cadastros!$L$6:$L$12,Cadastros!$M$6:$M$12)," ")</f>
        <v xml:space="preserve"> </v>
      </c>
      <c r="W1752" s="28"/>
      <c r="X1752" s="28"/>
      <c r="Y1752" s="255" t="str">
        <f>IF(W1752="","",(_xlfn.XLOOKUP(W1752,Cadastros!$D$6:$D$90,Cadastros!$E$6:$E$90))*(1-_xlfn.XLOOKUP(_xlfn.XLOOKUP($F1752,Clientes!$B$4:$B$39,Clientes!$C$4:$C$39),Cadastros!$L$6:$L$12,Cadastros!$N$6:$N$12)))</f>
        <v/>
      </c>
      <c r="Z1752" s="168" t="str">
        <f t="shared" si="355"/>
        <v/>
      </c>
      <c r="AA1752" s="168" t="str">
        <f>IFERROR(Z1752/_xlfn.XLOOKUP(_xlfn.XLOOKUP($F1752,Clientes!$B$4:$B$39,Clientes!$C$4:$C$39),Cadastros!$L$6:$L$12,Cadastros!$M$6:$M$12)," ")</f>
        <v xml:space="preserve"> </v>
      </c>
      <c r="AB1752" s="28"/>
      <c r="AC1752" s="28"/>
      <c r="AD1752" s="20" t="str">
        <f>IF(AB1752="","",IF($F1752="Bernardino Furlan",_xlfn.XLOOKUP(AB1752,Cadastros!$G$6:$G$90,Cadastros!$H$6:$H$90)*(1-0.18),IF($F1752="Mauro José Salanti",_xlfn.XLOOKUP(AB1752,Cadastros!$G$6:$G$90,Cadastros!$H$6:$H$90)*(1-0.18),_xlfn.XLOOKUP(AB1752,Cadastros!$G$6:$G$90,Cadastros!$H$6:$H$90))))</f>
        <v/>
      </c>
      <c r="AE1752" s="168" t="str">
        <f t="shared" si="356"/>
        <v/>
      </c>
      <c r="AF1752" s="168" t="str">
        <f t="shared" si="357"/>
        <v/>
      </c>
      <c r="AG1752" s="28"/>
      <c r="AH1752" s="28"/>
      <c r="AI1752" s="20" t="str">
        <f>IF(AG1752="","",IF($F1752="Bernardino Furlan",_xlfn.XLOOKUP(AG1752,Cadastros!$G$6:$G$90,Cadastros!$H$6:$H$90)*(1-0.18),IF($F1752="Mauro José Salanti",_xlfn.XLOOKUP(AG1752,Cadastros!$G$6:$G$90,Cadastros!$H$6:$H$90)*(1-0.18),_xlfn.XLOOKUP(AG1752,Cadastros!$G$6:$G$90,Cadastros!$H$6:$H$90))))</f>
        <v/>
      </c>
      <c r="AJ1752" s="168" t="str">
        <f t="shared" si="358"/>
        <v/>
      </c>
      <c r="AK1752" s="168" t="str">
        <f t="shared" si="359"/>
        <v/>
      </c>
      <c r="AL1752" s="28"/>
      <c r="AM1752" s="28"/>
      <c r="AN1752" s="20" t="str">
        <f>IF(AL1752="","",IF($F1752="Bernardino Furlan",_xlfn.XLOOKUP(AL1752,Cadastros!$G$6:$G$90,Cadastros!$H$6:$H$90)*(1-0.18),IF($F1752="Mauro José Salanti",_xlfn.XLOOKUP(AL1752,Cadastros!$G$6:$G$90,Cadastros!$H$6:$H$90)*(1-0.18),_xlfn.XLOOKUP(AL1752,Cadastros!$G$6:$G$90,Cadastros!$H$6:$H$90))))</f>
        <v/>
      </c>
      <c r="AO1752" s="168" t="str">
        <f t="shared" si="360"/>
        <v/>
      </c>
      <c r="AP1752" s="168" t="str">
        <f t="shared" si="361"/>
        <v/>
      </c>
      <c r="AQ1752" s="28"/>
      <c r="AR1752" s="28"/>
      <c r="AS1752" s="20" t="str">
        <f>IF(AQ1752="","",IF($F1752="Bernardino Furlan",_xlfn.XLOOKUP(AQ1752,Cadastros!$G$6:$G$90,Cadastros!$H$6:$H$90)*(1-0.18),IF($F1752="Mauro José Salanti",_xlfn.XLOOKUP(AQ1752,Cadastros!$G$6:$G$90,Cadastros!$H$6:$H$90)*(1-0.18),_xlfn.XLOOKUP(AQ1752,Cadastros!$G$6:$G$90,Cadastros!$H$6:$H$90))))</f>
        <v/>
      </c>
      <c r="AT1752" s="168" t="str">
        <f t="shared" si="362"/>
        <v/>
      </c>
      <c r="AU1752" s="168" t="str">
        <f t="shared" si="363"/>
        <v/>
      </c>
      <c r="AV1752" s="227"/>
      <c r="AW1752" s="30"/>
      <c r="AX1752" s="267"/>
      <c r="AY1752" s="267"/>
      <c r="AZ1752" s="29"/>
      <c r="BA1752" s="30"/>
      <c r="BB1752" s="23" t="str" cm="1">
        <f t="array" ref="BB1752">_xlfn.IFS(AW1752="SIM",SUM(K1752,P1752,U1752,Z1752,AE1752,AJ1752,AO1752,AT1752,AX1752,AY1752),F1752&lt;&gt;"",SUM(K1752,P1752,U1752,Z1752,AE1752,AJ1752,,AO1752,AT1752),F1752="","")</f>
        <v/>
      </c>
      <c r="BC1752" s="211" t="str" cm="1">
        <f t="array" ref="BC1752">_xlfn.IFS(E1752="","",G1752&lt;=E1752,BB1752*(1-0.03),G1752&lt;(E1752+8),BB1752,AZ1752="Boleto",BB1752*(1+0.001)^DATEDIF(E1752,G1752,"D"),AZ1752="Cheque",BB1752,AZ1752="Dinheiro","Alterar forma pgto")</f>
        <v/>
      </c>
      <c r="BD1752" s="276" t="str" cm="1">
        <f t="array" ref="BD1752">IF(F1752=0," ",IF(BC1752&lt;BB1752,(_xlfn.IFS(AW1752="SIM",SUM(L1752,Q1752,V1752,AA1752,AF1752,AK1752,AP1752,AU1752)+AX1752/_xlfn.XLOOKUP(_xlfn.XLOOKUP($F1752,Clientes!$B$4:$B$39,Clientes!$C$4:$C$39),Cadastros!$L$6:$L$12,Cadastros!$M$6:$M$12)+IF($F1752="Bernardino Furlan",AY1752/2751.92,IF($F1752="Mauro José Salanti",AY1752/2751.92,AY1752/3356)),F1752&lt;&gt;0,SUM(L1752,Q1752,V1752,AA1752,AF1752,AK1752,AP1752,AU1752)))*(1-0.03),_xlfn.IFS(AW1752="SIM",SUM(L1752,Q1752,V1752,AA1752,AF1752,AK1752,AP1752,AU1752)+AX1752/_xlfn.XLOOKUP(_xlfn.XLOOKUP($F1752,Clientes!$B$4:$B$39,Clientes!$C$4:$C$39),Cadastros!$L$6:$L$12,Cadastros!$M$6:$M$12)+IF($F1752="Bernardino Furlan",AY1752/2751.92,IF($F1752="Mauro José Salanti",AY1752/2751.92,AY1752/3356)),F1752&lt;&gt;0,SUM(L1752,Q1752,V1752,AA1752,AF1752,AK1752,AP1752,AU1752))))</f>
        <v xml:space="preserve"> </v>
      </c>
      <c r="BE1752" s="120"/>
      <c r="BF1752" s="120"/>
      <c r="BG1752" s="120"/>
    </row>
    <row r="1753" spans="1:59" s="3" customFormat="1" x14ac:dyDescent="0.3">
      <c r="A1753" s="15" t="str">
        <f t="shared" si="351"/>
        <v/>
      </c>
      <c r="B1753" s="25"/>
      <c r="C1753" s="26"/>
      <c r="D1753" s="279"/>
      <c r="E1753" s="27"/>
      <c r="F1753" s="28"/>
      <c r="G1753" s="27"/>
      <c r="H1753" s="28"/>
      <c r="I1753" s="28"/>
      <c r="J1753" s="255" t="str">
        <f>IF(H1753="","",(_xlfn.XLOOKUP(H1753,Cadastros!$D$6:$D$90,Cadastros!$E$6:$E$90))*(1-_xlfn.XLOOKUP(_xlfn.XLOOKUP($F1753,Clientes!$B$4:$B$39,Clientes!$C$4:$C$39),Cadastros!$L$6:$L$12,Cadastros!$N$6:$N$12)))</f>
        <v/>
      </c>
      <c r="K1753" s="168" t="str">
        <f t="shared" si="352"/>
        <v/>
      </c>
      <c r="L1753" s="168" t="str">
        <f>IFERROR(K1753/_xlfn.XLOOKUP(_xlfn.XLOOKUP($F1753,Clientes!$B$4:$B$39,Clientes!$C$4:$C$39),Cadastros!$L$6:$L$12,Cadastros!$M$6:$M$12)," ")</f>
        <v xml:space="preserve"> </v>
      </c>
      <c r="M1753" s="28"/>
      <c r="N1753" s="28"/>
      <c r="O1753" s="255" t="str">
        <f>IF(M1753="","",(_xlfn.XLOOKUP(M1753,Cadastros!$D$6:$D$90,Cadastros!$E$6:$E$90))*(1-_xlfn.XLOOKUP(_xlfn.XLOOKUP($F1753,Clientes!$B$4:$B$39,Clientes!$C$4:$C$39),Cadastros!$L$6:$L$12,Cadastros!$N$6:$N$12)))</f>
        <v/>
      </c>
      <c r="P1753" s="168" t="str">
        <f t="shared" si="353"/>
        <v/>
      </c>
      <c r="Q1753" s="168" t="str">
        <f>IFERROR(P1753/_xlfn.XLOOKUP(_xlfn.XLOOKUP($F1753,Clientes!$B$4:$B$39,Clientes!$C$4:$C$39),Cadastros!$L$6:$L$12,Cadastros!$M$6:$M$12)," ")</f>
        <v xml:space="preserve"> </v>
      </c>
      <c r="R1753" s="28"/>
      <c r="S1753" s="28"/>
      <c r="T1753" s="255" t="str">
        <f>IF(R1753="","",(_xlfn.XLOOKUP(R1753,Cadastros!$D$6:$D$90,Cadastros!$E$6:$E$90))*(1-_xlfn.XLOOKUP(_xlfn.XLOOKUP($F1753,Clientes!$B$4:$B$39,Clientes!$C$4:$C$39),Cadastros!$L$6:$L$12,Cadastros!$N$6:$N$12)))</f>
        <v/>
      </c>
      <c r="U1753" s="168" t="str">
        <f t="shared" si="354"/>
        <v/>
      </c>
      <c r="V1753" s="168" t="str">
        <f>IFERROR(U1753/_xlfn.XLOOKUP(_xlfn.XLOOKUP($F1753,Clientes!$B$4:$B$39,Clientes!$C$4:$C$39),Cadastros!$L$6:$L$12,Cadastros!$M$6:$M$12)," ")</f>
        <v xml:space="preserve"> </v>
      </c>
      <c r="W1753" s="28"/>
      <c r="X1753" s="28"/>
      <c r="Y1753" s="255" t="str">
        <f>IF(W1753="","",(_xlfn.XLOOKUP(W1753,Cadastros!$D$6:$D$90,Cadastros!$E$6:$E$90))*(1-_xlfn.XLOOKUP(_xlfn.XLOOKUP($F1753,Clientes!$B$4:$B$39,Clientes!$C$4:$C$39),Cadastros!$L$6:$L$12,Cadastros!$N$6:$N$12)))</f>
        <v/>
      </c>
      <c r="Z1753" s="168" t="str">
        <f t="shared" si="355"/>
        <v/>
      </c>
      <c r="AA1753" s="168" t="str">
        <f>IFERROR(Z1753/_xlfn.XLOOKUP(_xlfn.XLOOKUP($F1753,Clientes!$B$4:$B$39,Clientes!$C$4:$C$39),Cadastros!$L$6:$L$12,Cadastros!$M$6:$M$12)," ")</f>
        <v xml:space="preserve"> </v>
      </c>
      <c r="AB1753" s="28"/>
      <c r="AC1753" s="28"/>
      <c r="AD1753" s="20" t="str">
        <f>IF(AB1753="","",IF($F1753="Bernardino Furlan",_xlfn.XLOOKUP(AB1753,Cadastros!$G$6:$G$90,Cadastros!$H$6:$H$90)*(1-0.18),IF($F1753="Mauro José Salanti",_xlfn.XLOOKUP(AB1753,Cadastros!$G$6:$G$90,Cadastros!$H$6:$H$90)*(1-0.18),_xlfn.XLOOKUP(AB1753,Cadastros!$G$6:$G$90,Cadastros!$H$6:$H$90))))</f>
        <v/>
      </c>
      <c r="AE1753" s="168" t="str">
        <f t="shared" si="356"/>
        <v/>
      </c>
      <c r="AF1753" s="168" t="str">
        <f t="shared" si="357"/>
        <v/>
      </c>
      <c r="AG1753" s="28"/>
      <c r="AH1753" s="28"/>
      <c r="AI1753" s="20" t="str">
        <f>IF(AG1753="","",IF($F1753="Bernardino Furlan",_xlfn.XLOOKUP(AG1753,Cadastros!$G$6:$G$90,Cadastros!$H$6:$H$90)*(1-0.18),IF($F1753="Mauro José Salanti",_xlfn.XLOOKUP(AG1753,Cadastros!$G$6:$G$90,Cadastros!$H$6:$H$90)*(1-0.18),_xlfn.XLOOKUP(AG1753,Cadastros!$G$6:$G$90,Cadastros!$H$6:$H$90))))</f>
        <v/>
      </c>
      <c r="AJ1753" s="168" t="str">
        <f t="shared" si="358"/>
        <v/>
      </c>
      <c r="AK1753" s="168" t="str">
        <f t="shared" si="359"/>
        <v/>
      </c>
      <c r="AL1753" s="28"/>
      <c r="AM1753" s="28"/>
      <c r="AN1753" s="20" t="str">
        <f>IF(AL1753="","",IF($F1753="Bernardino Furlan",_xlfn.XLOOKUP(AL1753,Cadastros!$G$6:$G$90,Cadastros!$H$6:$H$90)*(1-0.18),IF($F1753="Mauro José Salanti",_xlfn.XLOOKUP(AL1753,Cadastros!$G$6:$G$90,Cadastros!$H$6:$H$90)*(1-0.18),_xlfn.XLOOKUP(AL1753,Cadastros!$G$6:$G$90,Cadastros!$H$6:$H$90))))</f>
        <v/>
      </c>
      <c r="AO1753" s="168" t="str">
        <f t="shared" si="360"/>
        <v/>
      </c>
      <c r="AP1753" s="168" t="str">
        <f t="shared" si="361"/>
        <v/>
      </c>
      <c r="AQ1753" s="28"/>
      <c r="AR1753" s="28"/>
      <c r="AS1753" s="20" t="str">
        <f>IF(AQ1753="","",IF($F1753="Bernardino Furlan",_xlfn.XLOOKUP(AQ1753,Cadastros!$G$6:$G$90,Cadastros!$H$6:$H$90)*(1-0.18),IF($F1753="Mauro José Salanti",_xlfn.XLOOKUP(AQ1753,Cadastros!$G$6:$G$90,Cadastros!$H$6:$H$90)*(1-0.18),_xlfn.XLOOKUP(AQ1753,Cadastros!$G$6:$G$90,Cadastros!$H$6:$H$90))))</f>
        <v/>
      </c>
      <c r="AT1753" s="168" t="str">
        <f t="shared" si="362"/>
        <v/>
      </c>
      <c r="AU1753" s="168" t="str">
        <f t="shared" si="363"/>
        <v/>
      </c>
      <c r="AV1753" s="227"/>
      <c r="AW1753" s="30"/>
      <c r="AX1753" s="267"/>
      <c r="AY1753" s="267"/>
      <c r="AZ1753" s="29"/>
      <c r="BA1753" s="30"/>
      <c r="BB1753" s="23" t="str" cm="1">
        <f t="array" ref="BB1753">_xlfn.IFS(AW1753="SIM",SUM(K1753,P1753,U1753,Z1753,AE1753,AJ1753,AO1753,AT1753,AX1753,AY1753),F1753&lt;&gt;"",SUM(K1753,P1753,U1753,Z1753,AE1753,AJ1753,,AO1753,AT1753),F1753="","")</f>
        <v/>
      </c>
      <c r="BC1753" s="211" t="str" cm="1">
        <f t="array" ref="BC1753">_xlfn.IFS(E1753="","",G1753&lt;=E1753,BB1753*(1-0.03),G1753&lt;(E1753+8),BB1753,AZ1753="Boleto",BB1753*(1+0.001)^DATEDIF(E1753,G1753,"D"),AZ1753="Cheque",BB1753,AZ1753="Dinheiro","Alterar forma pgto")</f>
        <v/>
      </c>
      <c r="BD1753" s="276" t="str" cm="1">
        <f t="array" ref="BD1753">IF(F1753=0," ",IF(BC1753&lt;BB1753,(_xlfn.IFS(AW1753="SIM",SUM(L1753,Q1753,V1753,AA1753,AF1753,AK1753,AP1753,AU1753)+AX1753/_xlfn.XLOOKUP(_xlfn.XLOOKUP($F1753,Clientes!$B$4:$B$39,Clientes!$C$4:$C$39),Cadastros!$L$6:$L$12,Cadastros!$M$6:$M$12)+IF($F1753="Bernardino Furlan",AY1753/2751.92,IF($F1753="Mauro José Salanti",AY1753/2751.92,AY1753/3356)),F1753&lt;&gt;0,SUM(L1753,Q1753,V1753,AA1753,AF1753,AK1753,AP1753,AU1753)))*(1-0.03),_xlfn.IFS(AW1753="SIM",SUM(L1753,Q1753,V1753,AA1753,AF1753,AK1753,AP1753,AU1753)+AX1753/_xlfn.XLOOKUP(_xlfn.XLOOKUP($F1753,Clientes!$B$4:$B$39,Clientes!$C$4:$C$39),Cadastros!$L$6:$L$12,Cadastros!$M$6:$M$12)+IF($F1753="Bernardino Furlan",AY1753/2751.92,IF($F1753="Mauro José Salanti",AY1753/2751.92,AY1753/3356)),F1753&lt;&gt;0,SUM(L1753,Q1753,V1753,AA1753,AF1753,AK1753,AP1753,AU1753))))</f>
        <v xml:space="preserve"> </v>
      </c>
      <c r="BE1753" s="120"/>
      <c r="BF1753" s="120"/>
      <c r="BG1753" s="120"/>
    </row>
    <row r="1754" spans="1:59" s="3" customFormat="1" x14ac:dyDescent="0.3">
      <c r="A1754" s="15" t="str">
        <f t="shared" si="351"/>
        <v/>
      </c>
      <c r="B1754" s="25"/>
      <c r="C1754" s="26"/>
      <c r="D1754" s="279"/>
      <c r="E1754" s="27"/>
      <c r="F1754" s="28"/>
      <c r="G1754" s="27"/>
      <c r="H1754" s="28"/>
      <c r="I1754" s="28"/>
      <c r="J1754" s="255" t="str">
        <f>IF(H1754="","",(_xlfn.XLOOKUP(H1754,Cadastros!$D$6:$D$90,Cadastros!$E$6:$E$90))*(1-_xlfn.XLOOKUP(_xlfn.XLOOKUP($F1754,Clientes!$B$4:$B$39,Clientes!$C$4:$C$39),Cadastros!$L$6:$L$12,Cadastros!$N$6:$N$12)))</f>
        <v/>
      </c>
      <c r="K1754" s="168" t="str">
        <f t="shared" si="352"/>
        <v/>
      </c>
      <c r="L1754" s="168" t="str">
        <f>IFERROR(K1754/_xlfn.XLOOKUP(_xlfn.XLOOKUP($F1754,Clientes!$B$4:$B$39,Clientes!$C$4:$C$39),Cadastros!$L$6:$L$12,Cadastros!$M$6:$M$12)," ")</f>
        <v xml:space="preserve"> </v>
      </c>
      <c r="M1754" s="28"/>
      <c r="N1754" s="28"/>
      <c r="O1754" s="255" t="str">
        <f>IF(M1754="","",(_xlfn.XLOOKUP(M1754,Cadastros!$D$6:$D$90,Cadastros!$E$6:$E$90))*(1-_xlfn.XLOOKUP(_xlfn.XLOOKUP($F1754,Clientes!$B$4:$B$39,Clientes!$C$4:$C$39),Cadastros!$L$6:$L$12,Cadastros!$N$6:$N$12)))</f>
        <v/>
      </c>
      <c r="P1754" s="168" t="str">
        <f t="shared" si="353"/>
        <v/>
      </c>
      <c r="Q1754" s="168" t="str">
        <f>IFERROR(P1754/_xlfn.XLOOKUP(_xlfn.XLOOKUP($F1754,Clientes!$B$4:$B$39,Clientes!$C$4:$C$39),Cadastros!$L$6:$L$12,Cadastros!$M$6:$M$12)," ")</f>
        <v xml:space="preserve"> </v>
      </c>
      <c r="R1754" s="28"/>
      <c r="S1754" s="28"/>
      <c r="T1754" s="255" t="str">
        <f>IF(R1754="","",(_xlfn.XLOOKUP(R1754,Cadastros!$D$6:$D$90,Cadastros!$E$6:$E$90))*(1-_xlfn.XLOOKUP(_xlfn.XLOOKUP($F1754,Clientes!$B$4:$B$39,Clientes!$C$4:$C$39),Cadastros!$L$6:$L$12,Cadastros!$N$6:$N$12)))</f>
        <v/>
      </c>
      <c r="U1754" s="168" t="str">
        <f t="shared" si="354"/>
        <v/>
      </c>
      <c r="V1754" s="168" t="str">
        <f>IFERROR(U1754/_xlfn.XLOOKUP(_xlfn.XLOOKUP($F1754,Clientes!$B$4:$B$39,Clientes!$C$4:$C$39),Cadastros!$L$6:$L$12,Cadastros!$M$6:$M$12)," ")</f>
        <v xml:space="preserve"> </v>
      </c>
      <c r="W1754" s="28"/>
      <c r="X1754" s="28"/>
      <c r="Y1754" s="255" t="str">
        <f>IF(W1754="","",(_xlfn.XLOOKUP(W1754,Cadastros!$D$6:$D$90,Cadastros!$E$6:$E$90))*(1-_xlfn.XLOOKUP(_xlfn.XLOOKUP($F1754,Clientes!$B$4:$B$39,Clientes!$C$4:$C$39),Cadastros!$L$6:$L$12,Cadastros!$N$6:$N$12)))</f>
        <v/>
      </c>
      <c r="Z1754" s="168" t="str">
        <f t="shared" si="355"/>
        <v/>
      </c>
      <c r="AA1754" s="168" t="str">
        <f>IFERROR(Z1754/_xlfn.XLOOKUP(_xlfn.XLOOKUP($F1754,Clientes!$B$4:$B$39,Clientes!$C$4:$C$39),Cadastros!$L$6:$L$12,Cadastros!$M$6:$M$12)," ")</f>
        <v xml:space="preserve"> </v>
      </c>
      <c r="AB1754" s="28"/>
      <c r="AC1754" s="28"/>
      <c r="AD1754" s="20" t="str">
        <f>IF(AB1754="","",IF($F1754="Bernardino Furlan",_xlfn.XLOOKUP(AB1754,Cadastros!$G$6:$G$90,Cadastros!$H$6:$H$90)*(1-0.18),IF($F1754="Mauro José Salanti",_xlfn.XLOOKUP(AB1754,Cadastros!$G$6:$G$90,Cadastros!$H$6:$H$90)*(1-0.18),_xlfn.XLOOKUP(AB1754,Cadastros!$G$6:$G$90,Cadastros!$H$6:$H$90))))</f>
        <v/>
      </c>
      <c r="AE1754" s="168" t="str">
        <f t="shared" si="356"/>
        <v/>
      </c>
      <c r="AF1754" s="168" t="str">
        <f t="shared" si="357"/>
        <v/>
      </c>
      <c r="AG1754" s="28"/>
      <c r="AH1754" s="28"/>
      <c r="AI1754" s="20" t="str">
        <f>IF(AG1754="","",IF($F1754="Bernardino Furlan",_xlfn.XLOOKUP(AG1754,Cadastros!$G$6:$G$90,Cadastros!$H$6:$H$90)*(1-0.18),IF($F1754="Mauro José Salanti",_xlfn.XLOOKUP(AG1754,Cadastros!$G$6:$G$90,Cadastros!$H$6:$H$90)*(1-0.18),_xlfn.XLOOKUP(AG1754,Cadastros!$G$6:$G$90,Cadastros!$H$6:$H$90))))</f>
        <v/>
      </c>
      <c r="AJ1754" s="168" t="str">
        <f t="shared" si="358"/>
        <v/>
      </c>
      <c r="AK1754" s="168" t="str">
        <f t="shared" si="359"/>
        <v/>
      </c>
      <c r="AL1754" s="28"/>
      <c r="AM1754" s="28"/>
      <c r="AN1754" s="20" t="str">
        <f>IF(AL1754="","",IF($F1754="Bernardino Furlan",_xlfn.XLOOKUP(AL1754,Cadastros!$G$6:$G$90,Cadastros!$H$6:$H$90)*(1-0.18),IF($F1754="Mauro José Salanti",_xlfn.XLOOKUP(AL1754,Cadastros!$G$6:$G$90,Cadastros!$H$6:$H$90)*(1-0.18),_xlfn.XLOOKUP(AL1754,Cadastros!$G$6:$G$90,Cadastros!$H$6:$H$90))))</f>
        <v/>
      </c>
      <c r="AO1754" s="168" t="str">
        <f t="shared" si="360"/>
        <v/>
      </c>
      <c r="AP1754" s="168" t="str">
        <f t="shared" si="361"/>
        <v/>
      </c>
      <c r="AQ1754" s="28"/>
      <c r="AR1754" s="28"/>
      <c r="AS1754" s="20" t="str">
        <f>IF(AQ1754="","",IF($F1754="Bernardino Furlan",_xlfn.XLOOKUP(AQ1754,Cadastros!$G$6:$G$90,Cadastros!$H$6:$H$90)*(1-0.18),IF($F1754="Mauro José Salanti",_xlfn.XLOOKUP(AQ1754,Cadastros!$G$6:$G$90,Cadastros!$H$6:$H$90)*(1-0.18),_xlfn.XLOOKUP(AQ1754,Cadastros!$G$6:$G$90,Cadastros!$H$6:$H$90))))</f>
        <v/>
      </c>
      <c r="AT1754" s="168" t="str">
        <f t="shared" si="362"/>
        <v/>
      </c>
      <c r="AU1754" s="168" t="str">
        <f t="shared" si="363"/>
        <v/>
      </c>
      <c r="AV1754" s="227"/>
      <c r="AW1754" s="30"/>
      <c r="AX1754" s="267"/>
      <c r="AY1754" s="267"/>
      <c r="AZ1754" s="29"/>
      <c r="BA1754" s="30"/>
      <c r="BB1754" s="23" t="str" cm="1">
        <f t="array" ref="BB1754">_xlfn.IFS(AW1754="SIM",SUM(K1754,P1754,U1754,Z1754,AE1754,AJ1754,AO1754,AT1754,AX1754,AY1754),F1754&lt;&gt;"",SUM(K1754,P1754,U1754,Z1754,AE1754,AJ1754,,AO1754,AT1754),F1754="","")</f>
        <v/>
      </c>
      <c r="BC1754" s="211" t="str" cm="1">
        <f t="array" ref="BC1754">_xlfn.IFS(E1754="","",G1754&lt;=E1754,BB1754*(1-0.03),G1754&lt;(E1754+8),BB1754,AZ1754="Boleto",BB1754*(1+0.001)^DATEDIF(E1754,G1754,"D"),AZ1754="Cheque",BB1754,AZ1754="Dinheiro","Alterar forma pgto")</f>
        <v/>
      </c>
      <c r="BD1754" s="276" t="str" cm="1">
        <f t="array" ref="BD1754">IF(F1754=0," ",IF(BC1754&lt;BB1754,(_xlfn.IFS(AW1754="SIM",SUM(L1754,Q1754,V1754,AA1754,AF1754,AK1754,AP1754,AU1754)+AX1754/_xlfn.XLOOKUP(_xlfn.XLOOKUP($F1754,Clientes!$B$4:$B$39,Clientes!$C$4:$C$39),Cadastros!$L$6:$L$12,Cadastros!$M$6:$M$12)+IF($F1754="Bernardino Furlan",AY1754/2751.92,IF($F1754="Mauro José Salanti",AY1754/2751.92,AY1754/3356)),F1754&lt;&gt;0,SUM(L1754,Q1754,V1754,AA1754,AF1754,AK1754,AP1754,AU1754)))*(1-0.03),_xlfn.IFS(AW1754="SIM",SUM(L1754,Q1754,V1754,AA1754,AF1754,AK1754,AP1754,AU1754)+AX1754/_xlfn.XLOOKUP(_xlfn.XLOOKUP($F1754,Clientes!$B$4:$B$39,Clientes!$C$4:$C$39),Cadastros!$L$6:$L$12,Cadastros!$M$6:$M$12)+IF($F1754="Bernardino Furlan",AY1754/2751.92,IF($F1754="Mauro José Salanti",AY1754/2751.92,AY1754/3356)),F1754&lt;&gt;0,SUM(L1754,Q1754,V1754,AA1754,AF1754,AK1754,AP1754,AU1754))))</f>
        <v xml:space="preserve"> </v>
      </c>
      <c r="BE1754" s="120"/>
      <c r="BF1754" s="120"/>
      <c r="BG1754" s="120"/>
    </row>
    <row r="1755" spans="1:59" s="3" customFormat="1" x14ac:dyDescent="0.3">
      <c r="A1755" s="15" t="str">
        <f t="shared" si="351"/>
        <v/>
      </c>
      <c r="B1755" s="25"/>
      <c r="C1755" s="26"/>
      <c r="D1755" s="279"/>
      <c r="E1755" s="27"/>
      <c r="F1755" s="28"/>
      <c r="G1755" s="27"/>
      <c r="H1755" s="28"/>
      <c r="I1755" s="28"/>
      <c r="J1755" s="255" t="str">
        <f>IF(H1755="","",(_xlfn.XLOOKUP(H1755,Cadastros!$D$6:$D$90,Cadastros!$E$6:$E$90))*(1-_xlfn.XLOOKUP(_xlfn.XLOOKUP($F1755,Clientes!$B$4:$B$39,Clientes!$C$4:$C$39),Cadastros!$L$6:$L$12,Cadastros!$N$6:$N$12)))</f>
        <v/>
      </c>
      <c r="K1755" s="168" t="str">
        <f t="shared" si="352"/>
        <v/>
      </c>
      <c r="L1755" s="168" t="str">
        <f>IFERROR(K1755/_xlfn.XLOOKUP(_xlfn.XLOOKUP($F1755,Clientes!$B$4:$B$39,Clientes!$C$4:$C$39),Cadastros!$L$6:$L$12,Cadastros!$M$6:$M$12)," ")</f>
        <v xml:space="preserve"> </v>
      </c>
      <c r="M1755" s="28"/>
      <c r="N1755" s="28"/>
      <c r="O1755" s="255" t="str">
        <f>IF(M1755="","",(_xlfn.XLOOKUP(M1755,Cadastros!$D$6:$D$90,Cadastros!$E$6:$E$90))*(1-_xlfn.XLOOKUP(_xlfn.XLOOKUP($F1755,Clientes!$B$4:$B$39,Clientes!$C$4:$C$39),Cadastros!$L$6:$L$12,Cadastros!$N$6:$N$12)))</f>
        <v/>
      </c>
      <c r="P1755" s="168" t="str">
        <f t="shared" si="353"/>
        <v/>
      </c>
      <c r="Q1755" s="168" t="str">
        <f>IFERROR(P1755/_xlfn.XLOOKUP(_xlfn.XLOOKUP($F1755,Clientes!$B$4:$B$39,Clientes!$C$4:$C$39),Cadastros!$L$6:$L$12,Cadastros!$M$6:$M$12)," ")</f>
        <v xml:space="preserve"> </v>
      </c>
      <c r="R1755" s="28"/>
      <c r="S1755" s="28"/>
      <c r="T1755" s="255" t="str">
        <f>IF(R1755="","",(_xlfn.XLOOKUP(R1755,Cadastros!$D$6:$D$90,Cadastros!$E$6:$E$90))*(1-_xlfn.XLOOKUP(_xlfn.XLOOKUP($F1755,Clientes!$B$4:$B$39,Clientes!$C$4:$C$39),Cadastros!$L$6:$L$12,Cadastros!$N$6:$N$12)))</f>
        <v/>
      </c>
      <c r="U1755" s="168" t="str">
        <f t="shared" si="354"/>
        <v/>
      </c>
      <c r="V1755" s="168" t="str">
        <f>IFERROR(U1755/_xlfn.XLOOKUP(_xlfn.XLOOKUP($F1755,Clientes!$B$4:$B$39,Clientes!$C$4:$C$39),Cadastros!$L$6:$L$12,Cadastros!$M$6:$M$12)," ")</f>
        <v xml:space="preserve"> </v>
      </c>
      <c r="W1755" s="28"/>
      <c r="X1755" s="28"/>
      <c r="Y1755" s="255" t="str">
        <f>IF(W1755="","",(_xlfn.XLOOKUP(W1755,Cadastros!$D$6:$D$90,Cadastros!$E$6:$E$90))*(1-_xlfn.XLOOKUP(_xlfn.XLOOKUP($F1755,Clientes!$B$4:$B$39,Clientes!$C$4:$C$39),Cadastros!$L$6:$L$12,Cadastros!$N$6:$N$12)))</f>
        <v/>
      </c>
      <c r="Z1755" s="168" t="str">
        <f t="shared" si="355"/>
        <v/>
      </c>
      <c r="AA1755" s="168" t="str">
        <f>IFERROR(Z1755/_xlfn.XLOOKUP(_xlfn.XLOOKUP($F1755,Clientes!$B$4:$B$39,Clientes!$C$4:$C$39),Cadastros!$L$6:$L$12,Cadastros!$M$6:$M$12)," ")</f>
        <v xml:space="preserve"> </v>
      </c>
      <c r="AB1755" s="28"/>
      <c r="AC1755" s="28"/>
      <c r="AD1755" s="20" t="str">
        <f>IF(AB1755="","",IF($F1755="Bernardino Furlan",_xlfn.XLOOKUP(AB1755,Cadastros!$G$6:$G$90,Cadastros!$H$6:$H$90)*(1-0.18),IF($F1755="Mauro José Salanti",_xlfn.XLOOKUP(AB1755,Cadastros!$G$6:$G$90,Cadastros!$H$6:$H$90)*(1-0.18),_xlfn.XLOOKUP(AB1755,Cadastros!$G$6:$G$90,Cadastros!$H$6:$H$90))))</f>
        <v/>
      </c>
      <c r="AE1755" s="168" t="str">
        <f t="shared" si="356"/>
        <v/>
      </c>
      <c r="AF1755" s="168" t="str">
        <f t="shared" si="357"/>
        <v/>
      </c>
      <c r="AG1755" s="28"/>
      <c r="AH1755" s="28"/>
      <c r="AI1755" s="20" t="str">
        <f>IF(AG1755="","",IF($F1755="Bernardino Furlan",_xlfn.XLOOKUP(AG1755,Cadastros!$G$6:$G$90,Cadastros!$H$6:$H$90)*(1-0.18),IF($F1755="Mauro José Salanti",_xlfn.XLOOKUP(AG1755,Cadastros!$G$6:$G$90,Cadastros!$H$6:$H$90)*(1-0.18),_xlfn.XLOOKUP(AG1755,Cadastros!$G$6:$G$90,Cadastros!$H$6:$H$90))))</f>
        <v/>
      </c>
      <c r="AJ1755" s="168" t="str">
        <f t="shared" si="358"/>
        <v/>
      </c>
      <c r="AK1755" s="168" t="str">
        <f t="shared" si="359"/>
        <v/>
      </c>
      <c r="AL1755" s="28"/>
      <c r="AM1755" s="28"/>
      <c r="AN1755" s="20" t="str">
        <f>IF(AL1755="","",IF($F1755="Bernardino Furlan",_xlfn.XLOOKUP(AL1755,Cadastros!$G$6:$G$90,Cadastros!$H$6:$H$90)*(1-0.18),IF($F1755="Mauro José Salanti",_xlfn.XLOOKUP(AL1755,Cadastros!$G$6:$G$90,Cadastros!$H$6:$H$90)*(1-0.18),_xlfn.XLOOKUP(AL1755,Cadastros!$G$6:$G$90,Cadastros!$H$6:$H$90))))</f>
        <v/>
      </c>
      <c r="AO1755" s="168" t="str">
        <f t="shared" si="360"/>
        <v/>
      </c>
      <c r="AP1755" s="168" t="str">
        <f t="shared" si="361"/>
        <v/>
      </c>
      <c r="AQ1755" s="28"/>
      <c r="AR1755" s="28"/>
      <c r="AS1755" s="20" t="str">
        <f>IF(AQ1755="","",IF($F1755="Bernardino Furlan",_xlfn.XLOOKUP(AQ1755,Cadastros!$G$6:$G$90,Cadastros!$H$6:$H$90)*(1-0.18),IF($F1755="Mauro José Salanti",_xlfn.XLOOKUP(AQ1755,Cadastros!$G$6:$G$90,Cadastros!$H$6:$H$90)*(1-0.18),_xlfn.XLOOKUP(AQ1755,Cadastros!$G$6:$G$90,Cadastros!$H$6:$H$90))))</f>
        <v/>
      </c>
      <c r="AT1755" s="168" t="str">
        <f t="shared" si="362"/>
        <v/>
      </c>
      <c r="AU1755" s="168" t="str">
        <f t="shared" si="363"/>
        <v/>
      </c>
      <c r="AV1755" s="227"/>
      <c r="AW1755" s="30"/>
      <c r="AX1755" s="267"/>
      <c r="AY1755" s="267"/>
      <c r="AZ1755" s="29"/>
      <c r="BA1755" s="30"/>
      <c r="BB1755" s="23" t="str" cm="1">
        <f t="array" ref="BB1755">_xlfn.IFS(AW1755="SIM",SUM(K1755,P1755,U1755,Z1755,AE1755,AJ1755,AO1755,AT1755,AX1755,AY1755),F1755&lt;&gt;"",SUM(K1755,P1755,U1755,Z1755,AE1755,AJ1755,,AO1755,AT1755),F1755="","")</f>
        <v/>
      </c>
      <c r="BC1755" s="211" t="str" cm="1">
        <f t="array" ref="BC1755">_xlfn.IFS(E1755="","",G1755&lt;=E1755,BB1755*(1-0.03),G1755&lt;(E1755+8),BB1755,AZ1755="Boleto",BB1755*(1+0.001)^DATEDIF(E1755,G1755,"D"),AZ1755="Cheque",BB1755,AZ1755="Dinheiro","Alterar forma pgto")</f>
        <v/>
      </c>
      <c r="BD1755" s="276" t="str" cm="1">
        <f t="array" ref="BD1755">IF(F1755=0," ",IF(BC1755&lt;BB1755,(_xlfn.IFS(AW1755="SIM",SUM(L1755,Q1755,V1755,AA1755,AF1755,AK1755,AP1755,AU1755)+AX1755/_xlfn.XLOOKUP(_xlfn.XLOOKUP($F1755,Clientes!$B$4:$B$39,Clientes!$C$4:$C$39),Cadastros!$L$6:$L$12,Cadastros!$M$6:$M$12)+IF($F1755="Bernardino Furlan",AY1755/2751.92,IF($F1755="Mauro José Salanti",AY1755/2751.92,AY1755/3356)),F1755&lt;&gt;0,SUM(L1755,Q1755,V1755,AA1755,AF1755,AK1755,AP1755,AU1755)))*(1-0.03),_xlfn.IFS(AW1755="SIM",SUM(L1755,Q1755,V1755,AA1755,AF1755,AK1755,AP1755,AU1755)+AX1755/_xlfn.XLOOKUP(_xlfn.XLOOKUP($F1755,Clientes!$B$4:$B$39,Clientes!$C$4:$C$39),Cadastros!$L$6:$L$12,Cadastros!$M$6:$M$12)+IF($F1755="Bernardino Furlan",AY1755/2751.92,IF($F1755="Mauro José Salanti",AY1755/2751.92,AY1755/3356)),F1755&lt;&gt;0,SUM(L1755,Q1755,V1755,AA1755,AF1755,AK1755,AP1755,AU1755))))</f>
        <v xml:space="preserve"> </v>
      </c>
      <c r="BE1755" s="120"/>
      <c r="BF1755" s="120"/>
      <c r="BG1755" s="120"/>
    </row>
    <row r="1756" spans="1:59" s="3" customFormat="1" x14ac:dyDescent="0.3">
      <c r="A1756" s="15" t="str">
        <f t="shared" si="351"/>
        <v/>
      </c>
      <c r="B1756" s="25"/>
      <c r="C1756" s="26"/>
      <c r="D1756" s="279"/>
      <c r="E1756" s="27"/>
      <c r="F1756" s="28"/>
      <c r="G1756" s="27"/>
      <c r="H1756" s="28"/>
      <c r="I1756" s="28"/>
      <c r="J1756" s="255" t="str">
        <f>IF(H1756="","",(_xlfn.XLOOKUP(H1756,Cadastros!$D$6:$D$90,Cadastros!$E$6:$E$90))*(1-_xlfn.XLOOKUP(_xlfn.XLOOKUP($F1756,Clientes!$B$4:$B$39,Clientes!$C$4:$C$39),Cadastros!$L$6:$L$12,Cadastros!$N$6:$N$12)))</f>
        <v/>
      </c>
      <c r="K1756" s="168" t="str">
        <f t="shared" si="352"/>
        <v/>
      </c>
      <c r="L1756" s="168" t="str">
        <f>IFERROR(K1756/_xlfn.XLOOKUP(_xlfn.XLOOKUP($F1756,Clientes!$B$4:$B$39,Clientes!$C$4:$C$39),Cadastros!$L$6:$L$12,Cadastros!$M$6:$M$12)," ")</f>
        <v xml:space="preserve"> </v>
      </c>
      <c r="M1756" s="28"/>
      <c r="N1756" s="28"/>
      <c r="O1756" s="255" t="str">
        <f>IF(M1756="","",(_xlfn.XLOOKUP(M1756,Cadastros!$D$6:$D$90,Cadastros!$E$6:$E$90))*(1-_xlfn.XLOOKUP(_xlfn.XLOOKUP($F1756,Clientes!$B$4:$B$39,Clientes!$C$4:$C$39),Cadastros!$L$6:$L$12,Cadastros!$N$6:$N$12)))</f>
        <v/>
      </c>
      <c r="P1756" s="168" t="str">
        <f t="shared" si="353"/>
        <v/>
      </c>
      <c r="Q1756" s="168" t="str">
        <f>IFERROR(P1756/_xlfn.XLOOKUP(_xlfn.XLOOKUP($F1756,Clientes!$B$4:$B$39,Clientes!$C$4:$C$39),Cadastros!$L$6:$L$12,Cadastros!$M$6:$M$12)," ")</f>
        <v xml:space="preserve"> </v>
      </c>
      <c r="R1756" s="28"/>
      <c r="S1756" s="28"/>
      <c r="T1756" s="255" t="str">
        <f>IF(R1756="","",(_xlfn.XLOOKUP(R1756,Cadastros!$D$6:$D$90,Cadastros!$E$6:$E$90))*(1-_xlfn.XLOOKUP(_xlfn.XLOOKUP($F1756,Clientes!$B$4:$B$39,Clientes!$C$4:$C$39),Cadastros!$L$6:$L$12,Cadastros!$N$6:$N$12)))</f>
        <v/>
      </c>
      <c r="U1756" s="168" t="str">
        <f t="shared" si="354"/>
        <v/>
      </c>
      <c r="V1756" s="168" t="str">
        <f>IFERROR(U1756/_xlfn.XLOOKUP(_xlfn.XLOOKUP($F1756,Clientes!$B$4:$B$39,Clientes!$C$4:$C$39),Cadastros!$L$6:$L$12,Cadastros!$M$6:$M$12)," ")</f>
        <v xml:space="preserve"> </v>
      </c>
      <c r="W1756" s="28"/>
      <c r="X1756" s="28"/>
      <c r="Y1756" s="255" t="str">
        <f>IF(W1756="","",(_xlfn.XLOOKUP(W1756,Cadastros!$D$6:$D$90,Cadastros!$E$6:$E$90))*(1-_xlfn.XLOOKUP(_xlfn.XLOOKUP($F1756,Clientes!$B$4:$B$39,Clientes!$C$4:$C$39),Cadastros!$L$6:$L$12,Cadastros!$N$6:$N$12)))</f>
        <v/>
      </c>
      <c r="Z1756" s="168" t="str">
        <f t="shared" si="355"/>
        <v/>
      </c>
      <c r="AA1756" s="168" t="str">
        <f>IFERROR(Z1756/_xlfn.XLOOKUP(_xlfn.XLOOKUP($F1756,Clientes!$B$4:$B$39,Clientes!$C$4:$C$39),Cadastros!$L$6:$L$12,Cadastros!$M$6:$M$12)," ")</f>
        <v xml:space="preserve"> </v>
      </c>
      <c r="AB1756" s="28"/>
      <c r="AC1756" s="28"/>
      <c r="AD1756" s="20" t="str">
        <f>IF(AB1756="","",IF($F1756="Bernardino Furlan",_xlfn.XLOOKUP(AB1756,Cadastros!$G$6:$G$90,Cadastros!$H$6:$H$90)*(1-0.18),IF($F1756="Mauro José Salanti",_xlfn.XLOOKUP(AB1756,Cadastros!$G$6:$G$90,Cadastros!$H$6:$H$90)*(1-0.18),_xlfn.XLOOKUP(AB1756,Cadastros!$G$6:$G$90,Cadastros!$H$6:$H$90))))</f>
        <v/>
      </c>
      <c r="AE1756" s="168" t="str">
        <f t="shared" si="356"/>
        <v/>
      </c>
      <c r="AF1756" s="168" t="str">
        <f t="shared" si="357"/>
        <v/>
      </c>
      <c r="AG1756" s="28"/>
      <c r="AH1756" s="28"/>
      <c r="AI1756" s="20" t="str">
        <f>IF(AG1756="","",IF($F1756="Bernardino Furlan",_xlfn.XLOOKUP(AG1756,Cadastros!$G$6:$G$90,Cadastros!$H$6:$H$90)*(1-0.18),IF($F1756="Mauro José Salanti",_xlfn.XLOOKUP(AG1756,Cadastros!$G$6:$G$90,Cadastros!$H$6:$H$90)*(1-0.18),_xlfn.XLOOKUP(AG1756,Cadastros!$G$6:$G$90,Cadastros!$H$6:$H$90))))</f>
        <v/>
      </c>
      <c r="AJ1756" s="168" t="str">
        <f t="shared" si="358"/>
        <v/>
      </c>
      <c r="AK1756" s="168" t="str">
        <f t="shared" si="359"/>
        <v/>
      </c>
      <c r="AL1756" s="28"/>
      <c r="AM1756" s="28"/>
      <c r="AN1756" s="20" t="str">
        <f>IF(AL1756="","",IF($F1756="Bernardino Furlan",_xlfn.XLOOKUP(AL1756,Cadastros!$G$6:$G$90,Cadastros!$H$6:$H$90)*(1-0.18),IF($F1756="Mauro José Salanti",_xlfn.XLOOKUP(AL1756,Cadastros!$G$6:$G$90,Cadastros!$H$6:$H$90)*(1-0.18),_xlfn.XLOOKUP(AL1756,Cadastros!$G$6:$G$90,Cadastros!$H$6:$H$90))))</f>
        <v/>
      </c>
      <c r="AO1756" s="168" t="str">
        <f t="shared" si="360"/>
        <v/>
      </c>
      <c r="AP1756" s="168" t="str">
        <f t="shared" si="361"/>
        <v/>
      </c>
      <c r="AQ1756" s="28"/>
      <c r="AR1756" s="28"/>
      <c r="AS1756" s="20" t="str">
        <f>IF(AQ1756="","",IF($F1756="Bernardino Furlan",_xlfn.XLOOKUP(AQ1756,Cadastros!$G$6:$G$90,Cadastros!$H$6:$H$90)*(1-0.18),IF($F1756="Mauro José Salanti",_xlfn.XLOOKUP(AQ1756,Cadastros!$G$6:$G$90,Cadastros!$H$6:$H$90)*(1-0.18),_xlfn.XLOOKUP(AQ1756,Cadastros!$G$6:$G$90,Cadastros!$H$6:$H$90))))</f>
        <v/>
      </c>
      <c r="AT1756" s="168" t="str">
        <f t="shared" si="362"/>
        <v/>
      </c>
      <c r="AU1756" s="168" t="str">
        <f t="shared" si="363"/>
        <v/>
      </c>
      <c r="AV1756" s="227"/>
      <c r="AW1756" s="30"/>
      <c r="AX1756" s="267"/>
      <c r="AY1756" s="267"/>
      <c r="AZ1756" s="29"/>
      <c r="BA1756" s="30"/>
      <c r="BB1756" s="23" t="str" cm="1">
        <f t="array" ref="BB1756">_xlfn.IFS(AW1756="SIM",SUM(K1756,P1756,U1756,Z1756,AE1756,AJ1756,AO1756,AT1756,AX1756,AY1756),F1756&lt;&gt;"",SUM(K1756,P1756,U1756,Z1756,AE1756,AJ1756,,AO1756,AT1756),F1756="","")</f>
        <v/>
      </c>
      <c r="BC1756" s="211" t="str" cm="1">
        <f t="array" ref="BC1756">_xlfn.IFS(E1756="","",G1756&lt;=E1756,BB1756*(1-0.03),G1756&lt;(E1756+8),BB1756,AZ1756="Boleto",BB1756*(1+0.001)^DATEDIF(E1756,G1756,"D"),AZ1756="Cheque",BB1756,AZ1756="Dinheiro","Alterar forma pgto")</f>
        <v/>
      </c>
      <c r="BD1756" s="276" t="str" cm="1">
        <f t="array" ref="BD1756">IF(F1756=0," ",IF(BC1756&lt;BB1756,(_xlfn.IFS(AW1756="SIM",SUM(L1756,Q1756,V1756,AA1756,AF1756,AK1756,AP1756,AU1756)+AX1756/_xlfn.XLOOKUP(_xlfn.XLOOKUP($F1756,Clientes!$B$4:$B$39,Clientes!$C$4:$C$39),Cadastros!$L$6:$L$12,Cadastros!$M$6:$M$12)+IF($F1756="Bernardino Furlan",AY1756/2751.92,IF($F1756="Mauro José Salanti",AY1756/2751.92,AY1756/3356)),F1756&lt;&gt;0,SUM(L1756,Q1756,V1756,AA1756,AF1756,AK1756,AP1756,AU1756)))*(1-0.03),_xlfn.IFS(AW1756="SIM",SUM(L1756,Q1756,V1756,AA1756,AF1756,AK1756,AP1756,AU1756)+AX1756/_xlfn.XLOOKUP(_xlfn.XLOOKUP($F1756,Clientes!$B$4:$B$39,Clientes!$C$4:$C$39),Cadastros!$L$6:$L$12,Cadastros!$M$6:$M$12)+IF($F1756="Bernardino Furlan",AY1756/2751.92,IF($F1756="Mauro José Salanti",AY1756/2751.92,AY1756/3356)),F1756&lt;&gt;0,SUM(L1756,Q1756,V1756,AA1756,AF1756,AK1756,AP1756,AU1756))))</f>
        <v xml:space="preserve"> </v>
      </c>
      <c r="BE1756" s="120"/>
      <c r="BF1756" s="120"/>
      <c r="BG1756" s="120"/>
    </row>
    <row r="1757" spans="1:59" s="3" customFormat="1" x14ac:dyDescent="0.3">
      <c r="A1757" s="15" t="str">
        <f t="shared" si="351"/>
        <v/>
      </c>
      <c r="B1757" s="25"/>
      <c r="C1757" s="26"/>
      <c r="D1757" s="279"/>
      <c r="E1757" s="27"/>
      <c r="F1757" s="28"/>
      <c r="G1757" s="27"/>
      <c r="H1757" s="28"/>
      <c r="I1757" s="28"/>
      <c r="J1757" s="255" t="str">
        <f>IF(H1757="","",(_xlfn.XLOOKUP(H1757,Cadastros!$D$6:$D$90,Cadastros!$E$6:$E$90))*(1-_xlfn.XLOOKUP(_xlfn.XLOOKUP($F1757,Clientes!$B$4:$B$39,Clientes!$C$4:$C$39),Cadastros!$L$6:$L$12,Cadastros!$N$6:$N$12)))</f>
        <v/>
      </c>
      <c r="K1757" s="168" t="str">
        <f t="shared" si="352"/>
        <v/>
      </c>
      <c r="L1757" s="168" t="str">
        <f>IFERROR(K1757/_xlfn.XLOOKUP(_xlfn.XLOOKUP($F1757,Clientes!$B$4:$B$39,Clientes!$C$4:$C$39),Cadastros!$L$6:$L$12,Cadastros!$M$6:$M$12)," ")</f>
        <v xml:space="preserve"> </v>
      </c>
      <c r="M1757" s="28"/>
      <c r="N1757" s="28"/>
      <c r="O1757" s="255" t="str">
        <f>IF(M1757="","",(_xlfn.XLOOKUP(M1757,Cadastros!$D$6:$D$90,Cadastros!$E$6:$E$90))*(1-_xlfn.XLOOKUP(_xlfn.XLOOKUP($F1757,Clientes!$B$4:$B$39,Clientes!$C$4:$C$39),Cadastros!$L$6:$L$12,Cadastros!$N$6:$N$12)))</f>
        <v/>
      </c>
      <c r="P1757" s="168" t="str">
        <f t="shared" si="353"/>
        <v/>
      </c>
      <c r="Q1757" s="168" t="str">
        <f>IFERROR(P1757/_xlfn.XLOOKUP(_xlfn.XLOOKUP($F1757,Clientes!$B$4:$B$39,Clientes!$C$4:$C$39),Cadastros!$L$6:$L$12,Cadastros!$M$6:$M$12)," ")</f>
        <v xml:space="preserve"> </v>
      </c>
      <c r="R1757" s="28"/>
      <c r="S1757" s="28"/>
      <c r="T1757" s="255" t="str">
        <f>IF(R1757="","",(_xlfn.XLOOKUP(R1757,Cadastros!$D$6:$D$90,Cadastros!$E$6:$E$90))*(1-_xlfn.XLOOKUP(_xlfn.XLOOKUP($F1757,Clientes!$B$4:$B$39,Clientes!$C$4:$C$39),Cadastros!$L$6:$L$12,Cadastros!$N$6:$N$12)))</f>
        <v/>
      </c>
      <c r="U1757" s="168" t="str">
        <f t="shared" si="354"/>
        <v/>
      </c>
      <c r="V1757" s="168" t="str">
        <f>IFERROR(U1757/_xlfn.XLOOKUP(_xlfn.XLOOKUP($F1757,Clientes!$B$4:$B$39,Clientes!$C$4:$C$39),Cadastros!$L$6:$L$12,Cadastros!$M$6:$M$12)," ")</f>
        <v xml:space="preserve"> </v>
      </c>
      <c r="W1757" s="28"/>
      <c r="X1757" s="28"/>
      <c r="Y1757" s="255" t="str">
        <f>IF(W1757="","",(_xlfn.XLOOKUP(W1757,Cadastros!$D$6:$D$90,Cadastros!$E$6:$E$90))*(1-_xlfn.XLOOKUP(_xlfn.XLOOKUP($F1757,Clientes!$B$4:$B$39,Clientes!$C$4:$C$39),Cadastros!$L$6:$L$12,Cadastros!$N$6:$N$12)))</f>
        <v/>
      </c>
      <c r="Z1757" s="168" t="str">
        <f t="shared" si="355"/>
        <v/>
      </c>
      <c r="AA1757" s="168" t="str">
        <f>IFERROR(Z1757/_xlfn.XLOOKUP(_xlfn.XLOOKUP($F1757,Clientes!$B$4:$B$39,Clientes!$C$4:$C$39),Cadastros!$L$6:$L$12,Cadastros!$M$6:$M$12)," ")</f>
        <v xml:space="preserve"> </v>
      </c>
      <c r="AB1757" s="28"/>
      <c r="AC1757" s="28"/>
      <c r="AD1757" s="20" t="str">
        <f>IF(AB1757="","",IF($F1757="Bernardino Furlan",_xlfn.XLOOKUP(AB1757,Cadastros!$G$6:$G$90,Cadastros!$H$6:$H$90)*(1-0.18),IF($F1757="Mauro José Salanti",_xlfn.XLOOKUP(AB1757,Cadastros!$G$6:$G$90,Cadastros!$H$6:$H$90)*(1-0.18),_xlfn.XLOOKUP(AB1757,Cadastros!$G$6:$G$90,Cadastros!$H$6:$H$90))))</f>
        <v/>
      </c>
      <c r="AE1757" s="168" t="str">
        <f t="shared" si="356"/>
        <v/>
      </c>
      <c r="AF1757" s="168" t="str">
        <f t="shared" si="357"/>
        <v/>
      </c>
      <c r="AG1757" s="28"/>
      <c r="AH1757" s="28"/>
      <c r="AI1757" s="20" t="str">
        <f>IF(AG1757="","",IF($F1757="Bernardino Furlan",_xlfn.XLOOKUP(AG1757,Cadastros!$G$6:$G$90,Cadastros!$H$6:$H$90)*(1-0.18),IF($F1757="Mauro José Salanti",_xlfn.XLOOKUP(AG1757,Cadastros!$G$6:$G$90,Cadastros!$H$6:$H$90)*(1-0.18),_xlfn.XLOOKUP(AG1757,Cadastros!$G$6:$G$90,Cadastros!$H$6:$H$90))))</f>
        <v/>
      </c>
      <c r="AJ1757" s="168" t="str">
        <f t="shared" si="358"/>
        <v/>
      </c>
      <c r="AK1757" s="168" t="str">
        <f t="shared" si="359"/>
        <v/>
      </c>
      <c r="AL1757" s="28"/>
      <c r="AM1757" s="28"/>
      <c r="AN1757" s="20" t="str">
        <f>IF(AL1757="","",IF($F1757="Bernardino Furlan",_xlfn.XLOOKUP(AL1757,Cadastros!$G$6:$G$90,Cadastros!$H$6:$H$90)*(1-0.18),IF($F1757="Mauro José Salanti",_xlfn.XLOOKUP(AL1757,Cadastros!$G$6:$G$90,Cadastros!$H$6:$H$90)*(1-0.18),_xlfn.XLOOKUP(AL1757,Cadastros!$G$6:$G$90,Cadastros!$H$6:$H$90))))</f>
        <v/>
      </c>
      <c r="AO1757" s="168" t="str">
        <f t="shared" si="360"/>
        <v/>
      </c>
      <c r="AP1757" s="168" t="str">
        <f t="shared" si="361"/>
        <v/>
      </c>
      <c r="AQ1757" s="28"/>
      <c r="AR1757" s="28"/>
      <c r="AS1757" s="20" t="str">
        <f>IF(AQ1757="","",IF($F1757="Bernardino Furlan",_xlfn.XLOOKUP(AQ1757,Cadastros!$G$6:$G$90,Cadastros!$H$6:$H$90)*(1-0.18),IF($F1757="Mauro José Salanti",_xlfn.XLOOKUP(AQ1757,Cadastros!$G$6:$G$90,Cadastros!$H$6:$H$90)*(1-0.18),_xlfn.XLOOKUP(AQ1757,Cadastros!$G$6:$G$90,Cadastros!$H$6:$H$90))))</f>
        <v/>
      </c>
      <c r="AT1757" s="168" t="str">
        <f t="shared" si="362"/>
        <v/>
      </c>
      <c r="AU1757" s="168" t="str">
        <f t="shared" si="363"/>
        <v/>
      </c>
      <c r="AV1757" s="227"/>
      <c r="AW1757" s="30"/>
      <c r="AX1757" s="267"/>
      <c r="AY1757" s="267"/>
      <c r="AZ1757" s="29"/>
      <c r="BA1757" s="30"/>
      <c r="BB1757" s="23" t="str" cm="1">
        <f t="array" ref="BB1757">_xlfn.IFS(AW1757="SIM",SUM(K1757,P1757,U1757,Z1757,AE1757,AJ1757,AO1757,AT1757,AX1757,AY1757),F1757&lt;&gt;"",SUM(K1757,P1757,U1757,Z1757,AE1757,AJ1757,,AO1757,AT1757),F1757="","")</f>
        <v/>
      </c>
      <c r="BC1757" s="211" t="str" cm="1">
        <f t="array" ref="BC1757">_xlfn.IFS(E1757="","",G1757&lt;=E1757,BB1757*(1-0.03),G1757&lt;(E1757+8),BB1757,AZ1757="Boleto",BB1757*(1+0.001)^DATEDIF(E1757,G1757,"D"),AZ1757="Cheque",BB1757,AZ1757="Dinheiro","Alterar forma pgto")</f>
        <v/>
      </c>
      <c r="BD1757" s="276" t="str" cm="1">
        <f t="array" ref="BD1757">IF(F1757=0," ",IF(BC1757&lt;BB1757,(_xlfn.IFS(AW1757="SIM",SUM(L1757,Q1757,V1757,AA1757,AF1757,AK1757,AP1757,AU1757)+AX1757/_xlfn.XLOOKUP(_xlfn.XLOOKUP($F1757,Clientes!$B$4:$B$39,Clientes!$C$4:$C$39),Cadastros!$L$6:$L$12,Cadastros!$M$6:$M$12)+IF($F1757="Bernardino Furlan",AY1757/2751.92,IF($F1757="Mauro José Salanti",AY1757/2751.92,AY1757/3356)),F1757&lt;&gt;0,SUM(L1757,Q1757,V1757,AA1757,AF1757,AK1757,AP1757,AU1757)))*(1-0.03),_xlfn.IFS(AW1757="SIM",SUM(L1757,Q1757,V1757,AA1757,AF1757,AK1757,AP1757,AU1757)+AX1757/_xlfn.XLOOKUP(_xlfn.XLOOKUP($F1757,Clientes!$B$4:$B$39,Clientes!$C$4:$C$39),Cadastros!$L$6:$L$12,Cadastros!$M$6:$M$12)+IF($F1757="Bernardino Furlan",AY1757/2751.92,IF($F1757="Mauro José Salanti",AY1757/2751.92,AY1757/3356)),F1757&lt;&gt;0,SUM(L1757,Q1757,V1757,AA1757,AF1757,AK1757,AP1757,AU1757))))</f>
        <v xml:space="preserve"> </v>
      </c>
      <c r="BE1757" s="120"/>
      <c r="BF1757" s="120"/>
      <c r="BG1757" s="120"/>
    </row>
    <row r="1758" spans="1:59" s="3" customFormat="1" x14ac:dyDescent="0.3">
      <c r="A1758" s="15" t="str">
        <f t="shared" si="351"/>
        <v/>
      </c>
      <c r="B1758" s="25"/>
      <c r="C1758" s="26"/>
      <c r="D1758" s="279"/>
      <c r="E1758" s="27"/>
      <c r="F1758" s="28"/>
      <c r="G1758" s="27"/>
      <c r="H1758" s="28"/>
      <c r="I1758" s="28"/>
      <c r="J1758" s="255" t="str">
        <f>IF(H1758="","",(_xlfn.XLOOKUP(H1758,Cadastros!$D$6:$D$90,Cadastros!$E$6:$E$90))*(1-_xlfn.XLOOKUP(_xlfn.XLOOKUP($F1758,Clientes!$B$4:$B$39,Clientes!$C$4:$C$39),Cadastros!$L$6:$L$12,Cadastros!$N$6:$N$12)))</f>
        <v/>
      </c>
      <c r="K1758" s="168" t="str">
        <f t="shared" si="352"/>
        <v/>
      </c>
      <c r="L1758" s="168" t="str">
        <f>IFERROR(K1758/_xlfn.XLOOKUP(_xlfn.XLOOKUP($F1758,Clientes!$B$4:$B$39,Clientes!$C$4:$C$39),Cadastros!$L$6:$L$12,Cadastros!$M$6:$M$12)," ")</f>
        <v xml:space="preserve"> </v>
      </c>
      <c r="M1758" s="28"/>
      <c r="N1758" s="28"/>
      <c r="O1758" s="255" t="str">
        <f>IF(M1758="","",(_xlfn.XLOOKUP(M1758,Cadastros!$D$6:$D$90,Cadastros!$E$6:$E$90))*(1-_xlfn.XLOOKUP(_xlfn.XLOOKUP($F1758,Clientes!$B$4:$B$39,Clientes!$C$4:$C$39),Cadastros!$L$6:$L$12,Cadastros!$N$6:$N$12)))</f>
        <v/>
      </c>
      <c r="P1758" s="168" t="str">
        <f t="shared" si="353"/>
        <v/>
      </c>
      <c r="Q1758" s="168" t="str">
        <f>IFERROR(P1758/_xlfn.XLOOKUP(_xlfn.XLOOKUP($F1758,Clientes!$B$4:$B$39,Clientes!$C$4:$C$39),Cadastros!$L$6:$L$12,Cadastros!$M$6:$M$12)," ")</f>
        <v xml:space="preserve"> </v>
      </c>
      <c r="R1758" s="28"/>
      <c r="S1758" s="28"/>
      <c r="T1758" s="255" t="str">
        <f>IF(R1758="","",(_xlfn.XLOOKUP(R1758,Cadastros!$D$6:$D$90,Cadastros!$E$6:$E$90))*(1-_xlfn.XLOOKUP(_xlfn.XLOOKUP($F1758,Clientes!$B$4:$B$39,Clientes!$C$4:$C$39),Cadastros!$L$6:$L$12,Cadastros!$N$6:$N$12)))</f>
        <v/>
      </c>
      <c r="U1758" s="168" t="str">
        <f t="shared" si="354"/>
        <v/>
      </c>
      <c r="V1758" s="168" t="str">
        <f>IFERROR(U1758/_xlfn.XLOOKUP(_xlfn.XLOOKUP($F1758,Clientes!$B$4:$B$39,Clientes!$C$4:$C$39),Cadastros!$L$6:$L$12,Cadastros!$M$6:$M$12)," ")</f>
        <v xml:space="preserve"> </v>
      </c>
      <c r="W1758" s="28"/>
      <c r="X1758" s="28"/>
      <c r="Y1758" s="255" t="str">
        <f>IF(W1758="","",(_xlfn.XLOOKUP(W1758,Cadastros!$D$6:$D$90,Cadastros!$E$6:$E$90))*(1-_xlfn.XLOOKUP(_xlfn.XLOOKUP($F1758,Clientes!$B$4:$B$39,Clientes!$C$4:$C$39),Cadastros!$L$6:$L$12,Cadastros!$N$6:$N$12)))</f>
        <v/>
      </c>
      <c r="Z1758" s="168" t="str">
        <f t="shared" si="355"/>
        <v/>
      </c>
      <c r="AA1758" s="168" t="str">
        <f>IFERROR(Z1758/_xlfn.XLOOKUP(_xlfn.XLOOKUP($F1758,Clientes!$B$4:$B$39,Clientes!$C$4:$C$39),Cadastros!$L$6:$L$12,Cadastros!$M$6:$M$12)," ")</f>
        <v xml:space="preserve"> </v>
      </c>
      <c r="AB1758" s="28"/>
      <c r="AC1758" s="28"/>
      <c r="AD1758" s="20" t="str">
        <f>IF(AB1758="","",IF($F1758="Bernardino Furlan",_xlfn.XLOOKUP(AB1758,Cadastros!$G$6:$G$90,Cadastros!$H$6:$H$90)*(1-0.18),IF($F1758="Mauro José Salanti",_xlfn.XLOOKUP(AB1758,Cadastros!$G$6:$G$90,Cadastros!$H$6:$H$90)*(1-0.18),_xlfn.XLOOKUP(AB1758,Cadastros!$G$6:$G$90,Cadastros!$H$6:$H$90))))</f>
        <v/>
      </c>
      <c r="AE1758" s="168" t="str">
        <f t="shared" si="356"/>
        <v/>
      </c>
      <c r="AF1758" s="168" t="str">
        <f t="shared" si="357"/>
        <v/>
      </c>
      <c r="AG1758" s="28"/>
      <c r="AH1758" s="28"/>
      <c r="AI1758" s="20" t="str">
        <f>IF(AG1758="","",IF($F1758="Bernardino Furlan",_xlfn.XLOOKUP(AG1758,Cadastros!$G$6:$G$90,Cadastros!$H$6:$H$90)*(1-0.18),IF($F1758="Mauro José Salanti",_xlfn.XLOOKUP(AG1758,Cadastros!$G$6:$G$90,Cadastros!$H$6:$H$90)*(1-0.18),_xlfn.XLOOKUP(AG1758,Cadastros!$G$6:$G$90,Cadastros!$H$6:$H$90))))</f>
        <v/>
      </c>
      <c r="AJ1758" s="168" t="str">
        <f t="shared" si="358"/>
        <v/>
      </c>
      <c r="AK1758" s="168" t="str">
        <f t="shared" si="359"/>
        <v/>
      </c>
      <c r="AL1758" s="28"/>
      <c r="AM1758" s="28"/>
      <c r="AN1758" s="20" t="str">
        <f>IF(AL1758="","",IF($F1758="Bernardino Furlan",_xlfn.XLOOKUP(AL1758,Cadastros!$G$6:$G$90,Cadastros!$H$6:$H$90)*(1-0.18),IF($F1758="Mauro José Salanti",_xlfn.XLOOKUP(AL1758,Cadastros!$G$6:$G$90,Cadastros!$H$6:$H$90)*(1-0.18),_xlfn.XLOOKUP(AL1758,Cadastros!$G$6:$G$90,Cadastros!$H$6:$H$90))))</f>
        <v/>
      </c>
      <c r="AO1758" s="168" t="str">
        <f t="shared" si="360"/>
        <v/>
      </c>
      <c r="AP1758" s="168" t="str">
        <f t="shared" si="361"/>
        <v/>
      </c>
      <c r="AQ1758" s="28"/>
      <c r="AR1758" s="28"/>
      <c r="AS1758" s="20" t="str">
        <f>IF(AQ1758="","",IF($F1758="Bernardino Furlan",_xlfn.XLOOKUP(AQ1758,Cadastros!$G$6:$G$90,Cadastros!$H$6:$H$90)*(1-0.18),IF($F1758="Mauro José Salanti",_xlfn.XLOOKUP(AQ1758,Cadastros!$G$6:$G$90,Cadastros!$H$6:$H$90)*(1-0.18),_xlfn.XLOOKUP(AQ1758,Cadastros!$G$6:$G$90,Cadastros!$H$6:$H$90))))</f>
        <v/>
      </c>
      <c r="AT1758" s="168" t="str">
        <f t="shared" si="362"/>
        <v/>
      </c>
      <c r="AU1758" s="168" t="str">
        <f t="shared" si="363"/>
        <v/>
      </c>
      <c r="AV1758" s="227"/>
      <c r="AW1758" s="30"/>
      <c r="AX1758" s="267"/>
      <c r="AY1758" s="267"/>
      <c r="AZ1758" s="29"/>
      <c r="BA1758" s="30"/>
      <c r="BB1758" s="23" t="str" cm="1">
        <f t="array" ref="BB1758">_xlfn.IFS(AW1758="SIM",SUM(K1758,P1758,U1758,Z1758,AE1758,AJ1758,AO1758,AT1758,AX1758,AY1758),F1758&lt;&gt;"",SUM(K1758,P1758,U1758,Z1758,AE1758,AJ1758,,AO1758,AT1758),F1758="","")</f>
        <v/>
      </c>
      <c r="BC1758" s="211" t="str" cm="1">
        <f t="array" ref="BC1758">_xlfn.IFS(E1758="","",G1758&lt;=E1758,BB1758*(1-0.03),G1758&lt;(E1758+8),BB1758,AZ1758="Boleto",BB1758*(1+0.001)^DATEDIF(E1758,G1758,"D"),AZ1758="Cheque",BB1758,AZ1758="Dinheiro","Alterar forma pgto")</f>
        <v/>
      </c>
      <c r="BD1758" s="276" t="str" cm="1">
        <f t="array" ref="BD1758">IF(F1758=0," ",IF(BC1758&lt;BB1758,(_xlfn.IFS(AW1758="SIM",SUM(L1758,Q1758,V1758,AA1758,AF1758,AK1758,AP1758,AU1758)+AX1758/_xlfn.XLOOKUP(_xlfn.XLOOKUP($F1758,Clientes!$B$4:$B$39,Clientes!$C$4:$C$39),Cadastros!$L$6:$L$12,Cadastros!$M$6:$M$12)+IF($F1758="Bernardino Furlan",AY1758/2751.92,IF($F1758="Mauro José Salanti",AY1758/2751.92,AY1758/3356)),F1758&lt;&gt;0,SUM(L1758,Q1758,V1758,AA1758,AF1758,AK1758,AP1758,AU1758)))*(1-0.03),_xlfn.IFS(AW1758="SIM",SUM(L1758,Q1758,V1758,AA1758,AF1758,AK1758,AP1758,AU1758)+AX1758/_xlfn.XLOOKUP(_xlfn.XLOOKUP($F1758,Clientes!$B$4:$B$39,Clientes!$C$4:$C$39),Cadastros!$L$6:$L$12,Cadastros!$M$6:$M$12)+IF($F1758="Bernardino Furlan",AY1758/2751.92,IF($F1758="Mauro José Salanti",AY1758/2751.92,AY1758/3356)),F1758&lt;&gt;0,SUM(L1758,Q1758,V1758,AA1758,AF1758,AK1758,AP1758,AU1758))))</f>
        <v xml:space="preserve"> </v>
      </c>
      <c r="BE1758" s="120"/>
      <c r="BF1758" s="120"/>
      <c r="BG1758" s="120"/>
    </row>
    <row r="1759" spans="1:59" s="3" customFormat="1" x14ac:dyDescent="0.3">
      <c r="A1759" s="15" t="str">
        <f t="shared" si="351"/>
        <v/>
      </c>
      <c r="B1759" s="25"/>
      <c r="C1759" s="26"/>
      <c r="D1759" s="279"/>
      <c r="E1759" s="27"/>
      <c r="F1759" s="28"/>
      <c r="G1759" s="27"/>
      <c r="H1759" s="28"/>
      <c r="I1759" s="28"/>
      <c r="J1759" s="255" t="str">
        <f>IF(H1759="","",(_xlfn.XLOOKUP(H1759,Cadastros!$D$6:$D$90,Cadastros!$E$6:$E$90))*(1-_xlfn.XLOOKUP(_xlfn.XLOOKUP($F1759,Clientes!$B$4:$B$39,Clientes!$C$4:$C$39),Cadastros!$L$6:$L$12,Cadastros!$N$6:$N$12)))</f>
        <v/>
      </c>
      <c r="K1759" s="168" t="str">
        <f t="shared" si="352"/>
        <v/>
      </c>
      <c r="L1759" s="168" t="str">
        <f>IFERROR(K1759/_xlfn.XLOOKUP(_xlfn.XLOOKUP($F1759,Clientes!$B$4:$B$39,Clientes!$C$4:$C$39),Cadastros!$L$6:$L$12,Cadastros!$M$6:$M$12)," ")</f>
        <v xml:space="preserve"> </v>
      </c>
      <c r="M1759" s="28"/>
      <c r="N1759" s="28"/>
      <c r="O1759" s="255" t="str">
        <f>IF(M1759="","",(_xlfn.XLOOKUP(M1759,Cadastros!$D$6:$D$90,Cadastros!$E$6:$E$90))*(1-_xlfn.XLOOKUP(_xlfn.XLOOKUP($F1759,Clientes!$B$4:$B$39,Clientes!$C$4:$C$39),Cadastros!$L$6:$L$12,Cadastros!$N$6:$N$12)))</f>
        <v/>
      </c>
      <c r="P1759" s="168" t="str">
        <f t="shared" si="353"/>
        <v/>
      </c>
      <c r="Q1759" s="168" t="str">
        <f>IFERROR(P1759/_xlfn.XLOOKUP(_xlfn.XLOOKUP($F1759,Clientes!$B$4:$B$39,Clientes!$C$4:$C$39),Cadastros!$L$6:$L$12,Cadastros!$M$6:$M$12)," ")</f>
        <v xml:space="preserve"> </v>
      </c>
      <c r="R1759" s="28"/>
      <c r="S1759" s="28"/>
      <c r="T1759" s="255" t="str">
        <f>IF(R1759="","",(_xlfn.XLOOKUP(R1759,Cadastros!$D$6:$D$90,Cadastros!$E$6:$E$90))*(1-_xlfn.XLOOKUP(_xlfn.XLOOKUP($F1759,Clientes!$B$4:$B$39,Clientes!$C$4:$C$39),Cadastros!$L$6:$L$12,Cadastros!$N$6:$N$12)))</f>
        <v/>
      </c>
      <c r="U1759" s="168" t="str">
        <f t="shared" si="354"/>
        <v/>
      </c>
      <c r="V1759" s="168" t="str">
        <f>IFERROR(U1759/_xlfn.XLOOKUP(_xlfn.XLOOKUP($F1759,Clientes!$B$4:$B$39,Clientes!$C$4:$C$39),Cadastros!$L$6:$L$12,Cadastros!$M$6:$M$12)," ")</f>
        <v xml:space="preserve"> </v>
      </c>
      <c r="W1759" s="28"/>
      <c r="X1759" s="28"/>
      <c r="Y1759" s="255" t="str">
        <f>IF(W1759="","",(_xlfn.XLOOKUP(W1759,Cadastros!$D$6:$D$90,Cadastros!$E$6:$E$90))*(1-_xlfn.XLOOKUP(_xlfn.XLOOKUP($F1759,Clientes!$B$4:$B$39,Clientes!$C$4:$C$39),Cadastros!$L$6:$L$12,Cadastros!$N$6:$N$12)))</f>
        <v/>
      </c>
      <c r="Z1759" s="168" t="str">
        <f t="shared" si="355"/>
        <v/>
      </c>
      <c r="AA1759" s="168" t="str">
        <f>IFERROR(Z1759/_xlfn.XLOOKUP(_xlfn.XLOOKUP($F1759,Clientes!$B$4:$B$39,Clientes!$C$4:$C$39),Cadastros!$L$6:$L$12,Cadastros!$M$6:$M$12)," ")</f>
        <v xml:space="preserve"> </v>
      </c>
      <c r="AB1759" s="28"/>
      <c r="AC1759" s="28"/>
      <c r="AD1759" s="20" t="str">
        <f>IF(AB1759="","",IF($F1759="Bernardino Furlan",_xlfn.XLOOKUP(AB1759,Cadastros!$G$6:$G$90,Cadastros!$H$6:$H$90)*(1-0.18),IF($F1759="Mauro José Salanti",_xlfn.XLOOKUP(AB1759,Cadastros!$G$6:$G$90,Cadastros!$H$6:$H$90)*(1-0.18),_xlfn.XLOOKUP(AB1759,Cadastros!$G$6:$G$90,Cadastros!$H$6:$H$90))))</f>
        <v/>
      </c>
      <c r="AE1759" s="168" t="str">
        <f t="shared" si="356"/>
        <v/>
      </c>
      <c r="AF1759" s="168" t="str">
        <f t="shared" si="357"/>
        <v/>
      </c>
      <c r="AG1759" s="28"/>
      <c r="AH1759" s="28"/>
      <c r="AI1759" s="20" t="str">
        <f>IF(AG1759="","",IF($F1759="Bernardino Furlan",_xlfn.XLOOKUP(AG1759,Cadastros!$G$6:$G$90,Cadastros!$H$6:$H$90)*(1-0.18),IF($F1759="Mauro José Salanti",_xlfn.XLOOKUP(AG1759,Cadastros!$G$6:$G$90,Cadastros!$H$6:$H$90)*(1-0.18),_xlfn.XLOOKUP(AG1759,Cadastros!$G$6:$G$90,Cadastros!$H$6:$H$90))))</f>
        <v/>
      </c>
      <c r="AJ1759" s="168" t="str">
        <f t="shared" si="358"/>
        <v/>
      </c>
      <c r="AK1759" s="168" t="str">
        <f t="shared" si="359"/>
        <v/>
      </c>
      <c r="AL1759" s="28"/>
      <c r="AM1759" s="28"/>
      <c r="AN1759" s="20" t="str">
        <f>IF(AL1759="","",IF($F1759="Bernardino Furlan",_xlfn.XLOOKUP(AL1759,Cadastros!$G$6:$G$90,Cadastros!$H$6:$H$90)*(1-0.18),IF($F1759="Mauro José Salanti",_xlfn.XLOOKUP(AL1759,Cadastros!$G$6:$G$90,Cadastros!$H$6:$H$90)*(1-0.18),_xlfn.XLOOKUP(AL1759,Cadastros!$G$6:$G$90,Cadastros!$H$6:$H$90))))</f>
        <v/>
      </c>
      <c r="AO1759" s="168" t="str">
        <f t="shared" si="360"/>
        <v/>
      </c>
      <c r="AP1759" s="168" t="str">
        <f t="shared" si="361"/>
        <v/>
      </c>
      <c r="AQ1759" s="28"/>
      <c r="AR1759" s="28"/>
      <c r="AS1759" s="20" t="str">
        <f>IF(AQ1759="","",IF($F1759="Bernardino Furlan",_xlfn.XLOOKUP(AQ1759,Cadastros!$G$6:$G$90,Cadastros!$H$6:$H$90)*(1-0.18),IF($F1759="Mauro José Salanti",_xlfn.XLOOKUP(AQ1759,Cadastros!$G$6:$G$90,Cadastros!$H$6:$H$90)*(1-0.18),_xlfn.XLOOKUP(AQ1759,Cadastros!$G$6:$G$90,Cadastros!$H$6:$H$90))))</f>
        <v/>
      </c>
      <c r="AT1759" s="168" t="str">
        <f t="shared" si="362"/>
        <v/>
      </c>
      <c r="AU1759" s="168" t="str">
        <f t="shared" si="363"/>
        <v/>
      </c>
      <c r="AV1759" s="227"/>
      <c r="AW1759" s="30"/>
      <c r="AX1759" s="267"/>
      <c r="AY1759" s="267"/>
      <c r="AZ1759" s="29"/>
      <c r="BA1759" s="30"/>
      <c r="BB1759" s="23" t="str" cm="1">
        <f t="array" ref="BB1759">_xlfn.IFS(AW1759="SIM",SUM(K1759,P1759,U1759,Z1759,AE1759,AJ1759,AO1759,AT1759,AX1759,AY1759),F1759&lt;&gt;"",SUM(K1759,P1759,U1759,Z1759,AE1759,AJ1759,,AO1759,AT1759),F1759="","")</f>
        <v/>
      </c>
      <c r="BC1759" s="211" t="str" cm="1">
        <f t="array" ref="BC1759">_xlfn.IFS(E1759="","",G1759&lt;=E1759,BB1759*(1-0.03),G1759&lt;(E1759+8),BB1759,AZ1759="Boleto",BB1759*(1+0.001)^DATEDIF(E1759,G1759,"D"),AZ1759="Cheque",BB1759,AZ1759="Dinheiro","Alterar forma pgto")</f>
        <v/>
      </c>
      <c r="BD1759" s="276" t="str" cm="1">
        <f t="array" ref="BD1759">IF(F1759=0," ",IF(BC1759&lt;BB1759,(_xlfn.IFS(AW1759="SIM",SUM(L1759,Q1759,V1759,AA1759,AF1759,AK1759,AP1759,AU1759)+AX1759/_xlfn.XLOOKUP(_xlfn.XLOOKUP($F1759,Clientes!$B$4:$B$39,Clientes!$C$4:$C$39),Cadastros!$L$6:$L$12,Cadastros!$M$6:$M$12)+IF($F1759="Bernardino Furlan",AY1759/2751.92,IF($F1759="Mauro José Salanti",AY1759/2751.92,AY1759/3356)),F1759&lt;&gt;0,SUM(L1759,Q1759,V1759,AA1759,AF1759,AK1759,AP1759,AU1759)))*(1-0.03),_xlfn.IFS(AW1759="SIM",SUM(L1759,Q1759,V1759,AA1759,AF1759,AK1759,AP1759,AU1759)+AX1759/_xlfn.XLOOKUP(_xlfn.XLOOKUP($F1759,Clientes!$B$4:$B$39,Clientes!$C$4:$C$39),Cadastros!$L$6:$L$12,Cadastros!$M$6:$M$12)+IF($F1759="Bernardino Furlan",AY1759/2751.92,IF($F1759="Mauro José Salanti",AY1759/2751.92,AY1759/3356)),F1759&lt;&gt;0,SUM(L1759,Q1759,V1759,AA1759,AF1759,AK1759,AP1759,AU1759))))</f>
        <v xml:space="preserve"> </v>
      </c>
      <c r="BE1759" s="120"/>
      <c r="BF1759" s="120"/>
      <c r="BG1759" s="120"/>
    </row>
    <row r="1760" spans="1:59" s="3" customFormat="1" x14ac:dyDescent="0.3">
      <c r="A1760" s="15" t="str">
        <f t="shared" si="351"/>
        <v/>
      </c>
      <c r="B1760" s="25"/>
      <c r="C1760" s="26"/>
      <c r="D1760" s="279"/>
      <c r="E1760" s="27"/>
      <c r="F1760" s="28"/>
      <c r="G1760" s="27"/>
      <c r="H1760" s="28"/>
      <c r="I1760" s="28"/>
      <c r="J1760" s="255" t="str">
        <f>IF(H1760="","",(_xlfn.XLOOKUP(H1760,Cadastros!$D$6:$D$90,Cadastros!$E$6:$E$90))*(1-_xlfn.XLOOKUP(_xlfn.XLOOKUP($F1760,Clientes!$B$4:$B$39,Clientes!$C$4:$C$39),Cadastros!$L$6:$L$12,Cadastros!$N$6:$N$12)))</f>
        <v/>
      </c>
      <c r="K1760" s="168" t="str">
        <f t="shared" si="352"/>
        <v/>
      </c>
      <c r="L1760" s="168" t="str">
        <f>IFERROR(K1760/_xlfn.XLOOKUP(_xlfn.XLOOKUP($F1760,Clientes!$B$4:$B$39,Clientes!$C$4:$C$39),Cadastros!$L$6:$L$12,Cadastros!$M$6:$M$12)," ")</f>
        <v xml:space="preserve"> </v>
      </c>
      <c r="M1760" s="28"/>
      <c r="N1760" s="28"/>
      <c r="O1760" s="255" t="str">
        <f>IF(M1760="","",(_xlfn.XLOOKUP(M1760,Cadastros!$D$6:$D$90,Cadastros!$E$6:$E$90))*(1-_xlfn.XLOOKUP(_xlfn.XLOOKUP($F1760,Clientes!$B$4:$B$39,Clientes!$C$4:$C$39),Cadastros!$L$6:$L$12,Cadastros!$N$6:$N$12)))</f>
        <v/>
      </c>
      <c r="P1760" s="168" t="str">
        <f t="shared" si="353"/>
        <v/>
      </c>
      <c r="Q1760" s="168" t="str">
        <f>IFERROR(P1760/_xlfn.XLOOKUP(_xlfn.XLOOKUP($F1760,Clientes!$B$4:$B$39,Clientes!$C$4:$C$39),Cadastros!$L$6:$L$12,Cadastros!$M$6:$M$12)," ")</f>
        <v xml:space="preserve"> </v>
      </c>
      <c r="R1760" s="28"/>
      <c r="S1760" s="28"/>
      <c r="T1760" s="255" t="str">
        <f>IF(R1760="","",(_xlfn.XLOOKUP(R1760,Cadastros!$D$6:$D$90,Cadastros!$E$6:$E$90))*(1-_xlfn.XLOOKUP(_xlfn.XLOOKUP($F1760,Clientes!$B$4:$B$39,Clientes!$C$4:$C$39),Cadastros!$L$6:$L$12,Cadastros!$N$6:$N$12)))</f>
        <v/>
      </c>
      <c r="U1760" s="168" t="str">
        <f t="shared" si="354"/>
        <v/>
      </c>
      <c r="V1760" s="168" t="str">
        <f>IFERROR(U1760/_xlfn.XLOOKUP(_xlfn.XLOOKUP($F1760,Clientes!$B$4:$B$39,Clientes!$C$4:$C$39),Cadastros!$L$6:$L$12,Cadastros!$M$6:$M$12)," ")</f>
        <v xml:space="preserve"> </v>
      </c>
      <c r="W1760" s="28"/>
      <c r="X1760" s="28"/>
      <c r="Y1760" s="255" t="str">
        <f>IF(W1760="","",(_xlfn.XLOOKUP(W1760,Cadastros!$D$6:$D$90,Cadastros!$E$6:$E$90))*(1-_xlfn.XLOOKUP(_xlfn.XLOOKUP($F1760,Clientes!$B$4:$B$39,Clientes!$C$4:$C$39),Cadastros!$L$6:$L$12,Cadastros!$N$6:$N$12)))</f>
        <v/>
      </c>
      <c r="Z1760" s="168" t="str">
        <f t="shared" si="355"/>
        <v/>
      </c>
      <c r="AA1760" s="168" t="str">
        <f>IFERROR(Z1760/_xlfn.XLOOKUP(_xlfn.XLOOKUP($F1760,Clientes!$B$4:$B$39,Clientes!$C$4:$C$39),Cadastros!$L$6:$L$12,Cadastros!$M$6:$M$12)," ")</f>
        <v xml:space="preserve"> </v>
      </c>
      <c r="AB1760" s="28"/>
      <c r="AC1760" s="28"/>
      <c r="AD1760" s="20" t="str">
        <f>IF(AB1760="","",IF($F1760="Bernardino Furlan",_xlfn.XLOOKUP(AB1760,Cadastros!$G$6:$G$90,Cadastros!$H$6:$H$90)*(1-0.18),IF($F1760="Mauro José Salanti",_xlfn.XLOOKUP(AB1760,Cadastros!$G$6:$G$90,Cadastros!$H$6:$H$90)*(1-0.18),_xlfn.XLOOKUP(AB1760,Cadastros!$G$6:$G$90,Cadastros!$H$6:$H$90))))</f>
        <v/>
      </c>
      <c r="AE1760" s="168" t="str">
        <f t="shared" si="356"/>
        <v/>
      </c>
      <c r="AF1760" s="168" t="str">
        <f t="shared" si="357"/>
        <v/>
      </c>
      <c r="AG1760" s="28"/>
      <c r="AH1760" s="28"/>
      <c r="AI1760" s="20" t="str">
        <f>IF(AG1760="","",IF($F1760="Bernardino Furlan",_xlfn.XLOOKUP(AG1760,Cadastros!$G$6:$G$90,Cadastros!$H$6:$H$90)*(1-0.18),IF($F1760="Mauro José Salanti",_xlfn.XLOOKUP(AG1760,Cadastros!$G$6:$G$90,Cadastros!$H$6:$H$90)*(1-0.18),_xlfn.XLOOKUP(AG1760,Cadastros!$G$6:$G$90,Cadastros!$H$6:$H$90))))</f>
        <v/>
      </c>
      <c r="AJ1760" s="168" t="str">
        <f t="shared" si="358"/>
        <v/>
      </c>
      <c r="AK1760" s="168" t="str">
        <f t="shared" si="359"/>
        <v/>
      </c>
      <c r="AL1760" s="28"/>
      <c r="AM1760" s="28"/>
      <c r="AN1760" s="20" t="str">
        <f>IF(AL1760="","",IF($F1760="Bernardino Furlan",_xlfn.XLOOKUP(AL1760,Cadastros!$G$6:$G$90,Cadastros!$H$6:$H$90)*(1-0.18),IF($F1760="Mauro José Salanti",_xlfn.XLOOKUP(AL1760,Cadastros!$G$6:$G$90,Cadastros!$H$6:$H$90)*(1-0.18),_xlfn.XLOOKUP(AL1760,Cadastros!$G$6:$G$90,Cadastros!$H$6:$H$90))))</f>
        <v/>
      </c>
      <c r="AO1760" s="168" t="str">
        <f t="shared" si="360"/>
        <v/>
      </c>
      <c r="AP1760" s="168" t="str">
        <f t="shared" si="361"/>
        <v/>
      </c>
      <c r="AQ1760" s="28"/>
      <c r="AR1760" s="28"/>
      <c r="AS1760" s="20" t="str">
        <f>IF(AQ1760="","",IF($F1760="Bernardino Furlan",_xlfn.XLOOKUP(AQ1760,Cadastros!$G$6:$G$90,Cadastros!$H$6:$H$90)*(1-0.18),IF($F1760="Mauro José Salanti",_xlfn.XLOOKUP(AQ1760,Cadastros!$G$6:$G$90,Cadastros!$H$6:$H$90)*(1-0.18),_xlfn.XLOOKUP(AQ1760,Cadastros!$G$6:$G$90,Cadastros!$H$6:$H$90))))</f>
        <v/>
      </c>
      <c r="AT1760" s="168" t="str">
        <f t="shared" si="362"/>
        <v/>
      </c>
      <c r="AU1760" s="168" t="str">
        <f t="shared" si="363"/>
        <v/>
      </c>
      <c r="AV1760" s="227"/>
      <c r="AW1760" s="30"/>
      <c r="AX1760" s="267"/>
      <c r="AY1760" s="267"/>
      <c r="AZ1760" s="29"/>
      <c r="BA1760" s="30"/>
      <c r="BB1760" s="23" t="str" cm="1">
        <f t="array" ref="BB1760">_xlfn.IFS(AW1760="SIM",SUM(K1760,P1760,U1760,Z1760,AE1760,AJ1760,AO1760,AT1760,AX1760,AY1760),F1760&lt;&gt;"",SUM(K1760,P1760,U1760,Z1760,AE1760,AJ1760,,AO1760,AT1760),F1760="","")</f>
        <v/>
      </c>
      <c r="BC1760" s="211" t="str" cm="1">
        <f t="array" ref="BC1760">_xlfn.IFS(E1760="","",G1760&lt;=E1760,BB1760*(1-0.03),G1760&lt;(E1760+8),BB1760,AZ1760="Boleto",BB1760*(1+0.001)^DATEDIF(E1760,G1760,"D"),AZ1760="Cheque",BB1760,AZ1760="Dinheiro","Alterar forma pgto")</f>
        <v/>
      </c>
      <c r="BD1760" s="276" t="str" cm="1">
        <f t="array" ref="BD1760">IF(F1760=0," ",IF(BC1760&lt;BB1760,(_xlfn.IFS(AW1760="SIM",SUM(L1760,Q1760,V1760,AA1760,AF1760,AK1760,AP1760,AU1760)+AX1760/_xlfn.XLOOKUP(_xlfn.XLOOKUP($F1760,Clientes!$B$4:$B$39,Clientes!$C$4:$C$39),Cadastros!$L$6:$L$12,Cadastros!$M$6:$M$12)+IF($F1760="Bernardino Furlan",AY1760/2751.92,IF($F1760="Mauro José Salanti",AY1760/2751.92,AY1760/3356)),F1760&lt;&gt;0,SUM(L1760,Q1760,V1760,AA1760,AF1760,AK1760,AP1760,AU1760)))*(1-0.03),_xlfn.IFS(AW1760="SIM",SUM(L1760,Q1760,V1760,AA1760,AF1760,AK1760,AP1760,AU1760)+AX1760/_xlfn.XLOOKUP(_xlfn.XLOOKUP($F1760,Clientes!$B$4:$B$39,Clientes!$C$4:$C$39),Cadastros!$L$6:$L$12,Cadastros!$M$6:$M$12)+IF($F1760="Bernardino Furlan",AY1760/2751.92,IF($F1760="Mauro José Salanti",AY1760/2751.92,AY1760/3356)),F1760&lt;&gt;0,SUM(L1760,Q1760,V1760,AA1760,AF1760,AK1760,AP1760,AU1760))))</f>
        <v xml:space="preserve"> </v>
      </c>
      <c r="BE1760" s="120"/>
      <c r="BF1760" s="120"/>
      <c r="BG1760" s="120"/>
    </row>
    <row r="1761" spans="1:59" s="3" customFormat="1" x14ac:dyDescent="0.3">
      <c r="A1761" s="15" t="str">
        <f t="shared" si="351"/>
        <v/>
      </c>
      <c r="B1761" s="25"/>
      <c r="C1761" s="26"/>
      <c r="D1761" s="279"/>
      <c r="E1761" s="27"/>
      <c r="F1761" s="28"/>
      <c r="G1761" s="27"/>
      <c r="H1761" s="28"/>
      <c r="I1761" s="28"/>
      <c r="J1761" s="255" t="str">
        <f>IF(H1761="","",(_xlfn.XLOOKUP(H1761,Cadastros!$D$6:$D$90,Cadastros!$E$6:$E$90))*(1-_xlfn.XLOOKUP(_xlfn.XLOOKUP($F1761,Clientes!$B$4:$B$39,Clientes!$C$4:$C$39),Cadastros!$L$6:$L$12,Cadastros!$N$6:$N$12)))</f>
        <v/>
      </c>
      <c r="K1761" s="168" t="str">
        <f t="shared" si="352"/>
        <v/>
      </c>
      <c r="L1761" s="168" t="str">
        <f>IFERROR(K1761/_xlfn.XLOOKUP(_xlfn.XLOOKUP($F1761,Clientes!$B$4:$B$39,Clientes!$C$4:$C$39),Cadastros!$L$6:$L$12,Cadastros!$M$6:$M$12)," ")</f>
        <v xml:space="preserve"> </v>
      </c>
      <c r="M1761" s="28"/>
      <c r="N1761" s="28"/>
      <c r="O1761" s="255" t="str">
        <f>IF(M1761="","",(_xlfn.XLOOKUP(M1761,Cadastros!$D$6:$D$90,Cadastros!$E$6:$E$90))*(1-_xlfn.XLOOKUP(_xlfn.XLOOKUP($F1761,Clientes!$B$4:$B$39,Clientes!$C$4:$C$39),Cadastros!$L$6:$L$12,Cadastros!$N$6:$N$12)))</f>
        <v/>
      </c>
      <c r="P1761" s="168" t="str">
        <f t="shared" si="353"/>
        <v/>
      </c>
      <c r="Q1761" s="168" t="str">
        <f>IFERROR(P1761/_xlfn.XLOOKUP(_xlfn.XLOOKUP($F1761,Clientes!$B$4:$B$39,Clientes!$C$4:$C$39),Cadastros!$L$6:$L$12,Cadastros!$M$6:$M$12)," ")</f>
        <v xml:space="preserve"> </v>
      </c>
      <c r="R1761" s="28"/>
      <c r="S1761" s="28"/>
      <c r="T1761" s="255" t="str">
        <f>IF(R1761="","",(_xlfn.XLOOKUP(R1761,Cadastros!$D$6:$D$90,Cadastros!$E$6:$E$90))*(1-_xlfn.XLOOKUP(_xlfn.XLOOKUP($F1761,Clientes!$B$4:$B$39,Clientes!$C$4:$C$39),Cadastros!$L$6:$L$12,Cadastros!$N$6:$N$12)))</f>
        <v/>
      </c>
      <c r="U1761" s="168" t="str">
        <f t="shared" si="354"/>
        <v/>
      </c>
      <c r="V1761" s="168" t="str">
        <f>IFERROR(U1761/_xlfn.XLOOKUP(_xlfn.XLOOKUP($F1761,Clientes!$B$4:$B$39,Clientes!$C$4:$C$39),Cadastros!$L$6:$L$12,Cadastros!$M$6:$M$12)," ")</f>
        <v xml:space="preserve"> </v>
      </c>
      <c r="W1761" s="28"/>
      <c r="X1761" s="28"/>
      <c r="Y1761" s="255" t="str">
        <f>IF(W1761="","",(_xlfn.XLOOKUP(W1761,Cadastros!$D$6:$D$90,Cadastros!$E$6:$E$90))*(1-_xlfn.XLOOKUP(_xlfn.XLOOKUP($F1761,Clientes!$B$4:$B$39,Clientes!$C$4:$C$39),Cadastros!$L$6:$L$12,Cadastros!$N$6:$N$12)))</f>
        <v/>
      </c>
      <c r="Z1761" s="168" t="str">
        <f t="shared" si="355"/>
        <v/>
      </c>
      <c r="AA1761" s="168" t="str">
        <f>IFERROR(Z1761/_xlfn.XLOOKUP(_xlfn.XLOOKUP($F1761,Clientes!$B$4:$B$39,Clientes!$C$4:$C$39),Cadastros!$L$6:$L$12,Cadastros!$M$6:$M$12)," ")</f>
        <v xml:space="preserve"> </v>
      </c>
      <c r="AB1761" s="28"/>
      <c r="AC1761" s="28"/>
      <c r="AD1761" s="20" t="str">
        <f>IF(AB1761="","",IF($F1761="Bernardino Furlan",_xlfn.XLOOKUP(AB1761,Cadastros!$G$6:$G$90,Cadastros!$H$6:$H$90)*(1-0.18),IF($F1761="Mauro José Salanti",_xlfn.XLOOKUP(AB1761,Cadastros!$G$6:$G$90,Cadastros!$H$6:$H$90)*(1-0.18),_xlfn.XLOOKUP(AB1761,Cadastros!$G$6:$G$90,Cadastros!$H$6:$H$90))))</f>
        <v/>
      </c>
      <c r="AE1761" s="168" t="str">
        <f t="shared" si="356"/>
        <v/>
      </c>
      <c r="AF1761" s="168" t="str">
        <f t="shared" si="357"/>
        <v/>
      </c>
      <c r="AG1761" s="28"/>
      <c r="AH1761" s="28"/>
      <c r="AI1761" s="20" t="str">
        <f>IF(AG1761="","",IF($F1761="Bernardino Furlan",_xlfn.XLOOKUP(AG1761,Cadastros!$G$6:$G$90,Cadastros!$H$6:$H$90)*(1-0.18),IF($F1761="Mauro José Salanti",_xlfn.XLOOKUP(AG1761,Cadastros!$G$6:$G$90,Cadastros!$H$6:$H$90)*(1-0.18),_xlfn.XLOOKUP(AG1761,Cadastros!$G$6:$G$90,Cadastros!$H$6:$H$90))))</f>
        <v/>
      </c>
      <c r="AJ1761" s="168" t="str">
        <f t="shared" si="358"/>
        <v/>
      </c>
      <c r="AK1761" s="168" t="str">
        <f t="shared" si="359"/>
        <v/>
      </c>
      <c r="AL1761" s="28"/>
      <c r="AM1761" s="28"/>
      <c r="AN1761" s="20" t="str">
        <f>IF(AL1761="","",IF($F1761="Bernardino Furlan",_xlfn.XLOOKUP(AL1761,Cadastros!$G$6:$G$90,Cadastros!$H$6:$H$90)*(1-0.18),IF($F1761="Mauro José Salanti",_xlfn.XLOOKUP(AL1761,Cadastros!$G$6:$G$90,Cadastros!$H$6:$H$90)*(1-0.18),_xlfn.XLOOKUP(AL1761,Cadastros!$G$6:$G$90,Cadastros!$H$6:$H$90))))</f>
        <v/>
      </c>
      <c r="AO1761" s="168" t="str">
        <f t="shared" si="360"/>
        <v/>
      </c>
      <c r="AP1761" s="168" t="str">
        <f t="shared" si="361"/>
        <v/>
      </c>
      <c r="AQ1761" s="28"/>
      <c r="AR1761" s="28"/>
      <c r="AS1761" s="20" t="str">
        <f>IF(AQ1761="","",IF($F1761="Bernardino Furlan",_xlfn.XLOOKUP(AQ1761,Cadastros!$G$6:$G$90,Cadastros!$H$6:$H$90)*(1-0.18),IF($F1761="Mauro José Salanti",_xlfn.XLOOKUP(AQ1761,Cadastros!$G$6:$G$90,Cadastros!$H$6:$H$90)*(1-0.18),_xlfn.XLOOKUP(AQ1761,Cadastros!$G$6:$G$90,Cadastros!$H$6:$H$90))))</f>
        <v/>
      </c>
      <c r="AT1761" s="168" t="str">
        <f t="shared" si="362"/>
        <v/>
      </c>
      <c r="AU1761" s="168" t="str">
        <f t="shared" si="363"/>
        <v/>
      </c>
      <c r="AV1761" s="227"/>
      <c r="AW1761" s="30"/>
      <c r="AX1761" s="267"/>
      <c r="AY1761" s="267"/>
      <c r="AZ1761" s="29"/>
      <c r="BA1761" s="30"/>
      <c r="BB1761" s="23" t="str" cm="1">
        <f t="array" ref="BB1761">_xlfn.IFS(AW1761="SIM",SUM(K1761,P1761,U1761,Z1761,AE1761,AJ1761,AO1761,AT1761,AX1761,AY1761),F1761&lt;&gt;"",SUM(K1761,P1761,U1761,Z1761,AE1761,AJ1761,,AO1761,AT1761),F1761="","")</f>
        <v/>
      </c>
      <c r="BC1761" s="211" t="str" cm="1">
        <f t="array" ref="BC1761">_xlfn.IFS(E1761="","",G1761&lt;=E1761,BB1761*(1-0.03),G1761&lt;(E1761+8),BB1761,AZ1761="Boleto",BB1761*(1+0.001)^DATEDIF(E1761,G1761,"D"),AZ1761="Cheque",BB1761,AZ1761="Dinheiro","Alterar forma pgto")</f>
        <v/>
      </c>
      <c r="BD1761" s="276" t="str" cm="1">
        <f t="array" ref="BD1761">IF(F1761=0," ",IF(BC1761&lt;BB1761,(_xlfn.IFS(AW1761="SIM",SUM(L1761,Q1761,V1761,AA1761,AF1761,AK1761,AP1761,AU1761)+AX1761/_xlfn.XLOOKUP(_xlfn.XLOOKUP($F1761,Clientes!$B$4:$B$39,Clientes!$C$4:$C$39),Cadastros!$L$6:$L$12,Cadastros!$M$6:$M$12)+IF($F1761="Bernardino Furlan",AY1761/2751.92,IF($F1761="Mauro José Salanti",AY1761/2751.92,AY1761/3356)),F1761&lt;&gt;0,SUM(L1761,Q1761,V1761,AA1761,AF1761,AK1761,AP1761,AU1761)))*(1-0.03),_xlfn.IFS(AW1761="SIM",SUM(L1761,Q1761,V1761,AA1761,AF1761,AK1761,AP1761,AU1761)+AX1761/_xlfn.XLOOKUP(_xlfn.XLOOKUP($F1761,Clientes!$B$4:$B$39,Clientes!$C$4:$C$39),Cadastros!$L$6:$L$12,Cadastros!$M$6:$M$12)+IF($F1761="Bernardino Furlan",AY1761/2751.92,IF($F1761="Mauro José Salanti",AY1761/2751.92,AY1761/3356)),F1761&lt;&gt;0,SUM(L1761,Q1761,V1761,AA1761,AF1761,AK1761,AP1761,AU1761))))</f>
        <v xml:space="preserve"> </v>
      </c>
      <c r="BE1761" s="120"/>
      <c r="BF1761" s="120"/>
      <c r="BG1761" s="120"/>
    </row>
    <row r="1762" spans="1:59" s="3" customFormat="1" x14ac:dyDescent="0.3">
      <c r="A1762" s="15" t="str">
        <f t="shared" si="351"/>
        <v/>
      </c>
      <c r="B1762" s="25"/>
      <c r="C1762" s="26"/>
      <c r="D1762" s="279"/>
      <c r="E1762" s="27"/>
      <c r="F1762" s="28"/>
      <c r="G1762" s="27"/>
      <c r="H1762" s="28"/>
      <c r="I1762" s="28"/>
      <c r="J1762" s="255" t="str">
        <f>IF(H1762="","",(_xlfn.XLOOKUP(H1762,Cadastros!$D$6:$D$90,Cadastros!$E$6:$E$90))*(1-_xlfn.XLOOKUP(_xlfn.XLOOKUP($F1762,Clientes!$B$4:$B$39,Clientes!$C$4:$C$39),Cadastros!$L$6:$L$12,Cadastros!$N$6:$N$12)))</f>
        <v/>
      </c>
      <c r="K1762" s="168" t="str">
        <f t="shared" si="352"/>
        <v/>
      </c>
      <c r="L1762" s="168" t="str">
        <f>IFERROR(K1762/_xlfn.XLOOKUP(_xlfn.XLOOKUP($F1762,Clientes!$B$4:$B$39,Clientes!$C$4:$C$39),Cadastros!$L$6:$L$12,Cadastros!$M$6:$M$12)," ")</f>
        <v xml:space="preserve"> </v>
      </c>
      <c r="M1762" s="28"/>
      <c r="N1762" s="28"/>
      <c r="O1762" s="255" t="str">
        <f>IF(M1762="","",(_xlfn.XLOOKUP(M1762,Cadastros!$D$6:$D$90,Cadastros!$E$6:$E$90))*(1-_xlfn.XLOOKUP(_xlfn.XLOOKUP($F1762,Clientes!$B$4:$B$39,Clientes!$C$4:$C$39),Cadastros!$L$6:$L$12,Cadastros!$N$6:$N$12)))</f>
        <v/>
      </c>
      <c r="P1762" s="168" t="str">
        <f t="shared" si="353"/>
        <v/>
      </c>
      <c r="Q1762" s="168" t="str">
        <f>IFERROR(P1762/_xlfn.XLOOKUP(_xlfn.XLOOKUP($F1762,Clientes!$B$4:$B$39,Clientes!$C$4:$C$39),Cadastros!$L$6:$L$12,Cadastros!$M$6:$M$12)," ")</f>
        <v xml:space="preserve"> </v>
      </c>
      <c r="R1762" s="28"/>
      <c r="S1762" s="28"/>
      <c r="T1762" s="255" t="str">
        <f>IF(R1762="","",(_xlfn.XLOOKUP(R1762,Cadastros!$D$6:$D$90,Cadastros!$E$6:$E$90))*(1-_xlfn.XLOOKUP(_xlfn.XLOOKUP($F1762,Clientes!$B$4:$B$39,Clientes!$C$4:$C$39),Cadastros!$L$6:$L$12,Cadastros!$N$6:$N$12)))</f>
        <v/>
      </c>
      <c r="U1762" s="168" t="str">
        <f t="shared" si="354"/>
        <v/>
      </c>
      <c r="V1762" s="168" t="str">
        <f>IFERROR(U1762/_xlfn.XLOOKUP(_xlfn.XLOOKUP($F1762,Clientes!$B$4:$B$39,Clientes!$C$4:$C$39),Cadastros!$L$6:$L$12,Cadastros!$M$6:$M$12)," ")</f>
        <v xml:space="preserve"> </v>
      </c>
      <c r="W1762" s="28"/>
      <c r="X1762" s="28"/>
      <c r="Y1762" s="255" t="str">
        <f>IF(W1762="","",(_xlfn.XLOOKUP(W1762,Cadastros!$D$6:$D$90,Cadastros!$E$6:$E$90))*(1-_xlfn.XLOOKUP(_xlfn.XLOOKUP($F1762,Clientes!$B$4:$B$39,Clientes!$C$4:$C$39),Cadastros!$L$6:$L$12,Cadastros!$N$6:$N$12)))</f>
        <v/>
      </c>
      <c r="Z1762" s="168" t="str">
        <f t="shared" si="355"/>
        <v/>
      </c>
      <c r="AA1762" s="168" t="str">
        <f>IFERROR(Z1762/_xlfn.XLOOKUP(_xlfn.XLOOKUP($F1762,Clientes!$B$4:$B$39,Clientes!$C$4:$C$39),Cadastros!$L$6:$L$12,Cadastros!$M$6:$M$12)," ")</f>
        <v xml:space="preserve"> </v>
      </c>
      <c r="AB1762" s="28"/>
      <c r="AC1762" s="28"/>
      <c r="AD1762" s="20" t="str">
        <f>IF(AB1762="","",IF($F1762="Bernardino Furlan",_xlfn.XLOOKUP(AB1762,Cadastros!$G$6:$G$90,Cadastros!$H$6:$H$90)*(1-0.18),IF($F1762="Mauro José Salanti",_xlfn.XLOOKUP(AB1762,Cadastros!$G$6:$G$90,Cadastros!$H$6:$H$90)*(1-0.18),_xlfn.XLOOKUP(AB1762,Cadastros!$G$6:$G$90,Cadastros!$H$6:$H$90))))</f>
        <v/>
      </c>
      <c r="AE1762" s="168" t="str">
        <f t="shared" si="356"/>
        <v/>
      </c>
      <c r="AF1762" s="168" t="str">
        <f t="shared" si="357"/>
        <v/>
      </c>
      <c r="AG1762" s="28"/>
      <c r="AH1762" s="28"/>
      <c r="AI1762" s="20" t="str">
        <f>IF(AG1762="","",IF($F1762="Bernardino Furlan",_xlfn.XLOOKUP(AG1762,Cadastros!$G$6:$G$90,Cadastros!$H$6:$H$90)*(1-0.18),IF($F1762="Mauro José Salanti",_xlfn.XLOOKUP(AG1762,Cadastros!$G$6:$G$90,Cadastros!$H$6:$H$90)*(1-0.18),_xlfn.XLOOKUP(AG1762,Cadastros!$G$6:$G$90,Cadastros!$H$6:$H$90))))</f>
        <v/>
      </c>
      <c r="AJ1762" s="168" t="str">
        <f t="shared" si="358"/>
        <v/>
      </c>
      <c r="AK1762" s="168" t="str">
        <f t="shared" si="359"/>
        <v/>
      </c>
      <c r="AL1762" s="28"/>
      <c r="AM1762" s="28"/>
      <c r="AN1762" s="20" t="str">
        <f>IF(AL1762="","",IF($F1762="Bernardino Furlan",_xlfn.XLOOKUP(AL1762,Cadastros!$G$6:$G$90,Cadastros!$H$6:$H$90)*(1-0.18),IF($F1762="Mauro José Salanti",_xlfn.XLOOKUP(AL1762,Cadastros!$G$6:$G$90,Cadastros!$H$6:$H$90)*(1-0.18),_xlfn.XLOOKUP(AL1762,Cadastros!$G$6:$G$90,Cadastros!$H$6:$H$90))))</f>
        <v/>
      </c>
      <c r="AO1762" s="168" t="str">
        <f t="shared" si="360"/>
        <v/>
      </c>
      <c r="AP1762" s="168" t="str">
        <f t="shared" si="361"/>
        <v/>
      </c>
      <c r="AQ1762" s="28"/>
      <c r="AR1762" s="28"/>
      <c r="AS1762" s="20" t="str">
        <f>IF(AQ1762="","",IF($F1762="Bernardino Furlan",_xlfn.XLOOKUP(AQ1762,Cadastros!$G$6:$G$90,Cadastros!$H$6:$H$90)*(1-0.18),IF($F1762="Mauro José Salanti",_xlfn.XLOOKUP(AQ1762,Cadastros!$G$6:$G$90,Cadastros!$H$6:$H$90)*(1-0.18),_xlfn.XLOOKUP(AQ1762,Cadastros!$G$6:$G$90,Cadastros!$H$6:$H$90))))</f>
        <v/>
      </c>
      <c r="AT1762" s="168" t="str">
        <f t="shared" si="362"/>
        <v/>
      </c>
      <c r="AU1762" s="168" t="str">
        <f t="shared" si="363"/>
        <v/>
      </c>
      <c r="AV1762" s="227"/>
      <c r="AW1762" s="30"/>
      <c r="AX1762" s="267"/>
      <c r="AY1762" s="267"/>
      <c r="AZ1762" s="29"/>
      <c r="BA1762" s="30"/>
      <c r="BB1762" s="23" t="str" cm="1">
        <f t="array" ref="BB1762">_xlfn.IFS(AW1762="SIM",SUM(K1762,P1762,U1762,Z1762,AE1762,AJ1762,AO1762,AT1762,AX1762,AY1762),F1762&lt;&gt;"",SUM(K1762,P1762,U1762,Z1762,AE1762,AJ1762,,AO1762,AT1762),F1762="","")</f>
        <v/>
      </c>
      <c r="BC1762" s="211" t="str" cm="1">
        <f t="array" ref="BC1762">_xlfn.IFS(E1762="","",G1762&lt;=E1762,BB1762*(1-0.03),G1762&lt;(E1762+8),BB1762,AZ1762="Boleto",BB1762*(1+0.001)^DATEDIF(E1762,G1762,"D"),AZ1762="Cheque",BB1762,AZ1762="Dinheiro","Alterar forma pgto")</f>
        <v/>
      </c>
      <c r="BD1762" s="276" t="str" cm="1">
        <f t="array" ref="BD1762">IF(F1762=0," ",IF(BC1762&lt;BB1762,(_xlfn.IFS(AW1762="SIM",SUM(L1762,Q1762,V1762,AA1762,AF1762,AK1762,AP1762,AU1762)+AX1762/_xlfn.XLOOKUP(_xlfn.XLOOKUP($F1762,Clientes!$B$4:$B$39,Clientes!$C$4:$C$39),Cadastros!$L$6:$L$12,Cadastros!$M$6:$M$12)+IF($F1762="Bernardino Furlan",AY1762/2751.92,IF($F1762="Mauro José Salanti",AY1762/2751.92,AY1762/3356)),F1762&lt;&gt;0,SUM(L1762,Q1762,V1762,AA1762,AF1762,AK1762,AP1762,AU1762)))*(1-0.03),_xlfn.IFS(AW1762="SIM",SUM(L1762,Q1762,V1762,AA1762,AF1762,AK1762,AP1762,AU1762)+AX1762/_xlfn.XLOOKUP(_xlfn.XLOOKUP($F1762,Clientes!$B$4:$B$39,Clientes!$C$4:$C$39),Cadastros!$L$6:$L$12,Cadastros!$M$6:$M$12)+IF($F1762="Bernardino Furlan",AY1762/2751.92,IF($F1762="Mauro José Salanti",AY1762/2751.92,AY1762/3356)),F1762&lt;&gt;0,SUM(L1762,Q1762,V1762,AA1762,AF1762,AK1762,AP1762,AU1762))))</f>
        <v xml:space="preserve"> </v>
      </c>
      <c r="BE1762" s="120"/>
      <c r="BF1762" s="120"/>
      <c r="BG1762" s="120"/>
    </row>
    <row r="1763" spans="1:59" s="3" customFormat="1" x14ac:dyDescent="0.3">
      <c r="A1763" s="15" t="str">
        <f t="shared" si="351"/>
        <v/>
      </c>
      <c r="B1763" s="25"/>
      <c r="C1763" s="26"/>
      <c r="D1763" s="279"/>
      <c r="E1763" s="27"/>
      <c r="F1763" s="28"/>
      <c r="G1763" s="27"/>
      <c r="H1763" s="28"/>
      <c r="I1763" s="28"/>
      <c r="J1763" s="255" t="str">
        <f>IF(H1763="","",(_xlfn.XLOOKUP(H1763,Cadastros!$D$6:$D$90,Cadastros!$E$6:$E$90))*(1-_xlfn.XLOOKUP(_xlfn.XLOOKUP($F1763,Clientes!$B$4:$B$39,Clientes!$C$4:$C$39),Cadastros!$L$6:$L$12,Cadastros!$N$6:$N$12)))</f>
        <v/>
      </c>
      <c r="K1763" s="168" t="str">
        <f t="shared" si="352"/>
        <v/>
      </c>
      <c r="L1763" s="168" t="str">
        <f>IFERROR(K1763/_xlfn.XLOOKUP(_xlfn.XLOOKUP($F1763,Clientes!$B$4:$B$39,Clientes!$C$4:$C$39),Cadastros!$L$6:$L$12,Cadastros!$M$6:$M$12)," ")</f>
        <v xml:space="preserve"> </v>
      </c>
      <c r="M1763" s="28"/>
      <c r="N1763" s="28"/>
      <c r="O1763" s="255" t="str">
        <f>IF(M1763="","",(_xlfn.XLOOKUP(M1763,Cadastros!$D$6:$D$90,Cadastros!$E$6:$E$90))*(1-_xlfn.XLOOKUP(_xlfn.XLOOKUP($F1763,Clientes!$B$4:$B$39,Clientes!$C$4:$C$39),Cadastros!$L$6:$L$12,Cadastros!$N$6:$N$12)))</f>
        <v/>
      </c>
      <c r="P1763" s="168" t="str">
        <f t="shared" si="353"/>
        <v/>
      </c>
      <c r="Q1763" s="168" t="str">
        <f>IFERROR(P1763/_xlfn.XLOOKUP(_xlfn.XLOOKUP($F1763,Clientes!$B$4:$B$39,Clientes!$C$4:$C$39),Cadastros!$L$6:$L$12,Cadastros!$M$6:$M$12)," ")</f>
        <v xml:space="preserve"> </v>
      </c>
      <c r="R1763" s="28"/>
      <c r="S1763" s="28"/>
      <c r="T1763" s="255" t="str">
        <f>IF(R1763="","",(_xlfn.XLOOKUP(R1763,Cadastros!$D$6:$D$90,Cadastros!$E$6:$E$90))*(1-_xlfn.XLOOKUP(_xlfn.XLOOKUP($F1763,Clientes!$B$4:$B$39,Clientes!$C$4:$C$39),Cadastros!$L$6:$L$12,Cadastros!$N$6:$N$12)))</f>
        <v/>
      </c>
      <c r="U1763" s="168" t="str">
        <f t="shared" si="354"/>
        <v/>
      </c>
      <c r="V1763" s="168" t="str">
        <f>IFERROR(U1763/_xlfn.XLOOKUP(_xlfn.XLOOKUP($F1763,Clientes!$B$4:$B$39,Clientes!$C$4:$C$39),Cadastros!$L$6:$L$12,Cadastros!$M$6:$M$12)," ")</f>
        <v xml:space="preserve"> </v>
      </c>
      <c r="W1763" s="28"/>
      <c r="X1763" s="28"/>
      <c r="Y1763" s="255" t="str">
        <f>IF(W1763="","",(_xlfn.XLOOKUP(W1763,Cadastros!$D$6:$D$90,Cadastros!$E$6:$E$90))*(1-_xlfn.XLOOKUP(_xlfn.XLOOKUP($F1763,Clientes!$B$4:$B$39,Clientes!$C$4:$C$39),Cadastros!$L$6:$L$12,Cadastros!$N$6:$N$12)))</f>
        <v/>
      </c>
      <c r="Z1763" s="168" t="str">
        <f t="shared" si="355"/>
        <v/>
      </c>
      <c r="AA1763" s="168" t="str">
        <f>IFERROR(Z1763/_xlfn.XLOOKUP(_xlfn.XLOOKUP($F1763,Clientes!$B$4:$B$39,Clientes!$C$4:$C$39),Cadastros!$L$6:$L$12,Cadastros!$M$6:$M$12)," ")</f>
        <v xml:space="preserve"> </v>
      </c>
      <c r="AB1763" s="28"/>
      <c r="AC1763" s="28"/>
      <c r="AD1763" s="20" t="str">
        <f>IF(AB1763="","",IF($F1763="Bernardino Furlan",_xlfn.XLOOKUP(AB1763,Cadastros!$G$6:$G$90,Cadastros!$H$6:$H$90)*(1-0.18),IF($F1763="Mauro José Salanti",_xlfn.XLOOKUP(AB1763,Cadastros!$G$6:$G$90,Cadastros!$H$6:$H$90)*(1-0.18),_xlfn.XLOOKUP(AB1763,Cadastros!$G$6:$G$90,Cadastros!$H$6:$H$90))))</f>
        <v/>
      </c>
      <c r="AE1763" s="168" t="str">
        <f t="shared" si="356"/>
        <v/>
      </c>
      <c r="AF1763" s="168" t="str">
        <f t="shared" si="357"/>
        <v/>
      </c>
      <c r="AG1763" s="28"/>
      <c r="AH1763" s="28"/>
      <c r="AI1763" s="20" t="str">
        <f>IF(AG1763="","",IF($F1763="Bernardino Furlan",_xlfn.XLOOKUP(AG1763,Cadastros!$G$6:$G$90,Cadastros!$H$6:$H$90)*(1-0.18),IF($F1763="Mauro José Salanti",_xlfn.XLOOKUP(AG1763,Cadastros!$G$6:$G$90,Cadastros!$H$6:$H$90)*(1-0.18),_xlfn.XLOOKUP(AG1763,Cadastros!$G$6:$G$90,Cadastros!$H$6:$H$90))))</f>
        <v/>
      </c>
      <c r="AJ1763" s="168" t="str">
        <f t="shared" si="358"/>
        <v/>
      </c>
      <c r="AK1763" s="168" t="str">
        <f t="shared" si="359"/>
        <v/>
      </c>
      <c r="AL1763" s="28"/>
      <c r="AM1763" s="28"/>
      <c r="AN1763" s="20" t="str">
        <f>IF(AL1763="","",IF($F1763="Bernardino Furlan",_xlfn.XLOOKUP(AL1763,Cadastros!$G$6:$G$90,Cadastros!$H$6:$H$90)*(1-0.18),IF($F1763="Mauro José Salanti",_xlfn.XLOOKUP(AL1763,Cadastros!$G$6:$G$90,Cadastros!$H$6:$H$90)*(1-0.18),_xlfn.XLOOKUP(AL1763,Cadastros!$G$6:$G$90,Cadastros!$H$6:$H$90))))</f>
        <v/>
      </c>
      <c r="AO1763" s="168" t="str">
        <f t="shared" si="360"/>
        <v/>
      </c>
      <c r="AP1763" s="168" t="str">
        <f t="shared" si="361"/>
        <v/>
      </c>
      <c r="AQ1763" s="28"/>
      <c r="AR1763" s="28"/>
      <c r="AS1763" s="20" t="str">
        <f>IF(AQ1763="","",IF($F1763="Bernardino Furlan",_xlfn.XLOOKUP(AQ1763,Cadastros!$G$6:$G$90,Cadastros!$H$6:$H$90)*(1-0.18),IF($F1763="Mauro José Salanti",_xlfn.XLOOKUP(AQ1763,Cadastros!$G$6:$G$90,Cadastros!$H$6:$H$90)*(1-0.18),_xlfn.XLOOKUP(AQ1763,Cadastros!$G$6:$G$90,Cadastros!$H$6:$H$90))))</f>
        <v/>
      </c>
      <c r="AT1763" s="168" t="str">
        <f t="shared" si="362"/>
        <v/>
      </c>
      <c r="AU1763" s="168" t="str">
        <f t="shared" si="363"/>
        <v/>
      </c>
      <c r="AV1763" s="227"/>
      <c r="AW1763" s="30"/>
      <c r="AX1763" s="267"/>
      <c r="AY1763" s="267"/>
      <c r="AZ1763" s="29"/>
      <c r="BA1763" s="30"/>
      <c r="BB1763" s="23" t="str" cm="1">
        <f t="array" ref="BB1763">_xlfn.IFS(AW1763="SIM",SUM(K1763,P1763,U1763,Z1763,AE1763,AJ1763,AO1763,AT1763,AX1763,AY1763),F1763&lt;&gt;"",SUM(K1763,P1763,U1763,Z1763,AE1763,AJ1763,,AO1763,AT1763),F1763="","")</f>
        <v/>
      </c>
      <c r="BC1763" s="211" t="str" cm="1">
        <f t="array" ref="BC1763">_xlfn.IFS(E1763="","",G1763&lt;=E1763,BB1763*(1-0.03),G1763&lt;(E1763+8),BB1763,AZ1763="Boleto",BB1763*(1+0.001)^DATEDIF(E1763,G1763,"D"),AZ1763="Cheque",BB1763,AZ1763="Dinheiro","Alterar forma pgto")</f>
        <v/>
      </c>
      <c r="BD1763" s="276" t="str" cm="1">
        <f t="array" ref="BD1763">IF(F1763=0," ",IF(BC1763&lt;BB1763,(_xlfn.IFS(AW1763="SIM",SUM(L1763,Q1763,V1763,AA1763,AF1763,AK1763,AP1763,AU1763)+AX1763/_xlfn.XLOOKUP(_xlfn.XLOOKUP($F1763,Clientes!$B$4:$B$39,Clientes!$C$4:$C$39),Cadastros!$L$6:$L$12,Cadastros!$M$6:$M$12)+IF($F1763="Bernardino Furlan",AY1763/2751.92,IF($F1763="Mauro José Salanti",AY1763/2751.92,AY1763/3356)),F1763&lt;&gt;0,SUM(L1763,Q1763,V1763,AA1763,AF1763,AK1763,AP1763,AU1763)))*(1-0.03),_xlfn.IFS(AW1763="SIM",SUM(L1763,Q1763,V1763,AA1763,AF1763,AK1763,AP1763,AU1763)+AX1763/_xlfn.XLOOKUP(_xlfn.XLOOKUP($F1763,Clientes!$B$4:$B$39,Clientes!$C$4:$C$39),Cadastros!$L$6:$L$12,Cadastros!$M$6:$M$12)+IF($F1763="Bernardino Furlan",AY1763/2751.92,IF($F1763="Mauro José Salanti",AY1763/2751.92,AY1763/3356)),F1763&lt;&gt;0,SUM(L1763,Q1763,V1763,AA1763,AF1763,AK1763,AP1763,AU1763))))</f>
        <v xml:space="preserve"> </v>
      </c>
      <c r="BE1763" s="120"/>
      <c r="BF1763" s="120"/>
      <c r="BG1763" s="120"/>
    </row>
    <row r="1764" spans="1:59" s="3" customFormat="1" x14ac:dyDescent="0.3">
      <c r="A1764" s="15" t="str">
        <f t="shared" si="351"/>
        <v/>
      </c>
      <c r="B1764" s="25"/>
      <c r="C1764" s="26"/>
      <c r="D1764" s="279"/>
      <c r="E1764" s="27"/>
      <c r="F1764" s="28"/>
      <c r="G1764" s="27"/>
      <c r="H1764" s="28"/>
      <c r="I1764" s="28"/>
      <c r="J1764" s="255" t="str">
        <f>IF(H1764="","",(_xlfn.XLOOKUP(H1764,Cadastros!$D$6:$D$90,Cadastros!$E$6:$E$90))*(1-_xlfn.XLOOKUP(_xlfn.XLOOKUP($F1764,Clientes!$B$4:$B$39,Clientes!$C$4:$C$39),Cadastros!$L$6:$L$12,Cadastros!$N$6:$N$12)))</f>
        <v/>
      </c>
      <c r="K1764" s="168" t="str">
        <f t="shared" si="352"/>
        <v/>
      </c>
      <c r="L1764" s="168" t="str">
        <f>IFERROR(K1764/_xlfn.XLOOKUP(_xlfn.XLOOKUP($F1764,Clientes!$B$4:$B$39,Clientes!$C$4:$C$39),Cadastros!$L$6:$L$12,Cadastros!$M$6:$M$12)," ")</f>
        <v xml:space="preserve"> </v>
      </c>
      <c r="M1764" s="28"/>
      <c r="N1764" s="28"/>
      <c r="O1764" s="255" t="str">
        <f>IF(M1764="","",(_xlfn.XLOOKUP(M1764,Cadastros!$D$6:$D$90,Cadastros!$E$6:$E$90))*(1-_xlfn.XLOOKUP(_xlfn.XLOOKUP($F1764,Clientes!$B$4:$B$39,Clientes!$C$4:$C$39),Cadastros!$L$6:$L$12,Cadastros!$N$6:$N$12)))</f>
        <v/>
      </c>
      <c r="P1764" s="168" t="str">
        <f t="shared" si="353"/>
        <v/>
      </c>
      <c r="Q1764" s="168" t="str">
        <f>IFERROR(P1764/_xlfn.XLOOKUP(_xlfn.XLOOKUP($F1764,Clientes!$B$4:$B$39,Clientes!$C$4:$C$39),Cadastros!$L$6:$L$12,Cadastros!$M$6:$M$12)," ")</f>
        <v xml:space="preserve"> </v>
      </c>
      <c r="R1764" s="28"/>
      <c r="S1764" s="28"/>
      <c r="T1764" s="255" t="str">
        <f>IF(R1764="","",(_xlfn.XLOOKUP(R1764,Cadastros!$D$6:$D$90,Cadastros!$E$6:$E$90))*(1-_xlfn.XLOOKUP(_xlfn.XLOOKUP($F1764,Clientes!$B$4:$B$39,Clientes!$C$4:$C$39),Cadastros!$L$6:$L$12,Cadastros!$N$6:$N$12)))</f>
        <v/>
      </c>
      <c r="U1764" s="168" t="str">
        <f t="shared" si="354"/>
        <v/>
      </c>
      <c r="V1764" s="168" t="str">
        <f>IFERROR(U1764/_xlfn.XLOOKUP(_xlfn.XLOOKUP($F1764,Clientes!$B$4:$B$39,Clientes!$C$4:$C$39),Cadastros!$L$6:$L$12,Cadastros!$M$6:$M$12)," ")</f>
        <v xml:space="preserve"> </v>
      </c>
      <c r="W1764" s="28"/>
      <c r="X1764" s="28"/>
      <c r="Y1764" s="255" t="str">
        <f>IF(W1764="","",(_xlfn.XLOOKUP(W1764,Cadastros!$D$6:$D$90,Cadastros!$E$6:$E$90))*(1-_xlfn.XLOOKUP(_xlfn.XLOOKUP($F1764,Clientes!$B$4:$B$39,Clientes!$C$4:$C$39),Cadastros!$L$6:$L$12,Cadastros!$N$6:$N$12)))</f>
        <v/>
      </c>
      <c r="Z1764" s="168" t="str">
        <f t="shared" si="355"/>
        <v/>
      </c>
      <c r="AA1764" s="168" t="str">
        <f>IFERROR(Z1764/_xlfn.XLOOKUP(_xlfn.XLOOKUP($F1764,Clientes!$B$4:$B$39,Clientes!$C$4:$C$39),Cadastros!$L$6:$L$12,Cadastros!$M$6:$M$12)," ")</f>
        <v xml:space="preserve"> </v>
      </c>
      <c r="AB1764" s="28"/>
      <c r="AC1764" s="28"/>
      <c r="AD1764" s="20" t="str">
        <f>IF(AB1764="","",IF($F1764="Bernardino Furlan",_xlfn.XLOOKUP(AB1764,Cadastros!$G$6:$G$90,Cadastros!$H$6:$H$90)*(1-0.18),IF($F1764="Mauro José Salanti",_xlfn.XLOOKUP(AB1764,Cadastros!$G$6:$G$90,Cadastros!$H$6:$H$90)*(1-0.18),_xlfn.XLOOKUP(AB1764,Cadastros!$G$6:$G$90,Cadastros!$H$6:$H$90))))</f>
        <v/>
      </c>
      <c r="AE1764" s="168" t="str">
        <f t="shared" si="356"/>
        <v/>
      </c>
      <c r="AF1764" s="168" t="str">
        <f t="shared" si="357"/>
        <v/>
      </c>
      <c r="AG1764" s="28"/>
      <c r="AH1764" s="28"/>
      <c r="AI1764" s="20" t="str">
        <f>IF(AG1764="","",IF($F1764="Bernardino Furlan",_xlfn.XLOOKUP(AG1764,Cadastros!$G$6:$G$90,Cadastros!$H$6:$H$90)*(1-0.18),IF($F1764="Mauro José Salanti",_xlfn.XLOOKUP(AG1764,Cadastros!$G$6:$G$90,Cadastros!$H$6:$H$90)*(1-0.18),_xlfn.XLOOKUP(AG1764,Cadastros!$G$6:$G$90,Cadastros!$H$6:$H$90))))</f>
        <v/>
      </c>
      <c r="AJ1764" s="168" t="str">
        <f t="shared" si="358"/>
        <v/>
      </c>
      <c r="AK1764" s="168" t="str">
        <f t="shared" si="359"/>
        <v/>
      </c>
      <c r="AL1764" s="28"/>
      <c r="AM1764" s="28"/>
      <c r="AN1764" s="20" t="str">
        <f>IF(AL1764="","",IF($F1764="Bernardino Furlan",_xlfn.XLOOKUP(AL1764,Cadastros!$G$6:$G$90,Cadastros!$H$6:$H$90)*(1-0.18),IF($F1764="Mauro José Salanti",_xlfn.XLOOKUP(AL1764,Cadastros!$G$6:$G$90,Cadastros!$H$6:$H$90)*(1-0.18),_xlfn.XLOOKUP(AL1764,Cadastros!$G$6:$G$90,Cadastros!$H$6:$H$90))))</f>
        <v/>
      </c>
      <c r="AO1764" s="168" t="str">
        <f t="shared" si="360"/>
        <v/>
      </c>
      <c r="AP1764" s="168" t="str">
        <f t="shared" si="361"/>
        <v/>
      </c>
      <c r="AQ1764" s="28"/>
      <c r="AR1764" s="28"/>
      <c r="AS1764" s="20" t="str">
        <f>IF(AQ1764="","",IF($F1764="Bernardino Furlan",_xlfn.XLOOKUP(AQ1764,Cadastros!$G$6:$G$90,Cadastros!$H$6:$H$90)*(1-0.18),IF($F1764="Mauro José Salanti",_xlfn.XLOOKUP(AQ1764,Cadastros!$G$6:$G$90,Cadastros!$H$6:$H$90)*(1-0.18),_xlfn.XLOOKUP(AQ1764,Cadastros!$G$6:$G$90,Cadastros!$H$6:$H$90))))</f>
        <v/>
      </c>
      <c r="AT1764" s="168" t="str">
        <f t="shared" si="362"/>
        <v/>
      </c>
      <c r="AU1764" s="168" t="str">
        <f t="shared" si="363"/>
        <v/>
      </c>
      <c r="AV1764" s="227"/>
      <c r="AW1764" s="30"/>
      <c r="AX1764" s="267"/>
      <c r="AY1764" s="267"/>
      <c r="AZ1764" s="29"/>
      <c r="BA1764" s="30"/>
      <c r="BB1764" s="23" t="str" cm="1">
        <f t="array" ref="BB1764">_xlfn.IFS(AW1764="SIM",SUM(K1764,P1764,U1764,Z1764,AE1764,AJ1764,AO1764,AT1764,AX1764,AY1764),F1764&lt;&gt;"",SUM(K1764,P1764,U1764,Z1764,AE1764,AJ1764,,AO1764,AT1764),F1764="","")</f>
        <v/>
      </c>
      <c r="BC1764" s="211" t="str" cm="1">
        <f t="array" ref="BC1764">_xlfn.IFS(E1764="","",G1764&lt;=E1764,BB1764*(1-0.03),G1764&lt;(E1764+8),BB1764,AZ1764="Boleto",BB1764*(1+0.001)^DATEDIF(E1764,G1764,"D"),AZ1764="Cheque",BB1764,AZ1764="Dinheiro","Alterar forma pgto")</f>
        <v/>
      </c>
      <c r="BD1764" s="276" t="str" cm="1">
        <f t="array" ref="BD1764">IF(F1764=0," ",IF(BC1764&lt;BB1764,(_xlfn.IFS(AW1764="SIM",SUM(L1764,Q1764,V1764,AA1764,AF1764,AK1764,AP1764,AU1764)+AX1764/_xlfn.XLOOKUP(_xlfn.XLOOKUP($F1764,Clientes!$B$4:$B$39,Clientes!$C$4:$C$39),Cadastros!$L$6:$L$12,Cadastros!$M$6:$M$12)+IF($F1764="Bernardino Furlan",AY1764/2751.92,IF($F1764="Mauro José Salanti",AY1764/2751.92,AY1764/3356)),F1764&lt;&gt;0,SUM(L1764,Q1764,V1764,AA1764,AF1764,AK1764,AP1764,AU1764)))*(1-0.03),_xlfn.IFS(AW1764="SIM",SUM(L1764,Q1764,V1764,AA1764,AF1764,AK1764,AP1764,AU1764)+AX1764/_xlfn.XLOOKUP(_xlfn.XLOOKUP($F1764,Clientes!$B$4:$B$39,Clientes!$C$4:$C$39),Cadastros!$L$6:$L$12,Cadastros!$M$6:$M$12)+IF($F1764="Bernardino Furlan",AY1764/2751.92,IF($F1764="Mauro José Salanti",AY1764/2751.92,AY1764/3356)),F1764&lt;&gt;0,SUM(L1764,Q1764,V1764,AA1764,AF1764,AK1764,AP1764,AU1764))))</f>
        <v xml:space="preserve"> </v>
      </c>
      <c r="BE1764" s="120"/>
      <c r="BF1764" s="120"/>
      <c r="BG1764" s="120"/>
    </row>
    <row r="1765" spans="1:59" s="3" customFormat="1" x14ac:dyDescent="0.3">
      <c r="A1765" s="15" t="str">
        <f t="shared" si="351"/>
        <v/>
      </c>
      <c r="B1765" s="25"/>
      <c r="C1765" s="26"/>
      <c r="D1765" s="279"/>
      <c r="E1765" s="27"/>
      <c r="F1765" s="28"/>
      <c r="G1765" s="27"/>
      <c r="H1765" s="28"/>
      <c r="I1765" s="28"/>
      <c r="J1765" s="255" t="str">
        <f>IF(H1765="","",(_xlfn.XLOOKUP(H1765,Cadastros!$D$6:$D$90,Cadastros!$E$6:$E$90))*(1-_xlfn.XLOOKUP(_xlfn.XLOOKUP($F1765,Clientes!$B$4:$B$39,Clientes!$C$4:$C$39),Cadastros!$L$6:$L$12,Cadastros!$N$6:$N$12)))</f>
        <v/>
      </c>
      <c r="K1765" s="168" t="str">
        <f t="shared" si="352"/>
        <v/>
      </c>
      <c r="L1765" s="168" t="str">
        <f>IFERROR(K1765/_xlfn.XLOOKUP(_xlfn.XLOOKUP($F1765,Clientes!$B$4:$B$39,Clientes!$C$4:$C$39),Cadastros!$L$6:$L$12,Cadastros!$M$6:$M$12)," ")</f>
        <v xml:space="preserve"> </v>
      </c>
      <c r="M1765" s="28"/>
      <c r="N1765" s="28"/>
      <c r="O1765" s="255" t="str">
        <f>IF(M1765="","",(_xlfn.XLOOKUP(M1765,Cadastros!$D$6:$D$90,Cadastros!$E$6:$E$90))*(1-_xlfn.XLOOKUP(_xlfn.XLOOKUP($F1765,Clientes!$B$4:$B$39,Clientes!$C$4:$C$39),Cadastros!$L$6:$L$12,Cadastros!$N$6:$N$12)))</f>
        <v/>
      </c>
      <c r="P1765" s="168" t="str">
        <f t="shared" si="353"/>
        <v/>
      </c>
      <c r="Q1765" s="168" t="str">
        <f>IFERROR(P1765/_xlfn.XLOOKUP(_xlfn.XLOOKUP($F1765,Clientes!$B$4:$B$39,Clientes!$C$4:$C$39),Cadastros!$L$6:$L$12,Cadastros!$M$6:$M$12)," ")</f>
        <v xml:space="preserve"> </v>
      </c>
      <c r="R1765" s="28"/>
      <c r="S1765" s="28"/>
      <c r="T1765" s="255" t="str">
        <f>IF(R1765="","",(_xlfn.XLOOKUP(R1765,Cadastros!$D$6:$D$90,Cadastros!$E$6:$E$90))*(1-_xlfn.XLOOKUP(_xlfn.XLOOKUP($F1765,Clientes!$B$4:$B$39,Clientes!$C$4:$C$39),Cadastros!$L$6:$L$12,Cadastros!$N$6:$N$12)))</f>
        <v/>
      </c>
      <c r="U1765" s="168" t="str">
        <f t="shared" si="354"/>
        <v/>
      </c>
      <c r="V1765" s="168" t="str">
        <f>IFERROR(U1765/_xlfn.XLOOKUP(_xlfn.XLOOKUP($F1765,Clientes!$B$4:$B$39,Clientes!$C$4:$C$39),Cadastros!$L$6:$L$12,Cadastros!$M$6:$M$12)," ")</f>
        <v xml:space="preserve"> </v>
      </c>
      <c r="W1765" s="28"/>
      <c r="X1765" s="28"/>
      <c r="Y1765" s="255" t="str">
        <f>IF(W1765="","",(_xlfn.XLOOKUP(W1765,Cadastros!$D$6:$D$90,Cadastros!$E$6:$E$90))*(1-_xlfn.XLOOKUP(_xlfn.XLOOKUP($F1765,Clientes!$B$4:$B$39,Clientes!$C$4:$C$39),Cadastros!$L$6:$L$12,Cadastros!$N$6:$N$12)))</f>
        <v/>
      </c>
      <c r="Z1765" s="168" t="str">
        <f t="shared" si="355"/>
        <v/>
      </c>
      <c r="AA1765" s="168" t="str">
        <f>IFERROR(Z1765/_xlfn.XLOOKUP(_xlfn.XLOOKUP($F1765,Clientes!$B$4:$B$39,Clientes!$C$4:$C$39),Cadastros!$L$6:$L$12,Cadastros!$M$6:$M$12)," ")</f>
        <v xml:space="preserve"> </v>
      </c>
      <c r="AB1765" s="28"/>
      <c r="AC1765" s="28"/>
      <c r="AD1765" s="20" t="str">
        <f>IF(AB1765="","",IF($F1765="Bernardino Furlan",_xlfn.XLOOKUP(AB1765,Cadastros!$G$6:$G$90,Cadastros!$H$6:$H$90)*(1-0.18),IF($F1765="Mauro José Salanti",_xlfn.XLOOKUP(AB1765,Cadastros!$G$6:$G$90,Cadastros!$H$6:$H$90)*(1-0.18),_xlfn.XLOOKUP(AB1765,Cadastros!$G$6:$G$90,Cadastros!$H$6:$H$90))))</f>
        <v/>
      </c>
      <c r="AE1765" s="168" t="str">
        <f t="shared" si="356"/>
        <v/>
      </c>
      <c r="AF1765" s="168" t="str">
        <f t="shared" si="357"/>
        <v/>
      </c>
      <c r="AG1765" s="28"/>
      <c r="AH1765" s="28"/>
      <c r="AI1765" s="20" t="str">
        <f>IF(AG1765="","",IF($F1765="Bernardino Furlan",_xlfn.XLOOKUP(AG1765,Cadastros!$G$6:$G$90,Cadastros!$H$6:$H$90)*(1-0.18),IF($F1765="Mauro José Salanti",_xlfn.XLOOKUP(AG1765,Cadastros!$G$6:$G$90,Cadastros!$H$6:$H$90)*(1-0.18),_xlfn.XLOOKUP(AG1765,Cadastros!$G$6:$G$90,Cadastros!$H$6:$H$90))))</f>
        <v/>
      </c>
      <c r="AJ1765" s="168" t="str">
        <f t="shared" si="358"/>
        <v/>
      </c>
      <c r="AK1765" s="168" t="str">
        <f t="shared" si="359"/>
        <v/>
      </c>
      <c r="AL1765" s="28"/>
      <c r="AM1765" s="28"/>
      <c r="AN1765" s="20" t="str">
        <f>IF(AL1765="","",IF($F1765="Bernardino Furlan",_xlfn.XLOOKUP(AL1765,Cadastros!$G$6:$G$90,Cadastros!$H$6:$H$90)*(1-0.18),IF($F1765="Mauro José Salanti",_xlfn.XLOOKUP(AL1765,Cadastros!$G$6:$G$90,Cadastros!$H$6:$H$90)*(1-0.18),_xlfn.XLOOKUP(AL1765,Cadastros!$G$6:$G$90,Cadastros!$H$6:$H$90))))</f>
        <v/>
      </c>
      <c r="AO1765" s="168" t="str">
        <f t="shared" si="360"/>
        <v/>
      </c>
      <c r="AP1765" s="168" t="str">
        <f t="shared" si="361"/>
        <v/>
      </c>
      <c r="AQ1765" s="28"/>
      <c r="AR1765" s="28"/>
      <c r="AS1765" s="20" t="str">
        <f>IF(AQ1765="","",IF($F1765="Bernardino Furlan",_xlfn.XLOOKUP(AQ1765,Cadastros!$G$6:$G$90,Cadastros!$H$6:$H$90)*(1-0.18),IF($F1765="Mauro José Salanti",_xlfn.XLOOKUP(AQ1765,Cadastros!$G$6:$G$90,Cadastros!$H$6:$H$90)*(1-0.18),_xlfn.XLOOKUP(AQ1765,Cadastros!$G$6:$G$90,Cadastros!$H$6:$H$90))))</f>
        <v/>
      </c>
      <c r="AT1765" s="168" t="str">
        <f t="shared" si="362"/>
        <v/>
      </c>
      <c r="AU1765" s="168" t="str">
        <f t="shared" si="363"/>
        <v/>
      </c>
      <c r="AV1765" s="227"/>
      <c r="AW1765" s="30"/>
      <c r="AX1765" s="267"/>
      <c r="AY1765" s="267"/>
      <c r="AZ1765" s="29"/>
      <c r="BA1765" s="30"/>
      <c r="BB1765" s="23" t="str" cm="1">
        <f t="array" ref="BB1765">_xlfn.IFS(AW1765="SIM",SUM(K1765,P1765,U1765,Z1765,AE1765,AJ1765,AO1765,AT1765,AX1765,AY1765),F1765&lt;&gt;"",SUM(K1765,P1765,U1765,Z1765,AE1765,AJ1765,,AO1765,AT1765),F1765="","")</f>
        <v/>
      </c>
      <c r="BC1765" s="211" t="str" cm="1">
        <f t="array" ref="BC1765">_xlfn.IFS(E1765="","",G1765&lt;=E1765,BB1765*(1-0.03),G1765&lt;(E1765+8),BB1765,AZ1765="Boleto",BB1765*(1+0.001)^DATEDIF(E1765,G1765,"D"),AZ1765="Cheque",BB1765,AZ1765="Dinheiro","Alterar forma pgto")</f>
        <v/>
      </c>
      <c r="BD1765" s="276" t="str" cm="1">
        <f t="array" ref="BD1765">IF(F1765=0," ",IF(BC1765&lt;BB1765,(_xlfn.IFS(AW1765="SIM",SUM(L1765,Q1765,V1765,AA1765,AF1765,AK1765,AP1765,AU1765)+AX1765/_xlfn.XLOOKUP(_xlfn.XLOOKUP($F1765,Clientes!$B$4:$B$39,Clientes!$C$4:$C$39),Cadastros!$L$6:$L$12,Cadastros!$M$6:$M$12)+IF($F1765="Bernardino Furlan",AY1765/2751.92,IF($F1765="Mauro José Salanti",AY1765/2751.92,AY1765/3356)),F1765&lt;&gt;0,SUM(L1765,Q1765,V1765,AA1765,AF1765,AK1765,AP1765,AU1765)))*(1-0.03),_xlfn.IFS(AW1765="SIM",SUM(L1765,Q1765,V1765,AA1765,AF1765,AK1765,AP1765,AU1765)+AX1765/_xlfn.XLOOKUP(_xlfn.XLOOKUP($F1765,Clientes!$B$4:$B$39,Clientes!$C$4:$C$39),Cadastros!$L$6:$L$12,Cadastros!$M$6:$M$12)+IF($F1765="Bernardino Furlan",AY1765/2751.92,IF($F1765="Mauro José Salanti",AY1765/2751.92,AY1765/3356)),F1765&lt;&gt;0,SUM(L1765,Q1765,V1765,AA1765,AF1765,AK1765,AP1765,AU1765))))</f>
        <v xml:space="preserve"> </v>
      </c>
      <c r="BE1765" s="120"/>
      <c r="BF1765" s="120"/>
      <c r="BG1765" s="120"/>
    </row>
    <row r="1766" spans="1:59" s="3" customFormat="1" x14ac:dyDescent="0.3">
      <c r="A1766" s="15" t="str">
        <f t="shared" si="351"/>
        <v/>
      </c>
      <c r="B1766" s="25"/>
      <c r="C1766" s="26"/>
      <c r="D1766" s="279"/>
      <c r="E1766" s="27"/>
      <c r="F1766" s="28"/>
      <c r="G1766" s="27"/>
      <c r="H1766" s="28"/>
      <c r="I1766" s="28"/>
      <c r="J1766" s="255" t="str">
        <f>IF(H1766="","",(_xlfn.XLOOKUP(H1766,Cadastros!$D$6:$D$90,Cadastros!$E$6:$E$90))*(1-_xlfn.XLOOKUP(_xlfn.XLOOKUP($F1766,Clientes!$B$4:$B$39,Clientes!$C$4:$C$39),Cadastros!$L$6:$L$12,Cadastros!$N$6:$N$12)))</f>
        <v/>
      </c>
      <c r="K1766" s="168" t="str">
        <f t="shared" si="352"/>
        <v/>
      </c>
      <c r="L1766" s="168" t="str">
        <f>IFERROR(K1766/_xlfn.XLOOKUP(_xlfn.XLOOKUP($F1766,Clientes!$B$4:$B$39,Clientes!$C$4:$C$39),Cadastros!$L$6:$L$12,Cadastros!$M$6:$M$12)," ")</f>
        <v xml:space="preserve"> </v>
      </c>
      <c r="M1766" s="28"/>
      <c r="N1766" s="28"/>
      <c r="O1766" s="255" t="str">
        <f>IF(M1766="","",(_xlfn.XLOOKUP(M1766,Cadastros!$D$6:$D$90,Cadastros!$E$6:$E$90))*(1-_xlfn.XLOOKUP(_xlfn.XLOOKUP($F1766,Clientes!$B$4:$B$39,Clientes!$C$4:$C$39),Cadastros!$L$6:$L$12,Cadastros!$N$6:$N$12)))</f>
        <v/>
      </c>
      <c r="P1766" s="168" t="str">
        <f t="shared" si="353"/>
        <v/>
      </c>
      <c r="Q1766" s="168" t="str">
        <f>IFERROR(P1766/_xlfn.XLOOKUP(_xlfn.XLOOKUP($F1766,Clientes!$B$4:$B$39,Clientes!$C$4:$C$39),Cadastros!$L$6:$L$12,Cadastros!$M$6:$M$12)," ")</f>
        <v xml:space="preserve"> </v>
      </c>
      <c r="R1766" s="28"/>
      <c r="S1766" s="28"/>
      <c r="T1766" s="255" t="str">
        <f>IF(R1766="","",(_xlfn.XLOOKUP(R1766,Cadastros!$D$6:$D$90,Cadastros!$E$6:$E$90))*(1-_xlfn.XLOOKUP(_xlfn.XLOOKUP($F1766,Clientes!$B$4:$B$39,Clientes!$C$4:$C$39),Cadastros!$L$6:$L$12,Cadastros!$N$6:$N$12)))</f>
        <v/>
      </c>
      <c r="U1766" s="168" t="str">
        <f t="shared" si="354"/>
        <v/>
      </c>
      <c r="V1766" s="168" t="str">
        <f>IFERROR(U1766/_xlfn.XLOOKUP(_xlfn.XLOOKUP($F1766,Clientes!$B$4:$B$39,Clientes!$C$4:$C$39),Cadastros!$L$6:$L$12,Cadastros!$M$6:$M$12)," ")</f>
        <v xml:space="preserve"> </v>
      </c>
      <c r="W1766" s="28"/>
      <c r="X1766" s="28"/>
      <c r="Y1766" s="255" t="str">
        <f>IF(W1766="","",(_xlfn.XLOOKUP(W1766,Cadastros!$D$6:$D$90,Cadastros!$E$6:$E$90))*(1-_xlfn.XLOOKUP(_xlfn.XLOOKUP($F1766,Clientes!$B$4:$B$39,Clientes!$C$4:$C$39),Cadastros!$L$6:$L$12,Cadastros!$N$6:$N$12)))</f>
        <v/>
      </c>
      <c r="Z1766" s="168" t="str">
        <f t="shared" si="355"/>
        <v/>
      </c>
      <c r="AA1766" s="168" t="str">
        <f>IFERROR(Z1766/_xlfn.XLOOKUP(_xlfn.XLOOKUP($F1766,Clientes!$B$4:$B$39,Clientes!$C$4:$C$39),Cadastros!$L$6:$L$12,Cadastros!$M$6:$M$12)," ")</f>
        <v xml:space="preserve"> </v>
      </c>
      <c r="AB1766" s="28"/>
      <c r="AC1766" s="28"/>
      <c r="AD1766" s="20" t="str">
        <f>IF(AB1766="","",IF($F1766="Bernardino Furlan",_xlfn.XLOOKUP(AB1766,Cadastros!$G$6:$G$90,Cadastros!$H$6:$H$90)*(1-0.18),IF($F1766="Mauro José Salanti",_xlfn.XLOOKUP(AB1766,Cadastros!$G$6:$G$90,Cadastros!$H$6:$H$90)*(1-0.18),_xlfn.XLOOKUP(AB1766,Cadastros!$G$6:$G$90,Cadastros!$H$6:$H$90))))</f>
        <v/>
      </c>
      <c r="AE1766" s="168" t="str">
        <f t="shared" si="356"/>
        <v/>
      </c>
      <c r="AF1766" s="168" t="str">
        <f t="shared" si="357"/>
        <v/>
      </c>
      <c r="AG1766" s="28"/>
      <c r="AH1766" s="28"/>
      <c r="AI1766" s="20" t="str">
        <f>IF(AG1766="","",IF($F1766="Bernardino Furlan",_xlfn.XLOOKUP(AG1766,Cadastros!$G$6:$G$90,Cadastros!$H$6:$H$90)*(1-0.18),IF($F1766="Mauro José Salanti",_xlfn.XLOOKUP(AG1766,Cadastros!$G$6:$G$90,Cadastros!$H$6:$H$90)*(1-0.18),_xlfn.XLOOKUP(AG1766,Cadastros!$G$6:$G$90,Cadastros!$H$6:$H$90))))</f>
        <v/>
      </c>
      <c r="AJ1766" s="168" t="str">
        <f t="shared" si="358"/>
        <v/>
      </c>
      <c r="AK1766" s="168" t="str">
        <f t="shared" si="359"/>
        <v/>
      </c>
      <c r="AL1766" s="28"/>
      <c r="AM1766" s="28"/>
      <c r="AN1766" s="20" t="str">
        <f>IF(AL1766="","",IF($F1766="Bernardino Furlan",_xlfn.XLOOKUP(AL1766,Cadastros!$G$6:$G$90,Cadastros!$H$6:$H$90)*(1-0.18),IF($F1766="Mauro José Salanti",_xlfn.XLOOKUP(AL1766,Cadastros!$G$6:$G$90,Cadastros!$H$6:$H$90)*(1-0.18),_xlfn.XLOOKUP(AL1766,Cadastros!$G$6:$G$90,Cadastros!$H$6:$H$90))))</f>
        <v/>
      </c>
      <c r="AO1766" s="168" t="str">
        <f t="shared" si="360"/>
        <v/>
      </c>
      <c r="AP1766" s="168" t="str">
        <f t="shared" si="361"/>
        <v/>
      </c>
      <c r="AQ1766" s="28"/>
      <c r="AR1766" s="28"/>
      <c r="AS1766" s="20" t="str">
        <f>IF(AQ1766="","",IF($F1766="Bernardino Furlan",_xlfn.XLOOKUP(AQ1766,Cadastros!$G$6:$G$90,Cadastros!$H$6:$H$90)*(1-0.18),IF($F1766="Mauro José Salanti",_xlfn.XLOOKUP(AQ1766,Cadastros!$G$6:$G$90,Cadastros!$H$6:$H$90)*(1-0.18),_xlfn.XLOOKUP(AQ1766,Cadastros!$G$6:$G$90,Cadastros!$H$6:$H$90))))</f>
        <v/>
      </c>
      <c r="AT1766" s="168" t="str">
        <f t="shared" si="362"/>
        <v/>
      </c>
      <c r="AU1766" s="168" t="str">
        <f t="shared" si="363"/>
        <v/>
      </c>
      <c r="AV1766" s="227"/>
      <c r="AW1766" s="30"/>
      <c r="AX1766" s="267"/>
      <c r="AY1766" s="267"/>
      <c r="AZ1766" s="29"/>
      <c r="BA1766" s="30"/>
      <c r="BB1766" s="23" t="str" cm="1">
        <f t="array" ref="BB1766">_xlfn.IFS(AW1766="SIM",SUM(K1766,P1766,U1766,Z1766,AE1766,AJ1766,AO1766,AT1766,AX1766,AY1766),F1766&lt;&gt;"",SUM(K1766,P1766,U1766,Z1766,AE1766,AJ1766,,AO1766,AT1766),F1766="","")</f>
        <v/>
      </c>
      <c r="BC1766" s="211" t="str" cm="1">
        <f t="array" ref="BC1766">_xlfn.IFS(E1766="","",G1766&lt;=E1766,BB1766*(1-0.03),G1766&lt;(E1766+8),BB1766,AZ1766="Boleto",BB1766*(1+0.001)^DATEDIF(E1766,G1766,"D"),AZ1766="Cheque",BB1766,AZ1766="Dinheiro","Alterar forma pgto")</f>
        <v/>
      </c>
      <c r="BD1766" s="276" t="str" cm="1">
        <f t="array" ref="BD1766">IF(F1766=0," ",IF(BC1766&lt;BB1766,(_xlfn.IFS(AW1766="SIM",SUM(L1766,Q1766,V1766,AA1766,AF1766,AK1766,AP1766,AU1766)+AX1766/_xlfn.XLOOKUP(_xlfn.XLOOKUP($F1766,Clientes!$B$4:$B$39,Clientes!$C$4:$C$39),Cadastros!$L$6:$L$12,Cadastros!$M$6:$M$12)+IF($F1766="Bernardino Furlan",AY1766/2751.92,IF($F1766="Mauro José Salanti",AY1766/2751.92,AY1766/3356)),F1766&lt;&gt;0,SUM(L1766,Q1766,V1766,AA1766,AF1766,AK1766,AP1766,AU1766)))*(1-0.03),_xlfn.IFS(AW1766="SIM",SUM(L1766,Q1766,V1766,AA1766,AF1766,AK1766,AP1766,AU1766)+AX1766/_xlfn.XLOOKUP(_xlfn.XLOOKUP($F1766,Clientes!$B$4:$B$39,Clientes!$C$4:$C$39),Cadastros!$L$6:$L$12,Cadastros!$M$6:$M$12)+IF($F1766="Bernardino Furlan",AY1766/2751.92,IF($F1766="Mauro José Salanti",AY1766/2751.92,AY1766/3356)),F1766&lt;&gt;0,SUM(L1766,Q1766,V1766,AA1766,AF1766,AK1766,AP1766,AU1766))))</f>
        <v xml:space="preserve"> </v>
      </c>
      <c r="BE1766" s="120"/>
      <c r="BF1766" s="120"/>
      <c r="BG1766" s="120"/>
    </row>
    <row r="1767" spans="1:59" s="3" customFormat="1" x14ac:dyDescent="0.3">
      <c r="A1767" s="15" t="str">
        <f t="shared" si="351"/>
        <v/>
      </c>
      <c r="B1767" s="25"/>
      <c r="C1767" s="26"/>
      <c r="D1767" s="279"/>
      <c r="E1767" s="27"/>
      <c r="F1767" s="28"/>
      <c r="G1767" s="27"/>
      <c r="H1767" s="28"/>
      <c r="I1767" s="28"/>
      <c r="J1767" s="255" t="str">
        <f>IF(H1767="","",(_xlfn.XLOOKUP(H1767,Cadastros!$D$6:$D$90,Cadastros!$E$6:$E$90))*(1-_xlfn.XLOOKUP(_xlfn.XLOOKUP($F1767,Clientes!$B$4:$B$39,Clientes!$C$4:$C$39),Cadastros!$L$6:$L$12,Cadastros!$N$6:$N$12)))</f>
        <v/>
      </c>
      <c r="K1767" s="168" t="str">
        <f t="shared" si="352"/>
        <v/>
      </c>
      <c r="L1767" s="168" t="str">
        <f>IFERROR(K1767/_xlfn.XLOOKUP(_xlfn.XLOOKUP($F1767,Clientes!$B$4:$B$39,Clientes!$C$4:$C$39),Cadastros!$L$6:$L$12,Cadastros!$M$6:$M$12)," ")</f>
        <v xml:space="preserve"> </v>
      </c>
      <c r="M1767" s="28"/>
      <c r="N1767" s="28"/>
      <c r="O1767" s="255" t="str">
        <f>IF(M1767="","",(_xlfn.XLOOKUP(M1767,Cadastros!$D$6:$D$90,Cadastros!$E$6:$E$90))*(1-_xlfn.XLOOKUP(_xlfn.XLOOKUP($F1767,Clientes!$B$4:$B$39,Clientes!$C$4:$C$39),Cadastros!$L$6:$L$12,Cadastros!$N$6:$N$12)))</f>
        <v/>
      </c>
      <c r="P1767" s="168" t="str">
        <f t="shared" si="353"/>
        <v/>
      </c>
      <c r="Q1767" s="168" t="str">
        <f>IFERROR(P1767/_xlfn.XLOOKUP(_xlfn.XLOOKUP($F1767,Clientes!$B$4:$B$39,Clientes!$C$4:$C$39),Cadastros!$L$6:$L$12,Cadastros!$M$6:$M$12)," ")</f>
        <v xml:space="preserve"> </v>
      </c>
      <c r="R1767" s="28"/>
      <c r="S1767" s="28"/>
      <c r="T1767" s="255" t="str">
        <f>IF(R1767="","",(_xlfn.XLOOKUP(R1767,Cadastros!$D$6:$D$90,Cadastros!$E$6:$E$90))*(1-_xlfn.XLOOKUP(_xlfn.XLOOKUP($F1767,Clientes!$B$4:$B$39,Clientes!$C$4:$C$39),Cadastros!$L$6:$L$12,Cadastros!$N$6:$N$12)))</f>
        <v/>
      </c>
      <c r="U1767" s="168" t="str">
        <f t="shared" si="354"/>
        <v/>
      </c>
      <c r="V1767" s="168" t="str">
        <f>IFERROR(U1767/_xlfn.XLOOKUP(_xlfn.XLOOKUP($F1767,Clientes!$B$4:$B$39,Clientes!$C$4:$C$39),Cadastros!$L$6:$L$12,Cadastros!$M$6:$M$12)," ")</f>
        <v xml:space="preserve"> </v>
      </c>
      <c r="W1767" s="28"/>
      <c r="X1767" s="28"/>
      <c r="Y1767" s="255" t="str">
        <f>IF(W1767="","",(_xlfn.XLOOKUP(W1767,Cadastros!$D$6:$D$90,Cadastros!$E$6:$E$90))*(1-_xlfn.XLOOKUP(_xlfn.XLOOKUP($F1767,Clientes!$B$4:$B$39,Clientes!$C$4:$C$39),Cadastros!$L$6:$L$12,Cadastros!$N$6:$N$12)))</f>
        <v/>
      </c>
      <c r="Z1767" s="168" t="str">
        <f t="shared" si="355"/>
        <v/>
      </c>
      <c r="AA1767" s="168" t="str">
        <f>IFERROR(Z1767/_xlfn.XLOOKUP(_xlfn.XLOOKUP($F1767,Clientes!$B$4:$B$39,Clientes!$C$4:$C$39),Cadastros!$L$6:$L$12,Cadastros!$M$6:$M$12)," ")</f>
        <v xml:space="preserve"> </v>
      </c>
      <c r="AB1767" s="28"/>
      <c r="AC1767" s="28"/>
      <c r="AD1767" s="20" t="str">
        <f>IF(AB1767="","",IF($F1767="Bernardino Furlan",_xlfn.XLOOKUP(AB1767,Cadastros!$G$6:$G$90,Cadastros!$H$6:$H$90)*(1-0.18),IF($F1767="Mauro José Salanti",_xlfn.XLOOKUP(AB1767,Cadastros!$G$6:$G$90,Cadastros!$H$6:$H$90)*(1-0.18),_xlfn.XLOOKUP(AB1767,Cadastros!$G$6:$G$90,Cadastros!$H$6:$H$90))))</f>
        <v/>
      </c>
      <c r="AE1767" s="168" t="str">
        <f t="shared" si="356"/>
        <v/>
      </c>
      <c r="AF1767" s="168" t="str">
        <f t="shared" si="357"/>
        <v/>
      </c>
      <c r="AG1767" s="28"/>
      <c r="AH1767" s="28"/>
      <c r="AI1767" s="20" t="str">
        <f>IF(AG1767="","",IF($F1767="Bernardino Furlan",_xlfn.XLOOKUP(AG1767,Cadastros!$G$6:$G$90,Cadastros!$H$6:$H$90)*(1-0.18),IF($F1767="Mauro José Salanti",_xlfn.XLOOKUP(AG1767,Cadastros!$G$6:$G$90,Cadastros!$H$6:$H$90)*(1-0.18),_xlfn.XLOOKUP(AG1767,Cadastros!$G$6:$G$90,Cadastros!$H$6:$H$90))))</f>
        <v/>
      </c>
      <c r="AJ1767" s="168" t="str">
        <f t="shared" si="358"/>
        <v/>
      </c>
      <c r="AK1767" s="168" t="str">
        <f t="shared" si="359"/>
        <v/>
      </c>
      <c r="AL1767" s="28"/>
      <c r="AM1767" s="28"/>
      <c r="AN1767" s="20" t="str">
        <f>IF(AL1767="","",IF($F1767="Bernardino Furlan",_xlfn.XLOOKUP(AL1767,Cadastros!$G$6:$G$90,Cadastros!$H$6:$H$90)*(1-0.18),IF($F1767="Mauro José Salanti",_xlfn.XLOOKUP(AL1767,Cadastros!$G$6:$G$90,Cadastros!$H$6:$H$90)*(1-0.18),_xlfn.XLOOKUP(AL1767,Cadastros!$G$6:$G$90,Cadastros!$H$6:$H$90))))</f>
        <v/>
      </c>
      <c r="AO1767" s="168" t="str">
        <f t="shared" si="360"/>
        <v/>
      </c>
      <c r="AP1767" s="168" t="str">
        <f t="shared" si="361"/>
        <v/>
      </c>
      <c r="AQ1767" s="28"/>
      <c r="AR1767" s="28"/>
      <c r="AS1767" s="20" t="str">
        <f>IF(AQ1767="","",IF($F1767="Bernardino Furlan",_xlfn.XLOOKUP(AQ1767,Cadastros!$G$6:$G$90,Cadastros!$H$6:$H$90)*(1-0.18),IF($F1767="Mauro José Salanti",_xlfn.XLOOKUP(AQ1767,Cadastros!$G$6:$G$90,Cadastros!$H$6:$H$90)*(1-0.18),_xlfn.XLOOKUP(AQ1767,Cadastros!$G$6:$G$90,Cadastros!$H$6:$H$90))))</f>
        <v/>
      </c>
      <c r="AT1767" s="168" t="str">
        <f t="shared" si="362"/>
        <v/>
      </c>
      <c r="AU1767" s="168" t="str">
        <f t="shared" si="363"/>
        <v/>
      </c>
      <c r="AV1767" s="227"/>
      <c r="AW1767" s="30"/>
      <c r="AX1767" s="267"/>
      <c r="AY1767" s="267"/>
      <c r="AZ1767" s="29"/>
      <c r="BA1767" s="30"/>
      <c r="BB1767" s="23" t="str" cm="1">
        <f t="array" ref="BB1767">_xlfn.IFS(AW1767="SIM",SUM(K1767,P1767,U1767,Z1767,AE1767,AJ1767,AO1767,AT1767,AX1767,AY1767),F1767&lt;&gt;"",SUM(K1767,P1767,U1767,Z1767,AE1767,AJ1767,,AO1767,AT1767),F1767="","")</f>
        <v/>
      </c>
      <c r="BC1767" s="211" t="str" cm="1">
        <f t="array" ref="BC1767">_xlfn.IFS(E1767="","",G1767&lt;=E1767,BB1767*(1-0.03),G1767&lt;(E1767+8),BB1767,AZ1767="Boleto",BB1767*(1+0.001)^DATEDIF(E1767,G1767,"D"),AZ1767="Cheque",BB1767,AZ1767="Dinheiro","Alterar forma pgto")</f>
        <v/>
      </c>
      <c r="BD1767" s="276" t="str" cm="1">
        <f t="array" ref="BD1767">IF(F1767=0," ",IF(BC1767&lt;BB1767,(_xlfn.IFS(AW1767="SIM",SUM(L1767,Q1767,V1767,AA1767,AF1767,AK1767,AP1767,AU1767)+AX1767/_xlfn.XLOOKUP(_xlfn.XLOOKUP($F1767,Clientes!$B$4:$B$39,Clientes!$C$4:$C$39),Cadastros!$L$6:$L$12,Cadastros!$M$6:$M$12)+IF($F1767="Bernardino Furlan",AY1767/2751.92,IF($F1767="Mauro José Salanti",AY1767/2751.92,AY1767/3356)),F1767&lt;&gt;0,SUM(L1767,Q1767,V1767,AA1767,AF1767,AK1767,AP1767,AU1767)))*(1-0.03),_xlfn.IFS(AW1767="SIM",SUM(L1767,Q1767,V1767,AA1767,AF1767,AK1767,AP1767,AU1767)+AX1767/_xlfn.XLOOKUP(_xlfn.XLOOKUP($F1767,Clientes!$B$4:$B$39,Clientes!$C$4:$C$39),Cadastros!$L$6:$L$12,Cadastros!$M$6:$M$12)+IF($F1767="Bernardino Furlan",AY1767/2751.92,IF($F1767="Mauro José Salanti",AY1767/2751.92,AY1767/3356)),F1767&lt;&gt;0,SUM(L1767,Q1767,V1767,AA1767,AF1767,AK1767,AP1767,AU1767))))</f>
        <v xml:space="preserve"> </v>
      </c>
      <c r="BE1767" s="120"/>
      <c r="BF1767" s="120"/>
      <c r="BG1767" s="120"/>
    </row>
    <row r="1768" spans="1:59" s="3" customFormat="1" x14ac:dyDescent="0.3">
      <c r="A1768" s="15" t="str">
        <f t="shared" si="351"/>
        <v/>
      </c>
      <c r="B1768" s="25"/>
      <c r="C1768" s="26"/>
      <c r="D1768" s="279"/>
      <c r="E1768" s="27"/>
      <c r="F1768" s="28"/>
      <c r="G1768" s="27"/>
      <c r="H1768" s="28"/>
      <c r="I1768" s="28"/>
      <c r="J1768" s="255" t="str">
        <f>IF(H1768="","",(_xlfn.XLOOKUP(H1768,Cadastros!$D$6:$D$90,Cadastros!$E$6:$E$90))*(1-_xlfn.XLOOKUP(_xlfn.XLOOKUP($F1768,Clientes!$B$4:$B$39,Clientes!$C$4:$C$39),Cadastros!$L$6:$L$12,Cadastros!$N$6:$N$12)))</f>
        <v/>
      </c>
      <c r="K1768" s="168" t="str">
        <f t="shared" si="352"/>
        <v/>
      </c>
      <c r="L1768" s="168" t="str">
        <f>IFERROR(K1768/_xlfn.XLOOKUP(_xlfn.XLOOKUP($F1768,Clientes!$B$4:$B$39,Clientes!$C$4:$C$39),Cadastros!$L$6:$L$12,Cadastros!$M$6:$M$12)," ")</f>
        <v xml:space="preserve"> </v>
      </c>
      <c r="M1768" s="28"/>
      <c r="N1768" s="28"/>
      <c r="O1768" s="255" t="str">
        <f>IF(M1768="","",(_xlfn.XLOOKUP(M1768,Cadastros!$D$6:$D$90,Cadastros!$E$6:$E$90))*(1-_xlfn.XLOOKUP(_xlfn.XLOOKUP($F1768,Clientes!$B$4:$B$39,Clientes!$C$4:$C$39),Cadastros!$L$6:$L$12,Cadastros!$N$6:$N$12)))</f>
        <v/>
      </c>
      <c r="P1768" s="168" t="str">
        <f t="shared" si="353"/>
        <v/>
      </c>
      <c r="Q1768" s="168" t="str">
        <f>IFERROR(P1768/_xlfn.XLOOKUP(_xlfn.XLOOKUP($F1768,Clientes!$B$4:$B$39,Clientes!$C$4:$C$39),Cadastros!$L$6:$L$12,Cadastros!$M$6:$M$12)," ")</f>
        <v xml:space="preserve"> </v>
      </c>
      <c r="R1768" s="28"/>
      <c r="S1768" s="28"/>
      <c r="T1768" s="255" t="str">
        <f>IF(R1768="","",(_xlfn.XLOOKUP(R1768,Cadastros!$D$6:$D$90,Cadastros!$E$6:$E$90))*(1-_xlfn.XLOOKUP(_xlfn.XLOOKUP($F1768,Clientes!$B$4:$B$39,Clientes!$C$4:$C$39),Cadastros!$L$6:$L$12,Cadastros!$N$6:$N$12)))</f>
        <v/>
      </c>
      <c r="U1768" s="168" t="str">
        <f t="shared" si="354"/>
        <v/>
      </c>
      <c r="V1768" s="168" t="str">
        <f>IFERROR(U1768/_xlfn.XLOOKUP(_xlfn.XLOOKUP($F1768,Clientes!$B$4:$B$39,Clientes!$C$4:$C$39),Cadastros!$L$6:$L$12,Cadastros!$M$6:$M$12)," ")</f>
        <v xml:space="preserve"> </v>
      </c>
      <c r="W1768" s="28"/>
      <c r="X1768" s="28"/>
      <c r="Y1768" s="255" t="str">
        <f>IF(W1768="","",(_xlfn.XLOOKUP(W1768,Cadastros!$D$6:$D$90,Cadastros!$E$6:$E$90))*(1-_xlfn.XLOOKUP(_xlfn.XLOOKUP($F1768,Clientes!$B$4:$B$39,Clientes!$C$4:$C$39),Cadastros!$L$6:$L$12,Cadastros!$N$6:$N$12)))</f>
        <v/>
      </c>
      <c r="Z1768" s="168" t="str">
        <f t="shared" si="355"/>
        <v/>
      </c>
      <c r="AA1768" s="168" t="str">
        <f>IFERROR(Z1768/_xlfn.XLOOKUP(_xlfn.XLOOKUP($F1768,Clientes!$B$4:$B$39,Clientes!$C$4:$C$39),Cadastros!$L$6:$L$12,Cadastros!$M$6:$M$12)," ")</f>
        <v xml:space="preserve"> </v>
      </c>
      <c r="AB1768" s="28"/>
      <c r="AC1768" s="28"/>
      <c r="AD1768" s="20" t="str">
        <f>IF(AB1768="","",IF($F1768="Bernardino Furlan",_xlfn.XLOOKUP(AB1768,Cadastros!$G$6:$G$90,Cadastros!$H$6:$H$90)*(1-0.18),IF($F1768="Mauro José Salanti",_xlfn.XLOOKUP(AB1768,Cadastros!$G$6:$G$90,Cadastros!$H$6:$H$90)*(1-0.18),_xlfn.XLOOKUP(AB1768,Cadastros!$G$6:$G$90,Cadastros!$H$6:$H$90))))</f>
        <v/>
      </c>
      <c r="AE1768" s="168" t="str">
        <f t="shared" si="356"/>
        <v/>
      </c>
      <c r="AF1768" s="168" t="str">
        <f t="shared" si="357"/>
        <v/>
      </c>
      <c r="AG1768" s="28"/>
      <c r="AH1768" s="28"/>
      <c r="AI1768" s="20" t="str">
        <f>IF(AG1768="","",IF($F1768="Bernardino Furlan",_xlfn.XLOOKUP(AG1768,Cadastros!$G$6:$G$90,Cadastros!$H$6:$H$90)*(1-0.18),IF($F1768="Mauro José Salanti",_xlfn.XLOOKUP(AG1768,Cadastros!$G$6:$G$90,Cadastros!$H$6:$H$90)*(1-0.18),_xlfn.XLOOKUP(AG1768,Cadastros!$G$6:$G$90,Cadastros!$H$6:$H$90))))</f>
        <v/>
      </c>
      <c r="AJ1768" s="168" t="str">
        <f t="shared" si="358"/>
        <v/>
      </c>
      <c r="AK1768" s="168" t="str">
        <f t="shared" si="359"/>
        <v/>
      </c>
      <c r="AL1768" s="28"/>
      <c r="AM1768" s="28"/>
      <c r="AN1768" s="20" t="str">
        <f>IF(AL1768="","",IF($F1768="Bernardino Furlan",_xlfn.XLOOKUP(AL1768,Cadastros!$G$6:$G$90,Cadastros!$H$6:$H$90)*(1-0.18),IF($F1768="Mauro José Salanti",_xlfn.XLOOKUP(AL1768,Cadastros!$G$6:$G$90,Cadastros!$H$6:$H$90)*(1-0.18),_xlfn.XLOOKUP(AL1768,Cadastros!$G$6:$G$90,Cadastros!$H$6:$H$90))))</f>
        <v/>
      </c>
      <c r="AO1768" s="168" t="str">
        <f t="shared" si="360"/>
        <v/>
      </c>
      <c r="AP1768" s="168" t="str">
        <f t="shared" si="361"/>
        <v/>
      </c>
      <c r="AQ1768" s="28"/>
      <c r="AR1768" s="28"/>
      <c r="AS1768" s="20" t="str">
        <f>IF(AQ1768="","",IF($F1768="Bernardino Furlan",_xlfn.XLOOKUP(AQ1768,Cadastros!$G$6:$G$90,Cadastros!$H$6:$H$90)*(1-0.18),IF($F1768="Mauro José Salanti",_xlfn.XLOOKUP(AQ1768,Cadastros!$G$6:$G$90,Cadastros!$H$6:$H$90)*(1-0.18),_xlfn.XLOOKUP(AQ1768,Cadastros!$G$6:$G$90,Cadastros!$H$6:$H$90))))</f>
        <v/>
      </c>
      <c r="AT1768" s="168" t="str">
        <f t="shared" si="362"/>
        <v/>
      </c>
      <c r="AU1768" s="168" t="str">
        <f t="shared" si="363"/>
        <v/>
      </c>
      <c r="AV1768" s="227"/>
      <c r="AW1768" s="30"/>
      <c r="AX1768" s="267"/>
      <c r="AY1768" s="267"/>
      <c r="AZ1768" s="29"/>
      <c r="BA1768" s="30"/>
      <c r="BB1768" s="23" t="str" cm="1">
        <f t="array" ref="BB1768">_xlfn.IFS(AW1768="SIM",SUM(K1768,P1768,U1768,Z1768,AE1768,AJ1768,AO1768,AT1768,AX1768,AY1768),F1768&lt;&gt;"",SUM(K1768,P1768,U1768,Z1768,AE1768,AJ1768,,AO1768,AT1768),F1768="","")</f>
        <v/>
      </c>
      <c r="BC1768" s="211" t="str" cm="1">
        <f t="array" ref="BC1768">_xlfn.IFS(E1768="","",G1768&lt;=E1768,BB1768*(1-0.03),G1768&lt;(E1768+8),BB1768,AZ1768="Boleto",BB1768*(1+0.001)^DATEDIF(E1768,G1768,"D"),AZ1768="Cheque",BB1768,AZ1768="Dinheiro","Alterar forma pgto")</f>
        <v/>
      </c>
      <c r="BD1768" s="276" t="str" cm="1">
        <f t="array" ref="BD1768">IF(F1768=0," ",IF(BC1768&lt;BB1768,(_xlfn.IFS(AW1768="SIM",SUM(L1768,Q1768,V1768,AA1768,AF1768,AK1768,AP1768,AU1768)+AX1768/_xlfn.XLOOKUP(_xlfn.XLOOKUP($F1768,Clientes!$B$4:$B$39,Clientes!$C$4:$C$39),Cadastros!$L$6:$L$12,Cadastros!$M$6:$M$12)+IF($F1768="Bernardino Furlan",AY1768/2751.92,IF($F1768="Mauro José Salanti",AY1768/2751.92,AY1768/3356)),F1768&lt;&gt;0,SUM(L1768,Q1768,V1768,AA1768,AF1768,AK1768,AP1768,AU1768)))*(1-0.03),_xlfn.IFS(AW1768="SIM",SUM(L1768,Q1768,V1768,AA1768,AF1768,AK1768,AP1768,AU1768)+AX1768/_xlfn.XLOOKUP(_xlfn.XLOOKUP($F1768,Clientes!$B$4:$B$39,Clientes!$C$4:$C$39),Cadastros!$L$6:$L$12,Cadastros!$M$6:$M$12)+IF($F1768="Bernardino Furlan",AY1768/2751.92,IF($F1768="Mauro José Salanti",AY1768/2751.92,AY1768/3356)),F1768&lt;&gt;0,SUM(L1768,Q1768,V1768,AA1768,AF1768,AK1768,AP1768,AU1768))))</f>
        <v xml:space="preserve"> </v>
      </c>
      <c r="BE1768" s="120"/>
      <c r="BF1768" s="120"/>
      <c r="BG1768" s="120"/>
    </row>
    <row r="1769" spans="1:59" s="3" customFormat="1" x14ac:dyDescent="0.3">
      <c r="A1769" s="15" t="str">
        <f t="shared" si="351"/>
        <v/>
      </c>
      <c r="B1769" s="25"/>
      <c r="C1769" s="26"/>
      <c r="D1769" s="279"/>
      <c r="E1769" s="27"/>
      <c r="F1769" s="28"/>
      <c r="G1769" s="27"/>
      <c r="H1769" s="28"/>
      <c r="I1769" s="28"/>
      <c r="J1769" s="255" t="str">
        <f>IF(H1769="","",(_xlfn.XLOOKUP(H1769,Cadastros!$D$6:$D$90,Cadastros!$E$6:$E$90))*(1-_xlfn.XLOOKUP(_xlfn.XLOOKUP($F1769,Clientes!$B$4:$B$39,Clientes!$C$4:$C$39),Cadastros!$L$6:$L$12,Cadastros!$N$6:$N$12)))</f>
        <v/>
      </c>
      <c r="K1769" s="168" t="str">
        <f t="shared" si="352"/>
        <v/>
      </c>
      <c r="L1769" s="168" t="str">
        <f>IFERROR(K1769/_xlfn.XLOOKUP(_xlfn.XLOOKUP($F1769,Clientes!$B$4:$B$39,Clientes!$C$4:$C$39),Cadastros!$L$6:$L$12,Cadastros!$M$6:$M$12)," ")</f>
        <v xml:space="preserve"> </v>
      </c>
      <c r="M1769" s="28"/>
      <c r="N1769" s="28"/>
      <c r="O1769" s="255" t="str">
        <f>IF(M1769="","",(_xlfn.XLOOKUP(M1769,Cadastros!$D$6:$D$90,Cadastros!$E$6:$E$90))*(1-_xlfn.XLOOKUP(_xlfn.XLOOKUP($F1769,Clientes!$B$4:$B$39,Clientes!$C$4:$C$39),Cadastros!$L$6:$L$12,Cadastros!$N$6:$N$12)))</f>
        <v/>
      </c>
      <c r="P1769" s="168" t="str">
        <f t="shared" si="353"/>
        <v/>
      </c>
      <c r="Q1769" s="168" t="str">
        <f>IFERROR(P1769/_xlfn.XLOOKUP(_xlfn.XLOOKUP($F1769,Clientes!$B$4:$B$39,Clientes!$C$4:$C$39),Cadastros!$L$6:$L$12,Cadastros!$M$6:$M$12)," ")</f>
        <v xml:space="preserve"> </v>
      </c>
      <c r="R1769" s="28"/>
      <c r="S1769" s="28"/>
      <c r="T1769" s="255" t="str">
        <f>IF(R1769="","",(_xlfn.XLOOKUP(R1769,Cadastros!$D$6:$D$90,Cadastros!$E$6:$E$90))*(1-_xlfn.XLOOKUP(_xlfn.XLOOKUP($F1769,Clientes!$B$4:$B$39,Clientes!$C$4:$C$39),Cadastros!$L$6:$L$12,Cadastros!$N$6:$N$12)))</f>
        <v/>
      </c>
      <c r="U1769" s="168" t="str">
        <f t="shared" si="354"/>
        <v/>
      </c>
      <c r="V1769" s="168" t="str">
        <f>IFERROR(U1769/_xlfn.XLOOKUP(_xlfn.XLOOKUP($F1769,Clientes!$B$4:$B$39,Clientes!$C$4:$C$39),Cadastros!$L$6:$L$12,Cadastros!$M$6:$M$12)," ")</f>
        <v xml:space="preserve"> </v>
      </c>
      <c r="W1769" s="28"/>
      <c r="X1769" s="28"/>
      <c r="Y1769" s="255" t="str">
        <f>IF(W1769="","",(_xlfn.XLOOKUP(W1769,Cadastros!$D$6:$D$90,Cadastros!$E$6:$E$90))*(1-_xlfn.XLOOKUP(_xlfn.XLOOKUP($F1769,Clientes!$B$4:$B$39,Clientes!$C$4:$C$39),Cadastros!$L$6:$L$12,Cadastros!$N$6:$N$12)))</f>
        <v/>
      </c>
      <c r="Z1769" s="168" t="str">
        <f t="shared" si="355"/>
        <v/>
      </c>
      <c r="AA1769" s="168" t="str">
        <f>IFERROR(Z1769/_xlfn.XLOOKUP(_xlfn.XLOOKUP($F1769,Clientes!$B$4:$B$39,Clientes!$C$4:$C$39),Cadastros!$L$6:$L$12,Cadastros!$M$6:$M$12)," ")</f>
        <v xml:space="preserve"> </v>
      </c>
      <c r="AB1769" s="28"/>
      <c r="AC1769" s="28"/>
      <c r="AD1769" s="20" t="str">
        <f>IF(AB1769="","",IF($F1769="Bernardino Furlan",_xlfn.XLOOKUP(AB1769,Cadastros!$G$6:$G$90,Cadastros!$H$6:$H$90)*(1-0.18),IF($F1769="Mauro José Salanti",_xlfn.XLOOKUP(AB1769,Cadastros!$G$6:$G$90,Cadastros!$H$6:$H$90)*(1-0.18),_xlfn.XLOOKUP(AB1769,Cadastros!$G$6:$G$90,Cadastros!$H$6:$H$90))))</f>
        <v/>
      </c>
      <c r="AE1769" s="168" t="str">
        <f t="shared" si="356"/>
        <v/>
      </c>
      <c r="AF1769" s="168" t="str">
        <f t="shared" si="357"/>
        <v/>
      </c>
      <c r="AG1769" s="28"/>
      <c r="AH1769" s="28"/>
      <c r="AI1769" s="20" t="str">
        <f>IF(AG1769="","",IF($F1769="Bernardino Furlan",_xlfn.XLOOKUP(AG1769,Cadastros!$G$6:$G$90,Cadastros!$H$6:$H$90)*(1-0.18),IF($F1769="Mauro José Salanti",_xlfn.XLOOKUP(AG1769,Cadastros!$G$6:$G$90,Cadastros!$H$6:$H$90)*(1-0.18),_xlfn.XLOOKUP(AG1769,Cadastros!$G$6:$G$90,Cadastros!$H$6:$H$90))))</f>
        <v/>
      </c>
      <c r="AJ1769" s="168" t="str">
        <f t="shared" si="358"/>
        <v/>
      </c>
      <c r="AK1769" s="168" t="str">
        <f t="shared" si="359"/>
        <v/>
      </c>
      <c r="AL1769" s="28"/>
      <c r="AM1769" s="28"/>
      <c r="AN1769" s="20" t="str">
        <f>IF(AL1769="","",IF($F1769="Bernardino Furlan",_xlfn.XLOOKUP(AL1769,Cadastros!$G$6:$G$90,Cadastros!$H$6:$H$90)*(1-0.18),IF($F1769="Mauro José Salanti",_xlfn.XLOOKUP(AL1769,Cadastros!$G$6:$G$90,Cadastros!$H$6:$H$90)*(1-0.18),_xlfn.XLOOKUP(AL1769,Cadastros!$G$6:$G$90,Cadastros!$H$6:$H$90))))</f>
        <v/>
      </c>
      <c r="AO1769" s="168" t="str">
        <f t="shared" si="360"/>
        <v/>
      </c>
      <c r="AP1769" s="168" t="str">
        <f t="shared" si="361"/>
        <v/>
      </c>
      <c r="AQ1769" s="28"/>
      <c r="AR1769" s="28"/>
      <c r="AS1769" s="20" t="str">
        <f>IF(AQ1769="","",IF($F1769="Bernardino Furlan",_xlfn.XLOOKUP(AQ1769,Cadastros!$G$6:$G$90,Cadastros!$H$6:$H$90)*(1-0.18),IF($F1769="Mauro José Salanti",_xlfn.XLOOKUP(AQ1769,Cadastros!$G$6:$G$90,Cadastros!$H$6:$H$90)*(1-0.18),_xlfn.XLOOKUP(AQ1769,Cadastros!$G$6:$G$90,Cadastros!$H$6:$H$90))))</f>
        <v/>
      </c>
      <c r="AT1769" s="168" t="str">
        <f t="shared" si="362"/>
        <v/>
      </c>
      <c r="AU1769" s="168" t="str">
        <f t="shared" si="363"/>
        <v/>
      </c>
      <c r="AV1769" s="227"/>
      <c r="AW1769" s="30"/>
      <c r="AX1769" s="267"/>
      <c r="AY1769" s="267"/>
      <c r="AZ1769" s="29"/>
      <c r="BA1769" s="30"/>
      <c r="BB1769" s="23" t="str" cm="1">
        <f t="array" ref="BB1769">_xlfn.IFS(AW1769="SIM",SUM(K1769,P1769,U1769,Z1769,AE1769,AJ1769,AO1769,AT1769,AX1769,AY1769),F1769&lt;&gt;"",SUM(K1769,P1769,U1769,Z1769,AE1769,AJ1769,,AO1769,AT1769),F1769="","")</f>
        <v/>
      </c>
      <c r="BC1769" s="211" t="str" cm="1">
        <f t="array" ref="BC1769">_xlfn.IFS(E1769="","",G1769&lt;=E1769,BB1769*(1-0.03),G1769&lt;(E1769+8),BB1769,AZ1769="Boleto",BB1769*(1+0.001)^DATEDIF(E1769,G1769,"D"),AZ1769="Cheque",BB1769,AZ1769="Dinheiro","Alterar forma pgto")</f>
        <v/>
      </c>
      <c r="BD1769" s="276" t="str" cm="1">
        <f t="array" ref="BD1769">IF(F1769=0," ",IF(BC1769&lt;BB1769,(_xlfn.IFS(AW1769="SIM",SUM(L1769,Q1769,V1769,AA1769,AF1769,AK1769,AP1769,AU1769)+AX1769/_xlfn.XLOOKUP(_xlfn.XLOOKUP($F1769,Clientes!$B$4:$B$39,Clientes!$C$4:$C$39),Cadastros!$L$6:$L$12,Cadastros!$M$6:$M$12)+IF($F1769="Bernardino Furlan",AY1769/2751.92,IF($F1769="Mauro José Salanti",AY1769/2751.92,AY1769/3356)),F1769&lt;&gt;0,SUM(L1769,Q1769,V1769,AA1769,AF1769,AK1769,AP1769,AU1769)))*(1-0.03),_xlfn.IFS(AW1769="SIM",SUM(L1769,Q1769,V1769,AA1769,AF1769,AK1769,AP1769,AU1769)+AX1769/_xlfn.XLOOKUP(_xlfn.XLOOKUP($F1769,Clientes!$B$4:$B$39,Clientes!$C$4:$C$39),Cadastros!$L$6:$L$12,Cadastros!$M$6:$M$12)+IF($F1769="Bernardino Furlan",AY1769/2751.92,IF($F1769="Mauro José Salanti",AY1769/2751.92,AY1769/3356)),F1769&lt;&gt;0,SUM(L1769,Q1769,V1769,AA1769,AF1769,AK1769,AP1769,AU1769))))</f>
        <v xml:space="preserve"> </v>
      </c>
      <c r="BE1769" s="120"/>
      <c r="BF1769" s="120"/>
      <c r="BG1769" s="120"/>
    </row>
    <row r="1770" spans="1:59" s="3" customFormat="1" x14ac:dyDescent="0.3">
      <c r="A1770" s="15" t="str">
        <f t="shared" si="351"/>
        <v/>
      </c>
      <c r="B1770" s="25"/>
      <c r="C1770" s="26"/>
      <c r="D1770" s="279"/>
      <c r="E1770" s="27"/>
      <c r="F1770" s="28"/>
      <c r="G1770" s="27"/>
      <c r="H1770" s="28"/>
      <c r="I1770" s="28"/>
      <c r="J1770" s="255" t="str">
        <f>IF(H1770="","",(_xlfn.XLOOKUP(H1770,Cadastros!$D$6:$D$90,Cadastros!$E$6:$E$90))*(1-_xlfn.XLOOKUP(_xlfn.XLOOKUP($F1770,Clientes!$B$4:$B$39,Clientes!$C$4:$C$39),Cadastros!$L$6:$L$12,Cadastros!$N$6:$N$12)))</f>
        <v/>
      </c>
      <c r="K1770" s="168" t="str">
        <f t="shared" si="352"/>
        <v/>
      </c>
      <c r="L1770" s="168" t="str">
        <f>IFERROR(K1770/_xlfn.XLOOKUP(_xlfn.XLOOKUP($F1770,Clientes!$B$4:$B$39,Clientes!$C$4:$C$39),Cadastros!$L$6:$L$12,Cadastros!$M$6:$M$12)," ")</f>
        <v xml:space="preserve"> </v>
      </c>
      <c r="M1770" s="28"/>
      <c r="N1770" s="28"/>
      <c r="O1770" s="255" t="str">
        <f>IF(M1770="","",(_xlfn.XLOOKUP(M1770,Cadastros!$D$6:$D$90,Cadastros!$E$6:$E$90))*(1-_xlfn.XLOOKUP(_xlfn.XLOOKUP($F1770,Clientes!$B$4:$B$39,Clientes!$C$4:$C$39),Cadastros!$L$6:$L$12,Cadastros!$N$6:$N$12)))</f>
        <v/>
      </c>
      <c r="P1770" s="168" t="str">
        <f t="shared" si="353"/>
        <v/>
      </c>
      <c r="Q1770" s="168" t="str">
        <f>IFERROR(P1770/_xlfn.XLOOKUP(_xlfn.XLOOKUP($F1770,Clientes!$B$4:$B$39,Clientes!$C$4:$C$39),Cadastros!$L$6:$L$12,Cadastros!$M$6:$M$12)," ")</f>
        <v xml:space="preserve"> </v>
      </c>
      <c r="R1770" s="28"/>
      <c r="S1770" s="28"/>
      <c r="T1770" s="255" t="str">
        <f>IF(R1770="","",(_xlfn.XLOOKUP(R1770,Cadastros!$D$6:$D$90,Cadastros!$E$6:$E$90))*(1-_xlfn.XLOOKUP(_xlfn.XLOOKUP($F1770,Clientes!$B$4:$B$39,Clientes!$C$4:$C$39),Cadastros!$L$6:$L$12,Cadastros!$N$6:$N$12)))</f>
        <v/>
      </c>
      <c r="U1770" s="168" t="str">
        <f t="shared" si="354"/>
        <v/>
      </c>
      <c r="V1770" s="168" t="str">
        <f>IFERROR(U1770/_xlfn.XLOOKUP(_xlfn.XLOOKUP($F1770,Clientes!$B$4:$B$39,Clientes!$C$4:$C$39),Cadastros!$L$6:$L$12,Cadastros!$M$6:$M$12)," ")</f>
        <v xml:space="preserve"> </v>
      </c>
      <c r="W1770" s="28"/>
      <c r="X1770" s="28"/>
      <c r="Y1770" s="255" t="str">
        <f>IF(W1770="","",(_xlfn.XLOOKUP(W1770,Cadastros!$D$6:$D$90,Cadastros!$E$6:$E$90))*(1-_xlfn.XLOOKUP(_xlfn.XLOOKUP($F1770,Clientes!$B$4:$B$39,Clientes!$C$4:$C$39),Cadastros!$L$6:$L$12,Cadastros!$N$6:$N$12)))</f>
        <v/>
      </c>
      <c r="Z1770" s="168" t="str">
        <f t="shared" si="355"/>
        <v/>
      </c>
      <c r="AA1770" s="168" t="str">
        <f>IFERROR(Z1770/_xlfn.XLOOKUP(_xlfn.XLOOKUP($F1770,Clientes!$B$4:$B$39,Clientes!$C$4:$C$39),Cadastros!$L$6:$L$12,Cadastros!$M$6:$M$12)," ")</f>
        <v xml:space="preserve"> </v>
      </c>
      <c r="AB1770" s="28"/>
      <c r="AC1770" s="28"/>
      <c r="AD1770" s="20" t="str">
        <f>IF(AB1770="","",IF($F1770="Bernardino Furlan",_xlfn.XLOOKUP(AB1770,Cadastros!$G$6:$G$90,Cadastros!$H$6:$H$90)*(1-0.18),IF($F1770="Mauro José Salanti",_xlfn.XLOOKUP(AB1770,Cadastros!$G$6:$G$90,Cadastros!$H$6:$H$90)*(1-0.18),_xlfn.XLOOKUP(AB1770,Cadastros!$G$6:$G$90,Cadastros!$H$6:$H$90))))</f>
        <v/>
      </c>
      <c r="AE1770" s="168" t="str">
        <f t="shared" si="356"/>
        <v/>
      </c>
      <c r="AF1770" s="168" t="str">
        <f t="shared" si="357"/>
        <v/>
      </c>
      <c r="AG1770" s="28"/>
      <c r="AH1770" s="28"/>
      <c r="AI1770" s="20" t="str">
        <f>IF(AG1770="","",IF($F1770="Bernardino Furlan",_xlfn.XLOOKUP(AG1770,Cadastros!$G$6:$G$90,Cadastros!$H$6:$H$90)*(1-0.18),IF($F1770="Mauro José Salanti",_xlfn.XLOOKUP(AG1770,Cadastros!$G$6:$G$90,Cadastros!$H$6:$H$90)*(1-0.18),_xlfn.XLOOKUP(AG1770,Cadastros!$G$6:$G$90,Cadastros!$H$6:$H$90))))</f>
        <v/>
      </c>
      <c r="AJ1770" s="168" t="str">
        <f t="shared" si="358"/>
        <v/>
      </c>
      <c r="AK1770" s="168" t="str">
        <f t="shared" si="359"/>
        <v/>
      </c>
      <c r="AL1770" s="28"/>
      <c r="AM1770" s="28"/>
      <c r="AN1770" s="20" t="str">
        <f>IF(AL1770="","",IF($F1770="Bernardino Furlan",_xlfn.XLOOKUP(AL1770,Cadastros!$G$6:$G$90,Cadastros!$H$6:$H$90)*(1-0.18),IF($F1770="Mauro José Salanti",_xlfn.XLOOKUP(AL1770,Cadastros!$G$6:$G$90,Cadastros!$H$6:$H$90)*(1-0.18),_xlfn.XLOOKUP(AL1770,Cadastros!$G$6:$G$90,Cadastros!$H$6:$H$90))))</f>
        <v/>
      </c>
      <c r="AO1770" s="168" t="str">
        <f t="shared" si="360"/>
        <v/>
      </c>
      <c r="AP1770" s="168" t="str">
        <f t="shared" si="361"/>
        <v/>
      </c>
      <c r="AQ1770" s="28"/>
      <c r="AR1770" s="28"/>
      <c r="AS1770" s="20" t="str">
        <f>IF(AQ1770="","",IF($F1770="Bernardino Furlan",_xlfn.XLOOKUP(AQ1770,Cadastros!$G$6:$G$90,Cadastros!$H$6:$H$90)*(1-0.18),IF($F1770="Mauro José Salanti",_xlfn.XLOOKUP(AQ1770,Cadastros!$G$6:$G$90,Cadastros!$H$6:$H$90)*(1-0.18),_xlfn.XLOOKUP(AQ1770,Cadastros!$G$6:$G$90,Cadastros!$H$6:$H$90))))</f>
        <v/>
      </c>
      <c r="AT1770" s="168" t="str">
        <f t="shared" si="362"/>
        <v/>
      </c>
      <c r="AU1770" s="168" t="str">
        <f t="shared" si="363"/>
        <v/>
      </c>
      <c r="AV1770" s="227"/>
      <c r="AW1770" s="30"/>
      <c r="AX1770" s="267"/>
      <c r="AY1770" s="267"/>
      <c r="AZ1770" s="29"/>
      <c r="BA1770" s="30"/>
      <c r="BB1770" s="23" t="str" cm="1">
        <f t="array" ref="BB1770">_xlfn.IFS(AW1770="SIM",SUM(K1770,P1770,U1770,Z1770,AE1770,AJ1770,AO1770,AT1770,AX1770,AY1770),F1770&lt;&gt;"",SUM(K1770,P1770,U1770,Z1770,AE1770,AJ1770,,AO1770,AT1770),F1770="","")</f>
        <v/>
      </c>
      <c r="BC1770" s="211" t="str" cm="1">
        <f t="array" ref="BC1770">_xlfn.IFS(E1770="","",G1770&lt;=E1770,BB1770*(1-0.03),G1770&lt;(E1770+8),BB1770,AZ1770="Boleto",BB1770*(1+0.001)^DATEDIF(E1770,G1770,"D"),AZ1770="Cheque",BB1770,AZ1770="Dinheiro","Alterar forma pgto")</f>
        <v/>
      </c>
      <c r="BD1770" s="276" t="str" cm="1">
        <f t="array" ref="BD1770">IF(F1770=0," ",IF(BC1770&lt;BB1770,(_xlfn.IFS(AW1770="SIM",SUM(L1770,Q1770,V1770,AA1770,AF1770,AK1770,AP1770,AU1770)+AX1770/_xlfn.XLOOKUP(_xlfn.XLOOKUP($F1770,Clientes!$B$4:$B$39,Clientes!$C$4:$C$39),Cadastros!$L$6:$L$12,Cadastros!$M$6:$M$12)+IF($F1770="Bernardino Furlan",AY1770/2751.92,IF($F1770="Mauro José Salanti",AY1770/2751.92,AY1770/3356)),F1770&lt;&gt;0,SUM(L1770,Q1770,V1770,AA1770,AF1770,AK1770,AP1770,AU1770)))*(1-0.03),_xlfn.IFS(AW1770="SIM",SUM(L1770,Q1770,V1770,AA1770,AF1770,AK1770,AP1770,AU1770)+AX1770/_xlfn.XLOOKUP(_xlfn.XLOOKUP($F1770,Clientes!$B$4:$B$39,Clientes!$C$4:$C$39),Cadastros!$L$6:$L$12,Cadastros!$M$6:$M$12)+IF($F1770="Bernardino Furlan",AY1770/2751.92,IF($F1770="Mauro José Salanti",AY1770/2751.92,AY1770/3356)),F1770&lt;&gt;0,SUM(L1770,Q1770,V1770,AA1770,AF1770,AK1770,AP1770,AU1770))))</f>
        <v xml:space="preserve"> </v>
      </c>
      <c r="BE1770" s="120"/>
      <c r="BF1770" s="120"/>
      <c r="BG1770" s="120"/>
    </row>
    <row r="1771" spans="1:59" s="3" customFormat="1" x14ac:dyDescent="0.3">
      <c r="A1771" s="15" t="str">
        <f t="shared" si="351"/>
        <v/>
      </c>
      <c r="B1771" s="25"/>
      <c r="C1771" s="26"/>
      <c r="D1771" s="279"/>
      <c r="E1771" s="27"/>
      <c r="F1771" s="28"/>
      <c r="G1771" s="27"/>
      <c r="H1771" s="28"/>
      <c r="I1771" s="28"/>
      <c r="J1771" s="255" t="str">
        <f>IF(H1771="","",(_xlfn.XLOOKUP(H1771,Cadastros!$D$6:$D$90,Cadastros!$E$6:$E$90))*(1-_xlfn.XLOOKUP(_xlfn.XLOOKUP($F1771,Clientes!$B$4:$B$39,Clientes!$C$4:$C$39),Cadastros!$L$6:$L$12,Cadastros!$N$6:$N$12)))</f>
        <v/>
      </c>
      <c r="K1771" s="168" t="str">
        <f t="shared" si="352"/>
        <v/>
      </c>
      <c r="L1771" s="168" t="str">
        <f>IFERROR(K1771/_xlfn.XLOOKUP(_xlfn.XLOOKUP($F1771,Clientes!$B$4:$B$39,Clientes!$C$4:$C$39),Cadastros!$L$6:$L$12,Cadastros!$M$6:$M$12)," ")</f>
        <v xml:space="preserve"> </v>
      </c>
      <c r="M1771" s="28"/>
      <c r="N1771" s="28"/>
      <c r="O1771" s="255" t="str">
        <f>IF(M1771="","",(_xlfn.XLOOKUP(M1771,Cadastros!$D$6:$D$90,Cadastros!$E$6:$E$90))*(1-_xlfn.XLOOKUP(_xlfn.XLOOKUP($F1771,Clientes!$B$4:$B$39,Clientes!$C$4:$C$39),Cadastros!$L$6:$L$12,Cadastros!$N$6:$N$12)))</f>
        <v/>
      </c>
      <c r="P1771" s="168" t="str">
        <f t="shared" si="353"/>
        <v/>
      </c>
      <c r="Q1771" s="168" t="str">
        <f>IFERROR(P1771/_xlfn.XLOOKUP(_xlfn.XLOOKUP($F1771,Clientes!$B$4:$B$39,Clientes!$C$4:$C$39),Cadastros!$L$6:$L$12,Cadastros!$M$6:$M$12)," ")</f>
        <v xml:space="preserve"> </v>
      </c>
      <c r="R1771" s="28"/>
      <c r="S1771" s="28"/>
      <c r="T1771" s="255" t="str">
        <f>IF(R1771="","",(_xlfn.XLOOKUP(R1771,Cadastros!$D$6:$D$90,Cadastros!$E$6:$E$90))*(1-_xlfn.XLOOKUP(_xlfn.XLOOKUP($F1771,Clientes!$B$4:$B$39,Clientes!$C$4:$C$39),Cadastros!$L$6:$L$12,Cadastros!$N$6:$N$12)))</f>
        <v/>
      </c>
      <c r="U1771" s="168" t="str">
        <f t="shared" si="354"/>
        <v/>
      </c>
      <c r="V1771" s="168" t="str">
        <f>IFERROR(U1771/_xlfn.XLOOKUP(_xlfn.XLOOKUP($F1771,Clientes!$B$4:$B$39,Clientes!$C$4:$C$39),Cadastros!$L$6:$L$12,Cadastros!$M$6:$M$12)," ")</f>
        <v xml:space="preserve"> </v>
      </c>
      <c r="W1771" s="28"/>
      <c r="X1771" s="28"/>
      <c r="Y1771" s="255" t="str">
        <f>IF(W1771="","",(_xlfn.XLOOKUP(W1771,Cadastros!$D$6:$D$90,Cadastros!$E$6:$E$90))*(1-_xlfn.XLOOKUP(_xlfn.XLOOKUP($F1771,Clientes!$B$4:$B$39,Clientes!$C$4:$C$39),Cadastros!$L$6:$L$12,Cadastros!$N$6:$N$12)))</f>
        <v/>
      </c>
      <c r="Z1771" s="168" t="str">
        <f t="shared" si="355"/>
        <v/>
      </c>
      <c r="AA1771" s="168" t="str">
        <f>IFERROR(Z1771/_xlfn.XLOOKUP(_xlfn.XLOOKUP($F1771,Clientes!$B$4:$B$39,Clientes!$C$4:$C$39),Cadastros!$L$6:$L$12,Cadastros!$M$6:$M$12)," ")</f>
        <v xml:space="preserve"> </v>
      </c>
      <c r="AB1771" s="28"/>
      <c r="AC1771" s="28"/>
      <c r="AD1771" s="20" t="str">
        <f>IF(AB1771="","",IF($F1771="Bernardino Furlan",_xlfn.XLOOKUP(AB1771,Cadastros!$G$6:$G$90,Cadastros!$H$6:$H$90)*(1-0.18),IF($F1771="Mauro José Salanti",_xlfn.XLOOKUP(AB1771,Cadastros!$G$6:$G$90,Cadastros!$H$6:$H$90)*(1-0.18),_xlfn.XLOOKUP(AB1771,Cadastros!$G$6:$G$90,Cadastros!$H$6:$H$90))))</f>
        <v/>
      </c>
      <c r="AE1771" s="168" t="str">
        <f t="shared" si="356"/>
        <v/>
      </c>
      <c r="AF1771" s="168" t="str">
        <f t="shared" si="357"/>
        <v/>
      </c>
      <c r="AG1771" s="28"/>
      <c r="AH1771" s="28"/>
      <c r="AI1771" s="20" t="str">
        <f>IF(AG1771="","",IF($F1771="Bernardino Furlan",_xlfn.XLOOKUP(AG1771,Cadastros!$G$6:$G$90,Cadastros!$H$6:$H$90)*(1-0.18),IF($F1771="Mauro José Salanti",_xlfn.XLOOKUP(AG1771,Cadastros!$G$6:$G$90,Cadastros!$H$6:$H$90)*(1-0.18),_xlfn.XLOOKUP(AG1771,Cadastros!$G$6:$G$90,Cadastros!$H$6:$H$90))))</f>
        <v/>
      </c>
      <c r="AJ1771" s="168" t="str">
        <f t="shared" si="358"/>
        <v/>
      </c>
      <c r="AK1771" s="168" t="str">
        <f t="shared" si="359"/>
        <v/>
      </c>
      <c r="AL1771" s="28"/>
      <c r="AM1771" s="28"/>
      <c r="AN1771" s="20" t="str">
        <f>IF(AL1771="","",IF($F1771="Bernardino Furlan",_xlfn.XLOOKUP(AL1771,Cadastros!$G$6:$G$90,Cadastros!$H$6:$H$90)*(1-0.18),IF($F1771="Mauro José Salanti",_xlfn.XLOOKUP(AL1771,Cadastros!$G$6:$G$90,Cadastros!$H$6:$H$90)*(1-0.18),_xlfn.XLOOKUP(AL1771,Cadastros!$G$6:$G$90,Cadastros!$H$6:$H$90))))</f>
        <v/>
      </c>
      <c r="AO1771" s="168" t="str">
        <f t="shared" si="360"/>
        <v/>
      </c>
      <c r="AP1771" s="168" t="str">
        <f t="shared" si="361"/>
        <v/>
      </c>
      <c r="AQ1771" s="28"/>
      <c r="AR1771" s="28"/>
      <c r="AS1771" s="20" t="str">
        <f>IF(AQ1771="","",IF($F1771="Bernardino Furlan",_xlfn.XLOOKUP(AQ1771,Cadastros!$G$6:$G$90,Cadastros!$H$6:$H$90)*(1-0.18),IF($F1771="Mauro José Salanti",_xlfn.XLOOKUP(AQ1771,Cadastros!$G$6:$G$90,Cadastros!$H$6:$H$90)*(1-0.18),_xlfn.XLOOKUP(AQ1771,Cadastros!$G$6:$G$90,Cadastros!$H$6:$H$90))))</f>
        <v/>
      </c>
      <c r="AT1771" s="168" t="str">
        <f t="shared" si="362"/>
        <v/>
      </c>
      <c r="AU1771" s="168" t="str">
        <f t="shared" si="363"/>
        <v/>
      </c>
      <c r="AV1771" s="227"/>
      <c r="AW1771" s="30"/>
      <c r="AX1771" s="267"/>
      <c r="AY1771" s="267"/>
      <c r="AZ1771" s="29"/>
      <c r="BA1771" s="30"/>
      <c r="BB1771" s="23" t="str" cm="1">
        <f t="array" ref="BB1771">_xlfn.IFS(AW1771="SIM",SUM(K1771,P1771,U1771,Z1771,AE1771,AJ1771,AO1771,AT1771,AX1771,AY1771),F1771&lt;&gt;"",SUM(K1771,P1771,U1771,Z1771,AE1771,AJ1771,,AO1771,AT1771),F1771="","")</f>
        <v/>
      </c>
      <c r="BC1771" s="211" t="str" cm="1">
        <f t="array" ref="BC1771">_xlfn.IFS(E1771="","",G1771&lt;=E1771,BB1771*(1-0.03),G1771&lt;(E1771+8),BB1771,AZ1771="Boleto",BB1771*(1+0.001)^DATEDIF(E1771,G1771,"D"),AZ1771="Cheque",BB1771,AZ1771="Dinheiro","Alterar forma pgto")</f>
        <v/>
      </c>
      <c r="BD1771" s="276" t="str" cm="1">
        <f t="array" ref="BD1771">IF(F1771=0," ",IF(BC1771&lt;BB1771,(_xlfn.IFS(AW1771="SIM",SUM(L1771,Q1771,V1771,AA1771,AF1771,AK1771,AP1771,AU1771)+AX1771/_xlfn.XLOOKUP(_xlfn.XLOOKUP($F1771,Clientes!$B$4:$B$39,Clientes!$C$4:$C$39),Cadastros!$L$6:$L$12,Cadastros!$M$6:$M$12)+IF($F1771="Bernardino Furlan",AY1771/2751.92,IF($F1771="Mauro José Salanti",AY1771/2751.92,AY1771/3356)),F1771&lt;&gt;0,SUM(L1771,Q1771,V1771,AA1771,AF1771,AK1771,AP1771,AU1771)))*(1-0.03),_xlfn.IFS(AW1771="SIM",SUM(L1771,Q1771,V1771,AA1771,AF1771,AK1771,AP1771,AU1771)+AX1771/_xlfn.XLOOKUP(_xlfn.XLOOKUP($F1771,Clientes!$B$4:$B$39,Clientes!$C$4:$C$39),Cadastros!$L$6:$L$12,Cadastros!$M$6:$M$12)+IF($F1771="Bernardino Furlan",AY1771/2751.92,IF($F1771="Mauro José Salanti",AY1771/2751.92,AY1771/3356)),F1771&lt;&gt;0,SUM(L1771,Q1771,V1771,AA1771,AF1771,AK1771,AP1771,AU1771))))</f>
        <v xml:space="preserve"> </v>
      </c>
      <c r="BE1771" s="120"/>
      <c r="BF1771" s="120"/>
      <c r="BG1771" s="120"/>
    </row>
    <row r="1772" spans="1:59" s="3" customFormat="1" x14ac:dyDescent="0.3">
      <c r="A1772" s="15" t="str">
        <f t="shared" si="351"/>
        <v/>
      </c>
      <c r="B1772" s="25"/>
      <c r="C1772" s="26"/>
      <c r="D1772" s="279"/>
      <c r="E1772" s="27"/>
      <c r="F1772" s="28"/>
      <c r="G1772" s="27"/>
      <c r="H1772" s="28"/>
      <c r="I1772" s="28"/>
      <c r="J1772" s="255" t="str">
        <f>IF(H1772="","",(_xlfn.XLOOKUP(H1772,Cadastros!$D$6:$D$90,Cadastros!$E$6:$E$90))*(1-_xlfn.XLOOKUP(_xlfn.XLOOKUP($F1772,Clientes!$B$4:$B$39,Clientes!$C$4:$C$39),Cadastros!$L$6:$L$12,Cadastros!$N$6:$N$12)))</f>
        <v/>
      </c>
      <c r="K1772" s="168" t="str">
        <f t="shared" si="352"/>
        <v/>
      </c>
      <c r="L1772" s="168" t="str">
        <f>IFERROR(K1772/_xlfn.XLOOKUP(_xlfn.XLOOKUP($F1772,Clientes!$B$4:$B$39,Clientes!$C$4:$C$39),Cadastros!$L$6:$L$12,Cadastros!$M$6:$M$12)," ")</f>
        <v xml:space="preserve"> </v>
      </c>
      <c r="M1772" s="28"/>
      <c r="N1772" s="28"/>
      <c r="O1772" s="255" t="str">
        <f>IF(M1772="","",(_xlfn.XLOOKUP(M1772,Cadastros!$D$6:$D$90,Cadastros!$E$6:$E$90))*(1-_xlfn.XLOOKUP(_xlfn.XLOOKUP($F1772,Clientes!$B$4:$B$39,Clientes!$C$4:$C$39),Cadastros!$L$6:$L$12,Cadastros!$N$6:$N$12)))</f>
        <v/>
      </c>
      <c r="P1772" s="168" t="str">
        <f t="shared" si="353"/>
        <v/>
      </c>
      <c r="Q1772" s="168" t="str">
        <f>IFERROR(P1772/_xlfn.XLOOKUP(_xlfn.XLOOKUP($F1772,Clientes!$B$4:$B$39,Clientes!$C$4:$C$39),Cadastros!$L$6:$L$12,Cadastros!$M$6:$M$12)," ")</f>
        <v xml:space="preserve"> </v>
      </c>
      <c r="R1772" s="28"/>
      <c r="S1772" s="28"/>
      <c r="T1772" s="255" t="str">
        <f>IF(R1772="","",(_xlfn.XLOOKUP(R1772,Cadastros!$D$6:$D$90,Cadastros!$E$6:$E$90))*(1-_xlfn.XLOOKUP(_xlfn.XLOOKUP($F1772,Clientes!$B$4:$B$39,Clientes!$C$4:$C$39),Cadastros!$L$6:$L$12,Cadastros!$N$6:$N$12)))</f>
        <v/>
      </c>
      <c r="U1772" s="168" t="str">
        <f t="shared" si="354"/>
        <v/>
      </c>
      <c r="V1772" s="168" t="str">
        <f>IFERROR(U1772/_xlfn.XLOOKUP(_xlfn.XLOOKUP($F1772,Clientes!$B$4:$B$39,Clientes!$C$4:$C$39),Cadastros!$L$6:$L$12,Cadastros!$M$6:$M$12)," ")</f>
        <v xml:space="preserve"> </v>
      </c>
      <c r="W1772" s="28"/>
      <c r="X1772" s="28"/>
      <c r="Y1772" s="255" t="str">
        <f>IF(W1772="","",(_xlfn.XLOOKUP(W1772,Cadastros!$D$6:$D$90,Cadastros!$E$6:$E$90))*(1-_xlfn.XLOOKUP(_xlfn.XLOOKUP($F1772,Clientes!$B$4:$B$39,Clientes!$C$4:$C$39),Cadastros!$L$6:$L$12,Cadastros!$N$6:$N$12)))</f>
        <v/>
      </c>
      <c r="Z1772" s="168" t="str">
        <f t="shared" si="355"/>
        <v/>
      </c>
      <c r="AA1772" s="168" t="str">
        <f>IFERROR(Z1772/_xlfn.XLOOKUP(_xlfn.XLOOKUP($F1772,Clientes!$B$4:$B$39,Clientes!$C$4:$C$39),Cadastros!$L$6:$L$12,Cadastros!$M$6:$M$12)," ")</f>
        <v xml:space="preserve"> </v>
      </c>
      <c r="AB1772" s="28"/>
      <c r="AC1772" s="28"/>
      <c r="AD1772" s="20" t="str">
        <f>IF(AB1772="","",IF($F1772="Bernardino Furlan",_xlfn.XLOOKUP(AB1772,Cadastros!$G$6:$G$90,Cadastros!$H$6:$H$90)*(1-0.18),IF($F1772="Mauro José Salanti",_xlfn.XLOOKUP(AB1772,Cadastros!$G$6:$G$90,Cadastros!$H$6:$H$90)*(1-0.18),_xlfn.XLOOKUP(AB1772,Cadastros!$G$6:$G$90,Cadastros!$H$6:$H$90))))</f>
        <v/>
      </c>
      <c r="AE1772" s="168" t="str">
        <f t="shared" si="356"/>
        <v/>
      </c>
      <c r="AF1772" s="168" t="str">
        <f t="shared" si="357"/>
        <v/>
      </c>
      <c r="AG1772" s="28"/>
      <c r="AH1772" s="28"/>
      <c r="AI1772" s="20" t="str">
        <f>IF(AG1772="","",IF($F1772="Bernardino Furlan",_xlfn.XLOOKUP(AG1772,Cadastros!$G$6:$G$90,Cadastros!$H$6:$H$90)*(1-0.18),IF($F1772="Mauro José Salanti",_xlfn.XLOOKUP(AG1772,Cadastros!$G$6:$G$90,Cadastros!$H$6:$H$90)*(1-0.18),_xlfn.XLOOKUP(AG1772,Cadastros!$G$6:$G$90,Cadastros!$H$6:$H$90))))</f>
        <v/>
      </c>
      <c r="AJ1772" s="168" t="str">
        <f t="shared" si="358"/>
        <v/>
      </c>
      <c r="AK1772" s="168" t="str">
        <f t="shared" si="359"/>
        <v/>
      </c>
      <c r="AL1772" s="28"/>
      <c r="AM1772" s="28"/>
      <c r="AN1772" s="20" t="str">
        <f>IF(AL1772="","",IF($F1772="Bernardino Furlan",_xlfn.XLOOKUP(AL1772,Cadastros!$G$6:$G$90,Cadastros!$H$6:$H$90)*(1-0.18),IF($F1772="Mauro José Salanti",_xlfn.XLOOKUP(AL1772,Cadastros!$G$6:$G$90,Cadastros!$H$6:$H$90)*(1-0.18),_xlfn.XLOOKUP(AL1772,Cadastros!$G$6:$G$90,Cadastros!$H$6:$H$90))))</f>
        <v/>
      </c>
      <c r="AO1772" s="168" t="str">
        <f t="shared" si="360"/>
        <v/>
      </c>
      <c r="AP1772" s="168" t="str">
        <f t="shared" si="361"/>
        <v/>
      </c>
      <c r="AQ1772" s="28"/>
      <c r="AR1772" s="28"/>
      <c r="AS1772" s="20" t="str">
        <f>IF(AQ1772="","",IF($F1772="Bernardino Furlan",_xlfn.XLOOKUP(AQ1772,Cadastros!$G$6:$G$90,Cadastros!$H$6:$H$90)*(1-0.18),IF($F1772="Mauro José Salanti",_xlfn.XLOOKUP(AQ1772,Cadastros!$G$6:$G$90,Cadastros!$H$6:$H$90)*(1-0.18),_xlfn.XLOOKUP(AQ1772,Cadastros!$G$6:$G$90,Cadastros!$H$6:$H$90))))</f>
        <v/>
      </c>
      <c r="AT1772" s="168" t="str">
        <f t="shared" si="362"/>
        <v/>
      </c>
      <c r="AU1772" s="168" t="str">
        <f t="shared" si="363"/>
        <v/>
      </c>
      <c r="AV1772" s="227"/>
      <c r="AW1772" s="30"/>
      <c r="AX1772" s="267"/>
      <c r="AY1772" s="267"/>
      <c r="AZ1772" s="29"/>
      <c r="BA1772" s="30"/>
      <c r="BB1772" s="23" t="str" cm="1">
        <f t="array" ref="BB1772">_xlfn.IFS(AW1772="SIM",SUM(K1772,P1772,U1772,Z1772,AE1772,AJ1772,AO1772,AT1772,AX1772,AY1772),F1772&lt;&gt;"",SUM(K1772,P1772,U1772,Z1772,AE1772,AJ1772,,AO1772,AT1772),F1772="","")</f>
        <v/>
      </c>
      <c r="BC1772" s="211" t="str" cm="1">
        <f t="array" ref="BC1772">_xlfn.IFS(E1772="","",G1772&lt;=E1772,BB1772*(1-0.03),G1772&lt;(E1772+8),BB1772,AZ1772="Boleto",BB1772*(1+0.001)^DATEDIF(E1772,G1772,"D"),AZ1772="Cheque",BB1772,AZ1772="Dinheiro","Alterar forma pgto")</f>
        <v/>
      </c>
      <c r="BD1772" s="276" t="str" cm="1">
        <f t="array" ref="BD1772">IF(F1772=0," ",IF(BC1772&lt;BB1772,(_xlfn.IFS(AW1772="SIM",SUM(L1772,Q1772,V1772,AA1772,AF1772,AK1772,AP1772,AU1772)+AX1772/_xlfn.XLOOKUP(_xlfn.XLOOKUP($F1772,Clientes!$B$4:$B$39,Clientes!$C$4:$C$39),Cadastros!$L$6:$L$12,Cadastros!$M$6:$M$12)+IF($F1772="Bernardino Furlan",AY1772/2751.92,IF($F1772="Mauro José Salanti",AY1772/2751.92,AY1772/3356)),F1772&lt;&gt;0,SUM(L1772,Q1772,V1772,AA1772,AF1772,AK1772,AP1772,AU1772)))*(1-0.03),_xlfn.IFS(AW1772="SIM",SUM(L1772,Q1772,V1772,AA1772,AF1772,AK1772,AP1772,AU1772)+AX1772/_xlfn.XLOOKUP(_xlfn.XLOOKUP($F1772,Clientes!$B$4:$B$39,Clientes!$C$4:$C$39),Cadastros!$L$6:$L$12,Cadastros!$M$6:$M$12)+IF($F1772="Bernardino Furlan",AY1772/2751.92,IF($F1772="Mauro José Salanti",AY1772/2751.92,AY1772/3356)),F1772&lt;&gt;0,SUM(L1772,Q1772,V1772,AA1772,AF1772,AK1772,AP1772,AU1772))))</f>
        <v xml:space="preserve"> </v>
      </c>
      <c r="BE1772" s="120"/>
      <c r="BF1772" s="120"/>
      <c r="BG1772" s="120"/>
    </row>
    <row r="1773" spans="1:59" s="3" customFormat="1" x14ac:dyDescent="0.3">
      <c r="A1773" s="15" t="str">
        <f t="shared" si="351"/>
        <v/>
      </c>
      <c r="B1773" s="25"/>
      <c r="C1773" s="26"/>
      <c r="D1773" s="279"/>
      <c r="E1773" s="27"/>
      <c r="F1773" s="28"/>
      <c r="G1773" s="27"/>
      <c r="H1773" s="28"/>
      <c r="I1773" s="28"/>
      <c r="J1773" s="255" t="str">
        <f>IF(H1773="","",(_xlfn.XLOOKUP(H1773,Cadastros!$D$6:$D$90,Cadastros!$E$6:$E$90))*(1-_xlfn.XLOOKUP(_xlfn.XLOOKUP($F1773,Clientes!$B$4:$B$39,Clientes!$C$4:$C$39),Cadastros!$L$6:$L$12,Cadastros!$N$6:$N$12)))</f>
        <v/>
      </c>
      <c r="K1773" s="168" t="str">
        <f t="shared" si="352"/>
        <v/>
      </c>
      <c r="L1773" s="168" t="str">
        <f>IFERROR(K1773/_xlfn.XLOOKUP(_xlfn.XLOOKUP($F1773,Clientes!$B$4:$B$39,Clientes!$C$4:$C$39),Cadastros!$L$6:$L$12,Cadastros!$M$6:$M$12)," ")</f>
        <v xml:space="preserve"> </v>
      </c>
      <c r="M1773" s="28"/>
      <c r="N1773" s="28"/>
      <c r="O1773" s="255" t="str">
        <f>IF(M1773="","",(_xlfn.XLOOKUP(M1773,Cadastros!$D$6:$D$90,Cadastros!$E$6:$E$90))*(1-_xlfn.XLOOKUP(_xlfn.XLOOKUP($F1773,Clientes!$B$4:$B$39,Clientes!$C$4:$C$39),Cadastros!$L$6:$L$12,Cadastros!$N$6:$N$12)))</f>
        <v/>
      </c>
      <c r="P1773" s="168" t="str">
        <f t="shared" si="353"/>
        <v/>
      </c>
      <c r="Q1773" s="168" t="str">
        <f>IFERROR(P1773/_xlfn.XLOOKUP(_xlfn.XLOOKUP($F1773,Clientes!$B$4:$B$39,Clientes!$C$4:$C$39),Cadastros!$L$6:$L$12,Cadastros!$M$6:$M$12)," ")</f>
        <v xml:space="preserve"> </v>
      </c>
      <c r="R1773" s="28"/>
      <c r="S1773" s="28"/>
      <c r="T1773" s="255" t="str">
        <f>IF(R1773="","",(_xlfn.XLOOKUP(R1773,Cadastros!$D$6:$D$90,Cadastros!$E$6:$E$90))*(1-_xlfn.XLOOKUP(_xlfn.XLOOKUP($F1773,Clientes!$B$4:$B$39,Clientes!$C$4:$C$39),Cadastros!$L$6:$L$12,Cadastros!$N$6:$N$12)))</f>
        <v/>
      </c>
      <c r="U1773" s="168" t="str">
        <f t="shared" si="354"/>
        <v/>
      </c>
      <c r="V1773" s="168" t="str">
        <f>IFERROR(U1773/_xlfn.XLOOKUP(_xlfn.XLOOKUP($F1773,Clientes!$B$4:$B$39,Clientes!$C$4:$C$39),Cadastros!$L$6:$L$12,Cadastros!$M$6:$M$12)," ")</f>
        <v xml:space="preserve"> </v>
      </c>
      <c r="W1773" s="28"/>
      <c r="X1773" s="28"/>
      <c r="Y1773" s="255" t="str">
        <f>IF(W1773="","",(_xlfn.XLOOKUP(W1773,Cadastros!$D$6:$D$90,Cadastros!$E$6:$E$90))*(1-_xlfn.XLOOKUP(_xlfn.XLOOKUP($F1773,Clientes!$B$4:$B$39,Clientes!$C$4:$C$39),Cadastros!$L$6:$L$12,Cadastros!$N$6:$N$12)))</f>
        <v/>
      </c>
      <c r="Z1773" s="168" t="str">
        <f t="shared" si="355"/>
        <v/>
      </c>
      <c r="AA1773" s="168" t="str">
        <f>IFERROR(Z1773/_xlfn.XLOOKUP(_xlfn.XLOOKUP($F1773,Clientes!$B$4:$B$39,Clientes!$C$4:$C$39),Cadastros!$L$6:$L$12,Cadastros!$M$6:$M$12)," ")</f>
        <v xml:space="preserve"> </v>
      </c>
      <c r="AB1773" s="28"/>
      <c r="AC1773" s="28"/>
      <c r="AD1773" s="20" t="str">
        <f>IF(AB1773="","",IF($F1773="Bernardino Furlan",_xlfn.XLOOKUP(AB1773,Cadastros!$G$6:$G$90,Cadastros!$H$6:$H$90)*(1-0.18),IF($F1773="Mauro José Salanti",_xlfn.XLOOKUP(AB1773,Cadastros!$G$6:$G$90,Cadastros!$H$6:$H$90)*(1-0.18),_xlfn.XLOOKUP(AB1773,Cadastros!$G$6:$G$90,Cadastros!$H$6:$H$90))))</f>
        <v/>
      </c>
      <c r="AE1773" s="168" t="str">
        <f t="shared" si="356"/>
        <v/>
      </c>
      <c r="AF1773" s="168" t="str">
        <f t="shared" si="357"/>
        <v/>
      </c>
      <c r="AG1773" s="28"/>
      <c r="AH1773" s="28"/>
      <c r="AI1773" s="20" t="str">
        <f>IF(AG1773="","",IF($F1773="Bernardino Furlan",_xlfn.XLOOKUP(AG1773,Cadastros!$G$6:$G$90,Cadastros!$H$6:$H$90)*(1-0.18),IF($F1773="Mauro José Salanti",_xlfn.XLOOKUP(AG1773,Cadastros!$G$6:$G$90,Cadastros!$H$6:$H$90)*(1-0.18),_xlfn.XLOOKUP(AG1773,Cadastros!$G$6:$G$90,Cadastros!$H$6:$H$90))))</f>
        <v/>
      </c>
      <c r="AJ1773" s="168" t="str">
        <f t="shared" si="358"/>
        <v/>
      </c>
      <c r="AK1773" s="168" t="str">
        <f t="shared" si="359"/>
        <v/>
      </c>
      <c r="AL1773" s="28"/>
      <c r="AM1773" s="28"/>
      <c r="AN1773" s="20" t="str">
        <f>IF(AL1773="","",IF($F1773="Bernardino Furlan",_xlfn.XLOOKUP(AL1773,Cadastros!$G$6:$G$90,Cadastros!$H$6:$H$90)*(1-0.18),IF($F1773="Mauro José Salanti",_xlfn.XLOOKUP(AL1773,Cadastros!$G$6:$G$90,Cadastros!$H$6:$H$90)*(1-0.18),_xlfn.XLOOKUP(AL1773,Cadastros!$G$6:$G$90,Cadastros!$H$6:$H$90))))</f>
        <v/>
      </c>
      <c r="AO1773" s="168" t="str">
        <f t="shared" si="360"/>
        <v/>
      </c>
      <c r="AP1773" s="168" t="str">
        <f t="shared" si="361"/>
        <v/>
      </c>
      <c r="AQ1773" s="28"/>
      <c r="AR1773" s="28"/>
      <c r="AS1773" s="20" t="str">
        <f>IF(AQ1773="","",IF($F1773="Bernardino Furlan",_xlfn.XLOOKUP(AQ1773,Cadastros!$G$6:$G$90,Cadastros!$H$6:$H$90)*(1-0.18),IF($F1773="Mauro José Salanti",_xlfn.XLOOKUP(AQ1773,Cadastros!$G$6:$G$90,Cadastros!$H$6:$H$90)*(1-0.18),_xlfn.XLOOKUP(AQ1773,Cadastros!$G$6:$G$90,Cadastros!$H$6:$H$90))))</f>
        <v/>
      </c>
      <c r="AT1773" s="168" t="str">
        <f t="shared" si="362"/>
        <v/>
      </c>
      <c r="AU1773" s="168" t="str">
        <f t="shared" si="363"/>
        <v/>
      </c>
      <c r="AV1773" s="227"/>
      <c r="AW1773" s="30"/>
      <c r="AX1773" s="267"/>
      <c r="AY1773" s="267"/>
      <c r="AZ1773" s="29"/>
      <c r="BA1773" s="30"/>
      <c r="BB1773" s="23" t="str" cm="1">
        <f t="array" ref="BB1773">_xlfn.IFS(AW1773="SIM",SUM(K1773,P1773,U1773,Z1773,AE1773,AJ1773,AO1773,AT1773,AX1773,AY1773),F1773&lt;&gt;"",SUM(K1773,P1773,U1773,Z1773,AE1773,AJ1773,,AO1773,AT1773),F1773="","")</f>
        <v/>
      </c>
      <c r="BC1773" s="211" t="str" cm="1">
        <f t="array" ref="BC1773">_xlfn.IFS(E1773="","",G1773&lt;=E1773,BB1773*(1-0.03),G1773&lt;(E1773+8),BB1773,AZ1773="Boleto",BB1773*(1+0.001)^DATEDIF(E1773,G1773,"D"),AZ1773="Cheque",BB1773,AZ1773="Dinheiro","Alterar forma pgto")</f>
        <v/>
      </c>
      <c r="BD1773" s="276" t="str" cm="1">
        <f t="array" ref="BD1773">IF(F1773=0," ",IF(BC1773&lt;BB1773,(_xlfn.IFS(AW1773="SIM",SUM(L1773,Q1773,V1773,AA1773,AF1773,AK1773,AP1773,AU1773)+AX1773/_xlfn.XLOOKUP(_xlfn.XLOOKUP($F1773,Clientes!$B$4:$B$39,Clientes!$C$4:$C$39),Cadastros!$L$6:$L$12,Cadastros!$M$6:$M$12)+IF($F1773="Bernardino Furlan",AY1773/2751.92,IF($F1773="Mauro José Salanti",AY1773/2751.92,AY1773/3356)),F1773&lt;&gt;0,SUM(L1773,Q1773,V1773,AA1773,AF1773,AK1773,AP1773,AU1773)))*(1-0.03),_xlfn.IFS(AW1773="SIM",SUM(L1773,Q1773,V1773,AA1773,AF1773,AK1773,AP1773,AU1773)+AX1773/_xlfn.XLOOKUP(_xlfn.XLOOKUP($F1773,Clientes!$B$4:$B$39,Clientes!$C$4:$C$39),Cadastros!$L$6:$L$12,Cadastros!$M$6:$M$12)+IF($F1773="Bernardino Furlan",AY1773/2751.92,IF($F1773="Mauro José Salanti",AY1773/2751.92,AY1773/3356)),F1773&lt;&gt;0,SUM(L1773,Q1773,V1773,AA1773,AF1773,AK1773,AP1773,AU1773))))</f>
        <v xml:space="preserve"> </v>
      </c>
      <c r="BE1773" s="120"/>
      <c r="BF1773" s="120"/>
      <c r="BG1773" s="120"/>
    </row>
    <row r="1774" spans="1:59" s="3" customFormat="1" x14ac:dyDescent="0.3">
      <c r="A1774" s="15" t="str">
        <f t="shared" si="351"/>
        <v/>
      </c>
      <c r="B1774" s="25"/>
      <c r="C1774" s="26"/>
      <c r="D1774" s="279"/>
      <c r="E1774" s="27"/>
      <c r="F1774" s="28"/>
      <c r="G1774" s="27"/>
      <c r="H1774" s="28"/>
      <c r="I1774" s="28"/>
      <c r="J1774" s="255" t="str">
        <f>IF(H1774="","",(_xlfn.XLOOKUP(H1774,Cadastros!$D$6:$D$90,Cadastros!$E$6:$E$90))*(1-_xlfn.XLOOKUP(_xlfn.XLOOKUP($F1774,Clientes!$B$4:$B$39,Clientes!$C$4:$C$39),Cadastros!$L$6:$L$12,Cadastros!$N$6:$N$12)))</f>
        <v/>
      </c>
      <c r="K1774" s="168" t="str">
        <f t="shared" si="352"/>
        <v/>
      </c>
      <c r="L1774" s="168" t="str">
        <f>IFERROR(K1774/_xlfn.XLOOKUP(_xlfn.XLOOKUP($F1774,Clientes!$B$4:$B$39,Clientes!$C$4:$C$39),Cadastros!$L$6:$L$12,Cadastros!$M$6:$M$12)," ")</f>
        <v xml:space="preserve"> </v>
      </c>
      <c r="M1774" s="28"/>
      <c r="N1774" s="28"/>
      <c r="O1774" s="255" t="str">
        <f>IF(M1774="","",(_xlfn.XLOOKUP(M1774,Cadastros!$D$6:$D$90,Cadastros!$E$6:$E$90))*(1-_xlfn.XLOOKUP(_xlfn.XLOOKUP($F1774,Clientes!$B$4:$B$39,Clientes!$C$4:$C$39),Cadastros!$L$6:$L$12,Cadastros!$N$6:$N$12)))</f>
        <v/>
      </c>
      <c r="P1774" s="168" t="str">
        <f t="shared" si="353"/>
        <v/>
      </c>
      <c r="Q1774" s="168" t="str">
        <f>IFERROR(P1774/_xlfn.XLOOKUP(_xlfn.XLOOKUP($F1774,Clientes!$B$4:$B$39,Clientes!$C$4:$C$39),Cadastros!$L$6:$L$12,Cadastros!$M$6:$M$12)," ")</f>
        <v xml:space="preserve"> </v>
      </c>
      <c r="R1774" s="28"/>
      <c r="S1774" s="28"/>
      <c r="T1774" s="255" t="str">
        <f>IF(R1774="","",(_xlfn.XLOOKUP(R1774,Cadastros!$D$6:$D$90,Cadastros!$E$6:$E$90))*(1-_xlfn.XLOOKUP(_xlfn.XLOOKUP($F1774,Clientes!$B$4:$B$39,Clientes!$C$4:$C$39),Cadastros!$L$6:$L$12,Cadastros!$N$6:$N$12)))</f>
        <v/>
      </c>
      <c r="U1774" s="168" t="str">
        <f t="shared" si="354"/>
        <v/>
      </c>
      <c r="V1774" s="168" t="str">
        <f>IFERROR(U1774/_xlfn.XLOOKUP(_xlfn.XLOOKUP($F1774,Clientes!$B$4:$B$39,Clientes!$C$4:$C$39),Cadastros!$L$6:$L$12,Cadastros!$M$6:$M$12)," ")</f>
        <v xml:space="preserve"> </v>
      </c>
      <c r="W1774" s="28"/>
      <c r="X1774" s="28"/>
      <c r="Y1774" s="255" t="str">
        <f>IF(W1774="","",(_xlfn.XLOOKUP(W1774,Cadastros!$D$6:$D$90,Cadastros!$E$6:$E$90))*(1-_xlfn.XLOOKUP(_xlfn.XLOOKUP($F1774,Clientes!$B$4:$B$39,Clientes!$C$4:$C$39),Cadastros!$L$6:$L$12,Cadastros!$N$6:$N$12)))</f>
        <v/>
      </c>
      <c r="Z1774" s="168" t="str">
        <f t="shared" si="355"/>
        <v/>
      </c>
      <c r="AA1774" s="168" t="str">
        <f>IFERROR(Z1774/_xlfn.XLOOKUP(_xlfn.XLOOKUP($F1774,Clientes!$B$4:$B$39,Clientes!$C$4:$C$39),Cadastros!$L$6:$L$12,Cadastros!$M$6:$M$12)," ")</f>
        <v xml:space="preserve"> </v>
      </c>
      <c r="AB1774" s="28"/>
      <c r="AC1774" s="28"/>
      <c r="AD1774" s="20" t="str">
        <f>IF(AB1774="","",IF($F1774="Bernardino Furlan",_xlfn.XLOOKUP(AB1774,Cadastros!$G$6:$G$90,Cadastros!$H$6:$H$90)*(1-0.18),IF($F1774="Mauro José Salanti",_xlfn.XLOOKUP(AB1774,Cadastros!$G$6:$G$90,Cadastros!$H$6:$H$90)*(1-0.18),_xlfn.XLOOKUP(AB1774,Cadastros!$G$6:$G$90,Cadastros!$H$6:$H$90))))</f>
        <v/>
      </c>
      <c r="AE1774" s="168" t="str">
        <f t="shared" si="356"/>
        <v/>
      </c>
      <c r="AF1774" s="168" t="str">
        <f t="shared" si="357"/>
        <v/>
      </c>
      <c r="AG1774" s="28"/>
      <c r="AH1774" s="28"/>
      <c r="AI1774" s="20" t="str">
        <f>IF(AG1774="","",IF($F1774="Bernardino Furlan",_xlfn.XLOOKUP(AG1774,Cadastros!$G$6:$G$90,Cadastros!$H$6:$H$90)*(1-0.18),IF($F1774="Mauro José Salanti",_xlfn.XLOOKUP(AG1774,Cadastros!$G$6:$G$90,Cadastros!$H$6:$H$90)*(1-0.18),_xlfn.XLOOKUP(AG1774,Cadastros!$G$6:$G$90,Cadastros!$H$6:$H$90))))</f>
        <v/>
      </c>
      <c r="AJ1774" s="168" t="str">
        <f t="shared" si="358"/>
        <v/>
      </c>
      <c r="AK1774" s="168" t="str">
        <f t="shared" si="359"/>
        <v/>
      </c>
      <c r="AL1774" s="28"/>
      <c r="AM1774" s="28"/>
      <c r="AN1774" s="20" t="str">
        <f>IF(AL1774="","",IF($F1774="Bernardino Furlan",_xlfn.XLOOKUP(AL1774,Cadastros!$G$6:$G$90,Cadastros!$H$6:$H$90)*(1-0.18),IF($F1774="Mauro José Salanti",_xlfn.XLOOKUP(AL1774,Cadastros!$G$6:$G$90,Cadastros!$H$6:$H$90)*(1-0.18),_xlfn.XLOOKUP(AL1774,Cadastros!$G$6:$G$90,Cadastros!$H$6:$H$90))))</f>
        <v/>
      </c>
      <c r="AO1774" s="168" t="str">
        <f t="shared" si="360"/>
        <v/>
      </c>
      <c r="AP1774" s="168" t="str">
        <f t="shared" si="361"/>
        <v/>
      </c>
      <c r="AQ1774" s="28"/>
      <c r="AR1774" s="28"/>
      <c r="AS1774" s="20" t="str">
        <f>IF(AQ1774="","",IF($F1774="Bernardino Furlan",_xlfn.XLOOKUP(AQ1774,Cadastros!$G$6:$G$90,Cadastros!$H$6:$H$90)*(1-0.18),IF($F1774="Mauro José Salanti",_xlfn.XLOOKUP(AQ1774,Cadastros!$G$6:$G$90,Cadastros!$H$6:$H$90)*(1-0.18),_xlfn.XLOOKUP(AQ1774,Cadastros!$G$6:$G$90,Cadastros!$H$6:$H$90))))</f>
        <v/>
      </c>
      <c r="AT1774" s="168" t="str">
        <f t="shared" si="362"/>
        <v/>
      </c>
      <c r="AU1774" s="168" t="str">
        <f t="shared" si="363"/>
        <v/>
      </c>
      <c r="AV1774" s="227"/>
      <c r="AW1774" s="30"/>
      <c r="AX1774" s="267"/>
      <c r="AY1774" s="267"/>
      <c r="AZ1774" s="29"/>
      <c r="BA1774" s="30"/>
      <c r="BB1774" s="23" t="str" cm="1">
        <f t="array" ref="BB1774">_xlfn.IFS(AW1774="SIM",SUM(K1774,P1774,U1774,Z1774,AE1774,AJ1774,AO1774,AT1774,AX1774,AY1774),F1774&lt;&gt;"",SUM(K1774,P1774,U1774,Z1774,AE1774,AJ1774,,AO1774,AT1774),F1774="","")</f>
        <v/>
      </c>
      <c r="BC1774" s="211" t="str" cm="1">
        <f t="array" ref="BC1774">_xlfn.IFS(E1774="","",G1774&lt;=E1774,BB1774*(1-0.03),G1774&lt;(E1774+8),BB1774,AZ1774="Boleto",BB1774*(1+0.001)^DATEDIF(E1774,G1774,"D"),AZ1774="Cheque",BB1774,AZ1774="Dinheiro","Alterar forma pgto")</f>
        <v/>
      </c>
      <c r="BD1774" s="276" t="str" cm="1">
        <f t="array" ref="BD1774">IF(F1774=0," ",IF(BC1774&lt;BB1774,(_xlfn.IFS(AW1774="SIM",SUM(L1774,Q1774,V1774,AA1774,AF1774,AK1774,AP1774,AU1774)+AX1774/_xlfn.XLOOKUP(_xlfn.XLOOKUP($F1774,Clientes!$B$4:$B$39,Clientes!$C$4:$C$39),Cadastros!$L$6:$L$12,Cadastros!$M$6:$M$12)+IF($F1774="Bernardino Furlan",AY1774/2751.92,IF($F1774="Mauro José Salanti",AY1774/2751.92,AY1774/3356)),F1774&lt;&gt;0,SUM(L1774,Q1774,V1774,AA1774,AF1774,AK1774,AP1774,AU1774)))*(1-0.03),_xlfn.IFS(AW1774="SIM",SUM(L1774,Q1774,V1774,AA1774,AF1774,AK1774,AP1774,AU1774)+AX1774/_xlfn.XLOOKUP(_xlfn.XLOOKUP($F1774,Clientes!$B$4:$B$39,Clientes!$C$4:$C$39),Cadastros!$L$6:$L$12,Cadastros!$M$6:$M$12)+IF($F1774="Bernardino Furlan",AY1774/2751.92,IF($F1774="Mauro José Salanti",AY1774/2751.92,AY1774/3356)),F1774&lt;&gt;0,SUM(L1774,Q1774,V1774,AA1774,AF1774,AK1774,AP1774,AU1774))))</f>
        <v xml:space="preserve"> </v>
      </c>
      <c r="BE1774" s="120"/>
      <c r="BF1774" s="120"/>
      <c r="BG1774" s="120"/>
    </row>
    <row r="1775" spans="1:59" s="3" customFormat="1" x14ac:dyDescent="0.3">
      <c r="A1775" s="15" t="str">
        <f t="shared" si="351"/>
        <v/>
      </c>
      <c r="B1775" s="25"/>
      <c r="C1775" s="26"/>
      <c r="D1775" s="279"/>
      <c r="E1775" s="27"/>
      <c r="F1775" s="28"/>
      <c r="G1775" s="27"/>
      <c r="H1775" s="28"/>
      <c r="I1775" s="28"/>
      <c r="J1775" s="255" t="str">
        <f>IF(H1775="","",(_xlfn.XLOOKUP(H1775,Cadastros!$D$6:$D$90,Cadastros!$E$6:$E$90))*(1-_xlfn.XLOOKUP(_xlfn.XLOOKUP($F1775,Clientes!$B$4:$B$39,Clientes!$C$4:$C$39),Cadastros!$L$6:$L$12,Cadastros!$N$6:$N$12)))</f>
        <v/>
      </c>
      <c r="K1775" s="168" t="str">
        <f t="shared" si="352"/>
        <v/>
      </c>
      <c r="L1775" s="168" t="str">
        <f>IFERROR(K1775/_xlfn.XLOOKUP(_xlfn.XLOOKUP($F1775,Clientes!$B$4:$B$39,Clientes!$C$4:$C$39),Cadastros!$L$6:$L$12,Cadastros!$M$6:$M$12)," ")</f>
        <v xml:space="preserve"> </v>
      </c>
      <c r="M1775" s="28"/>
      <c r="N1775" s="28"/>
      <c r="O1775" s="255" t="str">
        <f>IF(M1775="","",(_xlfn.XLOOKUP(M1775,Cadastros!$D$6:$D$90,Cadastros!$E$6:$E$90))*(1-_xlfn.XLOOKUP(_xlfn.XLOOKUP($F1775,Clientes!$B$4:$B$39,Clientes!$C$4:$C$39),Cadastros!$L$6:$L$12,Cadastros!$N$6:$N$12)))</f>
        <v/>
      </c>
      <c r="P1775" s="168" t="str">
        <f t="shared" si="353"/>
        <v/>
      </c>
      <c r="Q1775" s="168" t="str">
        <f>IFERROR(P1775/_xlfn.XLOOKUP(_xlfn.XLOOKUP($F1775,Clientes!$B$4:$B$39,Clientes!$C$4:$C$39),Cadastros!$L$6:$L$12,Cadastros!$M$6:$M$12)," ")</f>
        <v xml:space="preserve"> </v>
      </c>
      <c r="R1775" s="28"/>
      <c r="S1775" s="28"/>
      <c r="T1775" s="255" t="str">
        <f>IF(R1775="","",(_xlfn.XLOOKUP(R1775,Cadastros!$D$6:$D$90,Cadastros!$E$6:$E$90))*(1-_xlfn.XLOOKUP(_xlfn.XLOOKUP($F1775,Clientes!$B$4:$B$39,Clientes!$C$4:$C$39),Cadastros!$L$6:$L$12,Cadastros!$N$6:$N$12)))</f>
        <v/>
      </c>
      <c r="U1775" s="168" t="str">
        <f t="shared" si="354"/>
        <v/>
      </c>
      <c r="V1775" s="168" t="str">
        <f>IFERROR(U1775/_xlfn.XLOOKUP(_xlfn.XLOOKUP($F1775,Clientes!$B$4:$B$39,Clientes!$C$4:$C$39),Cadastros!$L$6:$L$12,Cadastros!$M$6:$M$12)," ")</f>
        <v xml:space="preserve"> </v>
      </c>
      <c r="W1775" s="28"/>
      <c r="X1775" s="28"/>
      <c r="Y1775" s="255" t="str">
        <f>IF(W1775="","",(_xlfn.XLOOKUP(W1775,Cadastros!$D$6:$D$90,Cadastros!$E$6:$E$90))*(1-_xlfn.XLOOKUP(_xlfn.XLOOKUP($F1775,Clientes!$B$4:$B$39,Clientes!$C$4:$C$39),Cadastros!$L$6:$L$12,Cadastros!$N$6:$N$12)))</f>
        <v/>
      </c>
      <c r="Z1775" s="168" t="str">
        <f t="shared" si="355"/>
        <v/>
      </c>
      <c r="AA1775" s="168" t="str">
        <f>IFERROR(Z1775/_xlfn.XLOOKUP(_xlfn.XLOOKUP($F1775,Clientes!$B$4:$B$39,Clientes!$C$4:$C$39),Cadastros!$L$6:$L$12,Cadastros!$M$6:$M$12)," ")</f>
        <v xml:space="preserve"> </v>
      </c>
      <c r="AB1775" s="28"/>
      <c r="AC1775" s="28"/>
      <c r="AD1775" s="20" t="str">
        <f>IF(AB1775="","",IF($F1775="Bernardino Furlan",_xlfn.XLOOKUP(AB1775,Cadastros!$G$6:$G$90,Cadastros!$H$6:$H$90)*(1-0.18),IF($F1775="Mauro José Salanti",_xlfn.XLOOKUP(AB1775,Cadastros!$G$6:$G$90,Cadastros!$H$6:$H$90)*(1-0.18),_xlfn.XLOOKUP(AB1775,Cadastros!$G$6:$G$90,Cadastros!$H$6:$H$90))))</f>
        <v/>
      </c>
      <c r="AE1775" s="168" t="str">
        <f t="shared" si="356"/>
        <v/>
      </c>
      <c r="AF1775" s="168" t="str">
        <f t="shared" si="357"/>
        <v/>
      </c>
      <c r="AG1775" s="28"/>
      <c r="AH1775" s="28"/>
      <c r="AI1775" s="20" t="str">
        <f>IF(AG1775="","",IF($F1775="Bernardino Furlan",_xlfn.XLOOKUP(AG1775,Cadastros!$G$6:$G$90,Cadastros!$H$6:$H$90)*(1-0.18),IF($F1775="Mauro José Salanti",_xlfn.XLOOKUP(AG1775,Cadastros!$G$6:$G$90,Cadastros!$H$6:$H$90)*(1-0.18),_xlfn.XLOOKUP(AG1775,Cadastros!$G$6:$G$90,Cadastros!$H$6:$H$90))))</f>
        <v/>
      </c>
      <c r="AJ1775" s="168" t="str">
        <f t="shared" si="358"/>
        <v/>
      </c>
      <c r="AK1775" s="168" t="str">
        <f t="shared" si="359"/>
        <v/>
      </c>
      <c r="AL1775" s="28"/>
      <c r="AM1775" s="28"/>
      <c r="AN1775" s="20" t="str">
        <f>IF(AL1775="","",IF($F1775="Bernardino Furlan",_xlfn.XLOOKUP(AL1775,Cadastros!$G$6:$G$90,Cadastros!$H$6:$H$90)*(1-0.18),IF($F1775="Mauro José Salanti",_xlfn.XLOOKUP(AL1775,Cadastros!$G$6:$G$90,Cadastros!$H$6:$H$90)*(1-0.18),_xlfn.XLOOKUP(AL1775,Cadastros!$G$6:$G$90,Cadastros!$H$6:$H$90))))</f>
        <v/>
      </c>
      <c r="AO1775" s="168" t="str">
        <f t="shared" si="360"/>
        <v/>
      </c>
      <c r="AP1775" s="168" t="str">
        <f t="shared" si="361"/>
        <v/>
      </c>
      <c r="AQ1775" s="28"/>
      <c r="AR1775" s="28"/>
      <c r="AS1775" s="20" t="str">
        <f>IF(AQ1775="","",IF($F1775="Bernardino Furlan",_xlfn.XLOOKUP(AQ1775,Cadastros!$G$6:$G$90,Cadastros!$H$6:$H$90)*(1-0.18),IF($F1775="Mauro José Salanti",_xlfn.XLOOKUP(AQ1775,Cadastros!$G$6:$G$90,Cadastros!$H$6:$H$90)*(1-0.18),_xlfn.XLOOKUP(AQ1775,Cadastros!$G$6:$G$90,Cadastros!$H$6:$H$90))))</f>
        <v/>
      </c>
      <c r="AT1775" s="168" t="str">
        <f t="shared" si="362"/>
        <v/>
      </c>
      <c r="AU1775" s="168" t="str">
        <f t="shared" si="363"/>
        <v/>
      </c>
      <c r="AV1775" s="227"/>
      <c r="AW1775" s="30"/>
      <c r="AX1775" s="267"/>
      <c r="AY1775" s="267"/>
      <c r="AZ1775" s="29"/>
      <c r="BA1775" s="30"/>
      <c r="BB1775" s="23" t="str" cm="1">
        <f t="array" ref="BB1775">_xlfn.IFS(AW1775="SIM",SUM(K1775,P1775,U1775,Z1775,AE1775,AJ1775,AO1775,AT1775,AX1775,AY1775),F1775&lt;&gt;"",SUM(K1775,P1775,U1775,Z1775,AE1775,AJ1775,,AO1775,AT1775),F1775="","")</f>
        <v/>
      </c>
      <c r="BC1775" s="211" t="str" cm="1">
        <f t="array" ref="BC1775">_xlfn.IFS(E1775="","",G1775&lt;=E1775,BB1775*(1-0.03),G1775&lt;(E1775+8),BB1775,AZ1775="Boleto",BB1775*(1+0.001)^DATEDIF(E1775,G1775,"D"),AZ1775="Cheque",BB1775,AZ1775="Dinheiro","Alterar forma pgto")</f>
        <v/>
      </c>
      <c r="BD1775" s="276" t="str" cm="1">
        <f t="array" ref="BD1775">IF(F1775=0," ",IF(BC1775&lt;BB1775,(_xlfn.IFS(AW1775="SIM",SUM(L1775,Q1775,V1775,AA1775,AF1775,AK1775,AP1775,AU1775)+AX1775/_xlfn.XLOOKUP(_xlfn.XLOOKUP($F1775,Clientes!$B$4:$B$39,Clientes!$C$4:$C$39),Cadastros!$L$6:$L$12,Cadastros!$M$6:$M$12)+IF($F1775="Bernardino Furlan",AY1775/2751.92,IF($F1775="Mauro José Salanti",AY1775/2751.92,AY1775/3356)),F1775&lt;&gt;0,SUM(L1775,Q1775,V1775,AA1775,AF1775,AK1775,AP1775,AU1775)))*(1-0.03),_xlfn.IFS(AW1775="SIM",SUM(L1775,Q1775,V1775,AA1775,AF1775,AK1775,AP1775,AU1775)+AX1775/_xlfn.XLOOKUP(_xlfn.XLOOKUP($F1775,Clientes!$B$4:$B$39,Clientes!$C$4:$C$39),Cadastros!$L$6:$L$12,Cadastros!$M$6:$M$12)+IF($F1775="Bernardino Furlan",AY1775/2751.92,IF($F1775="Mauro José Salanti",AY1775/2751.92,AY1775/3356)),F1775&lt;&gt;0,SUM(L1775,Q1775,V1775,AA1775,AF1775,AK1775,AP1775,AU1775))))</f>
        <v xml:space="preserve"> </v>
      </c>
      <c r="BE1775" s="120"/>
      <c r="BF1775" s="120"/>
      <c r="BG1775" s="120"/>
    </row>
    <row r="1776" spans="1:59" s="3" customFormat="1" x14ac:dyDescent="0.3">
      <c r="A1776" s="15" t="str">
        <f t="shared" si="351"/>
        <v/>
      </c>
      <c r="B1776" s="25"/>
      <c r="C1776" s="26"/>
      <c r="D1776" s="279"/>
      <c r="E1776" s="27"/>
      <c r="F1776" s="28"/>
      <c r="G1776" s="27"/>
      <c r="H1776" s="28"/>
      <c r="I1776" s="28"/>
      <c r="J1776" s="255" t="str">
        <f>IF(H1776="","",(_xlfn.XLOOKUP(H1776,Cadastros!$D$6:$D$90,Cadastros!$E$6:$E$90))*(1-_xlfn.XLOOKUP(_xlfn.XLOOKUP($F1776,Clientes!$B$4:$B$39,Clientes!$C$4:$C$39),Cadastros!$L$6:$L$12,Cadastros!$N$6:$N$12)))</f>
        <v/>
      </c>
      <c r="K1776" s="168" t="str">
        <f t="shared" si="352"/>
        <v/>
      </c>
      <c r="L1776" s="168" t="str">
        <f>IFERROR(K1776/_xlfn.XLOOKUP(_xlfn.XLOOKUP($F1776,Clientes!$B$4:$B$39,Clientes!$C$4:$C$39),Cadastros!$L$6:$L$12,Cadastros!$M$6:$M$12)," ")</f>
        <v xml:space="preserve"> </v>
      </c>
      <c r="M1776" s="28"/>
      <c r="N1776" s="28"/>
      <c r="O1776" s="255" t="str">
        <f>IF(M1776="","",(_xlfn.XLOOKUP(M1776,Cadastros!$D$6:$D$90,Cadastros!$E$6:$E$90))*(1-_xlfn.XLOOKUP(_xlfn.XLOOKUP($F1776,Clientes!$B$4:$B$39,Clientes!$C$4:$C$39),Cadastros!$L$6:$L$12,Cadastros!$N$6:$N$12)))</f>
        <v/>
      </c>
      <c r="P1776" s="168" t="str">
        <f t="shared" si="353"/>
        <v/>
      </c>
      <c r="Q1776" s="168" t="str">
        <f>IFERROR(P1776/_xlfn.XLOOKUP(_xlfn.XLOOKUP($F1776,Clientes!$B$4:$B$39,Clientes!$C$4:$C$39),Cadastros!$L$6:$L$12,Cadastros!$M$6:$M$12)," ")</f>
        <v xml:space="preserve"> </v>
      </c>
      <c r="R1776" s="28"/>
      <c r="S1776" s="28"/>
      <c r="T1776" s="255" t="str">
        <f>IF(R1776="","",(_xlfn.XLOOKUP(R1776,Cadastros!$D$6:$D$90,Cadastros!$E$6:$E$90))*(1-_xlfn.XLOOKUP(_xlfn.XLOOKUP($F1776,Clientes!$B$4:$B$39,Clientes!$C$4:$C$39),Cadastros!$L$6:$L$12,Cadastros!$N$6:$N$12)))</f>
        <v/>
      </c>
      <c r="U1776" s="168" t="str">
        <f t="shared" si="354"/>
        <v/>
      </c>
      <c r="V1776" s="168" t="str">
        <f>IFERROR(U1776/_xlfn.XLOOKUP(_xlfn.XLOOKUP($F1776,Clientes!$B$4:$B$39,Clientes!$C$4:$C$39),Cadastros!$L$6:$L$12,Cadastros!$M$6:$M$12)," ")</f>
        <v xml:space="preserve"> </v>
      </c>
      <c r="W1776" s="28"/>
      <c r="X1776" s="28"/>
      <c r="Y1776" s="255" t="str">
        <f>IF(W1776="","",(_xlfn.XLOOKUP(W1776,Cadastros!$D$6:$D$90,Cadastros!$E$6:$E$90))*(1-_xlfn.XLOOKUP(_xlfn.XLOOKUP($F1776,Clientes!$B$4:$B$39,Clientes!$C$4:$C$39),Cadastros!$L$6:$L$12,Cadastros!$N$6:$N$12)))</f>
        <v/>
      </c>
      <c r="Z1776" s="168" t="str">
        <f t="shared" si="355"/>
        <v/>
      </c>
      <c r="AA1776" s="168" t="str">
        <f>IFERROR(Z1776/_xlfn.XLOOKUP(_xlfn.XLOOKUP($F1776,Clientes!$B$4:$B$39,Clientes!$C$4:$C$39),Cadastros!$L$6:$L$12,Cadastros!$M$6:$M$12)," ")</f>
        <v xml:space="preserve"> </v>
      </c>
      <c r="AB1776" s="28"/>
      <c r="AC1776" s="28"/>
      <c r="AD1776" s="20" t="str">
        <f>IF(AB1776="","",IF($F1776="Bernardino Furlan",_xlfn.XLOOKUP(AB1776,Cadastros!$G$6:$G$90,Cadastros!$H$6:$H$90)*(1-0.18),IF($F1776="Mauro José Salanti",_xlfn.XLOOKUP(AB1776,Cadastros!$G$6:$G$90,Cadastros!$H$6:$H$90)*(1-0.18),_xlfn.XLOOKUP(AB1776,Cadastros!$G$6:$G$90,Cadastros!$H$6:$H$90))))</f>
        <v/>
      </c>
      <c r="AE1776" s="168" t="str">
        <f t="shared" si="356"/>
        <v/>
      </c>
      <c r="AF1776" s="168" t="str">
        <f t="shared" si="357"/>
        <v/>
      </c>
      <c r="AG1776" s="28"/>
      <c r="AH1776" s="28"/>
      <c r="AI1776" s="20" t="str">
        <f>IF(AG1776="","",IF($F1776="Bernardino Furlan",_xlfn.XLOOKUP(AG1776,Cadastros!$G$6:$G$90,Cadastros!$H$6:$H$90)*(1-0.18),IF($F1776="Mauro José Salanti",_xlfn.XLOOKUP(AG1776,Cadastros!$G$6:$G$90,Cadastros!$H$6:$H$90)*(1-0.18),_xlfn.XLOOKUP(AG1776,Cadastros!$G$6:$G$90,Cadastros!$H$6:$H$90))))</f>
        <v/>
      </c>
      <c r="AJ1776" s="168" t="str">
        <f t="shared" si="358"/>
        <v/>
      </c>
      <c r="AK1776" s="168" t="str">
        <f t="shared" si="359"/>
        <v/>
      </c>
      <c r="AL1776" s="28"/>
      <c r="AM1776" s="28"/>
      <c r="AN1776" s="20" t="str">
        <f>IF(AL1776="","",IF($F1776="Bernardino Furlan",_xlfn.XLOOKUP(AL1776,Cadastros!$G$6:$G$90,Cadastros!$H$6:$H$90)*(1-0.18),IF($F1776="Mauro José Salanti",_xlfn.XLOOKUP(AL1776,Cadastros!$G$6:$G$90,Cadastros!$H$6:$H$90)*(1-0.18),_xlfn.XLOOKUP(AL1776,Cadastros!$G$6:$G$90,Cadastros!$H$6:$H$90))))</f>
        <v/>
      </c>
      <c r="AO1776" s="168" t="str">
        <f t="shared" si="360"/>
        <v/>
      </c>
      <c r="AP1776" s="168" t="str">
        <f t="shared" si="361"/>
        <v/>
      </c>
      <c r="AQ1776" s="28"/>
      <c r="AR1776" s="28"/>
      <c r="AS1776" s="20" t="str">
        <f>IF(AQ1776="","",IF($F1776="Bernardino Furlan",_xlfn.XLOOKUP(AQ1776,Cadastros!$G$6:$G$90,Cadastros!$H$6:$H$90)*(1-0.18),IF($F1776="Mauro José Salanti",_xlfn.XLOOKUP(AQ1776,Cadastros!$G$6:$G$90,Cadastros!$H$6:$H$90)*(1-0.18),_xlfn.XLOOKUP(AQ1776,Cadastros!$G$6:$G$90,Cadastros!$H$6:$H$90))))</f>
        <v/>
      </c>
      <c r="AT1776" s="168" t="str">
        <f t="shared" si="362"/>
        <v/>
      </c>
      <c r="AU1776" s="168" t="str">
        <f t="shared" si="363"/>
        <v/>
      </c>
      <c r="AV1776" s="227"/>
      <c r="AW1776" s="30"/>
      <c r="AX1776" s="267"/>
      <c r="AY1776" s="267"/>
      <c r="AZ1776" s="29"/>
      <c r="BA1776" s="30"/>
      <c r="BB1776" s="23" t="str" cm="1">
        <f t="array" ref="BB1776">_xlfn.IFS(AW1776="SIM",SUM(K1776,P1776,U1776,Z1776,AE1776,AJ1776,AO1776,AT1776,AX1776,AY1776),F1776&lt;&gt;"",SUM(K1776,P1776,U1776,Z1776,AE1776,AJ1776,,AO1776,AT1776),F1776="","")</f>
        <v/>
      </c>
      <c r="BC1776" s="211" t="str" cm="1">
        <f t="array" ref="BC1776">_xlfn.IFS(E1776="","",G1776&lt;=E1776,BB1776*(1-0.03),G1776&lt;(E1776+8),BB1776,AZ1776="Boleto",BB1776*(1+0.001)^DATEDIF(E1776,G1776,"D"),AZ1776="Cheque",BB1776,AZ1776="Dinheiro","Alterar forma pgto")</f>
        <v/>
      </c>
      <c r="BD1776" s="276" t="str" cm="1">
        <f t="array" ref="BD1776">IF(F1776=0," ",IF(BC1776&lt;BB1776,(_xlfn.IFS(AW1776="SIM",SUM(L1776,Q1776,V1776,AA1776,AF1776,AK1776,AP1776,AU1776)+AX1776/_xlfn.XLOOKUP(_xlfn.XLOOKUP($F1776,Clientes!$B$4:$B$39,Clientes!$C$4:$C$39),Cadastros!$L$6:$L$12,Cadastros!$M$6:$M$12)+IF($F1776="Bernardino Furlan",AY1776/2751.92,IF($F1776="Mauro José Salanti",AY1776/2751.92,AY1776/3356)),F1776&lt;&gt;0,SUM(L1776,Q1776,V1776,AA1776,AF1776,AK1776,AP1776,AU1776)))*(1-0.03),_xlfn.IFS(AW1776="SIM",SUM(L1776,Q1776,V1776,AA1776,AF1776,AK1776,AP1776,AU1776)+AX1776/_xlfn.XLOOKUP(_xlfn.XLOOKUP($F1776,Clientes!$B$4:$B$39,Clientes!$C$4:$C$39),Cadastros!$L$6:$L$12,Cadastros!$M$6:$M$12)+IF($F1776="Bernardino Furlan",AY1776/2751.92,IF($F1776="Mauro José Salanti",AY1776/2751.92,AY1776/3356)),F1776&lt;&gt;0,SUM(L1776,Q1776,V1776,AA1776,AF1776,AK1776,AP1776,AU1776))))</f>
        <v xml:space="preserve"> </v>
      </c>
      <c r="BE1776" s="120"/>
      <c r="BF1776" s="120"/>
      <c r="BG1776" s="120"/>
    </row>
    <row r="1777" spans="1:59" s="3" customFormat="1" x14ac:dyDescent="0.3">
      <c r="A1777" s="15" t="str">
        <f t="shared" si="351"/>
        <v/>
      </c>
      <c r="B1777" s="25"/>
      <c r="C1777" s="26"/>
      <c r="D1777" s="279"/>
      <c r="E1777" s="27"/>
      <c r="F1777" s="28"/>
      <c r="G1777" s="27"/>
      <c r="H1777" s="28"/>
      <c r="I1777" s="28"/>
      <c r="J1777" s="255" t="str">
        <f>IF(H1777="","",(_xlfn.XLOOKUP(H1777,Cadastros!$D$6:$D$90,Cadastros!$E$6:$E$90))*(1-_xlfn.XLOOKUP(_xlfn.XLOOKUP($F1777,Clientes!$B$4:$B$39,Clientes!$C$4:$C$39),Cadastros!$L$6:$L$12,Cadastros!$N$6:$N$12)))</f>
        <v/>
      </c>
      <c r="K1777" s="168" t="str">
        <f t="shared" si="352"/>
        <v/>
      </c>
      <c r="L1777" s="168" t="str">
        <f>IFERROR(K1777/_xlfn.XLOOKUP(_xlfn.XLOOKUP($F1777,Clientes!$B$4:$B$39,Clientes!$C$4:$C$39),Cadastros!$L$6:$L$12,Cadastros!$M$6:$M$12)," ")</f>
        <v xml:space="preserve"> </v>
      </c>
      <c r="M1777" s="28"/>
      <c r="N1777" s="28"/>
      <c r="O1777" s="255" t="str">
        <f>IF(M1777="","",(_xlfn.XLOOKUP(M1777,Cadastros!$D$6:$D$90,Cadastros!$E$6:$E$90))*(1-_xlfn.XLOOKUP(_xlfn.XLOOKUP($F1777,Clientes!$B$4:$B$39,Clientes!$C$4:$C$39),Cadastros!$L$6:$L$12,Cadastros!$N$6:$N$12)))</f>
        <v/>
      </c>
      <c r="P1777" s="168" t="str">
        <f t="shared" si="353"/>
        <v/>
      </c>
      <c r="Q1777" s="168" t="str">
        <f>IFERROR(P1777/_xlfn.XLOOKUP(_xlfn.XLOOKUP($F1777,Clientes!$B$4:$B$39,Clientes!$C$4:$C$39),Cadastros!$L$6:$L$12,Cadastros!$M$6:$M$12)," ")</f>
        <v xml:space="preserve"> </v>
      </c>
      <c r="R1777" s="28"/>
      <c r="S1777" s="28"/>
      <c r="T1777" s="255" t="str">
        <f>IF(R1777="","",(_xlfn.XLOOKUP(R1777,Cadastros!$D$6:$D$90,Cadastros!$E$6:$E$90))*(1-_xlfn.XLOOKUP(_xlfn.XLOOKUP($F1777,Clientes!$B$4:$B$39,Clientes!$C$4:$C$39),Cadastros!$L$6:$L$12,Cadastros!$N$6:$N$12)))</f>
        <v/>
      </c>
      <c r="U1777" s="168" t="str">
        <f t="shared" si="354"/>
        <v/>
      </c>
      <c r="V1777" s="168" t="str">
        <f>IFERROR(U1777/_xlfn.XLOOKUP(_xlfn.XLOOKUP($F1777,Clientes!$B$4:$B$39,Clientes!$C$4:$C$39),Cadastros!$L$6:$L$12,Cadastros!$M$6:$M$12)," ")</f>
        <v xml:space="preserve"> </v>
      </c>
      <c r="W1777" s="28"/>
      <c r="X1777" s="28"/>
      <c r="Y1777" s="255" t="str">
        <f>IF(W1777="","",(_xlfn.XLOOKUP(W1777,Cadastros!$D$6:$D$90,Cadastros!$E$6:$E$90))*(1-_xlfn.XLOOKUP(_xlfn.XLOOKUP($F1777,Clientes!$B$4:$B$39,Clientes!$C$4:$C$39),Cadastros!$L$6:$L$12,Cadastros!$N$6:$N$12)))</f>
        <v/>
      </c>
      <c r="Z1777" s="168" t="str">
        <f t="shared" si="355"/>
        <v/>
      </c>
      <c r="AA1777" s="168" t="str">
        <f>IFERROR(Z1777/_xlfn.XLOOKUP(_xlfn.XLOOKUP($F1777,Clientes!$B$4:$B$39,Clientes!$C$4:$C$39),Cadastros!$L$6:$L$12,Cadastros!$M$6:$M$12)," ")</f>
        <v xml:space="preserve"> </v>
      </c>
      <c r="AB1777" s="28"/>
      <c r="AC1777" s="28"/>
      <c r="AD1777" s="20" t="str">
        <f>IF(AB1777="","",IF($F1777="Bernardino Furlan",_xlfn.XLOOKUP(AB1777,Cadastros!$G$6:$G$90,Cadastros!$H$6:$H$90)*(1-0.18),IF($F1777="Mauro José Salanti",_xlfn.XLOOKUP(AB1777,Cadastros!$G$6:$G$90,Cadastros!$H$6:$H$90)*(1-0.18),_xlfn.XLOOKUP(AB1777,Cadastros!$G$6:$G$90,Cadastros!$H$6:$H$90))))</f>
        <v/>
      </c>
      <c r="AE1777" s="168" t="str">
        <f t="shared" si="356"/>
        <v/>
      </c>
      <c r="AF1777" s="168" t="str">
        <f t="shared" si="357"/>
        <v/>
      </c>
      <c r="AG1777" s="28"/>
      <c r="AH1777" s="28"/>
      <c r="AI1777" s="20" t="str">
        <f>IF(AG1777="","",IF($F1777="Bernardino Furlan",_xlfn.XLOOKUP(AG1777,Cadastros!$G$6:$G$90,Cadastros!$H$6:$H$90)*(1-0.18),IF($F1777="Mauro José Salanti",_xlfn.XLOOKUP(AG1777,Cadastros!$G$6:$G$90,Cadastros!$H$6:$H$90)*(1-0.18),_xlfn.XLOOKUP(AG1777,Cadastros!$G$6:$G$90,Cadastros!$H$6:$H$90))))</f>
        <v/>
      </c>
      <c r="AJ1777" s="168" t="str">
        <f t="shared" si="358"/>
        <v/>
      </c>
      <c r="AK1777" s="168" t="str">
        <f t="shared" si="359"/>
        <v/>
      </c>
      <c r="AL1777" s="28"/>
      <c r="AM1777" s="28"/>
      <c r="AN1777" s="20" t="str">
        <f>IF(AL1777="","",IF($F1777="Bernardino Furlan",_xlfn.XLOOKUP(AL1777,Cadastros!$G$6:$G$90,Cadastros!$H$6:$H$90)*(1-0.18),IF($F1777="Mauro José Salanti",_xlfn.XLOOKUP(AL1777,Cadastros!$G$6:$G$90,Cadastros!$H$6:$H$90)*(1-0.18),_xlfn.XLOOKUP(AL1777,Cadastros!$G$6:$G$90,Cadastros!$H$6:$H$90))))</f>
        <v/>
      </c>
      <c r="AO1777" s="168" t="str">
        <f t="shared" si="360"/>
        <v/>
      </c>
      <c r="AP1777" s="168" t="str">
        <f t="shared" si="361"/>
        <v/>
      </c>
      <c r="AQ1777" s="28"/>
      <c r="AR1777" s="28"/>
      <c r="AS1777" s="20" t="str">
        <f>IF(AQ1777="","",IF($F1777="Bernardino Furlan",_xlfn.XLOOKUP(AQ1777,Cadastros!$G$6:$G$90,Cadastros!$H$6:$H$90)*(1-0.18),IF($F1777="Mauro José Salanti",_xlfn.XLOOKUP(AQ1777,Cadastros!$G$6:$G$90,Cadastros!$H$6:$H$90)*(1-0.18),_xlfn.XLOOKUP(AQ1777,Cadastros!$G$6:$G$90,Cadastros!$H$6:$H$90))))</f>
        <v/>
      </c>
      <c r="AT1777" s="168" t="str">
        <f t="shared" si="362"/>
        <v/>
      </c>
      <c r="AU1777" s="168" t="str">
        <f t="shared" si="363"/>
        <v/>
      </c>
      <c r="AV1777" s="227"/>
      <c r="AW1777" s="30"/>
      <c r="AX1777" s="267"/>
      <c r="AY1777" s="267"/>
      <c r="AZ1777" s="29"/>
      <c r="BA1777" s="30"/>
      <c r="BB1777" s="23" t="str" cm="1">
        <f t="array" ref="BB1777">_xlfn.IFS(AW1777="SIM",SUM(K1777,P1777,U1777,Z1777,AE1777,AJ1777,AO1777,AT1777,AX1777,AY1777),F1777&lt;&gt;"",SUM(K1777,P1777,U1777,Z1777,AE1777,AJ1777,,AO1777,AT1777),F1777="","")</f>
        <v/>
      </c>
      <c r="BC1777" s="211" t="str" cm="1">
        <f t="array" ref="BC1777">_xlfn.IFS(E1777="","",G1777&lt;=E1777,BB1777*(1-0.03),G1777&lt;(E1777+8),BB1777,AZ1777="Boleto",BB1777*(1+0.001)^DATEDIF(E1777,G1777,"D"),AZ1777="Cheque",BB1777,AZ1777="Dinheiro","Alterar forma pgto")</f>
        <v/>
      </c>
      <c r="BD1777" s="276" t="str" cm="1">
        <f t="array" ref="BD1777">IF(F1777=0," ",IF(BC1777&lt;BB1777,(_xlfn.IFS(AW1777="SIM",SUM(L1777,Q1777,V1777,AA1777,AF1777,AK1777,AP1777,AU1777)+AX1777/_xlfn.XLOOKUP(_xlfn.XLOOKUP($F1777,Clientes!$B$4:$B$39,Clientes!$C$4:$C$39),Cadastros!$L$6:$L$12,Cadastros!$M$6:$M$12)+IF($F1777="Bernardino Furlan",AY1777/2751.92,IF($F1777="Mauro José Salanti",AY1777/2751.92,AY1777/3356)),F1777&lt;&gt;0,SUM(L1777,Q1777,V1777,AA1777,AF1777,AK1777,AP1777,AU1777)))*(1-0.03),_xlfn.IFS(AW1777="SIM",SUM(L1777,Q1777,V1777,AA1777,AF1777,AK1777,AP1777,AU1777)+AX1777/_xlfn.XLOOKUP(_xlfn.XLOOKUP($F1777,Clientes!$B$4:$B$39,Clientes!$C$4:$C$39),Cadastros!$L$6:$L$12,Cadastros!$M$6:$M$12)+IF($F1777="Bernardino Furlan",AY1777/2751.92,IF($F1777="Mauro José Salanti",AY1777/2751.92,AY1777/3356)),F1777&lt;&gt;0,SUM(L1777,Q1777,V1777,AA1777,AF1777,AK1777,AP1777,AU1777))))</f>
        <v xml:space="preserve"> </v>
      </c>
      <c r="BE1777" s="120"/>
      <c r="BF1777" s="120"/>
      <c r="BG1777" s="120"/>
    </row>
    <row r="1778" spans="1:59" s="3" customFormat="1" x14ac:dyDescent="0.3">
      <c r="A1778" s="15" t="str">
        <f t="shared" si="351"/>
        <v/>
      </c>
      <c r="B1778" s="25"/>
      <c r="C1778" s="26"/>
      <c r="D1778" s="279"/>
      <c r="E1778" s="27"/>
      <c r="F1778" s="28"/>
      <c r="G1778" s="27"/>
      <c r="H1778" s="28"/>
      <c r="I1778" s="28"/>
      <c r="J1778" s="255" t="str">
        <f>IF(H1778="","",(_xlfn.XLOOKUP(H1778,Cadastros!$D$6:$D$90,Cadastros!$E$6:$E$90))*(1-_xlfn.XLOOKUP(_xlfn.XLOOKUP($F1778,Clientes!$B$4:$B$39,Clientes!$C$4:$C$39),Cadastros!$L$6:$L$12,Cadastros!$N$6:$N$12)))</f>
        <v/>
      </c>
      <c r="K1778" s="168" t="str">
        <f t="shared" si="352"/>
        <v/>
      </c>
      <c r="L1778" s="168" t="str">
        <f>IFERROR(K1778/_xlfn.XLOOKUP(_xlfn.XLOOKUP($F1778,Clientes!$B$4:$B$39,Clientes!$C$4:$C$39),Cadastros!$L$6:$L$12,Cadastros!$M$6:$M$12)," ")</f>
        <v xml:space="preserve"> </v>
      </c>
      <c r="M1778" s="28"/>
      <c r="N1778" s="28"/>
      <c r="O1778" s="255" t="str">
        <f>IF(M1778="","",(_xlfn.XLOOKUP(M1778,Cadastros!$D$6:$D$90,Cadastros!$E$6:$E$90))*(1-_xlfn.XLOOKUP(_xlfn.XLOOKUP($F1778,Clientes!$B$4:$B$39,Clientes!$C$4:$C$39),Cadastros!$L$6:$L$12,Cadastros!$N$6:$N$12)))</f>
        <v/>
      </c>
      <c r="P1778" s="168" t="str">
        <f t="shared" si="353"/>
        <v/>
      </c>
      <c r="Q1778" s="168" t="str">
        <f>IFERROR(P1778/_xlfn.XLOOKUP(_xlfn.XLOOKUP($F1778,Clientes!$B$4:$B$39,Clientes!$C$4:$C$39),Cadastros!$L$6:$L$12,Cadastros!$M$6:$M$12)," ")</f>
        <v xml:space="preserve"> </v>
      </c>
      <c r="R1778" s="28"/>
      <c r="S1778" s="28"/>
      <c r="T1778" s="255" t="str">
        <f>IF(R1778="","",(_xlfn.XLOOKUP(R1778,Cadastros!$D$6:$D$90,Cadastros!$E$6:$E$90))*(1-_xlfn.XLOOKUP(_xlfn.XLOOKUP($F1778,Clientes!$B$4:$B$39,Clientes!$C$4:$C$39),Cadastros!$L$6:$L$12,Cadastros!$N$6:$N$12)))</f>
        <v/>
      </c>
      <c r="U1778" s="168" t="str">
        <f t="shared" si="354"/>
        <v/>
      </c>
      <c r="V1778" s="168" t="str">
        <f>IFERROR(U1778/_xlfn.XLOOKUP(_xlfn.XLOOKUP($F1778,Clientes!$B$4:$B$39,Clientes!$C$4:$C$39),Cadastros!$L$6:$L$12,Cadastros!$M$6:$M$12)," ")</f>
        <v xml:space="preserve"> </v>
      </c>
      <c r="W1778" s="28"/>
      <c r="X1778" s="28"/>
      <c r="Y1778" s="255" t="str">
        <f>IF(W1778="","",(_xlfn.XLOOKUP(W1778,Cadastros!$D$6:$D$90,Cadastros!$E$6:$E$90))*(1-_xlfn.XLOOKUP(_xlfn.XLOOKUP($F1778,Clientes!$B$4:$B$39,Clientes!$C$4:$C$39),Cadastros!$L$6:$L$12,Cadastros!$N$6:$N$12)))</f>
        <v/>
      </c>
      <c r="Z1778" s="168" t="str">
        <f t="shared" si="355"/>
        <v/>
      </c>
      <c r="AA1778" s="168" t="str">
        <f>IFERROR(Z1778/_xlfn.XLOOKUP(_xlfn.XLOOKUP($F1778,Clientes!$B$4:$B$39,Clientes!$C$4:$C$39),Cadastros!$L$6:$L$12,Cadastros!$M$6:$M$12)," ")</f>
        <v xml:space="preserve"> </v>
      </c>
      <c r="AB1778" s="28"/>
      <c r="AC1778" s="28"/>
      <c r="AD1778" s="20" t="str">
        <f>IF(AB1778="","",IF($F1778="Bernardino Furlan",_xlfn.XLOOKUP(AB1778,Cadastros!$G$6:$G$90,Cadastros!$H$6:$H$90)*(1-0.18),IF($F1778="Mauro José Salanti",_xlfn.XLOOKUP(AB1778,Cadastros!$G$6:$G$90,Cadastros!$H$6:$H$90)*(1-0.18),_xlfn.XLOOKUP(AB1778,Cadastros!$G$6:$G$90,Cadastros!$H$6:$H$90))))</f>
        <v/>
      </c>
      <c r="AE1778" s="168" t="str">
        <f t="shared" si="356"/>
        <v/>
      </c>
      <c r="AF1778" s="168" t="str">
        <f t="shared" si="357"/>
        <v/>
      </c>
      <c r="AG1778" s="28"/>
      <c r="AH1778" s="28"/>
      <c r="AI1778" s="20" t="str">
        <f>IF(AG1778="","",IF($F1778="Bernardino Furlan",_xlfn.XLOOKUP(AG1778,Cadastros!$G$6:$G$90,Cadastros!$H$6:$H$90)*(1-0.18),IF($F1778="Mauro José Salanti",_xlfn.XLOOKUP(AG1778,Cadastros!$G$6:$G$90,Cadastros!$H$6:$H$90)*(1-0.18),_xlfn.XLOOKUP(AG1778,Cadastros!$G$6:$G$90,Cadastros!$H$6:$H$90))))</f>
        <v/>
      </c>
      <c r="AJ1778" s="168" t="str">
        <f t="shared" si="358"/>
        <v/>
      </c>
      <c r="AK1778" s="168" t="str">
        <f t="shared" si="359"/>
        <v/>
      </c>
      <c r="AL1778" s="28"/>
      <c r="AM1778" s="28"/>
      <c r="AN1778" s="20" t="str">
        <f>IF(AL1778="","",IF($F1778="Bernardino Furlan",_xlfn.XLOOKUP(AL1778,Cadastros!$G$6:$G$90,Cadastros!$H$6:$H$90)*(1-0.18),IF($F1778="Mauro José Salanti",_xlfn.XLOOKUP(AL1778,Cadastros!$G$6:$G$90,Cadastros!$H$6:$H$90)*(1-0.18),_xlfn.XLOOKUP(AL1778,Cadastros!$G$6:$G$90,Cadastros!$H$6:$H$90))))</f>
        <v/>
      </c>
      <c r="AO1778" s="168" t="str">
        <f t="shared" si="360"/>
        <v/>
      </c>
      <c r="AP1778" s="168" t="str">
        <f t="shared" si="361"/>
        <v/>
      </c>
      <c r="AQ1778" s="28"/>
      <c r="AR1778" s="28"/>
      <c r="AS1778" s="20" t="str">
        <f>IF(AQ1778="","",IF($F1778="Bernardino Furlan",_xlfn.XLOOKUP(AQ1778,Cadastros!$G$6:$G$90,Cadastros!$H$6:$H$90)*(1-0.18),IF($F1778="Mauro José Salanti",_xlfn.XLOOKUP(AQ1778,Cadastros!$G$6:$G$90,Cadastros!$H$6:$H$90)*(1-0.18),_xlfn.XLOOKUP(AQ1778,Cadastros!$G$6:$G$90,Cadastros!$H$6:$H$90))))</f>
        <v/>
      </c>
      <c r="AT1778" s="168" t="str">
        <f t="shared" si="362"/>
        <v/>
      </c>
      <c r="AU1778" s="168" t="str">
        <f t="shared" si="363"/>
        <v/>
      </c>
      <c r="AV1778" s="227"/>
      <c r="AW1778" s="30"/>
      <c r="AX1778" s="267"/>
      <c r="AY1778" s="267"/>
      <c r="AZ1778" s="29"/>
      <c r="BA1778" s="30"/>
      <c r="BB1778" s="23" t="str" cm="1">
        <f t="array" ref="BB1778">_xlfn.IFS(AW1778="SIM",SUM(K1778,P1778,U1778,Z1778,AE1778,AJ1778,AO1778,AT1778,AX1778,AY1778),F1778&lt;&gt;"",SUM(K1778,P1778,U1778,Z1778,AE1778,AJ1778,,AO1778,AT1778),F1778="","")</f>
        <v/>
      </c>
      <c r="BC1778" s="211" t="str" cm="1">
        <f t="array" ref="BC1778">_xlfn.IFS(E1778="","",G1778&lt;=E1778,BB1778*(1-0.03),G1778&lt;(E1778+8),BB1778,AZ1778="Boleto",BB1778*(1+0.001)^DATEDIF(E1778,G1778,"D"),AZ1778="Cheque",BB1778,AZ1778="Dinheiro","Alterar forma pgto")</f>
        <v/>
      </c>
      <c r="BD1778" s="276" t="str" cm="1">
        <f t="array" ref="BD1778">IF(F1778=0," ",IF(BC1778&lt;BB1778,(_xlfn.IFS(AW1778="SIM",SUM(L1778,Q1778,V1778,AA1778,AF1778,AK1778,AP1778,AU1778)+AX1778/_xlfn.XLOOKUP(_xlfn.XLOOKUP($F1778,Clientes!$B$4:$B$39,Clientes!$C$4:$C$39),Cadastros!$L$6:$L$12,Cadastros!$M$6:$M$12)+IF($F1778="Bernardino Furlan",AY1778/2751.92,IF($F1778="Mauro José Salanti",AY1778/2751.92,AY1778/3356)),F1778&lt;&gt;0,SUM(L1778,Q1778,V1778,AA1778,AF1778,AK1778,AP1778,AU1778)))*(1-0.03),_xlfn.IFS(AW1778="SIM",SUM(L1778,Q1778,V1778,AA1778,AF1778,AK1778,AP1778,AU1778)+AX1778/_xlfn.XLOOKUP(_xlfn.XLOOKUP($F1778,Clientes!$B$4:$B$39,Clientes!$C$4:$C$39),Cadastros!$L$6:$L$12,Cadastros!$M$6:$M$12)+IF($F1778="Bernardino Furlan",AY1778/2751.92,IF($F1778="Mauro José Salanti",AY1778/2751.92,AY1778/3356)),F1778&lt;&gt;0,SUM(L1778,Q1778,V1778,AA1778,AF1778,AK1778,AP1778,AU1778))))</f>
        <v xml:space="preserve"> </v>
      </c>
      <c r="BE1778" s="120"/>
      <c r="BF1778" s="120"/>
      <c r="BG1778" s="120"/>
    </row>
    <row r="1779" spans="1:59" s="3" customFormat="1" x14ac:dyDescent="0.3">
      <c r="A1779" s="15" t="str">
        <f t="shared" si="351"/>
        <v/>
      </c>
      <c r="B1779" s="25"/>
      <c r="C1779" s="26"/>
      <c r="D1779" s="279"/>
      <c r="E1779" s="27"/>
      <c r="F1779" s="28"/>
      <c r="G1779" s="27"/>
      <c r="H1779" s="28"/>
      <c r="I1779" s="28"/>
      <c r="J1779" s="255" t="str">
        <f>IF(H1779="","",(_xlfn.XLOOKUP(H1779,Cadastros!$D$6:$D$90,Cadastros!$E$6:$E$90))*(1-_xlfn.XLOOKUP(_xlfn.XLOOKUP($F1779,Clientes!$B$4:$B$39,Clientes!$C$4:$C$39),Cadastros!$L$6:$L$12,Cadastros!$N$6:$N$12)))</f>
        <v/>
      </c>
      <c r="K1779" s="168" t="str">
        <f t="shared" si="352"/>
        <v/>
      </c>
      <c r="L1779" s="168" t="str">
        <f>IFERROR(K1779/_xlfn.XLOOKUP(_xlfn.XLOOKUP($F1779,Clientes!$B$4:$B$39,Clientes!$C$4:$C$39),Cadastros!$L$6:$L$12,Cadastros!$M$6:$M$12)," ")</f>
        <v xml:space="preserve"> </v>
      </c>
      <c r="M1779" s="28"/>
      <c r="N1779" s="28"/>
      <c r="O1779" s="255" t="str">
        <f>IF(M1779="","",(_xlfn.XLOOKUP(M1779,Cadastros!$D$6:$D$90,Cadastros!$E$6:$E$90))*(1-_xlfn.XLOOKUP(_xlfn.XLOOKUP($F1779,Clientes!$B$4:$B$39,Clientes!$C$4:$C$39),Cadastros!$L$6:$L$12,Cadastros!$N$6:$N$12)))</f>
        <v/>
      </c>
      <c r="P1779" s="168" t="str">
        <f t="shared" si="353"/>
        <v/>
      </c>
      <c r="Q1779" s="168" t="str">
        <f>IFERROR(P1779/_xlfn.XLOOKUP(_xlfn.XLOOKUP($F1779,Clientes!$B$4:$B$39,Clientes!$C$4:$C$39),Cadastros!$L$6:$L$12,Cadastros!$M$6:$M$12)," ")</f>
        <v xml:space="preserve"> </v>
      </c>
      <c r="R1779" s="28"/>
      <c r="S1779" s="28"/>
      <c r="T1779" s="255" t="str">
        <f>IF(R1779="","",(_xlfn.XLOOKUP(R1779,Cadastros!$D$6:$D$90,Cadastros!$E$6:$E$90))*(1-_xlfn.XLOOKUP(_xlfn.XLOOKUP($F1779,Clientes!$B$4:$B$39,Clientes!$C$4:$C$39),Cadastros!$L$6:$L$12,Cadastros!$N$6:$N$12)))</f>
        <v/>
      </c>
      <c r="U1779" s="168" t="str">
        <f t="shared" si="354"/>
        <v/>
      </c>
      <c r="V1779" s="168" t="str">
        <f>IFERROR(U1779/_xlfn.XLOOKUP(_xlfn.XLOOKUP($F1779,Clientes!$B$4:$B$39,Clientes!$C$4:$C$39),Cadastros!$L$6:$L$12,Cadastros!$M$6:$M$12)," ")</f>
        <v xml:space="preserve"> </v>
      </c>
      <c r="W1779" s="28"/>
      <c r="X1779" s="28"/>
      <c r="Y1779" s="255" t="str">
        <f>IF(W1779="","",(_xlfn.XLOOKUP(W1779,Cadastros!$D$6:$D$90,Cadastros!$E$6:$E$90))*(1-_xlfn.XLOOKUP(_xlfn.XLOOKUP($F1779,Clientes!$B$4:$B$39,Clientes!$C$4:$C$39),Cadastros!$L$6:$L$12,Cadastros!$N$6:$N$12)))</f>
        <v/>
      </c>
      <c r="Z1779" s="168" t="str">
        <f t="shared" si="355"/>
        <v/>
      </c>
      <c r="AA1779" s="168" t="str">
        <f>IFERROR(Z1779/_xlfn.XLOOKUP(_xlfn.XLOOKUP($F1779,Clientes!$B$4:$B$39,Clientes!$C$4:$C$39),Cadastros!$L$6:$L$12,Cadastros!$M$6:$M$12)," ")</f>
        <v xml:space="preserve"> </v>
      </c>
      <c r="AB1779" s="28"/>
      <c r="AC1779" s="28"/>
      <c r="AD1779" s="20" t="str">
        <f>IF(AB1779="","",IF($F1779="Bernardino Furlan",_xlfn.XLOOKUP(AB1779,Cadastros!$G$6:$G$90,Cadastros!$H$6:$H$90)*(1-0.18),IF($F1779="Mauro José Salanti",_xlfn.XLOOKUP(AB1779,Cadastros!$G$6:$G$90,Cadastros!$H$6:$H$90)*(1-0.18),_xlfn.XLOOKUP(AB1779,Cadastros!$G$6:$G$90,Cadastros!$H$6:$H$90))))</f>
        <v/>
      </c>
      <c r="AE1779" s="168" t="str">
        <f t="shared" si="356"/>
        <v/>
      </c>
      <c r="AF1779" s="168" t="str">
        <f t="shared" si="357"/>
        <v/>
      </c>
      <c r="AG1779" s="28"/>
      <c r="AH1779" s="28"/>
      <c r="AI1779" s="20" t="str">
        <f>IF(AG1779="","",IF($F1779="Bernardino Furlan",_xlfn.XLOOKUP(AG1779,Cadastros!$G$6:$G$90,Cadastros!$H$6:$H$90)*(1-0.18),IF($F1779="Mauro José Salanti",_xlfn.XLOOKUP(AG1779,Cadastros!$G$6:$G$90,Cadastros!$H$6:$H$90)*(1-0.18),_xlfn.XLOOKUP(AG1779,Cadastros!$G$6:$G$90,Cadastros!$H$6:$H$90))))</f>
        <v/>
      </c>
      <c r="AJ1779" s="168" t="str">
        <f t="shared" si="358"/>
        <v/>
      </c>
      <c r="AK1779" s="168" t="str">
        <f t="shared" si="359"/>
        <v/>
      </c>
      <c r="AL1779" s="28"/>
      <c r="AM1779" s="28"/>
      <c r="AN1779" s="20" t="str">
        <f>IF(AL1779="","",IF($F1779="Bernardino Furlan",_xlfn.XLOOKUP(AL1779,Cadastros!$G$6:$G$90,Cadastros!$H$6:$H$90)*(1-0.18),IF($F1779="Mauro José Salanti",_xlfn.XLOOKUP(AL1779,Cadastros!$G$6:$G$90,Cadastros!$H$6:$H$90)*(1-0.18),_xlfn.XLOOKUP(AL1779,Cadastros!$G$6:$G$90,Cadastros!$H$6:$H$90))))</f>
        <v/>
      </c>
      <c r="AO1779" s="168" t="str">
        <f t="shared" si="360"/>
        <v/>
      </c>
      <c r="AP1779" s="168" t="str">
        <f t="shared" si="361"/>
        <v/>
      </c>
      <c r="AQ1779" s="28"/>
      <c r="AR1779" s="28"/>
      <c r="AS1779" s="20" t="str">
        <f>IF(AQ1779="","",IF($F1779="Bernardino Furlan",_xlfn.XLOOKUP(AQ1779,Cadastros!$G$6:$G$90,Cadastros!$H$6:$H$90)*(1-0.18),IF($F1779="Mauro José Salanti",_xlfn.XLOOKUP(AQ1779,Cadastros!$G$6:$G$90,Cadastros!$H$6:$H$90)*(1-0.18),_xlfn.XLOOKUP(AQ1779,Cadastros!$G$6:$G$90,Cadastros!$H$6:$H$90))))</f>
        <v/>
      </c>
      <c r="AT1779" s="168" t="str">
        <f t="shared" si="362"/>
        <v/>
      </c>
      <c r="AU1779" s="168" t="str">
        <f t="shared" si="363"/>
        <v/>
      </c>
      <c r="AV1779" s="227"/>
      <c r="AW1779" s="30"/>
      <c r="AX1779" s="267"/>
      <c r="AY1779" s="267"/>
      <c r="AZ1779" s="29"/>
      <c r="BA1779" s="30"/>
      <c r="BB1779" s="23" t="str" cm="1">
        <f t="array" ref="BB1779">_xlfn.IFS(AW1779="SIM",SUM(K1779,P1779,U1779,Z1779,AE1779,AJ1779,AO1779,AT1779,AX1779,AY1779),F1779&lt;&gt;"",SUM(K1779,P1779,U1779,Z1779,AE1779,AJ1779,,AO1779,AT1779),F1779="","")</f>
        <v/>
      </c>
      <c r="BC1779" s="211" t="str" cm="1">
        <f t="array" ref="BC1779">_xlfn.IFS(E1779="","",G1779&lt;=E1779,BB1779*(1-0.03),G1779&lt;(E1779+8),BB1779,AZ1779="Boleto",BB1779*(1+0.001)^DATEDIF(E1779,G1779,"D"),AZ1779="Cheque",BB1779,AZ1779="Dinheiro","Alterar forma pgto")</f>
        <v/>
      </c>
      <c r="BD1779" s="276" t="str" cm="1">
        <f t="array" ref="BD1779">IF(F1779=0," ",IF(BC1779&lt;BB1779,(_xlfn.IFS(AW1779="SIM",SUM(L1779,Q1779,V1779,AA1779,AF1779,AK1779,AP1779,AU1779)+AX1779/_xlfn.XLOOKUP(_xlfn.XLOOKUP($F1779,Clientes!$B$4:$B$39,Clientes!$C$4:$C$39),Cadastros!$L$6:$L$12,Cadastros!$M$6:$M$12)+IF($F1779="Bernardino Furlan",AY1779/2751.92,IF($F1779="Mauro José Salanti",AY1779/2751.92,AY1779/3356)),F1779&lt;&gt;0,SUM(L1779,Q1779,V1779,AA1779,AF1779,AK1779,AP1779,AU1779)))*(1-0.03),_xlfn.IFS(AW1779="SIM",SUM(L1779,Q1779,V1779,AA1779,AF1779,AK1779,AP1779,AU1779)+AX1779/_xlfn.XLOOKUP(_xlfn.XLOOKUP($F1779,Clientes!$B$4:$B$39,Clientes!$C$4:$C$39),Cadastros!$L$6:$L$12,Cadastros!$M$6:$M$12)+IF($F1779="Bernardino Furlan",AY1779/2751.92,IF($F1779="Mauro José Salanti",AY1779/2751.92,AY1779/3356)),F1779&lt;&gt;0,SUM(L1779,Q1779,V1779,AA1779,AF1779,AK1779,AP1779,AU1779))))</f>
        <v xml:space="preserve"> </v>
      </c>
      <c r="BE1779" s="120"/>
      <c r="BF1779" s="120"/>
      <c r="BG1779" s="120"/>
    </row>
    <row r="1780" spans="1:59" s="3" customFormat="1" x14ac:dyDescent="0.3">
      <c r="A1780" s="15" t="str">
        <f t="shared" si="351"/>
        <v/>
      </c>
      <c r="B1780" s="25"/>
      <c r="C1780" s="26"/>
      <c r="D1780" s="279"/>
      <c r="E1780" s="27"/>
      <c r="F1780" s="28"/>
      <c r="G1780" s="27"/>
      <c r="H1780" s="28"/>
      <c r="I1780" s="28"/>
      <c r="J1780" s="255" t="str">
        <f>IF(H1780="","",(_xlfn.XLOOKUP(H1780,Cadastros!$D$6:$D$90,Cadastros!$E$6:$E$90))*(1-_xlfn.XLOOKUP(_xlfn.XLOOKUP($F1780,Clientes!$B$4:$B$39,Clientes!$C$4:$C$39),Cadastros!$L$6:$L$12,Cadastros!$N$6:$N$12)))</f>
        <v/>
      </c>
      <c r="K1780" s="168" t="str">
        <f t="shared" si="352"/>
        <v/>
      </c>
      <c r="L1780" s="168" t="str">
        <f>IFERROR(K1780/_xlfn.XLOOKUP(_xlfn.XLOOKUP($F1780,Clientes!$B$4:$B$39,Clientes!$C$4:$C$39),Cadastros!$L$6:$L$12,Cadastros!$M$6:$M$12)," ")</f>
        <v xml:space="preserve"> </v>
      </c>
      <c r="M1780" s="28"/>
      <c r="N1780" s="28"/>
      <c r="O1780" s="255" t="str">
        <f>IF(M1780="","",(_xlfn.XLOOKUP(M1780,Cadastros!$D$6:$D$90,Cadastros!$E$6:$E$90))*(1-_xlfn.XLOOKUP(_xlfn.XLOOKUP($F1780,Clientes!$B$4:$B$39,Clientes!$C$4:$C$39),Cadastros!$L$6:$L$12,Cadastros!$N$6:$N$12)))</f>
        <v/>
      </c>
      <c r="P1780" s="168" t="str">
        <f t="shared" si="353"/>
        <v/>
      </c>
      <c r="Q1780" s="168" t="str">
        <f>IFERROR(P1780/_xlfn.XLOOKUP(_xlfn.XLOOKUP($F1780,Clientes!$B$4:$B$39,Clientes!$C$4:$C$39),Cadastros!$L$6:$L$12,Cadastros!$M$6:$M$12)," ")</f>
        <v xml:space="preserve"> </v>
      </c>
      <c r="R1780" s="28"/>
      <c r="S1780" s="28"/>
      <c r="T1780" s="255" t="str">
        <f>IF(R1780="","",(_xlfn.XLOOKUP(R1780,Cadastros!$D$6:$D$90,Cadastros!$E$6:$E$90))*(1-_xlfn.XLOOKUP(_xlfn.XLOOKUP($F1780,Clientes!$B$4:$B$39,Clientes!$C$4:$C$39),Cadastros!$L$6:$L$12,Cadastros!$N$6:$N$12)))</f>
        <v/>
      </c>
      <c r="U1780" s="168" t="str">
        <f t="shared" si="354"/>
        <v/>
      </c>
      <c r="V1780" s="168" t="str">
        <f>IFERROR(U1780/_xlfn.XLOOKUP(_xlfn.XLOOKUP($F1780,Clientes!$B$4:$B$39,Clientes!$C$4:$C$39),Cadastros!$L$6:$L$12,Cadastros!$M$6:$M$12)," ")</f>
        <v xml:space="preserve"> </v>
      </c>
      <c r="W1780" s="28"/>
      <c r="X1780" s="28"/>
      <c r="Y1780" s="255" t="str">
        <f>IF(W1780="","",(_xlfn.XLOOKUP(W1780,Cadastros!$D$6:$D$90,Cadastros!$E$6:$E$90))*(1-_xlfn.XLOOKUP(_xlfn.XLOOKUP($F1780,Clientes!$B$4:$B$39,Clientes!$C$4:$C$39),Cadastros!$L$6:$L$12,Cadastros!$N$6:$N$12)))</f>
        <v/>
      </c>
      <c r="Z1780" s="168" t="str">
        <f t="shared" si="355"/>
        <v/>
      </c>
      <c r="AA1780" s="168" t="str">
        <f>IFERROR(Z1780/_xlfn.XLOOKUP(_xlfn.XLOOKUP($F1780,Clientes!$B$4:$B$39,Clientes!$C$4:$C$39),Cadastros!$L$6:$L$12,Cadastros!$M$6:$M$12)," ")</f>
        <v xml:space="preserve"> </v>
      </c>
      <c r="AB1780" s="28"/>
      <c r="AC1780" s="28"/>
      <c r="AD1780" s="20" t="str">
        <f>IF(AB1780="","",IF($F1780="Bernardino Furlan",_xlfn.XLOOKUP(AB1780,Cadastros!$G$6:$G$90,Cadastros!$H$6:$H$90)*(1-0.18),IF($F1780="Mauro José Salanti",_xlfn.XLOOKUP(AB1780,Cadastros!$G$6:$G$90,Cadastros!$H$6:$H$90)*(1-0.18),_xlfn.XLOOKUP(AB1780,Cadastros!$G$6:$G$90,Cadastros!$H$6:$H$90))))</f>
        <v/>
      </c>
      <c r="AE1780" s="168" t="str">
        <f t="shared" si="356"/>
        <v/>
      </c>
      <c r="AF1780" s="168" t="str">
        <f t="shared" si="357"/>
        <v/>
      </c>
      <c r="AG1780" s="28"/>
      <c r="AH1780" s="28"/>
      <c r="AI1780" s="20" t="str">
        <f>IF(AG1780="","",IF($F1780="Bernardino Furlan",_xlfn.XLOOKUP(AG1780,Cadastros!$G$6:$G$90,Cadastros!$H$6:$H$90)*(1-0.18),IF($F1780="Mauro José Salanti",_xlfn.XLOOKUP(AG1780,Cadastros!$G$6:$G$90,Cadastros!$H$6:$H$90)*(1-0.18),_xlfn.XLOOKUP(AG1780,Cadastros!$G$6:$G$90,Cadastros!$H$6:$H$90))))</f>
        <v/>
      </c>
      <c r="AJ1780" s="168" t="str">
        <f t="shared" si="358"/>
        <v/>
      </c>
      <c r="AK1780" s="168" t="str">
        <f t="shared" si="359"/>
        <v/>
      </c>
      <c r="AL1780" s="28"/>
      <c r="AM1780" s="28"/>
      <c r="AN1780" s="20" t="str">
        <f>IF(AL1780="","",IF($F1780="Bernardino Furlan",_xlfn.XLOOKUP(AL1780,Cadastros!$G$6:$G$90,Cadastros!$H$6:$H$90)*(1-0.18),IF($F1780="Mauro José Salanti",_xlfn.XLOOKUP(AL1780,Cadastros!$G$6:$G$90,Cadastros!$H$6:$H$90)*(1-0.18),_xlfn.XLOOKUP(AL1780,Cadastros!$G$6:$G$90,Cadastros!$H$6:$H$90))))</f>
        <v/>
      </c>
      <c r="AO1780" s="168" t="str">
        <f t="shared" si="360"/>
        <v/>
      </c>
      <c r="AP1780" s="168" t="str">
        <f t="shared" si="361"/>
        <v/>
      </c>
      <c r="AQ1780" s="28"/>
      <c r="AR1780" s="28"/>
      <c r="AS1780" s="20" t="str">
        <f>IF(AQ1780="","",IF($F1780="Bernardino Furlan",_xlfn.XLOOKUP(AQ1780,Cadastros!$G$6:$G$90,Cadastros!$H$6:$H$90)*(1-0.18),IF($F1780="Mauro José Salanti",_xlfn.XLOOKUP(AQ1780,Cadastros!$G$6:$G$90,Cadastros!$H$6:$H$90)*(1-0.18),_xlfn.XLOOKUP(AQ1780,Cadastros!$G$6:$G$90,Cadastros!$H$6:$H$90))))</f>
        <v/>
      </c>
      <c r="AT1780" s="168" t="str">
        <f t="shared" si="362"/>
        <v/>
      </c>
      <c r="AU1780" s="168" t="str">
        <f t="shared" si="363"/>
        <v/>
      </c>
      <c r="AV1780" s="227"/>
      <c r="AW1780" s="30"/>
      <c r="AX1780" s="267"/>
      <c r="AY1780" s="267"/>
      <c r="AZ1780" s="29"/>
      <c r="BA1780" s="30"/>
      <c r="BB1780" s="23" t="str" cm="1">
        <f t="array" ref="BB1780">_xlfn.IFS(AW1780="SIM",SUM(K1780,P1780,U1780,Z1780,AE1780,AJ1780,AO1780,AT1780,AX1780,AY1780),F1780&lt;&gt;"",SUM(K1780,P1780,U1780,Z1780,AE1780,AJ1780,,AO1780,AT1780),F1780="","")</f>
        <v/>
      </c>
      <c r="BC1780" s="211" t="str" cm="1">
        <f t="array" ref="BC1780">_xlfn.IFS(E1780="","",G1780&lt;=E1780,BB1780*(1-0.03),G1780&lt;(E1780+8),BB1780,AZ1780="Boleto",BB1780*(1+0.001)^DATEDIF(E1780,G1780,"D"),AZ1780="Cheque",BB1780,AZ1780="Dinheiro","Alterar forma pgto")</f>
        <v/>
      </c>
      <c r="BD1780" s="276" t="str" cm="1">
        <f t="array" ref="BD1780">IF(F1780=0," ",IF(BC1780&lt;BB1780,(_xlfn.IFS(AW1780="SIM",SUM(L1780,Q1780,V1780,AA1780,AF1780,AK1780,AP1780,AU1780)+AX1780/_xlfn.XLOOKUP(_xlfn.XLOOKUP($F1780,Clientes!$B$4:$B$39,Clientes!$C$4:$C$39),Cadastros!$L$6:$L$12,Cadastros!$M$6:$M$12)+IF($F1780="Bernardino Furlan",AY1780/2751.92,IF($F1780="Mauro José Salanti",AY1780/2751.92,AY1780/3356)),F1780&lt;&gt;0,SUM(L1780,Q1780,V1780,AA1780,AF1780,AK1780,AP1780,AU1780)))*(1-0.03),_xlfn.IFS(AW1780="SIM",SUM(L1780,Q1780,V1780,AA1780,AF1780,AK1780,AP1780,AU1780)+AX1780/_xlfn.XLOOKUP(_xlfn.XLOOKUP($F1780,Clientes!$B$4:$B$39,Clientes!$C$4:$C$39),Cadastros!$L$6:$L$12,Cadastros!$M$6:$M$12)+IF($F1780="Bernardino Furlan",AY1780/2751.92,IF($F1780="Mauro José Salanti",AY1780/2751.92,AY1780/3356)),F1780&lt;&gt;0,SUM(L1780,Q1780,V1780,AA1780,AF1780,AK1780,AP1780,AU1780))))</f>
        <v xml:space="preserve"> </v>
      </c>
      <c r="BE1780" s="120"/>
      <c r="BF1780" s="120"/>
      <c r="BG1780" s="120"/>
    </row>
    <row r="1781" spans="1:59" s="3" customFormat="1" x14ac:dyDescent="0.3">
      <c r="A1781" s="15" t="str">
        <f t="shared" si="351"/>
        <v/>
      </c>
      <c r="B1781" s="25"/>
      <c r="C1781" s="26"/>
      <c r="D1781" s="279"/>
      <c r="E1781" s="27"/>
      <c r="F1781" s="28"/>
      <c r="G1781" s="27"/>
      <c r="H1781" s="28"/>
      <c r="I1781" s="28"/>
      <c r="J1781" s="255" t="str">
        <f>IF(H1781="","",(_xlfn.XLOOKUP(H1781,Cadastros!$D$6:$D$90,Cadastros!$E$6:$E$90))*(1-_xlfn.XLOOKUP(_xlfn.XLOOKUP($F1781,Clientes!$B$4:$B$39,Clientes!$C$4:$C$39),Cadastros!$L$6:$L$12,Cadastros!$N$6:$N$12)))</f>
        <v/>
      </c>
      <c r="K1781" s="168" t="str">
        <f t="shared" si="352"/>
        <v/>
      </c>
      <c r="L1781" s="168" t="str">
        <f>IFERROR(K1781/_xlfn.XLOOKUP(_xlfn.XLOOKUP($F1781,Clientes!$B$4:$B$39,Clientes!$C$4:$C$39),Cadastros!$L$6:$L$12,Cadastros!$M$6:$M$12)," ")</f>
        <v xml:space="preserve"> </v>
      </c>
      <c r="M1781" s="28"/>
      <c r="N1781" s="28"/>
      <c r="O1781" s="255" t="str">
        <f>IF(M1781="","",(_xlfn.XLOOKUP(M1781,Cadastros!$D$6:$D$90,Cadastros!$E$6:$E$90))*(1-_xlfn.XLOOKUP(_xlfn.XLOOKUP($F1781,Clientes!$B$4:$B$39,Clientes!$C$4:$C$39),Cadastros!$L$6:$L$12,Cadastros!$N$6:$N$12)))</f>
        <v/>
      </c>
      <c r="P1781" s="168" t="str">
        <f t="shared" si="353"/>
        <v/>
      </c>
      <c r="Q1781" s="168" t="str">
        <f>IFERROR(P1781/_xlfn.XLOOKUP(_xlfn.XLOOKUP($F1781,Clientes!$B$4:$B$39,Clientes!$C$4:$C$39),Cadastros!$L$6:$L$12,Cadastros!$M$6:$M$12)," ")</f>
        <v xml:space="preserve"> </v>
      </c>
      <c r="R1781" s="28"/>
      <c r="S1781" s="28"/>
      <c r="T1781" s="255" t="str">
        <f>IF(R1781="","",(_xlfn.XLOOKUP(R1781,Cadastros!$D$6:$D$90,Cadastros!$E$6:$E$90))*(1-_xlfn.XLOOKUP(_xlfn.XLOOKUP($F1781,Clientes!$B$4:$B$39,Clientes!$C$4:$C$39),Cadastros!$L$6:$L$12,Cadastros!$N$6:$N$12)))</f>
        <v/>
      </c>
      <c r="U1781" s="168" t="str">
        <f t="shared" si="354"/>
        <v/>
      </c>
      <c r="V1781" s="168" t="str">
        <f>IFERROR(U1781/_xlfn.XLOOKUP(_xlfn.XLOOKUP($F1781,Clientes!$B$4:$B$39,Clientes!$C$4:$C$39),Cadastros!$L$6:$L$12,Cadastros!$M$6:$M$12)," ")</f>
        <v xml:space="preserve"> </v>
      </c>
      <c r="W1781" s="28"/>
      <c r="X1781" s="28"/>
      <c r="Y1781" s="255" t="str">
        <f>IF(W1781="","",(_xlfn.XLOOKUP(W1781,Cadastros!$D$6:$D$90,Cadastros!$E$6:$E$90))*(1-_xlfn.XLOOKUP(_xlfn.XLOOKUP($F1781,Clientes!$B$4:$B$39,Clientes!$C$4:$C$39),Cadastros!$L$6:$L$12,Cadastros!$N$6:$N$12)))</f>
        <v/>
      </c>
      <c r="Z1781" s="168" t="str">
        <f t="shared" si="355"/>
        <v/>
      </c>
      <c r="AA1781" s="168" t="str">
        <f>IFERROR(Z1781/_xlfn.XLOOKUP(_xlfn.XLOOKUP($F1781,Clientes!$B$4:$B$39,Clientes!$C$4:$C$39),Cadastros!$L$6:$L$12,Cadastros!$M$6:$M$12)," ")</f>
        <v xml:space="preserve"> </v>
      </c>
      <c r="AB1781" s="28"/>
      <c r="AC1781" s="28"/>
      <c r="AD1781" s="20" t="str">
        <f>IF(AB1781="","",IF($F1781="Bernardino Furlan",_xlfn.XLOOKUP(AB1781,Cadastros!$G$6:$G$90,Cadastros!$H$6:$H$90)*(1-0.18),IF($F1781="Mauro José Salanti",_xlfn.XLOOKUP(AB1781,Cadastros!$G$6:$G$90,Cadastros!$H$6:$H$90)*(1-0.18),_xlfn.XLOOKUP(AB1781,Cadastros!$G$6:$G$90,Cadastros!$H$6:$H$90))))</f>
        <v/>
      </c>
      <c r="AE1781" s="168" t="str">
        <f t="shared" si="356"/>
        <v/>
      </c>
      <c r="AF1781" s="168" t="str">
        <f t="shared" si="357"/>
        <v/>
      </c>
      <c r="AG1781" s="28"/>
      <c r="AH1781" s="28"/>
      <c r="AI1781" s="20" t="str">
        <f>IF(AG1781="","",IF($F1781="Bernardino Furlan",_xlfn.XLOOKUP(AG1781,Cadastros!$G$6:$G$90,Cadastros!$H$6:$H$90)*(1-0.18),IF($F1781="Mauro José Salanti",_xlfn.XLOOKUP(AG1781,Cadastros!$G$6:$G$90,Cadastros!$H$6:$H$90)*(1-0.18),_xlfn.XLOOKUP(AG1781,Cadastros!$G$6:$G$90,Cadastros!$H$6:$H$90))))</f>
        <v/>
      </c>
      <c r="AJ1781" s="168" t="str">
        <f t="shared" si="358"/>
        <v/>
      </c>
      <c r="AK1781" s="168" t="str">
        <f t="shared" si="359"/>
        <v/>
      </c>
      <c r="AL1781" s="28"/>
      <c r="AM1781" s="28"/>
      <c r="AN1781" s="20" t="str">
        <f>IF(AL1781="","",IF($F1781="Bernardino Furlan",_xlfn.XLOOKUP(AL1781,Cadastros!$G$6:$G$90,Cadastros!$H$6:$H$90)*(1-0.18),IF($F1781="Mauro José Salanti",_xlfn.XLOOKUP(AL1781,Cadastros!$G$6:$G$90,Cadastros!$H$6:$H$90)*(1-0.18),_xlfn.XLOOKUP(AL1781,Cadastros!$G$6:$G$90,Cadastros!$H$6:$H$90))))</f>
        <v/>
      </c>
      <c r="AO1781" s="168" t="str">
        <f t="shared" si="360"/>
        <v/>
      </c>
      <c r="AP1781" s="168" t="str">
        <f t="shared" si="361"/>
        <v/>
      </c>
      <c r="AQ1781" s="28"/>
      <c r="AR1781" s="28"/>
      <c r="AS1781" s="20" t="str">
        <f>IF(AQ1781="","",IF($F1781="Bernardino Furlan",_xlfn.XLOOKUP(AQ1781,Cadastros!$G$6:$G$90,Cadastros!$H$6:$H$90)*(1-0.18),IF($F1781="Mauro José Salanti",_xlfn.XLOOKUP(AQ1781,Cadastros!$G$6:$G$90,Cadastros!$H$6:$H$90)*(1-0.18),_xlfn.XLOOKUP(AQ1781,Cadastros!$G$6:$G$90,Cadastros!$H$6:$H$90))))</f>
        <v/>
      </c>
      <c r="AT1781" s="168" t="str">
        <f t="shared" si="362"/>
        <v/>
      </c>
      <c r="AU1781" s="168" t="str">
        <f t="shared" si="363"/>
        <v/>
      </c>
      <c r="AV1781" s="227"/>
      <c r="AW1781" s="30"/>
      <c r="AX1781" s="267"/>
      <c r="AY1781" s="267"/>
      <c r="AZ1781" s="29"/>
      <c r="BA1781" s="30"/>
      <c r="BB1781" s="23" t="str" cm="1">
        <f t="array" ref="BB1781">_xlfn.IFS(AW1781="SIM",SUM(K1781,P1781,U1781,Z1781,AE1781,AJ1781,AO1781,AT1781,AX1781,AY1781),F1781&lt;&gt;"",SUM(K1781,P1781,U1781,Z1781,AE1781,AJ1781,,AO1781,AT1781),F1781="","")</f>
        <v/>
      </c>
      <c r="BC1781" s="211" t="str" cm="1">
        <f t="array" ref="BC1781">_xlfn.IFS(E1781="","",G1781&lt;=E1781,BB1781*(1-0.03),G1781&lt;(E1781+8),BB1781,AZ1781="Boleto",BB1781*(1+0.001)^DATEDIF(E1781,G1781,"D"),AZ1781="Cheque",BB1781,AZ1781="Dinheiro","Alterar forma pgto")</f>
        <v/>
      </c>
      <c r="BD1781" s="276" t="str" cm="1">
        <f t="array" ref="BD1781">IF(F1781=0," ",IF(BC1781&lt;BB1781,(_xlfn.IFS(AW1781="SIM",SUM(L1781,Q1781,V1781,AA1781,AF1781,AK1781,AP1781,AU1781)+AX1781/_xlfn.XLOOKUP(_xlfn.XLOOKUP($F1781,Clientes!$B$4:$B$39,Clientes!$C$4:$C$39),Cadastros!$L$6:$L$12,Cadastros!$M$6:$M$12)+IF($F1781="Bernardino Furlan",AY1781/2751.92,IF($F1781="Mauro José Salanti",AY1781/2751.92,AY1781/3356)),F1781&lt;&gt;0,SUM(L1781,Q1781,V1781,AA1781,AF1781,AK1781,AP1781,AU1781)))*(1-0.03),_xlfn.IFS(AW1781="SIM",SUM(L1781,Q1781,V1781,AA1781,AF1781,AK1781,AP1781,AU1781)+AX1781/_xlfn.XLOOKUP(_xlfn.XLOOKUP($F1781,Clientes!$B$4:$B$39,Clientes!$C$4:$C$39),Cadastros!$L$6:$L$12,Cadastros!$M$6:$M$12)+IF($F1781="Bernardino Furlan",AY1781/2751.92,IF($F1781="Mauro José Salanti",AY1781/2751.92,AY1781/3356)),F1781&lt;&gt;0,SUM(L1781,Q1781,V1781,AA1781,AF1781,AK1781,AP1781,AU1781))))</f>
        <v xml:space="preserve"> </v>
      </c>
      <c r="BE1781" s="120"/>
      <c r="BF1781" s="120"/>
      <c r="BG1781" s="120"/>
    </row>
    <row r="1782" spans="1:59" s="3" customFormat="1" x14ac:dyDescent="0.3">
      <c r="A1782" s="15" t="str">
        <f t="shared" si="351"/>
        <v/>
      </c>
      <c r="B1782" s="25"/>
      <c r="C1782" s="26"/>
      <c r="D1782" s="279"/>
      <c r="E1782" s="27"/>
      <c r="F1782" s="28"/>
      <c r="G1782" s="27"/>
      <c r="H1782" s="28"/>
      <c r="I1782" s="28"/>
      <c r="J1782" s="255" t="str">
        <f>IF(H1782="","",(_xlfn.XLOOKUP(H1782,Cadastros!$D$6:$D$90,Cadastros!$E$6:$E$90))*(1-_xlfn.XLOOKUP(_xlfn.XLOOKUP($F1782,Clientes!$B$4:$B$39,Clientes!$C$4:$C$39),Cadastros!$L$6:$L$12,Cadastros!$N$6:$N$12)))</f>
        <v/>
      </c>
      <c r="K1782" s="168" t="str">
        <f t="shared" si="352"/>
        <v/>
      </c>
      <c r="L1782" s="168" t="str">
        <f>IFERROR(K1782/_xlfn.XLOOKUP(_xlfn.XLOOKUP($F1782,Clientes!$B$4:$B$39,Clientes!$C$4:$C$39),Cadastros!$L$6:$L$12,Cadastros!$M$6:$M$12)," ")</f>
        <v xml:space="preserve"> </v>
      </c>
      <c r="M1782" s="28"/>
      <c r="N1782" s="28"/>
      <c r="O1782" s="255" t="str">
        <f>IF(M1782="","",(_xlfn.XLOOKUP(M1782,Cadastros!$D$6:$D$90,Cadastros!$E$6:$E$90))*(1-_xlfn.XLOOKUP(_xlfn.XLOOKUP($F1782,Clientes!$B$4:$B$39,Clientes!$C$4:$C$39),Cadastros!$L$6:$L$12,Cadastros!$N$6:$N$12)))</f>
        <v/>
      </c>
      <c r="P1782" s="168" t="str">
        <f t="shared" si="353"/>
        <v/>
      </c>
      <c r="Q1782" s="168" t="str">
        <f>IFERROR(P1782/_xlfn.XLOOKUP(_xlfn.XLOOKUP($F1782,Clientes!$B$4:$B$39,Clientes!$C$4:$C$39),Cadastros!$L$6:$L$12,Cadastros!$M$6:$M$12)," ")</f>
        <v xml:space="preserve"> </v>
      </c>
      <c r="R1782" s="28"/>
      <c r="S1782" s="28"/>
      <c r="T1782" s="255" t="str">
        <f>IF(R1782="","",(_xlfn.XLOOKUP(R1782,Cadastros!$D$6:$D$90,Cadastros!$E$6:$E$90))*(1-_xlfn.XLOOKUP(_xlfn.XLOOKUP($F1782,Clientes!$B$4:$B$39,Clientes!$C$4:$C$39),Cadastros!$L$6:$L$12,Cadastros!$N$6:$N$12)))</f>
        <v/>
      </c>
      <c r="U1782" s="168" t="str">
        <f t="shared" si="354"/>
        <v/>
      </c>
      <c r="V1782" s="168" t="str">
        <f>IFERROR(U1782/_xlfn.XLOOKUP(_xlfn.XLOOKUP($F1782,Clientes!$B$4:$B$39,Clientes!$C$4:$C$39),Cadastros!$L$6:$L$12,Cadastros!$M$6:$M$12)," ")</f>
        <v xml:space="preserve"> </v>
      </c>
      <c r="W1782" s="28"/>
      <c r="X1782" s="28"/>
      <c r="Y1782" s="255" t="str">
        <f>IF(W1782="","",(_xlfn.XLOOKUP(W1782,Cadastros!$D$6:$D$90,Cadastros!$E$6:$E$90))*(1-_xlfn.XLOOKUP(_xlfn.XLOOKUP($F1782,Clientes!$B$4:$B$39,Clientes!$C$4:$C$39),Cadastros!$L$6:$L$12,Cadastros!$N$6:$N$12)))</f>
        <v/>
      </c>
      <c r="Z1782" s="168" t="str">
        <f t="shared" si="355"/>
        <v/>
      </c>
      <c r="AA1782" s="168" t="str">
        <f>IFERROR(Z1782/_xlfn.XLOOKUP(_xlfn.XLOOKUP($F1782,Clientes!$B$4:$B$39,Clientes!$C$4:$C$39),Cadastros!$L$6:$L$12,Cadastros!$M$6:$M$12)," ")</f>
        <v xml:space="preserve"> </v>
      </c>
      <c r="AB1782" s="28"/>
      <c r="AC1782" s="28"/>
      <c r="AD1782" s="20" t="str">
        <f>IF(AB1782="","",IF($F1782="Bernardino Furlan",_xlfn.XLOOKUP(AB1782,Cadastros!$G$6:$G$90,Cadastros!$H$6:$H$90)*(1-0.18),IF($F1782="Mauro José Salanti",_xlfn.XLOOKUP(AB1782,Cadastros!$G$6:$G$90,Cadastros!$H$6:$H$90)*(1-0.18),_xlfn.XLOOKUP(AB1782,Cadastros!$G$6:$G$90,Cadastros!$H$6:$H$90))))</f>
        <v/>
      </c>
      <c r="AE1782" s="168" t="str">
        <f t="shared" si="356"/>
        <v/>
      </c>
      <c r="AF1782" s="168" t="str">
        <f t="shared" si="357"/>
        <v/>
      </c>
      <c r="AG1782" s="28"/>
      <c r="AH1782" s="28"/>
      <c r="AI1782" s="20" t="str">
        <f>IF(AG1782="","",IF($F1782="Bernardino Furlan",_xlfn.XLOOKUP(AG1782,Cadastros!$G$6:$G$90,Cadastros!$H$6:$H$90)*(1-0.18),IF($F1782="Mauro José Salanti",_xlfn.XLOOKUP(AG1782,Cadastros!$G$6:$G$90,Cadastros!$H$6:$H$90)*(1-0.18),_xlfn.XLOOKUP(AG1782,Cadastros!$G$6:$G$90,Cadastros!$H$6:$H$90))))</f>
        <v/>
      </c>
      <c r="AJ1782" s="168" t="str">
        <f t="shared" si="358"/>
        <v/>
      </c>
      <c r="AK1782" s="168" t="str">
        <f t="shared" si="359"/>
        <v/>
      </c>
      <c r="AL1782" s="28"/>
      <c r="AM1782" s="28"/>
      <c r="AN1782" s="20" t="str">
        <f>IF(AL1782="","",IF($F1782="Bernardino Furlan",_xlfn.XLOOKUP(AL1782,Cadastros!$G$6:$G$90,Cadastros!$H$6:$H$90)*(1-0.18),IF($F1782="Mauro José Salanti",_xlfn.XLOOKUP(AL1782,Cadastros!$G$6:$G$90,Cadastros!$H$6:$H$90)*(1-0.18),_xlfn.XLOOKUP(AL1782,Cadastros!$G$6:$G$90,Cadastros!$H$6:$H$90))))</f>
        <v/>
      </c>
      <c r="AO1782" s="168" t="str">
        <f t="shared" si="360"/>
        <v/>
      </c>
      <c r="AP1782" s="168" t="str">
        <f t="shared" si="361"/>
        <v/>
      </c>
      <c r="AQ1782" s="28"/>
      <c r="AR1782" s="28"/>
      <c r="AS1782" s="20" t="str">
        <f>IF(AQ1782="","",IF($F1782="Bernardino Furlan",_xlfn.XLOOKUP(AQ1782,Cadastros!$G$6:$G$90,Cadastros!$H$6:$H$90)*(1-0.18),IF($F1782="Mauro José Salanti",_xlfn.XLOOKUP(AQ1782,Cadastros!$G$6:$G$90,Cadastros!$H$6:$H$90)*(1-0.18),_xlfn.XLOOKUP(AQ1782,Cadastros!$G$6:$G$90,Cadastros!$H$6:$H$90))))</f>
        <v/>
      </c>
      <c r="AT1782" s="168" t="str">
        <f t="shared" si="362"/>
        <v/>
      </c>
      <c r="AU1782" s="168" t="str">
        <f t="shared" si="363"/>
        <v/>
      </c>
      <c r="AV1782" s="227"/>
      <c r="AW1782" s="30"/>
      <c r="AX1782" s="267"/>
      <c r="AY1782" s="267"/>
      <c r="AZ1782" s="29"/>
      <c r="BA1782" s="30"/>
      <c r="BB1782" s="23" t="str" cm="1">
        <f t="array" ref="BB1782">_xlfn.IFS(AW1782="SIM",SUM(K1782,P1782,U1782,Z1782,AE1782,AJ1782,AO1782,AT1782,AX1782,AY1782),F1782&lt;&gt;"",SUM(K1782,P1782,U1782,Z1782,AE1782,AJ1782,,AO1782,AT1782),F1782="","")</f>
        <v/>
      </c>
      <c r="BC1782" s="211" t="str" cm="1">
        <f t="array" ref="BC1782">_xlfn.IFS(E1782="","",G1782&lt;=E1782,BB1782*(1-0.03),G1782&lt;(E1782+8),BB1782,AZ1782="Boleto",BB1782*(1+0.001)^DATEDIF(E1782,G1782,"D"),AZ1782="Cheque",BB1782,AZ1782="Dinheiro","Alterar forma pgto")</f>
        <v/>
      </c>
      <c r="BD1782" s="276" t="str" cm="1">
        <f t="array" ref="BD1782">IF(F1782=0," ",IF(BC1782&lt;BB1782,(_xlfn.IFS(AW1782="SIM",SUM(L1782,Q1782,V1782,AA1782,AF1782,AK1782,AP1782,AU1782)+AX1782/_xlfn.XLOOKUP(_xlfn.XLOOKUP($F1782,Clientes!$B$4:$B$39,Clientes!$C$4:$C$39),Cadastros!$L$6:$L$12,Cadastros!$M$6:$M$12)+IF($F1782="Bernardino Furlan",AY1782/2751.92,IF($F1782="Mauro José Salanti",AY1782/2751.92,AY1782/3356)),F1782&lt;&gt;0,SUM(L1782,Q1782,V1782,AA1782,AF1782,AK1782,AP1782,AU1782)))*(1-0.03),_xlfn.IFS(AW1782="SIM",SUM(L1782,Q1782,V1782,AA1782,AF1782,AK1782,AP1782,AU1782)+AX1782/_xlfn.XLOOKUP(_xlfn.XLOOKUP($F1782,Clientes!$B$4:$B$39,Clientes!$C$4:$C$39),Cadastros!$L$6:$L$12,Cadastros!$M$6:$M$12)+IF($F1782="Bernardino Furlan",AY1782/2751.92,IF($F1782="Mauro José Salanti",AY1782/2751.92,AY1782/3356)),F1782&lt;&gt;0,SUM(L1782,Q1782,V1782,AA1782,AF1782,AK1782,AP1782,AU1782))))</f>
        <v xml:space="preserve"> </v>
      </c>
      <c r="BE1782" s="120"/>
      <c r="BF1782" s="120"/>
      <c r="BG1782" s="120"/>
    </row>
    <row r="1783" spans="1:59" s="3" customFormat="1" x14ac:dyDescent="0.3">
      <c r="A1783" s="15" t="str">
        <f t="shared" si="351"/>
        <v/>
      </c>
      <c r="B1783" s="25"/>
      <c r="C1783" s="26"/>
      <c r="D1783" s="279"/>
      <c r="E1783" s="27"/>
      <c r="F1783" s="28"/>
      <c r="G1783" s="27"/>
      <c r="H1783" s="28"/>
      <c r="I1783" s="28"/>
      <c r="J1783" s="255" t="str">
        <f>IF(H1783="","",(_xlfn.XLOOKUP(H1783,Cadastros!$D$6:$D$90,Cadastros!$E$6:$E$90))*(1-_xlfn.XLOOKUP(_xlfn.XLOOKUP($F1783,Clientes!$B$4:$B$39,Clientes!$C$4:$C$39),Cadastros!$L$6:$L$12,Cadastros!$N$6:$N$12)))</f>
        <v/>
      </c>
      <c r="K1783" s="168" t="str">
        <f t="shared" si="352"/>
        <v/>
      </c>
      <c r="L1783" s="168" t="str">
        <f>IFERROR(K1783/_xlfn.XLOOKUP(_xlfn.XLOOKUP($F1783,Clientes!$B$4:$B$39,Clientes!$C$4:$C$39),Cadastros!$L$6:$L$12,Cadastros!$M$6:$M$12)," ")</f>
        <v xml:space="preserve"> </v>
      </c>
      <c r="M1783" s="28"/>
      <c r="N1783" s="28"/>
      <c r="O1783" s="255" t="str">
        <f>IF(M1783="","",(_xlfn.XLOOKUP(M1783,Cadastros!$D$6:$D$90,Cadastros!$E$6:$E$90))*(1-_xlfn.XLOOKUP(_xlfn.XLOOKUP($F1783,Clientes!$B$4:$B$39,Clientes!$C$4:$C$39),Cadastros!$L$6:$L$12,Cadastros!$N$6:$N$12)))</f>
        <v/>
      </c>
      <c r="P1783" s="168" t="str">
        <f t="shared" si="353"/>
        <v/>
      </c>
      <c r="Q1783" s="168" t="str">
        <f>IFERROR(P1783/_xlfn.XLOOKUP(_xlfn.XLOOKUP($F1783,Clientes!$B$4:$B$39,Clientes!$C$4:$C$39),Cadastros!$L$6:$L$12,Cadastros!$M$6:$M$12)," ")</f>
        <v xml:space="preserve"> </v>
      </c>
      <c r="R1783" s="28"/>
      <c r="S1783" s="28"/>
      <c r="T1783" s="255" t="str">
        <f>IF(R1783="","",(_xlfn.XLOOKUP(R1783,Cadastros!$D$6:$D$90,Cadastros!$E$6:$E$90))*(1-_xlfn.XLOOKUP(_xlfn.XLOOKUP($F1783,Clientes!$B$4:$B$39,Clientes!$C$4:$C$39),Cadastros!$L$6:$L$12,Cadastros!$N$6:$N$12)))</f>
        <v/>
      </c>
      <c r="U1783" s="168" t="str">
        <f t="shared" si="354"/>
        <v/>
      </c>
      <c r="V1783" s="168" t="str">
        <f>IFERROR(U1783/_xlfn.XLOOKUP(_xlfn.XLOOKUP($F1783,Clientes!$B$4:$B$39,Clientes!$C$4:$C$39),Cadastros!$L$6:$L$12,Cadastros!$M$6:$M$12)," ")</f>
        <v xml:space="preserve"> </v>
      </c>
      <c r="W1783" s="28"/>
      <c r="X1783" s="28"/>
      <c r="Y1783" s="255" t="str">
        <f>IF(W1783="","",(_xlfn.XLOOKUP(W1783,Cadastros!$D$6:$D$90,Cadastros!$E$6:$E$90))*(1-_xlfn.XLOOKUP(_xlfn.XLOOKUP($F1783,Clientes!$B$4:$B$39,Clientes!$C$4:$C$39),Cadastros!$L$6:$L$12,Cadastros!$N$6:$N$12)))</f>
        <v/>
      </c>
      <c r="Z1783" s="168" t="str">
        <f t="shared" si="355"/>
        <v/>
      </c>
      <c r="AA1783" s="168" t="str">
        <f>IFERROR(Z1783/_xlfn.XLOOKUP(_xlfn.XLOOKUP($F1783,Clientes!$B$4:$B$39,Clientes!$C$4:$C$39),Cadastros!$L$6:$L$12,Cadastros!$M$6:$M$12)," ")</f>
        <v xml:space="preserve"> </v>
      </c>
      <c r="AB1783" s="28"/>
      <c r="AC1783" s="28"/>
      <c r="AD1783" s="20" t="str">
        <f>IF(AB1783="","",IF($F1783="Bernardino Furlan",_xlfn.XLOOKUP(AB1783,Cadastros!$G$6:$G$90,Cadastros!$H$6:$H$90)*(1-0.18),IF($F1783="Mauro José Salanti",_xlfn.XLOOKUP(AB1783,Cadastros!$G$6:$G$90,Cadastros!$H$6:$H$90)*(1-0.18),_xlfn.XLOOKUP(AB1783,Cadastros!$G$6:$G$90,Cadastros!$H$6:$H$90))))</f>
        <v/>
      </c>
      <c r="AE1783" s="168" t="str">
        <f t="shared" si="356"/>
        <v/>
      </c>
      <c r="AF1783" s="168" t="str">
        <f t="shared" si="357"/>
        <v/>
      </c>
      <c r="AG1783" s="28"/>
      <c r="AH1783" s="28"/>
      <c r="AI1783" s="20" t="str">
        <f>IF(AG1783="","",IF($F1783="Bernardino Furlan",_xlfn.XLOOKUP(AG1783,Cadastros!$G$6:$G$90,Cadastros!$H$6:$H$90)*(1-0.18),IF($F1783="Mauro José Salanti",_xlfn.XLOOKUP(AG1783,Cadastros!$G$6:$G$90,Cadastros!$H$6:$H$90)*(1-0.18),_xlfn.XLOOKUP(AG1783,Cadastros!$G$6:$G$90,Cadastros!$H$6:$H$90))))</f>
        <v/>
      </c>
      <c r="AJ1783" s="168" t="str">
        <f t="shared" si="358"/>
        <v/>
      </c>
      <c r="AK1783" s="168" t="str">
        <f t="shared" si="359"/>
        <v/>
      </c>
      <c r="AL1783" s="28"/>
      <c r="AM1783" s="28"/>
      <c r="AN1783" s="20" t="str">
        <f>IF(AL1783="","",IF($F1783="Bernardino Furlan",_xlfn.XLOOKUP(AL1783,Cadastros!$G$6:$G$90,Cadastros!$H$6:$H$90)*(1-0.18),IF($F1783="Mauro José Salanti",_xlfn.XLOOKUP(AL1783,Cadastros!$G$6:$G$90,Cadastros!$H$6:$H$90)*(1-0.18),_xlfn.XLOOKUP(AL1783,Cadastros!$G$6:$G$90,Cadastros!$H$6:$H$90))))</f>
        <v/>
      </c>
      <c r="AO1783" s="168" t="str">
        <f t="shared" si="360"/>
        <v/>
      </c>
      <c r="AP1783" s="168" t="str">
        <f t="shared" si="361"/>
        <v/>
      </c>
      <c r="AQ1783" s="28"/>
      <c r="AR1783" s="28"/>
      <c r="AS1783" s="20" t="str">
        <f>IF(AQ1783="","",IF($F1783="Bernardino Furlan",_xlfn.XLOOKUP(AQ1783,Cadastros!$G$6:$G$90,Cadastros!$H$6:$H$90)*(1-0.18),IF($F1783="Mauro José Salanti",_xlfn.XLOOKUP(AQ1783,Cadastros!$G$6:$G$90,Cadastros!$H$6:$H$90)*(1-0.18),_xlfn.XLOOKUP(AQ1783,Cadastros!$G$6:$G$90,Cadastros!$H$6:$H$90))))</f>
        <v/>
      </c>
      <c r="AT1783" s="168" t="str">
        <f t="shared" si="362"/>
        <v/>
      </c>
      <c r="AU1783" s="168" t="str">
        <f t="shared" si="363"/>
        <v/>
      </c>
      <c r="AV1783" s="227"/>
      <c r="AW1783" s="30"/>
      <c r="AX1783" s="267"/>
      <c r="AY1783" s="267"/>
      <c r="AZ1783" s="29"/>
      <c r="BA1783" s="30"/>
      <c r="BB1783" s="23" t="str" cm="1">
        <f t="array" ref="BB1783">_xlfn.IFS(AW1783="SIM",SUM(K1783,P1783,U1783,Z1783,AE1783,AJ1783,AO1783,AT1783,AX1783,AY1783),F1783&lt;&gt;"",SUM(K1783,P1783,U1783,Z1783,AE1783,AJ1783,,AO1783,AT1783),F1783="","")</f>
        <v/>
      </c>
      <c r="BC1783" s="211" t="str" cm="1">
        <f t="array" ref="BC1783">_xlfn.IFS(E1783="","",G1783&lt;=E1783,BB1783*(1-0.03),G1783&lt;(E1783+8),BB1783,AZ1783="Boleto",BB1783*(1+0.001)^DATEDIF(E1783,G1783,"D"),AZ1783="Cheque",BB1783,AZ1783="Dinheiro","Alterar forma pgto")</f>
        <v/>
      </c>
      <c r="BD1783" s="276" t="str" cm="1">
        <f t="array" ref="BD1783">IF(F1783=0," ",IF(BC1783&lt;BB1783,(_xlfn.IFS(AW1783="SIM",SUM(L1783,Q1783,V1783,AA1783,AF1783,AK1783,AP1783,AU1783)+AX1783/_xlfn.XLOOKUP(_xlfn.XLOOKUP($F1783,Clientes!$B$4:$B$39,Clientes!$C$4:$C$39),Cadastros!$L$6:$L$12,Cadastros!$M$6:$M$12)+IF($F1783="Bernardino Furlan",AY1783/2751.92,IF($F1783="Mauro José Salanti",AY1783/2751.92,AY1783/3356)),F1783&lt;&gt;0,SUM(L1783,Q1783,V1783,AA1783,AF1783,AK1783,AP1783,AU1783)))*(1-0.03),_xlfn.IFS(AW1783="SIM",SUM(L1783,Q1783,V1783,AA1783,AF1783,AK1783,AP1783,AU1783)+AX1783/_xlfn.XLOOKUP(_xlfn.XLOOKUP($F1783,Clientes!$B$4:$B$39,Clientes!$C$4:$C$39),Cadastros!$L$6:$L$12,Cadastros!$M$6:$M$12)+IF($F1783="Bernardino Furlan",AY1783/2751.92,IF($F1783="Mauro José Salanti",AY1783/2751.92,AY1783/3356)),F1783&lt;&gt;0,SUM(L1783,Q1783,V1783,AA1783,AF1783,AK1783,AP1783,AU1783))))</f>
        <v xml:space="preserve"> </v>
      </c>
      <c r="BE1783" s="120"/>
      <c r="BF1783" s="120"/>
      <c r="BG1783" s="120"/>
    </row>
    <row r="1784" spans="1:59" s="3" customFormat="1" x14ac:dyDescent="0.3">
      <c r="A1784" s="15" t="str">
        <f t="shared" si="351"/>
        <v/>
      </c>
      <c r="B1784" s="25"/>
      <c r="C1784" s="26"/>
      <c r="D1784" s="279"/>
      <c r="E1784" s="27"/>
      <c r="F1784" s="28"/>
      <c r="G1784" s="27"/>
      <c r="H1784" s="28"/>
      <c r="I1784" s="28"/>
      <c r="J1784" s="255" t="str">
        <f>IF(H1784="","",(_xlfn.XLOOKUP(H1784,Cadastros!$D$6:$D$90,Cadastros!$E$6:$E$90))*(1-_xlfn.XLOOKUP(_xlfn.XLOOKUP($F1784,Clientes!$B$4:$B$39,Clientes!$C$4:$C$39),Cadastros!$L$6:$L$12,Cadastros!$N$6:$N$12)))</f>
        <v/>
      </c>
      <c r="K1784" s="168" t="str">
        <f t="shared" si="352"/>
        <v/>
      </c>
      <c r="L1784" s="168" t="str">
        <f>IFERROR(K1784/_xlfn.XLOOKUP(_xlfn.XLOOKUP($F1784,Clientes!$B$4:$B$39,Clientes!$C$4:$C$39),Cadastros!$L$6:$L$12,Cadastros!$M$6:$M$12)," ")</f>
        <v xml:space="preserve"> </v>
      </c>
      <c r="M1784" s="28"/>
      <c r="N1784" s="28"/>
      <c r="O1784" s="255" t="str">
        <f>IF(M1784="","",(_xlfn.XLOOKUP(M1784,Cadastros!$D$6:$D$90,Cadastros!$E$6:$E$90))*(1-_xlfn.XLOOKUP(_xlfn.XLOOKUP($F1784,Clientes!$B$4:$B$39,Clientes!$C$4:$C$39),Cadastros!$L$6:$L$12,Cadastros!$N$6:$N$12)))</f>
        <v/>
      </c>
      <c r="P1784" s="168" t="str">
        <f t="shared" si="353"/>
        <v/>
      </c>
      <c r="Q1784" s="168" t="str">
        <f>IFERROR(P1784/_xlfn.XLOOKUP(_xlfn.XLOOKUP($F1784,Clientes!$B$4:$B$39,Clientes!$C$4:$C$39),Cadastros!$L$6:$L$12,Cadastros!$M$6:$M$12)," ")</f>
        <v xml:space="preserve"> </v>
      </c>
      <c r="R1784" s="28"/>
      <c r="S1784" s="28"/>
      <c r="T1784" s="255" t="str">
        <f>IF(R1784="","",(_xlfn.XLOOKUP(R1784,Cadastros!$D$6:$D$90,Cadastros!$E$6:$E$90))*(1-_xlfn.XLOOKUP(_xlfn.XLOOKUP($F1784,Clientes!$B$4:$B$39,Clientes!$C$4:$C$39),Cadastros!$L$6:$L$12,Cadastros!$N$6:$N$12)))</f>
        <v/>
      </c>
      <c r="U1784" s="168" t="str">
        <f t="shared" si="354"/>
        <v/>
      </c>
      <c r="V1784" s="168" t="str">
        <f>IFERROR(U1784/_xlfn.XLOOKUP(_xlfn.XLOOKUP($F1784,Clientes!$B$4:$B$39,Clientes!$C$4:$C$39),Cadastros!$L$6:$L$12,Cadastros!$M$6:$M$12)," ")</f>
        <v xml:space="preserve"> </v>
      </c>
      <c r="W1784" s="28"/>
      <c r="X1784" s="28"/>
      <c r="Y1784" s="255" t="str">
        <f>IF(W1784="","",(_xlfn.XLOOKUP(W1784,Cadastros!$D$6:$D$90,Cadastros!$E$6:$E$90))*(1-_xlfn.XLOOKUP(_xlfn.XLOOKUP($F1784,Clientes!$B$4:$B$39,Clientes!$C$4:$C$39),Cadastros!$L$6:$L$12,Cadastros!$N$6:$N$12)))</f>
        <v/>
      </c>
      <c r="Z1784" s="168" t="str">
        <f t="shared" si="355"/>
        <v/>
      </c>
      <c r="AA1784" s="168" t="str">
        <f>IFERROR(Z1784/_xlfn.XLOOKUP(_xlfn.XLOOKUP($F1784,Clientes!$B$4:$B$39,Clientes!$C$4:$C$39),Cadastros!$L$6:$L$12,Cadastros!$M$6:$M$12)," ")</f>
        <v xml:space="preserve"> </v>
      </c>
      <c r="AB1784" s="28"/>
      <c r="AC1784" s="28"/>
      <c r="AD1784" s="20" t="str">
        <f>IF(AB1784="","",IF($F1784="Bernardino Furlan",_xlfn.XLOOKUP(AB1784,Cadastros!$G$6:$G$90,Cadastros!$H$6:$H$90)*(1-0.18),IF($F1784="Mauro José Salanti",_xlfn.XLOOKUP(AB1784,Cadastros!$G$6:$G$90,Cadastros!$H$6:$H$90)*(1-0.18),_xlfn.XLOOKUP(AB1784,Cadastros!$G$6:$G$90,Cadastros!$H$6:$H$90))))</f>
        <v/>
      </c>
      <c r="AE1784" s="168" t="str">
        <f t="shared" si="356"/>
        <v/>
      </c>
      <c r="AF1784" s="168" t="str">
        <f t="shared" si="357"/>
        <v/>
      </c>
      <c r="AG1784" s="28"/>
      <c r="AH1784" s="28"/>
      <c r="AI1784" s="20" t="str">
        <f>IF(AG1784="","",IF($F1784="Bernardino Furlan",_xlfn.XLOOKUP(AG1784,Cadastros!$G$6:$G$90,Cadastros!$H$6:$H$90)*(1-0.18),IF($F1784="Mauro José Salanti",_xlfn.XLOOKUP(AG1784,Cadastros!$G$6:$G$90,Cadastros!$H$6:$H$90)*(1-0.18),_xlfn.XLOOKUP(AG1784,Cadastros!$G$6:$G$90,Cadastros!$H$6:$H$90))))</f>
        <v/>
      </c>
      <c r="AJ1784" s="168" t="str">
        <f t="shared" si="358"/>
        <v/>
      </c>
      <c r="AK1784" s="168" t="str">
        <f t="shared" si="359"/>
        <v/>
      </c>
      <c r="AL1784" s="28"/>
      <c r="AM1784" s="28"/>
      <c r="AN1784" s="20" t="str">
        <f>IF(AL1784="","",IF($F1784="Bernardino Furlan",_xlfn.XLOOKUP(AL1784,Cadastros!$G$6:$G$90,Cadastros!$H$6:$H$90)*(1-0.18),IF($F1784="Mauro José Salanti",_xlfn.XLOOKUP(AL1784,Cadastros!$G$6:$G$90,Cadastros!$H$6:$H$90)*(1-0.18),_xlfn.XLOOKUP(AL1784,Cadastros!$G$6:$G$90,Cadastros!$H$6:$H$90))))</f>
        <v/>
      </c>
      <c r="AO1784" s="168" t="str">
        <f t="shared" si="360"/>
        <v/>
      </c>
      <c r="AP1784" s="168" t="str">
        <f t="shared" si="361"/>
        <v/>
      </c>
      <c r="AQ1784" s="28"/>
      <c r="AR1784" s="28"/>
      <c r="AS1784" s="20" t="str">
        <f>IF(AQ1784="","",IF($F1784="Bernardino Furlan",_xlfn.XLOOKUP(AQ1784,Cadastros!$G$6:$G$90,Cadastros!$H$6:$H$90)*(1-0.18),IF($F1784="Mauro José Salanti",_xlfn.XLOOKUP(AQ1784,Cadastros!$G$6:$G$90,Cadastros!$H$6:$H$90)*(1-0.18),_xlfn.XLOOKUP(AQ1784,Cadastros!$G$6:$G$90,Cadastros!$H$6:$H$90))))</f>
        <v/>
      </c>
      <c r="AT1784" s="168" t="str">
        <f t="shared" si="362"/>
        <v/>
      </c>
      <c r="AU1784" s="168" t="str">
        <f t="shared" si="363"/>
        <v/>
      </c>
      <c r="AV1784" s="227"/>
      <c r="AW1784" s="30"/>
      <c r="AX1784" s="267"/>
      <c r="AY1784" s="267"/>
      <c r="AZ1784" s="29"/>
      <c r="BA1784" s="30"/>
      <c r="BB1784" s="23" t="str" cm="1">
        <f t="array" ref="BB1784">_xlfn.IFS(AW1784="SIM",SUM(K1784,P1784,U1784,Z1784,AE1784,AJ1784,AO1784,AT1784,AX1784,AY1784),F1784&lt;&gt;"",SUM(K1784,P1784,U1784,Z1784,AE1784,AJ1784,,AO1784,AT1784),F1784="","")</f>
        <v/>
      </c>
      <c r="BC1784" s="211" t="str" cm="1">
        <f t="array" ref="BC1784">_xlfn.IFS(E1784="","",G1784&lt;=E1784,BB1784*(1-0.03),G1784&lt;(E1784+8),BB1784,AZ1784="Boleto",BB1784*(1+0.001)^DATEDIF(E1784,G1784,"D"),AZ1784="Cheque",BB1784,AZ1784="Dinheiro","Alterar forma pgto")</f>
        <v/>
      </c>
      <c r="BD1784" s="276" t="str" cm="1">
        <f t="array" ref="BD1784">IF(F1784=0," ",IF(BC1784&lt;BB1784,(_xlfn.IFS(AW1784="SIM",SUM(L1784,Q1784,V1784,AA1784,AF1784,AK1784,AP1784,AU1784)+AX1784/_xlfn.XLOOKUP(_xlfn.XLOOKUP($F1784,Clientes!$B$4:$B$39,Clientes!$C$4:$C$39),Cadastros!$L$6:$L$12,Cadastros!$M$6:$M$12)+IF($F1784="Bernardino Furlan",AY1784/2751.92,IF($F1784="Mauro José Salanti",AY1784/2751.92,AY1784/3356)),F1784&lt;&gt;0,SUM(L1784,Q1784,V1784,AA1784,AF1784,AK1784,AP1784,AU1784)))*(1-0.03),_xlfn.IFS(AW1784="SIM",SUM(L1784,Q1784,V1784,AA1784,AF1784,AK1784,AP1784,AU1784)+AX1784/_xlfn.XLOOKUP(_xlfn.XLOOKUP($F1784,Clientes!$B$4:$B$39,Clientes!$C$4:$C$39),Cadastros!$L$6:$L$12,Cadastros!$M$6:$M$12)+IF($F1784="Bernardino Furlan",AY1784/2751.92,IF($F1784="Mauro José Salanti",AY1784/2751.92,AY1784/3356)),F1784&lt;&gt;0,SUM(L1784,Q1784,V1784,AA1784,AF1784,AK1784,AP1784,AU1784))))</f>
        <v xml:space="preserve"> </v>
      </c>
      <c r="BE1784" s="120"/>
      <c r="BF1784" s="120"/>
      <c r="BG1784" s="120"/>
    </row>
    <row r="1785" spans="1:59" s="3" customFormat="1" x14ac:dyDescent="0.3">
      <c r="A1785" s="15" t="str">
        <f t="shared" si="351"/>
        <v/>
      </c>
      <c r="B1785" s="25"/>
      <c r="C1785" s="26"/>
      <c r="D1785" s="279"/>
      <c r="E1785" s="27"/>
      <c r="F1785" s="28"/>
      <c r="G1785" s="27"/>
      <c r="H1785" s="28"/>
      <c r="I1785" s="28"/>
      <c r="J1785" s="255" t="str">
        <f>IF(H1785="","",(_xlfn.XLOOKUP(H1785,Cadastros!$D$6:$D$90,Cadastros!$E$6:$E$90))*(1-_xlfn.XLOOKUP(_xlfn.XLOOKUP($F1785,Clientes!$B$4:$B$39,Clientes!$C$4:$C$39),Cadastros!$L$6:$L$12,Cadastros!$N$6:$N$12)))</f>
        <v/>
      </c>
      <c r="K1785" s="168" t="str">
        <f t="shared" si="352"/>
        <v/>
      </c>
      <c r="L1785" s="168" t="str">
        <f>IFERROR(K1785/_xlfn.XLOOKUP(_xlfn.XLOOKUP($F1785,Clientes!$B$4:$B$39,Clientes!$C$4:$C$39),Cadastros!$L$6:$L$12,Cadastros!$M$6:$M$12)," ")</f>
        <v xml:space="preserve"> </v>
      </c>
      <c r="M1785" s="28"/>
      <c r="N1785" s="28"/>
      <c r="O1785" s="255" t="str">
        <f>IF(M1785="","",(_xlfn.XLOOKUP(M1785,Cadastros!$D$6:$D$90,Cadastros!$E$6:$E$90))*(1-_xlfn.XLOOKUP(_xlfn.XLOOKUP($F1785,Clientes!$B$4:$B$39,Clientes!$C$4:$C$39),Cadastros!$L$6:$L$12,Cadastros!$N$6:$N$12)))</f>
        <v/>
      </c>
      <c r="P1785" s="168" t="str">
        <f t="shared" si="353"/>
        <v/>
      </c>
      <c r="Q1785" s="168" t="str">
        <f>IFERROR(P1785/_xlfn.XLOOKUP(_xlfn.XLOOKUP($F1785,Clientes!$B$4:$B$39,Clientes!$C$4:$C$39),Cadastros!$L$6:$L$12,Cadastros!$M$6:$M$12)," ")</f>
        <v xml:space="preserve"> </v>
      </c>
      <c r="R1785" s="28"/>
      <c r="S1785" s="28"/>
      <c r="T1785" s="255" t="str">
        <f>IF(R1785="","",(_xlfn.XLOOKUP(R1785,Cadastros!$D$6:$D$90,Cadastros!$E$6:$E$90))*(1-_xlfn.XLOOKUP(_xlfn.XLOOKUP($F1785,Clientes!$B$4:$B$39,Clientes!$C$4:$C$39),Cadastros!$L$6:$L$12,Cadastros!$N$6:$N$12)))</f>
        <v/>
      </c>
      <c r="U1785" s="168" t="str">
        <f t="shared" si="354"/>
        <v/>
      </c>
      <c r="V1785" s="168" t="str">
        <f>IFERROR(U1785/_xlfn.XLOOKUP(_xlfn.XLOOKUP($F1785,Clientes!$B$4:$B$39,Clientes!$C$4:$C$39),Cadastros!$L$6:$L$12,Cadastros!$M$6:$M$12)," ")</f>
        <v xml:space="preserve"> </v>
      </c>
      <c r="W1785" s="28"/>
      <c r="X1785" s="28"/>
      <c r="Y1785" s="255" t="str">
        <f>IF(W1785="","",(_xlfn.XLOOKUP(W1785,Cadastros!$D$6:$D$90,Cadastros!$E$6:$E$90))*(1-_xlfn.XLOOKUP(_xlfn.XLOOKUP($F1785,Clientes!$B$4:$B$39,Clientes!$C$4:$C$39),Cadastros!$L$6:$L$12,Cadastros!$N$6:$N$12)))</f>
        <v/>
      </c>
      <c r="Z1785" s="168" t="str">
        <f t="shared" si="355"/>
        <v/>
      </c>
      <c r="AA1785" s="168" t="str">
        <f>IFERROR(Z1785/_xlfn.XLOOKUP(_xlfn.XLOOKUP($F1785,Clientes!$B$4:$B$39,Clientes!$C$4:$C$39),Cadastros!$L$6:$L$12,Cadastros!$M$6:$M$12)," ")</f>
        <v xml:space="preserve"> </v>
      </c>
      <c r="AB1785" s="28"/>
      <c r="AC1785" s="28"/>
      <c r="AD1785" s="20" t="str">
        <f>IF(AB1785="","",IF($F1785="Bernardino Furlan",_xlfn.XLOOKUP(AB1785,Cadastros!$G$6:$G$90,Cadastros!$H$6:$H$90)*(1-0.18),IF($F1785="Mauro José Salanti",_xlfn.XLOOKUP(AB1785,Cadastros!$G$6:$G$90,Cadastros!$H$6:$H$90)*(1-0.18),_xlfn.XLOOKUP(AB1785,Cadastros!$G$6:$G$90,Cadastros!$H$6:$H$90))))</f>
        <v/>
      </c>
      <c r="AE1785" s="168" t="str">
        <f t="shared" si="356"/>
        <v/>
      </c>
      <c r="AF1785" s="168" t="str">
        <f t="shared" si="357"/>
        <v/>
      </c>
      <c r="AG1785" s="28"/>
      <c r="AH1785" s="28"/>
      <c r="AI1785" s="20" t="str">
        <f>IF(AG1785="","",IF($F1785="Bernardino Furlan",_xlfn.XLOOKUP(AG1785,Cadastros!$G$6:$G$90,Cadastros!$H$6:$H$90)*(1-0.18),IF($F1785="Mauro José Salanti",_xlfn.XLOOKUP(AG1785,Cadastros!$G$6:$G$90,Cadastros!$H$6:$H$90)*(1-0.18),_xlfn.XLOOKUP(AG1785,Cadastros!$G$6:$G$90,Cadastros!$H$6:$H$90))))</f>
        <v/>
      </c>
      <c r="AJ1785" s="168" t="str">
        <f t="shared" si="358"/>
        <v/>
      </c>
      <c r="AK1785" s="168" t="str">
        <f t="shared" si="359"/>
        <v/>
      </c>
      <c r="AL1785" s="28"/>
      <c r="AM1785" s="28"/>
      <c r="AN1785" s="20" t="str">
        <f>IF(AL1785="","",IF($F1785="Bernardino Furlan",_xlfn.XLOOKUP(AL1785,Cadastros!$G$6:$G$90,Cadastros!$H$6:$H$90)*(1-0.18),IF($F1785="Mauro José Salanti",_xlfn.XLOOKUP(AL1785,Cadastros!$G$6:$G$90,Cadastros!$H$6:$H$90)*(1-0.18),_xlfn.XLOOKUP(AL1785,Cadastros!$G$6:$G$90,Cadastros!$H$6:$H$90))))</f>
        <v/>
      </c>
      <c r="AO1785" s="168" t="str">
        <f t="shared" si="360"/>
        <v/>
      </c>
      <c r="AP1785" s="168" t="str">
        <f t="shared" si="361"/>
        <v/>
      </c>
      <c r="AQ1785" s="28"/>
      <c r="AR1785" s="28"/>
      <c r="AS1785" s="20" t="str">
        <f>IF(AQ1785="","",IF($F1785="Bernardino Furlan",_xlfn.XLOOKUP(AQ1785,Cadastros!$G$6:$G$90,Cadastros!$H$6:$H$90)*(1-0.18),IF($F1785="Mauro José Salanti",_xlfn.XLOOKUP(AQ1785,Cadastros!$G$6:$G$90,Cadastros!$H$6:$H$90)*(1-0.18),_xlfn.XLOOKUP(AQ1785,Cadastros!$G$6:$G$90,Cadastros!$H$6:$H$90))))</f>
        <v/>
      </c>
      <c r="AT1785" s="168" t="str">
        <f t="shared" si="362"/>
        <v/>
      </c>
      <c r="AU1785" s="168" t="str">
        <f t="shared" si="363"/>
        <v/>
      </c>
      <c r="AV1785" s="227"/>
      <c r="AW1785" s="30"/>
      <c r="AX1785" s="267"/>
      <c r="AY1785" s="267"/>
      <c r="AZ1785" s="29"/>
      <c r="BA1785" s="30"/>
      <c r="BB1785" s="23" t="str" cm="1">
        <f t="array" ref="BB1785">_xlfn.IFS(AW1785="SIM",SUM(K1785,P1785,U1785,Z1785,AE1785,AJ1785,AO1785,AT1785,AX1785,AY1785),F1785&lt;&gt;"",SUM(K1785,P1785,U1785,Z1785,AE1785,AJ1785,,AO1785,AT1785),F1785="","")</f>
        <v/>
      </c>
      <c r="BC1785" s="211" t="str" cm="1">
        <f t="array" ref="BC1785">_xlfn.IFS(E1785="","",G1785&lt;=E1785,BB1785*(1-0.03),G1785&lt;(E1785+8),BB1785,AZ1785="Boleto",BB1785*(1+0.001)^DATEDIF(E1785,G1785,"D"),AZ1785="Cheque",BB1785,AZ1785="Dinheiro","Alterar forma pgto")</f>
        <v/>
      </c>
      <c r="BD1785" s="276" t="str" cm="1">
        <f t="array" ref="BD1785">IF(F1785=0," ",IF(BC1785&lt;BB1785,(_xlfn.IFS(AW1785="SIM",SUM(L1785,Q1785,V1785,AA1785,AF1785,AK1785,AP1785,AU1785)+AX1785/_xlfn.XLOOKUP(_xlfn.XLOOKUP($F1785,Clientes!$B$4:$B$39,Clientes!$C$4:$C$39),Cadastros!$L$6:$L$12,Cadastros!$M$6:$M$12)+IF($F1785="Bernardino Furlan",AY1785/2751.92,IF($F1785="Mauro José Salanti",AY1785/2751.92,AY1785/3356)),F1785&lt;&gt;0,SUM(L1785,Q1785,V1785,AA1785,AF1785,AK1785,AP1785,AU1785)))*(1-0.03),_xlfn.IFS(AW1785="SIM",SUM(L1785,Q1785,V1785,AA1785,AF1785,AK1785,AP1785,AU1785)+AX1785/_xlfn.XLOOKUP(_xlfn.XLOOKUP($F1785,Clientes!$B$4:$B$39,Clientes!$C$4:$C$39),Cadastros!$L$6:$L$12,Cadastros!$M$6:$M$12)+IF($F1785="Bernardino Furlan",AY1785/2751.92,IF($F1785="Mauro José Salanti",AY1785/2751.92,AY1785/3356)),F1785&lt;&gt;0,SUM(L1785,Q1785,V1785,AA1785,AF1785,AK1785,AP1785,AU1785))))</f>
        <v xml:space="preserve"> </v>
      </c>
      <c r="BE1785" s="120"/>
      <c r="BF1785" s="120"/>
      <c r="BG1785" s="120"/>
    </row>
    <row r="1786" spans="1:59" s="3" customFormat="1" x14ac:dyDescent="0.3">
      <c r="A1786" s="15" t="str">
        <f t="shared" si="351"/>
        <v/>
      </c>
      <c r="B1786" s="25"/>
      <c r="C1786" s="26"/>
      <c r="D1786" s="279"/>
      <c r="E1786" s="27"/>
      <c r="F1786" s="28"/>
      <c r="G1786" s="27"/>
      <c r="H1786" s="28"/>
      <c r="I1786" s="28"/>
      <c r="J1786" s="255" t="str">
        <f>IF(H1786="","",(_xlfn.XLOOKUP(H1786,Cadastros!$D$6:$D$90,Cadastros!$E$6:$E$90))*(1-_xlfn.XLOOKUP(_xlfn.XLOOKUP($F1786,Clientes!$B$4:$B$39,Clientes!$C$4:$C$39),Cadastros!$L$6:$L$12,Cadastros!$N$6:$N$12)))</f>
        <v/>
      </c>
      <c r="K1786" s="168" t="str">
        <f t="shared" si="352"/>
        <v/>
      </c>
      <c r="L1786" s="168" t="str">
        <f>IFERROR(K1786/_xlfn.XLOOKUP(_xlfn.XLOOKUP($F1786,Clientes!$B$4:$B$39,Clientes!$C$4:$C$39),Cadastros!$L$6:$L$12,Cadastros!$M$6:$M$12)," ")</f>
        <v xml:space="preserve"> </v>
      </c>
      <c r="M1786" s="28"/>
      <c r="N1786" s="28"/>
      <c r="O1786" s="255" t="str">
        <f>IF(M1786="","",(_xlfn.XLOOKUP(M1786,Cadastros!$D$6:$D$90,Cadastros!$E$6:$E$90))*(1-_xlfn.XLOOKUP(_xlfn.XLOOKUP($F1786,Clientes!$B$4:$B$39,Clientes!$C$4:$C$39),Cadastros!$L$6:$L$12,Cadastros!$N$6:$N$12)))</f>
        <v/>
      </c>
      <c r="P1786" s="168" t="str">
        <f t="shared" si="353"/>
        <v/>
      </c>
      <c r="Q1786" s="168" t="str">
        <f>IFERROR(P1786/_xlfn.XLOOKUP(_xlfn.XLOOKUP($F1786,Clientes!$B$4:$B$39,Clientes!$C$4:$C$39),Cadastros!$L$6:$L$12,Cadastros!$M$6:$M$12)," ")</f>
        <v xml:space="preserve"> </v>
      </c>
      <c r="R1786" s="28"/>
      <c r="S1786" s="28"/>
      <c r="T1786" s="255" t="str">
        <f>IF(R1786="","",(_xlfn.XLOOKUP(R1786,Cadastros!$D$6:$D$90,Cadastros!$E$6:$E$90))*(1-_xlfn.XLOOKUP(_xlfn.XLOOKUP($F1786,Clientes!$B$4:$B$39,Clientes!$C$4:$C$39),Cadastros!$L$6:$L$12,Cadastros!$N$6:$N$12)))</f>
        <v/>
      </c>
      <c r="U1786" s="168" t="str">
        <f t="shared" si="354"/>
        <v/>
      </c>
      <c r="V1786" s="168" t="str">
        <f>IFERROR(U1786/_xlfn.XLOOKUP(_xlfn.XLOOKUP($F1786,Clientes!$B$4:$B$39,Clientes!$C$4:$C$39),Cadastros!$L$6:$L$12,Cadastros!$M$6:$M$12)," ")</f>
        <v xml:space="preserve"> </v>
      </c>
      <c r="W1786" s="28"/>
      <c r="X1786" s="28"/>
      <c r="Y1786" s="255" t="str">
        <f>IF(W1786="","",(_xlfn.XLOOKUP(W1786,Cadastros!$D$6:$D$90,Cadastros!$E$6:$E$90))*(1-_xlfn.XLOOKUP(_xlfn.XLOOKUP($F1786,Clientes!$B$4:$B$39,Clientes!$C$4:$C$39),Cadastros!$L$6:$L$12,Cadastros!$N$6:$N$12)))</f>
        <v/>
      </c>
      <c r="Z1786" s="168" t="str">
        <f t="shared" si="355"/>
        <v/>
      </c>
      <c r="AA1786" s="168" t="str">
        <f>IFERROR(Z1786/_xlfn.XLOOKUP(_xlfn.XLOOKUP($F1786,Clientes!$B$4:$B$39,Clientes!$C$4:$C$39),Cadastros!$L$6:$L$12,Cadastros!$M$6:$M$12)," ")</f>
        <v xml:space="preserve"> </v>
      </c>
      <c r="AB1786" s="28"/>
      <c r="AC1786" s="28"/>
      <c r="AD1786" s="20" t="str">
        <f>IF(AB1786="","",IF($F1786="Bernardino Furlan",_xlfn.XLOOKUP(AB1786,Cadastros!$G$6:$G$90,Cadastros!$H$6:$H$90)*(1-0.18),IF($F1786="Mauro José Salanti",_xlfn.XLOOKUP(AB1786,Cadastros!$G$6:$G$90,Cadastros!$H$6:$H$90)*(1-0.18),_xlfn.XLOOKUP(AB1786,Cadastros!$G$6:$G$90,Cadastros!$H$6:$H$90))))</f>
        <v/>
      </c>
      <c r="AE1786" s="168" t="str">
        <f t="shared" si="356"/>
        <v/>
      </c>
      <c r="AF1786" s="168" t="str">
        <f t="shared" si="357"/>
        <v/>
      </c>
      <c r="AG1786" s="28"/>
      <c r="AH1786" s="28"/>
      <c r="AI1786" s="20" t="str">
        <f>IF(AG1786="","",IF($F1786="Bernardino Furlan",_xlfn.XLOOKUP(AG1786,Cadastros!$G$6:$G$90,Cadastros!$H$6:$H$90)*(1-0.18),IF($F1786="Mauro José Salanti",_xlfn.XLOOKUP(AG1786,Cadastros!$G$6:$G$90,Cadastros!$H$6:$H$90)*(1-0.18),_xlfn.XLOOKUP(AG1786,Cadastros!$G$6:$G$90,Cadastros!$H$6:$H$90))))</f>
        <v/>
      </c>
      <c r="AJ1786" s="168" t="str">
        <f t="shared" si="358"/>
        <v/>
      </c>
      <c r="AK1786" s="168" t="str">
        <f t="shared" si="359"/>
        <v/>
      </c>
      <c r="AL1786" s="28"/>
      <c r="AM1786" s="28"/>
      <c r="AN1786" s="20" t="str">
        <f>IF(AL1786="","",IF($F1786="Bernardino Furlan",_xlfn.XLOOKUP(AL1786,Cadastros!$G$6:$G$90,Cadastros!$H$6:$H$90)*(1-0.18),IF($F1786="Mauro José Salanti",_xlfn.XLOOKUP(AL1786,Cadastros!$G$6:$G$90,Cadastros!$H$6:$H$90)*(1-0.18),_xlfn.XLOOKUP(AL1786,Cadastros!$G$6:$G$90,Cadastros!$H$6:$H$90))))</f>
        <v/>
      </c>
      <c r="AO1786" s="168" t="str">
        <f t="shared" si="360"/>
        <v/>
      </c>
      <c r="AP1786" s="168" t="str">
        <f t="shared" si="361"/>
        <v/>
      </c>
      <c r="AQ1786" s="28"/>
      <c r="AR1786" s="28"/>
      <c r="AS1786" s="20" t="str">
        <f>IF(AQ1786="","",IF($F1786="Bernardino Furlan",_xlfn.XLOOKUP(AQ1786,Cadastros!$G$6:$G$90,Cadastros!$H$6:$H$90)*(1-0.18),IF($F1786="Mauro José Salanti",_xlfn.XLOOKUP(AQ1786,Cadastros!$G$6:$G$90,Cadastros!$H$6:$H$90)*(1-0.18),_xlfn.XLOOKUP(AQ1786,Cadastros!$G$6:$G$90,Cadastros!$H$6:$H$90))))</f>
        <v/>
      </c>
      <c r="AT1786" s="168" t="str">
        <f t="shared" si="362"/>
        <v/>
      </c>
      <c r="AU1786" s="168" t="str">
        <f t="shared" si="363"/>
        <v/>
      </c>
      <c r="AV1786" s="227"/>
      <c r="AW1786" s="30"/>
      <c r="AX1786" s="267"/>
      <c r="AY1786" s="267"/>
      <c r="AZ1786" s="29"/>
      <c r="BA1786" s="30"/>
      <c r="BB1786" s="23" t="str" cm="1">
        <f t="array" ref="BB1786">_xlfn.IFS(AW1786="SIM",SUM(K1786,P1786,U1786,Z1786,AE1786,AJ1786,AO1786,AT1786,AX1786,AY1786),F1786&lt;&gt;"",SUM(K1786,P1786,U1786,Z1786,AE1786,AJ1786,,AO1786,AT1786),F1786="","")</f>
        <v/>
      </c>
      <c r="BC1786" s="211" t="str" cm="1">
        <f t="array" ref="BC1786">_xlfn.IFS(E1786="","",G1786&lt;=E1786,BB1786*(1-0.03),G1786&lt;(E1786+8),BB1786,AZ1786="Boleto",BB1786*(1+0.001)^DATEDIF(E1786,G1786,"D"),AZ1786="Cheque",BB1786,AZ1786="Dinheiro","Alterar forma pgto")</f>
        <v/>
      </c>
      <c r="BD1786" s="276" t="str" cm="1">
        <f t="array" ref="BD1786">IF(F1786=0," ",IF(BC1786&lt;BB1786,(_xlfn.IFS(AW1786="SIM",SUM(L1786,Q1786,V1786,AA1786,AF1786,AK1786,AP1786,AU1786)+AX1786/_xlfn.XLOOKUP(_xlfn.XLOOKUP($F1786,Clientes!$B$4:$B$39,Clientes!$C$4:$C$39),Cadastros!$L$6:$L$12,Cadastros!$M$6:$M$12)+IF($F1786="Bernardino Furlan",AY1786/2751.92,IF($F1786="Mauro José Salanti",AY1786/2751.92,AY1786/3356)),F1786&lt;&gt;0,SUM(L1786,Q1786,V1786,AA1786,AF1786,AK1786,AP1786,AU1786)))*(1-0.03),_xlfn.IFS(AW1786="SIM",SUM(L1786,Q1786,V1786,AA1786,AF1786,AK1786,AP1786,AU1786)+AX1786/_xlfn.XLOOKUP(_xlfn.XLOOKUP($F1786,Clientes!$B$4:$B$39,Clientes!$C$4:$C$39),Cadastros!$L$6:$L$12,Cadastros!$M$6:$M$12)+IF($F1786="Bernardino Furlan",AY1786/2751.92,IF($F1786="Mauro José Salanti",AY1786/2751.92,AY1786/3356)),F1786&lt;&gt;0,SUM(L1786,Q1786,V1786,AA1786,AF1786,AK1786,AP1786,AU1786))))</f>
        <v xml:space="preserve"> </v>
      </c>
      <c r="BE1786" s="120"/>
      <c r="BF1786" s="120"/>
      <c r="BG1786" s="120"/>
    </row>
    <row r="1787" spans="1:59" s="3" customFormat="1" x14ac:dyDescent="0.3">
      <c r="A1787" s="15" t="str">
        <f t="shared" si="351"/>
        <v/>
      </c>
      <c r="B1787" s="25"/>
      <c r="C1787" s="26"/>
      <c r="D1787" s="279"/>
      <c r="E1787" s="27"/>
      <c r="F1787" s="28"/>
      <c r="G1787" s="27"/>
      <c r="H1787" s="28"/>
      <c r="I1787" s="28"/>
      <c r="J1787" s="255" t="str">
        <f>IF(H1787="","",(_xlfn.XLOOKUP(H1787,Cadastros!$D$6:$D$90,Cadastros!$E$6:$E$90))*(1-_xlfn.XLOOKUP(_xlfn.XLOOKUP($F1787,Clientes!$B$4:$B$39,Clientes!$C$4:$C$39),Cadastros!$L$6:$L$12,Cadastros!$N$6:$N$12)))</f>
        <v/>
      </c>
      <c r="K1787" s="168" t="str">
        <f t="shared" si="352"/>
        <v/>
      </c>
      <c r="L1787" s="168" t="str">
        <f>IFERROR(K1787/_xlfn.XLOOKUP(_xlfn.XLOOKUP($F1787,Clientes!$B$4:$B$39,Clientes!$C$4:$C$39),Cadastros!$L$6:$L$12,Cadastros!$M$6:$M$12)," ")</f>
        <v xml:space="preserve"> </v>
      </c>
      <c r="M1787" s="28"/>
      <c r="N1787" s="28"/>
      <c r="O1787" s="255" t="str">
        <f>IF(M1787="","",(_xlfn.XLOOKUP(M1787,Cadastros!$D$6:$D$90,Cadastros!$E$6:$E$90))*(1-_xlfn.XLOOKUP(_xlfn.XLOOKUP($F1787,Clientes!$B$4:$B$39,Clientes!$C$4:$C$39),Cadastros!$L$6:$L$12,Cadastros!$N$6:$N$12)))</f>
        <v/>
      </c>
      <c r="P1787" s="168" t="str">
        <f t="shared" si="353"/>
        <v/>
      </c>
      <c r="Q1787" s="168" t="str">
        <f>IFERROR(P1787/_xlfn.XLOOKUP(_xlfn.XLOOKUP($F1787,Clientes!$B$4:$B$39,Clientes!$C$4:$C$39),Cadastros!$L$6:$L$12,Cadastros!$M$6:$M$12)," ")</f>
        <v xml:space="preserve"> </v>
      </c>
      <c r="R1787" s="28"/>
      <c r="S1787" s="28"/>
      <c r="T1787" s="255" t="str">
        <f>IF(R1787="","",(_xlfn.XLOOKUP(R1787,Cadastros!$D$6:$D$90,Cadastros!$E$6:$E$90))*(1-_xlfn.XLOOKUP(_xlfn.XLOOKUP($F1787,Clientes!$B$4:$B$39,Clientes!$C$4:$C$39),Cadastros!$L$6:$L$12,Cadastros!$N$6:$N$12)))</f>
        <v/>
      </c>
      <c r="U1787" s="168" t="str">
        <f t="shared" si="354"/>
        <v/>
      </c>
      <c r="V1787" s="168" t="str">
        <f>IFERROR(U1787/_xlfn.XLOOKUP(_xlfn.XLOOKUP($F1787,Clientes!$B$4:$B$39,Clientes!$C$4:$C$39),Cadastros!$L$6:$L$12,Cadastros!$M$6:$M$12)," ")</f>
        <v xml:space="preserve"> </v>
      </c>
      <c r="W1787" s="28"/>
      <c r="X1787" s="28"/>
      <c r="Y1787" s="255" t="str">
        <f>IF(W1787="","",(_xlfn.XLOOKUP(W1787,Cadastros!$D$6:$D$90,Cadastros!$E$6:$E$90))*(1-_xlfn.XLOOKUP(_xlfn.XLOOKUP($F1787,Clientes!$B$4:$B$39,Clientes!$C$4:$C$39),Cadastros!$L$6:$L$12,Cadastros!$N$6:$N$12)))</f>
        <v/>
      </c>
      <c r="Z1787" s="168" t="str">
        <f t="shared" si="355"/>
        <v/>
      </c>
      <c r="AA1787" s="168" t="str">
        <f>IFERROR(Z1787/_xlfn.XLOOKUP(_xlfn.XLOOKUP($F1787,Clientes!$B$4:$B$39,Clientes!$C$4:$C$39),Cadastros!$L$6:$L$12,Cadastros!$M$6:$M$12)," ")</f>
        <v xml:space="preserve"> </v>
      </c>
      <c r="AB1787" s="28"/>
      <c r="AC1787" s="28"/>
      <c r="AD1787" s="20" t="str">
        <f>IF(AB1787="","",IF($F1787="Bernardino Furlan",_xlfn.XLOOKUP(AB1787,Cadastros!$G$6:$G$90,Cadastros!$H$6:$H$90)*(1-0.18),IF($F1787="Mauro José Salanti",_xlfn.XLOOKUP(AB1787,Cadastros!$G$6:$G$90,Cadastros!$H$6:$H$90)*(1-0.18),_xlfn.XLOOKUP(AB1787,Cadastros!$G$6:$G$90,Cadastros!$H$6:$H$90))))</f>
        <v/>
      </c>
      <c r="AE1787" s="168" t="str">
        <f t="shared" si="356"/>
        <v/>
      </c>
      <c r="AF1787" s="168" t="str">
        <f t="shared" si="357"/>
        <v/>
      </c>
      <c r="AG1787" s="28"/>
      <c r="AH1787" s="28"/>
      <c r="AI1787" s="20" t="str">
        <f>IF(AG1787="","",IF($F1787="Bernardino Furlan",_xlfn.XLOOKUP(AG1787,Cadastros!$G$6:$G$90,Cadastros!$H$6:$H$90)*(1-0.18),IF($F1787="Mauro José Salanti",_xlfn.XLOOKUP(AG1787,Cadastros!$G$6:$G$90,Cadastros!$H$6:$H$90)*(1-0.18),_xlfn.XLOOKUP(AG1787,Cadastros!$G$6:$G$90,Cadastros!$H$6:$H$90))))</f>
        <v/>
      </c>
      <c r="AJ1787" s="168" t="str">
        <f t="shared" si="358"/>
        <v/>
      </c>
      <c r="AK1787" s="168" t="str">
        <f t="shared" si="359"/>
        <v/>
      </c>
      <c r="AL1787" s="28"/>
      <c r="AM1787" s="28"/>
      <c r="AN1787" s="20" t="str">
        <f>IF(AL1787="","",IF($F1787="Bernardino Furlan",_xlfn.XLOOKUP(AL1787,Cadastros!$G$6:$G$90,Cadastros!$H$6:$H$90)*(1-0.18),IF($F1787="Mauro José Salanti",_xlfn.XLOOKUP(AL1787,Cadastros!$G$6:$G$90,Cadastros!$H$6:$H$90)*(1-0.18),_xlfn.XLOOKUP(AL1787,Cadastros!$G$6:$G$90,Cadastros!$H$6:$H$90))))</f>
        <v/>
      </c>
      <c r="AO1787" s="168" t="str">
        <f t="shared" si="360"/>
        <v/>
      </c>
      <c r="AP1787" s="168" t="str">
        <f t="shared" si="361"/>
        <v/>
      </c>
      <c r="AQ1787" s="28"/>
      <c r="AR1787" s="28"/>
      <c r="AS1787" s="20" t="str">
        <f>IF(AQ1787="","",IF($F1787="Bernardino Furlan",_xlfn.XLOOKUP(AQ1787,Cadastros!$G$6:$G$90,Cadastros!$H$6:$H$90)*(1-0.18),IF($F1787="Mauro José Salanti",_xlfn.XLOOKUP(AQ1787,Cadastros!$G$6:$G$90,Cadastros!$H$6:$H$90)*(1-0.18),_xlfn.XLOOKUP(AQ1787,Cadastros!$G$6:$G$90,Cadastros!$H$6:$H$90))))</f>
        <v/>
      </c>
      <c r="AT1787" s="168" t="str">
        <f t="shared" si="362"/>
        <v/>
      </c>
      <c r="AU1787" s="168" t="str">
        <f t="shared" si="363"/>
        <v/>
      </c>
      <c r="AV1787" s="227"/>
      <c r="AW1787" s="30"/>
      <c r="AX1787" s="267"/>
      <c r="AY1787" s="267"/>
      <c r="AZ1787" s="29"/>
      <c r="BA1787" s="30"/>
      <c r="BB1787" s="23" t="str" cm="1">
        <f t="array" ref="BB1787">_xlfn.IFS(AW1787="SIM",SUM(K1787,P1787,U1787,Z1787,AE1787,AJ1787,AO1787,AT1787,AX1787,AY1787),F1787&lt;&gt;"",SUM(K1787,P1787,U1787,Z1787,AE1787,AJ1787,,AO1787,AT1787),F1787="","")</f>
        <v/>
      </c>
      <c r="BC1787" s="211" t="str" cm="1">
        <f t="array" ref="BC1787">_xlfn.IFS(E1787="","",G1787&lt;=E1787,BB1787*(1-0.03),G1787&lt;(E1787+8),BB1787,AZ1787="Boleto",BB1787*(1+0.001)^DATEDIF(E1787,G1787,"D"),AZ1787="Cheque",BB1787,AZ1787="Dinheiro","Alterar forma pgto")</f>
        <v/>
      </c>
      <c r="BD1787" s="276" t="str" cm="1">
        <f t="array" ref="BD1787">IF(F1787=0," ",IF(BC1787&lt;BB1787,(_xlfn.IFS(AW1787="SIM",SUM(L1787,Q1787,V1787,AA1787,AF1787,AK1787,AP1787,AU1787)+AX1787/_xlfn.XLOOKUP(_xlfn.XLOOKUP($F1787,Clientes!$B$4:$B$39,Clientes!$C$4:$C$39),Cadastros!$L$6:$L$12,Cadastros!$M$6:$M$12)+IF($F1787="Bernardino Furlan",AY1787/2751.92,IF($F1787="Mauro José Salanti",AY1787/2751.92,AY1787/3356)),F1787&lt;&gt;0,SUM(L1787,Q1787,V1787,AA1787,AF1787,AK1787,AP1787,AU1787)))*(1-0.03),_xlfn.IFS(AW1787="SIM",SUM(L1787,Q1787,V1787,AA1787,AF1787,AK1787,AP1787,AU1787)+AX1787/_xlfn.XLOOKUP(_xlfn.XLOOKUP($F1787,Clientes!$B$4:$B$39,Clientes!$C$4:$C$39),Cadastros!$L$6:$L$12,Cadastros!$M$6:$M$12)+IF($F1787="Bernardino Furlan",AY1787/2751.92,IF($F1787="Mauro José Salanti",AY1787/2751.92,AY1787/3356)),F1787&lt;&gt;0,SUM(L1787,Q1787,V1787,AA1787,AF1787,AK1787,AP1787,AU1787))))</f>
        <v xml:space="preserve"> </v>
      </c>
      <c r="BE1787" s="120"/>
      <c r="BF1787" s="120"/>
      <c r="BG1787" s="120"/>
    </row>
    <row r="1788" spans="1:59" s="3" customFormat="1" x14ac:dyDescent="0.3">
      <c r="A1788" s="15" t="str">
        <f t="shared" si="351"/>
        <v/>
      </c>
      <c r="B1788" s="25"/>
      <c r="C1788" s="26"/>
      <c r="D1788" s="279"/>
      <c r="E1788" s="27"/>
      <c r="F1788" s="28"/>
      <c r="G1788" s="27"/>
      <c r="H1788" s="28"/>
      <c r="I1788" s="28"/>
      <c r="J1788" s="255" t="str">
        <f>IF(H1788="","",(_xlfn.XLOOKUP(H1788,Cadastros!$D$6:$D$90,Cadastros!$E$6:$E$90))*(1-_xlfn.XLOOKUP(_xlfn.XLOOKUP($F1788,Clientes!$B$4:$B$39,Clientes!$C$4:$C$39),Cadastros!$L$6:$L$12,Cadastros!$N$6:$N$12)))</f>
        <v/>
      </c>
      <c r="K1788" s="168" t="str">
        <f t="shared" si="352"/>
        <v/>
      </c>
      <c r="L1788" s="168" t="str">
        <f>IFERROR(K1788/_xlfn.XLOOKUP(_xlfn.XLOOKUP($F1788,Clientes!$B$4:$B$39,Clientes!$C$4:$C$39),Cadastros!$L$6:$L$12,Cadastros!$M$6:$M$12)," ")</f>
        <v xml:space="preserve"> </v>
      </c>
      <c r="M1788" s="28"/>
      <c r="N1788" s="28"/>
      <c r="O1788" s="255" t="str">
        <f>IF(M1788="","",(_xlfn.XLOOKUP(M1788,Cadastros!$D$6:$D$90,Cadastros!$E$6:$E$90))*(1-_xlfn.XLOOKUP(_xlfn.XLOOKUP($F1788,Clientes!$B$4:$B$39,Clientes!$C$4:$C$39),Cadastros!$L$6:$L$12,Cadastros!$N$6:$N$12)))</f>
        <v/>
      </c>
      <c r="P1788" s="168" t="str">
        <f t="shared" si="353"/>
        <v/>
      </c>
      <c r="Q1788" s="168" t="str">
        <f>IFERROR(P1788/_xlfn.XLOOKUP(_xlfn.XLOOKUP($F1788,Clientes!$B$4:$B$39,Clientes!$C$4:$C$39),Cadastros!$L$6:$L$12,Cadastros!$M$6:$M$12)," ")</f>
        <v xml:space="preserve"> </v>
      </c>
      <c r="R1788" s="28"/>
      <c r="S1788" s="28"/>
      <c r="T1788" s="255" t="str">
        <f>IF(R1788="","",(_xlfn.XLOOKUP(R1788,Cadastros!$D$6:$D$90,Cadastros!$E$6:$E$90))*(1-_xlfn.XLOOKUP(_xlfn.XLOOKUP($F1788,Clientes!$B$4:$B$39,Clientes!$C$4:$C$39),Cadastros!$L$6:$L$12,Cadastros!$N$6:$N$12)))</f>
        <v/>
      </c>
      <c r="U1788" s="168" t="str">
        <f t="shared" si="354"/>
        <v/>
      </c>
      <c r="V1788" s="168" t="str">
        <f>IFERROR(U1788/_xlfn.XLOOKUP(_xlfn.XLOOKUP($F1788,Clientes!$B$4:$B$39,Clientes!$C$4:$C$39),Cadastros!$L$6:$L$12,Cadastros!$M$6:$M$12)," ")</f>
        <v xml:space="preserve"> </v>
      </c>
      <c r="W1788" s="28"/>
      <c r="X1788" s="28"/>
      <c r="Y1788" s="255" t="str">
        <f>IF(W1788="","",(_xlfn.XLOOKUP(W1788,Cadastros!$D$6:$D$90,Cadastros!$E$6:$E$90))*(1-_xlfn.XLOOKUP(_xlfn.XLOOKUP($F1788,Clientes!$B$4:$B$39,Clientes!$C$4:$C$39),Cadastros!$L$6:$L$12,Cadastros!$N$6:$N$12)))</f>
        <v/>
      </c>
      <c r="Z1788" s="168" t="str">
        <f t="shared" si="355"/>
        <v/>
      </c>
      <c r="AA1788" s="168" t="str">
        <f>IFERROR(Z1788/_xlfn.XLOOKUP(_xlfn.XLOOKUP($F1788,Clientes!$B$4:$B$39,Clientes!$C$4:$C$39),Cadastros!$L$6:$L$12,Cadastros!$M$6:$M$12)," ")</f>
        <v xml:space="preserve"> </v>
      </c>
      <c r="AB1788" s="28"/>
      <c r="AC1788" s="28"/>
      <c r="AD1788" s="20" t="str">
        <f>IF(AB1788="","",IF($F1788="Bernardino Furlan",_xlfn.XLOOKUP(AB1788,Cadastros!$G$6:$G$90,Cadastros!$H$6:$H$90)*(1-0.18),IF($F1788="Mauro José Salanti",_xlfn.XLOOKUP(AB1788,Cadastros!$G$6:$G$90,Cadastros!$H$6:$H$90)*(1-0.18),_xlfn.XLOOKUP(AB1788,Cadastros!$G$6:$G$90,Cadastros!$H$6:$H$90))))</f>
        <v/>
      </c>
      <c r="AE1788" s="168" t="str">
        <f t="shared" si="356"/>
        <v/>
      </c>
      <c r="AF1788" s="168" t="str">
        <f t="shared" si="357"/>
        <v/>
      </c>
      <c r="AG1788" s="28"/>
      <c r="AH1788" s="28"/>
      <c r="AI1788" s="20" t="str">
        <f>IF(AG1788="","",IF($F1788="Bernardino Furlan",_xlfn.XLOOKUP(AG1788,Cadastros!$G$6:$G$90,Cadastros!$H$6:$H$90)*(1-0.18),IF($F1788="Mauro José Salanti",_xlfn.XLOOKUP(AG1788,Cadastros!$G$6:$G$90,Cadastros!$H$6:$H$90)*(1-0.18),_xlfn.XLOOKUP(AG1788,Cadastros!$G$6:$G$90,Cadastros!$H$6:$H$90))))</f>
        <v/>
      </c>
      <c r="AJ1788" s="168" t="str">
        <f t="shared" si="358"/>
        <v/>
      </c>
      <c r="AK1788" s="168" t="str">
        <f t="shared" si="359"/>
        <v/>
      </c>
      <c r="AL1788" s="28"/>
      <c r="AM1788" s="28"/>
      <c r="AN1788" s="20" t="str">
        <f>IF(AL1788="","",IF($F1788="Bernardino Furlan",_xlfn.XLOOKUP(AL1788,Cadastros!$G$6:$G$90,Cadastros!$H$6:$H$90)*(1-0.18),IF($F1788="Mauro José Salanti",_xlfn.XLOOKUP(AL1788,Cadastros!$G$6:$G$90,Cadastros!$H$6:$H$90)*(1-0.18),_xlfn.XLOOKUP(AL1788,Cadastros!$G$6:$G$90,Cadastros!$H$6:$H$90))))</f>
        <v/>
      </c>
      <c r="AO1788" s="168" t="str">
        <f t="shared" si="360"/>
        <v/>
      </c>
      <c r="AP1788" s="168" t="str">
        <f t="shared" si="361"/>
        <v/>
      </c>
      <c r="AQ1788" s="28"/>
      <c r="AR1788" s="28"/>
      <c r="AS1788" s="20" t="str">
        <f>IF(AQ1788="","",IF($F1788="Bernardino Furlan",_xlfn.XLOOKUP(AQ1788,Cadastros!$G$6:$G$90,Cadastros!$H$6:$H$90)*(1-0.18),IF($F1788="Mauro José Salanti",_xlfn.XLOOKUP(AQ1788,Cadastros!$G$6:$G$90,Cadastros!$H$6:$H$90)*(1-0.18),_xlfn.XLOOKUP(AQ1788,Cadastros!$G$6:$G$90,Cadastros!$H$6:$H$90))))</f>
        <v/>
      </c>
      <c r="AT1788" s="168" t="str">
        <f t="shared" si="362"/>
        <v/>
      </c>
      <c r="AU1788" s="168" t="str">
        <f t="shared" si="363"/>
        <v/>
      </c>
      <c r="AV1788" s="227"/>
      <c r="AW1788" s="30"/>
      <c r="AX1788" s="267"/>
      <c r="AY1788" s="267"/>
      <c r="AZ1788" s="29"/>
      <c r="BA1788" s="30"/>
      <c r="BB1788" s="23" t="str" cm="1">
        <f t="array" ref="BB1788">_xlfn.IFS(AW1788="SIM",SUM(K1788,P1788,U1788,Z1788,AE1788,AJ1788,AO1788,AT1788,AX1788,AY1788),F1788&lt;&gt;"",SUM(K1788,P1788,U1788,Z1788,AE1788,AJ1788,,AO1788,AT1788),F1788="","")</f>
        <v/>
      </c>
      <c r="BC1788" s="211" t="str" cm="1">
        <f t="array" ref="BC1788">_xlfn.IFS(E1788="","",G1788&lt;=E1788,BB1788*(1-0.03),G1788&lt;(E1788+8),BB1788,AZ1788="Boleto",BB1788*(1+0.001)^DATEDIF(E1788,G1788,"D"),AZ1788="Cheque",BB1788,AZ1788="Dinheiro","Alterar forma pgto")</f>
        <v/>
      </c>
      <c r="BD1788" s="276" t="str" cm="1">
        <f t="array" ref="BD1788">IF(F1788=0," ",IF(BC1788&lt;BB1788,(_xlfn.IFS(AW1788="SIM",SUM(L1788,Q1788,V1788,AA1788,AF1788,AK1788,AP1788,AU1788)+AX1788/_xlfn.XLOOKUP(_xlfn.XLOOKUP($F1788,Clientes!$B$4:$B$39,Clientes!$C$4:$C$39),Cadastros!$L$6:$L$12,Cadastros!$M$6:$M$12)+IF($F1788="Bernardino Furlan",AY1788/2751.92,IF($F1788="Mauro José Salanti",AY1788/2751.92,AY1788/3356)),F1788&lt;&gt;0,SUM(L1788,Q1788,V1788,AA1788,AF1788,AK1788,AP1788,AU1788)))*(1-0.03),_xlfn.IFS(AW1788="SIM",SUM(L1788,Q1788,V1788,AA1788,AF1788,AK1788,AP1788,AU1788)+AX1788/_xlfn.XLOOKUP(_xlfn.XLOOKUP($F1788,Clientes!$B$4:$B$39,Clientes!$C$4:$C$39),Cadastros!$L$6:$L$12,Cadastros!$M$6:$M$12)+IF($F1788="Bernardino Furlan",AY1788/2751.92,IF($F1788="Mauro José Salanti",AY1788/2751.92,AY1788/3356)),F1788&lt;&gt;0,SUM(L1788,Q1788,V1788,AA1788,AF1788,AK1788,AP1788,AU1788))))</f>
        <v xml:space="preserve"> </v>
      </c>
      <c r="BE1788" s="120"/>
      <c r="BF1788" s="120"/>
      <c r="BG1788" s="120"/>
    </row>
    <row r="1789" spans="1:59" s="3" customFormat="1" x14ac:dyDescent="0.3">
      <c r="A1789" s="15" t="str">
        <f t="shared" si="351"/>
        <v/>
      </c>
      <c r="B1789" s="25"/>
      <c r="C1789" s="26"/>
      <c r="D1789" s="279"/>
      <c r="E1789" s="27"/>
      <c r="F1789" s="28"/>
      <c r="G1789" s="27"/>
      <c r="H1789" s="28"/>
      <c r="I1789" s="28"/>
      <c r="J1789" s="255" t="str">
        <f>IF(H1789="","",(_xlfn.XLOOKUP(H1789,Cadastros!$D$6:$D$90,Cadastros!$E$6:$E$90))*(1-_xlfn.XLOOKUP(_xlfn.XLOOKUP($F1789,Clientes!$B$4:$B$39,Clientes!$C$4:$C$39),Cadastros!$L$6:$L$12,Cadastros!$N$6:$N$12)))</f>
        <v/>
      </c>
      <c r="K1789" s="168" t="str">
        <f t="shared" si="352"/>
        <v/>
      </c>
      <c r="L1789" s="168" t="str">
        <f>IFERROR(K1789/_xlfn.XLOOKUP(_xlfn.XLOOKUP($F1789,Clientes!$B$4:$B$39,Clientes!$C$4:$C$39),Cadastros!$L$6:$L$12,Cadastros!$M$6:$M$12)," ")</f>
        <v xml:space="preserve"> </v>
      </c>
      <c r="M1789" s="28"/>
      <c r="N1789" s="28"/>
      <c r="O1789" s="255" t="str">
        <f>IF(M1789="","",(_xlfn.XLOOKUP(M1789,Cadastros!$D$6:$D$90,Cadastros!$E$6:$E$90))*(1-_xlfn.XLOOKUP(_xlfn.XLOOKUP($F1789,Clientes!$B$4:$B$39,Clientes!$C$4:$C$39),Cadastros!$L$6:$L$12,Cadastros!$N$6:$N$12)))</f>
        <v/>
      </c>
      <c r="P1789" s="168" t="str">
        <f t="shared" si="353"/>
        <v/>
      </c>
      <c r="Q1789" s="168" t="str">
        <f>IFERROR(P1789/_xlfn.XLOOKUP(_xlfn.XLOOKUP($F1789,Clientes!$B$4:$B$39,Clientes!$C$4:$C$39),Cadastros!$L$6:$L$12,Cadastros!$M$6:$M$12)," ")</f>
        <v xml:space="preserve"> </v>
      </c>
      <c r="R1789" s="28"/>
      <c r="S1789" s="28"/>
      <c r="T1789" s="255" t="str">
        <f>IF(R1789="","",(_xlfn.XLOOKUP(R1789,Cadastros!$D$6:$D$90,Cadastros!$E$6:$E$90))*(1-_xlfn.XLOOKUP(_xlfn.XLOOKUP($F1789,Clientes!$B$4:$B$39,Clientes!$C$4:$C$39),Cadastros!$L$6:$L$12,Cadastros!$N$6:$N$12)))</f>
        <v/>
      </c>
      <c r="U1789" s="168" t="str">
        <f t="shared" si="354"/>
        <v/>
      </c>
      <c r="V1789" s="168" t="str">
        <f>IFERROR(U1789/_xlfn.XLOOKUP(_xlfn.XLOOKUP($F1789,Clientes!$B$4:$B$39,Clientes!$C$4:$C$39),Cadastros!$L$6:$L$12,Cadastros!$M$6:$M$12)," ")</f>
        <v xml:space="preserve"> </v>
      </c>
      <c r="W1789" s="28"/>
      <c r="X1789" s="28"/>
      <c r="Y1789" s="255" t="str">
        <f>IF(W1789="","",(_xlfn.XLOOKUP(W1789,Cadastros!$D$6:$D$90,Cadastros!$E$6:$E$90))*(1-_xlfn.XLOOKUP(_xlfn.XLOOKUP($F1789,Clientes!$B$4:$B$39,Clientes!$C$4:$C$39),Cadastros!$L$6:$L$12,Cadastros!$N$6:$N$12)))</f>
        <v/>
      </c>
      <c r="Z1789" s="168" t="str">
        <f t="shared" si="355"/>
        <v/>
      </c>
      <c r="AA1789" s="168" t="str">
        <f>IFERROR(Z1789/_xlfn.XLOOKUP(_xlfn.XLOOKUP($F1789,Clientes!$B$4:$B$39,Clientes!$C$4:$C$39),Cadastros!$L$6:$L$12,Cadastros!$M$6:$M$12)," ")</f>
        <v xml:space="preserve"> </v>
      </c>
      <c r="AB1789" s="28"/>
      <c r="AC1789" s="28"/>
      <c r="AD1789" s="20" t="str">
        <f>IF(AB1789="","",IF($F1789="Bernardino Furlan",_xlfn.XLOOKUP(AB1789,Cadastros!$G$6:$G$90,Cadastros!$H$6:$H$90)*(1-0.18),IF($F1789="Mauro José Salanti",_xlfn.XLOOKUP(AB1789,Cadastros!$G$6:$G$90,Cadastros!$H$6:$H$90)*(1-0.18),_xlfn.XLOOKUP(AB1789,Cadastros!$G$6:$G$90,Cadastros!$H$6:$H$90))))</f>
        <v/>
      </c>
      <c r="AE1789" s="168" t="str">
        <f t="shared" si="356"/>
        <v/>
      </c>
      <c r="AF1789" s="168" t="str">
        <f t="shared" si="357"/>
        <v/>
      </c>
      <c r="AG1789" s="28"/>
      <c r="AH1789" s="28"/>
      <c r="AI1789" s="20" t="str">
        <f>IF(AG1789="","",IF($F1789="Bernardino Furlan",_xlfn.XLOOKUP(AG1789,Cadastros!$G$6:$G$90,Cadastros!$H$6:$H$90)*(1-0.18),IF($F1789="Mauro José Salanti",_xlfn.XLOOKUP(AG1789,Cadastros!$G$6:$G$90,Cadastros!$H$6:$H$90)*(1-0.18),_xlfn.XLOOKUP(AG1789,Cadastros!$G$6:$G$90,Cadastros!$H$6:$H$90))))</f>
        <v/>
      </c>
      <c r="AJ1789" s="168" t="str">
        <f t="shared" si="358"/>
        <v/>
      </c>
      <c r="AK1789" s="168" t="str">
        <f t="shared" si="359"/>
        <v/>
      </c>
      <c r="AL1789" s="28"/>
      <c r="AM1789" s="28"/>
      <c r="AN1789" s="20" t="str">
        <f>IF(AL1789="","",IF($F1789="Bernardino Furlan",_xlfn.XLOOKUP(AL1789,Cadastros!$G$6:$G$90,Cadastros!$H$6:$H$90)*(1-0.18),IF($F1789="Mauro José Salanti",_xlfn.XLOOKUP(AL1789,Cadastros!$G$6:$G$90,Cadastros!$H$6:$H$90)*(1-0.18),_xlfn.XLOOKUP(AL1789,Cadastros!$G$6:$G$90,Cadastros!$H$6:$H$90))))</f>
        <v/>
      </c>
      <c r="AO1789" s="168" t="str">
        <f t="shared" si="360"/>
        <v/>
      </c>
      <c r="AP1789" s="168" t="str">
        <f t="shared" si="361"/>
        <v/>
      </c>
      <c r="AQ1789" s="28"/>
      <c r="AR1789" s="28"/>
      <c r="AS1789" s="20" t="str">
        <f>IF(AQ1789="","",IF($F1789="Bernardino Furlan",_xlfn.XLOOKUP(AQ1789,Cadastros!$G$6:$G$90,Cadastros!$H$6:$H$90)*(1-0.18),IF($F1789="Mauro José Salanti",_xlfn.XLOOKUP(AQ1789,Cadastros!$G$6:$G$90,Cadastros!$H$6:$H$90)*(1-0.18),_xlfn.XLOOKUP(AQ1789,Cadastros!$G$6:$G$90,Cadastros!$H$6:$H$90))))</f>
        <v/>
      </c>
      <c r="AT1789" s="168" t="str">
        <f t="shared" si="362"/>
        <v/>
      </c>
      <c r="AU1789" s="168" t="str">
        <f t="shared" si="363"/>
        <v/>
      </c>
      <c r="AV1789" s="227"/>
      <c r="AW1789" s="30"/>
      <c r="AX1789" s="267"/>
      <c r="AY1789" s="267"/>
      <c r="AZ1789" s="29"/>
      <c r="BA1789" s="30"/>
      <c r="BB1789" s="23" t="str" cm="1">
        <f t="array" ref="BB1789">_xlfn.IFS(AW1789="SIM",SUM(K1789,P1789,U1789,Z1789,AE1789,AJ1789,AO1789,AT1789,AX1789,AY1789),F1789&lt;&gt;"",SUM(K1789,P1789,U1789,Z1789,AE1789,AJ1789,,AO1789,AT1789),F1789="","")</f>
        <v/>
      </c>
      <c r="BC1789" s="211" t="str" cm="1">
        <f t="array" ref="BC1789">_xlfn.IFS(E1789="","",G1789&lt;=E1789,BB1789*(1-0.03),G1789&lt;(E1789+8),BB1789,AZ1789="Boleto",BB1789*(1+0.001)^DATEDIF(E1789,G1789,"D"),AZ1789="Cheque",BB1789,AZ1789="Dinheiro","Alterar forma pgto")</f>
        <v/>
      </c>
      <c r="BD1789" s="276" t="str" cm="1">
        <f t="array" ref="BD1789">IF(F1789=0," ",IF(BC1789&lt;BB1789,(_xlfn.IFS(AW1789="SIM",SUM(L1789,Q1789,V1789,AA1789,AF1789,AK1789,AP1789,AU1789)+AX1789/_xlfn.XLOOKUP(_xlfn.XLOOKUP($F1789,Clientes!$B$4:$B$39,Clientes!$C$4:$C$39),Cadastros!$L$6:$L$12,Cadastros!$M$6:$M$12)+IF($F1789="Bernardino Furlan",AY1789/2751.92,IF($F1789="Mauro José Salanti",AY1789/2751.92,AY1789/3356)),F1789&lt;&gt;0,SUM(L1789,Q1789,V1789,AA1789,AF1789,AK1789,AP1789,AU1789)))*(1-0.03),_xlfn.IFS(AW1789="SIM",SUM(L1789,Q1789,V1789,AA1789,AF1789,AK1789,AP1789,AU1789)+AX1789/_xlfn.XLOOKUP(_xlfn.XLOOKUP($F1789,Clientes!$B$4:$B$39,Clientes!$C$4:$C$39),Cadastros!$L$6:$L$12,Cadastros!$M$6:$M$12)+IF($F1789="Bernardino Furlan",AY1789/2751.92,IF($F1789="Mauro José Salanti",AY1789/2751.92,AY1789/3356)),F1789&lt;&gt;0,SUM(L1789,Q1789,V1789,AA1789,AF1789,AK1789,AP1789,AU1789))))</f>
        <v xml:space="preserve"> </v>
      </c>
      <c r="BE1789" s="120"/>
      <c r="BF1789" s="120"/>
      <c r="BG1789" s="120"/>
    </row>
    <row r="1790" spans="1:59" s="3" customFormat="1" x14ac:dyDescent="0.3">
      <c r="A1790" s="15" t="str">
        <f t="shared" si="351"/>
        <v/>
      </c>
      <c r="B1790" s="25"/>
      <c r="C1790" s="26"/>
      <c r="D1790" s="279"/>
      <c r="E1790" s="27"/>
      <c r="F1790" s="28"/>
      <c r="G1790" s="27"/>
      <c r="H1790" s="28"/>
      <c r="I1790" s="28"/>
      <c r="J1790" s="255" t="str">
        <f>IF(H1790="","",(_xlfn.XLOOKUP(H1790,Cadastros!$D$6:$D$90,Cadastros!$E$6:$E$90))*(1-_xlfn.XLOOKUP(_xlfn.XLOOKUP($F1790,Clientes!$B$4:$B$39,Clientes!$C$4:$C$39),Cadastros!$L$6:$L$12,Cadastros!$N$6:$N$12)))</f>
        <v/>
      </c>
      <c r="K1790" s="168" t="str">
        <f t="shared" si="352"/>
        <v/>
      </c>
      <c r="L1790" s="168" t="str">
        <f>IFERROR(K1790/_xlfn.XLOOKUP(_xlfn.XLOOKUP($F1790,Clientes!$B$4:$B$39,Clientes!$C$4:$C$39),Cadastros!$L$6:$L$12,Cadastros!$M$6:$M$12)," ")</f>
        <v xml:space="preserve"> </v>
      </c>
      <c r="M1790" s="28"/>
      <c r="N1790" s="28"/>
      <c r="O1790" s="255" t="str">
        <f>IF(M1790="","",(_xlfn.XLOOKUP(M1790,Cadastros!$D$6:$D$90,Cadastros!$E$6:$E$90))*(1-_xlfn.XLOOKUP(_xlfn.XLOOKUP($F1790,Clientes!$B$4:$B$39,Clientes!$C$4:$C$39),Cadastros!$L$6:$L$12,Cadastros!$N$6:$N$12)))</f>
        <v/>
      </c>
      <c r="P1790" s="168" t="str">
        <f t="shared" si="353"/>
        <v/>
      </c>
      <c r="Q1790" s="168" t="str">
        <f>IFERROR(P1790/_xlfn.XLOOKUP(_xlfn.XLOOKUP($F1790,Clientes!$B$4:$B$39,Clientes!$C$4:$C$39),Cadastros!$L$6:$L$12,Cadastros!$M$6:$M$12)," ")</f>
        <v xml:space="preserve"> </v>
      </c>
      <c r="R1790" s="28"/>
      <c r="S1790" s="28"/>
      <c r="T1790" s="255" t="str">
        <f>IF(R1790="","",(_xlfn.XLOOKUP(R1790,Cadastros!$D$6:$D$90,Cadastros!$E$6:$E$90))*(1-_xlfn.XLOOKUP(_xlfn.XLOOKUP($F1790,Clientes!$B$4:$B$39,Clientes!$C$4:$C$39),Cadastros!$L$6:$L$12,Cadastros!$N$6:$N$12)))</f>
        <v/>
      </c>
      <c r="U1790" s="168" t="str">
        <f t="shared" si="354"/>
        <v/>
      </c>
      <c r="V1790" s="168" t="str">
        <f>IFERROR(U1790/_xlfn.XLOOKUP(_xlfn.XLOOKUP($F1790,Clientes!$B$4:$B$39,Clientes!$C$4:$C$39),Cadastros!$L$6:$L$12,Cadastros!$M$6:$M$12)," ")</f>
        <v xml:space="preserve"> </v>
      </c>
      <c r="W1790" s="28"/>
      <c r="X1790" s="28"/>
      <c r="Y1790" s="255" t="str">
        <f>IF(W1790="","",(_xlfn.XLOOKUP(W1790,Cadastros!$D$6:$D$90,Cadastros!$E$6:$E$90))*(1-_xlfn.XLOOKUP(_xlfn.XLOOKUP($F1790,Clientes!$B$4:$B$39,Clientes!$C$4:$C$39),Cadastros!$L$6:$L$12,Cadastros!$N$6:$N$12)))</f>
        <v/>
      </c>
      <c r="Z1790" s="168" t="str">
        <f t="shared" si="355"/>
        <v/>
      </c>
      <c r="AA1790" s="168" t="str">
        <f>IFERROR(Z1790/_xlfn.XLOOKUP(_xlfn.XLOOKUP($F1790,Clientes!$B$4:$B$39,Clientes!$C$4:$C$39),Cadastros!$L$6:$L$12,Cadastros!$M$6:$M$12)," ")</f>
        <v xml:space="preserve"> </v>
      </c>
      <c r="AB1790" s="28"/>
      <c r="AC1790" s="28"/>
      <c r="AD1790" s="20" t="str">
        <f>IF(AB1790="","",IF($F1790="Bernardino Furlan",_xlfn.XLOOKUP(AB1790,Cadastros!$G$6:$G$90,Cadastros!$H$6:$H$90)*(1-0.18),IF($F1790="Mauro José Salanti",_xlfn.XLOOKUP(AB1790,Cadastros!$G$6:$G$90,Cadastros!$H$6:$H$90)*(1-0.18),_xlfn.XLOOKUP(AB1790,Cadastros!$G$6:$G$90,Cadastros!$H$6:$H$90))))</f>
        <v/>
      </c>
      <c r="AE1790" s="168" t="str">
        <f t="shared" si="356"/>
        <v/>
      </c>
      <c r="AF1790" s="168" t="str">
        <f t="shared" si="357"/>
        <v/>
      </c>
      <c r="AG1790" s="28"/>
      <c r="AH1790" s="28"/>
      <c r="AI1790" s="20" t="str">
        <f>IF(AG1790="","",IF($F1790="Bernardino Furlan",_xlfn.XLOOKUP(AG1790,Cadastros!$G$6:$G$90,Cadastros!$H$6:$H$90)*(1-0.18),IF($F1790="Mauro José Salanti",_xlfn.XLOOKUP(AG1790,Cadastros!$G$6:$G$90,Cadastros!$H$6:$H$90)*(1-0.18),_xlfn.XLOOKUP(AG1790,Cadastros!$G$6:$G$90,Cadastros!$H$6:$H$90))))</f>
        <v/>
      </c>
      <c r="AJ1790" s="168" t="str">
        <f t="shared" si="358"/>
        <v/>
      </c>
      <c r="AK1790" s="168" t="str">
        <f t="shared" si="359"/>
        <v/>
      </c>
      <c r="AL1790" s="28"/>
      <c r="AM1790" s="28"/>
      <c r="AN1790" s="20" t="str">
        <f>IF(AL1790="","",IF($F1790="Bernardino Furlan",_xlfn.XLOOKUP(AL1790,Cadastros!$G$6:$G$90,Cadastros!$H$6:$H$90)*(1-0.18),IF($F1790="Mauro José Salanti",_xlfn.XLOOKUP(AL1790,Cadastros!$G$6:$G$90,Cadastros!$H$6:$H$90)*(1-0.18),_xlfn.XLOOKUP(AL1790,Cadastros!$G$6:$G$90,Cadastros!$H$6:$H$90))))</f>
        <v/>
      </c>
      <c r="AO1790" s="168" t="str">
        <f t="shared" si="360"/>
        <v/>
      </c>
      <c r="AP1790" s="168" t="str">
        <f t="shared" si="361"/>
        <v/>
      </c>
      <c r="AQ1790" s="28"/>
      <c r="AR1790" s="28"/>
      <c r="AS1790" s="20" t="str">
        <f>IF(AQ1790="","",IF($F1790="Bernardino Furlan",_xlfn.XLOOKUP(AQ1790,Cadastros!$G$6:$G$90,Cadastros!$H$6:$H$90)*(1-0.18),IF($F1790="Mauro José Salanti",_xlfn.XLOOKUP(AQ1790,Cadastros!$G$6:$G$90,Cadastros!$H$6:$H$90)*(1-0.18),_xlfn.XLOOKUP(AQ1790,Cadastros!$G$6:$G$90,Cadastros!$H$6:$H$90))))</f>
        <v/>
      </c>
      <c r="AT1790" s="168" t="str">
        <f t="shared" si="362"/>
        <v/>
      </c>
      <c r="AU1790" s="168" t="str">
        <f t="shared" si="363"/>
        <v/>
      </c>
      <c r="AV1790" s="227"/>
      <c r="AW1790" s="30"/>
      <c r="AX1790" s="267"/>
      <c r="AY1790" s="267"/>
      <c r="AZ1790" s="29"/>
      <c r="BA1790" s="30"/>
      <c r="BB1790" s="23" t="str" cm="1">
        <f t="array" ref="BB1790">_xlfn.IFS(AW1790="SIM",SUM(K1790,P1790,U1790,Z1790,AE1790,AJ1790,AO1790,AT1790,AX1790,AY1790),F1790&lt;&gt;"",SUM(K1790,P1790,U1790,Z1790,AE1790,AJ1790,,AO1790,AT1790),F1790="","")</f>
        <v/>
      </c>
      <c r="BC1790" s="211" t="str" cm="1">
        <f t="array" ref="BC1790">_xlfn.IFS(E1790="","",G1790&lt;=E1790,BB1790*(1-0.03),G1790&lt;(E1790+8),BB1790,AZ1790="Boleto",BB1790*(1+0.001)^DATEDIF(E1790,G1790,"D"),AZ1790="Cheque",BB1790,AZ1790="Dinheiro","Alterar forma pgto")</f>
        <v/>
      </c>
      <c r="BD1790" s="276" t="str" cm="1">
        <f t="array" ref="BD1790">IF(F1790=0," ",IF(BC1790&lt;BB1790,(_xlfn.IFS(AW1790="SIM",SUM(L1790,Q1790,V1790,AA1790,AF1790,AK1790,AP1790,AU1790)+AX1790/_xlfn.XLOOKUP(_xlfn.XLOOKUP($F1790,Clientes!$B$4:$B$39,Clientes!$C$4:$C$39),Cadastros!$L$6:$L$12,Cadastros!$M$6:$M$12)+IF($F1790="Bernardino Furlan",AY1790/2751.92,IF($F1790="Mauro José Salanti",AY1790/2751.92,AY1790/3356)),F1790&lt;&gt;0,SUM(L1790,Q1790,V1790,AA1790,AF1790,AK1790,AP1790,AU1790)))*(1-0.03),_xlfn.IFS(AW1790="SIM",SUM(L1790,Q1790,V1790,AA1790,AF1790,AK1790,AP1790,AU1790)+AX1790/_xlfn.XLOOKUP(_xlfn.XLOOKUP($F1790,Clientes!$B$4:$B$39,Clientes!$C$4:$C$39),Cadastros!$L$6:$L$12,Cadastros!$M$6:$M$12)+IF($F1790="Bernardino Furlan",AY1790/2751.92,IF($F1790="Mauro José Salanti",AY1790/2751.92,AY1790/3356)),F1790&lt;&gt;0,SUM(L1790,Q1790,V1790,AA1790,AF1790,AK1790,AP1790,AU1790))))</f>
        <v xml:space="preserve"> </v>
      </c>
      <c r="BE1790" s="120"/>
      <c r="BF1790" s="120"/>
      <c r="BG1790" s="120"/>
    </row>
    <row r="1791" spans="1:59" s="3" customFormat="1" x14ac:dyDescent="0.3">
      <c r="A1791" s="15" t="str">
        <f t="shared" si="351"/>
        <v/>
      </c>
      <c r="B1791" s="25"/>
      <c r="C1791" s="26"/>
      <c r="D1791" s="279"/>
      <c r="E1791" s="27"/>
      <c r="F1791" s="28"/>
      <c r="G1791" s="27"/>
      <c r="H1791" s="28"/>
      <c r="I1791" s="28"/>
      <c r="J1791" s="255" t="str">
        <f>IF(H1791="","",(_xlfn.XLOOKUP(H1791,Cadastros!$D$6:$D$90,Cadastros!$E$6:$E$90))*(1-_xlfn.XLOOKUP(_xlfn.XLOOKUP($F1791,Clientes!$B$4:$B$39,Clientes!$C$4:$C$39),Cadastros!$L$6:$L$12,Cadastros!$N$6:$N$12)))</f>
        <v/>
      </c>
      <c r="K1791" s="168" t="str">
        <f t="shared" si="352"/>
        <v/>
      </c>
      <c r="L1791" s="168" t="str">
        <f>IFERROR(K1791/_xlfn.XLOOKUP(_xlfn.XLOOKUP($F1791,Clientes!$B$4:$B$39,Clientes!$C$4:$C$39),Cadastros!$L$6:$L$12,Cadastros!$M$6:$M$12)," ")</f>
        <v xml:space="preserve"> </v>
      </c>
      <c r="M1791" s="28"/>
      <c r="N1791" s="28"/>
      <c r="O1791" s="255" t="str">
        <f>IF(M1791="","",(_xlfn.XLOOKUP(M1791,Cadastros!$D$6:$D$90,Cadastros!$E$6:$E$90))*(1-_xlfn.XLOOKUP(_xlfn.XLOOKUP($F1791,Clientes!$B$4:$B$39,Clientes!$C$4:$C$39),Cadastros!$L$6:$L$12,Cadastros!$N$6:$N$12)))</f>
        <v/>
      </c>
      <c r="P1791" s="168" t="str">
        <f t="shared" si="353"/>
        <v/>
      </c>
      <c r="Q1791" s="168" t="str">
        <f>IFERROR(P1791/_xlfn.XLOOKUP(_xlfn.XLOOKUP($F1791,Clientes!$B$4:$B$39,Clientes!$C$4:$C$39),Cadastros!$L$6:$L$12,Cadastros!$M$6:$M$12)," ")</f>
        <v xml:space="preserve"> </v>
      </c>
      <c r="R1791" s="28"/>
      <c r="S1791" s="28"/>
      <c r="T1791" s="255" t="str">
        <f>IF(R1791="","",(_xlfn.XLOOKUP(R1791,Cadastros!$D$6:$D$90,Cadastros!$E$6:$E$90))*(1-_xlfn.XLOOKUP(_xlfn.XLOOKUP($F1791,Clientes!$B$4:$B$39,Clientes!$C$4:$C$39),Cadastros!$L$6:$L$12,Cadastros!$N$6:$N$12)))</f>
        <v/>
      </c>
      <c r="U1791" s="168" t="str">
        <f t="shared" si="354"/>
        <v/>
      </c>
      <c r="V1791" s="168" t="str">
        <f>IFERROR(U1791/_xlfn.XLOOKUP(_xlfn.XLOOKUP($F1791,Clientes!$B$4:$B$39,Clientes!$C$4:$C$39),Cadastros!$L$6:$L$12,Cadastros!$M$6:$M$12)," ")</f>
        <v xml:space="preserve"> </v>
      </c>
      <c r="W1791" s="28"/>
      <c r="X1791" s="28"/>
      <c r="Y1791" s="255" t="str">
        <f>IF(W1791="","",(_xlfn.XLOOKUP(W1791,Cadastros!$D$6:$D$90,Cadastros!$E$6:$E$90))*(1-_xlfn.XLOOKUP(_xlfn.XLOOKUP($F1791,Clientes!$B$4:$B$39,Clientes!$C$4:$C$39),Cadastros!$L$6:$L$12,Cadastros!$N$6:$N$12)))</f>
        <v/>
      </c>
      <c r="Z1791" s="168" t="str">
        <f t="shared" si="355"/>
        <v/>
      </c>
      <c r="AA1791" s="168" t="str">
        <f>IFERROR(Z1791/_xlfn.XLOOKUP(_xlfn.XLOOKUP($F1791,Clientes!$B$4:$B$39,Clientes!$C$4:$C$39),Cadastros!$L$6:$L$12,Cadastros!$M$6:$M$12)," ")</f>
        <v xml:space="preserve"> </v>
      </c>
      <c r="AB1791" s="28"/>
      <c r="AC1791" s="28"/>
      <c r="AD1791" s="20" t="str">
        <f>IF(AB1791="","",IF($F1791="Bernardino Furlan",_xlfn.XLOOKUP(AB1791,Cadastros!$G$6:$G$90,Cadastros!$H$6:$H$90)*(1-0.18),IF($F1791="Mauro José Salanti",_xlfn.XLOOKUP(AB1791,Cadastros!$G$6:$G$90,Cadastros!$H$6:$H$90)*(1-0.18),_xlfn.XLOOKUP(AB1791,Cadastros!$G$6:$G$90,Cadastros!$H$6:$H$90))))</f>
        <v/>
      </c>
      <c r="AE1791" s="168" t="str">
        <f t="shared" si="356"/>
        <v/>
      </c>
      <c r="AF1791" s="168" t="str">
        <f t="shared" si="357"/>
        <v/>
      </c>
      <c r="AG1791" s="28"/>
      <c r="AH1791" s="28"/>
      <c r="AI1791" s="20" t="str">
        <f>IF(AG1791="","",IF($F1791="Bernardino Furlan",_xlfn.XLOOKUP(AG1791,Cadastros!$G$6:$G$90,Cadastros!$H$6:$H$90)*(1-0.18),IF($F1791="Mauro José Salanti",_xlfn.XLOOKUP(AG1791,Cadastros!$G$6:$G$90,Cadastros!$H$6:$H$90)*(1-0.18),_xlfn.XLOOKUP(AG1791,Cadastros!$G$6:$G$90,Cadastros!$H$6:$H$90))))</f>
        <v/>
      </c>
      <c r="AJ1791" s="168" t="str">
        <f t="shared" si="358"/>
        <v/>
      </c>
      <c r="AK1791" s="168" t="str">
        <f t="shared" si="359"/>
        <v/>
      </c>
      <c r="AL1791" s="28"/>
      <c r="AM1791" s="28"/>
      <c r="AN1791" s="20" t="str">
        <f>IF(AL1791="","",IF($F1791="Bernardino Furlan",_xlfn.XLOOKUP(AL1791,Cadastros!$G$6:$G$90,Cadastros!$H$6:$H$90)*(1-0.18),IF($F1791="Mauro José Salanti",_xlfn.XLOOKUP(AL1791,Cadastros!$G$6:$G$90,Cadastros!$H$6:$H$90)*(1-0.18),_xlfn.XLOOKUP(AL1791,Cadastros!$G$6:$G$90,Cadastros!$H$6:$H$90))))</f>
        <v/>
      </c>
      <c r="AO1791" s="168" t="str">
        <f t="shared" si="360"/>
        <v/>
      </c>
      <c r="AP1791" s="168" t="str">
        <f t="shared" si="361"/>
        <v/>
      </c>
      <c r="AQ1791" s="28"/>
      <c r="AR1791" s="28"/>
      <c r="AS1791" s="20" t="str">
        <f>IF(AQ1791="","",IF($F1791="Bernardino Furlan",_xlfn.XLOOKUP(AQ1791,Cadastros!$G$6:$G$90,Cadastros!$H$6:$H$90)*(1-0.18),IF($F1791="Mauro José Salanti",_xlfn.XLOOKUP(AQ1791,Cadastros!$G$6:$G$90,Cadastros!$H$6:$H$90)*(1-0.18),_xlfn.XLOOKUP(AQ1791,Cadastros!$G$6:$G$90,Cadastros!$H$6:$H$90))))</f>
        <v/>
      </c>
      <c r="AT1791" s="168" t="str">
        <f t="shared" si="362"/>
        <v/>
      </c>
      <c r="AU1791" s="168" t="str">
        <f t="shared" si="363"/>
        <v/>
      </c>
      <c r="AV1791" s="227"/>
      <c r="AW1791" s="30"/>
      <c r="AX1791" s="267"/>
      <c r="AY1791" s="267"/>
      <c r="AZ1791" s="29"/>
      <c r="BA1791" s="30"/>
      <c r="BB1791" s="23" t="str" cm="1">
        <f t="array" ref="BB1791">_xlfn.IFS(AW1791="SIM",SUM(K1791,P1791,U1791,Z1791,AE1791,AJ1791,AO1791,AT1791,AX1791,AY1791),F1791&lt;&gt;"",SUM(K1791,P1791,U1791,Z1791,AE1791,AJ1791,,AO1791,AT1791),F1791="","")</f>
        <v/>
      </c>
      <c r="BC1791" s="211" t="str" cm="1">
        <f t="array" ref="BC1791">_xlfn.IFS(E1791="","",G1791&lt;=E1791,BB1791*(1-0.03),G1791&lt;(E1791+8),BB1791,AZ1791="Boleto",BB1791*(1+0.001)^DATEDIF(E1791,G1791,"D"),AZ1791="Cheque",BB1791,AZ1791="Dinheiro","Alterar forma pgto")</f>
        <v/>
      </c>
      <c r="BD1791" s="276" t="str" cm="1">
        <f t="array" ref="BD1791">IF(F1791=0," ",IF(BC1791&lt;BB1791,(_xlfn.IFS(AW1791="SIM",SUM(L1791,Q1791,V1791,AA1791,AF1791,AK1791,AP1791,AU1791)+AX1791/_xlfn.XLOOKUP(_xlfn.XLOOKUP($F1791,Clientes!$B$4:$B$39,Clientes!$C$4:$C$39),Cadastros!$L$6:$L$12,Cadastros!$M$6:$M$12)+IF($F1791="Bernardino Furlan",AY1791/2751.92,IF($F1791="Mauro José Salanti",AY1791/2751.92,AY1791/3356)),F1791&lt;&gt;0,SUM(L1791,Q1791,V1791,AA1791,AF1791,AK1791,AP1791,AU1791)))*(1-0.03),_xlfn.IFS(AW1791="SIM",SUM(L1791,Q1791,V1791,AA1791,AF1791,AK1791,AP1791,AU1791)+AX1791/_xlfn.XLOOKUP(_xlfn.XLOOKUP($F1791,Clientes!$B$4:$B$39,Clientes!$C$4:$C$39),Cadastros!$L$6:$L$12,Cadastros!$M$6:$M$12)+IF($F1791="Bernardino Furlan",AY1791/2751.92,IF($F1791="Mauro José Salanti",AY1791/2751.92,AY1791/3356)),F1791&lt;&gt;0,SUM(L1791,Q1791,V1791,AA1791,AF1791,AK1791,AP1791,AU1791))))</f>
        <v xml:space="preserve"> </v>
      </c>
      <c r="BE1791" s="120"/>
      <c r="BF1791" s="120"/>
      <c r="BG1791" s="120"/>
    </row>
    <row r="1792" spans="1:59" s="3" customFormat="1" x14ac:dyDescent="0.3">
      <c r="A1792" s="15" t="str">
        <f t="shared" si="351"/>
        <v/>
      </c>
      <c r="B1792" s="25"/>
      <c r="C1792" s="26"/>
      <c r="D1792" s="279"/>
      <c r="E1792" s="27"/>
      <c r="F1792" s="28"/>
      <c r="G1792" s="27"/>
      <c r="H1792" s="28"/>
      <c r="I1792" s="28"/>
      <c r="J1792" s="255" t="str">
        <f>IF(H1792="","",(_xlfn.XLOOKUP(H1792,Cadastros!$D$6:$D$90,Cadastros!$E$6:$E$90))*(1-_xlfn.XLOOKUP(_xlfn.XLOOKUP($F1792,Clientes!$B$4:$B$39,Clientes!$C$4:$C$39),Cadastros!$L$6:$L$12,Cadastros!$N$6:$N$12)))</f>
        <v/>
      </c>
      <c r="K1792" s="168" t="str">
        <f t="shared" si="352"/>
        <v/>
      </c>
      <c r="L1792" s="168" t="str">
        <f>IFERROR(K1792/_xlfn.XLOOKUP(_xlfn.XLOOKUP($F1792,Clientes!$B$4:$B$39,Clientes!$C$4:$C$39),Cadastros!$L$6:$L$12,Cadastros!$M$6:$M$12)," ")</f>
        <v xml:space="preserve"> </v>
      </c>
      <c r="M1792" s="28"/>
      <c r="N1792" s="28"/>
      <c r="O1792" s="255" t="str">
        <f>IF(M1792="","",(_xlfn.XLOOKUP(M1792,Cadastros!$D$6:$D$90,Cadastros!$E$6:$E$90))*(1-_xlfn.XLOOKUP(_xlfn.XLOOKUP($F1792,Clientes!$B$4:$B$39,Clientes!$C$4:$C$39),Cadastros!$L$6:$L$12,Cadastros!$N$6:$N$12)))</f>
        <v/>
      </c>
      <c r="P1792" s="168" t="str">
        <f t="shared" si="353"/>
        <v/>
      </c>
      <c r="Q1792" s="168" t="str">
        <f>IFERROR(P1792/_xlfn.XLOOKUP(_xlfn.XLOOKUP($F1792,Clientes!$B$4:$B$39,Clientes!$C$4:$C$39),Cadastros!$L$6:$L$12,Cadastros!$M$6:$M$12)," ")</f>
        <v xml:space="preserve"> </v>
      </c>
      <c r="R1792" s="28"/>
      <c r="S1792" s="28"/>
      <c r="T1792" s="255" t="str">
        <f>IF(R1792="","",(_xlfn.XLOOKUP(R1792,Cadastros!$D$6:$D$90,Cadastros!$E$6:$E$90))*(1-_xlfn.XLOOKUP(_xlfn.XLOOKUP($F1792,Clientes!$B$4:$B$39,Clientes!$C$4:$C$39),Cadastros!$L$6:$L$12,Cadastros!$N$6:$N$12)))</f>
        <v/>
      </c>
      <c r="U1792" s="168" t="str">
        <f t="shared" si="354"/>
        <v/>
      </c>
      <c r="V1792" s="168" t="str">
        <f>IFERROR(U1792/_xlfn.XLOOKUP(_xlfn.XLOOKUP($F1792,Clientes!$B$4:$B$39,Clientes!$C$4:$C$39),Cadastros!$L$6:$L$12,Cadastros!$M$6:$M$12)," ")</f>
        <v xml:space="preserve"> </v>
      </c>
      <c r="W1792" s="28"/>
      <c r="X1792" s="28"/>
      <c r="Y1792" s="255" t="str">
        <f>IF(W1792="","",(_xlfn.XLOOKUP(W1792,Cadastros!$D$6:$D$90,Cadastros!$E$6:$E$90))*(1-_xlfn.XLOOKUP(_xlfn.XLOOKUP($F1792,Clientes!$B$4:$B$39,Clientes!$C$4:$C$39),Cadastros!$L$6:$L$12,Cadastros!$N$6:$N$12)))</f>
        <v/>
      </c>
      <c r="Z1792" s="168" t="str">
        <f t="shared" si="355"/>
        <v/>
      </c>
      <c r="AA1792" s="168" t="str">
        <f>IFERROR(Z1792/_xlfn.XLOOKUP(_xlfn.XLOOKUP($F1792,Clientes!$B$4:$B$39,Clientes!$C$4:$C$39),Cadastros!$L$6:$L$12,Cadastros!$M$6:$M$12)," ")</f>
        <v xml:space="preserve"> </v>
      </c>
      <c r="AB1792" s="28"/>
      <c r="AC1792" s="28"/>
      <c r="AD1792" s="20" t="str">
        <f>IF(AB1792="","",IF($F1792="Bernardino Furlan",_xlfn.XLOOKUP(AB1792,Cadastros!$G$6:$G$90,Cadastros!$H$6:$H$90)*(1-0.18),IF($F1792="Mauro José Salanti",_xlfn.XLOOKUP(AB1792,Cadastros!$G$6:$G$90,Cadastros!$H$6:$H$90)*(1-0.18),_xlfn.XLOOKUP(AB1792,Cadastros!$G$6:$G$90,Cadastros!$H$6:$H$90))))</f>
        <v/>
      </c>
      <c r="AE1792" s="168" t="str">
        <f t="shared" si="356"/>
        <v/>
      </c>
      <c r="AF1792" s="168" t="str">
        <f t="shared" si="357"/>
        <v/>
      </c>
      <c r="AG1792" s="28"/>
      <c r="AH1792" s="28"/>
      <c r="AI1792" s="20" t="str">
        <f>IF(AG1792="","",IF($F1792="Bernardino Furlan",_xlfn.XLOOKUP(AG1792,Cadastros!$G$6:$G$90,Cadastros!$H$6:$H$90)*(1-0.18),IF($F1792="Mauro José Salanti",_xlfn.XLOOKUP(AG1792,Cadastros!$G$6:$G$90,Cadastros!$H$6:$H$90)*(1-0.18),_xlfn.XLOOKUP(AG1792,Cadastros!$G$6:$G$90,Cadastros!$H$6:$H$90))))</f>
        <v/>
      </c>
      <c r="AJ1792" s="168" t="str">
        <f t="shared" si="358"/>
        <v/>
      </c>
      <c r="AK1792" s="168" t="str">
        <f t="shared" si="359"/>
        <v/>
      </c>
      <c r="AL1792" s="28"/>
      <c r="AM1792" s="28"/>
      <c r="AN1792" s="20" t="str">
        <f>IF(AL1792="","",IF($F1792="Bernardino Furlan",_xlfn.XLOOKUP(AL1792,Cadastros!$G$6:$G$90,Cadastros!$H$6:$H$90)*(1-0.18),IF($F1792="Mauro José Salanti",_xlfn.XLOOKUP(AL1792,Cadastros!$G$6:$G$90,Cadastros!$H$6:$H$90)*(1-0.18),_xlfn.XLOOKUP(AL1792,Cadastros!$G$6:$G$90,Cadastros!$H$6:$H$90))))</f>
        <v/>
      </c>
      <c r="AO1792" s="168" t="str">
        <f t="shared" si="360"/>
        <v/>
      </c>
      <c r="AP1792" s="168" t="str">
        <f t="shared" si="361"/>
        <v/>
      </c>
      <c r="AQ1792" s="28"/>
      <c r="AR1792" s="28"/>
      <c r="AS1792" s="20" t="str">
        <f>IF(AQ1792="","",IF($F1792="Bernardino Furlan",_xlfn.XLOOKUP(AQ1792,Cadastros!$G$6:$G$90,Cadastros!$H$6:$H$90)*(1-0.18),IF($F1792="Mauro José Salanti",_xlfn.XLOOKUP(AQ1792,Cadastros!$G$6:$G$90,Cadastros!$H$6:$H$90)*(1-0.18),_xlfn.XLOOKUP(AQ1792,Cadastros!$G$6:$G$90,Cadastros!$H$6:$H$90))))</f>
        <v/>
      </c>
      <c r="AT1792" s="168" t="str">
        <f t="shared" si="362"/>
        <v/>
      </c>
      <c r="AU1792" s="168" t="str">
        <f t="shared" si="363"/>
        <v/>
      </c>
      <c r="AV1792" s="227"/>
      <c r="AW1792" s="30"/>
      <c r="AX1792" s="267"/>
      <c r="AY1792" s="267"/>
      <c r="AZ1792" s="29"/>
      <c r="BA1792" s="30"/>
      <c r="BB1792" s="23" t="str" cm="1">
        <f t="array" ref="BB1792">_xlfn.IFS(AW1792="SIM",SUM(K1792,P1792,U1792,Z1792,AE1792,AJ1792,AO1792,AT1792,AX1792,AY1792),F1792&lt;&gt;"",SUM(K1792,P1792,U1792,Z1792,AE1792,AJ1792,,AO1792,AT1792),F1792="","")</f>
        <v/>
      </c>
      <c r="BC1792" s="211" t="str" cm="1">
        <f t="array" ref="BC1792">_xlfn.IFS(E1792="","",G1792&lt;=E1792,BB1792*(1-0.03),G1792&lt;(E1792+8),BB1792,AZ1792="Boleto",BB1792*(1+0.001)^DATEDIF(E1792,G1792,"D"),AZ1792="Cheque",BB1792,AZ1792="Dinheiro","Alterar forma pgto")</f>
        <v/>
      </c>
      <c r="BD1792" s="276" t="str" cm="1">
        <f t="array" ref="BD1792">IF(F1792=0," ",IF(BC1792&lt;BB1792,(_xlfn.IFS(AW1792="SIM",SUM(L1792,Q1792,V1792,AA1792,AF1792,AK1792,AP1792,AU1792)+AX1792/_xlfn.XLOOKUP(_xlfn.XLOOKUP($F1792,Clientes!$B$4:$B$39,Clientes!$C$4:$C$39),Cadastros!$L$6:$L$12,Cadastros!$M$6:$M$12)+IF($F1792="Bernardino Furlan",AY1792/2751.92,IF($F1792="Mauro José Salanti",AY1792/2751.92,AY1792/3356)),F1792&lt;&gt;0,SUM(L1792,Q1792,V1792,AA1792,AF1792,AK1792,AP1792,AU1792)))*(1-0.03),_xlfn.IFS(AW1792="SIM",SUM(L1792,Q1792,V1792,AA1792,AF1792,AK1792,AP1792,AU1792)+AX1792/_xlfn.XLOOKUP(_xlfn.XLOOKUP($F1792,Clientes!$B$4:$B$39,Clientes!$C$4:$C$39),Cadastros!$L$6:$L$12,Cadastros!$M$6:$M$12)+IF($F1792="Bernardino Furlan",AY1792/2751.92,IF($F1792="Mauro José Salanti",AY1792/2751.92,AY1792/3356)),F1792&lt;&gt;0,SUM(L1792,Q1792,V1792,AA1792,AF1792,AK1792,AP1792,AU1792))))</f>
        <v xml:space="preserve"> </v>
      </c>
      <c r="BE1792" s="120"/>
      <c r="BF1792" s="120"/>
      <c r="BG1792" s="120"/>
    </row>
    <row r="1793" spans="1:59" s="3" customFormat="1" x14ac:dyDescent="0.3">
      <c r="A1793" s="15" t="str">
        <f t="shared" si="351"/>
        <v/>
      </c>
      <c r="B1793" s="25"/>
      <c r="C1793" s="26"/>
      <c r="D1793" s="279"/>
      <c r="E1793" s="27"/>
      <c r="F1793" s="28"/>
      <c r="G1793" s="27"/>
      <c r="H1793" s="28"/>
      <c r="I1793" s="28"/>
      <c r="J1793" s="255" t="str">
        <f>IF(H1793="","",(_xlfn.XLOOKUP(H1793,Cadastros!$D$6:$D$90,Cadastros!$E$6:$E$90))*(1-_xlfn.XLOOKUP(_xlfn.XLOOKUP($F1793,Clientes!$B$4:$B$39,Clientes!$C$4:$C$39),Cadastros!$L$6:$L$12,Cadastros!$N$6:$N$12)))</f>
        <v/>
      </c>
      <c r="K1793" s="168" t="str">
        <f t="shared" si="352"/>
        <v/>
      </c>
      <c r="L1793" s="168" t="str">
        <f>IFERROR(K1793/_xlfn.XLOOKUP(_xlfn.XLOOKUP($F1793,Clientes!$B$4:$B$39,Clientes!$C$4:$C$39),Cadastros!$L$6:$L$12,Cadastros!$M$6:$M$12)," ")</f>
        <v xml:space="preserve"> </v>
      </c>
      <c r="M1793" s="28"/>
      <c r="N1793" s="28"/>
      <c r="O1793" s="255" t="str">
        <f>IF(M1793="","",(_xlfn.XLOOKUP(M1793,Cadastros!$D$6:$D$90,Cadastros!$E$6:$E$90))*(1-_xlfn.XLOOKUP(_xlfn.XLOOKUP($F1793,Clientes!$B$4:$B$39,Clientes!$C$4:$C$39),Cadastros!$L$6:$L$12,Cadastros!$N$6:$N$12)))</f>
        <v/>
      </c>
      <c r="P1793" s="168" t="str">
        <f t="shared" si="353"/>
        <v/>
      </c>
      <c r="Q1793" s="168" t="str">
        <f>IFERROR(P1793/_xlfn.XLOOKUP(_xlfn.XLOOKUP($F1793,Clientes!$B$4:$B$39,Clientes!$C$4:$C$39),Cadastros!$L$6:$L$12,Cadastros!$M$6:$M$12)," ")</f>
        <v xml:space="preserve"> </v>
      </c>
      <c r="R1793" s="28"/>
      <c r="S1793" s="28"/>
      <c r="T1793" s="255" t="str">
        <f>IF(R1793="","",(_xlfn.XLOOKUP(R1793,Cadastros!$D$6:$D$90,Cadastros!$E$6:$E$90))*(1-_xlfn.XLOOKUP(_xlfn.XLOOKUP($F1793,Clientes!$B$4:$B$39,Clientes!$C$4:$C$39),Cadastros!$L$6:$L$12,Cadastros!$N$6:$N$12)))</f>
        <v/>
      </c>
      <c r="U1793" s="168" t="str">
        <f t="shared" si="354"/>
        <v/>
      </c>
      <c r="V1793" s="168" t="str">
        <f>IFERROR(U1793/_xlfn.XLOOKUP(_xlfn.XLOOKUP($F1793,Clientes!$B$4:$B$39,Clientes!$C$4:$C$39),Cadastros!$L$6:$L$12,Cadastros!$M$6:$M$12)," ")</f>
        <v xml:space="preserve"> </v>
      </c>
      <c r="W1793" s="28"/>
      <c r="X1793" s="28"/>
      <c r="Y1793" s="255" t="str">
        <f>IF(W1793="","",(_xlfn.XLOOKUP(W1793,Cadastros!$D$6:$D$90,Cadastros!$E$6:$E$90))*(1-_xlfn.XLOOKUP(_xlfn.XLOOKUP($F1793,Clientes!$B$4:$B$39,Clientes!$C$4:$C$39),Cadastros!$L$6:$L$12,Cadastros!$N$6:$N$12)))</f>
        <v/>
      </c>
      <c r="Z1793" s="168" t="str">
        <f t="shared" si="355"/>
        <v/>
      </c>
      <c r="AA1793" s="168" t="str">
        <f>IFERROR(Z1793/_xlfn.XLOOKUP(_xlfn.XLOOKUP($F1793,Clientes!$B$4:$B$39,Clientes!$C$4:$C$39),Cadastros!$L$6:$L$12,Cadastros!$M$6:$M$12)," ")</f>
        <v xml:space="preserve"> </v>
      </c>
      <c r="AB1793" s="28"/>
      <c r="AC1793" s="28"/>
      <c r="AD1793" s="20" t="str">
        <f>IF(AB1793="","",IF($F1793="Bernardino Furlan",_xlfn.XLOOKUP(AB1793,Cadastros!$G$6:$G$90,Cadastros!$H$6:$H$90)*(1-0.18),IF($F1793="Mauro José Salanti",_xlfn.XLOOKUP(AB1793,Cadastros!$G$6:$G$90,Cadastros!$H$6:$H$90)*(1-0.18),_xlfn.XLOOKUP(AB1793,Cadastros!$G$6:$G$90,Cadastros!$H$6:$H$90))))</f>
        <v/>
      </c>
      <c r="AE1793" s="168" t="str">
        <f t="shared" si="356"/>
        <v/>
      </c>
      <c r="AF1793" s="168" t="str">
        <f t="shared" si="357"/>
        <v/>
      </c>
      <c r="AG1793" s="28"/>
      <c r="AH1793" s="28"/>
      <c r="AI1793" s="20" t="str">
        <f>IF(AG1793="","",IF($F1793="Bernardino Furlan",_xlfn.XLOOKUP(AG1793,Cadastros!$G$6:$G$90,Cadastros!$H$6:$H$90)*(1-0.18),IF($F1793="Mauro José Salanti",_xlfn.XLOOKUP(AG1793,Cadastros!$G$6:$G$90,Cadastros!$H$6:$H$90)*(1-0.18),_xlfn.XLOOKUP(AG1793,Cadastros!$G$6:$G$90,Cadastros!$H$6:$H$90))))</f>
        <v/>
      </c>
      <c r="AJ1793" s="168" t="str">
        <f t="shared" si="358"/>
        <v/>
      </c>
      <c r="AK1793" s="168" t="str">
        <f t="shared" si="359"/>
        <v/>
      </c>
      <c r="AL1793" s="28"/>
      <c r="AM1793" s="28"/>
      <c r="AN1793" s="20" t="str">
        <f>IF(AL1793="","",IF($F1793="Bernardino Furlan",_xlfn.XLOOKUP(AL1793,Cadastros!$G$6:$G$90,Cadastros!$H$6:$H$90)*(1-0.18),IF($F1793="Mauro José Salanti",_xlfn.XLOOKUP(AL1793,Cadastros!$G$6:$G$90,Cadastros!$H$6:$H$90)*(1-0.18),_xlfn.XLOOKUP(AL1793,Cadastros!$G$6:$G$90,Cadastros!$H$6:$H$90))))</f>
        <v/>
      </c>
      <c r="AO1793" s="168" t="str">
        <f t="shared" si="360"/>
        <v/>
      </c>
      <c r="AP1793" s="168" t="str">
        <f t="shared" si="361"/>
        <v/>
      </c>
      <c r="AQ1793" s="28"/>
      <c r="AR1793" s="28"/>
      <c r="AS1793" s="20" t="str">
        <f>IF(AQ1793="","",IF($F1793="Bernardino Furlan",_xlfn.XLOOKUP(AQ1793,Cadastros!$G$6:$G$90,Cadastros!$H$6:$H$90)*(1-0.18),IF($F1793="Mauro José Salanti",_xlfn.XLOOKUP(AQ1793,Cadastros!$G$6:$G$90,Cadastros!$H$6:$H$90)*(1-0.18),_xlfn.XLOOKUP(AQ1793,Cadastros!$G$6:$G$90,Cadastros!$H$6:$H$90))))</f>
        <v/>
      </c>
      <c r="AT1793" s="168" t="str">
        <f t="shared" si="362"/>
        <v/>
      </c>
      <c r="AU1793" s="168" t="str">
        <f t="shared" si="363"/>
        <v/>
      </c>
      <c r="AV1793" s="227"/>
      <c r="AW1793" s="30"/>
      <c r="AX1793" s="267"/>
      <c r="AY1793" s="267"/>
      <c r="AZ1793" s="29"/>
      <c r="BA1793" s="30"/>
      <c r="BB1793" s="23" t="str" cm="1">
        <f t="array" ref="BB1793">_xlfn.IFS(AW1793="SIM",SUM(K1793,P1793,U1793,Z1793,AE1793,AJ1793,AO1793,AT1793,AX1793,AY1793),F1793&lt;&gt;"",SUM(K1793,P1793,U1793,Z1793,AE1793,AJ1793,,AO1793,AT1793),F1793="","")</f>
        <v/>
      </c>
      <c r="BC1793" s="211" t="str" cm="1">
        <f t="array" ref="BC1793">_xlfn.IFS(E1793="","",G1793&lt;=E1793,BB1793*(1-0.03),G1793&lt;(E1793+8),BB1793,AZ1793="Boleto",BB1793*(1+0.001)^DATEDIF(E1793,G1793,"D"),AZ1793="Cheque",BB1793,AZ1793="Dinheiro","Alterar forma pgto")</f>
        <v/>
      </c>
      <c r="BD1793" s="276" t="str" cm="1">
        <f t="array" ref="BD1793">IF(F1793=0," ",IF(BC1793&lt;BB1793,(_xlfn.IFS(AW1793="SIM",SUM(L1793,Q1793,V1793,AA1793,AF1793,AK1793,AP1793,AU1793)+AX1793/_xlfn.XLOOKUP(_xlfn.XLOOKUP($F1793,Clientes!$B$4:$B$39,Clientes!$C$4:$C$39),Cadastros!$L$6:$L$12,Cadastros!$M$6:$M$12)+IF($F1793="Bernardino Furlan",AY1793/2751.92,IF($F1793="Mauro José Salanti",AY1793/2751.92,AY1793/3356)),F1793&lt;&gt;0,SUM(L1793,Q1793,V1793,AA1793,AF1793,AK1793,AP1793,AU1793)))*(1-0.03),_xlfn.IFS(AW1793="SIM",SUM(L1793,Q1793,V1793,AA1793,AF1793,AK1793,AP1793,AU1793)+AX1793/_xlfn.XLOOKUP(_xlfn.XLOOKUP($F1793,Clientes!$B$4:$B$39,Clientes!$C$4:$C$39),Cadastros!$L$6:$L$12,Cadastros!$M$6:$M$12)+IF($F1793="Bernardino Furlan",AY1793/2751.92,IF($F1793="Mauro José Salanti",AY1793/2751.92,AY1793/3356)),F1793&lt;&gt;0,SUM(L1793,Q1793,V1793,AA1793,AF1793,AK1793,AP1793,AU1793))))</f>
        <v xml:space="preserve"> </v>
      </c>
      <c r="BE1793" s="120"/>
      <c r="BF1793" s="120"/>
      <c r="BG1793" s="120"/>
    </row>
    <row r="1794" spans="1:59" s="3" customFormat="1" x14ac:dyDescent="0.3">
      <c r="A1794" s="15" t="str">
        <f t="shared" si="351"/>
        <v/>
      </c>
      <c r="B1794" s="25"/>
      <c r="C1794" s="26"/>
      <c r="D1794" s="279"/>
      <c r="E1794" s="27"/>
      <c r="F1794" s="28"/>
      <c r="G1794" s="27"/>
      <c r="H1794" s="28"/>
      <c r="I1794" s="28"/>
      <c r="J1794" s="255" t="str">
        <f>IF(H1794="","",(_xlfn.XLOOKUP(H1794,Cadastros!$D$6:$D$90,Cadastros!$E$6:$E$90))*(1-_xlfn.XLOOKUP(_xlfn.XLOOKUP($F1794,Clientes!$B$4:$B$39,Clientes!$C$4:$C$39),Cadastros!$L$6:$L$12,Cadastros!$N$6:$N$12)))</f>
        <v/>
      </c>
      <c r="K1794" s="168" t="str">
        <f t="shared" si="352"/>
        <v/>
      </c>
      <c r="L1794" s="168" t="str">
        <f>IFERROR(K1794/_xlfn.XLOOKUP(_xlfn.XLOOKUP($F1794,Clientes!$B$4:$B$39,Clientes!$C$4:$C$39),Cadastros!$L$6:$L$12,Cadastros!$M$6:$M$12)," ")</f>
        <v xml:space="preserve"> </v>
      </c>
      <c r="M1794" s="28"/>
      <c r="N1794" s="28"/>
      <c r="O1794" s="255" t="str">
        <f>IF(M1794="","",(_xlfn.XLOOKUP(M1794,Cadastros!$D$6:$D$90,Cadastros!$E$6:$E$90))*(1-_xlfn.XLOOKUP(_xlfn.XLOOKUP($F1794,Clientes!$B$4:$B$39,Clientes!$C$4:$C$39),Cadastros!$L$6:$L$12,Cadastros!$N$6:$N$12)))</f>
        <v/>
      </c>
      <c r="P1794" s="168" t="str">
        <f t="shared" si="353"/>
        <v/>
      </c>
      <c r="Q1794" s="168" t="str">
        <f>IFERROR(P1794/_xlfn.XLOOKUP(_xlfn.XLOOKUP($F1794,Clientes!$B$4:$B$39,Clientes!$C$4:$C$39),Cadastros!$L$6:$L$12,Cadastros!$M$6:$M$12)," ")</f>
        <v xml:space="preserve"> </v>
      </c>
      <c r="R1794" s="28"/>
      <c r="S1794" s="28"/>
      <c r="T1794" s="255" t="str">
        <f>IF(R1794="","",(_xlfn.XLOOKUP(R1794,Cadastros!$D$6:$D$90,Cadastros!$E$6:$E$90))*(1-_xlfn.XLOOKUP(_xlfn.XLOOKUP($F1794,Clientes!$B$4:$B$39,Clientes!$C$4:$C$39),Cadastros!$L$6:$L$12,Cadastros!$N$6:$N$12)))</f>
        <v/>
      </c>
      <c r="U1794" s="168" t="str">
        <f t="shared" si="354"/>
        <v/>
      </c>
      <c r="V1794" s="168" t="str">
        <f>IFERROR(U1794/_xlfn.XLOOKUP(_xlfn.XLOOKUP($F1794,Clientes!$B$4:$B$39,Clientes!$C$4:$C$39),Cadastros!$L$6:$L$12,Cadastros!$M$6:$M$12)," ")</f>
        <v xml:space="preserve"> </v>
      </c>
      <c r="W1794" s="28"/>
      <c r="X1794" s="28"/>
      <c r="Y1794" s="255" t="str">
        <f>IF(W1794="","",(_xlfn.XLOOKUP(W1794,Cadastros!$D$6:$D$90,Cadastros!$E$6:$E$90))*(1-_xlfn.XLOOKUP(_xlfn.XLOOKUP($F1794,Clientes!$B$4:$B$39,Clientes!$C$4:$C$39),Cadastros!$L$6:$L$12,Cadastros!$N$6:$N$12)))</f>
        <v/>
      </c>
      <c r="Z1794" s="168" t="str">
        <f t="shared" si="355"/>
        <v/>
      </c>
      <c r="AA1794" s="168" t="str">
        <f>IFERROR(Z1794/_xlfn.XLOOKUP(_xlfn.XLOOKUP($F1794,Clientes!$B$4:$B$39,Clientes!$C$4:$C$39),Cadastros!$L$6:$L$12,Cadastros!$M$6:$M$12)," ")</f>
        <v xml:space="preserve"> </v>
      </c>
      <c r="AB1794" s="28"/>
      <c r="AC1794" s="28"/>
      <c r="AD1794" s="20" t="str">
        <f>IF(AB1794="","",IF($F1794="Bernardino Furlan",_xlfn.XLOOKUP(AB1794,Cadastros!$G$6:$G$90,Cadastros!$H$6:$H$90)*(1-0.18),IF($F1794="Mauro José Salanti",_xlfn.XLOOKUP(AB1794,Cadastros!$G$6:$G$90,Cadastros!$H$6:$H$90)*(1-0.18),_xlfn.XLOOKUP(AB1794,Cadastros!$G$6:$G$90,Cadastros!$H$6:$H$90))))</f>
        <v/>
      </c>
      <c r="AE1794" s="168" t="str">
        <f t="shared" si="356"/>
        <v/>
      </c>
      <c r="AF1794" s="168" t="str">
        <f t="shared" si="357"/>
        <v/>
      </c>
      <c r="AG1794" s="28"/>
      <c r="AH1794" s="28"/>
      <c r="AI1794" s="20" t="str">
        <f>IF(AG1794="","",IF($F1794="Bernardino Furlan",_xlfn.XLOOKUP(AG1794,Cadastros!$G$6:$G$90,Cadastros!$H$6:$H$90)*(1-0.18),IF($F1794="Mauro José Salanti",_xlfn.XLOOKUP(AG1794,Cadastros!$G$6:$G$90,Cadastros!$H$6:$H$90)*(1-0.18),_xlfn.XLOOKUP(AG1794,Cadastros!$G$6:$G$90,Cadastros!$H$6:$H$90))))</f>
        <v/>
      </c>
      <c r="AJ1794" s="168" t="str">
        <f t="shared" si="358"/>
        <v/>
      </c>
      <c r="AK1794" s="168" t="str">
        <f t="shared" si="359"/>
        <v/>
      </c>
      <c r="AL1794" s="28"/>
      <c r="AM1794" s="28"/>
      <c r="AN1794" s="20" t="str">
        <f>IF(AL1794="","",IF($F1794="Bernardino Furlan",_xlfn.XLOOKUP(AL1794,Cadastros!$G$6:$G$90,Cadastros!$H$6:$H$90)*(1-0.18),IF($F1794="Mauro José Salanti",_xlfn.XLOOKUP(AL1794,Cadastros!$G$6:$G$90,Cadastros!$H$6:$H$90)*(1-0.18),_xlfn.XLOOKUP(AL1794,Cadastros!$G$6:$G$90,Cadastros!$H$6:$H$90))))</f>
        <v/>
      </c>
      <c r="AO1794" s="168" t="str">
        <f t="shared" si="360"/>
        <v/>
      </c>
      <c r="AP1794" s="168" t="str">
        <f t="shared" si="361"/>
        <v/>
      </c>
      <c r="AQ1794" s="28"/>
      <c r="AR1794" s="28"/>
      <c r="AS1794" s="20" t="str">
        <f>IF(AQ1794="","",IF($F1794="Bernardino Furlan",_xlfn.XLOOKUP(AQ1794,Cadastros!$G$6:$G$90,Cadastros!$H$6:$H$90)*(1-0.18),IF($F1794="Mauro José Salanti",_xlfn.XLOOKUP(AQ1794,Cadastros!$G$6:$G$90,Cadastros!$H$6:$H$90)*(1-0.18),_xlfn.XLOOKUP(AQ1794,Cadastros!$G$6:$G$90,Cadastros!$H$6:$H$90))))</f>
        <v/>
      </c>
      <c r="AT1794" s="168" t="str">
        <f t="shared" si="362"/>
        <v/>
      </c>
      <c r="AU1794" s="168" t="str">
        <f t="shared" si="363"/>
        <v/>
      </c>
      <c r="AV1794" s="227"/>
      <c r="AW1794" s="30"/>
      <c r="AX1794" s="267"/>
      <c r="AY1794" s="267"/>
      <c r="AZ1794" s="29"/>
      <c r="BA1794" s="30"/>
      <c r="BB1794" s="23" t="str" cm="1">
        <f t="array" ref="BB1794">_xlfn.IFS(AW1794="SIM",SUM(K1794,P1794,U1794,Z1794,AE1794,AJ1794,AO1794,AT1794,AX1794,AY1794),F1794&lt;&gt;"",SUM(K1794,P1794,U1794,Z1794,AE1794,AJ1794,,AO1794,AT1794),F1794="","")</f>
        <v/>
      </c>
      <c r="BC1794" s="211" t="str" cm="1">
        <f t="array" ref="BC1794">_xlfn.IFS(E1794="","",G1794&lt;=E1794,BB1794*(1-0.03),G1794&lt;(E1794+8),BB1794,AZ1794="Boleto",BB1794*(1+0.001)^DATEDIF(E1794,G1794,"D"),AZ1794="Cheque",BB1794,AZ1794="Dinheiro","Alterar forma pgto")</f>
        <v/>
      </c>
      <c r="BD1794" s="276" t="str" cm="1">
        <f t="array" ref="BD1794">IF(F1794=0," ",IF(BC1794&lt;BB1794,(_xlfn.IFS(AW1794="SIM",SUM(L1794,Q1794,V1794,AA1794,AF1794,AK1794,AP1794,AU1794)+AX1794/_xlfn.XLOOKUP(_xlfn.XLOOKUP($F1794,Clientes!$B$4:$B$39,Clientes!$C$4:$C$39),Cadastros!$L$6:$L$12,Cadastros!$M$6:$M$12)+IF($F1794="Bernardino Furlan",AY1794/2751.92,IF($F1794="Mauro José Salanti",AY1794/2751.92,AY1794/3356)),F1794&lt;&gt;0,SUM(L1794,Q1794,V1794,AA1794,AF1794,AK1794,AP1794,AU1794)))*(1-0.03),_xlfn.IFS(AW1794="SIM",SUM(L1794,Q1794,V1794,AA1794,AF1794,AK1794,AP1794,AU1794)+AX1794/_xlfn.XLOOKUP(_xlfn.XLOOKUP($F1794,Clientes!$B$4:$B$39,Clientes!$C$4:$C$39),Cadastros!$L$6:$L$12,Cadastros!$M$6:$M$12)+IF($F1794="Bernardino Furlan",AY1794/2751.92,IF($F1794="Mauro José Salanti",AY1794/2751.92,AY1794/3356)),F1794&lt;&gt;0,SUM(L1794,Q1794,V1794,AA1794,AF1794,AK1794,AP1794,AU1794))))</f>
        <v xml:space="preserve"> </v>
      </c>
      <c r="BE1794" s="120"/>
      <c r="BF1794" s="120"/>
      <c r="BG1794" s="120"/>
    </row>
    <row r="1795" spans="1:59" s="3" customFormat="1" x14ac:dyDescent="0.3">
      <c r="A1795" s="15" t="str">
        <f t="shared" si="351"/>
        <v/>
      </c>
      <c r="B1795" s="25"/>
      <c r="C1795" s="26"/>
      <c r="D1795" s="279"/>
      <c r="E1795" s="27"/>
      <c r="F1795" s="28"/>
      <c r="G1795" s="27"/>
      <c r="H1795" s="28"/>
      <c r="I1795" s="28"/>
      <c r="J1795" s="255" t="str">
        <f>IF(H1795="","",(_xlfn.XLOOKUP(H1795,Cadastros!$D$6:$D$90,Cadastros!$E$6:$E$90))*(1-_xlfn.XLOOKUP(_xlfn.XLOOKUP($F1795,Clientes!$B$4:$B$39,Clientes!$C$4:$C$39),Cadastros!$L$6:$L$12,Cadastros!$N$6:$N$12)))</f>
        <v/>
      </c>
      <c r="K1795" s="168" t="str">
        <f t="shared" si="352"/>
        <v/>
      </c>
      <c r="L1795" s="168" t="str">
        <f>IFERROR(K1795/_xlfn.XLOOKUP(_xlfn.XLOOKUP($F1795,Clientes!$B$4:$B$39,Clientes!$C$4:$C$39),Cadastros!$L$6:$L$12,Cadastros!$M$6:$M$12)," ")</f>
        <v xml:space="preserve"> </v>
      </c>
      <c r="M1795" s="28"/>
      <c r="N1795" s="28"/>
      <c r="O1795" s="255" t="str">
        <f>IF(M1795="","",(_xlfn.XLOOKUP(M1795,Cadastros!$D$6:$D$90,Cadastros!$E$6:$E$90))*(1-_xlfn.XLOOKUP(_xlfn.XLOOKUP($F1795,Clientes!$B$4:$B$39,Clientes!$C$4:$C$39),Cadastros!$L$6:$L$12,Cadastros!$N$6:$N$12)))</f>
        <v/>
      </c>
      <c r="P1795" s="168" t="str">
        <f t="shared" si="353"/>
        <v/>
      </c>
      <c r="Q1795" s="168" t="str">
        <f>IFERROR(P1795/_xlfn.XLOOKUP(_xlfn.XLOOKUP($F1795,Clientes!$B$4:$B$39,Clientes!$C$4:$C$39),Cadastros!$L$6:$L$12,Cadastros!$M$6:$M$12)," ")</f>
        <v xml:space="preserve"> </v>
      </c>
      <c r="R1795" s="28"/>
      <c r="S1795" s="28"/>
      <c r="T1795" s="255" t="str">
        <f>IF(R1795="","",(_xlfn.XLOOKUP(R1795,Cadastros!$D$6:$D$90,Cadastros!$E$6:$E$90))*(1-_xlfn.XLOOKUP(_xlfn.XLOOKUP($F1795,Clientes!$B$4:$B$39,Clientes!$C$4:$C$39),Cadastros!$L$6:$L$12,Cadastros!$N$6:$N$12)))</f>
        <v/>
      </c>
      <c r="U1795" s="168" t="str">
        <f t="shared" si="354"/>
        <v/>
      </c>
      <c r="V1795" s="168" t="str">
        <f>IFERROR(U1795/_xlfn.XLOOKUP(_xlfn.XLOOKUP($F1795,Clientes!$B$4:$B$39,Clientes!$C$4:$C$39),Cadastros!$L$6:$L$12,Cadastros!$M$6:$M$12)," ")</f>
        <v xml:space="preserve"> </v>
      </c>
      <c r="W1795" s="28"/>
      <c r="X1795" s="28"/>
      <c r="Y1795" s="255" t="str">
        <f>IF(W1795="","",(_xlfn.XLOOKUP(W1795,Cadastros!$D$6:$D$90,Cadastros!$E$6:$E$90))*(1-_xlfn.XLOOKUP(_xlfn.XLOOKUP($F1795,Clientes!$B$4:$B$39,Clientes!$C$4:$C$39),Cadastros!$L$6:$L$12,Cadastros!$N$6:$N$12)))</f>
        <v/>
      </c>
      <c r="Z1795" s="168" t="str">
        <f t="shared" si="355"/>
        <v/>
      </c>
      <c r="AA1795" s="168" t="str">
        <f>IFERROR(Z1795/_xlfn.XLOOKUP(_xlfn.XLOOKUP($F1795,Clientes!$B$4:$B$39,Clientes!$C$4:$C$39),Cadastros!$L$6:$L$12,Cadastros!$M$6:$M$12)," ")</f>
        <v xml:space="preserve"> </v>
      </c>
      <c r="AB1795" s="28"/>
      <c r="AC1795" s="28"/>
      <c r="AD1795" s="20" t="str">
        <f>IF(AB1795="","",IF($F1795="Bernardino Furlan",_xlfn.XLOOKUP(AB1795,Cadastros!$G$6:$G$90,Cadastros!$H$6:$H$90)*(1-0.18),IF($F1795="Mauro José Salanti",_xlfn.XLOOKUP(AB1795,Cadastros!$G$6:$G$90,Cadastros!$H$6:$H$90)*(1-0.18),_xlfn.XLOOKUP(AB1795,Cadastros!$G$6:$G$90,Cadastros!$H$6:$H$90))))</f>
        <v/>
      </c>
      <c r="AE1795" s="168" t="str">
        <f t="shared" si="356"/>
        <v/>
      </c>
      <c r="AF1795" s="168" t="str">
        <f t="shared" si="357"/>
        <v/>
      </c>
      <c r="AG1795" s="28"/>
      <c r="AH1795" s="28"/>
      <c r="AI1795" s="20" t="str">
        <f>IF(AG1795="","",IF($F1795="Bernardino Furlan",_xlfn.XLOOKUP(AG1795,Cadastros!$G$6:$G$90,Cadastros!$H$6:$H$90)*(1-0.18),IF($F1795="Mauro José Salanti",_xlfn.XLOOKUP(AG1795,Cadastros!$G$6:$G$90,Cadastros!$H$6:$H$90)*(1-0.18),_xlfn.XLOOKUP(AG1795,Cadastros!$G$6:$G$90,Cadastros!$H$6:$H$90))))</f>
        <v/>
      </c>
      <c r="AJ1795" s="168" t="str">
        <f t="shared" si="358"/>
        <v/>
      </c>
      <c r="AK1795" s="168" t="str">
        <f t="shared" si="359"/>
        <v/>
      </c>
      <c r="AL1795" s="28"/>
      <c r="AM1795" s="28"/>
      <c r="AN1795" s="20" t="str">
        <f>IF(AL1795="","",IF($F1795="Bernardino Furlan",_xlfn.XLOOKUP(AL1795,Cadastros!$G$6:$G$90,Cadastros!$H$6:$H$90)*(1-0.18),IF($F1795="Mauro José Salanti",_xlfn.XLOOKUP(AL1795,Cadastros!$G$6:$G$90,Cadastros!$H$6:$H$90)*(1-0.18),_xlfn.XLOOKUP(AL1795,Cadastros!$G$6:$G$90,Cadastros!$H$6:$H$90))))</f>
        <v/>
      </c>
      <c r="AO1795" s="168" t="str">
        <f t="shared" si="360"/>
        <v/>
      </c>
      <c r="AP1795" s="168" t="str">
        <f t="shared" si="361"/>
        <v/>
      </c>
      <c r="AQ1795" s="28"/>
      <c r="AR1795" s="28"/>
      <c r="AS1795" s="20" t="str">
        <f>IF(AQ1795="","",IF($F1795="Bernardino Furlan",_xlfn.XLOOKUP(AQ1795,Cadastros!$G$6:$G$90,Cadastros!$H$6:$H$90)*(1-0.18),IF($F1795="Mauro José Salanti",_xlfn.XLOOKUP(AQ1795,Cadastros!$G$6:$G$90,Cadastros!$H$6:$H$90)*(1-0.18),_xlfn.XLOOKUP(AQ1795,Cadastros!$G$6:$G$90,Cadastros!$H$6:$H$90))))</f>
        <v/>
      </c>
      <c r="AT1795" s="168" t="str">
        <f t="shared" si="362"/>
        <v/>
      </c>
      <c r="AU1795" s="168" t="str">
        <f t="shared" si="363"/>
        <v/>
      </c>
      <c r="AV1795" s="227"/>
      <c r="AW1795" s="30"/>
      <c r="AX1795" s="267"/>
      <c r="AY1795" s="267"/>
      <c r="AZ1795" s="29"/>
      <c r="BA1795" s="30"/>
      <c r="BB1795" s="23" t="str" cm="1">
        <f t="array" ref="BB1795">_xlfn.IFS(AW1795="SIM",SUM(K1795,P1795,U1795,Z1795,AE1795,AJ1795,AO1795,AT1795,AX1795,AY1795),F1795&lt;&gt;"",SUM(K1795,P1795,U1795,Z1795,AE1795,AJ1795,,AO1795,AT1795),F1795="","")</f>
        <v/>
      </c>
      <c r="BC1795" s="211" t="str" cm="1">
        <f t="array" ref="BC1795">_xlfn.IFS(E1795="","",G1795&lt;=E1795,BB1795*(1-0.03),G1795&lt;(E1795+8),BB1795,AZ1795="Boleto",BB1795*(1+0.001)^DATEDIF(E1795,G1795,"D"),AZ1795="Cheque",BB1795,AZ1795="Dinheiro","Alterar forma pgto")</f>
        <v/>
      </c>
      <c r="BD1795" s="276" t="str" cm="1">
        <f t="array" ref="BD1795">IF(F1795=0," ",IF(BC1795&lt;BB1795,(_xlfn.IFS(AW1795="SIM",SUM(L1795,Q1795,V1795,AA1795,AF1795,AK1795,AP1795,AU1795)+AX1795/_xlfn.XLOOKUP(_xlfn.XLOOKUP($F1795,Clientes!$B$4:$B$39,Clientes!$C$4:$C$39),Cadastros!$L$6:$L$12,Cadastros!$M$6:$M$12)+IF($F1795="Bernardino Furlan",AY1795/2751.92,IF($F1795="Mauro José Salanti",AY1795/2751.92,AY1795/3356)),F1795&lt;&gt;0,SUM(L1795,Q1795,V1795,AA1795,AF1795,AK1795,AP1795,AU1795)))*(1-0.03),_xlfn.IFS(AW1795="SIM",SUM(L1795,Q1795,V1795,AA1795,AF1795,AK1795,AP1795,AU1795)+AX1795/_xlfn.XLOOKUP(_xlfn.XLOOKUP($F1795,Clientes!$B$4:$B$39,Clientes!$C$4:$C$39),Cadastros!$L$6:$L$12,Cadastros!$M$6:$M$12)+IF($F1795="Bernardino Furlan",AY1795/2751.92,IF($F1795="Mauro José Salanti",AY1795/2751.92,AY1795/3356)),F1795&lt;&gt;0,SUM(L1795,Q1795,V1795,AA1795,AF1795,AK1795,AP1795,AU1795))))</f>
        <v xml:space="preserve"> </v>
      </c>
      <c r="BE1795" s="120"/>
      <c r="BF1795" s="120"/>
      <c r="BG1795" s="120"/>
    </row>
    <row r="1796" spans="1:59" s="3" customFormat="1" x14ac:dyDescent="0.3">
      <c r="A1796" s="15" t="str">
        <f t="shared" si="351"/>
        <v/>
      </c>
      <c r="B1796" s="25"/>
      <c r="C1796" s="26"/>
      <c r="D1796" s="279"/>
      <c r="E1796" s="27"/>
      <c r="F1796" s="28"/>
      <c r="G1796" s="27"/>
      <c r="H1796" s="28"/>
      <c r="I1796" s="28"/>
      <c r="J1796" s="255" t="str">
        <f>IF(H1796="","",(_xlfn.XLOOKUP(H1796,Cadastros!$D$6:$D$90,Cadastros!$E$6:$E$90))*(1-_xlfn.XLOOKUP(_xlfn.XLOOKUP($F1796,Clientes!$B$4:$B$39,Clientes!$C$4:$C$39),Cadastros!$L$6:$L$12,Cadastros!$N$6:$N$12)))</f>
        <v/>
      </c>
      <c r="K1796" s="168" t="str">
        <f t="shared" si="352"/>
        <v/>
      </c>
      <c r="L1796" s="168" t="str">
        <f>IFERROR(K1796/_xlfn.XLOOKUP(_xlfn.XLOOKUP($F1796,Clientes!$B$4:$B$39,Clientes!$C$4:$C$39),Cadastros!$L$6:$L$12,Cadastros!$M$6:$M$12)," ")</f>
        <v xml:space="preserve"> </v>
      </c>
      <c r="M1796" s="28"/>
      <c r="N1796" s="28"/>
      <c r="O1796" s="255" t="str">
        <f>IF(M1796="","",(_xlfn.XLOOKUP(M1796,Cadastros!$D$6:$D$90,Cadastros!$E$6:$E$90))*(1-_xlfn.XLOOKUP(_xlfn.XLOOKUP($F1796,Clientes!$B$4:$B$39,Clientes!$C$4:$C$39),Cadastros!$L$6:$L$12,Cadastros!$N$6:$N$12)))</f>
        <v/>
      </c>
      <c r="P1796" s="168" t="str">
        <f t="shared" si="353"/>
        <v/>
      </c>
      <c r="Q1796" s="168" t="str">
        <f>IFERROR(P1796/_xlfn.XLOOKUP(_xlfn.XLOOKUP($F1796,Clientes!$B$4:$B$39,Clientes!$C$4:$C$39),Cadastros!$L$6:$L$12,Cadastros!$M$6:$M$12)," ")</f>
        <v xml:space="preserve"> </v>
      </c>
      <c r="R1796" s="28"/>
      <c r="S1796" s="28"/>
      <c r="T1796" s="255" t="str">
        <f>IF(R1796="","",(_xlfn.XLOOKUP(R1796,Cadastros!$D$6:$D$90,Cadastros!$E$6:$E$90))*(1-_xlfn.XLOOKUP(_xlfn.XLOOKUP($F1796,Clientes!$B$4:$B$39,Clientes!$C$4:$C$39),Cadastros!$L$6:$L$12,Cadastros!$N$6:$N$12)))</f>
        <v/>
      </c>
      <c r="U1796" s="168" t="str">
        <f t="shared" si="354"/>
        <v/>
      </c>
      <c r="V1796" s="168" t="str">
        <f>IFERROR(U1796/_xlfn.XLOOKUP(_xlfn.XLOOKUP($F1796,Clientes!$B$4:$B$39,Clientes!$C$4:$C$39),Cadastros!$L$6:$L$12,Cadastros!$M$6:$M$12)," ")</f>
        <v xml:space="preserve"> </v>
      </c>
      <c r="W1796" s="28"/>
      <c r="X1796" s="28"/>
      <c r="Y1796" s="255" t="str">
        <f>IF(W1796="","",(_xlfn.XLOOKUP(W1796,Cadastros!$D$6:$D$90,Cadastros!$E$6:$E$90))*(1-_xlfn.XLOOKUP(_xlfn.XLOOKUP($F1796,Clientes!$B$4:$B$39,Clientes!$C$4:$C$39),Cadastros!$L$6:$L$12,Cadastros!$N$6:$N$12)))</f>
        <v/>
      </c>
      <c r="Z1796" s="168" t="str">
        <f t="shared" si="355"/>
        <v/>
      </c>
      <c r="AA1796" s="168" t="str">
        <f>IFERROR(Z1796/_xlfn.XLOOKUP(_xlfn.XLOOKUP($F1796,Clientes!$B$4:$B$39,Clientes!$C$4:$C$39),Cadastros!$L$6:$L$12,Cadastros!$M$6:$M$12)," ")</f>
        <v xml:space="preserve"> </v>
      </c>
      <c r="AB1796" s="28"/>
      <c r="AC1796" s="28"/>
      <c r="AD1796" s="20" t="str">
        <f>IF(AB1796="","",IF($F1796="Bernardino Furlan",_xlfn.XLOOKUP(AB1796,Cadastros!$G$6:$G$90,Cadastros!$H$6:$H$90)*(1-0.18),IF($F1796="Mauro José Salanti",_xlfn.XLOOKUP(AB1796,Cadastros!$G$6:$G$90,Cadastros!$H$6:$H$90)*(1-0.18),_xlfn.XLOOKUP(AB1796,Cadastros!$G$6:$G$90,Cadastros!$H$6:$H$90))))</f>
        <v/>
      </c>
      <c r="AE1796" s="168" t="str">
        <f t="shared" si="356"/>
        <v/>
      </c>
      <c r="AF1796" s="168" t="str">
        <f t="shared" si="357"/>
        <v/>
      </c>
      <c r="AG1796" s="28"/>
      <c r="AH1796" s="28"/>
      <c r="AI1796" s="20" t="str">
        <f>IF(AG1796="","",IF($F1796="Bernardino Furlan",_xlfn.XLOOKUP(AG1796,Cadastros!$G$6:$G$90,Cadastros!$H$6:$H$90)*(1-0.18),IF($F1796="Mauro José Salanti",_xlfn.XLOOKUP(AG1796,Cadastros!$G$6:$G$90,Cadastros!$H$6:$H$90)*(1-0.18),_xlfn.XLOOKUP(AG1796,Cadastros!$G$6:$G$90,Cadastros!$H$6:$H$90))))</f>
        <v/>
      </c>
      <c r="AJ1796" s="168" t="str">
        <f t="shared" si="358"/>
        <v/>
      </c>
      <c r="AK1796" s="168" t="str">
        <f t="shared" si="359"/>
        <v/>
      </c>
      <c r="AL1796" s="28"/>
      <c r="AM1796" s="28"/>
      <c r="AN1796" s="20" t="str">
        <f>IF(AL1796="","",IF($F1796="Bernardino Furlan",_xlfn.XLOOKUP(AL1796,Cadastros!$G$6:$G$90,Cadastros!$H$6:$H$90)*(1-0.18),IF($F1796="Mauro José Salanti",_xlfn.XLOOKUP(AL1796,Cadastros!$G$6:$G$90,Cadastros!$H$6:$H$90)*(1-0.18),_xlfn.XLOOKUP(AL1796,Cadastros!$G$6:$G$90,Cadastros!$H$6:$H$90))))</f>
        <v/>
      </c>
      <c r="AO1796" s="168" t="str">
        <f t="shared" si="360"/>
        <v/>
      </c>
      <c r="AP1796" s="168" t="str">
        <f t="shared" si="361"/>
        <v/>
      </c>
      <c r="AQ1796" s="28"/>
      <c r="AR1796" s="28"/>
      <c r="AS1796" s="20" t="str">
        <f>IF(AQ1796="","",IF($F1796="Bernardino Furlan",_xlfn.XLOOKUP(AQ1796,Cadastros!$G$6:$G$90,Cadastros!$H$6:$H$90)*(1-0.18),IF($F1796="Mauro José Salanti",_xlfn.XLOOKUP(AQ1796,Cadastros!$G$6:$G$90,Cadastros!$H$6:$H$90)*(1-0.18),_xlfn.XLOOKUP(AQ1796,Cadastros!$G$6:$G$90,Cadastros!$H$6:$H$90))))</f>
        <v/>
      </c>
      <c r="AT1796" s="168" t="str">
        <f t="shared" si="362"/>
        <v/>
      </c>
      <c r="AU1796" s="168" t="str">
        <f t="shared" si="363"/>
        <v/>
      </c>
      <c r="AV1796" s="227"/>
      <c r="AW1796" s="30"/>
      <c r="AX1796" s="267"/>
      <c r="AY1796" s="267"/>
      <c r="AZ1796" s="29"/>
      <c r="BA1796" s="30"/>
      <c r="BB1796" s="23" t="str" cm="1">
        <f t="array" ref="BB1796">_xlfn.IFS(AW1796="SIM",SUM(K1796,P1796,U1796,Z1796,AE1796,AJ1796,AO1796,AT1796,AX1796,AY1796),F1796&lt;&gt;"",SUM(K1796,P1796,U1796,Z1796,AE1796,AJ1796,,AO1796,AT1796),F1796="","")</f>
        <v/>
      </c>
      <c r="BC1796" s="211" t="str" cm="1">
        <f t="array" ref="BC1796">_xlfn.IFS(E1796="","",G1796&lt;=E1796,BB1796*(1-0.03),G1796&lt;(E1796+8),BB1796,AZ1796="Boleto",BB1796*(1+0.001)^DATEDIF(E1796,G1796,"D"),AZ1796="Cheque",BB1796,AZ1796="Dinheiro","Alterar forma pgto")</f>
        <v/>
      </c>
      <c r="BD1796" s="276" t="str" cm="1">
        <f t="array" ref="BD1796">IF(F1796=0," ",IF(BC1796&lt;BB1796,(_xlfn.IFS(AW1796="SIM",SUM(L1796,Q1796,V1796,AA1796,AF1796,AK1796,AP1796,AU1796)+AX1796/_xlfn.XLOOKUP(_xlfn.XLOOKUP($F1796,Clientes!$B$4:$B$39,Clientes!$C$4:$C$39),Cadastros!$L$6:$L$12,Cadastros!$M$6:$M$12)+IF($F1796="Bernardino Furlan",AY1796/2751.92,IF($F1796="Mauro José Salanti",AY1796/2751.92,AY1796/3356)),F1796&lt;&gt;0,SUM(L1796,Q1796,V1796,AA1796,AF1796,AK1796,AP1796,AU1796)))*(1-0.03),_xlfn.IFS(AW1796="SIM",SUM(L1796,Q1796,V1796,AA1796,AF1796,AK1796,AP1796,AU1796)+AX1796/_xlfn.XLOOKUP(_xlfn.XLOOKUP($F1796,Clientes!$B$4:$B$39,Clientes!$C$4:$C$39),Cadastros!$L$6:$L$12,Cadastros!$M$6:$M$12)+IF($F1796="Bernardino Furlan",AY1796/2751.92,IF($F1796="Mauro José Salanti",AY1796/2751.92,AY1796/3356)),F1796&lt;&gt;0,SUM(L1796,Q1796,V1796,AA1796,AF1796,AK1796,AP1796,AU1796))))</f>
        <v xml:space="preserve"> </v>
      </c>
      <c r="BE1796" s="120"/>
      <c r="BF1796" s="120"/>
      <c r="BG1796" s="120"/>
    </row>
    <row r="1797" spans="1:59" s="3" customFormat="1" x14ac:dyDescent="0.3">
      <c r="A1797" s="15" t="str">
        <f t="shared" si="351"/>
        <v/>
      </c>
      <c r="B1797" s="25"/>
      <c r="C1797" s="26"/>
      <c r="D1797" s="279"/>
      <c r="E1797" s="27"/>
      <c r="F1797" s="28"/>
      <c r="G1797" s="27"/>
      <c r="H1797" s="28"/>
      <c r="I1797" s="28"/>
      <c r="J1797" s="255" t="str">
        <f>IF(H1797="","",(_xlfn.XLOOKUP(H1797,Cadastros!$D$6:$D$90,Cadastros!$E$6:$E$90))*(1-_xlfn.XLOOKUP(_xlfn.XLOOKUP($F1797,Clientes!$B$4:$B$39,Clientes!$C$4:$C$39),Cadastros!$L$6:$L$12,Cadastros!$N$6:$N$12)))</f>
        <v/>
      </c>
      <c r="K1797" s="168" t="str">
        <f t="shared" si="352"/>
        <v/>
      </c>
      <c r="L1797" s="168" t="str">
        <f>IFERROR(K1797/_xlfn.XLOOKUP(_xlfn.XLOOKUP($F1797,Clientes!$B$4:$B$39,Clientes!$C$4:$C$39),Cadastros!$L$6:$L$12,Cadastros!$M$6:$M$12)," ")</f>
        <v xml:space="preserve"> </v>
      </c>
      <c r="M1797" s="28"/>
      <c r="N1797" s="28"/>
      <c r="O1797" s="255" t="str">
        <f>IF(M1797="","",(_xlfn.XLOOKUP(M1797,Cadastros!$D$6:$D$90,Cadastros!$E$6:$E$90))*(1-_xlfn.XLOOKUP(_xlfn.XLOOKUP($F1797,Clientes!$B$4:$B$39,Clientes!$C$4:$C$39),Cadastros!$L$6:$L$12,Cadastros!$N$6:$N$12)))</f>
        <v/>
      </c>
      <c r="P1797" s="168" t="str">
        <f t="shared" si="353"/>
        <v/>
      </c>
      <c r="Q1797" s="168" t="str">
        <f>IFERROR(P1797/_xlfn.XLOOKUP(_xlfn.XLOOKUP($F1797,Clientes!$B$4:$B$39,Clientes!$C$4:$C$39),Cadastros!$L$6:$L$12,Cadastros!$M$6:$M$12)," ")</f>
        <v xml:space="preserve"> </v>
      </c>
      <c r="R1797" s="28"/>
      <c r="S1797" s="28"/>
      <c r="T1797" s="255" t="str">
        <f>IF(R1797="","",(_xlfn.XLOOKUP(R1797,Cadastros!$D$6:$D$90,Cadastros!$E$6:$E$90))*(1-_xlfn.XLOOKUP(_xlfn.XLOOKUP($F1797,Clientes!$B$4:$B$39,Clientes!$C$4:$C$39),Cadastros!$L$6:$L$12,Cadastros!$N$6:$N$12)))</f>
        <v/>
      </c>
      <c r="U1797" s="168" t="str">
        <f t="shared" si="354"/>
        <v/>
      </c>
      <c r="V1797" s="168" t="str">
        <f>IFERROR(U1797/_xlfn.XLOOKUP(_xlfn.XLOOKUP($F1797,Clientes!$B$4:$B$39,Clientes!$C$4:$C$39),Cadastros!$L$6:$L$12,Cadastros!$M$6:$M$12)," ")</f>
        <v xml:space="preserve"> </v>
      </c>
      <c r="W1797" s="28"/>
      <c r="X1797" s="28"/>
      <c r="Y1797" s="255" t="str">
        <f>IF(W1797="","",(_xlfn.XLOOKUP(W1797,Cadastros!$D$6:$D$90,Cadastros!$E$6:$E$90))*(1-_xlfn.XLOOKUP(_xlfn.XLOOKUP($F1797,Clientes!$B$4:$B$39,Clientes!$C$4:$C$39),Cadastros!$L$6:$L$12,Cadastros!$N$6:$N$12)))</f>
        <v/>
      </c>
      <c r="Z1797" s="168" t="str">
        <f t="shared" si="355"/>
        <v/>
      </c>
      <c r="AA1797" s="168" t="str">
        <f>IFERROR(Z1797/_xlfn.XLOOKUP(_xlfn.XLOOKUP($F1797,Clientes!$B$4:$B$39,Clientes!$C$4:$C$39),Cadastros!$L$6:$L$12,Cadastros!$M$6:$M$12)," ")</f>
        <v xml:space="preserve"> </v>
      </c>
      <c r="AB1797" s="28"/>
      <c r="AC1797" s="28"/>
      <c r="AD1797" s="20" t="str">
        <f>IF(AB1797="","",IF($F1797="Bernardino Furlan",_xlfn.XLOOKUP(AB1797,Cadastros!$G$6:$G$90,Cadastros!$H$6:$H$90)*(1-0.18),IF($F1797="Mauro José Salanti",_xlfn.XLOOKUP(AB1797,Cadastros!$G$6:$G$90,Cadastros!$H$6:$H$90)*(1-0.18),_xlfn.XLOOKUP(AB1797,Cadastros!$G$6:$G$90,Cadastros!$H$6:$H$90))))</f>
        <v/>
      </c>
      <c r="AE1797" s="168" t="str">
        <f t="shared" si="356"/>
        <v/>
      </c>
      <c r="AF1797" s="168" t="str">
        <f t="shared" si="357"/>
        <v/>
      </c>
      <c r="AG1797" s="28"/>
      <c r="AH1797" s="28"/>
      <c r="AI1797" s="20" t="str">
        <f>IF(AG1797="","",IF($F1797="Bernardino Furlan",_xlfn.XLOOKUP(AG1797,Cadastros!$G$6:$G$90,Cadastros!$H$6:$H$90)*(1-0.18),IF($F1797="Mauro José Salanti",_xlfn.XLOOKUP(AG1797,Cadastros!$G$6:$G$90,Cadastros!$H$6:$H$90)*(1-0.18),_xlfn.XLOOKUP(AG1797,Cadastros!$G$6:$G$90,Cadastros!$H$6:$H$90))))</f>
        <v/>
      </c>
      <c r="AJ1797" s="168" t="str">
        <f t="shared" si="358"/>
        <v/>
      </c>
      <c r="AK1797" s="168" t="str">
        <f t="shared" si="359"/>
        <v/>
      </c>
      <c r="AL1797" s="28"/>
      <c r="AM1797" s="28"/>
      <c r="AN1797" s="20" t="str">
        <f>IF(AL1797="","",IF($F1797="Bernardino Furlan",_xlfn.XLOOKUP(AL1797,Cadastros!$G$6:$G$90,Cadastros!$H$6:$H$90)*(1-0.18),IF($F1797="Mauro José Salanti",_xlfn.XLOOKUP(AL1797,Cadastros!$G$6:$G$90,Cadastros!$H$6:$H$90)*(1-0.18),_xlfn.XLOOKUP(AL1797,Cadastros!$G$6:$G$90,Cadastros!$H$6:$H$90))))</f>
        <v/>
      </c>
      <c r="AO1797" s="168" t="str">
        <f t="shared" si="360"/>
        <v/>
      </c>
      <c r="AP1797" s="168" t="str">
        <f t="shared" si="361"/>
        <v/>
      </c>
      <c r="AQ1797" s="28"/>
      <c r="AR1797" s="28"/>
      <c r="AS1797" s="20" t="str">
        <f>IF(AQ1797="","",IF($F1797="Bernardino Furlan",_xlfn.XLOOKUP(AQ1797,Cadastros!$G$6:$G$90,Cadastros!$H$6:$H$90)*(1-0.18),IF($F1797="Mauro José Salanti",_xlfn.XLOOKUP(AQ1797,Cadastros!$G$6:$G$90,Cadastros!$H$6:$H$90)*(1-0.18),_xlfn.XLOOKUP(AQ1797,Cadastros!$G$6:$G$90,Cadastros!$H$6:$H$90))))</f>
        <v/>
      </c>
      <c r="AT1797" s="168" t="str">
        <f t="shared" si="362"/>
        <v/>
      </c>
      <c r="AU1797" s="168" t="str">
        <f t="shared" si="363"/>
        <v/>
      </c>
      <c r="AV1797" s="227"/>
      <c r="AW1797" s="30"/>
      <c r="AX1797" s="267"/>
      <c r="AY1797" s="267"/>
      <c r="AZ1797" s="29"/>
      <c r="BA1797" s="30"/>
      <c r="BB1797" s="23" t="str" cm="1">
        <f t="array" ref="BB1797">_xlfn.IFS(AW1797="SIM",SUM(K1797,P1797,U1797,Z1797,AE1797,AJ1797,AO1797,AT1797,AX1797,AY1797),F1797&lt;&gt;"",SUM(K1797,P1797,U1797,Z1797,AE1797,AJ1797,,AO1797,AT1797),F1797="","")</f>
        <v/>
      </c>
      <c r="BC1797" s="211" t="str" cm="1">
        <f t="array" ref="BC1797">_xlfn.IFS(E1797="","",G1797&lt;=E1797,BB1797*(1-0.03),G1797&lt;(E1797+8),BB1797,AZ1797="Boleto",BB1797*(1+0.001)^DATEDIF(E1797,G1797,"D"),AZ1797="Cheque",BB1797,AZ1797="Dinheiro","Alterar forma pgto")</f>
        <v/>
      </c>
      <c r="BD1797" s="276" t="str" cm="1">
        <f t="array" ref="BD1797">IF(F1797=0," ",IF(BC1797&lt;BB1797,(_xlfn.IFS(AW1797="SIM",SUM(L1797,Q1797,V1797,AA1797,AF1797,AK1797,AP1797,AU1797)+AX1797/_xlfn.XLOOKUP(_xlfn.XLOOKUP($F1797,Clientes!$B$4:$B$39,Clientes!$C$4:$C$39),Cadastros!$L$6:$L$12,Cadastros!$M$6:$M$12)+IF($F1797="Bernardino Furlan",AY1797/2751.92,IF($F1797="Mauro José Salanti",AY1797/2751.92,AY1797/3356)),F1797&lt;&gt;0,SUM(L1797,Q1797,V1797,AA1797,AF1797,AK1797,AP1797,AU1797)))*(1-0.03),_xlfn.IFS(AW1797="SIM",SUM(L1797,Q1797,V1797,AA1797,AF1797,AK1797,AP1797,AU1797)+AX1797/_xlfn.XLOOKUP(_xlfn.XLOOKUP($F1797,Clientes!$B$4:$B$39,Clientes!$C$4:$C$39),Cadastros!$L$6:$L$12,Cadastros!$M$6:$M$12)+IF($F1797="Bernardino Furlan",AY1797/2751.92,IF($F1797="Mauro José Salanti",AY1797/2751.92,AY1797/3356)),F1797&lt;&gt;0,SUM(L1797,Q1797,V1797,AA1797,AF1797,AK1797,AP1797,AU1797))))</f>
        <v xml:space="preserve"> </v>
      </c>
      <c r="BE1797" s="120"/>
      <c r="BF1797" s="120"/>
      <c r="BG1797" s="120"/>
    </row>
    <row r="1798" spans="1:59" s="3" customFormat="1" x14ac:dyDescent="0.3">
      <c r="A1798" s="15" t="str">
        <f t="shared" si="351"/>
        <v/>
      </c>
      <c r="B1798" s="25"/>
      <c r="C1798" s="26"/>
      <c r="D1798" s="279"/>
      <c r="E1798" s="27"/>
      <c r="F1798" s="28"/>
      <c r="G1798" s="27"/>
      <c r="H1798" s="28"/>
      <c r="I1798" s="28"/>
      <c r="J1798" s="255" t="str">
        <f>IF(H1798="","",(_xlfn.XLOOKUP(H1798,Cadastros!$D$6:$D$90,Cadastros!$E$6:$E$90))*(1-_xlfn.XLOOKUP(_xlfn.XLOOKUP($F1798,Clientes!$B$4:$B$39,Clientes!$C$4:$C$39),Cadastros!$L$6:$L$12,Cadastros!$N$6:$N$12)))</f>
        <v/>
      </c>
      <c r="K1798" s="168" t="str">
        <f t="shared" si="352"/>
        <v/>
      </c>
      <c r="L1798" s="168" t="str">
        <f>IFERROR(K1798/_xlfn.XLOOKUP(_xlfn.XLOOKUP($F1798,Clientes!$B$4:$B$39,Clientes!$C$4:$C$39),Cadastros!$L$6:$L$12,Cadastros!$M$6:$M$12)," ")</f>
        <v xml:space="preserve"> </v>
      </c>
      <c r="M1798" s="28"/>
      <c r="N1798" s="28"/>
      <c r="O1798" s="255" t="str">
        <f>IF(M1798="","",(_xlfn.XLOOKUP(M1798,Cadastros!$D$6:$D$90,Cadastros!$E$6:$E$90))*(1-_xlfn.XLOOKUP(_xlfn.XLOOKUP($F1798,Clientes!$B$4:$B$39,Clientes!$C$4:$C$39),Cadastros!$L$6:$L$12,Cadastros!$N$6:$N$12)))</f>
        <v/>
      </c>
      <c r="P1798" s="168" t="str">
        <f t="shared" si="353"/>
        <v/>
      </c>
      <c r="Q1798" s="168" t="str">
        <f>IFERROR(P1798/_xlfn.XLOOKUP(_xlfn.XLOOKUP($F1798,Clientes!$B$4:$B$39,Clientes!$C$4:$C$39),Cadastros!$L$6:$L$12,Cadastros!$M$6:$M$12)," ")</f>
        <v xml:space="preserve"> </v>
      </c>
      <c r="R1798" s="28"/>
      <c r="S1798" s="28"/>
      <c r="T1798" s="255" t="str">
        <f>IF(R1798="","",(_xlfn.XLOOKUP(R1798,Cadastros!$D$6:$D$90,Cadastros!$E$6:$E$90))*(1-_xlfn.XLOOKUP(_xlfn.XLOOKUP($F1798,Clientes!$B$4:$B$39,Clientes!$C$4:$C$39),Cadastros!$L$6:$L$12,Cadastros!$N$6:$N$12)))</f>
        <v/>
      </c>
      <c r="U1798" s="168" t="str">
        <f t="shared" si="354"/>
        <v/>
      </c>
      <c r="V1798" s="168" t="str">
        <f>IFERROR(U1798/_xlfn.XLOOKUP(_xlfn.XLOOKUP($F1798,Clientes!$B$4:$B$39,Clientes!$C$4:$C$39),Cadastros!$L$6:$L$12,Cadastros!$M$6:$M$12)," ")</f>
        <v xml:space="preserve"> </v>
      </c>
      <c r="W1798" s="28"/>
      <c r="X1798" s="28"/>
      <c r="Y1798" s="255" t="str">
        <f>IF(W1798="","",(_xlfn.XLOOKUP(W1798,Cadastros!$D$6:$D$90,Cadastros!$E$6:$E$90))*(1-_xlfn.XLOOKUP(_xlfn.XLOOKUP($F1798,Clientes!$B$4:$B$39,Clientes!$C$4:$C$39),Cadastros!$L$6:$L$12,Cadastros!$N$6:$N$12)))</f>
        <v/>
      </c>
      <c r="Z1798" s="168" t="str">
        <f t="shared" si="355"/>
        <v/>
      </c>
      <c r="AA1798" s="168" t="str">
        <f>IFERROR(Z1798/_xlfn.XLOOKUP(_xlfn.XLOOKUP($F1798,Clientes!$B$4:$B$39,Clientes!$C$4:$C$39),Cadastros!$L$6:$L$12,Cadastros!$M$6:$M$12)," ")</f>
        <v xml:space="preserve"> </v>
      </c>
      <c r="AB1798" s="28"/>
      <c r="AC1798" s="28"/>
      <c r="AD1798" s="20" t="str">
        <f>IF(AB1798="","",IF($F1798="Bernardino Furlan",_xlfn.XLOOKUP(AB1798,Cadastros!$G$6:$G$90,Cadastros!$H$6:$H$90)*(1-0.18),IF($F1798="Mauro José Salanti",_xlfn.XLOOKUP(AB1798,Cadastros!$G$6:$G$90,Cadastros!$H$6:$H$90)*(1-0.18),_xlfn.XLOOKUP(AB1798,Cadastros!$G$6:$G$90,Cadastros!$H$6:$H$90))))</f>
        <v/>
      </c>
      <c r="AE1798" s="168" t="str">
        <f t="shared" si="356"/>
        <v/>
      </c>
      <c r="AF1798" s="168" t="str">
        <f t="shared" si="357"/>
        <v/>
      </c>
      <c r="AG1798" s="28"/>
      <c r="AH1798" s="28"/>
      <c r="AI1798" s="20" t="str">
        <f>IF(AG1798="","",IF($F1798="Bernardino Furlan",_xlfn.XLOOKUP(AG1798,Cadastros!$G$6:$G$90,Cadastros!$H$6:$H$90)*(1-0.18),IF($F1798="Mauro José Salanti",_xlfn.XLOOKUP(AG1798,Cadastros!$G$6:$G$90,Cadastros!$H$6:$H$90)*(1-0.18),_xlfn.XLOOKUP(AG1798,Cadastros!$G$6:$G$90,Cadastros!$H$6:$H$90))))</f>
        <v/>
      </c>
      <c r="AJ1798" s="168" t="str">
        <f t="shared" si="358"/>
        <v/>
      </c>
      <c r="AK1798" s="168" t="str">
        <f t="shared" si="359"/>
        <v/>
      </c>
      <c r="AL1798" s="28"/>
      <c r="AM1798" s="28"/>
      <c r="AN1798" s="20" t="str">
        <f>IF(AL1798="","",IF($F1798="Bernardino Furlan",_xlfn.XLOOKUP(AL1798,Cadastros!$G$6:$G$90,Cadastros!$H$6:$H$90)*(1-0.18),IF($F1798="Mauro José Salanti",_xlfn.XLOOKUP(AL1798,Cadastros!$G$6:$G$90,Cadastros!$H$6:$H$90)*(1-0.18),_xlfn.XLOOKUP(AL1798,Cadastros!$G$6:$G$90,Cadastros!$H$6:$H$90))))</f>
        <v/>
      </c>
      <c r="AO1798" s="168" t="str">
        <f t="shared" si="360"/>
        <v/>
      </c>
      <c r="AP1798" s="168" t="str">
        <f t="shared" si="361"/>
        <v/>
      </c>
      <c r="AQ1798" s="28"/>
      <c r="AR1798" s="28"/>
      <c r="AS1798" s="20" t="str">
        <f>IF(AQ1798="","",IF($F1798="Bernardino Furlan",_xlfn.XLOOKUP(AQ1798,Cadastros!$G$6:$G$90,Cadastros!$H$6:$H$90)*(1-0.18),IF($F1798="Mauro José Salanti",_xlfn.XLOOKUP(AQ1798,Cadastros!$G$6:$G$90,Cadastros!$H$6:$H$90)*(1-0.18),_xlfn.XLOOKUP(AQ1798,Cadastros!$G$6:$G$90,Cadastros!$H$6:$H$90))))</f>
        <v/>
      </c>
      <c r="AT1798" s="168" t="str">
        <f t="shared" si="362"/>
        <v/>
      </c>
      <c r="AU1798" s="168" t="str">
        <f t="shared" si="363"/>
        <v/>
      </c>
      <c r="AV1798" s="227"/>
      <c r="AW1798" s="30"/>
      <c r="AX1798" s="267"/>
      <c r="AY1798" s="267"/>
      <c r="AZ1798" s="29"/>
      <c r="BA1798" s="30"/>
      <c r="BB1798" s="23" t="str" cm="1">
        <f t="array" ref="BB1798">_xlfn.IFS(AW1798="SIM",SUM(K1798,P1798,U1798,Z1798,AE1798,AJ1798,AO1798,AT1798,AX1798,AY1798),F1798&lt;&gt;"",SUM(K1798,P1798,U1798,Z1798,AE1798,AJ1798,,AO1798,AT1798),F1798="","")</f>
        <v/>
      </c>
      <c r="BC1798" s="211" t="str" cm="1">
        <f t="array" ref="BC1798">_xlfn.IFS(E1798="","",G1798&lt;=E1798,BB1798*(1-0.03),G1798&lt;(E1798+8),BB1798,AZ1798="Boleto",BB1798*(1+0.001)^DATEDIF(E1798,G1798,"D"),AZ1798="Cheque",BB1798,AZ1798="Dinheiro","Alterar forma pgto")</f>
        <v/>
      </c>
      <c r="BD1798" s="276" t="str" cm="1">
        <f t="array" ref="BD1798">IF(F1798=0," ",IF(BC1798&lt;BB1798,(_xlfn.IFS(AW1798="SIM",SUM(L1798,Q1798,V1798,AA1798,AF1798,AK1798,AP1798,AU1798)+AX1798/_xlfn.XLOOKUP(_xlfn.XLOOKUP($F1798,Clientes!$B$4:$B$39,Clientes!$C$4:$C$39),Cadastros!$L$6:$L$12,Cadastros!$M$6:$M$12)+IF($F1798="Bernardino Furlan",AY1798/2751.92,IF($F1798="Mauro José Salanti",AY1798/2751.92,AY1798/3356)),F1798&lt;&gt;0,SUM(L1798,Q1798,V1798,AA1798,AF1798,AK1798,AP1798,AU1798)))*(1-0.03),_xlfn.IFS(AW1798="SIM",SUM(L1798,Q1798,V1798,AA1798,AF1798,AK1798,AP1798,AU1798)+AX1798/_xlfn.XLOOKUP(_xlfn.XLOOKUP($F1798,Clientes!$B$4:$B$39,Clientes!$C$4:$C$39),Cadastros!$L$6:$L$12,Cadastros!$M$6:$M$12)+IF($F1798="Bernardino Furlan",AY1798/2751.92,IF($F1798="Mauro José Salanti",AY1798/2751.92,AY1798/3356)),F1798&lt;&gt;0,SUM(L1798,Q1798,V1798,AA1798,AF1798,AK1798,AP1798,AU1798))))</f>
        <v xml:space="preserve"> </v>
      </c>
      <c r="BE1798" s="120"/>
      <c r="BF1798" s="120"/>
      <c r="BG1798" s="120"/>
    </row>
    <row r="1799" spans="1:59" s="3" customFormat="1" x14ac:dyDescent="0.3">
      <c r="A1799" s="15" t="str">
        <f t="shared" si="351"/>
        <v/>
      </c>
      <c r="B1799" s="25"/>
      <c r="C1799" s="26"/>
      <c r="D1799" s="279"/>
      <c r="E1799" s="27"/>
      <c r="F1799" s="28"/>
      <c r="G1799" s="27"/>
      <c r="H1799" s="28"/>
      <c r="I1799" s="28"/>
      <c r="J1799" s="255" t="str">
        <f>IF(H1799="","",(_xlfn.XLOOKUP(H1799,Cadastros!$D$6:$D$90,Cadastros!$E$6:$E$90))*(1-_xlfn.XLOOKUP(_xlfn.XLOOKUP($F1799,Clientes!$B$4:$B$39,Clientes!$C$4:$C$39),Cadastros!$L$6:$L$12,Cadastros!$N$6:$N$12)))</f>
        <v/>
      </c>
      <c r="K1799" s="168" t="str">
        <f t="shared" si="352"/>
        <v/>
      </c>
      <c r="L1799" s="168" t="str">
        <f>IFERROR(K1799/_xlfn.XLOOKUP(_xlfn.XLOOKUP($F1799,Clientes!$B$4:$B$39,Clientes!$C$4:$C$39),Cadastros!$L$6:$L$12,Cadastros!$M$6:$M$12)," ")</f>
        <v xml:space="preserve"> </v>
      </c>
      <c r="M1799" s="28"/>
      <c r="N1799" s="28"/>
      <c r="O1799" s="255" t="str">
        <f>IF(M1799="","",(_xlfn.XLOOKUP(M1799,Cadastros!$D$6:$D$90,Cadastros!$E$6:$E$90))*(1-_xlfn.XLOOKUP(_xlfn.XLOOKUP($F1799,Clientes!$B$4:$B$39,Clientes!$C$4:$C$39),Cadastros!$L$6:$L$12,Cadastros!$N$6:$N$12)))</f>
        <v/>
      </c>
      <c r="P1799" s="168" t="str">
        <f t="shared" si="353"/>
        <v/>
      </c>
      <c r="Q1799" s="168" t="str">
        <f>IFERROR(P1799/_xlfn.XLOOKUP(_xlfn.XLOOKUP($F1799,Clientes!$B$4:$B$39,Clientes!$C$4:$C$39),Cadastros!$L$6:$L$12,Cadastros!$M$6:$M$12)," ")</f>
        <v xml:space="preserve"> </v>
      </c>
      <c r="R1799" s="28"/>
      <c r="S1799" s="28"/>
      <c r="T1799" s="255" t="str">
        <f>IF(R1799="","",(_xlfn.XLOOKUP(R1799,Cadastros!$D$6:$D$90,Cadastros!$E$6:$E$90))*(1-_xlfn.XLOOKUP(_xlfn.XLOOKUP($F1799,Clientes!$B$4:$B$39,Clientes!$C$4:$C$39),Cadastros!$L$6:$L$12,Cadastros!$N$6:$N$12)))</f>
        <v/>
      </c>
      <c r="U1799" s="168" t="str">
        <f t="shared" si="354"/>
        <v/>
      </c>
      <c r="V1799" s="168" t="str">
        <f>IFERROR(U1799/_xlfn.XLOOKUP(_xlfn.XLOOKUP($F1799,Clientes!$B$4:$B$39,Clientes!$C$4:$C$39),Cadastros!$L$6:$L$12,Cadastros!$M$6:$M$12)," ")</f>
        <v xml:space="preserve"> </v>
      </c>
      <c r="W1799" s="28"/>
      <c r="X1799" s="28"/>
      <c r="Y1799" s="255" t="str">
        <f>IF(W1799="","",(_xlfn.XLOOKUP(W1799,Cadastros!$D$6:$D$90,Cadastros!$E$6:$E$90))*(1-_xlfn.XLOOKUP(_xlfn.XLOOKUP($F1799,Clientes!$B$4:$B$39,Clientes!$C$4:$C$39),Cadastros!$L$6:$L$12,Cadastros!$N$6:$N$12)))</f>
        <v/>
      </c>
      <c r="Z1799" s="168" t="str">
        <f t="shared" si="355"/>
        <v/>
      </c>
      <c r="AA1799" s="168" t="str">
        <f>IFERROR(Z1799/_xlfn.XLOOKUP(_xlfn.XLOOKUP($F1799,Clientes!$B$4:$B$39,Clientes!$C$4:$C$39),Cadastros!$L$6:$L$12,Cadastros!$M$6:$M$12)," ")</f>
        <v xml:space="preserve"> </v>
      </c>
      <c r="AB1799" s="28"/>
      <c r="AC1799" s="28"/>
      <c r="AD1799" s="20" t="str">
        <f>IF(AB1799="","",IF($F1799="Bernardino Furlan",_xlfn.XLOOKUP(AB1799,Cadastros!$G$6:$G$90,Cadastros!$H$6:$H$90)*(1-0.18),IF($F1799="Mauro José Salanti",_xlfn.XLOOKUP(AB1799,Cadastros!$G$6:$G$90,Cadastros!$H$6:$H$90)*(1-0.18),_xlfn.XLOOKUP(AB1799,Cadastros!$G$6:$G$90,Cadastros!$H$6:$H$90))))</f>
        <v/>
      </c>
      <c r="AE1799" s="168" t="str">
        <f t="shared" si="356"/>
        <v/>
      </c>
      <c r="AF1799" s="168" t="str">
        <f t="shared" si="357"/>
        <v/>
      </c>
      <c r="AG1799" s="28"/>
      <c r="AH1799" s="28"/>
      <c r="AI1799" s="20" t="str">
        <f>IF(AG1799="","",IF($F1799="Bernardino Furlan",_xlfn.XLOOKUP(AG1799,Cadastros!$G$6:$G$90,Cadastros!$H$6:$H$90)*(1-0.18),IF($F1799="Mauro José Salanti",_xlfn.XLOOKUP(AG1799,Cadastros!$G$6:$G$90,Cadastros!$H$6:$H$90)*(1-0.18),_xlfn.XLOOKUP(AG1799,Cadastros!$G$6:$G$90,Cadastros!$H$6:$H$90))))</f>
        <v/>
      </c>
      <c r="AJ1799" s="168" t="str">
        <f t="shared" si="358"/>
        <v/>
      </c>
      <c r="AK1799" s="168" t="str">
        <f t="shared" si="359"/>
        <v/>
      </c>
      <c r="AL1799" s="28"/>
      <c r="AM1799" s="28"/>
      <c r="AN1799" s="20" t="str">
        <f>IF(AL1799="","",IF($F1799="Bernardino Furlan",_xlfn.XLOOKUP(AL1799,Cadastros!$G$6:$G$90,Cadastros!$H$6:$H$90)*(1-0.18),IF($F1799="Mauro José Salanti",_xlfn.XLOOKUP(AL1799,Cadastros!$G$6:$G$90,Cadastros!$H$6:$H$90)*(1-0.18),_xlfn.XLOOKUP(AL1799,Cadastros!$G$6:$G$90,Cadastros!$H$6:$H$90))))</f>
        <v/>
      </c>
      <c r="AO1799" s="168" t="str">
        <f t="shared" si="360"/>
        <v/>
      </c>
      <c r="AP1799" s="168" t="str">
        <f t="shared" si="361"/>
        <v/>
      </c>
      <c r="AQ1799" s="28"/>
      <c r="AR1799" s="28"/>
      <c r="AS1799" s="20" t="str">
        <f>IF(AQ1799="","",IF($F1799="Bernardino Furlan",_xlfn.XLOOKUP(AQ1799,Cadastros!$G$6:$G$90,Cadastros!$H$6:$H$90)*(1-0.18),IF($F1799="Mauro José Salanti",_xlfn.XLOOKUP(AQ1799,Cadastros!$G$6:$G$90,Cadastros!$H$6:$H$90)*(1-0.18),_xlfn.XLOOKUP(AQ1799,Cadastros!$G$6:$G$90,Cadastros!$H$6:$H$90))))</f>
        <v/>
      </c>
      <c r="AT1799" s="168" t="str">
        <f t="shared" si="362"/>
        <v/>
      </c>
      <c r="AU1799" s="168" t="str">
        <f t="shared" si="363"/>
        <v/>
      </c>
      <c r="AV1799" s="227"/>
      <c r="AW1799" s="30"/>
      <c r="AX1799" s="267"/>
      <c r="AY1799" s="267"/>
      <c r="AZ1799" s="29"/>
      <c r="BA1799" s="30"/>
      <c r="BB1799" s="23" t="str" cm="1">
        <f t="array" ref="BB1799">_xlfn.IFS(AW1799="SIM",SUM(K1799,P1799,U1799,Z1799,AE1799,AJ1799,AO1799,AT1799,AX1799,AY1799),F1799&lt;&gt;"",SUM(K1799,P1799,U1799,Z1799,AE1799,AJ1799,,AO1799,AT1799),F1799="","")</f>
        <v/>
      </c>
      <c r="BC1799" s="211" t="str" cm="1">
        <f t="array" ref="BC1799">_xlfn.IFS(E1799="","",G1799&lt;=E1799,BB1799*(1-0.03),G1799&lt;(E1799+8),BB1799,AZ1799="Boleto",BB1799*(1+0.001)^DATEDIF(E1799,G1799,"D"),AZ1799="Cheque",BB1799,AZ1799="Dinheiro","Alterar forma pgto")</f>
        <v/>
      </c>
      <c r="BD1799" s="276" t="str" cm="1">
        <f t="array" ref="BD1799">IF(F1799=0," ",IF(BC1799&lt;BB1799,(_xlfn.IFS(AW1799="SIM",SUM(L1799,Q1799,V1799,AA1799,AF1799,AK1799,AP1799,AU1799)+AX1799/_xlfn.XLOOKUP(_xlfn.XLOOKUP($F1799,Clientes!$B$4:$B$39,Clientes!$C$4:$C$39),Cadastros!$L$6:$L$12,Cadastros!$M$6:$M$12)+IF($F1799="Bernardino Furlan",AY1799/2751.92,IF($F1799="Mauro José Salanti",AY1799/2751.92,AY1799/3356)),F1799&lt;&gt;0,SUM(L1799,Q1799,V1799,AA1799,AF1799,AK1799,AP1799,AU1799)))*(1-0.03),_xlfn.IFS(AW1799="SIM",SUM(L1799,Q1799,V1799,AA1799,AF1799,AK1799,AP1799,AU1799)+AX1799/_xlfn.XLOOKUP(_xlfn.XLOOKUP($F1799,Clientes!$B$4:$B$39,Clientes!$C$4:$C$39),Cadastros!$L$6:$L$12,Cadastros!$M$6:$M$12)+IF($F1799="Bernardino Furlan",AY1799/2751.92,IF($F1799="Mauro José Salanti",AY1799/2751.92,AY1799/3356)),F1799&lt;&gt;0,SUM(L1799,Q1799,V1799,AA1799,AF1799,AK1799,AP1799,AU1799))))</f>
        <v xml:space="preserve"> </v>
      </c>
      <c r="BE1799" s="120"/>
      <c r="BF1799" s="120"/>
      <c r="BG1799" s="120"/>
    </row>
    <row r="1800" spans="1:59" s="3" customFormat="1" x14ac:dyDescent="0.3">
      <c r="A1800" s="15" t="str">
        <f t="shared" ref="A1800:A1863" si="364">IF(C1800="orçamento",25%,IF(C1800="aprovado",50%,IF(C1800="entregue",100%,IF(C1800="não aceito",0%,""))))</f>
        <v/>
      </c>
      <c r="B1800" s="25"/>
      <c r="C1800" s="26"/>
      <c r="D1800" s="279"/>
      <c r="E1800" s="27"/>
      <c r="F1800" s="28"/>
      <c r="G1800" s="27"/>
      <c r="H1800" s="28"/>
      <c r="I1800" s="28"/>
      <c r="J1800" s="255" t="str">
        <f>IF(H1800="","",(_xlfn.XLOOKUP(H1800,Cadastros!$D$6:$D$90,Cadastros!$E$6:$E$90))*(1-_xlfn.XLOOKUP(_xlfn.XLOOKUP($F1800,Clientes!$B$4:$B$39,Clientes!$C$4:$C$39),Cadastros!$L$6:$L$12,Cadastros!$N$6:$N$12)))</f>
        <v/>
      </c>
      <c r="K1800" s="168" t="str">
        <f t="shared" ref="K1800:K1863" si="365">IF(J1800="","",I1800*J1800)</f>
        <v/>
      </c>
      <c r="L1800" s="168" t="str">
        <f>IFERROR(K1800/_xlfn.XLOOKUP(_xlfn.XLOOKUP($F1800,Clientes!$B$4:$B$39,Clientes!$C$4:$C$39),Cadastros!$L$6:$L$12,Cadastros!$M$6:$M$12)," ")</f>
        <v xml:space="preserve"> </v>
      </c>
      <c r="M1800" s="28"/>
      <c r="N1800" s="28"/>
      <c r="O1800" s="255" t="str">
        <f>IF(M1800="","",(_xlfn.XLOOKUP(M1800,Cadastros!$D$6:$D$90,Cadastros!$E$6:$E$90))*(1-_xlfn.XLOOKUP(_xlfn.XLOOKUP($F1800,Clientes!$B$4:$B$39,Clientes!$C$4:$C$39),Cadastros!$L$6:$L$12,Cadastros!$N$6:$N$12)))</f>
        <v/>
      </c>
      <c r="P1800" s="168" t="str">
        <f t="shared" ref="P1800:P1863" si="366">IF(O1800="","",N1800*O1800)</f>
        <v/>
      </c>
      <c r="Q1800" s="168" t="str">
        <f>IFERROR(P1800/_xlfn.XLOOKUP(_xlfn.XLOOKUP($F1800,Clientes!$B$4:$B$39,Clientes!$C$4:$C$39),Cadastros!$L$6:$L$12,Cadastros!$M$6:$M$12)," ")</f>
        <v xml:space="preserve"> </v>
      </c>
      <c r="R1800" s="28"/>
      <c r="S1800" s="28"/>
      <c r="T1800" s="255" t="str">
        <f>IF(R1800="","",(_xlfn.XLOOKUP(R1800,Cadastros!$D$6:$D$90,Cadastros!$E$6:$E$90))*(1-_xlfn.XLOOKUP(_xlfn.XLOOKUP($F1800,Clientes!$B$4:$B$39,Clientes!$C$4:$C$39),Cadastros!$L$6:$L$12,Cadastros!$N$6:$N$12)))</f>
        <v/>
      </c>
      <c r="U1800" s="168" t="str">
        <f t="shared" ref="U1800:U1863" si="367">IF(T1800="","",S1800*T1800)</f>
        <v/>
      </c>
      <c r="V1800" s="168" t="str">
        <f>IFERROR(U1800/_xlfn.XLOOKUP(_xlfn.XLOOKUP($F1800,Clientes!$B$4:$B$39,Clientes!$C$4:$C$39),Cadastros!$L$6:$L$12,Cadastros!$M$6:$M$12)," ")</f>
        <v xml:space="preserve"> </v>
      </c>
      <c r="W1800" s="28"/>
      <c r="X1800" s="28"/>
      <c r="Y1800" s="255" t="str">
        <f>IF(W1800="","",(_xlfn.XLOOKUP(W1800,Cadastros!$D$6:$D$90,Cadastros!$E$6:$E$90))*(1-_xlfn.XLOOKUP(_xlfn.XLOOKUP($F1800,Clientes!$B$4:$B$39,Clientes!$C$4:$C$39),Cadastros!$L$6:$L$12,Cadastros!$N$6:$N$12)))</f>
        <v/>
      </c>
      <c r="Z1800" s="168" t="str">
        <f t="shared" ref="Z1800:Z1863" si="368">IF(Y1800="","",X1800*Y1800)</f>
        <v/>
      </c>
      <c r="AA1800" s="168" t="str">
        <f>IFERROR(Z1800/_xlfn.XLOOKUP(_xlfn.XLOOKUP($F1800,Clientes!$B$4:$B$39,Clientes!$C$4:$C$39),Cadastros!$L$6:$L$12,Cadastros!$M$6:$M$12)," ")</f>
        <v xml:space="preserve"> </v>
      </c>
      <c r="AB1800" s="28"/>
      <c r="AC1800" s="28"/>
      <c r="AD1800" s="20" t="str">
        <f>IF(AB1800="","",IF($F1800="Bernardino Furlan",_xlfn.XLOOKUP(AB1800,Cadastros!$G$6:$G$90,Cadastros!$H$6:$H$90)*(1-0.18),IF($F1800="Mauro José Salanti",_xlfn.XLOOKUP(AB1800,Cadastros!$G$6:$G$90,Cadastros!$H$6:$H$90)*(1-0.18),_xlfn.XLOOKUP(AB1800,Cadastros!$G$6:$G$90,Cadastros!$H$6:$H$90))))</f>
        <v/>
      </c>
      <c r="AE1800" s="168" t="str">
        <f t="shared" ref="AE1800:AE1863" si="369">IF(AD1800="","",AC1800*AD1800)</f>
        <v/>
      </c>
      <c r="AF1800" s="168" t="str">
        <f t="shared" ref="AF1800:AF1863" si="370">IFERROR(IF($F1800="Bernardino Furlan",AE1800/2751.92,IF($F1800="Mauro José Salanti",AE1800/2751.92,AE1800/3356)),"")</f>
        <v/>
      </c>
      <c r="AG1800" s="28"/>
      <c r="AH1800" s="28"/>
      <c r="AI1800" s="20" t="str">
        <f>IF(AG1800="","",IF($F1800="Bernardino Furlan",_xlfn.XLOOKUP(AG1800,Cadastros!$G$6:$G$90,Cadastros!$H$6:$H$90)*(1-0.18),IF($F1800="Mauro José Salanti",_xlfn.XLOOKUP(AG1800,Cadastros!$G$6:$G$90,Cadastros!$H$6:$H$90)*(1-0.18),_xlfn.XLOOKUP(AG1800,Cadastros!$G$6:$G$90,Cadastros!$H$6:$H$90))))</f>
        <v/>
      </c>
      <c r="AJ1800" s="168" t="str">
        <f t="shared" ref="AJ1800:AJ1863" si="371">IF(AI1800="","",AH1800*AI1800)</f>
        <v/>
      </c>
      <c r="AK1800" s="168" t="str">
        <f t="shared" ref="AK1800:AK1863" si="372">IFERROR(IF($F1800="Bernardino Furlan",AJ1800/2751.92,IF($F1800="Mauro José Salanti",AJ1800/2751.92,AJ1800/3356)),"")</f>
        <v/>
      </c>
      <c r="AL1800" s="28"/>
      <c r="AM1800" s="28"/>
      <c r="AN1800" s="20" t="str">
        <f>IF(AL1800="","",IF($F1800="Bernardino Furlan",_xlfn.XLOOKUP(AL1800,Cadastros!$G$6:$G$90,Cadastros!$H$6:$H$90)*(1-0.18),IF($F1800="Mauro José Salanti",_xlfn.XLOOKUP(AL1800,Cadastros!$G$6:$G$90,Cadastros!$H$6:$H$90)*(1-0.18),_xlfn.XLOOKUP(AL1800,Cadastros!$G$6:$G$90,Cadastros!$H$6:$H$90))))</f>
        <v/>
      </c>
      <c r="AO1800" s="168" t="str">
        <f t="shared" ref="AO1800:AO1863" si="373">IF(AN1800="","",AM1800*AN1800)</f>
        <v/>
      </c>
      <c r="AP1800" s="168" t="str">
        <f t="shared" ref="AP1800:AP1863" si="374">IFERROR(IF($F1800="Bernardino Furlan",AO1800/2751.92,IF($F1800="Mauro José Salanti",AO1800/2751.92,AO1800/3356)),"")</f>
        <v/>
      </c>
      <c r="AQ1800" s="28"/>
      <c r="AR1800" s="28"/>
      <c r="AS1800" s="20" t="str">
        <f>IF(AQ1800="","",IF($F1800="Bernardino Furlan",_xlfn.XLOOKUP(AQ1800,Cadastros!$G$6:$G$90,Cadastros!$H$6:$H$90)*(1-0.18),IF($F1800="Mauro José Salanti",_xlfn.XLOOKUP(AQ1800,Cadastros!$G$6:$G$90,Cadastros!$H$6:$H$90)*(1-0.18),_xlfn.XLOOKUP(AQ1800,Cadastros!$G$6:$G$90,Cadastros!$H$6:$H$90))))</f>
        <v/>
      </c>
      <c r="AT1800" s="168" t="str">
        <f t="shared" ref="AT1800:AT1863" si="375">IF(AS1800="","",AR1800*AS1800)</f>
        <v/>
      </c>
      <c r="AU1800" s="168" t="str">
        <f t="shared" ref="AU1800:AU1863" si="376">IFERROR(IF($F1800="Bernardino Furlan",AT1800/2751.92,IF($F1800="Mauro José Salanti",AT1800/2751.92,AT1800/3356)),"")</f>
        <v/>
      </c>
      <c r="AV1800" s="227"/>
      <c r="AW1800" s="30"/>
      <c r="AX1800" s="267"/>
      <c r="AY1800" s="267"/>
      <c r="AZ1800" s="29"/>
      <c r="BA1800" s="30"/>
      <c r="BB1800" s="23" t="str" cm="1">
        <f t="array" ref="BB1800">_xlfn.IFS(AW1800="SIM",SUM(K1800,P1800,U1800,Z1800,AE1800,AJ1800,AO1800,AT1800,AX1800,AY1800),F1800&lt;&gt;"",SUM(K1800,P1800,U1800,Z1800,AE1800,AJ1800,,AO1800,AT1800),F1800="","")</f>
        <v/>
      </c>
      <c r="BC1800" s="211" t="str" cm="1">
        <f t="array" ref="BC1800">_xlfn.IFS(E1800="","",G1800&lt;=E1800,BB1800*(1-0.03),G1800&lt;(E1800+8),BB1800,AZ1800="Boleto",BB1800*(1+0.001)^DATEDIF(E1800,G1800,"D"),AZ1800="Cheque",BB1800,AZ1800="Dinheiro","Alterar forma pgto")</f>
        <v/>
      </c>
      <c r="BD1800" s="276" t="str" cm="1">
        <f t="array" ref="BD1800">IF(F1800=0," ",IF(BC1800&lt;BB1800,(_xlfn.IFS(AW1800="SIM",SUM(L1800,Q1800,V1800,AA1800,AF1800,AK1800,AP1800,AU1800)+AX1800/_xlfn.XLOOKUP(_xlfn.XLOOKUP($F1800,Clientes!$B$4:$B$39,Clientes!$C$4:$C$39),Cadastros!$L$6:$L$12,Cadastros!$M$6:$M$12)+IF($F1800="Bernardino Furlan",AY1800/2751.92,IF($F1800="Mauro José Salanti",AY1800/2751.92,AY1800/3356)),F1800&lt;&gt;0,SUM(L1800,Q1800,V1800,AA1800,AF1800,AK1800,AP1800,AU1800)))*(1-0.03),_xlfn.IFS(AW1800="SIM",SUM(L1800,Q1800,V1800,AA1800,AF1800,AK1800,AP1800,AU1800)+AX1800/_xlfn.XLOOKUP(_xlfn.XLOOKUP($F1800,Clientes!$B$4:$B$39,Clientes!$C$4:$C$39),Cadastros!$L$6:$L$12,Cadastros!$M$6:$M$12)+IF($F1800="Bernardino Furlan",AY1800/2751.92,IF($F1800="Mauro José Salanti",AY1800/2751.92,AY1800/3356)),F1800&lt;&gt;0,SUM(L1800,Q1800,V1800,AA1800,AF1800,AK1800,AP1800,AU1800))))</f>
        <v xml:space="preserve"> </v>
      </c>
      <c r="BE1800" s="120"/>
      <c r="BF1800" s="120"/>
      <c r="BG1800" s="120"/>
    </row>
    <row r="1801" spans="1:59" s="3" customFormat="1" x14ac:dyDescent="0.3">
      <c r="A1801" s="15" t="str">
        <f t="shared" si="364"/>
        <v/>
      </c>
      <c r="B1801" s="25"/>
      <c r="C1801" s="26"/>
      <c r="D1801" s="279"/>
      <c r="E1801" s="27"/>
      <c r="F1801" s="28"/>
      <c r="G1801" s="27"/>
      <c r="H1801" s="28"/>
      <c r="I1801" s="28"/>
      <c r="J1801" s="255" t="str">
        <f>IF(H1801="","",(_xlfn.XLOOKUP(H1801,Cadastros!$D$6:$D$90,Cadastros!$E$6:$E$90))*(1-_xlfn.XLOOKUP(_xlfn.XLOOKUP($F1801,Clientes!$B$4:$B$39,Clientes!$C$4:$C$39),Cadastros!$L$6:$L$12,Cadastros!$N$6:$N$12)))</f>
        <v/>
      </c>
      <c r="K1801" s="168" t="str">
        <f t="shared" si="365"/>
        <v/>
      </c>
      <c r="L1801" s="168" t="str">
        <f>IFERROR(K1801/_xlfn.XLOOKUP(_xlfn.XLOOKUP($F1801,Clientes!$B$4:$B$39,Clientes!$C$4:$C$39),Cadastros!$L$6:$L$12,Cadastros!$M$6:$M$12)," ")</f>
        <v xml:space="preserve"> </v>
      </c>
      <c r="M1801" s="28"/>
      <c r="N1801" s="28"/>
      <c r="O1801" s="255" t="str">
        <f>IF(M1801="","",(_xlfn.XLOOKUP(M1801,Cadastros!$D$6:$D$90,Cadastros!$E$6:$E$90))*(1-_xlfn.XLOOKUP(_xlfn.XLOOKUP($F1801,Clientes!$B$4:$B$39,Clientes!$C$4:$C$39),Cadastros!$L$6:$L$12,Cadastros!$N$6:$N$12)))</f>
        <v/>
      </c>
      <c r="P1801" s="168" t="str">
        <f t="shared" si="366"/>
        <v/>
      </c>
      <c r="Q1801" s="168" t="str">
        <f>IFERROR(P1801/_xlfn.XLOOKUP(_xlfn.XLOOKUP($F1801,Clientes!$B$4:$B$39,Clientes!$C$4:$C$39),Cadastros!$L$6:$L$12,Cadastros!$M$6:$M$12)," ")</f>
        <v xml:space="preserve"> </v>
      </c>
      <c r="R1801" s="28"/>
      <c r="S1801" s="28"/>
      <c r="T1801" s="255" t="str">
        <f>IF(R1801="","",(_xlfn.XLOOKUP(R1801,Cadastros!$D$6:$D$90,Cadastros!$E$6:$E$90))*(1-_xlfn.XLOOKUP(_xlfn.XLOOKUP($F1801,Clientes!$B$4:$B$39,Clientes!$C$4:$C$39),Cadastros!$L$6:$L$12,Cadastros!$N$6:$N$12)))</f>
        <v/>
      </c>
      <c r="U1801" s="168" t="str">
        <f t="shared" si="367"/>
        <v/>
      </c>
      <c r="V1801" s="168" t="str">
        <f>IFERROR(U1801/_xlfn.XLOOKUP(_xlfn.XLOOKUP($F1801,Clientes!$B$4:$B$39,Clientes!$C$4:$C$39),Cadastros!$L$6:$L$12,Cadastros!$M$6:$M$12)," ")</f>
        <v xml:space="preserve"> </v>
      </c>
      <c r="W1801" s="28"/>
      <c r="X1801" s="28"/>
      <c r="Y1801" s="255" t="str">
        <f>IF(W1801="","",(_xlfn.XLOOKUP(W1801,Cadastros!$D$6:$D$90,Cadastros!$E$6:$E$90))*(1-_xlfn.XLOOKUP(_xlfn.XLOOKUP($F1801,Clientes!$B$4:$B$39,Clientes!$C$4:$C$39),Cadastros!$L$6:$L$12,Cadastros!$N$6:$N$12)))</f>
        <v/>
      </c>
      <c r="Z1801" s="168" t="str">
        <f t="shared" si="368"/>
        <v/>
      </c>
      <c r="AA1801" s="168" t="str">
        <f>IFERROR(Z1801/_xlfn.XLOOKUP(_xlfn.XLOOKUP($F1801,Clientes!$B$4:$B$39,Clientes!$C$4:$C$39),Cadastros!$L$6:$L$12,Cadastros!$M$6:$M$12)," ")</f>
        <v xml:space="preserve"> </v>
      </c>
      <c r="AB1801" s="28"/>
      <c r="AC1801" s="28"/>
      <c r="AD1801" s="20" t="str">
        <f>IF(AB1801="","",IF($F1801="Bernardino Furlan",_xlfn.XLOOKUP(AB1801,Cadastros!$G$6:$G$90,Cadastros!$H$6:$H$90)*(1-0.18),IF($F1801="Mauro José Salanti",_xlfn.XLOOKUP(AB1801,Cadastros!$G$6:$G$90,Cadastros!$H$6:$H$90)*(1-0.18),_xlfn.XLOOKUP(AB1801,Cadastros!$G$6:$G$90,Cadastros!$H$6:$H$90))))</f>
        <v/>
      </c>
      <c r="AE1801" s="168" t="str">
        <f t="shared" si="369"/>
        <v/>
      </c>
      <c r="AF1801" s="168" t="str">
        <f t="shared" si="370"/>
        <v/>
      </c>
      <c r="AG1801" s="28"/>
      <c r="AH1801" s="28"/>
      <c r="AI1801" s="20" t="str">
        <f>IF(AG1801="","",IF($F1801="Bernardino Furlan",_xlfn.XLOOKUP(AG1801,Cadastros!$G$6:$G$90,Cadastros!$H$6:$H$90)*(1-0.18),IF($F1801="Mauro José Salanti",_xlfn.XLOOKUP(AG1801,Cadastros!$G$6:$G$90,Cadastros!$H$6:$H$90)*(1-0.18),_xlfn.XLOOKUP(AG1801,Cadastros!$G$6:$G$90,Cadastros!$H$6:$H$90))))</f>
        <v/>
      </c>
      <c r="AJ1801" s="168" t="str">
        <f t="shared" si="371"/>
        <v/>
      </c>
      <c r="AK1801" s="168" t="str">
        <f t="shared" si="372"/>
        <v/>
      </c>
      <c r="AL1801" s="28"/>
      <c r="AM1801" s="28"/>
      <c r="AN1801" s="20" t="str">
        <f>IF(AL1801="","",IF($F1801="Bernardino Furlan",_xlfn.XLOOKUP(AL1801,Cadastros!$G$6:$G$90,Cadastros!$H$6:$H$90)*(1-0.18),IF($F1801="Mauro José Salanti",_xlfn.XLOOKUP(AL1801,Cadastros!$G$6:$G$90,Cadastros!$H$6:$H$90)*(1-0.18),_xlfn.XLOOKUP(AL1801,Cadastros!$G$6:$G$90,Cadastros!$H$6:$H$90))))</f>
        <v/>
      </c>
      <c r="AO1801" s="168" t="str">
        <f t="shared" si="373"/>
        <v/>
      </c>
      <c r="AP1801" s="168" t="str">
        <f t="shared" si="374"/>
        <v/>
      </c>
      <c r="AQ1801" s="28"/>
      <c r="AR1801" s="28"/>
      <c r="AS1801" s="20" t="str">
        <f>IF(AQ1801="","",IF($F1801="Bernardino Furlan",_xlfn.XLOOKUP(AQ1801,Cadastros!$G$6:$G$90,Cadastros!$H$6:$H$90)*(1-0.18),IF($F1801="Mauro José Salanti",_xlfn.XLOOKUP(AQ1801,Cadastros!$G$6:$G$90,Cadastros!$H$6:$H$90)*(1-0.18),_xlfn.XLOOKUP(AQ1801,Cadastros!$G$6:$G$90,Cadastros!$H$6:$H$90))))</f>
        <v/>
      </c>
      <c r="AT1801" s="168" t="str">
        <f t="shared" si="375"/>
        <v/>
      </c>
      <c r="AU1801" s="168" t="str">
        <f t="shared" si="376"/>
        <v/>
      </c>
      <c r="AV1801" s="227"/>
      <c r="AW1801" s="30"/>
      <c r="AX1801" s="267"/>
      <c r="AY1801" s="267"/>
      <c r="AZ1801" s="29"/>
      <c r="BA1801" s="30"/>
      <c r="BB1801" s="23" t="str" cm="1">
        <f t="array" ref="BB1801">_xlfn.IFS(AW1801="SIM",SUM(K1801,P1801,U1801,Z1801,AE1801,AJ1801,AO1801,AT1801,AX1801,AY1801),F1801&lt;&gt;"",SUM(K1801,P1801,U1801,Z1801,AE1801,AJ1801,,AO1801,AT1801),F1801="","")</f>
        <v/>
      </c>
      <c r="BC1801" s="211" t="str" cm="1">
        <f t="array" ref="BC1801">_xlfn.IFS(E1801="","",G1801&lt;=E1801,BB1801*(1-0.03),G1801&lt;(E1801+8),BB1801,AZ1801="Boleto",BB1801*(1+0.001)^DATEDIF(E1801,G1801,"D"),AZ1801="Cheque",BB1801,AZ1801="Dinheiro","Alterar forma pgto")</f>
        <v/>
      </c>
      <c r="BD1801" s="276" t="str" cm="1">
        <f t="array" ref="BD1801">IF(F1801=0," ",IF(BC1801&lt;BB1801,(_xlfn.IFS(AW1801="SIM",SUM(L1801,Q1801,V1801,AA1801,AF1801,AK1801,AP1801,AU1801)+AX1801/_xlfn.XLOOKUP(_xlfn.XLOOKUP($F1801,Clientes!$B$4:$B$39,Clientes!$C$4:$C$39),Cadastros!$L$6:$L$12,Cadastros!$M$6:$M$12)+IF($F1801="Bernardino Furlan",AY1801/2751.92,IF($F1801="Mauro José Salanti",AY1801/2751.92,AY1801/3356)),F1801&lt;&gt;0,SUM(L1801,Q1801,V1801,AA1801,AF1801,AK1801,AP1801,AU1801)))*(1-0.03),_xlfn.IFS(AW1801="SIM",SUM(L1801,Q1801,V1801,AA1801,AF1801,AK1801,AP1801,AU1801)+AX1801/_xlfn.XLOOKUP(_xlfn.XLOOKUP($F1801,Clientes!$B$4:$B$39,Clientes!$C$4:$C$39),Cadastros!$L$6:$L$12,Cadastros!$M$6:$M$12)+IF($F1801="Bernardino Furlan",AY1801/2751.92,IF($F1801="Mauro José Salanti",AY1801/2751.92,AY1801/3356)),F1801&lt;&gt;0,SUM(L1801,Q1801,V1801,AA1801,AF1801,AK1801,AP1801,AU1801))))</f>
        <v xml:space="preserve"> </v>
      </c>
      <c r="BE1801" s="120"/>
      <c r="BF1801" s="120"/>
      <c r="BG1801" s="120"/>
    </row>
    <row r="1802" spans="1:59" s="3" customFormat="1" x14ac:dyDescent="0.3">
      <c r="A1802" s="15" t="str">
        <f t="shared" si="364"/>
        <v/>
      </c>
      <c r="B1802" s="25"/>
      <c r="C1802" s="26"/>
      <c r="D1802" s="279"/>
      <c r="E1802" s="27"/>
      <c r="F1802" s="28"/>
      <c r="G1802" s="27"/>
      <c r="H1802" s="28"/>
      <c r="I1802" s="28"/>
      <c r="J1802" s="255" t="str">
        <f>IF(H1802="","",(_xlfn.XLOOKUP(H1802,Cadastros!$D$6:$D$90,Cadastros!$E$6:$E$90))*(1-_xlfn.XLOOKUP(_xlfn.XLOOKUP($F1802,Clientes!$B$4:$B$39,Clientes!$C$4:$C$39),Cadastros!$L$6:$L$12,Cadastros!$N$6:$N$12)))</f>
        <v/>
      </c>
      <c r="K1802" s="168" t="str">
        <f t="shared" si="365"/>
        <v/>
      </c>
      <c r="L1802" s="168" t="str">
        <f>IFERROR(K1802/_xlfn.XLOOKUP(_xlfn.XLOOKUP($F1802,Clientes!$B$4:$B$39,Clientes!$C$4:$C$39),Cadastros!$L$6:$L$12,Cadastros!$M$6:$M$12)," ")</f>
        <v xml:space="preserve"> </v>
      </c>
      <c r="M1802" s="28"/>
      <c r="N1802" s="28"/>
      <c r="O1802" s="255" t="str">
        <f>IF(M1802="","",(_xlfn.XLOOKUP(M1802,Cadastros!$D$6:$D$90,Cadastros!$E$6:$E$90))*(1-_xlfn.XLOOKUP(_xlfn.XLOOKUP($F1802,Clientes!$B$4:$B$39,Clientes!$C$4:$C$39),Cadastros!$L$6:$L$12,Cadastros!$N$6:$N$12)))</f>
        <v/>
      </c>
      <c r="P1802" s="168" t="str">
        <f t="shared" si="366"/>
        <v/>
      </c>
      <c r="Q1802" s="168" t="str">
        <f>IFERROR(P1802/_xlfn.XLOOKUP(_xlfn.XLOOKUP($F1802,Clientes!$B$4:$B$39,Clientes!$C$4:$C$39),Cadastros!$L$6:$L$12,Cadastros!$M$6:$M$12)," ")</f>
        <v xml:space="preserve"> </v>
      </c>
      <c r="R1802" s="28"/>
      <c r="S1802" s="28"/>
      <c r="T1802" s="255" t="str">
        <f>IF(R1802="","",(_xlfn.XLOOKUP(R1802,Cadastros!$D$6:$D$90,Cadastros!$E$6:$E$90))*(1-_xlfn.XLOOKUP(_xlfn.XLOOKUP($F1802,Clientes!$B$4:$B$39,Clientes!$C$4:$C$39),Cadastros!$L$6:$L$12,Cadastros!$N$6:$N$12)))</f>
        <v/>
      </c>
      <c r="U1802" s="168" t="str">
        <f t="shared" si="367"/>
        <v/>
      </c>
      <c r="V1802" s="168" t="str">
        <f>IFERROR(U1802/_xlfn.XLOOKUP(_xlfn.XLOOKUP($F1802,Clientes!$B$4:$B$39,Clientes!$C$4:$C$39),Cadastros!$L$6:$L$12,Cadastros!$M$6:$M$12)," ")</f>
        <v xml:space="preserve"> </v>
      </c>
      <c r="W1802" s="28"/>
      <c r="X1802" s="28"/>
      <c r="Y1802" s="255" t="str">
        <f>IF(W1802="","",(_xlfn.XLOOKUP(W1802,Cadastros!$D$6:$D$90,Cadastros!$E$6:$E$90))*(1-_xlfn.XLOOKUP(_xlfn.XLOOKUP($F1802,Clientes!$B$4:$B$39,Clientes!$C$4:$C$39),Cadastros!$L$6:$L$12,Cadastros!$N$6:$N$12)))</f>
        <v/>
      </c>
      <c r="Z1802" s="168" t="str">
        <f t="shared" si="368"/>
        <v/>
      </c>
      <c r="AA1802" s="168" t="str">
        <f>IFERROR(Z1802/_xlfn.XLOOKUP(_xlfn.XLOOKUP($F1802,Clientes!$B$4:$B$39,Clientes!$C$4:$C$39),Cadastros!$L$6:$L$12,Cadastros!$M$6:$M$12)," ")</f>
        <v xml:space="preserve"> </v>
      </c>
      <c r="AB1802" s="28"/>
      <c r="AC1802" s="28"/>
      <c r="AD1802" s="20" t="str">
        <f>IF(AB1802="","",IF($F1802="Bernardino Furlan",_xlfn.XLOOKUP(AB1802,Cadastros!$G$6:$G$90,Cadastros!$H$6:$H$90)*(1-0.18),IF($F1802="Mauro José Salanti",_xlfn.XLOOKUP(AB1802,Cadastros!$G$6:$G$90,Cadastros!$H$6:$H$90)*(1-0.18),_xlfn.XLOOKUP(AB1802,Cadastros!$G$6:$G$90,Cadastros!$H$6:$H$90))))</f>
        <v/>
      </c>
      <c r="AE1802" s="168" t="str">
        <f t="shared" si="369"/>
        <v/>
      </c>
      <c r="AF1802" s="168" t="str">
        <f t="shared" si="370"/>
        <v/>
      </c>
      <c r="AG1802" s="28"/>
      <c r="AH1802" s="28"/>
      <c r="AI1802" s="20" t="str">
        <f>IF(AG1802="","",IF($F1802="Bernardino Furlan",_xlfn.XLOOKUP(AG1802,Cadastros!$G$6:$G$90,Cadastros!$H$6:$H$90)*(1-0.18),IF($F1802="Mauro José Salanti",_xlfn.XLOOKUP(AG1802,Cadastros!$G$6:$G$90,Cadastros!$H$6:$H$90)*(1-0.18),_xlfn.XLOOKUP(AG1802,Cadastros!$G$6:$G$90,Cadastros!$H$6:$H$90))))</f>
        <v/>
      </c>
      <c r="AJ1802" s="168" t="str">
        <f t="shared" si="371"/>
        <v/>
      </c>
      <c r="AK1802" s="168" t="str">
        <f t="shared" si="372"/>
        <v/>
      </c>
      <c r="AL1802" s="28"/>
      <c r="AM1802" s="28"/>
      <c r="AN1802" s="20" t="str">
        <f>IF(AL1802="","",IF($F1802="Bernardino Furlan",_xlfn.XLOOKUP(AL1802,Cadastros!$G$6:$G$90,Cadastros!$H$6:$H$90)*(1-0.18),IF($F1802="Mauro José Salanti",_xlfn.XLOOKUP(AL1802,Cadastros!$G$6:$G$90,Cadastros!$H$6:$H$90)*(1-0.18),_xlfn.XLOOKUP(AL1802,Cadastros!$G$6:$G$90,Cadastros!$H$6:$H$90))))</f>
        <v/>
      </c>
      <c r="AO1802" s="168" t="str">
        <f t="shared" si="373"/>
        <v/>
      </c>
      <c r="AP1802" s="168" t="str">
        <f t="shared" si="374"/>
        <v/>
      </c>
      <c r="AQ1802" s="28"/>
      <c r="AR1802" s="28"/>
      <c r="AS1802" s="20" t="str">
        <f>IF(AQ1802="","",IF($F1802="Bernardino Furlan",_xlfn.XLOOKUP(AQ1802,Cadastros!$G$6:$G$90,Cadastros!$H$6:$H$90)*(1-0.18),IF($F1802="Mauro José Salanti",_xlfn.XLOOKUP(AQ1802,Cadastros!$G$6:$G$90,Cadastros!$H$6:$H$90)*(1-0.18),_xlfn.XLOOKUP(AQ1802,Cadastros!$G$6:$G$90,Cadastros!$H$6:$H$90))))</f>
        <v/>
      </c>
      <c r="AT1802" s="168" t="str">
        <f t="shared" si="375"/>
        <v/>
      </c>
      <c r="AU1802" s="168" t="str">
        <f t="shared" si="376"/>
        <v/>
      </c>
      <c r="AV1802" s="227"/>
      <c r="AW1802" s="30"/>
      <c r="AX1802" s="267"/>
      <c r="AY1802" s="267"/>
      <c r="AZ1802" s="29"/>
      <c r="BA1802" s="30"/>
      <c r="BB1802" s="23" t="str" cm="1">
        <f t="array" ref="BB1802">_xlfn.IFS(AW1802="SIM",SUM(K1802,P1802,U1802,Z1802,AE1802,AJ1802,AO1802,AT1802,AX1802,AY1802),F1802&lt;&gt;"",SUM(K1802,P1802,U1802,Z1802,AE1802,AJ1802,,AO1802,AT1802),F1802="","")</f>
        <v/>
      </c>
      <c r="BC1802" s="211" t="str" cm="1">
        <f t="array" ref="BC1802">_xlfn.IFS(E1802="","",G1802&lt;=E1802,BB1802*(1-0.03),G1802&lt;(E1802+8),BB1802,AZ1802="Boleto",BB1802*(1+0.001)^DATEDIF(E1802,G1802,"D"),AZ1802="Cheque",BB1802,AZ1802="Dinheiro","Alterar forma pgto")</f>
        <v/>
      </c>
      <c r="BD1802" s="276" t="str" cm="1">
        <f t="array" ref="BD1802">IF(F1802=0," ",IF(BC1802&lt;BB1802,(_xlfn.IFS(AW1802="SIM",SUM(L1802,Q1802,V1802,AA1802,AF1802,AK1802,AP1802,AU1802)+AX1802/_xlfn.XLOOKUP(_xlfn.XLOOKUP($F1802,Clientes!$B$4:$B$39,Clientes!$C$4:$C$39),Cadastros!$L$6:$L$12,Cadastros!$M$6:$M$12)+IF($F1802="Bernardino Furlan",AY1802/2751.92,IF($F1802="Mauro José Salanti",AY1802/2751.92,AY1802/3356)),F1802&lt;&gt;0,SUM(L1802,Q1802,V1802,AA1802,AF1802,AK1802,AP1802,AU1802)))*(1-0.03),_xlfn.IFS(AW1802="SIM",SUM(L1802,Q1802,V1802,AA1802,AF1802,AK1802,AP1802,AU1802)+AX1802/_xlfn.XLOOKUP(_xlfn.XLOOKUP($F1802,Clientes!$B$4:$B$39,Clientes!$C$4:$C$39),Cadastros!$L$6:$L$12,Cadastros!$M$6:$M$12)+IF($F1802="Bernardino Furlan",AY1802/2751.92,IF($F1802="Mauro José Salanti",AY1802/2751.92,AY1802/3356)),F1802&lt;&gt;0,SUM(L1802,Q1802,V1802,AA1802,AF1802,AK1802,AP1802,AU1802))))</f>
        <v xml:space="preserve"> </v>
      </c>
      <c r="BE1802" s="120"/>
      <c r="BF1802" s="120"/>
      <c r="BG1802" s="120"/>
    </row>
    <row r="1803" spans="1:59" s="3" customFormat="1" x14ac:dyDescent="0.3">
      <c r="A1803" s="15" t="str">
        <f t="shared" si="364"/>
        <v/>
      </c>
      <c r="B1803" s="25"/>
      <c r="C1803" s="26"/>
      <c r="D1803" s="279"/>
      <c r="E1803" s="27"/>
      <c r="F1803" s="28"/>
      <c r="G1803" s="27"/>
      <c r="H1803" s="28"/>
      <c r="I1803" s="28"/>
      <c r="J1803" s="255" t="str">
        <f>IF(H1803="","",(_xlfn.XLOOKUP(H1803,Cadastros!$D$6:$D$90,Cadastros!$E$6:$E$90))*(1-_xlfn.XLOOKUP(_xlfn.XLOOKUP($F1803,Clientes!$B$4:$B$39,Clientes!$C$4:$C$39),Cadastros!$L$6:$L$12,Cadastros!$N$6:$N$12)))</f>
        <v/>
      </c>
      <c r="K1803" s="168" t="str">
        <f t="shared" si="365"/>
        <v/>
      </c>
      <c r="L1803" s="168" t="str">
        <f>IFERROR(K1803/_xlfn.XLOOKUP(_xlfn.XLOOKUP($F1803,Clientes!$B$4:$B$39,Clientes!$C$4:$C$39),Cadastros!$L$6:$L$12,Cadastros!$M$6:$M$12)," ")</f>
        <v xml:space="preserve"> </v>
      </c>
      <c r="M1803" s="28"/>
      <c r="N1803" s="28"/>
      <c r="O1803" s="255" t="str">
        <f>IF(M1803="","",(_xlfn.XLOOKUP(M1803,Cadastros!$D$6:$D$90,Cadastros!$E$6:$E$90))*(1-_xlfn.XLOOKUP(_xlfn.XLOOKUP($F1803,Clientes!$B$4:$B$39,Clientes!$C$4:$C$39),Cadastros!$L$6:$L$12,Cadastros!$N$6:$N$12)))</f>
        <v/>
      </c>
      <c r="P1803" s="168" t="str">
        <f t="shared" si="366"/>
        <v/>
      </c>
      <c r="Q1803" s="168" t="str">
        <f>IFERROR(P1803/_xlfn.XLOOKUP(_xlfn.XLOOKUP($F1803,Clientes!$B$4:$B$39,Clientes!$C$4:$C$39),Cadastros!$L$6:$L$12,Cadastros!$M$6:$M$12)," ")</f>
        <v xml:space="preserve"> </v>
      </c>
      <c r="R1803" s="28"/>
      <c r="S1803" s="28"/>
      <c r="T1803" s="255" t="str">
        <f>IF(R1803="","",(_xlfn.XLOOKUP(R1803,Cadastros!$D$6:$D$90,Cadastros!$E$6:$E$90))*(1-_xlfn.XLOOKUP(_xlfn.XLOOKUP($F1803,Clientes!$B$4:$B$39,Clientes!$C$4:$C$39),Cadastros!$L$6:$L$12,Cadastros!$N$6:$N$12)))</f>
        <v/>
      </c>
      <c r="U1803" s="168" t="str">
        <f t="shared" si="367"/>
        <v/>
      </c>
      <c r="V1803" s="168" t="str">
        <f>IFERROR(U1803/_xlfn.XLOOKUP(_xlfn.XLOOKUP($F1803,Clientes!$B$4:$B$39,Clientes!$C$4:$C$39),Cadastros!$L$6:$L$12,Cadastros!$M$6:$M$12)," ")</f>
        <v xml:space="preserve"> </v>
      </c>
      <c r="W1803" s="28"/>
      <c r="X1803" s="28"/>
      <c r="Y1803" s="255" t="str">
        <f>IF(W1803="","",(_xlfn.XLOOKUP(W1803,Cadastros!$D$6:$D$90,Cadastros!$E$6:$E$90))*(1-_xlfn.XLOOKUP(_xlfn.XLOOKUP($F1803,Clientes!$B$4:$B$39,Clientes!$C$4:$C$39),Cadastros!$L$6:$L$12,Cadastros!$N$6:$N$12)))</f>
        <v/>
      </c>
      <c r="Z1803" s="168" t="str">
        <f t="shared" si="368"/>
        <v/>
      </c>
      <c r="AA1803" s="168" t="str">
        <f>IFERROR(Z1803/_xlfn.XLOOKUP(_xlfn.XLOOKUP($F1803,Clientes!$B$4:$B$39,Clientes!$C$4:$C$39),Cadastros!$L$6:$L$12,Cadastros!$M$6:$M$12)," ")</f>
        <v xml:space="preserve"> </v>
      </c>
      <c r="AB1803" s="28"/>
      <c r="AC1803" s="28"/>
      <c r="AD1803" s="20" t="str">
        <f>IF(AB1803="","",IF($F1803="Bernardino Furlan",_xlfn.XLOOKUP(AB1803,Cadastros!$G$6:$G$90,Cadastros!$H$6:$H$90)*(1-0.18),IF($F1803="Mauro José Salanti",_xlfn.XLOOKUP(AB1803,Cadastros!$G$6:$G$90,Cadastros!$H$6:$H$90)*(1-0.18),_xlfn.XLOOKUP(AB1803,Cadastros!$G$6:$G$90,Cadastros!$H$6:$H$90))))</f>
        <v/>
      </c>
      <c r="AE1803" s="168" t="str">
        <f t="shared" si="369"/>
        <v/>
      </c>
      <c r="AF1803" s="168" t="str">
        <f t="shared" si="370"/>
        <v/>
      </c>
      <c r="AG1803" s="28"/>
      <c r="AH1803" s="28"/>
      <c r="AI1803" s="20" t="str">
        <f>IF(AG1803="","",IF($F1803="Bernardino Furlan",_xlfn.XLOOKUP(AG1803,Cadastros!$G$6:$G$90,Cadastros!$H$6:$H$90)*(1-0.18),IF($F1803="Mauro José Salanti",_xlfn.XLOOKUP(AG1803,Cadastros!$G$6:$G$90,Cadastros!$H$6:$H$90)*(1-0.18),_xlfn.XLOOKUP(AG1803,Cadastros!$G$6:$G$90,Cadastros!$H$6:$H$90))))</f>
        <v/>
      </c>
      <c r="AJ1803" s="168" t="str">
        <f t="shared" si="371"/>
        <v/>
      </c>
      <c r="AK1803" s="168" t="str">
        <f t="shared" si="372"/>
        <v/>
      </c>
      <c r="AL1803" s="28"/>
      <c r="AM1803" s="28"/>
      <c r="AN1803" s="20" t="str">
        <f>IF(AL1803="","",IF($F1803="Bernardino Furlan",_xlfn.XLOOKUP(AL1803,Cadastros!$G$6:$G$90,Cadastros!$H$6:$H$90)*(1-0.18),IF($F1803="Mauro José Salanti",_xlfn.XLOOKUP(AL1803,Cadastros!$G$6:$G$90,Cadastros!$H$6:$H$90)*(1-0.18),_xlfn.XLOOKUP(AL1803,Cadastros!$G$6:$G$90,Cadastros!$H$6:$H$90))))</f>
        <v/>
      </c>
      <c r="AO1803" s="168" t="str">
        <f t="shared" si="373"/>
        <v/>
      </c>
      <c r="AP1803" s="168" t="str">
        <f t="shared" si="374"/>
        <v/>
      </c>
      <c r="AQ1803" s="28"/>
      <c r="AR1803" s="28"/>
      <c r="AS1803" s="20" t="str">
        <f>IF(AQ1803="","",IF($F1803="Bernardino Furlan",_xlfn.XLOOKUP(AQ1803,Cadastros!$G$6:$G$90,Cadastros!$H$6:$H$90)*(1-0.18),IF($F1803="Mauro José Salanti",_xlfn.XLOOKUP(AQ1803,Cadastros!$G$6:$G$90,Cadastros!$H$6:$H$90)*(1-0.18),_xlfn.XLOOKUP(AQ1803,Cadastros!$G$6:$G$90,Cadastros!$H$6:$H$90))))</f>
        <v/>
      </c>
      <c r="AT1803" s="168" t="str">
        <f t="shared" si="375"/>
        <v/>
      </c>
      <c r="AU1803" s="168" t="str">
        <f t="shared" si="376"/>
        <v/>
      </c>
      <c r="AV1803" s="227"/>
      <c r="AW1803" s="30"/>
      <c r="AX1803" s="267"/>
      <c r="AY1803" s="267"/>
      <c r="AZ1803" s="29"/>
      <c r="BA1803" s="30"/>
      <c r="BB1803" s="23" t="str" cm="1">
        <f t="array" ref="BB1803">_xlfn.IFS(AW1803="SIM",SUM(K1803,P1803,U1803,Z1803,AE1803,AJ1803,AO1803,AT1803,AX1803,AY1803),F1803&lt;&gt;"",SUM(K1803,P1803,U1803,Z1803,AE1803,AJ1803,,AO1803,AT1803),F1803="","")</f>
        <v/>
      </c>
      <c r="BC1803" s="211" t="str" cm="1">
        <f t="array" ref="BC1803">_xlfn.IFS(E1803="","",G1803&lt;=E1803,BB1803*(1-0.03),G1803&lt;(E1803+8),BB1803,AZ1803="Boleto",BB1803*(1+0.001)^DATEDIF(E1803,G1803,"D"),AZ1803="Cheque",BB1803,AZ1803="Dinheiro","Alterar forma pgto")</f>
        <v/>
      </c>
      <c r="BD1803" s="276" t="str" cm="1">
        <f t="array" ref="BD1803">IF(F1803=0," ",IF(BC1803&lt;BB1803,(_xlfn.IFS(AW1803="SIM",SUM(L1803,Q1803,V1803,AA1803,AF1803,AK1803,AP1803,AU1803)+AX1803/_xlfn.XLOOKUP(_xlfn.XLOOKUP($F1803,Clientes!$B$4:$B$39,Clientes!$C$4:$C$39),Cadastros!$L$6:$L$12,Cadastros!$M$6:$M$12)+IF($F1803="Bernardino Furlan",AY1803/2751.92,IF($F1803="Mauro José Salanti",AY1803/2751.92,AY1803/3356)),F1803&lt;&gt;0,SUM(L1803,Q1803,V1803,AA1803,AF1803,AK1803,AP1803,AU1803)))*(1-0.03),_xlfn.IFS(AW1803="SIM",SUM(L1803,Q1803,V1803,AA1803,AF1803,AK1803,AP1803,AU1803)+AX1803/_xlfn.XLOOKUP(_xlfn.XLOOKUP($F1803,Clientes!$B$4:$B$39,Clientes!$C$4:$C$39),Cadastros!$L$6:$L$12,Cadastros!$M$6:$M$12)+IF($F1803="Bernardino Furlan",AY1803/2751.92,IF($F1803="Mauro José Salanti",AY1803/2751.92,AY1803/3356)),F1803&lt;&gt;0,SUM(L1803,Q1803,V1803,AA1803,AF1803,AK1803,AP1803,AU1803))))</f>
        <v xml:space="preserve"> </v>
      </c>
      <c r="BE1803" s="120"/>
      <c r="BF1803" s="120"/>
      <c r="BG1803" s="120"/>
    </row>
    <row r="1804" spans="1:59" s="3" customFormat="1" x14ac:dyDescent="0.3">
      <c r="A1804" s="15" t="str">
        <f t="shared" si="364"/>
        <v/>
      </c>
      <c r="B1804" s="25"/>
      <c r="C1804" s="26"/>
      <c r="D1804" s="279"/>
      <c r="E1804" s="27"/>
      <c r="F1804" s="28"/>
      <c r="G1804" s="27"/>
      <c r="H1804" s="28"/>
      <c r="I1804" s="28"/>
      <c r="J1804" s="255" t="str">
        <f>IF(H1804="","",(_xlfn.XLOOKUP(H1804,Cadastros!$D$6:$D$90,Cadastros!$E$6:$E$90))*(1-_xlfn.XLOOKUP(_xlfn.XLOOKUP($F1804,Clientes!$B$4:$B$39,Clientes!$C$4:$C$39),Cadastros!$L$6:$L$12,Cadastros!$N$6:$N$12)))</f>
        <v/>
      </c>
      <c r="K1804" s="168" t="str">
        <f t="shared" si="365"/>
        <v/>
      </c>
      <c r="L1804" s="168" t="str">
        <f>IFERROR(K1804/_xlfn.XLOOKUP(_xlfn.XLOOKUP($F1804,Clientes!$B$4:$B$39,Clientes!$C$4:$C$39),Cadastros!$L$6:$L$12,Cadastros!$M$6:$M$12)," ")</f>
        <v xml:space="preserve"> </v>
      </c>
      <c r="M1804" s="28"/>
      <c r="N1804" s="28"/>
      <c r="O1804" s="255" t="str">
        <f>IF(M1804="","",(_xlfn.XLOOKUP(M1804,Cadastros!$D$6:$D$90,Cadastros!$E$6:$E$90))*(1-_xlfn.XLOOKUP(_xlfn.XLOOKUP($F1804,Clientes!$B$4:$B$39,Clientes!$C$4:$C$39),Cadastros!$L$6:$L$12,Cadastros!$N$6:$N$12)))</f>
        <v/>
      </c>
      <c r="P1804" s="168" t="str">
        <f t="shared" si="366"/>
        <v/>
      </c>
      <c r="Q1804" s="168" t="str">
        <f>IFERROR(P1804/_xlfn.XLOOKUP(_xlfn.XLOOKUP($F1804,Clientes!$B$4:$B$39,Clientes!$C$4:$C$39),Cadastros!$L$6:$L$12,Cadastros!$M$6:$M$12)," ")</f>
        <v xml:space="preserve"> </v>
      </c>
      <c r="R1804" s="28"/>
      <c r="S1804" s="28"/>
      <c r="T1804" s="255" t="str">
        <f>IF(R1804="","",(_xlfn.XLOOKUP(R1804,Cadastros!$D$6:$D$90,Cadastros!$E$6:$E$90))*(1-_xlfn.XLOOKUP(_xlfn.XLOOKUP($F1804,Clientes!$B$4:$B$39,Clientes!$C$4:$C$39),Cadastros!$L$6:$L$12,Cadastros!$N$6:$N$12)))</f>
        <v/>
      </c>
      <c r="U1804" s="168" t="str">
        <f t="shared" si="367"/>
        <v/>
      </c>
      <c r="V1804" s="168" t="str">
        <f>IFERROR(U1804/_xlfn.XLOOKUP(_xlfn.XLOOKUP($F1804,Clientes!$B$4:$B$39,Clientes!$C$4:$C$39),Cadastros!$L$6:$L$12,Cadastros!$M$6:$M$12)," ")</f>
        <v xml:space="preserve"> </v>
      </c>
      <c r="W1804" s="28"/>
      <c r="X1804" s="28"/>
      <c r="Y1804" s="255" t="str">
        <f>IF(W1804="","",(_xlfn.XLOOKUP(W1804,Cadastros!$D$6:$D$90,Cadastros!$E$6:$E$90))*(1-_xlfn.XLOOKUP(_xlfn.XLOOKUP($F1804,Clientes!$B$4:$B$39,Clientes!$C$4:$C$39),Cadastros!$L$6:$L$12,Cadastros!$N$6:$N$12)))</f>
        <v/>
      </c>
      <c r="Z1804" s="168" t="str">
        <f t="shared" si="368"/>
        <v/>
      </c>
      <c r="AA1804" s="168" t="str">
        <f>IFERROR(Z1804/_xlfn.XLOOKUP(_xlfn.XLOOKUP($F1804,Clientes!$B$4:$B$39,Clientes!$C$4:$C$39),Cadastros!$L$6:$L$12,Cadastros!$M$6:$M$12)," ")</f>
        <v xml:space="preserve"> </v>
      </c>
      <c r="AB1804" s="28"/>
      <c r="AC1804" s="28"/>
      <c r="AD1804" s="20" t="str">
        <f>IF(AB1804="","",IF($F1804="Bernardino Furlan",_xlfn.XLOOKUP(AB1804,Cadastros!$G$6:$G$90,Cadastros!$H$6:$H$90)*(1-0.18),IF($F1804="Mauro José Salanti",_xlfn.XLOOKUP(AB1804,Cadastros!$G$6:$G$90,Cadastros!$H$6:$H$90)*(1-0.18),_xlfn.XLOOKUP(AB1804,Cadastros!$G$6:$G$90,Cadastros!$H$6:$H$90))))</f>
        <v/>
      </c>
      <c r="AE1804" s="168" t="str">
        <f t="shared" si="369"/>
        <v/>
      </c>
      <c r="AF1804" s="168" t="str">
        <f t="shared" si="370"/>
        <v/>
      </c>
      <c r="AG1804" s="28"/>
      <c r="AH1804" s="28"/>
      <c r="AI1804" s="20" t="str">
        <f>IF(AG1804="","",IF($F1804="Bernardino Furlan",_xlfn.XLOOKUP(AG1804,Cadastros!$G$6:$G$90,Cadastros!$H$6:$H$90)*(1-0.18),IF($F1804="Mauro José Salanti",_xlfn.XLOOKUP(AG1804,Cadastros!$G$6:$G$90,Cadastros!$H$6:$H$90)*(1-0.18),_xlfn.XLOOKUP(AG1804,Cadastros!$G$6:$G$90,Cadastros!$H$6:$H$90))))</f>
        <v/>
      </c>
      <c r="AJ1804" s="168" t="str">
        <f t="shared" si="371"/>
        <v/>
      </c>
      <c r="AK1804" s="168" t="str">
        <f t="shared" si="372"/>
        <v/>
      </c>
      <c r="AL1804" s="28"/>
      <c r="AM1804" s="28"/>
      <c r="AN1804" s="20" t="str">
        <f>IF(AL1804="","",IF($F1804="Bernardino Furlan",_xlfn.XLOOKUP(AL1804,Cadastros!$G$6:$G$90,Cadastros!$H$6:$H$90)*(1-0.18),IF($F1804="Mauro José Salanti",_xlfn.XLOOKUP(AL1804,Cadastros!$G$6:$G$90,Cadastros!$H$6:$H$90)*(1-0.18),_xlfn.XLOOKUP(AL1804,Cadastros!$G$6:$G$90,Cadastros!$H$6:$H$90))))</f>
        <v/>
      </c>
      <c r="AO1804" s="168" t="str">
        <f t="shared" si="373"/>
        <v/>
      </c>
      <c r="AP1804" s="168" t="str">
        <f t="shared" si="374"/>
        <v/>
      </c>
      <c r="AQ1804" s="28"/>
      <c r="AR1804" s="28"/>
      <c r="AS1804" s="20" t="str">
        <f>IF(AQ1804="","",IF($F1804="Bernardino Furlan",_xlfn.XLOOKUP(AQ1804,Cadastros!$G$6:$G$90,Cadastros!$H$6:$H$90)*(1-0.18),IF($F1804="Mauro José Salanti",_xlfn.XLOOKUP(AQ1804,Cadastros!$G$6:$G$90,Cadastros!$H$6:$H$90)*(1-0.18),_xlfn.XLOOKUP(AQ1804,Cadastros!$G$6:$G$90,Cadastros!$H$6:$H$90))))</f>
        <v/>
      </c>
      <c r="AT1804" s="168" t="str">
        <f t="shared" si="375"/>
        <v/>
      </c>
      <c r="AU1804" s="168" t="str">
        <f t="shared" si="376"/>
        <v/>
      </c>
      <c r="AV1804" s="227"/>
      <c r="AW1804" s="30"/>
      <c r="AX1804" s="267"/>
      <c r="AY1804" s="267"/>
      <c r="AZ1804" s="29"/>
      <c r="BA1804" s="30"/>
      <c r="BB1804" s="23" t="str" cm="1">
        <f t="array" ref="BB1804">_xlfn.IFS(AW1804="SIM",SUM(K1804,P1804,U1804,Z1804,AE1804,AJ1804,AO1804,AT1804,AX1804,AY1804),F1804&lt;&gt;"",SUM(K1804,P1804,U1804,Z1804,AE1804,AJ1804,,AO1804,AT1804),F1804="","")</f>
        <v/>
      </c>
      <c r="BC1804" s="211" t="str" cm="1">
        <f t="array" ref="BC1804">_xlfn.IFS(E1804="","",G1804&lt;=E1804,BB1804*(1-0.03),G1804&lt;(E1804+8),BB1804,AZ1804="Boleto",BB1804*(1+0.001)^DATEDIF(E1804,G1804,"D"),AZ1804="Cheque",BB1804,AZ1804="Dinheiro","Alterar forma pgto")</f>
        <v/>
      </c>
      <c r="BD1804" s="276" t="str" cm="1">
        <f t="array" ref="BD1804">IF(F1804=0," ",IF(BC1804&lt;BB1804,(_xlfn.IFS(AW1804="SIM",SUM(L1804,Q1804,V1804,AA1804,AF1804,AK1804,AP1804,AU1804)+AX1804/_xlfn.XLOOKUP(_xlfn.XLOOKUP($F1804,Clientes!$B$4:$B$39,Clientes!$C$4:$C$39),Cadastros!$L$6:$L$12,Cadastros!$M$6:$M$12)+IF($F1804="Bernardino Furlan",AY1804/2751.92,IF($F1804="Mauro José Salanti",AY1804/2751.92,AY1804/3356)),F1804&lt;&gt;0,SUM(L1804,Q1804,V1804,AA1804,AF1804,AK1804,AP1804,AU1804)))*(1-0.03),_xlfn.IFS(AW1804="SIM",SUM(L1804,Q1804,V1804,AA1804,AF1804,AK1804,AP1804,AU1804)+AX1804/_xlfn.XLOOKUP(_xlfn.XLOOKUP($F1804,Clientes!$B$4:$B$39,Clientes!$C$4:$C$39),Cadastros!$L$6:$L$12,Cadastros!$M$6:$M$12)+IF($F1804="Bernardino Furlan",AY1804/2751.92,IF($F1804="Mauro José Salanti",AY1804/2751.92,AY1804/3356)),F1804&lt;&gt;0,SUM(L1804,Q1804,V1804,AA1804,AF1804,AK1804,AP1804,AU1804))))</f>
        <v xml:space="preserve"> </v>
      </c>
      <c r="BE1804" s="120"/>
      <c r="BF1804" s="120"/>
      <c r="BG1804" s="120"/>
    </row>
    <row r="1805" spans="1:59" s="3" customFormat="1" x14ac:dyDescent="0.3">
      <c r="A1805" s="15" t="str">
        <f t="shared" si="364"/>
        <v/>
      </c>
      <c r="B1805" s="25"/>
      <c r="C1805" s="26"/>
      <c r="D1805" s="279"/>
      <c r="E1805" s="27"/>
      <c r="F1805" s="28"/>
      <c r="G1805" s="27"/>
      <c r="H1805" s="28"/>
      <c r="I1805" s="28"/>
      <c r="J1805" s="255" t="str">
        <f>IF(H1805="","",(_xlfn.XLOOKUP(H1805,Cadastros!$D$6:$D$90,Cadastros!$E$6:$E$90))*(1-_xlfn.XLOOKUP(_xlfn.XLOOKUP($F1805,Clientes!$B$4:$B$39,Clientes!$C$4:$C$39),Cadastros!$L$6:$L$12,Cadastros!$N$6:$N$12)))</f>
        <v/>
      </c>
      <c r="K1805" s="168" t="str">
        <f t="shared" si="365"/>
        <v/>
      </c>
      <c r="L1805" s="168" t="str">
        <f>IFERROR(K1805/_xlfn.XLOOKUP(_xlfn.XLOOKUP($F1805,Clientes!$B$4:$B$39,Clientes!$C$4:$C$39),Cadastros!$L$6:$L$12,Cadastros!$M$6:$M$12)," ")</f>
        <v xml:space="preserve"> </v>
      </c>
      <c r="M1805" s="28"/>
      <c r="N1805" s="28"/>
      <c r="O1805" s="255" t="str">
        <f>IF(M1805="","",(_xlfn.XLOOKUP(M1805,Cadastros!$D$6:$D$90,Cadastros!$E$6:$E$90))*(1-_xlfn.XLOOKUP(_xlfn.XLOOKUP($F1805,Clientes!$B$4:$B$39,Clientes!$C$4:$C$39),Cadastros!$L$6:$L$12,Cadastros!$N$6:$N$12)))</f>
        <v/>
      </c>
      <c r="P1805" s="168" t="str">
        <f t="shared" si="366"/>
        <v/>
      </c>
      <c r="Q1805" s="168" t="str">
        <f>IFERROR(P1805/_xlfn.XLOOKUP(_xlfn.XLOOKUP($F1805,Clientes!$B$4:$B$39,Clientes!$C$4:$C$39),Cadastros!$L$6:$L$12,Cadastros!$M$6:$M$12)," ")</f>
        <v xml:space="preserve"> </v>
      </c>
      <c r="R1805" s="28"/>
      <c r="S1805" s="28"/>
      <c r="T1805" s="255" t="str">
        <f>IF(R1805="","",(_xlfn.XLOOKUP(R1805,Cadastros!$D$6:$D$90,Cadastros!$E$6:$E$90))*(1-_xlfn.XLOOKUP(_xlfn.XLOOKUP($F1805,Clientes!$B$4:$B$39,Clientes!$C$4:$C$39),Cadastros!$L$6:$L$12,Cadastros!$N$6:$N$12)))</f>
        <v/>
      </c>
      <c r="U1805" s="168" t="str">
        <f t="shared" si="367"/>
        <v/>
      </c>
      <c r="V1805" s="168" t="str">
        <f>IFERROR(U1805/_xlfn.XLOOKUP(_xlfn.XLOOKUP($F1805,Clientes!$B$4:$B$39,Clientes!$C$4:$C$39),Cadastros!$L$6:$L$12,Cadastros!$M$6:$M$12)," ")</f>
        <v xml:space="preserve"> </v>
      </c>
      <c r="W1805" s="28"/>
      <c r="X1805" s="28"/>
      <c r="Y1805" s="255" t="str">
        <f>IF(W1805="","",(_xlfn.XLOOKUP(W1805,Cadastros!$D$6:$D$90,Cadastros!$E$6:$E$90))*(1-_xlfn.XLOOKUP(_xlfn.XLOOKUP($F1805,Clientes!$B$4:$B$39,Clientes!$C$4:$C$39),Cadastros!$L$6:$L$12,Cadastros!$N$6:$N$12)))</f>
        <v/>
      </c>
      <c r="Z1805" s="168" t="str">
        <f t="shared" si="368"/>
        <v/>
      </c>
      <c r="AA1805" s="168" t="str">
        <f>IFERROR(Z1805/_xlfn.XLOOKUP(_xlfn.XLOOKUP($F1805,Clientes!$B$4:$B$39,Clientes!$C$4:$C$39),Cadastros!$L$6:$L$12,Cadastros!$M$6:$M$12)," ")</f>
        <v xml:space="preserve"> </v>
      </c>
      <c r="AB1805" s="28"/>
      <c r="AC1805" s="28"/>
      <c r="AD1805" s="20" t="str">
        <f>IF(AB1805="","",IF($F1805="Bernardino Furlan",_xlfn.XLOOKUP(AB1805,Cadastros!$G$6:$G$90,Cadastros!$H$6:$H$90)*(1-0.18),IF($F1805="Mauro José Salanti",_xlfn.XLOOKUP(AB1805,Cadastros!$G$6:$G$90,Cadastros!$H$6:$H$90)*(1-0.18),_xlfn.XLOOKUP(AB1805,Cadastros!$G$6:$G$90,Cadastros!$H$6:$H$90))))</f>
        <v/>
      </c>
      <c r="AE1805" s="168" t="str">
        <f t="shared" si="369"/>
        <v/>
      </c>
      <c r="AF1805" s="168" t="str">
        <f t="shared" si="370"/>
        <v/>
      </c>
      <c r="AG1805" s="28"/>
      <c r="AH1805" s="28"/>
      <c r="AI1805" s="20" t="str">
        <f>IF(AG1805="","",IF($F1805="Bernardino Furlan",_xlfn.XLOOKUP(AG1805,Cadastros!$G$6:$G$90,Cadastros!$H$6:$H$90)*(1-0.18),IF($F1805="Mauro José Salanti",_xlfn.XLOOKUP(AG1805,Cadastros!$G$6:$G$90,Cadastros!$H$6:$H$90)*(1-0.18),_xlfn.XLOOKUP(AG1805,Cadastros!$G$6:$G$90,Cadastros!$H$6:$H$90))))</f>
        <v/>
      </c>
      <c r="AJ1805" s="168" t="str">
        <f t="shared" si="371"/>
        <v/>
      </c>
      <c r="AK1805" s="168" t="str">
        <f t="shared" si="372"/>
        <v/>
      </c>
      <c r="AL1805" s="28"/>
      <c r="AM1805" s="28"/>
      <c r="AN1805" s="20" t="str">
        <f>IF(AL1805="","",IF($F1805="Bernardino Furlan",_xlfn.XLOOKUP(AL1805,Cadastros!$G$6:$G$90,Cadastros!$H$6:$H$90)*(1-0.18),IF($F1805="Mauro José Salanti",_xlfn.XLOOKUP(AL1805,Cadastros!$G$6:$G$90,Cadastros!$H$6:$H$90)*(1-0.18),_xlfn.XLOOKUP(AL1805,Cadastros!$G$6:$G$90,Cadastros!$H$6:$H$90))))</f>
        <v/>
      </c>
      <c r="AO1805" s="168" t="str">
        <f t="shared" si="373"/>
        <v/>
      </c>
      <c r="AP1805" s="168" t="str">
        <f t="shared" si="374"/>
        <v/>
      </c>
      <c r="AQ1805" s="28"/>
      <c r="AR1805" s="28"/>
      <c r="AS1805" s="20" t="str">
        <f>IF(AQ1805="","",IF($F1805="Bernardino Furlan",_xlfn.XLOOKUP(AQ1805,Cadastros!$G$6:$G$90,Cadastros!$H$6:$H$90)*(1-0.18),IF($F1805="Mauro José Salanti",_xlfn.XLOOKUP(AQ1805,Cadastros!$G$6:$G$90,Cadastros!$H$6:$H$90)*(1-0.18),_xlfn.XLOOKUP(AQ1805,Cadastros!$G$6:$G$90,Cadastros!$H$6:$H$90))))</f>
        <v/>
      </c>
      <c r="AT1805" s="168" t="str">
        <f t="shared" si="375"/>
        <v/>
      </c>
      <c r="AU1805" s="168" t="str">
        <f t="shared" si="376"/>
        <v/>
      </c>
      <c r="AV1805" s="227"/>
      <c r="AW1805" s="30"/>
      <c r="AX1805" s="267"/>
      <c r="AY1805" s="267"/>
      <c r="AZ1805" s="29"/>
      <c r="BA1805" s="30"/>
      <c r="BB1805" s="23" t="str" cm="1">
        <f t="array" ref="BB1805">_xlfn.IFS(AW1805="SIM",SUM(K1805,P1805,U1805,Z1805,AE1805,AJ1805,AO1805,AT1805,AX1805,AY1805),F1805&lt;&gt;"",SUM(K1805,P1805,U1805,Z1805,AE1805,AJ1805,,AO1805,AT1805),F1805="","")</f>
        <v/>
      </c>
      <c r="BC1805" s="211" t="str" cm="1">
        <f t="array" ref="BC1805">_xlfn.IFS(E1805="","",G1805&lt;=E1805,BB1805*(1-0.03),G1805&lt;(E1805+8),BB1805,AZ1805="Boleto",BB1805*(1+0.001)^DATEDIF(E1805,G1805,"D"),AZ1805="Cheque",BB1805,AZ1805="Dinheiro","Alterar forma pgto")</f>
        <v/>
      </c>
      <c r="BD1805" s="276" t="str" cm="1">
        <f t="array" ref="BD1805">IF(F1805=0," ",IF(BC1805&lt;BB1805,(_xlfn.IFS(AW1805="SIM",SUM(L1805,Q1805,V1805,AA1805,AF1805,AK1805,AP1805,AU1805)+AX1805/_xlfn.XLOOKUP(_xlfn.XLOOKUP($F1805,Clientes!$B$4:$B$39,Clientes!$C$4:$C$39),Cadastros!$L$6:$L$12,Cadastros!$M$6:$M$12)+IF($F1805="Bernardino Furlan",AY1805/2751.92,IF($F1805="Mauro José Salanti",AY1805/2751.92,AY1805/3356)),F1805&lt;&gt;0,SUM(L1805,Q1805,V1805,AA1805,AF1805,AK1805,AP1805,AU1805)))*(1-0.03),_xlfn.IFS(AW1805="SIM",SUM(L1805,Q1805,V1805,AA1805,AF1805,AK1805,AP1805,AU1805)+AX1805/_xlfn.XLOOKUP(_xlfn.XLOOKUP($F1805,Clientes!$B$4:$B$39,Clientes!$C$4:$C$39),Cadastros!$L$6:$L$12,Cadastros!$M$6:$M$12)+IF($F1805="Bernardino Furlan",AY1805/2751.92,IF($F1805="Mauro José Salanti",AY1805/2751.92,AY1805/3356)),F1805&lt;&gt;0,SUM(L1805,Q1805,V1805,AA1805,AF1805,AK1805,AP1805,AU1805))))</f>
        <v xml:space="preserve"> </v>
      </c>
      <c r="BE1805" s="120"/>
      <c r="BF1805" s="120"/>
      <c r="BG1805" s="120"/>
    </row>
    <row r="1806" spans="1:59" s="3" customFormat="1" x14ac:dyDescent="0.3">
      <c r="A1806" s="15" t="str">
        <f t="shared" si="364"/>
        <v/>
      </c>
      <c r="B1806" s="25"/>
      <c r="C1806" s="26"/>
      <c r="D1806" s="279"/>
      <c r="E1806" s="27"/>
      <c r="F1806" s="28"/>
      <c r="G1806" s="27"/>
      <c r="H1806" s="28"/>
      <c r="I1806" s="28"/>
      <c r="J1806" s="255" t="str">
        <f>IF(H1806="","",(_xlfn.XLOOKUP(H1806,Cadastros!$D$6:$D$90,Cadastros!$E$6:$E$90))*(1-_xlfn.XLOOKUP(_xlfn.XLOOKUP($F1806,Clientes!$B$4:$B$39,Clientes!$C$4:$C$39),Cadastros!$L$6:$L$12,Cadastros!$N$6:$N$12)))</f>
        <v/>
      </c>
      <c r="K1806" s="168" t="str">
        <f t="shared" si="365"/>
        <v/>
      </c>
      <c r="L1806" s="168" t="str">
        <f>IFERROR(K1806/_xlfn.XLOOKUP(_xlfn.XLOOKUP($F1806,Clientes!$B$4:$B$39,Clientes!$C$4:$C$39),Cadastros!$L$6:$L$12,Cadastros!$M$6:$M$12)," ")</f>
        <v xml:space="preserve"> </v>
      </c>
      <c r="M1806" s="28"/>
      <c r="N1806" s="28"/>
      <c r="O1806" s="255" t="str">
        <f>IF(M1806="","",(_xlfn.XLOOKUP(M1806,Cadastros!$D$6:$D$90,Cadastros!$E$6:$E$90))*(1-_xlfn.XLOOKUP(_xlfn.XLOOKUP($F1806,Clientes!$B$4:$B$39,Clientes!$C$4:$C$39),Cadastros!$L$6:$L$12,Cadastros!$N$6:$N$12)))</f>
        <v/>
      </c>
      <c r="P1806" s="168" t="str">
        <f t="shared" si="366"/>
        <v/>
      </c>
      <c r="Q1806" s="168" t="str">
        <f>IFERROR(P1806/_xlfn.XLOOKUP(_xlfn.XLOOKUP($F1806,Clientes!$B$4:$B$39,Clientes!$C$4:$C$39),Cadastros!$L$6:$L$12,Cadastros!$M$6:$M$12)," ")</f>
        <v xml:space="preserve"> </v>
      </c>
      <c r="R1806" s="28"/>
      <c r="S1806" s="28"/>
      <c r="T1806" s="255" t="str">
        <f>IF(R1806="","",(_xlfn.XLOOKUP(R1806,Cadastros!$D$6:$D$90,Cadastros!$E$6:$E$90))*(1-_xlfn.XLOOKUP(_xlfn.XLOOKUP($F1806,Clientes!$B$4:$B$39,Clientes!$C$4:$C$39),Cadastros!$L$6:$L$12,Cadastros!$N$6:$N$12)))</f>
        <v/>
      </c>
      <c r="U1806" s="168" t="str">
        <f t="shared" si="367"/>
        <v/>
      </c>
      <c r="V1806" s="168" t="str">
        <f>IFERROR(U1806/_xlfn.XLOOKUP(_xlfn.XLOOKUP($F1806,Clientes!$B$4:$B$39,Clientes!$C$4:$C$39),Cadastros!$L$6:$L$12,Cadastros!$M$6:$M$12)," ")</f>
        <v xml:space="preserve"> </v>
      </c>
      <c r="W1806" s="28"/>
      <c r="X1806" s="28"/>
      <c r="Y1806" s="255" t="str">
        <f>IF(W1806="","",(_xlfn.XLOOKUP(W1806,Cadastros!$D$6:$D$90,Cadastros!$E$6:$E$90))*(1-_xlfn.XLOOKUP(_xlfn.XLOOKUP($F1806,Clientes!$B$4:$B$39,Clientes!$C$4:$C$39),Cadastros!$L$6:$L$12,Cadastros!$N$6:$N$12)))</f>
        <v/>
      </c>
      <c r="Z1806" s="168" t="str">
        <f t="shared" si="368"/>
        <v/>
      </c>
      <c r="AA1806" s="168" t="str">
        <f>IFERROR(Z1806/_xlfn.XLOOKUP(_xlfn.XLOOKUP($F1806,Clientes!$B$4:$B$39,Clientes!$C$4:$C$39),Cadastros!$L$6:$L$12,Cadastros!$M$6:$M$12)," ")</f>
        <v xml:space="preserve"> </v>
      </c>
      <c r="AB1806" s="28"/>
      <c r="AC1806" s="28"/>
      <c r="AD1806" s="20" t="str">
        <f>IF(AB1806="","",IF($F1806="Bernardino Furlan",_xlfn.XLOOKUP(AB1806,Cadastros!$G$6:$G$90,Cadastros!$H$6:$H$90)*(1-0.18),IF($F1806="Mauro José Salanti",_xlfn.XLOOKUP(AB1806,Cadastros!$G$6:$G$90,Cadastros!$H$6:$H$90)*(1-0.18),_xlfn.XLOOKUP(AB1806,Cadastros!$G$6:$G$90,Cadastros!$H$6:$H$90))))</f>
        <v/>
      </c>
      <c r="AE1806" s="168" t="str">
        <f t="shared" si="369"/>
        <v/>
      </c>
      <c r="AF1806" s="168" t="str">
        <f t="shared" si="370"/>
        <v/>
      </c>
      <c r="AG1806" s="28"/>
      <c r="AH1806" s="28"/>
      <c r="AI1806" s="20" t="str">
        <f>IF(AG1806="","",IF($F1806="Bernardino Furlan",_xlfn.XLOOKUP(AG1806,Cadastros!$G$6:$G$90,Cadastros!$H$6:$H$90)*(1-0.18),IF($F1806="Mauro José Salanti",_xlfn.XLOOKUP(AG1806,Cadastros!$G$6:$G$90,Cadastros!$H$6:$H$90)*(1-0.18),_xlfn.XLOOKUP(AG1806,Cadastros!$G$6:$G$90,Cadastros!$H$6:$H$90))))</f>
        <v/>
      </c>
      <c r="AJ1806" s="168" t="str">
        <f t="shared" si="371"/>
        <v/>
      </c>
      <c r="AK1806" s="168" t="str">
        <f t="shared" si="372"/>
        <v/>
      </c>
      <c r="AL1806" s="28"/>
      <c r="AM1806" s="28"/>
      <c r="AN1806" s="20" t="str">
        <f>IF(AL1806="","",IF($F1806="Bernardino Furlan",_xlfn.XLOOKUP(AL1806,Cadastros!$G$6:$G$90,Cadastros!$H$6:$H$90)*(1-0.18),IF($F1806="Mauro José Salanti",_xlfn.XLOOKUP(AL1806,Cadastros!$G$6:$G$90,Cadastros!$H$6:$H$90)*(1-0.18),_xlfn.XLOOKUP(AL1806,Cadastros!$G$6:$G$90,Cadastros!$H$6:$H$90))))</f>
        <v/>
      </c>
      <c r="AO1806" s="168" t="str">
        <f t="shared" si="373"/>
        <v/>
      </c>
      <c r="AP1806" s="168" t="str">
        <f t="shared" si="374"/>
        <v/>
      </c>
      <c r="AQ1806" s="28"/>
      <c r="AR1806" s="28"/>
      <c r="AS1806" s="20" t="str">
        <f>IF(AQ1806="","",IF($F1806="Bernardino Furlan",_xlfn.XLOOKUP(AQ1806,Cadastros!$G$6:$G$90,Cadastros!$H$6:$H$90)*(1-0.18),IF($F1806="Mauro José Salanti",_xlfn.XLOOKUP(AQ1806,Cadastros!$G$6:$G$90,Cadastros!$H$6:$H$90)*(1-0.18),_xlfn.XLOOKUP(AQ1806,Cadastros!$G$6:$G$90,Cadastros!$H$6:$H$90))))</f>
        <v/>
      </c>
      <c r="AT1806" s="168" t="str">
        <f t="shared" si="375"/>
        <v/>
      </c>
      <c r="AU1806" s="168" t="str">
        <f t="shared" si="376"/>
        <v/>
      </c>
      <c r="AV1806" s="227"/>
      <c r="AW1806" s="30"/>
      <c r="AX1806" s="267"/>
      <c r="AY1806" s="267"/>
      <c r="AZ1806" s="29"/>
      <c r="BA1806" s="30"/>
      <c r="BB1806" s="23" t="str" cm="1">
        <f t="array" ref="BB1806">_xlfn.IFS(AW1806="SIM",SUM(K1806,P1806,U1806,Z1806,AE1806,AJ1806,AO1806,AT1806,AX1806,AY1806),F1806&lt;&gt;"",SUM(K1806,P1806,U1806,Z1806,AE1806,AJ1806,,AO1806,AT1806),F1806="","")</f>
        <v/>
      </c>
      <c r="BC1806" s="211" t="str" cm="1">
        <f t="array" ref="BC1806">_xlfn.IFS(E1806="","",G1806&lt;=E1806,BB1806*(1-0.03),G1806&lt;(E1806+8),BB1806,AZ1806="Boleto",BB1806*(1+0.001)^DATEDIF(E1806,G1806,"D"),AZ1806="Cheque",BB1806,AZ1806="Dinheiro","Alterar forma pgto")</f>
        <v/>
      </c>
      <c r="BD1806" s="276" t="str" cm="1">
        <f t="array" ref="BD1806">IF(F1806=0," ",IF(BC1806&lt;BB1806,(_xlfn.IFS(AW1806="SIM",SUM(L1806,Q1806,V1806,AA1806,AF1806,AK1806,AP1806,AU1806)+AX1806/_xlfn.XLOOKUP(_xlfn.XLOOKUP($F1806,Clientes!$B$4:$B$39,Clientes!$C$4:$C$39),Cadastros!$L$6:$L$12,Cadastros!$M$6:$M$12)+IF($F1806="Bernardino Furlan",AY1806/2751.92,IF($F1806="Mauro José Salanti",AY1806/2751.92,AY1806/3356)),F1806&lt;&gt;0,SUM(L1806,Q1806,V1806,AA1806,AF1806,AK1806,AP1806,AU1806)))*(1-0.03),_xlfn.IFS(AW1806="SIM",SUM(L1806,Q1806,V1806,AA1806,AF1806,AK1806,AP1806,AU1806)+AX1806/_xlfn.XLOOKUP(_xlfn.XLOOKUP($F1806,Clientes!$B$4:$B$39,Clientes!$C$4:$C$39),Cadastros!$L$6:$L$12,Cadastros!$M$6:$M$12)+IF($F1806="Bernardino Furlan",AY1806/2751.92,IF($F1806="Mauro José Salanti",AY1806/2751.92,AY1806/3356)),F1806&lt;&gt;0,SUM(L1806,Q1806,V1806,AA1806,AF1806,AK1806,AP1806,AU1806))))</f>
        <v xml:space="preserve"> </v>
      </c>
      <c r="BE1806" s="120"/>
      <c r="BF1806" s="120"/>
      <c r="BG1806" s="120"/>
    </row>
    <row r="1807" spans="1:59" s="3" customFormat="1" x14ac:dyDescent="0.3">
      <c r="A1807" s="15" t="str">
        <f t="shared" si="364"/>
        <v/>
      </c>
      <c r="B1807" s="25"/>
      <c r="C1807" s="26"/>
      <c r="D1807" s="279"/>
      <c r="E1807" s="27"/>
      <c r="F1807" s="28"/>
      <c r="G1807" s="27"/>
      <c r="H1807" s="28"/>
      <c r="I1807" s="28"/>
      <c r="J1807" s="255" t="str">
        <f>IF(H1807="","",(_xlfn.XLOOKUP(H1807,Cadastros!$D$6:$D$90,Cadastros!$E$6:$E$90))*(1-_xlfn.XLOOKUP(_xlfn.XLOOKUP($F1807,Clientes!$B$4:$B$39,Clientes!$C$4:$C$39),Cadastros!$L$6:$L$12,Cadastros!$N$6:$N$12)))</f>
        <v/>
      </c>
      <c r="K1807" s="168" t="str">
        <f t="shared" si="365"/>
        <v/>
      </c>
      <c r="L1807" s="168" t="str">
        <f>IFERROR(K1807/_xlfn.XLOOKUP(_xlfn.XLOOKUP($F1807,Clientes!$B$4:$B$39,Clientes!$C$4:$C$39),Cadastros!$L$6:$L$12,Cadastros!$M$6:$M$12)," ")</f>
        <v xml:space="preserve"> </v>
      </c>
      <c r="M1807" s="28"/>
      <c r="N1807" s="28"/>
      <c r="O1807" s="255" t="str">
        <f>IF(M1807="","",(_xlfn.XLOOKUP(M1807,Cadastros!$D$6:$D$90,Cadastros!$E$6:$E$90))*(1-_xlfn.XLOOKUP(_xlfn.XLOOKUP($F1807,Clientes!$B$4:$B$39,Clientes!$C$4:$C$39),Cadastros!$L$6:$L$12,Cadastros!$N$6:$N$12)))</f>
        <v/>
      </c>
      <c r="P1807" s="168" t="str">
        <f t="shared" si="366"/>
        <v/>
      </c>
      <c r="Q1807" s="168" t="str">
        <f>IFERROR(P1807/_xlfn.XLOOKUP(_xlfn.XLOOKUP($F1807,Clientes!$B$4:$B$39,Clientes!$C$4:$C$39),Cadastros!$L$6:$L$12,Cadastros!$M$6:$M$12)," ")</f>
        <v xml:space="preserve"> </v>
      </c>
      <c r="R1807" s="28"/>
      <c r="S1807" s="28"/>
      <c r="T1807" s="255" t="str">
        <f>IF(R1807="","",(_xlfn.XLOOKUP(R1807,Cadastros!$D$6:$D$90,Cadastros!$E$6:$E$90))*(1-_xlfn.XLOOKUP(_xlfn.XLOOKUP($F1807,Clientes!$B$4:$B$39,Clientes!$C$4:$C$39),Cadastros!$L$6:$L$12,Cadastros!$N$6:$N$12)))</f>
        <v/>
      </c>
      <c r="U1807" s="168" t="str">
        <f t="shared" si="367"/>
        <v/>
      </c>
      <c r="V1807" s="168" t="str">
        <f>IFERROR(U1807/_xlfn.XLOOKUP(_xlfn.XLOOKUP($F1807,Clientes!$B$4:$B$39,Clientes!$C$4:$C$39),Cadastros!$L$6:$L$12,Cadastros!$M$6:$M$12)," ")</f>
        <v xml:space="preserve"> </v>
      </c>
      <c r="W1807" s="28"/>
      <c r="X1807" s="28"/>
      <c r="Y1807" s="255" t="str">
        <f>IF(W1807="","",(_xlfn.XLOOKUP(W1807,Cadastros!$D$6:$D$90,Cadastros!$E$6:$E$90))*(1-_xlfn.XLOOKUP(_xlfn.XLOOKUP($F1807,Clientes!$B$4:$B$39,Clientes!$C$4:$C$39),Cadastros!$L$6:$L$12,Cadastros!$N$6:$N$12)))</f>
        <v/>
      </c>
      <c r="Z1807" s="168" t="str">
        <f t="shared" si="368"/>
        <v/>
      </c>
      <c r="AA1807" s="168" t="str">
        <f>IFERROR(Z1807/_xlfn.XLOOKUP(_xlfn.XLOOKUP($F1807,Clientes!$B$4:$B$39,Clientes!$C$4:$C$39),Cadastros!$L$6:$L$12,Cadastros!$M$6:$M$12)," ")</f>
        <v xml:space="preserve"> </v>
      </c>
      <c r="AB1807" s="28"/>
      <c r="AC1807" s="28"/>
      <c r="AD1807" s="20" t="str">
        <f>IF(AB1807="","",IF($F1807="Bernardino Furlan",_xlfn.XLOOKUP(AB1807,Cadastros!$G$6:$G$90,Cadastros!$H$6:$H$90)*(1-0.18),IF($F1807="Mauro José Salanti",_xlfn.XLOOKUP(AB1807,Cadastros!$G$6:$G$90,Cadastros!$H$6:$H$90)*(1-0.18),_xlfn.XLOOKUP(AB1807,Cadastros!$G$6:$G$90,Cadastros!$H$6:$H$90))))</f>
        <v/>
      </c>
      <c r="AE1807" s="168" t="str">
        <f t="shared" si="369"/>
        <v/>
      </c>
      <c r="AF1807" s="168" t="str">
        <f t="shared" si="370"/>
        <v/>
      </c>
      <c r="AG1807" s="28"/>
      <c r="AH1807" s="28"/>
      <c r="AI1807" s="20" t="str">
        <f>IF(AG1807="","",IF($F1807="Bernardino Furlan",_xlfn.XLOOKUP(AG1807,Cadastros!$G$6:$G$90,Cadastros!$H$6:$H$90)*(1-0.18),IF($F1807="Mauro José Salanti",_xlfn.XLOOKUP(AG1807,Cadastros!$G$6:$G$90,Cadastros!$H$6:$H$90)*(1-0.18),_xlfn.XLOOKUP(AG1807,Cadastros!$G$6:$G$90,Cadastros!$H$6:$H$90))))</f>
        <v/>
      </c>
      <c r="AJ1807" s="168" t="str">
        <f t="shared" si="371"/>
        <v/>
      </c>
      <c r="AK1807" s="168" t="str">
        <f t="shared" si="372"/>
        <v/>
      </c>
      <c r="AL1807" s="28"/>
      <c r="AM1807" s="28"/>
      <c r="AN1807" s="20" t="str">
        <f>IF(AL1807="","",IF($F1807="Bernardino Furlan",_xlfn.XLOOKUP(AL1807,Cadastros!$G$6:$G$90,Cadastros!$H$6:$H$90)*(1-0.18),IF($F1807="Mauro José Salanti",_xlfn.XLOOKUP(AL1807,Cadastros!$G$6:$G$90,Cadastros!$H$6:$H$90)*(1-0.18),_xlfn.XLOOKUP(AL1807,Cadastros!$G$6:$G$90,Cadastros!$H$6:$H$90))))</f>
        <v/>
      </c>
      <c r="AO1807" s="168" t="str">
        <f t="shared" si="373"/>
        <v/>
      </c>
      <c r="AP1807" s="168" t="str">
        <f t="shared" si="374"/>
        <v/>
      </c>
      <c r="AQ1807" s="28"/>
      <c r="AR1807" s="28"/>
      <c r="AS1807" s="20" t="str">
        <f>IF(AQ1807="","",IF($F1807="Bernardino Furlan",_xlfn.XLOOKUP(AQ1807,Cadastros!$G$6:$G$90,Cadastros!$H$6:$H$90)*(1-0.18),IF($F1807="Mauro José Salanti",_xlfn.XLOOKUP(AQ1807,Cadastros!$G$6:$G$90,Cadastros!$H$6:$H$90)*(1-0.18),_xlfn.XLOOKUP(AQ1807,Cadastros!$G$6:$G$90,Cadastros!$H$6:$H$90))))</f>
        <v/>
      </c>
      <c r="AT1807" s="168" t="str">
        <f t="shared" si="375"/>
        <v/>
      </c>
      <c r="AU1807" s="168" t="str">
        <f t="shared" si="376"/>
        <v/>
      </c>
      <c r="AV1807" s="227"/>
      <c r="AW1807" s="30"/>
      <c r="AX1807" s="267"/>
      <c r="AY1807" s="267"/>
      <c r="AZ1807" s="29"/>
      <c r="BA1807" s="30"/>
      <c r="BB1807" s="23" t="str" cm="1">
        <f t="array" ref="BB1807">_xlfn.IFS(AW1807="SIM",SUM(K1807,P1807,U1807,Z1807,AE1807,AJ1807,AO1807,AT1807,AX1807,AY1807),F1807&lt;&gt;"",SUM(K1807,P1807,U1807,Z1807,AE1807,AJ1807,,AO1807,AT1807),F1807="","")</f>
        <v/>
      </c>
      <c r="BC1807" s="211" t="str" cm="1">
        <f t="array" ref="BC1807">_xlfn.IFS(E1807="","",G1807&lt;=E1807,BB1807*(1-0.03),G1807&lt;(E1807+8),BB1807,AZ1807="Boleto",BB1807*(1+0.001)^DATEDIF(E1807,G1807,"D"),AZ1807="Cheque",BB1807,AZ1807="Dinheiro","Alterar forma pgto")</f>
        <v/>
      </c>
      <c r="BD1807" s="276" t="str" cm="1">
        <f t="array" ref="BD1807">IF(F1807=0," ",IF(BC1807&lt;BB1807,(_xlfn.IFS(AW1807="SIM",SUM(L1807,Q1807,V1807,AA1807,AF1807,AK1807,AP1807,AU1807)+AX1807/_xlfn.XLOOKUP(_xlfn.XLOOKUP($F1807,Clientes!$B$4:$B$39,Clientes!$C$4:$C$39),Cadastros!$L$6:$L$12,Cadastros!$M$6:$M$12)+IF($F1807="Bernardino Furlan",AY1807/2751.92,IF($F1807="Mauro José Salanti",AY1807/2751.92,AY1807/3356)),F1807&lt;&gt;0,SUM(L1807,Q1807,V1807,AA1807,AF1807,AK1807,AP1807,AU1807)))*(1-0.03),_xlfn.IFS(AW1807="SIM",SUM(L1807,Q1807,V1807,AA1807,AF1807,AK1807,AP1807,AU1807)+AX1807/_xlfn.XLOOKUP(_xlfn.XLOOKUP($F1807,Clientes!$B$4:$B$39,Clientes!$C$4:$C$39),Cadastros!$L$6:$L$12,Cadastros!$M$6:$M$12)+IF($F1807="Bernardino Furlan",AY1807/2751.92,IF($F1807="Mauro José Salanti",AY1807/2751.92,AY1807/3356)),F1807&lt;&gt;0,SUM(L1807,Q1807,V1807,AA1807,AF1807,AK1807,AP1807,AU1807))))</f>
        <v xml:space="preserve"> </v>
      </c>
      <c r="BE1807" s="120"/>
      <c r="BF1807" s="120"/>
      <c r="BG1807" s="120"/>
    </row>
    <row r="1808" spans="1:59" s="3" customFormat="1" x14ac:dyDescent="0.3">
      <c r="A1808" s="15" t="str">
        <f t="shared" si="364"/>
        <v/>
      </c>
      <c r="B1808" s="25"/>
      <c r="C1808" s="26"/>
      <c r="D1808" s="279"/>
      <c r="E1808" s="27"/>
      <c r="F1808" s="28"/>
      <c r="G1808" s="27"/>
      <c r="H1808" s="28"/>
      <c r="I1808" s="28"/>
      <c r="J1808" s="255" t="str">
        <f>IF(H1808="","",(_xlfn.XLOOKUP(H1808,Cadastros!$D$6:$D$90,Cadastros!$E$6:$E$90))*(1-_xlfn.XLOOKUP(_xlfn.XLOOKUP($F1808,Clientes!$B$4:$B$39,Clientes!$C$4:$C$39),Cadastros!$L$6:$L$12,Cadastros!$N$6:$N$12)))</f>
        <v/>
      </c>
      <c r="K1808" s="168" t="str">
        <f t="shared" si="365"/>
        <v/>
      </c>
      <c r="L1808" s="168" t="str">
        <f>IFERROR(K1808/_xlfn.XLOOKUP(_xlfn.XLOOKUP($F1808,Clientes!$B$4:$B$39,Clientes!$C$4:$C$39),Cadastros!$L$6:$L$12,Cadastros!$M$6:$M$12)," ")</f>
        <v xml:space="preserve"> </v>
      </c>
      <c r="M1808" s="28"/>
      <c r="N1808" s="28"/>
      <c r="O1808" s="255" t="str">
        <f>IF(M1808="","",(_xlfn.XLOOKUP(M1808,Cadastros!$D$6:$D$90,Cadastros!$E$6:$E$90))*(1-_xlfn.XLOOKUP(_xlfn.XLOOKUP($F1808,Clientes!$B$4:$B$39,Clientes!$C$4:$C$39),Cadastros!$L$6:$L$12,Cadastros!$N$6:$N$12)))</f>
        <v/>
      </c>
      <c r="P1808" s="168" t="str">
        <f t="shared" si="366"/>
        <v/>
      </c>
      <c r="Q1808" s="168" t="str">
        <f>IFERROR(P1808/_xlfn.XLOOKUP(_xlfn.XLOOKUP($F1808,Clientes!$B$4:$B$39,Clientes!$C$4:$C$39),Cadastros!$L$6:$L$12,Cadastros!$M$6:$M$12)," ")</f>
        <v xml:space="preserve"> </v>
      </c>
      <c r="R1808" s="28"/>
      <c r="S1808" s="28"/>
      <c r="T1808" s="255" t="str">
        <f>IF(R1808="","",(_xlfn.XLOOKUP(R1808,Cadastros!$D$6:$D$90,Cadastros!$E$6:$E$90))*(1-_xlfn.XLOOKUP(_xlfn.XLOOKUP($F1808,Clientes!$B$4:$B$39,Clientes!$C$4:$C$39),Cadastros!$L$6:$L$12,Cadastros!$N$6:$N$12)))</f>
        <v/>
      </c>
      <c r="U1808" s="168" t="str">
        <f t="shared" si="367"/>
        <v/>
      </c>
      <c r="V1808" s="168" t="str">
        <f>IFERROR(U1808/_xlfn.XLOOKUP(_xlfn.XLOOKUP($F1808,Clientes!$B$4:$B$39,Clientes!$C$4:$C$39),Cadastros!$L$6:$L$12,Cadastros!$M$6:$M$12)," ")</f>
        <v xml:space="preserve"> </v>
      </c>
      <c r="W1808" s="28"/>
      <c r="X1808" s="28"/>
      <c r="Y1808" s="255" t="str">
        <f>IF(W1808="","",(_xlfn.XLOOKUP(W1808,Cadastros!$D$6:$D$90,Cadastros!$E$6:$E$90))*(1-_xlfn.XLOOKUP(_xlfn.XLOOKUP($F1808,Clientes!$B$4:$B$39,Clientes!$C$4:$C$39),Cadastros!$L$6:$L$12,Cadastros!$N$6:$N$12)))</f>
        <v/>
      </c>
      <c r="Z1808" s="168" t="str">
        <f t="shared" si="368"/>
        <v/>
      </c>
      <c r="AA1808" s="168" t="str">
        <f>IFERROR(Z1808/_xlfn.XLOOKUP(_xlfn.XLOOKUP($F1808,Clientes!$B$4:$B$39,Clientes!$C$4:$C$39),Cadastros!$L$6:$L$12,Cadastros!$M$6:$M$12)," ")</f>
        <v xml:space="preserve"> </v>
      </c>
      <c r="AB1808" s="28"/>
      <c r="AC1808" s="28"/>
      <c r="AD1808" s="20" t="str">
        <f>IF(AB1808="","",IF($F1808="Bernardino Furlan",_xlfn.XLOOKUP(AB1808,Cadastros!$G$6:$G$90,Cadastros!$H$6:$H$90)*(1-0.18),IF($F1808="Mauro José Salanti",_xlfn.XLOOKUP(AB1808,Cadastros!$G$6:$G$90,Cadastros!$H$6:$H$90)*(1-0.18),_xlfn.XLOOKUP(AB1808,Cadastros!$G$6:$G$90,Cadastros!$H$6:$H$90))))</f>
        <v/>
      </c>
      <c r="AE1808" s="168" t="str">
        <f t="shared" si="369"/>
        <v/>
      </c>
      <c r="AF1808" s="168" t="str">
        <f t="shared" si="370"/>
        <v/>
      </c>
      <c r="AG1808" s="28"/>
      <c r="AH1808" s="28"/>
      <c r="AI1808" s="20" t="str">
        <f>IF(AG1808="","",IF($F1808="Bernardino Furlan",_xlfn.XLOOKUP(AG1808,Cadastros!$G$6:$G$90,Cadastros!$H$6:$H$90)*(1-0.18),IF($F1808="Mauro José Salanti",_xlfn.XLOOKUP(AG1808,Cadastros!$G$6:$G$90,Cadastros!$H$6:$H$90)*(1-0.18),_xlfn.XLOOKUP(AG1808,Cadastros!$G$6:$G$90,Cadastros!$H$6:$H$90))))</f>
        <v/>
      </c>
      <c r="AJ1808" s="168" t="str">
        <f t="shared" si="371"/>
        <v/>
      </c>
      <c r="AK1808" s="168" t="str">
        <f t="shared" si="372"/>
        <v/>
      </c>
      <c r="AL1808" s="28"/>
      <c r="AM1808" s="28"/>
      <c r="AN1808" s="20" t="str">
        <f>IF(AL1808="","",IF($F1808="Bernardino Furlan",_xlfn.XLOOKUP(AL1808,Cadastros!$G$6:$G$90,Cadastros!$H$6:$H$90)*(1-0.18),IF($F1808="Mauro José Salanti",_xlfn.XLOOKUP(AL1808,Cadastros!$G$6:$G$90,Cadastros!$H$6:$H$90)*(1-0.18),_xlfn.XLOOKUP(AL1808,Cadastros!$G$6:$G$90,Cadastros!$H$6:$H$90))))</f>
        <v/>
      </c>
      <c r="AO1808" s="168" t="str">
        <f t="shared" si="373"/>
        <v/>
      </c>
      <c r="AP1808" s="168" t="str">
        <f t="shared" si="374"/>
        <v/>
      </c>
      <c r="AQ1808" s="28"/>
      <c r="AR1808" s="28"/>
      <c r="AS1808" s="20" t="str">
        <f>IF(AQ1808="","",IF($F1808="Bernardino Furlan",_xlfn.XLOOKUP(AQ1808,Cadastros!$G$6:$G$90,Cadastros!$H$6:$H$90)*(1-0.18),IF($F1808="Mauro José Salanti",_xlfn.XLOOKUP(AQ1808,Cadastros!$G$6:$G$90,Cadastros!$H$6:$H$90)*(1-0.18),_xlfn.XLOOKUP(AQ1808,Cadastros!$G$6:$G$90,Cadastros!$H$6:$H$90))))</f>
        <v/>
      </c>
      <c r="AT1808" s="168" t="str">
        <f t="shared" si="375"/>
        <v/>
      </c>
      <c r="AU1808" s="168" t="str">
        <f t="shared" si="376"/>
        <v/>
      </c>
      <c r="AV1808" s="227"/>
      <c r="AW1808" s="30"/>
      <c r="AX1808" s="267"/>
      <c r="AY1808" s="267"/>
      <c r="AZ1808" s="29"/>
      <c r="BA1808" s="30"/>
      <c r="BB1808" s="23" t="str" cm="1">
        <f t="array" ref="BB1808">_xlfn.IFS(AW1808="SIM",SUM(K1808,P1808,U1808,Z1808,AE1808,AJ1808,AO1808,AT1808,AX1808,AY1808),F1808&lt;&gt;"",SUM(K1808,P1808,U1808,Z1808,AE1808,AJ1808,,AO1808,AT1808),F1808="","")</f>
        <v/>
      </c>
      <c r="BC1808" s="211" t="str" cm="1">
        <f t="array" ref="BC1808">_xlfn.IFS(E1808="","",G1808&lt;=E1808,BB1808*(1-0.03),G1808&lt;(E1808+8),BB1808,AZ1808="Boleto",BB1808*(1+0.001)^DATEDIF(E1808,G1808,"D"),AZ1808="Cheque",BB1808,AZ1808="Dinheiro","Alterar forma pgto")</f>
        <v/>
      </c>
      <c r="BD1808" s="276" t="str" cm="1">
        <f t="array" ref="BD1808">IF(F1808=0," ",IF(BC1808&lt;BB1808,(_xlfn.IFS(AW1808="SIM",SUM(L1808,Q1808,V1808,AA1808,AF1808,AK1808,AP1808,AU1808)+AX1808/_xlfn.XLOOKUP(_xlfn.XLOOKUP($F1808,Clientes!$B$4:$B$39,Clientes!$C$4:$C$39),Cadastros!$L$6:$L$12,Cadastros!$M$6:$M$12)+IF($F1808="Bernardino Furlan",AY1808/2751.92,IF($F1808="Mauro José Salanti",AY1808/2751.92,AY1808/3356)),F1808&lt;&gt;0,SUM(L1808,Q1808,V1808,AA1808,AF1808,AK1808,AP1808,AU1808)))*(1-0.03),_xlfn.IFS(AW1808="SIM",SUM(L1808,Q1808,V1808,AA1808,AF1808,AK1808,AP1808,AU1808)+AX1808/_xlfn.XLOOKUP(_xlfn.XLOOKUP($F1808,Clientes!$B$4:$B$39,Clientes!$C$4:$C$39),Cadastros!$L$6:$L$12,Cadastros!$M$6:$M$12)+IF($F1808="Bernardino Furlan",AY1808/2751.92,IF($F1808="Mauro José Salanti",AY1808/2751.92,AY1808/3356)),F1808&lt;&gt;0,SUM(L1808,Q1808,V1808,AA1808,AF1808,AK1808,AP1808,AU1808))))</f>
        <v xml:space="preserve"> </v>
      </c>
      <c r="BE1808" s="120"/>
      <c r="BF1808" s="120"/>
      <c r="BG1808" s="120"/>
    </row>
    <row r="1809" spans="1:59" s="3" customFormat="1" x14ac:dyDescent="0.3">
      <c r="A1809" s="15" t="str">
        <f t="shared" si="364"/>
        <v/>
      </c>
      <c r="B1809" s="25"/>
      <c r="C1809" s="26"/>
      <c r="D1809" s="279"/>
      <c r="E1809" s="27"/>
      <c r="F1809" s="28"/>
      <c r="G1809" s="27"/>
      <c r="H1809" s="28"/>
      <c r="I1809" s="28"/>
      <c r="J1809" s="255" t="str">
        <f>IF(H1809="","",(_xlfn.XLOOKUP(H1809,Cadastros!$D$6:$D$90,Cadastros!$E$6:$E$90))*(1-_xlfn.XLOOKUP(_xlfn.XLOOKUP($F1809,Clientes!$B$4:$B$39,Clientes!$C$4:$C$39),Cadastros!$L$6:$L$12,Cadastros!$N$6:$N$12)))</f>
        <v/>
      </c>
      <c r="K1809" s="168" t="str">
        <f t="shared" si="365"/>
        <v/>
      </c>
      <c r="L1809" s="168" t="str">
        <f>IFERROR(K1809/_xlfn.XLOOKUP(_xlfn.XLOOKUP($F1809,Clientes!$B$4:$B$39,Clientes!$C$4:$C$39),Cadastros!$L$6:$L$12,Cadastros!$M$6:$M$12)," ")</f>
        <v xml:space="preserve"> </v>
      </c>
      <c r="M1809" s="28"/>
      <c r="N1809" s="28"/>
      <c r="O1809" s="255" t="str">
        <f>IF(M1809="","",(_xlfn.XLOOKUP(M1809,Cadastros!$D$6:$D$90,Cadastros!$E$6:$E$90))*(1-_xlfn.XLOOKUP(_xlfn.XLOOKUP($F1809,Clientes!$B$4:$B$39,Clientes!$C$4:$C$39),Cadastros!$L$6:$L$12,Cadastros!$N$6:$N$12)))</f>
        <v/>
      </c>
      <c r="P1809" s="168" t="str">
        <f t="shared" si="366"/>
        <v/>
      </c>
      <c r="Q1809" s="168" t="str">
        <f>IFERROR(P1809/_xlfn.XLOOKUP(_xlfn.XLOOKUP($F1809,Clientes!$B$4:$B$39,Clientes!$C$4:$C$39),Cadastros!$L$6:$L$12,Cadastros!$M$6:$M$12)," ")</f>
        <v xml:space="preserve"> </v>
      </c>
      <c r="R1809" s="28"/>
      <c r="S1809" s="28"/>
      <c r="T1809" s="255" t="str">
        <f>IF(R1809="","",(_xlfn.XLOOKUP(R1809,Cadastros!$D$6:$D$90,Cadastros!$E$6:$E$90))*(1-_xlfn.XLOOKUP(_xlfn.XLOOKUP($F1809,Clientes!$B$4:$B$39,Clientes!$C$4:$C$39),Cadastros!$L$6:$L$12,Cadastros!$N$6:$N$12)))</f>
        <v/>
      </c>
      <c r="U1809" s="168" t="str">
        <f t="shared" si="367"/>
        <v/>
      </c>
      <c r="V1809" s="168" t="str">
        <f>IFERROR(U1809/_xlfn.XLOOKUP(_xlfn.XLOOKUP($F1809,Clientes!$B$4:$B$39,Clientes!$C$4:$C$39),Cadastros!$L$6:$L$12,Cadastros!$M$6:$M$12)," ")</f>
        <v xml:space="preserve"> </v>
      </c>
      <c r="W1809" s="28"/>
      <c r="X1809" s="28"/>
      <c r="Y1809" s="255" t="str">
        <f>IF(W1809="","",(_xlfn.XLOOKUP(W1809,Cadastros!$D$6:$D$90,Cadastros!$E$6:$E$90))*(1-_xlfn.XLOOKUP(_xlfn.XLOOKUP($F1809,Clientes!$B$4:$B$39,Clientes!$C$4:$C$39),Cadastros!$L$6:$L$12,Cadastros!$N$6:$N$12)))</f>
        <v/>
      </c>
      <c r="Z1809" s="168" t="str">
        <f t="shared" si="368"/>
        <v/>
      </c>
      <c r="AA1809" s="168" t="str">
        <f>IFERROR(Z1809/_xlfn.XLOOKUP(_xlfn.XLOOKUP($F1809,Clientes!$B$4:$B$39,Clientes!$C$4:$C$39),Cadastros!$L$6:$L$12,Cadastros!$M$6:$M$12)," ")</f>
        <v xml:space="preserve"> </v>
      </c>
      <c r="AB1809" s="28"/>
      <c r="AC1809" s="28"/>
      <c r="AD1809" s="20" t="str">
        <f>IF(AB1809="","",IF($F1809="Bernardino Furlan",_xlfn.XLOOKUP(AB1809,Cadastros!$G$6:$G$90,Cadastros!$H$6:$H$90)*(1-0.18),IF($F1809="Mauro José Salanti",_xlfn.XLOOKUP(AB1809,Cadastros!$G$6:$G$90,Cadastros!$H$6:$H$90)*(1-0.18),_xlfn.XLOOKUP(AB1809,Cadastros!$G$6:$G$90,Cadastros!$H$6:$H$90))))</f>
        <v/>
      </c>
      <c r="AE1809" s="168" t="str">
        <f t="shared" si="369"/>
        <v/>
      </c>
      <c r="AF1809" s="168" t="str">
        <f t="shared" si="370"/>
        <v/>
      </c>
      <c r="AG1809" s="28"/>
      <c r="AH1809" s="28"/>
      <c r="AI1809" s="20" t="str">
        <f>IF(AG1809="","",IF($F1809="Bernardino Furlan",_xlfn.XLOOKUP(AG1809,Cadastros!$G$6:$G$90,Cadastros!$H$6:$H$90)*(1-0.18),IF($F1809="Mauro José Salanti",_xlfn.XLOOKUP(AG1809,Cadastros!$G$6:$G$90,Cadastros!$H$6:$H$90)*(1-0.18),_xlfn.XLOOKUP(AG1809,Cadastros!$G$6:$G$90,Cadastros!$H$6:$H$90))))</f>
        <v/>
      </c>
      <c r="AJ1809" s="168" t="str">
        <f t="shared" si="371"/>
        <v/>
      </c>
      <c r="AK1809" s="168" t="str">
        <f t="shared" si="372"/>
        <v/>
      </c>
      <c r="AL1809" s="28"/>
      <c r="AM1809" s="28"/>
      <c r="AN1809" s="20" t="str">
        <f>IF(AL1809="","",IF($F1809="Bernardino Furlan",_xlfn.XLOOKUP(AL1809,Cadastros!$G$6:$G$90,Cadastros!$H$6:$H$90)*(1-0.18),IF($F1809="Mauro José Salanti",_xlfn.XLOOKUP(AL1809,Cadastros!$G$6:$G$90,Cadastros!$H$6:$H$90)*(1-0.18),_xlfn.XLOOKUP(AL1809,Cadastros!$G$6:$G$90,Cadastros!$H$6:$H$90))))</f>
        <v/>
      </c>
      <c r="AO1809" s="168" t="str">
        <f t="shared" si="373"/>
        <v/>
      </c>
      <c r="AP1809" s="168" t="str">
        <f t="shared" si="374"/>
        <v/>
      </c>
      <c r="AQ1809" s="28"/>
      <c r="AR1809" s="28"/>
      <c r="AS1809" s="20" t="str">
        <f>IF(AQ1809="","",IF($F1809="Bernardino Furlan",_xlfn.XLOOKUP(AQ1809,Cadastros!$G$6:$G$90,Cadastros!$H$6:$H$90)*(1-0.18),IF($F1809="Mauro José Salanti",_xlfn.XLOOKUP(AQ1809,Cadastros!$G$6:$G$90,Cadastros!$H$6:$H$90)*(1-0.18),_xlfn.XLOOKUP(AQ1809,Cadastros!$G$6:$G$90,Cadastros!$H$6:$H$90))))</f>
        <v/>
      </c>
      <c r="AT1809" s="168" t="str">
        <f t="shared" si="375"/>
        <v/>
      </c>
      <c r="AU1809" s="168" t="str">
        <f t="shared" si="376"/>
        <v/>
      </c>
      <c r="AV1809" s="227"/>
      <c r="AW1809" s="30"/>
      <c r="AX1809" s="267"/>
      <c r="AY1809" s="267"/>
      <c r="AZ1809" s="29"/>
      <c r="BA1809" s="30"/>
      <c r="BB1809" s="23" t="str" cm="1">
        <f t="array" ref="BB1809">_xlfn.IFS(AW1809="SIM",SUM(K1809,P1809,U1809,Z1809,AE1809,AJ1809,AO1809,AT1809,AX1809,AY1809),F1809&lt;&gt;"",SUM(K1809,P1809,U1809,Z1809,AE1809,AJ1809,,AO1809,AT1809),F1809="","")</f>
        <v/>
      </c>
      <c r="BC1809" s="211" t="str" cm="1">
        <f t="array" ref="BC1809">_xlfn.IFS(E1809="","",G1809&lt;=E1809,BB1809*(1-0.03),G1809&lt;(E1809+8),BB1809,AZ1809="Boleto",BB1809*(1+0.001)^DATEDIF(E1809,G1809,"D"),AZ1809="Cheque",BB1809,AZ1809="Dinheiro","Alterar forma pgto")</f>
        <v/>
      </c>
      <c r="BD1809" s="276" t="str" cm="1">
        <f t="array" ref="BD1809">IF(F1809=0," ",IF(BC1809&lt;BB1809,(_xlfn.IFS(AW1809="SIM",SUM(L1809,Q1809,V1809,AA1809,AF1809,AK1809,AP1809,AU1809)+AX1809/_xlfn.XLOOKUP(_xlfn.XLOOKUP($F1809,Clientes!$B$4:$B$39,Clientes!$C$4:$C$39),Cadastros!$L$6:$L$12,Cadastros!$M$6:$M$12)+IF($F1809="Bernardino Furlan",AY1809/2751.92,IF($F1809="Mauro José Salanti",AY1809/2751.92,AY1809/3356)),F1809&lt;&gt;0,SUM(L1809,Q1809,V1809,AA1809,AF1809,AK1809,AP1809,AU1809)))*(1-0.03),_xlfn.IFS(AW1809="SIM",SUM(L1809,Q1809,V1809,AA1809,AF1809,AK1809,AP1809,AU1809)+AX1809/_xlfn.XLOOKUP(_xlfn.XLOOKUP($F1809,Clientes!$B$4:$B$39,Clientes!$C$4:$C$39),Cadastros!$L$6:$L$12,Cadastros!$M$6:$M$12)+IF($F1809="Bernardino Furlan",AY1809/2751.92,IF($F1809="Mauro José Salanti",AY1809/2751.92,AY1809/3356)),F1809&lt;&gt;0,SUM(L1809,Q1809,V1809,AA1809,AF1809,AK1809,AP1809,AU1809))))</f>
        <v xml:space="preserve"> </v>
      </c>
      <c r="BE1809" s="120"/>
      <c r="BF1809" s="120"/>
      <c r="BG1809" s="120"/>
    </row>
    <row r="1810" spans="1:59" s="3" customFormat="1" x14ac:dyDescent="0.3">
      <c r="A1810" s="15" t="str">
        <f t="shared" si="364"/>
        <v/>
      </c>
      <c r="B1810" s="25"/>
      <c r="C1810" s="26"/>
      <c r="D1810" s="279"/>
      <c r="E1810" s="27"/>
      <c r="F1810" s="28"/>
      <c r="G1810" s="27"/>
      <c r="H1810" s="28"/>
      <c r="I1810" s="28"/>
      <c r="J1810" s="255" t="str">
        <f>IF(H1810="","",(_xlfn.XLOOKUP(H1810,Cadastros!$D$6:$D$90,Cadastros!$E$6:$E$90))*(1-_xlfn.XLOOKUP(_xlfn.XLOOKUP($F1810,Clientes!$B$4:$B$39,Clientes!$C$4:$C$39),Cadastros!$L$6:$L$12,Cadastros!$N$6:$N$12)))</f>
        <v/>
      </c>
      <c r="K1810" s="168" t="str">
        <f t="shared" si="365"/>
        <v/>
      </c>
      <c r="L1810" s="168" t="str">
        <f>IFERROR(K1810/_xlfn.XLOOKUP(_xlfn.XLOOKUP($F1810,Clientes!$B$4:$B$39,Clientes!$C$4:$C$39),Cadastros!$L$6:$L$12,Cadastros!$M$6:$M$12)," ")</f>
        <v xml:space="preserve"> </v>
      </c>
      <c r="M1810" s="28"/>
      <c r="N1810" s="28"/>
      <c r="O1810" s="255" t="str">
        <f>IF(M1810="","",(_xlfn.XLOOKUP(M1810,Cadastros!$D$6:$D$90,Cadastros!$E$6:$E$90))*(1-_xlfn.XLOOKUP(_xlfn.XLOOKUP($F1810,Clientes!$B$4:$B$39,Clientes!$C$4:$C$39),Cadastros!$L$6:$L$12,Cadastros!$N$6:$N$12)))</f>
        <v/>
      </c>
      <c r="P1810" s="168" t="str">
        <f t="shared" si="366"/>
        <v/>
      </c>
      <c r="Q1810" s="168" t="str">
        <f>IFERROR(P1810/_xlfn.XLOOKUP(_xlfn.XLOOKUP($F1810,Clientes!$B$4:$B$39,Clientes!$C$4:$C$39),Cadastros!$L$6:$L$12,Cadastros!$M$6:$M$12)," ")</f>
        <v xml:space="preserve"> </v>
      </c>
      <c r="R1810" s="28"/>
      <c r="S1810" s="28"/>
      <c r="T1810" s="255" t="str">
        <f>IF(R1810="","",(_xlfn.XLOOKUP(R1810,Cadastros!$D$6:$D$90,Cadastros!$E$6:$E$90))*(1-_xlfn.XLOOKUP(_xlfn.XLOOKUP($F1810,Clientes!$B$4:$B$39,Clientes!$C$4:$C$39),Cadastros!$L$6:$L$12,Cadastros!$N$6:$N$12)))</f>
        <v/>
      </c>
      <c r="U1810" s="168" t="str">
        <f t="shared" si="367"/>
        <v/>
      </c>
      <c r="V1810" s="168" t="str">
        <f>IFERROR(U1810/_xlfn.XLOOKUP(_xlfn.XLOOKUP($F1810,Clientes!$B$4:$B$39,Clientes!$C$4:$C$39),Cadastros!$L$6:$L$12,Cadastros!$M$6:$M$12)," ")</f>
        <v xml:space="preserve"> </v>
      </c>
      <c r="W1810" s="28"/>
      <c r="X1810" s="28"/>
      <c r="Y1810" s="255" t="str">
        <f>IF(W1810="","",(_xlfn.XLOOKUP(W1810,Cadastros!$D$6:$D$90,Cadastros!$E$6:$E$90))*(1-_xlfn.XLOOKUP(_xlfn.XLOOKUP($F1810,Clientes!$B$4:$B$39,Clientes!$C$4:$C$39),Cadastros!$L$6:$L$12,Cadastros!$N$6:$N$12)))</f>
        <v/>
      </c>
      <c r="Z1810" s="168" t="str">
        <f t="shared" si="368"/>
        <v/>
      </c>
      <c r="AA1810" s="168" t="str">
        <f>IFERROR(Z1810/_xlfn.XLOOKUP(_xlfn.XLOOKUP($F1810,Clientes!$B$4:$B$39,Clientes!$C$4:$C$39),Cadastros!$L$6:$L$12,Cadastros!$M$6:$M$12)," ")</f>
        <v xml:space="preserve"> </v>
      </c>
      <c r="AB1810" s="28"/>
      <c r="AC1810" s="28"/>
      <c r="AD1810" s="20" t="str">
        <f>IF(AB1810="","",IF($F1810="Bernardino Furlan",_xlfn.XLOOKUP(AB1810,Cadastros!$G$6:$G$90,Cadastros!$H$6:$H$90)*(1-0.18),IF($F1810="Mauro José Salanti",_xlfn.XLOOKUP(AB1810,Cadastros!$G$6:$G$90,Cadastros!$H$6:$H$90)*(1-0.18),_xlfn.XLOOKUP(AB1810,Cadastros!$G$6:$G$90,Cadastros!$H$6:$H$90))))</f>
        <v/>
      </c>
      <c r="AE1810" s="168" t="str">
        <f t="shared" si="369"/>
        <v/>
      </c>
      <c r="AF1810" s="168" t="str">
        <f t="shared" si="370"/>
        <v/>
      </c>
      <c r="AG1810" s="28"/>
      <c r="AH1810" s="28"/>
      <c r="AI1810" s="20" t="str">
        <f>IF(AG1810="","",IF($F1810="Bernardino Furlan",_xlfn.XLOOKUP(AG1810,Cadastros!$G$6:$G$90,Cadastros!$H$6:$H$90)*(1-0.18),IF($F1810="Mauro José Salanti",_xlfn.XLOOKUP(AG1810,Cadastros!$G$6:$G$90,Cadastros!$H$6:$H$90)*(1-0.18),_xlfn.XLOOKUP(AG1810,Cadastros!$G$6:$G$90,Cadastros!$H$6:$H$90))))</f>
        <v/>
      </c>
      <c r="AJ1810" s="168" t="str">
        <f t="shared" si="371"/>
        <v/>
      </c>
      <c r="AK1810" s="168" t="str">
        <f t="shared" si="372"/>
        <v/>
      </c>
      <c r="AL1810" s="28"/>
      <c r="AM1810" s="28"/>
      <c r="AN1810" s="20" t="str">
        <f>IF(AL1810="","",IF($F1810="Bernardino Furlan",_xlfn.XLOOKUP(AL1810,Cadastros!$G$6:$G$90,Cadastros!$H$6:$H$90)*(1-0.18),IF($F1810="Mauro José Salanti",_xlfn.XLOOKUP(AL1810,Cadastros!$G$6:$G$90,Cadastros!$H$6:$H$90)*(1-0.18),_xlfn.XLOOKUP(AL1810,Cadastros!$G$6:$G$90,Cadastros!$H$6:$H$90))))</f>
        <v/>
      </c>
      <c r="AO1810" s="168" t="str">
        <f t="shared" si="373"/>
        <v/>
      </c>
      <c r="AP1810" s="168" t="str">
        <f t="shared" si="374"/>
        <v/>
      </c>
      <c r="AQ1810" s="28"/>
      <c r="AR1810" s="28"/>
      <c r="AS1810" s="20" t="str">
        <f>IF(AQ1810="","",IF($F1810="Bernardino Furlan",_xlfn.XLOOKUP(AQ1810,Cadastros!$G$6:$G$90,Cadastros!$H$6:$H$90)*(1-0.18),IF($F1810="Mauro José Salanti",_xlfn.XLOOKUP(AQ1810,Cadastros!$G$6:$G$90,Cadastros!$H$6:$H$90)*(1-0.18),_xlfn.XLOOKUP(AQ1810,Cadastros!$G$6:$G$90,Cadastros!$H$6:$H$90))))</f>
        <v/>
      </c>
      <c r="AT1810" s="168" t="str">
        <f t="shared" si="375"/>
        <v/>
      </c>
      <c r="AU1810" s="168" t="str">
        <f t="shared" si="376"/>
        <v/>
      </c>
      <c r="AV1810" s="227"/>
      <c r="AW1810" s="30"/>
      <c r="AX1810" s="267"/>
      <c r="AY1810" s="267"/>
      <c r="AZ1810" s="29"/>
      <c r="BA1810" s="30"/>
      <c r="BB1810" s="23" t="str" cm="1">
        <f t="array" ref="BB1810">_xlfn.IFS(AW1810="SIM",SUM(K1810,P1810,U1810,Z1810,AE1810,AJ1810,AO1810,AT1810,AX1810,AY1810),F1810&lt;&gt;"",SUM(K1810,P1810,U1810,Z1810,AE1810,AJ1810,,AO1810,AT1810),F1810="","")</f>
        <v/>
      </c>
      <c r="BC1810" s="211" t="str" cm="1">
        <f t="array" ref="BC1810">_xlfn.IFS(E1810="","",G1810&lt;=E1810,BB1810*(1-0.03),G1810&lt;(E1810+8),BB1810,AZ1810="Boleto",BB1810*(1+0.001)^DATEDIF(E1810,G1810,"D"),AZ1810="Cheque",BB1810,AZ1810="Dinheiro","Alterar forma pgto")</f>
        <v/>
      </c>
      <c r="BD1810" s="276" t="str" cm="1">
        <f t="array" ref="BD1810">IF(F1810=0," ",IF(BC1810&lt;BB1810,(_xlfn.IFS(AW1810="SIM",SUM(L1810,Q1810,V1810,AA1810,AF1810,AK1810,AP1810,AU1810)+AX1810/_xlfn.XLOOKUP(_xlfn.XLOOKUP($F1810,Clientes!$B$4:$B$39,Clientes!$C$4:$C$39),Cadastros!$L$6:$L$12,Cadastros!$M$6:$M$12)+IF($F1810="Bernardino Furlan",AY1810/2751.92,IF($F1810="Mauro José Salanti",AY1810/2751.92,AY1810/3356)),F1810&lt;&gt;0,SUM(L1810,Q1810,V1810,AA1810,AF1810,AK1810,AP1810,AU1810)))*(1-0.03),_xlfn.IFS(AW1810="SIM",SUM(L1810,Q1810,V1810,AA1810,AF1810,AK1810,AP1810,AU1810)+AX1810/_xlfn.XLOOKUP(_xlfn.XLOOKUP($F1810,Clientes!$B$4:$B$39,Clientes!$C$4:$C$39),Cadastros!$L$6:$L$12,Cadastros!$M$6:$M$12)+IF($F1810="Bernardino Furlan",AY1810/2751.92,IF($F1810="Mauro José Salanti",AY1810/2751.92,AY1810/3356)),F1810&lt;&gt;0,SUM(L1810,Q1810,V1810,AA1810,AF1810,AK1810,AP1810,AU1810))))</f>
        <v xml:space="preserve"> </v>
      </c>
      <c r="BE1810" s="120"/>
      <c r="BF1810" s="120"/>
      <c r="BG1810" s="120"/>
    </row>
    <row r="1811" spans="1:59" s="3" customFormat="1" x14ac:dyDescent="0.3">
      <c r="A1811" s="15" t="str">
        <f t="shared" si="364"/>
        <v/>
      </c>
      <c r="B1811" s="25"/>
      <c r="C1811" s="26"/>
      <c r="D1811" s="279"/>
      <c r="E1811" s="27"/>
      <c r="F1811" s="28"/>
      <c r="G1811" s="27"/>
      <c r="H1811" s="28"/>
      <c r="I1811" s="28"/>
      <c r="J1811" s="255" t="str">
        <f>IF(H1811="","",(_xlfn.XLOOKUP(H1811,Cadastros!$D$6:$D$90,Cadastros!$E$6:$E$90))*(1-_xlfn.XLOOKUP(_xlfn.XLOOKUP($F1811,Clientes!$B$4:$B$39,Clientes!$C$4:$C$39),Cadastros!$L$6:$L$12,Cadastros!$N$6:$N$12)))</f>
        <v/>
      </c>
      <c r="K1811" s="168" t="str">
        <f t="shared" si="365"/>
        <v/>
      </c>
      <c r="L1811" s="168" t="str">
        <f>IFERROR(K1811/_xlfn.XLOOKUP(_xlfn.XLOOKUP($F1811,Clientes!$B$4:$B$39,Clientes!$C$4:$C$39),Cadastros!$L$6:$L$12,Cadastros!$M$6:$M$12)," ")</f>
        <v xml:space="preserve"> </v>
      </c>
      <c r="M1811" s="28"/>
      <c r="N1811" s="28"/>
      <c r="O1811" s="255" t="str">
        <f>IF(M1811="","",(_xlfn.XLOOKUP(M1811,Cadastros!$D$6:$D$90,Cadastros!$E$6:$E$90))*(1-_xlfn.XLOOKUP(_xlfn.XLOOKUP($F1811,Clientes!$B$4:$B$39,Clientes!$C$4:$C$39),Cadastros!$L$6:$L$12,Cadastros!$N$6:$N$12)))</f>
        <v/>
      </c>
      <c r="P1811" s="168" t="str">
        <f t="shared" si="366"/>
        <v/>
      </c>
      <c r="Q1811" s="168" t="str">
        <f>IFERROR(P1811/_xlfn.XLOOKUP(_xlfn.XLOOKUP($F1811,Clientes!$B$4:$B$39,Clientes!$C$4:$C$39),Cadastros!$L$6:$L$12,Cadastros!$M$6:$M$12)," ")</f>
        <v xml:space="preserve"> </v>
      </c>
      <c r="R1811" s="28"/>
      <c r="S1811" s="28"/>
      <c r="T1811" s="255" t="str">
        <f>IF(R1811="","",(_xlfn.XLOOKUP(R1811,Cadastros!$D$6:$D$90,Cadastros!$E$6:$E$90))*(1-_xlfn.XLOOKUP(_xlfn.XLOOKUP($F1811,Clientes!$B$4:$B$39,Clientes!$C$4:$C$39),Cadastros!$L$6:$L$12,Cadastros!$N$6:$N$12)))</f>
        <v/>
      </c>
      <c r="U1811" s="168" t="str">
        <f t="shared" si="367"/>
        <v/>
      </c>
      <c r="V1811" s="168" t="str">
        <f>IFERROR(U1811/_xlfn.XLOOKUP(_xlfn.XLOOKUP($F1811,Clientes!$B$4:$B$39,Clientes!$C$4:$C$39),Cadastros!$L$6:$L$12,Cadastros!$M$6:$M$12)," ")</f>
        <v xml:space="preserve"> </v>
      </c>
      <c r="W1811" s="28"/>
      <c r="X1811" s="28"/>
      <c r="Y1811" s="255" t="str">
        <f>IF(W1811="","",(_xlfn.XLOOKUP(W1811,Cadastros!$D$6:$D$90,Cadastros!$E$6:$E$90))*(1-_xlfn.XLOOKUP(_xlfn.XLOOKUP($F1811,Clientes!$B$4:$B$39,Clientes!$C$4:$C$39),Cadastros!$L$6:$L$12,Cadastros!$N$6:$N$12)))</f>
        <v/>
      </c>
      <c r="Z1811" s="168" t="str">
        <f t="shared" si="368"/>
        <v/>
      </c>
      <c r="AA1811" s="168" t="str">
        <f>IFERROR(Z1811/_xlfn.XLOOKUP(_xlfn.XLOOKUP($F1811,Clientes!$B$4:$B$39,Clientes!$C$4:$C$39),Cadastros!$L$6:$L$12,Cadastros!$M$6:$M$12)," ")</f>
        <v xml:space="preserve"> </v>
      </c>
      <c r="AB1811" s="28"/>
      <c r="AC1811" s="28"/>
      <c r="AD1811" s="20" t="str">
        <f>IF(AB1811="","",IF($F1811="Bernardino Furlan",_xlfn.XLOOKUP(AB1811,Cadastros!$G$6:$G$90,Cadastros!$H$6:$H$90)*(1-0.18),IF($F1811="Mauro José Salanti",_xlfn.XLOOKUP(AB1811,Cadastros!$G$6:$G$90,Cadastros!$H$6:$H$90)*(1-0.18),_xlfn.XLOOKUP(AB1811,Cadastros!$G$6:$G$90,Cadastros!$H$6:$H$90))))</f>
        <v/>
      </c>
      <c r="AE1811" s="168" t="str">
        <f t="shared" si="369"/>
        <v/>
      </c>
      <c r="AF1811" s="168" t="str">
        <f t="shared" si="370"/>
        <v/>
      </c>
      <c r="AG1811" s="28"/>
      <c r="AH1811" s="28"/>
      <c r="AI1811" s="20" t="str">
        <f>IF(AG1811="","",IF($F1811="Bernardino Furlan",_xlfn.XLOOKUP(AG1811,Cadastros!$G$6:$G$90,Cadastros!$H$6:$H$90)*(1-0.18),IF($F1811="Mauro José Salanti",_xlfn.XLOOKUP(AG1811,Cadastros!$G$6:$G$90,Cadastros!$H$6:$H$90)*(1-0.18),_xlfn.XLOOKUP(AG1811,Cadastros!$G$6:$G$90,Cadastros!$H$6:$H$90))))</f>
        <v/>
      </c>
      <c r="AJ1811" s="168" t="str">
        <f t="shared" si="371"/>
        <v/>
      </c>
      <c r="AK1811" s="168" t="str">
        <f t="shared" si="372"/>
        <v/>
      </c>
      <c r="AL1811" s="28"/>
      <c r="AM1811" s="28"/>
      <c r="AN1811" s="20" t="str">
        <f>IF(AL1811="","",IF($F1811="Bernardino Furlan",_xlfn.XLOOKUP(AL1811,Cadastros!$G$6:$G$90,Cadastros!$H$6:$H$90)*(1-0.18),IF($F1811="Mauro José Salanti",_xlfn.XLOOKUP(AL1811,Cadastros!$G$6:$G$90,Cadastros!$H$6:$H$90)*(1-0.18),_xlfn.XLOOKUP(AL1811,Cadastros!$G$6:$G$90,Cadastros!$H$6:$H$90))))</f>
        <v/>
      </c>
      <c r="AO1811" s="168" t="str">
        <f t="shared" si="373"/>
        <v/>
      </c>
      <c r="AP1811" s="168" t="str">
        <f t="shared" si="374"/>
        <v/>
      </c>
      <c r="AQ1811" s="28"/>
      <c r="AR1811" s="28"/>
      <c r="AS1811" s="20" t="str">
        <f>IF(AQ1811="","",IF($F1811="Bernardino Furlan",_xlfn.XLOOKUP(AQ1811,Cadastros!$G$6:$G$90,Cadastros!$H$6:$H$90)*(1-0.18),IF($F1811="Mauro José Salanti",_xlfn.XLOOKUP(AQ1811,Cadastros!$G$6:$G$90,Cadastros!$H$6:$H$90)*(1-0.18),_xlfn.XLOOKUP(AQ1811,Cadastros!$G$6:$G$90,Cadastros!$H$6:$H$90))))</f>
        <v/>
      </c>
      <c r="AT1811" s="168" t="str">
        <f t="shared" si="375"/>
        <v/>
      </c>
      <c r="AU1811" s="168" t="str">
        <f t="shared" si="376"/>
        <v/>
      </c>
      <c r="AV1811" s="227"/>
      <c r="AW1811" s="30"/>
      <c r="AX1811" s="267"/>
      <c r="AY1811" s="267"/>
      <c r="AZ1811" s="29"/>
      <c r="BA1811" s="30"/>
      <c r="BB1811" s="23" t="str" cm="1">
        <f t="array" ref="BB1811">_xlfn.IFS(AW1811="SIM",SUM(K1811,P1811,U1811,Z1811,AE1811,AJ1811,AO1811,AT1811,AX1811,AY1811),F1811&lt;&gt;"",SUM(K1811,P1811,U1811,Z1811,AE1811,AJ1811,,AO1811,AT1811),F1811="","")</f>
        <v/>
      </c>
      <c r="BC1811" s="211" t="str" cm="1">
        <f t="array" ref="BC1811">_xlfn.IFS(E1811="","",G1811&lt;=E1811,BB1811*(1-0.03),G1811&lt;(E1811+8),BB1811,AZ1811="Boleto",BB1811*(1+0.001)^DATEDIF(E1811,G1811,"D"),AZ1811="Cheque",BB1811,AZ1811="Dinheiro","Alterar forma pgto")</f>
        <v/>
      </c>
      <c r="BD1811" s="276" t="str" cm="1">
        <f t="array" ref="BD1811">IF(F1811=0," ",IF(BC1811&lt;BB1811,(_xlfn.IFS(AW1811="SIM",SUM(L1811,Q1811,V1811,AA1811,AF1811,AK1811,AP1811,AU1811)+AX1811/_xlfn.XLOOKUP(_xlfn.XLOOKUP($F1811,Clientes!$B$4:$B$39,Clientes!$C$4:$C$39),Cadastros!$L$6:$L$12,Cadastros!$M$6:$M$12)+IF($F1811="Bernardino Furlan",AY1811/2751.92,IF($F1811="Mauro José Salanti",AY1811/2751.92,AY1811/3356)),F1811&lt;&gt;0,SUM(L1811,Q1811,V1811,AA1811,AF1811,AK1811,AP1811,AU1811)))*(1-0.03),_xlfn.IFS(AW1811="SIM",SUM(L1811,Q1811,V1811,AA1811,AF1811,AK1811,AP1811,AU1811)+AX1811/_xlfn.XLOOKUP(_xlfn.XLOOKUP($F1811,Clientes!$B$4:$B$39,Clientes!$C$4:$C$39),Cadastros!$L$6:$L$12,Cadastros!$M$6:$M$12)+IF($F1811="Bernardino Furlan",AY1811/2751.92,IF($F1811="Mauro José Salanti",AY1811/2751.92,AY1811/3356)),F1811&lt;&gt;0,SUM(L1811,Q1811,V1811,AA1811,AF1811,AK1811,AP1811,AU1811))))</f>
        <v xml:space="preserve"> </v>
      </c>
      <c r="BE1811" s="120"/>
      <c r="BF1811" s="120"/>
      <c r="BG1811" s="120"/>
    </row>
    <row r="1812" spans="1:59" s="3" customFormat="1" x14ac:dyDescent="0.3">
      <c r="A1812" s="15" t="str">
        <f t="shared" si="364"/>
        <v/>
      </c>
      <c r="B1812" s="25"/>
      <c r="C1812" s="26"/>
      <c r="D1812" s="279"/>
      <c r="E1812" s="27"/>
      <c r="F1812" s="28"/>
      <c r="G1812" s="27"/>
      <c r="H1812" s="28"/>
      <c r="I1812" s="28"/>
      <c r="J1812" s="255" t="str">
        <f>IF(H1812="","",(_xlfn.XLOOKUP(H1812,Cadastros!$D$6:$D$90,Cadastros!$E$6:$E$90))*(1-_xlfn.XLOOKUP(_xlfn.XLOOKUP($F1812,Clientes!$B$4:$B$39,Clientes!$C$4:$C$39),Cadastros!$L$6:$L$12,Cadastros!$N$6:$N$12)))</f>
        <v/>
      </c>
      <c r="K1812" s="168" t="str">
        <f t="shared" si="365"/>
        <v/>
      </c>
      <c r="L1812" s="168" t="str">
        <f>IFERROR(K1812/_xlfn.XLOOKUP(_xlfn.XLOOKUP($F1812,Clientes!$B$4:$B$39,Clientes!$C$4:$C$39),Cadastros!$L$6:$L$12,Cadastros!$M$6:$M$12)," ")</f>
        <v xml:space="preserve"> </v>
      </c>
      <c r="M1812" s="28"/>
      <c r="N1812" s="28"/>
      <c r="O1812" s="255" t="str">
        <f>IF(M1812="","",(_xlfn.XLOOKUP(M1812,Cadastros!$D$6:$D$90,Cadastros!$E$6:$E$90))*(1-_xlfn.XLOOKUP(_xlfn.XLOOKUP($F1812,Clientes!$B$4:$B$39,Clientes!$C$4:$C$39),Cadastros!$L$6:$L$12,Cadastros!$N$6:$N$12)))</f>
        <v/>
      </c>
      <c r="P1812" s="168" t="str">
        <f t="shared" si="366"/>
        <v/>
      </c>
      <c r="Q1812" s="168" t="str">
        <f>IFERROR(P1812/_xlfn.XLOOKUP(_xlfn.XLOOKUP($F1812,Clientes!$B$4:$B$39,Clientes!$C$4:$C$39),Cadastros!$L$6:$L$12,Cadastros!$M$6:$M$12)," ")</f>
        <v xml:space="preserve"> </v>
      </c>
      <c r="R1812" s="28"/>
      <c r="S1812" s="28"/>
      <c r="T1812" s="255" t="str">
        <f>IF(R1812="","",(_xlfn.XLOOKUP(R1812,Cadastros!$D$6:$D$90,Cadastros!$E$6:$E$90))*(1-_xlfn.XLOOKUP(_xlfn.XLOOKUP($F1812,Clientes!$B$4:$B$39,Clientes!$C$4:$C$39),Cadastros!$L$6:$L$12,Cadastros!$N$6:$N$12)))</f>
        <v/>
      </c>
      <c r="U1812" s="168" t="str">
        <f t="shared" si="367"/>
        <v/>
      </c>
      <c r="V1812" s="168" t="str">
        <f>IFERROR(U1812/_xlfn.XLOOKUP(_xlfn.XLOOKUP($F1812,Clientes!$B$4:$B$39,Clientes!$C$4:$C$39),Cadastros!$L$6:$L$12,Cadastros!$M$6:$M$12)," ")</f>
        <v xml:space="preserve"> </v>
      </c>
      <c r="W1812" s="28"/>
      <c r="X1812" s="28"/>
      <c r="Y1812" s="255" t="str">
        <f>IF(W1812="","",(_xlfn.XLOOKUP(W1812,Cadastros!$D$6:$D$90,Cadastros!$E$6:$E$90))*(1-_xlfn.XLOOKUP(_xlfn.XLOOKUP($F1812,Clientes!$B$4:$B$39,Clientes!$C$4:$C$39),Cadastros!$L$6:$L$12,Cadastros!$N$6:$N$12)))</f>
        <v/>
      </c>
      <c r="Z1812" s="168" t="str">
        <f t="shared" si="368"/>
        <v/>
      </c>
      <c r="AA1812" s="168" t="str">
        <f>IFERROR(Z1812/_xlfn.XLOOKUP(_xlfn.XLOOKUP($F1812,Clientes!$B$4:$B$39,Clientes!$C$4:$C$39),Cadastros!$L$6:$L$12,Cadastros!$M$6:$M$12)," ")</f>
        <v xml:space="preserve"> </v>
      </c>
      <c r="AB1812" s="28"/>
      <c r="AC1812" s="28"/>
      <c r="AD1812" s="20" t="str">
        <f>IF(AB1812="","",IF($F1812="Bernardino Furlan",_xlfn.XLOOKUP(AB1812,Cadastros!$G$6:$G$90,Cadastros!$H$6:$H$90)*(1-0.18),IF($F1812="Mauro José Salanti",_xlfn.XLOOKUP(AB1812,Cadastros!$G$6:$G$90,Cadastros!$H$6:$H$90)*(1-0.18),_xlfn.XLOOKUP(AB1812,Cadastros!$G$6:$G$90,Cadastros!$H$6:$H$90))))</f>
        <v/>
      </c>
      <c r="AE1812" s="168" t="str">
        <f t="shared" si="369"/>
        <v/>
      </c>
      <c r="AF1812" s="168" t="str">
        <f t="shared" si="370"/>
        <v/>
      </c>
      <c r="AG1812" s="28"/>
      <c r="AH1812" s="28"/>
      <c r="AI1812" s="20" t="str">
        <f>IF(AG1812="","",IF($F1812="Bernardino Furlan",_xlfn.XLOOKUP(AG1812,Cadastros!$G$6:$G$90,Cadastros!$H$6:$H$90)*(1-0.18),IF($F1812="Mauro José Salanti",_xlfn.XLOOKUP(AG1812,Cadastros!$G$6:$G$90,Cadastros!$H$6:$H$90)*(1-0.18),_xlfn.XLOOKUP(AG1812,Cadastros!$G$6:$G$90,Cadastros!$H$6:$H$90))))</f>
        <v/>
      </c>
      <c r="AJ1812" s="168" t="str">
        <f t="shared" si="371"/>
        <v/>
      </c>
      <c r="AK1812" s="168" t="str">
        <f t="shared" si="372"/>
        <v/>
      </c>
      <c r="AL1812" s="28"/>
      <c r="AM1812" s="28"/>
      <c r="AN1812" s="20" t="str">
        <f>IF(AL1812="","",IF($F1812="Bernardino Furlan",_xlfn.XLOOKUP(AL1812,Cadastros!$G$6:$G$90,Cadastros!$H$6:$H$90)*(1-0.18),IF($F1812="Mauro José Salanti",_xlfn.XLOOKUP(AL1812,Cadastros!$G$6:$G$90,Cadastros!$H$6:$H$90)*(1-0.18),_xlfn.XLOOKUP(AL1812,Cadastros!$G$6:$G$90,Cadastros!$H$6:$H$90))))</f>
        <v/>
      </c>
      <c r="AO1812" s="168" t="str">
        <f t="shared" si="373"/>
        <v/>
      </c>
      <c r="AP1812" s="168" t="str">
        <f t="shared" si="374"/>
        <v/>
      </c>
      <c r="AQ1812" s="28"/>
      <c r="AR1812" s="28"/>
      <c r="AS1812" s="20" t="str">
        <f>IF(AQ1812="","",IF($F1812="Bernardino Furlan",_xlfn.XLOOKUP(AQ1812,Cadastros!$G$6:$G$90,Cadastros!$H$6:$H$90)*(1-0.18),IF($F1812="Mauro José Salanti",_xlfn.XLOOKUP(AQ1812,Cadastros!$G$6:$G$90,Cadastros!$H$6:$H$90)*(1-0.18),_xlfn.XLOOKUP(AQ1812,Cadastros!$G$6:$G$90,Cadastros!$H$6:$H$90))))</f>
        <v/>
      </c>
      <c r="AT1812" s="168" t="str">
        <f t="shared" si="375"/>
        <v/>
      </c>
      <c r="AU1812" s="168" t="str">
        <f t="shared" si="376"/>
        <v/>
      </c>
      <c r="AV1812" s="227"/>
      <c r="AW1812" s="30"/>
      <c r="AX1812" s="267"/>
      <c r="AY1812" s="267"/>
      <c r="AZ1812" s="29"/>
      <c r="BA1812" s="30"/>
      <c r="BB1812" s="23" t="str" cm="1">
        <f t="array" ref="BB1812">_xlfn.IFS(AW1812="SIM",SUM(K1812,P1812,U1812,Z1812,AE1812,AJ1812,AO1812,AT1812,AX1812,AY1812),F1812&lt;&gt;"",SUM(K1812,P1812,U1812,Z1812,AE1812,AJ1812,,AO1812,AT1812),F1812="","")</f>
        <v/>
      </c>
      <c r="BC1812" s="211" t="str" cm="1">
        <f t="array" ref="BC1812">_xlfn.IFS(E1812="","",G1812&lt;=E1812,BB1812*(1-0.03),G1812&lt;(E1812+8),BB1812,AZ1812="Boleto",BB1812*(1+0.001)^DATEDIF(E1812,G1812,"D"),AZ1812="Cheque",BB1812,AZ1812="Dinheiro","Alterar forma pgto")</f>
        <v/>
      </c>
      <c r="BD1812" s="276" t="str" cm="1">
        <f t="array" ref="BD1812">IF(F1812=0," ",IF(BC1812&lt;BB1812,(_xlfn.IFS(AW1812="SIM",SUM(L1812,Q1812,V1812,AA1812,AF1812,AK1812,AP1812,AU1812)+AX1812/_xlfn.XLOOKUP(_xlfn.XLOOKUP($F1812,Clientes!$B$4:$B$39,Clientes!$C$4:$C$39),Cadastros!$L$6:$L$12,Cadastros!$M$6:$M$12)+IF($F1812="Bernardino Furlan",AY1812/2751.92,IF($F1812="Mauro José Salanti",AY1812/2751.92,AY1812/3356)),F1812&lt;&gt;0,SUM(L1812,Q1812,V1812,AA1812,AF1812,AK1812,AP1812,AU1812)))*(1-0.03),_xlfn.IFS(AW1812="SIM",SUM(L1812,Q1812,V1812,AA1812,AF1812,AK1812,AP1812,AU1812)+AX1812/_xlfn.XLOOKUP(_xlfn.XLOOKUP($F1812,Clientes!$B$4:$B$39,Clientes!$C$4:$C$39),Cadastros!$L$6:$L$12,Cadastros!$M$6:$M$12)+IF($F1812="Bernardino Furlan",AY1812/2751.92,IF($F1812="Mauro José Salanti",AY1812/2751.92,AY1812/3356)),F1812&lt;&gt;0,SUM(L1812,Q1812,V1812,AA1812,AF1812,AK1812,AP1812,AU1812))))</f>
        <v xml:space="preserve"> </v>
      </c>
      <c r="BE1812" s="120"/>
      <c r="BF1812" s="120"/>
      <c r="BG1812" s="120"/>
    </row>
    <row r="1813" spans="1:59" s="3" customFormat="1" x14ac:dyDescent="0.3">
      <c r="A1813" s="15" t="str">
        <f t="shared" si="364"/>
        <v/>
      </c>
      <c r="B1813" s="25"/>
      <c r="C1813" s="26"/>
      <c r="D1813" s="279"/>
      <c r="E1813" s="27"/>
      <c r="F1813" s="28"/>
      <c r="G1813" s="27"/>
      <c r="H1813" s="28"/>
      <c r="I1813" s="28"/>
      <c r="J1813" s="255" t="str">
        <f>IF(H1813="","",(_xlfn.XLOOKUP(H1813,Cadastros!$D$6:$D$90,Cadastros!$E$6:$E$90))*(1-_xlfn.XLOOKUP(_xlfn.XLOOKUP($F1813,Clientes!$B$4:$B$39,Clientes!$C$4:$C$39),Cadastros!$L$6:$L$12,Cadastros!$N$6:$N$12)))</f>
        <v/>
      </c>
      <c r="K1813" s="168" t="str">
        <f t="shared" si="365"/>
        <v/>
      </c>
      <c r="L1813" s="168" t="str">
        <f>IFERROR(K1813/_xlfn.XLOOKUP(_xlfn.XLOOKUP($F1813,Clientes!$B$4:$B$39,Clientes!$C$4:$C$39),Cadastros!$L$6:$L$12,Cadastros!$M$6:$M$12)," ")</f>
        <v xml:space="preserve"> </v>
      </c>
      <c r="M1813" s="28"/>
      <c r="N1813" s="28"/>
      <c r="O1813" s="255" t="str">
        <f>IF(M1813="","",(_xlfn.XLOOKUP(M1813,Cadastros!$D$6:$D$90,Cadastros!$E$6:$E$90))*(1-_xlfn.XLOOKUP(_xlfn.XLOOKUP($F1813,Clientes!$B$4:$B$39,Clientes!$C$4:$C$39),Cadastros!$L$6:$L$12,Cadastros!$N$6:$N$12)))</f>
        <v/>
      </c>
      <c r="P1813" s="168" t="str">
        <f t="shared" si="366"/>
        <v/>
      </c>
      <c r="Q1813" s="168" t="str">
        <f>IFERROR(P1813/_xlfn.XLOOKUP(_xlfn.XLOOKUP($F1813,Clientes!$B$4:$B$39,Clientes!$C$4:$C$39),Cadastros!$L$6:$L$12,Cadastros!$M$6:$M$12)," ")</f>
        <v xml:space="preserve"> </v>
      </c>
      <c r="R1813" s="28"/>
      <c r="S1813" s="28"/>
      <c r="T1813" s="255" t="str">
        <f>IF(R1813="","",(_xlfn.XLOOKUP(R1813,Cadastros!$D$6:$D$90,Cadastros!$E$6:$E$90))*(1-_xlfn.XLOOKUP(_xlfn.XLOOKUP($F1813,Clientes!$B$4:$B$39,Clientes!$C$4:$C$39),Cadastros!$L$6:$L$12,Cadastros!$N$6:$N$12)))</f>
        <v/>
      </c>
      <c r="U1813" s="168" t="str">
        <f t="shared" si="367"/>
        <v/>
      </c>
      <c r="V1813" s="168" t="str">
        <f>IFERROR(U1813/_xlfn.XLOOKUP(_xlfn.XLOOKUP($F1813,Clientes!$B$4:$B$39,Clientes!$C$4:$C$39),Cadastros!$L$6:$L$12,Cadastros!$M$6:$M$12)," ")</f>
        <v xml:space="preserve"> </v>
      </c>
      <c r="W1813" s="28"/>
      <c r="X1813" s="28"/>
      <c r="Y1813" s="255" t="str">
        <f>IF(W1813="","",(_xlfn.XLOOKUP(W1813,Cadastros!$D$6:$D$90,Cadastros!$E$6:$E$90))*(1-_xlfn.XLOOKUP(_xlfn.XLOOKUP($F1813,Clientes!$B$4:$B$39,Clientes!$C$4:$C$39),Cadastros!$L$6:$L$12,Cadastros!$N$6:$N$12)))</f>
        <v/>
      </c>
      <c r="Z1813" s="168" t="str">
        <f t="shared" si="368"/>
        <v/>
      </c>
      <c r="AA1813" s="168" t="str">
        <f>IFERROR(Z1813/_xlfn.XLOOKUP(_xlfn.XLOOKUP($F1813,Clientes!$B$4:$B$39,Clientes!$C$4:$C$39),Cadastros!$L$6:$L$12,Cadastros!$M$6:$M$12)," ")</f>
        <v xml:space="preserve"> </v>
      </c>
      <c r="AB1813" s="28"/>
      <c r="AC1813" s="28"/>
      <c r="AD1813" s="20" t="str">
        <f>IF(AB1813="","",IF($F1813="Bernardino Furlan",_xlfn.XLOOKUP(AB1813,Cadastros!$G$6:$G$90,Cadastros!$H$6:$H$90)*(1-0.18),IF($F1813="Mauro José Salanti",_xlfn.XLOOKUP(AB1813,Cadastros!$G$6:$G$90,Cadastros!$H$6:$H$90)*(1-0.18),_xlfn.XLOOKUP(AB1813,Cadastros!$G$6:$G$90,Cadastros!$H$6:$H$90))))</f>
        <v/>
      </c>
      <c r="AE1813" s="168" t="str">
        <f t="shared" si="369"/>
        <v/>
      </c>
      <c r="AF1813" s="168" t="str">
        <f t="shared" si="370"/>
        <v/>
      </c>
      <c r="AG1813" s="28"/>
      <c r="AH1813" s="28"/>
      <c r="AI1813" s="20" t="str">
        <f>IF(AG1813="","",IF($F1813="Bernardino Furlan",_xlfn.XLOOKUP(AG1813,Cadastros!$G$6:$G$90,Cadastros!$H$6:$H$90)*(1-0.18),IF($F1813="Mauro José Salanti",_xlfn.XLOOKUP(AG1813,Cadastros!$G$6:$G$90,Cadastros!$H$6:$H$90)*(1-0.18),_xlfn.XLOOKUP(AG1813,Cadastros!$G$6:$G$90,Cadastros!$H$6:$H$90))))</f>
        <v/>
      </c>
      <c r="AJ1813" s="168" t="str">
        <f t="shared" si="371"/>
        <v/>
      </c>
      <c r="AK1813" s="168" t="str">
        <f t="shared" si="372"/>
        <v/>
      </c>
      <c r="AL1813" s="28"/>
      <c r="AM1813" s="28"/>
      <c r="AN1813" s="20" t="str">
        <f>IF(AL1813="","",IF($F1813="Bernardino Furlan",_xlfn.XLOOKUP(AL1813,Cadastros!$G$6:$G$90,Cadastros!$H$6:$H$90)*(1-0.18),IF($F1813="Mauro José Salanti",_xlfn.XLOOKUP(AL1813,Cadastros!$G$6:$G$90,Cadastros!$H$6:$H$90)*(1-0.18),_xlfn.XLOOKUP(AL1813,Cadastros!$G$6:$G$90,Cadastros!$H$6:$H$90))))</f>
        <v/>
      </c>
      <c r="AO1813" s="168" t="str">
        <f t="shared" si="373"/>
        <v/>
      </c>
      <c r="AP1813" s="168" t="str">
        <f t="shared" si="374"/>
        <v/>
      </c>
      <c r="AQ1813" s="28"/>
      <c r="AR1813" s="28"/>
      <c r="AS1813" s="20" t="str">
        <f>IF(AQ1813="","",IF($F1813="Bernardino Furlan",_xlfn.XLOOKUP(AQ1813,Cadastros!$G$6:$G$90,Cadastros!$H$6:$H$90)*(1-0.18),IF($F1813="Mauro José Salanti",_xlfn.XLOOKUP(AQ1813,Cadastros!$G$6:$G$90,Cadastros!$H$6:$H$90)*(1-0.18),_xlfn.XLOOKUP(AQ1813,Cadastros!$G$6:$G$90,Cadastros!$H$6:$H$90))))</f>
        <v/>
      </c>
      <c r="AT1813" s="168" t="str">
        <f t="shared" si="375"/>
        <v/>
      </c>
      <c r="AU1813" s="168" t="str">
        <f t="shared" si="376"/>
        <v/>
      </c>
      <c r="AV1813" s="227"/>
      <c r="AW1813" s="30"/>
      <c r="AX1813" s="267"/>
      <c r="AY1813" s="267"/>
      <c r="AZ1813" s="29"/>
      <c r="BA1813" s="30"/>
      <c r="BB1813" s="23" t="str" cm="1">
        <f t="array" ref="BB1813">_xlfn.IFS(AW1813="SIM",SUM(K1813,P1813,U1813,Z1813,AE1813,AJ1813,AO1813,AT1813,AX1813,AY1813),F1813&lt;&gt;"",SUM(K1813,P1813,U1813,Z1813,AE1813,AJ1813,,AO1813,AT1813),F1813="","")</f>
        <v/>
      </c>
      <c r="BC1813" s="211" t="str" cm="1">
        <f t="array" ref="BC1813">_xlfn.IFS(E1813="","",G1813&lt;=E1813,BB1813*(1-0.03),G1813&lt;(E1813+8),BB1813,AZ1813="Boleto",BB1813*(1+0.001)^DATEDIF(E1813,G1813,"D"),AZ1813="Cheque",BB1813,AZ1813="Dinheiro","Alterar forma pgto")</f>
        <v/>
      </c>
      <c r="BD1813" s="276" t="str" cm="1">
        <f t="array" ref="BD1813">IF(F1813=0," ",IF(BC1813&lt;BB1813,(_xlfn.IFS(AW1813="SIM",SUM(L1813,Q1813,V1813,AA1813,AF1813,AK1813,AP1813,AU1813)+AX1813/_xlfn.XLOOKUP(_xlfn.XLOOKUP($F1813,Clientes!$B$4:$B$39,Clientes!$C$4:$C$39),Cadastros!$L$6:$L$12,Cadastros!$M$6:$M$12)+IF($F1813="Bernardino Furlan",AY1813/2751.92,IF($F1813="Mauro José Salanti",AY1813/2751.92,AY1813/3356)),F1813&lt;&gt;0,SUM(L1813,Q1813,V1813,AA1813,AF1813,AK1813,AP1813,AU1813)))*(1-0.03),_xlfn.IFS(AW1813="SIM",SUM(L1813,Q1813,V1813,AA1813,AF1813,AK1813,AP1813,AU1813)+AX1813/_xlfn.XLOOKUP(_xlfn.XLOOKUP($F1813,Clientes!$B$4:$B$39,Clientes!$C$4:$C$39),Cadastros!$L$6:$L$12,Cadastros!$M$6:$M$12)+IF($F1813="Bernardino Furlan",AY1813/2751.92,IF($F1813="Mauro José Salanti",AY1813/2751.92,AY1813/3356)),F1813&lt;&gt;0,SUM(L1813,Q1813,V1813,AA1813,AF1813,AK1813,AP1813,AU1813))))</f>
        <v xml:space="preserve"> </v>
      </c>
      <c r="BE1813" s="120"/>
      <c r="BF1813" s="120"/>
      <c r="BG1813" s="120"/>
    </row>
    <row r="1814" spans="1:59" s="3" customFormat="1" x14ac:dyDescent="0.3">
      <c r="A1814" s="15" t="str">
        <f t="shared" si="364"/>
        <v/>
      </c>
      <c r="B1814" s="25"/>
      <c r="C1814" s="26"/>
      <c r="D1814" s="279"/>
      <c r="E1814" s="27"/>
      <c r="F1814" s="28"/>
      <c r="G1814" s="27"/>
      <c r="H1814" s="28"/>
      <c r="I1814" s="28"/>
      <c r="J1814" s="255" t="str">
        <f>IF(H1814="","",(_xlfn.XLOOKUP(H1814,Cadastros!$D$6:$D$90,Cadastros!$E$6:$E$90))*(1-_xlfn.XLOOKUP(_xlfn.XLOOKUP($F1814,Clientes!$B$4:$B$39,Clientes!$C$4:$C$39),Cadastros!$L$6:$L$12,Cadastros!$N$6:$N$12)))</f>
        <v/>
      </c>
      <c r="K1814" s="168" t="str">
        <f t="shared" si="365"/>
        <v/>
      </c>
      <c r="L1814" s="168" t="str">
        <f>IFERROR(K1814/_xlfn.XLOOKUP(_xlfn.XLOOKUP($F1814,Clientes!$B$4:$B$39,Clientes!$C$4:$C$39),Cadastros!$L$6:$L$12,Cadastros!$M$6:$M$12)," ")</f>
        <v xml:space="preserve"> </v>
      </c>
      <c r="M1814" s="28"/>
      <c r="N1814" s="28"/>
      <c r="O1814" s="255" t="str">
        <f>IF(M1814="","",(_xlfn.XLOOKUP(M1814,Cadastros!$D$6:$D$90,Cadastros!$E$6:$E$90))*(1-_xlfn.XLOOKUP(_xlfn.XLOOKUP($F1814,Clientes!$B$4:$B$39,Clientes!$C$4:$C$39),Cadastros!$L$6:$L$12,Cadastros!$N$6:$N$12)))</f>
        <v/>
      </c>
      <c r="P1814" s="168" t="str">
        <f t="shared" si="366"/>
        <v/>
      </c>
      <c r="Q1814" s="168" t="str">
        <f>IFERROR(P1814/_xlfn.XLOOKUP(_xlfn.XLOOKUP($F1814,Clientes!$B$4:$B$39,Clientes!$C$4:$C$39),Cadastros!$L$6:$L$12,Cadastros!$M$6:$M$12)," ")</f>
        <v xml:space="preserve"> </v>
      </c>
      <c r="R1814" s="28"/>
      <c r="S1814" s="28"/>
      <c r="T1814" s="255" t="str">
        <f>IF(R1814="","",(_xlfn.XLOOKUP(R1814,Cadastros!$D$6:$D$90,Cadastros!$E$6:$E$90))*(1-_xlfn.XLOOKUP(_xlfn.XLOOKUP($F1814,Clientes!$B$4:$B$39,Clientes!$C$4:$C$39),Cadastros!$L$6:$L$12,Cadastros!$N$6:$N$12)))</f>
        <v/>
      </c>
      <c r="U1814" s="168" t="str">
        <f t="shared" si="367"/>
        <v/>
      </c>
      <c r="V1814" s="168" t="str">
        <f>IFERROR(U1814/_xlfn.XLOOKUP(_xlfn.XLOOKUP($F1814,Clientes!$B$4:$B$39,Clientes!$C$4:$C$39),Cadastros!$L$6:$L$12,Cadastros!$M$6:$M$12)," ")</f>
        <v xml:space="preserve"> </v>
      </c>
      <c r="W1814" s="28"/>
      <c r="X1814" s="28"/>
      <c r="Y1814" s="255" t="str">
        <f>IF(W1814="","",(_xlfn.XLOOKUP(W1814,Cadastros!$D$6:$D$90,Cadastros!$E$6:$E$90))*(1-_xlfn.XLOOKUP(_xlfn.XLOOKUP($F1814,Clientes!$B$4:$B$39,Clientes!$C$4:$C$39),Cadastros!$L$6:$L$12,Cadastros!$N$6:$N$12)))</f>
        <v/>
      </c>
      <c r="Z1814" s="168" t="str">
        <f t="shared" si="368"/>
        <v/>
      </c>
      <c r="AA1814" s="168" t="str">
        <f>IFERROR(Z1814/_xlfn.XLOOKUP(_xlfn.XLOOKUP($F1814,Clientes!$B$4:$B$39,Clientes!$C$4:$C$39),Cadastros!$L$6:$L$12,Cadastros!$M$6:$M$12)," ")</f>
        <v xml:space="preserve"> </v>
      </c>
      <c r="AB1814" s="28"/>
      <c r="AC1814" s="28"/>
      <c r="AD1814" s="20" t="str">
        <f>IF(AB1814="","",IF($F1814="Bernardino Furlan",_xlfn.XLOOKUP(AB1814,Cadastros!$G$6:$G$90,Cadastros!$H$6:$H$90)*(1-0.18),IF($F1814="Mauro José Salanti",_xlfn.XLOOKUP(AB1814,Cadastros!$G$6:$G$90,Cadastros!$H$6:$H$90)*(1-0.18),_xlfn.XLOOKUP(AB1814,Cadastros!$G$6:$G$90,Cadastros!$H$6:$H$90))))</f>
        <v/>
      </c>
      <c r="AE1814" s="168" t="str">
        <f t="shared" si="369"/>
        <v/>
      </c>
      <c r="AF1814" s="168" t="str">
        <f t="shared" si="370"/>
        <v/>
      </c>
      <c r="AG1814" s="28"/>
      <c r="AH1814" s="28"/>
      <c r="AI1814" s="20" t="str">
        <f>IF(AG1814="","",IF($F1814="Bernardino Furlan",_xlfn.XLOOKUP(AG1814,Cadastros!$G$6:$G$90,Cadastros!$H$6:$H$90)*(1-0.18),IF($F1814="Mauro José Salanti",_xlfn.XLOOKUP(AG1814,Cadastros!$G$6:$G$90,Cadastros!$H$6:$H$90)*(1-0.18),_xlfn.XLOOKUP(AG1814,Cadastros!$G$6:$G$90,Cadastros!$H$6:$H$90))))</f>
        <v/>
      </c>
      <c r="AJ1814" s="168" t="str">
        <f t="shared" si="371"/>
        <v/>
      </c>
      <c r="AK1814" s="168" t="str">
        <f t="shared" si="372"/>
        <v/>
      </c>
      <c r="AL1814" s="28"/>
      <c r="AM1814" s="28"/>
      <c r="AN1814" s="20" t="str">
        <f>IF(AL1814="","",IF($F1814="Bernardino Furlan",_xlfn.XLOOKUP(AL1814,Cadastros!$G$6:$G$90,Cadastros!$H$6:$H$90)*(1-0.18),IF($F1814="Mauro José Salanti",_xlfn.XLOOKUP(AL1814,Cadastros!$G$6:$G$90,Cadastros!$H$6:$H$90)*(1-0.18),_xlfn.XLOOKUP(AL1814,Cadastros!$G$6:$G$90,Cadastros!$H$6:$H$90))))</f>
        <v/>
      </c>
      <c r="AO1814" s="168" t="str">
        <f t="shared" si="373"/>
        <v/>
      </c>
      <c r="AP1814" s="168" t="str">
        <f t="shared" si="374"/>
        <v/>
      </c>
      <c r="AQ1814" s="28"/>
      <c r="AR1814" s="28"/>
      <c r="AS1814" s="20" t="str">
        <f>IF(AQ1814="","",IF($F1814="Bernardino Furlan",_xlfn.XLOOKUP(AQ1814,Cadastros!$G$6:$G$90,Cadastros!$H$6:$H$90)*(1-0.18),IF($F1814="Mauro José Salanti",_xlfn.XLOOKUP(AQ1814,Cadastros!$G$6:$G$90,Cadastros!$H$6:$H$90)*(1-0.18),_xlfn.XLOOKUP(AQ1814,Cadastros!$G$6:$G$90,Cadastros!$H$6:$H$90))))</f>
        <v/>
      </c>
      <c r="AT1814" s="168" t="str">
        <f t="shared" si="375"/>
        <v/>
      </c>
      <c r="AU1814" s="168" t="str">
        <f t="shared" si="376"/>
        <v/>
      </c>
      <c r="AV1814" s="227"/>
      <c r="AW1814" s="30"/>
      <c r="AX1814" s="267"/>
      <c r="AY1814" s="267"/>
      <c r="AZ1814" s="29"/>
      <c r="BA1814" s="30"/>
      <c r="BB1814" s="23" t="str" cm="1">
        <f t="array" ref="BB1814">_xlfn.IFS(AW1814="SIM",SUM(K1814,P1814,U1814,Z1814,AE1814,AJ1814,AO1814,AT1814,AX1814,AY1814),F1814&lt;&gt;"",SUM(K1814,P1814,U1814,Z1814,AE1814,AJ1814,,AO1814,AT1814),F1814="","")</f>
        <v/>
      </c>
      <c r="BC1814" s="211" t="str" cm="1">
        <f t="array" ref="BC1814">_xlfn.IFS(E1814="","",G1814&lt;=E1814,BB1814*(1-0.03),G1814&lt;(E1814+8),BB1814,AZ1814="Boleto",BB1814*(1+0.001)^DATEDIF(E1814,G1814,"D"),AZ1814="Cheque",BB1814,AZ1814="Dinheiro","Alterar forma pgto")</f>
        <v/>
      </c>
      <c r="BD1814" s="276" t="str" cm="1">
        <f t="array" ref="BD1814">IF(F1814=0," ",IF(BC1814&lt;BB1814,(_xlfn.IFS(AW1814="SIM",SUM(L1814,Q1814,V1814,AA1814,AF1814,AK1814,AP1814,AU1814)+AX1814/_xlfn.XLOOKUP(_xlfn.XLOOKUP($F1814,Clientes!$B$4:$B$39,Clientes!$C$4:$C$39),Cadastros!$L$6:$L$12,Cadastros!$M$6:$M$12)+IF($F1814="Bernardino Furlan",AY1814/2751.92,IF($F1814="Mauro José Salanti",AY1814/2751.92,AY1814/3356)),F1814&lt;&gt;0,SUM(L1814,Q1814,V1814,AA1814,AF1814,AK1814,AP1814,AU1814)))*(1-0.03),_xlfn.IFS(AW1814="SIM",SUM(L1814,Q1814,V1814,AA1814,AF1814,AK1814,AP1814,AU1814)+AX1814/_xlfn.XLOOKUP(_xlfn.XLOOKUP($F1814,Clientes!$B$4:$B$39,Clientes!$C$4:$C$39),Cadastros!$L$6:$L$12,Cadastros!$M$6:$M$12)+IF($F1814="Bernardino Furlan",AY1814/2751.92,IF($F1814="Mauro José Salanti",AY1814/2751.92,AY1814/3356)),F1814&lt;&gt;0,SUM(L1814,Q1814,V1814,AA1814,AF1814,AK1814,AP1814,AU1814))))</f>
        <v xml:space="preserve"> </v>
      </c>
      <c r="BE1814" s="120"/>
      <c r="BF1814" s="120"/>
      <c r="BG1814" s="120"/>
    </row>
    <row r="1815" spans="1:59" s="3" customFormat="1" x14ac:dyDescent="0.3">
      <c r="A1815" s="15" t="str">
        <f t="shared" si="364"/>
        <v/>
      </c>
      <c r="B1815" s="25"/>
      <c r="C1815" s="26"/>
      <c r="D1815" s="279"/>
      <c r="E1815" s="27"/>
      <c r="F1815" s="28"/>
      <c r="G1815" s="27"/>
      <c r="H1815" s="28"/>
      <c r="I1815" s="28"/>
      <c r="J1815" s="255" t="str">
        <f>IF(H1815="","",(_xlfn.XLOOKUP(H1815,Cadastros!$D$6:$D$90,Cadastros!$E$6:$E$90))*(1-_xlfn.XLOOKUP(_xlfn.XLOOKUP($F1815,Clientes!$B$4:$B$39,Clientes!$C$4:$C$39),Cadastros!$L$6:$L$12,Cadastros!$N$6:$N$12)))</f>
        <v/>
      </c>
      <c r="K1815" s="168" t="str">
        <f t="shared" si="365"/>
        <v/>
      </c>
      <c r="L1815" s="168" t="str">
        <f>IFERROR(K1815/_xlfn.XLOOKUP(_xlfn.XLOOKUP($F1815,Clientes!$B$4:$B$39,Clientes!$C$4:$C$39),Cadastros!$L$6:$L$12,Cadastros!$M$6:$M$12)," ")</f>
        <v xml:space="preserve"> </v>
      </c>
      <c r="M1815" s="28"/>
      <c r="N1815" s="28"/>
      <c r="O1815" s="255" t="str">
        <f>IF(M1815="","",(_xlfn.XLOOKUP(M1815,Cadastros!$D$6:$D$90,Cadastros!$E$6:$E$90))*(1-_xlfn.XLOOKUP(_xlfn.XLOOKUP($F1815,Clientes!$B$4:$B$39,Clientes!$C$4:$C$39),Cadastros!$L$6:$L$12,Cadastros!$N$6:$N$12)))</f>
        <v/>
      </c>
      <c r="P1815" s="168" t="str">
        <f t="shared" si="366"/>
        <v/>
      </c>
      <c r="Q1815" s="168" t="str">
        <f>IFERROR(P1815/_xlfn.XLOOKUP(_xlfn.XLOOKUP($F1815,Clientes!$B$4:$B$39,Clientes!$C$4:$C$39),Cadastros!$L$6:$L$12,Cadastros!$M$6:$M$12)," ")</f>
        <v xml:space="preserve"> </v>
      </c>
      <c r="R1815" s="28"/>
      <c r="S1815" s="28"/>
      <c r="T1815" s="255" t="str">
        <f>IF(R1815="","",(_xlfn.XLOOKUP(R1815,Cadastros!$D$6:$D$90,Cadastros!$E$6:$E$90))*(1-_xlfn.XLOOKUP(_xlfn.XLOOKUP($F1815,Clientes!$B$4:$B$39,Clientes!$C$4:$C$39),Cadastros!$L$6:$L$12,Cadastros!$N$6:$N$12)))</f>
        <v/>
      </c>
      <c r="U1815" s="168" t="str">
        <f t="shared" si="367"/>
        <v/>
      </c>
      <c r="V1815" s="168" t="str">
        <f>IFERROR(U1815/_xlfn.XLOOKUP(_xlfn.XLOOKUP($F1815,Clientes!$B$4:$B$39,Clientes!$C$4:$C$39),Cadastros!$L$6:$L$12,Cadastros!$M$6:$M$12)," ")</f>
        <v xml:space="preserve"> </v>
      </c>
      <c r="W1815" s="28"/>
      <c r="X1815" s="28"/>
      <c r="Y1815" s="255" t="str">
        <f>IF(W1815="","",(_xlfn.XLOOKUP(W1815,Cadastros!$D$6:$D$90,Cadastros!$E$6:$E$90))*(1-_xlfn.XLOOKUP(_xlfn.XLOOKUP($F1815,Clientes!$B$4:$B$39,Clientes!$C$4:$C$39),Cadastros!$L$6:$L$12,Cadastros!$N$6:$N$12)))</f>
        <v/>
      </c>
      <c r="Z1815" s="168" t="str">
        <f t="shared" si="368"/>
        <v/>
      </c>
      <c r="AA1815" s="168" t="str">
        <f>IFERROR(Z1815/_xlfn.XLOOKUP(_xlfn.XLOOKUP($F1815,Clientes!$B$4:$B$39,Clientes!$C$4:$C$39),Cadastros!$L$6:$L$12,Cadastros!$M$6:$M$12)," ")</f>
        <v xml:space="preserve"> </v>
      </c>
      <c r="AB1815" s="28"/>
      <c r="AC1815" s="28"/>
      <c r="AD1815" s="20" t="str">
        <f>IF(AB1815="","",IF($F1815="Bernardino Furlan",_xlfn.XLOOKUP(AB1815,Cadastros!$G$6:$G$90,Cadastros!$H$6:$H$90)*(1-0.18),IF($F1815="Mauro José Salanti",_xlfn.XLOOKUP(AB1815,Cadastros!$G$6:$G$90,Cadastros!$H$6:$H$90)*(1-0.18),_xlfn.XLOOKUP(AB1815,Cadastros!$G$6:$G$90,Cadastros!$H$6:$H$90))))</f>
        <v/>
      </c>
      <c r="AE1815" s="168" t="str">
        <f t="shared" si="369"/>
        <v/>
      </c>
      <c r="AF1815" s="168" t="str">
        <f t="shared" si="370"/>
        <v/>
      </c>
      <c r="AG1815" s="28"/>
      <c r="AH1815" s="28"/>
      <c r="AI1815" s="20" t="str">
        <f>IF(AG1815="","",IF($F1815="Bernardino Furlan",_xlfn.XLOOKUP(AG1815,Cadastros!$G$6:$G$90,Cadastros!$H$6:$H$90)*(1-0.18),IF($F1815="Mauro José Salanti",_xlfn.XLOOKUP(AG1815,Cadastros!$G$6:$G$90,Cadastros!$H$6:$H$90)*(1-0.18),_xlfn.XLOOKUP(AG1815,Cadastros!$G$6:$G$90,Cadastros!$H$6:$H$90))))</f>
        <v/>
      </c>
      <c r="AJ1815" s="168" t="str">
        <f t="shared" si="371"/>
        <v/>
      </c>
      <c r="AK1815" s="168" t="str">
        <f t="shared" si="372"/>
        <v/>
      </c>
      <c r="AL1815" s="28"/>
      <c r="AM1815" s="28"/>
      <c r="AN1815" s="20" t="str">
        <f>IF(AL1815="","",IF($F1815="Bernardino Furlan",_xlfn.XLOOKUP(AL1815,Cadastros!$G$6:$G$90,Cadastros!$H$6:$H$90)*(1-0.18),IF($F1815="Mauro José Salanti",_xlfn.XLOOKUP(AL1815,Cadastros!$G$6:$G$90,Cadastros!$H$6:$H$90)*(1-0.18),_xlfn.XLOOKUP(AL1815,Cadastros!$G$6:$G$90,Cadastros!$H$6:$H$90))))</f>
        <v/>
      </c>
      <c r="AO1815" s="168" t="str">
        <f t="shared" si="373"/>
        <v/>
      </c>
      <c r="AP1815" s="168" t="str">
        <f t="shared" si="374"/>
        <v/>
      </c>
      <c r="AQ1815" s="28"/>
      <c r="AR1815" s="28"/>
      <c r="AS1815" s="20" t="str">
        <f>IF(AQ1815="","",IF($F1815="Bernardino Furlan",_xlfn.XLOOKUP(AQ1815,Cadastros!$G$6:$G$90,Cadastros!$H$6:$H$90)*(1-0.18),IF($F1815="Mauro José Salanti",_xlfn.XLOOKUP(AQ1815,Cadastros!$G$6:$G$90,Cadastros!$H$6:$H$90)*(1-0.18),_xlfn.XLOOKUP(AQ1815,Cadastros!$G$6:$G$90,Cadastros!$H$6:$H$90))))</f>
        <v/>
      </c>
      <c r="AT1815" s="168" t="str">
        <f t="shared" si="375"/>
        <v/>
      </c>
      <c r="AU1815" s="168" t="str">
        <f t="shared" si="376"/>
        <v/>
      </c>
      <c r="AV1815" s="227"/>
      <c r="AW1815" s="30"/>
      <c r="AX1815" s="267"/>
      <c r="AY1815" s="267"/>
      <c r="AZ1815" s="29"/>
      <c r="BA1815" s="30"/>
      <c r="BB1815" s="23" t="str" cm="1">
        <f t="array" ref="BB1815">_xlfn.IFS(AW1815="SIM",SUM(K1815,P1815,U1815,Z1815,AE1815,AJ1815,AO1815,AT1815,AX1815,AY1815),F1815&lt;&gt;"",SUM(K1815,P1815,U1815,Z1815,AE1815,AJ1815,,AO1815,AT1815),F1815="","")</f>
        <v/>
      </c>
      <c r="BC1815" s="211" t="str" cm="1">
        <f t="array" ref="BC1815">_xlfn.IFS(E1815="","",G1815&lt;=E1815,BB1815*(1-0.03),G1815&lt;(E1815+8),BB1815,AZ1815="Boleto",BB1815*(1+0.001)^DATEDIF(E1815,G1815,"D"),AZ1815="Cheque",BB1815,AZ1815="Dinheiro","Alterar forma pgto")</f>
        <v/>
      </c>
      <c r="BD1815" s="276" t="str" cm="1">
        <f t="array" ref="BD1815">IF(F1815=0," ",IF(BC1815&lt;BB1815,(_xlfn.IFS(AW1815="SIM",SUM(L1815,Q1815,V1815,AA1815,AF1815,AK1815,AP1815,AU1815)+AX1815/_xlfn.XLOOKUP(_xlfn.XLOOKUP($F1815,Clientes!$B$4:$B$39,Clientes!$C$4:$C$39),Cadastros!$L$6:$L$12,Cadastros!$M$6:$M$12)+IF($F1815="Bernardino Furlan",AY1815/2751.92,IF($F1815="Mauro José Salanti",AY1815/2751.92,AY1815/3356)),F1815&lt;&gt;0,SUM(L1815,Q1815,V1815,AA1815,AF1815,AK1815,AP1815,AU1815)))*(1-0.03),_xlfn.IFS(AW1815="SIM",SUM(L1815,Q1815,V1815,AA1815,AF1815,AK1815,AP1815,AU1815)+AX1815/_xlfn.XLOOKUP(_xlfn.XLOOKUP($F1815,Clientes!$B$4:$B$39,Clientes!$C$4:$C$39),Cadastros!$L$6:$L$12,Cadastros!$M$6:$M$12)+IF($F1815="Bernardino Furlan",AY1815/2751.92,IF($F1815="Mauro José Salanti",AY1815/2751.92,AY1815/3356)),F1815&lt;&gt;0,SUM(L1815,Q1815,V1815,AA1815,AF1815,AK1815,AP1815,AU1815))))</f>
        <v xml:space="preserve"> </v>
      </c>
      <c r="BE1815" s="120"/>
      <c r="BF1815" s="120"/>
      <c r="BG1815" s="120"/>
    </row>
    <row r="1816" spans="1:59" s="3" customFormat="1" x14ac:dyDescent="0.3">
      <c r="A1816" s="15" t="str">
        <f t="shared" si="364"/>
        <v/>
      </c>
      <c r="B1816" s="25"/>
      <c r="C1816" s="26"/>
      <c r="D1816" s="279"/>
      <c r="E1816" s="27"/>
      <c r="F1816" s="28"/>
      <c r="G1816" s="27"/>
      <c r="H1816" s="28"/>
      <c r="I1816" s="28"/>
      <c r="J1816" s="255" t="str">
        <f>IF(H1816="","",(_xlfn.XLOOKUP(H1816,Cadastros!$D$6:$D$90,Cadastros!$E$6:$E$90))*(1-_xlfn.XLOOKUP(_xlfn.XLOOKUP($F1816,Clientes!$B$4:$B$39,Clientes!$C$4:$C$39),Cadastros!$L$6:$L$12,Cadastros!$N$6:$N$12)))</f>
        <v/>
      </c>
      <c r="K1816" s="168" t="str">
        <f t="shared" si="365"/>
        <v/>
      </c>
      <c r="L1816" s="168" t="str">
        <f>IFERROR(K1816/_xlfn.XLOOKUP(_xlfn.XLOOKUP($F1816,Clientes!$B$4:$B$39,Clientes!$C$4:$C$39),Cadastros!$L$6:$L$12,Cadastros!$M$6:$M$12)," ")</f>
        <v xml:space="preserve"> </v>
      </c>
      <c r="M1816" s="28"/>
      <c r="N1816" s="28"/>
      <c r="O1816" s="255" t="str">
        <f>IF(M1816="","",(_xlfn.XLOOKUP(M1816,Cadastros!$D$6:$D$90,Cadastros!$E$6:$E$90))*(1-_xlfn.XLOOKUP(_xlfn.XLOOKUP($F1816,Clientes!$B$4:$B$39,Clientes!$C$4:$C$39),Cadastros!$L$6:$L$12,Cadastros!$N$6:$N$12)))</f>
        <v/>
      </c>
      <c r="P1816" s="168" t="str">
        <f t="shared" si="366"/>
        <v/>
      </c>
      <c r="Q1816" s="168" t="str">
        <f>IFERROR(P1816/_xlfn.XLOOKUP(_xlfn.XLOOKUP($F1816,Clientes!$B$4:$B$39,Clientes!$C$4:$C$39),Cadastros!$L$6:$L$12,Cadastros!$M$6:$M$12)," ")</f>
        <v xml:space="preserve"> </v>
      </c>
      <c r="R1816" s="28"/>
      <c r="S1816" s="28"/>
      <c r="T1816" s="255" t="str">
        <f>IF(R1816="","",(_xlfn.XLOOKUP(R1816,Cadastros!$D$6:$D$90,Cadastros!$E$6:$E$90))*(1-_xlfn.XLOOKUP(_xlfn.XLOOKUP($F1816,Clientes!$B$4:$B$39,Clientes!$C$4:$C$39),Cadastros!$L$6:$L$12,Cadastros!$N$6:$N$12)))</f>
        <v/>
      </c>
      <c r="U1816" s="168" t="str">
        <f t="shared" si="367"/>
        <v/>
      </c>
      <c r="V1816" s="168" t="str">
        <f>IFERROR(U1816/_xlfn.XLOOKUP(_xlfn.XLOOKUP($F1816,Clientes!$B$4:$B$39,Clientes!$C$4:$C$39),Cadastros!$L$6:$L$12,Cadastros!$M$6:$M$12)," ")</f>
        <v xml:space="preserve"> </v>
      </c>
      <c r="W1816" s="28"/>
      <c r="X1816" s="28"/>
      <c r="Y1816" s="255" t="str">
        <f>IF(W1816="","",(_xlfn.XLOOKUP(W1816,Cadastros!$D$6:$D$90,Cadastros!$E$6:$E$90))*(1-_xlfn.XLOOKUP(_xlfn.XLOOKUP($F1816,Clientes!$B$4:$B$39,Clientes!$C$4:$C$39),Cadastros!$L$6:$L$12,Cadastros!$N$6:$N$12)))</f>
        <v/>
      </c>
      <c r="Z1816" s="168" t="str">
        <f t="shared" si="368"/>
        <v/>
      </c>
      <c r="AA1816" s="168" t="str">
        <f>IFERROR(Z1816/_xlfn.XLOOKUP(_xlfn.XLOOKUP($F1816,Clientes!$B$4:$B$39,Clientes!$C$4:$C$39),Cadastros!$L$6:$L$12,Cadastros!$M$6:$M$12)," ")</f>
        <v xml:space="preserve"> </v>
      </c>
      <c r="AB1816" s="28"/>
      <c r="AC1816" s="28"/>
      <c r="AD1816" s="20" t="str">
        <f>IF(AB1816="","",IF($F1816="Bernardino Furlan",_xlfn.XLOOKUP(AB1816,Cadastros!$G$6:$G$90,Cadastros!$H$6:$H$90)*(1-0.18),IF($F1816="Mauro José Salanti",_xlfn.XLOOKUP(AB1816,Cadastros!$G$6:$G$90,Cadastros!$H$6:$H$90)*(1-0.18),_xlfn.XLOOKUP(AB1816,Cadastros!$G$6:$G$90,Cadastros!$H$6:$H$90))))</f>
        <v/>
      </c>
      <c r="AE1816" s="168" t="str">
        <f t="shared" si="369"/>
        <v/>
      </c>
      <c r="AF1816" s="168" t="str">
        <f t="shared" si="370"/>
        <v/>
      </c>
      <c r="AG1816" s="28"/>
      <c r="AH1816" s="28"/>
      <c r="AI1816" s="20" t="str">
        <f>IF(AG1816="","",IF($F1816="Bernardino Furlan",_xlfn.XLOOKUP(AG1816,Cadastros!$G$6:$G$90,Cadastros!$H$6:$H$90)*(1-0.18),IF($F1816="Mauro José Salanti",_xlfn.XLOOKUP(AG1816,Cadastros!$G$6:$G$90,Cadastros!$H$6:$H$90)*(1-0.18),_xlfn.XLOOKUP(AG1816,Cadastros!$G$6:$G$90,Cadastros!$H$6:$H$90))))</f>
        <v/>
      </c>
      <c r="AJ1816" s="168" t="str">
        <f t="shared" si="371"/>
        <v/>
      </c>
      <c r="AK1816" s="168" t="str">
        <f t="shared" si="372"/>
        <v/>
      </c>
      <c r="AL1816" s="28"/>
      <c r="AM1816" s="28"/>
      <c r="AN1816" s="20" t="str">
        <f>IF(AL1816="","",IF($F1816="Bernardino Furlan",_xlfn.XLOOKUP(AL1816,Cadastros!$G$6:$G$90,Cadastros!$H$6:$H$90)*(1-0.18),IF($F1816="Mauro José Salanti",_xlfn.XLOOKUP(AL1816,Cadastros!$G$6:$G$90,Cadastros!$H$6:$H$90)*(1-0.18),_xlfn.XLOOKUP(AL1816,Cadastros!$G$6:$G$90,Cadastros!$H$6:$H$90))))</f>
        <v/>
      </c>
      <c r="AO1816" s="168" t="str">
        <f t="shared" si="373"/>
        <v/>
      </c>
      <c r="AP1816" s="168" t="str">
        <f t="shared" si="374"/>
        <v/>
      </c>
      <c r="AQ1816" s="28"/>
      <c r="AR1816" s="28"/>
      <c r="AS1816" s="20" t="str">
        <f>IF(AQ1816="","",IF($F1816="Bernardino Furlan",_xlfn.XLOOKUP(AQ1816,Cadastros!$G$6:$G$90,Cadastros!$H$6:$H$90)*(1-0.18),IF($F1816="Mauro José Salanti",_xlfn.XLOOKUP(AQ1816,Cadastros!$G$6:$G$90,Cadastros!$H$6:$H$90)*(1-0.18),_xlfn.XLOOKUP(AQ1816,Cadastros!$G$6:$G$90,Cadastros!$H$6:$H$90))))</f>
        <v/>
      </c>
      <c r="AT1816" s="168" t="str">
        <f t="shared" si="375"/>
        <v/>
      </c>
      <c r="AU1816" s="168" t="str">
        <f t="shared" si="376"/>
        <v/>
      </c>
      <c r="AV1816" s="227"/>
      <c r="AW1816" s="30"/>
      <c r="AX1816" s="267"/>
      <c r="AY1816" s="267"/>
      <c r="AZ1816" s="29"/>
      <c r="BA1816" s="30"/>
      <c r="BB1816" s="23" t="str" cm="1">
        <f t="array" ref="BB1816">_xlfn.IFS(AW1816="SIM",SUM(K1816,P1816,U1816,Z1816,AE1816,AJ1816,AO1816,AT1816,AX1816,AY1816),F1816&lt;&gt;"",SUM(K1816,P1816,U1816,Z1816,AE1816,AJ1816,,AO1816,AT1816),F1816="","")</f>
        <v/>
      </c>
      <c r="BC1816" s="211" t="str" cm="1">
        <f t="array" ref="BC1816">_xlfn.IFS(E1816="","",G1816&lt;=E1816,BB1816*(1-0.03),G1816&lt;(E1816+8),BB1816,AZ1816="Boleto",BB1816*(1+0.001)^DATEDIF(E1816,G1816,"D"),AZ1816="Cheque",BB1816,AZ1816="Dinheiro","Alterar forma pgto")</f>
        <v/>
      </c>
      <c r="BD1816" s="276" t="str" cm="1">
        <f t="array" ref="BD1816">IF(F1816=0," ",IF(BC1816&lt;BB1816,(_xlfn.IFS(AW1816="SIM",SUM(L1816,Q1816,V1816,AA1816,AF1816,AK1816,AP1816,AU1816)+AX1816/_xlfn.XLOOKUP(_xlfn.XLOOKUP($F1816,Clientes!$B$4:$B$39,Clientes!$C$4:$C$39),Cadastros!$L$6:$L$12,Cadastros!$M$6:$M$12)+IF($F1816="Bernardino Furlan",AY1816/2751.92,IF($F1816="Mauro José Salanti",AY1816/2751.92,AY1816/3356)),F1816&lt;&gt;0,SUM(L1816,Q1816,V1816,AA1816,AF1816,AK1816,AP1816,AU1816)))*(1-0.03),_xlfn.IFS(AW1816="SIM",SUM(L1816,Q1816,V1816,AA1816,AF1816,AK1816,AP1816,AU1816)+AX1816/_xlfn.XLOOKUP(_xlfn.XLOOKUP($F1816,Clientes!$B$4:$B$39,Clientes!$C$4:$C$39),Cadastros!$L$6:$L$12,Cadastros!$M$6:$M$12)+IF($F1816="Bernardino Furlan",AY1816/2751.92,IF($F1816="Mauro José Salanti",AY1816/2751.92,AY1816/3356)),F1816&lt;&gt;0,SUM(L1816,Q1816,V1816,AA1816,AF1816,AK1816,AP1816,AU1816))))</f>
        <v xml:space="preserve"> </v>
      </c>
      <c r="BE1816" s="120"/>
      <c r="BF1816" s="120"/>
      <c r="BG1816" s="120"/>
    </row>
    <row r="1817" spans="1:59" s="3" customFormat="1" x14ac:dyDescent="0.3">
      <c r="A1817" s="15" t="str">
        <f t="shared" si="364"/>
        <v/>
      </c>
      <c r="B1817" s="25"/>
      <c r="C1817" s="26"/>
      <c r="D1817" s="279"/>
      <c r="E1817" s="27"/>
      <c r="F1817" s="28"/>
      <c r="G1817" s="27"/>
      <c r="H1817" s="28"/>
      <c r="I1817" s="28"/>
      <c r="J1817" s="255" t="str">
        <f>IF(H1817="","",(_xlfn.XLOOKUP(H1817,Cadastros!$D$6:$D$90,Cadastros!$E$6:$E$90))*(1-_xlfn.XLOOKUP(_xlfn.XLOOKUP($F1817,Clientes!$B$4:$B$39,Clientes!$C$4:$C$39),Cadastros!$L$6:$L$12,Cadastros!$N$6:$N$12)))</f>
        <v/>
      </c>
      <c r="K1817" s="168" t="str">
        <f t="shared" si="365"/>
        <v/>
      </c>
      <c r="L1817" s="168" t="str">
        <f>IFERROR(K1817/_xlfn.XLOOKUP(_xlfn.XLOOKUP($F1817,Clientes!$B$4:$B$39,Clientes!$C$4:$C$39),Cadastros!$L$6:$L$12,Cadastros!$M$6:$M$12)," ")</f>
        <v xml:space="preserve"> </v>
      </c>
      <c r="M1817" s="28"/>
      <c r="N1817" s="28"/>
      <c r="O1817" s="255" t="str">
        <f>IF(M1817="","",(_xlfn.XLOOKUP(M1817,Cadastros!$D$6:$D$90,Cadastros!$E$6:$E$90))*(1-_xlfn.XLOOKUP(_xlfn.XLOOKUP($F1817,Clientes!$B$4:$B$39,Clientes!$C$4:$C$39),Cadastros!$L$6:$L$12,Cadastros!$N$6:$N$12)))</f>
        <v/>
      </c>
      <c r="P1817" s="168" t="str">
        <f t="shared" si="366"/>
        <v/>
      </c>
      <c r="Q1817" s="168" t="str">
        <f>IFERROR(P1817/_xlfn.XLOOKUP(_xlfn.XLOOKUP($F1817,Clientes!$B$4:$B$39,Clientes!$C$4:$C$39),Cadastros!$L$6:$L$12,Cadastros!$M$6:$M$12)," ")</f>
        <v xml:space="preserve"> </v>
      </c>
      <c r="R1817" s="28"/>
      <c r="S1817" s="28"/>
      <c r="T1817" s="255" t="str">
        <f>IF(R1817="","",(_xlfn.XLOOKUP(R1817,Cadastros!$D$6:$D$90,Cadastros!$E$6:$E$90))*(1-_xlfn.XLOOKUP(_xlfn.XLOOKUP($F1817,Clientes!$B$4:$B$39,Clientes!$C$4:$C$39),Cadastros!$L$6:$L$12,Cadastros!$N$6:$N$12)))</f>
        <v/>
      </c>
      <c r="U1817" s="168" t="str">
        <f t="shared" si="367"/>
        <v/>
      </c>
      <c r="V1817" s="168" t="str">
        <f>IFERROR(U1817/_xlfn.XLOOKUP(_xlfn.XLOOKUP($F1817,Clientes!$B$4:$B$39,Clientes!$C$4:$C$39),Cadastros!$L$6:$L$12,Cadastros!$M$6:$M$12)," ")</f>
        <v xml:space="preserve"> </v>
      </c>
      <c r="W1817" s="28"/>
      <c r="X1817" s="28"/>
      <c r="Y1817" s="255" t="str">
        <f>IF(W1817="","",(_xlfn.XLOOKUP(W1817,Cadastros!$D$6:$D$90,Cadastros!$E$6:$E$90))*(1-_xlfn.XLOOKUP(_xlfn.XLOOKUP($F1817,Clientes!$B$4:$B$39,Clientes!$C$4:$C$39),Cadastros!$L$6:$L$12,Cadastros!$N$6:$N$12)))</f>
        <v/>
      </c>
      <c r="Z1817" s="168" t="str">
        <f t="shared" si="368"/>
        <v/>
      </c>
      <c r="AA1817" s="168" t="str">
        <f>IFERROR(Z1817/_xlfn.XLOOKUP(_xlfn.XLOOKUP($F1817,Clientes!$B$4:$B$39,Clientes!$C$4:$C$39),Cadastros!$L$6:$L$12,Cadastros!$M$6:$M$12)," ")</f>
        <v xml:space="preserve"> </v>
      </c>
      <c r="AB1817" s="28"/>
      <c r="AC1817" s="28"/>
      <c r="AD1817" s="20" t="str">
        <f>IF(AB1817="","",IF($F1817="Bernardino Furlan",_xlfn.XLOOKUP(AB1817,Cadastros!$G$6:$G$90,Cadastros!$H$6:$H$90)*(1-0.18),IF($F1817="Mauro José Salanti",_xlfn.XLOOKUP(AB1817,Cadastros!$G$6:$G$90,Cadastros!$H$6:$H$90)*(1-0.18),_xlfn.XLOOKUP(AB1817,Cadastros!$G$6:$G$90,Cadastros!$H$6:$H$90))))</f>
        <v/>
      </c>
      <c r="AE1817" s="168" t="str">
        <f t="shared" si="369"/>
        <v/>
      </c>
      <c r="AF1817" s="168" t="str">
        <f t="shared" si="370"/>
        <v/>
      </c>
      <c r="AG1817" s="28"/>
      <c r="AH1817" s="28"/>
      <c r="AI1817" s="20" t="str">
        <f>IF(AG1817="","",IF($F1817="Bernardino Furlan",_xlfn.XLOOKUP(AG1817,Cadastros!$G$6:$G$90,Cadastros!$H$6:$H$90)*(1-0.18),IF($F1817="Mauro José Salanti",_xlfn.XLOOKUP(AG1817,Cadastros!$G$6:$G$90,Cadastros!$H$6:$H$90)*(1-0.18),_xlfn.XLOOKUP(AG1817,Cadastros!$G$6:$G$90,Cadastros!$H$6:$H$90))))</f>
        <v/>
      </c>
      <c r="AJ1817" s="168" t="str">
        <f t="shared" si="371"/>
        <v/>
      </c>
      <c r="AK1817" s="168" t="str">
        <f t="shared" si="372"/>
        <v/>
      </c>
      <c r="AL1817" s="28"/>
      <c r="AM1817" s="28"/>
      <c r="AN1817" s="20" t="str">
        <f>IF(AL1817="","",IF($F1817="Bernardino Furlan",_xlfn.XLOOKUP(AL1817,Cadastros!$G$6:$G$90,Cadastros!$H$6:$H$90)*(1-0.18),IF($F1817="Mauro José Salanti",_xlfn.XLOOKUP(AL1817,Cadastros!$G$6:$G$90,Cadastros!$H$6:$H$90)*(1-0.18),_xlfn.XLOOKUP(AL1817,Cadastros!$G$6:$G$90,Cadastros!$H$6:$H$90))))</f>
        <v/>
      </c>
      <c r="AO1817" s="168" t="str">
        <f t="shared" si="373"/>
        <v/>
      </c>
      <c r="AP1817" s="168" t="str">
        <f t="shared" si="374"/>
        <v/>
      </c>
      <c r="AQ1817" s="28"/>
      <c r="AR1817" s="28"/>
      <c r="AS1817" s="20" t="str">
        <f>IF(AQ1817="","",IF($F1817="Bernardino Furlan",_xlfn.XLOOKUP(AQ1817,Cadastros!$G$6:$G$90,Cadastros!$H$6:$H$90)*(1-0.18),IF($F1817="Mauro José Salanti",_xlfn.XLOOKUP(AQ1817,Cadastros!$G$6:$G$90,Cadastros!$H$6:$H$90)*(1-0.18),_xlfn.XLOOKUP(AQ1817,Cadastros!$G$6:$G$90,Cadastros!$H$6:$H$90))))</f>
        <v/>
      </c>
      <c r="AT1817" s="168" t="str">
        <f t="shared" si="375"/>
        <v/>
      </c>
      <c r="AU1817" s="168" t="str">
        <f t="shared" si="376"/>
        <v/>
      </c>
      <c r="AV1817" s="227"/>
      <c r="AW1817" s="30"/>
      <c r="AX1817" s="267"/>
      <c r="AY1817" s="267"/>
      <c r="AZ1817" s="29"/>
      <c r="BA1817" s="30"/>
      <c r="BB1817" s="23" t="str" cm="1">
        <f t="array" ref="BB1817">_xlfn.IFS(AW1817="SIM",SUM(K1817,P1817,U1817,Z1817,AE1817,AJ1817,AO1817,AT1817,AX1817,AY1817),F1817&lt;&gt;"",SUM(K1817,P1817,U1817,Z1817,AE1817,AJ1817,,AO1817,AT1817),F1817="","")</f>
        <v/>
      </c>
      <c r="BC1817" s="211" t="str" cm="1">
        <f t="array" ref="BC1817">_xlfn.IFS(E1817="","",G1817&lt;=E1817,BB1817*(1-0.03),G1817&lt;(E1817+8),BB1817,AZ1817="Boleto",BB1817*(1+0.001)^DATEDIF(E1817,G1817,"D"),AZ1817="Cheque",BB1817,AZ1817="Dinheiro","Alterar forma pgto")</f>
        <v/>
      </c>
      <c r="BD1817" s="276" t="str" cm="1">
        <f t="array" ref="BD1817">IF(F1817=0," ",IF(BC1817&lt;BB1817,(_xlfn.IFS(AW1817="SIM",SUM(L1817,Q1817,V1817,AA1817,AF1817,AK1817,AP1817,AU1817)+AX1817/_xlfn.XLOOKUP(_xlfn.XLOOKUP($F1817,Clientes!$B$4:$B$39,Clientes!$C$4:$C$39),Cadastros!$L$6:$L$12,Cadastros!$M$6:$M$12)+IF($F1817="Bernardino Furlan",AY1817/2751.92,IF($F1817="Mauro José Salanti",AY1817/2751.92,AY1817/3356)),F1817&lt;&gt;0,SUM(L1817,Q1817,V1817,AA1817,AF1817,AK1817,AP1817,AU1817)))*(1-0.03),_xlfn.IFS(AW1817="SIM",SUM(L1817,Q1817,V1817,AA1817,AF1817,AK1817,AP1817,AU1817)+AX1817/_xlfn.XLOOKUP(_xlfn.XLOOKUP($F1817,Clientes!$B$4:$B$39,Clientes!$C$4:$C$39),Cadastros!$L$6:$L$12,Cadastros!$M$6:$M$12)+IF($F1817="Bernardino Furlan",AY1817/2751.92,IF($F1817="Mauro José Salanti",AY1817/2751.92,AY1817/3356)),F1817&lt;&gt;0,SUM(L1817,Q1817,V1817,AA1817,AF1817,AK1817,AP1817,AU1817))))</f>
        <v xml:space="preserve"> </v>
      </c>
      <c r="BE1817" s="120"/>
      <c r="BF1817" s="120"/>
      <c r="BG1817" s="120"/>
    </row>
    <row r="1818" spans="1:59" s="3" customFormat="1" x14ac:dyDescent="0.3">
      <c r="A1818" s="15" t="str">
        <f t="shared" si="364"/>
        <v/>
      </c>
      <c r="B1818" s="25"/>
      <c r="C1818" s="26"/>
      <c r="D1818" s="279"/>
      <c r="E1818" s="27"/>
      <c r="F1818" s="28"/>
      <c r="G1818" s="27"/>
      <c r="H1818" s="28"/>
      <c r="I1818" s="28"/>
      <c r="J1818" s="255" t="str">
        <f>IF(H1818="","",(_xlfn.XLOOKUP(H1818,Cadastros!$D$6:$D$90,Cadastros!$E$6:$E$90))*(1-_xlfn.XLOOKUP(_xlfn.XLOOKUP($F1818,Clientes!$B$4:$B$39,Clientes!$C$4:$C$39),Cadastros!$L$6:$L$12,Cadastros!$N$6:$N$12)))</f>
        <v/>
      </c>
      <c r="K1818" s="168" t="str">
        <f t="shared" si="365"/>
        <v/>
      </c>
      <c r="L1818" s="168" t="str">
        <f>IFERROR(K1818/_xlfn.XLOOKUP(_xlfn.XLOOKUP($F1818,Clientes!$B$4:$B$39,Clientes!$C$4:$C$39),Cadastros!$L$6:$L$12,Cadastros!$M$6:$M$12)," ")</f>
        <v xml:space="preserve"> </v>
      </c>
      <c r="M1818" s="28"/>
      <c r="N1818" s="28"/>
      <c r="O1818" s="255" t="str">
        <f>IF(M1818="","",(_xlfn.XLOOKUP(M1818,Cadastros!$D$6:$D$90,Cadastros!$E$6:$E$90))*(1-_xlfn.XLOOKUP(_xlfn.XLOOKUP($F1818,Clientes!$B$4:$B$39,Clientes!$C$4:$C$39),Cadastros!$L$6:$L$12,Cadastros!$N$6:$N$12)))</f>
        <v/>
      </c>
      <c r="P1818" s="168" t="str">
        <f t="shared" si="366"/>
        <v/>
      </c>
      <c r="Q1818" s="168" t="str">
        <f>IFERROR(P1818/_xlfn.XLOOKUP(_xlfn.XLOOKUP($F1818,Clientes!$B$4:$B$39,Clientes!$C$4:$C$39),Cadastros!$L$6:$L$12,Cadastros!$M$6:$M$12)," ")</f>
        <v xml:space="preserve"> </v>
      </c>
      <c r="R1818" s="28"/>
      <c r="S1818" s="28"/>
      <c r="T1818" s="255" t="str">
        <f>IF(R1818="","",(_xlfn.XLOOKUP(R1818,Cadastros!$D$6:$D$90,Cadastros!$E$6:$E$90))*(1-_xlfn.XLOOKUP(_xlfn.XLOOKUP($F1818,Clientes!$B$4:$B$39,Clientes!$C$4:$C$39),Cadastros!$L$6:$L$12,Cadastros!$N$6:$N$12)))</f>
        <v/>
      </c>
      <c r="U1818" s="168" t="str">
        <f t="shared" si="367"/>
        <v/>
      </c>
      <c r="V1818" s="168" t="str">
        <f>IFERROR(U1818/_xlfn.XLOOKUP(_xlfn.XLOOKUP($F1818,Clientes!$B$4:$B$39,Clientes!$C$4:$C$39),Cadastros!$L$6:$L$12,Cadastros!$M$6:$M$12)," ")</f>
        <v xml:space="preserve"> </v>
      </c>
      <c r="W1818" s="28"/>
      <c r="X1818" s="28"/>
      <c r="Y1818" s="255" t="str">
        <f>IF(W1818="","",(_xlfn.XLOOKUP(W1818,Cadastros!$D$6:$D$90,Cadastros!$E$6:$E$90))*(1-_xlfn.XLOOKUP(_xlfn.XLOOKUP($F1818,Clientes!$B$4:$B$39,Clientes!$C$4:$C$39),Cadastros!$L$6:$L$12,Cadastros!$N$6:$N$12)))</f>
        <v/>
      </c>
      <c r="Z1818" s="168" t="str">
        <f t="shared" si="368"/>
        <v/>
      </c>
      <c r="AA1818" s="168" t="str">
        <f>IFERROR(Z1818/_xlfn.XLOOKUP(_xlfn.XLOOKUP($F1818,Clientes!$B$4:$B$39,Clientes!$C$4:$C$39),Cadastros!$L$6:$L$12,Cadastros!$M$6:$M$12)," ")</f>
        <v xml:space="preserve"> </v>
      </c>
      <c r="AB1818" s="28"/>
      <c r="AC1818" s="28"/>
      <c r="AD1818" s="20" t="str">
        <f>IF(AB1818="","",IF($F1818="Bernardino Furlan",_xlfn.XLOOKUP(AB1818,Cadastros!$G$6:$G$90,Cadastros!$H$6:$H$90)*(1-0.18),IF($F1818="Mauro José Salanti",_xlfn.XLOOKUP(AB1818,Cadastros!$G$6:$G$90,Cadastros!$H$6:$H$90)*(1-0.18),_xlfn.XLOOKUP(AB1818,Cadastros!$G$6:$G$90,Cadastros!$H$6:$H$90))))</f>
        <v/>
      </c>
      <c r="AE1818" s="168" t="str">
        <f t="shared" si="369"/>
        <v/>
      </c>
      <c r="AF1818" s="168" t="str">
        <f t="shared" si="370"/>
        <v/>
      </c>
      <c r="AG1818" s="28"/>
      <c r="AH1818" s="28"/>
      <c r="AI1818" s="20" t="str">
        <f>IF(AG1818="","",IF($F1818="Bernardino Furlan",_xlfn.XLOOKUP(AG1818,Cadastros!$G$6:$G$90,Cadastros!$H$6:$H$90)*(1-0.18),IF($F1818="Mauro José Salanti",_xlfn.XLOOKUP(AG1818,Cadastros!$G$6:$G$90,Cadastros!$H$6:$H$90)*(1-0.18),_xlfn.XLOOKUP(AG1818,Cadastros!$G$6:$G$90,Cadastros!$H$6:$H$90))))</f>
        <v/>
      </c>
      <c r="AJ1818" s="168" t="str">
        <f t="shared" si="371"/>
        <v/>
      </c>
      <c r="AK1818" s="168" t="str">
        <f t="shared" si="372"/>
        <v/>
      </c>
      <c r="AL1818" s="28"/>
      <c r="AM1818" s="28"/>
      <c r="AN1818" s="20" t="str">
        <f>IF(AL1818="","",IF($F1818="Bernardino Furlan",_xlfn.XLOOKUP(AL1818,Cadastros!$G$6:$G$90,Cadastros!$H$6:$H$90)*(1-0.18),IF($F1818="Mauro José Salanti",_xlfn.XLOOKUP(AL1818,Cadastros!$G$6:$G$90,Cadastros!$H$6:$H$90)*(1-0.18),_xlfn.XLOOKUP(AL1818,Cadastros!$G$6:$G$90,Cadastros!$H$6:$H$90))))</f>
        <v/>
      </c>
      <c r="AO1818" s="168" t="str">
        <f t="shared" si="373"/>
        <v/>
      </c>
      <c r="AP1818" s="168" t="str">
        <f t="shared" si="374"/>
        <v/>
      </c>
      <c r="AQ1818" s="28"/>
      <c r="AR1818" s="28"/>
      <c r="AS1818" s="20" t="str">
        <f>IF(AQ1818="","",IF($F1818="Bernardino Furlan",_xlfn.XLOOKUP(AQ1818,Cadastros!$G$6:$G$90,Cadastros!$H$6:$H$90)*(1-0.18),IF($F1818="Mauro José Salanti",_xlfn.XLOOKUP(AQ1818,Cadastros!$G$6:$G$90,Cadastros!$H$6:$H$90)*(1-0.18),_xlfn.XLOOKUP(AQ1818,Cadastros!$G$6:$G$90,Cadastros!$H$6:$H$90))))</f>
        <v/>
      </c>
      <c r="AT1818" s="168" t="str">
        <f t="shared" si="375"/>
        <v/>
      </c>
      <c r="AU1818" s="168" t="str">
        <f t="shared" si="376"/>
        <v/>
      </c>
      <c r="AV1818" s="227"/>
      <c r="AW1818" s="30"/>
      <c r="AX1818" s="267"/>
      <c r="AY1818" s="267"/>
      <c r="AZ1818" s="29"/>
      <c r="BA1818" s="30"/>
      <c r="BB1818" s="23" t="str" cm="1">
        <f t="array" ref="BB1818">_xlfn.IFS(AW1818="SIM",SUM(K1818,P1818,U1818,Z1818,AE1818,AJ1818,AO1818,AT1818,AX1818,AY1818),F1818&lt;&gt;"",SUM(K1818,P1818,U1818,Z1818,AE1818,AJ1818,,AO1818,AT1818),F1818="","")</f>
        <v/>
      </c>
      <c r="BC1818" s="211" t="str" cm="1">
        <f t="array" ref="BC1818">_xlfn.IFS(E1818="","",G1818&lt;=E1818,BB1818*(1-0.03),G1818&lt;(E1818+8),BB1818,AZ1818="Boleto",BB1818*(1+0.001)^DATEDIF(E1818,G1818,"D"),AZ1818="Cheque",BB1818,AZ1818="Dinheiro","Alterar forma pgto")</f>
        <v/>
      </c>
      <c r="BD1818" s="276" t="str" cm="1">
        <f t="array" ref="BD1818">IF(F1818=0," ",IF(BC1818&lt;BB1818,(_xlfn.IFS(AW1818="SIM",SUM(L1818,Q1818,V1818,AA1818,AF1818,AK1818,AP1818,AU1818)+AX1818/_xlfn.XLOOKUP(_xlfn.XLOOKUP($F1818,Clientes!$B$4:$B$39,Clientes!$C$4:$C$39),Cadastros!$L$6:$L$12,Cadastros!$M$6:$M$12)+IF($F1818="Bernardino Furlan",AY1818/2751.92,IF($F1818="Mauro José Salanti",AY1818/2751.92,AY1818/3356)),F1818&lt;&gt;0,SUM(L1818,Q1818,V1818,AA1818,AF1818,AK1818,AP1818,AU1818)))*(1-0.03),_xlfn.IFS(AW1818="SIM",SUM(L1818,Q1818,V1818,AA1818,AF1818,AK1818,AP1818,AU1818)+AX1818/_xlfn.XLOOKUP(_xlfn.XLOOKUP($F1818,Clientes!$B$4:$B$39,Clientes!$C$4:$C$39),Cadastros!$L$6:$L$12,Cadastros!$M$6:$M$12)+IF($F1818="Bernardino Furlan",AY1818/2751.92,IF($F1818="Mauro José Salanti",AY1818/2751.92,AY1818/3356)),F1818&lt;&gt;0,SUM(L1818,Q1818,V1818,AA1818,AF1818,AK1818,AP1818,AU1818))))</f>
        <v xml:space="preserve"> </v>
      </c>
      <c r="BE1818" s="120"/>
      <c r="BF1818" s="120"/>
      <c r="BG1818" s="120"/>
    </row>
    <row r="1819" spans="1:59" s="3" customFormat="1" x14ac:dyDescent="0.3">
      <c r="A1819" s="15" t="str">
        <f t="shared" si="364"/>
        <v/>
      </c>
      <c r="B1819" s="25"/>
      <c r="C1819" s="26"/>
      <c r="D1819" s="279"/>
      <c r="E1819" s="27"/>
      <c r="F1819" s="28"/>
      <c r="G1819" s="27"/>
      <c r="H1819" s="28"/>
      <c r="I1819" s="28"/>
      <c r="J1819" s="255" t="str">
        <f>IF(H1819="","",(_xlfn.XLOOKUP(H1819,Cadastros!$D$6:$D$90,Cadastros!$E$6:$E$90))*(1-_xlfn.XLOOKUP(_xlfn.XLOOKUP($F1819,Clientes!$B$4:$B$39,Clientes!$C$4:$C$39),Cadastros!$L$6:$L$12,Cadastros!$N$6:$N$12)))</f>
        <v/>
      </c>
      <c r="K1819" s="168" t="str">
        <f t="shared" si="365"/>
        <v/>
      </c>
      <c r="L1819" s="168" t="str">
        <f>IFERROR(K1819/_xlfn.XLOOKUP(_xlfn.XLOOKUP($F1819,Clientes!$B$4:$B$39,Clientes!$C$4:$C$39),Cadastros!$L$6:$L$12,Cadastros!$M$6:$M$12)," ")</f>
        <v xml:space="preserve"> </v>
      </c>
      <c r="M1819" s="28"/>
      <c r="N1819" s="28"/>
      <c r="O1819" s="255" t="str">
        <f>IF(M1819="","",(_xlfn.XLOOKUP(M1819,Cadastros!$D$6:$D$90,Cadastros!$E$6:$E$90))*(1-_xlfn.XLOOKUP(_xlfn.XLOOKUP($F1819,Clientes!$B$4:$B$39,Clientes!$C$4:$C$39),Cadastros!$L$6:$L$12,Cadastros!$N$6:$N$12)))</f>
        <v/>
      </c>
      <c r="P1819" s="168" t="str">
        <f t="shared" si="366"/>
        <v/>
      </c>
      <c r="Q1819" s="168" t="str">
        <f>IFERROR(P1819/_xlfn.XLOOKUP(_xlfn.XLOOKUP($F1819,Clientes!$B$4:$B$39,Clientes!$C$4:$C$39),Cadastros!$L$6:$L$12,Cadastros!$M$6:$M$12)," ")</f>
        <v xml:space="preserve"> </v>
      </c>
      <c r="R1819" s="28"/>
      <c r="S1819" s="28"/>
      <c r="T1819" s="255" t="str">
        <f>IF(R1819="","",(_xlfn.XLOOKUP(R1819,Cadastros!$D$6:$D$90,Cadastros!$E$6:$E$90))*(1-_xlfn.XLOOKUP(_xlfn.XLOOKUP($F1819,Clientes!$B$4:$B$39,Clientes!$C$4:$C$39),Cadastros!$L$6:$L$12,Cadastros!$N$6:$N$12)))</f>
        <v/>
      </c>
      <c r="U1819" s="168" t="str">
        <f t="shared" si="367"/>
        <v/>
      </c>
      <c r="V1819" s="168" t="str">
        <f>IFERROR(U1819/_xlfn.XLOOKUP(_xlfn.XLOOKUP($F1819,Clientes!$B$4:$B$39,Clientes!$C$4:$C$39),Cadastros!$L$6:$L$12,Cadastros!$M$6:$M$12)," ")</f>
        <v xml:space="preserve"> </v>
      </c>
      <c r="W1819" s="28"/>
      <c r="X1819" s="28"/>
      <c r="Y1819" s="255" t="str">
        <f>IF(W1819="","",(_xlfn.XLOOKUP(W1819,Cadastros!$D$6:$D$90,Cadastros!$E$6:$E$90))*(1-_xlfn.XLOOKUP(_xlfn.XLOOKUP($F1819,Clientes!$B$4:$B$39,Clientes!$C$4:$C$39),Cadastros!$L$6:$L$12,Cadastros!$N$6:$N$12)))</f>
        <v/>
      </c>
      <c r="Z1819" s="168" t="str">
        <f t="shared" si="368"/>
        <v/>
      </c>
      <c r="AA1819" s="168" t="str">
        <f>IFERROR(Z1819/_xlfn.XLOOKUP(_xlfn.XLOOKUP($F1819,Clientes!$B$4:$B$39,Clientes!$C$4:$C$39),Cadastros!$L$6:$L$12,Cadastros!$M$6:$M$12)," ")</f>
        <v xml:space="preserve"> </v>
      </c>
      <c r="AB1819" s="28"/>
      <c r="AC1819" s="28"/>
      <c r="AD1819" s="20" t="str">
        <f>IF(AB1819="","",IF($F1819="Bernardino Furlan",_xlfn.XLOOKUP(AB1819,Cadastros!$G$6:$G$90,Cadastros!$H$6:$H$90)*(1-0.18),IF($F1819="Mauro José Salanti",_xlfn.XLOOKUP(AB1819,Cadastros!$G$6:$G$90,Cadastros!$H$6:$H$90)*(1-0.18),_xlfn.XLOOKUP(AB1819,Cadastros!$G$6:$G$90,Cadastros!$H$6:$H$90))))</f>
        <v/>
      </c>
      <c r="AE1819" s="168" t="str">
        <f t="shared" si="369"/>
        <v/>
      </c>
      <c r="AF1819" s="168" t="str">
        <f t="shared" si="370"/>
        <v/>
      </c>
      <c r="AG1819" s="28"/>
      <c r="AH1819" s="28"/>
      <c r="AI1819" s="20" t="str">
        <f>IF(AG1819="","",IF($F1819="Bernardino Furlan",_xlfn.XLOOKUP(AG1819,Cadastros!$G$6:$G$90,Cadastros!$H$6:$H$90)*(1-0.18),IF($F1819="Mauro José Salanti",_xlfn.XLOOKUP(AG1819,Cadastros!$G$6:$G$90,Cadastros!$H$6:$H$90)*(1-0.18),_xlfn.XLOOKUP(AG1819,Cadastros!$G$6:$G$90,Cadastros!$H$6:$H$90))))</f>
        <v/>
      </c>
      <c r="AJ1819" s="168" t="str">
        <f t="shared" si="371"/>
        <v/>
      </c>
      <c r="AK1819" s="168" t="str">
        <f t="shared" si="372"/>
        <v/>
      </c>
      <c r="AL1819" s="28"/>
      <c r="AM1819" s="28"/>
      <c r="AN1819" s="20" t="str">
        <f>IF(AL1819="","",IF($F1819="Bernardino Furlan",_xlfn.XLOOKUP(AL1819,Cadastros!$G$6:$G$90,Cadastros!$H$6:$H$90)*(1-0.18),IF($F1819="Mauro José Salanti",_xlfn.XLOOKUP(AL1819,Cadastros!$G$6:$G$90,Cadastros!$H$6:$H$90)*(1-0.18),_xlfn.XLOOKUP(AL1819,Cadastros!$G$6:$G$90,Cadastros!$H$6:$H$90))))</f>
        <v/>
      </c>
      <c r="AO1819" s="168" t="str">
        <f t="shared" si="373"/>
        <v/>
      </c>
      <c r="AP1819" s="168" t="str">
        <f t="shared" si="374"/>
        <v/>
      </c>
      <c r="AQ1819" s="28"/>
      <c r="AR1819" s="28"/>
      <c r="AS1819" s="20" t="str">
        <f>IF(AQ1819="","",IF($F1819="Bernardino Furlan",_xlfn.XLOOKUP(AQ1819,Cadastros!$G$6:$G$90,Cadastros!$H$6:$H$90)*(1-0.18),IF($F1819="Mauro José Salanti",_xlfn.XLOOKUP(AQ1819,Cadastros!$G$6:$G$90,Cadastros!$H$6:$H$90)*(1-0.18),_xlfn.XLOOKUP(AQ1819,Cadastros!$G$6:$G$90,Cadastros!$H$6:$H$90))))</f>
        <v/>
      </c>
      <c r="AT1819" s="168" t="str">
        <f t="shared" si="375"/>
        <v/>
      </c>
      <c r="AU1819" s="168" t="str">
        <f t="shared" si="376"/>
        <v/>
      </c>
      <c r="AV1819" s="227"/>
      <c r="AW1819" s="30"/>
      <c r="AX1819" s="267"/>
      <c r="AY1819" s="267"/>
      <c r="AZ1819" s="29"/>
      <c r="BA1819" s="30"/>
      <c r="BB1819" s="23" t="str" cm="1">
        <f t="array" ref="BB1819">_xlfn.IFS(AW1819="SIM",SUM(K1819,P1819,U1819,Z1819,AE1819,AJ1819,AO1819,AT1819,AX1819,AY1819),F1819&lt;&gt;"",SUM(K1819,P1819,U1819,Z1819,AE1819,AJ1819,,AO1819,AT1819),F1819="","")</f>
        <v/>
      </c>
      <c r="BC1819" s="211" t="str" cm="1">
        <f t="array" ref="BC1819">_xlfn.IFS(E1819="","",G1819&lt;=E1819,BB1819*(1-0.03),G1819&lt;(E1819+8),BB1819,AZ1819="Boleto",BB1819*(1+0.001)^DATEDIF(E1819,G1819,"D"),AZ1819="Cheque",BB1819,AZ1819="Dinheiro","Alterar forma pgto")</f>
        <v/>
      </c>
      <c r="BD1819" s="276" t="str" cm="1">
        <f t="array" ref="BD1819">IF(F1819=0," ",IF(BC1819&lt;BB1819,(_xlfn.IFS(AW1819="SIM",SUM(L1819,Q1819,V1819,AA1819,AF1819,AK1819,AP1819,AU1819)+AX1819/_xlfn.XLOOKUP(_xlfn.XLOOKUP($F1819,Clientes!$B$4:$B$39,Clientes!$C$4:$C$39),Cadastros!$L$6:$L$12,Cadastros!$M$6:$M$12)+IF($F1819="Bernardino Furlan",AY1819/2751.92,IF($F1819="Mauro José Salanti",AY1819/2751.92,AY1819/3356)),F1819&lt;&gt;0,SUM(L1819,Q1819,V1819,AA1819,AF1819,AK1819,AP1819,AU1819)))*(1-0.03),_xlfn.IFS(AW1819="SIM",SUM(L1819,Q1819,V1819,AA1819,AF1819,AK1819,AP1819,AU1819)+AX1819/_xlfn.XLOOKUP(_xlfn.XLOOKUP($F1819,Clientes!$B$4:$B$39,Clientes!$C$4:$C$39),Cadastros!$L$6:$L$12,Cadastros!$M$6:$M$12)+IF($F1819="Bernardino Furlan",AY1819/2751.92,IF($F1819="Mauro José Salanti",AY1819/2751.92,AY1819/3356)),F1819&lt;&gt;0,SUM(L1819,Q1819,V1819,AA1819,AF1819,AK1819,AP1819,AU1819))))</f>
        <v xml:space="preserve"> </v>
      </c>
      <c r="BE1819" s="120"/>
      <c r="BF1819" s="120"/>
      <c r="BG1819" s="120"/>
    </row>
    <row r="1820" spans="1:59" s="3" customFormat="1" x14ac:dyDescent="0.3">
      <c r="A1820" s="15" t="str">
        <f t="shared" si="364"/>
        <v/>
      </c>
      <c r="B1820" s="25"/>
      <c r="C1820" s="26"/>
      <c r="D1820" s="279"/>
      <c r="E1820" s="27"/>
      <c r="F1820" s="28"/>
      <c r="G1820" s="27"/>
      <c r="H1820" s="28"/>
      <c r="I1820" s="28"/>
      <c r="J1820" s="255" t="str">
        <f>IF(H1820="","",(_xlfn.XLOOKUP(H1820,Cadastros!$D$6:$D$90,Cadastros!$E$6:$E$90))*(1-_xlfn.XLOOKUP(_xlfn.XLOOKUP($F1820,Clientes!$B$4:$B$39,Clientes!$C$4:$C$39),Cadastros!$L$6:$L$12,Cadastros!$N$6:$N$12)))</f>
        <v/>
      </c>
      <c r="K1820" s="168" t="str">
        <f t="shared" si="365"/>
        <v/>
      </c>
      <c r="L1820" s="168" t="str">
        <f>IFERROR(K1820/_xlfn.XLOOKUP(_xlfn.XLOOKUP($F1820,Clientes!$B$4:$B$39,Clientes!$C$4:$C$39),Cadastros!$L$6:$L$12,Cadastros!$M$6:$M$12)," ")</f>
        <v xml:space="preserve"> </v>
      </c>
      <c r="M1820" s="28"/>
      <c r="N1820" s="28"/>
      <c r="O1820" s="255" t="str">
        <f>IF(M1820="","",(_xlfn.XLOOKUP(M1820,Cadastros!$D$6:$D$90,Cadastros!$E$6:$E$90))*(1-_xlfn.XLOOKUP(_xlfn.XLOOKUP($F1820,Clientes!$B$4:$B$39,Clientes!$C$4:$C$39),Cadastros!$L$6:$L$12,Cadastros!$N$6:$N$12)))</f>
        <v/>
      </c>
      <c r="P1820" s="168" t="str">
        <f t="shared" si="366"/>
        <v/>
      </c>
      <c r="Q1820" s="168" t="str">
        <f>IFERROR(P1820/_xlfn.XLOOKUP(_xlfn.XLOOKUP($F1820,Clientes!$B$4:$B$39,Clientes!$C$4:$C$39),Cadastros!$L$6:$L$12,Cadastros!$M$6:$M$12)," ")</f>
        <v xml:space="preserve"> </v>
      </c>
      <c r="R1820" s="28"/>
      <c r="S1820" s="28"/>
      <c r="T1820" s="255" t="str">
        <f>IF(R1820="","",(_xlfn.XLOOKUP(R1820,Cadastros!$D$6:$D$90,Cadastros!$E$6:$E$90))*(1-_xlfn.XLOOKUP(_xlfn.XLOOKUP($F1820,Clientes!$B$4:$B$39,Clientes!$C$4:$C$39),Cadastros!$L$6:$L$12,Cadastros!$N$6:$N$12)))</f>
        <v/>
      </c>
      <c r="U1820" s="168" t="str">
        <f t="shared" si="367"/>
        <v/>
      </c>
      <c r="V1820" s="168" t="str">
        <f>IFERROR(U1820/_xlfn.XLOOKUP(_xlfn.XLOOKUP($F1820,Clientes!$B$4:$B$39,Clientes!$C$4:$C$39),Cadastros!$L$6:$L$12,Cadastros!$M$6:$M$12)," ")</f>
        <v xml:space="preserve"> </v>
      </c>
      <c r="W1820" s="28"/>
      <c r="X1820" s="28"/>
      <c r="Y1820" s="255" t="str">
        <f>IF(W1820="","",(_xlfn.XLOOKUP(W1820,Cadastros!$D$6:$D$90,Cadastros!$E$6:$E$90))*(1-_xlfn.XLOOKUP(_xlfn.XLOOKUP($F1820,Clientes!$B$4:$B$39,Clientes!$C$4:$C$39),Cadastros!$L$6:$L$12,Cadastros!$N$6:$N$12)))</f>
        <v/>
      </c>
      <c r="Z1820" s="168" t="str">
        <f t="shared" si="368"/>
        <v/>
      </c>
      <c r="AA1820" s="168" t="str">
        <f>IFERROR(Z1820/_xlfn.XLOOKUP(_xlfn.XLOOKUP($F1820,Clientes!$B$4:$B$39,Clientes!$C$4:$C$39),Cadastros!$L$6:$L$12,Cadastros!$M$6:$M$12)," ")</f>
        <v xml:space="preserve"> </v>
      </c>
      <c r="AB1820" s="28"/>
      <c r="AC1820" s="28"/>
      <c r="AD1820" s="20" t="str">
        <f>IF(AB1820="","",IF($F1820="Bernardino Furlan",_xlfn.XLOOKUP(AB1820,Cadastros!$G$6:$G$90,Cadastros!$H$6:$H$90)*(1-0.18),IF($F1820="Mauro José Salanti",_xlfn.XLOOKUP(AB1820,Cadastros!$G$6:$G$90,Cadastros!$H$6:$H$90)*(1-0.18),_xlfn.XLOOKUP(AB1820,Cadastros!$G$6:$G$90,Cadastros!$H$6:$H$90))))</f>
        <v/>
      </c>
      <c r="AE1820" s="168" t="str">
        <f t="shared" si="369"/>
        <v/>
      </c>
      <c r="AF1820" s="168" t="str">
        <f t="shared" si="370"/>
        <v/>
      </c>
      <c r="AG1820" s="28"/>
      <c r="AH1820" s="28"/>
      <c r="AI1820" s="20" t="str">
        <f>IF(AG1820="","",IF($F1820="Bernardino Furlan",_xlfn.XLOOKUP(AG1820,Cadastros!$G$6:$G$90,Cadastros!$H$6:$H$90)*(1-0.18),IF($F1820="Mauro José Salanti",_xlfn.XLOOKUP(AG1820,Cadastros!$G$6:$G$90,Cadastros!$H$6:$H$90)*(1-0.18),_xlfn.XLOOKUP(AG1820,Cadastros!$G$6:$G$90,Cadastros!$H$6:$H$90))))</f>
        <v/>
      </c>
      <c r="AJ1820" s="168" t="str">
        <f t="shared" si="371"/>
        <v/>
      </c>
      <c r="AK1820" s="168" t="str">
        <f t="shared" si="372"/>
        <v/>
      </c>
      <c r="AL1820" s="28"/>
      <c r="AM1820" s="28"/>
      <c r="AN1820" s="20" t="str">
        <f>IF(AL1820="","",IF($F1820="Bernardino Furlan",_xlfn.XLOOKUP(AL1820,Cadastros!$G$6:$G$90,Cadastros!$H$6:$H$90)*(1-0.18),IF($F1820="Mauro José Salanti",_xlfn.XLOOKUP(AL1820,Cadastros!$G$6:$G$90,Cadastros!$H$6:$H$90)*(1-0.18),_xlfn.XLOOKUP(AL1820,Cadastros!$G$6:$G$90,Cadastros!$H$6:$H$90))))</f>
        <v/>
      </c>
      <c r="AO1820" s="168" t="str">
        <f t="shared" si="373"/>
        <v/>
      </c>
      <c r="AP1820" s="168" t="str">
        <f t="shared" si="374"/>
        <v/>
      </c>
      <c r="AQ1820" s="28"/>
      <c r="AR1820" s="28"/>
      <c r="AS1820" s="20" t="str">
        <f>IF(AQ1820="","",IF($F1820="Bernardino Furlan",_xlfn.XLOOKUP(AQ1820,Cadastros!$G$6:$G$90,Cadastros!$H$6:$H$90)*(1-0.18),IF($F1820="Mauro José Salanti",_xlfn.XLOOKUP(AQ1820,Cadastros!$G$6:$G$90,Cadastros!$H$6:$H$90)*(1-0.18),_xlfn.XLOOKUP(AQ1820,Cadastros!$G$6:$G$90,Cadastros!$H$6:$H$90))))</f>
        <v/>
      </c>
      <c r="AT1820" s="168" t="str">
        <f t="shared" si="375"/>
        <v/>
      </c>
      <c r="AU1820" s="168" t="str">
        <f t="shared" si="376"/>
        <v/>
      </c>
      <c r="AV1820" s="227"/>
      <c r="AW1820" s="30"/>
      <c r="AX1820" s="267"/>
      <c r="AY1820" s="267"/>
      <c r="AZ1820" s="29"/>
      <c r="BA1820" s="30"/>
      <c r="BB1820" s="23" t="str" cm="1">
        <f t="array" ref="BB1820">_xlfn.IFS(AW1820="SIM",SUM(K1820,P1820,U1820,Z1820,AE1820,AJ1820,AO1820,AT1820,AX1820,AY1820),F1820&lt;&gt;"",SUM(K1820,P1820,U1820,Z1820,AE1820,AJ1820,,AO1820,AT1820),F1820="","")</f>
        <v/>
      </c>
      <c r="BC1820" s="211" t="str" cm="1">
        <f t="array" ref="BC1820">_xlfn.IFS(E1820="","",G1820&lt;=E1820,BB1820*(1-0.03),G1820&lt;(E1820+8),BB1820,AZ1820="Boleto",BB1820*(1+0.001)^DATEDIF(E1820,G1820,"D"),AZ1820="Cheque",BB1820,AZ1820="Dinheiro","Alterar forma pgto")</f>
        <v/>
      </c>
      <c r="BD1820" s="276" t="str" cm="1">
        <f t="array" ref="BD1820">IF(F1820=0," ",IF(BC1820&lt;BB1820,(_xlfn.IFS(AW1820="SIM",SUM(L1820,Q1820,V1820,AA1820,AF1820,AK1820,AP1820,AU1820)+AX1820/_xlfn.XLOOKUP(_xlfn.XLOOKUP($F1820,Clientes!$B$4:$B$39,Clientes!$C$4:$C$39),Cadastros!$L$6:$L$12,Cadastros!$M$6:$M$12)+IF($F1820="Bernardino Furlan",AY1820/2751.92,IF($F1820="Mauro José Salanti",AY1820/2751.92,AY1820/3356)),F1820&lt;&gt;0,SUM(L1820,Q1820,V1820,AA1820,AF1820,AK1820,AP1820,AU1820)))*(1-0.03),_xlfn.IFS(AW1820="SIM",SUM(L1820,Q1820,V1820,AA1820,AF1820,AK1820,AP1820,AU1820)+AX1820/_xlfn.XLOOKUP(_xlfn.XLOOKUP($F1820,Clientes!$B$4:$B$39,Clientes!$C$4:$C$39),Cadastros!$L$6:$L$12,Cadastros!$M$6:$M$12)+IF($F1820="Bernardino Furlan",AY1820/2751.92,IF($F1820="Mauro José Salanti",AY1820/2751.92,AY1820/3356)),F1820&lt;&gt;0,SUM(L1820,Q1820,V1820,AA1820,AF1820,AK1820,AP1820,AU1820))))</f>
        <v xml:space="preserve"> </v>
      </c>
      <c r="BE1820" s="120"/>
      <c r="BF1820" s="120"/>
      <c r="BG1820" s="120"/>
    </row>
    <row r="1821" spans="1:59" s="3" customFormat="1" x14ac:dyDescent="0.3">
      <c r="A1821" s="15" t="str">
        <f t="shared" si="364"/>
        <v/>
      </c>
      <c r="B1821" s="25"/>
      <c r="C1821" s="26"/>
      <c r="D1821" s="279"/>
      <c r="E1821" s="27"/>
      <c r="F1821" s="28"/>
      <c r="G1821" s="27"/>
      <c r="H1821" s="28"/>
      <c r="I1821" s="28"/>
      <c r="J1821" s="255" t="str">
        <f>IF(H1821="","",(_xlfn.XLOOKUP(H1821,Cadastros!$D$6:$D$90,Cadastros!$E$6:$E$90))*(1-_xlfn.XLOOKUP(_xlfn.XLOOKUP($F1821,Clientes!$B$4:$B$39,Clientes!$C$4:$C$39),Cadastros!$L$6:$L$12,Cadastros!$N$6:$N$12)))</f>
        <v/>
      </c>
      <c r="K1821" s="168" t="str">
        <f t="shared" si="365"/>
        <v/>
      </c>
      <c r="L1821" s="168" t="str">
        <f>IFERROR(K1821/_xlfn.XLOOKUP(_xlfn.XLOOKUP($F1821,Clientes!$B$4:$B$39,Clientes!$C$4:$C$39),Cadastros!$L$6:$L$12,Cadastros!$M$6:$M$12)," ")</f>
        <v xml:space="preserve"> </v>
      </c>
      <c r="M1821" s="28"/>
      <c r="N1821" s="28"/>
      <c r="O1821" s="255" t="str">
        <f>IF(M1821="","",(_xlfn.XLOOKUP(M1821,Cadastros!$D$6:$D$90,Cadastros!$E$6:$E$90))*(1-_xlfn.XLOOKUP(_xlfn.XLOOKUP($F1821,Clientes!$B$4:$B$39,Clientes!$C$4:$C$39),Cadastros!$L$6:$L$12,Cadastros!$N$6:$N$12)))</f>
        <v/>
      </c>
      <c r="P1821" s="168" t="str">
        <f t="shared" si="366"/>
        <v/>
      </c>
      <c r="Q1821" s="168" t="str">
        <f>IFERROR(P1821/_xlfn.XLOOKUP(_xlfn.XLOOKUP($F1821,Clientes!$B$4:$B$39,Clientes!$C$4:$C$39),Cadastros!$L$6:$L$12,Cadastros!$M$6:$M$12)," ")</f>
        <v xml:space="preserve"> </v>
      </c>
      <c r="R1821" s="28"/>
      <c r="S1821" s="28"/>
      <c r="T1821" s="255" t="str">
        <f>IF(R1821="","",(_xlfn.XLOOKUP(R1821,Cadastros!$D$6:$D$90,Cadastros!$E$6:$E$90))*(1-_xlfn.XLOOKUP(_xlfn.XLOOKUP($F1821,Clientes!$B$4:$B$39,Clientes!$C$4:$C$39),Cadastros!$L$6:$L$12,Cadastros!$N$6:$N$12)))</f>
        <v/>
      </c>
      <c r="U1821" s="168" t="str">
        <f t="shared" si="367"/>
        <v/>
      </c>
      <c r="V1821" s="168" t="str">
        <f>IFERROR(U1821/_xlfn.XLOOKUP(_xlfn.XLOOKUP($F1821,Clientes!$B$4:$B$39,Clientes!$C$4:$C$39),Cadastros!$L$6:$L$12,Cadastros!$M$6:$M$12)," ")</f>
        <v xml:space="preserve"> </v>
      </c>
      <c r="W1821" s="28"/>
      <c r="X1821" s="28"/>
      <c r="Y1821" s="255" t="str">
        <f>IF(W1821="","",(_xlfn.XLOOKUP(W1821,Cadastros!$D$6:$D$90,Cadastros!$E$6:$E$90))*(1-_xlfn.XLOOKUP(_xlfn.XLOOKUP($F1821,Clientes!$B$4:$B$39,Clientes!$C$4:$C$39),Cadastros!$L$6:$L$12,Cadastros!$N$6:$N$12)))</f>
        <v/>
      </c>
      <c r="Z1821" s="168" t="str">
        <f t="shared" si="368"/>
        <v/>
      </c>
      <c r="AA1821" s="168" t="str">
        <f>IFERROR(Z1821/_xlfn.XLOOKUP(_xlfn.XLOOKUP($F1821,Clientes!$B$4:$B$39,Clientes!$C$4:$C$39),Cadastros!$L$6:$L$12,Cadastros!$M$6:$M$12)," ")</f>
        <v xml:space="preserve"> </v>
      </c>
      <c r="AB1821" s="28"/>
      <c r="AC1821" s="28"/>
      <c r="AD1821" s="20" t="str">
        <f>IF(AB1821="","",IF($F1821="Bernardino Furlan",_xlfn.XLOOKUP(AB1821,Cadastros!$G$6:$G$90,Cadastros!$H$6:$H$90)*(1-0.18),IF($F1821="Mauro José Salanti",_xlfn.XLOOKUP(AB1821,Cadastros!$G$6:$G$90,Cadastros!$H$6:$H$90)*(1-0.18),_xlfn.XLOOKUP(AB1821,Cadastros!$G$6:$G$90,Cadastros!$H$6:$H$90))))</f>
        <v/>
      </c>
      <c r="AE1821" s="168" t="str">
        <f t="shared" si="369"/>
        <v/>
      </c>
      <c r="AF1821" s="168" t="str">
        <f t="shared" si="370"/>
        <v/>
      </c>
      <c r="AG1821" s="28"/>
      <c r="AH1821" s="28"/>
      <c r="AI1821" s="20" t="str">
        <f>IF(AG1821="","",IF($F1821="Bernardino Furlan",_xlfn.XLOOKUP(AG1821,Cadastros!$G$6:$G$90,Cadastros!$H$6:$H$90)*(1-0.18),IF($F1821="Mauro José Salanti",_xlfn.XLOOKUP(AG1821,Cadastros!$G$6:$G$90,Cadastros!$H$6:$H$90)*(1-0.18),_xlfn.XLOOKUP(AG1821,Cadastros!$G$6:$G$90,Cadastros!$H$6:$H$90))))</f>
        <v/>
      </c>
      <c r="AJ1821" s="168" t="str">
        <f t="shared" si="371"/>
        <v/>
      </c>
      <c r="AK1821" s="168" t="str">
        <f t="shared" si="372"/>
        <v/>
      </c>
      <c r="AL1821" s="28"/>
      <c r="AM1821" s="28"/>
      <c r="AN1821" s="20" t="str">
        <f>IF(AL1821="","",IF($F1821="Bernardino Furlan",_xlfn.XLOOKUP(AL1821,Cadastros!$G$6:$G$90,Cadastros!$H$6:$H$90)*(1-0.18),IF($F1821="Mauro José Salanti",_xlfn.XLOOKUP(AL1821,Cadastros!$G$6:$G$90,Cadastros!$H$6:$H$90)*(1-0.18),_xlfn.XLOOKUP(AL1821,Cadastros!$G$6:$G$90,Cadastros!$H$6:$H$90))))</f>
        <v/>
      </c>
      <c r="AO1821" s="168" t="str">
        <f t="shared" si="373"/>
        <v/>
      </c>
      <c r="AP1821" s="168" t="str">
        <f t="shared" si="374"/>
        <v/>
      </c>
      <c r="AQ1821" s="28"/>
      <c r="AR1821" s="28"/>
      <c r="AS1821" s="20" t="str">
        <f>IF(AQ1821="","",IF($F1821="Bernardino Furlan",_xlfn.XLOOKUP(AQ1821,Cadastros!$G$6:$G$90,Cadastros!$H$6:$H$90)*(1-0.18),IF($F1821="Mauro José Salanti",_xlfn.XLOOKUP(AQ1821,Cadastros!$G$6:$G$90,Cadastros!$H$6:$H$90)*(1-0.18),_xlfn.XLOOKUP(AQ1821,Cadastros!$G$6:$G$90,Cadastros!$H$6:$H$90))))</f>
        <v/>
      </c>
      <c r="AT1821" s="168" t="str">
        <f t="shared" si="375"/>
        <v/>
      </c>
      <c r="AU1821" s="168" t="str">
        <f t="shared" si="376"/>
        <v/>
      </c>
      <c r="AV1821" s="227"/>
      <c r="AW1821" s="30"/>
      <c r="AX1821" s="267"/>
      <c r="AY1821" s="267"/>
      <c r="AZ1821" s="29"/>
      <c r="BA1821" s="30"/>
      <c r="BB1821" s="23" t="str" cm="1">
        <f t="array" ref="BB1821">_xlfn.IFS(AW1821="SIM",SUM(K1821,P1821,U1821,Z1821,AE1821,AJ1821,AO1821,AT1821,AX1821,AY1821),F1821&lt;&gt;"",SUM(K1821,P1821,U1821,Z1821,AE1821,AJ1821,,AO1821,AT1821),F1821="","")</f>
        <v/>
      </c>
      <c r="BC1821" s="211" t="str" cm="1">
        <f t="array" ref="BC1821">_xlfn.IFS(E1821="","",G1821&lt;=E1821,BB1821*(1-0.03),G1821&lt;(E1821+8),BB1821,AZ1821="Boleto",BB1821*(1+0.001)^DATEDIF(E1821,G1821,"D"),AZ1821="Cheque",BB1821,AZ1821="Dinheiro","Alterar forma pgto")</f>
        <v/>
      </c>
      <c r="BD1821" s="276" t="str" cm="1">
        <f t="array" ref="BD1821">IF(F1821=0," ",IF(BC1821&lt;BB1821,(_xlfn.IFS(AW1821="SIM",SUM(L1821,Q1821,V1821,AA1821,AF1821,AK1821,AP1821,AU1821)+AX1821/_xlfn.XLOOKUP(_xlfn.XLOOKUP($F1821,Clientes!$B$4:$B$39,Clientes!$C$4:$C$39),Cadastros!$L$6:$L$12,Cadastros!$M$6:$M$12)+IF($F1821="Bernardino Furlan",AY1821/2751.92,IF($F1821="Mauro José Salanti",AY1821/2751.92,AY1821/3356)),F1821&lt;&gt;0,SUM(L1821,Q1821,V1821,AA1821,AF1821,AK1821,AP1821,AU1821)))*(1-0.03),_xlfn.IFS(AW1821="SIM",SUM(L1821,Q1821,V1821,AA1821,AF1821,AK1821,AP1821,AU1821)+AX1821/_xlfn.XLOOKUP(_xlfn.XLOOKUP($F1821,Clientes!$B$4:$B$39,Clientes!$C$4:$C$39),Cadastros!$L$6:$L$12,Cadastros!$M$6:$M$12)+IF($F1821="Bernardino Furlan",AY1821/2751.92,IF($F1821="Mauro José Salanti",AY1821/2751.92,AY1821/3356)),F1821&lt;&gt;0,SUM(L1821,Q1821,V1821,AA1821,AF1821,AK1821,AP1821,AU1821))))</f>
        <v xml:space="preserve"> </v>
      </c>
      <c r="BE1821" s="120"/>
      <c r="BF1821" s="120"/>
      <c r="BG1821" s="120"/>
    </row>
    <row r="1822" spans="1:59" s="3" customFormat="1" x14ac:dyDescent="0.3">
      <c r="A1822" s="15" t="str">
        <f t="shared" si="364"/>
        <v/>
      </c>
      <c r="B1822" s="25"/>
      <c r="C1822" s="26"/>
      <c r="D1822" s="279"/>
      <c r="E1822" s="27"/>
      <c r="F1822" s="28"/>
      <c r="G1822" s="27"/>
      <c r="H1822" s="28"/>
      <c r="I1822" s="28"/>
      <c r="J1822" s="255" t="str">
        <f>IF(H1822="","",(_xlfn.XLOOKUP(H1822,Cadastros!$D$6:$D$90,Cadastros!$E$6:$E$90))*(1-_xlfn.XLOOKUP(_xlfn.XLOOKUP($F1822,Clientes!$B$4:$B$39,Clientes!$C$4:$C$39),Cadastros!$L$6:$L$12,Cadastros!$N$6:$N$12)))</f>
        <v/>
      </c>
      <c r="K1822" s="168" t="str">
        <f t="shared" si="365"/>
        <v/>
      </c>
      <c r="L1822" s="168" t="str">
        <f>IFERROR(K1822/_xlfn.XLOOKUP(_xlfn.XLOOKUP($F1822,Clientes!$B$4:$B$39,Clientes!$C$4:$C$39),Cadastros!$L$6:$L$12,Cadastros!$M$6:$M$12)," ")</f>
        <v xml:space="preserve"> </v>
      </c>
      <c r="M1822" s="28"/>
      <c r="N1822" s="28"/>
      <c r="O1822" s="255" t="str">
        <f>IF(M1822="","",(_xlfn.XLOOKUP(M1822,Cadastros!$D$6:$D$90,Cadastros!$E$6:$E$90))*(1-_xlfn.XLOOKUP(_xlfn.XLOOKUP($F1822,Clientes!$B$4:$B$39,Clientes!$C$4:$C$39),Cadastros!$L$6:$L$12,Cadastros!$N$6:$N$12)))</f>
        <v/>
      </c>
      <c r="P1822" s="168" t="str">
        <f t="shared" si="366"/>
        <v/>
      </c>
      <c r="Q1822" s="168" t="str">
        <f>IFERROR(P1822/_xlfn.XLOOKUP(_xlfn.XLOOKUP($F1822,Clientes!$B$4:$B$39,Clientes!$C$4:$C$39),Cadastros!$L$6:$L$12,Cadastros!$M$6:$M$12)," ")</f>
        <v xml:space="preserve"> </v>
      </c>
      <c r="R1822" s="28"/>
      <c r="S1822" s="28"/>
      <c r="T1822" s="255" t="str">
        <f>IF(R1822="","",(_xlfn.XLOOKUP(R1822,Cadastros!$D$6:$D$90,Cadastros!$E$6:$E$90))*(1-_xlfn.XLOOKUP(_xlfn.XLOOKUP($F1822,Clientes!$B$4:$B$39,Clientes!$C$4:$C$39),Cadastros!$L$6:$L$12,Cadastros!$N$6:$N$12)))</f>
        <v/>
      </c>
      <c r="U1822" s="168" t="str">
        <f t="shared" si="367"/>
        <v/>
      </c>
      <c r="V1822" s="168" t="str">
        <f>IFERROR(U1822/_xlfn.XLOOKUP(_xlfn.XLOOKUP($F1822,Clientes!$B$4:$B$39,Clientes!$C$4:$C$39),Cadastros!$L$6:$L$12,Cadastros!$M$6:$M$12)," ")</f>
        <v xml:space="preserve"> </v>
      </c>
      <c r="W1822" s="28"/>
      <c r="X1822" s="28"/>
      <c r="Y1822" s="255" t="str">
        <f>IF(W1822="","",(_xlfn.XLOOKUP(W1822,Cadastros!$D$6:$D$90,Cadastros!$E$6:$E$90))*(1-_xlfn.XLOOKUP(_xlfn.XLOOKUP($F1822,Clientes!$B$4:$B$39,Clientes!$C$4:$C$39),Cadastros!$L$6:$L$12,Cadastros!$N$6:$N$12)))</f>
        <v/>
      </c>
      <c r="Z1822" s="168" t="str">
        <f t="shared" si="368"/>
        <v/>
      </c>
      <c r="AA1822" s="168" t="str">
        <f>IFERROR(Z1822/_xlfn.XLOOKUP(_xlfn.XLOOKUP($F1822,Clientes!$B$4:$B$39,Clientes!$C$4:$C$39),Cadastros!$L$6:$L$12,Cadastros!$M$6:$M$12)," ")</f>
        <v xml:space="preserve"> </v>
      </c>
      <c r="AB1822" s="28"/>
      <c r="AC1822" s="28"/>
      <c r="AD1822" s="20" t="str">
        <f>IF(AB1822="","",IF($F1822="Bernardino Furlan",_xlfn.XLOOKUP(AB1822,Cadastros!$G$6:$G$90,Cadastros!$H$6:$H$90)*(1-0.18),IF($F1822="Mauro José Salanti",_xlfn.XLOOKUP(AB1822,Cadastros!$G$6:$G$90,Cadastros!$H$6:$H$90)*(1-0.18),_xlfn.XLOOKUP(AB1822,Cadastros!$G$6:$G$90,Cadastros!$H$6:$H$90))))</f>
        <v/>
      </c>
      <c r="AE1822" s="168" t="str">
        <f t="shared" si="369"/>
        <v/>
      </c>
      <c r="AF1822" s="168" t="str">
        <f t="shared" si="370"/>
        <v/>
      </c>
      <c r="AG1822" s="28"/>
      <c r="AH1822" s="28"/>
      <c r="AI1822" s="20" t="str">
        <f>IF(AG1822="","",IF($F1822="Bernardino Furlan",_xlfn.XLOOKUP(AG1822,Cadastros!$G$6:$G$90,Cadastros!$H$6:$H$90)*(1-0.18),IF($F1822="Mauro José Salanti",_xlfn.XLOOKUP(AG1822,Cadastros!$G$6:$G$90,Cadastros!$H$6:$H$90)*(1-0.18),_xlfn.XLOOKUP(AG1822,Cadastros!$G$6:$G$90,Cadastros!$H$6:$H$90))))</f>
        <v/>
      </c>
      <c r="AJ1822" s="168" t="str">
        <f t="shared" si="371"/>
        <v/>
      </c>
      <c r="AK1822" s="168" t="str">
        <f t="shared" si="372"/>
        <v/>
      </c>
      <c r="AL1822" s="28"/>
      <c r="AM1822" s="28"/>
      <c r="AN1822" s="20" t="str">
        <f>IF(AL1822="","",IF($F1822="Bernardino Furlan",_xlfn.XLOOKUP(AL1822,Cadastros!$G$6:$G$90,Cadastros!$H$6:$H$90)*(1-0.18),IF($F1822="Mauro José Salanti",_xlfn.XLOOKUP(AL1822,Cadastros!$G$6:$G$90,Cadastros!$H$6:$H$90)*(1-0.18),_xlfn.XLOOKUP(AL1822,Cadastros!$G$6:$G$90,Cadastros!$H$6:$H$90))))</f>
        <v/>
      </c>
      <c r="AO1822" s="168" t="str">
        <f t="shared" si="373"/>
        <v/>
      </c>
      <c r="AP1822" s="168" t="str">
        <f t="shared" si="374"/>
        <v/>
      </c>
      <c r="AQ1822" s="28"/>
      <c r="AR1822" s="28"/>
      <c r="AS1822" s="20" t="str">
        <f>IF(AQ1822="","",IF($F1822="Bernardino Furlan",_xlfn.XLOOKUP(AQ1822,Cadastros!$G$6:$G$90,Cadastros!$H$6:$H$90)*(1-0.18),IF($F1822="Mauro José Salanti",_xlfn.XLOOKUP(AQ1822,Cadastros!$G$6:$G$90,Cadastros!$H$6:$H$90)*(1-0.18),_xlfn.XLOOKUP(AQ1822,Cadastros!$G$6:$G$90,Cadastros!$H$6:$H$90))))</f>
        <v/>
      </c>
      <c r="AT1822" s="168" t="str">
        <f t="shared" si="375"/>
        <v/>
      </c>
      <c r="AU1822" s="168" t="str">
        <f t="shared" si="376"/>
        <v/>
      </c>
      <c r="AV1822" s="227"/>
      <c r="AW1822" s="30"/>
      <c r="AX1822" s="267"/>
      <c r="AY1822" s="267"/>
      <c r="AZ1822" s="29"/>
      <c r="BA1822" s="30"/>
      <c r="BB1822" s="23" t="str" cm="1">
        <f t="array" ref="BB1822">_xlfn.IFS(AW1822="SIM",SUM(K1822,P1822,U1822,Z1822,AE1822,AJ1822,AO1822,AT1822,AX1822,AY1822),F1822&lt;&gt;"",SUM(K1822,P1822,U1822,Z1822,AE1822,AJ1822,,AO1822,AT1822),F1822="","")</f>
        <v/>
      </c>
      <c r="BC1822" s="211" t="str" cm="1">
        <f t="array" ref="BC1822">_xlfn.IFS(E1822="","",G1822&lt;=E1822,BB1822*(1-0.03),G1822&lt;(E1822+8),BB1822,AZ1822="Boleto",BB1822*(1+0.001)^DATEDIF(E1822,G1822,"D"),AZ1822="Cheque",BB1822,AZ1822="Dinheiro","Alterar forma pgto")</f>
        <v/>
      </c>
      <c r="BD1822" s="276" t="str" cm="1">
        <f t="array" ref="BD1822">IF(F1822=0," ",IF(BC1822&lt;BB1822,(_xlfn.IFS(AW1822="SIM",SUM(L1822,Q1822,V1822,AA1822,AF1822,AK1822,AP1822,AU1822)+AX1822/_xlfn.XLOOKUP(_xlfn.XLOOKUP($F1822,Clientes!$B$4:$B$39,Clientes!$C$4:$C$39),Cadastros!$L$6:$L$12,Cadastros!$M$6:$M$12)+IF($F1822="Bernardino Furlan",AY1822/2751.92,IF($F1822="Mauro José Salanti",AY1822/2751.92,AY1822/3356)),F1822&lt;&gt;0,SUM(L1822,Q1822,V1822,AA1822,AF1822,AK1822,AP1822,AU1822)))*(1-0.03),_xlfn.IFS(AW1822="SIM",SUM(L1822,Q1822,V1822,AA1822,AF1822,AK1822,AP1822,AU1822)+AX1822/_xlfn.XLOOKUP(_xlfn.XLOOKUP($F1822,Clientes!$B$4:$B$39,Clientes!$C$4:$C$39),Cadastros!$L$6:$L$12,Cadastros!$M$6:$M$12)+IF($F1822="Bernardino Furlan",AY1822/2751.92,IF($F1822="Mauro José Salanti",AY1822/2751.92,AY1822/3356)),F1822&lt;&gt;0,SUM(L1822,Q1822,V1822,AA1822,AF1822,AK1822,AP1822,AU1822))))</f>
        <v xml:space="preserve"> </v>
      </c>
      <c r="BE1822" s="120"/>
      <c r="BF1822" s="120"/>
      <c r="BG1822" s="120"/>
    </row>
    <row r="1823" spans="1:59" s="3" customFormat="1" x14ac:dyDescent="0.3">
      <c r="A1823" s="15" t="str">
        <f t="shared" si="364"/>
        <v/>
      </c>
      <c r="B1823" s="25"/>
      <c r="C1823" s="26"/>
      <c r="D1823" s="279"/>
      <c r="E1823" s="27"/>
      <c r="F1823" s="28"/>
      <c r="G1823" s="27"/>
      <c r="H1823" s="28"/>
      <c r="I1823" s="28"/>
      <c r="J1823" s="255" t="str">
        <f>IF(H1823="","",(_xlfn.XLOOKUP(H1823,Cadastros!$D$6:$D$90,Cadastros!$E$6:$E$90))*(1-_xlfn.XLOOKUP(_xlfn.XLOOKUP($F1823,Clientes!$B$4:$B$39,Clientes!$C$4:$C$39),Cadastros!$L$6:$L$12,Cadastros!$N$6:$N$12)))</f>
        <v/>
      </c>
      <c r="K1823" s="168" t="str">
        <f t="shared" si="365"/>
        <v/>
      </c>
      <c r="L1823" s="168" t="str">
        <f>IFERROR(K1823/_xlfn.XLOOKUP(_xlfn.XLOOKUP($F1823,Clientes!$B$4:$B$39,Clientes!$C$4:$C$39),Cadastros!$L$6:$L$12,Cadastros!$M$6:$M$12)," ")</f>
        <v xml:space="preserve"> </v>
      </c>
      <c r="M1823" s="28"/>
      <c r="N1823" s="28"/>
      <c r="O1823" s="255" t="str">
        <f>IF(M1823="","",(_xlfn.XLOOKUP(M1823,Cadastros!$D$6:$D$90,Cadastros!$E$6:$E$90))*(1-_xlfn.XLOOKUP(_xlfn.XLOOKUP($F1823,Clientes!$B$4:$B$39,Clientes!$C$4:$C$39),Cadastros!$L$6:$L$12,Cadastros!$N$6:$N$12)))</f>
        <v/>
      </c>
      <c r="P1823" s="168" t="str">
        <f t="shared" si="366"/>
        <v/>
      </c>
      <c r="Q1823" s="168" t="str">
        <f>IFERROR(P1823/_xlfn.XLOOKUP(_xlfn.XLOOKUP($F1823,Clientes!$B$4:$B$39,Clientes!$C$4:$C$39),Cadastros!$L$6:$L$12,Cadastros!$M$6:$M$12)," ")</f>
        <v xml:space="preserve"> </v>
      </c>
      <c r="R1823" s="28"/>
      <c r="S1823" s="28"/>
      <c r="T1823" s="255" t="str">
        <f>IF(R1823="","",(_xlfn.XLOOKUP(R1823,Cadastros!$D$6:$D$90,Cadastros!$E$6:$E$90))*(1-_xlfn.XLOOKUP(_xlfn.XLOOKUP($F1823,Clientes!$B$4:$B$39,Clientes!$C$4:$C$39),Cadastros!$L$6:$L$12,Cadastros!$N$6:$N$12)))</f>
        <v/>
      </c>
      <c r="U1823" s="168" t="str">
        <f t="shared" si="367"/>
        <v/>
      </c>
      <c r="V1823" s="168" t="str">
        <f>IFERROR(U1823/_xlfn.XLOOKUP(_xlfn.XLOOKUP($F1823,Clientes!$B$4:$B$39,Clientes!$C$4:$C$39),Cadastros!$L$6:$L$12,Cadastros!$M$6:$M$12)," ")</f>
        <v xml:space="preserve"> </v>
      </c>
      <c r="W1823" s="28"/>
      <c r="X1823" s="28"/>
      <c r="Y1823" s="255" t="str">
        <f>IF(W1823="","",(_xlfn.XLOOKUP(W1823,Cadastros!$D$6:$D$90,Cadastros!$E$6:$E$90))*(1-_xlfn.XLOOKUP(_xlfn.XLOOKUP($F1823,Clientes!$B$4:$B$39,Clientes!$C$4:$C$39),Cadastros!$L$6:$L$12,Cadastros!$N$6:$N$12)))</f>
        <v/>
      </c>
      <c r="Z1823" s="168" t="str">
        <f t="shared" si="368"/>
        <v/>
      </c>
      <c r="AA1823" s="168" t="str">
        <f>IFERROR(Z1823/_xlfn.XLOOKUP(_xlfn.XLOOKUP($F1823,Clientes!$B$4:$B$39,Clientes!$C$4:$C$39),Cadastros!$L$6:$L$12,Cadastros!$M$6:$M$12)," ")</f>
        <v xml:space="preserve"> </v>
      </c>
      <c r="AB1823" s="28"/>
      <c r="AC1823" s="28"/>
      <c r="AD1823" s="20" t="str">
        <f>IF(AB1823="","",IF($F1823="Bernardino Furlan",_xlfn.XLOOKUP(AB1823,Cadastros!$G$6:$G$90,Cadastros!$H$6:$H$90)*(1-0.18),IF($F1823="Mauro José Salanti",_xlfn.XLOOKUP(AB1823,Cadastros!$G$6:$G$90,Cadastros!$H$6:$H$90)*(1-0.18),_xlfn.XLOOKUP(AB1823,Cadastros!$G$6:$G$90,Cadastros!$H$6:$H$90))))</f>
        <v/>
      </c>
      <c r="AE1823" s="168" t="str">
        <f t="shared" si="369"/>
        <v/>
      </c>
      <c r="AF1823" s="168" t="str">
        <f t="shared" si="370"/>
        <v/>
      </c>
      <c r="AG1823" s="28"/>
      <c r="AH1823" s="28"/>
      <c r="AI1823" s="20" t="str">
        <f>IF(AG1823="","",IF($F1823="Bernardino Furlan",_xlfn.XLOOKUP(AG1823,Cadastros!$G$6:$G$90,Cadastros!$H$6:$H$90)*(1-0.18),IF($F1823="Mauro José Salanti",_xlfn.XLOOKUP(AG1823,Cadastros!$G$6:$G$90,Cadastros!$H$6:$H$90)*(1-0.18),_xlfn.XLOOKUP(AG1823,Cadastros!$G$6:$G$90,Cadastros!$H$6:$H$90))))</f>
        <v/>
      </c>
      <c r="AJ1823" s="168" t="str">
        <f t="shared" si="371"/>
        <v/>
      </c>
      <c r="AK1823" s="168" t="str">
        <f t="shared" si="372"/>
        <v/>
      </c>
      <c r="AL1823" s="28"/>
      <c r="AM1823" s="28"/>
      <c r="AN1823" s="20" t="str">
        <f>IF(AL1823="","",IF($F1823="Bernardino Furlan",_xlfn.XLOOKUP(AL1823,Cadastros!$G$6:$G$90,Cadastros!$H$6:$H$90)*(1-0.18),IF($F1823="Mauro José Salanti",_xlfn.XLOOKUP(AL1823,Cadastros!$G$6:$G$90,Cadastros!$H$6:$H$90)*(1-0.18),_xlfn.XLOOKUP(AL1823,Cadastros!$G$6:$G$90,Cadastros!$H$6:$H$90))))</f>
        <v/>
      </c>
      <c r="AO1823" s="168" t="str">
        <f t="shared" si="373"/>
        <v/>
      </c>
      <c r="AP1823" s="168" t="str">
        <f t="shared" si="374"/>
        <v/>
      </c>
      <c r="AQ1823" s="28"/>
      <c r="AR1823" s="28"/>
      <c r="AS1823" s="20" t="str">
        <f>IF(AQ1823="","",IF($F1823="Bernardino Furlan",_xlfn.XLOOKUP(AQ1823,Cadastros!$G$6:$G$90,Cadastros!$H$6:$H$90)*(1-0.18),IF($F1823="Mauro José Salanti",_xlfn.XLOOKUP(AQ1823,Cadastros!$G$6:$G$90,Cadastros!$H$6:$H$90)*(1-0.18),_xlfn.XLOOKUP(AQ1823,Cadastros!$G$6:$G$90,Cadastros!$H$6:$H$90))))</f>
        <v/>
      </c>
      <c r="AT1823" s="168" t="str">
        <f t="shared" si="375"/>
        <v/>
      </c>
      <c r="AU1823" s="168" t="str">
        <f t="shared" si="376"/>
        <v/>
      </c>
      <c r="AV1823" s="227"/>
      <c r="AW1823" s="30"/>
      <c r="AX1823" s="267"/>
      <c r="AY1823" s="267"/>
      <c r="AZ1823" s="29"/>
      <c r="BA1823" s="30"/>
      <c r="BB1823" s="23" t="str" cm="1">
        <f t="array" ref="BB1823">_xlfn.IFS(AW1823="SIM",SUM(K1823,P1823,U1823,Z1823,AE1823,AJ1823,AO1823,AT1823,AX1823,AY1823),F1823&lt;&gt;"",SUM(K1823,P1823,U1823,Z1823,AE1823,AJ1823,,AO1823,AT1823),F1823="","")</f>
        <v/>
      </c>
      <c r="BC1823" s="211" t="str" cm="1">
        <f t="array" ref="BC1823">_xlfn.IFS(E1823="","",G1823&lt;=E1823,BB1823*(1-0.03),G1823&lt;(E1823+8),BB1823,AZ1823="Boleto",BB1823*(1+0.001)^DATEDIF(E1823,G1823,"D"),AZ1823="Cheque",BB1823,AZ1823="Dinheiro","Alterar forma pgto")</f>
        <v/>
      </c>
      <c r="BD1823" s="276" t="str" cm="1">
        <f t="array" ref="BD1823">IF(F1823=0," ",IF(BC1823&lt;BB1823,(_xlfn.IFS(AW1823="SIM",SUM(L1823,Q1823,V1823,AA1823,AF1823,AK1823,AP1823,AU1823)+AX1823/_xlfn.XLOOKUP(_xlfn.XLOOKUP($F1823,Clientes!$B$4:$B$39,Clientes!$C$4:$C$39),Cadastros!$L$6:$L$12,Cadastros!$M$6:$M$12)+IF($F1823="Bernardino Furlan",AY1823/2751.92,IF($F1823="Mauro José Salanti",AY1823/2751.92,AY1823/3356)),F1823&lt;&gt;0,SUM(L1823,Q1823,V1823,AA1823,AF1823,AK1823,AP1823,AU1823)))*(1-0.03),_xlfn.IFS(AW1823="SIM",SUM(L1823,Q1823,V1823,AA1823,AF1823,AK1823,AP1823,AU1823)+AX1823/_xlfn.XLOOKUP(_xlfn.XLOOKUP($F1823,Clientes!$B$4:$B$39,Clientes!$C$4:$C$39),Cadastros!$L$6:$L$12,Cadastros!$M$6:$M$12)+IF($F1823="Bernardino Furlan",AY1823/2751.92,IF($F1823="Mauro José Salanti",AY1823/2751.92,AY1823/3356)),F1823&lt;&gt;0,SUM(L1823,Q1823,V1823,AA1823,AF1823,AK1823,AP1823,AU1823))))</f>
        <v xml:space="preserve"> </v>
      </c>
      <c r="BE1823" s="120"/>
      <c r="BF1823" s="120"/>
      <c r="BG1823" s="120"/>
    </row>
    <row r="1824" spans="1:59" s="3" customFormat="1" x14ac:dyDescent="0.3">
      <c r="A1824" s="15" t="str">
        <f t="shared" si="364"/>
        <v/>
      </c>
      <c r="B1824" s="25"/>
      <c r="C1824" s="26"/>
      <c r="D1824" s="279"/>
      <c r="E1824" s="27"/>
      <c r="F1824" s="28"/>
      <c r="G1824" s="27"/>
      <c r="H1824" s="28"/>
      <c r="I1824" s="28"/>
      <c r="J1824" s="255" t="str">
        <f>IF(H1824="","",(_xlfn.XLOOKUP(H1824,Cadastros!$D$6:$D$90,Cadastros!$E$6:$E$90))*(1-_xlfn.XLOOKUP(_xlfn.XLOOKUP($F1824,Clientes!$B$4:$B$39,Clientes!$C$4:$C$39),Cadastros!$L$6:$L$12,Cadastros!$N$6:$N$12)))</f>
        <v/>
      </c>
      <c r="K1824" s="168" t="str">
        <f t="shared" si="365"/>
        <v/>
      </c>
      <c r="L1824" s="168" t="str">
        <f>IFERROR(K1824/_xlfn.XLOOKUP(_xlfn.XLOOKUP($F1824,Clientes!$B$4:$B$39,Clientes!$C$4:$C$39),Cadastros!$L$6:$L$12,Cadastros!$M$6:$M$12)," ")</f>
        <v xml:space="preserve"> </v>
      </c>
      <c r="M1824" s="28"/>
      <c r="N1824" s="28"/>
      <c r="O1824" s="255" t="str">
        <f>IF(M1824="","",(_xlfn.XLOOKUP(M1824,Cadastros!$D$6:$D$90,Cadastros!$E$6:$E$90))*(1-_xlfn.XLOOKUP(_xlfn.XLOOKUP($F1824,Clientes!$B$4:$B$39,Clientes!$C$4:$C$39),Cadastros!$L$6:$L$12,Cadastros!$N$6:$N$12)))</f>
        <v/>
      </c>
      <c r="P1824" s="168" t="str">
        <f t="shared" si="366"/>
        <v/>
      </c>
      <c r="Q1824" s="168" t="str">
        <f>IFERROR(P1824/_xlfn.XLOOKUP(_xlfn.XLOOKUP($F1824,Clientes!$B$4:$B$39,Clientes!$C$4:$C$39),Cadastros!$L$6:$L$12,Cadastros!$M$6:$M$12)," ")</f>
        <v xml:space="preserve"> </v>
      </c>
      <c r="R1824" s="28"/>
      <c r="S1824" s="28"/>
      <c r="T1824" s="255" t="str">
        <f>IF(R1824="","",(_xlfn.XLOOKUP(R1824,Cadastros!$D$6:$D$90,Cadastros!$E$6:$E$90))*(1-_xlfn.XLOOKUP(_xlfn.XLOOKUP($F1824,Clientes!$B$4:$B$39,Clientes!$C$4:$C$39),Cadastros!$L$6:$L$12,Cadastros!$N$6:$N$12)))</f>
        <v/>
      </c>
      <c r="U1824" s="168" t="str">
        <f t="shared" si="367"/>
        <v/>
      </c>
      <c r="V1824" s="168" t="str">
        <f>IFERROR(U1824/_xlfn.XLOOKUP(_xlfn.XLOOKUP($F1824,Clientes!$B$4:$B$39,Clientes!$C$4:$C$39),Cadastros!$L$6:$L$12,Cadastros!$M$6:$M$12)," ")</f>
        <v xml:space="preserve"> </v>
      </c>
      <c r="W1824" s="28"/>
      <c r="X1824" s="28"/>
      <c r="Y1824" s="255" t="str">
        <f>IF(W1824="","",(_xlfn.XLOOKUP(W1824,Cadastros!$D$6:$D$90,Cadastros!$E$6:$E$90))*(1-_xlfn.XLOOKUP(_xlfn.XLOOKUP($F1824,Clientes!$B$4:$B$39,Clientes!$C$4:$C$39),Cadastros!$L$6:$L$12,Cadastros!$N$6:$N$12)))</f>
        <v/>
      </c>
      <c r="Z1824" s="168" t="str">
        <f t="shared" si="368"/>
        <v/>
      </c>
      <c r="AA1824" s="168" t="str">
        <f>IFERROR(Z1824/_xlfn.XLOOKUP(_xlfn.XLOOKUP($F1824,Clientes!$B$4:$B$39,Clientes!$C$4:$C$39),Cadastros!$L$6:$L$12,Cadastros!$M$6:$M$12)," ")</f>
        <v xml:space="preserve"> </v>
      </c>
      <c r="AB1824" s="28"/>
      <c r="AC1824" s="28"/>
      <c r="AD1824" s="20" t="str">
        <f>IF(AB1824="","",IF($F1824="Bernardino Furlan",_xlfn.XLOOKUP(AB1824,Cadastros!$G$6:$G$90,Cadastros!$H$6:$H$90)*(1-0.18),IF($F1824="Mauro José Salanti",_xlfn.XLOOKUP(AB1824,Cadastros!$G$6:$G$90,Cadastros!$H$6:$H$90)*(1-0.18),_xlfn.XLOOKUP(AB1824,Cadastros!$G$6:$G$90,Cadastros!$H$6:$H$90))))</f>
        <v/>
      </c>
      <c r="AE1824" s="168" t="str">
        <f t="shared" si="369"/>
        <v/>
      </c>
      <c r="AF1824" s="168" t="str">
        <f t="shared" si="370"/>
        <v/>
      </c>
      <c r="AG1824" s="28"/>
      <c r="AH1824" s="28"/>
      <c r="AI1824" s="20" t="str">
        <f>IF(AG1824="","",IF($F1824="Bernardino Furlan",_xlfn.XLOOKUP(AG1824,Cadastros!$G$6:$G$90,Cadastros!$H$6:$H$90)*(1-0.18),IF($F1824="Mauro José Salanti",_xlfn.XLOOKUP(AG1824,Cadastros!$G$6:$G$90,Cadastros!$H$6:$H$90)*(1-0.18),_xlfn.XLOOKUP(AG1824,Cadastros!$G$6:$G$90,Cadastros!$H$6:$H$90))))</f>
        <v/>
      </c>
      <c r="AJ1824" s="168" t="str">
        <f t="shared" si="371"/>
        <v/>
      </c>
      <c r="AK1824" s="168" t="str">
        <f t="shared" si="372"/>
        <v/>
      </c>
      <c r="AL1824" s="28"/>
      <c r="AM1824" s="28"/>
      <c r="AN1824" s="20" t="str">
        <f>IF(AL1824="","",IF($F1824="Bernardino Furlan",_xlfn.XLOOKUP(AL1824,Cadastros!$G$6:$G$90,Cadastros!$H$6:$H$90)*(1-0.18),IF($F1824="Mauro José Salanti",_xlfn.XLOOKUP(AL1824,Cadastros!$G$6:$G$90,Cadastros!$H$6:$H$90)*(1-0.18),_xlfn.XLOOKUP(AL1824,Cadastros!$G$6:$G$90,Cadastros!$H$6:$H$90))))</f>
        <v/>
      </c>
      <c r="AO1824" s="168" t="str">
        <f t="shared" si="373"/>
        <v/>
      </c>
      <c r="AP1824" s="168" t="str">
        <f t="shared" si="374"/>
        <v/>
      </c>
      <c r="AQ1824" s="28"/>
      <c r="AR1824" s="28"/>
      <c r="AS1824" s="20" t="str">
        <f>IF(AQ1824="","",IF($F1824="Bernardino Furlan",_xlfn.XLOOKUP(AQ1824,Cadastros!$G$6:$G$90,Cadastros!$H$6:$H$90)*(1-0.18),IF($F1824="Mauro José Salanti",_xlfn.XLOOKUP(AQ1824,Cadastros!$G$6:$G$90,Cadastros!$H$6:$H$90)*(1-0.18),_xlfn.XLOOKUP(AQ1824,Cadastros!$G$6:$G$90,Cadastros!$H$6:$H$90))))</f>
        <v/>
      </c>
      <c r="AT1824" s="168" t="str">
        <f t="shared" si="375"/>
        <v/>
      </c>
      <c r="AU1824" s="168" t="str">
        <f t="shared" si="376"/>
        <v/>
      </c>
      <c r="AV1824" s="227"/>
      <c r="AW1824" s="30"/>
      <c r="AX1824" s="267"/>
      <c r="AY1824" s="267"/>
      <c r="AZ1824" s="29"/>
      <c r="BA1824" s="30"/>
      <c r="BB1824" s="23" t="str" cm="1">
        <f t="array" ref="BB1824">_xlfn.IFS(AW1824="SIM",SUM(K1824,P1824,U1824,Z1824,AE1824,AJ1824,AO1824,AT1824,AX1824,AY1824),F1824&lt;&gt;"",SUM(K1824,P1824,U1824,Z1824,AE1824,AJ1824,,AO1824,AT1824),F1824="","")</f>
        <v/>
      </c>
      <c r="BC1824" s="211" t="str" cm="1">
        <f t="array" ref="BC1824">_xlfn.IFS(E1824="","",G1824&lt;=E1824,BB1824*(1-0.03),G1824&lt;(E1824+8),BB1824,AZ1824="Boleto",BB1824*(1+0.001)^DATEDIF(E1824,G1824,"D"),AZ1824="Cheque",BB1824,AZ1824="Dinheiro","Alterar forma pgto")</f>
        <v/>
      </c>
      <c r="BD1824" s="276" t="str" cm="1">
        <f t="array" ref="BD1824">IF(F1824=0," ",IF(BC1824&lt;BB1824,(_xlfn.IFS(AW1824="SIM",SUM(L1824,Q1824,V1824,AA1824,AF1824,AK1824,AP1824,AU1824)+AX1824/_xlfn.XLOOKUP(_xlfn.XLOOKUP($F1824,Clientes!$B$4:$B$39,Clientes!$C$4:$C$39),Cadastros!$L$6:$L$12,Cadastros!$M$6:$M$12)+IF($F1824="Bernardino Furlan",AY1824/2751.92,IF($F1824="Mauro José Salanti",AY1824/2751.92,AY1824/3356)),F1824&lt;&gt;0,SUM(L1824,Q1824,V1824,AA1824,AF1824,AK1824,AP1824,AU1824)))*(1-0.03),_xlfn.IFS(AW1824="SIM",SUM(L1824,Q1824,V1824,AA1824,AF1824,AK1824,AP1824,AU1824)+AX1824/_xlfn.XLOOKUP(_xlfn.XLOOKUP($F1824,Clientes!$B$4:$B$39,Clientes!$C$4:$C$39),Cadastros!$L$6:$L$12,Cadastros!$M$6:$M$12)+IF($F1824="Bernardino Furlan",AY1824/2751.92,IF($F1824="Mauro José Salanti",AY1824/2751.92,AY1824/3356)),F1824&lt;&gt;0,SUM(L1824,Q1824,V1824,AA1824,AF1824,AK1824,AP1824,AU1824))))</f>
        <v xml:space="preserve"> </v>
      </c>
      <c r="BE1824" s="120"/>
      <c r="BF1824" s="120"/>
      <c r="BG1824" s="120"/>
    </row>
    <row r="1825" spans="1:59" s="3" customFormat="1" x14ac:dyDescent="0.3">
      <c r="A1825" s="15" t="str">
        <f t="shared" si="364"/>
        <v/>
      </c>
      <c r="B1825" s="25"/>
      <c r="C1825" s="26"/>
      <c r="D1825" s="279"/>
      <c r="E1825" s="27"/>
      <c r="F1825" s="28"/>
      <c r="G1825" s="27"/>
      <c r="H1825" s="28"/>
      <c r="I1825" s="28"/>
      <c r="J1825" s="255" t="str">
        <f>IF(H1825="","",(_xlfn.XLOOKUP(H1825,Cadastros!$D$6:$D$90,Cadastros!$E$6:$E$90))*(1-_xlfn.XLOOKUP(_xlfn.XLOOKUP($F1825,Clientes!$B$4:$B$39,Clientes!$C$4:$C$39),Cadastros!$L$6:$L$12,Cadastros!$N$6:$N$12)))</f>
        <v/>
      </c>
      <c r="K1825" s="168" t="str">
        <f t="shared" si="365"/>
        <v/>
      </c>
      <c r="L1825" s="168" t="str">
        <f>IFERROR(K1825/_xlfn.XLOOKUP(_xlfn.XLOOKUP($F1825,Clientes!$B$4:$B$39,Clientes!$C$4:$C$39),Cadastros!$L$6:$L$12,Cadastros!$M$6:$M$12)," ")</f>
        <v xml:space="preserve"> </v>
      </c>
      <c r="M1825" s="28"/>
      <c r="N1825" s="28"/>
      <c r="O1825" s="255" t="str">
        <f>IF(M1825="","",(_xlfn.XLOOKUP(M1825,Cadastros!$D$6:$D$90,Cadastros!$E$6:$E$90))*(1-_xlfn.XLOOKUP(_xlfn.XLOOKUP($F1825,Clientes!$B$4:$B$39,Clientes!$C$4:$C$39),Cadastros!$L$6:$L$12,Cadastros!$N$6:$N$12)))</f>
        <v/>
      </c>
      <c r="P1825" s="168" t="str">
        <f t="shared" si="366"/>
        <v/>
      </c>
      <c r="Q1825" s="168" t="str">
        <f>IFERROR(P1825/_xlfn.XLOOKUP(_xlfn.XLOOKUP($F1825,Clientes!$B$4:$B$39,Clientes!$C$4:$C$39),Cadastros!$L$6:$L$12,Cadastros!$M$6:$M$12)," ")</f>
        <v xml:space="preserve"> </v>
      </c>
      <c r="R1825" s="28"/>
      <c r="S1825" s="28"/>
      <c r="T1825" s="255" t="str">
        <f>IF(R1825="","",(_xlfn.XLOOKUP(R1825,Cadastros!$D$6:$D$90,Cadastros!$E$6:$E$90))*(1-_xlfn.XLOOKUP(_xlfn.XLOOKUP($F1825,Clientes!$B$4:$B$39,Clientes!$C$4:$C$39),Cadastros!$L$6:$L$12,Cadastros!$N$6:$N$12)))</f>
        <v/>
      </c>
      <c r="U1825" s="168" t="str">
        <f t="shared" si="367"/>
        <v/>
      </c>
      <c r="V1825" s="168" t="str">
        <f>IFERROR(U1825/_xlfn.XLOOKUP(_xlfn.XLOOKUP($F1825,Clientes!$B$4:$B$39,Clientes!$C$4:$C$39),Cadastros!$L$6:$L$12,Cadastros!$M$6:$M$12)," ")</f>
        <v xml:space="preserve"> </v>
      </c>
      <c r="W1825" s="28"/>
      <c r="X1825" s="28"/>
      <c r="Y1825" s="255" t="str">
        <f>IF(W1825="","",(_xlfn.XLOOKUP(W1825,Cadastros!$D$6:$D$90,Cadastros!$E$6:$E$90))*(1-_xlfn.XLOOKUP(_xlfn.XLOOKUP($F1825,Clientes!$B$4:$B$39,Clientes!$C$4:$C$39),Cadastros!$L$6:$L$12,Cadastros!$N$6:$N$12)))</f>
        <v/>
      </c>
      <c r="Z1825" s="168" t="str">
        <f t="shared" si="368"/>
        <v/>
      </c>
      <c r="AA1825" s="168" t="str">
        <f>IFERROR(Z1825/_xlfn.XLOOKUP(_xlfn.XLOOKUP($F1825,Clientes!$B$4:$B$39,Clientes!$C$4:$C$39),Cadastros!$L$6:$L$12,Cadastros!$M$6:$M$12)," ")</f>
        <v xml:space="preserve"> </v>
      </c>
      <c r="AB1825" s="28"/>
      <c r="AC1825" s="28"/>
      <c r="AD1825" s="20" t="str">
        <f>IF(AB1825="","",IF($F1825="Bernardino Furlan",_xlfn.XLOOKUP(AB1825,Cadastros!$G$6:$G$90,Cadastros!$H$6:$H$90)*(1-0.18),IF($F1825="Mauro José Salanti",_xlfn.XLOOKUP(AB1825,Cadastros!$G$6:$G$90,Cadastros!$H$6:$H$90)*(1-0.18),_xlfn.XLOOKUP(AB1825,Cadastros!$G$6:$G$90,Cadastros!$H$6:$H$90))))</f>
        <v/>
      </c>
      <c r="AE1825" s="168" t="str">
        <f t="shared" si="369"/>
        <v/>
      </c>
      <c r="AF1825" s="168" t="str">
        <f t="shared" si="370"/>
        <v/>
      </c>
      <c r="AG1825" s="28"/>
      <c r="AH1825" s="28"/>
      <c r="AI1825" s="20" t="str">
        <f>IF(AG1825="","",IF($F1825="Bernardino Furlan",_xlfn.XLOOKUP(AG1825,Cadastros!$G$6:$G$90,Cadastros!$H$6:$H$90)*(1-0.18),IF($F1825="Mauro José Salanti",_xlfn.XLOOKUP(AG1825,Cadastros!$G$6:$G$90,Cadastros!$H$6:$H$90)*(1-0.18),_xlfn.XLOOKUP(AG1825,Cadastros!$G$6:$G$90,Cadastros!$H$6:$H$90))))</f>
        <v/>
      </c>
      <c r="AJ1825" s="168" t="str">
        <f t="shared" si="371"/>
        <v/>
      </c>
      <c r="AK1825" s="168" t="str">
        <f t="shared" si="372"/>
        <v/>
      </c>
      <c r="AL1825" s="28"/>
      <c r="AM1825" s="28"/>
      <c r="AN1825" s="20" t="str">
        <f>IF(AL1825="","",IF($F1825="Bernardino Furlan",_xlfn.XLOOKUP(AL1825,Cadastros!$G$6:$G$90,Cadastros!$H$6:$H$90)*(1-0.18),IF($F1825="Mauro José Salanti",_xlfn.XLOOKUP(AL1825,Cadastros!$G$6:$G$90,Cadastros!$H$6:$H$90)*(1-0.18),_xlfn.XLOOKUP(AL1825,Cadastros!$G$6:$G$90,Cadastros!$H$6:$H$90))))</f>
        <v/>
      </c>
      <c r="AO1825" s="168" t="str">
        <f t="shared" si="373"/>
        <v/>
      </c>
      <c r="AP1825" s="168" t="str">
        <f t="shared" si="374"/>
        <v/>
      </c>
      <c r="AQ1825" s="28"/>
      <c r="AR1825" s="28"/>
      <c r="AS1825" s="20" t="str">
        <f>IF(AQ1825="","",IF($F1825="Bernardino Furlan",_xlfn.XLOOKUP(AQ1825,Cadastros!$G$6:$G$90,Cadastros!$H$6:$H$90)*(1-0.18),IF($F1825="Mauro José Salanti",_xlfn.XLOOKUP(AQ1825,Cadastros!$G$6:$G$90,Cadastros!$H$6:$H$90)*(1-0.18),_xlfn.XLOOKUP(AQ1825,Cadastros!$G$6:$G$90,Cadastros!$H$6:$H$90))))</f>
        <v/>
      </c>
      <c r="AT1825" s="168" t="str">
        <f t="shared" si="375"/>
        <v/>
      </c>
      <c r="AU1825" s="168" t="str">
        <f t="shared" si="376"/>
        <v/>
      </c>
      <c r="AV1825" s="227"/>
      <c r="AW1825" s="30"/>
      <c r="AX1825" s="267"/>
      <c r="AY1825" s="267"/>
      <c r="AZ1825" s="29"/>
      <c r="BA1825" s="30"/>
      <c r="BB1825" s="23" t="str" cm="1">
        <f t="array" ref="BB1825">_xlfn.IFS(AW1825="SIM",SUM(K1825,P1825,U1825,Z1825,AE1825,AJ1825,AO1825,AT1825,AX1825,AY1825),F1825&lt;&gt;"",SUM(K1825,P1825,U1825,Z1825,AE1825,AJ1825,,AO1825,AT1825),F1825="","")</f>
        <v/>
      </c>
      <c r="BC1825" s="211" t="str" cm="1">
        <f t="array" ref="BC1825">_xlfn.IFS(E1825="","",G1825&lt;=E1825,BB1825*(1-0.03),G1825&lt;(E1825+8),BB1825,AZ1825="Boleto",BB1825*(1+0.001)^DATEDIF(E1825,G1825,"D"),AZ1825="Cheque",BB1825,AZ1825="Dinheiro","Alterar forma pgto")</f>
        <v/>
      </c>
      <c r="BD1825" s="276" t="str" cm="1">
        <f t="array" ref="BD1825">IF(F1825=0," ",IF(BC1825&lt;BB1825,(_xlfn.IFS(AW1825="SIM",SUM(L1825,Q1825,V1825,AA1825,AF1825,AK1825,AP1825,AU1825)+AX1825/_xlfn.XLOOKUP(_xlfn.XLOOKUP($F1825,Clientes!$B$4:$B$39,Clientes!$C$4:$C$39),Cadastros!$L$6:$L$12,Cadastros!$M$6:$M$12)+IF($F1825="Bernardino Furlan",AY1825/2751.92,IF($F1825="Mauro José Salanti",AY1825/2751.92,AY1825/3356)),F1825&lt;&gt;0,SUM(L1825,Q1825,V1825,AA1825,AF1825,AK1825,AP1825,AU1825)))*(1-0.03),_xlfn.IFS(AW1825="SIM",SUM(L1825,Q1825,V1825,AA1825,AF1825,AK1825,AP1825,AU1825)+AX1825/_xlfn.XLOOKUP(_xlfn.XLOOKUP($F1825,Clientes!$B$4:$B$39,Clientes!$C$4:$C$39),Cadastros!$L$6:$L$12,Cadastros!$M$6:$M$12)+IF($F1825="Bernardino Furlan",AY1825/2751.92,IF($F1825="Mauro José Salanti",AY1825/2751.92,AY1825/3356)),F1825&lt;&gt;0,SUM(L1825,Q1825,V1825,AA1825,AF1825,AK1825,AP1825,AU1825))))</f>
        <v xml:space="preserve"> </v>
      </c>
      <c r="BE1825" s="120"/>
      <c r="BF1825" s="120"/>
      <c r="BG1825" s="120"/>
    </row>
    <row r="1826" spans="1:59" s="3" customFormat="1" x14ac:dyDescent="0.3">
      <c r="A1826" s="15" t="str">
        <f t="shared" si="364"/>
        <v/>
      </c>
      <c r="B1826" s="25"/>
      <c r="C1826" s="26"/>
      <c r="D1826" s="279"/>
      <c r="E1826" s="27"/>
      <c r="F1826" s="28"/>
      <c r="G1826" s="27"/>
      <c r="H1826" s="28"/>
      <c r="I1826" s="28"/>
      <c r="J1826" s="255" t="str">
        <f>IF(H1826="","",(_xlfn.XLOOKUP(H1826,Cadastros!$D$6:$D$90,Cadastros!$E$6:$E$90))*(1-_xlfn.XLOOKUP(_xlfn.XLOOKUP($F1826,Clientes!$B$4:$B$39,Clientes!$C$4:$C$39),Cadastros!$L$6:$L$12,Cadastros!$N$6:$N$12)))</f>
        <v/>
      </c>
      <c r="K1826" s="168" t="str">
        <f t="shared" si="365"/>
        <v/>
      </c>
      <c r="L1826" s="168" t="str">
        <f>IFERROR(K1826/_xlfn.XLOOKUP(_xlfn.XLOOKUP($F1826,Clientes!$B$4:$B$39,Clientes!$C$4:$C$39),Cadastros!$L$6:$L$12,Cadastros!$M$6:$M$12)," ")</f>
        <v xml:space="preserve"> </v>
      </c>
      <c r="M1826" s="28"/>
      <c r="N1826" s="28"/>
      <c r="O1826" s="255" t="str">
        <f>IF(M1826="","",(_xlfn.XLOOKUP(M1826,Cadastros!$D$6:$D$90,Cadastros!$E$6:$E$90))*(1-_xlfn.XLOOKUP(_xlfn.XLOOKUP($F1826,Clientes!$B$4:$B$39,Clientes!$C$4:$C$39),Cadastros!$L$6:$L$12,Cadastros!$N$6:$N$12)))</f>
        <v/>
      </c>
      <c r="P1826" s="168" t="str">
        <f t="shared" si="366"/>
        <v/>
      </c>
      <c r="Q1826" s="168" t="str">
        <f>IFERROR(P1826/_xlfn.XLOOKUP(_xlfn.XLOOKUP($F1826,Clientes!$B$4:$B$39,Clientes!$C$4:$C$39),Cadastros!$L$6:$L$12,Cadastros!$M$6:$M$12)," ")</f>
        <v xml:space="preserve"> </v>
      </c>
      <c r="R1826" s="28"/>
      <c r="S1826" s="28"/>
      <c r="T1826" s="255" t="str">
        <f>IF(R1826="","",(_xlfn.XLOOKUP(R1826,Cadastros!$D$6:$D$90,Cadastros!$E$6:$E$90))*(1-_xlfn.XLOOKUP(_xlfn.XLOOKUP($F1826,Clientes!$B$4:$B$39,Clientes!$C$4:$C$39),Cadastros!$L$6:$L$12,Cadastros!$N$6:$N$12)))</f>
        <v/>
      </c>
      <c r="U1826" s="168" t="str">
        <f t="shared" si="367"/>
        <v/>
      </c>
      <c r="V1826" s="168" t="str">
        <f>IFERROR(U1826/_xlfn.XLOOKUP(_xlfn.XLOOKUP($F1826,Clientes!$B$4:$B$39,Clientes!$C$4:$C$39),Cadastros!$L$6:$L$12,Cadastros!$M$6:$M$12)," ")</f>
        <v xml:space="preserve"> </v>
      </c>
      <c r="W1826" s="28"/>
      <c r="X1826" s="28"/>
      <c r="Y1826" s="255" t="str">
        <f>IF(W1826="","",(_xlfn.XLOOKUP(W1826,Cadastros!$D$6:$D$90,Cadastros!$E$6:$E$90))*(1-_xlfn.XLOOKUP(_xlfn.XLOOKUP($F1826,Clientes!$B$4:$B$39,Clientes!$C$4:$C$39),Cadastros!$L$6:$L$12,Cadastros!$N$6:$N$12)))</f>
        <v/>
      </c>
      <c r="Z1826" s="168" t="str">
        <f t="shared" si="368"/>
        <v/>
      </c>
      <c r="AA1826" s="168" t="str">
        <f>IFERROR(Z1826/_xlfn.XLOOKUP(_xlfn.XLOOKUP($F1826,Clientes!$B$4:$B$39,Clientes!$C$4:$C$39),Cadastros!$L$6:$L$12,Cadastros!$M$6:$M$12)," ")</f>
        <v xml:space="preserve"> </v>
      </c>
      <c r="AB1826" s="28"/>
      <c r="AC1826" s="28"/>
      <c r="AD1826" s="20" t="str">
        <f>IF(AB1826="","",IF($F1826="Bernardino Furlan",_xlfn.XLOOKUP(AB1826,Cadastros!$G$6:$G$90,Cadastros!$H$6:$H$90)*(1-0.18),IF($F1826="Mauro José Salanti",_xlfn.XLOOKUP(AB1826,Cadastros!$G$6:$G$90,Cadastros!$H$6:$H$90)*(1-0.18),_xlfn.XLOOKUP(AB1826,Cadastros!$G$6:$G$90,Cadastros!$H$6:$H$90))))</f>
        <v/>
      </c>
      <c r="AE1826" s="168" t="str">
        <f t="shared" si="369"/>
        <v/>
      </c>
      <c r="AF1826" s="168" t="str">
        <f t="shared" si="370"/>
        <v/>
      </c>
      <c r="AG1826" s="28"/>
      <c r="AH1826" s="28"/>
      <c r="AI1826" s="20" t="str">
        <f>IF(AG1826="","",IF($F1826="Bernardino Furlan",_xlfn.XLOOKUP(AG1826,Cadastros!$G$6:$G$90,Cadastros!$H$6:$H$90)*(1-0.18),IF($F1826="Mauro José Salanti",_xlfn.XLOOKUP(AG1826,Cadastros!$G$6:$G$90,Cadastros!$H$6:$H$90)*(1-0.18),_xlfn.XLOOKUP(AG1826,Cadastros!$G$6:$G$90,Cadastros!$H$6:$H$90))))</f>
        <v/>
      </c>
      <c r="AJ1826" s="168" t="str">
        <f t="shared" si="371"/>
        <v/>
      </c>
      <c r="AK1826" s="168" t="str">
        <f t="shared" si="372"/>
        <v/>
      </c>
      <c r="AL1826" s="28"/>
      <c r="AM1826" s="28"/>
      <c r="AN1826" s="20" t="str">
        <f>IF(AL1826="","",IF($F1826="Bernardino Furlan",_xlfn.XLOOKUP(AL1826,Cadastros!$G$6:$G$90,Cadastros!$H$6:$H$90)*(1-0.18),IF($F1826="Mauro José Salanti",_xlfn.XLOOKUP(AL1826,Cadastros!$G$6:$G$90,Cadastros!$H$6:$H$90)*(1-0.18),_xlfn.XLOOKUP(AL1826,Cadastros!$G$6:$G$90,Cadastros!$H$6:$H$90))))</f>
        <v/>
      </c>
      <c r="AO1826" s="168" t="str">
        <f t="shared" si="373"/>
        <v/>
      </c>
      <c r="AP1826" s="168" t="str">
        <f t="shared" si="374"/>
        <v/>
      </c>
      <c r="AQ1826" s="28"/>
      <c r="AR1826" s="28"/>
      <c r="AS1826" s="20" t="str">
        <f>IF(AQ1826="","",IF($F1826="Bernardino Furlan",_xlfn.XLOOKUP(AQ1826,Cadastros!$G$6:$G$90,Cadastros!$H$6:$H$90)*(1-0.18),IF($F1826="Mauro José Salanti",_xlfn.XLOOKUP(AQ1826,Cadastros!$G$6:$G$90,Cadastros!$H$6:$H$90)*(1-0.18),_xlfn.XLOOKUP(AQ1826,Cadastros!$G$6:$G$90,Cadastros!$H$6:$H$90))))</f>
        <v/>
      </c>
      <c r="AT1826" s="168" t="str">
        <f t="shared" si="375"/>
        <v/>
      </c>
      <c r="AU1826" s="168" t="str">
        <f t="shared" si="376"/>
        <v/>
      </c>
      <c r="AV1826" s="227"/>
      <c r="AW1826" s="30"/>
      <c r="AX1826" s="267"/>
      <c r="AY1826" s="267"/>
      <c r="AZ1826" s="29"/>
      <c r="BA1826" s="30"/>
      <c r="BB1826" s="23" t="str" cm="1">
        <f t="array" ref="BB1826">_xlfn.IFS(AW1826="SIM",SUM(K1826,P1826,U1826,Z1826,AE1826,AJ1826,AO1826,AT1826,AX1826,AY1826),F1826&lt;&gt;"",SUM(K1826,P1826,U1826,Z1826,AE1826,AJ1826,,AO1826,AT1826),F1826="","")</f>
        <v/>
      </c>
      <c r="BC1826" s="211" t="str" cm="1">
        <f t="array" ref="BC1826">_xlfn.IFS(E1826="","",G1826&lt;=E1826,BB1826*(1-0.03),G1826&lt;(E1826+8),BB1826,AZ1826="Boleto",BB1826*(1+0.001)^DATEDIF(E1826,G1826,"D"),AZ1826="Cheque",BB1826,AZ1826="Dinheiro","Alterar forma pgto")</f>
        <v/>
      </c>
      <c r="BD1826" s="276" t="str" cm="1">
        <f t="array" ref="BD1826">IF(F1826=0," ",IF(BC1826&lt;BB1826,(_xlfn.IFS(AW1826="SIM",SUM(L1826,Q1826,V1826,AA1826,AF1826,AK1826,AP1826,AU1826)+AX1826/_xlfn.XLOOKUP(_xlfn.XLOOKUP($F1826,Clientes!$B$4:$B$39,Clientes!$C$4:$C$39),Cadastros!$L$6:$L$12,Cadastros!$M$6:$M$12)+IF($F1826="Bernardino Furlan",AY1826/2751.92,IF($F1826="Mauro José Salanti",AY1826/2751.92,AY1826/3356)),F1826&lt;&gt;0,SUM(L1826,Q1826,V1826,AA1826,AF1826,AK1826,AP1826,AU1826)))*(1-0.03),_xlfn.IFS(AW1826="SIM",SUM(L1826,Q1826,V1826,AA1826,AF1826,AK1826,AP1826,AU1826)+AX1826/_xlfn.XLOOKUP(_xlfn.XLOOKUP($F1826,Clientes!$B$4:$B$39,Clientes!$C$4:$C$39),Cadastros!$L$6:$L$12,Cadastros!$M$6:$M$12)+IF($F1826="Bernardino Furlan",AY1826/2751.92,IF($F1826="Mauro José Salanti",AY1826/2751.92,AY1826/3356)),F1826&lt;&gt;0,SUM(L1826,Q1826,V1826,AA1826,AF1826,AK1826,AP1826,AU1826))))</f>
        <v xml:space="preserve"> </v>
      </c>
      <c r="BE1826" s="120"/>
      <c r="BF1826" s="120"/>
      <c r="BG1826" s="120"/>
    </row>
    <row r="1827" spans="1:59" s="3" customFormat="1" x14ac:dyDescent="0.3">
      <c r="A1827" s="15" t="str">
        <f t="shared" si="364"/>
        <v/>
      </c>
      <c r="B1827" s="25"/>
      <c r="C1827" s="26"/>
      <c r="D1827" s="279"/>
      <c r="E1827" s="27"/>
      <c r="F1827" s="28"/>
      <c r="G1827" s="27"/>
      <c r="H1827" s="28"/>
      <c r="I1827" s="28"/>
      <c r="J1827" s="255" t="str">
        <f>IF(H1827="","",(_xlfn.XLOOKUP(H1827,Cadastros!$D$6:$D$90,Cadastros!$E$6:$E$90))*(1-_xlfn.XLOOKUP(_xlfn.XLOOKUP($F1827,Clientes!$B$4:$B$39,Clientes!$C$4:$C$39),Cadastros!$L$6:$L$12,Cadastros!$N$6:$N$12)))</f>
        <v/>
      </c>
      <c r="K1827" s="168" t="str">
        <f t="shared" si="365"/>
        <v/>
      </c>
      <c r="L1827" s="168" t="str">
        <f>IFERROR(K1827/_xlfn.XLOOKUP(_xlfn.XLOOKUP($F1827,Clientes!$B$4:$B$39,Clientes!$C$4:$C$39),Cadastros!$L$6:$L$12,Cadastros!$M$6:$M$12)," ")</f>
        <v xml:space="preserve"> </v>
      </c>
      <c r="M1827" s="28"/>
      <c r="N1827" s="28"/>
      <c r="O1827" s="255" t="str">
        <f>IF(M1827="","",(_xlfn.XLOOKUP(M1827,Cadastros!$D$6:$D$90,Cadastros!$E$6:$E$90))*(1-_xlfn.XLOOKUP(_xlfn.XLOOKUP($F1827,Clientes!$B$4:$B$39,Clientes!$C$4:$C$39),Cadastros!$L$6:$L$12,Cadastros!$N$6:$N$12)))</f>
        <v/>
      </c>
      <c r="P1827" s="168" t="str">
        <f t="shared" si="366"/>
        <v/>
      </c>
      <c r="Q1827" s="168" t="str">
        <f>IFERROR(P1827/_xlfn.XLOOKUP(_xlfn.XLOOKUP($F1827,Clientes!$B$4:$B$39,Clientes!$C$4:$C$39),Cadastros!$L$6:$L$12,Cadastros!$M$6:$M$12)," ")</f>
        <v xml:space="preserve"> </v>
      </c>
      <c r="R1827" s="28"/>
      <c r="S1827" s="28"/>
      <c r="T1827" s="255" t="str">
        <f>IF(R1827="","",(_xlfn.XLOOKUP(R1827,Cadastros!$D$6:$D$90,Cadastros!$E$6:$E$90))*(1-_xlfn.XLOOKUP(_xlfn.XLOOKUP($F1827,Clientes!$B$4:$B$39,Clientes!$C$4:$C$39),Cadastros!$L$6:$L$12,Cadastros!$N$6:$N$12)))</f>
        <v/>
      </c>
      <c r="U1827" s="168" t="str">
        <f t="shared" si="367"/>
        <v/>
      </c>
      <c r="V1827" s="168" t="str">
        <f>IFERROR(U1827/_xlfn.XLOOKUP(_xlfn.XLOOKUP($F1827,Clientes!$B$4:$B$39,Clientes!$C$4:$C$39),Cadastros!$L$6:$L$12,Cadastros!$M$6:$M$12)," ")</f>
        <v xml:space="preserve"> </v>
      </c>
      <c r="W1827" s="28"/>
      <c r="X1827" s="28"/>
      <c r="Y1827" s="255" t="str">
        <f>IF(W1827="","",(_xlfn.XLOOKUP(W1827,Cadastros!$D$6:$D$90,Cadastros!$E$6:$E$90))*(1-_xlfn.XLOOKUP(_xlfn.XLOOKUP($F1827,Clientes!$B$4:$B$39,Clientes!$C$4:$C$39),Cadastros!$L$6:$L$12,Cadastros!$N$6:$N$12)))</f>
        <v/>
      </c>
      <c r="Z1827" s="168" t="str">
        <f t="shared" si="368"/>
        <v/>
      </c>
      <c r="AA1827" s="168" t="str">
        <f>IFERROR(Z1827/_xlfn.XLOOKUP(_xlfn.XLOOKUP($F1827,Clientes!$B$4:$B$39,Clientes!$C$4:$C$39),Cadastros!$L$6:$L$12,Cadastros!$M$6:$M$12)," ")</f>
        <v xml:space="preserve"> </v>
      </c>
      <c r="AB1827" s="28"/>
      <c r="AC1827" s="28"/>
      <c r="AD1827" s="20" t="str">
        <f>IF(AB1827="","",IF($F1827="Bernardino Furlan",_xlfn.XLOOKUP(AB1827,Cadastros!$G$6:$G$90,Cadastros!$H$6:$H$90)*(1-0.18),IF($F1827="Mauro José Salanti",_xlfn.XLOOKUP(AB1827,Cadastros!$G$6:$G$90,Cadastros!$H$6:$H$90)*(1-0.18),_xlfn.XLOOKUP(AB1827,Cadastros!$G$6:$G$90,Cadastros!$H$6:$H$90))))</f>
        <v/>
      </c>
      <c r="AE1827" s="168" t="str">
        <f t="shared" si="369"/>
        <v/>
      </c>
      <c r="AF1827" s="168" t="str">
        <f t="shared" si="370"/>
        <v/>
      </c>
      <c r="AG1827" s="28"/>
      <c r="AH1827" s="28"/>
      <c r="AI1827" s="20" t="str">
        <f>IF(AG1827="","",IF($F1827="Bernardino Furlan",_xlfn.XLOOKUP(AG1827,Cadastros!$G$6:$G$90,Cadastros!$H$6:$H$90)*(1-0.18),IF($F1827="Mauro José Salanti",_xlfn.XLOOKUP(AG1827,Cadastros!$G$6:$G$90,Cadastros!$H$6:$H$90)*(1-0.18),_xlfn.XLOOKUP(AG1827,Cadastros!$G$6:$G$90,Cadastros!$H$6:$H$90))))</f>
        <v/>
      </c>
      <c r="AJ1827" s="168" t="str">
        <f t="shared" si="371"/>
        <v/>
      </c>
      <c r="AK1827" s="168" t="str">
        <f t="shared" si="372"/>
        <v/>
      </c>
      <c r="AL1827" s="28"/>
      <c r="AM1827" s="28"/>
      <c r="AN1827" s="20" t="str">
        <f>IF(AL1827="","",IF($F1827="Bernardino Furlan",_xlfn.XLOOKUP(AL1827,Cadastros!$G$6:$G$90,Cadastros!$H$6:$H$90)*(1-0.18),IF($F1827="Mauro José Salanti",_xlfn.XLOOKUP(AL1827,Cadastros!$G$6:$G$90,Cadastros!$H$6:$H$90)*(1-0.18),_xlfn.XLOOKUP(AL1827,Cadastros!$G$6:$G$90,Cadastros!$H$6:$H$90))))</f>
        <v/>
      </c>
      <c r="AO1827" s="168" t="str">
        <f t="shared" si="373"/>
        <v/>
      </c>
      <c r="AP1827" s="168" t="str">
        <f t="shared" si="374"/>
        <v/>
      </c>
      <c r="AQ1827" s="28"/>
      <c r="AR1827" s="28"/>
      <c r="AS1827" s="20" t="str">
        <f>IF(AQ1827="","",IF($F1827="Bernardino Furlan",_xlfn.XLOOKUP(AQ1827,Cadastros!$G$6:$G$90,Cadastros!$H$6:$H$90)*(1-0.18),IF($F1827="Mauro José Salanti",_xlfn.XLOOKUP(AQ1827,Cadastros!$G$6:$G$90,Cadastros!$H$6:$H$90)*(1-0.18),_xlfn.XLOOKUP(AQ1827,Cadastros!$G$6:$G$90,Cadastros!$H$6:$H$90))))</f>
        <v/>
      </c>
      <c r="AT1827" s="168" t="str">
        <f t="shared" si="375"/>
        <v/>
      </c>
      <c r="AU1827" s="168" t="str">
        <f t="shared" si="376"/>
        <v/>
      </c>
      <c r="AV1827" s="227"/>
      <c r="AW1827" s="30"/>
      <c r="AX1827" s="267"/>
      <c r="AY1827" s="267"/>
      <c r="AZ1827" s="29"/>
      <c r="BA1827" s="30"/>
      <c r="BB1827" s="23" t="str" cm="1">
        <f t="array" ref="BB1827">_xlfn.IFS(AW1827="SIM",SUM(K1827,P1827,U1827,Z1827,AE1827,AJ1827,AO1827,AT1827,AX1827,AY1827),F1827&lt;&gt;"",SUM(K1827,P1827,U1827,Z1827,AE1827,AJ1827,,AO1827,AT1827),F1827="","")</f>
        <v/>
      </c>
      <c r="BC1827" s="211" t="str" cm="1">
        <f t="array" ref="BC1827">_xlfn.IFS(E1827="","",G1827&lt;=E1827,BB1827*(1-0.03),G1827&lt;(E1827+8),BB1827,AZ1827="Boleto",BB1827*(1+0.001)^DATEDIF(E1827,G1827,"D"),AZ1827="Cheque",BB1827,AZ1827="Dinheiro","Alterar forma pgto")</f>
        <v/>
      </c>
      <c r="BD1827" s="276" t="str" cm="1">
        <f t="array" ref="BD1827">IF(F1827=0," ",IF(BC1827&lt;BB1827,(_xlfn.IFS(AW1827="SIM",SUM(L1827,Q1827,V1827,AA1827,AF1827,AK1827,AP1827,AU1827)+AX1827/_xlfn.XLOOKUP(_xlfn.XLOOKUP($F1827,Clientes!$B$4:$B$39,Clientes!$C$4:$C$39),Cadastros!$L$6:$L$12,Cadastros!$M$6:$M$12)+IF($F1827="Bernardino Furlan",AY1827/2751.92,IF($F1827="Mauro José Salanti",AY1827/2751.92,AY1827/3356)),F1827&lt;&gt;0,SUM(L1827,Q1827,V1827,AA1827,AF1827,AK1827,AP1827,AU1827)))*(1-0.03),_xlfn.IFS(AW1827="SIM",SUM(L1827,Q1827,V1827,AA1827,AF1827,AK1827,AP1827,AU1827)+AX1827/_xlfn.XLOOKUP(_xlfn.XLOOKUP($F1827,Clientes!$B$4:$B$39,Clientes!$C$4:$C$39),Cadastros!$L$6:$L$12,Cadastros!$M$6:$M$12)+IF($F1827="Bernardino Furlan",AY1827/2751.92,IF($F1827="Mauro José Salanti",AY1827/2751.92,AY1827/3356)),F1827&lt;&gt;0,SUM(L1827,Q1827,V1827,AA1827,AF1827,AK1827,AP1827,AU1827))))</f>
        <v xml:space="preserve"> </v>
      </c>
      <c r="BE1827" s="120"/>
      <c r="BF1827" s="120"/>
      <c r="BG1827" s="120"/>
    </row>
    <row r="1828" spans="1:59" s="3" customFormat="1" x14ac:dyDescent="0.3">
      <c r="A1828" s="15" t="str">
        <f t="shared" si="364"/>
        <v/>
      </c>
      <c r="B1828" s="25"/>
      <c r="C1828" s="26"/>
      <c r="D1828" s="279"/>
      <c r="E1828" s="27"/>
      <c r="F1828" s="28"/>
      <c r="G1828" s="27"/>
      <c r="H1828" s="28"/>
      <c r="I1828" s="28"/>
      <c r="J1828" s="255" t="str">
        <f>IF(H1828="","",(_xlfn.XLOOKUP(H1828,Cadastros!$D$6:$D$90,Cadastros!$E$6:$E$90))*(1-_xlfn.XLOOKUP(_xlfn.XLOOKUP($F1828,Clientes!$B$4:$B$39,Clientes!$C$4:$C$39),Cadastros!$L$6:$L$12,Cadastros!$N$6:$N$12)))</f>
        <v/>
      </c>
      <c r="K1828" s="168" t="str">
        <f t="shared" si="365"/>
        <v/>
      </c>
      <c r="L1828" s="168" t="str">
        <f>IFERROR(K1828/_xlfn.XLOOKUP(_xlfn.XLOOKUP($F1828,Clientes!$B$4:$B$39,Clientes!$C$4:$C$39),Cadastros!$L$6:$L$12,Cadastros!$M$6:$M$12)," ")</f>
        <v xml:space="preserve"> </v>
      </c>
      <c r="M1828" s="28"/>
      <c r="N1828" s="28"/>
      <c r="O1828" s="255" t="str">
        <f>IF(M1828="","",(_xlfn.XLOOKUP(M1828,Cadastros!$D$6:$D$90,Cadastros!$E$6:$E$90))*(1-_xlfn.XLOOKUP(_xlfn.XLOOKUP($F1828,Clientes!$B$4:$B$39,Clientes!$C$4:$C$39),Cadastros!$L$6:$L$12,Cadastros!$N$6:$N$12)))</f>
        <v/>
      </c>
      <c r="P1828" s="168" t="str">
        <f t="shared" si="366"/>
        <v/>
      </c>
      <c r="Q1828" s="168" t="str">
        <f>IFERROR(P1828/_xlfn.XLOOKUP(_xlfn.XLOOKUP($F1828,Clientes!$B$4:$B$39,Clientes!$C$4:$C$39),Cadastros!$L$6:$L$12,Cadastros!$M$6:$M$12)," ")</f>
        <v xml:space="preserve"> </v>
      </c>
      <c r="R1828" s="28"/>
      <c r="S1828" s="28"/>
      <c r="T1828" s="255" t="str">
        <f>IF(R1828="","",(_xlfn.XLOOKUP(R1828,Cadastros!$D$6:$D$90,Cadastros!$E$6:$E$90))*(1-_xlfn.XLOOKUP(_xlfn.XLOOKUP($F1828,Clientes!$B$4:$B$39,Clientes!$C$4:$C$39),Cadastros!$L$6:$L$12,Cadastros!$N$6:$N$12)))</f>
        <v/>
      </c>
      <c r="U1828" s="168" t="str">
        <f t="shared" si="367"/>
        <v/>
      </c>
      <c r="V1828" s="168" t="str">
        <f>IFERROR(U1828/_xlfn.XLOOKUP(_xlfn.XLOOKUP($F1828,Clientes!$B$4:$B$39,Clientes!$C$4:$C$39),Cadastros!$L$6:$L$12,Cadastros!$M$6:$M$12)," ")</f>
        <v xml:space="preserve"> </v>
      </c>
      <c r="W1828" s="28"/>
      <c r="X1828" s="28"/>
      <c r="Y1828" s="255" t="str">
        <f>IF(W1828="","",(_xlfn.XLOOKUP(W1828,Cadastros!$D$6:$D$90,Cadastros!$E$6:$E$90))*(1-_xlfn.XLOOKUP(_xlfn.XLOOKUP($F1828,Clientes!$B$4:$B$39,Clientes!$C$4:$C$39),Cadastros!$L$6:$L$12,Cadastros!$N$6:$N$12)))</f>
        <v/>
      </c>
      <c r="Z1828" s="168" t="str">
        <f t="shared" si="368"/>
        <v/>
      </c>
      <c r="AA1828" s="168" t="str">
        <f>IFERROR(Z1828/_xlfn.XLOOKUP(_xlfn.XLOOKUP($F1828,Clientes!$B$4:$B$39,Clientes!$C$4:$C$39),Cadastros!$L$6:$L$12,Cadastros!$M$6:$M$12)," ")</f>
        <v xml:space="preserve"> </v>
      </c>
      <c r="AB1828" s="28"/>
      <c r="AC1828" s="28"/>
      <c r="AD1828" s="20" t="str">
        <f>IF(AB1828="","",IF($F1828="Bernardino Furlan",_xlfn.XLOOKUP(AB1828,Cadastros!$G$6:$G$90,Cadastros!$H$6:$H$90)*(1-0.18),IF($F1828="Mauro José Salanti",_xlfn.XLOOKUP(AB1828,Cadastros!$G$6:$G$90,Cadastros!$H$6:$H$90)*(1-0.18),_xlfn.XLOOKUP(AB1828,Cadastros!$G$6:$G$90,Cadastros!$H$6:$H$90))))</f>
        <v/>
      </c>
      <c r="AE1828" s="168" t="str">
        <f t="shared" si="369"/>
        <v/>
      </c>
      <c r="AF1828" s="168" t="str">
        <f t="shared" si="370"/>
        <v/>
      </c>
      <c r="AG1828" s="28"/>
      <c r="AH1828" s="28"/>
      <c r="AI1828" s="20" t="str">
        <f>IF(AG1828="","",IF($F1828="Bernardino Furlan",_xlfn.XLOOKUP(AG1828,Cadastros!$G$6:$G$90,Cadastros!$H$6:$H$90)*(1-0.18),IF($F1828="Mauro José Salanti",_xlfn.XLOOKUP(AG1828,Cadastros!$G$6:$G$90,Cadastros!$H$6:$H$90)*(1-0.18),_xlfn.XLOOKUP(AG1828,Cadastros!$G$6:$G$90,Cadastros!$H$6:$H$90))))</f>
        <v/>
      </c>
      <c r="AJ1828" s="168" t="str">
        <f t="shared" si="371"/>
        <v/>
      </c>
      <c r="AK1828" s="168" t="str">
        <f t="shared" si="372"/>
        <v/>
      </c>
      <c r="AL1828" s="28"/>
      <c r="AM1828" s="28"/>
      <c r="AN1828" s="20" t="str">
        <f>IF(AL1828="","",IF($F1828="Bernardino Furlan",_xlfn.XLOOKUP(AL1828,Cadastros!$G$6:$G$90,Cadastros!$H$6:$H$90)*(1-0.18),IF($F1828="Mauro José Salanti",_xlfn.XLOOKUP(AL1828,Cadastros!$G$6:$G$90,Cadastros!$H$6:$H$90)*(1-0.18),_xlfn.XLOOKUP(AL1828,Cadastros!$G$6:$G$90,Cadastros!$H$6:$H$90))))</f>
        <v/>
      </c>
      <c r="AO1828" s="168" t="str">
        <f t="shared" si="373"/>
        <v/>
      </c>
      <c r="AP1828" s="168" t="str">
        <f t="shared" si="374"/>
        <v/>
      </c>
      <c r="AQ1828" s="28"/>
      <c r="AR1828" s="28"/>
      <c r="AS1828" s="20" t="str">
        <f>IF(AQ1828="","",IF($F1828="Bernardino Furlan",_xlfn.XLOOKUP(AQ1828,Cadastros!$G$6:$G$90,Cadastros!$H$6:$H$90)*(1-0.18),IF($F1828="Mauro José Salanti",_xlfn.XLOOKUP(AQ1828,Cadastros!$G$6:$G$90,Cadastros!$H$6:$H$90)*(1-0.18),_xlfn.XLOOKUP(AQ1828,Cadastros!$G$6:$G$90,Cadastros!$H$6:$H$90))))</f>
        <v/>
      </c>
      <c r="AT1828" s="168" t="str">
        <f t="shared" si="375"/>
        <v/>
      </c>
      <c r="AU1828" s="168" t="str">
        <f t="shared" si="376"/>
        <v/>
      </c>
      <c r="AV1828" s="227"/>
      <c r="AW1828" s="30"/>
      <c r="AX1828" s="267"/>
      <c r="AY1828" s="267"/>
      <c r="AZ1828" s="29"/>
      <c r="BA1828" s="30"/>
      <c r="BB1828" s="23" t="str" cm="1">
        <f t="array" ref="BB1828">_xlfn.IFS(AW1828="SIM",SUM(K1828,P1828,U1828,Z1828,AE1828,AJ1828,AO1828,AT1828,AX1828,AY1828),F1828&lt;&gt;"",SUM(K1828,P1828,U1828,Z1828,AE1828,AJ1828,,AO1828,AT1828),F1828="","")</f>
        <v/>
      </c>
      <c r="BC1828" s="211" t="str" cm="1">
        <f t="array" ref="BC1828">_xlfn.IFS(E1828="","",G1828&lt;=E1828,BB1828*(1-0.03),G1828&lt;(E1828+8),BB1828,AZ1828="Boleto",BB1828*(1+0.001)^DATEDIF(E1828,G1828,"D"),AZ1828="Cheque",BB1828,AZ1828="Dinheiro","Alterar forma pgto")</f>
        <v/>
      </c>
      <c r="BD1828" s="276" t="str" cm="1">
        <f t="array" ref="BD1828">IF(F1828=0," ",IF(BC1828&lt;BB1828,(_xlfn.IFS(AW1828="SIM",SUM(L1828,Q1828,V1828,AA1828,AF1828,AK1828,AP1828,AU1828)+AX1828/_xlfn.XLOOKUP(_xlfn.XLOOKUP($F1828,Clientes!$B$4:$B$39,Clientes!$C$4:$C$39),Cadastros!$L$6:$L$12,Cadastros!$M$6:$M$12)+IF($F1828="Bernardino Furlan",AY1828/2751.92,IF($F1828="Mauro José Salanti",AY1828/2751.92,AY1828/3356)),F1828&lt;&gt;0,SUM(L1828,Q1828,V1828,AA1828,AF1828,AK1828,AP1828,AU1828)))*(1-0.03),_xlfn.IFS(AW1828="SIM",SUM(L1828,Q1828,V1828,AA1828,AF1828,AK1828,AP1828,AU1828)+AX1828/_xlfn.XLOOKUP(_xlfn.XLOOKUP($F1828,Clientes!$B$4:$B$39,Clientes!$C$4:$C$39),Cadastros!$L$6:$L$12,Cadastros!$M$6:$M$12)+IF($F1828="Bernardino Furlan",AY1828/2751.92,IF($F1828="Mauro José Salanti",AY1828/2751.92,AY1828/3356)),F1828&lt;&gt;0,SUM(L1828,Q1828,V1828,AA1828,AF1828,AK1828,AP1828,AU1828))))</f>
        <v xml:space="preserve"> </v>
      </c>
      <c r="BE1828" s="120"/>
      <c r="BF1828" s="120"/>
      <c r="BG1828" s="120"/>
    </row>
    <row r="1829" spans="1:59" s="3" customFormat="1" x14ac:dyDescent="0.3">
      <c r="A1829" s="15" t="str">
        <f t="shared" si="364"/>
        <v/>
      </c>
      <c r="B1829" s="25"/>
      <c r="C1829" s="26"/>
      <c r="D1829" s="279"/>
      <c r="E1829" s="27"/>
      <c r="F1829" s="28"/>
      <c r="G1829" s="27"/>
      <c r="H1829" s="28"/>
      <c r="I1829" s="28"/>
      <c r="J1829" s="255" t="str">
        <f>IF(H1829="","",(_xlfn.XLOOKUP(H1829,Cadastros!$D$6:$D$90,Cadastros!$E$6:$E$90))*(1-_xlfn.XLOOKUP(_xlfn.XLOOKUP($F1829,Clientes!$B$4:$B$39,Clientes!$C$4:$C$39),Cadastros!$L$6:$L$12,Cadastros!$N$6:$N$12)))</f>
        <v/>
      </c>
      <c r="K1829" s="168" t="str">
        <f t="shared" si="365"/>
        <v/>
      </c>
      <c r="L1829" s="168" t="str">
        <f>IFERROR(K1829/_xlfn.XLOOKUP(_xlfn.XLOOKUP($F1829,Clientes!$B$4:$B$39,Clientes!$C$4:$C$39),Cadastros!$L$6:$L$12,Cadastros!$M$6:$M$12)," ")</f>
        <v xml:space="preserve"> </v>
      </c>
      <c r="M1829" s="28"/>
      <c r="N1829" s="28"/>
      <c r="O1829" s="255" t="str">
        <f>IF(M1829="","",(_xlfn.XLOOKUP(M1829,Cadastros!$D$6:$D$90,Cadastros!$E$6:$E$90))*(1-_xlfn.XLOOKUP(_xlfn.XLOOKUP($F1829,Clientes!$B$4:$B$39,Clientes!$C$4:$C$39),Cadastros!$L$6:$L$12,Cadastros!$N$6:$N$12)))</f>
        <v/>
      </c>
      <c r="P1829" s="168" t="str">
        <f t="shared" si="366"/>
        <v/>
      </c>
      <c r="Q1829" s="168" t="str">
        <f>IFERROR(P1829/_xlfn.XLOOKUP(_xlfn.XLOOKUP($F1829,Clientes!$B$4:$B$39,Clientes!$C$4:$C$39),Cadastros!$L$6:$L$12,Cadastros!$M$6:$M$12)," ")</f>
        <v xml:space="preserve"> </v>
      </c>
      <c r="R1829" s="28"/>
      <c r="S1829" s="28"/>
      <c r="T1829" s="255" t="str">
        <f>IF(R1829="","",(_xlfn.XLOOKUP(R1829,Cadastros!$D$6:$D$90,Cadastros!$E$6:$E$90))*(1-_xlfn.XLOOKUP(_xlfn.XLOOKUP($F1829,Clientes!$B$4:$B$39,Clientes!$C$4:$C$39),Cadastros!$L$6:$L$12,Cadastros!$N$6:$N$12)))</f>
        <v/>
      </c>
      <c r="U1829" s="168" t="str">
        <f t="shared" si="367"/>
        <v/>
      </c>
      <c r="V1829" s="168" t="str">
        <f>IFERROR(U1829/_xlfn.XLOOKUP(_xlfn.XLOOKUP($F1829,Clientes!$B$4:$B$39,Clientes!$C$4:$C$39),Cadastros!$L$6:$L$12,Cadastros!$M$6:$M$12)," ")</f>
        <v xml:space="preserve"> </v>
      </c>
      <c r="W1829" s="28"/>
      <c r="X1829" s="28"/>
      <c r="Y1829" s="255" t="str">
        <f>IF(W1829="","",(_xlfn.XLOOKUP(W1829,Cadastros!$D$6:$D$90,Cadastros!$E$6:$E$90))*(1-_xlfn.XLOOKUP(_xlfn.XLOOKUP($F1829,Clientes!$B$4:$B$39,Clientes!$C$4:$C$39),Cadastros!$L$6:$L$12,Cadastros!$N$6:$N$12)))</f>
        <v/>
      </c>
      <c r="Z1829" s="168" t="str">
        <f t="shared" si="368"/>
        <v/>
      </c>
      <c r="AA1829" s="168" t="str">
        <f>IFERROR(Z1829/_xlfn.XLOOKUP(_xlfn.XLOOKUP($F1829,Clientes!$B$4:$B$39,Clientes!$C$4:$C$39),Cadastros!$L$6:$L$12,Cadastros!$M$6:$M$12)," ")</f>
        <v xml:space="preserve"> </v>
      </c>
      <c r="AB1829" s="28"/>
      <c r="AC1829" s="28"/>
      <c r="AD1829" s="20" t="str">
        <f>IF(AB1829="","",IF($F1829="Bernardino Furlan",_xlfn.XLOOKUP(AB1829,Cadastros!$G$6:$G$90,Cadastros!$H$6:$H$90)*(1-0.18),IF($F1829="Mauro José Salanti",_xlfn.XLOOKUP(AB1829,Cadastros!$G$6:$G$90,Cadastros!$H$6:$H$90)*(1-0.18),_xlfn.XLOOKUP(AB1829,Cadastros!$G$6:$G$90,Cadastros!$H$6:$H$90))))</f>
        <v/>
      </c>
      <c r="AE1829" s="168" t="str">
        <f t="shared" si="369"/>
        <v/>
      </c>
      <c r="AF1829" s="168" t="str">
        <f t="shared" si="370"/>
        <v/>
      </c>
      <c r="AG1829" s="28"/>
      <c r="AH1829" s="28"/>
      <c r="AI1829" s="20" t="str">
        <f>IF(AG1829="","",IF($F1829="Bernardino Furlan",_xlfn.XLOOKUP(AG1829,Cadastros!$G$6:$G$90,Cadastros!$H$6:$H$90)*(1-0.18),IF($F1829="Mauro José Salanti",_xlfn.XLOOKUP(AG1829,Cadastros!$G$6:$G$90,Cadastros!$H$6:$H$90)*(1-0.18),_xlfn.XLOOKUP(AG1829,Cadastros!$G$6:$G$90,Cadastros!$H$6:$H$90))))</f>
        <v/>
      </c>
      <c r="AJ1829" s="168" t="str">
        <f t="shared" si="371"/>
        <v/>
      </c>
      <c r="AK1829" s="168" t="str">
        <f t="shared" si="372"/>
        <v/>
      </c>
      <c r="AL1829" s="28"/>
      <c r="AM1829" s="28"/>
      <c r="AN1829" s="20" t="str">
        <f>IF(AL1829="","",IF($F1829="Bernardino Furlan",_xlfn.XLOOKUP(AL1829,Cadastros!$G$6:$G$90,Cadastros!$H$6:$H$90)*(1-0.18),IF($F1829="Mauro José Salanti",_xlfn.XLOOKUP(AL1829,Cadastros!$G$6:$G$90,Cadastros!$H$6:$H$90)*(1-0.18),_xlfn.XLOOKUP(AL1829,Cadastros!$G$6:$G$90,Cadastros!$H$6:$H$90))))</f>
        <v/>
      </c>
      <c r="AO1829" s="168" t="str">
        <f t="shared" si="373"/>
        <v/>
      </c>
      <c r="AP1829" s="168" t="str">
        <f t="shared" si="374"/>
        <v/>
      </c>
      <c r="AQ1829" s="28"/>
      <c r="AR1829" s="28"/>
      <c r="AS1829" s="20" t="str">
        <f>IF(AQ1829="","",IF($F1829="Bernardino Furlan",_xlfn.XLOOKUP(AQ1829,Cadastros!$G$6:$G$90,Cadastros!$H$6:$H$90)*(1-0.18),IF($F1829="Mauro José Salanti",_xlfn.XLOOKUP(AQ1829,Cadastros!$G$6:$G$90,Cadastros!$H$6:$H$90)*(1-0.18),_xlfn.XLOOKUP(AQ1829,Cadastros!$G$6:$G$90,Cadastros!$H$6:$H$90))))</f>
        <v/>
      </c>
      <c r="AT1829" s="168" t="str">
        <f t="shared" si="375"/>
        <v/>
      </c>
      <c r="AU1829" s="168" t="str">
        <f t="shared" si="376"/>
        <v/>
      </c>
      <c r="AV1829" s="227"/>
      <c r="AW1829" s="30"/>
      <c r="AX1829" s="267"/>
      <c r="AY1829" s="267"/>
      <c r="AZ1829" s="29"/>
      <c r="BA1829" s="30"/>
      <c r="BB1829" s="23" t="str" cm="1">
        <f t="array" ref="BB1829">_xlfn.IFS(AW1829="SIM",SUM(K1829,P1829,U1829,Z1829,AE1829,AJ1829,AO1829,AT1829,AX1829,AY1829),F1829&lt;&gt;"",SUM(K1829,P1829,U1829,Z1829,AE1829,AJ1829,,AO1829,AT1829),F1829="","")</f>
        <v/>
      </c>
      <c r="BC1829" s="211" t="str" cm="1">
        <f t="array" ref="BC1829">_xlfn.IFS(E1829="","",G1829&lt;=E1829,BB1829*(1-0.03),G1829&lt;(E1829+8),BB1829,AZ1829="Boleto",BB1829*(1+0.001)^DATEDIF(E1829,G1829,"D"),AZ1829="Cheque",BB1829,AZ1829="Dinheiro","Alterar forma pgto")</f>
        <v/>
      </c>
      <c r="BD1829" s="276" t="str" cm="1">
        <f t="array" ref="BD1829">IF(F1829=0," ",IF(BC1829&lt;BB1829,(_xlfn.IFS(AW1829="SIM",SUM(L1829,Q1829,V1829,AA1829,AF1829,AK1829,AP1829,AU1829)+AX1829/_xlfn.XLOOKUP(_xlfn.XLOOKUP($F1829,Clientes!$B$4:$B$39,Clientes!$C$4:$C$39),Cadastros!$L$6:$L$12,Cadastros!$M$6:$M$12)+IF($F1829="Bernardino Furlan",AY1829/2751.92,IF($F1829="Mauro José Salanti",AY1829/2751.92,AY1829/3356)),F1829&lt;&gt;0,SUM(L1829,Q1829,V1829,AA1829,AF1829,AK1829,AP1829,AU1829)))*(1-0.03),_xlfn.IFS(AW1829="SIM",SUM(L1829,Q1829,V1829,AA1829,AF1829,AK1829,AP1829,AU1829)+AX1829/_xlfn.XLOOKUP(_xlfn.XLOOKUP($F1829,Clientes!$B$4:$B$39,Clientes!$C$4:$C$39),Cadastros!$L$6:$L$12,Cadastros!$M$6:$M$12)+IF($F1829="Bernardino Furlan",AY1829/2751.92,IF($F1829="Mauro José Salanti",AY1829/2751.92,AY1829/3356)),F1829&lt;&gt;0,SUM(L1829,Q1829,V1829,AA1829,AF1829,AK1829,AP1829,AU1829))))</f>
        <v xml:space="preserve"> </v>
      </c>
      <c r="BE1829" s="120"/>
      <c r="BF1829" s="120"/>
      <c r="BG1829" s="120"/>
    </row>
    <row r="1830" spans="1:59" s="3" customFormat="1" x14ac:dyDescent="0.3">
      <c r="A1830" s="15" t="str">
        <f t="shared" si="364"/>
        <v/>
      </c>
      <c r="B1830" s="25"/>
      <c r="C1830" s="26"/>
      <c r="D1830" s="279"/>
      <c r="E1830" s="27"/>
      <c r="F1830" s="28"/>
      <c r="G1830" s="27"/>
      <c r="H1830" s="28"/>
      <c r="I1830" s="28"/>
      <c r="J1830" s="255" t="str">
        <f>IF(H1830="","",(_xlfn.XLOOKUP(H1830,Cadastros!$D$6:$D$90,Cadastros!$E$6:$E$90))*(1-_xlfn.XLOOKUP(_xlfn.XLOOKUP($F1830,Clientes!$B$4:$B$39,Clientes!$C$4:$C$39),Cadastros!$L$6:$L$12,Cadastros!$N$6:$N$12)))</f>
        <v/>
      </c>
      <c r="K1830" s="168" t="str">
        <f t="shared" si="365"/>
        <v/>
      </c>
      <c r="L1830" s="168" t="str">
        <f>IFERROR(K1830/_xlfn.XLOOKUP(_xlfn.XLOOKUP($F1830,Clientes!$B$4:$B$39,Clientes!$C$4:$C$39),Cadastros!$L$6:$L$12,Cadastros!$M$6:$M$12)," ")</f>
        <v xml:space="preserve"> </v>
      </c>
      <c r="M1830" s="28"/>
      <c r="N1830" s="28"/>
      <c r="O1830" s="255" t="str">
        <f>IF(M1830="","",(_xlfn.XLOOKUP(M1830,Cadastros!$D$6:$D$90,Cadastros!$E$6:$E$90))*(1-_xlfn.XLOOKUP(_xlfn.XLOOKUP($F1830,Clientes!$B$4:$B$39,Clientes!$C$4:$C$39),Cadastros!$L$6:$L$12,Cadastros!$N$6:$N$12)))</f>
        <v/>
      </c>
      <c r="P1830" s="168" t="str">
        <f t="shared" si="366"/>
        <v/>
      </c>
      <c r="Q1830" s="168" t="str">
        <f>IFERROR(P1830/_xlfn.XLOOKUP(_xlfn.XLOOKUP($F1830,Clientes!$B$4:$B$39,Clientes!$C$4:$C$39),Cadastros!$L$6:$L$12,Cadastros!$M$6:$M$12)," ")</f>
        <v xml:space="preserve"> </v>
      </c>
      <c r="R1830" s="28"/>
      <c r="S1830" s="28"/>
      <c r="T1830" s="255" t="str">
        <f>IF(R1830="","",(_xlfn.XLOOKUP(R1830,Cadastros!$D$6:$D$90,Cadastros!$E$6:$E$90))*(1-_xlfn.XLOOKUP(_xlfn.XLOOKUP($F1830,Clientes!$B$4:$B$39,Clientes!$C$4:$C$39),Cadastros!$L$6:$L$12,Cadastros!$N$6:$N$12)))</f>
        <v/>
      </c>
      <c r="U1830" s="168" t="str">
        <f t="shared" si="367"/>
        <v/>
      </c>
      <c r="V1830" s="168" t="str">
        <f>IFERROR(U1830/_xlfn.XLOOKUP(_xlfn.XLOOKUP($F1830,Clientes!$B$4:$B$39,Clientes!$C$4:$C$39),Cadastros!$L$6:$L$12,Cadastros!$M$6:$M$12)," ")</f>
        <v xml:space="preserve"> </v>
      </c>
      <c r="W1830" s="28"/>
      <c r="X1830" s="28"/>
      <c r="Y1830" s="255" t="str">
        <f>IF(W1830="","",(_xlfn.XLOOKUP(W1830,Cadastros!$D$6:$D$90,Cadastros!$E$6:$E$90))*(1-_xlfn.XLOOKUP(_xlfn.XLOOKUP($F1830,Clientes!$B$4:$B$39,Clientes!$C$4:$C$39),Cadastros!$L$6:$L$12,Cadastros!$N$6:$N$12)))</f>
        <v/>
      </c>
      <c r="Z1830" s="168" t="str">
        <f t="shared" si="368"/>
        <v/>
      </c>
      <c r="AA1830" s="168" t="str">
        <f>IFERROR(Z1830/_xlfn.XLOOKUP(_xlfn.XLOOKUP($F1830,Clientes!$B$4:$B$39,Clientes!$C$4:$C$39),Cadastros!$L$6:$L$12,Cadastros!$M$6:$M$12)," ")</f>
        <v xml:space="preserve"> </v>
      </c>
      <c r="AB1830" s="28"/>
      <c r="AC1830" s="28"/>
      <c r="AD1830" s="20" t="str">
        <f>IF(AB1830="","",IF($F1830="Bernardino Furlan",_xlfn.XLOOKUP(AB1830,Cadastros!$G$6:$G$90,Cadastros!$H$6:$H$90)*(1-0.18),IF($F1830="Mauro José Salanti",_xlfn.XLOOKUP(AB1830,Cadastros!$G$6:$G$90,Cadastros!$H$6:$H$90)*(1-0.18),_xlfn.XLOOKUP(AB1830,Cadastros!$G$6:$G$90,Cadastros!$H$6:$H$90))))</f>
        <v/>
      </c>
      <c r="AE1830" s="168" t="str">
        <f t="shared" si="369"/>
        <v/>
      </c>
      <c r="AF1830" s="168" t="str">
        <f t="shared" si="370"/>
        <v/>
      </c>
      <c r="AG1830" s="28"/>
      <c r="AH1830" s="28"/>
      <c r="AI1830" s="20" t="str">
        <f>IF(AG1830="","",IF($F1830="Bernardino Furlan",_xlfn.XLOOKUP(AG1830,Cadastros!$G$6:$G$90,Cadastros!$H$6:$H$90)*(1-0.18),IF($F1830="Mauro José Salanti",_xlfn.XLOOKUP(AG1830,Cadastros!$G$6:$G$90,Cadastros!$H$6:$H$90)*(1-0.18),_xlfn.XLOOKUP(AG1830,Cadastros!$G$6:$G$90,Cadastros!$H$6:$H$90))))</f>
        <v/>
      </c>
      <c r="AJ1830" s="168" t="str">
        <f t="shared" si="371"/>
        <v/>
      </c>
      <c r="AK1830" s="168" t="str">
        <f t="shared" si="372"/>
        <v/>
      </c>
      <c r="AL1830" s="28"/>
      <c r="AM1830" s="28"/>
      <c r="AN1830" s="20" t="str">
        <f>IF(AL1830="","",IF($F1830="Bernardino Furlan",_xlfn.XLOOKUP(AL1830,Cadastros!$G$6:$G$90,Cadastros!$H$6:$H$90)*(1-0.18),IF($F1830="Mauro José Salanti",_xlfn.XLOOKUP(AL1830,Cadastros!$G$6:$G$90,Cadastros!$H$6:$H$90)*(1-0.18),_xlfn.XLOOKUP(AL1830,Cadastros!$G$6:$G$90,Cadastros!$H$6:$H$90))))</f>
        <v/>
      </c>
      <c r="AO1830" s="168" t="str">
        <f t="shared" si="373"/>
        <v/>
      </c>
      <c r="AP1830" s="168" t="str">
        <f t="shared" si="374"/>
        <v/>
      </c>
      <c r="AQ1830" s="28"/>
      <c r="AR1830" s="28"/>
      <c r="AS1830" s="20" t="str">
        <f>IF(AQ1830="","",IF($F1830="Bernardino Furlan",_xlfn.XLOOKUP(AQ1830,Cadastros!$G$6:$G$90,Cadastros!$H$6:$H$90)*(1-0.18),IF($F1830="Mauro José Salanti",_xlfn.XLOOKUP(AQ1830,Cadastros!$G$6:$G$90,Cadastros!$H$6:$H$90)*(1-0.18),_xlfn.XLOOKUP(AQ1830,Cadastros!$G$6:$G$90,Cadastros!$H$6:$H$90))))</f>
        <v/>
      </c>
      <c r="AT1830" s="168" t="str">
        <f t="shared" si="375"/>
        <v/>
      </c>
      <c r="AU1830" s="168" t="str">
        <f t="shared" si="376"/>
        <v/>
      </c>
      <c r="AV1830" s="227"/>
      <c r="AW1830" s="30"/>
      <c r="AX1830" s="267"/>
      <c r="AY1830" s="267"/>
      <c r="AZ1830" s="29"/>
      <c r="BA1830" s="30"/>
      <c r="BB1830" s="23" t="str" cm="1">
        <f t="array" ref="BB1830">_xlfn.IFS(AW1830="SIM",SUM(K1830,P1830,U1830,Z1830,AE1830,AJ1830,AO1830,AT1830,AX1830,AY1830),F1830&lt;&gt;"",SUM(K1830,P1830,U1830,Z1830,AE1830,AJ1830,,AO1830,AT1830),F1830="","")</f>
        <v/>
      </c>
      <c r="BC1830" s="211" t="str" cm="1">
        <f t="array" ref="BC1830">_xlfn.IFS(E1830="","",G1830&lt;=E1830,BB1830*(1-0.03),G1830&lt;(E1830+8),BB1830,AZ1830="Boleto",BB1830*(1+0.001)^DATEDIF(E1830,G1830,"D"),AZ1830="Cheque",BB1830,AZ1830="Dinheiro","Alterar forma pgto")</f>
        <v/>
      </c>
      <c r="BD1830" s="276" t="str" cm="1">
        <f t="array" ref="BD1830">IF(F1830=0," ",IF(BC1830&lt;BB1830,(_xlfn.IFS(AW1830="SIM",SUM(L1830,Q1830,V1830,AA1830,AF1830,AK1830,AP1830,AU1830)+AX1830/_xlfn.XLOOKUP(_xlfn.XLOOKUP($F1830,Clientes!$B$4:$B$39,Clientes!$C$4:$C$39),Cadastros!$L$6:$L$12,Cadastros!$M$6:$M$12)+IF($F1830="Bernardino Furlan",AY1830/2751.92,IF($F1830="Mauro José Salanti",AY1830/2751.92,AY1830/3356)),F1830&lt;&gt;0,SUM(L1830,Q1830,V1830,AA1830,AF1830,AK1830,AP1830,AU1830)))*(1-0.03),_xlfn.IFS(AW1830="SIM",SUM(L1830,Q1830,V1830,AA1830,AF1830,AK1830,AP1830,AU1830)+AX1830/_xlfn.XLOOKUP(_xlfn.XLOOKUP($F1830,Clientes!$B$4:$B$39,Clientes!$C$4:$C$39),Cadastros!$L$6:$L$12,Cadastros!$M$6:$M$12)+IF($F1830="Bernardino Furlan",AY1830/2751.92,IF($F1830="Mauro José Salanti",AY1830/2751.92,AY1830/3356)),F1830&lt;&gt;0,SUM(L1830,Q1830,V1830,AA1830,AF1830,AK1830,AP1830,AU1830))))</f>
        <v xml:space="preserve"> </v>
      </c>
      <c r="BE1830" s="120"/>
      <c r="BF1830" s="120"/>
      <c r="BG1830" s="120"/>
    </row>
    <row r="1831" spans="1:59" s="3" customFormat="1" x14ac:dyDescent="0.3">
      <c r="A1831" s="15" t="str">
        <f t="shared" si="364"/>
        <v/>
      </c>
      <c r="B1831" s="25"/>
      <c r="C1831" s="26"/>
      <c r="D1831" s="279"/>
      <c r="E1831" s="27"/>
      <c r="F1831" s="28"/>
      <c r="G1831" s="27"/>
      <c r="H1831" s="28"/>
      <c r="I1831" s="28"/>
      <c r="J1831" s="255" t="str">
        <f>IF(H1831="","",(_xlfn.XLOOKUP(H1831,Cadastros!$D$6:$D$90,Cadastros!$E$6:$E$90))*(1-_xlfn.XLOOKUP(_xlfn.XLOOKUP($F1831,Clientes!$B$4:$B$39,Clientes!$C$4:$C$39),Cadastros!$L$6:$L$12,Cadastros!$N$6:$N$12)))</f>
        <v/>
      </c>
      <c r="K1831" s="168" t="str">
        <f t="shared" si="365"/>
        <v/>
      </c>
      <c r="L1831" s="168" t="str">
        <f>IFERROR(K1831/_xlfn.XLOOKUP(_xlfn.XLOOKUP($F1831,Clientes!$B$4:$B$39,Clientes!$C$4:$C$39),Cadastros!$L$6:$L$12,Cadastros!$M$6:$M$12)," ")</f>
        <v xml:space="preserve"> </v>
      </c>
      <c r="M1831" s="28"/>
      <c r="N1831" s="28"/>
      <c r="O1831" s="255" t="str">
        <f>IF(M1831="","",(_xlfn.XLOOKUP(M1831,Cadastros!$D$6:$D$90,Cadastros!$E$6:$E$90))*(1-_xlfn.XLOOKUP(_xlfn.XLOOKUP($F1831,Clientes!$B$4:$B$39,Clientes!$C$4:$C$39),Cadastros!$L$6:$L$12,Cadastros!$N$6:$N$12)))</f>
        <v/>
      </c>
      <c r="P1831" s="168" t="str">
        <f t="shared" si="366"/>
        <v/>
      </c>
      <c r="Q1831" s="168" t="str">
        <f>IFERROR(P1831/_xlfn.XLOOKUP(_xlfn.XLOOKUP($F1831,Clientes!$B$4:$B$39,Clientes!$C$4:$C$39),Cadastros!$L$6:$L$12,Cadastros!$M$6:$M$12)," ")</f>
        <v xml:space="preserve"> </v>
      </c>
      <c r="R1831" s="28"/>
      <c r="S1831" s="28"/>
      <c r="T1831" s="255" t="str">
        <f>IF(R1831="","",(_xlfn.XLOOKUP(R1831,Cadastros!$D$6:$D$90,Cadastros!$E$6:$E$90))*(1-_xlfn.XLOOKUP(_xlfn.XLOOKUP($F1831,Clientes!$B$4:$B$39,Clientes!$C$4:$C$39),Cadastros!$L$6:$L$12,Cadastros!$N$6:$N$12)))</f>
        <v/>
      </c>
      <c r="U1831" s="168" t="str">
        <f t="shared" si="367"/>
        <v/>
      </c>
      <c r="V1831" s="168" t="str">
        <f>IFERROR(U1831/_xlfn.XLOOKUP(_xlfn.XLOOKUP($F1831,Clientes!$B$4:$B$39,Clientes!$C$4:$C$39),Cadastros!$L$6:$L$12,Cadastros!$M$6:$M$12)," ")</f>
        <v xml:space="preserve"> </v>
      </c>
      <c r="W1831" s="28"/>
      <c r="X1831" s="28"/>
      <c r="Y1831" s="255" t="str">
        <f>IF(W1831="","",(_xlfn.XLOOKUP(W1831,Cadastros!$D$6:$D$90,Cadastros!$E$6:$E$90))*(1-_xlfn.XLOOKUP(_xlfn.XLOOKUP($F1831,Clientes!$B$4:$B$39,Clientes!$C$4:$C$39),Cadastros!$L$6:$L$12,Cadastros!$N$6:$N$12)))</f>
        <v/>
      </c>
      <c r="Z1831" s="168" t="str">
        <f t="shared" si="368"/>
        <v/>
      </c>
      <c r="AA1831" s="168" t="str">
        <f>IFERROR(Z1831/_xlfn.XLOOKUP(_xlfn.XLOOKUP($F1831,Clientes!$B$4:$B$39,Clientes!$C$4:$C$39),Cadastros!$L$6:$L$12,Cadastros!$M$6:$M$12)," ")</f>
        <v xml:space="preserve"> </v>
      </c>
      <c r="AB1831" s="28"/>
      <c r="AC1831" s="28"/>
      <c r="AD1831" s="20" t="str">
        <f>IF(AB1831="","",IF($F1831="Bernardino Furlan",_xlfn.XLOOKUP(AB1831,Cadastros!$G$6:$G$90,Cadastros!$H$6:$H$90)*(1-0.18),IF($F1831="Mauro José Salanti",_xlfn.XLOOKUP(AB1831,Cadastros!$G$6:$G$90,Cadastros!$H$6:$H$90)*(1-0.18),_xlfn.XLOOKUP(AB1831,Cadastros!$G$6:$G$90,Cadastros!$H$6:$H$90))))</f>
        <v/>
      </c>
      <c r="AE1831" s="168" t="str">
        <f t="shared" si="369"/>
        <v/>
      </c>
      <c r="AF1831" s="168" t="str">
        <f t="shared" si="370"/>
        <v/>
      </c>
      <c r="AG1831" s="28"/>
      <c r="AH1831" s="28"/>
      <c r="AI1831" s="20" t="str">
        <f>IF(AG1831="","",IF($F1831="Bernardino Furlan",_xlfn.XLOOKUP(AG1831,Cadastros!$G$6:$G$90,Cadastros!$H$6:$H$90)*(1-0.18),IF($F1831="Mauro José Salanti",_xlfn.XLOOKUP(AG1831,Cadastros!$G$6:$G$90,Cadastros!$H$6:$H$90)*(1-0.18),_xlfn.XLOOKUP(AG1831,Cadastros!$G$6:$G$90,Cadastros!$H$6:$H$90))))</f>
        <v/>
      </c>
      <c r="AJ1831" s="168" t="str">
        <f t="shared" si="371"/>
        <v/>
      </c>
      <c r="AK1831" s="168" t="str">
        <f t="shared" si="372"/>
        <v/>
      </c>
      <c r="AL1831" s="28"/>
      <c r="AM1831" s="28"/>
      <c r="AN1831" s="20" t="str">
        <f>IF(AL1831="","",IF($F1831="Bernardino Furlan",_xlfn.XLOOKUP(AL1831,Cadastros!$G$6:$G$90,Cadastros!$H$6:$H$90)*(1-0.18),IF($F1831="Mauro José Salanti",_xlfn.XLOOKUP(AL1831,Cadastros!$G$6:$G$90,Cadastros!$H$6:$H$90)*(1-0.18),_xlfn.XLOOKUP(AL1831,Cadastros!$G$6:$G$90,Cadastros!$H$6:$H$90))))</f>
        <v/>
      </c>
      <c r="AO1831" s="168" t="str">
        <f t="shared" si="373"/>
        <v/>
      </c>
      <c r="AP1831" s="168" t="str">
        <f t="shared" si="374"/>
        <v/>
      </c>
      <c r="AQ1831" s="28"/>
      <c r="AR1831" s="28"/>
      <c r="AS1831" s="20" t="str">
        <f>IF(AQ1831="","",IF($F1831="Bernardino Furlan",_xlfn.XLOOKUP(AQ1831,Cadastros!$G$6:$G$90,Cadastros!$H$6:$H$90)*(1-0.18),IF($F1831="Mauro José Salanti",_xlfn.XLOOKUP(AQ1831,Cadastros!$G$6:$G$90,Cadastros!$H$6:$H$90)*(1-0.18),_xlfn.XLOOKUP(AQ1831,Cadastros!$G$6:$G$90,Cadastros!$H$6:$H$90))))</f>
        <v/>
      </c>
      <c r="AT1831" s="168" t="str">
        <f t="shared" si="375"/>
        <v/>
      </c>
      <c r="AU1831" s="168" t="str">
        <f t="shared" si="376"/>
        <v/>
      </c>
      <c r="AV1831" s="227"/>
      <c r="AW1831" s="30"/>
      <c r="AX1831" s="267"/>
      <c r="AY1831" s="267"/>
      <c r="AZ1831" s="29"/>
      <c r="BA1831" s="30"/>
      <c r="BB1831" s="23" t="str" cm="1">
        <f t="array" ref="BB1831">_xlfn.IFS(AW1831="SIM",SUM(K1831,P1831,U1831,Z1831,AE1831,AJ1831,AO1831,AT1831,AX1831,AY1831),F1831&lt;&gt;"",SUM(K1831,P1831,U1831,Z1831,AE1831,AJ1831,,AO1831,AT1831),F1831="","")</f>
        <v/>
      </c>
      <c r="BC1831" s="211" t="str" cm="1">
        <f t="array" ref="BC1831">_xlfn.IFS(E1831="","",G1831&lt;=E1831,BB1831*(1-0.03),G1831&lt;(E1831+8),BB1831,AZ1831="Boleto",BB1831*(1+0.001)^DATEDIF(E1831,G1831,"D"),AZ1831="Cheque",BB1831,AZ1831="Dinheiro","Alterar forma pgto")</f>
        <v/>
      </c>
      <c r="BD1831" s="276" t="str" cm="1">
        <f t="array" ref="BD1831">IF(F1831=0," ",IF(BC1831&lt;BB1831,(_xlfn.IFS(AW1831="SIM",SUM(L1831,Q1831,V1831,AA1831,AF1831,AK1831,AP1831,AU1831)+AX1831/_xlfn.XLOOKUP(_xlfn.XLOOKUP($F1831,Clientes!$B$4:$B$39,Clientes!$C$4:$C$39),Cadastros!$L$6:$L$12,Cadastros!$M$6:$M$12)+IF($F1831="Bernardino Furlan",AY1831/2751.92,IF($F1831="Mauro José Salanti",AY1831/2751.92,AY1831/3356)),F1831&lt;&gt;0,SUM(L1831,Q1831,V1831,AA1831,AF1831,AK1831,AP1831,AU1831)))*(1-0.03),_xlfn.IFS(AW1831="SIM",SUM(L1831,Q1831,V1831,AA1831,AF1831,AK1831,AP1831,AU1831)+AX1831/_xlfn.XLOOKUP(_xlfn.XLOOKUP($F1831,Clientes!$B$4:$B$39,Clientes!$C$4:$C$39),Cadastros!$L$6:$L$12,Cadastros!$M$6:$M$12)+IF($F1831="Bernardino Furlan",AY1831/2751.92,IF($F1831="Mauro José Salanti",AY1831/2751.92,AY1831/3356)),F1831&lt;&gt;0,SUM(L1831,Q1831,V1831,AA1831,AF1831,AK1831,AP1831,AU1831))))</f>
        <v xml:space="preserve"> </v>
      </c>
      <c r="BE1831" s="120"/>
      <c r="BF1831" s="120"/>
      <c r="BG1831" s="120"/>
    </row>
    <row r="1832" spans="1:59" s="3" customFormat="1" x14ac:dyDescent="0.3">
      <c r="A1832" s="15" t="str">
        <f t="shared" si="364"/>
        <v/>
      </c>
      <c r="B1832" s="25"/>
      <c r="C1832" s="26"/>
      <c r="D1832" s="279"/>
      <c r="E1832" s="27"/>
      <c r="F1832" s="28"/>
      <c r="G1832" s="27"/>
      <c r="H1832" s="28"/>
      <c r="I1832" s="28"/>
      <c r="J1832" s="255" t="str">
        <f>IF(H1832="","",(_xlfn.XLOOKUP(H1832,Cadastros!$D$6:$D$90,Cadastros!$E$6:$E$90))*(1-_xlfn.XLOOKUP(_xlfn.XLOOKUP($F1832,Clientes!$B$4:$B$39,Clientes!$C$4:$C$39),Cadastros!$L$6:$L$12,Cadastros!$N$6:$N$12)))</f>
        <v/>
      </c>
      <c r="K1832" s="168" t="str">
        <f t="shared" si="365"/>
        <v/>
      </c>
      <c r="L1832" s="168" t="str">
        <f>IFERROR(K1832/_xlfn.XLOOKUP(_xlfn.XLOOKUP($F1832,Clientes!$B$4:$B$39,Clientes!$C$4:$C$39),Cadastros!$L$6:$L$12,Cadastros!$M$6:$M$12)," ")</f>
        <v xml:space="preserve"> </v>
      </c>
      <c r="M1832" s="28"/>
      <c r="N1832" s="28"/>
      <c r="O1832" s="255" t="str">
        <f>IF(M1832="","",(_xlfn.XLOOKUP(M1832,Cadastros!$D$6:$D$90,Cadastros!$E$6:$E$90))*(1-_xlfn.XLOOKUP(_xlfn.XLOOKUP($F1832,Clientes!$B$4:$B$39,Clientes!$C$4:$C$39),Cadastros!$L$6:$L$12,Cadastros!$N$6:$N$12)))</f>
        <v/>
      </c>
      <c r="P1832" s="168" t="str">
        <f t="shared" si="366"/>
        <v/>
      </c>
      <c r="Q1832" s="168" t="str">
        <f>IFERROR(P1832/_xlfn.XLOOKUP(_xlfn.XLOOKUP($F1832,Clientes!$B$4:$B$39,Clientes!$C$4:$C$39),Cadastros!$L$6:$L$12,Cadastros!$M$6:$M$12)," ")</f>
        <v xml:space="preserve"> </v>
      </c>
      <c r="R1832" s="28"/>
      <c r="S1832" s="28"/>
      <c r="T1832" s="255" t="str">
        <f>IF(R1832="","",(_xlfn.XLOOKUP(R1832,Cadastros!$D$6:$D$90,Cadastros!$E$6:$E$90))*(1-_xlfn.XLOOKUP(_xlfn.XLOOKUP($F1832,Clientes!$B$4:$B$39,Clientes!$C$4:$C$39),Cadastros!$L$6:$L$12,Cadastros!$N$6:$N$12)))</f>
        <v/>
      </c>
      <c r="U1832" s="168" t="str">
        <f t="shared" si="367"/>
        <v/>
      </c>
      <c r="V1832" s="168" t="str">
        <f>IFERROR(U1832/_xlfn.XLOOKUP(_xlfn.XLOOKUP($F1832,Clientes!$B$4:$B$39,Clientes!$C$4:$C$39),Cadastros!$L$6:$L$12,Cadastros!$M$6:$M$12)," ")</f>
        <v xml:space="preserve"> </v>
      </c>
      <c r="W1832" s="28"/>
      <c r="X1832" s="28"/>
      <c r="Y1832" s="255" t="str">
        <f>IF(W1832="","",(_xlfn.XLOOKUP(W1832,Cadastros!$D$6:$D$90,Cadastros!$E$6:$E$90))*(1-_xlfn.XLOOKUP(_xlfn.XLOOKUP($F1832,Clientes!$B$4:$B$39,Clientes!$C$4:$C$39),Cadastros!$L$6:$L$12,Cadastros!$N$6:$N$12)))</f>
        <v/>
      </c>
      <c r="Z1832" s="168" t="str">
        <f t="shared" si="368"/>
        <v/>
      </c>
      <c r="AA1832" s="168" t="str">
        <f>IFERROR(Z1832/_xlfn.XLOOKUP(_xlfn.XLOOKUP($F1832,Clientes!$B$4:$B$39,Clientes!$C$4:$C$39),Cadastros!$L$6:$L$12,Cadastros!$M$6:$M$12)," ")</f>
        <v xml:space="preserve"> </v>
      </c>
      <c r="AB1832" s="28"/>
      <c r="AC1832" s="28"/>
      <c r="AD1832" s="20" t="str">
        <f>IF(AB1832="","",IF($F1832="Bernardino Furlan",_xlfn.XLOOKUP(AB1832,Cadastros!$G$6:$G$90,Cadastros!$H$6:$H$90)*(1-0.18),IF($F1832="Mauro José Salanti",_xlfn.XLOOKUP(AB1832,Cadastros!$G$6:$G$90,Cadastros!$H$6:$H$90)*(1-0.18),_xlfn.XLOOKUP(AB1832,Cadastros!$G$6:$G$90,Cadastros!$H$6:$H$90))))</f>
        <v/>
      </c>
      <c r="AE1832" s="168" t="str">
        <f t="shared" si="369"/>
        <v/>
      </c>
      <c r="AF1832" s="168" t="str">
        <f t="shared" si="370"/>
        <v/>
      </c>
      <c r="AG1832" s="28"/>
      <c r="AH1832" s="28"/>
      <c r="AI1832" s="20" t="str">
        <f>IF(AG1832="","",IF($F1832="Bernardino Furlan",_xlfn.XLOOKUP(AG1832,Cadastros!$G$6:$G$90,Cadastros!$H$6:$H$90)*(1-0.18),IF($F1832="Mauro José Salanti",_xlfn.XLOOKUP(AG1832,Cadastros!$G$6:$G$90,Cadastros!$H$6:$H$90)*(1-0.18),_xlfn.XLOOKUP(AG1832,Cadastros!$G$6:$G$90,Cadastros!$H$6:$H$90))))</f>
        <v/>
      </c>
      <c r="AJ1832" s="168" t="str">
        <f t="shared" si="371"/>
        <v/>
      </c>
      <c r="AK1832" s="168" t="str">
        <f t="shared" si="372"/>
        <v/>
      </c>
      <c r="AL1832" s="28"/>
      <c r="AM1832" s="28"/>
      <c r="AN1832" s="20" t="str">
        <f>IF(AL1832="","",IF($F1832="Bernardino Furlan",_xlfn.XLOOKUP(AL1832,Cadastros!$G$6:$G$90,Cadastros!$H$6:$H$90)*(1-0.18),IF($F1832="Mauro José Salanti",_xlfn.XLOOKUP(AL1832,Cadastros!$G$6:$G$90,Cadastros!$H$6:$H$90)*(1-0.18),_xlfn.XLOOKUP(AL1832,Cadastros!$G$6:$G$90,Cadastros!$H$6:$H$90))))</f>
        <v/>
      </c>
      <c r="AO1832" s="168" t="str">
        <f t="shared" si="373"/>
        <v/>
      </c>
      <c r="AP1832" s="168" t="str">
        <f t="shared" si="374"/>
        <v/>
      </c>
      <c r="AQ1832" s="28"/>
      <c r="AR1832" s="28"/>
      <c r="AS1832" s="20" t="str">
        <f>IF(AQ1832="","",IF($F1832="Bernardino Furlan",_xlfn.XLOOKUP(AQ1832,Cadastros!$G$6:$G$90,Cadastros!$H$6:$H$90)*(1-0.18),IF($F1832="Mauro José Salanti",_xlfn.XLOOKUP(AQ1832,Cadastros!$G$6:$G$90,Cadastros!$H$6:$H$90)*(1-0.18),_xlfn.XLOOKUP(AQ1832,Cadastros!$G$6:$G$90,Cadastros!$H$6:$H$90))))</f>
        <v/>
      </c>
      <c r="AT1832" s="168" t="str">
        <f t="shared" si="375"/>
        <v/>
      </c>
      <c r="AU1832" s="168" t="str">
        <f t="shared" si="376"/>
        <v/>
      </c>
      <c r="AV1832" s="227"/>
      <c r="AW1832" s="30"/>
      <c r="AX1832" s="267"/>
      <c r="AY1832" s="267"/>
      <c r="AZ1832" s="29"/>
      <c r="BA1832" s="30"/>
      <c r="BB1832" s="23" t="str" cm="1">
        <f t="array" ref="BB1832">_xlfn.IFS(AW1832="SIM",SUM(K1832,P1832,U1832,Z1832,AE1832,AJ1832,AO1832,AT1832,AX1832,AY1832),F1832&lt;&gt;"",SUM(K1832,P1832,U1832,Z1832,AE1832,AJ1832,,AO1832,AT1832),F1832="","")</f>
        <v/>
      </c>
      <c r="BC1832" s="211" t="str" cm="1">
        <f t="array" ref="BC1832">_xlfn.IFS(E1832="","",G1832&lt;=E1832,BB1832*(1-0.03),G1832&lt;(E1832+8),BB1832,AZ1832="Boleto",BB1832*(1+0.001)^DATEDIF(E1832,G1832,"D"),AZ1832="Cheque",BB1832,AZ1832="Dinheiro","Alterar forma pgto")</f>
        <v/>
      </c>
      <c r="BD1832" s="276" t="str" cm="1">
        <f t="array" ref="BD1832">IF(F1832=0," ",IF(BC1832&lt;BB1832,(_xlfn.IFS(AW1832="SIM",SUM(L1832,Q1832,V1832,AA1832,AF1832,AK1832,AP1832,AU1832)+AX1832/_xlfn.XLOOKUP(_xlfn.XLOOKUP($F1832,Clientes!$B$4:$B$39,Clientes!$C$4:$C$39),Cadastros!$L$6:$L$12,Cadastros!$M$6:$M$12)+IF($F1832="Bernardino Furlan",AY1832/2751.92,IF($F1832="Mauro José Salanti",AY1832/2751.92,AY1832/3356)),F1832&lt;&gt;0,SUM(L1832,Q1832,V1832,AA1832,AF1832,AK1832,AP1832,AU1832)))*(1-0.03),_xlfn.IFS(AW1832="SIM",SUM(L1832,Q1832,V1832,AA1832,AF1832,AK1832,AP1832,AU1832)+AX1832/_xlfn.XLOOKUP(_xlfn.XLOOKUP($F1832,Clientes!$B$4:$B$39,Clientes!$C$4:$C$39),Cadastros!$L$6:$L$12,Cadastros!$M$6:$M$12)+IF($F1832="Bernardino Furlan",AY1832/2751.92,IF($F1832="Mauro José Salanti",AY1832/2751.92,AY1832/3356)),F1832&lt;&gt;0,SUM(L1832,Q1832,V1832,AA1832,AF1832,AK1832,AP1832,AU1832))))</f>
        <v xml:space="preserve"> </v>
      </c>
      <c r="BE1832" s="120"/>
      <c r="BF1832" s="120"/>
      <c r="BG1832" s="120"/>
    </row>
    <row r="1833" spans="1:59" s="3" customFormat="1" x14ac:dyDescent="0.3">
      <c r="A1833" s="15" t="str">
        <f t="shared" si="364"/>
        <v/>
      </c>
      <c r="B1833" s="25"/>
      <c r="C1833" s="26"/>
      <c r="D1833" s="279"/>
      <c r="E1833" s="27"/>
      <c r="F1833" s="28"/>
      <c r="G1833" s="27"/>
      <c r="H1833" s="28"/>
      <c r="I1833" s="28"/>
      <c r="J1833" s="255" t="str">
        <f>IF(H1833="","",(_xlfn.XLOOKUP(H1833,Cadastros!$D$6:$D$90,Cadastros!$E$6:$E$90))*(1-_xlfn.XLOOKUP(_xlfn.XLOOKUP($F1833,Clientes!$B$4:$B$39,Clientes!$C$4:$C$39),Cadastros!$L$6:$L$12,Cadastros!$N$6:$N$12)))</f>
        <v/>
      </c>
      <c r="K1833" s="168" t="str">
        <f t="shared" si="365"/>
        <v/>
      </c>
      <c r="L1833" s="168" t="str">
        <f>IFERROR(K1833/_xlfn.XLOOKUP(_xlfn.XLOOKUP($F1833,Clientes!$B$4:$B$39,Clientes!$C$4:$C$39),Cadastros!$L$6:$L$12,Cadastros!$M$6:$M$12)," ")</f>
        <v xml:space="preserve"> </v>
      </c>
      <c r="M1833" s="28"/>
      <c r="N1833" s="28"/>
      <c r="O1833" s="255" t="str">
        <f>IF(M1833="","",(_xlfn.XLOOKUP(M1833,Cadastros!$D$6:$D$90,Cadastros!$E$6:$E$90))*(1-_xlfn.XLOOKUP(_xlfn.XLOOKUP($F1833,Clientes!$B$4:$B$39,Clientes!$C$4:$C$39),Cadastros!$L$6:$L$12,Cadastros!$N$6:$N$12)))</f>
        <v/>
      </c>
      <c r="P1833" s="168" t="str">
        <f t="shared" si="366"/>
        <v/>
      </c>
      <c r="Q1833" s="168" t="str">
        <f>IFERROR(P1833/_xlfn.XLOOKUP(_xlfn.XLOOKUP($F1833,Clientes!$B$4:$B$39,Clientes!$C$4:$C$39),Cadastros!$L$6:$L$12,Cadastros!$M$6:$M$12)," ")</f>
        <v xml:space="preserve"> </v>
      </c>
      <c r="R1833" s="28"/>
      <c r="S1833" s="28"/>
      <c r="T1833" s="255" t="str">
        <f>IF(R1833="","",(_xlfn.XLOOKUP(R1833,Cadastros!$D$6:$D$90,Cadastros!$E$6:$E$90))*(1-_xlfn.XLOOKUP(_xlfn.XLOOKUP($F1833,Clientes!$B$4:$B$39,Clientes!$C$4:$C$39),Cadastros!$L$6:$L$12,Cadastros!$N$6:$N$12)))</f>
        <v/>
      </c>
      <c r="U1833" s="168" t="str">
        <f t="shared" si="367"/>
        <v/>
      </c>
      <c r="V1833" s="168" t="str">
        <f>IFERROR(U1833/_xlfn.XLOOKUP(_xlfn.XLOOKUP($F1833,Clientes!$B$4:$B$39,Clientes!$C$4:$C$39),Cadastros!$L$6:$L$12,Cadastros!$M$6:$M$12)," ")</f>
        <v xml:space="preserve"> </v>
      </c>
      <c r="W1833" s="28"/>
      <c r="X1833" s="28"/>
      <c r="Y1833" s="255" t="str">
        <f>IF(W1833="","",(_xlfn.XLOOKUP(W1833,Cadastros!$D$6:$D$90,Cadastros!$E$6:$E$90))*(1-_xlfn.XLOOKUP(_xlfn.XLOOKUP($F1833,Clientes!$B$4:$B$39,Clientes!$C$4:$C$39),Cadastros!$L$6:$L$12,Cadastros!$N$6:$N$12)))</f>
        <v/>
      </c>
      <c r="Z1833" s="168" t="str">
        <f t="shared" si="368"/>
        <v/>
      </c>
      <c r="AA1833" s="168" t="str">
        <f>IFERROR(Z1833/_xlfn.XLOOKUP(_xlfn.XLOOKUP($F1833,Clientes!$B$4:$B$39,Clientes!$C$4:$C$39),Cadastros!$L$6:$L$12,Cadastros!$M$6:$M$12)," ")</f>
        <v xml:space="preserve"> </v>
      </c>
      <c r="AB1833" s="28"/>
      <c r="AC1833" s="28"/>
      <c r="AD1833" s="20" t="str">
        <f>IF(AB1833="","",IF($F1833="Bernardino Furlan",_xlfn.XLOOKUP(AB1833,Cadastros!$G$6:$G$90,Cadastros!$H$6:$H$90)*(1-0.18),IF($F1833="Mauro José Salanti",_xlfn.XLOOKUP(AB1833,Cadastros!$G$6:$G$90,Cadastros!$H$6:$H$90)*(1-0.18),_xlfn.XLOOKUP(AB1833,Cadastros!$G$6:$G$90,Cadastros!$H$6:$H$90))))</f>
        <v/>
      </c>
      <c r="AE1833" s="168" t="str">
        <f t="shared" si="369"/>
        <v/>
      </c>
      <c r="AF1833" s="168" t="str">
        <f t="shared" si="370"/>
        <v/>
      </c>
      <c r="AG1833" s="28"/>
      <c r="AH1833" s="28"/>
      <c r="AI1833" s="20" t="str">
        <f>IF(AG1833="","",IF($F1833="Bernardino Furlan",_xlfn.XLOOKUP(AG1833,Cadastros!$G$6:$G$90,Cadastros!$H$6:$H$90)*(1-0.18),IF($F1833="Mauro José Salanti",_xlfn.XLOOKUP(AG1833,Cadastros!$G$6:$G$90,Cadastros!$H$6:$H$90)*(1-0.18),_xlfn.XLOOKUP(AG1833,Cadastros!$G$6:$G$90,Cadastros!$H$6:$H$90))))</f>
        <v/>
      </c>
      <c r="AJ1833" s="168" t="str">
        <f t="shared" si="371"/>
        <v/>
      </c>
      <c r="AK1833" s="168" t="str">
        <f t="shared" si="372"/>
        <v/>
      </c>
      <c r="AL1833" s="28"/>
      <c r="AM1833" s="28"/>
      <c r="AN1833" s="20" t="str">
        <f>IF(AL1833="","",IF($F1833="Bernardino Furlan",_xlfn.XLOOKUP(AL1833,Cadastros!$G$6:$G$90,Cadastros!$H$6:$H$90)*(1-0.18),IF($F1833="Mauro José Salanti",_xlfn.XLOOKUP(AL1833,Cadastros!$G$6:$G$90,Cadastros!$H$6:$H$90)*(1-0.18),_xlfn.XLOOKUP(AL1833,Cadastros!$G$6:$G$90,Cadastros!$H$6:$H$90))))</f>
        <v/>
      </c>
      <c r="AO1833" s="168" t="str">
        <f t="shared" si="373"/>
        <v/>
      </c>
      <c r="AP1833" s="168" t="str">
        <f t="shared" si="374"/>
        <v/>
      </c>
      <c r="AQ1833" s="28"/>
      <c r="AR1833" s="28"/>
      <c r="AS1833" s="20" t="str">
        <f>IF(AQ1833="","",IF($F1833="Bernardino Furlan",_xlfn.XLOOKUP(AQ1833,Cadastros!$G$6:$G$90,Cadastros!$H$6:$H$90)*(1-0.18),IF($F1833="Mauro José Salanti",_xlfn.XLOOKUP(AQ1833,Cadastros!$G$6:$G$90,Cadastros!$H$6:$H$90)*(1-0.18),_xlfn.XLOOKUP(AQ1833,Cadastros!$G$6:$G$90,Cadastros!$H$6:$H$90))))</f>
        <v/>
      </c>
      <c r="AT1833" s="168" t="str">
        <f t="shared" si="375"/>
        <v/>
      </c>
      <c r="AU1833" s="168" t="str">
        <f t="shared" si="376"/>
        <v/>
      </c>
      <c r="AV1833" s="227"/>
      <c r="AW1833" s="30"/>
      <c r="AX1833" s="267"/>
      <c r="AY1833" s="267"/>
      <c r="AZ1833" s="29"/>
      <c r="BA1833" s="30"/>
      <c r="BB1833" s="23" t="str" cm="1">
        <f t="array" ref="BB1833">_xlfn.IFS(AW1833="SIM",SUM(K1833,P1833,U1833,Z1833,AE1833,AJ1833,AO1833,AT1833,AX1833,AY1833),F1833&lt;&gt;"",SUM(K1833,P1833,U1833,Z1833,AE1833,AJ1833,,AO1833,AT1833),F1833="","")</f>
        <v/>
      </c>
      <c r="BC1833" s="211" t="str" cm="1">
        <f t="array" ref="BC1833">_xlfn.IFS(E1833="","",G1833&lt;=E1833,BB1833*(1-0.03),G1833&lt;(E1833+8),BB1833,AZ1833="Boleto",BB1833*(1+0.001)^DATEDIF(E1833,G1833,"D"),AZ1833="Cheque",BB1833,AZ1833="Dinheiro","Alterar forma pgto")</f>
        <v/>
      </c>
      <c r="BD1833" s="276" t="str" cm="1">
        <f t="array" ref="BD1833">IF(F1833=0," ",IF(BC1833&lt;BB1833,(_xlfn.IFS(AW1833="SIM",SUM(L1833,Q1833,V1833,AA1833,AF1833,AK1833,AP1833,AU1833)+AX1833/_xlfn.XLOOKUP(_xlfn.XLOOKUP($F1833,Clientes!$B$4:$B$39,Clientes!$C$4:$C$39),Cadastros!$L$6:$L$12,Cadastros!$M$6:$M$12)+IF($F1833="Bernardino Furlan",AY1833/2751.92,IF($F1833="Mauro José Salanti",AY1833/2751.92,AY1833/3356)),F1833&lt;&gt;0,SUM(L1833,Q1833,V1833,AA1833,AF1833,AK1833,AP1833,AU1833)))*(1-0.03),_xlfn.IFS(AW1833="SIM",SUM(L1833,Q1833,V1833,AA1833,AF1833,AK1833,AP1833,AU1833)+AX1833/_xlfn.XLOOKUP(_xlfn.XLOOKUP($F1833,Clientes!$B$4:$B$39,Clientes!$C$4:$C$39),Cadastros!$L$6:$L$12,Cadastros!$M$6:$M$12)+IF($F1833="Bernardino Furlan",AY1833/2751.92,IF($F1833="Mauro José Salanti",AY1833/2751.92,AY1833/3356)),F1833&lt;&gt;0,SUM(L1833,Q1833,V1833,AA1833,AF1833,AK1833,AP1833,AU1833))))</f>
        <v xml:space="preserve"> </v>
      </c>
      <c r="BE1833" s="120"/>
      <c r="BF1833" s="120"/>
      <c r="BG1833" s="120"/>
    </row>
    <row r="1834" spans="1:59" s="3" customFormat="1" x14ac:dyDescent="0.3">
      <c r="A1834" s="15" t="str">
        <f t="shared" si="364"/>
        <v/>
      </c>
      <c r="B1834" s="25"/>
      <c r="C1834" s="26"/>
      <c r="D1834" s="279"/>
      <c r="E1834" s="27"/>
      <c r="F1834" s="28"/>
      <c r="G1834" s="27"/>
      <c r="H1834" s="28"/>
      <c r="I1834" s="28"/>
      <c r="J1834" s="255" t="str">
        <f>IF(H1834="","",(_xlfn.XLOOKUP(H1834,Cadastros!$D$6:$D$90,Cadastros!$E$6:$E$90))*(1-_xlfn.XLOOKUP(_xlfn.XLOOKUP($F1834,Clientes!$B$4:$B$39,Clientes!$C$4:$C$39),Cadastros!$L$6:$L$12,Cadastros!$N$6:$N$12)))</f>
        <v/>
      </c>
      <c r="K1834" s="168" t="str">
        <f t="shared" si="365"/>
        <v/>
      </c>
      <c r="L1834" s="168" t="str">
        <f>IFERROR(K1834/_xlfn.XLOOKUP(_xlfn.XLOOKUP($F1834,Clientes!$B$4:$B$39,Clientes!$C$4:$C$39),Cadastros!$L$6:$L$12,Cadastros!$M$6:$M$12)," ")</f>
        <v xml:space="preserve"> </v>
      </c>
      <c r="M1834" s="28"/>
      <c r="N1834" s="28"/>
      <c r="O1834" s="255" t="str">
        <f>IF(M1834="","",(_xlfn.XLOOKUP(M1834,Cadastros!$D$6:$D$90,Cadastros!$E$6:$E$90))*(1-_xlfn.XLOOKUP(_xlfn.XLOOKUP($F1834,Clientes!$B$4:$B$39,Clientes!$C$4:$C$39),Cadastros!$L$6:$L$12,Cadastros!$N$6:$N$12)))</f>
        <v/>
      </c>
      <c r="P1834" s="168" t="str">
        <f t="shared" si="366"/>
        <v/>
      </c>
      <c r="Q1834" s="168" t="str">
        <f>IFERROR(P1834/_xlfn.XLOOKUP(_xlfn.XLOOKUP($F1834,Clientes!$B$4:$B$39,Clientes!$C$4:$C$39),Cadastros!$L$6:$L$12,Cadastros!$M$6:$M$12)," ")</f>
        <v xml:space="preserve"> </v>
      </c>
      <c r="R1834" s="28"/>
      <c r="S1834" s="28"/>
      <c r="T1834" s="255" t="str">
        <f>IF(R1834="","",(_xlfn.XLOOKUP(R1834,Cadastros!$D$6:$D$90,Cadastros!$E$6:$E$90))*(1-_xlfn.XLOOKUP(_xlfn.XLOOKUP($F1834,Clientes!$B$4:$B$39,Clientes!$C$4:$C$39),Cadastros!$L$6:$L$12,Cadastros!$N$6:$N$12)))</f>
        <v/>
      </c>
      <c r="U1834" s="168" t="str">
        <f t="shared" si="367"/>
        <v/>
      </c>
      <c r="V1834" s="168" t="str">
        <f>IFERROR(U1834/_xlfn.XLOOKUP(_xlfn.XLOOKUP($F1834,Clientes!$B$4:$B$39,Clientes!$C$4:$C$39),Cadastros!$L$6:$L$12,Cadastros!$M$6:$M$12)," ")</f>
        <v xml:space="preserve"> </v>
      </c>
      <c r="W1834" s="28"/>
      <c r="X1834" s="28"/>
      <c r="Y1834" s="255" t="str">
        <f>IF(W1834="","",(_xlfn.XLOOKUP(W1834,Cadastros!$D$6:$D$90,Cadastros!$E$6:$E$90))*(1-_xlfn.XLOOKUP(_xlfn.XLOOKUP($F1834,Clientes!$B$4:$B$39,Clientes!$C$4:$C$39),Cadastros!$L$6:$L$12,Cadastros!$N$6:$N$12)))</f>
        <v/>
      </c>
      <c r="Z1834" s="168" t="str">
        <f t="shared" si="368"/>
        <v/>
      </c>
      <c r="AA1834" s="168" t="str">
        <f>IFERROR(Z1834/_xlfn.XLOOKUP(_xlfn.XLOOKUP($F1834,Clientes!$B$4:$B$39,Clientes!$C$4:$C$39),Cadastros!$L$6:$L$12,Cadastros!$M$6:$M$12)," ")</f>
        <v xml:space="preserve"> </v>
      </c>
      <c r="AB1834" s="28"/>
      <c r="AC1834" s="28"/>
      <c r="AD1834" s="20" t="str">
        <f>IF(AB1834="","",IF($F1834="Bernardino Furlan",_xlfn.XLOOKUP(AB1834,Cadastros!$G$6:$G$90,Cadastros!$H$6:$H$90)*(1-0.18),IF($F1834="Mauro José Salanti",_xlfn.XLOOKUP(AB1834,Cadastros!$G$6:$G$90,Cadastros!$H$6:$H$90)*(1-0.18),_xlfn.XLOOKUP(AB1834,Cadastros!$G$6:$G$90,Cadastros!$H$6:$H$90))))</f>
        <v/>
      </c>
      <c r="AE1834" s="168" t="str">
        <f t="shared" si="369"/>
        <v/>
      </c>
      <c r="AF1834" s="168" t="str">
        <f t="shared" si="370"/>
        <v/>
      </c>
      <c r="AG1834" s="28"/>
      <c r="AH1834" s="28"/>
      <c r="AI1834" s="20" t="str">
        <f>IF(AG1834="","",IF($F1834="Bernardino Furlan",_xlfn.XLOOKUP(AG1834,Cadastros!$G$6:$G$90,Cadastros!$H$6:$H$90)*(1-0.18),IF($F1834="Mauro José Salanti",_xlfn.XLOOKUP(AG1834,Cadastros!$G$6:$G$90,Cadastros!$H$6:$H$90)*(1-0.18),_xlfn.XLOOKUP(AG1834,Cadastros!$G$6:$G$90,Cadastros!$H$6:$H$90))))</f>
        <v/>
      </c>
      <c r="AJ1834" s="168" t="str">
        <f t="shared" si="371"/>
        <v/>
      </c>
      <c r="AK1834" s="168" t="str">
        <f t="shared" si="372"/>
        <v/>
      </c>
      <c r="AL1834" s="28"/>
      <c r="AM1834" s="28"/>
      <c r="AN1834" s="20" t="str">
        <f>IF(AL1834="","",IF($F1834="Bernardino Furlan",_xlfn.XLOOKUP(AL1834,Cadastros!$G$6:$G$90,Cadastros!$H$6:$H$90)*(1-0.18),IF($F1834="Mauro José Salanti",_xlfn.XLOOKUP(AL1834,Cadastros!$G$6:$G$90,Cadastros!$H$6:$H$90)*(1-0.18),_xlfn.XLOOKUP(AL1834,Cadastros!$G$6:$G$90,Cadastros!$H$6:$H$90))))</f>
        <v/>
      </c>
      <c r="AO1834" s="168" t="str">
        <f t="shared" si="373"/>
        <v/>
      </c>
      <c r="AP1834" s="168" t="str">
        <f t="shared" si="374"/>
        <v/>
      </c>
      <c r="AQ1834" s="28"/>
      <c r="AR1834" s="28"/>
      <c r="AS1834" s="20" t="str">
        <f>IF(AQ1834="","",IF($F1834="Bernardino Furlan",_xlfn.XLOOKUP(AQ1834,Cadastros!$G$6:$G$90,Cadastros!$H$6:$H$90)*(1-0.18),IF($F1834="Mauro José Salanti",_xlfn.XLOOKUP(AQ1834,Cadastros!$G$6:$G$90,Cadastros!$H$6:$H$90)*(1-0.18),_xlfn.XLOOKUP(AQ1834,Cadastros!$G$6:$G$90,Cadastros!$H$6:$H$90))))</f>
        <v/>
      </c>
      <c r="AT1834" s="168" t="str">
        <f t="shared" si="375"/>
        <v/>
      </c>
      <c r="AU1834" s="168" t="str">
        <f t="shared" si="376"/>
        <v/>
      </c>
      <c r="AV1834" s="227"/>
      <c r="AW1834" s="30"/>
      <c r="AX1834" s="267"/>
      <c r="AY1834" s="267"/>
      <c r="AZ1834" s="29"/>
      <c r="BA1834" s="30"/>
      <c r="BB1834" s="23" t="str" cm="1">
        <f t="array" ref="BB1834">_xlfn.IFS(AW1834="SIM",SUM(K1834,P1834,U1834,Z1834,AE1834,AJ1834,AO1834,AT1834,AX1834,AY1834),F1834&lt;&gt;"",SUM(K1834,P1834,U1834,Z1834,AE1834,AJ1834,,AO1834,AT1834),F1834="","")</f>
        <v/>
      </c>
      <c r="BC1834" s="211" t="str" cm="1">
        <f t="array" ref="BC1834">_xlfn.IFS(E1834="","",G1834&lt;=E1834,BB1834*(1-0.03),G1834&lt;(E1834+8),BB1834,AZ1834="Boleto",BB1834*(1+0.001)^DATEDIF(E1834,G1834,"D"),AZ1834="Cheque",BB1834,AZ1834="Dinheiro","Alterar forma pgto")</f>
        <v/>
      </c>
      <c r="BD1834" s="276" t="str" cm="1">
        <f t="array" ref="BD1834">IF(F1834=0," ",IF(BC1834&lt;BB1834,(_xlfn.IFS(AW1834="SIM",SUM(L1834,Q1834,V1834,AA1834,AF1834,AK1834,AP1834,AU1834)+AX1834/_xlfn.XLOOKUP(_xlfn.XLOOKUP($F1834,Clientes!$B$4:$B$39,Clientes!$C$4:$C$39),Cadastros!$L$6:$L$12,Cadastros!$M$6:$M$12)+IF($F1834="Bernardino Furlan",AY1834/2751.92,IF($F1834="Mauro José Salanti",AY1834/2751.92,AY1834/3356)),F1834&lt;&gt;0,SUM(L1834,Q1834,V1834,AA1834,AF1834,AK1834,AP1834,AU1834)))*(1-0.03),_xlfn.IFS(AW1834="SIM",SUM(L1834,Q1834,V1834,AA1834,AF1834,AK1834,AP1834,AU1834)+AX1834/_xlfn.XLOOKUP(_xlfn.XLOOKUP($F1834,Clientes!$B$4:$B$39,Clientes!$C$4:$C$39),Cadastros!$L$6:$L$12,Cadastros!$M$6:$M$12)+IF($F1834="Bernardino Furlan",AY1834/2751.92,IF($F1834="Mauro José Salanti",AY1834/2751.92,AY1834/3356)),F1834&lt;&gt;0,SUM(L1834,Q1834,V1834,AA1834,AF1834,AK1834,AP1834,AU1834))))</f>
        <v xml:space="preserve"> </v>
      </c>
      <c r="BE1834" s="120"/>
      <c r="BF1834" s="120"/>
      <c r="BG1834" s="120"/>
    </row>
    <row r="1835" spans="1:59" s="3" customFormat="1" x14ac:dyDescent="0.3">
      <c r="A1835" s="15" t="str">
        <f t="shared" si="364"/>
        <v/>
      </c>
      <c r="B1835" s="25"/>
      <c r="C1835" s="26"/>
      <c r="D1835" s="279"/>
      <c r="E1835" s="27"/>
      <c r="F1835" s="28"/>
      <c r="G1835" s="27"/>
      <c r="H1835" s="28"/>
      <c r="I1835" s="28"/>
      <c r="J1835" s="255" t="str">
        <f>IF(H1835="","",(_xlfn.XLOOKUP(H1835,Cadastros!$D$6:$D$90,Cadastros!$E$6:$E$90))*(1-_xlfn.XLOOKUP(_xlfn.XLOOKUP($F1835,Clientes!$B$4:$B$39,Clientes!$C$4:$C$39),Cadastros!$L$6:$L$12,Cadastros!$N$6:$N$12)))</f>
        <v/>
      </c>
      <c r="K1835" s="168" t="str">
        <f t="shared" si="365"/>
        <v/>
      </c>
      <c r="L1835" s="168" t="str">
        <f>IFERROR(K1835/_xlfn.XLOOKUP(_xlfn.XLOOKUP($F1835,Clientes!$B$4:$B$39,Clientes!$C$4:$C$39),Cadastros!$L$6:$L$12,Cadastros!$M$6:$M$12)," ")</f>
        <v xml:space="preserve"> </v>
      </c>
      <c r="M1835" s="28"/>
      <c r="N1835" s="28"/>
      <c r="O1835" s="255" t="str">
        <f>IF(M1835="","",(_xlfn.XLOOKUP(M1835,Cadastros!$D$6:$D$90,Cadastros!$E$6:$E$90))*(1-_xlfn.XLOOKUP(_xlfn.XLOOKUP($F1835,Clientes!$B$4:$B$39,Clientes!$C$4:$C$39),Cadastros!$L$6:$L$12,Cadastros!$N$6:$N$12)))</f>
        <v/>
      </c>
      <c r="P1835" s="168" t="str">
        <f t="shared" si="366"/>
        <v/>
      </c>
      <c r="Q1835" s="168" t="str">
        <f>IFERROR(P1835/_xlfn.XLOOKUP(_xlfn.XLOOKUP($F1835,Clientes!$B$4:$B$39,Clientes!$C$4:$C$39),Cadastros!$L$6:$L$12,Cadastros!$M$6:$M$12)," ")</f>
        <v xml:space="preserve"> </v>
      </c>
      <c r="R1835" s="28"/>
      <c r="S1835" s="28"/>
      <c r="T1835" s="255" t="str">
        <f>IF(R1835="","",(_xlfn.XLOOKUP(R1835,Cadastros!$D$6:$D$90,Cadastros!$E$6:$E$90))*(1-_xlfn.XLOOKUP(_xlfn.XLOOKUP($F1835,Clientes!$B$4:$B$39,Clientes!$C$4:$C$39),Cadastros!$L$6:$L$12,Cadastros!$N$6:$N$12)))</f>
        <v/>
      </c>
      <c r="U1835" s="168" t="str">
        <f t="shared" si="367"/>
        <v/>
      </c>
      <c r="V1835" s="168" t="str">
        <f>IFERROR(U1835/_xlfn.XLOOKUP(_xlfn.XLOOKUP($F1835,Clientes!$B$4:$B$39,Clientes!$C$4:$C$39),Cadastros!$L$6:$L$12,Cadastros!$M$6:$M$12)," ")</f>
        <v xml:space="preserve"> </v>
      </c>
      <c r="W1835" s="28"/>
      <c r="X1835" s="28"/>
      <c r="Y1835" s="255" t="str">
        <f>IF(W1835="","",(_xlfn.XLOOKUP(W1835,Cadastros!$D$6:$D$90,Cadastros!$E$6:$E$90))*(1-_xlfn.XLOOKUP(_xlfn.XLOOKUP($F1835,Clientes!$B$4:$B$39,Clientes!$C$4:$C$39),Cadastros!$L$6:$L$12,Cadastros!$N$6:$N$12)))</f>
        <v/>
      </c>
      <c r="Z1835" s="168" t="str">
        <f t="shared" si="368"/>
        <v/>
      </c>
      <c r="AA1835" s="168" t="str">
        <f>IFERROR(Z1835/_xlfn.XLOOKUP(_xlfn.XLOOKUP($F1835,Clientes!$B$4:$B$39,Clientes!$C$4:$C$39),Cadastros!$L$6:$L$12,Cadastros!$M$6:$M$12)," ")</f>
        <v xml:space="preserve"> </v>
      </c>
      <c r="AB1835" s="28"/>
      <c r="AC1835" s="28"/>
      <c r="AD1835" s="20" t="str">
        <f>IF(AB1835="","",IF($F1835="Bernardino Furlan",_xlfn.XLOOKUP(AB1835,Cadastros!$G$6:$G$90,Cadastros!$H$6:$H$90)*(1-0.18),IF($F1835="Mauro José Salanti",_xlfn.XLOOKUP(AB1835,Cadastros!$G$6:$G$90,Cadastros!$H$6:$H$90)*(1-0.18),_xlfn.XLOOKUP(AB1835,Cadastros!$G$6:$G$90,Cadastros!$H$6:$H$90))))</f>
        <v/>
      </c>
      <c r="AE1835" s="168" t="str">
        <f t="shared" si="369"/>
        <v/>
      </c>
      <c r="AF1835" s="168" t="str">
        <f t="shared" si="370"/>
        <v/>
      </c>
      <c r="AG1835" s="28"/>
      <c r="AH1835" s="28"/>
      <c r="AI1835" s="20" t="str">
        <f>IF(AG1835="","",IF($F1835="Bernardino Furlan",_xlfn.XLOOKUP(AG1835,Cadastros!$G$6:$G$90,Cadastros!$H$6:$H$90)*(1-0.18),IF($F1835="Mauro José Salanti",_xlfn.XLOOKUP(AG1835,Cadastros!$G$6:$G$90,Cadastros!$H$6:$H$90)*(1-0.18),_xlfn.XLOOKUP(AG1835,Cadastros!$G$6:$G$90,Cadastros!$H$6:$H$90))))</f>
        <v/>
      </c>
      <c r="AJ1835" s="168" t="str">
        <f t="shared" si="371"/>
        <v/>
      </c>
      <c r="AK1835" s="168" t="str">
        <f t="shared" si="372"/>
        <v/>
      </c>
      <c r="AL1835" s="28"/>
      <c r="AM1835" s="28"/>
      <c r="AN1835" s="20" t="str">
        <f>IF(AL1835="","",IF($F1835="Bernardino Furlan",_xlfn.XLOOKUP(AL1835,Cadastros!$G$6:$G$90,Cadastros!$H$6:$H$90)*(1-0.18),IF($F1835="Mauro José Salanti",_xlfn.XLOOKUP(AL1835,Cadastros!$G$6:$G$90,Cadastros!$H$6:$H$90)*(1-0.18),_xlfn.XLOOKUP(AL1835,Cadastros!$G$6:$G$90,Cadastros!$H$6:$H$90))))</f>
        <v/>
      </c>
      <c r="AO1835" s="168" t="str">
        <f t="shared" si="373"/>
        <v/>
      </c>
      <c r="AP1835" s="168" t="str">
        <f t="shared" si="374"/>
        <v/>
      </c>
      <c r="AQ1835" s="28"/>
      <c r="AR1835" s="28"/>
      <c r="AS1835" s="20" t="str">
        <f>IF(AQ1835="","",IF($F1835="Bernardino Furlan",_xlfn.XLOOKUP(AQ1835,Cadastros!$G$6:$G$90,Cadastros!$H$6:$H$90)*(1-0.18),IF($F1835="Mauro José Salanti",_xlfn.XLOOKUP(AQ1835,Cadastros!$G$6:$G$90,Cadastros!$H$6:$H$90)*(1-0.18),_xlfn.XLOOKUP(AQ1835,Cadastros!$G$6:$G$90,Cadastros!$H$6:$H$90))))</f>
        <v/>
      </c>
      <c r="AT1835" s="168" t="str">
        <f t="shared" si="375"/>
        <v/>
      </c>
      <c r="AU1835" s="168" t="str">
        <f t="shared" si="376"/>
        <v/>
      </c>
      <c r="AV1835" s="227"/>
      <c r="AW1835" s="30"/>
      <c r="AX1835" s="267"/>
      <c r="AY1835" s="267"/>
      <c r="AZ1835" s="29"/>
      <c r="BA1835" s="30"/>
      <c r="BB1835" s="23" t="str" cm="1">
        <f t="array" ref="BB1835">_xlfn.IFS(AW1835="SIM",SUM(K1835,P1835,U1835,Z1835,AE1835,AJ1835,AO1835,AT1835,AX1835,AY1835),F1835&lt;&gt;"",SUM(K1835,P1835,U1835,Z1835,AE1835,AJ1835,,AO1835,AT1835),F1835="","")</f>
        <v/>
      </c>
      <c r="BC1835" s="211" t="str" cm="1">
        <f t="array" ref="BC1835">_xlfn.IFS(E1835="","",G1835&lt;=E1835,BB1835*(1-0.03),G1835&lt;(E1835+8),BB1835,AZ1835="Boleto",BB1835*(1+0.001)^DATEDIF(E1835,G1835,"D"),AZ1835="Cheque",BB1835,AZ1835="Dinheiro","Alterar forma pgto")</f>
        <v/>
      </c>
      <c r="BD1835" s="276" t="str" cm="1">
        <f t="array" ref="BD1835">IF(F1835=0," ",IF(BC1835&lt;BB1835,(_xlfn.IFS(AW1835="SIM",SUM(L1835,Q1835,V1835,AA1835,AF1835,AK1835,AP1835,AU1835)+AX1835/_xlfn.XLOOKUP(_xlfn.XLOOKUP($F1835,Clientes!$B$4:$B$39,Clientes!$C$4:$C$39),Cadastros!$L$6:$L$12,Cadastros!$M$6:$M$12)+IF($F1835="Bernardino Furlan",AY1835/2751.92,IF($F1835="Mauro José Salanti",AY1835/2751.92,AY1835/3356)),F1835&lt;&gt;0,SUM(L1835,Q1835,V1835,AA1835,AF1835,AK1835,AP1835,AU1835)))*(1-0.03),_xlfn.IFS(AW1835="SIM",SUM(L1835,Q1835,V1835,AA1835,AF1835,AK1835,AP1835,AU1835)+AX1835/_xlfn.XLOOKUP(_xlfn.XLOOKUP($F1835,Clientes!$B$4:$B$39,Clientes!$C$4:$C$39),Cadastros!$L$6:$L$12,Cadastros!$M$6:$M$12)+IF($F1835="Bernardino Furlan",AY1835/2751.92,IF($F1835="Mauro José Salanti",AY1835/2751.92,AY1835/3356)),F1835&lt;&gt;0,SUM(L1835,Q1835,V1835,AA1835,AF1835,AK1835,AP1835,AU1835))))</f>
        <v xml:space="preserve"> </v>
      </c>
      <c r="BE1835" s="120"/>
      <c r="BF1835" s="120"/>
      <c r="BG1835" s="120"/>
    </row>
    <row r="1836" spans="1:59" s="3" customFormat="1" x14ac:dyDescent="0.3">
      <c r="A1836" s="15" t="str">
        <f t="shared" si="364"/>
        <v/>
      </c>
      <c r="B1836" s="25"/>
      <c r="C1836" s="26"/>
      <c r="D1836" s="279"/>
      <c r="E1836" s="27"/>
      <c r="F1836" s="28"/>
      <c r="G1836" s="27"/>
      <c r="H1836" s="28"/>
      <c r="I1836" s="28"/>
      <c r="J1836" s="255" t="str">
        <f>IF(H1836="","",(_xlfn.XLOOKUP(H1836,Cadastros!$D$6:$D$90,Cadastros!$E$6:$E$90))*(1-_xlfn.XLOOKUP(_xlfn.XLOOKUP($F1836,Clientes!$B$4:$B$39,Clientes!$C$4:$C$39),Cadastros!$L$6:$L$12,Cadastros!$N$6:$N$12)))</f>
        <v/>
      </c>
      <c r="K1836" s="168" t="str">
        <f t="shared" si="365"/>
        <v/>
      </c>
      <c r="L1836" s="168" t="str">
        <f>IFERROR(K1836/_xlfn.XLOOKUP(_xlfn.XLOOKUP($F1836,Clientes!$B$4:$B$39,Clientes!$C$4:$C$39),Cadastros!$L$6:$L$12,Cadastros!$M$6:$M$12)," ")</f>
        <v xml:space="preserve"> </v>
      </c>
      <c r="M1836" s="28"/>
      <c r="N1836" s="28"/>
      <c r="O1836" s="255" t="str">
        <f>IF(M1836="","",(_xlfn.XLOOKUP(M1836,Cadastros!$D$6:$D$90,Cadastros!$E$6:$E$90))*(1-_xlfn.XLOOKUP(_xlfn.XLOOKUP($F1836,Clientes!$B$4:$B$39,Clientes!$C$4:$C$39),Cadastros!$L$6:$L$12,Cadastros!$N$6:$N$12)))</f>
        <v/>
      </c>
      <c r="P1836" s="168" t="str">
        <f t="shared" si="366"/>
        <v/>
      </c>
      <c r="Q1836" s="168" t="str">
        <f>IFERROR(P1836/_xlfn.XLOOKUP(_xlfn.XLOOKUP($F1836,Clientes!$B$4:$B$39,Clientes!$C$4:$C$39),Cadastros!$L$6:$L$12,Cadastros!$M$6:$M$12)," ")</f>
        <v xml:space="preserve"> </v>
      </c>
      <c r="R1836" s="28"/>
      <c r="S1836" s="28"/>
      <c r="T1836" s="255" t="str">
        <f>IF(R1836="","",(_xlfn.XLOOKUP(R1836,Cadastros!$D$6:$D$90,Cadastros!$E$6:$E$90))*(1-_xlfn.XLOOKUP(_xlfn.XLOOKUP($F1836,Clientes!$B$4:$B$39,Clientes!$C$4:$C$39),Cadastros!$L$6:$L$12,Cadastros!$N$6:$N$12)))</f>
        <v/>
      </c>
      <c r="U1836" s="168" t="str">
        <f t="shared" si="367"/>
        <v/>
      </c>
      <c r="V1836" s="168" t="str">
        <f>IFERROR(U1836/_xlfn.XLOOKUP(_xlfn.XLOOKUP($F1836,Clientes!$B$4:$B$39,Clientes!$C$4:$C$39),Cadastros!$L$6:$L$12,Cadastros!$M$6:$M$12)," ")</f>
        <v xml:space="preserve"> </v>
      </c>
      <c r="W1836" s="28"/>
      <c r="X1836" s="28"/>
      <c r="Y1836" s="255" t="str">
        <f>IF(W1836="","",(_xlfn.XLOOKUP(W1836,Cadastros!$D$6:$D$90,Cadastros!$E$6:$E$90))*(1-_xlfn.XLOOKUP(_xlfn.XLOOKUP($F1836,Clientes!$B$4:$B$39,Clientes!$C$4:$C$39),Cadastros!$L$6:$L$12,Cadastros!$N$6:$N$12)))</f>
        <v/>
      </c>
      <c r="Z1836" s="168" t="str">
        <f t="shared" si="368"/>
        <v/>
      </c>
      <c r="AA1836" s="168" t="str">
        <f>IFERROR(Z1836/_xlfn.XLOOKUP(_xlfn.XLOOKUP($F1836,Clientes!$B$4:$B$39,Clientes!$C$4:$C$39),Cadastros!$L$6:$L$12,Cadastros!$M$6:$M$12)," ")</f>
        <v xml:space="preserve"> </v>
      </c>
      <c r="AB1836" s="28"/>
      <c r="AC1836" s="28"/>
      <c r="AD1836" s="20" t="str">
        <f>IF(AB1836="","",IF($F1836="Bernardino Furlan",_xlfn.XLOOKUP(AB1836,Cadastros!$G$6:$G$90,Cadastros!$H$6:$H$90)*(1-0.18),IF($F1836="Mauro José Salanti",_xlfn.XLOOKUP(AB1836,Cadastros!$G$6:$G$90,Cadastros!$H$6:$H$90)*(1-0.18),_xlfn.XLOOKUP(AB1836,Cadastros!$G$6:$G$90,Cadastros!$H$6:$H$90))))</f>
        <v/>
      </c>
      <c r="AE1836" s="168" t="str">
        <f t="shared" si="369"/>
        <v/>
      </c>
      <c r="AF1836" s="168" t="str">
        <f t="shared" si="370"/>
        <v/>
      </c>
      <c r="AG1836" s="28"/>
      <c r="AH1836" s="28"/>
      <c r="AI1836" s="20" t="str">
        <f>IF(AG1836="","",IF($F1836="Bernardino Furlan",_xlfn.XLOOKUP(AG1836,Cadastros!$G$6:$G$90,Cadastros!$H$6:$H$90)*(1-0.18),IF($F1836="Mauro José Salanti",_xlfn.XLOOKUP(AG1836,Cadastros!$G$6:$G$90,Cadastros!$H$6:$H$90)*(1-0.18),_xlfn.XLOOKUP(AG1836,Cadastros!$G$6:$G$90,Cadastros!$H$6:$H$90))))</f>
        <v/>
      </c>
      <c r="AJ1836" s="168" t="str">
        <f t="shared" si="371"/>
        <v/>
      </c>
      <c r="AK1836" s="168" t="str">
        <f t="shared" si="372"/>
        <v/>
      </c>
      <c r="AL1836" s="28"/>
      <c r="AM1836" s="28"/>
      <c r="AN1836" s="20" t="str">
        <f>IF(AL1836="","",IF($F1836="Bernardino Furlan",_xlfn.XLOOKUP(AL1836,Cadastros!$G$6:$G$90,Cadastros!$H$6:$H$90)*(1-0.18),IF($F1836="Mauro José Salanti",_xlfn.XLOOKUP(AL1836,Cadastros!$G$6:$G$90,Cadastros!$H$6:$H$90)*(1-0.18),_xlfn.XLOOKUP(AL1836,Cadastros!$G$6:$G$90,Cadastros!$H$6:$H$90))))</f>
        <v/>
      </c>
      <c r="AO1836" s="168" t="str">
        <f t="shared" si="373"/>
        <v/>
      </c>
      <c r="AP1836" s="168" t="str">
        <f t="shared" si="374"/>
        <v/>
      </c>
      <c r="AQ1836" s="28"/>
      <c r="AR1836" s="28"/>
      <c r="AS1836" s="20" t="str">
        <f>IF(AQ1836="","",IF($F1836="Bernardino Furlan",_xlfn.XLOOKUP(AQ1836,Cadastros!$G$6:$G$90,Cadastros!$H$6:$H$90)*(1-0.18),IF($F1836="Mauro José Salanti",_xlfn.XLOOKUP(AQ1836,Cadastros!$G$6:$G$90,Cadastros!$H$6:$H$90)*(1-0.18),_xlfn.XLOOKUP(AQ1836,Cadastros!$G$6:$G$90,Cadastros!$H$6:$H$90))))</f>
        <v/>
      </c>
      <c r="AT1836" s="168" t="str">
        <f t="shared" si="375"/>
        <v/>
      </c>
      <c r="AU1836" s="168" t="str">
        <f t="shared" si="376"/>
        <v/>
      </c>
      <c r="AV1836" s="227"/>
      <c r="AW1836" s="30"/>
      <c r="AX1836" s="267"/>
      <c r="AY1836" s="267"/>
      <c r="AZ1836" s="29"/>
      <c r="BA1836" s="30"/>
      <c r="BB1836" s="23" t="str" cm="1">
        <f t="array" ref="BB1836">_xlfn.IFS(AW1836="SIM",SUM(K1836,P1836,U1836,Z1836,AE1836,AJ1836,AO1836,AT1836,AX1836,AY1836),F1836&lt;&gt;"",SUM(K1836,P1836,U1836,Z1836,AE1836,AJ1836,,AO1836,AT1836),F1836="","")</f>
        <v/>
      </c>
      <c r="BC1836" s="211" t="str" cm="1">
        <f t="array" ref="BC1836">_xlfn.IFS(E1836="","",G1836&lt;=E1836,BB1836*(1-0.03),G1836&lt;(E1836+8),BB1836,AZ1836="Boleto",BB1836*(1+0.001)^DATEDIF(E1836,G1836,"D"),AZ1836="Cheque",BB1836,AZ1836="Dinheiro","Alterar forma pgto")</f>
        <v/>
      </c>
      <c r="BD1836" s="276" t="str" cm="1">
        <f t="array" ref="BD1836">IF(F1836=0," ",IF(BC1836&lt;BB1836,(_xlfn.IFS(AW1836="SIM",SUM(L1836,Q1836,V1836,AA1836,AF1836,AK1836,AP1836,AU1836)+AX1836/_xlfn.XLOOKUP(_xlfn.XLOOKUP($F1836,Clientes!$B$4:$B$39,Clientes!$C$4:$C$39),Cadastros!$L$6:$L$12,Cadastros!$M$6:$M$12)+IF($F1836="Bernardino Furlan",AY1836/2751.92,IF($F1836="Mauro José Salanti",AY1836/2751.92,AY1836/3356)),F1836&lt;&gt;0,SUM(L1836,Q1836,V1836,AA1836,AF1836,AK1836,AP1836,AU1836)))*(1-0.03),_xlfn.IFS(AW1836="SIM",SUM(L1836,Q1836,V1836,AA1836,AF1836,AK1836,AP1836,AU1836)+AX1836/_xlfn.XLOOKUP(_xlfn.XLOOKUP($F1836,Clientes!$B$4:$B$39,Clientes!$C$4:$C$39),Cadastros!$L$6:$L$12,Cadastros!$M$6:$M$12)+IF($F1836="Bernardino Furlan",AY1836/2751.92,IF($F1836="Mauro José Salanti",AY1836/2751.92,AY1836/3356)),F1836&lt;&gt;0,SUM(L1836,Q1836,V1836,AA1836,AF1836,AK1836,AP1836,AU1836))))</f>
        <v xml:space="preserve"> </v>
      </c>
      <c r="BE1836" s="120"/>
      <c r="BF1836" s="120"/>
      <c r="BG1836" s="120"/>
    </row>
    <row r="1837" spans="1:59" s="3" customFormat="1" x14ac:dyDescent="0.3">
      <c r="A1837" s="15" t="str">
        <f t="shared" si="364"/>
        <v/>
      </c>
      <c r="B1837" s="25"/>
      <c r="C1837" s="26"/>
      <c r="D1837" s="279"/>
      <c r="E1837" s="27"/>
      <c r="F1837" s="28"/>
      <c r="G1837" s="27"/>
      <c r="H1837" s="28"/>
      <c r="I1837" s="28"/>
      <c r="J1837" s="255" t="str">
        <f>IF(H1837="","",(_xlfn.XLOOKUP(H1837,Cadastros!$D$6:$D$90,Cadastros!$E$6:$E$90))*(1-_xlfn.XLOOKUP(_xlfn.XLOOKUP($F1837,Clientes!$B$4:$B$39,Clientes!$C$4:$C$39),Cadastros!$L$6:$L$12,Cadastros!$N$6:$N$12)))</f>
        <v/>
      </c>
      <c r="K1837" s="168" t="str">
        <f t="shared" si="365"/>
        <v/>
      </c>
      <c r="L1837" s="168" t="str">
        <f>IFERROR(K1837/_xlfn.XLOOKUP(_xlfn.XLOOKUP($F1837,Clientes!$B$4:$B$39,Clientes!$C$4:$C$39),Cadastros!$L$6:$L$12,Cadastros!$M$6:$M$12)," ")</f>
        <v xml:space="preserve"> </v>
      </c>
      <c r="M1837" s="28"/>
      <c r="N1837" s="28"/>
      <c r="O1837" s="255" t="str">
        <f>IF(M1837="","",(_xlfn.XLOOKUP(M1837,Cadastros!$D$6:$D$90,Cadastros!$E$6:$E$90))*(1-_xlfn.XLOOKUP(_xlfn.XLOOKUP($F1837,Clientes!$B$4:$B$39,Clientes!$C$4:$C$39),Cadastros!$L$6:$L$12,Cadastros!$N$6:$N$12)))</f>
        <v/>
      </c>
      <c r="P1837" s="168" t="str">
        <f t="shared" si="366"/>
        <v/>
      </c>
      <c r="Q1837" s="168" t="str">
        <f>IFERROR(P1837/_xlfn.XLOOKUP(_xlfn.XLOOKUP($F1837,Clientes!$B$4:$B$39,Clientes!$C$4:$C$39),Cadastros!$L$6:$L$12,Cadastros!$M$6:$M$12)," ")</f>
        <v xml:space="preserve"> </v>
      </c>
      <c r="R1837" s="28"/>
      <c r="S1837" s="28"/>
      <c r="T1837" s="255" t="str">
        <f>IF(R1837="","",(_xlfn.XLOOKUP(R1837,Cadastros!$D$6:$D$90,Cadastros!$E$6:$E$90))*(1-_xlfn.XLOOKUP(_xlfn.XLOOKUP($F1837,Clientes!$B$4:$B$39,Clientes!$C$4:$C$39),Cadastros!$L$6:$L$12,Cadastros!$N$6:$N$12)))</f>
        <v/>
      </c>
      <c r="U1837" s="168" t="str">
        <f t="shared" si="367"/>
        <v/>
      </c>
      <c r="V1837" s="168" t="str">
        <f>IFERROR(U1837/_xlfn.XLOOKUP(_xlfn.XLOOKUP($F1837,Clientes!$B$4:$B$39,Clientes!$C$4:$C$39),Cadastros!$L$6:$L$12,Cadastros!$M$6:$M$12)," ")</f>
        <v xml:space="preserve"> </v>
      </c>
      <c r="W1837" s="28"/>
      <c r="X1837" s="28"/>
      <c r="Y1837" s="255" t="str">
        <f>IF(W1837="","",(_xlfn.XLOOKUP(W1837,Cadastros!$D$6:$D$90,Cadastros!$E$6:$E$90))*(1-_xlfn.XLOOKUP(_xlfn.XLOOKUP($F1837,Clientes!$B$4:$B$39,Clientes!$C$4:$C$39),Cadastros!$L$6:$L$12,Cadastros!$N$6:$N$12)))</f>
        <v/>
      </c>
      <c r="Z1837" s="168" t="str">
        <f t="shared" si="368"/>
        <v/>
      </c>
      <c r="AA1837" s="168" t="str">
        <f>IFERROR(Z1837/_xlfn.XLOOKUP(_xlfn.XLOOKUP($F1837,Clientes!$B$4:$B$39,Clientes!$C$4:$C$39),Cadastros!$L$6:$L$12,Cadastros!$M$6:$M$12)," ")</f>
        <v xml:space="preserve"> </v>
      </c>
      <c r="AB1837" s="28"/>
      <c r="AC1837" s="28"/>
      <c r="AD1837" s="20" t="str">
        <f>IF(AB1837="","",IF($F1837="Bernardino Furlan",_xlfn.XLOOKUP(AB1837,Cadastros!$G$6:$G$90,Cadastros!$H$6:$H$90)*(1-0.18),IF($F1837="Mauro José Salanti",_xlfn.XLOOKUP(AB1837,Cadastros!$G$6:$G$90,Cadastros!$H$6:$H$90)*(1-0.18),_xlfn.XLOOKUP(AB1837,Cadastros!$G$6:$G$90,Cadastros!$H$6:$H$90))))</f>
        <v/>
      </c>
      <c r="AE1837" s="168" t="str">
        <f t="shared" si="369"/>
        <v/>
      </c>
      <c r="AF1837" s="168" t="str">
        <f t="shared" si="370"/>
        <v/>
      </c>
      <c r="AG1837" s="28"/>
      <c r="AH1837" s="28"/>
      <c r="AI1837" s="20" t="str">
        <f>IF(AG1837="","",IF($F1837="Bernardino Furlan",_xlfn.XLOOKUP(AG1837,Cadastros!$G$6:$G$90,Cadastros!$H$6:$H$90)*(1-0.18),IF($F1837="Mauro José Salanti",_xlfn.XLOOKUP(AG1837,Cadastros!$G$6:$G$90,Cadastros!$H$6:$H$90)*(1-0.18),_xlfn.XLOOKUP(AG1837,Cadastros!$G$6:$G$90,Cadastros!$H$6:$H$90))))</f>
        <v/>
      </c>
      <c r="AJ1837" s="168" t="str">
        <f t="shared" si="371"/>
        <v/>
      </c>
      <c r="AK1837" s="168" t="str">
        <f t="shared" si="372"/>
        <v/>
      </c>
      <c r="AL1837" s="28"/>
      <c r="AM1837" s="28"/>
      <c r="AN1837" s="20" t="str">
        <f>IF(AL1837="","",IF($F1837="Bernardino Furlan",_xlfn.XLOOKUP(AL1837,Cadastros!$G$6:$G$90,Cadastros!$H$6:$H$90)*(1-0.18),IF($F1837="Mauro José Salanti",_xlfn.XLOOKUP(AL1837,Cadastros!$G$6:$G$90,Cadastros!$H$6:$H$90)*(1-0.18),_xlfn.XLOOKUP(AL1837,Cadastros!$G$6:$G$90,Cadastros!$H$6:$H$90))))</f>
        <v/>
      </c>
      <c r="AO1837" s="168" t="str">
        <f t="shared" si="373"/>
        <v/>
      </c>
      <c r="AP1837" s="168" t="str">
        <f t="shared" si="374"/>
        <v/>
      </c>
      <c r="AQ1837" s="28"/>
      <c r="AR1837" s="28"/>
      <c r="AS1837" s="20" t="str">
        <f>IF(AQ1837="","",IF($F1837="Bernardino Furlan",_xlfn.XLOOKUP(AQ1837,Cadastros!$G$6:$G$90,Cadastros!$H$6:$H$90)*(1-0.18),IF($F1837="Mauro José Salanti",_xlfn.XLOOKUP(AQ1837,Cadastros!$G$6:$G$90,Cadastros!$H$6:$H$90)*(1-0.18),_xlfn.XLOOKUP(AQ1837,Cadastros!$G$6:$G$90,Cadastros!$H$6:$H$90))))</f>
        <v/>
      </c>
      <c r="AT1837" s="168" t="str">
        <f t="shared" si="375"/>
        <v/>
      </c>
      <c r="AU1837" s="168" t="str">
        <f t="shared" si="376"/>
        <v/>
      </c>
      <c r="AV1837" s="227"/>
      <c r="AW1837" s="30"/>
      <c r="AX1837" s="267"/>
      <c r="AY1837" s="267"/>
      <c r="AZ1837" s="29"/>
      <c r="BA1837" s="30"/>
      <c r="BB1837" s="23" t="str" cm="1">
        <f t="array" ref="BB1837">_xlfn.IFS(AW1837="SIM",SUM(K1837,P1837,U1837,Z1837,AE1837,AJ1837,AO1837,AT1837,AX1837,AY1837),F1837&lt;&gt;"",SUM(K1837,P1837,U1837,Z1837,AE1837,AJ1837,,AO1837,AT1837),F1837="","")</f>
        <v/>
      </c>
      <c r="BC1837" s="211" t="str" cm="1">
        <f t="array" ref="BC1837">_xlfn.IFS(E1837="","",G1837&lt;=E1837,BB1837*(1-0.03),G1837&lt;(E1837+8),BB1837,AZ1837="Boleto",BB1837*(1+0.001)^DATEDIF(E1837,G1837,"D"),AZ1837="Cheque",BB1837,AZ1837="Dinheiro","Alterar forma pgto")</f>
        <v/>
      </c>
      <c r="BD1837" s="276" t="str" cm="1">
        <f t="array" ref="BD1837">IF(F1837=0," ",IF(BC1837&lt;BB1837,(_xlfn.IFS(AW1837="SIM",SUM(L1837,Q1837,V1837,AA1837,AF1837,AK1837,AP1837,AU1837)+AX1837/_xlfn.XLOOKUP(_xlfn.XLOOKUP($F1837,Clientes!$B$4:$B$39,Clientes!$C$4:$C$39),Cadastros!$L$6:$L$12,Cadastros!$M$6:$M$12)+IF($F1837="Bernardino Furlan",AY1837/2751.92,IF($F1837="Mauro José Salanti",AY1837/2751.92,AY1837/3356)),F1837&lt;&gt;0,SUM(L1837,Q1837,V1837,AA1837,AF1837,AK1837,AP1837,AU1837)))*(1-0.03),_xlfn.IFS(AW1837="SIM",SUM(L1837,Q1837,V1837,AA1837,AF1837,AK1837,AP1837,AU1837)+AX1837/_xlfn.XLOOKUP(_xlfn.XLOOKUP($F1837,Clientes!$B$4:$B$39,Clientes!$C$4:$C$39),Cadastros!$L$6:$L$12,Cadastros!$M$6:$M$12)+IF($F1837="Bernardino Furlan",AY1837/2751.92,IF($F1837="Mauro José Salanti",AY1837/2751.92,AY1837/3356)),F1837&lt;&gt;0,SUM(L1837,Q1837,V1837,AA1837,AF1837,AK1837,AP1837,AU1837))))</f>
        <v xml:space="preserve"> </v>
      </c>
      <c r="BE1837" s="120"/>
      <c r="BF1837" s="120"/>
      <c r="BG1837" s="120"/>
    </row>
    <row r="1838" spans="1:59" s="3" customFormat="1" x14ac:dyDescent="0.3">
      <c r="A1838" s="15" t="str">
        <f t="shared" si="364"/>
        <v/>
      </c>
      <c r="B1838" s="25"/>
      <c r="C1838" s="26"/>
      <c r="D1838" s="279"/>
      <c r="E1838" s="27"/>
      <c r="F1838" s="28"/>
      <c r="G1838" s="27"/>
      <c r="H1838" s="28"/>
      <c r="I1838" s="28"/>
      <c r="J1838" s="255" t="str">
        <f>IF(H1838="","",(_xlfn.XLOOKUP(H1838,Cadastros!$D$6:$D$90,Cadastros!$E$6:$E$90))*(1-_xlfn.XLOOKUP(_xlfn.XLOOKUP($F1838,Clientes!$B$4:$B$39,Clientes!$C$4:$C$39),Cadastros!$L$6:$L$12,Cadastros!$N$6:$N$12)))</f>
        <v/>
      </c>
      <c r="K1838" s="168" t="str">
        <f t="shared" si="365"/>
        <v/>
      </c>
      <c r="L1838" s="168" t="str">
        <f>IFERROR(K1838/_xlfn.XLOOKUP(_xlfn.XLOOKUP($F1838,Clientes!$B$4:$B$39,Clientes!$C$4:$C$39),Cadastros!$L$6:$L$12,Cadastros!$M$6:$M$12)," ")</f>
        <v xml:space="preserve"> </v>
      </c>
      <c r="M1838" s="28"/>
      <c r="N1838" s="28"/>
      <c r="O1838" s="255" t="str">
        <f>IF(M1838="","",(_xlfn.XLOOKUP(M1838,Cadastros!$D$6:$D$90,Cadastros!$E$6:$E$90))*(1-_xlfn.XLOOKUP(_xlfn.XLOOKUP($F1838,Clientes!$B$4:$B$39,Clientes!$C$4:$C$39),Cadastros!$L$6:$L$12,Cadastros!$N$6:$N$12)))</f>
        <v/>
      </c>
      <c r="P1838" s="168" t="str">
        <f t="shared" si="366"/>
        <v/>
      </c>
      <c r="Q1838" s="168" t="str">
        <f>IFERROR(P1838/_xlfn.XLOOKUP(_xlfn.XLOOKUP($F1838,Clientes!$B$4:$B$39,Clientes!$C$4:$C$39),Cadastros!$L$6:$L$12,Cadastros!$M$6:$M$12)," ")</f>
        <v xml:space="preserve"> </v>
      </c>
      <c r="R1838" s="28"/>
      <c r="S1838" s="28"/>
      <c r="T1838" s="255" t="str">
        <f>IF(R1838="","",(_xlfn.XLOOKUP(R1838,Cadastros!$D$6:$D$90,Cadastros!$E$6:$E$90))*(1-_xlfn.XLOOKUP(_xlfn.XLOOKUP($F1838,Clientes!$B$4:$B$39,Clientes!$C$4:$C$39),Cadastros!$L$6:$L$12,Cadastros!$N$6:$N$12)))</f>
        <v/>
      </c>
      <c r="U1838" s="168" t="str">
        <f t="shared" si="367"/>
        <v/>
      </c>
      <c r="V1838" s="168" t="str">
        <f>IFERROR(U1838/_xlfn.XLOOKUP(_xlfn.XLOOKUP($F1838,Clientes!$B$4:$B$39,Clientes!$C$4:$C$39),Cadastros!$L$6:$L$12,Cadastros!$M$6:$M$12)," ")</f>
        <v xml:space="preserve"> </v>
      </c>
      <c r="W1838" s="28"/>
      <c r="X1838" s="28"/>
      <c r="Y1838" s="255" t="str">
        <f>IF(W1838="","",(_xlfn.XLOOKUP(W1838,Cadastros!$D$6:$D$90,Cadastros!$E$6:$E$90))*(1-_xlfn.XLOOKUP(_xlfn.XLOOKUP($F1838,Clientes!$B$4:$B$39,Clientes!$C$4:$C$39),Cadastros!$L$6:$L$12,Cadastros!$N$6:$N$12)))</f>
        <v/>
      </c>
      <c r="Z1838" s="168" t="str">
        <f t="shared" si="368"/>
        <v/>
      </c>
      <c r="AA1838" s="168" t="str">
        <f>IFERROR(Z1838/_xlfn.XLOOKUP(_xlfn.XLOOKUP($F1838,Clientes!$B$4:$B$39,Clientes!$C$4:$C$39),Cadastros!$L$6:$L$12,Cadastros!$M$6:$M$12)," ")</f>
        <v xml:space="preserve"> </v>
      </c>
      <c r="AB1838" s="28"/>
      <c r="AC1838" s="28"/>
      <c r="AD1838" s="20" t="str">
        <f>IF(AB1838="","",IF($F1838="Bernardino Furlan",_xlfn.XLOOKUP(AB1838,Cadastros!$G$6:$G$90,Cadastros!$H$6:$H$90)*(1-0.18),IF($F1838="Mauro José Salanti",_xlfn.XLOOKUP(AB1838,Cadastros!$G$6:$G$90,Cadastros!$H$6:$H$90)*(1-0.18),_xlfn.XLOOKUP(AB1838,Cadastros!$G$6:$G$90,Cadastros!$H$6:$H$90))))</f>
        <v/>
      </c>
      <c r="AE1838" s="168" t="str">
        <f t="shared" si="369"/>
        <v/>
      </c>
      <c r="AF1838" s="168" t="str">
        <f t="shared" si="370"/>
        <v/>
      </c>
      <c r="AG1838" s="28"/>
      <c r="AH1838" s="28"/>
      <c r="AI1838" s="20" t="str">
        <f>IF(AG1838="","",IF($F1838="Bernardino Furlan",_xlfn.XLOOKUP(AG1838,Cadastros!$G$6:$G$90,Cadastros!$H$6:$H$90)*(1-0.18),IF($F1838="Mauro José Salanti",_xlfn.XLOOKUP(AG1838,Cadastros!$G$6:$G$90,Cadastros!$H$6:$H$90)*(1-0.18),_xlfn.XLOOKUP(AG1838,Cadastros!$G$6:$G$90,Cadastros!$H$6:$H$90))))</f>
        <v/>
      </c>
      <c r="AJ1838" s="168" t="str">
        <f t="shared" si="371"/>
        <v/>
      </c>
      <c r="AK1838" s="168" t="str">
        <f t="shared" si="372"/>
        <v/>
      </c>
      <c r="AL1838" s="28"/>
      <c r="AM1838" s="28"/>
      <c r="AN1838" s="20" t="str">
        <f>IF(AL1838="","",IF($F1838="Bernardino Furlan",_xlfn.XLOOKUP(AL1838,Cadastros!$G$6:$G$90,Cadastros!$H$6:$H$90)*(1-0.18),IF($F1838="Mauro José Salanti",_xlfn.XLOOKUP(AL1838,Cadastros!$G$6:$G$90,Cadastros!$H$6:$H$90)*(1-0.18),_xlfn.XLOOKUP(AL1838,Cadastros!$G$6:$G$90,Cadastros!$H$6:$H$90))))</f>
        <v/>
      </c>
      <c r="AO1838" s="168" t="str">
        <f t="shared" si="373"/>
        <v/>
      </c>
      <c r="AP1838" s="168" t="str">
        <f t="shared" si="374"/>
        <v/>
      </c>
      <c r="AQ1838" s="28"/>
      <c r="AR1838" s="28"/>
      <c r="AS1838" s="20" t="str">
        <f>IF(AQ1838="","",IF($F1838="Bernardino Furlan",_xlfn.XLOOKUP(AQ1838,Cadastros!$G$6:$G$90,Cadastros!$H$6:$H$90)*(1-0.18),IF($F1838="Mauro José Salanti",_xlfn.XLOOKUP(AQ1838,Cadastros!$G$6:$G$90,Cadastros!$H$6:$H$90)*(1-0.18),_xlfn.XLOOKUP(AQ1838,Cadastros!$G$6:$G$90,Cadastros!$H$6:$H$90))))</f>
        <v/>
      </c>
      <c r="AT1838" s="168" t="str">
        <f t="shared" si="375"/>
        <v/>
      </c>
      <c r="AU1838" s="168" t="str">
        <f t="shared" si="376"/>
        <v/>
      </c>
      <c r="AV1838" s="227"/>
      <c r="AW1838" s="30"/>
      <c r="AX1838" s="267"/>
      <c r="AY1838" s="267"/>
      <c r="AZ1838" s="29"/>
      <c r="BA1838" s="30"/>
      <c r="BB1838" s="23" t="str" cm="1">
        <f t="array" ref="BB1838">_xlfn.IFS(AW1838="SIM",SUM(K1838,P1838,U1838,Z1838,AE1838,AJ1838,AO1838,AT1838,AX1838,AY1838),F1838&lt;&gt;"",SUM(K1838,P1838,U1838,Z1838,AE1838,AJ1838,,AO1838,AT1838),F1838="","")</f>
        <v/>
      </c>
      <c r="BC1838" s="211" t="str" cm="1">
        <f t="array" ref="BC1838">_xlfn.IFS(E1838="","",G1838&lt;=E1838,BB1838*(1-0.03),G1838&lt;(E1838+8),BB1838,AZ1838="Boleto",BB1838*(1+0.001)^DATEDIF(E1838,G1838,"D"),AZ1838="Cheque",BB1838,AZ1838="Dinheiro","Alterar forma pgto")</f>
        <v/>
      </c>
      <c r="BD1838" s="276" t="str" cm="1">
        <f t="array" ref="BD1838">IF(F1838=0," ",IF(BC1838&lt;BB1838,(_xlfn.IFS(AW1838="SIM",SUM(L1838,Q1838,V1838,AA1838,AF1838,AK1838,AP1838,AU1838)+AX1838/_xlfn.XLOOKUP(_xlfn.XLOOKUP($F1838,Clientes!$B$4:$B$39,Clientes!$C$4:$C$39),Cadastros!$L$6:$L$12,Cadastros!$M$6:$M$12)+IF($F1838="Bernardino Furlan",AY1838/2751.92,IF($F1838="Mauro José Salanti",AY1838/2751.92,AY1838/3356)),F1838&lt;&gt;0,SUM(L1838,Q1838,V1838,AA1838,AF1838,AK1838,AP1838,AU1838)))*(1-0.03),_xlfn.IFS(AW1838="SIM",SUM(L1838,Q1838,V1838,AA1838,AF1838,AK1838,AP1838,AU1838)+AX1838/_xlfn.XLOOKUP(_xlfn.XLOOKUP($F1838,Clientes!$B$4:$B$39,Clientes!$C$4:$C$39),Cadastros!$L$6:$L$12,Cadastros!$M$6:$M$12)+IF($F1838="Bernardino Furlan",AY1838/2751.92,IF($F1838="Mauro José Salanti",AY1838/2751.92,AY1838/3356)),F1838&lt;&gt;0,SUM(L1838,Q1838,V1838,AA1838,AF1838,AK1838,AP1838,AU1838))))</f>
        <v xml:space="preserve"> </v>
      </c>
      <c r="BE1838" s="120"/>
      <c r="BF1838" s="120"/>
      <c r="BG1838" s="120"/>
    </row>
    <row r="1839" spans="1:59" s="3" customFormat="1" x14ac:dyDescent="0.3">
      <c r="A1839" s="15" t="str">
        <f t="shared" si="364"/>
        <v/>
      </c>
      <c r="B1839" s="25"/>
      <c r="C1839" s="26"/>
      <c r="D1839" s="279"/>
      <c r="E1839" s="27"/>
      <c r="F1839" s="28"/>
      <c r="G1839" s="27"/>
      <c r="H1839" s="28"/>
      <c r="I1839" s="28"/>
      <c r="J1839" s="255" t="str">
        <f>IF(H1839="","",(_xlfn.XLOOKUP(H1839,Cadastros!$D$6:$D$90,Cadastros!$E$6:$E$90))*(1-_xlfn.XLOOKUP(_xlfn.XLOOKUP($F1839,Clientes!$B$4:$B$39,Clientes!$C$4:$C$39),Cadastros!$L$6:$L$12,Cadastros!$N$6:$N$12)))</f>
        <v/>
      </c>
      <c r="K1839" s="168" t="str">
        <f t="shared" si="365"/>
        <v/>
      </c>
      <c r="L1839" s="168" t="str">
        <f>IFERROR(K1839/_xlfn.XLOOKUP(_xlfn.XLOOKUP($F1839,Clientes!$B$4:$B$39,Clientes!$C$4:$C$39),Cadastros!$L$6:$L$12,Cadastros!$M$6:$M$12)," ")</f>
        <v xml:space="preserve"> </v>
      </c>
      <c r="M1839" s="28"/>
      <c r="N1839" s="28"/>
      <c r="O1839" s="255" t="str">
        <f>IF(M1839="","",(_xlfn.XLOOKUP(M1839,Cadastros!$D$6:$D$90,Cadastros!$E$6:$E$90))*(1-_xlfn.XLOOKUP(_xlfn.XLOOKUP($F1839,Clientes!$B$4:$B$39,Clientes!$C$4:$C$39),Cadastros!$L$6:$L$12,Cadastros!$N$6:$N$12)))</f>
        <v/>
      </c>
      <c r="P1839" s="168" t="str">
        <f t="shared" si="366"/>
        <v/>
      </c>
      <c r="Q1839" s="168" t="str">
        <f>IFERROR(P1839/_xlfn.XLOOKUP(_xlfn.XLOOKUP($F1839,Clientes!$B$4:$B$39,Clientes!$C$4:$C$39),Cadastros!$L$6:$L$12,Cadastros!$M$6:$M$12)," ")</f>
        <v xml:space="preserve"> </v>
      </c>
      <c r="R1839" s="28"/>
      <c r="S1839" s="28"/>
      <c r="T1839" s="255" t="str">
        <f>IF(R1839="","",(_xlfn.XLOOKUP(R1839,Cadastros!$D$6:$D$90,Cadastros!$E$6:$E$90))*(1-_xlfn.XLOOKUP(_xlfn.XLOOKUP($F1839,Clientes!$B$4:$B$39,Clientes!$C$4:$C$39),Cadastros!$L$6:$L$12,Cadastros!$N$6:$N$12)))</f>
        <v/>
      </c>
      <c r="U1839" s="168" t="str">
        <f t="shared" si="367"/>
        <v/>
      </c>
      <c r="V1839" s="168" t="str">
        <f>IFERROR(U1839/_xlfn.XLOOKUP(_xlfn.XLOOKUP($F1839,Clientes!$B$4:$B$39,Clientes!$C$4:$C$39),Cadastros!$L$6:$L$12,Cadastros!$M$6:$M$12)," ")</f>
        <v xml:space="preserve"> </v>
      </c>
      <c r="W1839" s="28"/>
      <c r="X1839" s="28"/>
      <c r="Y1839" s="255" t="str">
        <f>IF(W1839="","",(_xlfn.XLOOKUP(W1839,Cadastros!$D$6:$D$90,Cadastros!$E$6:$E$90))*(1-_xlfn.XLOOKUP(_xlfn.XLOOKUP($F1839,Clientes!$B$4:$B$39,Clientes!$C$4:$C$39),Cadastros!$L$6:$L$12,Cadastros!$N$6:$N$12)))</f>
        <v/>
      </c>
      <c r="Z1839" s="168" t="str">
        <f t="shared" si="368"/>
        <v/>
      </c>
      <c r="AA1839" s="168" t="str">
        <f>IFERROR(Z1839/_xlfn.XLOOKUP(_xlfn.XLOOKUP($F1839,Clientes!$B$4:$B$39,Clientes!$C$4:$C$39),Cadastros!$L$6:$L$12,Cadastros!$M$6:$M$12)," ")</f>
        <v xml:space="preserve"> </v>
      </c>
      <c r="AB1839" s="28"/>
      <c r="AC1839" s="28"/>
      <c r="AD1839" s="20" t="str">
        <f>IF(AB1839="","",IF($F1839="Bernardino Furlan",_xlfn.XLOOKUP(AB1839,Cadastros!$G$6:$G$90,Cadastros!$H$6:$H$90)*(1-0.18),IF($F1839="Mauro José Salanti",_xlfn.XLOOKUP(AB1839,Cadastros!$G$6:$G$90,Cadastros!$H$6:$H$90)*(1-0.18),_xlfn.XLOOKUP(AB1839,Cadastros!$G$6:$G$90,Cadastros!$H$6:$H$90))))</f>
        <v/>
      </c>
      <c r="AE1839" s="168" t="str">
        <f t="shared" si="369"/>
        <v/>
      </c>
      <c r="AF1839" s="168" t="str">
        <f t="shared" si="370"/>
        <v/>
      </c>
      <c r="AG1839" s="28"/>
      <c r="AH1839" s="28"/>
      <c r="AI1839" s="20" t="str">
        <f>IF(AG1839="","",IF($F1839="Bernardino Furlan",_xlfn.XLOOKUP(AG1839,Cadastros!$G$6:$G$90,Cadastros!$H$6:$H$90)*(1-0.18),IF($F1839="Mauro José Salanti",_xlfn.XLOOKUP(AG1839,Cadastros!$G$6:$G$90,Cadastros!$H$6:$H$90)*(1-0.18),_xlfn.XLOOKUP(AG1839,Cadastros!$G$6:$G$90,Cadastros!$H$6:$H$90))))</f>
        <v/>
      </c>
      <c r="AJ1839" s="168" t="str">
        <f t="shared" si="371"/>
        <v/>
      </c>
      <c r="AK1839" s="168" t="str">
        <f t="shared" si="372"/>
        <v/>
      </c>
      <c r="AL1839" s="28"/>
      <c r="AM1839" s="28"/>
      <c r="AN1839" s="20" t="str">
        <f>IF(AL1839="","",IF($F1839="Bernardino Furlan",_xlfn.XLOOKUP(AL1839,Cadastros!$G$6:$G$90,Cadastros!$H$6:$H$90)*(1-0.18),IF($F1839="Mauro José Salanti",_xlfn.XLOOKUP(AL1839,Cadastros!$G$6:$G$90,Cadastros!$H$6:$H$90)*(1-0.18),_xlfn.XLOOKUP(AL1839,Cadastros!$G$6:$G$90,Cadastros!$H$6:$H$90))))</f>
        <v/>
      </c>
      <c r="AO1839" s="168" t="str">
        <f t="shared" si="373"/>
        <v/>
      </c>
      <c r="AP1839" s="168" t="str">
        <f t="shared" si="374"/>
        <v/>
      </c>
      <c r="AQ1839" s="28"/>
      <c r="AR1839" s="28"/>
      <c r="AS1839" s="20" t="str">
        <f>IF(AQ1839="","",IF($F1839="Bernardino Furlan",_xlfn.XLOOKUP(AQ1839,Cadastros!$G$6:$G$90,Cadastros!$H$6:$H$90)*(1-0.18),IF($F1839="Mauro José Salanti",_xlfn.XLOOKUP(AQ1839,Cadastros!$G$6:$G$90,Cadastros!$H$6:$H$90)*(1-0.18),_xlfn.XLOOKUP(AQ1839,Cadastros!$G$6:$G$90,Cadastros!$H$6:$H$90))))</f>
        <v/>
      </c>
      <c r="AT1839" s="168" t="str">
        <f t="shared" si="375"/>
        <v/>
      </c>
      <c r="AU1839" s="168" t="str">
        <f t="shared" si="376"/>
        <v/>
      </c>
      <c r="AV1839" s="227"/>
      <c r="AW1839" s="30"/>
      <c r="AX1839" s="267"/>
      <c r="AY1839" s="267"/>
      <c r="AZ1839" s="29"/>
      <c r="BA1839" s="30"/>
      <c r="BB1839" s="23" t="str" cm="1">
        <f t="array" ref="BB1839">_xlfn.IFS(AW1839="SIM",SUM(K1839,P1839,U1839,Z1839,AE1839,AJ1839,AO1839,AT1839,AX1839,AY1839),F1839&lt;&gt;"",SUM(K1839,P1839,U1839,Z1839,AE1839,AJ1839,,AO1839,AT1839),F1839="","")</f>
        <v/>
      </c>
      <c r="BC1839" s="211" t="str" cm="1">
        <f t="array" ref="BC1839">_xlfn.IFS(E1839="","",G1839&lt;=E1839,BB1839*(1-0.03),G1839&lt;(E1839+8),BB1839,AZ1839="Boleto",BB1839*(1+0.001)^DATEDIF(E1839,G1839,"D"),AZ1839="Cheque",BB1839,AZ1839="Dinheiro","Alterar forma pgto")</f>
        <v/>
      </c>
      <c r="BD1839" s="276" t="str" cm="1">
        <f t="array" ref="BD1839">IF(F1839=0," ",IF(BC1839&lt;BB1839,(_xlfn.IFS(AW1839="SIM",SUM(L1839,Q1839,V1839,AA1839,AF1839,AK1839,AP1839,AU1839)+AX1839/_xlfn.XLOOKUP(_xlfn.XLOOKUP($F1839,Clientes!$B$4:$B$39,Clientes!$C$4:$C$39),Cadastros!$L$6:$L$12,Cadastros!$M$6:$M$12)+IF($F1839="Bernardino Furlan",AY1839/2751.92,IF($F1839="Mauro José Salanti",AY1839/2751.92,AY1839/3356)),F1839&lt;&gt;0,SUM(L1839,Q1839,V1839,AA1839,AF1839,AK1839,AP1839,AU1839)))*(1-0.03),_xlfn.IFS(AW1839="SIM",SUM(L1839,Q1839,V1839,AA1839,AF1839,AK1839,AP1839,AU1839)+AX1839/_xlfn.XLOOKUP(_xlfn.XLOOKUP($F1839,Clientes!$B$4:$B$39,Clientes!$C$4:$C$39),Cadastros!$L$6:$L$12,Cadastros!$M$6:$M$12)+IF($F1839="Bernardino Furlan",AY1839/2751.92,IF($F1839="Mauro José Salanti",AY1839/2751.92,AY1839/3356)),F1839&lt;&gt;0,SUM(L1839,Q1839,V1839,AA1839,AF1839,AK1839,AP1839,AU1839))))</f>
        <v xml:space="preserve"> </v>
      </c>
      <c r="BE1839" s="120"/>
      <c r="BF1839" s="120"/>
      <c r="BG1839" s="120"/>
    </row>
    <row r="1840" spans="1:59" s="3" customFormat="1" x14ac:dyDescent="0.3">
      <c r="A1840" s="15" t="str">
        <f t="shared" si="364"/>
        <v/>
      </c>
      <c r="B1840" s="25"/>
      <c r="C1840" s="26"/>
      <c r="D1840" s="279"/>
      <c r="E1840" s="27"/>
      <c r="F1840" s="28"/>
      <c r="G1840" s="27"/>
      <c r="H1840" s="28"/>
      <c r="I1840" s="28"/>
      <c r="J1840" s="255" t="str">
        <f>IF(H1840="","",(_xlfn.XLOOKUP(H1840,Cadastros!$D$6:$D$90,Cadastros!$E$6:$E$90))*(1-_xlfn.XLOOKUP(_xlfn.XLOOKUP($F1840,Clientes!$B$4:$B$39,Clientes!$C$4:$C$39),Cadastros!$L$6:$L$12,Cadastros!$N$6:$N$12)))</f>
        <v/>
      </c>
      <c r="K1840" s="168" t="str">
        <f t="shared" si="365"/>
        <v/>
      </c>
      <c r="L1840" s="168" t="str">
        <f>IFERROR(K1840/_xlfn.XLOOKUP(_xlfn.XLOOKUP($F1840,Clientes!$B$4:$B$39,Clientes!$C$4:$C$39),Cadastros!$L$6:$L$12,Cadastros!$M$6:$M$12)," ")</f>
        <v xml:space="preserve"> </v>
      </c>
      <c r="M1840" s="28"/>
      <c r="N1840" s="28"/>
      <c r="O1840" s="255" t="str">
        <f>IF(M1840="","",(_xlfn.XLOOKUP(M1840,Cadastros!$D$6:$D$90,Cadastros!$E$6:$E$90))*(1-_xlfn.XLOOKUP(_xlfn.XLOOKUP($F1840,Clientes!$B$4:$B$39,Clientes!$C$4:$C$39),Cadastros!$L$6:$L$12,Cadastros!$N$6:$N$12)))</f>
        <v/>
      </c>
      <c r="P1840" s="168" t="str">
        <f t="shared" si="366"/>
        <v/>
      </c>
      <c r="Q1840" s="168" t="str">
        <f>IFERROR(P1840/_xlfn.XLOOKUP(_xlfn.XLOOKUP($F1840,Clientes!$B$4:$B$39,Clientes!$C$4:$C$39),Cadastros!$L$6:$L$12,Cadastros!$M$6:$M$12)," ")</f>
        <v xml:space="preserve"> </v>
      </c>
      <c r="R1840" s="28"/>
      <c r="S1840" s="28"/>
      <c r="T1840" s="255" t="str">
        <f>IF(R1840="","",(_xlfn.XLOOKUP(R1840,Cadastros!$D$6:$D$90,Cadastros!$E$6:$E$90))*(1-_xlfn.XLOOKUP(_xlfn.XLOOKUP($F1840,Clientes!$B$4:$B$39,Clientes!$C$4:$C$39),Cadastros!$L$6:$L$12,Cadastros!$N$6:$N$12)))</f>
        <v/>
      </c>
      <c r="U1840" s="168" t="str">
        <f t="shared" si="367"/>
        <v/>
      </c>
      <c r="V1840" s="168" t="str">
        <f>IFERROR(U1840/_xlfn.XLOOKUP(_xlfn.XLOOKUP($F1840,Clientes!$B$4:$B$39,Clientes!$C$4:$C$39),Cadastros!$L$6:$L$12,Cadastros!$M$6:$M$12)," ")</f>
        <v xml:space="preserve"> </v>
      </c>
      <c r="W1840" s="28"/>
      <c r="X1840" s="28"/>
      <c r="Y1840" s="255" t="str">
        <f>IF(W1840="","",(_xlfn.XLOOKUP(W1840,Cadastros!$D$6:$D$90,Cadastros!$E$6:$E$90))*(1-_xlfn.XLOOKUP(_xlfn.XLOOKUP($F1840,Clientes!$B$4:$B$39,Clientes!$C$4:$C$39),Cadastros!$L$6:$L$12,Cadastros!$N$6:$N$12)))</f>
        <v/>
      </c>
      <c r="Z1840" s="168" t="str">
        <f t="shared" si="368"/>
        <v/>
      </c>
      <c r="AA1840" s="168" t="str">
        <f>IFERROR(Z1840/_xlfn.XLOOKUP(_xlfn.XLOOKUP($F1840,Clientes!$B$4:$B$39,Clientes!$C$4:$C$39),Cadastros!$L$6:$L$12,Cadastros!$M$6:$M$12)," ")</f>
        <v xml:space="preserve"> </v>
      </c>
      <c r="AB1840" s="28"/>
      <c r="AC1840" s="28"/>
      <c r="AD1840" s="20" t="str">
        <f>IF(AB1840="","",IF($F1840="Bernardino Furlan",_xlfn.XLOOKUP(AB1840,Cadastros!$G$6:$G$90,Cadastros!$H$6:$H$90)*(1-0.18),IF($F1840="Mauro José Salanti",_xlfn.XLOOKUP(AB1840,Cadastros!$G$6:$G$90,Cadastros!$H$6:$H$90)*(1-0.18),_xlfn.XLOOKUP(AB1840,Cadastros!$G$6:$G$90,Cadastros!$H$6:$H$90))))</f>
        <v/>
      </c>
      <c r="AE1840" s="168" t="str">
        <f t="shared" si="369"/>
        <v/>
      </c>
      <c r="AF1840" s="168" t="str">
        <f t="shared" si="370"/>
        <v/>
      </c>
      <c r="AG1840" s="28"/>
      <c r="AH1840" s="28"/>
      <c r="AI1840" s="20" t="str">
        <f>IF(AG1840="","",IF($F1840="Bernardino Furlan",_xlfn.XLOOKUP(AG1840,Cadastros!$G$6:$G$90,Cadastros!$H$6:$H$90)*(1-0.18),IF($F1840="Mauro José Salanti",_xlfn.XLOOKUP(AG1840,Cadastros!$G$6:$G$90,Cadastros!$H$6:$H$90)*(1-0.18),_xlfn.XLOOKUP(AG1840,Cadastros!$G$6:$G$90,Cadastros!$H$6:$H$90))))</f>
        <v/>
      </c>
      <c r="AJ1840" s="168" t="str">
        <f t="shared" si="371"/>
        <v/>
      </c>
      <c r="AK1840" s="168" t="str">
        <f t="shared" si="372"/>
        <v/>
      </c>
      <c r="AL1840" s="28"/>
      <c r="AM1840" s="28"/>
      <c r="AN1840" s="20" t="str">
        <f>IF(AL1840="","",IF($F1840="Bernardino Furlan",_xlfn.XLOOKUP(AL1840,Cadastros!$G$6:$G$90,Cadastros!$H$6:$H$90)*(1-0.18),IF($F1840="Mauro José Salanti",_xlfn.XLOOKUP(AL1840,Cadastros!$G$6:$G$90,Cadastros!$H$6:$H$90)*(1-0.18),_xlfn.XLOOKUP(AL1840,Cadastros!$G$6:$G$90,Cadastros!$H$6:$H$90))))</f>
        <v/>
      </c>
      <c r="AO1840" s="168" t="str">
        <f t="shared" si="373"/>
        <v/>
      </c>
      <c r="AP1840" s="168" t="str">
        <f t="shared" si="374"/>
        <v/>
      </c>
      <c r="AQ1840" s="28"/>
      <c r="AR1840" s="28"/>
      <c r="AS1840" s="20" t="str">
        <f>IF(AQ1840="","",IF($F1840="Bernardino Furlan",_xlfn.XLOOKUP(AQ1840,Cadastros!$G$6:$G$90,Cadastros!$H$6:$H$90)*(1-0.18),IF($F1840="Mauro José Salanti",_xlfn.XLOOKUP(AQ1840,Cadastros!$G$6:$G$90,Cadastros!$H$6:$H$90)*(1-0.18),_xlfn.XLOOKUP(AQ1840,Cadastros!$G$6:$G$90,Cadastros!$H$6:$H$90))))</f>
        <v/>
      </c>
      <c r="AT1840" s="168" t="str">
        <f t="shared" si="375"/>
        <v/>
      </c>
      <c r="AU1840" s="168" t="str">
        <f t="shared" si="376"/>
        <v/>
      </c>
      <c r="AV1840" s="227"/>
      <c r="AW1840" s="30"/>
      <c r="AX1840" s="267"/>
      <c r="AY1840" s="267"/>
      <c r="AZ1840" s="29"/>
      <c r="BA1840" s="30"/>
      <c r="BB1840" s="23" t="str" cm="1">
        <f t="array" ref="BB1840">_xlfn.IFS(AW1840="SIM",SUM(K1840,P1840,U1840,Z1840,AE1840,AJ1840,AO1840,AT1840,AX1840,AY1840),F1840&lt;&gt;"",SUM(K1840,P1840,U1840,Z1840,AE1840,AJ1840,,AO1840,AT1840),F1840="","")</f>
        <v/>
      </c>
      <c r="BC1840" s="211" t="str" cm="1">
        <f t="array" ref="BC1840">_xlfn.IFS(E1840="","",G1840&lt;=E1840,BB1840*(1-0.03),G1840&lt;(E1840+8),BB1840,AZ1840="Boleto",BB1840*(1+0.001)^DATEDIF(E1840,G1840,"D"),AZ1840="Cheque",BB1840,AZ1840="Dinheiro","Alterar forma pgto")</f>
        <v/>
      </c>
      <c r="BD1840" s="276" t="str" cm="1">
        <f t="array" ref="BD1840">IF(F1840=0," ",IF(BC1840&lt;BB1840,(_xlfn.IFS(AW1840="SIM",SUM(L1840,Q1840,V1840,AA1840,AF1840,AK1840,AP1840,AU1840)+AX1840/_xlfn.XLOOKUP(_xlfn.XLOOKUP($F1840,Clientes!$B$4:$B$39,Clientes!$C$4:$C$39),Cadastros!$L$6:$L$12,Cadastros!$M$6:$M$12)+IF($F1840="Bernardino Furlan",AY1840/2751.92,IF($F1840="Mauro José Salanti",AY1840/2751.92,AY1840/3356)),F1840&lt;&gt;0,SUM(L1840,Q1840,V1840,AA1840,AF1840,AK1840,AP1840,AU1840)))*(1-0.03),_xlfn.IFS(AW1840="SIM",SUM(L1840,Q1840,V1840,AA1840,AF1840,AK1840,AP1840,AU1840)+AX1840/_xlfn.XLOOKUP(_xlfn.XLOOKUP($F1840,Clientes!$B$4:$B$39,Clientes!$C$4:$C$39),Cadastros!$L$6:$L$12,Cadastros!$M$6:$M$12)+IF($F1840="Bernardino Furlan",AY1840/2751.92,IF($F1840="Mauro José Salanti",AY1840/2751.92,AY1840/3356)),F1840&lt;&gt;0,SUM(L1840,Q1840,V1840,AA1840,AF1840,AK1840,AP1840,AU1840))))</f>
        <v xml:space="preserve"> </v>
      </c>
      <c r="BE1840" s="120"/>
      <c r="BF1840" s="120"/>
      <c r="BG1840" s="120"/>
    </row>
    <row r="1841" spans="1:59" s="3" customFormat="1" x14ac:dyDescent="0.3">
      <c r="A1841" s="15" t="str">
        <f t="shared" si="364"/>
        <v/>
      </c>
      <c r="B1841" s="25"/>
      <c r="C1841" s="26"/>
      <c r="D1841" s="279"/>
      <c r="E1841" s="27"/>
      <c r="F1841" s="28"/>
      <c r="G1841" s="27"/>
      <c r="H1841" s="28"/>
      <c r="I1841" s="28"/>
      <c r="J1841" s="255" t="str">
        <f>IF(H1841="","",(_xlfn.XLOOKUP(H1841,Cadastros!$D$6:$D$90,Cadastros!$E$6:$E$90))*(1-_xlfn.XLOOKUP(_xlfn.XLOOKUP($F1841,Clientes!$B$4:$B$39,Clientes!$C$4:$C$39),Cadastros!$L$6:$L$12,Cadastros!$N$6:$N$12)))</f>
        <v/>
      </c>
      <c r="K1841" s="168" t="str">
        <f t="shared" si="365"/>
        <v/>
      </c>
      <c r="L1841" s="168" t="str">
        <f>IFERROR(K1841/_xlfn.XLOOKUP(_xlfn.XLOOKUP($F1841,Clientes!$B$4:$B$39,Clientes!$C$4:$C$39),Cadastros!$L$6:$L$12,Cadastros!$M$6:$M$12)," ")</f>
        <v xml:space="preserve"> </v>
      </c>
      <c r="M1841" s="28"/>
      <c r="N1841" s="28"/>
      <c r="O1841" s="255" t="str">
        <f>IF(M1841="","",(_xlfn.XLOOKUP(M1841,Cadastros!$D$6:$D$90,Cadastros!$E$6:$E$90))*(1-_xlfn.XLOOKUP(_xlfn.XLOOKUP($F1841,Clientes!$B$4:$B$39,Clientes!$C$4:$C$39),Cadastros!$L$6:$L$12,Cadastros!$N$6:$N$12)))</f>
        <v/>
      </c>
      <c r="P1841" s="168" t="str">
        <f t="shared" si="366"/>
        <v/>
      </c>
      <c r="Q1841" s="168" t="str">
        <f>IFERROR(P1841/_xlfn.XLOOKUP(_xlfn.XLOOKUP($F1841,Clientes!$B$4:$B$39,Clientes!$C$4:$C$39),Cadastros!$L$6:$L$12,Cadastros!$M$6:$M$12)," ")</f>
        <v xml:space="preserve"> </v>
      </c>
      <c r="R1841" s="28"/>
      <c r="S1841" s="28"/>
      <c r="T1841" s="255" t="str">
        <f>IF(R1841="","",(_xlfn.XLOOKUP(R1841,Cadastros!$D$6:$D$90,Cadastros!$E$6:$E$90))*(1-_xlfn.XLOOKUP(_xlfn.XLOOKUP($F1841,Clientes!$B$4:$B$39,Clientes!$C$4:$C$39),Cadastros!$L$6:$L$12,Cadastros!$N$6:$N$12)))</f>
        <v/>
      </c>
      <c r="U1841" s="168" t="str">
        <f t="shared" si="367"/>
        <v/>
      </c>
      <c r="V1841" s="168" t="str">
        <f>IFERROR(U1841/_xlfn.XLOOKUP(_xlfn.XLOOKUP($F1841,Clientes!$B$4:$B$39,Clientes!$C$4:$C$39),Cadastros!$L$6:$L$12,Cadastros!$M$6:$M$12)," ")</f>
        <v xml:space="preserve"> </v>
      </c>
      <c r="W1841" s="28"/>
      <c r="X1841" s="28"/>
      <c r="Y1841" s="255" t="str">
        <f>IF(W1841="","",(_xlfn.XLOOKUP(W1841,Cadastros!$D$6:$D$90,Cadastros!$E$6:$E$90))*(1-_xlfn.XLOOKUP(_xlfn.XLOOKUP($F1841,Clientes!$B$4:$B$39,Clientes!$C$4:$C$39),Cadastros!$L$6:$L$12,Cadastros!$N$6:$N$12)))</f>
        <v/>
      </c>
      <c r="Z1841" s="168" t="str">
        <f t="shared" si="368"/>
        <v/>
      </c>
      <c r="AA1841" s="168" t="str">
        <f>IFERROR(Z1841/_xlfn.XLOOKUP(_xlfn.XLOOKUP($F1841,Clientes!$B$4:$B$39,Clientes!$C$4:$C$39),Cadastros!$L$6:$L$12,Cadastros!$M$6:$M$12)," ")</f>
        <v xml:space="preserve"> </v>
      </c>
      <c r="AB1841" s="28"/>
      <c r="AC1841" s="28"/>
      <c r="AD1841" s="20" t="str">
        <f>IF(AB1841="","",IF($F1841="Bernardino Furlan",_xlfn.XLOOKUP(AB1841,Cadastros!$G$6:$G$90,Cadastros!$H$6:$H$90)*(1-0.18),IF($F1841="Mauro José Salanti",_xlfn.XLOOKUP(AB1841,Cadastros!$G$6:$G$90,Cadastros!$H$6:$H$90)*(1-0.18),_xlfn.XLOOKUP(AB1841,Cadastros!$G$6:$G$90,Cadastros!$H$6:$H$90))))</f>
        <v/>
      </c>
      <c r="AE1841" s="168" t="str">
        <f t="shared" si="369"/>
        <v/>
      </c>
      <c r="AF1841" s="168" t="str">
        <f t="shared" si="370"/>
        <v/>
      </c>
      <c r="AG1841" s="28"/>
      <c r="AH1841" s="28"/>
      <c r="AI1841" s="20" t="str">
        <f>IF(AG1841="","",IF($F1841="Bernardino Furlan",_xlfn.XLOOKUP(AG1841,Cadastros!$G$6:$G$90,Cadastros!$H$6:$H$90)*(1-0.18),IF($F1841="Mauro José Salanti",_xlfn.XLOOKUP(AG1841,Cadastros!$G$6:$G$90,Cadastros!$H$6:$H$90)*(1-0.18),_xlfn.XLOOKUP(AG1841,Cadastros!$G$6:$G$90,Cadastros!$H$6:$H$90))))</f>
        <v/>
      </c>
      <c r="AJ1841" s="168" t="str">
        <f t="shared" si="371"/>
        <v/>
      </c>
      <c r="AK1841" s="168" t="str">
        <f t="shared" si="372"/>
        <v/>
      </c>
      <c r="AL1841" s="28"/>
      <c r="AM1841" s="28"/>
      <c r="AN1841" s="20" t="str">
        <f>IF(AL1841="","",IF($F1841="Bernardino Furlan",_xlfn.XLOOKUP(AL1841,Cadastros!$G$6:$G$90,Cadastros!$H$6:$H$90)*(1-0.18),IF($F1841="Mauro José Salanti",_xlfn.XLOOKUP(AL1841,Cadastros!$G$6:$G$90,Cadastros!$H$6:$H$90)*(1-0.18),_xlfn.XLOOKUP(AL1841,Cadastros!$G$6:$G$90,Cadastros!$H$6:$H$90))))</f>
        <v/>
      </c>
      <c r="AO1841" s="168" t="str">
        <f t="shared" si="373"/>
        <v/>
      </c>
      <c r="AP1841" s="168" t="str">
        <f t="shared" si="374"/>
        <v/>
      </c>
      <c r="AQ1841" s="28"/>
      <c r="AR1841" s="28"/>
      <c r="AS1841" s="20" t="str">
        <f>IF(AQ1841="","",IF($F1841="Bernardino Furlan",_xlfn.XLOOKUP(AQ1841,Cadastros!$G$6:$G$90,Cadastros!$H$6:$H$90)*(1-0.18),IF($F1841="Mauro José Salanti",_xlfn.XLOOKUP(AQ1841,Cadastros!$G$6:$G$90,Cadastros!$H$6:$H$90)*(1-0.18),_xlfn.XLOOKUP(AQ1841,Cadastros!$G$6:$G$90,Cadastros!$H$6:$H$90))))</f>
        <v/>
      </c>
      <c r="AT1841" s="168" t="str">
        <f t="shared" si="375"/>
        <v/>
      </c>
      <c r="AU1841" s="168" t="str">
        <f t="shared" si="376"/>
        <v/>
      </c>
      <c r="AV1841" s="227"/>
      <c r="AW1841" s="30"/>
      <c r="AX1841" s="267"/>
      <c r="AY1841" s="267"/>
      <c r="AZ1841" s="29"/>
      <c r="BA1841" s="30"/>
      <c r="BB1841" s="23" t="str" cm="1">
        <f t="array" ref="BB1841">_xlfn.IFS(AW1841="SIM",SUM(K1841,P1841,U1841,Z1841,AE1841,AJ1841,AO1841,AT1841,AX1841,AY1841),F1841&lt;&gt;"",SUM(K1841,P1841,U1841,Z1841,AE1841,AJ1841,,AO1841,AT1841),F1841="","")</f>
        <v/>
      </c>
      <c r="BC1841" s="211" t="str" cm="1">
        <f t="array" ref="BC1841">_xlfn.IFS(E1841="","",G1841&lt;=E1841,BB1841*(1-0.03),G1841&lt;(E1841+8),BB1841,AZ1841="Boleto",BB1841*(1+0.001)^DATEDIF(E1841,G1841,"D"),AZ1841="Cheque",BB1841,AZ1841="Dinheiro","Alterar forma pgto")</f>
        <v/>
      </c>
      <c r="BD1841" s="276" t="str" cm="1">
        <f t="array" ref="BD1841">IF(F1841=0," ",IF(BC1841&lt;BB1841,(_xlfn.IFS(AW1841="SIM",SUM(L1841,Q1841,V1841,AA1841,AF1841,AK1841,AP1841,AU1841)+AX1841/_xlfn.XLOOKUP(_xlfn.XLOOKUP($F1841,Clientes!$B$4:$B$39,Clientes!$C$4:$C$39),Cadastros!$L$6:$L$12,Cadastros!$M$6:$M$12)+IF($F1841="Bernardino Furlan",AY1841/2751.92,IF($F1841="Mauro José Salanti",AY1841/2751.92,AY1841/3356)),F1841&lt;&gt;0,SUM(L1841,Q1841,V1841,AA1841,AF1841,AK1841,AP1841,AU1841)))*(1-0.03),_xlfn.IFS(AW1841="SIM",SUM(L1841,Q1841,V1841,AA1841,AF1841,AK1841,AP1841,AU1841)+AX1841/_xlfn.XLOOKUP(_xlfn.XLOOKUP($F1841,Clientes!$B$4:$B$39,Clientes!$C$4:$C$39),Cadastros!$L$6:$L$12,Cadastros!$M$6:$M$12)+IF($F1841="Bernardino Furlan",AY1841/2751.92,IF($F1841="Mauro José Salanti",AY1841/2751.92,AY1841/3356)),F1841&lt;&gt;0,SUM(L1841,Q1841,V1841,AA1841,AF1841,AK1841,AP1841,AU1841))))</f>
        <v xml:space="preserve"> </v>
      </c>
      <c r="BE1841" s="120"/>
      <c r="BF1841" s="120"/>
      <c r="BG1841" s="120"/>
    </row>
    <row r="1842" spans="1:59" s="3" customFormat="1" x14ac:dyDescent="0.3">
      <c r="A1842" s="15" t="str">
        <f t="shared" si="364"/>
        <v/>
      </c>
      <c r="B1842" s="25"/>
      <c r="C1842" s="26"/>
      <c r="D1842" s="279"/>
      <c r="E1842" s="27"/>
      <c r="F1842" s="28"/>
      <c r="G1842" s="27"/>
      <c r="H1842" s="28"/>
      <c r="I1842" s="28"/>
      <c r="J1842" s="255" t="str">
        <f>IF(H1842="","",(_xlfn.XLOOKUP(H1842,Cadastros!$D$6:$D$90,Cadastros!$E$6:$E$90))*(1-_xlfn.XLOOKUP(_xlfn.XLOOKUP($F1842,Clientes!$B$4:$B$39,Clientes!$C$4:$C$39),Cadastros!$L$6:$L$12,Cadastros!$N$6:$N$12)))</f>
        <v/>
      </c>
      <c r="K1842" s="168" t="str">
        <f t="shared" si="365"/>
        <v/>
      </c>
      <c r="L1842" s="168" t="str">
        <f>IFERROR(K1842/_xlfn.XLOOKUP(_xlfn.XLOOKUP($F1842,Clientes!$B$4:$B$39,Clientes!$C$4:$C$39),Cadastros!$L$6:$L$12,Cadastros!$M$6:$M$12)," ")</f>
        <v xml:space="preserve"> </v>
      </c>
      <c r="M1842" s="28"/>
      <c r="N1842" s="28"/>
      <c r="O1842" s="255" t="str">
        <f>IF(M1842="","",(_xlfn.XLOOKUP(M1842,Cadastros!$D$6:$D$90,Cadastros!$E$6:$E$90))*(1-_xlfn.XLOOKUP(_xlfn.XLOOKUP($F1842,Clientes!$B$4:$B$39,Clientes!$C$4:$C$39),Cadastros!$L$6:$L$12,Cadastros!$N$6:$N$12)))</f>
        <v/>
      </c>
      <c r="P1842" s="168" t="str">
        <f t="shared" si="366"/>
        <v/>
      </c>
      <c r="Q1842" s="168" t="str">
        <f>IFERROR(P1842/_xlfn.XLOOKUP(_xlfn.XLOOKUP($F1842,Clientes!$B$4:$B$39,Clientes!$C$4:$C$39),Cadastros!$L$6:$L$12,Cadastros!$M$6:$M$12)," ")</f>
        <v xml:space="preserve"> </v>
      </c>
      <c r="R1842" s="28"/>
      <c r="S1842" s="28"/>
      <c r="T1842" s="255" t="str">
        <f>IF(R1842="","",(_xlfn.XLOOKUP(R1842,Cadastros!$D$6:$D$90,Cadastros!$E$6:$E$90))*(1-_xlfn.XLOOKUP(_xlfn.XLOOKUP($F1842,Clientes!$B$4:$B$39,Clientes!$C$4:$C$39),Cadastros!$L$6:$L$12,Cadastros!$N$6:$N$12)))</f>
        <v/>
      </c>
      <c r="U1842" s="168" t="str">
        <f t="shared" si="367"/>
        <v/>
      </c>
      <c r="V1842" s="168" t="str">
        <f>IFERROR(U1842/_xlfn.XLOOKUP(_xlfn.XLOOKUP($F1842,Clientes!$B$4:$B$39,Clientes!$C$4:$C$39),Cadastros!$L$6:$L$12,Cadastros!$M$6:$M$12)," ")</f>
        <v xml:space="preserve"> </v>
      </c>
      <c r="W1842" s="28"/>
      <c r="X1842" s="28"/>
      <c r="Y1842" s="255" t="str">
        <f>IF(W1842="","",(_xlfn.XLOOKUP(W1842,Cadastros!$D$6:$D$90,Cadastros!$E$6:$E$90))*(1-_xlfn.XLOOKUP(_xlfn.XLOOKUP($F1842,Clientes!$B$4:$B$39,Clientes!$C$4:$C$39),Cadastros!$L$6:$L$12,Cadastros!$N$6:$N$12)))</f>
        <v/>
      </c>
      <c r="Z1842" s="168" t="str">
        <f t="shared" si="368"/>
        <v/>
      </c>
      <c r="AA1842" s="168" t="str">
        <f>IFERROR(Z1842/_xlfn.XLOOKUP(_xlfn.XLOOKUP($F1842,Clientes!$B$4:$B$39,Clientes!$C$4:$C$39),Cadastros!$L$6:$L$12,Cadastros!$M$6:$M$12)," ")</f>
        <v xml:space="preserve"> </v>
      </c>
      <c r="AB1842" s="28"/>
      <c r="AC1842" s="28"/>
      <c r="AD1842" s="20" t="str">
        <f>IF(AB1842="","",IF($F1842="Bernardino Furlan",_xlfn.XLOOKUP(AB1842,Cadastros!$G$6:$G$90,Cadastros!$H$6:$H$90)*(1-0.18),IF($F1842="Mauro José Salanti",_xlfn.XLOOKUP(AB1842,Cadastros!$G$6:$G$90,Cadastros!$H$6:$H$90)*(1-0.18),_xlfn.XLOOKUP(AB1842,Cadastros!$G$6:$G$90,Cadastros!$H$6:$H$90))))</f>
        <v/>
      </c>
      <c r="AE1842" s="168" t="str">
        <f t="shared" si="369"/>
        <v/>
      </c>
      <c r="AF1842" s="168" t="str">
        <f t="shared" si="370"/>
        <v/>
      </c>
      <c r="AG1842" s="28"/>
      <c r="AH1842" s="28"/>
      <c r="AI1842" s="20" t="str">
        <f>IF(AG1842="","",IF($F1842="Bernardino Furlan",_xlfn.XLOOKUP(AG1842,Cadastros!$G$6:$G$90,Cadastros!$H$6:$H$90)*(1-0.18),IF($F1842="Mauro José Salanti",_xlfn.XLOOKUP(AG1842,Cadastros!$G$6:$G$90,Cadastros!$H$6:$H$90)*(1-0.18),_xlfn.XLOOKUP(AG1842,Cadastros!$G$6:$G$90,Cadastros!$H$6:$H$90))))</f>
        <v/>
      </c>
      <c r="AJ1842" s="168" t="str">
        <f t="shared" si="371"/>
        <v/>
      </c>
      <c r="AK1842" s="168" t="str">
        <f t="shared" si="372"/>
        <v/>
      </c>
      <c r="AL1842" s="28"/>
      <c r="AM1842" s="28"/>
      <c r="AN1842" s="20" t="str">
        <f>IF(AL1842="","",IF($F1842="Bernardino Furlan",_xlfn.XLOOKUP(AL1842,Cadastros!$G$6:$G$90,Cadastros!$H$6:$H$90)*(1-0.18),IF($F1842="Mauro José Salanti",_xlfn.XLOOKUP(AL1842,Cadastros!$G$6:$G$90,Cadastros!$H$6:$H$90)*(1-0.18),_xlfn.XLOOKUP(AL1842,Cadastros!$G$6:$G$90,Cadastros!$H$6:$H$90))))</f>
        <v/>
      </c>
      <c r="AO1842" s="168" t="str">
        <f t="shared" si="373"/>
        <v/>
      </c>
      <c r="AP1842" s="168" t="str">
        <f t="shared" si="374"/>
        <v/>
      </c>
      <c r="AQ1842" s="28"/>
      <c r="AR1842" s="28"/>
      <c r="AS1842" s="20" t="str">
        <f>IF(AQ1842="","",IF($F1842="Bernardino Furlan",_xlfn.XLOOKUP(AQ1842,Cadastros!$G$6:$G$90,Cadastros!$H$6:$H$90)*(1-0.18),IF($F1842="Mauro José Salanti",_xlfn.XLOOKUP(AQ1842,Cadastros!$G$6:$G$90,Cadastros!$H$6:$H$90)*(1-0.18),_xlfn.XLOOKUP(AQ1842,Cadastros!$G$6:$G$90,Cadastros!$H$6:$H$90))))</f>
        <v/>
      </c>
      <c r="AT1842" s="168" t="str">
        <f t="shared" si="375"/>
        <v/>
      </c>
      <c r="AU1842" s="168" t="str">
        <f t="shared" si="376"/>
        <v/>
      </c>
      <c r="AV1842" s="227"/>
      <c r="AW1842" s="30"/>
      <c r="AX1842" s="267"/>
      <c r="AY1842" s="267"/>
      <c r="AZ1842" s="29"/>
      <c r="BA1842" s="30"/>
      <c r="BB1842" s="23" t="str" cm="1">
        <f t="array" ref="BB1842">_xlfn.IFS(AW1842="SIM",SUM(K1842,P1842,U1842,Z1842,AE1842,AJ1842,AO1842,AT1842,AX1842,AY1842),F1842&lt;&gt;"",SUM(K1842,P1842,U1842,Z1842,AE1842,AJ1842,,AO1842,AT1842),F1842="","")</f>
        <v/>
      </c>
      <c r="BC1842" s="211" t="str" cm="1">
        <f t="array" ref="BC1842">_xlfn.IFS(E1842="","",G1842&lt;=E1842,BB1842*(1-0.03),G1842&lt;(E1842+8),BB1842,AZ1842="Boleto",BB1842*(1+0.001)^DATEDIF(E1842,G1842,"D"),AZ1842="Cheque",BB1842,AZ1842="Dinheiro","Alterar forma pgto")</f>
        <v/>
      </c>
      <c r="BD1842" s="276" t="str" cm="1">
        <f t="array" ref="BD1842">IF(F1842=0," ",IF(BC1842&lt;BB1842,(_xlfn.IFS(AW1842="SIM",SUM(L1842,Q1842,V1842,AA1842,AF1842,AK1842,AP1842,AU1842)+AX1842/_xlfn.XLOOKUP(_xlfn.XLOOKUP($F1842,Clientes!$B$4:$B$39,Clientes!$C$4:$C$39),Cadastros!$L$6:$L$12,Cadastros!$M$6:$M$12)+IF($F1842="Bernardino Furlan",AY1842/2751.92,IF($F1842="Mauro José Salanti",AY1842/2751.92,AY1842/3356)),F1842&lt;&gt;0,SUM(L1842,Q1842,V1842,AA1842,AF1842,AK1842,AP1842,AU1842)))*(1-0.03),_xlfn.IFS(AW1842="SIM",SUM(L1842,Q1842,V1842,AA1842,AF1842,AK1842,AP1842,AU1842)+AX1842/_xlfn.XLOOKUP(_xlfn.XLOOKUP($F1842,Clientes!$B$4:$B$39,Clientes!$C$4:$C$39),Cadastros!$L$6:$L$12,Cadastros!$M$6:$M$12)+IF($F1842="Bernardino Furlan",AY1842/2751.92,IF($F1842="Mauro José Salanti",AY1842/2751.92,AY1842/3356)),F1842&lt;&gt;0,SUM(L1842,Q1842,V1842,AA1842,AF1842,AK1842,AP1842,AU1842))))</f>
        <v xml:space="preserve"> </v>
      </c>
      <c r="BE1842" s="120"/>
      <c r="BF1842" s="120"/>
      <c r="BG1842" s="120"/>
    </row>
    <row r="1843" spans="1:59" s="3" customFormat="1" x14ac:dyDescent="0.3">
      <c r="A1843" s="15" t="str">
        <f t="shared" si="364"/>
        <v/>
      </c>
      <c r="B1843" s="25"/>
      <c r="C1843" s="26"/>
      <c r="D1843" s="279"/>
      <c r="E1843" s="27"/>
      <c r="F1843" s="28"/>
      <c r="G1843" s="27"/>
      <c r="H1843" s="28"/>
      <c r="I1843" s="28"/>
      <c r="J1843" s="255" t="str">
        <f>IF(H1843="","",(_xlfn.XLOOKUP(H1843,Cadastros!$D$6:$D$90,Cadastros!$E$6:$E$90))*(1-_xlfn.XLOOKUP(_xlfn.XLOOKUP($F1843,Clientes!$B$4:$B$39,Clientes!$C$4:$C$39),Cadastros!$L$6:$L$12,Cadastros!$N$6:$N$12)))</f>
        <v/>
      </c>
      <c r="K1843" s="168" t="str">
        <f t="shared" si="365"/>
        <v/>
      </c>
      <c r="L1843" s="168" t="str">
        <f>IFERROR(K1843/_xlfn.XLOOKUP(_xlfn.XLOOKUP($F1843,Clientes!$B$4:$B$39,Clientes!$C$4:$C$39),Cadastros!$L$6:$L$12,Cadastros!$M$6:$M$12)," ")</f>
        <v xml:space="preserve"> </v>
      </c>
      <c r="M1843" s="28"/>
      <c r="N1843" s="28"/>
      <c r="O1843" s="255" t="str">
        <f>IF(M1843="","",(_xlfn.XLOOKUP(M1843,Cadastros!$D$6:$D$90,Cadastros!$E$6:$E$90))*(1-_xlfn.XLOOKUP(_xlfn.XLOOKUP($F1843,Clientes!$B$4:$B$39,Clientes!$C$4:$C$39),Cadastros!$L$6:$L$12,Cadastros!$N$6:$N$12)))</f>
        <v/>
      </c>
      <c r="P1843" s="168" t="str">
        <f t="shared" si="366"/>
        <v/>
      </c>
      <c r="Q1843" s="168" t="str">
        <f>IFERROR(P1843/_xlfn.XLOOKUP(_xlfn.XLOOKUP($F1843,Clientes!$B$4:$B$39,Clientes!$C$4:$C$39),Cadastros!$L$6:$L$12,Cadastros!$M$6:$M$12)," ")</f>
        <v xml:space="preserve"> </v>
      </c>
      <c r="R1843" s="28"/>
      <c r="S1843" s="28"/>
      <c r="T1843" s="255" t="str">
        <f>IF(R1843="","",(_xlfn.XLOOKUP(R1843,Cadastros!$D$6:$D$90,Cadastros!$E$6:$E$90))*(1-_xlfn.XLOOKUP(_xlfn.XLOOKUP($F1843,Clientes!$B$4:$B$39,Clientes!$C$4:$C$39),Cadastros!$L$6:$L$12,Cadastros!$N$6:$N$12)))</f>
        <v/>
      </c>
      <c r="U1843" s="168" t="str">
        <f t="shared" si="367"/>
        <v/>
      </c>
      <c r="V1843" s="168" t="str">
        <f>IFERROR(U1843/_xlfn.XLOOKUP(_xlfn.XLOOKUP($F1843,Clientes!$B$4:$B$39,Clientes!$C$4:$C$39),Cadastros!$L$6:$L$12,Cadastros!$M$6:$M$12)," ")</f>
        <v xml:space="preserve"> </v>
      </c>
      <c r="W1843" s="28"/>
      <c r="X1843" s="28"/>
      <c r="Y1843" s="255" t="str">
        <f>IF(W1843="","",(_xlfn.XLOOKUP(W1843,Cadastros!$D$6:$D$90,Cadastros!$E$6:$E$90))*(1-_xlfn.XLOOKUP(_xlfn.XLOOKUP($F1843,Clientes!$B$4:$B$39,Clientes!$C$4:$C$39),Cadastros!$L$6:$L$12,Cadastros!$N$6:$N$12)))</f>
        <v/>
      </c>
      <c r="Z1843" s="168" t="str">
        <f t="shared" si="368"/>
        <v/>
      </c>
      <c r="AA1843" s="168" t="str">
        <f>IFERROR(Z1843/_xlfn.XLOOKUP(_xlfn.XLOOKUP($F1843,Clientes!$B$4:$B$39,Clientes!$C$4:$C$39),Cadastros!$L$6:$L$12,Cadastros!$M$6:$M$12)," ")</f>
        <v xml:space="preserve"> </v>
      </c>
      <c r="AB1843" s="28"/>
      <c r="AC1843" s="28"/>
      <c r="AD1843" s="20" t="str">
        <f>IF(AB1843="","",IF($F1843="Bernardino Furlan",_xlfn.XLOOKUP(AB1843,Cadastros!$G$6:$G$90,Cadastros!$H$6:$H$90)*(1-0.18),IF($F1843="Mauro José Salanti",_xlfn.XLOOKUP(AB1843,Cadastros!$G$6:$G$90,Cadastros!$H$6:$H$90)*(1-0.18),_xlfn.XLOOKUP(AB1843,Cadastros!$G$6:$G$90,Cadastros!$H$6:$H$90))))</f>
        <v/>
      </c>
      <c r="AE1843" s="168" t="str">
        <f t="shared" si="369"/>
        <v/>
      </c>
      <c r="AF1843" s="168" t="str">
        <f t="shared" si="370"/>
        <v/>
      </c>
      <c r="AG1843" s="28"/>
      <c r="AH1843" s="28"/>
      <c r="AI1843" s="20" t="str">
        <f>IF(AG1843="","",IF($F1843="Bernardino Furlan",_xlfn.XLOOKUP(AG1843,Cadastros!$G$6:$G$90,Cadastros!$H$6:$H$90)*(1-0.18),IF($F1843="Mauro José Salanti",_xlfn.XLOOKUP(AG1843,Cadastros!$G$6:$G$90,Cadastros!$H$6:$H$90)*(1-0.18),_xlfn.XLOOKUP(AG1843,Cadastros!$G$6:$G$90,Cadastros!$H$6:$H$90))))</f>
        <v/>
      </c>
      <c r="AJ1843" s="168" t="str">
        <f t="shared" si="371"/>
        <v/>
      </c>
      <c r="AK1843" s="168" t="str">
        <f t="shared" si="372"/>
        <v/>
      </c>
      <c r="AL1843" s="28"/>
      <c r="AM1843" s="28"/>
      <c r="AN1843" s="20" t="str">
        <f>IF(AL1843="","",IF($F1843="Bernardino Furlan",_xlfn.XLOOKUP(AL1843,Cadastros!$G$6:$G$90,Cadastros!$H$6:$H$90)*(1-0.18),IF($F1843="Mauro José Salanti",_xlfn.XLOOKUP(AL1843,Cadastros!$G$6:$G$90,Cadastros!$H$6:$H$90)*(1-0.18),_xlfn.XLOOKUP(AL1843,Cadastros!$G$6:$G$90,Cadastros!$H$6:$H$90))))</f>
        <v/>
      </c>
      <c r="AO1843" s="168" t="str">
        <f t="shared" si="373"/>
        <v/>
      </c>
      <c r="AP1843" s="168" t="str">
        <f t="shared" si="374"/>
        <v/>
      </c>
      <c r="AQ1843" s="28"/>
      <c r="AR1843" s="28"/>
      <c r="AS1843" s="20" t="str">
        <f>IF(AQ1843="","",IF($F1843="Bernardino Furlan",_xlfn.XLOOKUP(AQ1843,Cadastros!$G$6:$G$90,Cadastros!$H$6:$H$90)*(1-0.18),IF($F1843="Mauro José Salanti",_xlfn.XLOOKUP(AQ1843,Cadastros!$G$6:$G$90,Cadastros!$H$6:$H$90)*(1-0.18),_xlfn.XLOOKUP(AQ1843,Cadastros!$G$6:$G$90,Cadastros!$H$6:$H$90))))</f>
        <v/>
      </c>
      <c r="AT1843" s="168" t="str">
        <f t="shared" si="375"/>
        <v/>
      </c>
      <c r="AU1843" s="168" t="str">
        <f t="shared" si="376"/>
        <v/>
      </c>
      <c r="AV1843" s="227"/>
      <c r="AW1843" s="30"/>
      <c r="AX1843" s="267"/>
      <c r="AY1843" s="267"/>
      <c r="AZ1843" s="29"/>
      <c r="BA1843" s="30"/>
      <c r="BB1843" s="23" t="str" cm="1">
        <f t="array" ref="BB1843">_xlfn.IFS(AW1843="SIM",SUM(K1843,P1843,U1843,Z1843,AE1843,AJ1843,AO1843,AT1843,AX1843,AY1843),F1843&lt;&gt;"",SUM(K1843,P1843,U1843,Z1843,AE1843,AJ1843,,AO1843,AT1843),F1843="","")</f>
        <v/>
      </c>
      <c r="BC1843" s="211" t="str" cm="1">
        <f t="array" ref="BC1843">_xlfn.IFS(E1843="","",G1843&lt;=E1843,BB1843*(1-0.03),G1843&lt;(E1843+8),BB1843,AZ1843="Boleto",BB1843*(1+0.001)^DATEDIF(E1843,G1843,"D"),AZ1843="Cheque",BB1843,AZ1843="Dinheiro","Alterar forma pgto")</f>
        <v/>
      </c>
      <c r="BD1843" s="276" t="str" cm="1">
        <f t="array" ref="BD1843">IF(F1843=0," ",IF(BC1843&lt;BB1843,(_xlfn.IFS(AW1843="SIM",SUM(L1843,Q1843,V1843,AA1843,AF1843,AK1843,AP1843,AU1843)+AX1843/_xlfn.XLOOKUP(_xlfn.XLOOKUP($F1843,Clientes!$B$4:$B$39,Clientes!$C$4:$C$39),Cadastros!$L$6:$L$12,Cadastros!$M$6:$M$12)+IF($F1843="Bernardino Furlan",AY1843/2751.92,IF($F1843="Mauro José Salanti",AY1843/2751.92,AY1843/3356)),F1843&lt;&gt;0,SUM(L1843,Q1843,V1843,AA1843,AF1843,AK1843,AP1843,AU1843)))*(1-0.03),_xlfn.IFS(AW1843="SIM",SUM(L1843,Q1843,V1843,AA1843,AF1843,AK1843,AP1843,AU1843)+AX1843/_xlfn.XLOOKUP(_xlfn.XLOOKUP($F1843,Clientes!$B$4:$B$39,Clientes!$C$4:$C$39),Cadastros!$L$6:$L$12,Cadastros!$M$6:$M$12)+IF($F1843="Bernardino Furlan",AY1843/2751.92,IF($F1843="Mauro José Salanti",AY1843/2751.92,AY1843/3356)),F1843&lt;&gt;0,SUM(L1843,Q1843,V1843,AA1843,AF1843,AK1843,AP1843,AU1843))))</f>
        <v xml:space="preserve"> </v>
      </c>
      <c r="BE1843" s="120"/>
      <c r="BF1843" s="120"/>
      <c r="BG1843" s="120"/>
    </row>
    <row r="1844" spans="1:59" s="3" customFormat="1" x14ac:dyDescent="0.3">
      <c r="A1844" s="15" t="str">
        <f t="shared" si="364"/>
        <v/>
      </c>
      <c r="B1844" s="25"/>
      <c r="C1844" s="26"/>
      <c r="D1844" s="279"/>
      <c r="E1844" s="27"/>
      <c r="F1844" s="28"/>
      <c r="G1844" s="27"/>
      <c r="H1844" s="28"/>
      <c r="I1844" s="28"/>
      <c r="J1844" s="255" t="str">
        <f>IF(H1844="","",(_xlfn.XLOOKUP(H1844,Cadastros!$D$6:$D$90,Cadastros!$E$6:$E$90))*(1-_xlfn.XLOOKUP(_xlfn.XLOOKUP($F1844,Clientes!$B$4:$B$39,Clientes!$C$4:$C$39),Cadastros!$L$6:$L$12,Cadastros!$N$6:$N$12)))</f>
        <v/>
      </c>
      <c r="K1844" s="168" t="str">
        <f t="shared" si="365"/>
        <v/>
      </c>
      <c r="L1844" s="168" t="str">
        <f>IFERROR(K1844/_xlfn.XLOOKUP(_xlfn.XLOOKUP($F1844,Clientes!$B$4:$B$39,Clientes!$C$4:$C$39),Cadastros!$L$6:$L$12,Cadastros!$M$6:$M$12)," ")</f>
        <v xml:space="preserve"> </v>
      </c>
      <c r="M1844" s="28"/>
      <c r="N1844" s="28"/>
      <c r="O1844" s="255" t="str">
        <f>IF(M1844="","",(_xlfn.XLOOKUP(M1844,Cadastros!$D$6:$D$90,Cadastros!$E$6:$E$90))*(1-_xlfn.XLOOKUP(_xlfn.XLOOKUP($F1844,Clientes!$B$4:$B$39,Clientes!$C$4:$C$39),Cadastros!$L$6:$L$12,Cadastros!$N$6:$N$12)))</f>
        <v/>
      </c>
      <c r="P1844" s="168" t="str">
        <f t="shared" si="366"/>
        <v/>
      </c>
      <c r="Q1844" s="168" t="str">
        <f>IFERROR(P1844/_xlfn.XLOOKUP(_xlfn.XLOOKUP($F1844,Clientes!$B$4:$B$39,Clientes!$C$4:$C$39),Cadastros!$L$6:$L$12,Cadastros!$M$6:$M$12)," ")</f>
        <v xml:space="preserve"> </v>
      </c>
      <c r="R1844" s="28"/>
      <c r="S1844" s="28"/>
      <c r="T1844" s="255" t="str">
        <f>IF(R1844="","",(_xlfn.XLOOKUP(R1844,Cadastros!$D$6:$D$90,Cadastros!$E$6:$E$90))*(1-_xlfn.XLOOKUP(_xlfn.XLOOKUP($F1844,Clientes!$B$4:$B$39,Clientes!$C$4:$C$39),Cadastros!$L$6:$L$12,Cadastros!$N$6:$N$12)))</f>
        <v/>
      </c>
      <c r="U1844" s="168" t="str">
        <f t="shared" si="367"/>
        <v/>
      </c>
      <c r="V1844" s="168" t="str">
        <f>IFERROR(U1844/_xlfn.XLOOKUP(_xlfn.XLOOKUP($F1844,Clientes!$B$4:$B$39,Clientes!$C$4:$C$39),Cadastros!$L$6:$L$12,Cadastros!$M$6:$M$12)," ")</f>
        <v xml:space="preserve"> </v>
      </c>
      <c r="W1844" s="28"/>
      <c r="X1844" s="28"/>
      <c r="Y1844" s="255" t="str">
        <f>IF(W1844="","",(_xlfn.XLOOKUP(W1844,Cadastros!$D$6:$D$90,Cadastros!$E$6:$E$90))*(1-_xlfn.XLOOKUP(_xlfn.XLOOKUP($F1844,Clientes!$B$4:$B$39,Clientes!$C$4:$C$39),Cadastros!$L$6:$L$12,Cadastros!$N$6:$N$12)))</f>
        <v/>
      </c>
      <c r="Z1844" s="168" t="str">
        <f t="shared" si="368"/>
        <v/>
      </c>
      <c r="AA1844" s="168" t="str">
        <f>IFERROR(Z1844/_xlfn.XLOOKUP(_xlfn.XLOOKUP($F1844,Clientes!$B$4:$B$39,Clientes!$C$4:$C$39),Cadastros!$L$6:$L$12,Cadastros!$M$6:$M$12)," ")</f>
        <v xml:space="preserve"> </v>
      </c>
      <c r="AB1844" s="28"/>
      <c r="AC1844" s="28"/>
      <c r="AD1844" s="20" t="str">
        <f>IF(AB1844="","",IF($F1844="Bernardino Furlan",_xlfn.XLOOKUP(AB1844,Cadastros!$G$6:$G$90,Cadastros!$H$6:$H$90)*(1-0.18),IF($F1844="Mauro José Salanti",_xlfn.XLOOKUP(AB1844,Cadastros!$G$6:$G$90,Cadastros!$H$6:$H$90)*(1-0.18),_xlfn.XLOOKUP(AB1844,Cadastros!$G$6:$G$90,Cadastros!$H$6:$H$90))))</f>
        <v/>
      </c>
      <c r="AE1844" s="168" t="str">
        <f t="shared" si="369"/>
        <v/>
      </c>
      <c r="AF1844" s="168" t="str">
        <f t="shared" si="370"/>
        <v/>
      </c>
      <c r="AG1844" s="28"/>
      <c r="AH1844" s="28"/>
      <c r="AI1844" s="20" t="str">
        <f>IF(AG1844="","",IF($F1844="Bernardino Furlan",_xlfn.XLOOKUP(AG1844,Cadastros!$G$6:$G$90,Cadastros!$H$6:$H$90)*(1-0.18),IF($F1844="Mauro José Salanti",_xlfn.XLOOKUP(AG1844,Cadastros!$G$6:$G$90,Cadastros!$H$6:$H$90)*(1-0.18),_xlfn.XLOOKUP(AG1844,Cadastros!$G$6:$G$90,Cadastros!$H$6:$H$90))))</f>
        <v/>
      </c>
      <c r="AJ1844" s="168" t="str">
        <f t="shared" si="371"/>
        <v/>
      </c>
      <c r="AK1844" s="168" t="str">
        <f t="shared" si="372"/>
        <v/>
      </c>
      <c r="AL1844" s="28"/>
      <c r="AM1844" s="28"/>
      <c r="AN1844" s="20" t="str">
        <f>IF(AL1844="","",IF($F1844="Bernardino Furlan",_xlfn.XLOOKUP(AL1844,Cadastros!$G$6:$G$90,Cadastros!$H$6:$H$90)*(1-0.18),IF($F1844="Mauro José Salanti",_xlfn.XLOOKUP(AL1844,Cadastros!$G$6:$G$90,Cadastros!$H$6:$H$90)*(1-0.18),_xlfn.XLOOKUP(AL1844,Cadastros!$G$6:$G$90,Cadastros!$H$6:$H$90))))</f>
        <v/>
      </c>
      <c r="AO1844" s="168" t="str">
        <f t="shared" si="373"/>
        <v/>
      </c>
      <c r="AP1844" s="168" t="str">
        <f t="shared" si="374"/>
        <v/>
      </c>
      <c r="AQ1844" s="28"/>
      <c r="AR1844" s="28"/>
      <c r="AS1844" s="20" t="str">
        <f>IF(AQ1844="","",IF($F1844="Bernardino Furlan",_xlfn.XLOOKUP(AQ1844,Cadastros!$G$6:$G$90,Cadastros!$H$6:$H$90)*(1-0.18),IF($F1844="Mauro José Salanti",_xlfn.XLOOKUP(AQ1844,Cadastros!$G$6:$G$90,Cadastros!$H$6:$H$90)*(1-0.18),_xlfn.XLOOKUP(AQ1844,Cadastros!$G$6:$G$90,Cadastros!$H$6:$H$90))))</f>
        <v/>
      </c>
      <c r="AT1844" s="168" t="str">
        <f t="shared" si="375"/>
        <v/>
      </c>
      <c r="AU1844" s="168" t="str">
        <f t="shared" si="376"/>
        <v/>
      </c>
      <c r="AV1844" s="227"/>
      <c r="AW1844" s="30"/>
      <c r="AX1844" s="267"/>
      <c r="AY1844" s="267"/>
      <c r="AZ1844" s="29"/>
      <c r="BA1844" s="30"/>
      <c r="BB1844" s="23" t="str" cm="1">
        <f t="array" ref="BB1844">_xlfn.IFS(AW1844="SIM",SUM(K1844,P1844,U1844,Z1844,AE1844,AJ1844,AO1844,AT1844,AX1844,AY1844),F1844&lt;&gt;"",SUM(K1844,P1844,U1844,Z1844,AE1844,AJ1844,,AO1844,AT1844),F1844="","")</f>
        <v/>
      </c>
      <c r="BC1844" s="211" t="str" cm="1">
        <f t="array" ref="BC1844">_xlfn.IFS(E1844="","",G1844&lt;=E1844,BB1844*(1-0.03),G1844&lt;(E1844+8),BB1844,AZ1844="Boleto",BB1844*(1+0.001)^DATEDIF(E1844,G1844,"D"),AZ1844="Cheque",BB1844,AZ1844="Dinheiro","Alterar forma pgto")</f>
        <v/>
      </c>
      <c r="BD1844" s="276" t="str" cm="1">
        <f t="array" ref="BD1844">IF(F1844=0," ",IF(BC1844&lt;BB1844,(_xlfn.IFS(AW1844="SIM",SUM(L1844,Q1844,V1844,AA1844,AF1844,AK1844,AP1844,AU1844)+AX1844/_xlfn.XLOOKUP(_xlfn.XLOOKUP($F1844,Clientes!$B$4:$B$39,Clientes!$C$4:$C$39),Cadastros!$L$6:$L$12,Cadastros!$M$6:$M$12)+IF($F1844="Bernardino Furlan",AY1844/2751.92,IF($F1844="Mauro José Salanti",AY1844/2751.92,AY1844/3356)),F1844&lt;&gt;0,SUM(L1844,Q1844,V1844,AA1844,AF1844,AK1844,AP1844,AU1844)))*(1-0.03),_xlfn.IFS(AW1844="SIM",SUM(L1844,Q1844,V1844,AA1844,AF1844,AK1844,AP1844,AU1844)+AX1844/_xlfn.XLOOKUP(_xlfn.XLOOKUP($F1844,Clientes!$B$4:$B$39,Clientes!$C$4:$C$39),Cadastros!$L$6:$L$12,Cadastros!$M$6:$M$12)+IF($F1844="Bernardino Furlan",AY1844/2751.92,IF($F1844="Mauro José Salanti",AY1844/2751.92,AY1844/3356)),F1844&lt;&gt;0,SUM(L1844,Q1844,V1844,AA1844,AF1844,AK1844,AP1844,AU1844))))</f>
        <v xml:space="preserve"> </v>
      </c>
      <c r="BE1844" s="120"/>
      <c r="BF1844" s="120"/>
      <c r="BG1844" s="120"/>
    </row>
    <row r="1845" spans="1:59" s="3" customFormat="1" x14ac:dyDescent="0.3">
      <c r="A1845" s="15" t="str">
        <f t="shared" si="364"/>
        <v/>
      </c>
      <c r="B1845" s="25"/>
      <c r="C1845" s="26"/>
      <c r="D1845" s="279"/>
      <c r="E1845" s="27"/>
      <c r="F1845" s="28"/>
      <c r="G1845" s="27"/>
      <c r="H1845" s="28"/>
      <c r="I1845" s="28"/>
      <c r="J1845" s="255" t="str">
        <f>IF(H1845="","",(_xlfn.XLOOKUP(H1845,Cadastros!$D$6:$D$90,Cadastros!$E$6:$E$90))*(1-_xlfn.XLOOKUP(_xlfn.XLOOKUP($F1845,Clientes!$B$4:$B$39,Clientes!$C$4:$C$39),Cadastros!$L$6:$L$12,Cadastros!$N$6:$N$12)))</f>
        <v/>
      </c>
      <c r="K1845" s="168" t="str">
        <f t="shared" si="365"/>
        <v/>
      </c>
      <c r="L1845" s="168" t="str">
        <f>IFERROR(K1845/_xlfn.XLOOKUP(_xlfn.XLOOKUP($F1845,Clientes!$B$4:$B$39,Clientes!$C$4:$C$39),Cadastros!$L$6:$L$12,Cadastros!$M$6:$M$12)," ")</f>
        <v xml:space="preserve"> </v>
      </c>
      <c r="M1845" s="28"/>
      <c r="N1845" s="28"/>
      <c r="O1845" s="255" t="str">
        <f>IF(M1845="","",(_xlfn.XLOOKUP(M1845,Cadastros!$D$6:$D$90,Cadastros!$E$6:$E$90))*(1-_xlfn.XLOOKUP(_xlfn.XLOOKUP($F1845,Clientes!$B$4:$B$39,Clientes!$C$4:$C$39),Cadastros!$L$6:$L$12,Cadastros!$N$6:$N$12)))</f>
        <v/>
      </c>
      <c r="P1845" s="168" t="str">
        <f t="shared" si="366"/>
        <v/>
      </c>
      <c r="Q1845" s="168" t="str">
        <f>IFERROR(P1845/_xlfn.XLOOKUP(_xlfn.XLOOKUP($F1845,Clientes!$B$4:$B$39,Clientes!$C$4:$C$39),Cadastros!$L$6:$L$12,Cadastros!$M$6:$M$12)," ")</f>
        <v xml:space="preserve"> </v>
      </c>
      <c r="R1845" s="28"/>
      <c r="S1845" s="28"/>
      <c r="T1845" s="255" t="str">
        <f>IF(R1845="","",(_xlfn.XLOOKUP(R1845,Cadastros!$D$6:$D$90,Cadastros!$E$6:$E$90))*(1-_xlfn.XLOOKUP(_xlfn.XLOOKUP($F1845,Clientes!$B$4:$B$39,Clientes!$C$4:$C$39),Cadastros!$L$6:$L$12,Cadastros!$N$6:$N$12)))</f>
        <v/>
      </c>
      <c r="U1845" s="168" t="str">
        <f t="shared" si="367"/>
        <v/>
      </c>
      <c r="V1845" s="168" t="str">
        <f>IFERROR(U1845/_xlfn.XLOOKUP(_xlfn.XLOOKUP($F1845,Clientes!$B$4:$B$39,Clientes!$C$4:$C$39),Cadastros!$L$6:$L$12,Cadastros!$M$6:$M$12)," ")</f>
        <v xml:space="preserve"> </v>
      </c>
      <c r="W1845" s="28"/>
      <c r="X1845" s="28"/>
      <c r="Y1845" s="255" t="str">
        <f>IF(W1845="","",(_xlfn.XLOOKUP(W1845,Cadastros!$D$6:$D$90,Cadastros!$E$6:$E$90))*(1-_xlfn.XLOOKUP(_xlfn.XLOOKUP($F1845,Clientes!$B$4:$B$39,Clientes!$C$4:$C$39),Cadastros!$L$6:$L$12,Cadastros!$N$6:$N$12)))</f>
        <v/>
      </c>
      <c r="Z1845" s="168" t="str">
        <f t="shared" si="368"/>
        <v/>
      </c>
      <c r="AA1845" s="168" t="str">
        <f>IFERROR(Z1845/_xlfn.XLOOKUP(_xlfn.XLOOKUP($F1845,Clientes!$B$4:$B$39,Clientes!$C$4:$C$39),Cadastros!$L$6:$L$12,Cadastros!$M$6:$M$12)," ")</f>
        <v xml:space="preserve"> </v>
      </c>
      <c r="AB1845" s="28"/>
      <c r="AC1845" s="28"/>
      <c r="AD1845" s="20" t="str">
        <f>IF(AB1845="","",IF($F1845="Bernardino Furlan",_xlfn.XLOOKUP(AB1845,Cadastros!$G$6:$G$90,Cadastros!$H$6:$H$90)*(1-0.18),IF($F1845="Mauro José Salanti",_xlfn.XLOOKUP(AB1845,Cadastros!$G$6:$G$90,Cadastros!$H$6:$H$90)*(1-0.18),_xlfn.XLOOKUP(AB1845,Cadastros!$G$6:$G$90,Cadastros!$H$6:$H$90))))</f>
        <v/>
      </c>
      <c r="AE1845" s="168" t="str">
        <f t="shared" si="369"/>
        <v/>
      </c>
      <c r="AF1845" s="168" t="str">
        <f t="shared" si="370"/>
        <v/>
      </c>
      <c r="AG1845" s="28"/>
      <c r="AH1845" s="28"/>
      <c r="AI1845" s="20" t="str">
        <f>IF(AG1845="","",IF($F1845="Bernardino Furlan",_xlfn.XLOOKUP(AG1845,Cadastros!$G$6:$G$90,Cadastros!$H$6:$H$90)*(1-0.18),IF($F1845="Mauro José Salanti",_xlfn.XLOOKUP(AG1845,Cadastros!$G$6:$G$90,Cadastros!$H$6:$H$90)*(1-0.18),_xlfn.XLOOKUP(AG1845,Cadastros!$G$6:$G$90,Cadastros!$H$6:$H$90))))</f>
        <v/>
      </c>
      <c r="AJ1845" s="168" t="str">
        <f t="shared" si="371"/>
        <v/>
      </c>
      <c r="AK1845" s="168" t="str">
        <f t="shared" si="372"/>
        <v/>
      </c>
      <c r="AL1845" s="28"/>
      <c r="AM1845" s="28"/>
      <c r="AN1845" s="20" t="str">
        <f>IF(AL1845="","",IF($F1845="Bernardino Furlan",_xlfn.XLOOKUP(AL1845,Cadastros!$G$6:$G$90,Cadastros!$H$6:$H$90)*(1-0.18),IF($F1845="Mauro José Salanti",_xlfn.XLOOKUP(AL1845,Cadastros!$G$6:$G$90,Cadastros!$H$6:$H$90)*(1-0.18),_xlfn.XLOOKUP(AL1845,Cadastros!$G$6:$G$90,Cadastros!$H$6:$H$90))))</f>
        <v/>
      </c>
      <c r="AO1845" s="168" t="str">
        <f t="shared" si="373"/>
        <v/>
      </c>
      <c r="AP1845" s="168" t="str">
        <f t="shared" si="374"/>
        <v/>
      </c>
      <c r="AQ1845" s="28"/>
      <c r="AR1845" s="28"/>
      <c r="AS1845" s="20" t="str">
        <f>IF(AQ1845="","",IF($F1845="Bernardino Furlan",_xlfn.XLOOKUP(AQ1845,Cadastros!$G$6:$G$90,Cadastros!$H$6:$H$90)*(1-0.18),IF($F1845="Mauro José Salanti",_xlfn.XLOOKUP(AQ1845,Cadastros!$G$6:$G$90,Cadastros!$H$6:$H$90)*(1-0.18),_xlfn.XLOOKUP(AQ1845,Cadastros!$G$6:$G$90,Cadastros!$H$6:$H$90))))</f>
        <v/>
      </c>
      <c r="AT1845" s="168" t="str">
        <f t="shared" si="375"/>
        <v/>
      </c>
      <c r="AU1845" s="168" t="str">
        <f t="shared" si="376"/>
        <v/>
      </c>
      <c r="AV1845" s="227"/>
      <c r="AW1845" s="30"/>
      <c r="AX1845" s="267"/>
      <c r="AY1845" s="267"/>
      <c r="AZ1845" s="29"/>
      <c r="BA1845" s="30"/>
      <c r="BB1845" s="23" t="str" cm="1">
        <f t="array" ref="BB1845">_xlfn.IFS(AW1845="SIM",SUM(K1845,P1845,U1845,Z1845,AE1845,AJ1845,AO1845,AT1845,AX1845,AY1845),F1845&lt;&gt;"",SUM(K1845,P1845,U1845,Z1845,AE1845,AJ1845,,AO1845,AT1845),F1845="","")</f>
        <v/>
      </c>
      <c r="BC1845" s="211" t="str" cm="1">
        <f t="array" ref="BC1845">_xlfn.IFS(E1845="","",G1845&lt;=E1845,BB1845*(1-0.03),G1845&lt;(E1845+8),BB1845,AZ1845="Boleto",BB1845*(1+0.001)^DATEDIF(E1845,G1845,"D"),AZ1845="Cheque",BB1845,AZ1845="Dinheiro","Alterar forma pgto")</f>
        <v/>
      </c>
      <c r="BD1845" s="276" t="str" cm="1">
        <f t="array" ref="BD1845">IF(F1845=0," ",IF(BC1845&lt;BB1845,(_xlfn.IFS(AW1845="SIM",SUM(L1845,Q1845,V1845,AA1845,AF1845,AK1845,AP1845,AU1845)+AX1845/_xlfn.XLOOKUP(_xlfn.XLOOKUP($F1845,Clientes!$B$4:$B$39,Clientes!$C$4:$C$39),Cadastros!$L$6:$L$12,Cadastros!$M$6:$M$12)+IF($F1845="Bernardino Furlan",AY1845/2751.92,IF($F1845="Mauro José Salanti",AY1845/2751.92,AY1845/3356)),F1845&lt;&gt;0,SUM(L1845,Q1845,V1845,AA1845,AF1845,AK1845,AP1845,AU1845)))*(1-0.03),_xlfn.IFS(AW1845="SIM",SUM(L1845,Q1845,V1845,AA1845,AF1845,AK1845,AP1845,AU1845)+AX1845/_xlfn.XLOOKUP(_xlfn.XLOOKUP($F1845,Clientes!$B$4:$B$39,Clientes!$C$4:$C$39),Cadastros!$L$6:$L$12,Cadastros!$M$6:$M$12)+IF($F1845="Bernardino Furlan",AY1845/2751.92,IF($F1845="Mauro José Salanti",AY1845/2751.92,AY1845/3356)),F1845&lt;&gt;0,SUM(L1845,Q1845,V1845,AA1845,AF1845,AK1845,AP1845,AU1845))))</f>
        <v xml:space="preserve"> </v>
      </c>
      <c r="BE1845" s="120"/>
      <c r="BF1845" s="120"/>
      <c r="BG1845" s="120"/>
    </row>
    <row r="1846" spans="1:59" s="3" customFormat="1" x14ac:dyDescent="0.3">
      <c r="A1846" s="15" t="str">
        <f t="shared" si="364"/>
        <v/>
      </c>
      <c r="B1846" s="25"/>
      <c r="C1846" s="26"/>
      <c r="D1846" s="279"/>
      <c r="E1846" s="27"/>
      <c r="F1846" s="28"/>
      <c r="G1846" s="27"/>
      <c r="H1846" s="28"/>
      <c r="I1846" s="28"/>
      <c r="J1846" s="255" t="str">
        <f>IF(H1846="","",(_xlfn.XLOOKUP(H1846,Cadastros!$D$6:$D$90,Cadastros!$E$6:$E$90))*(1-_xlfn.XLOOKUP(_xlfn.XLOOKUP($F1846,Clientes!$B$4:$B$39,Clientes!$C$4:$C$39),Cadastros!$L$6:$L$12,Cadastros!$N$6:$N$12)))</f>
        <v/>
      </c>
      <c r="K1846" s="168" t="str">
        <f t="shared" si="365"/>
        <v/>
      </c>
      <c r="L1846" s="168" t="str">
        <f>IFERROR(K1846/_xlfn.XLOOKUP(_xlfn.XLOOKUP($F1846,Clientes!$B$4:$B$39,Clientes!$C$4:$C$39),Cadastros!$L$6:$L$12,Cadastros!$M$6:$M$12)," ")</f>
        <v xml:space="preserve"> </v>
      </c>
      <c r="M1846" s="28"/>
      <c r="N1846" s="28"/>
      <c r="O1846" s="255" t="str">
        <f>IF(M1846="","",(_xlfn.XLOOKUP(M1846,Cadastros!$D$6:$D$90,Cadastros!$E$6:$E$90))*(1-_xlfn.XLOOKUP(_xlfn.XLOOKUP($F1846,Clientes!$B$4:$B$39,Clientes!$C$4:$C$39),Cadastros!$L$6:$L$12,Cadastros!$N$6:$N$12)))</f>
        <v/>
      </c>
      <c r="P1846" s="168" t="str">
        <f t="shared" si="366"/>
        <v/>
      </c>
      <c r="Q1846" s="168" t="str">
        <f>IFERROR(P1846/_xlfn.XLOOKUP(_xlfn.XLOOKUP($F1846,Clientes!$B$4:$B$39,Clientes!$C$4:$C$39),Cadastros!$L$6:$L$12,Cadastros!$M$6:$M$12)," ")</f>
        <v xml:space="preserve"> </v>
      </c>
      <c r="R1846" s="28"/>
      <c r="S1846" s="28"/>
      <c r="T1846" s="255" t="str">
        <f>IF(R1846="","",(_xlfn.XLOOKUP(R1846,Cadastros!$D$6:$D$90,Cadastros!$E$6:$E$90))*(1-_xlfn.XLOOKUP(_xlfn.XLOOKUP($F1846,Clientes!$B$4:$B$39,Clientes!$C$4:$C$39),Cadastros!$L$6:$L$12,Cadastros!$N$6:$N$12)))</f>
        <v/>
      </c>
      <c r="U1846" s="168" t="str">
        <f t="shared" si="367"/>
        <v/>
      </c>
      <c r="V1846" s="168" t="str">
        <f>IFERROR(U1846/_xlfn.XLOOKUP(_xlfn.XLOOKUP($F1846,Clientes!$B$4:$B$39,Clientes!$C$4:$C$39),Cadastros!$L$6:$L$12,Cadastros!$M$6:$M$12)," ")</f>
        <v xml:space="preserve"> </v>
      </c>
      <c r="W1846" s="28"/>
      <c r="X1846" s="28"/>
      <c r="Y1846" s="255" t="str">
        <f>IF(W1846="","",(_xlfn.XLOOKUP(W1846,Cadastros!$D$6:$D$90,Cadastros!$E$6:$E$90))*(1-_xlfn.XLOOKUP(_xlfn.XLOOKUP($F1846,Clientes!$B$4:$B$39,Clientes!$C$4:$C$39),Cadastros!$L$6:$L$12,Cadastros!$N$6:$N$12)))</f>
        <v/>
      </c>
      <c r="Z1846" s="168" t="str">
        <f t="shared" si="368"/>
        <v/>
      </c>
      <c r="AA1846" s="168" t="str">
        <f>IFERROR(Z1846/_xlfn.XLOOKUP(_xlfn.XLOOKUP($F1846,Clientes!$B$4:$B$39,Clientes!$C$4:$C$39),Cadastros!$L$6:$L$12,Cadastros!$M$6:$M$12)," ")</f>
        <v xml:space="preserve"> </v>
      </c>
      <c r="AB1846" s="28"/>
      <c r="AC1846" s="28"/>
      <c r="AD1846" s="20" t="str">
        <f>IF(AB1846="","",IF($F1846="Bernardino Furlan",_xlfn.XLOOKUP(AB1846,Cadastros!$G$6:$G$90,Cadastros!$H$6:$H$90)*(1-0.18),IF($F1846="Mauro José Salanti",_xlfn.XLOOKUP(AB1846,Cadastros!$G$6:$G$90,Cadastros!$H$6:$H$90)*(1-0.18),_xlfn.XLOOKUP(AB1846,Cadastros!$G$6:$G$90,Cadastros!$H$6:$H$90))))</f>
        <v/>
      </c>
      <c r="AE1846" s="168" t="str">
        <f t="shared" si="369"/>
        <v/>
      </c>
      <c r="AF1846" s="168" t="str">
        <f t="shared" si="370"/>
        <v/>
      </c>
      <c r="AG1846" s="28"/>
      <c r="AH1846" s="28"/>
      <c r="AI1846" s="20" t="str">
        <f>IF(AG1846="","",IF($F1846="Bernardino Furlan",_xlfn.XLOOKUP(AG1846,Cadastros!$G$6:$G$90,Cadastros!$H$6:$H$90)*(1-0.18),IF($F1846="Mauro José Salanti",_xlfn.XLOOKUP(AG1846,Cadastros!$G$6:$G$90,Cadastros!$H$6:$H$90)*(1-0.18),_xlfn.XLOOKUP(AG1846,Cadastros!$G$6:$G$90,Cadastros!$H$6:$H$90))))</f>
        <v/>
      </c>
      <c r="AJ1846" s="168" t="str">
        <f t="shared" si="371"/>
        <v/>
      </c>
      <c r="AK1846" s="168" t="str">
        <f t="shared" si="372"/>
        <v/>
      </c>
      <c r="AL1846" s="28"/>
      <c r="AM1846" s="28"/>
      <c r="AN1846" s="20" t="str">
        <f>IF(AL1846="","",IF($F1846="Bernardino Furlan",_xlfn.XLOOKUP(AL1846,Cadastros!$G$6:$G$90,Cadastros!$H$6:$H$90)*(1-0.18),IF($F1846="Mauro José Salanti",_xlfn.XLOOKUP(AL1846,Cadastros!$G$6:$G$90,Cadastros!$H$6:$H$90)*(1-0.18),_xlfn.XLOOKUP(AL1846,Cadastros!$G$6:$G$90,Cadastros!$H$6:$H$90))))</f>
        <v/>
      </c>
      <c r="AO1846" s="168" t="str">
        <f t="shared" si="373"/>
        <v/>
      </c>
      <c r="AP1846" s="168" t="str">
        <f t="shared" si="374"/>
        <v/>
      </c>
      <c r="AQ1846" s="28"/>
      <c r="AR1846" s="28"/>
      <c r="AS1846" s="20" t="str">
        <f>IF(AQ1846="","",IF($F1846="Bernardino Furlan",_xlfn.XLOOKUP(AQ1846,Cadastros!$G$6:$G$90,Cadastros!$H$6:$H$90)*(1-0.18),IF($F1846="Mauro José Salanti",_xlfn.XLOOKUP(AQ1846,Cadastros!$G$6:$G$90,Cadastros!$H$6:$H$90)*(1-0.18),_xlfn.XLOOKUP(AQ1846,Cadastros!$G$6:$G$90,Cadastros!$H$6:$H$90))))</f>
        <v/>
      </c>
      <c r="AT1846" s="168" t="str">
        <f t="shared" si="375"/>
        <v/>
      </c>
      <c r="AU1846" s="168" t="str">
        <f t="shared" si="376"/>
        <v/>
      </c>
      <c r="AV1846" s="227"/>
      <c r="AW1846" s="30"/>
      <c r="AX1846" s="267"/>
      <c r="AY1846" s="267"/>
      <c r="AZ1846" s="29"/>
      <c r="BA1846" s="30"/>
      <c r="BB1846" s="23" t="str" cm="1">
        <f t="array" ref="BB1846">_xlfn.IFS(AW1846="SIM",SUM(K1846,P1846,U1846,Z1846,AE1846,AJ1846,AO1846,AT1846,AX1846,AY1846),F1846&lt;&gt;"",SUM(K1846,P1846,U1846,Z1846,AE1846,AJ1846,,AO1846,AT1846),F1846="","")</f>
        <v/>
      </c>
      <c r="BC1846" s="211" t="str" cm="1">
        <f t="array" ref="BC1846">_xlfn.IFS(E1846="","",G1846&lt;=E1846,BB1846*(1-0.03),G1846&lt;(E1846+8),BB1846,AZ1846="Boleto",BB1846*(1+0.001)^DATEDIF(E1846,G1846,"D"),AZ1846="Cheque",BB1846,AZ1846="Dinheiro","Alterar forma pgto")</f>
        <v/>
      </c>
      <c r="BD1846" s="276" t="str" cm="1">
        <f t="array" ref="BD1846">IF(F1846=0," ",IF(BC1846&lt;BB1846,(_xlfn.IFS(AW1846="SIM",SUM(L1846,Q1846,V1846,AA1846,AF1846,AK1846,AP1846,AU1846)+AX1846/_xlfn.XLOOKUP(_xlfn.XLOOKUP($F1846,Clientes!$B$4:$B$39,Clientes!$C$4:$C$39),Cadastros!$L$6:$L$12,Cadastros!$M$6:$M$12)+IF($F1846="Bernardino Furlan",AY1846/2751.92,IF($F1846="Mauro José Salanti",AY1846/2751.92,AY1846/3356)),F1846&lt;&gt;0,SUM(L1846,Q1846,V1846,AA1846,AF1846,AK1846,AP1846,AU1846)))*(1-0.03),_xlfn.IFS(AW1846="SIM",SUM(L1846,Q1846,V1846,AA1846,AF1846,AK1846,AP1846,AU1846)+AX1846/_xlfn.XLOOKUP(_xlfn.XLOOKUP($F1846,Clientes!$B$4:$B$39,Clientes!$C$4:$C$39),Cadastros!$L$6:$L$12,Cadastros!$M$6:$M$12)+IF($F1846="Bernardino Furlan",AY1846/2751.92,IF($F1846="Mauro José Salanti",AY1846/2751.92,AY1846/3356)),F1846&lt;&gt;0,SUM(L1846,Q1846,V1846,AA1846,AF1846,AK1846,AP1846,AU1846))))</f>
        <v xml:space="preserve"> </v>
      </c>
      <c r="BE1846" s="120"/>
      <c r="BF1846" s="120"/>
      <c r="BG1846" s="120"/>
    </row>
    <row r="1847" spans="1:59" s="3" customFormat="1" x14ac:dyDescent="0.3">
      <c r="A1847" s="15" t="str">
        <f t="shared" si="364"/>
        <v/>
      </c>
      <c r="B1847" s="25"/>
      <c r="C1847" s="26"/>
      <c r="D1847" s="279"/>
      <c r="E1847" s="27"/>
      <c r="F1847" s="28"/>
      <c r="G1847" s="27"/>
      <c r="H1847" s="28"/>
      <c r="I1847" s="28"/>
      <c r="J1847" s="255" t="str">
        <f>IF(H1847="","",(_xlfn.XLOOKUP(H1847,Cadastros!$D$6:$D$90,Cadastros!$E$6:$E$90))*(1-_xlfn.XLOOKUP(_xlfn.XLOOKUP($F1847,Clientes!$B$4:$B$39,Clientes!$C$4:$C$39),Cadastros!$L$6:$L$12,Cadastros!$N$6:$N$12)))</f>
        <v/>
      </c>
      <c r="K1847" s="168" t="str">
        <f t="shared" si="365"/>
        <v/>
      </c>
      <c r="L1847" s="168" t="str">
        <f>IFERROR(K1847/_xlfn.XLOOKUP(_xlfn.XLOOKUP($F1847,Clientes!$B$4:$B$39,Clientes!$C$4:$C$39),Cadastros!$L$6:$L$12,Cadastros!$M$6:$M$12)," ")</f>
        <v xml:space="preserve"> </v>
      </c>
      <c r="M1847" s="28"/>
      <c r="N1847" s="28"/>
      <c r="O1847" s="255" t="str">
        <f>IF(M1847="","",(_xlfn.XLOOKUP(M1847,Cadastros!$D$6:$D$90,Cadastros!$E$6:$E$90))*(1-_xlfn.XLOOKUP(_xlfn.XLOOKUP($F1847,Clientes!$B$4:$B$39,Clientes!$C$4:$C$39),Cadastros!$L$6:$L$12,Cadastros!$N$6:$N$12)))</f>
        <v/>
      </c>
      <c r="P1847" s="168" t="str">
        <f t="shared" si="366"/>
        <v/>
      </c>
      <c r="Q1847" s="168" t="str">
        <f>IFERROR(P1847/_xlfn.XLOOKUP(_xlfn.XLOOKUP($F1847,Clientes!$B$4:$B$39,Clientes!$C$4:$C$39),Cadastros!$L$6:$L$12,Cadastros!$M$6:$M$12)," ")</f>
        <v xml:space="preserve"> </v>
      </c>
      <c r="R1847" s="28"/>
      <c r="S1847" s="28"/>
      <c r="T1847" s="255" t="str">
        <f>IF(R1847="","",(_xlfn.XLOOKUP(R1847,Cadastros!$D$6:$D$90,Cadastros!$E$6:$E$90))*(1-_xlfn.XLOOKUP(_xlfn.XLOOKUP($F1847,Clientes!$B$4:$B$39,Clientes!$C$4:$C$39),Cadastros!$L$6:$L$12,Cadastros!$N$6:$N$12)))</f>
        <v/>
      </c>
      <c r="U1847" s="168" t="str">
        <f t="shared" si="367"/>
        <v/>
      </c>
      <c r="V1847" s="168" t="str">
        <f>IFERROR(U1847/_xlfn.XLOOKUP(_xlfn.XLOOKUP($F1847,Clientes!$B$4:$B$39,Clientes!$C$4:$C$39),Cadastros!$L$6:$L$12,Cadastros!$M$6:$M$12)," ")</f>
        <v xml:space="preserve"> </v>
      </c>
      <c r="W1847" s="28"/>
      <c r="X1847" s="28"/>
      <c r="Y1847" s="255" t="str">
        <f>IF(W1847="","",(_xlfn.XLOOKUP(W1847,Cadastros!$D$6:$D$90,Cadastros!$E$6:$E$90))*(1-_xlfn.XLOOKUP(_xlfn.XLOOKUP($F1847,Clientes!$B$4:$B$39,Clientes!$C$4:$C$39),Cadastros!$L$6:$L$12,Cadastros!$N$6:$N$12)))</f>
        <v/>
      </c>
      <c r="Z1847" s="168" t="str">
        <f t="shared" si="368"/>
        <v/>
      </c>
      <c r="AA1847" s="168" t="str">
        <f>IFERROR(Z1847/_xlfn.XLOOKUP(_xlfn.XLOOKUP($F1847,Clientes!$B$4:$B$39,Clientes!$C$4:$C$39),Cadastros!$L$6:$L$12,Cadastros!$M$6:$M$12)," ")</f>
        <v xml:space="preserve"> </v>
      </c>
      <c r="AB1847" s="28"/>
      <c r="AC1847" s="28"/>
      <c r="AD1847" s="20" t="str">
        <f>IF(AB1847="","",IF($F1847="Bernardino Furlan",_xlfn.XLOOKUP(AB1847,Cadastros!$G$6:$G$90,Cadastros!$H$6:$H$90)*(1-0.18),IF($F1847="Mauro José Salanti",_xlfn.XLOOKUP(AB1847,Cadastros!$G$6:$G$90,Cadastros!$H$6:$H$90)*(1-0.18),_xlfn.XLOOKUP(AB1847,Cadastros!$G$6:$G$90,Cadastros!$H$6:$H$90))))</f>
        <v/>
      </c>
      <c r="AE1847" s="168" t="str">
        <f t="shared" si="369"/>
        <v/>
      </c>
      <c r="AF1847" s="168" t="str">
        <f t="shared" si="370"/>
        <v/>
      </c>
      <c r="AG1847" s="28"/>
      <c r="AH1847" s="28"/>
      <c r="AI1847" s="20" t="str">
        <f>IF(AG1847="","",IF($F1847="Bernardino Furlan",_xlfn.XLOOKUP(AG1847,Cadastros!$G$6:$G$90,Cadastros!$H$6:$H$90)*(1-0.18),IF($F1847="Mauro José Salanti",_xlfn.XLOOKUP(AG1847,Cadastros!$G$6:$G$90,Cadastros!$H$6:$H$90)*(1-0.18),_xlfn.XLOOKUP(AG1847,Cadastros!$G$6:$G$90,Cadastros!$H$6:$H$90))))</f>
        <v/>
      </c>
      <c r="AJ1847" s="168" t="str">
        <f t="shared" si="371"/>
        <v/>
      </c>
      <c r="AK1847" s="168" t="str">
        <f t="shared" si="372"/>
        <v/>
      </c>
      <c r="AL1847" s="28"/>
      <c r="AM1847" s="28"/>
      <c r="AN1847" s="20" t="str">
        <f>IF(AL1847="","",IF($F1847="Bernardino Furlan",_xlfn.XLOOKUP(AL1847,Cadastros!$G$6:$G$90,Cadastros!$H$6:$H$90)*(1-0.18),IF($F1847="Mauro José Salanti",_xlfn.XLOOKUP(AL1847,Cadastros!$G$6:$G$90,Cadastros!$H$6:$H$90)*(1-0.18),_xlfn.XLOOKUP(AL1847,Cadastros!$G$6:$G$90,Cadastros!$H$6:$H$90))))</f>
        <v/>
      </c>
      <c r="AO1847" s="168" t="str">
        <f t="shared" si="373"/>
        <v/>
      </c>
      <c r="AP1847" s="168" t="str">
        <f t="shared" si="374"/>
        <v/>
      </c>
      <c r="AQ1847" s="28"/>
      <c r="AR1847" s="28"/>
      <c r="AS1847" s="20" t="str">
        <f>IF(AQ1847="","",IF($F1847="Bernardino Furlan",_xlfn.XLOOKUP(AQ1847,Cadastros!$G$6:$G$90,Cadastros!$H$6:$H$90)*(1-0.18),IF($F1847="Mauro José Salanti",_xlfn.XLOOKUP(AQ1847,Cadastros!$G$6:$G$90,Cadastros!$H$6:$H$90)*(1-0.18),_xlfn.XLOOKUP(AQ1847,Cadastros!$G$6:$G$90,Cadastros!$H$6:$H$90))))</f>
        <v/>
      </c>
      <c r="AT1847" s="168" t="str">
        <f t="shared" si="375"/>
        <v/>
      </c>
      <c r="AU1847" s="168" t="str">
        <f t="shared" si="376"/>
        <v/>
      </c>
      <c r="AV1847" s="227"/>
      <c r="AW1847" s="30"/>
      <c r="AX1847" s="267"/>
      <c r="AY1847" s="267"/>
      <c r="AZ1847" s="29"/>
      <c r="BA1847" s="30"/>
      <c r="BB1847" s="23" t="str" cm="1">
        <f t="array" ref="BB1847">_xlfn.IFS(AW1847="SIM",SUM(K1847,P1847,U1847,Z1847,AE1847,AJ1847,AO1847,AT1847,AX1847,AY1847),F1847&lt;&gt;"",SUM(K1847,P1847,U1847,Z1847,AE1847,AJ1847,,AO1847,AT1847),F1847="","")</f>
        <v/>
      </c>
      <c r="BC1847" s="211" t="str" cm="1">
        <f t="array" ref="BC1847">_xlfn.IFS(E1847="","",G1847&lt;=E1847,BB1847*(1-0.03),G1847&lt;(E1847+8),BB1847,AZ1847="Boleto",BB1847*(1+0.001)^DATEDIF(E1847,G1847,"D"),AZ1847="Cheque",BB1847,AZ1847="Dinheiro","Alterar forma pgto")</f>
        <v/>
      </c>
      <c r="BD1847" s="276" t="str" cm="1">
        <f t="array" ref="BD1847">IF(F1847=0," ",IF(BC1847&lt;BB1847,(_xlfn.IFS(AW1847="SIM",SUM(L1847,Q1847,V1847,AA1847,AF1847,AK1847,AP1847,AU1847)+AX1847/_xlfn.XLOOKUP(_xlfn.XLOOKUP($F1847,Clientes!$B$4:$B$39,Clientes!$C$4:$C$39),Cadastros!$L$6:$L$12,Cadastros!$M$6:$M$12)+IF($F1847="Bernardino Furlan",AY1847/2751.92,IF($F1847="Mauro José Salanti",AY1847/2751.92,AY1847/3356)),F1847&lt;&gt;0,SUM(L1847,Q1847,V1847,AA1847,AF1847,AK1847,AP1847,AU1847)))*(1-0.03),_xlfn.IFS(AW1847="SIM",SUM(L1847,Q1847,V1847,AA1847,AF1847,AK1847,AP1847,AU1847)+AX1847/_xlfn.XLOOKUP(_xlfn.XLOOKUP($F1847,Clientes!$B$4:$B$39,Clientes!$C$4:$C$39),Cadastros!$L$6:$L$12,Cadastros!$M$6:$M$12)+IF($F1847="Bernardino Furlan",AY1847/2751.92,IF($F1847="Mauro José Salanti",AY1847/2751.92,AY1847/3356)),F1847&lt;&gt;0,SUM(L1847,Q1847,V1847,AA1847,AF1847,AK1847,AP1847,AU1847))))</f>
        <v xml:space="preserve"> </v>
      </c>
      <c r="BE1847" s="120"/>
      <c r="BF1847" s="120"/>
      <c r="BG1847" s="120"/>
    </row>
    <row r="1848" spans="1:59" s="3" customFormat="1" x14ac:dyDescent="0.3">
      <c r="A1848" s="15" t="str">
        <f t="shared" si="364"/>
        <v/>
      </c>
      <c r="B1848" s="25"/>
      <c r="C1848" s="26"/>
      <c r="D1848" s="279"/>
      <c r="E1848" s="27"/>
      <c r="F1848" s="28"/>
      <c r="G1848" s="27"/>
      <c r="H1848" s="28"/>
      <c r="I1848" s="28"/>
      <c r="J1848" s="255" t="str">
        <f>IF(H1848="","",(_xlfn.XLOOKUP(H1848,Cadastros!$D$6:$D$90,Cadastros!$E$6:$E$90))*(1-_xlfn.XLOOKUP(_xlfn.XLOOKUP($F1848,Clientes!$B$4:$B$39,Clientes!$C$4:$C$39),Cadastros!$L$6:$L$12,Cadastros!$N$6:$N$12)))</f>
        <v/>
      </c>
      <c r="K1848" s="168" t="str">
        <f t="shared" si="365"/>
        <v/>
      </c>
      <c r="L1848" s="168" t="str">
        <f>IFERROR(K1848/_xlfn.XLOOKUP(_xlfn.XLOOKUP($F1848,Clientes!$B$4:$B$39,Clientes!$C$4:$C$39),Cadastros!$L$6:$L$12,Cadastros!$M$6:$M$12)," ")</f>
        <v xml:space="preserve"> </v>
      </c>
      <c r="M1848" s="28"/>
      <c r="N1848" s="28"/>
      <c r="O1848" s="255" t="str">
        <f>IF(M1848="","",(_xlfn.XLOOKUP(M1848,Cadastros!$D$6:$D$90,Cadastros!$E$6:$E$90))*(1-_xlfn.XLOOKUP(_xlfn.XLOOKUP($F1848,Clientes!$B$4:$B$39,Clientes!$C$4:$C$39),Cadastros!$L$6:$L$12,Cadastros!$N$6:$N$12)))</f>
        <v/>
      </c>
      <c r="P1848" s="168" t="str">
        <f t="shared" si="366"/>
        <v/>
      </c>
      <c r="Q1848" s="168" t="str">
        <f>IFERROR(P1848/_xlfn.XLOOKUP(_xlfn.XLOOKUP($F1848,Clientes!$B$4:$B$39,Clientes!$C$4:$C$39),Cadastros!$L$6:$L$12,Cadastros!$M$6:$M$12)," ")</f>
        <v xml:space="preserve"> </v>
      </c>
      <c r="R1848" s="28"/>
      <c r="S1848" s="28"/>
      <c r="T1848" s="255" t="str">
        <f>IF(R1848="","",(_xlfn.XLOOKUP(R1848,Cadastros!$D$6:$D$90,Cadastros!$E$6:$E$90))*(1-_xlfn.XLOOKUP(_xlfn.XLOOKUP($F1848,Clientes!$B$4:$B$39,Clientes!$C$4:$C$39),Cadastros!$L$6:$L$12,Cadastros!$N$6:$N$12)))</f>
        <v/>
      </c>
      <c r="U1848" s="168" t="str">
        <f t="shared" si="367"/>
        <v/>
      </c>
      <c r="V1848" s="168" t="str">
        <f>IFERROR(U1848/_xlfn.XLOOKUP(_xlfn.XLOOKUP($F1848,Clientes!$B$4:$B$39,Clientes!$C$4:$C$39),Cadastros!$L$6:$L$12,Cadastros!$M$6:$M$12)," ")</f>
        <v xml:space="preserve"> </v>
      </c>
      <c r="W1848" s="28"/>
      <c r="X1848" s="28"/>
      <c r="Y1848" s="255" t="str">
        <f>IF(W1848="","",(_xlfn.XLOOKUP(W1848,Cadastros!$D$6:$D$90,Cadastros!$E$6:$E$90))*(1-_xlfn.XLOOKUP(_xlfn.XLOOKUP($F1848,Clientes!$B$4:$B$39,Clientes!$C$4:$C$39),Cadastros!$L$6:$L$12,Cadastros!$N$6:$N$12)))</f>
        <v/>
      </c>
      <c r="Z1848" s="168" t="str">
        <f t="shared" si="368"/>
        <v/>
      </c>
      <c r="AA1848" s="168" t="str">
        <f>IFERROR(Z1848/_xlfn.XLOOKUP(_xlfn.XLOOKUP($F1848,Clientes!$B$4:$B$39,Clientes!$C$4:$C$39),Cadastros!$L$6:$L$12,Cadastros!$M$6:$M$12)," ")</f>
        <v xml:space="preserve"> </v>
      </c>
      <c r="AB1848" s="28"/>
      <c r="AC1848" s="28"/>
      <c r="AD1848" s="20" t="str">
        <f>IF(AB1848="","",IF($F1848="Bernardino Furlan",_xlfn.XLOOKUP(AB1848,Cadastros!$G$6:$G$90,Cadastros!$H$6:$H$90)*(1-0.18),IF($F1848="Mauro José Salanti",_xlfn.XLOOKUP(AB1848,Cadastros!$G$6:$G$90,Cadastros!$H$6:$H$90)*(1-0.18),_xlfn.XLOOKUP(AB1848,Cadastros!$G$6:$G$90,Cadastros!$H$6:$H$90))))</f>
        <v/>
      </c>
      <c r="AE1848" s="168" t="str">
        <f t="shared" si="369"/>
        <v/>
      </c>
      <c r="AF1848" s="168" t="str">
        <f t="shared" si="370"/>
        <v/>
      </c>
      <c r="AG1848" s="28"/>
      <c r="AH1848" s="28"/>
      <c r="AI1848" s="20" t="str">
        <f>IF(AG1848="","",IF($F1848="Bernardino Furlan",_xlfn.XLOOKUP(AG1848,Cadastros!$G$6:$G$90,Cadastros!$H$6:$H$90)*(1-0.18),IF($F1848="Mauro José Salanti",_xlfn.XLOOKUP(AG1848,Cadastros!$G$6:$G$90,Cadastros!$H$6:$H$90)*(1-0.18),_xlfn.XLOOKUP(AG1848,Cadastros!$G$6:$G$90,Cadastros!$H$6:$H$90))))</f>
        <v/>
      </c>
      <c r="AJ1848" s="168" t="str">
        <f t="shared" si="371"/>
        <v/>
      </c>
      <c r="AK1848" s="168" t="str">
        <f t="shared" si="372"/>
        <v/>
      </c>
      <c r="AL1848" s="28"/>
      <c r="AM1848" s="28"/>
      <c r="AN1848" s="20" t="str">
        <f>IF(AL1848="","",IF($F1848="Bernardino Furlan",_xlfn.XLOOKUP(AL1848,Cadastros!$G$6:$G$90,Cadastros!$H$6:$H$90)*(1-0.18),IF($F1848="Mauro José Salanti",_xlfn.XLOOKUP(AL1848,Cadastros!$G$6:$G$90,Cadastros!$H$6:$H$90)*(1-0.18),_xlfn.XLOOKUP(AL1848,Cadastros!$G$6:$G$90,Cadastros!$H$6:$H$90))))</f>
        <v/>
      </c>
      <c r="AO1848" s="168" t="str">
        <f t="shared" si="373"/>
        <v/>
      </c>
      <c r="AP1848" s="168" t="str">
        <f t="shared" si="374"/>
        <v/>
      </c>
      <c r="AQ1848" s="28"/>
      <c r="AR1848" s="28"/>
      <c r="AS1848" s="20" t="str">
        <f>IF(AQ1848="","",IF($F1848="Bernardino Furlan",_xlfn.XLOOKUP(AQ1848,Cadastros!$G$6:$G$90,Cadastros!$H$6:$H$90)*(1-0.18),IF($F1848="Mauro José Salanti",_xlfn.XLOOKUP(AQ1848,Cadastros!$G$6:$G$90,Cadastros!$H$6:$H$90)*(1-0.18),_xlfn.XLOOKUP(AQ1848,Cadastros!$G$6:$G$90,Cadastros!$H$6:$H$90))))</f>
        <v/>
      </c>
      <c r="AT1848" s="168" t="str">
        <f t="shared" si="375"/>
        <v/>
      </c>
      <c r="AU1848" s="168" t="str">
        <f t="shared" si="376"/>
        <v/>
      </c>
      <c r="AV1848" s="227"/>
      <c r="AW1848" s="30"/>
      <c r="AX1848" s="267"/>
      <c r="AY1848" s="267"/>
      <c r="AZ1848" s="29"/>
      <c r="BA1848" s="30"/>
      <c r="BB1848" s="23" t="str" cm="1">
        <f t="array" ref="BB1848">_xlfn.IFS(AW1848="SIM",SUM(K1848,P1848,U1848,Z1848,AE1848,AJ1848,AO1848,AT1848,AX1848,AY1848),F1848&lt;&gt;"",SUM(K1848,P1848,U1848,Z1848,AE1848,AJ1848,,AO1848,AT1848),F1848="","")</f>
        <v/>
      </c>
      <c r="BC1848" s="211" t="str" cm="1">
        <f t="array" ref="BC1848">_xlfn.IFS(E1848="","",G1848&lt;=E1848,BB1848*(1-0.03),G1848&lt;(E1848+8),BB1848,AZ1848="Boleto",BB1848*(1+0.001)^DATEDIF(E1848,G1848,"D"),AZ1848="Cheque",BB1848,AZ1848="Dinheiro","Alterar forma pgto")</f>
        <v/>
      </c>
      <c r="BD1848" s="276" t="str" cm="1">
        <f t="array" ref="BD1848">IF(F1848=0," ",IF(BC1848&lt;BB1848,(_xlfn.IFS(AW1848="SIM",SUM(L1848,Q1848,V1848,AA1848,AF1848,AK1848,AP1848,AU1848)+AX1848/_xlfn.XLOOKUP(_xlfn.XLOOKUP($F1848,Clientes!$B$4:$B$39,Clientes!$C$4:$C$39),Cadastros!$L$6:$L$12,Cadastros!$M$6:$M$12)+IF($F1848="Bernardino Furlan",AY1848/2751.92,IF($F1848="Mauro José Salanti",AY1848/2751.92,AY1848/3356)),F1848&lt;&gt;0,SUM(L1848,Q1848,V1848,AA1848,AF1848,AK1848,AP1848,AU1848)))*(1-0.03),_xlfn.IFS(AW1848="SIM",SUM(L1848,Q1848,V1848,AA1848,AF1848,AK1848,AP1848,AU1848)+AX1848/_xlfn.XLOOKUP(_xlfn.XLOOKUP($F1848,Clientes!$B$4:$B$39,Clientes!$C$4:$C$39),Cadastros!$L$6:$L$12,Cadastros!$M$6:$M$12)+IF($F1848="Bernardino Furlan",AY1848/2751.92,IF($F1848="Mauro José Salanti",AY1848/2751.92,AY1848/3356)),F1848&lt;&gt;0,SUM(L1848,Q1848,V1848,AA1848,AF1848,AK1848,AP1848,AU1848))))</f>
        <v xml:space="preserve"> </v>
      </c>
      <c r="BE1848" s="120"/>
      <c r="BF1848" s="120"/>
      <c r="BG1848" s="120"/>
    </row>
    <row r="1849" spans="1:59" s="3" customFormat="1" x14ac:dyDescent="0.3">
      <c r="A1849" s="15" t="str">
        <f t="shared" si="364"/>
        <v/>
      </c>
      <c r="B1849" s="25"/>
      <c r="C1849" s="26"/>
      <c r="D1849" s="279"/>
      <c r="E1849" s="27"/>
      <c r="F1849" s="28"/>
      <c r="G1849" s="27"/>
      <c r="H1849" s="28"/>
      <c r="I1849" s="28"/>
      <c r="J1849" s="255" t="str">
        <f>IF(H1849="","",(_xlfn.XLOOKUP(H1849,Cadastros!$D$6:$D$90,Cadastros!$E$6:$E$90))*(1-_xlfn.XLOOKUP(_xlfn.XLOOKUP($F1849,Clientes!$B$4:$B$39,Clientes!$C$4:$C$39),Cadastros!$L$6:$L$12,Cadastros!$N$6:$N$12)))</f>
        <v/>
      </c>
      <c r="K1849" s="168" t="str">
        <f t="shared" si="365"/>
        <v/>
      </c>
      <c r="L1849" s="168" t="str">
        <f>IFERROR(K1849/_xlfn.XLOOKUP(_xlfn.XLOOKUP($F1849,Clientes!$B$4:$B$39,Clientes!$C$4:$C$39),Cadastros!$L$6:$L$12,Cadastros!$M$6:$M$12)," ")</f>
        <v xml:space="preserve"> </v>
      </c>
      <c r="M1849" s="28"/>
      <c r="N1849" s="28"/>
      <c r="O1849" s="255" t="str">
        <f>IF(M1849="","",(_xlfn.XLOOKUP(M1849,Cadastros!$D$6:$D$90,Cadastros!$E$6:$E$90))*(1-_xlfn.XLOOKUP(_xlfn.XLOOKUP($F1849,Clientes!$B$4:$B$39,Clientes!$C$4:$C$39),Cadastros!$L$6:$L$12,Cadastros!$N$6:$N$12)))</f>
        <v/>
      </c>
      <c r="P1849" s="168" t="str">
        <f t="shared" si="366"/>
        <v/>
      </c>
      <c r="Q1849" s="168" t="str">
        <f>IFERROR(P1849/_xlfn.XLOOKUP(_xlfn.XLOOKUP($F1849,Clientes!$B$4:$B$39,Clientes!$C$4:$C$39),Cadastros!$L$6:$L$12,Cadastros!$M$6:$M$12)," ")</f>
        <v xml:space="preserve"> </v>
      </c>
      <c r="R1849" s="28"/>
      <c r="S1849" s="28"/>
      <c r="T1849" s="255" t="str">
        <f>IF(R1849="","",(_xlfn.XLOOKUP(R1849,Cadastros!$D$6:$D$90,Cadastros!$E$6:$E$90))*(1-_xlfn.XLOOKUP(_xlfn.XLOOKUP($F1849,Clientes!$B$4:$B$39,Clientes!$C$4:$C$39),Cadastros!$L$6:$L$12,Cadastros!$N$6:$N$12)))</f>
        <v/>
      </c>
      <c r="U1849" s="168" t="str">
        <f t="shared" si="367"/>
        <v/>
      </c>
      <c r="V1849" s="168" t="str">
        <f>IFERROR(U1849/_xlfn.XLOOKUP(_xlfn.XLOOKUP($F1849,Clientes!$B$4:$B$39,Clientes!$C$4:$C$39),Cadastros!$L$6:$L$12,Cadastros!$M$6:$M$12)," ")</f>
        <v xml:space="preserve"> </v>
      </c>
      <c r="W1849" s="28"/>
      <c r="X1849" s="28"/>
      <c r="Y1849" s="255" t="str">
        <f>IF(W1849="","",(_xlfn.XLOOKUP(W1849,Cadastros!$D$6:$D$90,Cadastros!$E$6:$E$90))*(1-_xlfn.XLOOKUP(_xlfn.XLOOKUP($F1849,Clientes!$B$4:$B$39,Clientes!$C$4:$C$39),Cadastros!$L$6:$L$12,Cadastros!$N$6:$N$12)))</f>
        <v/>
      </c>
      <c r="Z1849" s="168" t="str">
        <f t="shared" si="368"/>
        <v/>
      </c>
      <c r="AA1849" s="168" t="str">
        <f>IFERROR(Z1849/_xlfn.XLOOKUP(_xlfn.XLOOKUP($F1849,Clientes!$B$4:$B$39,Clientes!$C$4:$C$39),Cadastros!$L$6:$L$12,Cadastros!$M$6:$M$12)," ")</f>
        <v xml:space="preserve"> </v>
      </c>
      <c r="AB1849" s="28"/>
      <c r="AC1849" s="28"/>
      <c r="AD1849" s="20" t="str">
        <f>IF(AB1849="","",IF($F1849="Bernardino Furlan",_xlfn.XLOOKUP(AB1849,Cadastros!$G$6:$G$90,Cadastros!$H$6:$H$90)*(1-0.18),IF($F1849="Mauro José Salanti",_xlfn.XLOOKUP(AB1849,Cadastros!$G$6:$G$90,Cadastros!$H$6:$H$90)*(1-0.18),_xlfn.XLOOKUP(AB1849,Cadastros!$G$6:$G$90,Cadastros!$H$6:$H$90))))</f>
        <v/>
      </c>
      <c r="AE1849" s="168" t="str">
        <f t="shared" si="369"/>
        <v/>
      </c>
      <c r="AF1849" s="168" t="str">
        <f t="shared" si="370"/>
        <v/>
      </c>
      <c r="AG1849" s="28"/>
      <c r="AH1849" s="28"/>
      <c r="AI1849" s="20" t="str">
        <f>IF(AG1849="","",IF($F1849="Bernardino Furlan",_xlfn.XLOOKUP(AG1849,Cadastros!$G$6:$G$90,Cadastros!$H$6:$H$90)*(1-0.18),IF($F1849="Mauro José Salanti",_xlfn.XLOOKUP(AG1849,Cadastros!$G$6:$G$90,Cadastros!$H$6:$H$90)*(1-0.18),_xlfn.XLOOKUP(AG1849,Cadastros!$G$6:$G$90,Cadastros!$H$6:$H$90))))</f>
        <v/>
      </c>
      <c r="AJ1849" s="168" t="str">
        <f t="shared" si="371"/>
        <v/>
      </c>
      <c r="AK1849" s="168" t="str">
        <f t="shared" si="372"/>
        <v/>
      </c>
      <c r="AL1849" s="28"/>
      <c r="AM1849" s="28"/>
      <c r="AN1849" s="20" t="str">
        <f>IF(AL1849="","",IF($F1849="Bernardino Furlan",_xlfn.XLOOKUP(AL1849,Cadastros!$G$6:$G$90,Cadastros!$H$6:$H$90)*(1-0.18),IF($F1849="Mauro José Salanti",_xlfn.XLOOKUP(AL1849,Cadastros!$G$6:$G$90,Cadastros!$H$6:$H$90)*(1-0.18),_xlfn.XLOOKUP(AL1849,Cadastros!$G$6:$G$90,Cadastros!$H$6:$H$90))))</f>
        <v/>
      </c>
      <c r="AO1849" s="168" t="str">
        <f t="shared" si="373"/>
        <v/>
      </c>
      <c r="AP1849" s="168" t="str">
        <f t="shared" si="374"/>
        <v/>
      </c>
      <c r="AQ1849" s="28"/>
      <c r="AR1849" s="28"/>
      <c r="AS1849" s="20" t="str">
        <f>IF(AQ1849="","",IF($F1849="Bernardino Furlan",_xlfn.XLOOKUP(AQ1849,Cadastros!$G$6:$G$90,Cadastros!$H$6:$H$90)*(1-0.18),IF($F1849="Mauro José Salanti",_xlfn.XLOOKUP(AQ1849,Cadastros!$G$6:$G$90,Cadastros!$H$6:$H$90)*(1-0.18),_xlfn.XLOOKUP(AQ1849,Cadastros!$G$6:$G$90,Cadastros!$H$6:$H$90))))</f>
        <v/>
      </c>
      <c r="AT1849" s="168" t="str">
        <f t="shared" si="375"/>
        <v/>
      </c>
      <c r="AU1849" s="168" t="str">
        <f t="shared" si="376"/>
        <v/>
      </c>
      <c r="AV1849" s="227"/>
      <c r="AW1849" s="30"/>
      <c r="AX1849" s="267"/>
      <c r="AY1849" s="267"/>
      <c r="AZ1849" s="29"/>
      <c r="BA1849" s="30"/>
      <c r="BB1849" s="23" t="str" cm="1">
        <f t="array" ref="BB1849">_xlfn.IFS(AW1849="SIM",SUM(K1849,P1849,U1849,Z1849,AE1849,AJ1849,AO1849,AT1849,AX1849,AY1849),F1849&lt;&gt;"",SUM(K1849,P1849,U1849,Z1849,AE1849,AJ1849,,AO1849,AT1849),F1849="","")</f>
        <v/>
      </c>
      <c r="BC1849" s="211" t="str" cm="1">
        <f t="array" ref="BC1849">_xlfn.IFS(E1849="","",G1849&lt;=E1849,BB1849*(1-0.03),G1849&lt;(E1849+8),BB1849,AZ1849="Boleto",BB1849*(1+0.001)^DATEDIF(E1849,G1849,"D"),AZ1849="Cheque",BB1849,AZ1849="Dinheiro","Alterar forma pgto")</f>
        <v/>
      </c>
      <c r="BD1849" s="276" t="str" cm="1">
        <f t="array" ref="BD1849">IF(F1849=0," ",IF(BC1849&lt;BB1849,(_xlfn.IFS(AW1849="SIM",SUM(L1849,Q1849,V1849,AA1849,AF1849,AK1849,AP1849,AU1849)+AX1849/_xlfn.XLOOKUP(_xlfn.XLOOKUP($F1849,Clientes!$B$4:$B$39,Clientes!$C$4:$C$39),Cadastros!$L$6:$L$12,Cadastros!$M$6:$M$12)+IF($F1849="Bernardino Furlan",AY1849/2751.92,IF($F1849="Mauro José Salanti",AY1849/2751.92,AY1849/3356)),F1849&lt;&gt;0,SUM(L1849,Q1849,V1849,AA1849,AF1849,AK1849,AP1849,AU1849)))*(1-0.03),_xlfn.IFS(AW1849="SIM",SUM(L1849,Q1849,V1849,AA1849,AF1849,AK1849,AP1849,AU1849)+AX1849/_xlfn.XLOOKUP(_xlfn.XLOOKUP($F1849,Clientes!$B$4:$B$39,Clientes!$C$4:$C$39),Cadastros!$L$6:$L$12,Cadastros!$M$6:$M$12)+IF($F1849="Bernardino Furlan",AY1849/2751.92,IF($F1849="Mauro José Salanti",AY1849/2751.92,AY1849/3356)),F1849&lt;&gt;0,SUM(L1849,Q1849,V1849,AA1849,AF1849,AK1849,AP1849,AU1849))))</f>
        <v xml:space="preserve"> </v>
      </c>
      <c r="BE1849" s="120"/>
      <c r="BF1849" s="120"/>
      <c r="BG1849" s="120"/>
    </row>
    <row r="1850" spans="1:59" s="3" customFormat="1" x14ac:dyDescent="0.3">
      <c r="A1850" s="15" t="str">
        <f t="shared" si="364"/>
        <v/>
      </c>
      <c r="B1850" s="25"/>
      <c r="C1850" s="26"/>
      <c r="D1850" s="279"/>
      <c r="E1850" s="27"/>
      <c r="F1850" s="28"/>
      <c r="G1850" s="27"/>
      <c r="H1850" s="28"/>
      <c r="I1850" s="28"/>
      <c r="J1850" s="255" t="str">
        <f>IF(H1850="","",(_xlfn.XLOOKUP(H1850,Cadastros!$D$6:$D$90,Cadastros!$E$6:$E$90))*(1-_xlfn.XLOOKUP(_xlfn.XLOOKUP($F1850,Clientes!$B$4:$B$39,Clientes!$C$4:$C$39),Cadastros!$L$6:$L$12,Cadastros!$N$6:$N$12)))</f>
        <v/>
      </c>
      <c r="K1850" s="168" t="str">
        <f t="shared" si="365"/>
        <v/>
      </c>
      <c r="L1850" s="168" t="str">
        <f>IFERROR(K1850/_xlfn.XLOOKUP(_xlfn.XLOOKUP($F1850,Clientes!$B$4:$B$39,Clientes!$C$4:$C$39),Cadastros!$L$6:$L$12,Cadastros!$M$6:$M$12)," ")</f>
        <v xml:space="preserve"> </v>
      </c>
      <c r="M1850" s="28"/>
      <c r="N1850" s="28"/>
      <c r="O1850" s="255" t="str">
        <f>IF(M1850="","",(_xlfn.XLOOKUP(M1850,Cadastros!$D$6:$D$90,Cadastros!$E$6:$E$90))*(1-_xlfn.XLOOKUP(_xlfn.XLOOKUP($F1850,Clientes!$B$4:$B$39,Clientes!$C$4:$C$39),Cadastros!$L$6:$L$12,Cadastros!$N$6:$N$12)))</f>
        <v/>
      </c>
      <c r="P1850" s="168" t="str">
        <f t="shared" si="366"/>
        <v/>
      </c>
      <c r="Q1850" s="168" t="str">
        <f>IFERROR(P1850/_xlfn.XLOOKUP(_xlfn.XLOOKUP($F1850,Clientes!$B$4:$B$39,Clientes!$C$4:$C$39),Cadastros!$L$6:$L$12,Cadastros!$M$6:$M$12)," ")</f>
        <v xml:space="preserve"> </v>
      </c>
      <c r="R1850" s="28"/>
      <c r="S1850" s="28"/>
      <c r="T1850" s="255" t="str">
        <f>IF(R1850="","",(_xlfn.XLOOKUP(R1850,Cadastros!$D$6:$D$90,Cadastros!$E$6:$E$90))*(1-_xlfn.XLOOKUP(_xlfn.XLOOKUP($F1850,Clientes!$B$4:$B$39,Clientes!$C$4:$C$39),Cadastros!$L$6:$L$12,Cadastros!$N$6:$N$12)))</f>
        <v/>
      </c>
      <c r="U1850" s="168" t="str">
        <f t="shared" si="367"/>
        <v/>
      </c>
      <c r="V1850" s="168" t="str">
        <f>IFERROR(U1850/_xlfn.XLOOKUP(_xlfn.XLOOKUP($F1850,Clientes!$B$4:$B$39,Clientes!$C$4:$C$39),Cadastros!$L$6:$L$12,Cadastros!$M$6:$M$12)," ")</f>
        <v xml:space="preserve"> </v>
      </c>
      <c r="W1850" s="28"/>
      <c r="X1850" s="28"/>
      <c r="Y1850" s="255" t="str">
        <f>IF(W1850="","",(_xlfn.XLOOKUP(W1850,Cadastros!$D$6:$D$90,Cadastros!$E$6:$E$90))*(1-_xlfn.XLOOKUP(_xlfn.XLOOKUP($F1850,Clientes!$B$4:$B$39,Clientes!$C$4:$C$39),Cadastros!$L$6:$L$12,Cadastros!$N$6:$N$12)))</f>
        <v/>
      </c>
      <c r="Z1850" s="168" t="str">
        <f t="shared" si="368"/>
        <v/>
      </c>
      <c r="AA1850" s="168" t="str">
        <f>IFERROR(Z1850/_xlfn.XLOOKUP(_xlfn.XLOOKUP($F1850,Clientes!$B$4:$B$39,Clientes!$C$4:$C$39),Cadastros!$L$6:$L$12,Cadastros!$M$6:$M$12)," ")</f>
        <v xml:space="preserve"> </v>
      </c>
      <c r="AB1850" s="28"/>
      <c r="AC1850" s="28"/>
      <c r="AD1850" s="20" t="str">
        <f>IF(AB1850="","",IF($F1850="Bernardino Furlan",_xlfn.XLOOKUP(AB1850,Cadastros!$G$6:$G$90,Cadastros!$H$6:$H$90)*(1-0.18),IF($F1850="Mauro José Salanti",_xlfn.XLOOKUP(AB1850,Cadastros!$G$6:$G$90,Cadastros!$H$6:$H$90)*(1-0.18),_xlfn.XLOOKUP(AB1850,Cadastros!$G$6:$G$90,Cadastros!$H$6:$H$90))))</f>
        <v/>
      </c>
      <c r="AE1850" s="168" t="str">
        <f t="shared" si="369"/>
        <v/>
      </c>
      <c r="AF1850" s="168" t="str">
        <f t="shared" si="370"/>
        <v/>
      </c>
      <c r="AG1850" s="28"/>
      <c r="AH1850" s="28"/>
      <c r="AI1850" s="20" t="str">
        <f>IF(AG1850="","",IF($F1850="Bernardino Furlan",_xlfn.XLOOKUP(AG1850,Cadastros!$G$6:$G$90,Cadastros!$H$6:$H$90)*(1-0.18),IF($F1850="Mauro José Salanti",_xlfn.XLOOKUP(AG1850,Cadastros!$G$6:$G$90,Cadastros!$H$6:$H$90)*(1-0.18),_xlfn.XLOOKUP(AG1850,Cadastros!$G$6:$G$90,Cadastros!$H$6:$H$90))))</f>
        <v/>
      </c>
      <c r="AJ1850" s="168" t="str">
        <f t="shared" si="371"/>
        <v/>
      </c>
      <c r="AK1850" s="168" t="str">
        <f t="shared" si="372"/>
        <v/>
      </c>
      <c r="AL1850" s="28"/>
      <c r="AM1850" s="28"/>
      <c r="AN1850" s="20" t="str">
        <f>IF(AL1850="","",IF($F1850="Bernardino Furlan",_xlfn.XLOOKUP(AL1850,Cadastros!$G$6:$G$90,Cadastros!$H$6:$H$90)*(1-0.18),IF($F1850="Mauro José Salanti",_xlfn.XLOOKUP(AL1850,Cadastros!$G$6:$G$90,Cadastros!$H$6:$H$90)*(1-0.18),_xlfn.XLOOKUP(AL1850,Cadastros!$G$6:$G$90,Cadastros!$H$6:$H$90))))</f>
        <v/>
      </c>
      <c r="AO1850" s="168" t="str">
        <f t="shared" si="373"/>
        <v/>
      </c>
      <c r="AP1850" s="168" t="str">
        <f t="shared" si="374"/>
        <v/>
      </c>
      <c r="AQ1850" s="28"/>
      <c r="AR1850" s="28"/>
      <c r="AS1850" s="20" t="str">
        <f>IF(AQ1850="","",IF($F1850="Bernardino Furlan",_xlfn.XLOOKUP(AQ1850,Cadastros!$G$6:$G$90,Cadastros!$H$6:$H$90)*(1-0.18),IF($F1850="Mauro José Salanti",_xlfn.XLOOKUP(AQ1850,Cadastros!$G$6:$G$90,Cadastros!$H$6:$H$90)*(1-0.18),_xlfn.XLOOKUP(AQ1850,Cadastros!$G$6:$G$90,Cadastros!$H$6:$H$90))))</f>
        <v/>
      </c>
      <c r="AT1850" s="168" t="str">
        <f t="shared" si="375"/>
        <v/>
      </c>
      <c r="AU1850" s="168" t="str">
        <f t="shared" si="376"/>
        <v/>
      </c>
      <c r="AV1850" s="227"/>
      <c r="AW1850" s="30"/>
      <c r="AX1850" s="267"/>
      <c r="AY1850" s="267"/>
      <c r="AZ1850" s="29"/>
      <c r="BA1850" s="30"/>
      <c r="BB1850" s="23" t="str" cm="1">
        <f t="array" ref="BB1850">_xlfn.IFS(AW1850="SIM",SUM(K1850,P1850,U1850,Z1850,AE1850,AJ1850,AO1850,AT1850,AX1850,AY1850),F1850&lt;&gt;"",SUM(K1850,P1850,U1850,Z1850,AE1850,AJ1850,,AO1850,AT1850),F1850="","")</f>
        <v/>
      </c>
      <c r="BC1850" s="211" t="str" cm="1">
        <f t="array" ref="BC1850">_xlfn.IFS(E1850="","",G1850&lt;=E1850,BB1850*(1-0.03),G1850&lt;(E1850+8),BB1850,AZ1850="Boleto",BB1850*(1+0.001)^DATEDIF(E1850,G1850,"D"),AZ1850="Cheque",BB1850,AZ1850="Dinheiro","Alterar forma pgto")</f>
        <v/>
      </c>
      <c r="BD1850" s="276" t="str" cm="1">
        <f t="array" ref="BD1850">IF(F1850=0," ",IF(BC1850&lt;BB1850,(_xlfn.IFS(AW1850="SIM",SUM(L1850,Q1850,V1850,AA1850,AF1850,AK1850,AP1850,AU1850)+AX1850/_xlfn.XLOOKUP(_xlfn.XLOOKUP($F1850,Clientes!$B$4:$B$39,Clientes!$C$4:$C$39),Cadastros!$L$6:$L$12,Cadastros!$M$6:$M$12)+IF($F1850="Bernardino Furlan",AY1850/2751.92,IF($F1850="Mauro José Salanti",AY1850/2751.92,AY1850/3356)),F1850&lt;&gt;0,SUM(L1850,Q1850,V1850,AA1850,AF1850,AK1850,AP1850,AU1850)))*(1-0.03),_xlfn.IFS(AW1850="SIM",SUM(L1850,Q1850,V1850,AA1850,AF1850,AK1850,AP1850,AU1850)+AX1850/_xlfn.XLOOKUP(_xlfn.XLOOKUP($F1850,Clientes!$B$4:$B$39,Clientes!$C$4:$C$39),Cadastros!$L$6:$L$12,Cadastros!$M$6:$M$12)+IF($F1850="Bernardino Furlan",AY1850/2751.92,IF($F1850="Mauro José Salanti",AY1850/2751.92,AY1850/3356)),F1850&lt;&gt;0,SUM(L1850,Q1850,V1850,AA1850,AF1850,AK1850,AP1850,AU1850))))</f>
        <v xml:space="preserve"> </v>
      </c>
      <c r="BE1850" s="120"/>
      <c r="BF1850" s="120"/>
      <c r="BG1850" s="120"/>
    </row>
    <row r="1851" spans="1:59" s="3" customFormat="1" x14ac:dyDescent="0.3">
      <c r="A1851" s="15" t="str">
        <f t="shared" si="364"/>
        <v/>
      </c>
      <c r="B1851" s="25"/>
      <c r="C1851" s="26"/>
      <c r="D1851" s="279"/>
      <c r="E1851" s="27"/>
      <c r="F1851" s="28"/>
      <c r="G1851" s="27"/>
      <c r="H1851" s="28"/>
      <c r="I1851" s="28"/>
      <c r="J1851" s="255" t="str">
        <f>IF(H1851="","",(_xlfn.XLOOKUP(H1851,Cadastros!$D$6:$D$90,Cadastros!$E$6:$E$90))*(1-_xlfn.XLOOKUP(_xlfn.XLOOKUP($F1851,Clientes!$B$4:$B$39,Clientes!$C$4:$C$39),Cadastros!$L$6:$L$12,Cadastros!$N$6:$N$12)))</f>
        <v/>
      </c>
      <c r="K1851" s="168" t="str">
        <f t="shared" si="365"/>
        <v/>
      </c>
      <c r="L1851" s="168" t="str">
        <f>IFERROR(K1851/_xlfn.XLOOKUP(_xlfn.XLOOKUP($F1851,Clientes!$B$4:$B$39,Clientes!$C$4:$C$39),Cadastros!$L$6:$L$12,Cadastros!$M$6:$M$12)," ")</f>
        <v xml:space="preserve"> </v>
      </c>
      <c r="M1851" s="28"/>
      <c r="N1851" s="28"/>
      <c r="O1851" s="255" t="str">
        <f>IF(M1851="","",(_xlfn.XLOOKUP(M1851,Cadastros!$D$6:$D$90,Cadastros!$E$6:$E$90))*(1-_xlfn.XLOOKUP(_xlfn.XLOOKUP($F1851,Clientes!$B$4:$B$39,Clientes!$C$4:$C$39),Cadastros!$L$6:$L$12,Cadastros!$N$6:$N$12)))</f>
        <v/>
      </c>
      <c r="P1851" s="168" t="str">
        <f t="shared" si="366"/>
        <v/>
      </c>
      <c r="Q1851" s="168" t="str">
        <f>IFERROR(P1851/_xlfn.XLOOKUP(_xlfn.XLOOKUP($F1851,Clientes!$B$4:$B$39,Clientes!$C$4:$C$39),Cadastros!$L$6:$L$12,Cadastros!$M$6:$M$12)," ")</f>
        <v xml:space="preserve"> </v>
      </c>
      <c r="R1851" s="28"/>
      <c r="S1851" s="28"/>
      <c r="T1851" s="255" t="str">
        <f>IF(R1851="","",(_xlfn.XLOOKUP(R1851,Cadastros!$D$6:$D$90,Cadastros!$E$6:$E$90))*(1-_xlfn.XLOOKUP(_xlfn.XLOOKUP($F1851,Clientes!$B$4:$B$39,Clientes!$C$4:$C$39),Cadastros!$L$6:$L$12,Cadastros!$N$6:$N$12)))</f>
        <v/>
      </c>
      <c r="U1851" s="168" t="str">
        <f t="shared" si="367"/>
        <v/>
      </c>
      <c r="V1851" s="168" t="str">
        <f>IFERROR(U1851/_xlfn.XLOOKUP(_xlfn.XLOOKUP($F1851,Clientes!$B$4:$B$39,Clientes!$C$4:$C$39),Cadastros!$L$6:$L$12,Cadastros!$M$6:$M$12)," ")</f>
        <v xml:space="preserve"> </v>
      </c>
      <c r="W1851" s="28"/>
      <c r="X1851" s="28"/>
      <c r="Y1851" s="255" t="str">
        <f>IF(W1851="","",(_xlfn.XLOOKUP(W1851,Cadastros!$D$6:$D$90,Cadastros!$E$6:$E$90))*(1-_xlfn.XLOOKUP(_xlfn.XLOOKUP($F1851,Clientes!$B$4:$B$39,Clientes!$C$4:$C$39),Cadastros!$L$6:$L$12,Cadastros!$N$6:$N$12)))</f>
        <v/>
      </c>
      <c r="Z1851" s="168" t="str">
        <f t="shared" si="368"/>
        <v/>
      </c>
      <c r="AA1851" s="168" t="str">
        <f>IFERROR(Z1851/_xlfn.XLOOKUP(_xlfn.XLOOKUP($F1851,Clientes!$B$4:$B$39,Clientes!$C$4:$C$39),Cadastros!$L$6:$L$12,Cadastros!$M$6:$M$12)," ")</f>
        <v xml:space="preserve"> </v>
      </c>
      <c r="AB1851" s="28"/>
      <c r="AC1851" s="28"/>
      <c r="AD1851" s="20" t="str">
        <f>IF(AB1851="","",IF($F1851="Bernardino Furlan",_xlfn.XLOOKUP(AB1851,Cadastros!$G$6:$G$90,Cadastros!$H$6:$H$90)*(1-0.18),IF($F1851="Mauro José Salanti",_xlfn.XLOOKUP(AB1851,Cadastros!$G$6:$G$90,Cadastros!$H$6:$H$90)*(1-0.18),_xlfn.XLOOKUP(AB1851,Cadastros!$G$6:$G$90,Cadastros!$H$6:$H$90))))</f>
        <v/>
      </c>
      <c r="AE1851" s="168" t="str">
        <f t="shared" si="369"/>
        <v/>
      </c>
      <c r="AF1851" s="168" t="str">
        <f t="shared" si="370"/>
        <v/>
      </c>
      <c r="AG1851" s="28"/>
      <c r="AH1851" s="28"/>
      <c r="AI1851" s="20" t="str">
        <f>IF(AG1851="","",IF($F1851="Bernardino Furlan",_xlfn.XLOOKUP(AG1851,Cadastros!$G$6:$G$90,Cadastros!$H$6:$H$90)*(1-0.18),IF($F1851="Mauro José Salanti",_xlfn.XLOOKUP(AG1851,Cadastros!$G$6:$G$90,Cadastros!$H$6:$H$90)*(1-0.18),_xlfn.XLOOKUP(AG1851,Cadastros!$G$6:$G$90,Cadastros!$H$6:$H$90))))</f>
        <v/>
      </c>
      <c r="AJ1851" s="168" t="str">
        <f t="shared" si="371"/>
        <v/>
      </c>
      <c r="AK1851" s="168" t="str">
        <f t="shared" si="372"/>
        <v/>
      </c>
      <c r="AL1851" s="28"/>
      <c r="AM1851" s="28"/>
      <c r="AN1851" s="20" t="str">
        <f>IF(AL1851="","",IF($F1851="Bernardino Furlan",_xlfn.XLOOKUP(AL1851,Cadastros!$G$6:$G$90,Cadastros!$H$6:$H$90)*(1-0.18),IF($F1851="Mauro José Salanti",_xlfn.XLOOKUP(AL1851,Cadastros!$G$6:$G$90,Cadastros!$H$6:$H$90)*(1-0.18),_xlfn.XLOOKUP(AL1851,Cadastros!$G$6:$G$90,Cadastros!$H$6:$H$90))))</f>
        <v/>
      </c>
      <c r="AO1851" s="168" t="str">
        <f t="shared" si="373"/>
        <v/>
      </c>
      <c r="AP1851" s="168" t="str">
        <f t="shared" si="374"/>
        <v/>
      </c>
      <c r="AQ1851" s="28"/>
      <c r="AR1851" s="28"/>
      <c r="AS1851" s="20" t="str">
        <f>IF(AQ1851="","",IF($F1851="Bernardino Furlan",_xlfn.XLOOKUP(AQ1851,Cadastros!$G$6:$G$90,Cadastros!$H$6:$H$90)*(1-0.18),IF($F1851="Mauro José Salanti",_xlfn.XLOOKUP(AQ1851,Cadastros!$G$6:$G$90,Cadastros!$H$6:$H$90)*(1-0.18),_xlfn.XLOOKUP(AQ1851,Cadastros!$G$6:$G$90,Cadastros!$H$6:$H$90))))</f>
        <v/>
      </c>
      <c r="AT1851" s="168" t="str">
        <f t="shared" si="375"/>
        <v/>
      </c>
      <c r="AU1851" s="168" t="str">
        <f t="shared" si="376"/>
        <v/>
      </c>
      <c r="AV1851" s="227"/>
      <c r="AW1851" s="30"/>
      <c r="AX1851" s="267"/>
      <c r="AY1851" s="267"/>
      <c r="AZ1851" s="29"/>
      <c r="BA1851" s="30"/>
      <c r="BB1851" s="23" t="str" cm="1">
        <f t="array" ref="BB1851">_xlfn.IFS(AW1851="SIM",SUM(K1851,P1851,U1851,Z1851,AE1851,AJ1851,AO1851,AT1851,AX1851,AY1851),F1851&lt;&gt;"",SUM(K1851,P1851,U1851,Z1851,AE1851,AJ1851,,AO1851,AT1851),F1851="","")</f>
        <v/>
      </c>
      <c r="BC1851" s="211" t="str" cm="1">
        <f t="array" ref="BC1851">_xlfn.IFS(E1851="","",G1851&lt;=E1851,BB1851*(1-0.03),G1851&lt;(E1851+8),BB1851,AZ1851="Boleto",BB1851*(1+0.001)^DATEDIF(E1851,G1851,"D"),AZ1851="Cheque",BB1851,AZ1851="Dinheiro","Alterar forma pgto")</f>
        <v/>
      </c>
      <c r="BD1851" s="276" t="str" cm="1">
        <f t="array" ref="BD1851">IF(F1851=0," ",IF(BC1851&lt;BB1851,(_xlfn.IFS(AW1851="SIM",SUM(L1851,Q1851,V1851,AA1851,AF1851,AK1851,AP1851,AU1851)+AX1851/_xlfn.XLOOKUP(_xlfn.XLOOKUP($F1851,Clientes!$B$4:$B$39,Clientes!$C$4:$C$39),Cadastros!$L$6:$L$12,Cadastros!$M$6:$M$12)+IF($F1851="Bernardino Furlan",AY1851/2751.92,IF($F1851="Mauro José Salanti",AY1851/2751.92,AY1851/3356)),F1851&lt;&gt;0,SUM(L1851,Q1851,V1851,AA1851,AF1851,AK1851,AP1851,AU1851)))*(1-0.03),_xlfn.IFS(AW1851="SIM",SUM(L1851,Q1851,V1851,AA1851,AF1851,AK1851,AP1851,AU1851)+AX1851/_xlfn.XLOOKUP(_xlfn.XLOOKUP($F1851,Clientes!$B$4:$B$39,Clientes!$C$4:$C$39),Cadastros!$L$6:$L$12,Cadastros!$M$6:$M$12)+IF($F1851="Bernardino Furlan",AY1851/2751.92,IF($F1851="Mauro José Salanti",AY1851/2751.92,AY1851/3356)),F1851&lt;&gt;0,SUM(L1851,Q1851,V1851,AA1851,AF1851,AK1851,AP1851,AU1851))))</f>
        <v xml:space="preserve"> </v>
      </c>
      <c r="BE1851" s="120"/>
      <c r="BF1851" s="120"/>
      <c r="BG1851" s="120"/>
    </row>
    <row r="1852" spans="1:59" s="3" customFormat="1" x14ac:dyDescent="0.3">
      <c r="A1852" s="15" t="str">
        <f t="shared" si="364"/>
        <v/>
      </c>
      <c r="B1852" s="25"/>
      <c r="C1852" s="26"/>
      <c r="D1852" s="279"/>
      <c r="E1852" s="27"/>
      <c r="F1852" s="28"/>
      <c r="G1852" s="27"/>
      <c r="H1852" s="28"/>
      <c r="I1852" s="28"/>
      <c r="J1852" s="255" t="str">
        <f>IF(H1852="","",(_xlfn.XLOOKUP(H1852,Cadastros!$D$6:$D$90,Cadastros!$E$6:$E$90))*(1-_xlfn.XLOOKUP(_xlfn.XLOOKUP($F1852,Clientes!$B$4:$B$39,Clientes!$C$4:$C$39),Cadastros!$L$6:$L$12,Cadastros!$N$6:$N$12)))</f>
        <v/>
      </c>
      <c r="K1852" s="168" t="str">
        <f t="shared" si="365"/>
        <v/>
      </c>
      <c r="L1852" s="168" t="str">
        <f>IFERROR(K1852/_xlfn.XLOOKUP(_xlfn.XLOOKUP($F1852,Clientes!$B$4:$B$39,Clientes!$C$4:$C$39),Cadastros!$L$6:$L$12,Cadastros!$M$6:$M$12)," ")</f>
        <v xml:space="preserve"> </v>
      </c>
      <c r="M1852" s="28"/>
      <c r="N1852" s="28"/>
      <c r="O1852" s="255" t="str">
        <f>IF(M1852="","",(_xlfn.XLOOKUP(M1852,Cadastros!$D$6:$D$90,Cadastros!$E$6:$E$90))*(1-_xlfn.XLOOKUP(_xlfn.XLOOKUP($F1852,Clientes!$B$4:$B$39,Clientes!$C$4:$C$39),Cadastros!$L$6:$L$12,Cadastros!$N$6:$N$12)))</f>
        <v/>
      </c>
      <c r="P1852" s="168" t="str">
        <f t="shared" si="366"/>
        <v/>
      </c>
      <c r="Q1852" s="168" t="str">
        <f>IFERROR(P1852/_xlfn.XLOOKUP(_xlfn.XLOOKUP($F1852,Clientes!$B$4:$B$39,Clientes!$C$4:$C$39),Cadastros!$L$6:$L$12,Cadastros!$M$6:$M$12)," ")</f>
        <v xml:space="preserve"> </v>
      </c>
      <c r="R1852" s="28"/>
      <c r="S1852" s="28"/>
      <c r="T1852" s="255" t="str">
        <f>IF(R1852="","",(_xlfn.XLOOKUP(R1852,Cadastros!$D$6:$D$90,Cadastros!$E$6:$E$90))*(1-_xlfn.XLOOKUP(_xlfn.XLOOKUP($F1852,Clientes!$B$4:$B$39,Clientes!$C$4:$C$39),Cadastros!$L$6:$L$12,Cadastros!$N$6:$N$12)))</f>
        <v/>
      </c>
      <c r="U1852" s="168" t="str">
        <f t="shared" si="367"/>
        <v/>
      </c>
      <c r="V1852" s="168" t="str">
        <f>IFERROR(U1852/_xlfn.XLOOKUP(_xlfn.XLOOKUP($F1852,Clientes!$B$4:$B$39,Clientes!$C$4:$C$39),Cadastros!$L$6:$L$12,Cadastros!$M$6:$M$12)," ")</f>
        <v xml:space="preserve"> </v>
      </c>
      <c r="W1852" s="28"/>
      <c r="X1852" s="28"/>
      <c r="Y1852" s="255" t="str">
        <f>IF(W1852="","",(_xlfn.XLOOKUP(W1852,Cadastros!$D$6:$D$90,Cadastros!$E$6:$E$90))*(1-_xlfn.XLOOKUP(_xlfn.XLOOKUP($F1852,Clientes!$B$4:$B$39,Clientes!$C$4:$C$39),Cadastros!$L$6:$L$12,Cadastros!$N$6:$N$12)))</f>
        <v/>
      </c>
      <c r="Z1852" s="168" t="str">
        <f t="shared" si="368"/>
        <v/>
      </c>
      <c r="AA1852" s="168" t="str">
        <f>IFERROR(Z1852/_xlfn.XLOOKUP(_xlfn.XLOOKUP($F1852,Clientes!$B$4:$B$39,Clientes!$C$4:$C$39),Cadastros!$L$6:$L$12,Cadastros!$M$6:$M$12)," ")</f>
        <v xml:space="preserve"> </v>
      </c>
      <c r="AB1852" s="28"/>
      <c r="AC1852" s="28"/>
      <c r="AD1852" s="20" t="str">
        <f>IF(AB1852="","",IF($F1852="Bernardino Furlan",_xlfn.XLOOKUP(AB1852,Cadastros!$G$6:$G$90,Cadastros!$H$6:$H$90)*(1-0.18),IF($F1852="Mauro José Salanti",_xlfn.XLOOKUP(AB1852,Cadastros!$G$6:$G$90,Cadastros!$H$6:$H$90)*(1-0.18),_xlfn.XLOOKUP(AB1852,Cadastros!$G$6:$G$90,Cadastros!$H$6:$H$90))))</f>
        <v/>
      </c>
      <c r="AE1852" s="168" t="str">
        <f t="shared" si="369"/>
        <v/>
      </c>
      <c r="AF1852" s="168" t="str">
        <f t="shared" si="370"/>
        <v/>
      </c>
      <c r="AG1852" s="28"/>
      <c r="AH1852" s="28"/>
      <c r="AI1852" s="20" t="str">
        <f>IF(AG1852="","",IF($F1852="Bernardino Furlan",_xlfn.XLOOKUP(AG1852,Cadastros!$G$6:$G$90,Cadastros!$H$6:$H$90)*(1-0.18),IF($F1852="Mauro José Salanti",_xlfn.XLOOKUP(AG1852,Cadastros!$G$6:$G$90,Cadastros!$H$6:$H$90)*(1-0.18),_xlfn.XLOOKUP(AG1852,Cadastros!$G$6:$G$90,Cadastros!$H$6:$H$90))))</f>
        <v/>
      </c>
      <c r="AJ1852" s="168" t="str">
        <f t="shared" si="371"/>
        <v/>
      </c>
      <c r="AK1852" s="168" t="str">
        <f t="shared" si="372"/>
        <v/>
      </c>
      <c r="AL1852" s="28"/>
      <c r="AM1852" s="28"/>
      <c r="AN1852" s="20" t="str">
        <f>IF(AL1852="","",IF($F1852="Bernardino Furlan",_xlfn.XLOOKUP(AL1852,Cadastros!$G$6:$G$90,Cadastros!$H$6:$H$90)*(1-0.18),IF($F1852="Mauro José Salanti",_xlfn.XLOOKUP(AL1852,Cadastros!$G$6:$G$90,Cadastros!$H$6:$H$90)*(1-0.18),_xlfn.XLOOKUP(AL1852,Cadastros!$G$6:$G$90,Cadastros!$H$6:$H$90))))</f>
        <v/>
      </c>
      <c r="AO1852" s="168" t="str">
        <f t="shared" si="373"/>
        <v/>
      </c>
      <c r="AP1852" s="168" t="str">
        <f t="shared" si="374"/>
        <v/>
      </c>
      <c r="AQ1852" s="28"/>
      <c r="AR1852" s="28"/>
      <c r="AS1852" s="20" t="str">
        <f>IF(AQ1852="","",IF($F1852="Bernardino Furlan",_xlfn.XLOOKUP(AQ1852,Cadastros!$G$6:$G$90,Cadastros!$H$6:$H$90)*(1-0.18),IF($F1852="Mauro José Salanti",_xlfn.XLOOKUP(AQ1852,Cadastros!$G$6:$G$90,Cadastros!$H$6:$H$90)*(1-0.18),_xlfn.XLOOKUP(AQ1852,Cadastros!$G$6:$G$90,Cadastros!$H$6:$H$90))))</f>
        <v/>
      </c>
      <c r="AT1852" s="168" t="str">
        <f t="shared" si="375"/>
        <v/>
      </c>
      <c r="AU1852" s="168" t="str">
        <f t="shared" si="376"/>
        <v/>
      </c>
      <c r="AV1852" s="227"/>
      <c r="AW1852" s="30"/>
      <c r="AX1852" s="267"/>
      <c r="AY1852" s="267"/>
      <c r="AZ1852" s="29"/>
      <c r="BA1852" s="30"/>
      <c r="BB1852" s="23" t="str" cm="1">
        <f t="array" ref="BB1852">_xlfn.IFS(AW1852="SIM",SUM(K1852,P1852,U1852,Z1852,AE1852,AJ1852,AO1852,AT1852,AX1852,AY1852),F1852&lt;&gt;"",SUM(K1852,P1852,U1852,Z1852,AE1852,AJ1852,,AO1852,AT1852),F1852="","")</f>
        <v/>
      </c>
      <c r="BC1852" s="211" t="str" cm="1">
        <f t="array" ref="BC1852">_xlfn.IFS(E1852="","",G1852&lt;=E1852,BB1852*(1-0.03),G1852&lt;(E1852+8),BB1852,AZ1852="Boleto",BB1852*(1+0.001)^DATEDIF(E1852,G1852,"D"),AZ1852="Cheque",BB1852,AZ1852="Dinheiro","Alterar forma pgto")</f>
        <v/>
      </c>
      <c r="BD1852" s="276" t="str" cm="1">
        <f t="array" ref="BD1852">IF(F1852=0," ",IF(BC1852&lt;BB1852,(_xlfn.IFS(AW1852="SIM",SUM(L1852,Q1852,V1852,AA1852,AF1852,AK1852,AP1852,AU1852)+AX1852/_xlfn.XLOOKUP(_xlfn.XLOOKUP($F1852,Clientes!$B$4:$B$39,Clientes!$C$4:$C$39),Cadastros!$L$6:$L$12,Cadastros!$M$6:$M$12)+IF($F1852="Bernardino Furlan",AY1852/2751.92,IF($F1852="Mauro José Salanti",AY1852/2751.92,AY1852/3356)),F1852&lt;&gt;0,SUM(L1852,Q1852,V1852,AA1852,AF1852,AK1852,AP1852,AU1852)))*(1-0.03),_xlfn.IFS(AW1852="SIM",SUM(L1852,Q1852,V1852,AA1852,AF1852,AK1852,AP1852,AU1852)+AX1852/_xlfn.XLOOKUP(_xlfn.XLOOKUP($F1852,Clientes!$B$4:$B$39,Clientes!$C$4:$C$39),Cadastros!$L$6:$L$12,Cadastros!$M$6:$M$12)+IF($F1852="Bernardino Furlan",AY1852/2751.92,IF($F1852="Mauro José Salanti",AY1852/2751.92,AY1852/3356)),F1852&lt;&gt;0,SUM(L1852,Q1852,V1852,AA1852,AF1852,AK1852,AP1852,AU1852))))</f>
        <v xml:space="preserve"> </v>
      </c>
      <c r="BE1852" s="120"/>
      <c r="BF1852" s="120"/>
      <c r="BG1852" s="120"/>
    </row>
    <row r="1853" spans="1:59" s="3" customFormat="1" x14ac:dyDescent="0.3">
      <c r="A1853" s="15" t="str">
        <f t="shared" si="364"/>
        <v/>
      </c>
      <c r="B1853" s="25"/>
      <c r="C1853" s="26"/>
      <c r="D1853" s="279"/>
      <c r="E1853" s="27"/>
      <c r="F1853" s="28"/>
      <c r="G1853" s="27"/>
      <c r="H1853" s="28"/>
      <c r="I1853" s="28"/>
      <c r="J1853" s="255" t="str">
        <f>IF(H1853="","",(_xlfn.XLOOKUP(H1853,Cadastros!$D$6:$D$90,Cadastros!$E$6:$E$90))*(1-_xlfn.XLOOKUP(_xlfn.XLOOKUP($F1853,Clientes!$B$4:$B$39,Clientes!$C$4:$C$39),Cadastros!$L$6:$L$12,Cadastros!$N$6:$N$12)))</f>
        <v/>
      </c>
      <c r="K1853" s="168" t="str">
        <f t="shared" si="365"/>
        <v/>
      </c>
      <c r="L1853" s="168" t="str">
        <f>IFERROR(K1853/_xlfn.XLOOKUP(_xlfn.XLOOKUP($F1853,Clientes!$B$4:$B$39,Clientes!$C$4:$C$39),Cadastros!$L$6:$L$12,Cadastros!$M$6:$M$12)," ")</f>
        <v xml:space="preserve"> </v>
      </c>
      <c r="M1853" s="28"/>
      <c r="N1853" s="28"/>
      <c r="O1853" s="255" t="str">
        <f>IF(M1853="","",(_xlfn.XLOOKUP(M1853,Cadastros!$D$6:$D$90,Cadastros!$E$6:$E$90))*(1-_xlfn.XLOOKUP(_xlfn.XLOOKUP($F1853,Clientes!$B$4:$B$39,Clientes!$C$4:$C$39),Cadastros!$L$6:$L$12,Cadastros!$N$6:$N$12)))</f>
        <v/>
      </c>
      <c r="P1853" s="168" t="str">
        <f t="shared" si="366"/>
        <v/>
      </c>
      <c r="Q1853" s="168" t="str">
        <f>IFERROR(P1853/_xlfn.XLOOKUP(_xlfn.XLOOKUP($F1853,Clientes!$B$4:$B$39,Clientes!$C$4:$C$39),Cadastros!$L$6:$L$12,Cadastros!$M$6:$M$12)," ")</f>
        <v xml:space="preserve"> </v>
      </c>
      <c r="R1853" s="28"/>
      <c r="S1853" s="28"/>
      <c r="T1853" s="255" t="str">
        <f>IF(R1853="","",(_xlfn.XLOOKUP(R1853,Cadastros!$D$6:$D$90,Cadastros!$E$6:$E$90))*(1-_xlfn.XLOOKUP(_xlfn.XLOOKUP($F1853,Clientes!$B$4:$B$39,Clientes!$C$4:$C$39),Cadastros!$L$6:$L$12,Cadastros!$N$6:$N$12)))</f>
        <v/>
      </c>
      <c r="U1853" s="168" t="str">
        <f t="shared" si="367"/>
        <v/>
      </c>
      <c r="V1853" s="168" t="str">
        <f>IFERROR(U1853/_xlfn.XLOOKUP(_xlfn.XLOOKUP($F1853,Clientes!$B$4:$B$39,Clientes!$C$4:$C$39),Cadastros!$L$6:$L$12,Cadastros!$M$6:$M$12)," ")</f>
        <v xml:space="preserve"> </v>
      </c>
      <c r="W1853" s="28"/>
      <c r="X1853" s="28"/>
      <c r="Y1853" s="255" t="str">
        <f>IF(W1853="","",(_xlfn.XLOOKUP(W1853,Cadastros!$D$6:$D$90,Cadastros!$E$6:$E$90))*(1-_xlfn.XLOOKUP(_xlfn.XLOOKUP($F1853,Clientes!$B$4:$B$39,Clientes!$C$4:$C$39),Cadastros!$L$6:$L$12,Cadastros!$N$6:$N$12)))</f>
        <v/>
      </c>
      <c r="Z1853" s="168" t="str">
        <f t="shared" si="368"/>
        <v/>
      </c>
      <c r="AA1853" s="168" t="str">
        <f>IFERROR(Z1853/_xlfn.XLOOKUP(_xlfn.XLOOKUP($F1853,Clientes!$B$4:$B$39,Clientes!$C$4:$C$39),Cadastros!$L$6:$L$12,Cadastros!$M$6:$M$12)," ")</f>
        <v xml:space="preserve"> </v>
      </c>
      <c r="AB1853" s="28"/>
      <c r="AC1853" s="28"/>
      <c r="AD1853" s="20" t="str">
        <f>IF(AB1853="","",IF($F1853="Bernardino Furlan",_xlfn.XLOOKUP(AB1853,Cadastros!$G$6:$G$90,Cadastros!$H$6:$H$90)*(1-0.18),IF($F1853="Mauro José Salanti",_xlfn.XLOOKUP(AB1853,Cadastros!$G$6:$G$90,Cadastros!$H$6:$H$90)*(1-0.18),_xlfn.XLOOKUP(AB1853,Cadastros!$G$6:$G$90,Cadastros!$H$6:$H$90))))</f>
        <v/>
      </c>
      <c r="AE1853" s="168" t="str">
        <f t="shared" si="369"/>
        <v/>
      </c>
      <c r="AF1853" s="168" t="str">
        <f t="shared" si="370"/>
        <v/>
      </c>
      <c r="AG1853" s="28"/>
      <c r="AH1853" s="28"/>
      <c r="AI1853" s="20" t="str">
        <f>IF(AG1853="","",IF($F1853="Bernardino Furlan",_xlfn.XLOOKUP(AG1853,Cadastros!$G$6:$G$90,Cadastros!$H$6:$H$90)*(1-0.18),IF($F1853="Mauro José Salanti",_xlfn.XLOOKUP(AG1853,Cadastros!$G$6:$G$90,Cadastros!$H$6:$H$90)*(1-0.18),_xlfn.XLOOKUP(AG1853,Cadastros!$G$6:$G$90,Cadastros!$H$6:$H$90))))</f>
        <v/>
      </c>
      <c r="AJ1853" s="168" t="str">
        <f t="shared" si="371"/>
        <v/>
      </c>
      <c r="AK1853" s="168" t="str">
        <f t="shared" si="372"/>
        <v/>
      </c>
      <c r="AL1853" s="28"/>
      <c r="AM1853" s="28"/>
      <c r="AN1853" s="20" t="str">
        <f>IF(AL1853="","",IF($F1853="Bernardino Furlan",_xlfn.XLOOKUP(AL1853,Cadastros!$G$6:$G$90,Cadastros!$H$6:$H$90)*(1-0.18),IF($F1853="Mauro José Salanti",_xlfn.XLOOKUP(AL1853,Cadastros!$G$6:$G$90,Cadastros!$H$6:$H$90)*(1-0.18),_xlfn.XLOOKUP(AL1853,Cadastros!$G$6:$G$90,Cadastros!$H$6:$H$90))))</f>
        <v/>
      </c>
      <c r="AO1853" s="168" t="str">
        <f t="shared" si="373"/>
        <v/>
      </c>
      <c r="AP1853" s="168" t="str">
        <f t="shared" si="374"/>
        <v/>
      </c>
      <c r="AQ1853" s="28"/>
      <c r="AR1853" s="28"/>
      <c r="AS1853" s="20" t="str">
        <f>IF(AQ1853="","",IF($F1853="Bernardino Furlan",_xlfn.XLOOKUP(AQ1853,Cadastros!$G$6:$G$90,Cadastros!$H$6:$H$90)*(1-0.18),IF($F1853="Mauro José Salanti",_xlfn.XLOOKUP(AQ1853,Cadastros!$G$6:$G$90,Cadastros!$H$6:$H$90)*(1-0.18),_xlfn.XLOOKUP(AQ1853,Cadastros!$G$6:$G$90,Cadastros!$H$6:$H$90))))</f>
        <v/>
      </c>
      <c r="AT1853" s="168" t="str">
        <f t="shared" si="375"/>
        <v/>
      </c>
      <c r="AU1853" s="168" t="str">
        <f t="shared" si="376"/>
        <v/>
      </c>
      <c r="AV1853" s="227"/>
      <c r="AW1853" s="30"/>
      <c r="AX1853" s="267"/>
      <c r="AY1853" s="267"/>
      <c r="AZ1853" s="29"/>
      <c r="BA1853" s="30"/>
      <c r="BB1853" s="23" t="str" cm="1">
        <f t="array" ref="BB1853">_xlfn.IFS(AW1853="SIM",SUM(K1853,P1853,U1853,Z1853,AE1853,AJ1853,AO1853,AT1853,AX1853,AY1853),F1853&lt;&gt;"",SUM(K1853,P1853,U1853,Z1853,AE1853,AJ1853,,AO1853,AT1853),F1853="","")</f>
        <v/>
      </c>
      <c r="BC1853" s="211" t="str" cm="1">
        <f t="array" ref="BC1853">_xlfn.IFS(E1853="","",G1853&lt;=E1853,BB1853*(1-0.03),G1853&lt;(E1853+8),BB1853,AZ1853="Boleto",BB1853*(1+0.001)^DATEDIF(E1853,G1853,"D"),AZ1853="Cheque",BB1853,AZ1853="Dinheiro","Alterar forma pgto")</f>
        <v/>
      </c>
      <c r="BD1853" s="276" t="str" cm="1">
        <f t="array" ref="BD1853">IF(F1853=0," ",IF(BC1853&lt;BB1853,(_xlfn.IFS(AW1853="SIM",SUM(L1853,Q1853,V1853,AA1853,AF1853,AK1853,AP1853,AU1853)+AX1853/_xlfn.XLOOKUP(_xlfn.XLOOKUP($F1853,Clientes!$B$4:$B$39,Clientes!$C$4:$C$39),Cadastros!$L$6:$L$12,Cadastros!$M$6:$M$12)+IF($F1853="Bernardino Furlan",AY1853/2751.92,IF($F1853="Mauro José Salanti",AY1853/2751.92,AY1853/3356)),F1853&lt;&gt;0,SUM(L1853,Q1853,V1853,AA1853,AF1853,AK1853,AP1853,AU1853)))*(1-0.03),_xlfn.IFS(AW1853="SIM",SUM(L1853,Q1853,V1853,AA1853,AF1853,AK1853,AP1853,AU1853)+AX1853/_xlfn.XLOOKUP(_xlfn.XLOOKUP($F1853,Clientes!$B$4:$B$39,Clientes!$C$4:$C$39),Cadastros!$L$6:$L$12,Cadastros!$M$6:$M$12)+IF($F1853="Bernardino Furlan",AY1853/2751.92,IF($F1853="Mauro José Salanti",AY1853/2751.92,AY1853/3356)),F1853&lt;&gt;0,SUM(L1853,Q1853,V1853,AA1853,AF1853,AK1853,AP1853,AU1853))))</f>
        <v xml:space="preserve"> </v>
      </c>
      <c r="BE1853" s="120"/>
      <c r="BF1853" s="120"/>
      <c r="BG1853" s="120"/>
    </row>
    <row r="1854" spans="1:59" s="3" customFormat="1" x14ac:dyDescent="0.3">
      <c r="A1854" s="15" t="str">
        <f t="shared" si="364"/>
        <v/>
      </c>
      <c r="B1854" s="25"/>
      <c r="C1854" s="26"/>
      <c r="D1854" s="279"/>
      <c r="E1854" s="27"/>
      <c r="F1854" s="28"/>
      <c r="G1854" s="27"/>
      <c r="H1854" s="28"/>
      <c r="I1854" s="28"/>
      <c r="J1854" s="255" t="str">
        <f>IF(H1854="","",(_xlfn.XLOOKUP(H1854,Cadastros!$D$6:$D$90,Cadastros!$E$6:$E$90))*(1-_xlfn.XLOOKUP(_xlfn.XLOOKUP($F1854,Clientes!$B$4:$B$39,Clientes!$C$4:$C$39),Cadastros!$L$6:$L$12,Cadastros!$N$6:$N$12)))</f>
        <v/>
      </c>
      <c r="K1854" s="168" t="str">
        <f t="shared" si="365"/>
        <v/>
      </c>
      <c r="L1854" s="168" t="str">
        <f>IFERROR(K1854/_xlfn.XLOOKUP(_xlfn.XLOOKUP($F1854,Clientes!$B$4:$B$39,Clientes!$C$4:$C$39),Cadastros!$L$6:$L$12,Cadastros!$M$6:$M$12)," ")</f>
        <v xml:space="preserve"> </v>
      </c>
      <c r="M1854" s="28"/>
      <c r="N1854" s="28"/>
      <c r="O1854" s="255" t="str">
        <f>IF(M1854="","",(_xlfn.XLOOKUP(M1854,Cadastros!$D$6:$D$90,Cadastros!$E$6:$E$90))*(1-_xlfn.XLOOKUP(_xlfn.XLOOKUP($F1854,Clientes!$B$4:$B$39,Clientes!$C$4:$C$39),Cadastros!$L$6:$L$12,Cadastros!$N$6:$N$12)))</f>
        <v/>
      </c>
      <c r="P1854" s="168" t="str">
        <f t="shared" si="366"/>
        <v/>
      </c>
      <c r="Q1854" s="168" t="str">
        <f>IFERROR(P1854/_xlfn.XLOOKUP(_xlfn.XLOOKUP($F1854,Clientes!$B$4:$B$39,Clientes!$C$4:$C$39),Cadastros!$L$6:$L$12,Cadastros!$M$6:$M$12)," ")</f>
        <v xml:space="preserve"> </v>
      </c>
      <c r="R1854" s="28"/>
      <c r="S1854" s="28"/>
      <c r="T1854" s="255" t="str">
        <f>IF(R1854="","",(_xlfn.XLOOKUP(R1854,Cadastros!$D$6:$D$90,Cadastros!$E$6:$E$90))*(1-_xlfn.XLOOKUP(_xlfn.XLOOKUP($F1854,Clientes!$B$4:$B$39,Clientes!$C$4:$C$39),Cadastros!$L$6:$L$12,Cadastros!$N$6:$N$12)))</f>
        <v/>
      </c>
      <c r="U1854" s="168" t="str">
        <f t="shared" si="367"/>
        <v/>
      </c>
      <c r="V1854" s="168" t="str">
        <f>IFERROR(U1854/_xlfn.XLOOKUP(_xlfn.XLOOKUP($F1854,Clientes!$B$4:$B$39,Clientes!$C$4:$C$39),Cadastros!$L$6:$L$12,Cadastros!$M$6:$M$12)," ")</f>
        <v xml:space="preserve"> </v>
      </c>
      <c r="W1854" s="28"/>
      <c r="X1854" s="28"/>
      <c r="Y1854" s="255" t="str">
        <f>IF(W1854="","",(_xlfn.XLOOKUP(W1854,Cadastros!$D$6:$D$90,Cadastros!$E$6:$E$90))*(1-_xlfn.XLOOKUP(_xlfn.XLOOKUP($F1854,Clientes!$B$4:$B$39,Clientes!$C$4:$C$39),Cadastros!$L$6:$L$12,Cadastros!$N$6:$N$12)))</f>
        <v/>
      </c>
      <c r="Z1854" s="168" t="str">
        <f t="shared" si="368"/>
        <v/>
      </c>
      <c r="AA1854" s="168" t="str">
        <f>IFERROR(Z1854/_xlfn.XLOOKUP(_xlfn.XLOOKUP($F1854,Clientes!$B$4:$B$39,Clientes!$C$4:$C$39),Cadastros!$L$6:$L$12,Cadastros!$M$6:$M$12)," ")</f>
        <v xml:space="preserve"> </v>
      </c>
      <c r="AB1854" s="28"/>
      <c r="AC1854" s="28"/>
      <c r="AD1854" s="20" t="str">
        <f>IF(AB1854="","",IF($F1854="Bernardino Furlan",_xlfn.XLOOKUP(AB1854,Cadastros!$G$6:$G$90,Cadastros!$H$6:$H$90)*(1-0.18),IF($F1854="Mauro José Salanti",_xlfn.XLOOKUP(AB1854,Cadastros!$G$6:$G$90,Cadastros!$H$6:$H$90)*(1-0.18),_xlfn.XLOOKUP(AB1854,Cadastros!$G$6:$G$90,Cadastros!$H$6:$H$90))))</f>
        <v/>
      </c>
      <c r="AE1854" s="168" t="str">
        <f t="shared" si="369"/>
        <v/>
      </c>
      <c r="AF1854" s="168" t="str">
        <f t="shared" si="370"/>
        <v/>
      </c>
      <c r="AG1854" s="28"/>
      <c r="AH1854" s="28"/>
      <c r="AI1854" s="20" t="str">
        <f>IF(AG1854="","",IF($F1854="Bernardino Furlan",_xlfn.XLOOKUP(AG1854,Cadastros!$G$6:$G$90,Cadastros!$H$6:$H$90)*(1-0.18),IF($F1854="Mauro José Salanti",_xlfn.XLOOKUP(AG1854,Cadastros!$G$6:$G$90,Cadastros!$H$6:$H$90)*(1-0.18),_xlfn.XLOOKUP(AG1854,Cadastros!$G$6:$G$90,Cadastros!$H$6:$H$90))))</f>
        <v/>
      </c>
      <c r="AJ1854" s="168" t="str">
        <f t="shared" si="371"/>
        <v/>
      </c>
      <c r="AK1854" s="168" t="str">
        <f t="shared" si="372"/>
        <v/>
      </c>
      <c r="AL1854" s="28"/>
      <c r="AM1854" s="28"/>
      <c r="AN1854" s="20" t="str">
        <f>IF(AL1854="","",IF($F1854="Bernardino Furlan",_xlfn.XLOOKUP(AL1854,Cadastros!$G$6:$G$90,Cadastros!$H$6:$H$90)*(1-0.18),IF($F1854="Mauro José Salanti",_xlfn.XLOOKUP(AL1854,Cadastros!$G$6:$G$90,Cadastros!$H$6:$H$90)*(1-0.18),_xlfn.XLOOKUP(AL1854,Cadastros!$G$6:$G$90,Cadastros!$H$6:$H$90))))</f>
        <v/>
      </c>
      <c r="AO1854" s="168" t="str">
        <f t="shared" si="373"/>
        <v/>
      </c>
      <c r="AP1854" s="168" t="str">
        <f t="shared" si="374"/>
        <v/>
      </c>
      <c r="AQ1854" s="28"/>
      <c r="AR1854" s="28"/>
      <c r="AS1854" s="20" t="str">
        <f>IF(AQ1854="","",IF($F1854="Bernardino Furlan",_xlfn.XLOOKUP(AQ1854,Cadastros!$G$6:$G$90,Cadastros!$H$6:$H$90)*(1-0.18),IF($F1854="Mauro José Salanti",_xlfn.XLOOKUP(AQ1854,Cadastros!$G$6:$G$90,Cadastros!$H$6:$H$90)*(1-0.18),_xlfn.XLOOKUP(AQ1854,Cadastros!$G$6:$G$90,Cadastros!$H$6:$H$90))))</f>
        <v/>
      </c>
      <c r="AT1854" s="168" t="str">
        <f t="shared" si="375"/>
        <v/>
      </c>
      <c r="AU1854" s="168" t="str">
        <f t="shared" si="376"/>
        <v/>
      </c>
      <c r="AV1854" s="227"/>
      <c r="AW1854" s="30"/>
      <c r="AX1854" s="267"/>
      <c r="AY1854" s="267"/>
      <c r="AZ1854" s="29"/>
      <c r="BA1854" s="30"/>
      <c r="BB1854" s="23" t="str" cm="1">
        <f t="array" ref="BB1854">_xlfn.IFS(AW1854="SIM",SUM(K1854,P1854,U1854,Z1854,AE1854,AJ1854,AO1854,AT1854,AX1854,AY1854),F1854&lt;&gt;"",SUM(K1854,P1854,U1854,Z1854,AE1854,AJ1854,,AO1854,AT1854),F1854="","")</f>
        <v/>
      </c>
      <c r="BC1854" s="211" t="str" cm="1">
        <f t="array" ref="BC1854">_xlfn.IFS(E1854="","",G1854&lt;=E1854,BB1854*(1-0.03),G1854&lt;(E1854+8),BB1854,AZ1854="Boleto",BB1854*(1+0.001)^DATEDIF(E1854,G1854,"D"),AZ1854="Cheque",BB1854,AZ1854="Dinheiro","Alterar forma pgto")</f>
        <v/>
      </c>
      <c r="BD1854" s="276" t="str" cm="1">
        <f t="array" ref="BD1854">IF(F1854=0," ",IF(BC1854&lt;BB1854,(_xlfn.IFS(AW1854="SIM",SUM(L1854,Q1854,V1854,AA1854,AF1854,AK1854,AP1854,AU1854)+AX1854/_xlfn.XLOOKUP(_xlfn.XLOOKUP($F1854,Clientes!$B$4:$B$39,Clientes!$C$4:$C$39),Cadastros!$L$6:$L$12,Cadastros!$M$6:$M$12)+IF($F1854="Bernardino Furlan",AY1854/2751.92,IF($F1854="Mauro José Salanti",AY1854/2751.92,AY1854/3356)),F1854&lt;&gt;0,SUM(L1854,Q1854,V1854,AA1854,AF1854,AK1854,AP1854,AU1854)))*(1-0.03),_xlfn.IFS(AW1854="SIM",SUM(L1854,Q1854,V1854,AA1854,AF1854,AK1854,AP1854,AU1854)+AX1854/_xlfn.XLOOKUP(_xlfn.XLOOKUP($F1854,Clientes!$B$4:$B$39,Clientes!$C$4:$C$39),Cadastros!$L$6:$L$12,Cadastros!$M$6:$M$12)+IF($F1854="Bernardino Furlan",AY1854/2751.92,IF($F1854="Mauro José Salanti",AY1854/2751.92,AY1854/3356)),F1854&lt;&gt;0,SUM(L1854,Q1854,V1854,AA1854,AF1854,AK1854,AP1854,AU1854))))</f>
        <v xml:space="preserve"> </v>
      </c>
      <c r="BE1854" s="120"/>
      <c r="BF1854" s="120"/>
      <c r="BG1854" s="120"/>
    </row>
    <row r="1855" spans="1:59" s="3" customFormat="1" x14ac:dyDescent="0.3">
      <c r="A1855" s="15" t="str">
        <f t="shared" si="364"/>
        <v/>
      </c>
      <c r="B1855" s="25"/>
      <c r="C1855" s="26"/>
      <c r="D1855" s="279"/>
      <c r="E1855" s="27"/>
      <c r="F1855" s="28"/>
      <c r="G1855" s="27"/>
      <c r="H1855" s="28"/>
      <c r="I1855" s="28"/>
      <c r="J1855" s="255" t="str">
        <f>IF(H1855="","",(_xlfn.XLOOKUP(H1855,Cadastros!$D$6:$D$90,Cadastros!$E$6:$E$90))*(1-_xlfn.XLOOKUP(_xlfn.XLOOKUP($F1855,Clientes!$B$4:$B$39,Clientes!$C$4:$C$39),Cadastros!$L$6:$L$12,Cadastros!$N$6:$N$12)))</f>
        <v/>
      </c>
      <c r="K1855" s="168" t="str">
        <f t="shared" si="365"/>
        <v/>
      </c>
      <c r="L1855" s="168" t="str">
        <f>IFERROR(K1855/_xlfn.XLOOKUP(_xlfn.XLOOKUP($F1855,Clientes!$B$4:$B$39,Clientes!$C$4:$C$39),Cadastros!$L$6:$L$12,Cadastros!$M$6:$M$12)," ")</f>
        <v xml:space="preserve"> </v>
      </c>
      <c r="M1855" s="28"/>
      <c r="N1855" s="28"/>
      <c r="O1855" s="255" t="str">
        <f>IF(M1855="","",(_xlfn.XLOOKUP(M1855,Cadastros!$D$6:$D$90,Cadastros!$E$6:$E$90))*(1-_xlfn.XLOOKUP(_xlfn.XLOOKUP($F1855,Clientes!$B$4:$B$39,Clientes!$C$4:$C$39),Cadastros!$L$6:$L$12,Cadastros!$N$6:$N$12)))</f>
        <v/>
      </c>
      <c r="P1855" s="168" t="str">
        <f t="shared" si="366"/>
        <v/>
      </c>
      <c r="Q1855" s="168" t="str">
        <f>IFERROR(P1855/_xlfn.XLOOKUP(_xlfn.XLOOKUP($F1855,Clientes!$B$4:$B$39,Clientes!$C$4:$C$39),Cadastros!$L$6:$L$12,Cadastros!$M$6:$M$12)," ")</f>
        <v xml:space="preserve"> </v>
      </c>
      <c r="R1855" s="28"/>
      <c r="S1855" s="28"/>
      <c r="T1855" s="255" t="str">
        <f>IF(R1855="","",(_xlfn.XLOOKUP(R1855,Cadastros!$D$6:$D$90,Cadastros!$E$6:$E$90))*(1-_xlfn.XLOOKUP(_xlfn.XLOOKUP($F1855,Clientes!$B$4:$B$39,Clientes!$C$4:$C$39),Cadastros!$L$6:$L$12,Cadastros!$N$6:$N$12)))</f>
        <v/>
      </c>
      <c r="U1855" s="168" t="str">
        <f t="shared" si="367"/>
        <v/>
      </c>
      <c r="V1855" s="168" t="str">
        <f>IFERROR(U1855/_xlfn.XLOOKUP(_xlfn.XLOOKUP($F1855,Clientes!$B$4:$B$39,Clientes!$C$4:$C$39),Cadastros!$L$6:$L$12,Cadastros!$M$6:$M$12)," ")</f>
        <v xml:space="preserve"> </v>
      </c>
      <c r="W1855" s="28"/>
      <c r="X1855" s="28"/>
      <c r="Y1855" s="255" t="str">
        <f>IF(W1855="","",(_xlfn.XLOOKUP(W1855,Cadastros!$D$6:$D$90,Cadastros!$E$6:$E$90))*(1-_xlfn.XLOOKUP(_xlfn.XLOOKUP($F1855,Clientes!$B$4:$B$39,Clientes!$C$4:$C$39),Cadastros!$L$6:$L$12,Cadastros!$N$6:$N$12)))</f>
        <v/>
      </c>
      <c r="Z1855" s="168" t="str">
        <f t="shared" si="368"/>
        <v/>
      </c>
      <c r="AA1855" s="168" t="str">
        <f>IFERROR(Z1855/_xlfn.XLOOKUP(_xlfn.XLOOKUP($F1855,Clientes!$B$4:$B$39,Clientes!$C$4:$C$39),Cadastros!$L$6:$L$12,Cadastros!$M$6:$M$12)," ")</f>
        <v xml:space="preserve"> </v>
      </c>
      <c r="AB1855" s="28"/>
      <c r="AC1855" s="28"/>
      <c r="AD1855" s="20" t="str">
        <f>IF(AB1855="","",IF($F1855="Bernardino Furlan",_xlfn.XLOOKUP(AB1855,Cadastros!$G$6:$G$90,Cadastros!$H$6:$H$90)*(1-0.18),IF($F1855="Mauro José Salanti",_xlfn.XLOOKUP(AB1855,Cadastros!$G$6:$G$90,Cadastros!$H$6:$H$90)*(1-0.18),_xlfn.XLOOKUP(AB1855,Cadastros!$G$6:$G$90,Cadastros!$H$6:$H$90))))</f>
        <v/>
      </c>
      <c r="AE1855" s="168" t="str">
        <f t="shared" si="369"/>
        <v/>
      </c>
      <c r="AF1855" s="168" t="str">
        <f t="shared" si="370"/>
        <v/>
      </c>
      <c r="AG1855" s="28"/>
      <c r="AH1855" s="28"/>
      <c r="AI1855" s="20" t="str">
        <f>IF(AG1855="","",IF($F1855="Bernardino Furlan",_xlfn.XLOOKUP(AG1855,Cadastros!$G$6:$G$90,Cadastros!$H$6:$H$90)*(1-0.18),IF($F1855="Mauro José Salanti",_xlfn.XLOOKUP(AG1855,Cadastros!$G$6:$G$90,Cadastros!$H$6:$H$90)*(1-0.18),_xlfn.XLOOKUP(AG1855,Cadastros!$G$6:$G$90,Cadastros!$H$6:$H$90))))</f>
        <v/>
      </c>
      <c r="AJ1855" s="168" t="str">
        <f t="shared" si="371"/>
        <v/>
      </c>
      <c r="AK1855" s="168" t="str">
        <f t="shared" si="372"/>
        <v/>
      </c>
      <c r="AL1855" s="28"/>
      <c r="AM1855" s="28"/>
      <c r="AN1855" s="20" t="str">
        <f>IF(AL1855="","",IF($F1855="Bernardino Furlan",_xlfn.XLOOKUP(AL1855,Cadastros!$G$6:$G$90,Cadastros!$H$6:$H$90)*(1-0.18),IF($F1855="Mauro José Salanti",_xlfn.XLOOKUP(AL1855,Cadastros!$G$6:$G$90,Cadastros!$H$6:$H$90)*(1-0.18),_xlfn.XLOOKUP(AL1855,Cadastros!$G$6:$G$90,Cadastros!$H$6:$H$90))))</f>
        <v/>
      </c>
      <c r="AO1855" s="168" t="str">
        <f t="shared" si="373"/>
        <v/>
      </c>
      <c r="AP1855" s="168" t="str">
        <f t="shared" si="374"/>
        <v/>
      </c>
      <c r="AQ1855" s="28"/>
      <c r="AR1855" s="28"/>
      <c r="AS1855" s="20" t="str">
        <f>IF(AQ1855="","",IF($F1855="Bernardino Furlan",_xlfn.XLOOKUP(AQ1855,Cadastros!$G$6:$G$90,Cadastros!$H$6:$H$90)*(1-0.18),IF($F1855="Mauro José Salanti",_xlfn.XLOOKUP(AQ1855,Cadastros!$G$6:$G$90,Cadastros!$H$6:$H$90)*(1-0.18),_xlfn.XLOOKUP(AQ1855,Cadastros!$G$6:$G$90,Cadastros!$H$6:$H$90))))</f>
        <v/>
      </c>
      <c r="AT1855" s="168" t="str">
        <f t="shared" si="375"/>
        <v/>
      </c>
      <c r="AU1855" s="168" t="str">
        <f t="shared" si="376"/>
        <v/>
      </c>
      <c r="AV1855" s="227"/>
      <c r="AW1855" s="30"/>
      <c r="AX1855" s="267"/>
      <c r="AY1855" s="267"/>
      <c r="AZ1855" s="29"/>
      <c r="BA1855" s="30"/>
      <c r="BB1855" s="23" t="str" cm="1">
        <f t="array" ref="BB1855">_xlfn.IFS(AW1855="SIM",SUM(K1855,P1855,U1855,Z1855,AE1855,AJ1855,AO1855,AT1855,AX1855,AY1855),F1855&lt;&gt;"",SUM(K1855,P1855,U1855,Z1855,AE1855,AJ1855,,AO1855,AT1855),F1855="","")</f>
        <v/>
      </c>
      <c r="BC1855" s="211" t="str" cm="1">
        <f t="array" ref="BC1855">_xlfn.IFS(E1855="","",G1855&lt;=E1855,BB1855*(1-0.03),G1855&lt;(E1855+8),BB1855,AZ1855="Boleto",BB1855*(1+0.001)^DATEDIF(E1855,G1855,"D"),AZ1855="Cheque",BB1855,AZ1855="Dinheiro","Alterar forma pgto")</f>
        <v/>
      </c>
      <c r="BD1855" s="276" t="str" cm="1">
        <f t="array" ref="BD1855">IF(F1855=0," ",IF(BC1855&lt;BB1855,(_xlfn.IFS(AW1855="SIM",SUM(L1855,Q1855,V1855,AA1855,AF1855,AK1855,AP1855,AU1855)+AX1855/_xlfn.XLOOKUP(_xlfn.XLOOKUP($F1855,Clientes!$B$4:$B$39,Clientes!$C$4:$C$39),Cadastros!$L$6:$L$12,Cadastros!$M$6:$M$12)+IF($F1855="Bernardino Furlan",AY1855/2751.92,IF($F1855="Mauro José Salanti",AY1855/2751.92,AY1855/3356)),F1855&lt;&gt;0,SUM(L1855,Q1855,V1855,AA1855,AF1855,AK1855,AP1855,AU1855)))*(1-0.03),_xlfn.IFS(AW1855="SIM",SUM(L1855,Q1855,V1855,AA1855,AF1855,AK1855,AP1855,AU1855)+AX1855/_xlfn.XLOOKUP(_xlfn.XLOOKUP($F1855,Clientes!$B$4:$B$39,Clientes!$C$4:$C$39),Cadastros!$L$6:$L$12,Cadastros!$M$6:$M$12)+IF($F1855="Bernardino Furlan",AY1855/2751.92,IF($F1855="Mauro José Salanti",AY1855/2751.92,AY1855/3356)),F1855&lt;&gt;0,SUM(L1855,Q1855,V1855,AA1855,AF1855,AK1855,AP1855,AU1855))))</f>
        <v xml:space="preserve"> </v>
      </c>
      <c r="BE1855" s="120"/>
      <c r="BF1855" s="120"/>
      <c r="BG1855" s="120"/>
    </row>
    <row r="1856" spans="1:59" s="3" customFormat="1" x14ac:dyDescent="0.3">
      <c r="A1856" s="15" t="str">
        <f t="shared" si="364"/>
        <v/>
      </c>
      <c r="B1856" s="25"/>
      <c r="C1856" s="26"/>
      <c r="D1856" s="279"/>
      <c r="E1856" s="27"/>
      <c r="F1856" s="28"/>
      <c r="G1856" s="27"/>
      <c r="H1856" s="28"/>
      <c r="I1856" s="28"/>
      <c r="J1856" s="255" t="str">
        <f>IF(H1856="","",(_xlfn.XLOOKUP(H1856,Cadastros!$D$6:$D$90,Cadastros!$E$6:$E$90))*(1-_xlfn.XLOOKUP(_xlfn.XLOOKUP($F1856,Clientes!$B$4:$B$39,Clientes!$C$4:$C$39),Cadastros!$L$6:$L$12,Cadastros!$N$6:$N$12)))</f>
        <v/>
      </c>
      <c r="K1856" s="168" t="str">
        <f t="shared" si="365"/>
        <v/>
      </c>
      <c r="L1856" s="168" t="str">
        <f>IFERROR(K1856/_xlfn.XLOOKUP(_xlfn.XLOOKUP($F1856,Clientes!$B$4:$B$39,Clientes!$C$4:$C$39),Cadastros!$L$6:$L$12,Cadastros!$M$6:$M$12)," ")</f>
        <v xml:space="preserve"> </v>
      </c>
      <c r="M1856" s="28"/>
      <c r="N1856" s="28"/>
      <c r="O1856" s="255" t="str">
        <f>IF(M1856="","",(_xlfn.XLOOKUP(M1856,Cadastros!$D$6:$D$90,Cadastros!$E$6:$E$90))*(1-_xlfn.XLOOKUP(_xlfn.XLOOKUP($F1856,Clientes!$B$4:$B$39,Clientes!$C$4:$C$39),Cadastros!$L$6:$L$12,Cadastros!$N$6:$N$12)))</f>
        <v/>
      </c>
      <c r="P1856" s="168" t="str">
        <f t="shared" si="366"/>
        <v/>
      </c>
      <c r="Q1856" s="168" t="str">
        <f>IFERROR(P1856/_xlfn.XLOOKUP(_xlfn.XLOOKUP($F1856,Clientes!$B$4:$B$39,Clientes!$C$4:$C$39),Cadastros!$L$6:$L$12,Cadastros!$M$6:$M$12)," ")</f>
        <v xml:space="preserve"> </v>
      </c>
      <c r="R1856" s="28"/>
      <c r="S1856" s="28"/>
      <c r="T1856" s="255" t="str">
        <f>IF(R1856="","",(_xlfn.XLOOKUP(R1856,Cadastros!$D$6:$D$90,Cadastros!$E$6:$E$90))*(1-_xlfn.XLOOKUP(_xlfn.XLOOKUP($F1856,Clientes!$B$4:$B$39,Clientes!$C$4:$C$39),Cadastros!$L$6:$L$12,Cadastros!$N$6:$N$12)))</f>
        <v/>
      </c>
      <c r="U1856" s="168" t="str">
        <f t="shared" si="367"/>
        <v/>
      </c>
      <c r="V1856" s="168" t="str">
        <f>IFERROR(U1856/_xlfn.XLOOKUP(_xlfn.XLOOKUP($F1856,Clientes!$B$4:$B$39,Clientes!$C$4:$C$39),Cadastros!$L$6:$L$12,Cadastros!$M$6:$M$12)," ")</f>
        <v xml:space="preserve"> </v>
      </c>
      <c r="W1856" s="28"/>
      <c r="X1856" s="28"/>
      <c r="Y1856" s="255" t="str">
        <f>IF(W1856="","",(_xlfn.XLOOKUP(W1856,Cadastros!$D$6:$D$90,Cadastros!$E$6:$E$90))*(1-_xlfn.XLOOKUP(_xlfn.XLOOKUP($F1856,Clientes!$B$4:$B$39,Clientes!$C$4:$C$39),Cadastros!$L$6:$L$12,Cadastros!$N$6:$N$12)))</f>
        <v/>
      </c>
      <c r="Z1856" s="168" t="str">
        <f t="shared" si="368"/>
        <v/>
      </c>
      <c r="AA1856" s="168" t="str">
        <f>IFERROR(Z1856/_xlfn.XLOOKUP(_xlfn.XLOOKUP($F1856,Clientes!$B$4:$B$39,Clientes!$C$4:$C$39),Cadastros!$L$6:$L$12,Cadastros!$M$6:$M$12)," ")</f>
        <v xml:space="preserve"> </v>
      </c>
      <c r="AB1856" s="28"/>
      <c r="AC1856" s="28"/>
      <c r="AD1856" s="20" t="str">
        <f>IF(AB1856="","",IF($F1856="Bernardino Furlan",_xlfn.XLOOKUP(AB1856,Cadastros!$G$6:$G$90,Cadastros!$H$6:$H$90)*(1-0.18),IF($F1856="Mauro José Salanti",_xlfn.XLOOKUP(AB1856,Cadastros!$G$6:$G$90,Cadastros!$H$6:$H$90)*(1-0.18),_xlfn.XLOOKUP(AB1856,Cadastros!$G$6:$G$90,Cadastros!$H$6:$H$90))))</f>
        <v/>
      </c>
      <c r="AE1856" s="168" t="str">
        <f t="shared" si="369"/>
        <v/>
      </c>
      <c r="AF1856" s="168" t="str">
        <f t="shared" si="370"/>
        <v/>
      </c>
      <c r="AG1856" s="28"/>
      <c r="AH1856" s="28"/>
      <c r="AI1856" s="20" t="str">
        <f>IF(AG1856="","",IF($F1856="Bernardino Furlan",_xlfn.XLOOKUP(AG1856,Cadastros!$G$6:$G$90,Cadastros!$H$6:$H$90)*(1-0.18),IF($F1856="Mauro José Salanti",_xlfn.XLOOKUP(AG1856,Cadastros!$G$6:$G$90,Cadastros!$H$6:$H$90)*(1-0.18),_xlfn.XLOOKUP(AG1856,Cadastros!$G$6:$G$90,Cadastros!$H$6:$H$90))))</f>
        <v/>
      </c>
      <c r="AJ1856" s="168" t="str">
        <f t="shared" si="371"/>
        <v/>
      </c>
      <c r="AK1856" s="168" t="str">
        <f t="shared" si="372"/>
        <v/>
      </c>
      <c r="AL1856" s="28"/>
      <c r="AM1856" s="28"/>
      <c r="AN1856" s="20" t="str">
        <f>IF(AL1856="","",IF($F1856="Bernardino Furlan",_xlfn.XLOOKUP(AL1856,Cadastros!$G$6:$G$90,Cadastros!$H$6:$H$90)*(1-0.18),IF($F1856="Mauro José Salanti",_xlfn.XLOOKUP(AL1856,Cadastros!$G$6:$G$90,Cadastros!$H$6:$H$90)*(1-0.18),_xlfn.XLOOKUP(AL1856,Cadastros!$G$6:$G$90,Cadastros!$H$6:$H$90))))</f>
        <v/>
      </c>
      <c r="AO1856" s="168" t="str">
        <f t="shared" si="373"/>
        <v/>
      </c>
      <c r="AP1856" s="168" t="str">
        <f t="shared" si="374"/>
        <v/>
      </c>
      <c r="AQ1856" s="28"/>
      <c r="AR1856" s="28"/>
      <c r="AS1856" s="20" t="str">
        <f>IF(AQ1856="","",IF($F1856="Bernardino Furlan",_xlfn.XLOOKUP(AQ1856,Cadastros!$G$6:$G$90,Cadastros!$H$6:$H$90)*(1-0.18),IF($F1856="Mauro José Salanti",_xlfn.XLOOKUP(AQ1856,Cadastros!$G$6:$G$90,Cadastros!$H$6:$H$90)*(1-0.18),_xlfn.XLOOKUP(AQ1856,Cadastros!$G$6:$G$90,Cadastros!$H$6:$H$90))))</f>
        <v/>
      </c>
      <c r="AT1856" s="168" t="str">
        <f t="shared" si="375"/>
        <v/>
      </c>
      <c r="AU1856" s="168" t="str">
        <f t="shared" si="376"/>
        <v/>
      </c>
      <c r="AV1856" s="227"/>
      <c r="AW1856" s="30"/>
      <c r="AX1856" s="267"/>
      <c r="AY1856" s="267"/>
      <c r="AZ1856" s="29"/>
      <c r="BA1856" s="30"/>
      <c r="BB1856" s="23" t="str" cm="1">
        <f t="array" ref="BB1856">_xlfn.IFS(AW1856="SIM",SUM(K1856,P1856,U1856,Z1856,AE1856,AJ1856,AO1856,AT1856,AX1856,AY1856),F1856&lt;&gt;"",SUM(K1856,P1856,U1856,Z1856,AE1856,AJ1856,,AO1856,AT1856),F1856="","")</f>
        <v/>
      </c>
      <c r="BC1856" s="211" t="str" cm="1">
        <f t="array" ref="BC1856">_xlfn.IFS(E1856="","",G1856&lt;=E1856,BB1856*(1-0.03),G1856&lt;(E1856+8),BB1856,AZ1856="Boleto",BB1856*(1+0.001)^DATEDIF(E1856,G1856,"D"),AZ1856="Cheque",BB1856,AZ1856="Dinheiro","Alterar forma pgto")</f>
        <v/>
      </c>
      <c r="BD1856" s="276" t="str" cm="1">
        <f t="array" ref="BD1856">IF(F1856=0," ",IF(BC1856&lt;BB1856,(_xlfn.IFS(AW1856="SIM",SUM(L1856,Q1856,V1856,AA1856,AF1856,AK1856,AP1856,AU1856)+AX1856/_xlfn.XLOOKUP(_xlfn.XLOOKUP($F1856,Clientes!$B$4:$B$39,Clientes!$C$4:$C$39),Cadastros!$L$6:$L$12,Cadastros!$M$6:$M$12)+IF($F1856="Bernardino Furlan",AY1856/2751.92,IF($F1856="Mauro José Salanti",AY1856/2751.92,AY1856/3356)),F1856&lt;&gt;0,SUM(L1856,Q1856,V1856,AA1856,AF1856,AK1856,AP1856,AU1856)))*(1-0.03),_xlfn.IFS(AW1856="SIM",SUM(L1856,Q1856,V1856,AA1856,AF1856,AK1856,AP1856,AU1856)+AX1856/_xlfn.XLOOKUP(_xlfn.XLOOKUP($F1856,Clientes!$B$4:$B$39,Clientes!$C$4:$C$39),Cadastros!$L$6:$L$12,Cadastros!$M$6:$M$12)+IF($F1856="Bernardino Furlan",AY1856/2751.92,IF($F1856="Mauro José Salanti",AY1856/2751.92,AY1856/3356)),F1856&lt;&gt;0,SUM(L1856,Q1856,V1856,AA1856,AF1856,AK1856,AP1856,AU1856))))</f>
        <v xml:space="preserve"> </v>
      </c>
      <c r="BE1856" s="120"/>
      <c r="BF1856" s="120"/>
      <c r="BG1856" s="120"/>
    </row>
    <row r="1857" spans="1:59" s="3" customFormat="1" x14ac:dyDescent="0.3">
      <c r="A1857" s="15" t="str">
        <f t="shared" si="364"/>
        <v/>
      </c>
      <c r="B1857" s="25"/>
      <c r="C1857" s="26"/>
      <c r="D1857" s="279"/>
      <c r="E1857" s="27"/>
      <c r="F1857" s="28"/>
      <c r="G1857" s="27"/>
      <c r="H1857" s="28"/>
      <c r="I1857" s="28"/>
      <c r="J1857" s="255" t="str">
        <f>IF(H1857="","",(_xlfn.XLOOKUP(H1857,Cadastros!$D$6:$D$90,Cadastros!$E$6:$E$90))*(1-_xlfn.XLOOKUP(_xlfn.XLOOKUP($F1857,Clientes!$B$4:$B$39,Clientes!$C$4:$C$39),Cadastros!$L$6:$L$12,Cadastros!$N$6:$N$12)))</f>
        <v/>
      </c>
      <c r="K1857" s="168" t="str">
        <f t="shared" si="365"/>
        <v/>
      </c>
      <c r="L1857" s="168" t="str">
        <f>IFERROR(K1857/_xlfn.XLOOKUP(_xlfn.XLOOKUP($F1857,Clientes!$B$4:$B$39,Clientes!$C$4:$C$39),Cadastros!$L$6:$L$12,Cadastros!$M$6:$M$12)," ")</f>
        <v xml:space="preserve"> </v>
      </c>
      <c r="M1857" s="28"/>
      <c r="N1857" s="28"/>
      <c r="O1857" s="255" t="str">
        <f>IF(M1857="","",(_xlfn.XLOOKUP(M1857,Cadastros!$D$6:$D$90,Cadastros!$E$6:$E$90))*(1-_xlfn.XLOOKUP(_xlfn.XLOOKUP($F1857,Clientes!$B$4:$B$39,Clientes!$C$4:$C$39),Cadastros!$L$6:$L$12,Cadastros!$N$6:$N$12)))</f>
        <v/>
      </c>
      <c r="P1857" s="168" t="str">
        <f t="shared" si="366"/>
        <v/>
      </c>
      <c r="Q1857" s="168" t="str">
        <f>IFERROR(P1857/_xlfn.XLOOKUP(_xlfn.XLOOKUP($F1857,Clientes!$B$4:$B$39,Clientes!$C$4:$C$39),Cadastros!$L$6:$L$12,Cadastros!$M$6:$M$12)," ")</f>
        <v xml:space="preserve"> </v>
      </c>
      <c r="R1857" s="28"/>
      <c r="S1857" s="28"/>
      <c r="T1857" s="255" t="str">
        <f>IF(R1857="","",(_xlfn.XLOOKUP(R1857,Cadastros!$D$6:$D$90,Cadastros!$E$6:$E$90))*(1-_xlfn.XLOOKUP(_xlfn.XLOOKUP($F1857,Clientes!$B$4:$B$39,Clientes!$C$4:$C$39),Cadastros!$L$6:$L$12,Cadastros!$N$6:$N$12)))</f>
        <v/>
      </c>
      <c r="U1857" s="168" t="str">
        <f t="shared" si="367"/>
        <v/>
      </c>
      <c r="V1857" s="168" t="str">
        <f>IFERROR(U1857/_xlfn.XLOOKUP(_xlfn.XLOOKUP($F1857,Clientes!$B$4:$B$39,Clientes!$C$4:$C$39),Cadastros!$L$6:$L$12,Cadastros!$M$6:$M$12)," ")</f>
        <v xml:space="preserve"> </v>
      </c>
      <c r="W1857" s="28"/>
      <c r="X1857" s="28"/>
      <c r="Y1857" s="255" t="str">
        <f>IF(W1857="","",(_xlfn.XLOOKUP(W1857,Cadastros!$D$6:$D$90,Cadastros!$E$6:$E$90))*(1-_xlfn.XLOOKUP(_xlfn.XLOOKUP($F1857,Clientes!$B$4:$B$39,Clientes!$C$4:$C$39),Cadastros!$L$6:$L$12,Cadastros!$N$6:$N$12)))</f>
        <v/>
      </c>
      <c r="Z1857" s="168" t="str">
        <f t="shared" si="368"/>
        <v/>
      </c>
      <c r="AA1857" s="168" t="str">
        <f>IFERROR(Z1857/_xlfn.XLOOKUP(_xlfn.XLOOKUP($F1857,Clientes!$B$4:$B$39,Clientes!$C$4:$C$39),Cadastros!$L$6:$L$12,Cadastros!$M$6:$M$12)," ")</f>
        <v xml:space="preserve"> </v>
      </c>
      <c r="AB1857" s="28"/>
      <c r="AC1857" s="28"/>
      <c r="AD1857" s="20" t="str">
        <f>IF(AB1857="","",IF($F1857="Bernardino Furlan",_xlfn.XLOOKUP(AB1857,Cadastros!$G$6:$G$90,Cadastros!$H$6:$H$90)*(1-0.18),IF($F1857="Mauro José Salanti",_xlfn.XLOOKUP(AB1857,Cadastros!$G$6:$G$90,Cadastros!$H$6:$H$90)*(1-0.18),_xlfn.XLOOKUP(AB1857,Cadastros!$G$6:$G$90,Cadastros!$H$6:$H$90))))</f>
        <v/>
      </c>
      <c r="AE1857" s="168" t="str">
        <f t="shared" si="369"/>
        <v/>
      </c>
      <c r="AF1857" s="168" t="str">
        <f t="shared" si="370"/>
        <v/>
      </c>
      <c r="AG1857" s="28"/>
      <c r="AH1857" s="28"/>
      <c r="AI1857" s="20" t="str">
        <f>IF(AG1857="","",IF($F1857="Bernardino Furlan",_xlfn.XLOOKUP(AG1857,Cadastros!$G$6:$G$90,Cadastros!$H$6:$H$90)*(1-0.18),IF($F1857="Mauro José Salanti",_xlfn.XLOOKUP(AG1857,Cadastros!$G$6:$G$90,Cadastros!$H$6:$H$90)*(1-0.18),_xlfn.XLOOKUP(AG1857,Cadastros!$G$6:$G$90,Cadastros!$H$6:$H$90))))</f>
        <v/>
      </c>
      <c r="AJ1857" s="168" t="str">
        <f t="shared" si="371"/>
        <v/>
      </c>
      <c r="AK1857" s="168" t="str">
        <f t="shared" si="372"/>
        <v/>
      </c>
      <c r="AL1857" s="28"/>
      <c r="AM1857" s="28"/>
      <c r="AN1857" s="20" t="str">
        <f>IF(AL1857="","",IF($F1857="Bernardino Furlan",_xlfn.XLOOKUP(AL1857,Cadastros!$G$6:$G$90,Cadastros!$H$6:$H$90)*(1-0.18),IF($F1857="Mauro José Salanti",_xlfn.XLOOKUP(AL1857,Cadastros!$G$6:$G$90,Cadastros!$H$6:$H$90)*(1-0.18),_xlfn.XLOOKUP(AL1857,Cadastros!$G$6:$G$90,Cadastros!$H$6:$H$90))))</f>
        <v/>
      </c>
      <c r="AO1857" s="168" t="str">
        <f t="shared" si="373"/>
        <v/>
      </c>
      <c r="AP1857" s="168" t="str">
        <f t="shared" si="374"/>
        <v/>
      </c>
      <c r="AQ1857" s="28"/>
      <c r="AR1857" s="28"/>
      <c r="AS1857" s="20" t="str">
        <f>IF(AQ1857="","",IF($F1857="Bernardino Furlan",_xlfn.XLOOKUP(AQ1857,Cadastros!$G$6:$G$90,Cadastros!$H$6:$H$90)*(1-0.18),IF($F1857="Mauro José Salanti",_xlfn.XLOOKUP(AQ1857,Cadastros!$G$6:$G$90,Cadastros!$H$6:$H$90)*(1-0.18),_xlfn.XLOOKUP(AQ1857,Cadastros!$G$6:$G$90,Cadastros!$H$6:$H$90))))</f>
        <v/>
      </c>
      <c r="AT1857" s="168" t="str">
        <f t="shared" si="375"/>
        <v/>
      </c>
      <c r="AU1857" s="168" t="str">
        <f t="shared" si="376"/>
        <v/>
      </c>
      <c r="AV1857" s="227"/>
      <c r="AW1857" s="30"/>
      <c r="AX1857" s="267"/>
      <c r="AY1857" s="267"/>
      <c r="AZ1857" s="29"/>
      <c r="BA1857" s="30"/>
      <c r="BB1857" s="23" t="str" cm="1">
        <f t="array" ref="BB1857">_xlfn.IFS(AW1857="SIM",SUM(K1857,P1857,U1857,Z1857,AE1857,AJ1857,AO1857,AT1857,AX1857,AY1857),F1857&lt;&gt;"",SUM(K1857,P1857,U1857,Z1857,AE1857,AJ1857,,AO1857,AT1857),F1857="","")</f>
        <v/>
      </c>
      <c r="BC1857" s="211" t="str" cm="1">
        <f t="array" ref="BC1857">_xlfn.IFS(E1857="","",G1857&lt;=E1857,BB1857*(1-0.03),G1857&lt;(E1857+8),BB1857,AZ1857="Boleto",BB1857*(1+0.001)^DATEDIF(E1857,G1857,"D"),AZ1857="Cheque",BB1857,AZ1857="Dinheiro","Alterar forma pgto")</f>
        <v/>
      </c>
      <c r="BD1857" s="276" t="str" cm="1">
        <f t="array" ref="BD1857">IF(F1857=0," ",IF(BC1857&lt;BB1857,(_xlfn.IFS(AW1857="SIM",SUM(L1857,Q1857,V1857,AA1857,AF1857,AK1857,AP1857,AU1857)+AX1857/_xlfn.XLOOKUP(_xlfn.XLOOKUP($F1857,Clientes!$B$4:$B$39,Clientes!$C$4:$C$39),Cadastros!$L$6:$L$12,Cadastros!$M$6:$M$12)+IF($F1857="Bernardino Furlan",AY1857/2751.92,IF($F1857="Mauro José Salanti",AY1857/2751.92,AY1857/3356)),F1857&lt;&gt;0,SUM(L1857,Q1857,V1857,AA1857,AF1857,AK1857,AP1857,AU1857)))*(1-0.03),_xlfn.IFS(AW1857="SIM",SUM(L1857,Q1857,V1857,AA1857,AF1857,AK1857,AP1857,AU1857)+AX1857/_xlfn.XLOOKUP(_xlfn.XLOOKUP($F1857,Clientes!$B$4:$B$39,Clientes!$C$4:$C$39),Cadastros!$L$6:$L$12,Cadastros!$M$6:$M$12)+IF($F1857="Bernardino Furlan",AY1857/2751.92,IF($F1857="Mauro José Salanti",AY1857/2751.92,AY1857/3356)),F1857&lt;&gt;0,SUM(L1857,Q1857,V1857,AA1857,AF1857,AK1857,AP1857,AU1857))))</f>
        <v xml:space="preserve"> </v>
      </c>
      <c r="BE1857" s="120"/>
      <c r="BF1857" s="120"/>
      <c r="BG1857" s="120"/>
    </row>
    <row r="1858" spans="1:59" s="3" customFormat="1" x14ac:dyDescent="0.3">
      <c r="A1858" s="15" t="str">
        <f t="shared" si="364"/>
        <v/>
      </c>
      <c r="B1858" s="25"/>
      <c r="C1858" s="26"/>
      <c r="D1858" s="279"/>
      <c r="E1858" s="27"/>
      <c r="F1858" s="28"/>
      <c r="G1858" s="27"/>
      <c r="H1858" s="28"/>
      <c r="I1858" s="28"/>
      <c r="J1858" s="255" t="str">
        <f>IF(H1858="","",(_xlfn.XLOOKUP(H1858,Cadastros!$D$6:$D$90,Cadastros!$E$6:$E$90))*(1-_xlfn.XLOOKUP(_xlfn.XLOOKUP($F1858,Clientes!$B$4:$B$39,Clientes!$C$4:$C$39),Cadastros!$L$6:$L$12,Cadastros!$N$6:$N$12)))</f>
        <v/>
      </c>
      <c r="K1858" s="168" t="str">
        <f t="shared" si="365"/>
        <v/>
      </c>
      <c r="L1858" s="168" t="str">
        <f>IFERROR(K1858/_xlfn.XLOOKUP(_xlfn.XLOOKUP($F1858,Clientes!$B$4:$B$39,Clientes!$C$4:$C$39),Cadastros!$L$6:$L$12,Cadastros!$M$6:$M$12)," ")</f>
        <v xml:space="preserve"> </v>
      </c>
      <c r="M1858" s="28"/>
      <c r="N1858" s="28"/>
      <c r="O1858" s="255" t="str">
        <f>IF(M1858="","",(_xlfn.XLOOKUP(M1858,Cadastros!$D$6:$D$90,Cadastros!$E$6:$E$90))*(1-_xlfn.XLOOKUP(_xlfn.XLOOKUP($F1858,Clientes!$B$4:$B$39,Clientes!$C$4:$C$39),Cadastros!$L$6:$L$12,Cadastros!$N$6:$N$12)))</f>
        <v/>
      </c>
      <c r="P1858" s="168" t="str">
        <f t="shared" si="366"/>
        <v/>
      </c>
      <c r="Q1858" s="168" t="str">
        <f>IFERROR(P1858/_xlfn.XLOOKUP(_xlfn.XLOOKUP($F1858,Clientes!$B$4:$B$39,Clientes!$C$4:$C$39),Cadastros!$L$6:$L$12,Cadastros!$M$6:$M$12)," ")</f>
        <v xml:space="preserve"> </v>
      </c>
      <c r="R1858" s="28"/>
      <c r="S1858" s="28"/>
      <c r="T1858" s="255" t="str">
        <f>IF(R1858="","",(_xlfn.XLOOKUP(R1858,Cadastros!$D$6:$D$90,Cadastros!$E$6:$E$90))*(1-_xlfn.XLOOKUP(_xlfn.XLOOKUP($F1858,Clientes!$B$4:$B$39,Clientes!$C$4:$C$39),Cadastros!$L$6:$L$12,Cadastros!$N$6:$N$12)))</f>
        <v/>
      </c>
      <c r="U1858" s="168" t="str">
        <f t="shared" si="367"/>
        <v/>
      </c>
      <c r="V1858" s="168" t="str">
        <f>IFERROR(U1858/_xlfn.XLOOKUP(_xlfn.XLOOKUP($F1858,Clientes!$B$4:$B$39,Clientes!$C$4:$C$39),Cadastros!$L$6:$L$12,Cadastros!$M$6:$M$12)," ")</f>
        <v xml:space="preserve"> </v>
      </c>
      <c r="W1858" s="28"/>
      <c r="X1858" s="28"/>
      <c r="Y1858" s="255" t="str">
        <f>IF(W1858="","",(_xlfn.XLOOKUP(W1858,Cadastros!$D$6:$D$90,Cadastros!$E$6:$E$90))*(1-_xlfn.XLOOKUP(_xlfn.XLOOKUP($F1858,Clientes!$B$4:$B$39,Clientes!$C$4:$C$39),Cadastros!$L$6:$L$12,Cadastros!$N$6:$N$12)))</f>
        <v/>
      </c>
      <c r="Z1858" s="168" t="str">
        <f t="shared" si="368"/>
        <v/>
      </c>
      <c r="AA1858" s="168" t="str">
        <f>IFERROR(Z1858/_xlfn.XLOOKUP(_xlfn.XLOOKUP($F1858,Clientes!$B$4:$B$39,Clientes!$C$4:$C$39),Cadastros!$L$6:$L$12,Cadastros!$M$6:$M$12)," ")</f>
        <v xml:space="preserve"> </v>
      </c>
      <c r="AB1858" s="28"/>
      <c r="AC1858" s="28"/>
      <c r="AD1858" s="20" t="str">
        <f>IF(AB1858="","",IF($F1858="Bernardino Furlan",_xlfn.XLOOKUP(AB1858,Cadastros!$G$6:$G$90,Cadastros!$H$6:$H$90)*(1-0.18),IF($F1858="Mauro José Salanti",_xlfn.XLOOKUP(AB1858,Cadastros!$G$6:$G$90,Cadastros!$H$6:$H$90)*(1-0.18),_xlfn.XLOOKUP(AB1858,Cadastros!$G$6:$G$90,Cadastros!$H$6:$H$90))))</f>
        <v/>
      </c>
      <c r="AE1858" s="168" t="str">
        <f t="shared" si="369"/>
        <v/>
      </c>
      <c r="AF1858" s="168" t="str">
        <f t="shared" si="370"/>
        <v/>
      </c>
      <c r="AG1858" s="28"/>
      <c r="AH1858" s="28"/>
      <c r="AI1858" s="20" t="str">
        <f>IF(AG1858="","",IF($F1858="Bernardino Furlan",_xlfn.XLOOKUP(AG1858,Cadastros!$G$6:$G$90,Cadastros!$H$6:$H$90)*(1-0.18),IF($F1858="Mauro José Salanti",_xlfn.XLOOKUP(AG1858,Cadastros!$G$6:$G$90,Cadastros!$H$6:$H$90)*(1-0.18),_xlfn.XLOOKUP(AG1858,Cadastros!$G$6:$G$90,Cadastros!$H$6:$H$90))))</f>
        <v/>
      </c>
      <c r="AJ1858" s="168" t="str">
        <f t="shared" si="371"/>
        <v/>
      </c>
      <c r="AK1858" s="168" t="str">
        <f t="shared" si="372"/>
        <v/>
      </c>
      <c r="AL1858" s="28"/>
      <c r="AM1858" s="28"/>
      <c r="AN1858" s="20" t="str">
        <f>IF(AL1858="","",IF($F1858="Bernardino Furlan",_xlfn.XLOOKUP(AL1858,Cadastros!$G$6:$G$90,Cadastros!$H$6:$H$90)*(1-0.18),IF($F1858="Mauro José Salanti",_xlfn.XLOOKUP(AL1858,Cadastros!$G$6:$G$90,Cadastros!$H$6:$H$90)*(1-0.18),_xlfn.XLOOKUP(AL1858,Cadastros!$G$6:$G$90,Cadastros!$H$6:$H$90))))</f>
        <v/>
      </c>
      <c r="AO1858" s="168" t="str">
        <f t="shared" si="373"/>
        <v/>
      </c>
      <c r="AP1858" s="168" t="str">
        <f t="shared" si="374"/>
        <v/>
      </c>
      <c r="AQ1858" s="28"/>
      <c r="AR1858" s="28"/>
      <c r="AS1858" s="20" t="str">
        <f>IF(AQ1858="","",IF($F1858="Bernardino Furlan",_xlfn.XLOOKUP(AQ1858,Cadastros!$G$6:$G$90,Cadastros!$H$6:$H$90)*(1-0.18),IF($F1858="Mauro José Salanti",_xlfn.XLOOKUP(AQ1858,Cadastros!$G$6:$G$90,Cadastros!$H$6:$H$90)*(1-0.18),_xlfn.XLOOKUP(AQ1858,Cadastros!$G$6:$G$90,Cadastros!$H$6:$H$90))))</f>
        <v/>
      </c>
      <c r="AT1858" s="168" t="str">
        <f t="shared" si="375"/>
        <v/>
      </c>
      <c r="AU1858" s="168" t="str">
        <f t="shared" si="376"/>
        <v/>
      </c>
      <c r="AV1858" s="227"/>
      <c r="AW1858" s="30"/>
      <c r="AX1858" s="267"/>
      <c r="AY1858" s="267"/>
      <c r="AZ1858" s="29"/>
      <c r="BA1858" s="30"/>
      <c r="BB1858" s="23" t="str" cm="1">
        <f t="array" ref="BB1858">_xlfn.IFS(AW1858="SIM",SUM(K1858,P1858,U1858,Z1858,AE1858,AJ1858,AO1858,AT1858,AX1858,AY1858),F1858&lt;&gt;"",SUM(K1858,P1858,U1858,Z1858,AE1858,AJ1858,,AO1858,AT1858),F1858="","")</f>
        <v/>
      </c>
      <c r="BC1858" s="211" t="str" cm="1">
        <f t="array" ref="BC1858">_xlfn.IFS(E1858="","",G1858&lt;=E1858,BB1858*(1-0.03),G1858&lt;(E1858+8),BB1858,AZ1858="Boleto",BB1858*(1+0.001)^DATEDIF(E1858,G1858,"D"),AZ1858="Cheque",BB1858,AZ1858="Dinheiro","Alterar forma pgto")</f>
        <v/>
      </c>
      <c r="BD1858" s="276" t="str" cm="1">
        <f t="array" ref="BD1858">IF(F1858=0," ",IF(BC1858&lt;BB1858,(_xlfn.IFS(AW1858="SIM",SUM(L1858,Q1858,V1858,AA1858,AF1858,AK1858,AP1858,AU1858)+AX1858/_xlfn.XLOOKUP(_xlfn.XLOOKUP($F1858,Clientes!$B$4:$B$39,Clientes!$C$4:$C$39),Cadastros!$L$6:$L$12,Cadastros!$M$6:$M$12)+IF($F1858="Bernardino Furlan",AY1858/2751.92,IF($F1858="Mauro José Salanti",AY1858/2751.92,AY1858/3356)),F1858&lt;&gt;0,SUM(L1858,Q1858,V1858,AA1858,AF1858,AK1858,AP1858,AU1858)))*(1-0.03),_xlfn.IFS(AW1858="SIM",SUM(L1858,Q1858,V1858,AA1858,AF1858,AK1858,AP1858,AU1858)+AX1858/_xlfn.XLOOKUP(_xlfn.XLOOKUP($F1858,Clientes!$B$4:$B$39,Clientes!$C$4:$C$39),Cadastros!$L$6:$L$12,Cadastros!$M$6:$M$12)+IF($F1858="Bernardino Furlan",AY1858/2751.92,IF($F1858="Mauro José Salanti",AY1858/2751.92,AY1858/3356)),F1858&lt;&gt;0,SUM(L1858,Q1858,V1858,AA1858,AF1858,AK1858,AP1858,AU1858))))</f>
        <v xml:space="preserve"> </v>
      </c>
      <c r="BE1858" s="120"/>
      <c r="BF1858" s="120"/>
      <c r="BG1858" s="120"/>
    </row>
    <row r="1859" spans="1:59" s="3" customFormat="1" x14ac:dyDescent="0.3">
      <c r="A1859" s="15" t="str">
        <f t="shared" si="364"/>
        <v/>
      </c>
      <c r="B1859" s="25"/>
      <c r="C1859" s="26"/>
      <c r="D1859" s="279"/>
      <c r="E1859" s="27"/>
      <c r="F1859" s="28"/>
      <c r="G1859" s="27"/>
      <c r="H1859" s="28"/>
      <c r="I1859" s="28"/>
      <c r="J1859" s="255" t="str">
        <f>IF(H1859="","",(_xlfn.XLOOKUP(H1859,Cadastros!$D$6:$D$90,Cadastros!$E$6:$E$90))*(1-_xlfn.XLOOKUP(_xlfn.XLOOKUP($F1859,Clientes!$B$4:$B$39,Clientes!$C$4:$C$39),Cadastros!$L$6:$L$12,Cadastros!$N$6:$N$12)))</f>
        <v/>
      </c>
      <c r="K1859" s="168" t="str">
        <f t="shared" si="365"/>
        <v/>
      </c>
      <c r="L1859" s="168" t="str">
        <f>IFERROR(K1859/_xlfn.XLOOKUP(_xlfn.XLOOKUP($F1859,Clientes!$B$4:$B$39,Clientes!$C$4:$C$39),Cadastros!$L$6:$L$12,Cadastros!$M$6:$M$12)," ")</f>
        <v xml:space="preserve"> </v>
      </c>
      <c r="M1859" s="28"/>
      <c r="N1859" s="28"/>
      <c r="O1859" s="255" t="str">
        <f>IF(M1859="","",(_xlfn.XLOOKUP(M1859,Cadastros!$D$6:$D$90,Cadastros!$E$6:$E$90))*(1-_xlfn.XLOOKUP(_xlfn.XLOOKUP($F1859,Clientes!$B$4:$B$39,Clientes!$C$4:$C$39),Cadastros!$L$6:$L$12,Cadastros!$N$6:$N$12)))</f>
        <v/>
      </c>
      <c r="P1859" s="168" t="str">
        <f t="shared" si="366"/>
        <v/>
      </c>
      <c r="Q1859" s="168" t="str">
        <f>IFERROR(P1859/_xlfn.XLOOKUP(_xlfn.XLOOKUP($F1859,Clientes!$B$4:$B$39,Clientes!$C$4:$C$39),Cadastros!$L$6:$L$12,Cadastros!$M$6:$M$12)," ")</f>
        <v xml:space="preserve"> </v>
      </c>
      <c r="R1859" s="28"/>
      <c r="S1859" s="28"/>
      <c r="T1859" s="255" t="str">
        <f>IF(R1859="","",(_xlfn.XLOOKUP(R1859,Cadastros!$D$6:$D$90,Cadastros!$E$6:$E$90))*(1-_xlfn.XLOOKUP(_xlfn.XLOOKUP($F1859,Clientes!$B$4:$B$39,Clientes!$C$4:$C$39),Cadastros!$L$6:$L$12,Cadastros!$N$6:$N$12)))</f>
        <v/>
      </c>
      <c r="U1859" s="168" t="str">
        <f t="shared" si="367"/>
        <v/>
      </c>
      <c r="V1859" s="168" t="str">
        <f>IFERROR(U1859/_xlfn.XLOOKUP(_xlfn.XLOOKUP($F1859,Clientes!$B$4:$B$39,Clientes!$C$4:$C$39),Cadastros!$L$6:$L$12,Cadastros!$M$6:$M$12)," ")</f>
        <v xml:space="preserve"> </v>
      </c>
      <c r="W1859" s="28"/>
      <c r="X1859" s="28"/>
      <c r="Y1859" s="255" t="str">
        <f>IF(W1859="","",(_xlfn.XLOOKUP(W1859,Cadastros!$D$6:$D$90,Cadastros!$E$6:$E$90))*(1-_xlfn.XLOOKUP(_xlfn.XLOOKUP($F1859,Clientes!$B$4:$B$39,Clientes!$C$4:$C$39),Cadastros!$L$6:$L$12,Cadastros!$N$6:$N$12)))</f>
        <v/>
      </c>
      <c r="Z1859" s="168" t="str">
        <f t="shared" si="368"/>
        <v/>
      </c>
      <c r="AA1859" s="168" t="str">
        <f>IFERROR(Z1859/_xlfn.XLOOKUP(_xlfn.XLOOKUP($F1859,Clientes!$B$4:$B$39,Clientes!$C$4:$C$39),Cadastros!$L$6:$L$12,Cadastros!$M$6:$M$12)," ")</f>
        <v xml:space="preserve"> </v>
      </c>
      <c r="AB1859" s="28"/>
      <c r="AC1859" s="28"/>
      <c r="AD1859" s="20" t="str">
        <f>IF(AB1859="","",IF($F1859="Bernardino Furlan",_xlfn.XLOOKUP(AB1859,Cadastros!$G$6:$G$90,Cadastros!$H$6:$H$90)*(1-0.18),IF($F1859="Mauro José Salanti",_xlfn.XLOOKUP(AB1859,Cadastros!$G$6:$G$90,Cadastros!$H$6:$H$90)*(1-0.18),_xlfn.XLOOKUP(AB1859,Cadastros!$G$6:$G$90,Cadastros!$H$6:$H$90))))</f>
        <v/>
      </c>
      <c r="AE1859" s="168" t="str">
        <f t="shared" si="369"/>
        <v/>
      </c>
      <c r="AF1859" s="168" t="str">
        <f t="shared" si="370"/>
        <v/>
      </c>
      <c r="AG1859" s="28"/>
      <c r="AH1859" s="28"/>
      <c r="AI1859" s="20" t="str">
        <f>IF(AG1859="","",IF($F1859="Bernardino Furlan",_xlfn.XLOOKUP(AG1859,Cadastros!$G$6:$G$90,Cadastros!$H$6:$H$90)*(1-0.18),IF($F1859="Mauro José Salanti",_xlfn.XLOOKUP(AG1859,Cadastros!$G$6:$G$90,Cadastros!$H$6:$H$90)*(1-0.18),_xlfn.XLOOKUP(AG1859,Cadastros!$G$6:$G$90,Cadastros!$H$6:$H$90))))</f>
        <v/>
      </c>
      <c r="AJ1859" s="168" t="str">
        <f t="shared" si="371"/>
        <v/>
      </c>
      <c r="AK1859" s="168" t="str">
        <f t="shared" si="372"/>
        <v/>
      </c>
      <c r="AL1859" s="28"/>
      <c r="AM1859" s="28"/>
      <c r="AN1859" s="20" t="str">
        <f>IF(AL1859="","",IF($F1859="Bernardino Furlan",_xlfn.XLOOKUP(AL1859,Cadastros!$G$6:$G$90,Cadastros!$H$6:$H$90)*(1-0.18),IF($F1859="Mauro José Salanti",_xlfn.XLOOKUP(AL1859,Cadastros!$G$6:$G$90,Cadastros!$H$6:$H$90)*(1-0.18),_xlfn.XLOOKUP(AL1859,Cadastros!$G$6:$G$90,Cadastros!$H$6:$H$90))))</f>
        <v/>
      </c>
      <c r="AO1859" s="168" t="str">
        <f t="shared" si="373"/>
        <v/>
      </c>
      <c r="AP1859" s="168" t="str">
        <f t="shared" si="374"/>
        <v/>
      </c>
      <c r="AQ1859" s="28"/>
      <c r="AR1859" s="28"/>
      <c r="AS1859" s="20" t="str">
        <f>IF(AQ1859="","",IF($F1859="Bernardino Furlan",_xlfn.XLOOKUP(AQ1859,Cadastros!$G$6:$G$90,Cadastros!$H$6:$H$90)*(1-0.18),IF($F1859="Mauro José Salanti",_xlfn.XLOOKUP(AQ1859,Cadastros!$G$6:$G$90,Cadastros!$H$6:$H$90)*(1-0.18),_xlfn.XLOOKUP(AQ1859,Cadastros!$G$6:$G$90,Cadastros!$H$6:$H$90))))</f>
        <v/>
      </c>
      <c r="AT1859" s="168" t="str">
        <f t="shared" si="375"/>
        <v/>
      </c>
      <c r="AU1859" s="168" t="str">
        <f t="shared" si="376"/>
        <v/>
      </c>
      <c r="AV1859" s="227"/>
      <c r="AW1859" s="30"/>
      <c r="AX1859" s="267"/>
      <c r="AY1859" s="267"/>
      <c r="AZ1859" s="29"/>
      <c r="BA1859" s="30"/>
      <c r="BB1859" s="23" t="str" cm="1">
        <f t="array" ref="BB1859">_xlfn.IFS(AW1859="SIM",SUM(K1859,P1859,U1859,Z1859,AE1859,AJ1859,AO1859,AT1859,AX1859,AY1859),F1859&lt;&gt;"",SUM(K1859,P1859,U1859,Z1859,AE1859,AJ1859,,AO1859,AT1859),F1859="","")</f>
        <v/>
      </c>
      <c r="BC1859" s="211" t="str" cm="1">
        <f t="array" ref="BC1859">_xlfn.IFS(E1859="","",G1859&lt;=E1859,BB1859*(1-0.03),G1859&lt;(E1859+8),BB1859,AZ1859="Boleto",BB1859*(1+0.001)^DATEDIF(E1859,G1859,"D"),AZ1859="Cheque",BB1859,AZ1859="Dinheiro","Alterar forma pgto")</f>
        <v/>
      </c>
      <c r="BD1859" s="276" t="str" cm="1">
        <f t="array" ref="BD1859">IF(F1859=0," ",IF(BC1859&lt;BB1859,(_xlfn.IFS(AW1859="SIM",SUM(L1859,Q1859,V1859,AA1859,AF1859,AK1859,AP1859,AU1859)+AX1859/_xlfn.XLOOKUP(_xlfn.XLOOKUP($F1859,Clientes!$B$4:$B$39,Clientes!$C$4:$C$39),Cadastros!$L$6:$L$12,Cadastros!$M$6:$M$12)+IF($F1859="Bernardino Furlan",AY1859/2751.92,IF($F1859="Mauro José Salanti",AY1859/2751.92,AY1859/3356)),F1859&lt;&gt;0,SUM(L1859,Q1859,V1859,AA1859,AF1859,AK1859,AP1859,AU1859)))*(1-0.03),_xlfn.IFS(AW1859="SIM",SUM(L1859,Q1859,V1859,AA1859,AF1859,AK1859,AP1859,AU1859)+AX1859/_xlfn.XLOOKUP(_xlfn.XLOOKUP($F1859,Clientes!$B$4:$B$39,Clientes!$C$4:$C$39),Cadastros!$L$6:$L$12,Cadastros!$M$6:$M$12)+IF($F1859="Bernardino Furlan",AY1859/2751.92,IF($F1859="Mauro José Salanti",AY1859/2751.92,AY1859/3356)),F1859&lt;&gt;0,SUM(L1859,Q1859,V1859,AA1859,AF1859,AK1859,AP1859,AU1859))))</f>
        <v xml:space="preserve"> </v>
      </c>
      <c r="BE1859" s="120"/>
      <c r="BF1859" s="120"/>
      <c r="BG1859" s="120"/>
    </row>
    <row r="1860" spans="1:59" s="3" customFormat="1" x14ac:dyDescent="0.3">
      <c r="A1860" s="15" t="str">
        <f t="shared" si="364"/>
        <v/>
      </c>
      <c r="B1860" s="25"/>
      <c r="C1860" s="26"/>
      <c r="D1860" s="279"/>
      <c r="E1860" s="27"/>
      <c r="F1860" s="28"/>
      <c r="G1860" s="27"/>
      <c r="H1860" s="28"/>
      <c r="I1860" s="28"/>
      <c r="J1860" s="255" t="str">
        <f>IF(H1860="","",(_xlfn.XLOOKUP(H1860,Cadastros!$D$6:$D$90,Cadastros!$E$6:$E$90))*(1-_xlfn.XLOOKUP(_xlfn.XLOOKUP($F1860,Clientes!$B$4:$B$39,Clientes!$C$4:$C$39),Cadastros!$L$6:$L$12,Cadastros!$N$6:$N$12)))</f>
        <v/>
      </c>
      <c r="K1860" s="168" t="str">
        <f t="shared" si="365"/>
        <v/>
      </c>
      <c r="L1860" s="168" t="str">
        <f>IFERROR(K1860/_xlfn.XLOOKUP(_xlfn.XLOOKUP($F1860,Clientes!$B$4:$B$39,Clientes!$C$4:$C$39),Cadastros!$L$6:$L$12,Cadastros!$M$6:$M$12)," ")</f>
        <v xml:space="preserve"> </v>
      </c>
      <c r="M1860" s="28"/>
      <c r="N1860" s="28"/>
      <c r="O1860" s="255" t="str">
        <f>IF(M1860="","",(_xlfn.XLOOKUP(M1860,Cadastros!$D$6:$D$90,Cadastros!$E$6:$E$90))*(1-_xlfn.XLOOKUP(_xlfn.XLOOKUP($F1860,Clientes!$B$4:$B$39,Clientes!$C$4:$C$39),Cadastros!$L$6:$L$12,Cadastros!$N$6:$N$12)))</f>
        <v/>
      </c>
      <c r="P1860" s="168" t="str">
        <f t="shared" si="366"/>
        <v/>
      </c>
      <c r="Q1860" s="168" t="str">
        <f>IFERROR(P1860/_xlfn.XLOOKUP(_xlfn.XLOOKUP($F1860,Clientes!$B$4:$B$39,Clientes!$C$4:$C$39),Cadastros!$L$6:$L$12,Cadastros!$M$6:$M$12)," ")</f>
        <v xml:space="preserve"> </v>
      </c>
      <c r="R1860" s="28"/>
      <c r="S1860" s="28"/>
      <c r="T1860" s="255" t="str">
        <f>IF(R1860="","",(_xlfn.XLOOKUP(R1860,Cadastros!$D$6:$D$90,Cadastros!$E$6:$E$90))*(1-_xlfn.XLOOKUP(_xlfn.XLOOKUP($F1860,Clientes!$B$4:$B$39,Clientes!$C$4:$C$39),Cadastros!$L$6:$L$12,Cadastros!$N$6:$N$12)))</f>
        <v/>
      </c>
      <c r="U1860" s="168" t="str">
        <f t="shared" si="367"/>
        <v/>
      </c>
      <c r="V1860" s="168" t="str">
        <f>IFERROR(U1860/_xlfn.XLOOKUP(_xlfn.XLOOKUP($F1860,Clientes!$B$4:$B$39,Clientes!$C$4:$C$39),Cadastros!$L$6:$L$12,Cadastros!$M$6:$M$12)," ")</f>
        <v xml:space="preserve"> </v>
      </c>
      <c r="W1860" s="28"/>
      <c r="X1860" s="28"/>
      <c r="Y1860" s="255" t="str">
        <f>IF(W1860="","",(_xlfn.XLOOKUP(W1860,Cadastros!$D$6:$D$90,Cadastros!$E$6:$E$90))*(1-_xlfn.XLOOKUP(_xlfn.XLOOKUP($F1860,Clientes!$B$4:$B$39,Clientes!$C$4:$C$39),Cadastros!$L$6:$L$12,Cadastros!$N$6:$N$12)))</f>
        <v/>
      </c>
      <c r="Z1860" s="168" t="str">
        <f t="shared" si="368"/>
        <v/>
      </c>
      <c r="AA1860" s="168" t="str">
        <f>IFERROR(Z1860/_xlfn.XLOOKUP(_xlfn.XLOOKUP($F1860,Clientes!$B$4:$B$39,Clientes!$C$4:$C$39),Cadastros!$L$6:$L$12,Cadastros!$M$6:$M$12)," ")</f>
        <v xml:space="preserve"> </v>
      </c>
      <c r="AB1860" s="28"/>
      <c r="AC1860" s="28"/>
      <c r="AD1860" s="20" t="str">
        <f>IF(AB1860="","",IF($F1860="Bernardino Furlan",_xlfn.XLOOKUP(AB1860,Cadastros!$G$6:$G$90,Cadastros!$H$6:$H$90)*(1-0.18),IF($F1860="Mauro José Salanti",_xlfn.XLOOKUP(AB1860,Cadastros!$G$6:$G$90,Cadastros!$H$6:$H$90)*(1-0.18),_xlfn.XLOOKUP(AB1860,Cadastros!$G$6:$G$90,Cadastros!$H$6:$H$90))))</f>
        <v/>
      </c>
      <c r="AE1860" s="168" t="str">
        <f t="shared" si="369"/>
        <v/>
      </c>
      <c r="AF1860" s="168" t="str">
        <f t="shared" si="370"/>
        <v/>
      </c>
      <c r="AG1860" s="28"/>
      <c r="AH1860" s="28"/>
      <c r="AI1860" s="20" t="str">
        <f>IF(AG1860="","",IF($F1860="Bernardino Furlan",_xlfn.XLOOKUP(AG1860,Cadastros!$G$6:$G$90,Cadastros!$H$6:$H$90)*(1-0.18),IF($F1860="Mauro José Salanti",_xlfn.XLOOKUP(AG1860,Cadastros!$G$6:$G$90,Cadastros!$H$6:$H$90)*(1-0.18),_xlfn.XLOOKUP(AG1860,Cadastros!$G$6:$G$90,Cadastros!$H$6:$H$90))))</f>
        <v/>
      </c>
      <c r="AJ1860" s="168" t="str">
        <f t="shared" si="371"/>
        <v/>
      </c>
      <c r="AK1860" s="168" t="str">
        <f t="shared" si="372"/>
        <v/>
      </c>
      <c r="AL1860" s="28"/>
      <c r="AM1860" s="28"/>
      <c r="AN1860" s="20" t="str">
        <f>IF(AL1860="","",IF($F1860="Bernardino Furlan",_xlfn.XLOOKUP(AL1860,Cadastros!$G$6:$G$90,Cadastros!$H$6:$H$90)*(1-0.18),IF($F1860="Mauro José Salanti",_xlfn.XLOOKUP(AL1860,Cadastros!$G$6:$G$90,Cadastros!$H$6:$H$90)*(1-0.18),_xlfn.XLOOKUP(AL1860,Cadastros!$G$6:$G$90,Cadastros!$H$6:$H$90))))</f>
        <v/>
      </c>
      <c r="AO1860" s="168" t="str">
        <f t="shared" si="373"/>
        <v/>
      </c>
      <c r="AP1860" s="168" t="str">
        <f t="shared" si="374"/>
        <v/>
      </c>
      <c r="AQ1860" s="28"/>
      <c r="AR1860" s="28"/>
      <c r="AS1860" s="20" t="str">
        <f>IF(AQ1860="","",IF($F1860="Bernardino Furlan",_xlfn.XLOOKUP(AQ1860,Cadastros!$G$6:$G$90,Cadastros!$H$6:$H$90)*(1-0.18),IF($F1860="Mauro José Salanti",_xlfn.XLOOKUP(AQ1860,Cadastros!$G$6:$G$90,Cadastros!$H$6:$H$90)*(1-0.18),_xlfn.XLOOKUP(AQ1860,Cadastros!$G$6:$G$90,Cadastros!$H$6:$H$90))))</f>
        <v/>
      </c>
      <c r="AT1860" s="168" t="str">
        <f t="shared" si="375"/>
        <v/>
      </c>
      <c r="AU1860" s="168" t="str">
        <f t="shared" si="376"/>
        <v/>
      </c>
      <c r="AV1860" s="227"/>
      <c r="AW1860" s="30"/>
      <c r="AX1860" s="267"/>
      <c r="AY1860" s="267"/>
      <c r="AZ1860" s="29"/>
      <c r="BA1860" s="30"/>
      <c r="BB1860" s="23" t="str" cm="1">
        <f t="array" ref="BB1860">_xlfn.IFS(AW1860="SIM",SUM(K1860,P1860,U1860,Z1860,AE1860,AJ1860,AO1860,AT1860,AX1860,AY1860),F1860&lt;&gt;"",SUM(K1860,P1860,U1860,Z1860,AE1860,AJ1860,,AO1860,AT1860),F1860="","")</f>
        <v/>
      </c>
      <c r="BC1860" s="211" t="str" cm="1">
        <f t="array" ref="BC1860">_xlfn.IFS(E1860="","",G1860&lt;=E1860,BB1860*(1-0.03),G1860&lt;(E1860+8),BB1860,AZ1860="Boleto",BB1860*(1+0.001)^DATEDIF(E1860,G1860,"D"),AZ1860="Cheque",BB1860,AZ1860="Dinheiro","Alterar forma pgto")</f>
        <v/>
      </c>
      <c r="BD1860" s="276" t="str" cm="1">
        <f t="array" ref="BD1860">IF(F1860=0," ",IF(BC1860&lt;BB1860,(_xlfn.IFS(AW1860="SIM",SUM(L1860,Q1860,V1860,AA1860,AF1860,AK1860,AP1860,AU1860)+AX1860/_xlfn.XLOOKUP(_xlfn.XLOOKUP($F1860,Clientes!$B$4:$B$39,Clientes!$C$4:$C$39),Cadastros!$L$6:$L$12,Cadastros!$M$6:$M$12)+IF($F1860="Bernardino Furlan",AY1860/2751.92,IF($F1860="Mauro José Salanti",AY1860/2751.92,AY1860/3356)),F1860&lt;&gt;0,SUM(L1860,Q1860,V1860,AA1860,AF1860,AK1860,AP1860,AU1860)))*(1-0.03),_xlfn.IFS(AW1860="SIM",SUM(L1860,Q1860,V1860,AA1860,AF1860,AK1860,AP1860,AU1860)+AX1860/_xlfn.XLOOKUP(_xlfn.XLOOKUP($F1860,Clientes!$B$4:$B$39,Clientes!$C$4:$C$39),Cadastros!$L$6:$L$12,Cadastros!$M$6:$M$12)+IF($F1860="Bernardino Furlan",AY1860/2751.92,IF($F1860="Mauro José Salanti",AY1860/2751.92,AY1860/3356)),F1860&lt;&gt;0,SUM(L1860,Q1860,V1860,AA1860,AF1860,AK1860,AP1860,AU1860))))</f>
        <v xml:space="preserve"> </v>
      </c>
      <c r="BE1860" s="120"/>
      <c r="BF1860" s="120"/>
      <c r="BG1860" s="120"/>
    </row>
    <row r="1861" spans="1:59" s="3" customFormat="1" x14ac:dyDescent="0.3">
      <c r="A1861" s="15" t="str">
        <f t="shared" si="364"/>
        <v/>
      </c>
      <c r="B1861" s="25"/>
      <c r="C1861" s="26"/>
      <c r="D1861" s="279"/>
      <c r="E1861" s="27"/>
      <c r="F1861" s="28"/>
      <c r="G1861" s="27"/>
      <c r="H1861" s="28"/>
      <c r="I1861" s="28"/>
      <c r="J1861" s="255" t="str">
        <f>IF(H1861="","",(_xlfn.XLOOKUP(H1861,Cadastros!$D$6:$D$90,Cadastros!$E$6:$E$90))*(1-_xlfn.XLOOKUP(_xlfn.XLOOKUP($F1861,Clientes!$B$4:$B$39,Clientes!$C$4:$C$39),Cadastros!$L$6:$L$12,Cadastros!$N$6:$N$12)))</f>
        <v/>
      </c>
      <c r="K1861" s="168" t="str">
        <f t="shared" si="365"/>
        <v/>
      </c>
      <c r="L1861" s="168" t="str">
        <f>IFERROR(K1861/_xlfn.XLOOKUP(_xlfn.XLOOKUP($F1861,Clientes!$B$4:$B$39,Clientes!$C$4:$C$39),Cadastros!$L$6:$L$12,Cadastros!$M$6:$M$12)," ")</f>
        <v xml:space="preserve"> </v>
      </c>
      <c r="M1861" s="28"/>
      <c r="N1861" s="28"/>
      <c r="O1861" s="255" t="str">
        <f>IF(M1861="","",(_xlfn.XLOOKUP(M1861,Cadastros!$D$6:$D$90,Cadastros!$E$6:$E$90))*(1-_xlfn.XLOOKUP(_xlfn.XLOOKUP($F1861,Clientes!$B$4:$B$39,Clientes!$C$4:$C$39),Cadastros!$L$6:$L$12,Cadastros!$N$6:$N$12)))</f>
        <v/>
      </c>
      <c r="P1861" s="168" t="str">
        <f t="shared" si="366"/>
        <v/>
      </c>
      <c r="Q1861" s="168" t="str">
        <f>IFERROR(P1861/_xlfn.XLOOKUP(_xlfn.XLOOKUP($F1861,Clientes!$B$4:$B$39,Clientes!$C$4:$C$39),Cadastros!$L$6:$L$12,Cadastros!$M$6:$M$12)," ")</f>
        <v xml:space="preserve"> </v>
      </c>
      <c r="R1861" s="28"/>
      <c r="S1861" s="28"/>
      <c r="T1861" s="255" t="str">
        <f>IF(R1861="","",(_xlfn.XLOOKUP(R1861,Cadastros!$D$6:$D$90,Cadastros!$E$6:$E$90))*(1-_xlfn.XLOOKUP(_xlfn.XLOOKUP($F1861,Clientes!$B$4:$B$39,Clientes!$C$4:$C$39),Cadastros!$L$6:$L$12,Cadastros!$N$6:$N$12)))</f>
        <v/>
      </c>
      <c r="U1861" s="168" t="str">
        <f t="shared" si="367"/>
        <v/>
      </c>
      <c r="V1861" s="168" t="str">
        <f>IFERROR(U1861/_xlfn.XLOOKUP(_xlfn.XLOOKUP($F1861,Clientes!$B$4:$B$39,Clientes!$C$4:$C$39),Cadastros!$L$6:$L$12,Cadastros!$M$6:$M$12)," ")</f>
        <v xml:space="preserve"> </v>
      </c>
      <c r="W1861" s="28"/>
      <c r="X1861" s="28"/>
      <c r="Y1861" s="255" t="str">
        <f>IF(W1861="","",(_xlfn.XLOOKUP(W1861,Cadastros!$D$6:$D$90,Cadastros!$E$6:$E$90))*(1-_xlfn.XLOOKUP(_xlfn.XLOOKUP($F1861,Clientes!$B$4:$B$39,Clientes!$C$4:$C$39),Cadastros!$L$6:$L$12,Cadastros!$N$6:$N$12)))</f>
        <v/>
      </c>
      <c r="Z1861" s="168" t="str">
        <f t="shared" si="368"/>
        <v/>
      </c>
      <c r="AA1861" s="168" t="str">
        <f>IFERROR(Z1861/_xlfn.XLOOKUP(_xlfn.XLOOKUP($F1861,Clientes!$B$4:$B$39,Clientes!$C$4:$C$39),Cadastros!$L$6:$L$12,Cadastros!$M$6:$M$12)," ")</f>
        <v xml:space="preserve"> </v>
      </c>
      <c r="AB1861" s="28"/>
      <c r="AC1861" s="28"/>
      <c r="AD1861" s="20" t="str">
        <f>IF(AB1861="","",IF($F1861="Bernardino Furlan",_xlfn.XLOOKUP(AB1861,Cadastros!$G$6:$G$90,Cadastros!$H$6:$H$90)*(1-0.18),IF($F1861="Mauro José Salanti",_xlfn.XLOOKUP(AB1861,Cadastros!$G$6:$G$90,Cadastros!$H$6:$H$90)*(1-0.18),_xlfn.XLOOKUP(AB1861,Cadastros!$G$6:$G$90,Cadastros!$H$6:$H$90))))</f>
        <v/>
      </c>
      <c r="AE1861" s="168" t="str">
        <f t="shared" si="369"/>
        <v/>
      </c>
      <c r="AF1861" s="168" t="str">
        <f t="shared" si="370"/>
        <v/>
      </c>
      <c r="AG1861" s="28"/>
      <c r="AH1861" s="28"/>
      <c r="AI1861" s="20" t="str">
        <f>IF(AG1861="","",IF($F1861="Bernardino Furlan",_xlfn.XLOOKUP(AG1861,Cadastros!$G$6:$G$90,Cadastros!$H$6:$H$90)*(1-0.18),IF($F1861="Mauro José Salanti",_xlfn.XLOOKUP(AG1861,Cadastros!$G$6:$G$90,Cadastros!$H$6:$H$90)*(1-0.18),_xlfn.XLOOKUP(AG1861,Cadastros!$G$6:$G$90,Cadastros!$H$6:$H$90))))</f>
        <v/>
      </c>
      <c r="AJ1861" s="168" t="str">
        <f t="shared" si="371"/>
        <v/>
      </c>
      <c r="AK1861" s="168" t="str">
        <f t="shared" si="372"/>
        <v/>
      </c>
      <c r="AL1861" s="28"/>
      <c r="AM1861" s="28"/>
      <c r="AN1861" s="20" t="str">
        <f>IF(AL1861="","",IF($F1861="Bernardino Furlan",_xlfn.XLOOKUP(AL1861,Cadastros!$G$6:$G$90,Cadastros!$H$6:$H$90)*(1-0.18),IF($F1861="Mauro José Salanti",_xlfn.XLOOKUP(AL1861,Cadastros!$G$6:$G$90,Cadastros!$H$6:$H$90)*(1-0.18),_xlfn.XLOOKUP(AL1861,Cadastros!$G$6:$G$90,Cadastros!$H$6:$H$90))))</f>
        <v/>
      </c>
      <c r="AO1861" s="168" t="str">
        <f t="shared" si="373"/>
        <v/>
      </c>
      <c r="AP1861" s="168" t="str">
        <f t="shared" si="374"/>
        <v/>
      </c>
      <c r="AQ1861" s="28"/>
      <c r="AR1861" s="28"/>
      <c r="AS1861" s="20" t="str">
        <f>IF(AQ1861="","",IF($F1861="Bernardino Furlan",_xlfn.XLOOKUP(AQ1861,Cadastros!$G$6:$G$90,Cadastros!$H$6:$H$90)*(1-0.18),IF($F1861="Mauro José Salanti",_xlfn.XLOOKUP(AQ1861,Cadastros!$G$6:$G$90,Cadastros!$H$6:$H$90)*(1-0.18),_xlfn.XLOOKUP(AQ1861,Cadastros!$G$6:$G$90,Cadastros!$H$6:$H$90))))</f>
        <v/>
      </c>
      <c r="AT1861" s="168" t="str">
        <f t="shared" si="375"/>
        <v/>
      </c>
      <c r="AU1861" s="168" t="str">
        <f t="shared" si="376"/>
        <v/>
      </c>
      <c r="AV1861" s="227"/>
      <c r="AW1861" s="30"/>
      <c r="AX1861" s="267"/>
      <c r="AY1861" s="267"/>
      <c r="AZ1861" s="29"/>
      <c r="BA1861" s="30"/>
      <c r="BB1861" s="23" t="str" cm="1">
        <f t="array" ref="BB1861">_xlfn.IFS(AW1861="SIM",SUM(K1861,P1861,U1861,Z1861,AE1861,AJ1861,AO1861,AT1861,AX1861,AY1861),F1861&lt;&gt;"",SUM(K1861,P1861,U1861,Z1861,AE1861,AJ1861,,AO1861,AT1861),F1861="","")</f>
        <v/>
      </c>
      <c r="BC1861" s="211" t="str" cm="1">
        <f t="array" ref="BC1861">_xlfn.IFS(E1861="","",G1861&lt;=E1861,BB1861*(1-0.03),G1861&lt;(E1861+8),BB1861,AZ1861="Boleto",BB1861*(1+0.001)^DATEDIF(E1861,G1861,"D"),AZ1861="Cheque",BB1861,AZ1861="Dinheiro","Alterar forma pgto")</f>
        <v/>
      </c>
      <c r="BD1861" s="276" t="str" cm="1">
        <f t="array" ref="BD1861">IF(F1861=0," ",IF(BC1861&lt;BB1861,(_xlfn.IFS(AW1861="SIM",SUM(L1861,Q1861,V1861,AA1861,AF1861,AK1861,AP1861,AU1861)+AX1861/_xlfn.XLOOKUP(_xlfn.XLOOKUP($F1861,Clientes!$B$4:$B$39,Clientes!$C$4:$C$39),Cadastros!$L$6:$L$12,Cadastros!$M$6:$M$12)+IF($F1861="Bernardino Furlan",AY1861/2751.92,IF($F1861="Mauro José Salanti",AY1861/2751.92,AY1861/3356)),F1861&lt;&gt;0,SUM(L1861,Q1861,V1861,AA1861,AF1861,AK1861,AP1861,AU1861)))*(1-0.03),_xlfn.IFS(AW1861="SIM",SUM(L1861,Q1861,V1861,AA1861,AF1861,AK1861,AP1861,AU1861)+AX1861/_xlfn.XLOOKUP(_xlfn.XLOOKUP($F1861,Clientes!$B$4:$B$39,Clientes!$C$4:$C$39),Cadastros!$L$6:$L$12,Cadastros!$M$6:$M$12)+IF($F1861="Bernardino Furlan",AY1861/2751.92,IF($F1861="Mauro José Salanti",AY1861/2751.92,AY1861/3356)),F1861&lt;&gt;0,SUM(L1861,Q1861,V1861,AA1861,AF1861,AK1861,AP1861,AU1861))))</f>
        <v xml:space="preserve"> </v>
      </c>
      <c r="BE1861" s="120"/>
      <c r="BF1861" s="120"/>
      <c r="BG1861" s="120"/>
    </row>
    <row r="1862" spans="1:59" s="3" customFormat="1" x14ac:dyDescent="0.3">
      <c r="A1862" s="15" t="str">
        <f t="shared" si="364"/>
        <v/>
      </c>
      <c r="B1862" s="25"/>
      <c r="C1862" s="26"/>
      <c r="D1862" s="279"/>
      <c r="E1862" s="27"/>
      <c r="F1862" s="28"/>
      <c r="G1862" s="27"/>
      <c r="H1862" s="28"/>
      <c r="I1862" s="28"/>
      <c r="J1862" s="255" t="str">
        <f>IF(H1862="","",(_xlfn.XLOOKUP(H1862,Cadastros!$D$6:$D$90,Cadastros!$E$6:$E$90))*(1-_xlfn.XLOOKUP(_xlfn.XLOOKUP($F1862,Clientes!$B$4:$B$39,Clientes!$C$4:$C$39),Cadastros!$L$6:$L$12,Cadastros!$N$6:$N$12)))</f>
        <v/>
      </c>
      <c r="K1862" s="168" t="str">
        <f t="shared" si="365"/>
        <v/>
      </c>
      <c r="L1862" s="168" t="str">
        <f>IFERROR(K1862/_xlfn.XLOOKUP(_xlfn.XLOOKUP($F1862,Clientes!$B$4:$B$39,Clientes!$C$4:$C$39),Cadastros!$L$6:$L$12,Cadastros!$M$6:$M$12)," ")</f>
        <v xml:space="preserve"> </v>
      </c>
      <c r="M1862" s="28"/>
      <c r="N1862" s="28"/>
      <c r="O1862" s="255" t="str">
        <f>IF(M1862="","",(_xlfn.XLOOKUP(M1862,Cadastros!$D$6:$D$90,Cadastros!$E$6:$E$90))*(1-_xlfn.XLOOKUP(_xlfn.XLOOKUP($F1862,Clientes!$B$4:$B$39,Clientes!$C$4:$C$39),Cadastros!$L$6:$L$12,Cadastros!$N$6:$N$12)))</f>
        <v/>
      </c>
      <c r="P1862" s="168" t="str">
        <f t="shared" si="366"/>
        <v/>
      </c>
      <c r="Q1862" s="168" t="str">
        <f>IFERROR(P1862/_xlfn.XLOOKUP(_xlfn.XLOOKUP($F1862,Clientes!$B$4:$B$39,Clientes!$C$4:$C$39),Cadastros!$L$6:$L$12,Cadastros!$M$6:$M$12)," ")</f>
        <v xml:space="preserve"> </v>
      </c>
      <c r="R1862" s="28"/>
      <c r="S1862" s="28"/>
      <c r="T1862" s="255" t="str">
        <f>IF(R1862="","",(_xlfn.XLOOKUP(R1862,Cadastros!$D$6:$D$90,Cadastros!$E$6:$E$90))*(1-_xlfn.XLOOKUP(_xlfn.XLOOKUP($F1862,Clientes!$B$4:$B$39,Clientes!$C$4:$C$39),Cadastros!$L$6:$L$12,Cadastros!$N$6:$N$12)))</f>
        <v/>
      </c>
      <c r="U1862" s="168" t="str">
        <f t="shared" si="367"/>
        <v/>
      </c>
      <c r="V1862" s="168" t="str">
        <f>IFERROR(U1862/_xlfn.XLOOKUP(_xlfn.XLOOKUP($F1862,Clientes!$B$4:$B$39,Clientes!$C$4:$C$39),Cadastros!$L$6:$L$12,Cadastros!$M$6:$M$12)," ")</f>
        <v xml:space="preserve"> </v>
      </c>
      <c r="W1862" s="28"/>
      <c r="X1862" s="28"/>
      <c r="Y1862" s="255" t="str">
        <f>IF(W1862="","",(_xlfn.XLOOKUP(W1862,Cadastros!$D$6:$D$90,Cadastros!$E$6:$E$90))*(1-_xlfn.XLOOKUP(_xlfn.XLOOKUP($F1862,Clientes!$B$4:$B$39,Clientes!$C$4:$C$39),Cadastros!$L$6:$L$12,Cadastros!$N$6:$N$12)))</f>
        <v/>
      </c>
      <c r="Z1862" s="168" t="str">
        <f t="shared" si="368"/>
        <v/>
      </c>
      <c r="AA1862" s="168" t="str">
        <f>IFERROR(Z1862/_xlfn.XLOOKUP(_xlfn.XLOOKUP($F1862,Clientes!$B$4:$B$39,Clientes!$C$4:$C$39),Cadastros!$L$6:$L$12,Cadastros!$M$6:$M$12)," ")</f>
        <v xml:space="preserve"> </v>
      </c>
      <c r="AB1862" s="28"/>
      <c r="AC1862" s="28"/>
      <c r="AD1862" s="20" t="str">
        <f>IF(AB1862="","",IF($F1862="Bernardino Furlan",_xlfn.XLOOKUP(AB1862,Cadastros!$G$6:$G$90,Cadastros!$H$6:$H$90)*(1-0.18),IF($F1862="Mauro José Salanti",_xlfn.XLOOKUP(AB1862,Cadastros!$G$6:$G$90,Cadastros!$H$6:$H$90)*(1-0.18),_xlfn.XLOOKUP(AB1862,Cadastros!$G$6:$G$90,Cadastros!$H$6:$H$90))))</f>
        <v/>
      </c>
      <c r="AE1862" s="168" t="str">
        <f t="shared" si="369"/>
        <v/>
      </c>
      <c r="AF1862" s="168" t="str">
        <f t="shared" si="370"/>
        <v/>
      </c>
      <c r="AG1862" s="28"/>
      <c r="AH1862" s="28"/>
      <c r="AI1862" s="20" t="str">
        <f>IF(AG1862="","",IF($F1862="Bernardino Furlan",_xlfn.XLOOKUP(AG1862,Cadastros!$G$6:$G$90,Cadastros!$H$6:$H$90)*(1-0.18),IF($F1862="Mauro José Salanti",_xlfn.XLOOKUP(AG1862,Cadastros!$G$6:$G$90,Cadastros!$H$6:$H$90)*(1-0.18),_xlfn.XLOOKUP(AG1862,Cadastros!$G$6:$G$90,Cadastros!$H$6:$H$90))))</f>
        <v/>
      </c>
      <c r="AJ1862" s="168" t="str">
        <f t="shared" si="371"/>
        <v/>
      </c>
      <c r="AK1862" s="168" t="str">
        <f t="shared" si="372"/>
        <v/>
      </c>
      <c r="AL1862" s="28"/>
      <c r="AM1862" s="28"/>
      <c r="AN1862" s="20" t="str">
        <f>IF(AL1862="","",IF($F1862="Bernardino Furlan",_xlfn.XLOOKUP(AL1862,Cadastros!$G$6:$G$90,Cadastros!$H$6:$H$90)*(1-0.18),IF($F1862="Mauro José Salanti",_xlfn.XLOOKUP(AL1862,Cadastros!$G$6:$G$90,Cadastros!$H$6:$H$90)*(1-0.18),_xlfn.XLOOKUP(AL1862,Cadastros!$G$6:$G$90,Cadastros!$H$6:$H$90))))</f>
        <v/>
      </c>
      <c r="AO1862" s="168" t="str">
        <f t="shared" si="373"/>
        <v/>
      </c>
      <c r="AP1862" s="168" t="str">
        <f t="shared" si="374"/>
        <v/>
      </c>
      <c r="AQ1862" s="28"/>
      <c r="AR1862" s="28"/>
      <c r="AS1862" s="20" t="str">
        <f>IF(AQ1862="","",IF($F1862="Bernardino Furlan",_xlfn.XLOOKUP(AQ1862,Cadastros!$G$6:$G$90,Cadastros!$H$6:$H$90)*(1-0.18),IF($F1862="Mauro José Salanti",_xlfn.XLOOKUP(AQ1862,Cadastros!$G$6:$G$90,Cadastros!$H$6:$H$90)*(1-0.18),_xlfn.XLOOKUP(AQ1862,Cadastros!$G$6:$G$90,Cadastros!$H$6:$H$90))))</f>
        <v/>
      </c>
      <c r="AT1862" s="168" t="str">
        <f t="shared" si="375"/>
        <v/>
      </c>
      <c r="AU1862" s="168" t="str">
        <f t="shared" si="376"/>
        <v/>
      </c>
      <c r="AV1862" s="227"/>
      <c r="AW1862" s="30"/>
      <c r="AX1862" s="267"/>
      <c r="AY1862" s="267"/>
      <c r="AZ1862" s="29"/>
      <c r="BA1862" s="30"/>
      <c r="BB1862" s="23" t="str" cm="1">
        <f t="array" ref="BB1862">_xlfn.IFS(AW1862="SIM",SUM(K1862,P1862,U1862,Z1862,AE1862,AJ1862,AO1862,AT1862,AX1862,AY1862),F1862&lt;&gt;"",SUM(K1862,P1862,U1862,Z1862,AE1862,AJ1862,,AO1862,AT1862),F1862="","")</f>
        <v/>
      </c>
      <c r="BC1862" s="211" t="str" cm="1">
        <f t="array" ref="BC1862">_xlfn.IFS(E1862="","",G1862&lt;=E1862,BB1862*(1-0.03),G1862&lt;(E1862+8),BB1862,AZ1862="Boleto",BB1862*(1+0.001)^DATEDIF(E1862,G1862,"D"),AZ1862="Cheque",BB1862,AZ1862="Dinheiro","Alterar forma pgto")</f>
        <v/>
      </c>
      <c r="BD1862" s="276" t="str" cm="1">
        <f t="array" ref="BD1862">IF(F1862=0," ",IF(BC1862&lt;BB1862,(_xlfn.IFS(AW1862="SIM",SUM(L1862,Q1862,V1862,AA1862,AF1862,AK1862,AP1862,AU1862)+AX1862/_xlfn.XLOOKUP(_xlfn.XLOOKUP($F1862,Clientes!$B$4:$B$39,Clientes!$C$4:$C$39),Cadastros!$L$6:$L$12,Cadastros!$M$6:$M$12)+IF($F1862="Bernardino Furlan",AY1862/2751.92,IF($F1862="Mauro José Salanti",AY1862/2751.92,AY1862/3356)),F1862&lt;&gt;0,SUM(L1862,Q1862,V1862,AA1862,AF1862,AK1862,AP1862,AU1862)))*(1-0.03),_xlfn.IFS(AW1862="SIM",SUM(L1862,Q1862,V1862,AA1862,AF1862,AK1862,AP1862,AU1862)+AX1862/_xlfn.XLOOKUP(_xlfn.XLOOKUP($F1862,Clientes!$B$4:$B$39,Clientes!$C$4:$C$39),Cadastros!$L$6:$L$12,Cadastros!$M$6:$M$12)+IF($F1862="Bernardino Furlan",AY1862/2751.92,IF($F1862="Mauro José Salanti",AY1862/2751.92,AY1862/3356)),F1862&lt;&gt;0,SUM(L1862,Q1862,V1862,AA1862,AF1862,AK1862,AP1862,AU1862))))</f>
        <v xml:space="preserve"> </v>
      </c>
      <c r="BE1862" s="120"/>
      <c r="BF1862" s="120"/>
      <c r="BG1862" s="120"/>
    </row>
    <row r="1863" spans="1:59" s="3" customFormat="1" x14ac:dyDescent="0.3">
      <c r="A1863" s="15" t="str">
        <f t="shared" si="364"/>
        <v/>
      </c>
      <c r="B1863" s="25"/>
      <c r="C1863" s="26"/>
      <c r="D1863" s="279"/>
      <c r="E1863" s="27"/>
      <c r="F1863" s="28"/>
      <c r="G1863" s="27"/>
      <c r="H1863" s="28"/>
      <c r="I1863" s="28"/>
      <c r="J1863" s="255" t="str">
        <f>IF(H1863="","",(_xlfn.XLOOKUP(H1863,Cadastros!$D$6:$D$90,Cadastros!$E$6:$E$90))*(1-_xlfn.XLOOKUP(_xlfn.XLOOKUP($F1863,Clientes!$B$4:$B$39,Clientes!$C$4:$C$39),Cadastros!$L$6:$L$12,Cadastros!$N$6:$N$12)))</f>
        <v/>
      </c>
      <c r="K1863" s="168" t="str">
        <f t="shared" si="365"/>
        <v/>
      </c>
      <c r="L1863" s="168" t="str">
        <f>IFERROR(K1863/_xlfn.XLOOKUP(_xlfn.XLOOKUP($F1863,Clientes!$B$4:$B$39,Clientes!$C$4:$C$39),Cadastros!$L$6:$L$12,Cadastros!$M$6:$M$12)," ")</f>
        <v xml:space="preserve"> </v>
      </c>
      <c r="M1863" s="28"/>
      <c r="N1863" s="28"/>
      <c r="O1863" s="255" t="str">
        <f>IF(M1863="","",(_xlfn.XLOOKUP(M1863,Cadastros!$D$6:$D$90,Cadastros!$E$6:$E$90))*(1-_xlfn.XLOOKUP(_xlfn.XLOOKUP($F1863,Clientes!$B$4:$B$39,Clientes!$C$4:$C$39),Cadastros!$L$6:$L$12,Cadastros!$N$6:$N$12)))</f>
        <v/>
      </c>
      <c r="P1863" s="168" t="str">
        <f t="shared" si="366"/>
        <v/>
      </c>
      <c r="Q1863" s="168" t="str">
        <f>IFERROR(P1863/_xlfn.XLOOKUP(_xlfn.XLOOKUP($F1863,Clientes!$B$4:$B$39,Clientes!$C$4:$C$39),Cadastros!$L$6:$L$12,Cadastros!$M$6:$M$12)," ")</f>
        <v xml:space="preserve"> </v>
      </c>
      <c r="R1863" s="28"/>
      <c r="S1863" s="28"/>
      <c r="T1863" s="255" t="str">
        <f>IF(R1863="","",(_xlfn.XLOOKUP(R1863,Cadastros!$D$6:$D$90,Cadastros!$E$6:$E$90))*(1-_xlfn.XLOOKUP(_xlfn.XLOOKUP($F1863,Clientes!$B$4:$B$39,Clientes!$C$4:$C$39),Cadastros!$L$6:$L$12,Cadastros!$N$6:$N$12)))</f>
        <v/>
      </c>
      <c r="U1863" s="168" t="str">
        <f t="shared" si="367"/>
        <v/>
      </c>
      <c r="V1863" s="168" t="str">
        <f>IFERROR(U1863/_xlfn.XLOOKUP(_xlfn.XLOOKUP($F1863,Clientes!$B$4:$B$39,Clientes!$C$4:$C$39),Cadastros!$L$6:$L$12,Cadastros!$M$6:$M$12)," ")</f>
        <v xml:space="preserve"> </v>
      </c>
      <c r="W1863" s="28"/>
      <c r="X1863" s="28"/>
      <c r="Y1863" s="255" t="str">
        <f>IF(W1863="","",(_xlfn.XLOOKUP(W1863,Cadastros!$D$6:$D$90,Cadastros!$E$6:$E$90))*(1-_xlfn.XLOOKUP(_xlfn.XLOOKUP($F1863,Clientes!$B$4:$B$39,Clientes!$C$4:$C$39),Cadastros!$L$6:$L$12,Cadastros!$N$6:$N$12)))</f>
        <v/>
      </c>
      <c r="Z1863" s="168" t="str">
        <f t="shared" si="368"/>
        <v/>
      </c>
      <c r="AA1863" s="168" t="str">
        <f>IFERROR(Z1863/_xlfn.XLOOKUP(_xlfn.XLOOKUP($F1863,Clientes!$B$4:$B$39,Clientes!$C$4:$C$39),Cadastros!$L$6:$L$12,Cadastros!$M$6:$M$12)," ")</f>
        <v xml:space="preserve"> </v>
      </c>
      <c r="AB1863" s="28"/>
      <c r="AC1863" s="28"/>
      <c r="AD1863" s="20" t="str">
        <f>IF(AB1863="","",IF($F1863="Bernardino Furlan",_xlfn.XLOOKUP(AB1863,Cadastros!$G$6:$G$90,Cadastros!$H$6:$H$90)*(1-0.18),IF($F1863="Mauro José Salanti",_xlfn.XLOOKUP(AB1863,Cadastros!$G$6:$G$90,Cadastros!$H$6:$H$90)*(1-0.18),_xlfn.XLOOKUP(AB1863,Cadastros!$G$6:$G$90,Cadastros!$H$6:$H$90))))</f>
        <v/>
      </c>
      <c r="AE1863" s="168" t="str">
        <f t="shared" si="369"/>
        <v/>
      </c>
      <c r="AF1863" s="168" t="str">
        <f t="shared" si="370"/>
        <v/>
      </c>
      <c r="AG1863" s="28"/>
      <c r="AH1863" s="28"/>
      <c r="AI1863" s="20" t="str">
        <f>IF(AG1863="","",IF($F1863="Bernardino Furlan",_xlfn.XLOOKUP(AG1863,Cadastros!$G$6:$G$90,Cadastros!$H$6:$H$90)*(1-0.18),IF($F1863="Mauro José Salanti",_xlfn.XLOOKUP(AG1863,Cadastros!$G$6:$G$90,Cadastros!$H$6:$H$90)*(1-0.18),_xlfn.XLOOKUP(AG1863,Cadastros!$G$6:$G$90,Cadastros!$H$6:$H$90))))</f>
        <v/>
      </c>
      <c r="AJ1863" s="168" t="str">
        <f t="shared" si="371"/>
        <v/>
      </c>
      <c r="AK1863" s="168" t="str">
        <f t="shared" si="372"/>
        <v/>
      </c>
      <c r="AL1863" s="28"/>
      <c r="AM1863" s="28"/>
      <c r="AN1863" s="20" t="str">
        <f>IF(AL1863="","",IF($F1863="Bernardino Furlan",_xlfn.XLOOKUP(AL1863,Cadastros!$G$6:$G$90,Cadastros!$H$6:$H$90)*(1-0.18),IF($F1863="Mauro José Salanti",_xlfn.XLOOKUP(AL1863,Cadastros!$G$6:$G$90,Cadastros!$H$6:$H$90)*(1-0.18),_xlfn.XLOOKUP(AL1863,Cadastros!$G$6:$G$90,Cadastros!$H$6:$H$90))))</f>
        <v/>
      </c>
      <c r="AO1863" s="168" t="str">
        <f t="shared" si="373"/>
        <v/>
      </c>
      <c r="AP1863" s="168" t="str">
        <f t="shared" si="374"/>
        <v/>
      </c>
      <c r="AQ1863" s="28"/>
      <c r="AR1863" s="28"/>
      <c r="AS1863" s="20" t="str">
        <f>IF(AQ1863="","",IF($F1863="Bernardino Furlan",_xlfn.XLOOKUP(AQ1863,Cadastros!$G$6:$G$90,Cadastros!$H$6:$H$90)*(1-0.18),IF($F1863="Mauro José Salanti",_xlfn.XLOOKUP(AQ1863,Cadastros!$G$6:$G$90,Cadastros!$H$6:$H$90)*(1-0.18),_xlfn.XLOOKUP(AQ1863,Cadastros!$G$6:$G$90,Cadastros!$H$6:$H$90))))</f>
        <v/>
      </c>
      <c r="AT1863" s="168" t="str">
        <f t="shared" si="375"/>
        <v/>
      </c>
      <c r="AU1863" s="168" t="str">
        <f t="shared" si="376"/>
        <v/>
      </c>
      <c r="AV1863" s="227"/>
      <c r="AW1863" s="30"/>
      <c r="AX1863" s="267"/>
      <c r="AY1863" s="267"/>
      <c r="AZ1863" s="29"/>
      <c r="BA1863" s="30"/>
      <c r="BB1863" s="23" t="str" cm="1">
        <f t="array" ref="BB1863">_xlfn.IFS(AW1863="SIM",SUM(K1863,P1863,U1863,Z1863,AE1863,AJ1863,AO1863,AT1863,AX1863,AY1863),F1863&lt;&gt;"",SUM(K1863,P1863,U1863,Z1863,AE1863,AJ1863,,AO1863,AT1863),F1863="","")</f>
        <v/>
      </c>
      <c r="BC1863" s="211" t="str" cm="1">
        <f t="array" ref="BC1863">_xlfn.IFS(E1863="","",G1863&lt;=E1863,BB1863*(1-0.03),G1863&lt;(E1863+8),BB1863,AZ1863="Boleto",BB1863*(1+0.001)^DATEDIF(E1863,G1863,"D"),AZ1863="Cheque",BB1863,AZ1863="Dinheiro","Alterar forma pgto")</f>
        <v/>
      </c>
      <c r="BD1863" s="276" t="str" cm="1">
        <f t="array" ref="BD1863">IF(F1863=0," ",IF(BC1863&lt;BB1863,(_xlfn.IFS(AW1863="SIM",SUM(L1863,Q1863,V1863,AA1863,AF1863,AK1863,AP1863,AU1863)+AX1863/_xlfn.XLOOKUP(_xlfn.XLOOKUP($F1863,Clientes!$B$4:$B$39,Clientes!$C$4:$C$39),Cadastros!$L$6:$L$12,Cadastros!$M$6:$M$12)+IF($F1863="Bernardino Furlan",AY1863/2751.92,IF($F1863="Mauro José Salanti",AY1863/2751.92,AY1863/3356)),F1863&lt;&gt;0,SUM(L1863,Q1863,V1863,AA1863,AF1863,AK1863,AP1863,AU1863)))*(1-0.03),_xlfn.IFS(AW1863="SIM",SUM(L1863,Q1863,V1863,AA1863,AF1863,AK1863,AP1863,AU1863)+AX1863/_xlfn.XLOOKUP(_xlfn.XLOOKUP($F1863,Clientes!$B$4:$B$39,Clientes!$C$4:$C$39),Cadastros!$L$6:$L$12,Cadastros!$M$6:$M$12)+IF($F1863="Bernardino Furlan",AY1863/2751.92,IF($F1863="Mauro José Salanti",AY1863/2751.92,AY1863/3356)),F1863&lt;&gt;0,SUM(L1863,Q1863,V1863,AA1863,AF1863,AK1863,AP1863,AU1863))))</f>
        <v xml:space="preserve"> </v>
      </c>
      <c r="BE1863" s="120"/>
      <c r="BF1863" s="120"/>
      <c r="BG1863" s="120"/>
    </row>
    <row r="1864" spans="1:59" s="3" customFormat="1" x14ac:dyDescent="0.3">
      <c r="A1864" s="15" t="str">
        <f t="shared" ref="A1864:A1927" si="377">IF(C1864="orçamento",25%,IF(C1864="aprovado",50%,IF(C1864="entregue",100%,IF(C1864="não aceito",0%,""))))</f>
        <v/>
      </c>
      <c r="B1864" s="25"/>
      <c r="C1864" s="26"/>
      <c r="D1864" s="279"/>
      <c r="E1864" s="27"/>
      <c r="F1864" s="28"/>
      <c r="G1864" s="27"/>
      <c r="H1864" s="28"/>
      <c r="I1864" s="28"/>
      <c r="J1864" s="255" t="str">
        <f>IF(H1864="","",(_xlfn.XLOOKUP(H1864,Cadastros!$D$6:$D$90,Cadastros!$E$6:$E$90))*(1-_xlfn.XLOOKUP(_xlfn.XLOOKUP($F1864,Clientes!$B$4:$B$39,Clientes!$C$4:$C$39),Cadastros!$L$6:$L$12,Cadastros!$N$6:$N$12)))</f>
        <v/>
      </c>
      <c r="K1864" s="168" t="str">
        <f t="shared" ref="K1864:K1927" si="378">IF(J1864="","",I1864*J1864)</f>
        <v/>
      </c>
      <c r="L1864" s="168" t="str">
        <f>IFERROR(K1864/_xlfn.XLOOKUP(_xlfn.XLOOKUP($F1864,Clientes!$B$4:$B$39,Clientes!$C$4:$C$39),Cadastros!$L$6:$L$12,Cadastros!$M$6:$M$12)," ")</f>
        <v xml:space="preserve"> </v>
      </c>
      <c r="M1864" s="28"/>
      <c r="N1864" s="28"/>
      <c r="O1864" s="255" t="str">
        <f>IF(M1864="","",(_xlfn.XLOOKUP(M1864,Cadastros!$D$6:$D$90,Cadastros!$E$6:$E$90))*(1-_xlfn.XLOOKUP(_xlfn.XLOOKUP($F1864,Clientes!$B$4:$B$39,Clientes!$C$4:$C$39),Cadastros!$L$6:$L$12,Cadastros!$N$6:$N$12)))</f>
        <v/>
      </c>
      <c r="P1864" s="168" t="str">
        <f t="shared" ref="P1864:P1927" si="379">IF(O1864="","",N1864*O1864)</f>
        <v/>
      </c>
      <c r="Q1864" s="168" t="str">
        <f>IFERROR(P1864/_xlfn.XLOOKUP(_xlfn.XLOOKUP($F1864,Clientes!$B$4:$B$39,Clientes!$C$4:$C$39),Cadastros!$L$6:$L$12,Cadastros!$M$6:$M$12)," ")</f>
        <v xml:space="preserve"> </v>
      </c>
      <c r="R1864" s="28"/>
      <c r="S1864" s="28"/>
      <c r="T1864" s="255" t="str">
        <f>IF(R1864="","",(_xlfn.XLOOKUP(R1864,Cadastros!$D$6:$D$90,Cadastros!$E$6:$E$90))*(1-_xlfn.XLOOKUP(_xlfn.XLOOKUP($F1864,Clientes!$B$4:$B$39,Clientes!$C$4:$C$39),Cadastros!$L$6:$L$12,Cadastros!$N$6:$N$12)))</f>
        <v/>
      </c>
      <c r="U1864" s="168" t="str">
        <f t="shared" ref="U1864:U1927" si="380">IF(T1864="","",S1864*T1864)</f>
        <v/>
      </c>
      <c r="V1864" s="168" t="str">
        <f>IFERROR(U1864/_xlfn.XLOOKUP(_xlfn.XLOOKUP($F1864,Clientes!$B$4:$B$39,Clientes!$C$4:$C$39),Cadastros!$L$6:$L$12,Cadastros!$M$6:$M$12)," ")</f>
        <v xml:space="preserve"> </v>
      </c>
      <c r="W1864" s="28"/>
      <c r="X1864" s="28"/>
      <c r="Y1864" s="255" t="str">
        <f>IF(W1864="","",(_xlfn.XLOOKUP(W1864,Cadastros!$D$6:$D$90,Cadastros!$E$6:$E$90))*(1-_xlfn.XLOOKUP(_xlfn.XLOOKUP($F1864,Clientes!$B$4:$B$39,Clientes!$C$4:$C$39),Cadastros!$L$6:$L$12,Cadastros!$N$6:$N$12)))</f>
        <v/>
      </c>
      <c r="Z1864" s="168" t="str">
        <f t="shared" ref="Z1864:Z1927" si="381">IF(Y1864="","",X1864*Y1864)</f>
        <v/>
      </c>
      <c r="AA1864" s="168" t="str">
        <f>IFERROR(Z1864/_xlfn.XLOOKUP(_xlfn.XLOOKUP($F1864,Clientes!$B$4:$B$39,Clientes!$C$4:$C$39),Cadastros!$L$6:$L$12,Cadastros!$M$6:$M$12)," ")</f>
        <v xml:space="preserve"> </v>
      </c>
      <c r="AB1864" s="28"/>
      <c r="AC1864" s="28"/>
      <c r="AD1864" s="20" t="str">
        <f>IF(AB1864="","",IF($F1864="Bernardino Furlan",_xlfn.XLOOKUP(AB1864,Cadastros!$G$6:$G$90,Cadastros!$H$6:$H$90)*(1-0.18),IF($F1864="Mauro José Salanti",_xlfn.XLOOKUP(AB1864,Cadastros!$G$6:$G$90,Cadastros!$H$6:$H$90)*(1-0.18),_xlfn.XLOOKUP(AB1864,Cadastros!$G$6:$G$90,Cadastros!$H$6:$H$90))))</f>
        <v/>
      </c>
      <c r="AE1864" s="168" t="str">
        <f t="shared" ref="AE1864:AE1927" si="382">IF(AD1864="","",AC1864*AD1864)</f>
        <v/>
      </c>
      <c r="AF1864" s="168" t="str">
        <f t="shared" ref="AF1864:AF1927" si="383">IFERROR(IF($F1864="Bernardino Furlan",AE1864/2751.92,IF($F1864="Mauro José Salanti",AE1864/2751.92,AE1864/3356)),"")</f>
        <v/>
      </c>
      <c r="AG1864" s="28"/>
      <c r="AH1864" s="28"/>
      <c r="AI1864" s="20" t="str">
        <f>IF(AG1864="","",IF($F1864="Bernardino Furlan",_xlfn.XLOOKUP(AG1864,Cadastros!$G$6:$G$90,Cadastros!$H$6:$H$90)*(1-0.18),IF($F1864="Mauro José Salanti",_xlfn.XLOOKUP(AG1864,Cadastros!$G$6:$G$90,Cadastros!$H$6:$H$90)*(1-0.18),_xlfn.XLOOKUP(AG1864,Cadastros!$G$6:$G$90,Cadastros!$H$6:$H$90))))</f>
        <v/>
      </c>
      <c r="AJ1864" s="168" t="str">
        <f t="shared" ref="AJ1864:AJ1927" si="384">IF(AI1864="","",AH1864*AI1864)</f>
        <v/>
      </c>
      <c r="AK1864" s="168" t="str">
        <f t="shared" ref="AK1864:AK1927" si="385">IFERROR(IF($F1864="Bernardino Furlan",AJ1864/2751.92,IF($F1864="Mauro José Salanti",AJ1864/2751.92,AJ1864/3356)),"")</f>
        <v/>
      </c>
      <c r="AL1864" s="28"/>
      <c r="AM1864" s="28"/>
      <c r="AN1864" s="20" t="str">
        <f>IF(AL1864="","",IF($F1864="Bernardino Furlan",_xlfn.XLOOKUP(AL1864,Cadastros!$G$6:$G$90,Cadastros!$H$6:$H$90)*(1-0.18),IF($F1864="Mauro José Salanti",_xlfn.XLOOKUP(AL1864,Cadastros!$G$6:$G$90,Cadastros!$H$6:$H$90)*(1-0.18),_xlfn.XLOOKUP(AL1864,Cadastros!$G$6:$G$90,Cadastros!$H$6:$H$90))))</f>
        <v/>
      </c>
      <c r="AO1864" s="168" t="str">
        <f t="shared" ref="AO1864:AO1927" si="386">IF(AN1864="","",AM1864*AN1864)</f>
        <v/>
      </c>
      <c r="AP1864" s="168" t="str">
        <f t="shared" ref="AP1864:AP1927" si="387">IFERROR(IF($F1864="Bernardino Furlan",AO1864/2751.92,IF($F1864="Mauro José Salanti",AO1864/2751.92,AO1864/3356)),"")</f>
        <v/>
      </c>
      <c r="AQ1864" s="28"/>
      <c r="AR1864" s="28"/>
      <c r="AS1864" s="20" t="str">
        <f>IF(AQ1864="","",IF($F1864="Bernardino Furlan",_xlfn.XLOOKUP(AQ1864,Cadastros!$G$6:$G$90,Cadastros!$H$6:$H$90)*(1-0.18),IF($F1864="Mauro José Salanti",_xlfn.XLOOKUP(AQ1864,Cadastros!$G$6:$G$90,Cadastros!$H$6:$H$90)*(1-0.18),_xlfn.XLOOKUP(AQ1864,Cadastros!$G$6:$G$90,Cadastros!$H$6:$H$90))))</f>
        <v/>
      </c>
      <c r="AT1864" s="168" t="str">
        <f t="shared" ref="AT1864:AT1927" si="388">IF(AS1864="","",AR1864*AS1864)</f>
        <v/>
      </c>
      <c r="AU1864" s="168" t="str">
        <f t="shared" ref="AU1864:AU1927" si="389">IFERROR(IF($F1864="Bernardino Furlan",AT1864/2751.92,IF($F1864="Mauro José Salanti",AT1864/2751.92,AT1864/3356)),"")</f>
        <v/>
      </c>
      <c r="AV1864" s="227"/>
      <c r="AW1864" s="30"/>
      <c r="AX1864" s="267"/>
      <c r="AY1864" s="267"/>
      <c r="AZ1864" s="29"/>
      <c r="BA1864" s="30"/>
      <c r="BB1864" s="23" t="str" cm="1">
        <f t="array" ref="BB1864">_xlfn.IFS(AW1864="SIM",SUM(K1864,P1864,U1864,Z1864,AE1864,AJ1864,AO1864,AT1864,AX1864,AY1864),F1864&lt;&gt;"",SUM(K1864,P1864,U1864,Z1864,AE1864,AJ1864,,AO1864,AT1864),F1864="","")</f>
        <v/>
      </c>
      <c r="BC1864" s="211" t="str" cm="1">
        <f t="array" ref="BC1864">_xlfn.IFS(E1864="","",G1864&lt;=E1864,BB1864*(1-0.03),G1864&lt;(E1864+8),BB1864,AZ1864="Boleto",BB1864*(1+0.001)^DATEDIF(E1864,G1864,"D"),AZ1864="Cheque",BB1864,AZ1864="Dinheiro","Alterar forma pgto")</f>
        <v/>
      </c>
      <c r="BD1864" s="276" t="str" cm="1">
        <f t="array" ref="BD1864">IF(F1864=0," ",IF(BC1864&lt;BB1864,(_xlfn.IFS(AW1864="SIM",SUM(L1864,Q1864,V1864,AA1864,AF1864,AK1864,AP1864,AU1864)+AX1864/_xlfn.XLOOKUP(_xlfn.XLOOKUP($F1864,Clientes!$B$4:$B$39,Clientes!$C$4:$C$39),Cadastros!$L$6:$L$12,Cadastros!$M$6:$M$12)+IF($F1864="Bernardino Furlan",AY1864/2751.92,IF($F1864="Mauro José Salanti",AY1864/2751.92,AY1864/3356)),F1864&lt;&gt;0,SUM(L1864,Q1864,V1864,AA1864,AF1864,AK1864,AP1864,AU1864)))*(1-0.03),_xlfn.IFS(AW1864="SIM",SUM(L1864,Q1864,V1864,AA1864,AF1864,AK1864,AP1864,AU1864)+AX1864/_xlfn.XLOOKUP(_xlfn.XLOOKUP($F1864,Clientes!$B$4:$B$39,Clientes!$C$4:$C$39),Cadastros!$L$6:$L$12,Cadastros!$M$6:$M$12)+IF($F1864="Bernardino Furlan",AY1864/2751.92,IF($F1864="Mauro José Salanti",AY1864/2751.92,AY1864/3356)),F1864&lt;&gt;0,SUM(L1864,Q1864,V1864,AA1864,AF1864,AK1864,AP1864,AU1864))))</f>
        <v xml:space="preserve"> </v>
      </c>
      <c r="BE1864" s="120"/>
      <c r="BF1864" s="120"/>
      <c r="BG1864" s="120"/>
    </row>
    <row r="1865" spans="1:59" s="3" customFormat="1" x14ac:dyDescent="0.3">
      <c r="A1865" s="15" t="str">
        <f t="shared" si="377"/>
        <v/>
      </c>
      <c r="B1865" s="25"/>
      <c r="C1865" s="26"/>
      <c r="D1865" s="279"/>
      <c r="E1865" s="27"/>
      <c r="F1865" s="28"/>
      <c r="G1865" s="27"/>
      <c r="H1865" s="28"/>
      <c r="I1865" s="28"/>
      <c r="J1865" s="255" t="str">
        <f>IF(H1865="","",(_xlfn.XLOOKUP(H1865,Cadastros!$D$6:$D$90,Cadastros!$E$6:$E$90))*(1-_xlfn.XLOOKUP(_xlfn.XLOOKUP($F1865,Clientes!$B$4:$B$39,Clientes!$C$4:$C$39),Cadastros!$L$6:$L$12,Cadastros!$N$6:$N$12)))</f>
        <v/>
      </c>
      <c r="K1865" s="168" t="str">
        <f t="shared" si="378"/>
        <v/>
      </c>
      <c r="L1865" s="168" t="str">
        <f>IFERROR(K1865/_xlfn.XLOOKUP(_xlfn.XLOOKUP($F1865,Clientes!$B$4:$B$39,Clientes!$C$4:$C$39),Cadastros!$L$6:$L$12,Cadastros!$M$6:$M$12)," ")</f>
        <v xml:space="preserve"> </v>
      </c>
      <c r="M1865" s="28"/>
      <c r="N1865" s="28"/>
      <c r="O1865" s="255" t="str">
        <f>IF(M1865="","",(_xlfn.XLOOKUP(M1865,Cadastros!$D$6:$D$90,Cadastros!$E$6:$E$90))*(1-_xlfn.XLOOKUP(_xlfn.XLOOKUP($F1865,Clientes!$B$4:$B$39,Clientes!$C$4:$C$39),Cadastros!$L$6:$L$12,Cadastros!$N$6:$N$12)))</f>
        <v/>
      </c>
      <c r="P1865" s="168" t="str">
        <f t="shared" si="379"/>
        <v/>
      </c>
      <c r="Q1865" s="168" t="str">
        <f>IFERROR(P1865/_xlfn.XLOOKUP(_xlfn.XLOOKUP($F1865,Clientes!$B$4:$B$39,Clientes!$C$4:$C$39),Cadastros!$L$6:$L$12,Cadastros!$M$6:$M$12)," ")</f>
        <v xml:space="preserve"> </v>
      </c>
      <c r="R1865" s="28"/>
      <c r="S1865" s="28"/>
      <c r="T1865" s="255" t="str">
        <f>IF(R1865="","",(_xlfn.XLOOKUP(R1865,Cadastros!$D$6:$D$90,Cadastros!$E$6:$E$90))*(1-_xlfn.XLOOKUP(_xlfn.XLOOKUP($F1865,Clientes!$B$4:$B$39,Clientes!$C$4:$C$39),Cadastros!$L$6:$L$12,Cadastros!$N$6:$N$12)))</f>
        <v/>
      </c>
      <c r="U1865" s="168" t="str">
        <f t="shared" si="380"/>
        <v/>
      </c>
      <c r="V1865" s="168" t="str">
        <f>IFERROR(U1865/_xlfn.XLOOKUP(_xlfn.XLOOKUP($F1865,Clientes!$B$4:$B$39,Clientes!$C$4:$C$39),Cadastros!$L$6:$L$12,Cadastros!$M$6:$M$12)," ")</f>
        <v xml:space="preserve"> </v>
      </c>
      <c r="W1865" s="28"/>
      <c r="X1865" s="28"/>
      <c r="Y1865" s="255" t="str">
        <f>IF(W1865="","",(_xlfn.XLOOKUP(W1865,Cadastros!$D$6:$D$90,Cadastros!$E$6:$E$90))*(1-_xlfn.XLOOKUP(_xlfn.XLOOKUP($F1865,Clientes!$B$4:$B$39,Clientes!$C$4:$C$39),Cadastros!$L$6:$L$12,Cadastros!$N$6:$N$12)))</f>
        <v/>
      </c>
      <c r="Z1865" s="168" t="str">
        <f t="shared" si="381"/>
        <v/>
      </c>
      <c r="AA1865" s="168" t="str">
        <f>IFERROR(Z1865/_xlfn.XLOOKUP(_xlfn.XLOOKUP($F1865,Clientes!$B$4:$B$39,Clientes!$C$4:$C$39),Cadastros!$L$6:$L$12,Cadastros!$M$6:$M$12)," ")</f>
        <v xml:space="preserve"> </v>
      </c>
      <c r="AB1865" s="28"/>
      <c r="AC1865" s="28"/>
      <c r="AD1865" s="20" t="str">
        <f>IF(AB1865="","",IF($F1865="Bernardino Furlan",_xlfn.XLOOKUP(AB1865,Cadastros!$G$6:$G$90,Cadastros!$H$6:$H$90)*(1-0.18),IF($F1865="Mauro José Salanti",_xlfn.XLOOKUP(AB1865,Cadastros!$G$6:$G$90,Cadastros!$H$6:$H$90)*(1-0.18),_xlfn.XLOOKUP(AB1865,Cadastros!$G$6:$G$90,Cadastros!$H$6:$H$90))))</f>
        <v/>
      </c>
      <c r="AE1865" s="168" t="str">
        <f t="shared" si="382"/>
        <v/>
      </c>
      <c r="AF1865" s="168" t="str">
        <f t="shared" si="383"/>
        <v/>
      </c>
      <c r="AG1865" s="28"/>
      <c r="AH1865" s="28"/>
      <c r="AI1865" s="20" t="str">
        <f>IF(AG1865="","",IF($F1865="Bernardino Furlan",_xlfn.XLOOKUP(AG1865,Cadastros!$G$6:$G$90,Cadastros!$H$6:$H$90)*(1-0.18),IF($F1865="Mauro José Salanti",_xlfn.XLOOKUP(AG1865,Cadastros!$G$6:$G$90,Cadastros!$H$6:$H$90)*(1-0.18),_xlfn.XLOOKUP(AG1865,Cadastros!$G$6:$G$90,Cadastros!$H$6:$H$90))))</f>
        <v/>
      </c>
      <c r="AJ1865" s="168" t="str">
        <f t="shared" si="384"/>
        <v/>
      </c>
      <c r="AK1865" s="168" t="str">
        <f t="shared" si="385"/>
        <v/>
      </c>
      <c r="AL1865" s="28"/>
      <c r="AM1865" s="28"/>
      <c r="AN1865" s="20" t="str">
        <f>IF(AL1865="","",IF($F1865="Bernardino Furlan",_xlfn.XLOOKUP(AL1865,Cadastros!$G$6:$G$90,Cadastros!$H$6:$H$90)*(1-0.18),IF($F1865="Mauro José Salanti",_xlfn.XLOOKUP(AL1865,Cadastros!$G$6:$G$90,Cadastros!$H$6:$H$90)*(1-0.18),_xlfn.XLOOKUP(AL1865,Cadastros!$G$6:$G$90,Cadastros!$H$6:$H$90))))</f>
        <v/>
      </c>
      <c r="AO1865" s="168" t="str">
        <f t="shared" si="386"/>
        <v/>
      </c>
      <c r="AP1865" s="168" t="str">
        <f t="shared" si="387"/>
        <v/>
      </c>
      <c r="AQ1865" s="28"/>
      <c r="AR1865" s="28"/>
      <c r="AS1865" s="20" t="str">
        <f>IF(AQ1865="","",IF($F1865="Bernardino Furlan",_xlfn.XLOOKUP(AQ1865,Cadastros!$G$6:$G$90,Cadastros!$H$6:$H$90)*(1-0.18),IF($F1865="Mauro José Salanti",_xlfn.XLOOKUP(AQ1865,Cadastros!$G$6:$G$90,Cadastros!$H$6:$H$90)*(1-0.18),_xlfn.XLOOKUP(AQ1865,Cadastros!$G$6:$G$90,Cadastros!$H$6:$H$90))))</f>
        <v/>
      </c>
      <c r="AT1865" s="168" t="str">
        <f t="shared" si="388"/>
        <v/>
      </c>
      <c r="AU1865" s="168" t="str">
        <f t="shared" si="389"/>
        <v/>
      </c>
      <c r="AV1865" s="227"/>
      <c r="AW1865" s="30"/>
      <c r="AX1865" s="267"/>
      <c r="AY1865" s="267"/>
      <c r="AZ1865" s="29"/>
      <c r="BA1865" s="30"/>
      <c r="BB1865" s="23" t="str" cm="1">
        <f t="array" ref="BB1865">_xlfn.IFS(AW1865="SIM",SUM(K1865,P1865,U1865,Z1865,AE1865,AJ1865,AO1865,AT1865,AX1865,AY1865),F1865&lt;&gt;"",SUM(K1865,P1865,U1865,Z1865,AE1865,AJ1865,,AO1865,AT1865),F1865="","")</f>
        <v/>
      </c>
      <c r="BC1865" s="211" t="str" cm="1">
        <f t="array" ref="BC1865">_xlfn.IFS(E1865="","",G1865&lt;=E1865,BB1865*(1-0.03),G1865&lt;(E1865+8),BB1865,AZ1865="Boleto",BB1865*(1+0.001)^DATEDIF(E1865,G1865,"D"),AZ1865="Cheque",BB1865,AZ1865="Dinheiro","Alterar forma pgto")</f>
        <v/>
      </c>
      <c r="BD1865" s="276" t="str" cm="1">
        <f t="array" ref="BD1865">IF(F1865=0," ",IF(BC1865&lt;BB1865,(_xlfn.IFS(AW1865="SIM",SUM(L1865,Q1865,V1865,AA1865,AF1865,AK1865,AP1865,AU1865)+AX1865/_xlfn.XLOOKUP(_xlfn.XLOOKUP($F1865,Clientes!$B$4:$B$39,Clientes!$C$4:$C$39),Cadastros!$L$6:$L$12,Cadastros!$M$6:$M$12)+IF($F1865="Bernardino Furlan",AY1865/2751.92,IF($F1865="Mauro José Salanti",AY1865/2751.92,AY1865/3356)),F1865&lt;&gt;0,SUM(L1865,Q1865,V1865,AA1865,AF1865,AK1865,AP1865,AU1865)))*(1-0.03),_xlfn.IFS(AW1865="SIM",SUM(L1865,Q1865,V1865,AA1865,AF1865,AK1865,AP1865,AU1865)+AX1865/_xlfn.XLOOKUP(_xlfn.XLOOKUP($F1865,Clientes!$B$4:$B$39,Clientes!$C$4:$C$39),Cadastros!$L$6:$L$12,Cadastros!$M$6:$M$12)+IF($F1865="Bernardino Furlan",AY1865/2751.92,IF($F1865="Mauro José Salanti",AY1865/2751.92,AY1865/3356)),F1865&lt;&gt;0,SUM(L1865,Q1865,V1865,AA1865,AF1865,AK1865,AP1865,AU1865))))</f>
        <v xml:space="preserve"> </v>
      </c>
      <c r="BE1865" s="120"/>
      <c r="BF1865" s="120"/>
      <c r="BG1865" s="120"/>
    </row>
    <row r="1866" spans="1:59" s="3" customFormat="1" x14ac:dyDescent="0.3">
      <c r="A1866" s="15" t="str">
        <f t="shared" si="377"/>
        <v/>
      </c>
      <c r="B1866" s="25"/>
      <c r="C1866" s="26"/>
      <c r="D1866" s="279"/>
      <c r="E1866" s="27"/>
      <c r="F1866" s="28"/>
      <c r="G1866" s="27"/>
      <c r="H1866" s="28"/>
      <c r="I1866" s="28"/>
      <c r="J1866" s="255" t="str">
        <f>IF(H1866="","",(_xlfn.XLOOKUP(H1866,Cadastros!$D$6:$D$90,Cadastros!$E$6:$E$90))*(1-_xlfn.XLOOKUP(_xlfn.XLOOKUP($F1866,Clientes!$B$4:$B$39,Clientes!$C$4:$C$39),Cadastros!$L$6:$L$12,Cadastros!$N$6:$N$12)))</f>
        <v/>
      </c>
      <c r="K1866" s="168" t="str">
        <f t="shared" si="378"/>
        <v/>
      </c>
      <c r="L1866" s="168" t="str">
        <f>IFERROR(K1866/_xlfn.XLOOKUP(_xlfn.XLOOKUP($F1866,Clientes!$B$4:$B$39,Clientes!$C$4:$C$39),Cadastros!$L$6:$L$12,Cadastros!$M$6:$M$12)," ")</f>
        <v xml:space="preserve"> </v>
      </c>
      <c r="M1866" s="28"/>
      <c r="N1866" s="28"/>
      <c r="O1866" s="255" t="str">
        <f>IF(M1866="","",(_xlfn.XLOOKUP(M1866,Cadastros!$D$6:$D$90,Cadastros!$E$6:$E$90))*(1-_xlfn.XLOOKUP(_xlfn.XLOOKUP($F1866,Clientes!$B$4:$B$39,Clientes!$C$4:$C$39),Cadastros!$L$6:$L$12,Cadastros!$N$6:$N$12)))</f>
        <v/>
      </c>
      <c r="P1866" s="168" t="str">
        <f t="shared" si="379"/>
        <v/>
      </c>
      <c r="Q1866" s="168" t="str">
        <f>IFERROR(P1866/_xlfn.XLOOKUP(_xlfn.XLOOKUP($F1866,Clientes!$B$4:$B$39,Clientes!$C$4:$C$39),Cadastros!$L$6:$L$12,Cadastros!$M$6:$M$12)," ")</f>
        <v xml:space="preserve"> </v>
      </c>
      <c r="R1866" s="28"/>
      <c r="S1866" s="28"/>
      <c r="T1866" s="255" t="str">
        <f>IF(R1866="","",(_xlfn.XLOOKUP(R1866,Cadastros!$D$6:$D$90,Cadastros!$E$6:$E$90))*(1-_xlfn.XLOOKUP(_xlfn.XLOOKUP($F1866,Clientes!$B$4:$B$39,Clientes!$C$4:$C$39),Cadastros!$L$6:$L$12,Cadastros!$N$6:$N$12)))</f>
        <v/>
      </c>
      <c r="U1866" s="168" t="str">
        <f t="shared" si="380"/>
        <v/>
      </c>
      <c r="V1866" s="168" t="str">
        <f>IFERROR(U1866/_xlfn.XLOOKUP(_xlfn.XLOOKUP($F1866,Clientes!$B$4:$B$39,Clientes!$C$4:$C$39),Cadastros!$L$6:$L$12,Cadastros!$M$6:$M$12)," ")</f>
        <v xml:space="preserve"> </v>
      </c>
      <c r="W1866" s="28"/>
      <c r="X1866" s="28"/>
      <c r="Y1866" s="255" t="str">
        <f>IF(W1866="","",(_xlfn.XLOOKUP(W1866,Cadastros!$D$6:$D$90,Cadastros!$E$6:$E$90))*(1-_xlfn.XLOOKUP(_xlfn.XLOOKUP($F1866,Clientes!$B$4:$B$39,Clientes!$C$4:$C$39),Cadastros!$L$6:$L$12,Cadastros!$N$6:$N$12)))</f>
        <v/>
      </c>
      <c r="Z1866" s="168" t="str">
        <f t="shared" si="381"/>
        <v/>
      </c>
      <c r="AA1866" s="168" t="str">
        <f>IFERROR(Z1866/_xlfn.XLOOKUP(_xlfn.XLOOKUP($F1866,Clientes!$B$4:$B$39,Clientes!$C$4:$C$39),Cadastros!$L$6:$L$12,Cadastros!$M$6:$M$12)," ")</f>
        <v xml:space="preserve"> </v>
      </c>
      <c r="AB1866" s="28"/>
      <c r="AC1866" s="28"/>
      <c r="AD1866" s="20" t="str">
        <f>IF(AB1866="","",IF($F1866="Bernardino Furlan",_xlfn.XLOOKUP(AB1866,Cadastros!$G$6:$G$90,Cadastros!$H$6:$H$90)*(1-0.18),IF($F1866="Mauro José Salanti",_xlfn.XLOOKUP(AB1866,Cadastros!$G$6:$G$90,Cadastros!$H$6:$H$90)*(1-0.18),_xlfn.XLOOKUP(AB1866,Cadastros!$G$6:$G$90,Cadastros!$H$6:$H$90))))</f>
        <v/>
      </c>
      <c r="AE1866" s="168" t="str">
        <f t="shared" si="382"/>
        <v/>
      </c>
      <c r="AF1866" s="168" t="str">
        <f t="shared" si="383"/>
        <v/>
      </c>
      <c r="AG1866" s="28"/>
      <c r="AH1866" s="28"/>
      <c r="AI1866" s="20" t="str">
        <f>IF(AG1866="","",IF($F1866="Bernardino Furlan",_xlfn.XLOOKUP(AG1866,Cadastros!$G$6:$G$90,Cadastros!$H$6:$H$90)*(1-0.18),IF($F1866="Mauro José Salanti",_xlfn.XLOOKUP(AG1866,Cadastros!$G$6:$G$90,Cadastros!$H$6:$H$90)*(1-0.18),_xlfn.XLOOKUP(AG1866,Cadastros!$G$6:$G$90,Cadastros!$H$6:$H$90))))</f>
        <v/>
      </c>
      <c r="AJ1866" s="168" t="str">
        <f t="shared" si="384"/>
        <v/>
      </c>
      <c r="AK1866" s="168" t="str">
        <f t="shared" si="385"/>
        <v/>
      </c>
      <c r="AL1866" s="28"/>
      <c r="AM1866" s="28"/>
      <c r="AN1866" s="20" t="str">
        <f>IF(AL1866="","",IF($F1866="Bernardino Furlan",_xlfn.XLOOKUP(AL1866,Cadastros!$G$6:$G$90,Cadastros!$H$6:$H$90)*(1-0.18),IF($F1866="Mauro José Salanti",_xlfn.XLOOKUP(AL1866,Cadastros!$G$6:$G$90,Cadastros!$H$6:$H$90)*(1-0.18),_xlfn.XLOOKUP(AL1866,Cadastros!$G$6:$G$90,Cadastros!$H$6:$H$90))))</f>
        <v/>
      </c>
      <c r="AO1866" s="168" t="str">
        <f t="shared" si="386"/>
        <v/>
      </c>
      <c r="AP1866" s="168" t="str">
        <f t="shared" si="387"/>
        <v/>
      </c>
      <c r="AQ1866" s="28"/>
      <c r="AR1866" s="28"/>
      <c r="AS1866" s="20" t="str">
        <f>IF(AQ1866="","",IF($F1866="Bernardino Furlan",_xlfn.XLOOKUP(AQ1866,Cadastros!$G$6:$G$90,Cadastros!$H$6:$H$90)*(1-0.18),IF($F1866="Mauro José Salanti",_xlfn.XLOOKUP(AQ1866,Cadastros!$G$6:$G$90,Cadastros!$H$6:$H$90)*(1-0.18),_xlfn.XLOOKUP(AQ1866,Cadastros!$G$6:$G$90,Cadastros!$H$6:$H$90))))</f>
        <v/>
      </c>
      <c r="AT1866" s="168" t="str">
        <f t="shared" si="388"/>
        <v/>
      </c>
      <c r="AU1866" s="168" t="str">
        <f t="shared" si="389"/>
        <v/>
      </c>
      <c r="AV1866" s="227"/>
      <c r="AW1866" s="30"/>
      <c r="AX1866" s="267"/>
      <c r="AY1866" s="267"/>
      <c r="AZ1866" s="29"/>
      <c r="BA1866" s="30"/>
      <c r="BB1866" s="23" t="str" cm="1">
        <f t="array" ref="BB1866">_xlfn.IFS(AW1866="SIM",SUM(K1866,P1866,U1866,Z1866,AE1866,AJ1866,AO1866,AT1866,AX1866,AY1866),F1866&lt;&gt;"",SUM(K1866,P1866,U1866,Z1866,AE1866,AJ1866,,AO1866,AT1866),F1866="","")</f>
        <v/>
      </c>
      <c r="BC1866" s="211" t="str" cm="1">
        <f t="array" ref="BC1866">_xlfn.IFS(E1866="","",G1866&lt;=E1866,BB1866*(1-0.03),G1866&lt;(E1866+8),BB1866,AZ1866="Boleto",BB1866*(1+0.001)^DATEDIF(E1866,G1866,"D"),AZ1866="Cheque",BB1866,AZ1866="Dinheiro","Alterar forma pgto")</f>
        <v/>
      </c>
      <c r="BD1866" s="276" t="str" cm="1">
        <f t="array" ref="BD1866">IF(F1866=0," ",IF(BC1866&lt;BB1866,(_xlfn.IFS(AW1866="SIM",SUM(L1866,Q1866,V1866,AA1866,AF1866,AK1866,AP1866,AU1866)+AX1866/_xlfn.XLOOKUP(_xlfn.XLOOKUP($F1866,Clientes!$B$4:$B$39,Clientes!$C$4:$C$39),Cadastros!$L$6:$L$12,Cadastros!$M$6:$M$12)+IF($F1866="Bernardino Furlan",AY1866/2751.92,IF($F1866="Mauro José Salanti",AY1866/2751.92,AY1866/3356)),F1866&lt;&gt;0,SUM(L1866,Q1866,V1866,AA1866,AF1866,AK1866,AP1866,AU1866)))*(1-0.03),_xlfn.IFS(AW1866="SIM",SUM(L1866,Q1866,V1866,AA1866,AF1866,AK1866,AP1866,AU1866)+AX1866/_xlfn.XLOOKUP(_xlfn.XLOOKUP($F1866,Clientes!$B$4:$B$39,Clientes!$C$4:$C$39),Cadastros!$L$6:$L$12,Cadastros!$M$6:$M$12)+IF($F1866="Bernardino Furlan",AY1866/2751.92,IF($F1866="Mauro José Salanti",AY1866/2751.92,AY1866/3356)),F1866&lt;&gt;0,SUM(L1866,Q1866,V1866,AA1866,AF1866,AK1866,AP1866,AU1866))))</f>
        <v xml:space="preserve"> </v>
      </c>
      <c r="BE1866" s="120"/>
      <c r="BF1866" s="120"/>
      <c r="BG1866" s="120"/>
    </row>
    <row r="1867" spans="1:59" s="3" customFormat="1" x14ac:dyDescent="0.3">
      <c r="A1867" s="15" t="str">
        <f t="shared" si="377"/>
        <v/>
      </c>
      <c r="B1867" s="25"/>
      <c r="C1867" s="26"/>
      <c r="D1867" s="279"/>
      <c r="E1867" s="27"/>
      <c r="F1867" s="28"/>
      <c r="G1867" s="27"/>
      <c r="H1867" s="28"/>
      <c r="I1867" s="28"/>
      <c r="J1867" s="255" t="str">
        <f>IF(H1867="","",(_xlfn.XLOOKUP(H1867,Cadastros!$D$6:$D$90,Cadastros!$E$6:$E$90))*(1-_xlfn.XLOOKUP(_xlfn.XLOOKUP($F1867,Clientes!$B$4:$B$39,Clientes!$C$4:$C$39),Cadastros!$L$6:$L$12,Cadastros!$N$6:$N$12)))</f>
        <v/>
      </c>
      <c r="K1867" s="168" t="str">
        <f t="shared" si="378"/>
        <v/>
      </c>
      <c r="L1867" s="168" t="str">
        <f>IFERROR(K1867/_xlfn.XLOOKUP(_xlfn.XLOOKUP($F1867,Clientes!$B$4:$B$39,Clientes!$C$4:$C$39),Cadastros!$L$6:$L$12,Cadastros!$M$6:$M$12)," ")</f>
        <v xml:space="preserve"> </v>
      </c>
      <c r="M1867" s="28"/>
      <c r="N1867" s="28"/>
      <c r="O1867" s="255" t="str">
        <f>IF(M1867="","",(_xlfn.XLOOKUP(M1867,Cadastros!$D$6:$D$90,Cadastros!$E$6:$E$90))*(1-_xlfn.XLOOKUP(_xlfn.XLOOKUP($F1867,Clientes!$B$4:$B$39,Clientes!$C$4:$C$39),Cadastros!$L$6:$L$12,Cadastros!$N$6:$N$12)))</f>
        <v/>
      </c>
      <c r="P1867" s="168" t="str">
        <f t="shared" si="379"/>
        <v/>
      </c>
      <c r="Q1867" s="168" t="str">
        <f>IFERROR(P1867/_xlfn.XLOOKUP(_xlfn.XLOOKUP($F1867,Clientes!$B$4:$B$39,Clientes!$C$4:$C$39),Cadastros!$L$6:$L$12,Cadastros!$M$6:$M$12)," ")</f>
        <v xml:space="preserve"> </v>
      </c>
      <c r="R1867" s="28"/>
      <c r="S1867" s="28"/>
      <c r="T1867" s="255" t="str">
        <f>IF(R1867="","",(_xlfn.XLOOKUP(R1867,Cadastros!$D$6:$D$90,Cadastros!$E$6:$E$90))*(1-_xlfn.XLOOKUP(_xlfn.XLOOKUP($F1867,Clientes!$B$4:$B$39,Clientes!$C$4:$C$39),Cadastros!$L$6:$L$12,Cadastros!$N$6:$N$12)))</f>
        <v/>
      </c>
      <c r="U1867" s="168" t="str">
        <f t="shared" si="380"/>
        <v/>
      </c>
      <c r="V1867" s="168" t="str">
        <f>IFERROR(U1867/_xlfn.XLOOKUP(_xlfn.XLOOKUP($F1867,Clientes!$B$4:$B$39,Clientes!$C$4:$C$39),Cadastros!$L$6:$L$12,Cadastros!$M$6:$M$12)," ")</f>
        <v xml:space="preserve"> </v>
      </c>
      <c r="W1867" s="28"/>
      <c r="X1867" s="28"/>
      <c r="Y1867" s="255" t="str">
        <f>IF(W1867="","",(_xlfn.XLOOKUP(W1867,Cadastros!$D$6:$D$90,Cadastros!$E$6:$E$90))*(1-_xlfn.XLOOKUP(_xlfn.XLOOKUP($F1867,Clientes!$B$4:$B$39,Clientes!$C$4:$C$39),Cadastros!$L$6:$L$12,Cadastros!$N$6:$N$12)))</f>
        <v/>
      </c>
      <c r="Z1867" s="168" t="str">
        <f t="shared" si="381"/>
        <v/>
      </c>
      <c r="AA1867" s="168" t="str">
        <f>IFERROR(Z1867/_xlfn.XLOOKUP(_xlfn.XLOOKUP($F1867,Clientes!$B$4:$B$39,Clientes!$C$4:$C$39),Cadastros!$L$6:$L$12,Cadastros!$M$6:$M$12)," ")</f>
        <v xml:space="preserve"> </v>
      </c>
      <c r="AB1867" s="28"/>
      <c r="AC1867" s="28"/>
      <c r="AD1867" s="20" t="str">
        <f>IF(AB1867="","",IF($F1867="Bernardino Furlan",_xlfn.XLOOKUP(AB1867,Cadastros!$G$6:$G$90,Cadastros!$H$6:$H$90)*(1-0.18),IF($F1867="Mauro José Salanti",_xlfn.XLOOKUP(AB1867,Cadastros!$G$6:$G$90,Cadastros!$H$6:$H$90)*(1-0.18),_xlfn.XLOOKUP(AB1867,Cadastros!$G$6:$G$90,Cadastros!$H$6:$H$90))))</f>
        <v/>
      </c>
      <c r="AE1867" s="168" t="str">
        <f t="shared" si="382"/>
        <v/>
      </c>
      <c r="AF1867" s="168" t="str">
        <f t="shared" si="383"/>
        <v/>
      </c>
      <c r="AG1867" s="28"/>
      <c r="AH1867" s="28"/>
      <c r="AI1867" s="20" t="str">
        <f>IF(AG1867="","",IF($F1867="Bernardino Furlan",_xlfn.XLOOKUP(AG1867,Cadastros!$G$6:$G$90,Cadastros!$H$6:$H$90)*(1-0.18),IF($F1867="Mauro José Salanti",_xlfn.XLOOKUP(AG1867,Cadastros!$G$6:$G$90,Cadastros!$H$6:$H$90)*(1-0.18),_xlfn.XLOOKUP(AG1867,Cadastros!$G$6:$G$90,Cadastros!$H$6:$H$90))))</f>
        <v/>
      </c>
      <c r="AJ1867" s="168" t="str">
        <f t="shared" si="384"/>
        <v/>
      </c>
      <c r="AK1867" s="168" t="str">
        <f t="shared" si="385"/>
        <v/>
      </c>
      <c r="AL1867" s="28"/>
      <c r="AM1867" s="28"/>
      <c r="AN1867" s="20" t="str">
        <f>IF(AL1867="","",IF($F1867="Bernardino Furlan",_xlfn.XLOOKUP(AL1867,Cadastros!$G$6:$G$90,Cadastros!$H$6:$H$90)*(1-0.18),IF($F1867="Mauro José Salanti",_xlfn.XLOOKUP(AL1867,Cadastros!$G$6:$G$90,Cadastros!$H$6:$H$90)*(1-0.18),_xlfn.XLOOKUP(AL1867,Cadastros!$G$6:$G$90,Cadastros!$H$6:$H$90))))</f>
        <v/>
      </c>
      <c r="AO1867" s="168" t="str">
        <f t="shared" si="386"/>
        <v/>
      </c>
      <c r="AP1867" s="168" t="str">
        <f t="shared" si="387"/>
        <v/>
      </c>
      <c r="AQ1867" s="28"/>
      <c r="AR1867" s="28"/>
      <c r="AS1867" s="20" t="str">
        <f>IF(AQ1867="","",IF($F1867="Bernardino Furlan",_xlfn.XLOOKUP(AQ1867,Cadastros!$G$6:$G$90,Cadastros!$H$6:$H$90)*(1-0.18),IF($F1867="Mauro José Salanti",_xlfn.XLOOKUP(AQ1867,Cadastros!$G$6:$G$90,Cadastros!$H$6:$H$90)*(1-0.18),_xlfn.XLOOKUP(AQ1867,Cadastros!$G$6:$G$90,Cadastros!$H$6:$H$90))))</f>
        <v/>
      </c>
      <c r="AT1867" s="168" t="str">
        <f t="shared" si="388"/>
        <v/>
      </c>
      <c r="AU1867" s="168" t="str">
        <f t="shared" si="389"/>
        <v/>
      </c>
      <c r="AV1867" s="227"/>
      <c r="AW1867" s="30"/>
      <c r="AX1867" s="267"/>
      <c r="AY1867" s="267"/>
      <c r="AZ1867" s="29"/>
      <c r="BA1867" s="30"/>
      <c r="BB1867" s="23" t="str" cm="1">
        <f t="array" ref="BB1867">_xlfn.IFS(AW1867="SIM",SUM(K1867,P1867,U1867,Z1867,AE1867,AJ1867,AO1867,AT1867,AX1867,AY1867),F1867&lt;&gt;"",SUM(K1867,P1867,U1867,Z1867,AE1867,AJ1867,,AO1867,AT1867),F1867="","")</f>
        <v/>
      </c>
      <c r="BC1867" s="211" t="str" cm="1">
        <f t="array" ref="BC1867">_xlfn.IFS(E1867="","",G1867&lt;=E1867,BB1867*(1-0.03),G1867&lt;(E1867+8),BB1867,AZ1867="Boleto",BB1867*(1+0.001)^DATEDIF(E1867,G1867,"D"),AZ1867="Cheque",BB1867,AZ1867="Dinheiro","Alterar forma pgto")</f>
        <v/>
      </c>
      <c r="BD1867" s="276" t="str" cm="1">
        <f t="array" ref="BD1867">IF(F1867=0," ",IF(BC1867&lt;BB1867,(_xlfn.IFS(AW1867="SIM",SUM(L1867,Q1867,V1867,AA1867,AF1867,AK1867,AP1867,AU1867)+AX1867/_xlfn.XLOOKUP(_xlfn.XLOOKUP($F1867,Clientes!$B$4:$B$39,Clientes!$C$4:$C$39),Cadastros!$L$6:$L$12,Cadastros!$M$6:$M$12)+IF($F1867="Bernardino Furlan",AY1867/2751.92,IF($F1867="Mauro José Salanti",AY1867/2751.92,AY1867/3356)),F1867&lt;&gt;0,SUM(L1867,Q1867,V1867,AA1867,AF1867,AK1867,AP1867,AU1867)))*(1-0.03),_xlfn.IFS(AW1867="SIM",SUM(L1867,Q1867,V1867,AA1867,AF1867,AK1867,AP1867,AU1867)+AX1867/_xlfn.XLOOKUP(_xlfn.XLOOKUP($F1867,Clientes!$B$4:$B$39,Clientes!$C$4:$C$39),Cadastros!$L$6:$L$12,Cadastros!$M$6:$M$12)+IF($F1867="Bernardino Furlan",AY1867/2751.92,IF($F1867="Mauro José Salanti",AY1867/2751.92,AY1867/3356)),F1867&lt;&gt;0,SUM(L1867,Q1867,V1867,AA1867,AF1867,AK1867,AP1867,AU1867))))</f>
        <v xml:space="preserve"> </v>
      </c>
      <c r="BE1867" s="120"/>
      <c r="BF1867" s="120"/>
      <c r="BG1867" s="120"/>
    </row>
    <row r="1868" spans="1:59" s="3" customFormat="1" x14ac:dyDescent="0.3">
      <c r="A1868" s="15" t="str">
        <f t="shared" si="377"/>
        <v/>
      </c>
      <c r="B1868" s="25"/>
      <c r="C1868" s="26"/>
      <c r="D1868" s="279"/>
      <c r="E1868" s="27"/>
      <c r="F1868" s="28"/>
      <c r="G1868" s="27"/>
      <c r="H1868" s="28"/>
      <c r="I1868" s="28"/>
      <c r="J1868" s="255" t="str">
        <f>IF(H1868="","",(_xlfn.XLOOKUP(H1868,Cadastros!$D$6:$D$90,Cadastros!$E$6:$E$90))*(1-_xlfn.XLOOKUP(_xlfn.XLOOKUP($F1868,Clientes!$B$4:$B$39,Clientes!$C$4:$C$39),Cadastros!$L$6:$L$12,Cadastros!$N$6:$N$12)))</f>
        <v/>
      </c>
      <c r="K1868" s="168" t="str">
        <f t="shared" si="378"/>
        <v/>
      </c>
      <c r="L1868" s="168" t="str">
        <f>IFERROR(K1868/_xlfn.XLOOKUP(_xlfn.XLOOKUP($F1868,Clientes!$B$4:$B$39,Clientes!$C$4:$C$39),Cadastros!$L$6:$L$12,Cadastros!$M$6:$M$12)," ")</f>
        <v xml:space="preserve"> </v>
      </c>
      <c r="M1868" s="28"/>
      <c r="N1868" s="28"/>
      <c r="O1868" s="255" t="str">
        <f>IF(M1868="","",(_xlfn.XLOOKUP(M1868,Cadastros!$D$6:$D$90,Cadastros!$E$6:$E$90))*(1-_xlfn.XLOOKUP(_xlfn.XLOOKUP($F1868,Clientes!$B$4:$B$39,Clientes!$C$4:$C$39),Cadastros!$L$6:$L$12,Cadastros!$N$6:$N$12)))</f>
        <v/>
      </c>
      <c r="P1868" s="168" t="str">
        <f t="shared" si="379"/>
        <v/>
      </c>
      <c r="Q1868" s="168" t="str">
        <f>IFERROR(P1868/_xlfn.XLOOKUP(_xlfn.XLOOKUP($F1868,Clientes!$B$4:$B$39,Clientes!$C$4:$C$39),Cadastros!$L$6:$L$12,Cadastros!$M$6:$M$12)," ")</f>
        <v xml:space="preserve"> </v>
      </c>
      <c r="R1868" s="28"/>
      <c r="S1868" s="28"/>
      <c r="T1868" s="255" t="str">
        <f>IF(R1868="","",(_xlfn.XLOOKUP(R1868,Cadastros!$D$6:$D$90,Cadastros!$E$6:$E$90))*(1-_xlfn.XLOOKUP(_xlfn.XLOOKUP($F1868,Clientes!$B$4:$B$39,Clientes!$C$4:$C$39),Cadastros!$L$6:$L$12,Cadastros!$N$6:$N$12)))</f>
        <v/>
      </c>
      <c r="U1868" s="168" t="str">
        <f t="shared" si="380"/>
        <v/>
      </c>
      <c r="V1868" s="168" t="str">
        <f>IFERROR(U1868/_xlfn.XLOOKUP(_xlfn.XLOOKUP($F1868,Clientes!$B$4:$B$39,Clientes!$C$4:$C$39),Cadastros!$L$6:$L$12,Cadastros!$M$6:$M$12)," ")</f>
        <v xml:space="preserve"> </v>
      </c>
      <c r="W1868" s="28"/>
      <c r="X1868" s="28"/>
      <c r="Y1868" s="255" t="str">
        <f>IF(W1868="","",(_xlfn.XLOOKUP(W1868,Cadastros!$D$6:$D$90,Cadastros!$E$6:$E$90))*(1-_xlfn.XLOOKUP(_xlfn.XLOOKUP($F1868,Clientes!$B$4:$B$39,Clientes!$C$4:$C$39),Cadastros!$L$6:$L$12,Cadastros!$N$6:$N$12)))</f>
        <v/>
      </c>
      <c r="Z1868" s="168" t="str">
        <f t="shared" si="381"/>
        <v/>
      </c>
      <c r="AA1868" s="168" t="str">
        <f>IFERROR(Z1868/_xlfn.XLOOKUP(_xlfn.XLOOKUP($F1868,Clientes!$B$4:$B$39,Clientes!$C$4:$C$39),Cadastros!$L$6:$L$12,Cadastros!$M$6:$M$12)," ")</f>
        <v xml:space="preserve"> </v>
      </c>
      <c r="AB1868" s="28"/>
      <c r="AC1868" s="28"/>
      <c r="AD1868" s="20" t="str">
        <f>IF(AB1868="","",IF($F1868="Bernardino Furlan",_xlfn.XLOOKUP(AB1868,Cadastros!$G$6:$G$90,Cadastros!$H$6:$H$90)*(1-0.18),IF($F1868="Mauro José Salanti",_xlfn.XLOOKUP(AB1868,Cadastros!$G$6:$G$90,Cadastros!$H$6:$H$90)*(1-0.18),_xlfn.XLOOKUP(AB1868,Cadastros!$G$6:$G$90,Cadastros!$H$6:$H$90))))</f>
        <v/>
      </c>
      <c r="AE1868" s="168" t="str">
        <f t="shared" si="382"/>
        <v/>
      </c>
      <c r="AF1868" s="168" t="str">
        <f t="shared" si="383"/>
        <v/>
      </c>
      <c r="AG1868" s="28"/>
      <c r="AH1868" s="28"/>
      <c r="AI1868" s="20" t="str">
        <f>IF(AG1868="","",IF($F1868="Bernardino Furlan",_xlfn.XLOOKUP(AG1868,Cadastros!$G$6:$G$90,Cadastros!$H$6:$H$90)*(1-0.18),IF($F1868="Mauro José Salanti",_xlfn.XLOOKUP(AG1868,Cadastros!$G$6:$G$90,Cadastros!$H$6:$H$90)*(1-0.18),_xlfn.XLOOKUP(AG1868,Cadastros!$G$6:$G$90,Cadastros!$H$6:$H$90))))</f>
        <v/>
      </c>
      <c r="AJ1868" s="168" t="str">
        <f t="shared" si="384"/>
        <v/>
      </c>
      <c r="AK1868" s="168" t="str">
        <f t="shared" si="385"/>
        <v/>
      </c>
      <c r="AL1868" s="28"/>
      <c r="AM1868" s="28"/>
      <c r="AN1868" s="20" t="str">
        <f>IF(AL1868="","",IF($F1868="Bernardino Furlan",_xlfn.XLOOKUP(AL1868,Cadastros!$G$6:$G$90,Cadastros!$H$6:$H$90)*(1-0.18),IF($F1868="Mauro José Salanti",_xlfn.XLOOKUP(AL1868,Cadastros!$G$6:$G$90,Cadastros!$H$6:$H$90)*(1-0.18),_xlfn.XLOOKUP(AL1868,Cadastros!$G$6:$G$90,Cadastros!$H$6:$H$90))))</f>
        <v/>
      </c>
      <c r="AO1868" s="168" t="str">
        <f t="shared" si="386"/>
        <v/>
      </c>
      <c r="AP1868" s="168" t="str">
        <f t="shared" si="387"/>
        <v/>
      </c>
      <c r="AQ1868" s="28"/>
      <c r="AR1868" s="28"/>
      <c r="AS1868" s="20" t="str">
        <f>IF(AQ1868="","",IF($F1868="Bernardino Furlan",_xlfn.XLOOKUP(AQ1868,Cadastros!$G$6:$G$90,Cadastros!$H$6:$H$90)*(1-0.18),IF($F1868="Mauro José Salanti",_xlfn.XLOOKUP(AQ1868,Cadastros!$G$6:$G$90,Cadastros!$H$6:$H$90)*(1-0.18),_xlfn.XLOOKUP(AQ1868,Cadastros!$G$6:$G$90,Cadastros!$H$6:$H$90))))</f>
        <v/>
      </c>
      <c r="AT1868" s="168" t="str">
        <f t="shared" si="388"/>
        <v/>
      </c>
      <c r="AU1868" s="168" t="str">
        <f t="shared" si="389"/>
        <v/>
      </c>
      <c r="AV1868" s="227"/>
      <c r="AW1868" s="30"/>
      <c r="AX1868" s="267"/>
      <c r="AY1868" s="267"/>
      <c r="AZ1868" s="29"/>
      <c r="BA1868" s="30"/>
      <c r="BB1868" s="23" t="str" cm="1">
        <f t="array" ref="BB1868">_xlfn.IFS(AW1868="SIM",SUM(K1868,P1868,U1868,Z1868,AE1868,AJ1868,AO1868,AT1868,AX1868,AY1868),F1868&lt;&gt;"",SUM(K1868,P1868,U1868,Z1868,AE1868,AJ1868,,AO1868,AT1868),F1868="","")</f>
        <v/>
      </c>
      <c r="BC1868" s="211" t="str" cm="1">
        <f t="array" ref="BC1868">_xlfn.IFS(E1868="","",G1868&lt;=E1868,BB1868*(1-0.03),G1868&lt;(E1868+8),BB1868,AZ1868="Boleto",BB1868*(1+0.001)^DATEDIF(E1868,G1868,"D"),AZ1868="Cheque",BB1868,AZ1868="Dinheiro","Alterar forma pgto")</f>
        <v/>
      </c>
      <c r="BD1868" s="276" t="str" cm="1">
        <f t="array" ref="BD1868">IF(F1868=0," ",IF(BC1868&lt;BB1868,(_xlfn.IFS(AW1868="SIM",SUM(L1868,Q1868,V1868,AA1868,AF1868,AK1868,AP1868,AU1868)+AX1868/_xlfn.XLOOKUP(_xlfn.XLOOKUP($F1868,Clientes!$B$4:$B$39,Clientes!$C$4:$C$39),Cadastros!$L$6:$L$12,Cadastros!$M$6:$M$12)+IF($F1868="Bernardino Furlan",AY1868/2751.92,IF($F1868="Mauro José Salanti",AY1868/2751.92,AY1868/3356)),F1868&lt;&gt;0,SUM(L1868,Q1868,V1868,AA1868,AF1868,AK1868,AP1868,AU1868)))*(1-0.03),_xlfn.IFS(AW1868="SIM",SUM(L1868,Q1868,V1868,AA1868,AF1868,AK1868,AP1868,AU1868)+AX1868/_xlfn.XLOOKUP(_xlfn.XLOOKUP($F1868,Clientes!$B$4:$B$39,Clientes!$C$4:$C$39),Cadastros!$L$6:$L$12,Cadastros!$M$6:$M$12)+IF($F1868="Bernardino Furlan",AY1868/2751.92,IF($F1868="Mauro José Salanti",AY1868/2751.92,AY1868/3356)),F1868&lt;&gt;0,SUM(L1868,Q1868,V1868,AA1868,AF1868,AK1868,AP1868,AU1868))))</f>
        <v xml:space="preserve"> </v>
      </c>
      <c r="BE1868" s="120"/>
      <c r="BF1868" s="120"/>
      <c r="BG1868" s="120"/>
    </row>
    <row r="1869" spans="1:59" s="3" customFormat="1" x14ac:dyDescent="0.3">
      <c r="A1869" s="15" t="str">
        <f t="shared" si="377"/>
        <v/>
      </c>
      <c r="B1869" s="25"/>
      <c r="C1869" s="26"/>
      <c r="D1869" s="279"/>
      <c r="E1869" s="27"/>
      <c r="F1869" s="28"/>
      <c r="G1869" s="27"/>
      <c r="H1869" s="28"/>
      <c r="I1869" s="28"/>
      <c r="J1869" s="255" t="str">
        <f>IF(H1869="","",(_xlfn.XLOOKUP(H1869,Cadastros!$D$6:$D$90,Cadastros!$E$6:$E$90))*(1-_xlfn.XLOOKUP(_xlfn.XLOOKUP($F1869,Clientes!$B$4:$B$39,Clientes!$C$4:$C$39),Cadastros!$L$6:$L$12,Cadastros!$N$6:$N$12)))</f>
        <v/>
      </c>
      <c r="K1869" s="168" t="str">
        <f t="shared" si="378"/>
        <v/>
      </c>
      <c r="L1869" s="168" t="str">
        <f>IFERROR(K1869/_xlfn.XLOOKUP(_xlfn.XLOOKUP($F1869,Clientes!$B$4:$B$39,Clientes!$C$4:$C$39),Cadastros!$L$6:$L$12,Cadastros!$M$6:$M$12)," ")</f>
        <v xml:space="preserve"> </v>
      </c>
      <c r="M1869" s="28"/>
      <c r="N1869" s="28"/>
      <c r="O1869" s="255" t="str">
        <f>IF(M1869="","",(_xlfn.XLOOKUP(M1869,Cadastros!$D$6:$D$90,Cadastros!$E$6:$E$90))*(1-_xlfn.XLOOKUP(_xlfn.XLOOKUP($F1869,Clientes!$B$4:$B$39,Clientes!$C$4:$C$39),Cadastros!$L$6:$L$12,Cadastros!$N$6:$N$12)))</f>
        <v/>
      </c>
      <c r="P1869" s="168" t="str">
        <f t="shared" si="379"/>
        <v/>
      </c>
      <c r="Q1869" s="168" t="str">
        <f>IFERROR(P1869/_xlfn.XLOOKUP(_xlfn.XLOOKUP($F1869,Clientes!$B$4:$B$39,Clientes!$C$4:$C$39),Cadastros!$L$6:$L$12,Cadastros!$M$6:$M$12)," ")</f>
        <v xml:space="preserve"> </v>
      </c>
      <c r="R1869" s="28"/>
      <c r="S1869" s="28"/>
      <c r="T1869" s="255" t="str">
        <f>IF(R1869="","",(_xlfn.XLOOKUP(R1869,Cadastros!$D$6:$D$90,Cadastros!$E$6:$E$90))*(1-_xlfn.XLOOKUP(_xlfn.XLOOKUP($F1869,Clientes!$B$4:$B$39,Clientes!$C$4:$C$39),Cadastros!$L$6:$L$12,Cadastros!$N$6:$N$12)))</f>
        <v/>
      </c>
      <c r="U1869" s="168" t="str">
        <f t="shared" si="380"/>
        <v/>
      </c>
      <c r="V1869" s="168" t="str">
        <f>IFERROR(U1869/_xlfn.XLOOKUP(_xlfn.XLOOKUP($F1869,Clientes!$B$4:$B$39,Clientes!$C$4:$C$39),Cadastros!$L$6:$L$12,Cadastros!$M$6:$M$12)," ")</f>
        <v xml:space="preserve"> </v>
      </c>
      <c r="W1869" s="28"/>
      <c r="X1869" s="28"/>
      <c r="Y1869" s="255" t="str">
        <f>IF(W1869="","",(_xlfn.XLOOKUP(W1869,Cadastros!$D$6:$D$90,Cadastros!$E$6:$E$90))*(1-_xlfn.XLOOKUP(_xlfn.XLOOKUP($F1869,Clientes!$B$4:$B$39,Clientes!$C$4:$C$39),Cadastros!$L$6:$L$12,Cadastros!$N$6:$N$12)))</f>
        <v/>
      </c>
      <c r="Z1869" s="168" t="str">
        <f t="shared" si="381"/>
        <v/>
      </c>
      <c r="AA1869" s="168" t="str">
        <f>IFERROR(Z1869/_xlfn.XLOOKUP(_xlfn.XLOOKUP($F1869,Clientes!$B$4:$B$39,Clientes!$C$4:$C$39),Cadastros!$L$6:$L$12,Cadastros!$M$6:$M$12)," ")</f>
        <v xml:space="preserve"> </v>
      </c>
      <c r="AB1869" s="28"/>
      <c r="AC1869" s="28"/>
      <c r="AD1869" s="20" t="str">
        <f>IF(AB1869="","",IF($F1869="Bernardino Furlan",_xlfn.XLOOKUP(AB1869,Cadastros!$G$6:$G$90,Cadastros!$H$6:$H$90)*(1-0.18),IF($F1869="Mauro José Salanti",_xlfn.XLOOKUP(AB1869,Cadastros!$G$6:$G$90,Cadastros!$H$6:$H$90)*(1-0.18),_xlfn.XLOOKUP(AB1869,Cadastros!$G$6:$G$90,Cadastros!$H$6:$H$90))))</f>
        <v/>
      </c>
      <c r="AE1869" s="168" t="str">
        <f t="shared" si="382"/>
        <v/>
      </c>
      <c r="AF1869" s="168" t="str">
        <f t="shared" si="383"/>
        <v/>
      </c>
      <c r="AG1869" s="28"/>
      <c r="AH1869" s="28"/>
      <c r="AI1869" s="20" t="str">
        <f>IF(AG1869="","",IF($F1869="Bernardino Furlan",_xlfn.XLOOKUP(AG1869,Cadastros!$G$6:$G$90,Cadastros!$H$6:$H$90)*(1-0.18),IF($F1869="Mauro José Salanti",_xlfn.XLOOKUP(AG1869,Cadastros!$G$6:$G$90,Cadastros!$H$6:$H$90)*(1-0.18),_xlfn.XLOOKUP(AG1869,Cadastros!$G$6:$G$90,Cadastros!$H$6:$H$90))))</f>
        <v/>
      </c>
      <c r="AJ1869" s="168" t="str">
        <f t="shared" si="384"/>
        <v/>
      </c>
      <c r="AK1869" s="168" t="str">
        <f t="shared" si="385"/>
        <v/>
      </c>
      <c r="AL1869" s="28"/>
      <c r="AM1869" s="28"/>
      <c r="AN1869" s="20" t="str">
        <f>IF(AL1869="","",IF($F1869="Bernardino Furlan",_xlfn.XLOOKUP(AL1869,Cadastros!$G$6:$G$90,Cadastros!$H$6:$H$90)*(1-0.18),IF($F1869="Mauro José Salanti",_xlfn.XLOOKUP(AL1869,Cadastros!$G$6:$G$90,Cadastros!$H$6:$H$90)*(1-0.18),_xlfn.XLOOKUP(AL1869,Cadastros!$G$6:$G$90,Cadastros!$H$6:$H$90))))</f>
        <v/>
      </c>
      <c r="AO1869" s="168" t="str">
        <f t="shared" si="386"/>
        <v/>
      </c>
      <c r="AP1869" s="168" t="str">
        <f t="shared" si="387"/>
        <v/>
      </c>
      <c r="AQ1869" s="28"/>
      <c r="AR1869" s="28"/>
      <c r="AS1869" s="20" t="str">
        <f>IF(AQ1869="","",IF($F1869="Bernardino Furlan",_xlfn.XLOOKUP(AQ1869,Cadastros!$G$6:$G$90,Cadastros!$H$6:$H$90)*(1-0.18),IF($F1869="Mauro José Salanti",_xlfn.XLOOKUP(AQ1869,Cadastros!$G$6:$G$90,Cadastros!$H$6:$H$90)*(1-0.18),_xlfn.XLOOKUP(AQ1869,Cadastros!$G$6:$G$90,Cadastros!$H$6:$H$90))))</f>
        <v/>
      </c>
      <c r="AT1869" s="168" t="str">
        <f t="shared" si="388"/>
        <v/>
      </c>
      <c r="AU1869" s="168" t="str">
        <f t="shared" si="389"/>
        <v/>
      </c>
      <c r="AV1869" s="227"/>
      <c r="AW1869" s="30"/>
      <c r="AX1869" s="267"/>
      <c r="AY1869" s="267"/>
      <c r="AZ1869" s="29"/>
      <c r="BA1869" s="30"/>
      <c r="BB1869" s="23" t="str" cm="1">
        <f t="array" ref="BB1869">_xlfn.IFS(AW1869="SIM",SUM(K1869,P1869,U1869,Z1869,AE1869,AJ1869,AO1869,AT1869,AX1869,AY1869),F1869&lt;&gt;"",SUM(K1869,P1869,U1869,Z1869,AE1869,AJ1869,,AO1869,AT1869),F1869="","")</f>
        <v/>
      </c>
      <c r="BC1869" s="211" t="str" cm="1">
        <f t="array" ref="BC1869">_xlfn.IFS(E1869="","",G1869&lt;=E1869,BB1869*(1-0.03),G1869&lt;(E1869+8),BB1869,AZ1869="Boleto",BB1869*(1+0.001)^DATEDIF(E1869,G1869,"D"),AZ1869="Cheque",BB1869,AZ1869="Dinheiro","Alterar forma pgto")</f>
        <v/>
      </c>
      <c r="BD1869" s="276" t="str" cm="1">
        <f t="array" ref="BD1869">IF(F1869=0," ",IF(BC1869&lt;BB1869,(_xlfn.IFS(AW1869="SIM",SUM(L1869,Q1869,V1869,AA1869,AF1869,AK1869,AP1869,AU1869)+AX1869/_xlfn.XLOOKUP(_xlfn.XLOOKUP($F1869,Clientes!$B$4:$B$39,Clientes!$C$4:$C$39),Cadastros!$L$6:$L$12,Cadastros!$M$6:$M$12)+IF($F1869="Bernardino Furlan",AY1869/2751.92,IF($F1869="Mauro José Salanti",AY1869/2751.92,AY1869/3356)),F1869&lt;&gt;0,SUM(L1869,Q1869,V1869,AA1869,AF1869,AK1869,AP1869,AU1869)))*(1-0.03),_xlfn.IFS(AW1869="SIM",SUM(L1869,Q1869,V1869,AA1869,AF1869,AK1869,AP1869,AU1869)+AX1869/_xlfn.XLOOKUP(_xlfn.XLOOKUP($F1869,Clientes!$B$4:$B$39,Clientes!$C$4:$C$39),Cadastros!$L$6:$L$12,Cadastros!$M$6:$M$12)+IF($F1869="Bernardino Furlan",AY1869/2751.92,IF($F1869="Mauro José Salanti",AY1869/2751.92,AY1869/3356)),F1869&lt;&gt;0,SUM(L1869,Q1869,V1869,AA1869,AF1869,AK1869,AP1869,AU1869))))</f>
        <v xml:space="preserve"> </v>
      </c>
      <c r="BE1869" s="120"/>
      <c r="BF1869" s="120"/>
      <c r="BG1869" s="120"/>
    </row>
    <row r="1870" spans="1:59" s="3" customFormat="1" x14ac:dyDescent="0.3">
      <c r="A1870" s="15" t="str">
        <f t="shared" si="377"/>
        <v/>
      </c>
      <c r="B1870" s="25"/>
      <c r="C1870" s="26"/>
      <c r="D1870" s="279"/>
      <c r="E1870" s="27"/>
      <c r="F1870" s="28"/>
      <c r="G1870" s="27"/>
      <c r="H1870" s="28"/>
      <c r="I1870" s="28"/>
      <c r="J1870" s="255" t="str">
        <f>IF(H1870="","",(_xlfn.XLOOKUP(H1870,Cadastros!$D$6:$D$90,Cadastros!$E$6:$E$90))*(1-_xlfn.XLOOKUP(_xlfn.XLOOKUP($F1870,Clientes!$B$4:$B$39,Clientes!$C$4:$C$39),Cadastros!$L$6:$L$12,Cadastros!$N$6:$N$12)))</f>
        <v/>
      </c>
      <c r="K1870" s="168" t="str">
        <f t="shared" si="378"/>
        <v/>
      </c>
      <c r="L1870" s="168" t="str">
        <f>IFERROR(K1870/_xlfn.XLOOKUP(_xlfn.XLOOKUP($F1870,Clientes!$B$4:$B$39,Clientes!$C$4:$C$39),Cadastros!$L$6:$L$12,Cadastros!$M$6:$M$12)," ")</f>
        <v xml:space="preserve"> </v>
      </c>
      <c r="M1870" s="28"/>
      <c r="N1870" s="28"/>
      <c r="O1870" s="255" t="str">
        <f>IF(M1870="","",(_xlfn.XLOOKUP(M1870,Cadastros!$D$6:$D$90,Cadastros!$E$6:$E$90))*(1-_xlfn.XLOOKUP(_xlfn.XLOOKUP($F1870,Clientes!$B$4:$B$39,Clientes!$C$4:$C$39),Cadastros!$L$6:$L$12,Cadastros!$N$6:$N$12)))</f>
        <v/>
      </c>
      <c r="P1870" s="168" t="str">
        <f t="shared" si="379"/>
        <v/>
      </c>
      <c r="Q1870" s="168" t="str">
        <f>IFERROR(P1870/_xlfn.XLOOKUP(_xlfn.XLOOKUP($F1870,Clientes!$B$4:$B$39,Clientes!$C$4:$C$39),Cadastros!$L$6:$L$12,Cadastros!$M$6:$M$12)," ")</f>
        <v xml:space="preserve"> </v>
      </c>
      <c r="R1870" s="28"/>
      <c r="S1870" s="28"/>
      <c r="T1870" s="255" t="str">
        <f>IF(R1870="","",(_xlfn.XLOOKUP(R1870,Cadastros!$D$6:$D$90,Cadastros!$E$6:$E$90))*(1-_xlfn.XLOOKUP(_xlfn.XLOOKUP($F1870,Clientes!$B$4:$B$39,Clientes!$C$4:$C$39),Cadastros!$L$6:$L$12,Cadastros!$N$6:$N$12)))</f>
        <v/>
      </c>
      <c r="U1870" s="168" t="str">
        <f t="shared" si="380"/>
        <v/>
      </c>
      <c r="V1870" s="168" t="str">
        <f>IFERROR(U1870/_xlfn.XLOOKUP(_xlfn.XLOOKUP($F1870,Clientes!$B$4:$B$39,Clientes!$C$4:$C$39),Cadastros!$L$6:$L$12,Cadastros!$M$6:$M$12)," ")</f>
        <v xml:space="preserve"> </v>
      </c>
      <c r="W1870" s="28"/>
      <c r="X1870" s="28"/>
      <c r="Y1870" s="255" t="str">
        <f>IF(W1870="","",(_xlfn.XLOOKUP(W1870,Cadastros!$D$6:$D$90,Cadastros!$E$6:$E$90))*(1-_xlfn.XLOOKUP(_xlfn.XLOOKUP($F1870,Clientes!$B$4:$B$39,Clientes!$C$4:$C$39),Cadastros!$L$6:$L$12,Cadastros!$N$6:$N$12)))</f>
        <v/>
      </c>
      <c r="Z1870" s="168" t="str">
        <f t="shared" si="381"/>
        <v/>
      </c>
      <c r="AA1870" s="168" t="str">
        <f>IFERROR(Z1870/_xlfn.XLOOKUP(_xlfn.XLOOKUP($F1870,Clientes!$B$4:$B$39,Clientes!$C$4:$C$39),Cadastros!$L$6:$L$12,Cadastros!$M$6:$M$12)," ")</f>
        <v xml:space="preserve"> </v>
      </c>
      <c r="AB1870" s="28"/>
      <c r="AC1870" s="28"/>
      <c r="AD1870" s="20" t="str">
        <f>IF(AB1870="","",IF($F1870="Bernardino Furlan",_xlfn.XLOOKUP(AB1870,Cadastros!$G$6:$G$90,Cadastros!$H$6:$H$90)*(1-0.18),IF($F1870="Mauro José Salanti",_xlfn.XLOOKUP(AB1870,Cadastros!$G$6:$G$90,Cadastros!$H$6:$H$90)*(1-0.18),_xlfn.XLOOKUP(AB1870,Cadastros!$G$6:$G$90,Cadastros!$H$6:$H$90))))</f>
        <v/>
      </c>
      <c r="AE1870" s="168" t="str">
        <f t="shared" si="382"/>
        <v/>
      </c>
      <c r="AF1870" s="168" t="str">
        <f t="shared" si="383"/>
        <v/>
      </c>
      <c r="AG1870" s="28"/>
      <c r="AH1870" s="28"/>
      <c r="AI1870" s="20" t="str">
        <f>IF(AG1870="","",IF($F1870="Bernardino Furlan",_xlfn.XLOOKUP(AG1870,Cadastros!$G$6:$G$90,Cadastros!$H$6:$H$90)*(1-0.18),IF($F1870="Mauro José Salanti",_xlfn.XLOOKUP(AG1870,Cadastros!$G$6:$G$90,Cadastros!$H$6:$H$90)*(1-0.18),_xlfn.XLOOKUP(AG1870,Cadastros!$G$6:$G$90,Cadastros!$H$6:$H$90))))</f>
        <v/>
      </c>
      <c r="AJ1870" s="168" t="str">
        <f t="shared" si="384"/>
        <v/>
      </c>
      <c r="AK1870" s="168" t="str">
        <f t="shared" si="385"/>
        <v/>
      </c>
      <c r="AL1870" s="28"/>
      <c r="AM1870" s="28"/>
      <c r="AN1870" s="20" t="str">
        <f>IF(AL1870="","",IF($F1870="Bernardino Furlan",_xlfn.XLOOKUP(AL1870,Cadastros!$G$6:$G$90,Cadastros!$H$6:$H$90)*(1-0.18),IF($F1870="Mauro José Salanti",_xlfn.XLOOKUP(AL1870,Cadastros!$G$6:$G$90,Cadastros!$H$6:$H$90)*(1-0.18),_xlfn.XLOOKUP(AL1870,Cadastros!$G$6:$G$90,Cadastros!$H$6:$H$90))))</f>
        <v/>
      </c>
      <c r="AO1870" s="168" t="str">
        <f t="shared" si="386"/>
        <v/>
      </c>
      <c r="AP1870" s="168" t="str">
        <f t="shared" si="387"/>
        <v/>
      </c>
      <c r="AQ1870" s="28"/>
      <c r="AR1870" s="28"/>
      <c r="AS1870" s="20" t="str">
        <f>IF(AQ1870="","",IF($F1870="Bernardino Furlan",_xlfn.XLOOKUP(AQ1870,Cadastros!$G$6:$G$90,Cadastros!$H$6:$H$90)*(1-0.18),IF($F1870="Mauro José Salanti",_xlfn.XLOOKUP(AQ1870,Cadastros!$G$6:$G$90,Cadastros!$H$6:$H$90)*(1-0.18),_xlfn.XLOOKUP(AQ1870,Cadastros!$G$6:$G$90,Cadastros!$H$6:$H$90))))</f>
        <v/>
      </c>
      <c r="AT1870" s="168" t="str">
        <f t="shared" si="388"/>
        <v/>
      </c>
      <c r="AU1870" s="168" t="str">
        <f t="shared" si="389"/>
        <v/>
      </c>
      <c r="AV1870" s="227"/>
      <c r="AW1870" s="30"/>
      <c r="AX1870" s="267"/>
      <c r="AY1870" s="267"/>
      <c r="AZ1870" s="29"/>
      <c r="BA1870" s="30"/>
      <c r="BB1870" s="23" t="str" cm="1">
        <f t="array" ref="BB1870">_xlfn.IFS(AW1870="SIM",SUM(K1870,P1870,U1870,Z1870,AE1870,AJ1870,AO1870,AT1870,AX1870,AY1870),F1870&lt;&gt;"",SUM(K1870,P1870,U1870,Z1870,AE1870,AJ1870,,AO1870,AT1870),F1870="","")</f>
        <v/>
      </c>
      <c r="BC1870" s="211" t="str" cm="1">
        <f t="array" ref="BC1870">_xlfn.IFS(E1870="","",G1870&lt;=E1870,BB1870*(1-0.03),G1870&lt;(E1870+8),BB1870,AZ1870="Boleto",BB1870*(1+0.001)^DATEDIF(E1870,G1870,"D"),AZ1870="Cheque",BB1870,AZ1870="Dinheiro","Alterar forma pgto")</f>
        <v/>
      </c>
      <c r="BD1870" s="276" t="str" cm="1">
        <f t="array" ref="BD1870">IF(F1870=0," ",IF(BC1870&lt;BB1870,(_xlfn.IFS(AW1870="SIM",SUM(L1870,Q1870,V1870,AA1870,AF1870,AK1870,AP1870,AU1870)+AX1870/_xlfn.XLOOKUP(_xlfn.XLOOKUP($F1870,Clientes!$B$4:$B$39,Clientes!$C$4:$C$39),Cadastros!$L$6:$L$12,Cadastros!$M$6:$M$12)+IF($F1870="Bernardino Furlan",AY1870/2751.92,IF($F1870="Mauro José Salanti",AY1870/2751.92,AY1870/3356)),F1870&lt;&gt;0,SUM(L1870,Q1870,V1870,AA1870,AF1870,AK1870,AP1870,AU1870)))*(1-0.03),_xlfn.IFS(AW1870="SIM",SUM(L1870,Q1870,V1870,AA1870,AF1870,AK1870,AP1870,AU1870)+AX1870/_xlfn.XLOOKUP(_xlfn.XLOOKUP($F1870,Clientes!$B$4:$B$39,Clientes!$C$4:$C$39),Cadastros!$L$6:$L$12,Cadastros!$M$6:$M$12)+IF($F1870="Bernardino Furlan",AY1870/2751.92,IF($F1870="Mauro José Salanti",AY1870/2751.92,AY1870/3356)),F1870&lt;&gt;0,SUM(L1870,Q1870,V1870,AA1870,AF1870,AK1870,AP1870,AU1870))))</f>
        <v xml:space="preserve"> </v>
      </c>
      <c r="BE1870" s="120"/>
      <c r="BF1870" s="120"/>
      <c r="BG1870" s="120"/>
    </row>
    <row r="1871" spans="1:59" s="3" customFormat="1" x14ac:dyDescent="0.3">
      <c r="A1871" s="15" t="str">
        <f t="shared" si="377"/>
        <v/>
      </c>
      <c r="B1871" s="25"/>
      <c r="C1871" s="26"/>
      <c r="D1871" s="279"/>
      <c r="E1871" s="27"/>
      <c r="F1871" s="28"/>
      <c r="G1871" s="27"/>
      <c r="H1871" s="28"/>
      <c r="I1871" s="28"/>
      <c r="J1871" s="255" t="str">
        <f>IF(H1871="","",(_xlfn.XLOOKUP(H1871,Cadastros!$D$6:$D$90,Cadastros!$E$6:$E$90))*(1-_xlfn.XLOOKUP(_xlfn.XLOOKUP($F1871,Clientes!$B$4:$B$39,Clientes!$C$4:$C$39),Cadastros!$L$6:$L$12,Cadastros!$N$6:$N$12)))</f>
        <v/>
      </c>
      <c r="K1871" s="168" t="str">
        <f t="shared" si="378"/>
        <v/>
      </c>
      <c r="L1871" s="168" t="str">
        <f>IFERROR(K1871/_xlfn.XLOOKUP(_xlfn.XLOOKUP($F1871,Clientes!$B$4:$B$39,Clientes!$C$4:$C$39),Cadastros!$L$6:$L$12,Cadastros!$M$6:$M$12)," ")</f>
        <v xml:space="preserve"> </v>
      </c>
      <c r="M1871" s="28"/>
      <c r="N1871" s="28"/>
      <c r="O1871" s="255" t="str">
        <f>IF(M1871="","",(_xlfn.XLOOKUP(M1871,Cadastros!$D$6:$D$90,Cadastros!$E$6:$E$90))*(1-_xlfn.XLOOKUP(_xlfn.XLOOKUP($F1871,Clientes!$B$4:$B$39,Clientes!$C$4:$C$39),Cadastros!$L$6:$L$12,Cadastros!$N$6:$N$12)))</f>
        <v/>
      </c>
      <c r="P1871" s="168" t="str">
        <f t="shared" si="379"/>
        <v/>
      </c>
      <c r="Q1871" s="168" t="str">
        <f>IFERROR(P1871/_xlfn.XLOOKUP(_xlfn.XLOOKUP($F1871,Clientes!$B$4:$B$39,Clientes!$C$4:$C$39),Cadastros!$L$6:$L$12,Cadastros!$M$6:$M$12)," ")</f>
        <v xml:space="preserve"> </v>
      </c>
      <c r="R1871" s="28"/>
      <c r="S1871" s="28"/>
      <c r="T1871" s="255" t="str">
        <f>IF(R1871="","",(_xlfn.XLOOKUP(R1871,Cadastros!$D$6:$D$90,Cadastros!$E$6:$E$90))*(1-_xlfn.XLOOKUP(_xlfn.XLOOKUP($F1871,Clientes!$B$4:$B$39,Clientes!$C$4:$C$39),Cadastros!$L$6:$L$12,Cadastros!$N$6:$N$12)))</f>
        <v/>
      </c>
      <c r="U1871" s="168" t="str">
        <f t="shared" si="380"/>
        <v/>
      </c>
      <c r="V1871" s="168" t="str">
        <f>IFERROR(U1871/_xlfn.XLOOKUP(_xlfn.XLOOKUP($F1871,Clientes!$B$4:$B$39,Clientes!$C$4:$C$39),Cadastros!$L$6:$L$12,Cadastros!$M$6:$M$12)," ")</f>
        <v xml:space="preserve"> </v>
      </c>
      <c r="W1871" s="28"/>
      <c r="X1871" s="28"/>
      <c r="Y1871" s="255" t="str">
        <f>IF(W1871="","",(_xlfn.XLOOKUP(W1871,Cadastros!$D$6:$D$90,Cadastros!$E$6:$E$90))*(1-_xlfn.XLOOKUP(_xlfn.XLOOKUP($F1871,Clientes!$B$4:$B$39,Clientes!$C$4:$C$39),Cadastros!$L$6:$L$12,Cadastros!$N$6:$N$12)))</f>
        <v/>
      </c>
      <c r="Z1871" s="168" t="str">
        <f t="shared" si="381"/>
        <v/>
      </c>
      <c r="AA1871" s="168" t="str">
        <f>IFERROR(Z1871/_xlfn.XLOOKUP(_xlfn.XLOOKUP($F1871,Clientes!$B$4:$B$39,Clientes!$C$4:$C$39),Cadastros!$L$6:$L$12,Cadastros!$M$6:$M$12)," ")</f>
        <v xml:space="preserve"> </v>
      </c>
      <c r="AB1871" s="28"/>
      <c r="AC1871" s="28"/>
      <c r="AD1871" s="20" t="str">
        <f>IF(AB1871="","",IF($F1871="Bernardino Furlan",_xlfn.XLOOKUP(AB1871,Cadastros!$G$6:$G$90,Cadastros!$H$6:$H$90)*(1-0.18),IF($F1871="Mauro José Salanti",_xlfn.XLOOKUP(AB1871,Cadastros!$G$6:$G$90,Cadastros!$H$6:$H$90)*(1-0.18),_xlfn.XLOOKUP(AB1871,Cadastros!$G$6:$G$90,Cadastros!$H$6:$H$90))))</f>
        <v/>
      </c>
      <c r="AE1871" s="168" t="str">
        <f t="shared" si="382"/>
        <v/>
      </c>
      <c r="AF1871" s="168" t="str">
        <f t="shared" si="383"/>
        <v/>
      </c>
      <c r="AG1871" s="28"/>
      <c r="AH1871" s="28"/>
      <c r="AI1871" s="20" t="str">
        <f>IF(AG1871="","",IF($F1871="Bernardino Furlan",_xlfn.XLOOKUP(AG1871,Cadastros!$G$6:$G$90,Cadastros!$H$6:$H$90)*(1-0.18),IF($F1871="Mauro José Salanti",_xlfn.XLOOKUP(AG1871,Cadastros!$G$6:$G$90,Cadastros!$H$6:$H$90)*(1-0.18),_xlfn.XLOOKUP(AG1871,Cadastros!$G$6:$G$90,Cadastros!$H$6:$H$90))))</f>
        <v/>
      </c>
      <c r="AJ1871" s="168" t="str">
        <f t="shared" si="384"/>
        <v/>
      </c>
      <c r="AK1871" s="168" t="str">
        <f t="shared" si="385"/>
        <v/>
      </c>
      <c r="AL1871" s="28"/>
      <c r="AM1871" s="28"/>
      <c r="AN1871" s="20" t="str">
        <f>IF(AL1871="","",IF($F1871="Bernardino Furlan",_xlfn.XLOOKUP(AL1871,Cadastros!$G$6:$G$90,Cadastros!$H$6:$H$90)*(1-0.18),IF($F1871="Mauro José Salanti",_xlfn.XLOOKUP(AL1871,Cadastros!$G$6:$G$90,Cadastros!$H$6:$H$90)*(1-0.18),_xlfn.XLOOKUP(AL1871,Cadastros!$G$6:$G$90,Cadastros!$H$6:$H$90))))</f>
        <v/>
      </c>
      <c r="AO1871" s="168" t="str">
        <f t="shared" si="386"/>
        <v/>
      </c>
      <c r="AP1871" s="168" t="str">
        <f t="shared" si="387"/>
        <v/>
      </c>
      <c r="AQ1871" s="28"/>
      <c r="AR1871" s="28"/>
      <c r="AS1871" s="20" t="str">
        <f>IF(AQ1871="","",IF($F1871="Bernardino Furlan",_xlfn.XLOOKUP(AQ1871,Cadastros!$G$6:$G$90,Cadastros!$H$6:$H$90)*(1-0.18),IF($F1871="Mauro José Salanti",_xlfn.XLOOKUP(AQ1871,Cadastros!$G$6:$G$90,Cadastros!$H$6:$H$90)*(1-0.18),_xlfn.XLOOKUP(AQ1871,Cadastros!$G$6:$G$90,Cadastros!$H$6:$H$90))))</f>
        <v/>
      </c>
      <c r="AT1871" s="168" t="str">
        <f t="shared" si="388"/>
        <v/>
      </c>
      <c r="AU1871" s="168" t="str">
        <f t="shared" si="389"/>
        <v/>
      </c>
      <c r="AV1871" s="227"/>
      <c r="AW1871" s="30"/>
      <c r="AX1871" s="267"/>
      <c r="AY1871" s="267"/>
      <c r="AZ1871" s="29"/>
      <c r="BA1871" s="30"/>
      <c r="BB1871" s="23" t="str" cm="1">
        <f t="array" ref="BB1871">_xlfn.IFS(AW1871="SIM",SUM(K1871,P1871,U1871,Z1871,AE1871,AJ1871,AO1871,AT1871,AX1871,AY1871),F1871&lt;&gt;"",SUM(K1871,P1871,U1871,Z1871,AE1871,AJ1871,,AO1871,AT1871),F1871="","")</f>
        <v/>
      </c>
      <c r="BC1871" s="211" t="str" cm="1">
        <f t="array" ref="BC1871">_xlfn.IFS(E1871="","",G1871&lt;=E1871,BB1871*(1-0.03),G1871&lt;(E1871+8),BB1871,AZ1871="Boleto",BB1871*(1+0.001)^DATEDIF(E1871,G1871,"D"),AZ1871="Cheque",BB1871,AZ1871="Dinheiro","Alterar forma pgto")</f>
        <v/>
      </c>
      <c r="BD1871" s="276" t="str" cm="1">
        <f t="array" ref="BD1871">IF(F1871=0," ",IF(BC1871&lt;BB1871,(_xlfn.IFS(AW1871="SIM",SUM(L1871,Q1871,V1871,AA1871,AF1871,AK1871,AP1871,AU1871)+AX1871/_xlfn.XLOOKUP(_xlfn.XLOOKUP($F1871,Clientes!$B$4:$B$39,Clientes!$C$4:$C$39),Cadastros!$L$6:$L$12,Cadastros!$M$6:$M$12)+IF($F1871="Bernardino Furlan",AY1871/2751.92,IF($F1871="Mauro José Salanti",AY1871/2751.92,AY1871/3356)),F1871&lt;&gt;0,SUM(L1871,Q1871,V1871,AA1871,AF1871,AK1871,AP1871,AU1871)))*(1-0.03),_xlfn.IFS(AW1871="SIM",SUM(L1871,Q1871,V1871,AA1871,AF1871,AK1871,AP1871,AU1871)+AX1871/_xlfn.XLOOKUP(_xlfn.XLOOKUP($F1871,Clientes!$B$4:$B$39,Clientes!$C$4:$C$39),Cadastros!$L$6:$L$12,Cadastros!$M$6:$M$12)+IF($F1871="Bernardino Furlan",AY1871/2751.92,IF($F1871="Mauro José Salanti",AY1871/2751.92,AY1871/3356)),F1871&lt;&gt;0,SUM(L1871,Q1871,V1871,AA1871,AF1871,AK1871,AP1871,AU1871))))</f>
        <v xml:space="preserve"> </v>
      </c>
      <c r="BE1871" s="120"/>
      <c r="BF1871" s="120"/>
      <c r="BG1871" s="120"/>
    </row>
    <row r="1872" spans="1:59" s="3" customFormat="1" x14ac:dyDescent="0.3">
      <c r="A1872" s="15" t="str">
        <f t="shared" si="377"/>
        <v/>
      </c>
      <c r="B1872" s="25"/>
      <c r="C1872" s="26"/>
      <c r="D1872" s="279"/>
      <c r="E1872" s="27"/>
      <c r="F1872" s="28"/>
      <c r="G1872" s="27"/>
      <c r="H1872" s="28"/>
      <c r="I1872" s="28"/>
      <c r="J1872" s="255" t="str">
        <f>IF(H1872="","",(_xlfn.XLOOKUP(H1872,Cadastros!$D$6:$D$90,Cadastros!$E$6:$E$90))*(1-_xlfn.XLOOKUP(_xlfn.XLOOKUP($F1872,Clientes!$B$4:$B$39,Clientes!$C$4:$C$39),Cadastros!$L$6:$L$12,Cadastros!$N$6:$N$12)))</f>
        <v/>
      </c>
      <c r="K1872" s="168" t="str">
        <f t="shared" si="378"/>
        <v/>
      </c>
      <c r="L1872" s="168" t="str">
        <f>IFERROR(K1872/_xlfn.XLOOKUP(_xlfn.XLOOKUP($F1872,Clientes!$B$4:$B$39,Clientes!$C$4:$C$39),Cadastros!$L$6:$L$12,Cadastros!$M$6:$M$12)," ")</f>
        <v xml:space="preserve"> </v>
      </c>
      <c r="M1872" s="28"/>
      <c r="N1872" s="28"/>
      <c r="O1872" s="255" t="str">
        <f>IF(M1872="","",(_xlfn.XLOOKUP(M1872,Cadastros!$D$6:$D$90,Cadastros!$E$6:$E$90))*(1-_xlfn.XLOOKUP(_xlfn.XLOOKUP($F1872,Clientes!$B$4:$B$39,Clientes!$C$4:$C$39),Cadastros!$L$6:$L$12,Cadastros!$N$6:$N$12)))</f>
        <v/>
      </c>
      <c r="P1872" s="168" t="str">
        <f t="shared" si="379"/>
        <v/>
      </c>
      <c r="Q1872" s="168" t="str">
        <f>IFERROR(P1872/_xlfn.XLOOKUP(_xlfn.XLOOKUP($F1872,Clientes!$B$4:$B$39,Clientes!$C$4:$C$39),Cadastros!$L$6:$L$12,Cadastros!$M$6:$M$12)," ")</f>
        <v xml:space="preserve"> </v>
      </c>
      <c r="R1872" s="28"/>
      <c r="S1872" s="28"/>
      <c r="T1872" s="255" t="str">
        <f>IF(R1872="","",(_xlfn.XLOOKUP(R1872,Cadastros!$D$6:$D$90,Cadastros!$E$6:$E$90))*(1-_xlfn.XLOOKUP(_xlfn.XLOOKUP($F1872,Clientes!$B$4:$B$39,Clientes!$C$4:$C$39),Cadastros!$L$6:$L$12,Cadastros!$N$6:$N$12)))</f>
        <v/>
      </c>
      <c r="U1872" s="168" t="str">
        <f t="shared" si="380"/>
        <v/>
      </c>
      <c r="V1872" s="168" t="str">
        <f>IFERROR(U1872/_xlfn.XLOOKUP(_xlfn.XLOOKUP($F1872,Clientes!$B$4:$B$39,Clientes!$C$4:$C$39),Cadastros!$L$6:$L$12,Cadastros!$M$6:$M$12)," ")</f>
        <v xml:space="preserve"> </v>
      </c>
      <c r="W1872" s="28"/>
      <c r="X1872" s="28"/>
      <c r="Y1872" s="255" t="str">
        <f>IF(W1872="","",(_xlfn.XLOOKUP(W1872,Cadastros!$D$6:$D$90,Cadastros!$E$6:$E$90))*(1-_xlfn.XLOOKUP(_xlfn.XLOOKUP($F1872,Clientes!$B$4:$B$39,Clientes!$C$4:$C$39),Cadastros!$L$6:$L$12,Cadastros!$N$6:$N$12)))</f>
        <v/>
      </c>
      <c r="Z1872" s="168" t="str">
        <f t="shared" si="381"/>
        <v/>
      </c>
      <c r="AA1872" s="168" t="str">
        <f>IFERROR(Z1872/_xlfn.XLOOKUP(_xlfn.XLOOKUP($F1872,Clientes!$B$4:$B$39,Clientes!$C$4:$C$39),Cadastros!$L$6:$L$12,Cadastros!$M$6:$M$12)," ")</f>
        <v xml:space="preserve"> </v>
      </c>
      <c r="AB1872" s="28"/>
      <c r="AC1872" s="28"/>
      <c r="AD1872" s="20" t="str">
        <f>IF(AB1872="","",IF($F1872="Bernardino Furlan",_xlfn.XLOOKUP(AB1872,Cadastros!$G$6:$G$90,Cadastros!$H$6:$H$90)*(1-0.18),IF($F1872="Mauro José Salanti",_xlfn.XLOOKUP(AB1872,Cadastros!$G$6:$G$90,Cadastros!$H$6:$H$90)*(1-0.18),_xlfn.XLOOKUP(AB1872,Cadastros!$G$6:$G$90,Cadastros!$H$6:$H$90))))</f>
        <v/>
      </c>
      <c r="AE1872" s="168" t="str">
        <f t="shared" si="382"/>
        <v/>
      </c>
      <c r="AF1872" s="168" t="str">
        <f t="shared" si="383"/>
        <v/>
      </c>
      <c r="AG1872" s="28"/>
      <c r="AH1872" s="28"/>
      <c r="AI1872" s="20" t="str">
        <f>IF(AG1872="","",IF($F1872="Bernardino Furlan",_xlfn.XLOOKUP(AG1872,Cadastros!$G$6:$G$90,Cadastros!$H$6:$H$90)*(1-0.18),IF($F1872="Mauro José Salanti",_xlfn.XLOOKUP(AG1872,Cadastros!$G$6:$G$90,Cadastros!$H$6:$H$90)*(1-0.18),_xlfn.XLOOKUP(AG1872,Cadastros!$G$6:$G$90,Cadastros!$H$6:$H$90))))</f>
        <v/>
      </c>
      <c r="AJ1872" s="168" t="str">
        <f t="shared" si="384"/>
        <v/>
      </c>
      <c r="AK1872" s="168" t="str">
        <f t="shared" si="385"/>
        <v/>
      </c>
      <c r="AL1872" s="28"/>
      <c r="AM1872" s="28"/>
      <c r="AN1872" s="20" t="str">
        <f>IF(AL1872="","",IF($F1872="Bernardino Furlan",_xlfn.XLOOKUP(AL1872,Cadastros!$G$6:$G$90,Cadastros!$H$6:$H$90)*(1-0.18),IF($F1872="Mauro José Salanti",_xlfn.XLOOKUP(AL1872,Cadastros!$G$6:$G$90,Cadastros!$H$6:$H$90)*(1-0.18),_xlfn.XLOOKUP(AL1872,Cadastros!$G$6:$G$90,Cadastros!$H$6:$H$90))))</f>
        <v/>
      </c>
      <c r="AO1872" s="168" t="str">
        <f t="shared" si="386"/>
        <v/>
      </c>
      <c r="AP1872" s="168" t="str">
        <f t="shared" si="387"/>
        <v/>
      </c>
      <c r="AQ1872" s="28"/>
      <c r="AR1872" s="28"/>
      <c r="AS1872" s="20" t="str">
        <f>IF(AQ1872="","",IF($F1872="Bernardino Furlan",_xlfn.XLOOKUP(AQ1872,Cadastros!$G$6:$G$90,Cadastros!$H$6:$H$90)*(1-0.18),IF($F1872="Mauro José Salanti",_xlfn.XLOOKUP(AQ1872,Cadastros!$G$6:$G$90,Cadastros!$H$6:$H$90)*(1-0.18),_xlfn.XLOOKUP(AQ1872,Cadastros!$G$6:$G$90,Cadastros!$H$6:$H$90))))</f>
        <v/>
      </c>
      <c r="AT1872" s="168" t="str">
        <f t="shared" si="388"/>
        <v/>
      </c>
      <c r="AU1872" s="168" t="str">
        <f t="shared" si="389"/>
        <v/>
      </c>
      <c r="AV1872" s="227"/>
      <c r="AW1872" s="30"/>
      <c r="AX1872" s="267"/>
      <c r="AY1872" s="267"/>
      <c r="AZ1872" s="29"/>
      <c r="BA1872" s="30"/>
      <c r="BB1872" s="23" t="str" cm="1">
        <f t="array" ref="BB1872">_xlfn.IFS(AW1872="SIM",SUM(K1872,P1872,U1872,Z1872,AE1872,AJ1872,AO1872,AT1872,AX1872,AY1872),F1872&lt;&gt;"",SUM(K1872,P1872,U1872,Z1872,AE1872,AJ1872,,AO1872,AT1872),F1872="","")</f>
        <v/>
      </c>
      <c r="BC1872" s="211" t="str" cm="1">
        <f t="array" ref="BC1872">_xlfn.IFS(E1872="","",G1872&lt;=E1872,BB1872*(1-0.03),G1872&lt;(E1872+8),BB1872,AZ1872="Boleto",BB1872*(1+0.001)^DATEDIF(E1872,G1872,"D"),AZ1872="Cheque",BB1872,AZ1872="Dinheiro","Alterar forma pgto")</f>
        <v/>
      </c>
      <c r="BD1872" s="276" t="str" cm="1">
        <f t="array" ref="BD1872">IF(F1872=0," ",IF(BC1872&lt;BB1872,(_xlfn.IFS(AW1872="SIM",SUM(L1872,Q1872,V1872,AA1872,AF1872,AK1872,AP1872,AU1872)+AX1872/_xlfn.XLOOKUP(_xlfn.XLOOKUP($F1872,Clientes!$B$4:$B$39,Clientes!$C$4:$C$39),Cadastros!$L$6:$L$12,Cadastros!$M$6:$M$12)+IF($F1872="Bernardino Furlan",AY1872/2751.92,IF($F1872="Mauro José Salanti",AY1872/2751.92,AY1872/3356)),F1872&lt;&gt;0,SUM(L1872,Q1872,V1872,AA1872,AF1872,AK1872,AP1872,AU1872)))*(1-0.03),_xlfn.IFS(AW1872="SIM",SUM(L1872,Q1872,V1872,AA1872,AF1872,AK1872,AP1872,AU1872)+AX1872/_xlfn.XLOOKUP(_xlfn.XLOOKUP($F1872,Clientes!$B$4:$B$39,Clientes!$C$4:$C$39),Cadastros!$L$6:$L$12,Cadastros!$M$6:$M$12)+IF($F1872="Bernardino Furlan",AY1872/2751.92,IF($F1872="Mauro José Salanti",AY1872/2751.92,AY1872/3356)),F1872&lt;&gt;0,SUM(L1872,Q1872,V1872,AA1872,AF1872,AK1872,AP1872,AU1872))))</f>
        <v xml:space="preserve"> </v>
      </c>
      <c r="BE1872" s="120"/>
      <c r="BF1872" s="120"/>
      <c r="BG1872" s="120"/>
    </row>
    <row r="1873" spans="1:59" s="3" customFormat="1" x14ac:dyDescent="0.3">
      <c r="A1873" s="15" t="str">
        <f t="shared" si="377"/>
        <v/>
      </c>
      <c r="B1873" s="25"/>
      <c r="C1873" s="26"/>
      <c r="D1873" s="279"/>
      <c r="E1873" s="27"/>
      <c r="F1873" s="28"/>
      <c r="G1873" s="27"/>
      <c r="H1873" s="28"/>
      <c r="I1873" s="28"/>
      <c r="J1873" s="255" t="str">
        <f>IF(H1873="","",(_xlfn.XLOOKUP(H1873,Cadastros!$D$6:$D$90,Cadastros!$E$6:$E$90))*(1-_xlfn.XLOOKUP(_xlfn.XLOOKUP($F1873,Clientes!$B$4:$B$39,Clientes!$C$4:$C$39),Cadastros!$L$6:$L$12,Cadastros!$N$6:$N$12)))</f>
        <v/>
      </c>
      <c r="K1873" s="168" t="str">
        <f t="shared" si="378"/>
        <v/>
      </c>
      <c r="L1873" s="168" t="str">
        <f>IFERROR(K1873/_xlfn.XLOOKUP(_xlfn.XLOOKUP($F1873,Clientes!$B$4:$B$39,Clientes!$C$4:$C$39),Cadastros!$L$6:$L$12,Cadastros!$M$6:$M$12)," ")</f>
        <v xml:space="preserve"> </v>
      </c>
      <c r="M1873" s="28"/>
      <c r="N1873" s="28"/>
      <c r="O1873" s="255" t="str">
        <f>IF(M1873="","",(_xlfn.XLOOKUP(M1873,Cadastros!$D$6:$D$90,Cadastros!$E$6:$E$90))*(1-_xlfn.XLOOKUP(_xlfn.XLOOKUP($F1873,Clientes!$B$4:$B$39,Clientes!$C$4:$C$39),Cadastros!$L$6:$L$12,Cadastros!$N$6:$N$12)))</f>
        <v/>
      </c>
      <c r="P1873" s="168" t="str">
        <f t="shared" si="379"/>
        <v/>
      </c>
      <c r="Q1873" s="168" t="str">
        <f>IFERROR(P1873/_xlfn.XLOOKUP(_xlfn.XLOOKUP($F1873,Clientes!$B$4:$B$39,Clientes!$C$4:$C$39),Cadastros!$L$6:$L$12,Cadastros!$M$6:$M$12)," ")</f>
        <v xml:space="preserve"> </v>
      </c>
      <c r="R1873" s="28"/>
      <c r="S1873" s="28"/>
      <c r="T1873" s="255" t="str">
        <f>IF(R1873="","",(_xlfn.XLOOKUP(R1873,Cadastros!$D$6:$D$90,Cadastros!$E$6:$E$90))*(1-_xlfn.XLOOKUP(_xlfn.XLOOKUP($F1873,Clientes!$B$4:$B$39,Clientes!$C$4:$C$39),Cadastros!$L$6:$L$12,Cadastros!$N$6:$N$12)))</f>
        <v/>
      </c>
      <c r="U1873" s="168" t="str">
        <f t="shared" si="380"/>
        <v/>
      </c>
      <c r="V1873" s="168" t="str">
        <f>IFERROR(U1873/_xlfn.XLOOKUP(_xlfn.XLOOKUP($F1873,Clientes!$B$4:$B$39,Clientes!$C$4:$C$39),Cadastros!$L$6:$L$12,Cadastros!$M$6:$M$12)," ")</f>
        <v xml:space="preserve"> </v>
      </c>
      <c r="W1873" s="28"/>
      <c r="X1873" s="28"/>
      <c r="Y1873" s="255" t="str">
        <f>IF(W1873="","",(_xlfn.XLOOKUP(W1873,Cadastros!$D$6:$D$90,Cadastros!$E$6:$E$90))*(1-_xlfn.XLOOKUP(_xlfn.XLOOKUP($F1873,Clientes!$B$4:$B$39,Clientes!$C$4:$C$39),Cadastros!$L$6:$L$12,Cadastros!$N$6:$N$12)))</f>
        <v/>
      </c>
      <c r="Z1873" s="168" t="str">
        <f t="shared" si="381"/>
        <v/>
      </c>
      <c r="AA1873" s="168" t="str">
        <f>IFERROR(Z1873/_xlfn.XLOOKUP(_xlfn.XLOOKUP($F1873,Clientes!$B$4:$B$39,Clientes!$C$4:$C$39),Cadastros!$L$6:$L$12,Cadastros!$M$6:$M$12)," ")</f>
        <v xml:space="preserve"> </v>
      </c>
      <c r="AB1873" s="28"/>
      <c r="AC1873" s="28"/>
      <c r="AD1873" s="20" t="str">
        <f>IF(AB1873="","",IF($F1873="Bernardino Furlan",_xlfn.XLOOKUP(AB1873,Cadastros!$G$6:$G$90,Cadastros!$H$6:$H$90)*(1-0.18),IF($F1873="Mauro José Salanti",_xlfn.XLOOKUP(AB1873,Cadastros!$G$6:$G$90,Cadastros!$H$6:$H$90)*(1-0.18),_xlfn.XLOOKUP(AB1873,Cadastros!$G$6:$G$90,Cadastros!$H$6:$H$90))))</f>
        <v/>
      </c>
      <c r="AE1873" s="168" t="str">
        <f t="shared" si="382"/>
        <v/>
      </c>
      <c r="AF1873" s="168" t="str">
        <f t="shared" si="383"/>
        <v/>
      </c>
      <c r="AG1873" s="28"/>
      <c r="AH1873" s="28"/>
      <c r="AI1873" s="20" t="str">
        <f>IF(AG1873="","",IF($F1873="Bernardino Furlan",_xlfn.XLOOKUP(AG1873,Cadastros!$G$6:$G$90,Cadastros!$H$6:$H$90)*(1-0.18),IF($F1873="Mauro José Salanti",_xlfn.XLOOKUP(AG1873,Cadastros!$G$6:$G$90,Cadastros!$H$6:$H$90)*(1-0.18),_xlfn.XLOOKUP(AG1873,Cadastros!$G$6:$G$90,Cadastros!$H$6:$H$90))))</f>
        <v/>
      </c>
      <c r="AJ1873" s="168" t="str">
        <f t="shared" si="384"/>
        <v/>
      </c>
      <c r="AK1873" s="168" t="str">
        <f t="shared" si="385"/>
        <v/>
      </c>
      <c r="AL1873" s="28"/>
      <c r="AM1873" s="28"/>
      <c r="AN1873" s="20" t="str">
        <f>IF(AL1873="","",IF($F1873="Bernardino Furlan",_xlfn.XLOOKUP(AL1873,Cadastros!$G$6:$G$90,Cadastros!$H$6:$H$90)*(1-0.18),IF($F1873="Mauro José Salanti",_xlfn.XLOOKUP(AL1873,Cadastros!$G$6:$G$90,Cadastros!$H$6:$H$90)*(1-0.18),_xlfn.XLOOKUP(AL1873,Cadastros!$G$6:$G$90,Cadastros!$H$6:$H$90))))</f>
        <v/>
      </c>
      <c r="AO1873" s="168" t="str">
        <f t="shared" si="386"/>
        <v/>
      </c>
      <c r="AP1873" s="168" t="str">
        <f t="shared" si="387"/>
        <v/>
      </c>
      <c r="AQ1873" s="28"/>
      <c r="AR1873" s="28"/>
      <c r="AS1873" s="20" t="str">
        <f>IF(AQ1873="","",IF($F1873="Bernardino Furlan",_xlfn.XLOOKUP(AQ1873,Cadastros!$G$6:$G$90,Cadastros!$H$6:$H$90)*(1-0.18),IF($F1873="Mauro José Salanti",_xlfn.XLOOKUP(AQ1873,Cadastros!$G$6:$G$90,Cadastros!$H$6:$H$90)*(1-0.18),_xlfn.XLOOKUP(AQ1873,Cadastros!$G$6:$G$90,Cadastros!$H$6:$H$90))))</f>
        <v/>
      </c>
      <c r="AT1873" s="168" t="str">
        <f t="shared" si="388"/>
        <v/>
      </c>
      <c r="AU1873" s="168" t="str">
        <f t="shared" si="389"/>
        <v/>
      </c>
      <c r="AV1873" s="227"/>
      <c r="AW1873" s="30"/>
      <c r="AX1873" s="267"/>
      <c r="AY1873" s="267"/>
      <c r="AZ1873" s="29"/>
      <c r="BA1873" s="30"/>
      <c r="BB1873" s="23" t="str" cm="1">
        <f t="array" ref="BB1873">_xlfn.IFS(AW1873="SIM",SUM(K1873,P1873,U1873,Z1873,AE1873,AJ1873,AO1873,AT1873,AX1873,AY1873),F1873&lt;&gt;"",SUM(K1873,P1873,U1873,Z1873,AE1873,AJ1873,,AO1873,AT1873),F1873="","")</f>
        <v/>
      </c>
      <c r="BC1873" s="211" t="str" cm="1">
        <f t="array" ref="BC1873">_xlfn.IFS(E1873="","",G1873&lt;=E1873,BB1873*(1-0.03),G1873&lt;(E1873+8),BB1873,AZ1873="Boleto",BB1873*(1+0.001)^DATEDIF(E1873,G1873,"D"),AZ1873="Cheque",BB1873,AZ1873="Dinheiro","Alterar forma pgto")</f>
        <v/>
      </c>
      <c r="BD1873" s="276" t="str" cm="1">
        <f t="array" ref="BD1873">IF(F1873=0," ",IF(BC1873&lt;BB1873,(_xlfn.IFS(AW1873="SIM",SUM(L1873,Q1873,V1873,AA1873,AF1873,AK1873,AP1873,AU1873)+AX1873/_xlfn.XLOOKUP(_xlfn.XLOOKUP($F1873,Clientes!$B$4:$B$39,Clientes!$C$4:$C$39),Cadastros!$L$6:$L$12,Cadastros!$M$6:$M$12)+IF($F1873="Bernardino Furlan",AY1873/2751.92,IF($F1873="Mauro José Salanti",AY1873/2751.92,AY1873/3356)),F1873&lt;&gt;0,SUM(L1873,Q1873,V1873,AA1873,AF1873,AK1873,AP1873,AU1873)))*(1-0.03),_xlfn.IFS(AW1873="SIM",SUM(L1873,Q1873,V1873,AA1873,AF1873,AK1873,AP1873,AU1873)+AX1873/_xlfn.XLOOKUP(_xlfn.XLOOKUP($F1873,Clientes!$B$4:$B$39,Clientes!$C$4:$C$39),Cadastros!$L$6:$L$12,Cadastros!$M$6:$M$12)+IF($F1873="Bernardino Furlan",AY1873/2751.92,IF($F1873="Mauro José Salanti",AY1873/2751.92,AY1873/3356)),F1873&lt;&gt;0,SUM(L1873,Q1873,V1873,AA1873,AF1873,AK1873,AP1873,AU1873))))</f>
        <v xml:space="preserve"> </v>
      </c>
      <c r="BE1873" s="120"/>
      <c r="BF1873" s="120"/>
      <c r="BG1873" s="120"/>
    </row>
    <row r="1874" spans="1:59" s="3" customFormat="1" x14ac:dyDescent="0.3">
      <c r="A1874" s="15" t="str">
        <f t="shared" si="377"/>
        <v/>
      </c>
      <c r="B1874" s="25"/>
      <c r="C1874" s="26"/>
      <c r="D1874" s="279"/>
      <c r="E1874" s="27"/>
      <c r="F1874" s="28"/>
      <c r="G1874" s="27"/>
      <c r="H1874" s="28"/>
      <c r="I1874" s="28"/>
      <c r="J1874" s="255" t="str">
        <f>IF(H1874="","",(_xlfn.XLOOKUP(H1874,Cadastros!$D$6:$D$90,Cadastros!$E$6:$E$90))*(1-_xlfn.XLOOKUP(_xlfn.XLOOKUP($F1874,Clientes!$B$4:$B$39,Clientes!$C$4:$C$39),Cadastros!$L$6:$L$12,Cadastros!$N$6:$N$12)))</f>
        <v/>
      </c>
      <c r="K1874" s="168" t="str">
        <f t="shared" si="378"/>
        <v/>
      </c>
      <c r="L1874" s="168" t="str">
        <f>IFERROR(K1874/_xlfn.XLOOKUP(_xlfn.XLOOKUP($F1874,Clientes!$B$4:$B$39,Clientes!$C$4:$C$39),Cadastros!$L$6:$L$12,Cadastros!$M$6:$M$12)," ")</f>
        <v xml:space="preserve"> </v>
      </c>
      <c r="M1874" s="28"/>
      <c r="N1874" s="28"/>
      <c r="O1874" s="255" t="str">
        <f>IF(M1874="","",(_xlfn.XLOOKUP(M1874,Cadastros!$D$6:$D$90,Cadastros!$E$6:$E$90))*(1-_xlfn.XLOOKUP(_xlfn.XLOOKUP($F1874,Clientes!$B$4:$B$39,Clientes!$C$4:$C$39),Cadastros!$L$6:$L$12,Cadastros!$N$6:$N$12)))</f>
        <v/>
      </c>
      <c r="P1874" s="168" t="str">
        <f t="shared" si="379"/>
        <v/>
      </c>
      <c r="Q1874" s="168" t="str">
        <f>IFERROR(P1874/_xlfn.XLOOKUP(_xlfn.XLOOKUP($F1874,Clientes!$B$4:$B$39,Clientes!$C$4:$C$39),Cadastros!$L$6:$L$12,Cadastros!$M$6:$M$12)," ")</f>
        <v xml:space="preserve"> </v>
      </c>
      <c r="R1874" s="28"/>
      <c r="S1874" s="28"/>
      <c r="T1874" s="255" t="str">
        <f>IF(R1874="","",(_xlfn.XLOOKUP(R1874,Cadastros!$D$6:$D$90,Cadastros!$E$6:$E$90))*(1-_xlfn.XLOOKUP(_xlfn.XLOOKUP($F1874,Clientes!$B$4:$B$39,Clientes!$C$4:$C$39),Cadastros!$L$6:$L$12,Cadastros!$N$6:$N$12)))</f>
        <v/>
      </c>
      <c r="U1874" s="168" t="str">
        <f t="shared" si="380"/>
        <v/>
      </c>
      <c r="V1874" s="168" t="str">
        <f>IFERROR(U1874/_xlfn.XLOOKUP(_xlfn.XLOOKUP($F1874,Clientes!$B$4:$B$39,Clientes!$C$4:$C$39),Cadastros!$L$6:$L$12,Cadastros!$M$6:$M$12)," ")</f>
        <v xml:space="preserve"> </v>
      </c>
      <c r="W1874" s="28"/>
      <c r="X1874" s="28"/>
      <c r="Y1874" s="255" t="str">
        <f>IF(W1874="","",(_xlfn.XLOOKUP(W1874,Cadastros!$D$6:$D$90,Cadastros!$E$6:$E$90))*(1-_xlfn.XLOOKUP(_xlfn.XLOOKUP($F1874,Clientes!$B$4:$B$39,Clientes!$C$4:$C$39),Cadastros!$L$6:$L$12,Cadastros!$N$6:$N$12)))</f>
        <v/>
      </c>
      <c r="Z1874" s="168" t="str">
        <f t="shared" si="381"/>
        <v/>
      </c>
      <c r="AA1874" s="168" t="str">
        <f>IFERROR(Z1874/_xlfn.XLOOKUP(_xlfn.XLOOKUP($F1874,Clientes!$B$4:$B$39,Clientes!$C$4:$C$39),Cadastros!$L$6:$L$12,Cadastros!$M$6:$M$12)," ")</f>
        <v xml:space="preserve"> </v>
      </c>
      <c r="AB1874" s="28"/>
      <c r="AC1874" s="28"/>
      <c r="AD1874" s="20" t="str">
        <f>IF(AB1874="","",IF($F1874="Bernardino Furlan",_xlfn.XLOOKUP(AB1874,Cadastros!$G$6:$G$90,Cadastros!$H$6:$H$90)*(1-0.18),IF($F1874="Mauro José Salanti",_xlfn.XLOOKUP(AB1874,Cadastros!$G$6:$G$90,Cadastros!$H$6:$H$90)*(1-0.18),_xlfn.XLOOKUP(AB1874,Cadastros!$G$6:$G$90,Cadastros!$H$6:$H$90))))</f>
        <v/>
      </c>
      <c r="AE1874" s="168" t="str">
        <f t="shared" si="382"/>
        <v/>
      </c>
      <c r="AF1874" s="168" t="str">
        <f t="shared" si="383"/>
        <v/>
      </c>
      <c r="AG1874" s="28"/>
      <c r="AH1874" s="28"/>
      <c r="AI1874" s="20" t="str">
        <f>IF(AG1874="","",IF($F1874="Bernardino Furlan",_xlfn.XLOOKUP(AG1874,Cadastros!$G$6:$G$90,Cadastros!$H$6:$H$90)*(1-0.18),IF($F1874="Mauro José Salanti",_xlfn.XLOOKUP(AG1874,Cadastros!$G$6:$G$90,Cadastros!$H$6:$H$90)*(1-0.18),_xlfn.XLOOKUP(AG1874,Cadastros!$G$6:$G$90,Cadastros!$H$6:$H$90))))</f>
        <v/>
      </c>
      <c r="AJ1874" s="168" t="str">
        <f t="shared" si="384"/>
        <v/>
      </c>
      <c r="AK1874" s="168" t="str">
        <f t="shared" si="385"/>
        <v/>
      </c>
      <c r="AL1874" s="28"/>
      <c r="AM1874" s="28"/>
      <c r="AN1874" s="20" t="str">
        <f>IF(AL1874="","",IF($F1874="Bernardino Furlan",_xlfn.XLOOKUP(AL1874,Cadastros!$G$6:$G$90,Cadastros!$H$6:$H$90)*(1-0.18),IF($F1874="Mauro José Salanti",_xlfn.XLOOKUP(AL1874,Cadastros!$G$6:$G$90,Cadastros!$H$6:$H$90)*(1-0.18),_xlfn.XLOOKUP(AL1874,Cadastros!$G$6:$G$90,Cadastros!$H$6:$H$90))))</f>
        <v/>
      </c>
      <c r="AO1874" s="168" t="str">
        <f t="shared" si="386"/>
        <v/>
      </c>
      <c r="AP1874" s="168" t="str">
        <f t="shared" si="387"/>
        <v/>
      </c>
      <c r="AQ1874" s="28"/>
      <c r="AR1874" s="28"/>
      <c r="AS1874" s="20" t="str">
        <f>IF(AQ1874="","",IF($F1874="Bernardino Furlan",_xlfn.XLOOKUP(AQ1874,Cadastros!$G$6:$G$90,Cadastros!$H$6:$H$90)*(1-0.18),IF($F1874="Mauro José Salanti",_xlfn.XLOOKUP(AQ1874,Cadastros!$G$6:$G$90,Cadastros!$H$6:$H$90)*(1-0.18),_xlfn.XLOOKUP(AQ1874,Cadastros!$G$6:$G$90,Cadastros!$H$6:$H$90))))</f>
        <v/>
      </c>
      <c r="AT1874" s="168" t="str">
        <f t="shared" si="388"/>
        <v/>
      </c>
      <c r="AU1874" s="168" t="str">
        <f t="shared" si="389"/>
        <v/>
      </c>
      <c r="AV1874" s="227"/>
      <c r="AW1874" s="30"/>
      <c r="AX1874" s="267"/>
      <c r="AY1874" s="267"/>
      <c r="AZ1874" s="29"/>
      <c r="BA1874" s="30"/>
      <c r="BB1874" s="23" t="str" cm="1">
        <f t="array" ref="BB1874">_xlfn.IFS(AW1874="SIM",SUM(K1874,P1874,U1874,Z1874,AE1874,AJ1874,AO1874,AT1874,AX1874,AY1874),F1874&lt;&gt;"",SUM(K1874,P1874,U1874,Z1874,AE1874,AJ1874,,AO1874,AT1874),F1874="","")</f>
        <v/>
      </c>
      <c r="BC1874" s="211" t="str" cm="1">
        <f t="array" ref="BC1874">_xlfn.IFS(E1874="","",G1874&lt;=E1874,BB1874*(1-0.03),G1874&lt;(E1874+8),BB1874,AZ1874="Boleto",BB1874*(1+0.001)^DATEDIF(E1874,G1874,"D"),AZ1874="Cheque",BB1874,AZ1874="Dinheiro","Alterar forma pgto")</f>
        <v/>
      </c>
      <c r="BD1874" s="276" t="str" cm="1">
        <f t="array" ref="BD1874">IF(F1874=0," ",IF(BC1874&lt;BB1874,(_xlfn.IFS(AW1874="SIM",SUM(L1874,Q1874,V1874,AA1874,AF1874,AK1874,AP1874,AU1874)+AX1874/_xlfn.XLOOKUP(_xlfn.XLOOKUP($F1874,Clientes!$B$4:$B$39,Clientes!$C$4:$C$39),Cadastros!$L$6:$L$12,Cadastros!$M$6:$M$12)+IF($F1874="Bernardino Furlan",AY1874/2751.92,IF($F1874="Mauro José Salanti",AY1874/2751.92,AY1874/3356)),F1874&lt;&gt;0,SUM(L1874,Q1874,V1874,AA1874,AF1874,AK1874,AP1874,AU1874)))*(1-0.03),_xlfn.IFS(AW1874="SIM",SUM(L1874,Q1874,V1874,AA1874,AF1874,AK1874,AP1874,AU1874)+AX1874/_xlfn.XLOOKUP(_xlfn.XLOOKUP($F1874,Clientes!$B$4:$B$39,Clientes!$C$4:$C$39),Cadastros!$L$6:$L$12,Cadastros!$M$6:$M$12)+IF($F1874="Bernardino Furlan",AY1874/2751.92,IF($F1874="Mauro José Salanti",AY1874/2751.92,AY1874/3356)),F1874&lt;&gt;0,SUM(L1874,Q1874,V1874,AA1874,AF1874,AK1874,AP1874,AU1874))))</f>
        <v xml:space="preserve"> </v>
      </c>
      <c r="BE1874" s="120"/>
      <c r="BF1874" s="120"/>
      <c r="BG1874" s="120"/>
    </row>
    <row r="1875" spans="1:59" s="3" customFormat="1" x14ac:dyDescent="0.3">
      <c r="A1875" s="15" t="str">
        <f t="shared" si="377"/>
        <v/>
      </c>
      <c r="B1875" s="25"/>
      <c r="C1875" s="26"/>
      <c r="D1875" s="279"/>
      <c r="E1875" s="27"/>
      <c r="F1875" s="28"/>
      <c r="G1875" s="27"/>
      <c r="H1875" s="28"/>
      <c r="I1875" s="28"/>
      <c r="J1875" s="255" t="str">
        <f>IF(H1875="","",(_xlfn.XLOOKUP(H1875,Cadastros!$D$6:$D$90,Cadastros!$E$6:$E$90))*(1-_xlfn.XLOOKUP(_xlfn.XLOOKUP($F1875,Clientes!$B$4:$B$39,Clientes!$C$4:$C$39),Cadastros!$L$6:$L$12,Cadastros!$N$6:$N$12)))</f>
        <v/>
      </c>
      <c r="K1875" s="168" t="str">
        <f t="shared" si="378"/>
        <v/>
      </c>
      <c r="L1875" s="168" t="str">
        <f>IFERROR(K1875/_xlfn.XLOOKUP(_xlfn.XLOOKUP($F1875,Clientes!$B$4:$B$39,Clientes!$C$4:$C$39),Cadastros!$L$6:$L$12,Cadastros!$M$6:$M$12)," ")</f>
        <v xml:space="preserve"> </v>
      </c>
      <c r="M1875" s="28"/>
      <c r="N1875" s="28"/>
      <c r="O1875" s="255" t="str">
        <f>IF(M1875="","",(_xlfn.XLOOKUP(M1875,Cadastros!$D$6:$D$90,Cadastros!$E$6:$E$90))*(1-_xlfn.XLOOKUP(_xlfn.XLOOKUP($F1875,Clientes!$B$4:$B$39,Clientes!$C$4:$C$39),Cadastros!$L$6:$L$12,Cadastros!$N$6:$N$12)))</f>
        <v/>
      </c>
      <c r="P1875" s="168" t="str">
        <f t="shared" si="379"/>
        <v/>
      </c>
      <c r="Q1875" s="168" t="str">
        <f>IFERROR(P1875/_xlfn.XLOOKUP(_xlfn.XLOOKUP($F1875,Clientes!$B$4:$B$39,Clientes!$C$4:$C$39),Cadastros!$L$6:$L$12,Cadastros!$M$6:$M$12)," ")</f>
        <v xml:space="preserve"> </v>
      </c>
      <c r="R1875" s="28"/>
      <c r="S1875" s="28"/>
      <c r="T1875" s="255" t="str">
        <f>IF(R1875="","",(_xlfn.XLOOKUP(R1875,Cadastros!$D$6:$D$90,Cadastros!$E$6:$E$90))*(1-_xlfn.XLOOKUP(_xlfn.XLOOKUP($F1875,Clientes!$B$4:$B$39,Clientes!$C$4:$C$39),Cadastros!$L$6:$L$12,Cadastros!$N$6:$N$12)))</f>
        <v/>
      </c>
      <c r="U1875" s="168" t="str">
        <f t="shared" si="380"/>
        <v/>
      </c>
      <c r="V1875" s="168" t="str">
        <f>IFERROR(U1875/_xlfn.XLOOKUP(_xlfn.XLOOKUP($F1875,Clientes!$B$4:$B$39,Clientes!$C$4:$C$39),Cadastros!$L$6:$L$12,Cadastros!$M$6:$M$12)," ")</f>
        <v xml:space="preserve"> </v>
      </c>
      <c r="W1875" s="28"/>
      <c r="X1875" s="28"/>
      <c r="Y1875" s="255" t="str">
        <f>IF(W1875="","",(_xlfn.XLOOKUP(W1875,Cadastros!$D$6:$D$90,Cadastros!$E$6:$E$90))*(1-_xlfn.XLOOKUP(_xlfn.XLOOKUP($F1875,Clientes!$B$4:$B$39,Clientes!$C$4:$C$39),Cadastros!$L$6:$L$12,Cadastros!$N$6:$N$12)))</f>
        <v/>
      </c>
      <c r="Z1875" s="168" t="str">
        <f t="shared" si="381"/>
        <v/>
      </c>
      <c r="AA1875" s="168" t="str">
        <f>IFERROR(Z1875/_xlfn.XLOOKUP(_xlfn.XLOOKUP($F1875,Clientes!$B$4:$B$39,Clientes!$C$4:$C$39),Cadastros!$L$6:$L$12,Cadastros!$M$6:$M$12)," ")</f>
        <v xml:space="preserve"> </v>
      </c>
      <c r="AB1875" s="28"/>
      <c r="AC1875" s="28"/>
      <c r="AD1875" s="20" t="str">
        <f>IF(AB1875="","",IF($F1875="Bernardino Furlan",_xlfn.XLOOKUP(AB1875,Cadastros!$G$6:$G$90,Cadastros!$H$6:$H$90)*(1-0.18),IF($F1875="Mauro José Salanti",_xlfn.XLOOKUP(AB1875,Cadastros!$G$6:$G$90,Cadastros!$H$6:$H$90)*(1-0.18),_xlfn.XLOOKUP(AB1875,Cadastros!$G$6:$G$90,Cadastros!$H$6:$H$90))))</f>
        <v/>
      </c>
      <c r="AE1875" s="168" t="str">
        <f t="shared" si="382"/>
        <v/>
      </c>
      <c r="AF1875" s="168" t="str">
        <f t="shared" si="383"/>
        <v/>
      </c>
      <c r="AG1875" s="28"/>
      <c r="AH1875" s="28"/>
      <c r="AI1875" s="20" t="str">
        <f>IF(AG1875="","",IF($F1875="Bernardino Furlan",_xlfn.XLOOKUP(AG1875,Cadastros!$G$6:$G$90,Cadastros!$H$6:$H$90)*(1-0.18),IF($F1875="Mauro José Salanti",_xlfn.XLOOKUP(AG1875,Cadastros!$G$6:$G$90,Cadastros!$H$6:$H$90)*(1-0.18),_xlfn.XLOOKUP(AG1875,Cadastros!$G$6:$G$90,Cadastros!$H$6:$H$90))))</f>
        <v/>
      </c>
      <c r="AJ1875" s="168" t="str">
        <f t="shared" si="384"/>
        <v/>
      </c>
      <c r="AK1875" s="168" t="str">
        <f t="shared" si="385"/>
        <v/>
      </c>
      <c r="AL1875" s="28"/>
      <c r="AM1875" s="28"/>
      <c r="AN1875" s="20" t="str">
        <f>IF(AL1875="","",IF($F1875="Bernardino Furlan",_xlfn.XLOOKUP(AL1875,Cadastros!$G$6:$G$90,Cadastros!$H$6:$H$90)*(1-0.18),IF($F1875="Mauro José Salanti",_xlfn.XLOOKUP(AL1875,Cadastros!$G$6:$G$90,Cadastros!$H$6:$H$90)*(1-0.18),_xlfn.XLOOKUP(AL1875,Cadastros!$G$6:$G$90,Cadastros!$H$6:$H$90))))</f>
        <v/>
      </c>
      <c r="AO1875" s="168" t="str">
        <f t="shared" si="386"/>
        <v/>
      </c>
      <c r="AP1875" s="168" t="str">
        <f t="shared" si="387"/>
        <v/>
      </c>
      <c r="AQ1875" s="28"/>
      <c r="AR1875" s="28"/>
      <c r="AS1875" s="20" t="str">
        <f>IF(AQ1875="","",IF($F1875="Bernardino Furlan",_xlfn.XLOOKUP(AQ1875,Cadastros!$G$6:$G$90,Cadastros!$H$6:$H$90)*(1-0.18),IF($F1875="Mauro José Salanti",_xlfn.XLOOKUP(AQ1875,Cadastros!$G$6:$G$90,Cadastros!$H$6:$H$90)*(1-0.18),_xlfn.XLOOKUP(AQ1875,Cadastros!$G$6:$G$90,Cadastros!$H$6:$H$90))))</f>
        <v/>
      </c>
      <c r="AT1875" s="168" t="str">
        <f t="shared" si="388"/>
        <v/>
      </c>
      <c r="AU1875" s="168" t="str">
        <f t="shared" si="389"/>
        <v/>
      </c>
      <c r="AV1875" s="227"/>
      <c r="AW1875" s="30"/>
      <c r="AX1875" s="267"/>
      <c r="AY1875" s="267"/>
      <c r="AZ1875" s="29"/>
      <c r="BA1875" s="30"/>
      <c r="BB1875" s="23" t="str" cm="1">
        <f t="array" ref="BB1875">_xlfn.IFS(AW1875="SIM",SUM(K1875,P1875,U1875,Z1875,AE1875,AJ1875,AO1875,AT1875,AX1875,AY1875),F1875&lt;&gt;"",SUM(K1875,P1875,U1875,Z1875,AE1875,AJ1875,,AO1875,AT1875),F1875="","")</f>
        <v/>
      </c>
      <c r="BC1875" s="211" t="str" cm="1">
        <f t="array" ref="BC1875">_xlfn.IFS(E1875="","",G1875&lt;=E1875,BB1875*(1-0.03),G1875&lt;(E1875+8),BB1875,AZ1875="Boleto",BB1875*(1+0.001)^DATEDIF(E1875,G1875,"D"),AZ1875="Cheque",BB1875,AZ1875="Dinheiro","Alterar forma pgto")</f>
        <v/>
      </c>
      <c r="BD1875" s="276" t="str" cm="1">
        <f t="array" ref="BD1875">IF(F1875=0," ",IF(BC1875&lt;BB1875,(_xlfn.IFS(AW1875="SIM",SUM(L1875,Q1875,V1875,AA1875,AF1875,AK1875,AP1875,AU1875)+AX1875/_xlfn.XLOOKUP(_xlfn.XLOOKUP($F1875,Clientes!$B$4:$B$39,Clientes!$C$4:$C$39),Cadastros!$L$6:$L$12,Cadastros!$M$6:$M$12)+IF($F1875="Bernardino Furlan",AY1875/2751.92,IF($F1875="Mauro José Salanti",AY1875/2751.92,AY1875/3356)),F1875&lt;&gt;0,SUM(L1875,Q1875,V1875,AA1875,AF1875,AK1875,AP1875,AU1875)))*(1-0.03),_xlfn.IFS(AW1875="SIM",SUM(L1875,Q1875,V1875,AA1875,AF1875,AK1875,AP1875,AU1875)+AX1875/_xlfn.XLOOKUP(_xlfn.XLOOKUP($F1875,Clientes!$B$4:$B$39,Clientes!$C$4:$C$39),Cadastros!$L$6:$L$12,Cadastros!$M$6:$M$12)+IF($F1875="Bernardino Furlan",AY1875/2751.92,IF($F1875="Mauro José Salanti",AY1875/2751.92,AY1875/3356)),F1875&lt;&gt;0,SUM(L1875,Q1875,V1875,AA1875,AF1875,AK1875,AP1875,AU1875))))</f>
        <v xml:space="preserve"> </v>
      </c>
      <c r="BE1875" s="120"/>
      <c r="BF1875" s="120"/>
      <c r="BG1875" s="120"/>
    </row>
    <row r="1876" spans="1:59" s="3" customFormat="1" x14ac:dyDescent="0.3">
      <c r="A1876" s="15" t="str">
        <f t="shared" si="377"/>
        <v/>
      </c>
      <c r="B1876" s="25"/>
      <c r="C1876" s="26"/>
      <c r="D1876" s="279"/>
      <c r="E1876" s="27"/>
      <c r="F1876" s="28"/>
      <c r="G1876" s="27"/>
      <c r="H1876" s="28"/>
      <c r="I1876" s="28"/>
      <c r="J1876" s="255" t="str">
        <f>IF(H1876="","",(_xlfn.XLOOKUP(H1876,Cadastros!$D$6:$D$90,Cadastros!$E$6:$E$90))*(1-_xlfn.XLOOKUP(_xlfn.XLOOKUP($F1876,Clientes!$B$4:$B$39,Clientes!$C$4:$C$39),Cadastros!$L$6:$L$12,Cadastros!$N$6:$N$12)))</f>
        <v/>
      </c>
      <c r="K1876" s="168" t="str">
        <f t="shared" si="378"/>
        <v/>
      </c>
      <c r="L1876" s="168" t="str">
        <f>IFERROR(K1876/_xlfn.XLOOKUP(_xlfn.XLOOKUP($F1876,Clientes!$B$4:$B$39,Clientes!$C$4:$C$39),Cadastros!$L$6:$L$12,Cadastros!$M$6:$M$12)," ")</f>
        <v xml:space="preserve"> </v>
      </c>
      <c r="M1876" s="28"/>
      <c r="N1876" s="28"/>
      <c r="O1876" s="255" t="str">
        <f>IF(M1876="","",(_xlfn.XLOOKUP(M1876,Cadastros!$D$6:$D$90,Cadastros!$E$6:$E$90))*(1-_xlfn.XLOOKUP(_xlfn.XLOOKUP($F1876,Clientes!$B$4:$B$39,Clientes!$C$4:$C$39),Cadastros!$L$6:$L$12,Cadastros!$N$6:$N$12)))</f>
        <v/>
      </c>
      <c r="P1876" s="168" t="str">
        <f t="shared" si="379"/>
        <v/>
      </c>
      <c r="Q1876" s="168" t="str">
        <f>IFERROR(P1876/_xlfn.XLOOKUP(_xlfn.XLOOKUP($F1876,Clientes!$B$4:$B$39,Clientes!$C$4:$C$39),Cadastros!$L$6:$L$12,Cadastros!$M$6:$M$12)," ")</f>
        <v xml:space="preserve"> </v>
      </c>
      <c r="R1876" s="28"/>
      <c r="S1876" s="28"/>
      <c r="T1876" s="255" t="str">
        <f>IF(R1876="","",(_xlfn.XLOOKUP(R1876,Cadastros!$D$6:$D$90,Cadastros!$E$6:$E$90))*(1-_xlfn.XLOOKUP(_xlfn.XLOOKUP($F1876,Clientes!$B$4:$B$39,Clientes!$C$4:$C$39),Cadastros!$L$6:$L$12,Cadastros!$N$6:$N$12)))</f>
        <v/>
      </c>
      <c r="U1876" s="168" t="str">
        <f t="shared" si="380"/>
        <v/>
      </c>
      <c r="V1876" s="168" t="str">
        <f>IFERROR(U1876/_xlfn.XLOOKUP(_xlfn.XLOOKUP($F1876,Clientes!$B$4:$B$39,Clientes!$C$4:$C$39),Cadastros!$L$6:$L$12,Cadastros!$M$6:$M$12)," ")</f>
        <v xml:space="preserve"> </v>
      </c>
      <c r="W1876" s="28"/>
      <c r="X1876" s="28"/>
      <c r="Y1876" s="255" t="str">
        <f>IF(W1876="","",(_xlfn.XLOOKUP(W1876,Cadastros!$D$6:$D$90,Cadastros!$E$6:$E$90))*(1-_xlfn.XLOOKUP(_xlfn.XLOOKUP($F1876,Clientes!$B$4:$B$39,Clientes!$C$4:$C$39),Cadastros!$L$6:$L$12,Cadastros!$N$6:$N$12)))</f>
        <v/>
      </c>
      <c r="Z1876" s="168" t="str">
        <f t="shared" si="381"/>
        <v/>
      </c>
      <c r="AA1876" s="168" t="str">
        <f>IFERROR(Z1876/_xlfn.XLOOKUP(_xlfn.XLOOKUP($F1876,Clientes!$B$4:$B$39,Clientes!$C$4:$C$39),Cadastros!$L$6:$L$12,Cadastros!$M$6:$M$12)," ")</f>
        <v xml:space="preserve"> </v>
      </c>
      <c r="AB1876" s="28"/>
      <c r="AC1876" s="28"/>
      <c r="AD1876" s="20" t="str">
        <f>IF(AB1876="","",IF($F1876="Bernardino Furlan",_xlfn.XLOOKUP(AB1876,Cadastros!$G$6:$G$90,Cadastros!$H$6:$H$90)*(1-0.18),IF($F1876="Mauro José Salanti",_xlfn.XLOOKUP(AB1876,Cadastros!$G$6:$G$90,Cadastros!$H$6:$H$90)*(1-0.18),_xlfn.XLOOKUP(AB1876,Cadastros!$G$6:$G$90,Cadastros!$H$6:$H$90))))</f>
        <v/>
      </c>
      <c r="AE1876" s="168" t="str">
        <f t="shared" si="382"/>
        <v/>
      </c>
      <c r="AF1876" s="168" t="str">
        <f t="shared" si="383"/>
        <v/>
      </c>
      <c r="AG1876" s="28"/>
      <c r="AH1876" s="28"/>
      <c r="AI1876" s="20" t="str">
        <f>IF(AG1876="","",IF($F1876="Bernardino Furlan",_xlfn.XLOOKUP(AG1876,Cadastros!$G$6:$G$90,Cadastros!$H$6:$H$90)*(1-0.18),IF($F1876="Mauro José Salanti",_xlfn.XLOOKUP(AG1876,Cadastros!$G$6:$G$90,Cadastros!$H$6:$H$90)*(1-0.18),_xlfn.XLOOKUP(AG1876,Cadastros!$G$6:$G$90,Cadastros!$H$6:$H$90))))</f>
        <v/>
      </c>
      <c r="AJ1876" s="168" t="str">
        <f t="shared" si="384"/>
        <v/>
      </c>
      <c r="AK1876" s="168" t="str">
        <f t="shared" si="385"/>
        <v/>
      </c>
      <c r="AL1876" s="28"/>
      <c r="AM1876" s="28"/>
      <c r="AN1876" s="20" t="str">
        <f>IF(AL1876="","",IF($F1876="Bernardino Furlan",_xlfn.XLOOKUP(AL1876,Cadastros!$G$6:$G$90,Cadastros!$H$6:$H$90)*(1-0.18),IF($F1876="Mauro José Salanti",_xlfn.XLOOKUP(AL1876,Cadastros!$G$6:$G$90,Cadastros!$H$6:$H$90)*(1-0.18),_xlfn.XLOOKUP(AL1876,Cadastros!$G$6:$G$90,Cadastros!$H$6:$H$90))))</f>
        <v/>
      </c>
      <c r="AO1876" s="168" t="str">
        <f t="shared" si="386"/>
        <v/>
      </c>
      <c r="AP1876" s="168" t="str">
        <f t="shared" si="387"/>
        <v/>
      </c>
      <c r="AQ1876" s="28"/>
      <c r="AR1876" s="28"/>
      <c r="AS1876" s="20" t="str">
        <f>IF(AQ1876="","",IF($F1876="Bernardino Furlan",_xlfn.XLOOKUP(AQ1876,Cadastros!$G$6:$G$90,Cadastros!$H$6:$H$90)*(1-0.18),IF($F1876="Mauro José Salanti",_xlfn.XLOOKUP(AQ1876,Cadastros!$G$6:$G$90,Cadastros!$H$6:$H$90)*(1-0.18),_xlfn.XLOOKUP(AQ1876,Cadastros!$G$6:$G$90,Cadastros!$H$6:$H$90))))</f>
        <v/>
      </c>
      <c r="AT1876" s="168" t="str">
        <f t="shared" si="388"/>
        <v/>
      </c>
      <c r="AU1876" s="168" t="str">
        <f t="shared" si="389"/>
        <v/>
      </c>
      <c r="AV1876" s="227"/>
      <c r="AW1876" s="30"/>
      <c r="AX1876" s="267"/>
      <c r="AY1876" s="267"/>
      <c r="AZ1876" s="29"/>
      <c r="BA1876" s="30"/>
      <c r="BB1876" s="23" t="str" cm="1">
        <f t="array" ref="BB1876">_xlfn.IFS(AW1876="SIM",SUM(K1876,P1876,U1876,Z1876,AE1876,AJ1876,AO1876,AT1876,AX1876,AY1876),F1876&lt;&gt;"",SUM(K1876,P1876,U1876,Z1876,AE1876,AJ1876,,AO1876,AT1876),F1876="","")</f>
        <v/>
      </c>
      <c r="BC1876" s="211" t="str" cm="1">
        <f t="array" ref="BC1876">_xlfn.IFS(E1876="","",G1876&lt;=E1876,BB1876*(1-0.03),G1876&lt;(E1876+8),BB1876,AZ1876="Boleto",BB1876*(1+0.001)^DATEDIF(E1876,G1876,"D"),AZ1876="Cheque",BB1876,AZ1876="Dinheiro","Alterar forma pgto")</f>
        <v/>
      </c>
      <c r="BD1876" s="276" t="str" cm="1">
        <f t="array" ref="BD1876">IF(F1876=0," ",IF(BC1876&lt;BB1876,(_xlfn.IFS(AW1876="SIM",SUM(L1876,Q1876,V1876,AA1876,AF1876,AK1876,AP1876,AU1876)+AX1876/_xlfn.XLOOKUP(_xlfn.XLOOKUP($F1876,Clientes!$B$4:$B$39,Clientes!$C$4:$C$39),Cadastros!$L$6:$L$12,Cadastros!$M$6:$M$12)+IF($F1876="Bernardino Furlan",AY1876/2751.92,IF($F1876="Mauro José Salanti",AY1876/2751.92,AY1876/3356)),F1876&lt;&gt;0,SUM(L1876,Q1876,V1876,AA1876,AF1876,AK1876,AP1876,AU1876)))*(1-0.03),_xlfn.IFS(AW1876="SIM",SUM(L1876,Q1876,V1876,AA1876,AF1876,AK1876,AP1876,AU1876)+AX1876/_xlfn.XLOOKUP(_xlfn.XLOOKUP($F1876,Clientes!$B$4:$B$39,Clientes!$C$4:$C$39),Cadastros!$L$6:$L$12,Cadastros!$M$6:$M$12)+IF($F1876="Bernardino Furlan",AY1876/2751.92,IF($F1876="Mauro José Salanti",AY1876/2751.92,AY1876/3356)),F1876&lt;&gt;0,SUM(L1876,Q1876,V1876,AA1876,AF1876,AK1876,AP1876,AU1876))))</f>
        <v xml:space="preserve"> </v>
      </c>
      <c r="BE1876" s="120"/>
      <c r="BF1876" s="120"/>
      <c r="BG1876" s="120"/>
    </row>
    <row r="1877" spans="1:59" s="3" customFormat="1" x14ac:dyDescent="0.3">
      <c r="A1877" s="15" t="str">
        <f t="shared" si="377"/>
        <v/>
      </c>
      <c r="B1877" s="25"/>
      <c r="C1877" s="26"/>
      <c r="D1877" s="279"/>
      <c r="E1877" s="27"/>
      <c r="F1877" s="28"/>
      <c r="G1877" s="27"/>
      <c r="H1877" s="28"/>
      <c r="I1877" s="28"/>
      <c r="J1877" s="255" t="str">
        <f>IF(H1877="","",(_xlfn.XLOOKUP(H1877,Cadastros!$D$6:$D$90,Cadastros!$E$6:$E$90))*(1-_xlfn.XLOOKUP(_xlfn.XLOOKUP($F1877,Clientes!$B$4:$B$39,Clientes!$C$4:$C$39),Cadastros!$L$6:$L$12,Cadastros!$N$6:$N$12)))</f>
        <v/>
      </c>
      <c r="K1877" s="168" t="str">
        <f t="shared" si="378"/>
        <v/>
      </c>
      <c r="L1877" s="168" t="str">
        <f>IFERROR(K1877/_xlfn.XLOOKUP(_xlfn.XLOOKUP($F1877,Clientes!$B$4:$B$39,Clientes!$C$4:$C$39),Cadastros!$L$6:$L$12,Cadastros!$M$6:$M$12)," ")</f>
        <v xml:space="preserve"> </v>
      </c>
      <c r="M1877" s="28"/>
      <c r="N1877" s="28"/>
      <c r="O1877" s="255" t="str">
        <f>IF(M1877="","",(_xlfn.XLOOKUP(M1877,Cadastros!$D$6:$D$90,Cadastros!$E$6:$E$90))*(1-_xlfn.XLOOKUP(_xlfn.XLOOKUP($F1877,Clientes!$B$4:$B$39,Clientes!$C$4:$C$39),Cadastros!$L$6:$L$12,Cadastros!$N$6:$N$12)))</f>
        <v/>
      </c>
      <c r="P1877" s="168" t="str">
        <f t="shared" si="379"/>
        <v/>
      </c>
      <c r="Q1877" s="168" t="str">
        <f>IFERROR(P1877/_xlfn.XLOOKUP(_xlfn.XLOOKUP($F1877,Clientes!$B$4:$B$39,Clientes!$C$4:$C$39),Cadastros!$L$6:$L$12,Cadastros!$M$6:$M$12)," ")</f>
        <v xml:space="preserve"> </v>
      </c>
      <c r="R1877" s="28"/>
      <c r="S1877" s="28"/>
      <c r="T1877" s="255" t="str">
        <f>IF(R1877="","",(_xlfn.XLOOKUP(R1877,Cadastros!$D$6:$D$90,Cadastros!$E$6:$E$90))*(1-_xlfn.XLOOKUP(_xlfn.XLOOKUP($F1877,Clientes!$B$4:$B$39,Clientes!$C$4:$C$39),Cadastros!$L$6:$L$12,Cadastros!$N$6:$N$12)))</f>
        <v/>
      </c>
      <c r="U1877" s="168" t="str">
        <f t="shared" si="380"/>
        <v/>
      </c>
      <c r="V1877" s="168" t="str">
        <f>IFERROR(U1877/_xlfn.XLOOKUP(_xlfn.XLOOKUP($F1877,Clientes!$B$4:$B$39,Clientes!$C$4:$C$39),Cadastros!$L$6:$L$12,Cadastros!$M$6:$M$12)," ")</f>
        <v xml:space="preserve"> </v>
      </c>
      <c r="W1877" s="28"/>
      <c r="X1877" s="28"/>
      <c r="Y1877" s="255" t="str">
        <f>IF(W1877="","",(_xlfn.XLOOKUP(W1877,Cadastros!$D$6:$D$90,Cadastros!$E$6:$E$90))*(1-_xlfn.XLOOKUP(_xlfn.XLOOKUP($F1877,Clientes!$B$4:$B$39,Clientes!$C$4:$C$39),Cadastros!$L$6:$L$12,Cadastros!$N$6:$N$12)))</f>
        <v/>
      </c>
      <c r="Z1877" s="168" t="str">
        <f t="shared" si="381"/>
        <v/>
      </c>
      <c r="AA1877" s="168" t="str">
        <f>IFERROR(Z1877/_xlfn.XLOOKUP(_xlfn.XLOOKUP($F1877,Clientes!$B$4:$B$39,Clientes!$C$4:$C$39),Cadastros!$L$6:$L$12,Cadastros!$M$6:$M$12)," ")</f>
        <v xml:space="preserve"> </v>
      </c>
      <c r="AB1877" s="28"/>
      <c r="AC1877" s="28"/>
      <c r="AD1877" s="20" t="str">
        <f>IF(AB1877="","",IF($F1877="Bernardino Furlan",_xlfn.XLOOKUP(AB1877,Cadastros!$G$6:$G$90,Cadastros!$H$6:$H$90)*(1-0.18),IF($F1877="Mauro José Salanti",_xlfn.XLOOKUP(AB1877,Cadastros!$G$6:$G$90,Cadastros!$H$6:$H$90)*(1-0.18),_xlfn.XLOOKUP(AB1877,Cadastros!$G$6:$G$90,Cadastros!$H$6:$H$90))))</f>
        <v/>
      </c>
      <c r="AE1877" s="168" t="str">
        <f t="shared" si="382"/>
        <v/>
      </c>
      <c r="AF1877" s="168" t="str">
        <f t="shared" si="383"/>
        <v/>
      </c>
      <c r="AG1877" s="28"/>
      <c r="AH1877" s="28"/>
      <c r="AI1877" s="20" t="str">
        <f>IF(AG1877="","",IF($F1877="Bernardino Furlan",_xlfn.XLOOKUP(AG1877,Cadastros!$G$6:$G$90,Cadastros!$H$6:$H$90)*(1-0.18),IF($F1877="Mauro José Salanti",_xlfn.XLOOKUP(AG1877,Cadastros!$G$6:$G$90,Cadastros!$H$6:$H$90)*(1-0.18),_xlfn.XLOOKUP(AG1877,Cadastros!$G$6:$G$90,Cadastros!$H$6:$H$90))))</f>
        <v/>
      </c>
      <c r="AJ1877" s="168" t="str">
        <f t="shared" si="384"/>
        <v/>
      </c>
      <c r="AK1877" s="168" t="str">
        <f t="shared" si="385"/>
        <v/>
      </c>
      <c r="AL1877" s="28"/>
      <c r="AM1877" s="28"/>
      <c r="AN1877" s="20" t="str">
        <f>IF(AL1877="","",IF($F1877="Bernardino Furlan",_xlfn.XLOOKUP(AL1877,Cadastros!$G$6:$G$90,Cadastros!$H$6:$H$90)*(1-0.18),IF($F1877="Mauro José Salanti",_xlfn.XLOOKUP(AL1877,Cadastros!$G$6:$G$90,Cadastros!$H$6:$H$90)*(1-0.18),_xlfn.XLOOKUP(AL1877,Cadastros!$G$6:$G$90,Cadastros!$H$6:$H$90))))</f>
        <v/>
      </c>
      <c r="AO1877" s="168" t="str">
        <f t="shared" si="386"/>
        <v/>
      </c>
      <c r="AP1877" s="168" t="str">
        <f t="shared" si="387"/>
        <v/>
      </c>
      <c r="AQ1877" s="28"/>
      <c r="AR1877" s="28"/>
      <c r="AS1877" s="20" t="str">
        <f>IF(AQ1877="","",IF($F1877="Bernardino Furlan",_xlfn.XLOOKUP(AQ1877,Cadastros!$G$6:$G$90,Cadastros!$H$6:$H$90)*(1-0.18),IF($F1877="Mauro José Salanti",_xlfn.XLOOKUP(AQ1877,Cadastros!$G$6:$G$90,Cadastros!$H$6:$H$90)*(1-0.18),_xlfn.XLOOKUP(AQ1877,Cadastros!$G$6:$G$90,Cadastros!$H$6:$H$90))))</f>
        <v/>
      </c>
      <c r="AT1877" s="168" t="str">
        <f t="shared" si="388"/>
        <v/>
      </c>
      <c r="AU1877" s="168" t="str">
        <f t="shared" si="389"/>
        <v/>
      </c>
      <c r="AV1877" s="227"/>
      <c r="AW1877" s="30"/>
      <c r="AX1877" s="267"/>
      <c r="AY1877" s="267"/>
      <c r="AZ1877" s="29"/>
      <c r="BA1877" s="30"/>
      <c r="BB1877" s="23" t="str" cm="1">
        <f t="array" ref="BB1877">_xlfn.IFS(AW1877="SIM",SUM(K1877,P1877,U1877,Z1877,AE1877,AJ1877,AO1877,AT1877,AX1877,AY1877),F1877&lt;&gt;"",SUM(K1877,P1877,U1877,Z1877,AE1877,AJ1877,,AO1877,AT1877),F1877="","")</f>
        <v/>
      </c>
      <c r="BC1877" s="211" t="str" cm="1">
        <f t="array" ref="BC1877">_xlfn.IFS(E1877="","",G1877&lt;=E1877,BB1877*(1-0.03),G1877&lt;(E1877+8),BB1877,AZ1877="Boleto",BB1877*(1+0.001)^DATEDIF(E1877,G1877,"D"),AZ1877="Cheque",BB1877,AZ1877="Dinheiro","Alterar forma pgto")</f>
        <v/>
      </c>
      <c r="BD1877" s="276" t="str" cm="1">
        <f t="array" ref="BD1877">IF(F1877=0," ",IF(BC1877&lt;BB1877,(_xlfn.IFS(AW1877="SIM",SUM(L1877,Q1877,V1877,AA1877,AF1877,AK1877,AP1877,AU1877)+AX1877/_xlfn.XLOOKUP(_xlfn.XLOOKUP($F1877,Clientes!$B$4:$B$39,Clientes!$C$4:$C$39),Cadastros!$L$6:$L$12,Cadastros!$M$6:$M$12)+IF($F1877="Bernardino Furlan",AY1877/2751.92,IF($F1877="Mauro José Salanti",AY1877/2751.92,AY1877/3356)),F1877&lt;&gt;0,SUM(L1877,Q1877,V1877,AA1877,AF1877,AK1877,AP1877,AU1877)))*(1-0.03),_xlfn.IFS(AW1877="SIM",SUM(L1877,Q1877,V1877,AA1877,AF1877,AK1877,AP1877,AU1877)+AX1877/_xlfn.XLOOKUP(_xlfn.XLOOKUP($F1877,Clientes!$B$4:$B$39,Clientes!$C$4:$C$39),Cadastros!$L$6:$L$12,Cadastros!$M$6:$M$12)+IF($F1877="Bernardino Furlan",AY1877/2751.92,IF($F1877="Mauro José Salanti",AY1877/2751.92,AY1877/3356)),F1877&lt;&gt;0,SUM(L1877,Q1877,V1877,AA1877,AF1877,AK1877,AP1877,AU1877))))</f>
        <v xml:space="preserve"> </v>
      </c>
      <c r="BE1877" s="120"/>
      <c r="BF1877" s="120"/>
      <c r="BG1877" s="120"/>
    </row>
    <row r="1878" spans="1:59" s="3" customFormat="1" x14ac:dyDescent="0.3">
      <c r="A1878" s="15" t="str">
        <f t="shared" si="377"/>
        <v/>
      </c>
      <c r="B1878" s="25"/>
      <c r="C1878" s="26"/>
      <c r="D1878" s="279"/>
      <c r="E1878" s="27"/>
      <c r="F1878" s="28"/>
      <c r="G1878" s="27"/>
      <c r="H1878" s="28"/>
      <c r="I1878" s="28"/>
      <c r="J1878" s="255" t="str">
        <f>IF(H1878="","",(_xlfn.XLOOKUP(H1878,Cadastros!$D$6:$D$90,Cadastros!$E$6:$E$90))*(1-_xlfn.XLOOKUP(_xlfn.XLOOKUP($F1878,Clientes!$B$4:$B$39,Clientes!$C$4:$C$39),Cadastros!$L$6:$L$12,Cadastros!$N$6:$N$12)))</f>
        <v/>
      </c>
      <c r="K1878" s="168" t="str">
        <f t="shared" si="378"/>
        <v/>
      </c>
      <c r="L1878" s="168" t="str">
        <f>IFERROR(K1878/_xlfn.XLOOKUP(_xlfn.XLOOKUP($F1878,Clientes!$B$4:$B$39,Clientes!$C$4:$C$39),Cadastros!$L$6:$L$12,Cadastros!$M$6:$M$12)," ")</f>
        <v xml:space="preserve"> </v>
      </c>
      <c r="M1878" s="28"/>
      <c r="N1878" s="28"/>
      <c r="O1878" s="255" t="str">
        <f>IF(M1878="","",(_xlfn.XLOOKUP(M1878,Cadastros!$D$6:$D$90,Cadastros!$E$6:$E$90))*(1-_xlfn.XLOOKUP(_xlfn.XLOOKUP($F1878,Clientes!$B$4:$B$39,Clientes!$C$4:$C$39),Cadastros!$L$6:$L$12,Cadastros!$N$6:$N$12)))</f>
        <v/>
      </c>
      <c r="P1878" s="168" t="str">
        <f t="shared" si="379"/>
        <v/>
      </c>
      <c r="Q1878" s="168" t="str">
        <f>IFERROR(P1878/_xlfn.XLOOKUP(_xlfn.XLOOKUP($F1878,Clientes!$B$4:$B$39,Clientes!$C$4:$C$39),Cadastros!$L$6:$L$12,Cadastros!$M$6:$M$12)," ")</f>
        <v xml:space="preserve"> </v>
      </c>
      <c r="R1878" s="28"/>
      <c r="S1878" s="28"/>
      <c r="T1878" s="255" t="str">
        <f>IF(R1878="","",(_xlfn.XLOOKUP(R1878,Cadastros!$D$6:$D$90,Cadastros!$E$6:$E$90))*(1-_xlfn.XLOOKUP(_xlfn.XLOOKUP($F1878,Clientes!$B$4:$B$39,Clientes!$C$4:$C$39),Cadastros!$L$6:$L$12,Cadastros!$N$6:$N$12)))</f>
        <v/>
      </c>
      <c r="U1878" s="168" t="str">
        <f t="shared" si="380"/>
        <v/>
      </c>
      <c r="V1878" s="168" t="str">
        <f>IFERROR(U1878/_xlfn.XLOOKUP(_xlfn.XLOOKUP($F1878,Clientes!$B$4:$B$39,Clientes!$C$4:$C$39),Cadastros!$L$6:$L$12,Cadastros!$M$6:$M$12)," ")</f>
        <v xml:space="preserve"> </v>
      </c>
      <c r="W1878" s="28"/>
      <c r="X1878" s="28"/>
      <c r="Y1878" s="255" t="str">
        <f>IF(W1878="","",(_xlfn.XLOOKUP(W1878,Cadastros!$D$6:$D$90,Cadastros!$E$6:$E$90))*(1-_xlfn.XLOOKUP(_xlfn.XLOOKUP($F1878,Clientes!$B$4:$B$39,Clientes!$C$4:$C$39),Cadastros!$L$6:$L$12,Cadastros!$N$6:$N$12)))</f>
        <v/>
      </c>
      <c r="Z1878" s="168" t="str">
        <f t="shared" si="381"/>
        <v/>
      </c>
      <c r="AA1878" s="168" t="str">
        <f>IFERROR(Z1878/_xlfn.XLOOKUP(_xlfn.XLOOKUP($F1878,Clientes!$B$4:$B$39,Clientes!$C$4:$C$39),Cadastros!$L$6:$L$12,Cadastros!$M$6:$M$12)," ")</f>
        <v xml:space="preserve"> </v>
      </c>
      <c r="AB1878" s="28"/>
      <c r="AC1878" s="28"/>
      <c r="AD1878" s="20" t="str">
        <f>IF(AB1878="","",IF($F1878="Bernardino Furlan",_xlfn.XLOOKUP(AB1878,Cadastros!$G$6:$G$90,Cadastros!$H$6:$H$90)*(1-0.18),IF($F1878="Mauro José Salanti",_xlfn.XLOOKUP(AB1878,Cadastros!$G$6:$G$90,Cadastros!$H$6:$H$90)*(1-0.18),_xlfn.XLOOKUP(AB1878,Cadastros!$G$6:$G$90,Cadastros!$H$6:$H$90))))</f>
        <v/>
      </c>
      <c r="AE1878" s="168" t="str">
        <f t="shared" si="382"/>
        <v/>
      </c>
      <c r="AF1878" s="168" t="str">
        <f t="shared" si="383"/>
        <v/>
      </c>
      <c r="AG1878" s="28"/>
      <c r="AH1878" s="28"/>
      <c r="AI1878" s="20" t="str">
        <f>IF(AG1878="","",IF($F1878="Bernardino Furlan",_xlfn.XLOOKUP(AG1878,Cadastros!$G$6:$G$90,Cadastros!$H$6:$H$90)*(1-0.18),IF($F1878="Mauro José Salanti",_xlfn.XLOOKUP(AG1878,Cadastros!$G$6:$G$90,Cadastros!$H$6:$H$90)*(1-0.18),_xlfn.XLOOKUP(AG1878,Cadastros!$G$6:$G$90,Cadastros!$H$6:$H$90))))</f>
        <v/>
      </c>
      <c r="AJ1878" s="168" t="str">
        <f t="shared" si="384"/>
        <v/>
      </c>
      <c r="AK1878" s="168" t="str">
        <f t="shared" si="385"/>
        <v/>
      </c>
      <c r="AL1878" s="28"/>
      <c r="AM1878" s="28"/>
      <c r="AN1878" s="20" t="str">
        <f>IF(AL1878="","",IF($F1878="Bernardino Furlan",_xlfn.XLOOKUP(AL1878,Cadastros!$G$6:$G$90,Cadastros!$H$6:$H$90)*(1-0.18),IF($F1878="Mauro José Salanti",_xlfn.XLOOKUP(AL1878,Cadastros!$G$6:$G$90,Cadastros!$H$6:$H$90)*(1-0.18),_xlfn.XLOOKUP(AL1878,Cadastros!$G$6:$G$90,Cadastros!$H$6:$H$90))))</f>
        <v/>
      </c>
      <c r="AO1878" s="168" t="str">
        <f t="shared" si="386"/>
        <v/>
      </c>
      <c r="AP1878" s="168" t="str">
        <f t="shared" si="387"/>
        <v/>
      </c>
      <c r="AQ1878" s="28"/>
      <c r="AR1878" s="28"/>
      <c r="AS1878" s="20" t="str">
        <f>IF(AQ1878="","",IF($F1878="Bernardino Furlan",_xlfn.XLOOKUP(AQ1878,Cadastros!$G$6:$G$90,Cadastros!$H$6:$H$90)*(1-0.18),IF($F1878="Mauro José Salanti",_xlfn.XLOOKUP(AQ1878,Cadastros!$G$6:$G$90,Cadastros!$H$6:$H$90)*(1-0.18),_xlfn.XLOOKUP(AQ1878,Cadastros!$G$6:$G$90,Cadastros!$H$6:$H$90))))</f>
        <v/>
      </c>
      <c r="AT1878" s="168" t="str">
        <f t="shared" si="388"/>
        <v/>
      </c>
      <c r="AU1878" s="168" t="str">
        <f t="shared" si="389"/>
        <v/>
      </c>
      <c r="AV1878" s="227"/>
      <c r="AW1878" s="30"/>
      <c r="AX1878" s="267"/>
      <c r="AY1878" s="267"/>
      <c r="AZ1878" s="29"/>
      <c r="BA1878" s="30"/>
      <c r="BB1878" s="23" t="str" cm="1">
        <f t="array" ref="BB1878">_xlfn.IFS(AW1878="SIM",SUM(K1878,P1878,U1878,Z1878,AE1878,AJ1878,AO1878,AT1878,AX1878,AY1878),F1878&lt;&gt;"",SUM(K1878,P1878,U1878,Z1878,AE1878,AJ1878,,AO1878,AT1878),F1878="","")</f>
        <v/>
      </c>
      <c r="BC1878" s="211" t="str" cm="1">
        <f t="array" ref="BC1878">_xlfn.IFS(E1878="","",G1878&lt;=E1878,BB1878*(1-0.03),G1878&lt;(E1878+8),BB1878,AZ1878="Boleto",BB1878*(1+0.001)^DATEDIF(E1878,G1878,"D"),AZ1878="Cheque",BB1878,AZ1878="Dinheiro","Alterar forma pgto")</f>
        <v/>
      </c>
      <c r="BD1878" s="276" t="str" cm="1">
        <f t="array" ref="BD1878">IF(F1878=0," ",IF(BC1878&lt;BB1878,(_xlfn.IFS(AW1878="SIM",SUM(L1878,Q1878,V1878,AA1878,AF1878,AK1878,AP1878,AU1878)+AX1878/_xlfn.XLOOKUP(_xlfn.XLOOKUP($F1878,Clientes!$B$4:$B$39,Clientes!$C$4:$C$39),Cadastros!$L$6:$L$12,Cadastros!$M$6:$M$12)+IF($F1878="Bernardino Furlan",AY1878/2751.92,IF($F1878="Mauro José Salanti",AY1878/2751.92,AY1878/3356)),F1878&lt;&gt;0,SUM(L1878,Q1878,V1878,AA1878,AF1878,AK1878,AP1878,AU1878)))*(1-0.03),_xlfn.IFS(AW1878="SIM",SUM(L1878,Q1878,V1878,AA1878,AF1878,AK1878,AP1878,AU1878)+AX1878/_xlfn.XLOOKUP(_xlfn.XLOOKUP($F1878,Clientes!$B$4:$B$39,Clientes!$C$4:$C$39),Cadastros!$L$6:$L$12,Cadastros!$M$6:$M$12)+IF($F1878="Bernardino Furlan",AY1878/2751.92,IF($F1878="Mauro José Salanti",AY1878/2751.92,AY1878/3356)),F1878&lt;&gt;0,SUM(L1878,Q1878,V1878,AA1878,AF1878,AK1878,AP1878,AU1878))))</f>
        <v xml:space="preserve"> </v>
      </c>
      <c r="BE1878" s="120"/>
      <c r="BF1878" s="120"/>
      <c r="BG1878" s="120"/>
    </row>
    <row r="1879" spans="1:59" s="3" customFormat="1" x14ac:dyDescent="0.3">
      <c r="A1879" s="15" t="str">
        <f t="shared" si="377"/>
        <v/>
      </c>
      <c r="B1879" s="25"/>
      <c r="C1879" s="26"/>
      <c r="D1879" s="279"/>
      <c r="E1879" s="27"/>
      <c r="F1879" s="28"/>
      <c r="G1879" s="27"/>
      <c r="H1879" s="28"/>
      <c r="I1879" s="28"/>
      <c r="J1879" s="255" t="str">
        <f>IF(H1879="","",(_xlfn.XLOOKUP(H1879,Cadastros!$D$6:$D$90,Cadastros!$E$6:$E$90))*(1-_xlfn.XLOOKUP(_xlfn.XLOOKUP($F1879,Clientes!$B$4:$B$39,Clientes!$C$4:$C$39),Cadastros!$L$6:$L$12,Cadastros!$N$6:$N$12)))</f>
        <v/>
      </c>
      <c r="K1879" s="168" t="str">
        <f t="shared" si="378"/>
        <v/>
      </c>
      <c r="L1879" s="168" t="str">
        <f>IFERROR(K1879/_xlfn.XLOOKUP(_xlfn.XLOOKUP($F1879,Clientes!$B$4:$B$39,Clientes!$C$4:$C$39),Cadastros!$L$6:$L$12,Cadastros!$M$6:$M$12)," ")</f>
        <v xml:space="preserve"> </v>
      </c>
      <c r="M1879" s="28"/>
      <c r="N1879" s="28"/>
      <c r="O1879" s="255" t="str">
        <f>IF(M1879="","",(_xlfn.XLOOKUP(M1879,Cadastros!$D$6:$D$90,Cadastros!$E$6:$E$90))*(1-_xlfn.XLOOKUP(_xlfn.XLOOKUP($F1879,Clientes!$B$4:$B$39,Clientes!$C$4:$C$39),Cadastros!$L$6:$L$12,Cadastros!$N$6:$N$12)))</f>
        <v/>
      </c>
      <c r="P1879" s="168" t="str">
        <f t="shared" si="379"/>
        <v/>
      </c>
      <c r="Q1879" s="168" t="str">
        <f>IFERROR(P1879/_xlfn.XLOOKUP(_xlfn.XLOOKUP($F1879,Clientes!$B$4:$B$39,Clientes!$C$4:$C$39),Cadastros!$L$6:$L$12,Cadastros!$M$6:$M$12)," ")</f>
        <v xml:space="preserve"> </v>
      </c>
      <c r="R1879" s="28"/>
      <c r="S1879" s="28"/>
      <c r="T1879" s="255" t="str">
        <f>IF(R1879="","",(_xlfn.XLOOKUP(R1879,Cadastros!$D$6:$D$90,Cadastros!$E$6:$E$90))*(1-_xlfn.XLOOKUP(_xlfn.XLOOKUP($F1879,Clientes!$B$4:$B$39,Clientes!$C$4:$C$39),Cadastros!$L$6:$L$12,Cadastros!$N$6:$N$12)))</f>
        <v/>
      </c>
      <c r="U1879" s="168" t="str">
        <f t="shared" si="380"/>
        <v/>
      </c>
      <c r="V1879" s="168" t="str">
        <f>IFERROR(U1879/_xlfn.XLOOKUP(_xlfn.XLOOKUP($F1879,Clientes!$B$4:$B$39,Clientes!$C$4:$C$39),Cadastros!$L$6:$L$12,Cadastros!$M$6:$M$12)," ")</f>
        <v xml:space="preserve"> </v>
      </c>
      <c r="W1879" s="28"/>
      <c r="X1879" s="28"/>
      <c r="Y1879" s="255" t="str">
        <f>IF(W1879="","",(_xlfn.XLOOKUP(W1879,Cadastros!$D$6:$D$90,Cadastros!$E$6:$E$90))*(1-_xlfn.XLOOKUP(_xlfn.XLOOKUP($F1879,Clientes!$B$4:$B$39,Clientes!$C$4:$C$39),Cadastros!$L$6:$L$12,Cadastros!$N$6:$N$12)))</f>
        <v/>
      </c>
      <c r="Z1879" s="168" t="str">
        <f t="shared" si="381"/>
        <v/>
      </c>
      <c r="AA1879" s="168" t="str">
        <f>IFERROR(Z1879/_xlfn.XLOOKUP(_xlfn.XLOOKUP($F1879,Clientes!$B$4:$B$39,Clientes!$C$4:$C$39),Cadastros!$L$6:$L$12,Cadastros!$M$6:$M$12)," ")</f>
        <v xml:space="preserve"> </v>
      </c>
      <c r="AB1879" s="28"/>
      <c r="AC1879" s="28"/>
      <c r="AD1879" s="20" t="str">
        <f>IF(AB1879="","",IF($F1879="Bernardino Furlan",_xlfn.XLOOKUP(AB1879,Cadastros!$G$6:$G$90,Cadastros!$H$6:$H$90)*(1-0.18),IF($F1879="Mauro José Salanti",_xlfn.XLOOKUP(AB1879,Cadastros!$G$6:$G$90,Cadastros!$H$6:$H$90)*(1-0.18),_xlfn.XLOOKUP(AB1879,Cadastros!$G$6:$G$90,Cadastros!$H$6:$H$90))))</f>
        <v/>
      </c>
      <c r="AE1879" s="168" t="str">
        <f t="shared" si="382"/>
        <v/>
      </c>
      <c r="AF1879" s="168" t="str">
        <f t="shared" si="383"/>
        <v/>
      </c>
      <c r="AG1879" s="28"/>
      <c r="AH1879" s="28"/>
      <c r="AI1879" s="20" t="str">
        <f>IF(AG1879="","",IF($F1879="Bernardino Furlan",_xlfn.XLOOKUP(AG1879,Cadastros!$G$6:$G$90,Cadastros!$H$6:$H$90)*(1-0.18),IF($F1879="Mauro José Salanti",_xlfn.XLOOKUP(AG1879,Cadastros!$G$6:$G$90,Cadastros!$H$6:$H$90)*(1-0.18),_xlfn.XLOOKUP(AG1879,Cadastros!$G$6:$G$90,Cadastros!$H$6:$H$90))))</f>
        <v/>
      </c>
      <c r="AJ1879" s="168" t="str">
        <f t="shared" si="384"/>
        <v/>
      </c>
      <c r="AK1879" s="168" t="str">
        <f t="shared" si="385"/>
        <v/>
      </c>
      <c r="AL1879" s="28"/>
      <c r="AM1879" s="28"/>
      <c r="AN1879" s="20" t="str">
        <f>IF(AL1879="","",IF($F1879="Bernardino Furlan",_xlfn.XLOOKUP(AL1879,Cadastros!$G$6:$G$90,Cadastros!$H$6:$H$90)*(1-0.18),IF($F1879="Mauro José Salanti",_xlfn.XLOOKUP(AL1879,Cadastros!$G$6:$G$90,Cadastros!$H$6:$H$90)*(1-0.18),_xlfn.XLOOKUP(AL1879,Cadastros!$G$6:$G$90,Cadastros!$H$6:$H$90))))</f>
        <v/>
      </c>
      <c r="AO1879" s="168" t="str">
        <f t="shared" si="386"/>
        <v/>
      </c>
      <c r="AP1879" s="168" t="str">
        <f t="shared" si="387"/>
        <v/>
      </c>
      <c r="AQ1879" s="28"/>
      <c r="AR1879" s="28"/>
      <c r="AS1879" s="20" t="str">
        <f>IF(AQ1879="","",IF($F1879="Bernardino Furlan",_xlfn.XLOOKUP(AQ1879,Cadastros!$G$6:$G$90,Cadastros!$H$6:$H$90)*(1-0.18),IF($F1879="Mauro José Salanti",_xlfn.XLOOKUP(AQ1879,Cadastros!$G$6:$G$90,Cadastros!$H$6:$H$90)*(1-0.18),_xlfn.XLOOKUP(AQ1879,Cadastros!$G$6:$G$90,Cadastros!$H$6:$H$90))))</f>
        <v/>
      </c>
      <c r="AT1879" s="168" t="str">
        <f t="shared" si="388"/>
        <v/>
      </c>
      <c r="AU1879" s="168" t="str">
        <f t="shared" si="389"/>
        <v/>
      </c>
      <c r="AV1879" s="227"/>
      <c r="AW1879" s="30"/>
      <c r="AX1879" s="267"/>
      <c r="AY1879" s="267"/>
      <c r="AZ1879" s="29"/>
      <c r="BA1879" s="30"/>
      <c r="BB1879" s="23" t="str" cm="1">
        <f t="array" ref="BB1879">_xlfn.IFS(AW1879="SIM",SUM(K1879,P1879,U1879,Z1879,AE1879,AJ1879,AO1879,AT1879,AX1879,AY1879),F1879&lt;&gt;"",SUM(K1879,P1879,U1879,Z1879,AE1879,AJ1879,,AO1879,AT1879),F1879="","")</f>
        <v/>
      </c>
      <c r="BC1879" s="211" t="str" cm="1">
        <f t="array" ref="BC1879">_xlfn.IFS(E1879="","",G1879&lt;=E1879,BB1879*(1-0.03),G1879&lt;(E1879+8),BB1879,AZ1879="Boleto",BB1879*(1+0.001)^DATEDIF(E1879,G1879,"D"),AZ1879="Cheque",BB1879,AZ1879="Dinheiro","Alterar forma pgto")</f>
        <v/>
      </c>
      <c r="BD1879" s="276" t="str" cm="1">
        <f t="array" ref="BD1879">IF(F1879=0," ",IF(BC1879&lt;BB1879,(_xlfn.IFS(AW1879="SIM",SUM(L1879,Q1879,V1879,AA1879,AF1879,AK1879,AP1879,AU1879)+AX1879/_xlfn.XLOOKUP(_xlfn.XLOOKUP($F1879,Clientes!$B$4:$B$39,Clientes!$C$4:$C$39),Cadastros!$L$6:$L$12,Cadastros!$M$6:$M$12)+IF($F1879="Bernardino Furlan",AY1879/2751.92,IF($F1879="Mauro José Salanti",AY1879/2751.92,AY1879/3356)),F1879&lt;&gt;0,SUM(L1879,Q1879,V1879,AA1879,AF1879,AK1879,AP1879,AU1879)))*(1-0.03),_xlfn.IFS(AW1879="SIM",SUM(L1879,Q1879,V1879,AA1879,AF1879,AK1879,AP1879,AU1879)+AX1879/_xlfn.XLOOKUP(_xlfn.XLOOKUP($F1879,Clientes!$B$4:$B$39,Clientes!$C$4:$C$39),Cadastros!$L$6:$L$12,Cadastros!$M$6:$M$12)+IF($F1879="Bernardino Furlan",AY1879/2751.92,IF($F1879="Mauro José Salanti",AY1879/2751.92,AY1879/3356)),F1879&lt;&gt;0,SUM(L1879,Q1879,V1879,AA1879,AF1879,AK1879,AP1879,AU1879))))</f>
        <v xml:space="preserve"> </v>
      </c>
      <c r="BE1879" s="120"/>
      <c r="BF1879" s="120"/>
      <c r="BG1879" s="120"/>
    </row>
    <row r="1880" spans="1:59" s="3" customFormat="1" x14ac:dyDescent="0.3">
      <c r="A1880" s="15" t="str">
        <f t="shared" si="377"/>
        <v/>
      </c>
      <c r="B1880" s="25"/>
      <c r="C1880" s="26"/>
      <c r="D1880" s="279"/>
      <c r="E1880" s="27"/>
      <c r="F1880" s="28"/>
      <c r="G1880" s="27"/>
      <c r="H1880" s="28"/>
      <c r="I1880" s="28"/>
      <c r="J1880" s="255" t="str">
        <f>IF(H1880="","",(_xlfn.XLOOKUP(H1880,Cadastros!$D$6:$D$90,Cadastros!$E$6:$E$90))*(1-_xlfn.XLOOKUP(_xlfn.XLOOKUP($F1880,Clientes!$B$4:$B$39,Clientes!$C$4:$C$39),Cadastros!$L$6:$L$12,Cadastros!$N$6:$N$12)))</f>
        <v/>
      </c>
      <c r="K1880" s="168" t="str">
        <f t="shared" si="378"/>
        <v/>
      </c>
      <c r="L1880" s="168" t="str">
        <f>IFERROR(K1880/_xlfn.XLOOKUP(_xlfn.XLOOKUP($F1880,Clientes!$B$4:$B$39,Clientes!$C$4:$C$39),Cadastros!$L$6:$L$12,Cadastros!$M$6:$M$12)," ")</f>
        <v xml:space="preserve"> </v>
      </c>
      <c r="M1880" s="28"/>
      <c r="N1880" s="28"/>
      <c r="O1880" s="255" t="str">
        <f>IF(M1880="","",(_xlfn.XLOOKUP(M1880,Cadastros!$D$6:$D$90,Cadastros!$E$6:$E$90))*(1-_xlfn.XLOOKUP(_xlfn.XLOOKUP($F1880,Clientes!$B$4:$B$39,Clientes!$C$4:$C$39),Cadastros!$L$6:$L$12,Cadastros!$N$6:$N$12)))</f>
        <v/>
      </c>
      <c r="P1880" s="168" t="str">
        <f t="shared" si="379"/>
        <v/>
      </c>
      <c r="Q1880" s="168" t="str">
        <f>IFERROR(P1880/_xlfn.XLOOKUP(_xlfn.XLOOKUP($F1880,Clientes!$B$4:$B$39,Clientes!$C$4:$C$39),Cadastros!$L$6:$L$12,Cadastros!$M$6:$M$12)," ")</f>
        <v xml:space="preserve"> </v>
      </c>
      <c r="R1880" s="28"/>
      <c r="S1880" s="28"/>
      <c r="T1880" s="255" t="str">
        <f>IF(R1880="","",(_xlfn.XLOOKUP(R1880,Cadastros!$D$6:$D$90,Cadastros!$E$6:$E$90))*(1-_xlfn.XLOOKUP(_xlfn.XLOOKUP($F1880,Clientes!$B$4:$B$39,Clientes!$C$4:$C$39),Cadastros!$L$6:$L$12,Cadastros!$N$6:$N$12)))</f>
        <v/>
      </c>
      <c r="U1880" s="168" t="str">
        <f t="shared" si="380"/>
        <v/>
      </c>
      <c r="V1880" s="168" t="str">
        <f>IFERROR(U1880/_xlfn.XLOOKUP(_xlfn.XLOOKUP($F1880,Clientes!$B$4:$B$39,Clientes!$C$4:$C$39),Cadastros!$L$6:$L$12,Cadastros!$M$6:$M$12)," ")</f>
        <v xml:space="preserve"> </v>
      </c>
      <c r="W1880" s="28"/>
      <c r="X1880" s="28"/>
      <c r="Y1880" s="255" t="str">
        <f>IF(W1880="","",(_xlfn.XLOOKUP(W1880,Cadastros!$D$6:$D$90,Cadastros!$E$6:$E$90))*(1-_xlfn.XLOOKUP(_xlfn.XLOOKUP($F1880,Clientes!$B$4:$B$39,Clientes!$C$4:$C$39),Cadastros!$L$6:$L$12,Cadastros!$N$6:$N$12)))</f>
        <v/>
      </c>
      <c r="Z1880" s="168" t="str">
        <f t="shared" si="381"/>
        <v/>
      </c>
      <c r="AA1880" s="168" t="str">
        <f>IFERROR(Z1880/_xlfn.XLOOKUP(_xlfn.XLOOKUP($F1880,Clientes!$B$4:$B$39,Clientes!$C$4:$C$39),Cadastros!$L$6:$L$12,Cadastros!$M$6:$M$12)," ")</f>
        <v xml:space="preserve"> </v>
      </c>
      <c r="AB1880" s="28"/>
      <c r="AC1880" s="28"/>
      <c r="AD1880" s="20" t="str">
        <f>IF(AB1880="","",IF($F1880="Bernardino Furlan",_xlfn.XLOOKUP(AB1880,Cadastros!$G$6:$G$90,Cadastros!$H$6:$H$90)*(1-0.18),IF($F1880="Mauro José Salanti",_xlfn.XLOOKUP(AB1880,Cadastros!$G$6:$G$90,Cadastros!$H$6:$H$90)*(1-0.18),_xlfn.XLOOKUP(AB1880,Cadastros!$G$6:$G$90,Cadastros!$H$6:$H$90))))</f>
        <v/>
      </c>
      <c r="AE1880" s="168" t="str">
        <f t="shared" si="382"/>
        <v/>
      </c>
      <c r="AF1880" s="168" t="str">
        <f t="shared" si="383"/>
        <v/>
      </c>
      <c r="AG1880" s="28"/>
      <c r="AH1880" s="28"/>
      <c r="AI1880" s="20" t="str">
        <f>IF(AG1880="","",IF($F1880="Bernardino Furlan",_xlfn.XLOOKUP(AG1880,Cadastros!$G$6:$G$90,Cadastros!$H$6:$H$90)*(1-0.18),IF($F1880="Mauro José Salanti",_xlfn.XLOOKUP(AG1880,Cadastros!$G$6:$G$90,Cadastros!$H$6:$H$90)*(1-0.18),_xlfn.XLOOKUP(AG1880,Cadastros!$G$6:$G$90,Cadastros!$H$6:$H$90))))</f>
        <v/>
      </c>
      <c r="AJ1880" s="168" t="str">
        <f t="shared" si="384"/>
        <v/>
      </c>
      <c r="AK1880" s="168" t="str">
        <f t="shared" si="385"/>
        <v/>
      </c>
      <c r="AL1880" s="28"/>
      <c r="AM1880" s="28"/>
      <c r="AN1880" s="20" t="str">
        <f>IF(AL1880="","",IF($F1880="Bernardino Furlan",_xlfn.XLOOKUP(AL1880,Cadastros!$G$6:$G$90,Cadastros!$H$6:$H$90)*(1-0.18),IF($F1880="Mauro José Salanti",_xlfn.XLOOKUP(AL1880,Cadastros!$G$6:$G$90,Cadastros!$H$6:$H$90)*(1-0.18),_xlfn.XLOOKUP(AL1880,Cadastros!$G$6:$G$90,Cadastros!$H$6:$H$90))))</f>
        <v/>
      </c>
      <c r="AO1880" s="168" t="str">
        <f t="shared" si="386"/>
        <v/>
      </c>
      <c r="AP1880" s="168" t="str">
        <f t="shared" si="387"/>
        <v/>
      </c>
      <c r="AQ1880" s="28"/>
      <c r="AR1880" s="28"/>
      <c r="AS1880" s="20" t="str">
        <f>IF(AQ1880="","",IF($F1880="Bernardino Furlan",_xlfn.XLOOKUP(AQ1880,Cadastros!$G$6:$G$90,Cadastros!$H$6:$H$90)*(1-0.18),IF($F1880="Mauro José Salanti",_xlfn.XLOOKUP(AQ1880,Cadastros!$G$6:$G$90,Cadastros!$H$6:$H$90)*(1-0.18),_xlfn.XLOOKUP(AQ1880,Cadastros!$G$6:$G$90,Cadastros!$H$6:$H$90))))</f>
        <v/>
      </c>
      <c r="AT1880" s="168" t="str">
        <f t="shared" si="388"/>
        <v/>
      </c>
      <c r="AU1880" s="168" t="str">
        <f t="shared" si="389"/>
        <v/>
      </c>
      <c r="AV1880" s="227"/>
      <c r="AW1880" s="30"/>
      <c r="AX1880" s="267"/>
      <c r="AY1880" s="267"/>
      <c r="AZ1880" s="29"/>
      <c r="BA1880" s="30"/>
      <c r="BB1880" s="23" t="str" cm="1">
        <f t="array" ref="BB1880">_xlfn.IFS(AW1880="SIM",SUM(K1880,P1880,U1880,Z1880,AE1880,AJ1880,AO1880,AT1880,AX1880,AY1880),F1880&lt;&gt;"",SUM(K1880,P1880,U1880,Z1880,AE1880,AJ1880,,AO1880,AT1880),F1880="","")</f>
        <v/>
      </c>
      <c r="BC1880" s="211" t="str" cm="1">
        <f t="array" ref="BC1880">_xlfn.IFS(E1880="","",G1880&lt;=E1880,BB1880*(1-0.03),G1880&lt;(E1880+8),BB1880,AZ1880="Boleto",BB1880*(1+0.001)^DATEDIF(E1880,G1880,"D"),AZ1880="Cheque",BB1880,AZ1880="Dinheiro","Alterar forma pgto")</f>
        <v/>
      </c>
      <c r="BD1880" s="276" t="str" cm="1">
        <f t="array" ref="BD1880">IF(F1880=0," ",IF(BC1880&lt;BB1880,(_xlfn.IFS(AW1880="SIM",SUM(L1880,Q1880,V1880,AA1880,AF1880,AK1880,AP1880,AU1880)+AX1880/_xlfn.XLOOKUP(_xlfn.XLOOKUP($F1880,Clientes!$B$4:$B$39,Clientes!$C$4:$C$39),Cadastros!$L$6:$L$12,Cadastros!$M$6:$M$12)+IF($F1880="Bernardino Furlan",AY1880/2751.92,IF($F1880="Mauro José Salanti",AY1880/2751.92,AY1880/3356)),F1880&lt;&gt;0,SUM(L1880,Q1880,V1880,AA1880,AF1880,AK1880,AP1880,AU1880)))*(1-0.03),_xlfn.IFS(AW1880="SIM",SUM(L1880,Q1880,V1880,AA1880,AF1880,AK1880,AP1880,AU1880)+AX1880/_xlfn.XLOOKUP(_xlfn.XLOOKUP($F1880,Clientes!$B$4:$B$39,Clientes!$C$4:$C$39),Cadastros!$L$6:$L$12,Cadastros!$M$6:$M$12)+IF($F1880="Bernardino Furlan",AY1880/2751.92,IF($F1880="Mauro José Salanti",AY1880/2751.92,AY1880/3356)),F1880&lt;&gt;0,SUM(L1880,Q1880,V1880,AA1880,AF1880,AK1880,AP1880,AU1880))))</f>
        <v xml:space="preserve"> </v>
      </c>
      <c r="BE1880" s="120"/>
      <c r="BF1880" s="120"/>
      <c r="BG1880" s="120"/>
    </row>
    <row r="1881" spans="1:59" s="3" customFormat="1" x14ac:dyDescent="0.3">
      <c r="A1881" s="15" t="str">
        <f t="shared" si="377"/>
        <v/>
      </c>
      <c r="B1881" s="25"/>
      <c r="C1881" s="26"/>
      <c r="D1881" s="279"/>
      <c r="E1881" s="27"/>
      <c r="F1881" s="28"/>
      <c r="G1881" s="27"/>
      <c r="H1881" s="28"/>
      <c r="I1881" s="28"/>
      <c r="J1881" s="255" t="str">
        <f>IF(H1881="","",(_xlfn.XLOOKUP(H1881,Cadastros!$D$6:$D$90,Cadastros!$E$6:$E$90))*(1-_xlfn.XLOOKUP(_xlfn.XLOOKUP($F1881,Clientes!$B$4:$B$39,Clientes!$C$4:$C$39),Cadastros!$L$6:$L$12,Cadastros!$N$6:$N$12)))</f>
        <v/>
      </c>
      <c r="K1881" s="168" t="str">
        <f t="shared" si="378"/>
        <v/>
      </c>
      <c r="L1881" s="168" t="str">
        <f>IFERROR(K1881/_xlfn.XLOOKUP(_xlfn.XLOOKUP($F1881,Clientes!$B$4:$B$39,Clientes!$C$4:$C$39),Cadastros!$L$6:$L$12,Cadastros!$M$6:$M$12)," ")</f>
        <v xml:space="preserve"> </v>
      </c>
      <c r="M1881" s="28"/>
      <c r="N1881" s="28"/>
      <c r="O1881" s="255" t="str">
        <f>IF(M1881="","",(_xlfn.XLOOKUP(M1881,Cadastros!$D$6:$D$90,Cadastros!$E$6:$E$90))*(1-_xlfn.XLOOKUP(_xlfn.XLOOKUP($F1881,Clientes!$B$4:$B$39,Clientes!$C$4:$C$39),Cadastros!$L$6:$L$12,Cadastros!$N$6:$N$12)))</f>
        <v/>
      </c>
      <c r="P1881" s="168" t="str">
        <f t="shared" si="379"/>
        <v/>
      </c>
      <c r="Q1881" s="168" t="str">
        <f>IFERROR(P1881/_xlfn.XLOOKUP(_xlfn.XLOOKUP($F1881,Clientes!$B$4:$B$39,Clientes!$C$4:$C$39),Cadastros!$L$6:$L$12,Cadastros!$M$6:$M$12)," ")</f>
        <v xml:space="preserve"> </v>
      </c>
      <c r="R1881" s="28"/>
      <c r="S1881" s="28"/>
      <c r="T1881" s="255" t="str">
        <f>IF(R1881="","",(_xlfn.XLOOKUP(R1881,Cadastros!$D$6:$D$90,Cadastros!$E$6:$E$90))*(1-_xlfn.XLOOKUP(_xlfn.XLOOKUP($F1881,Clientes!$B$4:$B$39,Clientes!$C$4:$C$39),Cadastros!$L$6:$L$12,Cadastros!$N$6:$N$12)))</f>
        <v/>
      </c>
      <c r="U1881" s="168" t="str">
        <f t="shared" si="380"/>
        <v/>
      </c>
      <c r="V1881" s="168" t="str">
        <f>IFERROR(U1881/_xlfn.XLOOKUP(_xlfn.XLOOKUP($F1881,Clientes!$B$4:$B$39,Clientes!$C$4:$C$39),Cadastros!$L$6:$L$12,Cadastros!$M$6:$M$12)," ")</f>
        <v xml:space="preserve"> </v>
      </c>
      <c r="W1881" s="28"/>
      <c r="X1881" s="28"/>
      <c r="Y1881" s="255" t="str">
        <f>IF(W1881="","",(_xlfn.XLOOKUP(W1881,Cadastros!$D$6:$D$90,Cadastros!$E$6:$E$90))*(1-_xlfn.XLOOKUP(_xlfn.XLOOKUP($F1881,Clientes!$B$4:$B$39,Clientes!$C$4:$C$39),Cadastros!$L$6:$L$12,Cadastros!$N$6:$N$12)))</f>
        <v/>
      </c>
      <c r="Z1881" s="168" t="str">
        <f t="shared" si="381"/>
        <v/>
      </c>
      <c r="AA1881" s="168" t="str">
        <f>IFERROR(Z1881/_xlfn.XLOOKUP(_xlfn.XLOOKUP($F1881,Clientes!$B$4:$B$39,Clientes!$C$4:$C$39),Cadastros!$L$6:$L$12,Cadastros!$M$6:$M$12)," ")</f>
        <v xml:space="preserve"> </v>
      </c>
      <c r="AB1881" s="28"/>
      <c r="AC1881" s="28"/>
      <c r="AD1881" s="20" t="str">
        <f>IF(AB1881="","",IF($F1881="Bernardino Furlan",_xlfn.XLOOKUP(AB1881,Cadastros!$G$6:$G$90,Cadastros!$H$6:$H$90)*(1-0.18),IF($F1881="Mauro José Salanti",_xlfn.XLOOKUP(AB1881,Cadastros!$G$6:$G$90,Cadastros!$H$6:$H$90)*(1-0.18),_xlfn.XLOOKUP(AB1881,Cadastros!$G$6:$G$90,Cadastros!$H$6:$H$90))))</f>
        <v/>
      </c>
      <c r="AE1881" s="168" t="str">
        <f t="shared" si="382"/>
        <v/>
      </c>
      <c r="AF1881" s="168" t="str">
        <f t="shared" si="383"/>
        <v/>
      </c>
      <c r="AG1881" s="28"/>
      <c r="AH1881" s="28"/>
      <c r="AI1881" s="20" t="str">
        <f>IF(AG1881="","",IF($F1881="Bernardino Furlan",_xlfn.XLOOKUP(AG1881,Cadastros!$G$6:$G$90,Cadastros!$H$6:$H$90)*(1-0.18),IF($F1881="Mauro José Salanti",_xlfn.XLOOKUP(AG1881,Cadastros!$G$6:$G$90,Cadastros!$H$6:$H$90)*(1-0.18),_xlfn.XLOOKUP(AG1881,Cadastros!$G$6:$G$90,Cadastros!$H$6:$H$90))))</f>
        <v/>
      </c>
      <c r="AJ1881" s="168" t="str">
        <f t="shared" si="384"/>
        <v/>
      </c>
      <c r="AK1881" s="168" t="str">
        <f t="shared" si="385"/>
        <v/>
      </c>
      <c r="AL1881" s="28"/>
      <c r="AM1881" s="28"/>
      <c r="AN1881" s="20" t="str">
        <f>IF(AL1881="","",IF($F1881="Bernardino Furlan",_xlfn.XLOOKUP(AL1881,Cadastros!$G$6:$G$90,Cadastros!$H$6:$H$90)*(1-0.18),IF($F1881="Mauro José Salanti",_xlfn.XLOOKUP(AL1881,Cadastros!$G$6:$G$90,Cadastros!$H$6:$H$90)*(1-0.18),_xlfn.XLOOKUP(AL1881,Cadastros!$G$6:$G$90,Cadastros!$H$6:$H$90))))</f>
        <v/>
      </c>
      <c r="AO1881" s="168" t="str">
        <f t="shared" si="386"/>
        <v/>
      </c>
      <c r="AP1881" s="168" t="str">
        <f t="shared" si="387"/>
        <v/>
      </c>
      <c r="AQ1881" s="28"/>
      <c r="AR1881" s="28"/>
      <c r="AS1881" s="20" t="str">
        <f>IF(AQ1881="","",IF($F1881="Bernardino Furlan",_xlfn.XLOOKUP(AQ1881,Cadastros!$G$6:$G$90,Cadastros!$H$6:$H$90)*(1-0.18),IF($F1881="Mauro José Salanti",_xlfn.XLOOKUP(AQ1881,Cadastros!$G$6:$G$90,Cadastros!$H$6:$H$90)*(1-0.18),_xlfn.XLOOKUP(AQ1881,Cadastros!$G$6:$G$90,Cadastros!$H$6:$H$90))))</f>
        <v/>
      </c>
      <c r="AT1881" s="168" t="str">
        <f t="shared" si="388"/>
        <v/>
      </c>
      <c r="AU1881" s="168" t="str">
        <f t="shared" si="389"/>
        <v/>
      </c>
      <c r="AV1881" s="227"/>
      <c r="AW1881" s="30"/>
      <c r="AX1881" s="267"/>
      <c r="AY1881" s="267"/>
      <c r="AZ1881" s="29"/>
      <c r="BA1881" s="30"/>
      <c r="BB1881" s="23" t="str" cm="1">
        <f t="array" ref="BB1881">_xlfn.IFS(AW1881="SIM",SUM(K1881,P1881,U1881,Z1881,AE1881,AJ1881,AO1881,AT1881,AX1881,AY1881),F1881&lt;&gt;"",SUM(K1881,P1881,U1881,Z1881,AE1881,AJ1881,,AO1881,AT1881),F1881="","")</f>
        <v/>
      </c>
      <c r="BC1881" s="211" t="str" cm="1">
        <f t="array" ref="BC1881">_xlfn.IFS(E1881="","",G1881&lt;=E1881,BB1881*(1-0.03),G1881&lt;(E1881+8),BB1881,AZ1881="Boleto",BB1881*(1+0.001)^DATEDIF(E1881,G1881,"D"),AZ1881="Cheque",BB1881,AZ1881="Dinheiro","Alterar forma pgto")</f>
        <v/>
      </c>
      <c r="BD1881" s="276" t="str" cm="1">
        <f t="array" ref="BD1881">IF(F1881=0," ",IF(BC1881&lt;BB1881,(_xlfn.IFS(AW1881="SIM",SUM(L1881,Q1881,V1881,AA1881,AF1881,AK1881,AP1881,AU1881)+AX1881/_xlfn.XLOOKUP(_xlfn.XLOOKUP($F1881,Clientes!$B$4:$B$39,Clientes!$C$4:$C$39),Cadastros!$L$6:$L$12,Cadastros!$M$6:$M$12)+IF($F1881="Bernardino Furlan",AY1881/2751.92,IF($F1881="Mauro José Salanti",AY1881/2751.92,AY1881/3356)),F1881&lt;&gt;0,SUM(L1881,Q1881,V1881,AA1881,AF1881,AK1881,AP1881,AU1881)))*(1-0.03),_xlfn.IFS(AW1881="SIM",SUM(L1881,Q1881,V1881,AA1881,AF1881,AK1881,AP1881,AU1881)+AX1881/_xlfn.XLOOKUP(_xlfn.XLOOKUP($F1881,Clientes!$B$4:$B$39,Clientes!$C$4:$C$39),Cadastros!$L$6:$L$12,Cadastros!$M$6:$M$12)+IF($F1881="Bernardino Furlan",AY1881/2751.92,IF($F1881="Mauro José Salanti",AY1881/2751.92,AY1881/3356)),F1881&lt;&gt;0,SUM(L1881,Q1881,V1881,AA1881,AF1881,AK1881,AP1881,AU1881))))</f>
        <v xml:space="preserve"> </v>
      </c>
      <c r="BE1881" s="120"/>
      <c r="BF1881" s="120"/>
      <c r="BG1881" s="120"/>
    </row>
    <row r="1882" spans="1:59" s="3" customFormat="1" x14ac:dyDescent="0.3">
      <c r="A1882" s="15" t="str">
        <f t="shared" si="377"/>
        <v/>
      </c>
      <c r="B1882" s="25"/>
      <c r="C1882" s="26"/>
      <c r="D1882" s="279"/>
      <c r="E1882" s="27"/>
      <c r="F1882" s="28"/>
      <c r="G1882" s="27"/>
      <c r="H1882" s="28"/>
      <c r="I1882" s="28"/>
      <c r="J1882" s="255" t="str">
        <f>IF(H1882="","",(_xlfn.XLOOKUP(H1882,Cadastros!$D$6:$D$90,Cadastros!$E$6:$E$90))*(1-_xlfn.XLOOKUP(_xlfn.XLOOKUP($F1882,Clientes!$B$4:$B$39,Clientes!$C$4:$C$39),Cadastros!$L$6:$L$12,Cadastros!$N$6:$N$12)))</f>
        <v/>
      </c>
      <c r="K1882" s="168" t="str">
        <f t="shared" si="378"/>
        <v/>
      </c>
      <c r="L1882" s="168" t="str">
        <f>IFERROR(K1882/_xlfn.XLOOKUP(_xlfn.XLOOKUP($F1882,Clientes!$B$4:$B$39,Clientes!$C$4:$C$39),Cadastros!$L$6:$L$12,Cadastros!$M$6:$M$12)," ")</f>
        <v xml:space="preserve"> </v>
      </c>
      <c r="M1882" s="28"/>
      <c r="N1882" s="28"/>
      <c r="O1882" s="255" t="str">
        <f>IF(M1882="","",(_xlfn.XLOOKUP(M1882,Cadastros!$D$6:$D$90,Cadastros!$E$6:$E$90))*(1-_xlfn.XLOOKUP(_xlfn.XLOOKUP($F1882,Clientes!$B$4:$B$39,Clientes!$C$4:$C$39),Cadastros!$L$6:$L$12,Cadastros!$N$6:$N$12)))</f>
        <v/>
      </c>
      <c r="P1882" s="168" t="str">
        <f t="shared" si="379"/>
        <v/>
      </c>
      <c r="Q1882" s="168" t="str">
        <f>IFERROR(P1882/_xlfn.XLOOKUP(_xlfn.XLOOKUP($F1882,Clientes!$B$4:$B$39,Clientes!$C$4:$C$39),Cadastros!$L$6:$L$12,Cadastros!$M$6:$M$12)," ")</f>
        <v xml:space="preserve"> </v>
      </c>
      <c r="R1882" s="28"/>
      <c r="S1882" s="28"/>
      <c r="T1882" s="255" t="str">
        <f>IF(R1882="","",(_xlfn.XLOOKUP(R1882,Cadastros!$D$6:$D$90,Cadastros!$E$6:$E$90))*(1-_xlfn.XLOOKUP(_xlfn.XLOOKUP($F1882,Clientes!$B$4:$B$39,Clientes!$C$4:$C$39),Cadastros!$L$6:$L$12,Cadastros!$N$6:$N$12)))</f>
        <v/>
      </c>
      <c r="U1882" s="168" t="str">
        <f t="shared" si="380"/>
        <v/>
      </c>
      <c r="V1882" s="168" t="str">
        <f>IFERROR(U1882/_xlfn.XLOOKUP(_xlfn.XLOOKUP($F1882,Clientes!$B$4:$B$39,Clientes!$C$4:$C$39),Cadastros!$L$6:$L$12,Cadastros!$M$6:$M$12)," ")</f>
        <v xml:space="preserve"> </v>
      </c>
      <c r="W1882" s="28"/>
      <c r="X1882" s="28"/>
      <c r="Y1882" s="255" t="str">
        <f>IF(W1882="","",(_xlfn.XLOOKUP(W1882,Cadastros!$D$6:$D$90,Cadastros!$E$6:$E$90))*(1-_xlfn.XLOOKUP(_xlfn.XLOOKUP($F1882,Clientes!$B$4:$B$39,Clientes!$C$4:$C$39),Cadastros!$L$6:$L$12,Cadastros!$N$6:$N$12)))</f>
        <v/>
      </c>
      <c r="Z1882" s="168" t="str">
        <f t="shared" si="381"/>
        <v/>
      </c>
      <c r="AA1882" s="168" t="str">
        <f>IFERROR(Z1882/_xlfn.XLOOKUP(_xlfn.XLOOKUP($F1882,Clientes!$B$4:$B$39,Clientes!$C$4:$C$39),Cadastros!$L$6:$L$12,Cadastros!$M$6:$M$12)," ")</f>
        <v xml:space="preserve"> </v>
      </c>
      <c r="AB1882" s="28"/>
      <c r="AC1882" s="28"/>
      <c r="AD1882" s="20" t="str">
        <f>IF(AB1882="","",IF($F1882="Bernardino Furlan",_xlfn.XLOOKUP(AB1882,Cadastros!$G$6:$G$90,Cadastros!$H$6:$H$90)*(1-0.18),IF($F1882="Mauro José Salanti",_xlfn.XLOOKUP(AB1882,Cadastros!$G$6:$G$90,Cadastros!$H$6:$H$90)*(1-0.18),_xlfn.XLOOKUP(AB1882,Cadastros!$G$6:$G$90,Cadastros!$H$6:$H$90))))</f>
        <v/>
      </c>
      <c r="AE1882" s="168" t="str">
        <f t="shared" si="382"/>
        <v/>
      </c>
      <c r="AF1882" s="168" t="str">
        <f t="shared" si="383"/>
        <v/>
      </c>
      <c r="AG1882" s="28"/>
      <c r="AH1882" s="28"/>
      <c r="AI1882" s="20" t="str">
        <f>IF(AG1882="","",IF($F1882="Bernardino Furlan",_xlfn.XLOOKUP(AG1882,Cadastros!$G$6:$G$90,Cadastros!$H$6:$H$90)*(1-0.18),IF($F1882="Mauro José Salanti",_xlfn.XLOOKUP(AG1882,Cadastros!$G$6:$G$90,Cadastros!$H$6:$H$90)*(1-0.18),_xlfn.XLOOKUP(AG1882,Cadastros!$G$6:$G$90,Cadastros!$H$6:$H$90))))</f>
        <v/>
      </c>
      <c r="AJ1882" s="168" t="str">
        <f t="shared" si="384"/>
        <v/>
      </c>
      <c r="AK1882" s="168" t="str">
        <f t="shared" si="385"/>
        <v/>
      </c>
      <c r="AL1882" s="28"/>
      <c r="AM1882" s="28"/>
      <c r="AN1882" s="20" t="str">
        <f>IF(AL1882="","",IF($F1882="Bernardino Furlan",_xlfn.XLOOKUP(AL1882,Cadastros!$G$6:$G$90,Cadastros!$H$6:$H$90)*(1-0.18),IF($F1882="Mauro José Salanti",_xlfn.XLOOKUP(AL1882,Cadastros!$G$6:$G$90,Cadastros!$H$6:$H$90)*(1-0.18),_xlfn.XLOOKUP(AL1882,Cadastros!$G$6:$G$90,Cadastros!$H$6:$H$90))))</f>
        <v/>
      </c>
      <c r="AO1882" s="168" t="str">
        <f t="shared" si="386"/>
        <v/>
      </c>
      <c r="AP1882" s="168" t="str">
        <f t="shared" si="387"/>
        <v/>
      </c>
      <c r="AQ1882" s="28"/>
      <c r="AR1882" s="28"/>
      <c r="AS1882" s="20" t="str">
        <f>IF(AQ1882="","",IF($F1882="Bernardino Furlan",_xlfn.XLOOKUP(AQ1882,Cadastros!$G$6:$G$90,Cadastros!$H$6:$H$90)*(1-0.18),IF($F1882="Mauro José Salanti",_xlfn.XLOOKUP(AQ1882,Cadastros!$G$6:$G$90,Cadastros!$H$6:$H$90)*(1-0.18),_xlfn.XLOOKUP(AQ1882,Cadastros!$G$6:$G$90,Cadastros!$H$6:$H$90))))</f>
        <v/>
      </c>
      <c r="AT1882" s="168" t="str">
        <f t="shared" si="388"/>
        <v/>
      </c>
      <c r="AU1882" s="168" t="str">
        <f t="shared" si="389"/>
        <v/>
      </c>
      <c r="AV1882" s="227"/>
      <c r="AW1882" s="30"/>
      <c r="AX1882" s="267"/>
      <c r="AY1882" s="267"/>
      <c r="AZ1882" s="29"/>
      <c r="BA1882" s="30"/>
      <c r="BB1882" s="23" t="str" cm="1">
        <f t="array" ref="BB1882">_xlfn.IFS(AW1882="SIM",SUM(K1882,P1882,U1882,Z1882,AE1882,AJ1882,AO1882,AT1882,AX1882,AY1882),F1882&lt;&gt;"",SUM(K1882,P1882,U1882,Z1882,AE1882,AJ1882,,AO1882,AT1882),F1882="","")</f>
        <v/>
      </c>
      <c r="BC1882" s="211" t="str" cm="1">
        <f t="array" ref="BC1882">_xlfn.IFS(E1882="","",G1882&lt;=E1882,BB1882*(1-0.03),G1882&lt;(E1882+8),BB1882,AZ1882="Boleto",BB1882*(1+0.001)^DATEDIF(E1882,G1882,"D"),AZ1882="Cheque",BB1882,AZ1882="Dinheiro","Alterar forma pgto")</f>
        <v/>
      </c>
      <c r="BD1882" s="276" t="str" cm="1">
        <f t="array" ref="BD1882">IF(F1882=0," ",IF(BC1882&lt;BB1882,(_xlfn.IFS(AW1882="SIM",SUM(L1882,Q1882,V1882,AA1882,AF1882,AK1882,AP1882,AU1882)+AX1882/_xlfn.XLOOKUP(_xlfn.XLOOKUP($F1882,Clientes!$B$4:$B$39,Clientes!$C$4:$C$39),Cadastros!$L$6:$L$12,Cadastros!$M$6:$M$12)+IF($F1882="Bernardino Furlan",AY1882/2751.92,IF($F1882="Mauro José Salanti",AY1882/2751.92,AY1882/3356)),F1882&lt;&gt;0,SUM(L1882,Q1882,V1882,AA1882,AF1882,AK1882,AP1882,AU1882)))*(1-0.03),_xlfn.IFS(AW1882="SIM",SUM(L1882,Q1882,V1882,AA1882,AF1882,AK1882,AP1882,AU1882)+AX1882/_xlfn.XLOOKUP(_xlfn.XLOOKUP($F1882,Clientes!$B$4:$B$39,Clientes!$C$4:$C$39),Cadastros!$L$6:$L$12,Cadastros!$M$6:$M$12)+IF($F1882="Bernardino Furlan",AY1882/2751.92,IF($F1882="Mauro José Salanti",AY1882/2751.92,AY1882/3356)),F1882&lt;&gt;0,SUM(L1882,Q1882,V1882,AA1882,AF1882,AK1882,AP1882,AU1882))))</f>
        <v xml:space="preserve"> </v>
      </c>
      <c r="BE1882" s="120"/>
      <c r="BF1882" s="120"/>
      <c r="BG1882" s="120"/>
    </row>
    <row r="1883" spans="1:59" s="3" customFormat="1" x14ac:dyDescent="0.3">
      <c r="A1883" s="15" t="str">
        <f t="shared" si="377"/>
        <v/>
      </c>
      <c r="B1883" s="25"/>
      <c r="C1883" s="26"/>
      <c r="D1883" s="279"/>
      <c r="E1883" s="27"/>
      <c r="F1883" s="28"/>
      <c r="G1883" s="27"/>
      <c r="H1883" s="28"/>
      <c r="I1883" s="28"/>
      <c r="J1883" s="255" t="str">
        <f>IF(H1883="","",(_xlfn.XLOOKUP(H1883,Cadastros!$D$6:$D$90,Cadastros!$E$6:$E$90))*(1-_xlfn.XLOOKUP(_xlfn.XLOOKUP($F1883,Clientes!$B$4:$B$39,Clientes!$C$4:$C$39),Cadastros!$L$6:$L$12,Cadastros!$N$6:$N$12)))</f>
        <v/>
      </c>
      <c r="K1883" s="168" t="str">
        <f t="shared" si="378"/>
        <v/>
      </c>
      <c r="L1883" s="168" t="str">
        <f>IFERROR(K1883/_xlfn.XLOOKUP(_xlfn.XLOOKUP($F1883,Clientes!$B$4:$B$39,Clientes!$C$4:$C$39),Cadastros!$L$6:$L$12,Cadastros!$M$6:$M$12)," ")</f>
        <v xml:space="preserve"> </v>
      </c>
      <c r="M1883" s="28"/>
      <c r="N1883" s="28"/>
      <c r="O1883" s="255" t="str">
        <f>IF(M1883="","",(_xlfn.XLOOKUP(M1883,Cadastros!$D$6:$D$90,Cadastros!$E$6:$E$90))*(1-_xlfn.XLOOKUP(_xlfn.XLOOKUP($F1883,Clientes!$B$4:$B$39,Clientes!$C$4:$C$39),Cadastros!$L$6:$L$12,Cadastros!$N$6:$N$12)))</f>
        <v/>
      </c>
      <c r="P1883" s="168" t="str">
        <f t="shared" si="379"/>
        <v/>
      </c>
      <c r="Q1883" s="168" t="str">
        <f>IFERROR(P1883/_xlfn.XLOOKUP(_xlfn.XLOOKUP($F1883,Clientes!$B$4:$B$39,Clientes!$C$4:$C$39),Cadastros!$L$6:$L$12,Cadastros!$M$6:$M$12)," ")</f>
        <v xml:space="preserve"> </v>
      </c>
      <c r="R1883" s="28"/>
      <c r="S1883" s="28"/>
      <c r="T1883" s="255" t="str">
        <f>IF(R1883="","",(_xlfn.XLOOKUP(R1883,Cadastros!$D$6:$D$90,Cadastros!$E$6:$E$90))*(1-_xlfn.XLOOKUP(_xlfn.XLOOKUP($F1883,Clientes!$B$4:$B$39,Clientes!$C$4:$C$39),Cadastros!$L$6:$L$12,Cadastros!$N$6:$N$12)))</f>
        <v/>
      </c>
      <c r="U1883" s="168" t="str">
        <f t="shared" si="380"/>
        <v/>
      </c>
      <c r="V1883" s="168" t="str">
        <f>IFERROR(U1883/_xlfn.XLOOKUP(_xlfn.XLOOKUP($F1883,Clientes!$B$4:$B$39,Clientes!$C$4:$C$39),Cadastros!$L$6:$L$12,Cadastros!$M$6:$M$12)," ")</f>
        <v xml:space="preserve"> </v>
      </c>
      <c r="W1883" s="28"/>
      <c r="X1883" s="28"/>
      <c r="Y1883" s="255" t="str">
        <f>IF(W1883="","",(_xlfn.XLOOKUP(W1883,Cadastros!$D$6:$D$90,Cadastros!$E$6:$E$90))*(1-_xlfn.XLOOKUP(_xlfn.XLOOKUP($F1883,Clientes!$B$4:$B$39,Clientes!$C$4:$C$39),Cadastros!$L$6:$L$12,Cadastros!$N$6:$N$12)))</f>
        <v/>
      </c>
      <c r="Z1883" s="168" t="str">
        <f t="shared" si="381"/>
        <v/>
      </c>
      <c r="AA1883" s="168" t="str">
        <f>IFERROR(Z1883/_xlfn.XLOOKUP(_xlfn.XLOOKUP($F1883,Clientes!$B$4:$B$39,Clientes!$C$4:$C$39),Cadastros!$L$6:$L$12,Cadastros!$M$6:$M$12)," ")</f>
        <v xml:space="preserve"> </v>
      </c>
      <c r="AB1883" s="28"/>
      <c r="AC1883" s="28"/>
      <c r="AD1883" s="20" t="str">
        <f>IF(AB1883="","",IF($F1883="Bernardino Furlan",_xlfn.XLOOKUP(AB1883,Cadastros!$G$6:$G$90,Cadastros!$H$6:$H$90)*(1-0.18),IF($F1883="Mauro José Salanti",_xlfn.XLOOKUP(AB1883,Cadastros!$G$6:$G$90,Cadastros!$H$6:$H$90)*(1-0.18),_xlfn.XLOOKUP(AB1883,Cadastros!$G$6:$G$90,Cadastros!$H$6:$H$90))))</f>
        <v/>
      </c>
      <c r="AE1883" s="168" t="str">
        <f t="shared" si="382"/>
        <v/>
      </c>
      <c r="AF1883" s="168" t="str">
        <f t="shared" si="383"/>
        <v/>
      </c>
      <c r="AG1883" s="28"/>
      <c r="AH1883" s="28"/>
      <c r="AI1883" s="20" t="str">
        <f>IF(AG1883="","",IF($F1883="Bernardino Furlan",_xlfn.XLOOKUP(AG1883,Cadastros!$G$6:$G$90,Cadastros!$H$6:$H$90)*(1-0.18),IF($F1883="Mauro José Salanti",_xlfn.XLOOKUP(AG1883,Cadastros!$G$6:$G$90,Cadastros!$H$6:$H$90)*(1-0.18),_xlfn.XLOOKUP(AG1883,Cadastros!$G$6:$G$90,Cadastros!$H$6:$H$90))))</f>
        <v/>
      </c>
      <c r="AJ1883" s="168" t="str">
        <f t="shared" si="384"/>
        <v/>
      </c>
      <c r="AK1883" s="168" t="str">
        <f t="shared" si="385"/>
        <v/>
      </c>
      <c r="AL1883" s="28"/>
      <c r="AM1883" s="28"/>
      <c r="AN1883" s="20" t="str">
        <f>IF(AL1883="","",IF($F1883="Bernardino Furlan",_xlfn.XLOOKUP(AL1883,Cadastros!$G$6:$G$90,Cadastros!$H$6:$H$90)*(1-0.18),IF($F1883="Mauro José Salanti",_xlfn.XLOOKUP(AL1883,Cadastros!$G$6:$G$90,Cadastros!$H$6:$H$90)*(1-0.18),_xlfn.XLOOKUP(AL1883,Cadastros!$G$6:$G$90,Cadastros!$H$6:$H$90))))</f>
        <v/>
      </c>
      <c r="AO1883" s="168" t="str">
        <f t="shared" si="386"/>
        <v/>
      </c>
      <c r="AP1883" s="168" t="str">
        <f t="shared" si="387"/>
        <v/>
      </c>
      <c r="AQ1883" s="28"/>
      <c r="AR1883" s="28"/>
      <c r="AS1883" s="20" t="str">
        <f>IF(AQ1883="","",IF($F1883="Bernardino Furlan",_xlfn.XLOOKUP(AQ1883,Cadastros!$G$6:$G$90,Cadastros!$H$6:$H$90)*(1-0.18),IF($F1883="Mauro José Salanti",_xlfn.XLOOKUP(AQ1883,Cadastros!$G$6:$G$90,Cadastros!$H$6:$H$90)*(1-0.18),_xlfn.XLOOKUP(AQ1883,Cadastros!$G$6:$G$90,Cadastros!$H$6:$H$90))))</f>
        <v/>
      </c>
      <c r="AT1883" s="168" t="str">
        <f t="shared" si="388"/>
        <v/>
      </c>
      <c r="AU1883" s="168" t="str">
        <f t="shared" si="389"/>
        <v/>
      </c>
      <c r="AV1883" s="227"/>
      <c r="AW1883" s="30"/>
      <c r="AX1883" s="267"/>
      <c r="AY1883" s="267"/>
      <c r="AZ1883" s="29"/>
      <c r="BA1883" s="30"/>
      <c r="BB1883" s="23" t="str" cm="1">
        <f t="array" ref="BB1883">_xlfn.IFS(AW1883="SIM",SUM(K1883,P1883,U1883,Z1883,AE1883,AJ1883,AO1883,AT1883,AX1883,AY1883),F1883&lt;&gt;"",SUM(K1883,P1883,U1883,Z1883,AE1883,AJ1883,,AO1883,AT1883),F1883="","")</f>
        <v/>
      </c>
      <c r="BC1883" s="211" t="str" cm="1">
        <f t="array" ref="BC1883">_xlfn.IFS(E1883="","",G1883&lt;=E1883,BB1883*(1-0.03),G1883&lt;(E1883+8),BB1883,AZ1883="Boleto",BB1883*(1+0.001)^DATEDIF(E1883,G1883,"D"),AZ1883="Cheque",BB1883,AZ1883="Dinheiro","Alterar forma pgto")</f>
        <v/>
      </c>
      <c r="BD1883" s="276" t="str" cm="1">
        <f t="array" ref="BD1883">IF(F1883=0," ",IF(BC1883&lt;BB1883,(_xlfn.IFS(AW1883="SIM",SUM(L1883,Q1883,V1883,AA1883,AF1883,AK1883,AP1883,AU1883)+AX1883/_xlfn.XLOOKUP(_xlfn.XLOOKUP($F1883,Clientes!$B$4:$B$39,Clientes!$C$4:$C$39),Cadastros!$L$6:$L$12,Cadastros!$M$6:$M$12)+IF($F1883="Bernardino Furlan",AY1883/2751.92,IF($F1883="Mauro José Salanti",AY1883/2751.92,AY1883/3356)),F1883&lt;&gt;0,SUM(L1883,Q1883,V1883,AA1883,AF1883,AK1883,AP1883,AU1883)))*(1-0.03),_xlfn.IFS(AW1883="SIM",SUM(L1883,Q1883,V1883,AA1883,AF1883,AK1883,AP1883,AU1883)+AX1883/_xlfn.XLOOKUP(_xlfn.XLOOKUP($F1883,Clientes!$B$4:$B$39,Clientes!$C$4:$C$39),Cadastros!$L$6:$L$12,Cadastros!$M$6:$M$12)+IF($F1883="Bernardino Furlan",AY1883/2751.92,IF($F1883="Mauro José Salanti",AY1883/2751.92,AY1883/3356)),F1883&lt;&gt;0,SUM(L1883,Q1883,V1883,AA1883,AF1883,AK1883,AP1883,AU1883))))</f>
        <v xml:space="preserve"> </v>
      </c>
      <c r="BE1883" s="120"/>
      <c r="BF1883" s="120"/>
      <c r="BG1883" s="120"/>
    </row>
    <row r="1884" spans="1:59" s="3" customFormat="1" x14ac:dyDescent="0.3">
      <c r="A1884" s="15" t="str">
        <f t="shared" si="377"/>
        <v/>
      </c>
      <c r="B1884" s="25"/>
      <c r="C1884" s="26"/>
      <c r="D1884" s="279"/>
      <c r="E1884" s="27"/>
      <c r="F1884" s="28"/>
      <c r="G1884" s="27"/>
      <c r="H1884" s="28"/>
      <c r="I1884" s="28"/>
      <c r="J1884" s="255" t="str">
        <f>IF(H1884="","",(_xlfn.XLOOKUP(H1884,Cadastros!$D$6:$D$90,Cadastros!$E$6:$E$90))*(1-_xlfn.XLOOKUP(_xlfn.XLOOKUP($F1884,Clientes!$B$4:$B$39,Clientes!$C$4:$C$39),Cadastros!$L$6:$L$12,Cadastros!$N$6:$N$12)))</f>
        <v/>
      </c>
      <c r="K1884" s="168" t="str">
        <f t="shared" si="378"/>
        <v/>
      </c>
      <c r="L1884" s="168" t="str">
        <f>IFERROR(K1884/_xlfn.XLOOKUP(_xlfn.XLOOKUP($F1884,Clientes!$B$4:$B$39,Clientes!$C$4:$C$39),Cadastros!$L$6:$L$12,Cadastros!$M$6:$M$12)," ")</f>
        <v xml:space="preserve"> </v>
      </c>
      <c r="M1884" s="28"/>
      <c r="N1884" s="28"/>
      <c r="O1884" s="255" t="str">
        <f>IF(M1884="","",(_xlfn.XLOOKUP(M1884,Cadastros!$D$6:$D$90,Cadastros!$E$6:$E$90))*(1-_xlfn.XLOOKUP(_xlfn.XLOOKUP($F1884,Clientes!$B$4:$B$39,Clientes!$C$4:$C$39),Cadastros!$L$6:$L$12,Cadastros!$N$6:$N$12)))</f>
        <v/>
      </c>
      <c r="P1884" s="168" t="str">
        <f t="shared" si="379"/>
        <v/>
      </c>
      <c r="Q1884" s="168" t="str">
        <f>IFERROR(P1884/_xlfn.XLOOKUP(_xlfn.XLOOKUP($F1884,Clientes!$B$4:$B$39,Clientes!$C$4:$C$39),Cadastros!$L$6:$L$12,Cadastros!$M$6:$M$12)," ")</f>
        <v xml:space="preserve"> </v>
      </c>
      <c r="R1884" s="28"/>
      <c r="S1884" s="28"/>
      <c r="T1884" s="255" t="str">
        <f>IF(R1884="","",(_xlfn.XLOOKUP(R1884,Cadastros!$D$6:$D$90,Cadastros!$E$6:$E$90))*(1-_xlfn.XLOOKUP(_xlfn.XLOOKUP($F1884,Clientes!$B$4:$B$39,Clientes!$C$4:$C$39),Cadastros!$L$6:$L$12,Cadastros!$N$6:$N$12)))</f>
        <v/>
      </c>
      <c r="U1884" s="168" t="str">
        <f t="shared" si="380"/>
        <v/>
      </c>
      <c r="V1884" s="168" t="str">
        <f>IFERROR(U1884/_xlfn.XLOOKUP(_xlfn.XLOOKUP($F1884,Clientes!$B$4:$B$39,Clientes!$C$4:$C$39),Cadastros!$L$6:$L$12,Cadastros!$M$6:$M$12)," ")</f>
        <v xml:space="preserve"> </v>
      </c>
      <c r="W1884" s="28"/>
      <c r="X1884" s="28"/>
      <c r="Y1884" s="255" t="str">
        <f>IF(W1884="","",(_xlfn.XLOOKUP(W1884,Cadastros!$D$6:$D$90,Cadastros!$E$6:$E$90))*(1-_xlfn.XLOOKUP(_xlfn.XLOOKUP($F1884,Clientes!$B$4:$B$39,Clientes!$C$4:$C$39),Cadastros!$L$6:$L$12,Cadastros!$N$6:$N$12)))</f>
        <v/>
      </c>
      <c r="Z1884" s="168" t="str">
        <f t="shared" si="381"/>
        <v/>
      </c>
      <c r="AA1884" s="168" t="str">
        <f>IFERROR(Z1884/_xlfn.XLOOKUP(_xlfn.XLOOKUP($F1884,Clientes!$B$4:$B$39,Clientes!$C$4:$C$39),Cadastros!$L$6:$L$12,Cadastros!$M$6:$M$12)," ")</f>
        <v xml:space="preserve"> </v>
      </c>
      <c r="AB1884" s="28"/>
      <c r="AC1884" s="28"/>
      <c r="AD1884" s="20" t="str">
        <f>IF(AB1884="","",IF($F1884="Bernardino Furlan",_xlfn.XLOOKUP(AB1884,Cadastros!$G$6:$G$90,Cadastros!$H$6:$H$90)*(1-0.18),IF($F1884="Mauro José Salanti",_xlfn.XLOOKUP(AB1884,Cadastros!$G$6:$G$90,Cadastros!$H$6:$H$90)*(1-0.18),_xlfn.XLOOKUP(AB1884,Cadastros!$G$6:$G$90,Cadastros!$H$6:$H$90))))</f>
        <v/>
      </c>
      <c r="AE1884" s="168" t="str">
        <f t="shared" si="382"/>
        <v/>
      </c>
      <c r="AF1884" s="168" t="str">
        <f t="shared" si="383"/>
        <v/>
      </c>
      <c r="AG1884" s="28"/>
      <c r="AH1884" s="28"/>
      <c r="AI1884" s="20" t="str">
        <f>IF(AG1884="","",IF($F1884="Bernardino Furlan",_xlfn.XLOOKUP(AG1884,Cadastros!$G$6:$G$90,Cadastros!$H$6:$H$90)*(1-0.18),IF($F1884="Mauro José Salanti",_xlfn.XLOOKUP(AG1884,Cadastros!$G$6:$G$90,Cadastros!$H$6:$H$90)*(1-0.18),_xlfn.XLOOKUP(AG1884,Cadastros!$G$6:$G$90,Cadastros!$H$6:$H$90))))</f>
        <v/>
      </c>
      <c r="AJ1884" s="168" t="str">
        <f t="shared" si="384"/>
        <v/>
      </c>
      <c r="AK1884" s="168" t="str">
        <f t="shared" si="385"/>
        <v/>
      </c>
      <c r="AL1884" s="28"/>
      <c r="AM1884" s="28"/>
      <c r="AN1884" s="20" t="str">
        <f>IF(AL1884="","",IF($F1884="Bernardino Furlan",_xlfn.XLOOKUP(AL1884,Cadastros!$G$6:$G$90,Cadastros!$H$6:$H$90)*(1-0.18),IF($F1884="Mauro José Salanti",_xlfn.XLOOKUP(AL1884,Cadastros!$G$6:$G$90,Cadastros!$H$6:$H$90)*(1-0.18),_xlfn.XLOOKUP(AL1884,Cadastros!$G$6:$G$90,Cadastros!$H$6:$H$90))))</f>
        <v/>
      </c>
      <c r="AO1884" s="168" t="str">
        <f t="shared" si="386"/>
        <v/>
      </c>
      <c r="AP1884" s="168" t="str">
        <f t="shared" si="387"/>
        <v/>
      </c>
      <c r="AQ1884" s="28"/>
      <c r="AR1884" s="28"/>
      <c r="AS1884" s="20" t="str">
        <f>IF(AQ1884="","",IF($F1884="Bernardino Furlan",_xlfn.XLOOKUP(AQ1884,Cadastros!$G$6:$G$90,Cadastros!$H$6:$H$90)*(1-0.18),IF($F1884="Mauro José Salanti",_xlfn.XLOOKUP(AQ1884,Cadastros!$G$6:$G$90,Cadastros!$H$6:$H$90)*(1-0.18),_xlfn.XLOOKUP(AQ1884,Cadastros!$G$6:$G$90,Cadastros!$H$6:$H$90))))</f>
        <v/>
      </c>
      <c r="AT1884" s="168" t="str">
        <f t="shared" si="388"/>
        <v/>
      </c>
      <c r="AU1884" s="168" t="str">
        <f t="shared" si="389"/>
        <v/>
      </c>
      <c r="AV1884" s="227"/>
      <c r="AW1884" s="30"/>
      <c r="AX1884" s="267"/>
      <c r="AY1884" s="267"/>
      <c r="AZ1884" s="29"/>
      <c r="BA1884" s="30"/>
      <c r="BB1884" s="23" t="str" cm="1">
        <f t="array" ref="BB1884">_xlfn.IFS(AW1884="SIM",SUM(K1884,P1884,U1884,Z1884,AE1884,AJ1884,AO1884,AT1884,AX1884,AY1884),F1884&lt;&gt;"",SUM(K1884,P1884,U1884,Z1884,AE1884,AJ1884,,AO1884,AT1884),F1884="","")</f>
        <v/>
      </c>
      <c r="BC1884" s="211" t="str" cm="1">
        <f t="array" ref="BC1884">_xlfn.IFS(E1884="","",G1884&lt;=E1884,BB1884*(1-0.03),G1884&lt;(E1884+8),BB1884,AZ1884="Boleto",BB1884*(1+0.001)^DATEDIF(E1884,G1884,"D"),AZ1884="Cheque",BB1884,AZ1884="Dinheiro","Alterar forma pgto")</f>
        <v/>
      </c>
      <c r="BD1884" s="276" t="str" cm="1">
        <f t="array" ref="BD1884">IF(F1884=0," ",IF(BC1884&lt;BB1884,(_xlfn.IFS(AW1884="SIM",SUM(L1884,Q1884,V1884,AA1884,AF1884,AK1884,AP1884,AU1884)+AX1884/_xlfn.XLOOKUP(_xlfn.XLOOKUP($F1884,Clientes!$B$4:$B$39,Clientes!$C$4:$C$39),Cadastros!$L$6:$L$12,Cadastros!$M$6:$M$12)+IF($F1884="Bernardino Furlan",AY1884/2751.92,IF($F1884="Mauro José Salanti",AY1884/2751.92,AY1884/3356)),F1884&lt;&gt;0,SUM(L1884,Q1884,V1884,AA1884,AF1884,AK1884,AP1884,AU1884)))*(1-0.03),_xlfn.IFS(AW1884="SIM",SUM(L1884,Q1884,V1884,AA1884,AF1884,AK1884,AP1884,AU1884)+AX1884/_xlfn.XLOOKUP(_xlfn.XLOOKUP($F1884,Clientes!$B$4:$B$39,Clientes!$C$4:$C$39),Cadastros!$L$6:$L$12,Cadastros!$M$6:$M$12)+IF($F1884="Bernardino Furlan",AY1884/2751.92,IF($F1884="Mauro José Salanti",AY1884/2751.92,AY1884/3356)),F1884&lt;&gt;0,SUM(L1884,Q1884,V1884,AA1884,AF1884,AK1884,AP1884,AU1884))))</f>
        <v xml:space="preserve"> </v>
      </c>
      <c r="BE1884" s="120"/>
      <c r="BF1884" s="120"/>
      <c r="BG1884" s="120"/>
    </row>
    <row r="1885" spans="1:59" s="3" customFormat="1" x14ac:dyDescent="0.3">
      <c r="A1885" s="15" t="str">
        <f t="shared" si="377"/>
        <v/>
      </c>
      <c r="B1885" s="25"/>
      <c r="C1885" s="26"/>
      <c r="D1885" s="279"/>
      <c r="E1885" s="27"/>
      <c r="F1885" s="28"/>
      <c r="G1885" s="27"/>
      <c r="H1885" s="28"/>
      <c r="I1885" s="28"/>
      <c r="J1885" s="255" t="str">
        <f>IF(H1885="","",(_xlfn.XLOOKUP(H1885,Cadastros!$D$6:$D$90,Cadastros!$E$6:$E$90))*(1-_xlfn.XLOOKUP(_xlfn.XLOOKUP($F1885,Clientes!$B$4:$B$39,Clientes!$C$4:$C$39),Cadastros!$L$6:$L$12,Cadastros!$N$6:$N$12)))</f>
        <v/>
      </c>
      <c r="K1885" s="168" t="str">
        <f t="shared" si="378"/>
        <v/>
      </c>
      <c r="L1885" s="168" t="str">
        <f>IFERROR(K1885/_xlfn.XLOOKUP(_xlfn.XLOOKUP($F1885,Clientes!$B$4:$B$39,Clientes!$C$4:$C$39),Cadastros!$L$6:$L$12,Cadastros!$M$6:$M$12)," ")</f>
        <v xml:space="preserve"> </v>
      </c>
      <c r="M1885" s="28"/>
      <c r="N1885" s="28"/>
      <c r="O1885" s="255" t="str">
        <f>IF(M1885="","",(_xlfn.XLOOKUP(M1885,Cadastros!$D$6:$D$90,Cadastros!$E$6:$E$90))*(1-_xlfn.XLOOKUP(_xlfn.XLOOKUP($F1885,Clientes!$B$4:$B$39,Clientes!$C$4:$C$39),Cadastros!$L$6:$L$12,Cadastros!$N$6:$N$12)))</f>
        <v/>
      </c>
      <c r="P1885" s="168" t="str">
        <f t="shared" si="379"/>
        <v/>
      </c>
      <c r="Q1885" s="168" t="str">
        <f>IFERROR(P1885/_xlfn.XLOOKUP(_xlfn.XLOOKUP($F1885,Clientes!$B$4:$B$39,Clientes!$C$4:$C$39),Cadastros!$L$6:$L$12,Cadastros!$M$6:$M$12)," ")</f>
        <v xml:space="preserve"> </v>
      </c>
      <c r="R1885" s="28"/>
      <c r="S1885" s="28"/>
      <c r="T1885" s="255" t="str">
        <f>IF(R1885="","",(_xlfn.XLOOKUP(R1885,Cadastros!$D$6:$D$90,Cadastros!$E$6:$E$90))*(1-_xlfn.XLOOKUP(_xlfn.XLOOKUP($F1885,Clientes!$B$4:$B$39,Clientes!$C$4:$C$39),Cadastros!$L$6:$L$12,Cadastros!$N$6:$N$12)))</f>
        <v/>
      </c>
      <c r="U1885" s="168" t="str">
        <f t="shared" si="380"/>
        <v/>
      </c>
      <c r="V1885" s="168" t="str">
        <f>IFERROR(U1885/_xlfn.XLOOKUP(_xlfn.XLOOKUP($F1885,Clientes!$B$4:$B$39,Clientes!$C$4:$C$39),Cadastros!$L$6:$L$12,Cadastros!$M$6:$M$12)," ")</f>
        <v xml:space="preserve"> </v>
      </c>
      <c r="W1885" s="28"/>
      <c r="X1885" s="28"/>
      <c r="Y1885" s="255" t="str">
        <f>IF(W1885="","",(_xlfn.XLOOKUP(W1885,Cadastros!$D$6:$D$90,Cadastros!$E$6:$E$90))*(1-_xlfn.XLOOKUP(_xlfn.XLOOKUP($F1885,Clientes!$B$4:$B$39,Clientes!$C$4:$C$39),Cadastros!$L$6:$L$12,Cadastros!$N$6:$N$12)))</f>
        <v/>
      </c>
      <c r="Z1885" s="168" t="str">
        <f t="shared" si="381"/>
        <v/>
      </c>
      <c r="AA1885" s="168" t="str">
        <f>IFERROR(Z1885/_xlfn.XLOOKUP(_xlfn.XLOOKUP($F1885,Clientes!$B$4:$B$39,Clientes!$C$4:$C$39),Cadastros!$L$6:$L$12,Cadastros!$M$6:$M$12)," ")</f>
        <v xml:space="preserve"> </v>
      </c>
      <c r="AB1885" s="28"/>
      <c r="AC1885" s="28"/>
      <c r="AD1885" s="20" t="str">
        <f>IF(AB1885="","",IF($F1885="Bernardino Furlan",_xlfn.XLOOKUP(AB1885,Cadastros!$G$6:$G$90,Cadastros!$H$6:$H$90)*(1-0.18),IF($F1885="Mauro José Salanti",_xlfn.XLOOKUP(AB1885,Cadastros!$G$6:$G$90,Cadastros!$H$6:$H$90)*(1-0.18),_xlfn.XLOOKUP(AB1885,Cadastros!$G$6:$G$90,Cadastros!$H$6:$H$90))))</f>
        <v/>
      </c>
      <c r="AE1885" s="168" t="str">
        <f t="shared" si="382"/>
        <v/>
      </c>
      <c r="AF1885" s="168" t="str">
        <f t="shared" si="383"/>
        <v/>
      </c>
      <c r="AG1885" s="28"/>
      <c r="AH1885" s="28"/>
      <c r="AI1885" s="20" t="str">
        <f>IF(AG1885="","",IF($F1885="Bernardino Furlan",_xlfn.XLOOKUP(AG1885,Cadastros!$G$6:$G$90,Cadastros!$H$6:$H$90)*(1-0.18),IF($F1885="Mauro José Salanti",_xlfn.XLOOKUP(AG1885,Cadastros!$G$6:$G$90,Cadastros!$H$6:$H$90)*(1-0.18),_xlfn.XLOOKUP(AG1885,Cadastros!$G$6:$G$90,Cadastros!$H$6:$H$90))))</f>
        <v/>
      </c>
      <c r="AJ1885" s="168" t="str">
        <f t="shared" si="384"/>
        <v/>
      </c>
      <c r="AK1885" s="168" t="str">
        <f t="shared" si="385"/>
        <v/>
      </c>
      <c r="AL1885" s="28"/>
      <c r="AM1885" s="28"/>
      <c r="AN1885" s="20" t="str">
        <f>IF(AL1885="","",IF($F1885="Bernardino Furlan",_xlfn.XLOOKUP(AL1885,Cadastros!$G$6:$G$90,Cadastros!$H$6:$H$90)*(1-0.18),IF($F1885="Mauro José Salanti",_xlfn.XLOOKUP(AL1885,Cadastros!$G$6:$G$90,Cadastros!$H$6:$H$90)*(1-0.18),_xlfn.XLOOKUP(AL1885,Cadastros!$G$6:$G$90,Cadastros!$H$6:$H$90))))</f>
        <v/>
      </c>
      <c r="AO1885" s="168" t="str">
        <f t="shared" si="386"/>
        <v/>
      </c>
      <c r="AP1885" s="168" t="str">
        <f t="shared" si="387"/>
        <v/>
      </c>
      <c r="AQ1885" s="28"/>
      <c r="AR1885" s="28"/>
      <c r="AS1885" s="20" t="str">
        <f>IF(AQ1885="","",IF($F1885="Bernardino Furlan",_xlfn.XLOOKUP(AQ1885,Cadastros!$G$6:$G$90,Cadastros!$H$6:$H$90)*(1-0.18),IF($F1885="Mauro José Salanti",_xlfn.XLOOKUP(AQ1885,Cadastros!$G$6:$G$90,Cadastros!$H$6:$H$90)*(1-0.18),_xlfn.XLOOKUP(AQ1885,Cadastros!$G$6:$G$90,Cadastros!$H$6:$H$90))))</f>
        <v/>
      </c>
      <c r="AT1885" s="168" t="str">
        <f t="shared" si="388"/>
        <v/>
      </c>
      <c r="AU1885" s="168" t="str">
        <f t="shared" si="389"/>
        <v/>
      </c>
      <c r="AV1885" s="227"/>
      <c r="AW1885" s="30"/>
      <c r="AX1885" s="267"/>
      <c r="AY1885" s="267"/>
      <c r="AZ1885" s="29"/>
      <c r="BA1885" s="30"/>
      <c r="BB1885" s="23" t="str" cm="1">
        <f t="array" ref="BB1885">_xlfn.IFS(AW1885="SIM",SUM(K1885,P1885,U1885,Z1885,AE1885,AJ1885,AO1885,AT1885,AX1885,AY1885),F1885&lt;&gt;"",SUM(K1885,P1885,U1885,Z1885,AE1885,AJ1885,,AO1885,AT1885),F1885="","")</f>
        <v/>
      </c>
      <c r="BC1885" s="211" t="str" cm="1">
        <f t="array" ref="BC1885">_xlfn.IFS(E1885="","",G1885&lt;=E1885,BB1885*(1-0.03),G1885&lt;(E1885+8),BB1885,AZ1885="Boleto",BB1885*(1+0.001)^DATEDIF(E1885,G1885,"D"),AZ1885="Cheque",BB1885,AZ1885="Dinheiro","Alterar forma pgto")</f>
        <v/>
      </c>
      <c r="BD1885" s="276" t="str" cm="1">
        <f t="array" ref="BD1885">IF(F1885=0," ",IF(BC1885&lt;BB1885,(_xlfn.IFS(AW1885="SIM",SUM(L1885,Q1885,V1885,AA1885,AF1885,AK1885,AP1885,AU1885)+AX1885/_xlfn.XLOOKUP(_xlfn.XLOOKUP($F1885,Clientes!$B$4:$B$39,Clientes!$C$4:$C$39),Cadastros!$L$6:$L$12,Cadastros!$M$6:$M$12)+IF($F1885="Bernardino Furlan",AY1885/2751.92,IF($F1885="Mauro José Salanti",AY1885/2751.92,AY1885/3356)),F1885&lt;&gt;0,SUM(L1885,Q1885,V1885,AA1885,AF1885,AK1885,AP1885,AU1885)))*(1-0.03),_xlfn.IFS(AW1885="SIM",SUM(L1885,Q1885,V1885,AA1885,AF1885,AK1885,AP1885,AU1885)+AX1885/_xlfn.XLOOKUP(_xlfn.XLOOKUP($F1885,Clientes!$B$4:$B$39,Clientes!$C$4:$C$39),Cadastros!$L$6:$L$12,Cadastros!$M$6:$M$12)+IF($F1885="Bernardino Furlan",AY1885/2751.92,IF($F1885="Mauro José Salanti",AY1885/2751.92,AY1885/3356)),F1885&lt;&gt;0,SUM(L1885,Q1885,V1885,AA1885,AF1885,AK1885,AP1885,AU1885))))</f>
        <v xml:space="preserve"> </v>
      </c>
      <c r="BE1885" s="120"/>
      <c r="BF1885" s="120"/>
      <c r="BG1885" s="120"/>
    </row>
    <row r="1886" spans="1:59" s="3" customFormat="1" x14ac:dyDescent="0.3">
      <c r="A1886" s="15" t="str">
        <f t="shared" si="377"/>
        <v/>
      </c>
      <c r="B1886" s="25"/>
      <c r="C1886" s="26"/>
      <c r="D1886" s="279"/>
      <c r="E1886" s="27"/>
      <c r="F1886" s="28"/>
      <c r="G1886" s="27"/>
      <c r="H1886" s="28"/>
      <c r="I1886" s="28"/>
      <c r="J1886" s="255" t="str">
        <f>IF(H1886="","",(_xlfn.XLOOKUP(H1886,Cadastros!$D$6:$D$90,Cadastros!$E$6:$E$90))*(1-_xlfn.XLOOKUP(_xlfn.XLOOKUP($F1886,Clientes!$B$4:$B$39,Clientes!$C$4:$C$39),Cadastros!$L$6:$L$12,Cadastros!$N$6:$N$12)))</f>
        <v/>
      </c>
      <c r="K1886" s="168" t="str">
        <f t="shared" si="378"/>
        <v/>
      </c>
      <c r="L1886" s="168" t="str">
        <f>IFERROR(K1886/_xlfn.XLOOKUP(_xlfn.XLOOKUP($F1886,Clientes!$B$4:$B$39,Clientes!$C$4:$C$39),Cadastros!$L$6:$L$12,Cadastros!$M$6:$M$12)," ")</f>
        <v xml:space="preserve"> </v>
      </c>
      <c r="M1886" s="28"/>
      <c r="N1886" s="28"/>
      <c r="O1886" s="255" t="str">
        <f>IF(M1886="","",(_xlfn.XLOOKUP(M1886,Cadastros!$D$6:$D$90,Cadastros!$E$6:$E$90))*(1-_xlfn.XLOOKUP(_xlfn.XLOOKUP($F1886,Clientes!$B$4:$B$39,Clientes!$C$4:$C$39),Cadastros!$L$6:$L$12,Cadastros!$N$6:$N$12)))</f>
        <v/>
      </c>
      <c r="P1886" s="168" t="str">
        <f t="shared" si="379"/>
        <v/>
      </c>
      <c r="Q1886" s="168" t="str">
        <f>IFERROR(P1886/_xlfn.XLOOKUP(_xlfn.XLOOKUP($F1886,Clientes!$B$4:$B$39,Clientes!$C$4:$C$39),Cadastros!$L$6:$L$12,Cadastros!$M$6:$M$12)," ")</f>
        <v xml:space="preserve"> </v>
      </c>
      <c r="R1886" s="28"/>
      <c r="S1886" s="28"/>
      <c r="T1886" s="255" t="str">
        <f>IF(R1886="","",(_xlfn.XLOOKUP(R1886,Cadastros!$D$6:$D$90,Cadastros!$E$6:$E$90))*(1-_xlfn.XLOOKUP(_xlfn.XLOOKUP($F1886,Clientes!$B$4:$B$39,Clientes!$C$4:$C$39),Cadastros!$L$6:$L$12,Cadastros!$N$6:$N$12)))</f>
        <v/>
      </c>
      <c r="U1886" s="168" t="str">
        <f t="shared" si="380"/>
        <v/>
      </c>
      <c r="V1886" s="168" t="str">
        <f>IFERROR(U1886/_xlfn.XLOOKUP(_xlfn.XLOOKUP($F1886,Clientes!$B$4:$B$39,Clientes!$C$4:$C$39),Cadastros!$L$6:$L$12,Cadastros!$M$6:$M$12)," ")</f>
        <v xml:space="preserve"> </v>
      </c>
      <c r="W1886" s="28"/>
      <c r="X1886" s="28"/>
      <c r="Y1886" s="255" t="str">
        <f>IF(W1886="","",(_xlfn.XLOOKUP(W1886,Cadastros!$D$6:$D$90,Cadastros!$E$6:$E$90))*(1-_xlfn.XLOOKUP(_xlfn.XLOOKUP($F1886,Clientes!$B$4:$B$39,Clientes!$C$4:$C$39),Cadastros!$L$6:$L$12,Cadastros!$N$6:$N$12)))</f>
        <v/>
      </c>
      <c r="Z1886" s="168" t="str">
        <f t="shared" si="381"/>
        <v/>
      </c>
      <c r="AA1886" s="168" t="str">
        <f>IFERROR(Z1886/_xlfn.XLOOKUP(_xlfn.XLOOKUP($F1886,Clientes!$B$4:$B$39,Clientes!$C$4:$C$39),Cadastros!$L$6:$L$12,Cadastros!$M$6:$M$12)," ")</f>
        <v xml:space="preserve"> </v>
      </c>
      <c r="AB1886" s="28"/>
      <c r="AC1886" s="28"/>
      <c r="AD1886" s="20" t="str">
        <f>IF(AB1886="","",IF($F1886="Bernardino Furlan",_xlfn.XLOOKUP(AB1886,Cadastros!$G$6:$G$90,Cadastros!$H$6:$H$90)*(1-0.18),IF($F1886="Mauro José Salanti",_xlfn.XLOOKUP(AB1886,Cadastros!$G$6:$G$90,Cadastros!$H$6:$H$90)*(1-0.18),_xlfn.XLOOKUP(AB1886,Cadastros!$G$6:$G$90,Cadastros!$H$6:$H$90))))</f>
        <v/>
      </c>
      <c r="AE1886" s="168" t="str">
        <f t="shared" si="382"/>
        <v/>
      </c>
      <c r="AF1886" s="168" t="str">
        <f t="shared" si="383"/>
        <v/>
      </c>
      <c r="AG1886" s="28"/>
      <c r="AH1886" s="28"/>
      <c r="AI1886" s="20" t="str">
        <f>IF(AG1886="","",IF($F1886="Bernardino Furlan",_xlfn.XLOOKUP(AG1886,Cadastros!$G$6:$G$90,Cadastros!$H$6:$H$90)*(1-0.18),IF($F1886="Mauro José Salanti",_xlfn.XLOOKUP(AG1886,Cadastros!$G$6:$G$90,Cadastros!$H$6:$H$90)*(1-0.18),_xlfn.XLOOKUP(AG1886,Cadastros!$G$6:$G$90,Cadastros!$H$6:$H$90))))</f>
        <v/>
      </c>
      <c r="AJ1886" s="168" t="str">
        <f t="shared" si="384"/>
        <v/>
      </c>
      <c r="AK1886" s="168" t="str">
        <f t="shared" si="385"/>
        <v/>
      </c>
      <c r="AL1886" s="28"/>
      <c r="AM1886" s="28"/>
      <c r="AN1886" s="20" t="str">
        <f>IF(AL1886="","",IF($F1886="Bernardino Furlan",_xlfn.XLOOKUP(AL1886,Cadastros!$G$6:$G$90,Cadastros!$H$6:$H$90)*(1-0.18),IF($F1886="Mauro José Salanti",_xlfn.XLOOKUP(AL1886,Cadastros!$G$6:$G$90,Cadastros!$H$6:$H$90)*(1-0.18),_xlfn.XLOOKUP(AL1886,Cadastros!$G$6:$G$90,Cadastros!$H$6:$H$90))))</f>
        <v/>
      </c>
      <c r="AO1886" s="168" t="str">
        <f t="shared" si="386"/>
        <v/>
      </c>
      <c r="AP1886" s="168" t="str">
        <f t="shared" si="387"/>
        <v/>
      </c>
      <c r="AQ1886" s="28"/>
      <c r="AR1886" s="28"/>
      <c r="AS1886" s="20" t="str">
        <f>IF(AQ1886="","",IF($F1886="Bernardino Furlan",_xlfn.XLOOKUP(AQ1886,Cadastros!$G$6:$G$90,Cadastros!$H$6:$H$90)*(1-0.18),IF($F1886="Mauro José Salanti",_xlfn.XLOOKUP(AQ1886,Cadastros!$G$6:$G$90,Cadastros!$H$6:$H$90)*(1-0.18),_xlfn.XLOOKUP(AQ1886,Cadastros!$G$6:$G$90,Cadastros!$H$6:$H$90))))</f>
        <v/>
      </c>
      <c r="AT1886" s="168" t="str">
        <f t="shared" si="388"/>
        <v/>
      </c>
      <c r="AU1886" s="168" t="str">
        <f t="shared" si="389"/>
        <v/>
      </c>
      <c r="AV1886" s="227"/>
      <c r="AW1886" s="30"/>
      <c r="AX1886" s="267"/>
      <c r="AY1886" s="267"/>
      <c r="AZ1886" s="29"/>
      <c r="BA1886" s="30"/>
      <c r="BB1886" s="23" t="str" cm="1">
        <f t="array" ref="BB1886">_xlfn.IFS(AW1886="SIM",SUM(K1886,P1886,U1886,Z1886,AE1886,AJ1886,AO1886,AT1886,AX1886,AY1886),F1886&lt;&gt;"",SUM(K1886,P1886,U1886,Z1886,AE1886,AJ1886,,AO1886,AT1886),F1886="","")</f>
        <v/>
      </c>
      <c r="BC1886" s="211" t="str" cm="1">
        <f t="array" ref="BC1886">_xlfn.IFS(E1886="","",G1886&lt;=E1886,BB1886*(1-0.03),G1886&lt;(E1886+8),BB1886,AZ1886="Boleto",BB1886*(1+0.001)^DATEDIF(E1886,G1886,"D"),AZ1886="Cheque",BB1886,AZ1886="Dinheiro","Alterar forma pgto")</f>
        <v/>
      </c>
      <c r="BD1886" s="276" t="str" cm="1">
        <f t="array" ref="BD1886">IF(F1886=0," ",IF(BC1886&lt;BB1886,(_xlfn.IFS(AW1886="SIM",SUM(L1886,Q1886,V1886,AA1886,AF1886,AK1886,AP1886,AU1886)+AX1886/_xlfn.XLOOKUP(_xlfn.XLOOKUP($F1886,Clientes!$B$4:$B$39,Clientes!$C$4:$C$39),Cadastros!$L$6:$L$12,Cadastros!$M$6:$M$12)+IF($F1886="Bernardino Furlan",AY1886/2751.92,IF($F1886="Mauro José Salanti",AY1886/2751.92,AY1886/3356)),F1886&lt;&gt;0,SUM(L1886,Q1886,V1886,AA1886,AF1886,AK1886,AP1886,AU1886)))*(1-0.03),_xlfn.IFS(AW1886="SIM",SUM(L1886,Q1886,V1886,AA1886,AF1886,AK1886,AP1886,AU1886)+AX1886/_xlfn.XLOOKUP(_xlfn.XLOOKUP($F1886,Clientes!$B$4:$B$39,Clientes!$C$4:$C$39),Cadastros!$L$6:$L$12,Cadastros!$M$6:$M$12)+IF($F1886="Bernardino Furlan",AY1886/2751.92,IF($F1886="Mauro José Salanti",AY1886/2751.92,AY1886/3356)),F1886&lt;&gt;0,SUM(L1886,Q1886,V1886,AA1886,AF1886,AK1886,AP1886,AU1886))))</f>
        <v xml:space="preserve"> </v>
      </c>
      <c r="BE1886" s="120"/>
      <c r="BF1886" s="120"/>
      <c r="BG1886" s="120"/>
    </row>
    <row r="1887" spans="1:59" s="3" customFormat="1" x14ac:dyDescent="0.3">
      <c r="A1887" s="15" t="str">
        <f t="shared" si="377"/>
        <v/>
      </c>
      <c r="B1887" s="25"/>
      <c r="C1887" s="26"/>
      <c r="D1887" s="279"/>
      <c r="E1887" s="27"/>
      <c r="F1887" s="28"/>
      <c r="G1887" s="27"/>
      <c r="H1887" s="28"/>
      <c r="I1887" s="28"/>
      <c r="J1887" s="255" t="str">
        <f>IF(H1887="","",(_xlfn.XLOOKUP(H1887,Cadastros!$D$6:$D$90,Cadastros!$E$6:$E$90))*(1-_xlfn.XLOOKUP(_xlfn.XLOOKUP($F1887,Clientes!$B$4:$B$39,Clientes!$C$4:$C$39),Cadastros!$L$6:$L$12,Cadastros!$N$6:$N$12)))</f>
        <v/>
      </c>
      <c r="K1887" s="168" t="str">
        <f t="shared" si="378"/>
        <v/>
      </c>
      <c r="L1887" s="168" t="str">
        <f>IFERROR(K1887/_xlfn.XLOOKUP(_xlfn.XLOOKUP($F1887,Clientes!$B$4:$B$39,Clientes!$C$4:$C$39),Cadastros!$L$6:$L$12,Cadastros!$M$6:$M$12)," ")</f>
        <v xml:space="preserve"> </v>
      </c>
      <c r="M1887" s="28"/>
      <c r="N1887" s="28"/>
      <c r="O1887" s="255" t="str">
        <f>IF(M1887="","",(_xlfn.XLOOKUP(M1887,Cadastros!$D$6:$D$90,Cadastros!$E$6:$E$90))*(1-_xlfn.XLOOKUP(_xlfn.XLOOKUP($F1887,Clientes!$B$4:$B$39,Clientes!$C$4:$C$39),Cadastros!$L$6:$L$12,Cadastros!$N$6:$N$12)))</f>
        <v/>
      </c>
      <c r="P1887" s="168" t="str">
        <f t="shared" si="379"/>
        <v/>
      </c>
      <c r="Q1887" s="168" t="str">
        <f>IFERROR(P1887/_xlfn.XLOOKUP(_xlfn.XLOOKUP($F1887,Clientes!$B$4:$B$39,Clientes!$C$4:$C$39),Cadastros!$L$6:$L$12,Cadastros!$M$6:$M$12)," ")</f>
        <v xml:space="preserve"> </v>
      </c>
      <c r="R1887" s="28"/>
      <c r="S1887" s="28"/>
      <c r="T1887" s="255" t="str">
        <f>IF(R1887="","",(_xlfn.XLOOKUP(R1887,Cadastros!$D$6:$D$90,Cadastros!$E$6:$E$90))*(1-_xlfn.XLOOKUP(_xlfn.XLOOKUP($F1887,Clientes!$B$4:$B$39,Clientes!$C$4:$C$39),Cadastros!$L$6:$L$12,Cadastros!$N$6:$N$12)))</f>
        <v/>
      </c>
      <c r="U1887" s="168" t="str">
        <f t="shared" si="380"/>
        <v/>
      </c>
      <c r="V1887" s="168" t="str">
        <f>IFERROR(U1887/_xlfn.XLOOKUP(_xlfn.XLOOKUP($F1887,Clientes!$B$4:$B$39,Clientes!$C$4:$C$39),Cadastros!$L$6:$L$12,Cadastros!$M$6:$M$12)," ")</f>
        <v xml:space="preserve"> </v>
      </c>
      <c r="W1887" s="28"/>
      <c r="X1887" s="28"/>
      <c r="Y1887" s="255" t="str">
        <f>IF(W1887="","",(_xlfn.XLOOKUP(W1887,Cadastros!$D$6:$D$90,Cadastros!$E$6:$E$90))*(1-_xlfn.XLOOKUP(_xlfn.XLOOKUP($F1887,Clientes!$B$4:$B$39,Clientes!$C$4:$C$39),Cadastros!$L$6:$L$12,Cadastros!$N$6:$N$12)))</f>
        <v/>
      </c>
      <c r="Z1887" s="168" t="str">
        <f t="shared" si="381"/>
        <v/>
      </c>
      <c r="AA1887" s="168" t="str">
        <f>IFERROR(Z1887/_xlfn.XLOOKUP(_xlfn.XLOOKUP($F1887,Clientes!$B$4:$B$39,Clientes!$C$4:$C$39),Cadastros!$L$6:$L$12,Cadastros!$M$6:$M$12)," ")</f>
        <v xml:space="preserve"> </v>
      </c>
      <c r="AB1887" s="28"/>
      <c r="AC1887" s="28"/>
      <c r="AD1887" s="20" t="str">
        <f>IF(AB1887="","",IF($F1887="Bernardino Furlan",_xlfn.XLOOKUP(AB1887,Cadastros!$G$6:$G$90,Cadastros!$H$6:$H$90)*(1-0.18),IF($F1887="Mauro José Salanti",_xlfn.XLOOKUP(AB1887,Cadastros!$G$6:$G$90,Cadastros!$H$6:$H$90)*(1-0.18),_xlfn.XLOOKUP(AB1887,Cadastros!$G$6:$G$90,Cadastros!$H$6:$H$90))))</f>
        <v/>
      </c>
      <c r="AE1887" s="168" t="str">
        <f t="shared" si="382"/>
        <v/>
      </c>
      <c r="AF1887" s="168" t="str">
        <f t="shared" si="383"/>
        <v/>
      </c>
      <c r="AG1887" s="28"/>
      <c r="AH1887" s="28"/>
      <c r="AI1887" s="20" t="str">
        <f>IF(AG1887="","",IF($F1887="Bernardino Furlan",_xlfn.XLOOKUP(AG1887,Cadastros!$G$6:$G$90,Cadastros!$H$6:$H$90)*(1-0.18),IF($F1887="Mauro José Salanti",_xlfn.XLOOKUP(AG1887,Cadastros!$G$6:$G$90,Cadastros!$H$6:$H$90)*(1-0.18),_xlfn.XLOOKUP(AG1887,Cadastros!$G$6:$G$90,Cadastros!$H$6:$H$90))))</f>
        <v/>
      </c>
      <c r="AJ1887" s="168" t="str">
        <f t="shared" si="384"/>
        <v/>
      </c>
      <c r="AK1887" s="168" t="str">
        <f t="shared" si="385"/>
        <v/>
      </c>
      <c r="AL1887" s="28"/>
      <c r="AM1887" s="28"/>
      <c r="AN1887" s="20" t="str">
        <f>IF(AL1887="","",IF($F1887="Bernardino Furlan",_xlfn.XLOOKUP(AL1887,Cadastros!$G$6:$G$90,Cadastros!$H$6:$H$90)*(1-0.18),IF($F1887="Mauro José Salanti",_xlfn.XLOOKUP(AL1887,Cadastros!$G$6:$G$90,Cadastros!$H$6:$H$90)*(1-0.18),_xlfn.XLOOKUP(AL1887,Cadastros!$G$6:$G$90,Cadastros!$H$6:$H$90))))</f>
        <v/>
      </c>
      <c r="AO1887" s="168" t="str">
        <f t="shared" si="386"/>
        <v/>
      </c>
      <c r="AP1887" s="168" t="str">
        <f t="shared" si="387"/>
        <v/>
      </c>
      <c r="AQ1887" s="28"/>
      <c r="AR1887" s="28"/>
      <c r="AS1887" s="20" t="str">
        <f>IF(AQ1887="","",IF($F1887="Bernardino Furlan",_xlfn.XLOOKUP(AQ1887,Cadastros!$G$6:$G$90,Cadastros!$H$6:$H$90)*(1-0.18),IF($F1887="Mauro José Salanti",_xlfn.XLOOKUP(AQ1887,Cadastros!$G$6:$G$90,Cadastros!$H$6:$H$90)*(1-0.18),_xlfn.XLOOKUP(AQ1887,Cadastros!$G$6:$G$90,Cadastros!$H$6:$H$90))))</f>
        <v/>
      </c>
      <c r="AT1887" s="168" t="str">
        <f t="shared" si="388"/>
        <v/>
      </c>
      <c r="AU1887" s="168" t="str">
        <f t="shared" si="389"/>
        <v/>
      </c>
      <c r="AV1887" s="227"/>
      <c r="AW1887" s="30"/>
      <c r="AX1887" s="267"/>
      <c r="AY1887" s="267"/>
      <c r="AZ1887" s="29"/>
      <c r="BA1887" s="30"/>
      <c r="BB1887" s="23" t="str" cm="1">
        <f t="array" ref="BB1887">_xlfn.IFS(AW1887="SIM",SUM(K1887,P1887,U1887,Z1887,AE1887,AJ1887,AO1887,AT1887,AX1887,AY1887),F1887&lt;&gt;"",SUM(K1887,P1887,U1887,Z1887,AE1887,AJ1887,,AO1887,AT1887),F1887="","")</f>
        <v/>
      </c>
      <c r="BC1887" s="211" t="str" cm="1">
        <f t="array" ref="BC1887">_xlfn.IFS(E1887="","",G1887&lt;=E1887,BB1887*(1-0.03),G1887&lt;(E1887+8),BB1887,AZ1887="Boleto",BB1887*(1+0.001)^DATEDIF(E1887,G1887,"D"),AZ1887="Cheque",BB1887,AZ1887="Dinheiro","Alterar forma pgto")</f>
        <v/>
      </c>
      <c r="BD1887" s="276" t="str" cm="1">
        <f t="array" ref="BD1887">IF(F1887=0," ",IF(BC1887&lt;BB1887,(_xlfn.IFS(AW1887="SIM",SUM(L1887,Q1887,V1887,AA1887,AF1887,AK1887,AP1887,AU1887)+AX1887/_xlfn.XLOOKUP(_xlfn.XLOOKUP($F1887,Clientes!$B$4:$B$39,Clientes!$C$4:$C$39),Cadastros!$L$6:$L$12,Cadastros!$M$6:$M$12)+IF($F1887="Bernardino Furlan",AY1887/2751.92,IF($F1887="Mauro José Salanti",AY1887/2751.92,AY1887/3356)),F1887&lt;&gt;0,SUM(L1887,Q1887,V1887,AA1887,AF1887,AK1887,AP1887,AU1887)))*(1-0.03),_xlfn.IFS(AW1887="SIM",SUM(L1887,Q1887,V1887,AA1887,AF1887,AK1887,AP1887,AU1887)+AX1887/_xlfn.XLOOKUP(_xlfn.XLOOKUP($F1887,Clientes!$B$4:$B$39,Clientes!$C$4:$C$39),Cadastros!$L$6:$L$12,Cadastros!$M$6:$M$12)+IF($F1887="Bernardino Furlan",AY1887/2751.92,IF($F1887="Mauro José Salanti",AY1887/2751.92,AY1887/3356)),F1887&lt;&gt;0,SUM(L1887,Q1887,V1887,AA1887,AF1887,AK1887,AP1887,AU1887))))</f>
        <v xml:space="preserve"> </v>
      </c>
      <c r="BE1887" s="120"/>
      <c r="BF1887" s="120"/>
      <c r="BG1887" s="120"/>
    </row>
    <row r="1888" spans="1:59" s="3" customFormat="1" x14ac:dyDescent="0.3">
      <c r="A1888" s="15" t="str">
        <f t="shared" si="377"/>
        <v/>
      </c>
      <c r="B1888" s="25"/>
      <c r="C1888" s="26"/>
      <c r="D1888" s="279"/>
      <c r="E1888" s="27"/>
      <c r="F1888" s="28"/>
      <c r="G1888" s="27"/>
      <c r="H1888" s="28"/>
      <c r="I1888" s="28"/>
      <c r="J1888" s="255" t="str">
        <f>IF(H1888="","",(_xlfn.XLOOKUP(H1888,Cadastros!$D$6:$D$90,Cadastros!$E$6:$E$90))*(1-_xlfn.XLOOKUP(_xlfn.XLOOKUP($F1888,Clientes!$B$4:$B$39,Clientes!$C$4:$C$39),Cadastros!$L$6:$L$12,Cadastros!$N$6:$N$12)))</f>
        <v/>
      </c>
      <c r="K1888" s="168" t="str">
        <f t="shared" si="378"/>
        <v/>
      </c>
      <c r="L1888" s="168" t="str">
        <f>IFERROR(K1888/_xlfn.XLOOKUP(_xlfn.XLOOKUP($F1888,Clientes!$B$4:$B$39,Clientes!$C$4:$C$39),Cadastros!$L$6:$L$12,Cadastros!$M$6:$M$12)," ")</f>
        <v xml:space="preserve"> </v>
      </c>
      <c r="M1888" s="28"/>
      <c r="N1888" s="28"/>
      <c r="O1888" s="255" t="str">
        <f>IF(M1888="","",(_xlfn.XLOOKUP(M1888,Cadastros!$D$6:$D$90,Cadastros!$E$6:$E$90))*(1-_xlfn.XLOOKUP(_xlfn.XLOOKUP($F1888,Clientes!$B$4:$B$39,Clientes!$C$4:$C$39),Cadastros!$L$6:$L$12,Cadastros!$N$6:$N$12)))</f>
        <v/>
      </c>
      <c r="P1888" s="168" t="str">
        <f t="shared" si="379"/>
        <v/>
      </c>
      <c r="Q1888" s="168" t="str">
        <f>IFERROR(P1888/_xlfn.XLOOKUP(_xlfn.XLOOKUP($F1888,Clientes!$B$4:$B$39,Clientes!$C$4:$C$39),Cadastros!$L$6:$L$12,Cadastros!$M$6:$M$12)," ")</f>
        <v xml:space="preserve"> </v>
      </c>
      <c r="R1888" s="28"/>
      <c r="S1888" s="28"/>
      <c r="T1888" s="255" t="str">
        <f>IF(R1888="","",(_xlfn.XLOOKUP(R1888,Cadastros!$D$6:$D$90,Cadastros!$E$6:$E$90))*(1-_xlfn.XLOOKUP(_xlfn.XLOOKUP($F1888,Clientes!$B$4:$B$39,Clientes!$C$4:$C$39),Cadastros!$L$6:$L$12,Cadastros!$N$6:$N$12)))</f>
        <v/>
      </c>
      <c r="U1888" s="168" t="str">
        <f t="shared" si="380"/>
        <v/>
      </c>
      <c r="V1888" s="168" t="str">
        <f>IFERROR(U1888/_xlfn.XLOOKUP(_xlfn.XLOOKUP($F1888,Clientes!$B$4:$B$39,Clientes!$C$4:$C$39),Cadastros!$L$6:$L$12,Cadastros!$M$6:$M$12)," ")</f>
        <v xml:space="preserve"> </v>
      </c>
      <c r="W1888" s="28"/>
      <c r="X1888" s="28"/>
      <c r="Y1888" s="255" t="str">
        <f>IF(W1888="","",(_xlfn.XLOOKUP(W1888,Cadastros!$D$6:$D$90,Cadastros!$E$6:$E$90))*(1-_xlfn.XLOOKUP(_xlfn.XLOOKUP($F1888,Clientes!$B$4:$B$39,Clientes!$C$4:$C$39),Cadastros!$L$6:$L$12,Cadastros!$N$6:$N$12)))</f>
        <v/>
      </c>
      <c r="Z1888" s="168" t="str">
        <f t="shared" si="381"/>
        <v/>
      </c>
      <c r="AA1888" s="168" t="str">
        <f>IFERROR(Z1888/_xlfn.XLOOKUP(_xlfn.XLOOKUP($F1888,Clientes!$B$4:$B$39,Clientes!$C$4:$C$39),Cadastros!$L$6:$L$12,Cadastros!$M$6:$M$12)," ")</f>
        <v xml:space="preserve"> </v>
      </c>
      <c r="AB1888" s="28"/>
      <c r="AC1888" s="28"/>
      <c r="AD1888" s="20" t="str">
        <f>IF(AB1888="","",IF($F1888="Bernardino Furlan",_xlfn.XLOOKUP(AB1888,Cadastros!$G$6:$G$90,Cadastros!$H$6:$H$90)*(1-0.18),IF($F1888="Mauro José Salanti",_xlfn.XLOOKUP(AB1888,Cadastros!$G$6:$G$90,Cadastros!$H$6:$H$90)*(1-0.18),_xlfn.XLOOKUP(AB1888,Cadastros!$G$6:$G$90,Cadastros!$H$6:$H$90))))</f>
        <v/>
      </c>
      <c r="AE1888" s="168" t="str">
        <f t="shared" si="382"/>
        <v/>
      </c>
      <c r="AF1888" s="168" t="str">
        <f t="shared" si="383"/>
        <v/>
      </c>
      <c r="AG1888" s="28"/>
      <c r="AH1888" s="28"/>
      <c r="AI1888" s="20" t="str">
        <f>IF(AG1888="","",IF($F1888="Bernardino Furlan",_xlfn.XLOOKUP(AG1888,Cadastros!$G$6:$G$90,Cadastros!$H$6:$H$90)*(1-0.18),IF($F1888="Mauro José Salanti",_xlfn.XLOOKUP(AG1888,Cadastros!$G$6:$G$90,Cadastros!$H$6:$H$90)*(1-0.18),_xlfn.XLOOKUP(AG1888,Cadastros!$G$6:$G$90,Cadastros!$H$6:$H$90))))</f>
        <v/>
      </c>
      <c r="AJ1888" s="168" t="str">
        <f t="shared" si="384"/>
        <v/>
      </c>
      <c r="AK1888" s="168" t="str">
        <f t="shared" si="385"/>
        <v/>
      </c>
      <c r="AL1888" s="28"/>
      <c r="AM1888" s="28"/>
      <c r="AN1888" s="20" t="str">
        <f>IF(AL1888="","",IF($F1888="Bernardino Furlan",_xlfn.XLOOKUP(AL1888,Cadastros!$G$6:$G$90,Cadastros!$H$6:$H$90)*(1-0.18),IF($F1888="Mauro José Salanti",_xlfn.XLOOKUP(AL1888,Cadastros!$G$6:$G$90,Cadastros!$H$6:$H$90)*(1-0.18),_xlfn.XLOOKUP(AL1888,Cadastros!$G$6:$G$90,Cadastros!$H$6:$H$90))))</f>
        <v/>
      </c>
      <c r="AO1888" s="168" t="str">
        <f t="shared" si="386"/>
        <v/>
      </c>
      <c r="AP1888" s="168" t="str">
        <f t="shared" si="387"/>
        <v/>
      </c>
      <c r="AQ1888" s="28"/>
      <c r="AR1888" s="28"/>
      <c r="AS1888" s="20" t="str">
        <f>IF(AQ1888="","",IF($F1888="Bernardino Furlan",_xlfn.XLOOKUP(AQ1888,Cadastros!$G$6:$G$90,Cadastros!$H$6:$H$90)*(1-0.18),IF($F1888="Mauro José Salanti",_xlfn.XLOOKUP(AQ1888,Cadastros!$G$6:$G$90,Cadastros!$H$6:$H$90)*(1-0.18),_xlfn.XLOOKUP(AQ1888,Cadastros!$G$6:$G$90,Cadastros!$H$6:$H$90))))</f>
        <v/>
      </c>
      <c r="AT1888" s="168" t="str">
        <f t="shared" si="388"/>
        <v/>
      </c>
      <c r="AU1888" s="168" t="str">
        <f t="shared" si="389"/>
        <v/>
      </c>
      <c r="AV1888" s="227"/>
      <c r="AW1888" s="30"/>
      <c r="AX1888" s="267"/>
      <c r="AY1888" s="267"/>
      <c r="AZ1888" s="29"/>
      <c r="BA1888" s="30"/>
      <c r="BB1888" s="23" t="str" cm="1">
        <f t="array" ref="BB1888">_xlfn.IFS(AW1888="SIM",SUM(K1888,P1888,U1888,Z1888,AE1888,AJ1888,AO1888,AT1888,AX1888,AY1888),F1888&lt;&gt;"",SUM(K1888,P1888,U1888,Z1888,AE1888,AJ1888,,AO1888,AT1888),F1888="","")</f>
        <v/>
      </c>
      <c r="BC1888" s="211" t="str" cm="1">
        <f t="array" ref="BC1888">_xlfn.IFS(E1888="","",G1888&lt;=E1888,BB1888*(1-0.03),G1888&lt;(E1888+8),BB1888,AZ1888="Boleto",BB1888*(1+0.001)^DATEDIF(E1888,G1888,"D"),AZ1888="Cheque",BB1888,AZ1888="Dinheiro","Alterar forma pgto")</f>
        <v/>
      </c>
      <c r="BD1888" s="276" t="str" cm="1">
        <f t="array" ref="BD1888">IF(F1888=0," ",IF(BC1888&lt;BB1888,(_xlfn.IFS(AW1888="SIM",SUM(L1888,Q1888,V1888,AA1888,AF1888,AK1888,AP1888,AU1888)+AX1888/_xlfn.XLOOKUP(_xlfn.XLOOKUP($F1888,Clientes!$B$4:$B$39,Clientes!$C$4:$C$39),Cadastros!$L$6:$L$12,Cadastros!$M$6:$M$12)+IF($F1888="Bernardino Furlan",AY1888/2751.92,IF($F1888="Mauro José Salanti",AY1888/2751.92,AY1888/3356)),F1888&lt;&gt;0,SUM(L1888,Q1888,V1888,AA1888,AF1888,AK1888,AP1888,AU1888)))*(1-0.03),_xlfn.IFS(AW1888="SIM",SUM(L1888,Q1888,V1888,AA1888,AF1888,AK1888,AP1888,AU1888)+AX1888/_xlfn.XLOOKUP(_xlfn.XLOOKUP($F1888,Clientes!$B$4:$B$39,Clientes!$C$4:$C$39),Cadastros!$L$6:$L$12,Cadastros!$M$6:$M$12)+IF($F1888="Bernardino Furlan",AY1888/2751.92,IF($F1888="Mauro José Salanti",AY1888/2751.92,AY1888/3356)),F1888&lt;&gt;0,SUM(L1888,Q1888,V1888,AA1888,AF1888,AK1888,AP1888,AU1888))))</f>
        <v xml:space="preserve"> </v>
      </c>
      <c r="BE1888" s="120"/>
      <c r="BF1888" s="120"/>
      <c r="BG1888" s="120"/>
    </row>
    <row r="1889" spans="1:59" s="3" customFormat="1" x14ac:dyDescent="0.3">
      <c r="A1889" s="15" t="str">
        <f t="shared" si="377"/>
        <v/>
      </c>
      <c r="B1889" s="25"/>
      <c r="C1889" s="26"/>
      <c r="D1889" s="279"/>
      <c r="E1889" s="27"/>
      <c r="F1889" s="28"/>
      <c r="G1889" s="27"/>
      <c r="H1889" s="28"/>
      <c r="I1889" s="28"/>
      <c r="J1889" s="255" t="str">
        <f>IF(H1889="","",(_xlfn.XLOOKUP(H1889,Cadastros!$D$6:$D$90,Cadastros!$E$6:$E$90))*(1-_xlfn.XLOOKUP(_xlfn.XLOOKUP($F1889,Clientes!$B$4:$B$39,Clientes!$C$4:$C$39),Cadastros!$L$6:$L$12,Cadastros!$N$6:$N$12)))</f>
        <v/>
      </c>
      <c r="K1889" s="168" t="str">
        <f t="shared" si="378"/>
        <v/>
      </c>
      <c r="L1889" s="168" t="str">
        <f>IFERROR(K1889/_xlfn.XLOOKUP(_xlfn.XLOOKUP($F1889,Clientes!$B$4:$B$39,Clientes!$C$4:$C$39),Cadastros!$L$6:$L$12,Cadastros!$M$6:$M$12)," ")</f>
        <v xml:space="preserve"> </v>
      </c>
      <c r="M1889" s="28"/>
      <c r="N1889" s="28"/>
      <c r="O1889" s="255" t="str">
        <f>IF(M1889="","",(_xlfn.XLOOKUP(M1889,Cadastros!$D$6:$D$90,Cadastros!$E$6:$E$90))*(1-_xlfn.XLOOKUP(_xlfn.XLOOKUP($F1889,Clientes!$B$4:$B$39,Clientes!$C$4:$C$39),Cadastros!$L$6:$L$12,Cadastros!$N$6:$N$12)))</f>
        <v/>
      </c>
      <c r="P1889" s="168" t="str">
        <f t="shared" si="379"/>
        <v/>
      </c>
      <c r="Q1889" s="168" t="str">
        <f>IFERROR(P1889/_xlfn.XLOOKUP(_xlfn.XLOOKUP($F1889,Clientes!$B$4:$B$39,Clientes!$C$4:$C$39),Cadastros!$L$6:$L$12,Cadastros!$M$6:$M$12)," ")</f>
        <v xml:space="preserve"> </v>
      </c>
      <c r="R1889" s="28"/>
      <c r="S1889" s="28"/>
      <c r="T1889" s="255" t="str">
        <f>IF(R1889="","",(_xlfn.XLOOKUP(R1889,Cadastros!$D$6:$D$90,Cadastros!$E$6:$E$90))*(1-_xlfn.XLOOKUP(_xlfn.XLOOKUP($F1889,Clientes!$B$4:$B$39,Clientes!$C$4:$C$39),Cadastros!$L$6:$L$12,Cadastros!$N$6:$N$12)))</f>
        <v/>
      </c>
      <c r="U1889" s="168" t="str">
        <f t="shared" si="380"/>
        <v/>
      </c>
      <c r="V1889" s="168" t="str">
        <f>IFERROR(U1889/_xlfn.XLOOKUP(_xlfn.XLOOKUP($F1889,Clientes!$B$4:$B$39,Clientes!$C$4:$C$39),Cadastros!$L$6:$L$12,Cadastros!$M$6:$M$12)," ")</f>
        <v xml:space="preserve"> </v>
      </c>
      <c r="W1889" s="28"/>
      <c r="X1889" s="28"/>
      <c r="Y1889" s="255" t="str">
        <f>IF(W1889="","",(_xlfn.XLOOKUP(W1889,Cadastros!$D$6:$D$90,Cadastros!$E$6:$E$90))*(1-_xlfn.XLOOKUP(_xlfn.XLOOKUP($F1889,Clientes!$B$4:$B$39,Clientes!$C$4:$C$39),Cadastros!$L$6:$L$12,Cadastros!$N$6:$N$12)))</f>
        <v/>
      </c>
      <c r="Z1889" s="168" t="str">
        <f t="shared" si="381"/>
        <v/>
      </c>
      <c r="AA1889" s="168" t="str">
        <f>IFERROR(Z1889/_xlfn.XLOOKUP(_xlfn.XLOOKUP($F1889,Clientes!$B$4:$B$39,Clientes!$C$4:$C$39),Cadastros!$L$6:$L$12,Cadastros!$M$6:$M$12)," ")</f>
        <v xml:space="preserve"> </v>
      </c>
      <c r="AB1889" s="28"/>
      <c r="AC1889" s="28"/>
      <c r="AD1889" s="20" t="str">
        <f>IF(AB1889="","",IF($F1889="Bernardino Furlan",_xlfn.XLOOKUP(AB1889,Cadastros!$G$6:$G$90,Cadastros!$H$6:$H$90)*(1-0.18),IF($F1889="Mauro José Salanti",_xlfn.XLOOKUP(AB1889,Cadastros!$G$6:$G$90,Cadastros!$H$6:$H$90)*(1-0.18),_xlfn.XLOOKUP(AB1889,Cadastros!$G$6:$G$90,Cadastros!$H$6:$H$90))))</f>
        <v/>
      </c>
      <c r="AE1889" s="168" t="str">
        <f t="shared" si="382"/>
        <v/>
      </c>
      <c r="AF1889" s="168" t="str">
        <f t="shared" si="383"/>
        <v/>
      </c>
      <c r="AG1889" s="28"/>
      <c r="AH1889" s="28"/>
      <c r="AI1889" s="20" t="str">
        <f>IF(AG1889="","",IF($F1889="Bernardino Furlan",_xlfn.XLOOKUP(AG1889,Cadastros!$G$6:$G$90,Cadastros!$H$6:$H$90)*(1-0.18),IF($F1889="Mauro José Salanti",_xlfn.XLOOKUP(AG1889,Cadastros!$G$6:$G$90,Cadastros!$H$6:$H$90)*(1-0.18),_xlfn.XLOOKUP(AG1889,Cadastros!$G$6:$G$90,Cadastros!$H$6:$H$90))))</f>
        <v/>
      </c>
      <c r="AJ1889" s="168" t="str">
        <f t="shared" si="384"/>
        <v/>
      </c>
      <c r="AK1889" s="168" t="str">
        <f t="shared" si="385"/>
        <v/>
      </c>
      <c r="AL1889" s="28"/>
      <c r="AM1889" s="28"/>
      <c r="AN1889" s="20" t="str">
        <f>IF(AL1889="","",IF($F1889="Bernardino Furlan",_xlfn.XLOOKUP(AL1889,Cadastros!$G$6:$G$90,Cadastros!$H$6:$H$90)*(1-0.18),IF($F1889="Mauro José Salanti",_xlfn.XLOOKUP(AL1889,Cadastros!$G$6:$G$90,Cadastros!$H$6:$H$90)*(1-0.18),_xlfn.XLOOKUP(AL1889,Cadastros!$G$6:$G$90,Cadastros!$H$6:$H$90))))</f>
        <v/>
      </c>
      <c r="AO1889" s="168" t="str">
        <f t="shared" si="386"/>
        <v/>
      </c>
      <c r="AP1889" s="168" t="str">
        <f t="shared" si="387"/>
        <v/>
      </c>
      <c r="AQ1889" s="28"/>
      <c r="AR1889" s="28"/>
      <c r="AS1889" s="20" t="str">
        <f>IF(AQ1889="","",IF($F1889="Bernardino Furlan",_xlfn.XLOOKUP(AQ1889,Cadastros!$G$6:$G$90,Cadastros!$H$6:$H$90)*(1-0.18),IF($F1889="Mauro José Salanti",_xlfn.XLOOKUP(AQ1889,Cadastros!$G$6:$G$90,Cadastros!$H$6:$H$90)*(1-0.18),_xlfn.XLOOKUP(AQ1889,Cadastros!$G$6:$G$90,Cadastros!$H$6:$H$90))))</f>
        <v/>
      </c>
      <c r="AT1889" s="168" t="str">
        <f t="shared" si="388"/>
        <v/>
      </c>
      <c r="AU1889" s="168" t="str">
        <f t="shared" si="389"/>
        <v/>
      </c>
      <c r="AV1889" s="227"/>
      <c r="AW1889" s="30"/>
      <c r="AX1889" s="267"/>
      <c r="AY1889" s="267"/>
      <c r="AZ1889" s="29"/>
      <c r="BA1889" s="30"/>
      <c r="BB1889" s="23" t="str" cm="1">
        <f t="array" ref="BB1889">_xlfn.IFS(AW1889="SIM",SUM(K1889,P1889,U1889,Z1889,AE1889,AJ1889,AO1889,AT1889,AX1889,AY1889),F1889&lt;&gt;"",SUM(K1889,P1889,U1889,Z1889,AE1889,AJ1889,,AO1889,AT1889),F1889="","")</f>
        <v/>
      </c>
      <c r="BC1889" s="211" t="str" cm="1">
        <f t="array" ref="BC1889">_xlfn.IFS(E1889="","",G1889&lt;=E1889,BB1889*(1-0.03),G1889&lt;(E1889+8),BB1889,AZ1889="Boleto",BB1889*(1+0.001)^DATEDIF(E1889,G1889,"D"),AZ1889="Cheque",BB1889,AZ1889="Dinheiro","Alterar forma pgto")</f>
        <v/>
      </c>
      <c r="BD1889" s="276" t="str" cm="1">
        <f t="array" ref="BD1889">IF(F1889=0," ",IF(BC1889&lt;BB1889,(_xlfn.IFS(AW1889="SIM",SUM(L1889,Q1889,V1889,AA1889,AF1889,AK1889,AP1889,AU1889)+AX1889/_xlfn.XLOOKUP(_xlfn.XLOOKUP($F1889,Clientes!$B$4:$B$39,Clientes!$C$4:$C$39),Cadastros!$L$6:$L$12,Cadastros!$M$6:$M$12)+IF($F1889="Bernardino Furlan",AY1889/2751.92,IF($F1889="Mauro José Salanti",AY1889/2751.92,AY1889/3356)),F1889&lt;&gt;0,SUM(L1889,Q1889,V1889,AA1889,AF1889,AK1889,AP1889,AU1889)))*(1-0.03),_xlfn.IFS(AW1889="SIM",SUM(L1889,Q1889,V1889,AA1889,AF1889,AK1889,AP1889,AU1889)+AX1889/_xlfn.XLOOKUP(_xlfn.XLOOKUP($F1889,Clientes!$B$4:$B$39,Clientes!$C$4:$C$39),Cadastros!$L$6:$L$12,Cadastros!$M$6:$M$12)+IF($F1889="Bernardino Furlan",AY1889/2751.92,IF($F1889="Mauro José Salanti",AY1889/2751.92,AY1889/3356)),F1889&lt;&gt;0,SUM(L1889,Q1889,V1889,AA1889,AF1889,AK1889,AP1889,AU1889))))</f>
        <v xml:space="preserve"> </v>
      </c>
      <c r="BE1889" s="120"/>
      <c r="BF1889" s="120"/>
      <c r="BG1889" s="120"/>
    </row>
    <row r="1890" spans="1:59" s="3" customFormat="1" x14ac:dyDescent="0.3">
      <c r="A1890" s="15" t="str">
        <f t="shared" si="377"/>
        <v/>
      </c>
      <c r="B1890" s="25"/>
      <c r="C1890" s="26"/>
      <c r="D1890" s="279"/>
      <c r="E1890" s="27"/>
      <c r="F1890" s="28"/>
      <c r="G1890" s="27"/>
      <c r="H1890" s="28"/>
      <c r="I1890" s="28"/>
      <c r="J1890" s="255" t="str">
        <f>IF(H1890="","",(_xlfn.XLOOKUP(H1890,Cadastros!$D$6:$D$90,Cadastros!$E$6:$E$90))*(1-_xlfn.XLOOKUP(_xlfn.XLOOKUP($F1890,Clientes!$B$4:$B$39,Clientes!$C$4:$C$39),Cadastros!$L$6:$L$12,Cadastros!$N$6:$N$12)))</f>
        <v/>
      </c>
      <c r="K1890" s="168" t="str">
        <f t="shared" si="378"/>
        <v/>
      </c>
      <c r="L1890" s="168" t="str">
        <f>IFERROR(K1890/_xlfn.XLOOKUP(_xlfn.XLOOKUP($F1890,Clientes!$B$4:$B$39,Clientes!$C$4:$C$39),Cadastros!$L$6:$L$12,Cadastros!$M$6:$M$12)," ")</f>
        <v xml:space="preserve"> </v>
      </c>
      <c r="M1890" s="28"/>
      <c r="N1890" s="28"/>
      <c r="O1890" s="255" t="str">
        <f>IF(M1890="","",(_xlfn.XLOOKUP(M1890,Cadastros!$D$6:$D$90,Cadastros!$E$6:$E$90))*(1-_xlfn.XLOOKUP(_xlfn.XLOOKUP($F1890,Clientes!$B$4:$B$39,Clientes!$C$4:$C$39),Cadastros!$L$6:$L$12,Cadastros!$N$6:$N$12)))</f>
        <v/>
      </c>
      <c r="P1890" s="168" t="str">
        <f t="shared" si="379"/>
        <v/>
      </c>
      <c r="Q1890" s="168" t="str">
        <f>IFERROR(P1890/_xlfn.XLOOKUP(_xlfn.XLOOKUP($F1890,Clientes!$B$4:$B$39,Clientes!$C$4:$C$39),Cadastros!$L$6:$L$12,Cadastros!$M$6:$M$12)," ")</f>
        <v xml:space="preserve"> </v>
      </c>
      <c r="R1890" s="28"/>
      <c r="S1890" s="28"/>
      <c r="T1890" s="255" t="str">
        <f>IF(R1890="","",(_xlfn.XLOOKUP(R1890,Cadastros!$D$6:$D$90,Cadastros!$E$6:$E$90))*(1-_xlfn.XLOOKUP(_xlfn.XLOOKUP($F1890,Clientes!$B$4:$B$39,Clientes!$C$4:$C$39),Cadastros!$L$6:$L$12,Cadastros!$N$6:$N$12)))</f>
        <v/>
      </c>
      <c r="U1890" s="168" t="str">
        <f t="shared" si="380"/>
        <v/>
      </c>
      <c r="V1890" s="168" t="str">
        <f>IFERROR(U1890/_xlfn.XLOOKUP(_xlfn.XLOOKUP($F1890,Clientes!$B$4:$B$39,Clientes!$C$4:$C$39),Cadastros!$L$6:$L$12,Cadastros!$M$6:$M$12)," ")</f>
        <v xml:space="preserve"> </v>
      </c>
      <c r="W1890" s="28"/>
      <c r="X1890" s="28"/>
      <c r="Y1890" s="255" t="str">
        <f>IF(W1890="","",(_xlfn.XLOOKUP(W1890,Cadastros!$D$6:$D$90,Cadastros!$E$6:$E$90))*(1-_xlfn.XLOOKUP(_xlfn.XLOOKUP($F1890,Clientes!$B$4:$B$39,Clientes!$C$4:$C$39),Cadastros!$L$6:$L$12,Cadastros!$N$6:$N$12)))</f>
        <v/>
      </c>
      <c r="Z1890" s="168" t="str">
        <f t="shared" si="381"/>
        <v/>
      </c>
      <c r="AA1890" s="168" t="str">
        <f>IFERROR(Z1890/_xlfn.XLOOKUP(_xlfn.XLOOKUP($F1890,Clientes!$B$4:$B$39,Clientes!$C$4:$C$39),Cadastros!$L$6:$L$12,Cadastros!$M$6:$M$12)," ")</f>
        <v xml:space="preserve"> </v>
      </c>
      <c r="AB1890" s="28"/>
      <c r="AC1890" s="28"/>
      <c r="AD1890" s="20" t="str">
        <f>IF(AB1890="","",IF($F1890="Bernardino Furlan",_xlfn.XLOOKUP(AB1890,Cadastros!$G$6:$G$90,Cadastros!$H$6:$H$90)*(1-0.18),IF($F1890="Mauro José Salanti",_xlfn.XLOOKUP(AB1890,Cadastros!$G$6:$G$90,Cadastros!$H$6:$H$90)*(1-0.18),_xlfn.XLOOKUP(AB1890,Cadastros!$G$6:$G$90,Cadastros!$H$6:$H$90))))</f>
        <v/>
      </c>
      <c r="AE1890" s="168" t="str">
        <f t="shared" si="382"/>
        <v/>
      </c>
      <c r="AF1890" s="168" t="str">
        <f t="shared" si="383"/>
        <v/>
      </c>
      <c r="AG1890" s="28"/>
      <c r="AH1890" s="28"/>
      <c r="AI1890" s="20" t="str">
        <f>IF(AG1890="","",IF($F1890="Bernardino Furlan",_xlfn.XLOOKUP(AG1890,Cadastros!$G$6:$G$90,Cadastros!$H$6:$H$90)*(1-0.18),IF($F1890="Mauro José Salanti",_xlfn.XLOOKUP(AG1890,Cadastros!$G$6:$G$90,Cadastros!$H$6:$H$90)*(1-0.18),_xlfn.XLOOKUP(AG1890,Cadastros!$G$6:$G$90,Cadastros!$H$6:$H$90))))</f>
        <v/>
      </c>
      <c r="AJ1890" s="168" t="str">
        <f t="shared" si="384"/>
        <v/>
      </c>
      <c r="AK1890" s="168" t="str">
        <f t="shared" si="385"/>
        <v/>
      </c>
      <c r="AL1890" s="28"/>
      <c r="AM1890" s="28"/>
      <c r="AN1890" s="20" t="str">
        <f>IF(AL1890="","",IF($F1890="Bernardino Furlan",_xlfn.XLOOKUP(AL1890,Cadastros!$G$6:$G$90,Cadastros!$H$6:$H$90)*(1-0.18),IF($F1890="Mauro José Salanti",_xlfn.XLOOKUP(AL1890,Cadastros!$G$6:$G$90,Cadastros!$H$6:$H$90)*(1-0.18),_xlfn.XLOOKUP(AL1890,Cadastros!$G$6:$G$90,Cadastros!$H$6:$H$90))))</f>
        <v/>
      </c>
      <c r="AO1890" s="168" t="str">
        <f t="shared" si="386"/>
        <v/>
      </c>
      <c r="AP1890" s="168" t="str">
        <f t="shared" si="387"/>
        <v/>
      </c>
      <c r="AQ1890" s="28"/>
      <c r="AR1890" s="28"/>
      <c r="AS1890" s="20" t="str">
        <f>IF(AQ1890="","",IF($F1890="Bernardino Furlan",_xlfn.XLOOKUP(AQ1890,Cadastros!$G$6:$G$90,Cadastros!$H$6:$H$90)*(1-0.18),IF($F1890="Mauro José Salanti",_xlfn.XLOOKUP(AQ1890,Cadastros!$G$6:$G$90,Cadastros!$H$6:$H$90)*(1-0.18),_xlfn.XLOOKUP(AQ1890,Cadastros!$G$6:$G$90,Cadastros!$H$6:$H$90))))</f>
        <v/>
      </c>
      <c r="AT1890" s="168" t="str">
        <f t="shared" si="388"/>
        <v/>
      </c>
      <c r="AU1890" s="168" t="str">
        <f t="shared" si="389"/>
        <v/>
      </c>
      <c r="AV1890" s="227"/>
      <c r="AW1890" s="30"/>
      <c r="AX1890" s="267"/>
      <c r="AY1890" s="267"/>
      <c r="AZ1890" s="29"/>
      <c r="BA1890" s="30"/>
      <c r="BB1890" s="23" t="str" cm="1">
        <f t="array" ref="BB1890">_xlfn.IFS(AW1890="SIM",SUM(K1890,P1890,U1890,Z1890,AE1890,AJ1890,AO1890,AT1890,AX1890,AY1890),F1890&lt;&gt;"",SUM(K1890,P1890,U1890,Z1890,AE1890,AJ1890,,AO1890,AT1890),F1890="","")</f>
        <v/>
      </c>
      <c r="BC1890" s="211" t="str" cm="1">
        <f t="array" ref="BC1890">_xlfn.IFS(E1890="","",G1890&lt;=E1890,BB1890*(1-0.03),G1890&lt;(E1890+8),BB1890,AZ1890="Boleto",BB1890*(1+0.001)^DATEDIF(E1890,G1890,"D"),AZ1890="Cheque",BB1890,AZ1890="Dinheiro","Alterar forma pgto")</f>
        <v/>
      </c>
      <c r="BD1890" s="276" t="str" cm="1">
        <f t="array" ref="BD1890">IF(F1890=0," ",IF(BC1890&lt;BB1890,(_xlfn.IFS(AW1890="SIM",SUM(L1890,Q1890,V1890,AA1890,AF1890,AK1890,AP1890,AU1890)+AX1890/_xlfn.XLOOKUP(_xlfn.XLOOKUP($F1890,Clientes!$B$4:$B$39,Clientes!$C$4:$C$39),Cadastros!$L$6:$L$12,Cadastros!$M$6:$M$12)+IF($F1890="Bernardino Furlan",AY1890/2751.92,IF($F1890="Mauro José Salanti",AY1890/2751.92,AY1890/3356)),F1890&lt;&gt;0,SUM(L1890,Q1890,V1890,AA1890,AF1890,AK1890,AP1890,AU1890)))*(1-0.03),_xlfn.IFS(AW1890="SIM",SUM(L1890,Q1890,V1890,AA1890,AF1890,AK1890,AP1890,AU1890)+AX1890/_xlfn.XLOOKUP(_xlfn.XLOOKUP($F1890,Clientes!$B$4:$B$39,Clientes!$C$4:$C$39),Cadastros!$L$6:$L$12,Cadastros!$M$6:$M$12)+IF($F1890="Bernardino Furlan",AY1890/2751.92,IF($F1890="Mauro José Salanti",AY1890/2751.92,AY1890/3356)),F1890&lt;&gt;0,SUM(L1890,Q1890,V1890,AA1890,AF1890,AK1890,AP1890,AU1890))))</f>
        <v xml:space="preserve"> </v>
      </c>
      <c r="BE1890" s="120"/>
      <c r="BF1890" s="120"/>
      <c r="BG1890" s="120"/>
    </row>
    <row r="1891" spans="1:59" s="3" customFormat="1" x14ac:dyDescent="0.3">
      <c r="A1891" s="15" t="str">
        <f t="shared" si="377"/>
        <v/>
      </c>
      <c r="B1891" s="25"/>
      <c r="C1891" s="26"/>
      <c r="D1891" s="279"/>
      <c r="E1891" s="27"/>
      <c r="F1891" s="28"/>
      <c r="G1891" s="27"/>
      <c r="H1891" s="28"/>
      <c r="I1891" s="28"/>
      <c r="J1891" s="255" t="str">
        <f>IF(H1891="","",(_xlfn.XLOOKUP(H1891,Cadastros!$D$6:$D$90,Cadastros!$E$6:$E$90))*(1-_xlfn.XLOOKUP(_xlfn.XLOOKUP($F1891,Clientes!$B$4:$B$39,Clientes!$C$4:$C$39),Cadastros!$L$6:$L$12,Cadastros!$N$6:$N$12)))</f>
        <v/>
      </c>
      <c r="K1891" s="168" t="str">
        <f t="shared" si="378"/>
        <v/>
      </c>
      <c r="L1891" s="168" t="str">
        <f>IFERROR(K1891/_xlfn.XLOOKUP(_xlfn.XLOOKUP($F1891,Clientes!$B$4:$B$39,Clientes!$C$4:$C$39),Cadastros!$L$6:$L$12,Cadastros!$M$6:$M$12)," ")</f>
        <v xml:space="preserve"> </v>
      </c>
      <c r="M1891" s="28"/>
      <c r="N1891" s="28"/>
      <c r="O1891" s="255" t="str">
        <f>IF(M1891="","",(_xlfn.XLOOKUP(M1891,Cadastros!$D$6:$D$90,Cadastros!$E$6:$E$90))*(1-_xlfn.XLOOKUP(_xlfn.XLOOKUP($F1891,Clientes!$B$4:$B$39,Clientes!$C$4:$C$39),Cadastros!$L$6:$L$12,Cadastros!$N$6:$N$12)))</f>
        <v/>
      </c>
      <c r="P1891" s="168" t="str">
        <f t="shared" si="379"/>
        <v/>
      </c>
      <c r="Q1891" s="168" t="str">
        <f>IFERROR(P1891/_xlfn.XLOOKUP(_xlfn.XLOOKUP($F1891,Clientes!$B$4:$B$39,Clientes!$C$4:$C$39),Cadastros!$L$6:$L$12,Cadastros!$M$6:$M$12)," ")</f>
        <v xml:space="preserve"> </v>
      </c>
      <c r="R1891" s="28"/>
      <c r="S1891" s="28"/>
      <c r="T1891" s="255" t="str">
        <f>IF(R1891="","",(_xlfn.XLOOKUP(R1891,Cadastros!$D$6:$D$90,Cadastros!$E$6:$E$90))*(1-_xlfn.XLOOKUP(_xlfn.XLOOKUP($F1891,Clientes!$B$4:$B$39,Clientes!$C$4:$C$39),Cadastros!$L$6:$L$12,Cadastros!$N$6:$N$12)))</f>
        <v/>
      </c>
      <c r="U1891" s="168" t="str">
        <f t="shared" si="380"/>
        <v/>
      </c>
      <c r="V1891" s="168" t="str">
        <f>IFERROR(U1891/_xlfn.XLOOKUP(_xlfn.XLOOKUP($F1891,Clientes!$B$4:$B$39,Clientes!$C$4:$C$39),Cadastros!$L$6:$L$12,Cadastros!$M$6:$M$12)," ")</f>
        <v xml:space="preserve"> </v>
      </c>
      <c r="W1891" s="28"/>
      <c r="X1891" s="28"/>
      <c r="Y1891" s="255" t="str">
        <f>IF(W1891="","",(_xlfn.XLOOKUP(W1891,Cadastros!$D$6:$D$90,Cadastros!$E$6:$E$90))*(1-_xlfn.XLOOKUP(_xlfn.XLOOKUP($F1891,Clientes!$B$4:$B$39,Clientes!$C$4:$C$39),Cadastros!$L$6:$L$12,Cadastros!$N$6:$N$12)))</f>
        <v/>
      </c>
      <c r="Z1891" s="168" t="str">
        <f t="shared" si="381"/>
        <v/>
      </c>
      <c r="AA1891" s="168" t="str">
        <f>IFERROR(Z1891/_xlfn.XLOOKUP(_xlfn.XLOOKUP($F1891,Clientes!$B$4:$B$39,Clientes!$C$4:$C$39),Cadastros!$L$6:$L$12,Cadastros!$M$6:$M$12)," ")</f>
        <v xml:space="preserve"> </v>
      </c>
      <c r="AB1891" s="28"/>
      <c r="AC1891" s="28"/>
      <c r="AD1891" s="20" t="str">
        <f>IF(AB1891="","",IF($F1891="Bernardino Furlan",_xlfn.XLOOKUP(AB1891,Cadastros!$G$6:$G$90,Cadastros!$H$6:$H$90)*(1-0.18),IF($F1891="Mauro José Salanti",_xlfn.XLOOKUP(AB1891,Cadastros!$G$6:$G$90,Cadastros!$H$6:$H$90)*(1-0.18),_xlfn.XLOOKUP(AB1891,Cadastros!$G$6:$G$90,Cadastros!$H$6:$H$90))))</f>
        <v/>
      </c>
      <c r="AE1891" s="168" t="str">
        <f t="shared" si="382"/>
        <v/>
      </c>
      <c r="AF1891" s="168" t="str">
        <f t="shared" si="383"/>
        <v/>
      </c>
      <c r="AG1891" s="28"/>
      <c r="AH1891" s="28"/>
      <c r="AI1891" s="20" t="str">
        <f>IF(AG1891="","",IF($F1891="Bernardino Furlan",_xlfn.XLOOKUP(AG1891,Cadastros!$G$6:$G$90,Cadastros!$H$6:$H$90)*(1-0.18),IF($F1891="Mauro José Salanti",_xlfn.XLOOKUP(AG1891,Cadastros!$G$6:$G$90,Cadastros!$H$6:$H$90)*(1-0.18),_xlfn.XLOOKUP(AG1891,Cadastros!$G$6:$G$90,Cadastros!$H$6:$H$90))))</f>
        <v/>
      </c>
      <c r="AJ1891" s="168" t="str">
        <f t="shared" si="384"/>
        <v/>
      </c>
      <c r="AK1891" s="168" t="str">
        <f t="shared" si="385"/>
        <v/>
      </c>
      <c r="AL1891" s="28"/>
      <c r="AM1891" s="28"/>
      <c r="AN1891" s="20" t="str">
        <f>IF(AL1891="","",IF($F1891="Bernardino Furlan",_xlfn.XLOOKUP(AL1891,Cadastros!$G$6:$G$90,Cadastros!$H$6:$H$90)*(1-0.18),IF($F1891="Mauro José Salanti",_xlfn.XLOOKUP(AL1891,Cadastros!$G$6:$G$90,Cadastros!$H$6:$H$90)*(1-0.18),_xlfn.XLOOKUP(AL1891,Cadastros!$G$6:$G$90,Cadastros!$H$6:$H$90))))</f>
        <v/>
      </c>
      <c r="AO1891" s="168" t="str">
        <f t="shared" si="386"/>
        <v/>
      </c>
      <c r="AP1891" s="168" t="str">
        <f t="shared" si="387"/>
        <v/>
      </c>
      <c r="AQ1891" s="28"/>
      <c r="AR1891" s="28"/>
      <c r="AS1891" s="20" t="str">
        <f>IF(AQ1891="","",IF($F1891="Bernardino Furlan",_xlfn.XLOOKUP(AQ1891,Cadastros!$G$6:$G$90,Cadastros!$H$6:$H$90)*(1-0.18),IF($F1891="Mauro José Salanti",_xlfn.XLOOKUP(AQ1891,Cadastros!$G$6:$G$90,Cadastros!$H$6:$H$90)*(1-0.18),_xlfn.XLOOKUP(AQ1891,Cadastros!$G$6:$G$90,Cadastros!$H$6:$H$90))))</f>
        <v/>
      </c>
      <c r="AT1891" s="168" t="str">
        <f t="shared" si="388"/>
        <v/>
      </c>
      <c r="AU1891" s="168" t="str">
        <f t="shared" si="389"/>
        <v/>
      </c>
      <c r="AV1891" s="227"/>
      <c r="AW1891" s="30"/>
      <c r="AX1891" s="267"/>
      <c r="AY1891" s="267"/>
      <c r="AZ1891" s="29"/>
      <c r="BA1891" s="30"/>
      <c r="BB1891" s="23" t="str" cm="1">
        <f t="array" ref="BB1891">_xlfn.IFS(AW1891="SIM",SUM(K1891,P1891,U1891,Z1891,AE1891,AJ1891,AO1891,AT1891,AX1891,AY1891),F1891&lt;&gt;"",SUM(K1891,P1891,U1891,Z1891,AE1891,AJ1891,,AO1891,AT1891),F1891="","")</f>
        <v/>
      </c>
      <c r="BC1891" s="211" t="str" cm="1">
        <f t="array" ref="BC1891">_xlfn.IFS(E1891="","",G1891&lt;=E1891,BB1891*(1-0.03),G1891&lt;(E1891+8),BB1891,AZ1891="Boleto",BB1891*(1+0.001)^DATEDIF(E1891,G1891,"D"),AZ1891="Cheque",BB1891,AZ1891="Dinheiro","Alterar forma pgto")</f>
        <v/>
      </c>
      <c r="BD1891" s="276" t="str" cm="1">
        <f t="array" ref="BD1891">IF(F1891=0," ",IF(BC1891&lt;BB1891,(_xlfn.IFS(AW1891="SIM",SUM(L1891,Q1891,V1891,AA1891,AF1891,AK1891,AP1891,AU1891)+AX1891/_xlfn.XLOOKUP(_xlfn.XLOOKUP($F1891,Clientes!$B$4:$B$39,Clientes!$C$4:$C$39),Cadastros!$L$6:$L$12,Cadastros!$M$6:$M$12)+IF($F1891="Bernardino Furlan",AY1891/2751.92,IF($F1891="Mauro José Salanti",AY1891/2751.92,AY1891/3356)),F1891&lt;&gt;0,SUM(L1891,Q1891,V1891,AA1891,AF1891,AK1891,AP1891,AU1891)))*(1-0.03),_xlfn.IFS(AW1891="SIM",SUM(L1891,Q1891,V1891,AA1891,AF1891,AK1891,AP1891,AU1891)+AX1891/_xlfn.XLOOKUP(_xlfn.XLOOKUP($F1891,Clientes!$B$4:$B$39,Clientes!$C$4:$C$39),Cadastros!$L$6:$L$12,Cadastros!$M$6:$M$12)+IF($F1891="Bernardino Furlan",AY1891/2751.92,IF($F1891="Mauro José Salanti",AY1891/2751.92,AY1891/3356)),F1891&lt;&gt;0,SUM(L1891,Q1891,V1891,AA1891,AF1891,AK1891,AP1891,AU1891))))</f>
        <v xml:space="preserve"> </v>
      </c>
      <c r="BE1891" s="120"/>
      <c r="BF1891" s="120"/>
      <c r="BG1891" s="120"/>
    </row>
    <row r="1892" spans="1:59" s="3" customFormat="1" x14ac:dyDescent="0.3">
      <c r="A1892" s="15" t="str">
        <f t="shared" si="377"/>
        <v/>
      </c>
      <c r="B1892" s="25"/>
      <c r="C1892" s="26"/>
      <c r="D1892" s="279"/>
      <c r="E1892" s="27"/>
      <c r="F1892" s="28"/>
      <c r="G1892" s="27"/>
      <c r="H1892" s="28"/>
      <c r="I1892" s="28"/>
      <c r="J1892" s="255" t="str">
        <f>IF(H1892="","",(_xlfn.XLOOKUP(H1892,Cadastros!$D$6:$D$90,Cadastros!$E$6:$E$90))*(1-_xlfn.XLOOKUP(_xlfn.XLOOKUP($F1892,Clientes!$B$4:$B$39,Clientes!$C$4:$C$39),Cadastros!$L$6:$L$12,Cadastros!$N$6:$N$12)))</f>
        <v/>
      </c>
      <c r="K1892" s="168" t="str">
        <f t="shared" si="378"/>
        <v/>
      </c>
      <c r="L1892" s="168" t="str">
        <f>IFERROR(K1892/_xlfn.XLOOKUP(_xlfn.XLOOKUP($F1892,Clientes!$B$4:$B$39,Clientes!$C$4:$C$39),Cadastros!$L$6:$L$12,Cadastros!$M$6:$M$12)," ")</f>
        <v xml:space="preserve"> </v>
      </c>
      <c r="M1892" s="28"/>
      <c r="N1892" s="28"/>
      <c r="O1892" s="255" t="str">
        <f>IF(M1892="","",(_xlfn.XLOOKUP(M1892,Cadastros!$D$6:$D$90,Cadastros!$E$6:$E$90))*(1-_xlfn.XLOOKUP(_xlfn.XLOOKUP($F1892,Clientes!$B$4:$B$39,Clientes!$C$4:$C$39),Cadastros!$L$6:$L$12,Cadastros!$N$6:$N$12)))</f>
        <v/>
      </c>
      <c r="P1892" s="168" t="str">
        <f t="shared" si="379"/>
        <v/>
      </c>
      <c r="Q1892" s="168" t="str">
        <f>IFERROR(P1892/_xlfn.XLOOKUP(_xlfn.XLOOKUP($F1892,Clientes!$B$4:$B$39,Clientes!$C$4:$C$39),Cadastros!$L$6:$L$12,Cadastros!$M$6:$M$12)," ")</f>
        <v xml:space="preserve"> </v>
      </c>
      <c r="R1892" s="28"/>
      <c r="S1892" s="28"/>
      <c r="T1892" s="255" t="str">
        <f>IF(R1892="","",(_xlfn.XLOOKUP(R1892,Cadastros!$D$6:$D$90,Cadastros!$E$6:$E$90))*(1-_xlfn.XLOOKUP(_xlfn.XLOOKUP($F1892,Clientes!$B$4:$B$39,Clientes!$C$4:$C$39),Cadastros!$L$6:$L$12,Cadastros!$N$6:$N$12)))</f>
        <v/>
      </c>
      <c r="U1892" s="168" t="str">
        <f t="shared" si="380"/>
        <v/>
      </c>
      <c r="V1892" s="168" t="str">
        <f>IFERROR(U1892/_xlfn.XLOOKUP(_xlfn.XLOOKUP($F1892,Clientes!$B$4:$B$39,Clientes!$C$4:$C$39),Cadastros!$L$6:$L$12,Cadastros!$M$6:$M$12)," ")</f>
        <v xml:space="preserve"> </v>
      </c>
      <c r="W1892" s="28"/>
      <c r="X1892" s="28"/>
      <c r="Y1892" s="255" t="str">
        <f>IF(W1892="","",(_xlfn.XLOOKUP(W1892,Cadastros!$D$6:$D$90,Cadastros!$E$6:$E$90))*(1-_xlfn.XLOOKUP(_xlfn.XLOOKUP($F1892,Clientes!$B$4:$B$39,Clientes!$C$4:$C$39),Cadastros!$L$6:$L$12,Cadastros!$N$6:$N$12)))</f>
        <v/>
      </c>
      <c r="Z1892" s="168" t="str">
        <f t="shared" si="381"/>
        <v/>
      </c>
      <c r="AA1892" s="168" t="str">
        <f>IFERROR(Z1892/_xlfn.XLOOKUP(_xlfn.XLOOKUP($F1892,Clientes!$B$4:$B$39,Clientes!$C$4:$C$39),Cadastros!$L$6:$L$12,Cadastros!$M$6:$M$12)," ")</f>
        <v xml:space="preserve"> </v>
      </c>
      <c r="AB1892" s="28"/>
      <c r="AC1892" s="28"/>
      <c r="AD1892" s="20" t="str">
        <f>IF(AB1892="","",IF($F1892="Bernardino Furlan",_xlfn.XLOOKUP(AB1892,Cadastros!$G$6:$G$90,Cadastros!$H$6:$H$90)*(1-0.18),IF($F1892="Mauro José Salanti",_xlfn.XLOOKUP(AB1892,Cadastros!$G$6:$G$90,Cadastros!$H$6:$H$90)*(1-0.18),_xlfn.XLOOKUP(AB1892,Cadastros!$G$6:$G$90,Cadastros!$H$6:$H$90))))</f>
        <v/>
      </c>
      <c r="AE1892" s="168" t="str">
        <f t="shared" si="382"/>
        <v/>
      </c>
      <c r="AF1892" s="168" t="str">
        <f t="shared" si="383"/>
        <v/>
      </c>
      <c r="AG1892" s="28"/>
      <c r="AH1892" s="28"/>
      <c r="AI1892" s="20" t="str">
        <f>IF(AG1892="","",IF($F1892="Bernardino Furlan",_xlfn.XLOOKUP(AG1892,Cadastros!$G$6:$G$90,Cadastros!$H$6:$H$90)*(1-0.18),IF($F1892="Mauro José Salanti",_xlfn.XLOOKUP(AG1892,Cadastros!$G$6:$G$90,Cadastros!$H$6:$H$90)*(1-0.18),_xlfn.XLOOKUP(AG1892,Cadastros!$G$6:$G$90,Cadastros!$H$6:$H$90))))</f>
        <v/>
      </c>
      <c r="AJ1892" s="168" t="str">
        <f t="shared" si="384"/>
        <v/>
      </c>
      <c r="AK1892" s="168" t="str">
        <f t="shared" si="385"/>
        <v/>
      </c>
      <c r="AL1892" s="28"/>
      <c r="AM1892" s="28"/>
      <c r="AN1892" s="20" t="str">
        <f>IF(AL1892="","",IF($F1892="Bernardino Furlan",_xlfn.XLOOKUP(AL1892,Cadastros!$G$6:$G$90,Cadastros!$H$6:$H$90)*(1-0.18),IF($F1892="Mauro José Salanti",_xlfn.XLOOKUP(AL1892,Cadastros!$G$6:$G$90,Cadastros!$H$6:$H$90)*(1-0.18),_xlfn.XLOOKUP(AL1892,Cadastros!$G$6:$G$90,Cadastros!$H$6:$H$90))))</f>
        <v/>
      </c>
      <c r="AO1892" s="168" t="str">
        <f t="shared" si="386"/>
        <v/>
      </c>
      <c r="AP1892" s="168" t="str">
        <f t="shared" si="387"/>
        <v/>
      </c>
      <c r="AQ1892" s="28"/>
      <c r="AR1892" s="28"/>
      <c r="AS1892" s="20" t="str">
        <f>IF(AQ1892="","",IF($F1892="Bernardino Furlan",_xlfn.XLOOKUP(AQ1892,Cadastros!$G$6:$G$90,Cadastros!$H$6:$H$90)*(1-0.18),IF($F1892="Mauro José Salanti",_xlfn.XLOOKUP(AQ1892,Cadastros!$G$6:$G$90,Cadastros!$H$6:$H$90)*(1-0.18),_xlfn.XLOOKUP(AQ1892,Cadastros!$G$6:$G$90,Cadastros!$H$6:$H$90))))</f>
        <v/>
      </c>
      <c r="AT1892" s="168" t="str">
        <f t="shared" si="388"/>
        <v/>
      </c>
      <c r="AU1892" s="168" t="str">
        <f t="shared" si="389"/>
        <v/>
      </c>
      <c r="AV1892" s="227"/>
      <c r="AW1892" s="30"/>
      <c r="AX1892" s="267"/>
      <c r="AY1892" s="267"/>
      <c r="AZ1892" s="29"/>
      <c r="BA1892" s="30"/>
      <c r="BB1892" s="23" t="str" cm="1">
        <f t="array" ref="BB1892">_xlfn.IFS(AW1892="SIM",SUM(K1892,P1892,U1892,Z1892,AE1892,AJ1892,AO1892,AT1892,AX1892,AY1892),F1892&lt;&gt;"",SUM(K1892,P1892,U1892,Z1892,AE1892,AJ1892,,AO1892,AT1892),F1892="","")</f>
        <v/>
      </c>
      <c r="BC1892" s="211" t="str" cm="1">
        <f t="array" ref="BC1892">_xlfn.IFS(E1892="","",G1892&lt;=E1892,BB1892*(1-0.03),G1892&lt;(E1892+8),BB1892,AZ1892="Boleto",BB1892*(1+0.001)^DATEDIF(E1892,G1892,"D"),AZ1892="Cheque",BB1892,AZ1892="Dinheiro","Alterar forma pgto")</f>
        <v/>
      </c>
      <c r="BD1892" s="276" t="str" cm="1">
        <f t="array" ref="BD1892">IF(F1892=0," ",IF(BC1892&lt;BB1892,(_xlfn.IFS(AW1892="SIM",SUM(L1892,Q1892,V1892,AA1892,AF1892,AK1892,AP1892,AU1892)+AX1892/_xlfn.XLOOKUP(_xlfn.XLOOKUP($F1892,Clientes!$B$4:$B$39,Clientes!$C$4:$C$39),Cadastros!$L$6:$L$12,Cadastros!$M$6:$M$12)+IF($F1892="Bernardino Furlan",AY1892/2751.92,IF($F1892="Mauro José Salanti",AY1892/2751.92,AY1892/3356)),F1892&lt;&gt;0,SUM(L1892,Q1892,V1892,AA1892,AF1892,AK1892,AP1892,AU1892)))*(1-0.03),_xlfn.IFS(AW1892="SIM",SUM(L1892,Q1892,V1892,AA1892,AF1892,AK1892,AP1892,AU1892)+AX1892/_xlfn.XLOOKUP(_xlfn.XLOOKUP($F1892,Clientes!$B$4:$B$39,Clientes!$C$4:$C$39),Cadastros!$L$6:$L$12,Cadastros!$M$6:$M$12)+IF($F1892="Bernardino Furlan",AY1892/2751.92,IF($F1892="Mauro José Salanti",AY1892/2751.92,AY1892/3356)),F1892&lt;&gt;0,SUM(L1892,Q1892,V1892,AA1892,AF1892,AK1892,AP1892,AU1892))))</f>
        <v xml:space="preserve"> </v>
      </c>
      <c r="BE1892" s="120"/>
      <c r="BF1892" s="120"/>
      <c r="BG1892" s="120"/>
    </row>
    <row r="1893" spans="1:59" s="3" customFormat="1" x14ac:dyDescent="0.3">
      <c r="A1893" s="15" t="str">
        <f t="shared" si="377"/>
        <v/>
      </c>
      <c r="B1893" s="25"/>
      <c r="C1893" s="26"/>
      <c r="D1893" s="279"/>
      <c r="E1893" s="27"/>
      <c r="F1893" s="28"/>
      <c r="G1893" s="27"/>
      <c r="H1893" s="28"/>
      <c r="I1893" s="28"/>
      <c r="J1893" s="255" t="str">
        <f>IF(H1893="","",(_xlfn.XLOOKUP(H1893,Cadastros!$D$6:$D$90,Cadastros!$E$6:$E$90))*(1-_xlfn.XLOOKUP(_xlfn.XLOOKUP($F1893,Clientes!$B$4:$B$39,Clientes!$C$4:$C$39),Cadastros!$L$6:$L$12,Cadastros!$N$6:$N$12)))</f>
        <v/>
      </c>
      <c r="K1893" s="168" t="str">
        <f t="shared" si="378"/>
        <v/>
      </c>
      <c r="L1893" s="168" t="str">
        <f>IFERROR(K1893/_xlfn.XLOOKUP(_xlfn.XLOOKUP($F1893,Clientes!$B$4:$B$39,Clientes!$C$4:$C$39),Cadastros!$L$6:$L$12,Cadastros!$M$6:$M$12)," ")</f>
        <v xml:space="preserve"> </v>
      </c>
      <c r="M1893" s="28"/>
      <c r="N1893" s="28"/>
      <c r="O1893" s="255" t="str">
        <f>IF(M1893="","",(_xlfn.XLOOKUP(M1893,Cadastros!$D$6:$D$90,Cadastros!$E$6:$E$90))*(1-_xlfn.XLOOKUP(_xlfn.XLOOKUP($F1893,Clientes!$B$4:$B$39,Clientes!$C$4:$C$39),Cadastros!$L$6:$L$12,Cadastros!$N$6:$N$12)))</f>
        <v/>
      </c>
      <c r="P1893" s="168" t="str">
        <f t="shared" si="379"/>
        <v/>
      </c>
      <c r="Q1893" s="168" t="str">
        <f>IFERROR(P1893/_xlfn.XLOOKUP(_xlfn.XLOOKUP($F1893,Clientes!$B$4:$B$39,Clientes!$C$4:$C$39),Cadastros!$L$6:$L$12,Cadastros!$M$6:$M$12)," ")</f>
        <v xml:space="preserve"> </v>
      </c>
      <c r="R1893" s="28"/>
      <c r="S1893" s="28"/>
      <c r="T1893" s="255" t="str">
        <f>IF(R1893="","",(_xlfn.XLOOKUP(R1893,Cadastros!$D$6:$D$90,Cadastros!$E$6:$E$90))*(1-_xlfn.XLOOKUP(_xlfn.XLOOKUP($F1893,Clientes!$B$4:$B$39,Clientes!$C$4:$C$39),Cadastros!$L$6:$L$12,Cadastros!$N$6:$N$12)))</f>
        <v/>
      </c>
      <c r="U1893" s="168" t="str">
        <f t="shared" si="380"/>
        <v/>
      </c>
      <c r="V1893" s="168" t="str">
        <f>IFERROR(U1893/_xlfn.XLOOKUP(_xlfn.XLOOKUP($F1893,Clientes!$B$4:$B$39,Clientes!$C$4:$C$39),Cadastros!$L$6:$L$12,Cadastros!$M$6:$M$12)," ")</f>
        <v xml:space="preserve"> </v>
      </c>
      <c r="W1893" s="28"/>
      <c r="X1893" s="28"/>
      <c r="Y1893" s="255" t="str">
        <f>IF(W1893="","",(_xlfn.XLOOKUP(W1893,Cadastros!$D$6:$D$90,Cadastros!$E$6:$E$90))*(1-_xlfn.XLOOKUP(_xlfn.XLOOKUP($F1893,Clientes!$B$4:$B$39,Clientes!$C$4:$C$39),Cadastros!$L$6:$L$12,Cadastros!$N$6:$N$12)))</f>
        <v/>
      </c>
      <c r="Z1893" s="168" t="str">
        <f t="shared" si="381"/>
        <v/>
      </c>
      <c r="AA1893" s="168" t="str">
        <f>IFERROR(Z1893/_xlfn.XLOOKUP(_xlfn.XLOOKUP($F1893,Clientes!$B$4:$B$39,Clientes!$C$4:$C$39),Cadastros!$L$6:$L$12,Cadastros!$M$6:$M$12)," ")</f>
        <v xml:space="preserve"> </v>
      </c>
      <c r="AB1893" s="28"/>
      <c r="AC1893" s="28"/>
      <c r="AD1893" s="20" t="str">
        <f>IF(AB1893="","",IF($F1893="Bernardino Furlan",_xlfn.XLOOKUP(AB1893,Cadastros!$G$6:$G$90,Cadastros!$H$6:$H$90)*(1-0.18),IF($F1893="Mauro José Salanti",_xlfn.XLOOKUP(AB1893,Cadastros!$G$6:$G$90,Cadastros!$H$6:$H$90)*(1-0.18),_xlfn.XLOOKUP(AB1893,Cadastros!$G$6:$G$90,Cadastros!$H$6:$H$90))))</f>
        <v/>
      </c>
      <c r="AE1893" s="168" t="str">
        <f t="shared" si="382"/>
        <v/>
      </c>
      <c r="AF1893" s="168" t="str">
        <f t="shared" si="383"/>
        <v/>
      </c>
      <c r="AG1893" s="28"/>
      <c r="AH1893" s="28"/>
      <c r="AI1893" s="20" t="str">
        <f>IF(AG1893="","",IF($F1893="Bernardino Furlan",_xlfn.XLOOKUP(AG1893,Cadastros!$G$6:$G$90,Cadastros!$H$6:$H$90)*(1-0.18),IF($F1893="Mauro José Salanti",_xlfn.XLOOKUP(AG1893,Cadastros!$G$6:$G$90,Cadastros!$H$6:$H$90)*(1-0.18),_xlfn.XLOOKUP(AG1893,Cadastros!$G$6:$G$90,Cadastros!$H$6:$H$90))))</f>
        <v/>
      </c>
      <c r="AJ1893" s="168" t="str">
        <f t="shared" si="384"/>
        <v/>
      </c>
      <c r="AK1893" s="168" t="str">
        <f t="shared" si="385"/>
        <v/>
      </c>
      <c r="AL1893" s="28"/>
      <c r="AM1893" s="28"/>
      <c r="AN1893" s="20" t="str">
        <f>IF(AL1893="","",IF($F1893="Bernardino Furlan",_xlfn.XLOOKUP(AL1893,Cadastros!$G$6:$G$90,Cadastros!$H$6:$H$90)*(1-0.18),IF($F1893="Mauro José Salanti",_xlfn.XLOOKUP(AL1893,Cadastros!$G$6:$G$90,Cadastros!$H$6:$H$90)*(1-0.18),_xlfn.XLOOKUP(AL1893,Cadastros!$G$6:$G$90,Cadastros!$H$6:$H$90))))</f>
        <v/>
      </c>
      <c r="AO1893" s="168" t="str">
        <f t="shared" si="386"/>
        <v/>
      </c>
      <c r="AP1893" s="168" t="str">
        <f t="shared" si="387"/>
        <v/>
      </c>
      <c r="AQ1893" s="28"/>
      <c r="AR1893" s="28"/>
      <c r="AS1893" s="20" t="str">
        <f>IF(AQ1893="","",IF($F1893="Bernardino Furlan",_xlfn.XLOOKUP(AQ1893,Cadastros!$G$6:$G$90,Cadastros!$H$6:$H$90)*(1-0.18),IF($F1893="Mauro José Salanti",_xlfn.XLOOKUP(AQ1893,Cadastros!$G$6:$G$90,Cadastros!$H$6:$H$90)*(1-0.18),_xlfn.XLOOKUP(AQ1893,Cadastros!$G$6:$G$90,Cadastros!$H$6:$H$90))))</f>
        <v/>
      </c>
      <c r="AT1893" s="168" t="str">
        <f t="shared" si="388"/>
        <v/>
      </c>
      <c r="AU1893" s="168" t="str">
        <f t="shared" si="389"/>
        <v/>
      </c>
      <c r="AV1893" s="227"/>
      <c r="AW1893" s="30"/>
      <c r="AX1893" s="267"/>
      <c r="AY1893" s="267"/>
      <c r="AZ1893" s="29"/>
      <c r="BA1893" s="30"/>
      <c r="BB1893" s="23" t="str" cm="1">
        <f t="array" ref="BB1893">_xlfn.IFS(AW1893="SIM",SUM(K1893,P1893,U1893,Z1893,AE1893,AJ1893,AO1893,AT1893,AX1893,AY1893),F1893&lt;&gt;"",SUM(K1893,P1893,U1893,Z1893,AE1893,AJ1893,,AO1893,AT1893),F1893="","")</f>
        <v/>
      </c>
      <c r="BC1893" s="211" t="str" cm="1">
        <f t="array" ref="BC1893">_xlfn.IFS(E1893="","",G1893&lt;=E1893,BB1893*(1-0.03),G1893&lt;(E1893+8),BB1893,AZ1893="Boleto",BB1893*(1+0.001)^DATEDIF(E1893,G1893,"D"),AZ1893="Cheque",BB1893,AZ1893="Dinheiro","Alterar forma pgto")</f>
        <v/>
      </c>
      <c r="BD1893" s="276" t="str" cm="1">
        <f t="array" ref="BD1893">IF(F1893=0," ",IF(BC1893&lt;BB1893,(_xlfn.IFS(AW1893="SIM",SUM(L1893,Q1893,V1893,AA1893,AF1893,AK1893,AP1893,AU1893)+AX1893/_xlfn.XLOOKUP(_xlfn.XLOOKUP($F1893,Clientes!$B$4:$B$39,Clientes!$C$4:$C$39),Cadastros!$L$6:$L$12,Cadastros!$M$6:$M$12)+IF($F1893="Bernardino Furlan",AY1893/2751.92,IF($F1893="Mauro José Salanti",AY1893/2751.92,AY1893/3356)),F1893&lt;&gt;0,SUM(L1893,Q1893,V1893,AA1893,AF1893,AK1893,AP1893,AU1893)))*(1-0.03),_xlfn.IFS(AW1893="SIM",SUM(L1893,Q1893,V1893,AA1893,AF1893,AK1893,AP1893,AU1893)+AX1893/_xlfn.XLOOKUP(_xlfn.XLOOKUP($F1893,Clientes!$B$4:$B$39,Clientes!$C$4:$C$39),Cadastros!$L$6:$L$12,Cadastros!$M$6:$M$12)+IF($F1893="Bernardino Furlan",AY1893/2751.92,IF($F1893="Mauro José Salanti",AY1893/2751.92,AY1893/3356)),F1893&lt;&gt;0,SUM(L1893,Q1893,V1893,AA1893,AF1893,AK1893,AP1893,AU1893))))</f>
        <v xml:space="preserve"> </v>
      </c>
      <c r="BE1893" s="120"/>
      <c r="BF1893" s="120"/>
      <c r="BG1893" s="120"/>
    </row>
    <row r="1894" spans="1:59" s="3" customFormat="1" x14ac:dyDescent="0.3">
      <c r="A1894" s="15" t="str">
        <f t="shared" si="377"/>
        <v/>
      </c>
      <c r="B1894" s="25"/>
      <c r="C1894" s="26"/>
      <c r="D1894" s="279"/>
      <c r="E1894" s="27"/>
      <c r="F1894" s="28"/>
      <c r="G1894" s="27"/>
      <c r="H1894" s="28"/>
      <c r="I1894" s="28"/>
      <c r="J1894" s="255" t="str">
        <f>IF(H1894="","",(_xlfn.XLOOKUP(H1894,Cadastros!$D$6:$D$90,Cadastros!$E$6:$E$90))*(1-_xlfn.XLOOKUP(_xlfn.XLOOKUP($F1894,Clientes!$B$4:$B$39,Clientes!$C$4:$C$39),Cadastros!$L$6:$L$12,Cadastros!$N$6:$N$12)))</f>
        <v/>
      </c>
      <c r="K1894" s="168" t="str">
        <f t="shared" si="378"/>
        <v/>
      </c>
      <c r="L1894" s="168" t="str">
        <f>IFERROR(K1894/_xlfn.XLOOKUP(_xlfn.XLOOKUP($F1894,Clientes!$B$4:$B$39,Clientes!$C$4:$C$39),Cadastros!$L$6:$L$12,Cadastros!$M$6:$M$12)," ")</f>
        <v xml:space="preserve"> </v>
      </c>
      <c r="M1894" s="28"/>
      <c r="N1894" s="28"/>
      <c r="O1894" s="255" t="str">
        <f>IF(M1894="","",(_xlfn.XLOOKUP(M1894,Cadastros!$D$6:$D$90,Cadastros!$E$6:$E$90))*(1-_xlfn.XLOOKUP(_xlfn.XLOOKUP($F1894,Clientes!$B$4:$B$39,Clientes!$C$4:$C$39),Cadastros!$L$6:$L$12,Cadastros!$N$6:$N$12)))</f>
        <v/>
      </c>
      <c r="P1894" s="168" t="str">
        <f t="shared" si="379"/>
        <v/>
      </c>
      <c r="Q1894" s="168" t="str">
        <f>IFERROR(P1894/_xlfn.XLOOKUP(_xlfn.XLOOKUP($F1894,Clientes!$B$4:$B$39,Clientes!$C$4:$C$39),Cadastros!$L$6:$L$12,Cadastros!$M$6:$M$12)," ")</f>
        <v xml:space="preserve"> </v>
      </c>
      <c r="R1894" s="28"/>
      <c r="S1894" s="28"/>
      <c r="T1894" s="255" t="str">
        <f>IF(R1894="","",(_xlfn.XLOOKUP(R1894,Cadastros!$D$6:$D$90,Cadastros!$E$6:$E$90))*(1-_xlfn.XLOOKUP(_xlfn.XLOOKUP($F1894,Clientes!$B$4:$B$39,Clientes!$C$4:$C$39),Cadastros!$L$6:$L$12,Cadastros!$N$6:$N$12)))</f>
        <v/>
      </c>
      <c r="U1894" s="168" t="str">
        <f t="shared" si="380"/>
        <v/>
      </c>
      <c r="V1894" s="168" t="str">
        <f>IFERROR(U1894/_xlfn.XLOOKUP(_xlfn.XLOOKUP($F1894,Clientes!$B$4:$B$39,Clientes!$C$4:$C$39),Cadastros!$L$6:$L$12,Cadastros!$M$6:$M$12)," ")</f>
        <v xml:space="preserve"> </v>
      </c>
      <c r="W1894" s="28"/>
      <c r="X1894" s="28"/>
      <c r="Y1894" s="255" t="str">
        <f>IF(W1894="","",(_xlfn.XLOOKUP(W1894,Cadastros!$D$6:$D$90,Cadastros!$E$6:$E$90))*(1-_xlfn.XLOOKUP(_xlfn.XLOOKUP($F1894,Clientes!$B$4:$B$39,Clientes!$C$4:$C$39),Cadastros!$L$6:$L$12,Cadastros!$N$6:$N$12)))</f>
        <v/>
      </c>
      <c r="Z1894" s="168" t="str">
        <f t="shared" si="381"/>
        <v/>
      </c>
      <c r="AA1894" s="168" t="str">
        <f>IFERROR(Z1894/_xlfn.XLOOKUP(_xlfn.XLOOKUP($F1894,Clientes!$B$4:$B$39,Clientes!$C$4:$C$39),Cadastros!$L$6:$L$12,Cadastros!$M$6:$M$12)," ")</f>
        <v xml:space="preserve"> </v>
      </c>
      <c r="AB1894" s="28"/>
      <c r="AC1894" s="28"/>
      <c r="AD1894" s="20" t="str">
        <f>IF(AB1894="","",IF($F1894="Bernardino Furlan",_xlfn.XLOOKUP(AB1894,Cadastros!$G$6:$G$90,Cadastros!$H$6:$H$90)*(1-0.18),IF($F1894="Mauro José Salanti",_xlfn.XLOOKUP(AB1894,Cadastros!$G$6:$G$90,Cadastros!$H$6:$H$90)*(1-0.18),_xlfn.XLOOKUP(AB1894,Cadastros!$G$6:$G$90,Cadastros!$H$6:$H$90))))</f>
        <v/>
      </c>
      <c r="AE1894" s="168" t="str">
        <f t="shared" si="382"/>
        <v/>
      </c>
      <c r="AF1894" s="168" t="str">
        <f t="shared" si="383"/>
        <v/>
      </c>
      <c r="AG1894" s="28"/>
      <c r="AH1894" s="28"/>
      <c r="AI1894" s="20" t="str">
        <f>IF(AG1894="","",IF($F1894="Bernardino Furlan",_xlfn.XLOOKUP(AG1894,Cadastros!$G$6:$G$90,Cadastros!$H$6:$H$90)*(1-0.18),IF($F1894="Mauro José Salanti",_xlfn.XLOOKUP(AG1894,Cadastros!$G$6:$G$90,Cadastros!$H$6:$H$90)*(1-0.18),_xlfn.XLOOKUP(AG1894,Cadastros!$G$6:$G$90,Cadastros!$H$6:$H$90))))</f>
        <v/>
      </c>
      <c r="AJ1894" s="168" t="str">
        <f t="shared" si="384"/>
        <v/>
      </c>
      <c r="AK1894" s="168" t="str">
        <f t="shared" si="385"/>
        <v/>
      </c>
      <c r="AL1894" s="28"/>
      <c r="AM1894" s="28"/>
      <c r="AN1894" s="20" t="str">
        <f>IF(AL1894="","",IF($F1894="Bernardino Furlan",_xlfn.XLOOKUP(AL1894,Cadastros!$G$6:$G$90,Cadastros!$H$6:$H$90)*(1-0.18),IF($F1894="Mauro José Salanti",_xlfn.XLOOKUP(AL1894,Cadastros!$G$6:$G$90,Cadastros!$H$6:$H$90)*(1-0.18),_xlfn.XLOOKUP(AL1894,Cadastros!$G$6:$G$90,Cadastros!$H$6:$H$90))))</f>
        <v/>
      </c>
      <c r="AO1894" s="168" t="str">
        <f t="shared" si="386"/>
        <v/>
      </c>
      <c r="AP1894" s="168" t="str">
        <f t="shared" si="387"/>
        <v/>
      </c>
      <c r="AQ1894" s="28"/>
      <c r="AR1894" s="28"/>
      <c r="AS1894" s="20" t="str">
        <f>IF(AQ1894="","",IF($F1894="Bernardino Furlan",_xlfn.XLOOKUP(AQ1894,Cadastros!$G$6:$G$90,Cadastros!$H$6:$H$90)*(1-0.18),IF($F1894="Mauro José Salanti",_xlfn.XLOOKUP(AQ1894,Cadastros!$G$6:$G$90,Cadastros!$H$6:$H$90)*(1-0.18),_xlfn.XLOOKUP(AQ1894,Cadastros!$G$6:$G$90,Cadastros!$H$6:$H$90))))</f>
        <v/>
      </c>
      <c r="AT1894" s="168" t="str">
        <f t="shared" si="388"/>
        <v/>
      </c>
      <c r="AU1894" s="168" t="str">
        <f t="shared" si="389"/>
        <v/>
      </c>
      <c r="AV1894" s="227"/>
      <c r="AW1894" s="30"/>
      <c r="AX1894" s="267"/>
      <c r="AY1894" s="267"/>
      <c r="AZ1894" s="29"/>
      <c r="BA1894" s="30"/>
      <c r="BB1894" s="23" t="str" cm="1">
        <f t="array" ref="BB1894">_xlfn.IFS(AW1894="SIM",SUM(K1894,P1894,U1894,Z1894,AE1894,AJ1894,AO1894,AT1894,AX1894,AY1894),F1894&lt;&gt;"",SUM(K1894,P1894,U1894,Z1894,AE1894,AJ1894,,AO1894,AT1894),F1894="","")</f>
        <v/>
      </c>
      <c r="BC1894" s="211" t="str" cm="1">
        <f t="array" ref="BC1894">_xlfn.IFS(E1894="","",G1894&lt;=E1894,BB1894*(1-0.03),G1894&lt;(E1894+8),BB1894,AZ1894="Boleto",BB1894*(1+0.001)^DATEDIF(E1894,G1894,"D"),AZ1894="Cheque",BB1894,AZ1894="Dinheiro","Alterar forma pgto")</f>
        <v/>
      </c>
      <c r="BD1894" s="276" t="str" cm="1">
        <f t="array" ref="BD1894">IF(F1894=0," ",IF(BC1894&lt;BB1894,(_xlfn.IFS(AW1894="SIM",SUM(L1894,Q1894,V1894,AA1894,AF1894,AK1894,AP1894,AU1894)+AX1894/_xlfn.XLOOKUP(_xlfn.XLOOKUP($F1894,Clientes!$B$4:$B$39,Clientes!$C$4:$C$39),Cadastros!$L$6:$L$12,Cadastros!$M$6:$M$12)+IF($F1894="Bernardino Furlan",AY1894/2751.92,IF($F1894="Mauro José Salanti",AY1894/2751.92,AY1894/3356)),F1894&lt;&gt;0,SUM(L1894,Q1894,V1894,AA1894,AF1894,AK1894,AP1894,AU1894)))*(1-0.03),_xlfn.IFS(AW1894="SIM",SUM(L1894,Q1894,V1894,AA1894,AF1894,AK1894,AP1894,AU1894)+AX1894/_xlfn.XLOOKUP(_xlfn.XLOOKUP($F1894,Clientes!$B$4:$B$39,Clientes!$C$4:$C$39),Cadastros!$L$6:$L$12,Cadastros!$M$6:$M$12)+IF($F1894="Bernardino Furlan",AY1894/2751.92,IF($F1894="Mauro José Salanti",AY1894/2751.92,AY1894/3356)),F1894&lt;&gt;0,SUM(L1894,Q1894,V1894,AA1894,AF1894,AK1894,AP1894,AU1894))))</f>
        <v xml:space="preserve"> </v>
      </c>
      <c r="BE1894" s="120"/>
      <c r="BF1894" s="120"/>
      <c r="BG1894" s="120"/>
    </row>
    <row r="1895" spans="1:59" s="3" customFormat="1" x14ac:dyDescent="0.3">
      <c r="A1895" s="15" t="str">
        <f t="shared" si="377"/>
        <v/>
      </c>
      <c r="B1895" s="25"/>
      <c r="C1895" s="26"/>
      <c r="D1895" s="279"/>
      <c r="E1895" s="27"/>
      <c r="F1895" s="28"/>
      <c r="G1895" s="27"/>
      <c r="H1895" s="28"/>
      <c r="I1895" s="28"/>
      <c r="J1895" s="255" t="str">
        <f>IF(H1895="","",(_xlfn.XLOOKUP(H1895,Cadastros!$D$6:$D$90,Cadastros!$E$6:$E$90))*(1-_xlfn.XLOOKUP(_xlfn.XLOOKUP($F1895,Clientes!$B$4:$B$39,Clientes!$C$4:$C$39),Cadastros!$L$6:$L$12,Cadastros!$N$6:$N$12)))</f>
        <v/>
      </c>
      <c r="K1895" s="168" t="str">
        <f t="shared" si="378"/>
        <v/>
      </c>
      <c r="L1895" s="168" t="str">
        <f>IFERROR(K1895/_xlfn.XLOOKUP(_xlfn.XLOOKUP($F1895,Clientes!$B$4:$B$39,Clientes!$C$4:$C$39),Cadastros!$L$6:$L$12,Cadastros!$M$6:$M$12)," ")</f>
        <v xml:space="preserve"> </v>
      </c>
      <c r="M1895" s="28"/>
      <c r="N1895" s="28"/>
      <c r="O1895" s="255" t="str">
        <f>IF(M1895="","",(_xlfn.XLOOKUP(M1895,Cadastros!$D$6:$D$90,Cadastros!$E$6:$E$90))*(1-_xlfn.XLOOKUP(_xlfn.XLOOKUP($F1895,Clientes!$B$4:$B$39,Clientes!$C$4:$C$39),Cadastros!$L$6:$L$12,Cadastros!$N$6:$N$12)))</f>
        <v/>
      </c>
      <c r="P1895" s="168" t="str">
        <f t="shared" si="379"/>
        <v/>
      </c>
      <c r="Q1895" s="168" t="str">
        <f>IFERROR(P1895/_xlfn.XLOOKUP(_xlfn.XLOOKUP($F1895,Clientes!$B$4:$B$39,Clientes!$C$4:$C$39),Cadastros!$L$6:$L$12,Cadastros!$M$6:$M$12)," ")</f>
        <v xml:space="preserve"> </v>
      </c>
      <c r="R1895" s="28"/>
      <c r="S1895" s="28"/>
      <c r="T1895" s="255" t="str">
        <f>IF(R1895="","",(_xlfn.XLOOKUP(R1895,Cadastros!$D$6:$D$90,Cadastros!$E$6:$E$90))*(1-_xlfn.XLOOKUP(_xlfn.XLOOKUP($F1895,Clientes!$B$4:$B$39,Clientes!$C$4:$C$39),Cadastros!$L$6:$L$12,Cadastros!$N$6:$N$12)))</f>
        <v/>
      </c>
      <c r="U1895" s="168" t="str">
        <f t="shared" si="380"/>
        <v/>
      </c>
      <c r="V1895" s="168" t="str">
        <f>IFERROR(U1895/_xlfn.XLOOKUP(_xlfn.XLOOKUP($F1895,Clientes!$B$4:$B$39,Clientes!$C$4:$C$39),Cadastros!$L$6:$L$12,Cadastros!$M$6:$M$12)," ")</f>
        <v xml:space="preserve"> </v>
      </c>
      <c r="W1895" s="28"/>
      <c r="X1895" s="28"/>
      <c r="Y1895" s="255" t="str">
        <f>IF(W1895="","",(_xlfn.XLOOKUP(W1895,Cadastros!$D$6:$D$90,Cadastros!$E$6:$E$90))*(1-_xlfn.XLOOKUP(_xlfn.XLOOKUP($F1895,Clientes!$B$4:$B$39,Clientes!$C$4:$C$39),Cadastros!$L$6:$L$12,Cadastros!$N$6:$N$12)))</f>
        <v/>
      </c>
      <c r="Z1895" s="168" t="str">
        <f t="shared" si="381"/>
        <v/>
      </c>
      <c r="AA1895" s="168" t="str">
        <f>IFERROR(Z1895/_xlfn.XLOOKUP(_xlfn.XLOOKUP($F1895,Clientes!$B$4:$B$39,Clientes!$C$4:$C$39),Cadastros!$L$6:$L$12,Cadastros!$M$6:$M$12)," ")</f>
        <v xml:space="preserve"> </v>
      </c>
      <c r="AB1895" s="28"/>
      <c r="AC1895" s="28"/>
      <c r="AD1895" s="20" t="str">
        <f>IF(AB1895="","",IF($F1895="Bernardino Furlan",_xlfn.XLOOKUP(AB1895,Cadastros!$G$6:$G$90,Cadastros!$H$6:$H$90)*(1-0.18),IF($F1895="Mauro José Salanti",_xlfn.XLOOKUP(AB1895,Cadastros!$G$6:$G$90,Cadastros!$H$6:$H$90)*(1-0.18),_xlfn.XLOOKUP(AB1895,Cadastros!$G$6:$G$90,Cadastros!$H$6:$H$90))))</f>
        <v/>
      </c>
      <c r="AE1895" s="168" t="str">
        <f t="shared" si="382"/>
        <v/>
      </c>
      <c r="AF1895" s="168" t="str">
        <f t="shared" si="383"/>
        <v/>
      </c>
      <c r="AG1895" s="28"/>
      <c r="AH1895" s="28"/>
      <c r="AI1895" s="20" t="str">
        <f>IF(AG1895="","",IF($F1895="Bernardino Furlan",_xlfn.XLOOKUP(AG1895,Cadastros!$G$6:$G$90,Cadastros!$H$6:$H$90)*(1-0.18),IF($F1895="Mauro José Salanti",_xlfn.XLOOKUP(AG1895,Cadastros!$G$6:$G$90,Cadastros!$H$6:$H$90)*(1-0.18),_xlfn.XLOOKUP(AG1895,Cadastros!$G$6:$G$90,Cadastros!$H$6:$H$90))))</f>
        <v/>
      </c>
      <c r="AJ1895" s="168" t="str">
        <f t="shared" si="384"/>
        <v/>
      </c>
      <c r="AK1895" s="168" t="str">
        <f t="shared" si="385"/>
        <v/>
      </c>
      <c r="AL1895" s="28"/>
      <c r="AM1895" s="28"/>
      <c r="AN1895" s="20" t="str">
        <f>IF(AL1895="","",IF($F1895="Bernardino Furlan",_xlfn.XLOOKUP(AL1895,Cadastros!$G$6:$G$90,Cadastros!$H$6:$H$90)*(1-0.18),IF($F1895="Mauro José Salanti",_xlfn.XLOOKUP(AL1895,Cadastros!$G$6:$G$90,Cadastros!$H$6:$H$90)*(1-0.18),_xlfn.XLOOKUP(AL1895,Cadastros!$G$6:$G$90,Cadastros!$H$6:$H$90))))</f>
        <v/>
      </c>
      <c r="AO1895" s="168" t="str">
        <f t="shared" si="386"/>
        <v/>
      </c>
      <c r="AP1895" s="168" t="str">
        <f t="shared" si="387"/>
        <v/>
      </c>
      <c r="AQ1895" s="28"/>
      <c r="AR1895" s="28"/>
      <c r="AS1895" s="20" t="str">
        <f>IF(AQ1895="","",IF($F1895="Bernardino Furlan",_xlfn.XLOOKUP(AQ1895,Cadastros!$G$6:$G$90,Cadastros!$H$6:$H$90)*(1-0.18),IF($F1895="Mauro José Salanti",_xlfn.XLOOKUP(AQ1895,Cadastros!$G$6:$G$90,Cadastros!$H$6:$H$90)*(1-0.18),_xlfn.XLOOKUP(AQ1895,Cadastros!$G$6:$G$90,Cadastros!$H$6:$H$90))))</f>
        <v/>
      </c>
      <c r="AT1895" s="168" t="str">
        <f t="shared" si="388"/>
        <v/>
      </c>
      <c r="AU1895" s="168" t="str">
        <f t="shared" si="389"/>
        <v/>
      </c>
      <c r="AV1895" s="227"/>
      <c r="AW1895" s="30"/>
      <c r="AX1895" s="267"/>
      <c r="AY1895" s="267"/>
      <c r="AZ1895" s="29"/>
      <c r="BA1895" s="30"/>
      <c r="BB1895" s="23" t="str" cm="1">
        <f t="array" ref="BB1895">_xlfn.IFS(AW1895="SIM",SUM(K1895,P1895,U1895,Z1895,AE1895,AJ1895,AO1895,AT1895,AX1895,AY1895),F1895&lt;&gt;"",SUM(K1895,P1895,U1895,Z1895,AE1895,AJ1895,,AO1895,AT1895),F1895="","")</f>
        <v/>
      </c>
      <c r="BC1895" s="211" t="str" cm="1">
        <f t="array" ref="BC1895">_xlfn.IFS(E1895="","",G1895&lt;=E1895,BB1895*(1-0.03),G1895&lt;(E1895+8),BB1895,AZ1895="Boleto",BB1895*(1+0.001)^DATEDIF(E1895,G1895,"D"),AZ1895="Cheque",BB1895,AZ1895="Dinheiro","Alterar forma pgto")</f>
        <v/>
      </c>
      <c r="BD1895" s="276" t="str" cm="1">
        <f t="array" ref="BD1895">IF(F1895=0," ",IF(BC1895&lt;BB1895,(_xlfn.IFS(AW1895="SIM",SUM(L1895,Q1895,V1895,AA1895,AF1895,AK1895,AP1895,AU1895)+AX1895/_xlfn.XLOOKUP(_xlfn.XLOOKUP($F1895,Clientes!$B$4:$B$39,Clientes!$C$4:$C$39),Cadastros!$L$6:$L$12,Cadastros!$M$6:$M$12)+IF($F1895="Bernardino Furlan",AY1895/2751.92,IF($F1895="Mauro José Salanti",AY1895/2751.92,AY1895/3356)),F1895&lt;&gt;0,SUM(L1895,Q1895,V1895,AA1895,AF1895,AK1895,AP1895,AU1895)))*(1-0.03),_xlfn.IFS(AW1895="SIM",SUM(L1895,Q1895,V1895,AA1895,AF1895,AK1895,AP1895,AU1895)+AX1895/_xlfn.XLOOKUP(_xlfn.XLOOKUP($F1895,Clientes!$B$4:$B$39,Clientes!$C$4:$C$39),Cadastros!$L$6:$L$12,Cadastros!$M$6:$M$12)+IF($F1895="Bernardino Furlan",AY1895/2751.92,IF($F1895="Mauro José Salanti",AY1895/2751.92,AY1895/3356)),F1895&lt;&gt;0,SUM(L1895,Q1895,V1895,AA1895,AF1895,AK1895,AP1895,AU1895))))</f>
        <v xml:space="preserve"> </v>
      </c>
      <c r="BE1895" s="120"/>
      <c r="BF1895" s="120"/>
      <c r="BG1895" s="120"/>
    </row>
    <row r="1896" spans="1:59" s="3" customFormat="1" x14ac:dyDescent="0.3">
      <c r="A1896" s="15" t="str">
        <f t="shared" si="377"/>
        <v/>
      </c>
      <c r="B1896" s="25"/>
      <c r="C1896" s="26"/>
      <c r="D1896" s="279"/>
      <c r="E1896" s="27"/>
      <c r="F1896" s="28"/>
      <c r="G1896" s="27"/>
      <c r="H1896" s="28"/>
      <c r="I1896" s="28"/>
      <c r="J1896" s="255" t="str">
        <f>IF(H1896="","",(_xlfn.XLOOKUP(H1896,Cadastros!$D$6:$D$90,Cadastros!$E$6:$E$90))*(1-_xlfn.XLOOKUP(_xlfn.XLOOKUP($F1896,Clientes!$B$4:$B$39,Clientes!$C$4:$C$39),Cadastros!$L$6:$L$12,Cadastros!$N$6:$N$12)))</f>
        <v/>
      </c>
      <c r="K1896" s="168" t="str">
        <f t="shared" si="378"/>
        <v/>
      </c>
      <c r="L1896" s="168" t="str">
        <f>IFERROR(K1896/_xlfn.XLOOKUP(_xlfn.XLOOKUP($F1896,Clientes!$B$4:$B$39,Clientes!$C$4:$C$39),Cadastros!$L$6:$L$12,Cadastros!$M$6:$M$12)," ")</f>
        <v xml:space="preserve"> </v>
      </c>
      <c r="M1896" s="28"/>
      <c r="N1896" s="28"/>
      <c r="O1896" s="255" t="str">
        <f>IF(M1896="","",(_xlfn.XLOOKUP(M1896,Cadastros!$D$6:$D$90,Cadastros!$E$6:$E$90))*(1-_xlfn.XLOOKUP(_xlfn.XLOOKUP($F1896,Clientes!$B$4:$B$39,Clientes!$C$4:$C$39),Cadastros!$L$6:$L$12,Cadastros!$N$6:$N$12)))</f>
        <v/>
      </c>
      <c r="P1896" s="168" t="str">
        <f t="shared" si="379"/>
        <v/>
      </c>
      <c r="Q1896" s="168" t="str">
        <f>IFERROR(P1896/_xlfn.XLOOKUP(_xlfn.XLOOKUP($F1896,Clientes!$B$4:$B$39,Clientes!$C$4:$C$39),Cadastros!$L$6:$L$12,Cadastros!$M$6:$M$12)," ")</f>
        <v xml:space="preserve"> </v>
      </c>
      <c r="R1896" s="28"/>
      <c r="S1896" s="28"/>
      <c r="T1896" s="255" t="str">
        <f>IF(R1896="","",(_xlfn.XLOOKUP(R1896,Cadastros!$D$6:$D$90,Cadastros!$E$6:$E$90))*(1-_xlfn.XLOOKUP(_xlfn.XLOOKUP($F1896,Clientes!$B$4:$B$39,Clientes!$C$4:$C$39),Cadastros!$L$6:$L$12,Cadastros!$N$6:$N$12)))</f>
        <v/>
      </c>
      <c r="U1896" s="168" t="str">
        <f t="shared" si="380"/>
        <v/>
      </c>
      <c r="V1896" s="168" t="str">
        <f>IFERROR(U1896/_xlfn.XLOOKUP(_xlfn.XLOOKUP($F1896,Clientes!$B$4:$B$39,Clientes!$C$4:$C$39),Cadastros!$L$6:$L$12,Cadastros!$M$6:$M$12)," ")</f>
        <v xml:space="preserve"> </v>
      </c>
      <c r="W1896" s="28"/>
      <c r="X1896" s="28"/>
      <c r="Y1896" s="255" t="str">
        <f>IF(W1896="","",(_xlfn.XLOOKUP(W1896,Cadastros!$D$6:$D$90,Cadastros!$E$6:$E$90))*(1-_xlfn.XLOOKUP(_xlfn.XLOOKUP($F1896,Clientes!$B$4:$B$39,Clientes!$C$4:$C$39),Cadastros!$L$6:$L$12,Cadastros!$N$6:$N$12)))</f>
        <v/>
      </c>
      <c r="Z1896" s="168" t="str">
        <f t="shared" si="381"/>
        <v/>
      </c>
      <c r="AA1896" s="168" t="str">
        <f>IFERROR(Z1896/_xlfn.XLOOKUP(_xlfn.XLOOKUP($F1896,Clientes!$B$4:$B$39,Clientes!$C$4:$C$39),Cadastros!$L$6:$L$12,Cadastros!$M$6:$M$12)," ")</f>
        <v xml:space="preserve"> </v>
      </c>
      <c r="AB1896" s="28"/>
      <c r="AC1896" s="28"/>
      <c r="AD1896" s="20" t="str">
        <f>IF(AB1896="","",IF($F1896="Bernardino Furlan",_xlfn.XLOOKUP(AB1896,Cadastros!$G$6:$G$90,Cadastros!$H$6:$H$90)*(1-0.18),IF($F1896="Mauro José Salanti",_xlfn.XLOOKUP(AB1896,Cadastros!$G$6:$G$90,Cadastros!$H$6:$H$90)*(1-0.18),_xlfn.XLOOKUP(AB1896,Cadastros!$G$6:$G$90,Cadastros!$H$6:$H$90))))</f>
        <v/>
      </c>
      <c r="AE1896" s="168" t="str">
        <f t="shared" si="382"/>
        <v/>
      </c>
      <c r="AF1896" s="168" t="str">
        <f t="shared" si="383"/>
        <v/>
      </c>
      <c r="AG1896" s="28"/>
      <c r="AH1896" s="28"/>
      <c r="AI1896" s="20" t="str">
        <f>IF(AG1896="","",IF($F1896="Bernardino Furlan",_xlfn.XLOOKUP(AG1896,Cadastros!$G$6:$G$90,Cadastros!$H$6:$H$90)*(1-0.18),IF($F1896="Mauro José Salanti",_xlfn.XLOOKUP(AG1896,Cadastros!$G$6:$G$90,Cadastros!$H$6:$H$90)*(1-0.18),_xlfn.XLOOKUP(AG1896,Cadastros!$G$6:$G$90,Cadastros!$H$6:$H$90))))</f>
        <v/>
      </c>
      <c r="AJ1896" s="168" t="str">
        <f t="shared" si="384"/>
        <v/>
      </c>
      <c r="AK1896" s="168" t="str">
        <f t="shared" si="385"/>
        <v/>
      </c>
      <c r="AL1896" s="28"/>
      <c r="AM1896" s="28"/>
      <c r="AN1896" s="20" t="str">
        <f>IF(AL1896="","",IF($F1896="Bernardino Furlan",_xlfn.XLOOKUP(AL1896,Cadastros!$G$6:$G$90,Cadastros!$H$6:$H$90)*(1-0.18),IF($F1896="Mauro José Salanti",_xlfn.XLOOKUP(AL1896,Cadastros!$G$6:$G$90,Cadastros!$H$6:$H$90)*(1-0.18),_xlfn.XLOOKUP(AL1896,Cadastros!$G$6:$G$90,Cadastros!$H$6:$H$90))))</f>
        <v/>
      </c>
      <c r="AO1896" s="168" t="str">
        <f t="shared" si="386"/>
        <v/>
      </c>
      <c r="AP1896" s="168" t="str">
        <f t="shared" si="387"/>
        <v/>
      </c>
      <c r="AQ1896" s="28"/>
      <c r="AR1896" s="28"/>
      <c r="AS1896" s="20" t="str">
        <f>IF(AQ1896="","",IF($F1896="Bernardino Furlan",_xlfn.XLOOKUP(AQ1896,Cadastros!$G$6:$G$90,Cadastros!$H$6:$H$90)*(1-0.18),IF($F1896="Mauro José Salanti",_xlfn.XLOOKUP(AQ1896,Cadastros!$G$6:$G$90,Cadastros!$H$6:$H$90)*(1-0.18),_xlfn.XLOOKUP(AQ1896,Cadastros!$G$6:$G$90,Cadastros!$H$6:$H$90))))</f>
        <v/>
      </c>
      <c r="AT1896" s="168" t="str">
        <f t="shared" si="388"/>
        <v/>
      </c>
      <c r="AU1896" s="168" t="str">
        <f t="shared" si="389"/>
        <v/>
      </c>
      <c r="AV1896" s="227"/>
      <c r="AW1896" s="30"/>
      <c r="AX1896" s="267"/>
      <c r="AY1896" s="267"/>
      <c r="AZ1896" s="29"/>
      <c r="BA1896" s="30"/>
      <c r="BB1896" s="23" t="str" cm="1">
        <f t="array" ref="BB1896">_xlfn.IFS(AW1896="SIM",SUM(K1896,P1896,U1896,Z1896,AE1896,AJ1896,AO1896,AT1896,AX1896,AY1896),F1896&lt;&gt;"",SUM(K1896,P1896,U1896,Z1896,AE1896,AJ1896,,AO1896,AT1896),F1896="","")</f>
        <v/>
      </c>
      <c r="BC1896" s="211" t="str" cm="1">
        <f t="array" ref="BC1896">_xlfn.IFS(E1896="","",G1896&lt;=E1896,BB1896*(1-0.03),G1896&lt;(E1896+8),BB1896,AZ1896="Boleto",BB1896*(1+0.001)^DATEDIF(E1896,G1896,"D"),AZ1896="Cheque",BB1896,AZ1896="Dinheiro","Alterar forma pgto")</f>
        <v/>
      </c>
      <c r="BD1896" s="276" t="str" cm="1">
        <f t="array" ref="BD1896">IF(F1896=0," ",IF(BC1896&lt;BB1896,(_xlfn.IFS(AW1896="SIM",SUM(L1896,Q1896,V1896,AA1896,AF1896,AK1896,AP1896,AU1896)+AX1896/_xlfn.XLOOKUP(_xlfn.XLOOKUP($F1896,Clientes!$B$4:$B$39,Clientes!$C$4:$C$39),Cadastros!$L$6:$L$12,Cadastros!$M$6:$M$12)+IF($F1896="Bernardino Furlan",AY1896/2751.92,IF($F1896="Mauro José Salanti",AY1896/2751.92,AY1896/3356)),F1896&lt;&gt;0,SUM(L1896,Q1896,V1896,AA1896,AF1896,AK1896,AP1896,AU1896)))*(1-0.03),_xlfn.IFS(AW1896="SIM",SUM(L1896,Q1896,V1896,AA1896,AF1896,AK1896,AP1896,AU1896)+AX1896/_xlfn.XLOOKUP(_xlfn.XLOOKUP($F1896,Clientes!$B$4:$B$39,Clientes!$C$4:$C$39),Cadastros!$L$6:$L$12,Cadastros!$M$6:$M$12)+IF($F1896="Bernardino Furlan",AY1896/2751.92,IF($F1896="Mauro José Salanti",AY1896/2751.92,AY1896/3356)),F1896&lt;&gt;0,SUM(L1896,Q1896,V1896,AA1896,AF1896,AK1896,AP1896,AU1896))))</f>
        <v xml:space="preserve"> </v>
      </c>
      <c r="BE1896" s="120"/>
      <c r="BF1896" s="120"/>
      <c r="BG1896" s="120"/>
    </row>
    <row r="1897" spans="1:59" s="3" customFormat="1" x14ac:dyDescent="0.3">
      <c r="A1897" s="15" t="str">
        <f t="shared" si="377"/>
        <v/>
      </c>
      <c r="B1897" s="25"/>
      <c r="C1897" s="26"/>
      <c r="D1897" s="279"/>
      <c r="E1897" s="27"/>
      <c r="F1897" s="28"/>
      <c r="G1897" s="27"/>
      <c r="H1897" s="28"/>
      <c r="I1897" s="28"/>
      <c r="J1897" s="255" t="str">
        <f>IF(H1897="","",(_xlfn.XLOOKUP(H1897,Cadastros!$D$6:$D$90,Cadastros!$E$6:$E$90))*(1-_xlfn.XLOOKUP(_xlfn.XLOOKUP($F1897,Clientes!$B$4:$B$39,Clientes!$C$4:$C$39),Cadastros!$L$6:$L$12,Cadastros!$N$6:$N$12)))</f>
        <v/>
      </c>
      <c r="K1897" s="168" t="str">
        <f t="shared" si="378"/>
        <v/>
      </c>
      <c r="L1897" s="168" t="str">
        <f>IFERROR(K1897/_xlfn.XLOOKUP(_xlfn.XLOOKUP($F1897,Clientes!$B$4:$B$39,Clientes!$C$4:$C$39),Cadastros!$L$6:$L$12,Cadastros!$M$6:$M$12)," ")</f>
        <v xml:space="preserve"> </v>
      </c>
      <c r="M1897" s="28"/>
      <c r="N1897" s="28"/>
      <c r="O1897" s="255" t="str">
        <f>IF(M1897="","",(_xlfn.XLOOKUP(M1897,Cadastros!$D$6:$D$90,Cadastros!$E$6:$E$90))*(1-_xlfn.XLOOKUP(_xlfn.XLOOKUP($F1897,Clientes!$B$4:$B$39,Clientes!$C$4:$C$39),Cadastros!$L$6:$L$12,Cadastros!$N$6:$N$12)))</f>
        <v/>
      </c>
      <c r="P1897" s="168" t="str">
        <f t="shared" si="379"/>
        <v/>
      </c>
      <c r="Q1897" s="168" t="str">
        <f>IFERROR(P1897/_xlfn.XLOOKUP(_xlfn.XLOOKUP($F1897,Clientes!$B$4:$B$39,Clientes!$C$4:$C$39),Cadastros!$L$6:$L$12,Cadastros!$M$6:$M$12)," ")</f>
        <v xml:space="preserve"> </v>
      </c>
      <c r="R1897" s="28"/>
      <c r="S1897" s="28"/>
      <c r="T1897" s="255" t="str">
        <f>IF(R1897="","",(_xlfn.XLOOKUP(R1897,Cadastros!$D$6:$D$90,Cadastros!$E$6:$E$90))*(1-_xlfn.XLOOKUP(_xlfn.XLOOKUP($F1897,Clientes!$B$4:$B$39,Clientes!$C$4:$C$39),Cadastros!$L$6:$L$12,Cadastros!$N$6:$N$12)))</f>
        <v/>
      </c>
      <c r="U1897" s="168" t="str">
        <f t="shared" si="380"/>
        <v/>
      </c>
      <c r="V1897" s="168" t="str">
        <f>IFERROR(U1897/_xlfn.XLOOKUP(_xlfn.XLOOKUP($F1897,Clientes!$B$4:$B$39,Clientes!$C$4:$C$39),Cadastros!$L$6:$L$12,Cadastros!$M$6:$M$12)," ")</f>
        <v xml:space="preserve"> </v>
      </c>
      <c r="W1897" s="28"/>
      <c r="X1897" s="28"/>
      <c r="Y1897" s="255" t="str">
        <f>IF(W1897="","",(_xlfn.XLOOKUP(W1897,Cadastros!$D$6:$D$90,Cadastros!$E$6:$E$90))*(1-_xlfn.XLOOKUP(_xlfn.XLOOKUP($F1897,Clientes!$B$4:$B$39,Clientes!$C$4:$C$39),Cadastros!$L$6:$L$12,Cadastros!$N$6:$N$12)))</f>
        <v/>
      </c>
      <c r="Z1897" s="168" t="str">
        <f t="shared" si="381"/>
        <v/>
      </c>
      <c r="AA1897" s="168" t="str">
        <f>IFERROR(Z1897/_xlfn.XLOOKUP(_xlfn.XLOOKUP($F1897,Clientes!$B$4:$B$39,Clientes!$C$4:$C$39),Cadastros!$L$6:$L$12,Cadastros!$M$6:$M$12)," ")</f>
        <v xml:space="preserve"> </v>
      </c>
      <c r="AB1897" s="28"/>
      <c r="AC1897" s="28"/>
      <c r="AD1897" s="20" t="str">
        <f>IF(AB1897="","",IF($F1897="Bernardino Furlan",_xlfn.XLOOKUP(AB1897,Cadastros!$G$6:$G$90,Cadastros!$H$6:$H$90)*(1-0.18),IF($F1897="Mauro José Salanti",_xlfn.XLOOKUP(AB1897,Cadastros!$G$6:$G$90,Cadastros!$H$6:$H$90)*(1-0.18),_xlfn.XLOOKUP(AB1897,Cadastros!$G$6:$G$90,Cadastros!$H$6:$H$90))))</f>
        <v/>
      </c>
      <c r="AE1897" s="168" t="str">
        <f t="shared" si="382"/>
        <v/>
      </c>
      <c r="AF1897" s="168" t="str">
        <f t="shared" si="383"/>
        <v/>
      </c>
      <c r="AG1897" s="28"/>
      <c r="AH1897" s="28"/>
      <c r="AI1897" s="20" t="str">
        <f>IF(AG1897="","",IF($F1897="Bernardino Furlan",_xlfn.XLOOKUP(AG1897,Cadastros!$G$6:$G$90,Cadastros!$H$6:$H$90)*(1-0.18),IF($F1897="Mauro José Salanti",_xlfn.XLOOKUP(AG1897,Cadastros!$G$6:$G$90,Cadastros!$H$6:$H$90)*(1-0.18),_xlfn.XLOOKUP(AG1897,Cadastros!$G$6:$G$90,Cadastros!$H$6:$H$90))))</f>
        <v/>
      </c>
      <c r="AJ1897" s="168" t="str">
        <f t="shared" si="384"/>
        <v/>
      </c>
      <c r="AK1897" s="168" t="str">
        <f t="shared" si="385"/>
        <v/>
      </c>
      <c r="AL1897" s="28"/>
      <c r="AM1897" s="28"/>
      <c r="AN1897" s="20" t="str">
        <f>IF(AL1897="","",IF($F1897="Bernardino Furlan",_xlfn.XLOOKUP(AL1897,Cadastros!$G$6:$G$90,Cadastros!$H$6:$H$90)*(1-0.18),IF($F1897="Mauro José Salanti",_xlfn.XLOOKUP(AL1897,Cadastros!$G$6:$G$90,Cadastros!$H$6:$H$90)*(1-0.18),_xlfn.XLOOKUP(AL1897,Cadastros!$G$6:$G$90,Cadastros!$H$6:$H$90))))</f>
        <v/>
      </c>
      <c r="AO1897" s="168" t="str">
        <f t="shared" si="386"/>
        <v/>
      </c>
      <c r="AP1897" s="168" t="str">
        <f t="shared" si="387"/>
        <v/>
      </c>
      <c r="AQ1897" s="28"/>
      <c r="AR1897" s="28"/>
      <c r="AS1897" s="20" t="str">
        <f>IF(AQ1897="","",IF($F1897="Bernardino Furlan",_xlfn.XLOOKUP(AQ1897,Cadastros!$G$6:$G$90,Cadastros!$H$6:$H$90)*(1-0.18),IF($F1897="Mauro José Salanti",_xlfn.XLOOKUP(AQ1897,Cadastros!$G$6:$G$90,Cadastros!$H$6:$H$90)*(1-0.18),_xlfn.XLOOKUP(AQ1897,Cadastros!$G$6:$G$90,Cadastros!$H$6:$H$90))))</f>
        <v/>
      </c>
      <c r="AT1897" s="168" t="str">
        <f t="shared" si="388"/>
        <v/>
      </c>
      <c r="AU1897" s="168" t="str">
        <f t="shared" si="389"/>
        <v/>
      </c>
      <c r="AV1897" s="227"/>
      <c r="AW1897" s="30"/>
      <c r="AX1897" s="267"/>
      <c r="AY1897" s="267"/>
      <c r="AZ1897" s="29"/>
      <c r="BA1897" s="30"/>
      <c r="BB1897" s="23" t="str" cm="1">
        <f t="array" ref="BB1897">_xlfn.IFS(AW1897="SIM",SUM(K1897,P1897,U1897,Z1897,AE1897,AJ1897,AO1897,AT1897,AX1897,AY1897),F1897&lt;&gt;"",SUM(K1897,P1897,U1897,Z1897,AE1897,AJ1897,,AO1897,AT1897),F1897="","")</f>
        <v/>
      </c>
      <c r="BC1897" s="211" t="str" cm="1">
        <f t="array" ref="BC1897">_xlfn.IFS(E1897="","",G1897&lt;=E1897,BB1897*(1-0.03),G1897&lt;(E1897+8),BB1897,AZ1897="Boleto",BB1897*(1+0.001)^DATEDIF(E1897,G1897,"D"),AZ1897="Cheque",BB1897,AZ1897="Dinheiro","Alterar forma pgto")</f>
        <v/>
      </c>
      <c r="BD1897" s="276" t="str" cm="1">
        <f t="array" ref="BD1897">IF(F1897=0," ",IF(BC1897&lt;BB1897,(_xlfn.IFS(AW1897="SIM",SUM(L1897,Q1897,V1897,AA1897,AF1897,AK1897,AP1897,AU1897)+AX1897/_xlfn.XLOOKUP(_xlfn.XLOOKUP($F1897,Clientes!$B$4:$B$39,Clientes!$C$4:$C$39),Cadastros!$L$6:$L$12,Cadastros!$M$6:$M$12)+IF($F1897="Bernardino Furlan",AY1897/2751.92,IF($F1897="Mauro José Salanti",AY1897/2751.92,AY1897/3356)),F1897&lt;&gt;0,SUM(L1897,Q1897,V1897,AA1897,AF1897,AK1897,AP1897,AU1897)))*(1-0.03),_xlfn.IFS(AW1897="SIM",SUM(L1897,Q1897,V1897,AA1897,AF1897,AK1897,AP1897,AU1897)+AX1897/_xlfn.XLOOKUP(_xlfn.XLOOKUP($F1897,Clientes!$B$4:$B$39,Clientes!$C$4:$C$39),Cadastros!$L$6:$L$12,Cadastros!$M$6:$M$12)+IF($F1897="Bernardino Furlan",AY1897/2751.92,IF($F1897="Mauro José Salanti",AY1897/2751.92,AY1897/3356)),F1897&lt;&gt;0,SUM(L1897,Q1897,V1897,AA1897,AF1897,AK1897,AP1897,AU1897))))</f>
        <v xml:space="preserve"> </v>
      </c>
      <c r="BE1897" s="120"/>
      <c r="BF1897" s="120"/>
      <c r="BG1897" s="120"/>
    </row>
    <row r="1898" spans="1:59" s="3" customFormat="1" x14ac:dyDescent="0.3">
      <c r="A1898" s="15" t="str">
        <f t="shared" si="377"/>
        <v/>
      </c>
      <c r="B1898" s="25"/>
      <c r="C1898" s="26"/>
      <c r="D1898" s="279"/>
      <c r="E1898" s="27"/>
      <c r="F1898" s="28"/>
      <c r="G1898" s="27"/>
      <c r="H1898" s="28"/>
      <c r="I1898" s="28"/>
      <c r="J1898" s="255" t="str">
        <f>IF(H1898="","",(_xlfn.XLOOKUP(H1898,Cadastros!$D$6:$D$90,Cadastros!$E$6:$E$90))*(1-_xlfn.XLOOKUP(_xlfn.XLOOKUP($F1898,Clientes!$B$4:$B$39,Clientes!$C$4:$C$39),Cadastros!$L$6:$L$12,Cadastros!$N$6:$N$12)))</f>
        <v/>
      </c>
      <c r="K1898" s="168" t="str">
        <f t="shared" si="378"/>
        <v/>
      </c>
      <c r="L1898" s="168" t="str">
        <f>IFERROR(K1898/_xlfn.XLOOKUP(_xlfn.XLOOKUP($F1898,Clientes!$B$4:$B$39,Clientes!$C$4:$C$39),Cadastros!$L$6:$L$12,Cadastros!$M$6:$M$12)," ")</f>
        <v xml:space="preserve"> </v>
      </c>
      <c r="M1898" s="28"/>
      <c r="N1898" s="28"/>
      <c r="O1898" s="255" t="str">
        <f>IF(M1898="","",(_xlfn.XLOOKUP(M1898,Cadastros!$D$6:$D$90,Cadastros!$E$6:$E$90))*(1-_xlfn.XLOOKUP(_xlfn.XLOOKUP($F1898,Clientes!$B$4:$B$39,Clientes!$C$4:$C$39),Cadastros!$L$6:$L$12,Cadastros!$N$6:$N$12)))</f>
        <v/>
      </c>
      <c r="P1898" s="168" t="str">
        <f t="shared" si="379"/>
        <v/>
      </c>
      <c r="Q1898" s="168" t="str">
        <f>IFERROR(P1898/_xlfn.XLOOKUP(_xlfn.XLOOKUP($F1898,Clientes!$B$4:$B$39,Clientes!$C$4:$C$39),Cadastros!$L$6:$L$12,Cadastros!$M$6:$M$12)," ")</f>
        <v xml:space="preserve"> </v>
      </c>
      <c r="R1898" s="28"/>
      <c r="S1898" s="28"/>
      <c r="T1898" s="255" t="str">
        <f>IF(R1898="","",(_xlfn.XLOOKUP(R1898,Cadastros!$D$6:$D$90,Cadastros!$E$6:$E$90))*(1-_xlfn.XLOOKUP(_xlfn.XLOOKUP($F1898,Clientes!$B$4:$B$39,Clientes!$C$4:$C$39),Cadastros!$L$6:$L$12,Cadastros!$N$6:$N$12)))</f>
        <v/>
      </c>
      <c r="U1898" s="168" t="str">
        <f t="shared" si="380"/>
        <v/>
      </c>
      <c r="V1898" s="168" t="str">
        <f>IFERROR(U1898/_xlfn.XLOOKUP(_xlfn.XLOOKUP($F1898,Clientes!$B$4:$B$39,Clientes!$C$4:$C$39),Cadastros!$L$6:$L$12,Cadastros!$M$6:$M$12)," ")</f>
        <v xml:space="preserve"> </v>
      </c>
      <c r="W1898" s="28"/>
      <c r="X1898" s="28"/>
      <c r="Y1898" s="255" t="str">
        <f>IF(W1898="","",(_xlfn.XLOOKUP(W1898,Cadastros!$D$6:$D$90,Cadastros!$E$6:$E$90))*(1-_xlfn.XLOOKUP(_xlfn.XLOOKUP($F1898,Clientes!$B$4:$B$39,Clientes!$C$4:$C$39),Cadastros!$L$6:$L$12,Cadastros!$N$6:$N$12)))</f>
        <v/>
      </c>
      <c r="Z1898" s="168" t="str">
        <f t="shared" si="381"/>
        <v/>
      </c>
      <c r="AA1898" s="168" t="str">
        <f>IFERROR(Z1898/_xlfn.XLOOKUP(_xlfn.XLOOKUP($F1898,Clientes!$B$4:$B$39,Clientes!$C$4:$C$39),Cadastros!$L$6:$L$12,Cadastros!$M$6:$M$12)," ")</f>
        <v xml:space="preserve"> </v>
      </c>
      <c r="AB1898" s="28"/>
      <c r="AC1898" s="28"/>
      <c r="AD1898" s="20" t="str">
        <f>IF(AB1898="","",IF($F1898="Bernardino Furlan",_xlfn.XLOOKUP(AB1898,Cadastros!$G$6:$G$90,Cadastros!$H$6:$H$90)*(1-0.18),IF($F1898="Mauro José Salanti",_xlfn.XLOOKUP(AB1898,Cadastros!$G$6:$G$90,Cadastros!$H$6:$H$90)*(1-0.18),_xlfn.XLOOKUP(AB1898,Cadastros!$G$6:$G$90,Cadastros!$H$6:$H$90))))</f>
        <v/>
      </c>
      <c r="AE1898" s="168" t="str">
        <f t="shared" si="382"/>
        <v/>
      </c>
      <c r="AF1898" s="168" t="str">
        <f t="shared" si="383"/>
        <v/>
      </c>
      <c r="AG1898" s="28"/>
      <c r="AH1898" s="28"/>
      <c r="AI1898" s="20" t="str">
        <f>IF(AG1898="","",IF($F1898="Bernardino Furlan",_xlfn.XLOOKUP(AG1898,Cadastros!$G$6:$G$90,Cadastros!$H$6:$H$90)*(1-0.18),IF($F1898="Mauro José Salanti",_xlfn.XLOOKUP(AG1898,Cadastros!$G$6:$G$90,Cadastros!$H$6:$H$90)*(1-0.18),_xlfn.XLOOKUP(AG1898,Cadastros!$G$6:$G$90,Cadastros!$H$6:$H$90))))</f>
        <v/>
      </c>
      <c r="AJ1898" s="168" t="str">
        <f t="shared" si="384"/>
        <v/>
      </c>
      <c r="AK1898" s="168" t="str">
        <f t="shared" si="385"/>
        <v/>
      </c>
      <c r="AL1898" s="28"/>
      <c r="AM1898" s="28"/>
      <c r="AN1898" s="20" t="str">
        <f>IF(AL1898="","",IF($F1898="Bernardino Furlan",_xlfn.XLOOKUP(AL1898,Cadastros!$G$6:$G$90,Cadastros!$H$6:$H$90)*(1-0.18),IF($F1898="Mauro José Salanti",_xlfn.XLOOKUP(AL1898,Cadastros!$G$6:$G$90,Cadastros!$H$6:$H$90)*(1-0.18),_xlfn.XLOOKUP(AL1898,Cadastros!$G$6:$G$90,Cadastros!$H$6:$H$90))))</f>
        <v/>
      </c>
      <c r="AO1898" s="168" t="str">
        <f t="shared" si="386"/>
        <v/>
      </c>
      <c r="AP1898" s="168" t="str">
        <f t="shared" si="387"/>
        <v/>
      </c>
      <c r="AQ1898" s="28"/>
      <c r="AR1898" s="28"/>
      <c r="AS1898" s="20" t="str">
        <f>IF(AQ1898="","",IF($F1898="Bernardino Furlan",_xlfn.XLOOKUP(AQ1898,Cadastros!$G$6:$G$90,Cadastros!$H$6:$H$90)*(1-0.18),IF($F1898="Mauro José Salanti",_xlfn.XLOOKUP(AQ1898,Cadastros!$G$6:$G$90,Cadastros!$H$6:$H$90)*(1-0.18),_xlfn.XLOOKUP(AQ1898,Cadastros!$G$6:$G$90,Cadastros!$H$6:$H$90))))</f>
        <v/>
      </c>
      <c r="AT1898" s="168" t="str">
        <f t="shared" si="388"/>
        <v/>
      </c>
      <c r="AU1898" s="168" t="str">
        <f t="shared" si="389"/>
        <v/>
      </c>
      <c r="AV1898" s="227"/>
      <c r="AW1898" s="30"/>
      <c r="AX1898" s="267"/>
      <c r="AY1898" s="267"/>
      <c r="AZ1898" s="29"/>
      <c r="BA1898" s="30"/>
      <c r="BB1898" s="23" t="str" cm="1">
        <f t="array" ref="BB1898">_xlfn.IFS(AW1898="SIM",SUM(K1898,P1898,U1898,Z1898,AE1898,AJ1898,AO1898,AT1898,AX1898,AY1898),F1898&lt;&gt;"",SUM(K1898,P1898,U1898,Z1898,AE1898,AJ1898,,AO1898,AT1898),F1898="","")</f>
        <v/>
      </c>
      <c r="BC1898" s="211" t="str" cm="1">
        <f t="array" ref="BC1898">_xlfn.IFS(E1898="","",G1898&lt;=E1898,BB1898*(1-0.03),G1898&lt;(E1898+8),BB1898,AZ1898="Boleto",BB1898*(1+0.001)^DATEDIF(E1898,G1898,"D"),AZ1898="Cheque",BB1898,AZ1898="Dinheiro","Alterar forma pgto")</f>
        <v/>
      </c>
      <c r="BD1898" s="276" t="str" cm="1">
        <f t="array" ref="BD1898">IF(F1898=0," ",IF(BC1898&lt;BB1898,(_xlfn.IFS(AW1898="SIM",SUM(L1898,Q1898,V1898,AA1898,AF1898,AK1898,AP1898,AU1898)+AX1898/_xlfn.XLOOKUP(_xlfn.XLOOKUP($F1898,Clientes!$B$4:$B$39,Clientes!$C$4:$C$39),Cadastros!$L$6:$L$12,Cadastros!$M$6:$M$12)+IF($F1898="Bernardino Furlan",AY1898/2751.92,IF($F1898="Mauro José Salanti",AY1898/2751.92,AY1898/3356)),F1898&lt;&gt;0,SUM(L1898,Q1898,V1898,AA1898,AF1898,AK1898,AP1898,AU1898)))*(1-0.03),_xlfn.IFS(AW1898="SIM",SUM(L1898,Q1898,V1898,AA1898,AF1898,AK1898,AP1898,AU1898)+AX1898/_xlfn.XLOOKUP(_xlfn.XLOOKUP($F1898,Clientes!$B$4:$B$39,Clientes!$C$4:$C$39),Cadastros!$L$6:$L$12,Cadastros!$M$6:$M$12)+IF($F1898="Bernardino Furlan",AY1898/2751.92,IF($F1898="Mauro José Salanti",AY1898/2751.92,AY1898/3356)),F1898&lt;&gt;0,SUM(L1898,Q1898,V1898,AA1898,AF1898,AK1898,AP1898,AU1898))))</f>
        <v xml:space="preserve"> </v>
      </c>
      <c r="BE1898" s="120"/>
      <c r="BF1898" s="120"/>
      <c r="BG1898" s="120"/>
    </row>
    <row r="1899" spans="1:59" s="3" customFormat="1" x14ac:dyDescent="0.3">
      <c r="A1899" s="15" t="str">
        <f t="shared" si="377"/>
        <v/>
      </c>
      <c r="B1899" s="25"/>
      <c r="C1899" s="26"/>
      <c r="D1899" s="279"/>
      <c r="E1899" s="27"/>
      <c r="F1899" s="28"/>
      <c r="G1899" s="27"/>
      <c r="H1899" s="28"/>
      <c r="I1899" s="28"/>
      <c r="J1899" s="255" t="str">
        <f>IF(H1899="","",(_xlfn.XLOOKUP(H1899,Cadastros!$D$6:$D$90,Cadastros!$E$6:$E$90))*(1-_xlfn.XLOOKUP(_xlfn.XLOOKUP($F1899,Clientes!$B$4:$B$39,Clientes!$C$4:$C$39),Cadastros!$L$6:$L$12,Cadastros!$N$6:$N$12)))</f>
        <v/>
      </c>
      <c r="K1899" s="168" t="str">
        <f t="shared" si="378"/>
        <v/>
      </c>
      <c r="L1899" s="168" t="str">
        <f>IFERROR(K1899/_xlfn.XLOOKUP(_xlfn.XLOOKUP($F1899,Clientes!$B$4:$B$39,Clientes!$C$4:$C$39),Cadastros!$L$6:$L$12,Cadastros!$M$6:$M$12)," ")</f>
        <v xml:space="preserve"> </v>
      </c>
      <c r="M1899" s="28"/>
      <c r="N1899" s="28"/>
      <c r="O1899" s="255" t="str">
        <f>IF(M1899="","",(_xlfn.XLOOKUP(M1899,Cadastros!$D$6:$D$90,Cadastros!$E$6:$E$90))*(1-_xlfn.XLOOKUP(_xlfn.XLOOKUP($F1899,Clientes!$B$4:$B$39,Clientes!$C$4:$C$39),Cadastros!$L$6:$L$12,Cadastros!$N$6:$N$12)))</f>
        <v/>
      </c>
      <c r="P1899" s="168" t="str">
        <f t="shared" si="379"/>
        <v/>
      </c>
      <c r="Q1899" s="168" t="str">
        <f>IFERROR(P1899/_xlfn.XLOOKUP(_xlfn.XLOOKUP($F1899,Clientes!$B$4:$B$39,Clientes!$C$4:$C$39),Cadastros!$L$6:$L$12,Cadastros!$M$6:$M$12)," ")</f>
        <v xml:space="preserve"> </v>
      </c>
      <c r="R1899" s="28"/>
      <c r="S1899" s="28"/>
      <c r="T1899" s="255" t="str">
        <f>IF(R1899="","",(_xlfn.XLOOKUP(R1899,Cadastros!$D$6:$D$90,Cadastros!$E$6:$E$90))*(1-_xlfn.XLOOKUP(_xlfn.XLOOKUP($F1899,Clientes!$B$4:$B$39,Clientes!$C$4:$C$39),Cadastros!$L$6:$L$12,Cadastros!$N$6:$N$12)))</f>
        <v/>
      </c>
      <c r="U1899" s="168" t="str">
        <f t="shared" si="380"/>
        <v/>
      </c>
      <c r="V1899" s="168" t="str">
        <f>IFERROR(U1899/_xlfn.XLOOKUP(_xlfn.XLOOKUP($F1899,Clientes!$B$4:$B$39,Clientes!$C$4:$C$39),Cadastros!$L$6:$L$12,Cadastros!$M$6:$M$12)," ")</f>
        <v xml:space="preserve"> </v>
      </c>
      <c r="W1899" s="28"/>
      <c r="X1899" s="28"/>
      <c r="Y1899" s="255" t="str">
        <f>IF(W1899="","",(_xlfn.XLOOKUP(W1899,Cadastros!$D$6:$D$90,Cadastros!$E$6:$E$90))*(1-_xlfn.XLOOKUP(_xlfn.XLOOKUP($F1899,Clientes!$B$4:$B$39,Clientes!$C$4:$C$39),Cadastros!$L$6:$L$12,Cadastros!$N$6:$N$12)))</f>
        <v/>
      </c>
      <c r="Z1899" s="168" t="str">
        <f t="shared" si="381"/>
        <v/>
      </c>
      <c r="AA1899" s="168" t="str">
        <f>IFERROR(Z1899/_xlfn.XLOOKUP(_xlfn.XLOOKUP($F1899,Clientes!$B$4:$B$39,Clientes!$C$4:$C$39),Cadastros!$L$6:$L$12,Cadastros!$M$6:$M$12)," ")</f>
        <v xml:space="preserve"> </v>
      </c>
      <c r="AB1899" s="28"/>
      <c r="AC1899" s="28"/>
      <c r="AD1899" s="20" t="str">
        <f>IF(AB1899="","",IF($F1899="Bernardino Furlan",_xlfn.XLOOKUP(AB1899,Cadastros!$G$6:$G$90,Cadastros!$H$6:$H$90)*(1-0.18),IF($F1899="Mauro José Salanti",_xlfn.XLOOKUP(AB1899,Cadastros!$G$6:$G$90,Cadastros!$H$6:$H$90)*(1-0.18),_xlfn.XLOOKUP(AB1899,Cadastros!$G$6:$G$90,Cadastros!$H$6:$H$90))))</f>
        <v/>
      </c>
      <c r="AE1899" s="168" t="str">
        <f t="shared" si="382"/>
        <v/>
      </c>
      <c r="AF1899" s="168" t="str">
        <f t="shared" si="383"/>
        <v/>
      </c>
      <c r="AG1899" s="28"/>
      <c r="AH1899" s="28"/>
      <c r="AI1899" s="20" t="str">
        <f>IF(AG1899="","",IF($F1899="Bernardino Furlan",_xlfn.XLOOKUP(AG1899,Cadastros!$G$6:$G$90,Cadastros!$H$6:$H$90)*(1-0.18),IF($F1899="Mauro José Salanti",_xlfn.XLOOKUP(AG1899,Cadastros!$G$6:$G$90,Cadastros!$H$6:$H$90)*(1-0.18),_xlfn.XLOOKUP(AG1899,Cadastros!$G$6:$G$90,Cadastros!$H$6:$H$90))))</f>
        <v/>
      </c>
      <c r="AJ1899" s="168" t="str">
        <f t="shared" si="384"/>
        <v/>
      </c>
      <c r="AK1899" s="168" t="str">
        <f t="shared" si="385"/>
        <v/>
      </c>
      <c r="AL1899" s="28"/>
      <c r="AM1899" s="28"/>
      <c r="AN1899" s="20" t="str">
        <f>IF(AL1899="","",IF($F1899="Bernardino Furlan",_xlfn.XLOOKUP(AL1899,Cadastros!$G$6:$G$90,Cadastros!$H$6:$H$90)*(1-0.18),IF($F1899="Mauro José Salanti",_xlfn.XLOOKUP(AL1899,Cadastros!$G$6:$G$90,Cadastros!$H$6:$H$90)*(1-0.18),_xlfn.XLOOKUP(AL1899,Cadastros!$G$6:$G$90,Cadastros!$H$6:$H$90))))</f>
        <v/>
      </c>
      <c r="AO1899" s="168" t="str">
        <f t="shared" si="386"/>
        <v/>
      </c>
      <c r="AP1899" s="168" t="str">
        <f t="shared" si="387"/>
        <v/>
      </c>
      <c r="AQ1899" s="28"/>
      <c r="AR1899" s="28"/>
      <c r="AS1899" s="20" t="str">
        <f>IF(AQ1899="","",IF($F1899="Bernardino Furlan",_xlfn.XLOOKUP(AQ1899,Cadastros!$G$6:$G$90,Cadastros!$H$6:$H$90)*(1-0.18),IF($F1899="Mauro José Salanti",_xlfn.XLOOKUP(AQ1899,Cadastros!$G$6:$G$90,Cadastros!$H$6:$H$90)*(1-0.18),_xlfn.XLOOKUP(AQ1899,Cadastros!$G$6:$G$90,Cadastros!$H$6:$H$90))))</f>
        <v/>
      </c>
      <c r="AT1899" s="168" t="str">
        <f t="shared" si="388"/>
        <v/>
      </c>
      <c r="AU1899" s="168" t="str">
        <f t="shared" si="389"/>
        <v/>
      </c>
      <c r="AV1899" s="227"/>
      <c r="AW1899" s="30"/>
      <c r="AX1899" s="267"/>
      <c r="AY1899" s="267"/>
      <c r="AZ1899" s="29"/>
      <c r="BA1899" s="30"/>
      <c r="BB1899" s="23" t="str" cm="1">
        <f t="array" ref="BB1899">_xlfn.IFS(AW1899="SIM",SUM(K1899,P1899,U1899,Z1899,AE1899,AJ1899,AO1899,AT1899,AX1899,AY1899),F1899&lt;&gt;"",SUM(K1899,P1899,U1899,Z1899,AE1899,AJ1899,,AO1899,AT1899),F1899="","")</f>
        <v/>
      </c>
      <c r="BC1899" s="211" t="str" cm="1">
        <f t="array" ref="BC1899">_xlfn.IFS(E1899="","",G1899&lt;=E1899,BB1899*(1-0.03),G1899&lt;(E1899+8),BB1899,AZ1899="Boleto",BB1899*(1+0.001)^DATEDIF(E1899,G1899,"D"),AZ1899="Cheque",BB1899,AZ1899="Dinheiro","Alterar forma pgto")</f>
        <v/>
      </c>
      <c r="BD1899" s="276" t="str" cm="1">
        <f t="array" ref="BD1899">IF(F1899=0," ",IF(BC1899&lt;BB1899,(_xlfn.IFS(AW1899="SIM",SUM(L1899,Q1899,V1899,AA1899,AF1899,AK1899,AP1899,AU1899)+AX1899/_xlfn.XLOOKUP(_xlfn.XLOOKUP($F1899,Clientes!$B$4:$B$39,Clientes!$C$4:$C$39),Cadastros!$L$6:$L$12,Cadastros!$M$6:$M$12)+IF($F1899="Bernardino Furlan",AY1899/2751.92,IF($F1899="Mauro José Salanti",AY1899/2751.92,AY1899/3356)),F1899&lt;&gt;0,SUM(L1899,Q1899,V1899,AA1899,AF1899,AK1899,AP1899,AU1899)))*(1-0.03),_xlfn.IFS(AW1899="SIM",SUM(L1899,Q1899,V1899,AA1899,AF1899,AK1899,AP1899,AU1899)+AX1899/_xlfn.XLOOKUP(_xlfn.XLOOKUP($F1899,Clientes!$B$4:$B$39,Clientes!$C$4:$C$39),Cadastros!$L$6:$L$12,Cadastros!$M$6:$M$12)+IF($F1899="Bernardino Furlan",AY1899/2751.92,IF($F1899="Mauro José Salanti",AY1899/2751.92,AY1899/3356)),F1899&lt;&gt;0,SUM(L1899,Q1899,V1899,AA1899,AF1899,AK1899,AP1899,AU1899))))</f>
        <v xml:space="preserve"> </v>
      </c>
      <c r="BE1899" s="120"/>
      <c r="BF1899" s="120"/>
      <c r="BG1899" s="120"/>
    </row>
    <row r="1900" spans="1:59" s="3" customFormat="1" x14ac:dyDescent="0.3">
      <c r="A1900" s="15" t="str">
        <f t="shared" si="377"/>
        <v/>
      </c>
      <c r="B1900" s="25"/>
      <c r="C1900" s="26"/>
      <c r="D1900" s="279"/>
      <c r="E1900" s="27"/>
      <c r="F1900" s="28"/>
      <c r="G1900" s="27"/>
      <c r="H1900" s="28"/>
      <c r="I1900" s="28"/>
      <c r="J1900" s="255" t="str">
        <f>IF(H1900="","",(_xlfn.XLOOKUP(H1900,Cadastros!$D$6:$D$90,Cadastros!$E$6:$E$90))*(1-_xlfn.XLOOKUP(_xlfn.XLOOKUP($F1900,Clientes!$B$4:$B$39,Clientes!$C$4:$C$39),Cadastros!$L$6:$L$12,Cadastros!$N$6:$N$12)))</f>
        <v/>
      </c>
      <c r="K1900" s="168" t="str">
        <f t="shared" si="378"/>
        <v/>
      </c>
      <c r="L1900" s="168" t="str">
        <f>IFERROR(K1900/_xlfn.XLOOKUP(_xlfn.XLOOKUP($F1900,Clientes!$B$4:$B$39,Clientes!$C$4:$C$39),Cadastros!$L$6:$L$12,Cadastros!$M$6:$M$12)," ")</f>
        <v xml:space="preserve"> </v>
      </c>
      <c r="M1900" s="28"/>
      <c r="N1900" s="28"/>
      <c r="O1900" s="255" t="str">
        <f>IF(M1900="","",(_xlfn.XLOOKUP(M1900,Cadastros!$D$6:$D$90,Cadastros!$E$6:$E$90))*(1-_xlfn.XLOOKUP(_xlfn.XLOOKUP($F1900,Clientes!$B$4:$B$39,Clientes!$C$4:$C$39),Cadastros!$L$6:$L$12,Cadastros!$N$6:$N$12)))</f>
        <v/>
      </c>
      <c r="P1900" s="168" t="str">
        <f t="shared" si="379"/>
        <v/>
      </c>
      <c r="Q1900" s="168" t="str">
        <f>IFERROR(P1900/_xlfn.XLOOKUP(_xlfn.XLOOKUP($F1900,Clientes!$B$4:$B$39,Clientes!$C$4:$C$39),Cadastros!$L$6:$L$12,Cadastros!$M$6:$M$12)," ")</f>
        <v xml:space="preserve"> </v>
      </c>
      <c r="R1900" s="28"/>
      <c r="S1900" s="28"/>
      <c r="T1900" s="255" t="str">
        <f>IF(R1900="","",(_xlfn.XLOOKUP(R1900,Cadastros!$D$6:$D$90,Cadastros!$E$6:$E$90))*(1-_xlfn.XLOOKUP(_xlfn.XLOOKUP($F1900,Clientes!$B$4:$B$39,Clientes!$C$4:$C$39),Cadastros!$L$6:$L$12,Cadastros!$N$6:$N$12)))</f>
        <v/>
      </c>
      <c r="U1900" s="168" t="str">
        <f t="shared" si="380"/>
        <v/>
      </c>
      <c r="V1900" s="168" t="str">
        <f>IFERROR(U1900/_xlfn.XLOOKUP(_xlfn.XLOOKUP($F1900,Clientes!$B$4:$B$39,Clientes!$C$4:$C$39),Cadastros!$L$6:$L$12,Cadastros!$M$6:$M$12)," ")</f>
        <v xml:space="preserve"> </v>
      </c>
      <c r="W1900" s="28"/>
      <c r="X1900" s="28"/>
      <c r="Y1900" s="255" t="str">
        <f>IF(W1900="","",(_xlfn.XLOOKUP(W1900,Cadastros!$D$6:$D$90,Cadastros!$E$6:$E$90))*(1-_xlfn.XLOOKUP(_xlfn.XLOOKUP($F1900,Clientes!$B$4:$B$39,Clientes!$C$4:$C$39),Cadastros!$L$6:$L$12,Cadastros!$N$6:$N$12)))</f>
        <v/>
      </c>
      <c r="Z1900" s="168" t="str">
        <f t="shared" si="381"/>
        <v/>
      </c>
      <c r="AA1900" s="168" t="str">
        <f>IFERROR(Z1900/_xlfn.XLOOKUP(_xlfn.XLOOKUP($F1900,Clientes!$B$4:$B$39,Clientes!$C$4:$C$39),Cadastros!$L$6:$L$12,Cadastros!$M$6:$M$12)," ")</f>
        <v xml:space="preserve"> </v>
      </c>
      <c r="AB1900" s="28"/>
      <c r="AC1900" s="28"/>
      <c r="AD1900" s="20" t="str">
        <f>IF(AB1900="","",IF($F1900="Bernardino Furlan",_xlfn.XLOOKUP(AB1900,Cadastros!$G$6:$G$90,Cadastros!$H$6:$H$90)*(1-0.18),IF($F1900="Mauro José Salanti",_xlfn.XLOOKUP(AB1900,Cadastros!$G$6:$G$90,Cadastros!$H$6:$H$90)*(1-0.18),_xlfn.XLOOKUP(AB1900,Cadastros!$G$6:$G$90,Cadastros!$H$6:$H$90))))</f>
        <v/>
      </c>
      <c r="AE1900" s="168" t="str">
        <f t="shared" si="382"/>
        <v/>
      </c>
      <c r="AF1900" s="168" t="str">
        <f t="shared" si="383"/>
        <v/>
      </c>
      <c r="AG1900" s="28"/>
      <c r="AH1900" s="28"/>
      <c r="AI1900" s="20" t="str">
        <f>IF(AG1900="","",IF($F1900="Bernardino Furlan",_xlfn.XLOOKUP(AG1900,Cadastros!$G$6:$G$90,Cadastros!$H$6:$H$90)*(1-0.18),IF($F1900="Mauro José Salanti",_xlfn.XLOOKUP(AG1900,Cadastros!$G$6:$G$90,Cadastros!$H$6:$H$90)*(1-0.18),_xlfn.XLOOKUP(AG1900,Cadastros!$G$6:$G$90,Cadastros!$H$6:$H$90))))</f>
        <v/>
      </c>
      <c r="AJ1900" s="168" t="str">
        <f t="shared" si="384"/>
        <v/>
      </c>
      <c r="AK1900" s="168" t="str">
        <f t="shared" si="385"/>
        <v/>
      </c>
      <c r="AL1900" s="28"/>
      <c r="AM1900" s="28"/>
      <c r="AN1900" s="20" t="str">
        <f>IF(AL1900="","",IF($F1900="Bernardino Furlan",_xlfn.XLOOKUP(AL1900,Cadastros!$G$6:$G$90,Cadastros!$H$6:$H$90)*(1-0.18),IF($F1900="Mauro José Salanti",_xlfn.XLOOKUP(AL1900,Cadastros!$G$6:$G$90,Cadastros!$H$6:$H$90)*(1-0.18),_xlfn.XLOOKUP(AL1900,Cadastros!$G$6:$G$90,Cadastros!$H$6:$H$90))))</f>
        <v/>
      </c>
      <c r="AO1900" s="168" t="str">
        <f t="shared" si="386"/>
        <v/>
      </c>
      <c r="AP1900" s="168" t="str">
        <f t="shared" si="387"/>
        <v/>
      </c>
      <c r="AQ1900" s="28"/>
      <c r="AR1900" s="28"/>
      <c r="AS1900" s="20" t="str">
        <f>IF(AQ1900="","",IF($F1900="Bernardino Furlan",_xlfn.XLOOKUP(AQ1900,Cadastros!$G$6:$G$90,Cadastros!$H$6:$H$90)*(1-0.18),IF($F1900="Mauro José Salanti",_xlfn.XLOOKUP(AQ1900,Cadastros!$G$6:$G$90,Cadastros!$H$6:$H$90)*(1-0.18),_xlfn.XLOOKUP(AQ1900,Cadastros!$G$6:$G$90,Cadastros!$H$6:$H$90))))</f>
        <v/>
      </c>
      <c r="AT1900" s="168" t="str">
        <f t="shared" si="388"/>
        <v/>
      </c>
      <c r="AU1900" s="168" t="str">
        <f t="shared" si="389"/>
        <v/>
      </c>
      <c r="AV1900" s="227"/>
      <c r="AW1900" s="30"/>
      <c r="AX1900" s="267"/>
      <c r="AY1900" s="267"/>
      <c r="AZ1900" s="29"/>
      <c r="BA1900" s="30"/>
      <c r="BB1900" s="23" t="str" cm="1">
        <f t="array" ref="BB1900">_xlfn.IFS(AW1900="SIM",SUM(K1900,P1900,U1900,Z1900,AE1900,AJ1900,AO1900,AT1900,AX1900,AY1900),F1900&lt;&gt;"",SUM(K1900,P1900,U1900,Z1900,AE1900,AJ1900,,AO1900,AT1900),F1900="","")</f>
        <v/>
      </c>
      <c r="BC1900" s="211" t="str" cm="1">
        <f t="array" ref="BC1900">_xlfn.IFS(E1900="","",G1900&lt;=E1900,BB1900*(1-0.03),G1900&lt;(E1900+8),BB1900,AZ1900="Boleto",BB1900*(1+0.001)^DATEDIF(E1900,G1900,"D"),AZ1900="Cheque",BB1900,AZ1900="Dinheiro","Alterar forma pgto")</f>
        <v/>
      </c>
      <c r="BD1900" s="276" t="str" cm="1">
        <f t="array" ref="BD1900">IF(F1900=0," ",IF(BC1900&lt;BB1900,(_xlfn.IFS(AW1900="SIM",SUM(L1900,Q1900,V1900,AA1900,AF1900,AK1900,AP1900,AU1900)+AX1900/_xlfn.XLOOKUP(_xlfn.XLOOKUP($F1900,Clientes!$B$4:$B$39,Clientes!$C$4:$C$39),Cadastros!$L$6:$L$12,Cadastros!$M$6:$M$12)+IF($F1900="Bernardino Furlan",AY1900/2751.92,IF($F1900="Mauro José Salanti",AY1900/2751.92,AY1900/3356)),F1900&lt;&gt;0,SUM(L1900,Q1900,V1900,AA1900,AF1900,AK1900,AP1900,AU1900)))*(1-0.03),_xlfn.IFS(AW1900="SIM",SUM(L1900,Q1900,V1900,AA1900,AF1900,AK1900,AP1900,AU1900)+AX1900/_xlfn.XLOOKUP(_xlfn.XLOOKUP($F1900,Clientes!$B$4:$B$39,Clientes!$C$4:$C$39),Cadastros!$L$6:$L$12,Cadastros!$M$6:$M$12)+IF($F1900="Bernardino Furlan",AY1900/2751.92,IF($F1900="Mauro José Salanti",AY1900/2751.92,AY1900/3356)),F1900&lt;&gt;0,SUM(L1900,Q1900,V1900,AA1900,AF1900,AK1900,AP1900,AU1900))))</f>
        <v xml:space="preserve"> </v>
      </c>
      <c r="BE1900" s="120"/>
      <c r="BF1900" s="120"/>
      <c r="BG1900" s="120"/>
    </row>
    <row r="1901" spans="1:59" s="3" customFormat="1" x14ac:dyDescent="0.3">
      <c r="A1901" s="15" t="str">
        <f t="shared" si="377"/>
        <v/>
      </c>
      <c r="B1901" s="25"/>
      <c r="C1901" s="26"/>
      <c r="D1901" s="279"/>
      <c r="E1901" s="27"/>
      <c r="F1901" s="28"/>
      <c r="G1901" s="27"/>
      <c r="H1901" s="28"/>
      <c r="I1901" s="28"/>
      <c r="J1901" s="255" t="str">
        <f>IF(H1901="","",(_xlfn.XLOOKUP(H1901,Cadastros!$D$6:$D$90,Cadastros!$E$6:$E$90))*(1-_xlfn.XLOOKUP(_xlfn.XLOOKUP($F1901,Clientes!$B$4:$B$39,Clientes!$C$4:$C$39),Cadastros!$L$6:$L$12,Cadastros!$N$6:$N$12)))</f>
        <v/>
      </c>
      <c r="K1901" s="168" t="str">
        <f t="shared" si="378"/>
        <v/>
      </c>
      <c r="L1901" s="168" t="str">
        <f>IFERROR(K1901/_xlfn.XLOOKUP(_xlfn.XLOOKUP($F1901,Clientes!$B$4:$B$39,Clientes!$C$4:$C$39),Cadastros!$L$6:$L$12,Cadastros!$M$6:$M$12)," ")</f>
        <v xml:space="preserve"> </v>
      </c>
      <c r="M1901" s="28"/>
      <c r="N1901" s="28"/>
      <c r="O1901" s="255" t="str">
        <f>IF(M1901="","",(_xlfn.XLOOKUP(M1901,Cadastros!$D$6:$D$90,Cadastros!$E$6:$E$90))*(1-_xlfn.XLOOKUP(_xlfn.XLOOKUP($F1901,Clientes!$B$4:$B$39,Clientes!$C$4:$C$39),Cadastros!$L$6:$L$12,Cadastros!$N$6:$N$12)))</f>
        <v/>
      </c>
      <c r="P1901" s="168" t="str">
        <f t="shared" si="379"/>
        <v/>
      </c>
      <c r="Q1901" s="168" t="str">
        <f>IFERROR(P1901/_xlfn.XLOOKUP(_xlfn.XLOOKUP($F1901,Clientes!$B$4:$B$39,Clientes!$C$4:$C$39),Cadastros!$L$6:$L$12,Cadastros!$M$6:$M$12)," ")</f>
        <v xml:space="preserve"> </v>
      </c>
      <c r="R1901" s="28"/>
      <c r="S1901" s="28"/>
      <c r="T1901" s="255" t="str">
        <f>IF(R1901="","",(_xlfn.XLOOKUP(R1901,Cadastros!$D$6:$D$90,Cadastros!$E$6:$E$90))*(1-_xlfn.XLOOKUP(_xlfn.XLOOKUP($F1901,Clientes!$B$4:$B$39,Clientes!$C$4:$C$39),Cadastros!$L$6:$L$12,Cadastros!$N$6:$N$12)))</f>
        <v/>
      </c>
      <c r="U1901" s="168" t="str">
        <f t="shared" si="380"/>
        <v/>
      </c>
      <c r="V1901" s="168" t="str">
        <f>IFERROR(U1901/_xlfn.XLOOKUP(_xlfn.XLOOKUP($F1901,Clientes!$B$4:$B$39,Clientes!$C$4:$C$39),Cadastros!$L$6:$L$12,Cadastros!$M$6:$M$12)," ")</f>
        <v xml:space="preserve"> </v>
      </c>
      <c r="W1901" s="28"/>
      <c r="X1901" s="28"/>
      <c r="Y1901" s="255" t="str">
        <f>IF(W1901="","",(_xlfn.XLOOKUP(W1901,Cadastros!$D$6:$D$90,Cadastros!$E$6:$E$90))*(1-_xlfn.XLOOKUP(_xlfn.XLOOKUP($F1901,Clientes!$B$4:$B$39,Clientes!$C$4:$C$39),Cadastros!$L$6:$L$12,Cadastros!$N$6:$N$12)))</f>
        <v/>
      </c>
      <c r="Z1901" s="168" t="str">
        <f t="shared" si="381"/>
        <v/>
      </c>
      <c r="AA1901" s="168" t="str">
        <f>IFERROR(Z1901/_xlfn.XLOOKUP(_xlfn.XLOOKUP($F1901,Clientes!$B$4:$B$39,Clientes!$C$4:$C$39),Cadastros!$L$6:$L$12,Cadastros!$M$6:$M$12)," ")</f>
        <v xml:space="preserve"> </v>
      </c>
      <c r="AB1901" s="28"/>
      <c r="AC1901" s="28"/>
      <c r="AD1901" s="20" t="str">
        <f>IF(AB1901="","",IF($F1901="Bernardino Furlan",_xlfn.XLOOKUP(AB1901,Cadastros!$G$6:$G$90,Cadastros!$H$6:$H$90)*(1-0.18),IF($F1901="Mauro José Salanti",_xlfn.XLOOKUP(AB1901,Cadastros!$G$6:$G$90,Cadastros!$H$6:$H$90)*(1-0.18),_xlfn.XLOOKUP(AB1901,Cadastros!$G$6:$G$90,Cadastros!$H$6:$H$90))))</f>
        <v/>
      </c>
      <c r="AE1901" s="168" t="str">
        <f t="shared" si="382"/>
        <v/>
      </c>
      <c r="AF1901" s="168" t="str">
        <f t="shared" si="383"/>
        <v/>
      </c>
      <c r="AG1901" s="28"/>
      <c r="AH1901" s="28"/>
      <c r="AI1901" s="20" t="str">
        <f>IF(AG1901="","",IF($F1901="Bernardino Furlan",_xlfn.XLOOKUP(AG1901,Cadastros!$G$6:$G$90,Cadastros!$H$6:$H$90)*(1-0.18),IF($F1901="Mauro José Salanti",_xlfn.XLOOKUP(AG1901,Cadastros!$G$6:$G$90,Cadastros!$H$6:$H$90)*(1-0.18),_xlfn.XLOOKUP(AG1901,Cadastros!$G$6:$G$90,Cadastros!$H$6:$H$90))))</f>
        <v/>
      </c>
      <c r="AJ1901" s="168" t="str">
        <f t="shared" si="384"/>
        <v/>
      </c>
      <c r="AK1901" s="168" t="str">
        <f t="shared" si="385"/>
        <v/>
      </c>
      <c r="AL1901" s="28"/>
      <c r="AM1901" s="28"/>
      <c r="AN1901" s="20" t="str">
        <f>IF(AL1901="","",IF($F1901="Bernardino Furlan",_xlfn.XLOOKUP(AL1901,Cadastros!$G$6:$G$90,Cadastros!$H$6:$H$90)*(1-0.18),IF($F1901="Mauro José Salanti",_xlfn.XLOOKUP(AL1901,Cadastros!$G$6:$G$90,Cadastros!$H$6:$H$90)*(1-0.18),_xlfn.XLOOKUP(AL1901,Cadastros!$G$6:$G$90,Cadastros!$H$6:$H$90))))</f>
        <v/>
      </c>
      <c r="AO1901" s="168" t="str">
        <f t="shared" si="386"/>
        <v/>
      </c>
      <c r="AP1901" s="168" t="str">
        <f t="shared" si="387"/>
        <v/>
      </c>
      <c r="AQ1901" s="28"/>
      <c r="AR1901" s="28"/>
      <c r="AS1901" s="20" t="str">
        <f>IF(AQ1901="","",IF($F1901="Bernardino Furlan",_xlfn.XLOOKUP(AQ1901,Cadastros!$G$6:$G$90,Cadastros!$H$6:$H$90)*(1-0.18),IF($F1901="Mauro José Salanti",_xlfn.XLOOKUP(AQ1901,Cadastros!$G$6:$G$90,Cadastros!$H$6:$H$90)*(1-0.18),_xlfn.XLOOKUP(AQ1901,Cadastros!$G$6:$G$90,Cadastros!$H$6:$H$90))))</f>
        <v/>
      </c>
      <c r="AT1901" s="168" t="str">
        <f t="shared" si="388"/>
        <v/>
      </c>
      <c r="AU1901" s="168" t="str">
        <f t="shared" si="389"/>
        <v/>
      </c>
      <c r="AV1901" s="227"/>
      <c r="AW1901" s="30"/>
      <c r="AX1901" s="267"/>
      <c r="AY1901" s="267"/>
      <c r="AZ1901" s="29"/>
      <c r="BA1901" s="30"/>
      <c r="BB1901" s="23" t="str" cm="1">
        <f t="array" ref="BB1901">_xlfn.IFS(AW1901="SIM",SUM(K1901,P1901,U1901,Z1901,AE1901,AJ1901,AO1901,AT1901,AX1901,AY1901),F1901&lt;&gt;"",SUM(K1901,P1901,U1901,Z1901,AE1901,AJ1901,,AO1901,AT1901),F1901="","")</f>
        <v/>
      </c>
      <c r="BC1901" s="211" t="str" cm="1">
        <f t="array" ref="BC1901">_xlfn.IFS(E1901="","",G1901&lt;=E1901,BB1901*(1-0.03),G1901&lt;(E1901+8),BB1901,AZ1901="Boleto",BB1901*(1+0.001)^DATEDIF(E1901,G1901,"D"),AZ1901="Cheque",BB1901,AZ1901="Dinheiro","Alterar forma pgto")</f>
        <v/>
      </c>
      <c r="BD1901" s="276" t="str" cm="1">
        <f t="array" ref="BD1901">IF(F1901=0," ",IF(BC1901&lt;BB1901,(_xlfn.IFS(AW1901="SIM",SUM(L1901,Q1901,V1901,AA1901,AF1901,AK1901,AP1901,AU1901)+AX1901/_xlfn.XLOOKUP(_xlfn.XLOOKUP($F1901,Clientes!$B$4:$B$39,Clientes!$C$4:$C$39),Cadastros!$L$6:$L$12,Cadastros!$M$6:$M$12)+IF($F1901="Bernardino Furlan",AY1901/2751.92,IF($F1901="Mauro José Salanti",AY1901/2751.92,AY1901/3356)),F1901&lt;&gt;0,SUM(L1901,Q1901,V1901,AA1901,AF1901,AK1901,AP1901,AU1901)))*(1-0.03),_xlfn.IFS(AW1901="SIM",SUM(L1901,Q1901,V1901,AA1901,AF1901,AK1901,AP1901,AU1901)+AX1901/_xlfn.XLOOKUP(_xlfn.XLOOKUP($F1901,Clientes!$B$4:$B$39,Clientes!$C$4:$C$39),Cadastros!$L$6:$L$12,Cadastros!$M$6:$M$12)+IF($F1901="Bernardino Furlan",AY1901/2751.92,IF($F1901="Mauro José Salanti",AY1901/2751.92,AY1901/3356)),F1901&lt;&gt;0,SUM(L1901,Q1901,V1901,AA1901,AF1901,AK1901,AP1901,AU1901))))</f>
        <v xml:space="preserve"> </v>
      </c>
      <c r="BE1901" s="120"/>
      <c r="BF1901" s="120"/>
      <c r="BG1901" s="120"/>
    </row>
    <row r="1902" spans="1:59" s="3" customFormat="1" x14ac:dyDescent="0.3">
      <c r="A1902" s="15" t="str">
        <f t="shared" si="377"/>
        <v/>
      </c>
      <c r="B1902" s="25"/>
      <c r="C1902" s="26"/>
      <c r="D1902" s="279"/>
      <c r="E1902" s="27"/>
      <c r="F1902" s="28"/>
      <c r="G1902" s="27"/>
      <c r="H1902" s="28"/>
      <c r="I1902" s="28"/>
      <c r="J1902" s="255" t="str">
        <f>IF(H1902="","",(_xlfn.XLOOKUP(H1902,Cadastros!$D$6:$D$90,Cadastros!$E$6:$E$90))*(1-_xlfn.XLOOKUP(_xlfn.XLOOKUP($F1902,Clientes!$B$4:$B$39,Clientes!$C$4:$C$39),Cadastros!$L$6:$L$12,Cadastros!$N$6:$N$12)))</f>
        <v/>
      </c>
      <c r="K1902" s="168" t="str">
        <f t="shared" si="378"/>
        <v/>
      </c>
      <c r="L1902" s="168" t="str">
        <f>IFERROR(K1902/_xlfn.XLOOKUP(_xlfn.XLOOKUP($F1902,Clientes!$B$4:$B$39,Clientes!$C$4:$C$39),Cadastros!$L$6:$L$12,Cadastros!$M$6:$M$12)," ")</f>
        <v xml:space="preserve"> </v>
      </c>
      <c r="M1902" s="28"/>
      <c r="N1902" s="28"/>
      <c r="O1902" s="255" t="str">
        <f>IF(M1902="","",(_xlfn.XLOOKUP(M1902,Cadastros!$D$6:$D$90,Cadastros!$E$6:$E$90))*(1-_xlfn.XLOOKUP(_xlfn.XLOOKUP($F1902,Clientes!$B$4:$B$39,Clientes!$C$4:$C$39),Cadastros!$L$6:$L$12,Cadastros!$N$6:$N$12)))</f>
        <v/>
      </c>
      <c r="P1902" s="168" t="str">
        <f t="shared" si="379"/>
        <v/>
      </c>
      <c r="Q1902" s="168" t="str">
        <f>IFERROR(P1902/_xlfn.XLOOKUP(_xlfn.XLOOKUP($F1902,Clientes!$B$4:$B$39,Clientes!$C$4:$C$39),Cadastros!$L$6:$L$12,Cadastros!$M$6:$M$12)," ")</f>
        <v xml:space="preserve"> </v>
      </c>
      <c r="R1902" s="28"/>
      <c r="S1902" s="28"/>
      <c r="T1902" s="255" t="str">
        <f>IF(R1902="","",(_xlfn.XLOOKUP(R1902,Cadastros!$D$6:$D$90,Cadastros!$E$6:$E$90))*(1-_xlfn.XLOOKUP(_xlfn.XLOOKUP($F1902,Clientes!$B$4:$B$39,Clientes!$C$4:$C$39),Cadastros!$L$6:$L$12,Cadastros!$N$6:$N$12)))</f>
        <v/>
      </c>
      <c r="U1902" s="168" t="str">
        <f t="shared" si="380"/>
        <v/>
      </c>
      <c r="V1902" s="168" t="str">
        <f>IFERROR(U1902/_xlfn.XLOOKUP(_xlfn.XLOOKUP($F1902,Clientes!$B$4:$B$39,Clientes!$C$4:$C$39),Cadastros!$L$6:$L$12,Cadastros!$M$6:$M$12)," ")</f>
        <v xml:space="preserve"> </v>
      </c>
      <c r="W1902" s="28"/>
      <c r="X1902" s="28"/>
      <c r="Y1902" s="255" t="str">
        <f>IF(W1902="","",(_xlfn.XLOOKUP(W1902,Cadastros!$D$6:$D$90,Cadastros!$E$6:$E$90))*(1-_xlfn.XLOOKUP(_xlfn.XLOOKUP($F1902,Clientes!$B$4:$B$39,Clientes!$C$4:$C$39),Cadastros!$L$6:$L$12,Cadastros!$N$6:$N$12)))</f>
        <v/>
      </c>
      <c r="Z1902" s="168" t="str">
        <f t="shared" si="381"/>
        <v/>
      </c>
      <c r="AA1902" s="168" t="str">
        <f>IFERROR(Z1902/_xlfn.XLOOKUP(_xlfn.XLOOKUP($F1902,Clientes!$B$4:$B$39,Clientes!$C$4:$C$39),Cadastros!$L$6:$L$12,Cadastros!$M$6:$M$12)," ")</f>
        <v xml:space="preserve"> </v>
      </c>
      <c r="AB1902" s="28"/>
      <c r="AC1902" s="28"/>
      <c r="AD1902" s="20" t="str">
        <f>IF(AB1902="","",IF($F1902="Bernardino Furlan",_xlfn.XLOOKUP(AB1902,Cadastros!$G$6:$G$90,Cadastros!$H$6:$H$90)*(1-0.18),IF($F1902="Mauro José Salanti",_xlfn.XLOOKUP(AB1902,Cadastros!$G$6:$G$90,Cadastros!$H$6:$H$90)*(1-0.18),_xlfn.XLOOKUP(AB1902,Cadastros!$G$6:$G$90,Cadastros!$H$6:$H$90))))</f>
        <v/>
      </c>
      <c r="AE1902" s="168" t="str">
        <f t="shared" si="382"/>
        <v/>
      </c>
      <c r="AF1902" s="168" t="str">
        <f t="shared" si="383"/>
        <v/>
      </c>
      <c r="AG1902" s="28"/>
      <c r="AH1902" s="28"/>
      <c r="AI1902" s="20" t="str">
        <f>IF(AG1902="","",IF($F1902="Bernardino Furlan",_xlfn.XLOOKUP(AG1902,Cadastros!$G$6:$G$90,Cadastros!$H$6:$H$90)*(1-0.18),IF($F1902="Mauro José Salanti",_xlfn.XLOOKUP(AG1902,Cadastros!$G$6:$G$90,Cadastros!$H$6:$H$90)*(1-0.18),_xlfn.XLOOKUP(AG1902,Cadastros!$G$6:$G$90,Cadastros!$H$6:$H$90))))</f>
        <v/>
      </c>
      <c r="AJ1902" s="168" t="str">
        <f t="shared" si="384"/>
        <v/>
      </c>
      <c r="AK1902" s="168" t="str">
        <f t="shared" si="385"/>
        <v/>
      </c>
      <c r="AL1902" s="28"/>
      <c r="AM1902" s="28"/>
      <c r="AN1902" s="20" t="str">
        <f>IF(AL1902="","",IF($F1902="Bernardino Furlan",_xlfn.XLOOKUP(AL1902,Cadastros!$G$6:$G$90,Cadastros!$H$6:$H$90)*(1-0.18),IF($F1902="Mauro José Salanti",_xlfn.XLOOKUP(AL1902,Cadastros!$G$6:$G$90,Cadastros!$H$6:$H$90)*(1-0.18),_xlfn.XLOOKUP(AL1902,Cadastros!$G$6:$G$90,Cadastros!$H$6:$H$90))))</f>
        <v/>
      </c>
      <c r="AO1902" s="168" t="str">
        <f t="shared" si="386"/>
        <v/>
      </c>
      <c r="AP1902" s="168" t="str">
        <f t="shared" si="387"/>
        <v/>
      </c>
      <c r="AQ1902" s="28"/>
      <c r="AR1902" s="28"/>
      <c r="AS1902" s="20" t="str">
        <f>IF(AQ1902="","",IF($F1902="Bernardino Furlan",_xlfn.XLOOKUP(AQ1902,Cadastros!$G$6:$G$90,Cadastros!$H$6:$H$90)*(1-0.18),IF($F1902="Mauro José Salanti",_xlfn.XLOOKUP(AQ1902,Cadastros!$G$6:$G$90,Cadastros!$H$6:$H$90)*(1-0.18),_xlfn.XLOOKUP(AQ1902,Cadastros!$G$6:$G$90,Cadastros!$H$6:$H$90))))</f>
        <v/>
      </c>
      <c r="AT1902" s="168" t="str">
        <f t="shared" si="388"/>
        <v/>
      </c>
      <c r="AU1902" s="168" t="str">
        <f t="shared" si="389"/>
        <v/>
      </c>
      <c r="AV1902" s="227"/>
      <c r="AW1902" s="30"/>
      <c r="AX1902" s="267"/>
      <c r="AY1902" s="267"/>
      <c r="AZ1902" s="29"/>
      <c r="BA1902" s="30"/>
      <c r="BB1902" s="23" t="str" cm="1">
        <f t="array" ref="BB1902">_xlfn.IFS(AW1902="SIM",SUM(K1902,P1902,U1902,Z1902,AE1902,AJ1902,AO1902,AT1902,AX1902,AY1902),F1902&lt;&gt;"",SUM(K1902,P1902,U1902,Z1902,AE1902,AJ1902,,AO1902,AT1902),F1902="","")</f>
        <v/>
      </c>
      <c r="BC1902" s="211" t="str" cm="1">
        <f t="array" ref="BC1902">_xlfn.IFS(E1902="","",G1902&lt;=E1902,BB1902*(1-0.03),G1902&lt;(E1902+8),BB1902,AZ1902="Boleto",BB1902*(1+0.001)^DATEDIF(E1902,G1902,"D"),AZ1902="Cheque",BB1902,AZ1902="Dinheiro","Alterar forma pgto")</f>
        <v/>
      </c>
      <c r="BD1902" s="276" t="str" cm="1">
        <f t="array" ref="BD1902">IF(F1902=0," ",IF(BC1902&lt;BB1902,(_xlfn.IFS(AW1902="SIM",SUM(L1902,Q1902,V1902,AA1902,AF1902,AK1902,AP1902,AU1902)+AX1902/_xlfn.XLOOKUP(_xlfn.XLOOKUP($F1902,Clientes!$B$4:$B$39,Clientes!$C$4:$C$39),Cadastros!$L$6:$L$12,Cadastros!$M$6:$M$12)+IF($F1902="Bernardino Furlan",AY1902/2751.92,IF($F1902="Mauro José Salanti",AY1902/2751.92,AY1902/3356)),F1902&lt;&gt;0,SUM(L1902,Q1902,V1902,AA1902,AF1902,AK1902,AP1902,AU1902)))*(1-0.03),_xlfn.IFS(AW1902="SIM",SUM(L1902,Q1902,V1902,AA1902,AF1902,AK1902,AP1902,AU1902)+AX1902/_xlfn.XLOOKUP(_xlfn.XLOOKUP($F1902,Clientes!$B$4:$B$39,Clientes!$C$4:$C$39),Cadastros!$L$6:$L$12,Cadastros!$M$6:$M$12)+IF($F1902="Bernardino Furlan",AY1902/2751.92,IF($F1902="Mauro José Salanti",AY1902/2751.92,AY1902/3356)),F1902&lt;&gt;0,SUM(L1902,Q1902,V1902,AA1902,AF1902,AK1902,AP1902,AU1902))))</f>
        <v xml:space="preserve"> </v>
      </c>
      <c r="BE1902" s="120"/>
      <c r="BF1902" s="120"/>
      <c r="BG1902" s="120"/>
    </row>
    <row r="1903" spans="1:59" s="3" customFormat="1" x14ac:dyDescent="0.3">
      <c r="A1903" s="15" t="str">
        <f t="shared" si="377"/>
        <v/>
      </c>
      <c r="B1903" s="25"/>
      <c r="C1903" s="26"/>
      <c r="D1903" s="279"/>
      <c r="E1903" s="27"/>
      <c r="F1903" s="28"/>
      <c r="G1903" s="27"/>
      <c r="H1903" s="28"/>
      <c r="I1903" s="28"/>
      <c r="J1903" s="255" t="str">
        <f>IF(H1903="","",(_xlfn.XLOOKUP(H1903,Cadastros!$D$6:$D$90,Cadastros!$E$6:$E$90))*(1-_xlfn.XLOOKUP(_xlfn.XLOOKUP($F1903,Clientes!$B$4:$B$39,Clientes!$C$4:$C$39),Cadastros!$L$6:$L$12,Cadastros!$N$6:$N$12)))</f>
        <v/>
      </c>
      <c r="K1903" s="168" t="str">
        <f t="shared" si="378"/>
        <v/>
      </c>
      <c r="L1903" s="168" t="str">
        <f>IFERROR(K1903/_xlfn.XLOOKUP(_xlfn.XLOOKUP($F1903,Clientes!$B$4:$B$39,Clientes!$C$4:$C$39),Cadastros!$L$6:$L$12,Cadastros!$M$6:$M$12)," ")</f>
        <v xml:space="preserve"> </v>
      </c>
      <c r="M1903" s="28"/>
      <c r="N1903" s="28"/>
      <c r="O1903" s="255" t="str">
        <f>IF(M1903="","",(_xlfn.XLOOKUP(M1903,Cadastros!$D$6:$D$90,Cadastros!$E$6:$E$90))*(1-_xlfn.XLOOKUP(_xlfn.XLOOKUP($F1903,Clientes!$B$4:$B$39,Clientes!$C$4:$C$39),Cadastros!$L$6:$L$12,Cadastros!$N$6:$N$12)))</f>
        <v/>
      </c>
      <c r="P1903" s="168" t="str">
        <f t="shared" si="379"/>
        <v/>
      </c>
      <c r="Q1903" s="168" t="str">
        <f>IFERROR(P1903/_xlfn.XLOOKUP(_xlfn.XLOOKUP($F1903,Clientes!$B$4:$B$39,Clientes!$C$4:$C$39),Cadastros!$L$6:$L$12,Cadastros!$M$6:$M$12)," ")</f>
        <v xml:space="preserve"> </v>
      </c>
      <c r="R1903" s="28"/>
      <c r="S1903" s="28"/>
      <c r="T1903" s="255" t="str">
        <f>IF(R1903="","",(_xlfn.XLOOKUP(R1903,Cadastros!$D$6:$D$90,Cadastros!$E$6:$E$90))*(1-_xlfn.XLOOKUP(_xlfn.XLOOKUP($F1903,Clientes!$B$4:$B$39,Clientes!$C$4:$C$39),Cadastros!$L$6:$L$12,Cadastros!$N$6:$N$12)))</f>
        <v/>
      </c>
      <c r="U1903" s="168" t="str">
        <f t="shared" si="380"/>
        <v/>
      </c>
      <c r="V1903" s="168" t="str">
        <f>IFERROR(U1903/_xlfn.XLOOKUP(_xlfn.XLOOKUP($F1903,Clientes!$B$4:$B$39,Clientes!$C$4:$C$39),Cadastros!$L$6:$L$12,Cadastros!$M$6:$M$12)," ")</f>
        <v xml:space="preserve"> </v>
      </c>
      <c r="W1903" s="28"/>
      <c r="X1903" s="28"/>
      <c r="Y1903" s="255" t="str">
        <f>IF(W1903="","",(_xlfn.XLOOKUP(W1903,Cadastros!$D$6:$D$90,Cadastros!$E$6:$E$90))*(1-_xlfn.XLOOKUP(_xlfn.XLOOKUP($F1903,Clientes!$B$4:$B$39,Clientes!$C$4:$C$39),Cadastros!$L$6:$L$12,Cadastros!$N$6:$N$12)))</f>
        <v/>
      </c>
      <c r="Z1903" s="168" t="str">
        <f t="shared" si="381"/>
        <v/>
      </c>
      <c r="AA1903" s="168" t="str">
        <f>IFERROR(Z1903/_xlfn.XLOOKUP(_xlfn.XLOOKUP($F1903,Clientes!$B$4:$B$39,Clientes!$C$4:$C$39),Cadastros!$L$6:$L$12,Cadastros!$M$6:$M$12)," ")</f>
        <v xml:space="preserve"> </v>
      </c>
      <c r="AB1903" s="28"/>
      <c r="AC1903" s="28"/>
      <c r="AD1903" s="20" t="str">
        <f>IF(AB1903="","",IF($F1903="Bernardino Furlan",_xlfn.XLOOKUP(AB1903,Cadastros!$G$6:$G$90,Cadastros!$H$6:$H$90)*(1-0.18),IF($F1903="Mauro José Salanti",_xlfn.XLOOKUP(AB1903,Cadastros!$G$6:$G$90,Cadastros!$H$6:$H$90)*(1-0.18),_xlfn.XLOOKUP(AB1903,Cadastros!$G$6:$G$90,Cadastros!$H$6:$H$90))))</f>
        <v/>
      </c>
      <c r="AE1903" s="168" t="str">
        <f t="shared" si="382"/>
        <v/>
      </c>
      <c r="AF1903" s="168" t="str">
        <f t="shared" si="383"/>
        <v/>
      </c>
      <c r="AG1903" s="28"/>
      <c r="AH1903" s="28"/>
      <c r="AI1903" s="20" t="str">
        <f>IF(AG1903="","",IF($F1903="Bernardino Furlan",_xlfn.XLOOKUP(AG1903,Cadastros!$G$6:$G$90,Cadastros!$H$6:$H$90)*(1-0.18),IF($F1903="Mauro José Salanti",_xlfn.XLOOKUP(AG1903,Cadastros!$G$6:$G$90,Cadastros!$H$6:$H$90)*(1-0.18),_xlfn.XLOOKUP(AG1903,Cadastros!$G$6:$G$90,Cadastros!$H$6:$H$90))))</f>
        <v/>
      </c>
      <c r="AJ1903" s="168" t="str">
        <f t="shared" si="384"/>
        <v/>
      </c>
      <c r="AK1903" s="168" t="str">
        <f t="shared" si="385"/>
        <v/>
      </c>
      <c r="AL1903" s="28"/>
      <c r="AM1903" s="28"/>
      <c r="AN1903" s="20" t="str">
        <f>IF(AL1903="","",IF($F1903="Bernardino Furlan",_xlfn.XLOOKUP(AL1903,Cadastros!$G$6:$G$90,Cadastros!$H$6:$H$90)*(1-0.18),IF($F1903="Mauro José Salanti",_xlfn.XLOOKUP(AL1903,Cadastros!$G$6:$G$90,Cadastros!$H$6:$H$90)*(1-0.18),_xlfn.XLOOKUP(AL1903,Cadastros!$G$6:$G$90,Cadastros!$H$6:$H$90))))</f>
        <v/>
      </c>
      <c r="AO1903" s="168" t="str">
        <f t="shared" si="386"/>
        <v/>
      </c>
      <c r="AP1903" s="168" t="str">
        <f t="shared" si="387"/>
        <v/>
      </c>
      <c r="AQ1903" s="28"/>
      <c r="AR1903" s="28"/>
      <c r="AS1903" s="20" t="str">
        <f>IF(AQ1903="","",IF($F1903="Bernardino Furlan",_xlfn.XLOOKUP(AQ1903,Cadastros!$G$6:$G$90,Cadastros!$H$6:$H$90)*(1-0.18),IF($F1903="Mauro José Salanti",_xlfn.XLOOKUP(AQ1903,Cadastros!$G$6:$G$90,Cadastros!$H$6:$H$90)*(1-0.18),_xlfn.XLOOKUP(AQ1903,Cadastros!$G$6:$G$90,Cadastros!$H$6:$H$90))))</f>
        <v/>
      </c>
      <c r="AT1903" s="168" t="str">
        <f t="shared" si="388"/>
        <v/>
      </c>
      <c r="AU1903" s="168" t="str">
        <f t="shared" si="389"/>
        <v/>
      </c>
      <c r="AV1903" s="227"/>
      <c r="AW1903" s="30"/>
      <c r="AX1903" s="267"/>
      <c r="AY1903" s="267"/>
      <c r="AZ1903" s="29"/>
      <c r="BA1903" s="30"/>
      <c r="BB1903" s="23" t="str" cm="1">
        <f t="array" ref="BB1903">_xlfn.IFS(AW1903="SIM",SUM(K1903,P1903,U1903,Z1903,AE1903,AJ1903,AO1903,AT1903,AX1903,AY1903),F1903&lt;&gt;"",SUM(K1903,P1903,U1903,Z1903,AE1903,AJ1903,,AO1903,AT1903),F1903="","")</f>
        <v/>
      </c>
      <c r="BC1903" s="211" t="str" cm="1">
        <f t="array" ref="BC1903">_xlfn.IFS(E1903="","",G1903&lt;=E1903,BB1903*(1-0.03),G1903&lt;(E1903+8),BB1903,AZ1903="Boleto",BB1903*(1+0.001)^DATEDIF(E1903,G1903,"D"),AZ1903="Cheque",BB1903,AZ1903="Dinheiro","Alterar forma pgto")</f>
        <v/>
      </c>
      <c r="BD1903" s="276" t="str" cm="1">
        <f t="array" ref="BD1903">IF(F1903=0," ",IF(BC1903&lt;BB1903,(_xlfn.IFS(AW1903="SIM",SUM(L1903,Q1903,V1903,AA1903,AF1903,AK1903,AP1903,AU1903)+AX1903/_xlfn.XLOOKUP(_xlfn.XLOOKUP($F1903,Clientes!$B$4:$B$39,Clientes!$C$4:$C$39),Cadastros!$L$6:$L$12,Cadastros!$M$6:$M$12)+IF($F1903="Bernardino Furlan",AY1903/2751.92,IF($F1903="Mauro José Salanti",AY1903/2751.92,AY1903/3356)),F1903&lt;&gt;0,SUM(L1903,Q1903,V1903,AA1903,AF1903,AK1903,AP1903,AU1903)))*(1-0.03),_xlfn.IFS(AW1903="SIM",SUM(L1903,Q1903,V1903,AA1903,AF1903,AK1903,AP1903,AU1903)+AX1903/_xlfn.XLOOKUP(_xlfn.XLOOKUP($F1903,Clientes!$B$4:$B$39,Clientes!$C$4:$C$39),Cadastros!$L$6:$L$12,Cadastros!$M$6:$M$12)+IF($F1903="Bernardino Furlan",AY1903/2751.92,IF($F1903="Mauro José Salanti",AY1903/2751.92,AY1903/3356)),F1903&lt;&gt;0,SUM(L1903,Q1903,V1903,AA1903,AF1903,AK1903,AP1903,AU1903))))</f>
        <v xml:space="preserve"> </v>
      </c>
      <c r="BE1903" s="120"/>
      <c r="BF1903" s="120"/>
      <c r="BG1903" s="120"/>
    </row>
    <row r="1904" spans="1:59" s="3" customFormat="1" x14ac:dyDescent="0.3">
      <c r="A1904" s="15" t="str">
        <f t="shared" si="377"/>
        <v/>
      </c>
      <c r="B1904" s="25"/>
      <c r="C1904" s="26"/>
      <c r="D1904" s="279"/>
      <c r="E1904" s="27"/>
      <c r="F1904" s="28"/>
      <c r="G1904" s="27"/>
      <c r="H1904" s="28"/>
      <c r="I1904" s="28"/>
      <c r="J1904" s="255" t="str">
        <f>IF(H1904="","",(_xlfn.XLOOKUP(H1904,Cadastros!$D$6:$D$90,Cadastros!$E$6:$E$90))*(1-_xlfn.XLOOKUP(_xlfn.XLOOKUP($F1904,Clientes!$B$4:$B$39,Clientes!$C$4:$C$39),Cadastros!$L$6:$L$12,Cadastros!$N$6:$N$12)))</f>
        <v/>
      </c>
      <c r="K1904" s="168" t="str">
        <f t="shared" si="378"/>
        <v/>
      </c>
      <c r="L1904" s="168" t="str">
        <f>IFERROR(K1904/_xlfn.XLOOKUP(_xlfn.XLOOKUP($F1904,Clientes!$B$4:$B$39,Clientes!$C$4:$C$39),Cadastros!$L$6:$L$12,Cadastros!$M$6:$M$12)," ")</f>
        <v xml:space="preserve"> </v>
      </c>
      <c r="M1904" s="28"/>
      <c r="N1904" s="28"/>
      <c r="O1904" s="255" t="str">
        <f>IF(M1904="","",(_xlfn.XLOOKUP(M1904,Cadastros!$D$6:$D$90,Cadastros!$E$6:$E$90))*(1-_xlfn.XLOOKUP(_xlfn.XLOOKUP($F1904,Clientes!$B$4:$B$39,Clientes!$C$4:$C$39),Cadastros!$L$6:$L$12,Cadastros!$N$6:$N$12)))</f>
        <v/>
      </c>
      <c r="P1904" s="168" t="str">
        <f t="shared" si="379"/>
        <v/>
      </c>
      <c r="Q1904" s="168" t="str">
        <f>IFERROR(P1904/_xlfn.XLOOKUP(_xlfn.XLOOKUP($F1904,Clientes!$B$4:$B$39,Clientes!$C$4:$C$39),Cadastros!$L$6:$L$12,Cadastros!$M$6:$M$12)," ")</f>
        <v xml:space="preserve"> </v>
      </c>
      <c r="R1904" s="28"/>
      <c r="S1904" s="28"/>
      <c r="T1904" s="255" t="str">
        <f>IF(R1904="","",(_xlfn.XLOOKUP(R1904,Cadastros!$D$6:$D$90,Cadastros!$E$6:$E$90))*(1-_xlfn.XLOOKUP(_xlfn.XLOOKUP($F1904,Clientes!$B$4:$B$39,Clientes!$C$4:$C$39),Cadastros!$L$6:$L$12,Cadastros!$N$6:$N$12)))</f>
        <v/>
      </c>
      <c r="U1904" s="168" t="str">
        <f t="shared" si="380"/>
        <v/>
      </c>
      <c r="V1904" s="168" t="str">
        <f>IFERROR(U1904/_xlfn.XLOOKUP(_xlfn.XLOOKUP($F1904,Clientes!$B$4:$B$39,Clientes!$C$4:$C$39),Cadastros!$L$6:$L$12,Cadastros!$M$6:$M$12)," ")</f>
        <v xml:space="preserve"> </v>
      </c>
      <c r="W1904" s="28"/>
      <c r="X1904" s="28"/>
      <c r="Y1904" s="255" t="str">
        <f>IF(W1904="","",(_xlfn.XLOOKUP(W1904,Cadastros!$D$6:$D$90,Cadastros!$E$6:$E$90))*(1-_xlfn.XLOOKUP(_xlfn.XLOOKUP($F1904,Clientes!$B$4:$B$39,Clientes!$C$4:$C$39),Cadastros!$L$6:$L$12,Cadastros!$N$6:$N$12)))</f>
        <v/>
      </c>
      <c r="Z1904" s="168" t="str">
        <f t="shared" si="381"/>
        <v/>
      </c>
      <c r="AA1904" s="168" t="str">
        <f>IFERROR(Z1904/_xlfn.XLOOKUP(_xlfn.XLOOKUP($F1904,Clientes!$B$4:$B$39,Clientes!$C$4:$C$39),Cadastros!$L$6:$L$12,Cadastros!$M$6:$M$12)," ")</f>
        <v xml:space="preserve"> </v>
      </c>
      <c r="AB1904" s="28"/>
      <c r="AC1904" s="28"/>
      <c r="AD1904" s="20" t="str">
        <f>IF(AB1904="","",IF($F1904="Bernardino Furlan",_xlfn.XLOOKUP(AB1904,Cadastros!$G$6:$G$90,Cadastros!$H$6:$H$90)*(1-0.18),IF($F1904="Mauro José Salanti",_xlfn.XLOOKUP(AB1904,Cadastros!$G$6:$G$90,Cadastros!$H$6:$H$90)*(1-0.18),_xlfn.XLOOKUP(AB1904,Cadastros!$G$6:$G$90,Cadastros!$H$6:$H$90))))</f>
        <v/>
      </c>
      <c r="AE1904" s="168" t="str">
        <f t="shared" si="382"/>
        <v/>
      </c>
      <c r="AF1904" s="168" t="str">
        <f t="shared" si="383"/>
        <v/>
      </c>
      <c r="AG1904" s="28"/>
      <c r="AH1904" s="28"/>
      <c r="AI1904" s="20" t="str">
        <f>IF(AG1904="","",IF($F1904="Bernardino Furlan",_xlfn.XLOOKUP(AG1904,Cadastros!$G$6:$G$90,Cadastros!$H$6:$H$90)*(1-0.18),IF($F1904="Mauro José Salanti",_xlfn.XLOOKUP(AG1904,Cadastros!$G$6:$G$90,Cadastros!$H$6:$H$90)*(1-0.18),_xlfn.XLOOKUP(AG1904,Cadastros!$G$6:$G$90,Cadastros!$H$6:$H$90))))</f>
        <v/>
      </c>
      <c r="AJ1904" s="168" t="str">
        <f t="shared" si="384"/>
        <v/>
      </c>
      <c r="AK1904" s="168" t="str">
        <f t="shared" si="385"/>
        <v/>
      </c>
      <c r="AL1904" s="28"/>
      <c r="AM1904" s="28"/>
      <c r="AN1904" s="20" t="str">
        <f>IF(AL1904="","",IF($F1904="Bernardino Furlan",_xlfn.XLOOKUP(AL1904,Cadastros!$G$6:$G$90,Cadastros!$H$6:$H$90)*(1-0.18),IF($F1904="Mauro José Salanti",_xlfn.XLOOKUP(AL1904,Cadastros!$G$6:$G$90,Cadastros!$H$6:$H$90)*(1-0.18),_xlfn.XLOOKUP(AL1904,Cadastros!$G$6:$G$90,Cadastros!$H$6:$H$90))))</f>
        <v/>
      </c>
      <c r="AO1904" s="168" t="str">
        <f t="shared" si="386"/>
        <v/>
      </c>
      <c r="AP1904" s="168" t="str">
        <f t="shared" si="387"/>
        <v/>
      </c>
      <c r="AQ1904" s="28"/>
      <c r="AR1904" s="28"/>
      <c r="AS1904" s="20" t="str">
        <f>IF(AQ1904="","",IF($F1904="Bernardino Furlan",_xlfn.XLOOKUP(AQ1904,Cadastros!$G$6:$G$90,Cadastros!$H$6:$H$90)*(1-0.18),IF($F1904="Mauro José Salanti",_xlfn.XLOOKUP(AQ1904,Cadastros!$G$6:$G$90,Cadastros!$H$6:$H$90)*(1-0.18),_xlfn.XLOOKUP(AQ1904,Cadastros!$G$6:$G$90,Cadastros!$H$6:$H$90))))</f>
        <v/>
      </c>
      <c r="AT1904" s="168" t="str">
        <f t="shared" si="388"/>
        <v/>
      </c>
      <c r="AU1904" s="168" t="str">
        <f t="shared" si="389"/>
        <v/>
      </c>
      <c r="AV1904" s="227"/>
      <c r="AW1904" s="30"/>
      <c r="AX1904" s="267"/>
      <c r="AY1904" s="267"/>
      <c r="AZ1904" s="29"/>
      <c r="BA1904" s="30"/>
      <c r="BB1904" s="23" t="str" cm="1">
        <f t="array" ref="BB1904">_xlfn.IFS(AW1904="SIM",SUM(K1904,P1904,U1904,Z1904,AE1904,AJ1904,AO1904,AT1904,AX1904,AY1904),F1904&lt;&gt;"",SUM(K1904,P1904,U1904,Z1904,AE1904,AJ1904,,AO1904,AT1904),F1904="","")</f>
        <v/>
      </c>
      <c r="BC1904" s="211" t="str" cm="1">
        <f t="array" ref="BC1904">_xlfn.IFS(E1904="","",G1904&lt;=E1904,BB1904*(1-0.03),G1904&lt;(E1904+8),BB1904,AZ1904="Boleto",BB1904*(1+0.001)^DATEDIF(E1904,G1904,"D"),AZ1904="Cheque",BB1904,AZ1904="Dinheiro","Alterar forma pgto")</f>
        <v/>
      </c>
      <c r="BD1904" s="276" t="str" cm="1">
        <f t="array" ref="BD1904">IF(F1904=0," ",IF(BC1904&lt;BB1904,(_xlfn.IFS(AW1904="SIM",SUM(L1904,Q1904,V1904,AA1904,AF1904,AK1904,AP1904,AU1904)+AX1904/_xlfn.XLOOKUP(_xlfn.XLOOKUP($F1904,Clientes!$B$4:$B$39,Clientes!$C$4:$C$39),Cadastros!$L$6:$L$12,Cadastros!$M$6:$M$12)+IF($F1904="Bernardino Furlan",AY1904/2751.92,IF($F1904="Mauro José Salanti",AY1904/2751.92,AY1904/3356)),F1904&lt;&gt;0,SUM(L1904,Q1904,V1904,AA1904,AF1904,AK1904,AP1904,AU1904)))*(1-0.03),_xlfn.IFS(AW1904="SIM",SUM(L1904,Q1904,V1904,AA1904,AF1904,AK1904,AP1904,AU1904)+AX1904/_xlfn.XLOOKUP(_xlfn.XLOOKUP($F1904,Clientes!$B$4:$B$39,Clientes!$C$4:$C$39),Cadastros!$L$6:$L$12,Cadastros!$M$6:$M$12)+IF($F1904="Bernardino Furlan",AY1904/2751.92,IF($F1904="Mauro José Salanti",AY1904/2751.92,AY1904/3356)),F1904&lt;&gt;0,SUM(L1904,Q1904,V1904,AA1904,AF1904,AK1904,AP1904,AU1904))))</f>
        <v xml:space="preserve"> </v>
      </c>
      <c r="BE1904" s="120"/>
      <c r="BF1904" s="120"/>
      <c r="BG1904" s="120"/>
    </row>
    <row r="1905" spans="1:59" s="3" customFormat="1" x14ac:dyDescent="0.3">
      <c r="A1905" s="15" t="str">
        <f t="shared" si="377"/>
        <v/>
      </c>
      <c r="B1905" s="25"/>
      <c r="C1905" s="26"/>
      <c r="D1905" s="279"/>
      <c r="E1905" s="27"/>
      <c r="F1905" s="28"/>
      <c r="G1905" s="27"/>
      <c r="H1905" s="28"/>
      <c r="I1905" s="28"/>
      <c r="J1905" s="255" t="str">
        <f>IF(H1905="","",(_xlfn.XLOOKUP(H1905,Cadastros!$D$6:$D$90,Cadastros!$E$6:$E$90))*(1-_xlfn.XLOOKUP(_xlfn.XLOOKUP($F1905,Clientes!$B$4:$B$39,Clientes!$C$4:$C$39),Cadastros!$L$6:$L$12,Cadastros!$N$6:$N$12)))</f>
        <v/>
      </c>
      <c r="K1905" s="168" t="str">
        <f t="shared" si="378"/>
        <v/>
      </c>
      <c r="L1905" s="168" t="str">
        <f>IFERROR(K1905/_xlfn.XLOOKUP(_xlfn.XLOOKUP($F1905,Clientes!$B$4:$B$39,Clientes!$C$4:$C$39),Cadastros!$L$6:$L$12,Cadastros!$M$6:$M$12)," ")</f>
        <v xml:space="preserve"> </v>
      </c>
      <c r="M1905" s="28"/>
      <c r="N1905" s="28"/>
      <c r="O1905" s="255" t="str">
        <f>IF(M1905="","",(_xlfn.XLOOKUP(M1905,Cadastros!$D$6:$D$90,Cadastros!$E$6:$E$90))*(1-_xlfn.XLOOKUP(_xlfn.XLOOKUP($F1905,Clientes!$B$4:$B$39,Clientes!$C$4:$C$39),Cadastros!$L$6:$L$12,Cadastros!$N$6:$N$12)))</f>
        <v/>
      </c>
      <c r="P1905" s="168" t="str">
        <f t="shared" si="379"/>
        <v/>
      </c>
      <c r="Q1905" s="168" t="str">
        <f>IFERROR(P1905/_xlfn.XLOOKUP(_xlfn.XLOOKUP($F1905,Clientes!$B$4:$B$39,Clientes!$C$4:$C$39),Cadastros!$L$6:$L$12,Cadastros!$M$6:$M$12)," ")</f>
        <v xml:space="preserve"> </v>
      </c>
      <c r="R1905" s="28"/>
      <c r="S1905" s="28"/>
      <c r="T1905" s="255" t="str">
        <f>IF(R1905="","",(_xlfn.XLOOKUP(R1905,Cadastros!$D$6:$D$90,Cadastros!$E$6:$E$90))*(1-_xlfn.XLOOKUP(_xlfn.XLOOKUP($F1905,Clientes!$B$4:$B$39,Clientes!$C$4:$C$39),Cadastros!$L$6:$L$12,Cadastros!$N$6:$N$12)))</f>
        <v/>
      </c>
      <c r="U1905" s="168" t="str">
        <f t="shared" si="380"/>
        <v/>
      </c>
      <c r="V1905" s="168" t="str">
        <f>IFERROR(U1905/_xlfn.XLOOKUP(_xlfn.XLOOKUP($F1905,Clientes!$B$4:$B$39,Clientes!$C$4:$C$39),Cadastros!$L$6:$L$12,Cadastros!$M$6:$M$12)," ")</f>
        <v xml:space="preserve"> </v>
      </c>
      <c r="W1905" s="28"/>
      <c r="X1905" s="28"/>
      <c r="Y1905" s="255" t="str">
        <f>IF(W1905="","",(_xlfn.XLOOKUP(W1905,Cadastros!$D$6:$D$90,Cadastros!$E$6:$E$90))*(1-_xlfn.XLOOKUP(_xlfn.XLOOKUP($F1905,Clientes!$B$4:$B$39,Clientes!$C$4:$C$39),Cadastros!$L$6:$L$12,Cadastros!$N$6:$N$12)))</f>
        <v/>
      </c>
      <c r="Z1905" s="168" t="str">
        <f t="shared" si="381"/>
        <v/>
      </c>
      <c r="AA1905" s="168" t="str">
        <f>IFERROR(Z1905/_xlfn.XLOOKUP(_xlfn.XLOOKUP($F1905,Clientes!$B$4:$B$39,Clientes!$C$4:$C$39),Cadastros!$L$6:$L$12,Cadastros!$M$6:$M$12)," ")</f>
        <v xml:space="preserve"> </v>
      </c>
      <c r="AB1905" s="28"/>
      <c r="AC1905" s="28"/>
      <c r="AD1905" s="20" t="str">
        <f>IF(AB1905="","",IF($F1905="Bernardino Furlan",_xlfn.XLOOKUP(AB1905,Cadastros!$G$6:$G$90,Cadastros!$H$6:$H$90)*(1-0.18),IF($F1905="Mauro José Salanti",_xlfn.XLOOKUP(AB1905,Cadastros!$G$6:$G$90,Cadastros!$H$6:$H$90)*(1-0.18),_xlfn.XLOOKUP(AB1905,Cadastros!$G$6:$G$90,Cadastros!$H$6:$H$90))))</f>
        <v/>
      </c>
      <c r="AE1905" s="168" t="str">
        <f t="shared" si="382"/>
        <v/>
      </c>
      <c r="AF1905" s="168" t="str">
        <f t="shared" si="383"/>
        <v/>
      </c>
      <c r="AG1905" s="28"/>
      <c r="AH1905" s="28"/>
      <c r="AI1905" s="20" t="str">
        <f>IF(AG1905="","",IF($F1905="Bernardino Furlan",_xlfn.XLOOKUP(AG1905,Cadastros!$G$6:$G$90,Cadastros!$H$6:$H$90)*(1-0.18),IF($F1905="Mauro José Salanti",_xlfn.XLOOKUP(AG1905,Cadastros!$G$6:$G$90,Cadastros!$H$6:$H$90)*(1-0.18),_xlfn.XLOOKUP(AG1905,Cadastros!$G$6:$G$90,Cadastros!$H$6:$H$90))))</f>
        <v/>
      </c>
      <c r="AJ1905" s="168" t="str">
        <f t="shared" si="384"/>
        <v/>
      </c>
      <c r="AK1905" s="168" t="str">
        <f t="shared" si="385"/>
        <v/>
      </c>
      <c r="AL1905" s="28"/>
      <c r="AM1905" s="28"/>
      <c r="AN1905" s="20" t="str">
        <f>IF(AL1905="","",IF($F1905="Bernardino Furlan",_xlfn.XLOOKUP(AL1905,Cadastros!$G$6:$G$90,Cadastros!$H$6:$H$90)*(1-0.18),IF($F1905="Mauro José Salanti",_xlfn.XLOOKUP(AL1905,Cadastros!$G$6:$G$90,Cadastros!$H$6:$H$90)*(1-0.18),_xlfn.XLOOKUP(AL1905,Cadastros!$G$6:$G$90,Cadastros!$H$6:$H$90))))</f>
        <v/>
      </c>
      <c r="AO1905" s="168" t="str">
        <f t="shared" si="386"/>
        <v/>
      </c>
      <c r="AP1905" s="168" t="str">
        <f t="shared" si="387"/>
        <v/>
      </c>
      <c r="AQ1905" s="28"/>
      <c r="AR1905" s="28"/>
      <c r="AS1905" s="20" t="str">
        <f>IF(AQ1905="","",IF($F1905="Bernardino Furlan",_xlfn.XLOOKUP(AQ1905,Cadastros!$G$6:$G$90,Cadastros!$H$6:$H$90)*(1-0.18),IF($F1905="Mauro José Salanti",_xlfn.XLOOKUP(AQ1905,Cadastros!$G$6:$G$90,Cadastros!$H$6:$H$90)*(1-0.18),_xlfn.XLOOKUP(AQ1905,Cadastros!$G$6:$G$90,Cadastros!$H$6:$H$90))))</f>
        <v/>
      </c>
      <c r="AT1905" s="168" t="str">
        <f t="shared" si="388"/>
        <v/>
      </c>
      <c r="AU1905" s="168" t="str">
        <f t="shared" si="389"/>
        <v/>
      </c>
      <c r="AV1905" s="227"/>
      <c r="AW1905" s="30"/>
      <c r="AX1905" s="267"/>
      <c r="AY1905" s="267"/>
      <c r="AZ1905" s="29"/>
      <c r="BA1905" s="30"/>
      <c r="BB1905" s="23" t="str" cm="1">
        <f t="array" ref="BB1905">_xlfn.IFS(AW1905="SIM",SUM(K1905,P1905,U1905,Z1905,AE1905,AJ1905,AO1905,AT1905,AX1905,AY1905),F1905&lt;&gt;"",SUM(K1905,P1905,U1905,Z1905,AE1905,AJ1905,,AO1905,AT1905),F1905="","")</f>
        <v/>
      </c>
      <c r="BC1905" s="211" t="str" cm="1">
        <f t="array" ref="BC1905">_xlfn.IFS(E1905="","",G1905&lt;=E1905,BB1905*(1-0.03),G1905&lt;(E1905+8),BB1905,AZ1905="Boleto",BB1905*(1+0.001)^DATEDIF(E1905,G1905,"D"),AZ1905="Cheque",BB1905,AZ1905="Dinheiro","Alterar forma pgto")</f>
        <v/>
      </c>
      <c r="BD1905" s="276" t="str" cm="1">
        <f t="array" ref="BD1905">IF(F1905=0," ",IF(BC1905&lt;BB1905,(_xlfn.IFS(AW1905="SIM",SUM(L1905,Q1905,V1905,AA1905,AF1905,AK1905,AP1905,AU1905)+AX1905/_xlfn.XLOOKUP(_xlfn.XLOOKUP($F1905,Clientes!$B$4:$B$39,Clientes!$C$4:$C$39),Cadastros!$L$6:$L$12,Cadastros!$M$6:$M$12)+IF($F1905="Bernardino Furlan",AY1905/2751.92,IF($F1905="Mauro José Salanti",AY1905/2751.92,AY1905/3356)),F1905&lt;&gt;0,SUM(L1905,Q1905,V1905,AA1905,AF1905,AK1905,AP1905,AU1905)))*(1-0.03),_xlfn.IFS(AW1905="SIM",SUM(L1905,Q1905,V1905,AA1905,AF1905,AK1905,AP1905,AU1905)+AX1905/_xlfn.XLOOKUP(_xlfn.XLOOKUP($F1905,Clientes!$B$4:$B$39,Clientes!$C$4:$C$39),Cadastros!$L$6:$L$12,Cadastros!$M$6:$M$12)+IF($F1905="Bernardino Furlan",AY1905/2751.92,IF($F1905="Mauro José Salanti",AY1905/2751.92,AY1905/3356)),F1905&lt;&gt;0,SUM(L1905,Q1905,V1905,AA1905,AF1905,AK1905,AP1905,AU1905))))</f>
        <v xml:space="preserve"> </v>
      </c>
      <c r="BE1905" s="120"/>
      <c r="BF1905" s="120"/>
      <c r="BG1905" s="120"/>
    </row>
    <row r="1906" spans="1:59" s="3" customFormat="1" x14ac:dyDescent="0.3">
      <c r="A1906" s="15" t="str">
        <f t="shared" si="377"/>
        <v/>
      </c>
      <c r="B1906" s="25"/>
      <c r="C1906" s="26"/>
      <c r="D1906" s="279"/>
      <c r="E1906" s="27"/>
      <c r="F1906" s="28"/>
      <c r="G1906" s="27"/>
      <c r="H1906" s="28"/>
      <c r="I1906" s="28"/>
      <c r="J1906" s="255" t="str">
        <f>IF(H1906="","",(_xlfn.XLOOKUP(H1906,Cadastros!$D$6:$D$90,Cadastros!$E$6:$E$90))*(1-_xlfn.XLOOKUP(_xlfn.XLOOKUP($F1906,Clientes!$B$4:$B$39,Clientes!$C$4:$C$39),Cadastros!$L$6:$L$12,Cadastros!$N$6:$N$12)))</f>
        <v/>
      </c>
      <c r="K1906" s="168" t="str">
        <f t="shared" si="378"/>
        <v/>
      </c>
      <c r="L1906" s="168" t="str">
        <f>IFERROR(K1906/_xlfn.XLOOKUP(_xlfn.XLOOKUP($F1906,Clientes!$B$4:$B$39,Clientes!$C$4:$C$39),Cadastros!$L$6:$L$12,Cadastros!$M$6:$M$12)," ")</f>
        <v xml:space="preserve"> </v>
      </c>
      <c r="M1906" s="28"/>
      <c r="N1906" s="28"/>
      <c r="O1906" s="255" t="str">
        <f>IF(M1906="","",(_xlfn.XLOOKUP(M1906,Cadastros!$D$6:$D$90,Cadastros!$E$6:$E$90))*(1-_xlfn.XLOOKUP(_xlfn.XLOOKUP($F1906,Clientes!$B$4:$B$39,Clientes!$C$4:$C$39),Cadastros!$L$6:$L$12,Cadastros!$N$6:$N$12)))</f>
        <v/>
      </c>
      <c r="P1906" s="168" t="str">
        <f t="shared" si="379"/>
        <v/>
      </c>
      <c r="Q1906" s="168" t="str">
        <f>IFERROR(P1906/_xlfn.XLOOKUP(_xlfn.XLOOKUP($F1906,Clientes!$B$4:$B$39,Clientes!$C$4:$C$39),Cadastros!$L$6:$L$12,Cadastros!$M$6:$M$12)," ")</f>
        <v xml:space="preserve"> </v>
      </c>
      <c r="R1906" s="28"/>
      <c r="S1906" s="28"/>
      <c r="T1906" s="255" t="str">
        <f>IF(R1906="","",(_xlfn.XLOOKUP(R1906,Cadastros!$D$6:$D$90,Cadastros!$E$6:$E$90))*(1-_xlfn.XLOOKUP(_xlfn.XLOOKUP($F1906,Clientes!$B$4:$B$39,Clientes!$C$4:$C$39),Cadastros!$L$6:$L$12,Cadastros!$N$6:$N$12)))</f>
        <v/>
      </c>
      <c r="U1906" s="168" t="str">
        <f t="shared" si="380"/>
        <v/>
      </c>
      <c r="V1906" s="168" t="str">
        <f>IFERROR(U1906/_xlfn.XLOOKUP(_xlfn.XLOOKUP($F1906,Clientes!$B$4:$B$39,Clientes!$C$4:$C$39),Cadastros!$L$6:$L$12,Cadastros!$M$6:$M$12)," ")</f>
        <v xml:space="preserve"> </v>
      </c>
      <c r="W1906" s="28"/>
      <c r="X1906" s="28"/>
      <c r="Y1906" s="255" t="str">
        <f>IF(W1906="","",(_xlfn.XLOOKUP(W1906,Cadastros!$D$6:$D$90,Cadastros!$E$6:$E$90))*(1-_xlfn.XLOOKUP(_xlfn.XLOOKUP($F1906,Clientes!$B$4:$B$39,Clientes!$C$4:$C$39),Cadastros!$L$6:$L$12,Cadastros!$N$6:$N$12)))</f>
        <v/>
      </c>
      <c r="Z1906" s="168" t="str">
        <f t="shared" si="381"/>
        <v/>
      </c>
      <c r="AA1906" s="168" t="str">
        <f>IFERROR(Z1906/_xlfn.XLOOKUP(_xlfn.XLOOKUP($F1906,Clientes!$B$4:$B$39,Clientes!$C$4:$C$39),Cadastros!$L$6:$L$12,Cadastros!$M$6:$M$12)," ")</f>
        <v xml:space="preserve"> </v>
      </c>
      <c r="AB1906" s="28"/>
      <c r="AC1906" s="28"/>
      <c r="AD1906" s="20" t="str">
        <f>IF(AB1906="","",IF($F1906="Bernardino Furlan",_xlfn.XLOOKUP(AB1906,Cadastros!$G$6:$G$90,Cadastros!$H$6:$H$90)*(1-0.18),IF($F1906="Mauro José Salanti",_xlfn.XLOOKUP(AB1906,Cadastros!$G$6:$G$90,Cadastros!$H$6:$H$90)*(1-0.18),_xlfn.XLOOKUP(AB1906,Cadastros!$G$6:$G$90,Cadastros!$H$6:$H$90))))</f>
        <v/>
      </c>
      <c r="AE1906" s="168" t="str">
        <f t="shared" si="382"/>
        <v/>
      </c>
      <c r="AF1906" s="168" t="str">
        <f t="shared" si="383"/>
        <v/>
      </c>
      <c r="AG1906" s="28"/>
      <c r="AH1906" s="28"/>
      <c r="AI1906" s="20" t="str">
        <f>IF(AG1906="","",IF($F1906="Bernardino Furlan",_xlfn.XLOOKUP(AG1906,Cadastros!$G$6:$G$90,Cadastros!$H$6:$H$90)*(1-0.18),IF($F1906="Mauro José Salanti",_xlfn.XLOOKUP(AG1906,Cadastros!$G$6:$G$90,Cadastros!$H$6:$H$90)*(1-0.18),_xlfn.XLOOKUP(AG1906,Cadastros!$G$6:$G$90,Cadastros!$H$6:$H$90))))</f>
        <v/>
      </c>
      <c r="AJ1906" s="168" t="str">
        <f t="shared" si="384"/>
        <v/>
      </c>
      <c r="AK1906" s="168" t="str">
        <f t="shared" si="385"/>
        <v/>
      </c>
      <c r="AL1906" s="28"/>
      <c r="AM1906" s="28"/>
      <c r="AN1906" s="20" t="str">
        <f>IF(AL1906="","",IF($F1906="Bernardino Furlan",_xlfn.XLOOKUP(AL1906,Cadastros!$G$6:$G$90,Cadastros!$H$6:$H$90)*(1-0.18),IF($F1906="Mauro José Salanti",_xlfn.XLOOKUP(AL1906,Cadastros!$G$6:$G$90,Cadastros!$H$6:$H$90)*(1-0.18),_xlfn.XLOOKUP(AL1906,Cadastros!$G$6:$G$90,Cadastros!$H$6:$H$90))))</f>
        <v/>
      </c>
      <c r="AO1906" s="168" t="str">
        <f t="shared" si="386"/>
        <v/>
      </c>
      <c r="AP1906" s="168" t="str">
        <f t="shared" si="387"/>
        <v/>
      </c>
      <c r="AQ1906" s="28"/>
      <c r="AR1906" s="28"/>
      <c r="AS1906" s="20" t="str">
        <f>IF(AQ1906="","",IF($F1906="Bernardino Furlan",_xlfn.XLOOKUP(AQ1906,Cadastros!$G$6:$G$90,Cadastros!$H$6:$H$90)*(1-0.18),IF($F1906="Mauro José Salanti",_xlfn.XLOOKUP(AQ1906,Cadastros!$G$6:$G$90,Cadastros!$H$6:$H$90)*(1-0.18),_xlfn.XLOOKUP(AQ1906,Cadastros!$G$6:$G$90,Cadastros!$H$6:$H$90))))</f>
        <v/>
      </c>
      <c r="AT1906" s="168" t="str">
        <f t="shared" si="388"/>
        <v/>
      </c>
      <c r="AU1906" s="168" t="str">
        <f t="shared" si="389"/>
        <v/>
      </c>
      <c r="AV1906" s="227"/>
      <c r="AW1906" s="30"/>
      <c r="AX1906" s="267"/>
      <c r="AY1906" s="267"/>
      <c r="AZ1906" s="29"/>
      <c r="BA1906" s="30"/>
      <c r="BB1906" s="23" t="str" cm="1">
        <f t="array" ref="BB1906">_xlfn.IFS(AW1906="SIM",SUM(K1906,P1906,U1906,Z1906,AE1906,AJ1906,AO1906,AT1906,AX1906,AY1906),F1906&lt;&gt;"",SUM(K1906,P1906,U1906,Z1906,AE1906,AJ1906,,AO1906,AT1906),F1906="","")</f>
        <v/>
      </c>
      <c r="BC1906" s="211" t="str" cm="1">
        <f t="array" ref="BC1906">_xlfn.IFS(E1906="","",G1906&lt;=E1906,BB1906*(1-0.03),G1906&lt;(E1906+8),BB1906,AZ1906="Boleto",BB1906*(1+0.001)^DATEDIF(E1906,G1906,"D"),AZ1906="Cheque",BB1906,AZ1906="Dinheiro","Alterar forma pgto")</f>
        <v/>
      </c>
      <c r="BD1906" s="276" t="str" cm="1">
        <f t="array" ref="BD1906">IF(F1906=0," ",IF(BC1906&lt;BB1906,(_xlfn.IFS(AW1906="SIM",SUM(L1906,Q1906,V1906,AA1906,AF1906,AK1906,AP1906,AU1906)+AX1906/_xlfn.XLOOKUP(_xlfn.XLOOKUP($F1906,Clientes!$B$4:$B$39,Clientes!$C$4:$C$39),Cadastros!$L$6:$L$12,Cadastros!$M$6:$M$12)+IF($F1906="Bernardino Furlan",AY1906/2751.92,IF($F1906="Mauro José Salanti",AY1906/2751.92,AY1906/3356)),F1906&lt;&gt;0,SUM(L1906,Q1906,V1906,AA1906,AF1906,AK1906,AP1906,AU1906)))*(1-0.03),_xlfn.IFS(AW1906="SIM",SUM(L1906,Q1906,V1906,AA1906,AF1906,AK1906,AP1906,AU1906)+AX1906/_xlfn.XLOOKUP(_xlfn.XLOOKUP($F1906,Clientes!$B$4:$B$39,Clientes!$C$4:$C$39),Cadastros!$L$6:$L$12,Cadastros!$M$6:$M$12)+IF($F1906="Bernardino Furlan",AY1906/2751.92,IF($F1906="Mauro José Salanti",AY1906/2751.92,AY1906/3356)),F1906&lt;&gt;0,SUM(L1906,Q1906,V1906,AA1906,AF1906,AK1906,AP1906,AU1906))))</f>
        <v xml:space="preserve"> </v>
      </c>
      <c r="BE1906" s="120"/>
      <c r="BF1906" s="120"/>
      <c r="BG1906" s="120"/>
    </row>
    <row r="1907" spans="1:59" s="3" customFormat="1" x14ac:dyDescent="0.3">
      <c r="A1907" s="15" t="str">
        <f t="shared" si="377"/>
        <v/>
      </c>
      <c r="B1907" s="25"/>
      <c r="C1907" s="26"/>
      <c r="D1907" s="279"/>
      <c r="E1907" s="27"/>
      <c r="F1907" s="28"/>
      <c r="G1907" s="27"/>
      <c r="H1907" s="28"/>
      <c r="I1907" s="28"/>
      <c r="J1907" s="255" t="str">
        <f>IF(H1907="","",(_xlfn.XLOOKUP(H1907,Cadastros!$D$6:$D$90,Cadastros!$E$6:$E$90))*(1-_xlfn.XLOOKUP(_xlfn.XLOOKUP($F1907,Clientes!$B$4:$B$39,Clientes!$C$4:$C$39),Cadastros!$L$6:$L$12,Cadastros!$N$6:$N$12)))</f>
        <v/>
      </c>
      <c r="K1907" s="168" t="str">
        <f t="shared" si="378"/>
        <v/>
      </c>
      <c r="L1907" s="168" t="str">
        <f>IFERROR(K1907/_xlfn.XLOOKUP(_xlfn.XLOOKUP($F1907,Clientes!$B$4:$B$39,Clientes!$C$4:$C$39),Cadastros!$L$6:$L$12,Cadastros!$M$6:$M$12)," ")</f>
        <v xml:space="preserve"> </v>
      </c>
      <c r="M1907" s="28"/>
      <c r="N1907" s="28"/>
      <c r="O1907" s="255" t="str">
        <f>IF(M1907="","",(_xlfn.XLOOKUP(M1907,Cadastros!$D$6:$D$90,Cadastros!$E$6:$E$90))*(1-_xlfn.XLOOKUP(_xlfn.XLOOKUP($F1907,Clientes!$B$4:$B$39,Clientes!$C$4:$C$39),Cadastros!$L$6:$L$12,Cadastros!$N$6:$N$12)))</f>
        <v/>
      </c>
      <c r="P1907" s="168" t="str">
        <f t="shared" si="379"/>
        <v/>
      </c>
      <c r="Q1907" s="168" t="str">
        <f>IFERROR(P1907/_xlfn.XLOOKUP(_xlfn.XLOOKUP($F1907,Clientes!$B$4:$B$39,Clientes!$C$4:$C$39),Cadastros!$L$6:$L$12,Cadastros!$M$6:$M$12)," ")</f>
        <v xml:space="preserve"> </v>
      </c>
      <c r="R1907" s="28"/>
      <c r="S1907" s="28"/>
      <c r="T1907" s="255" t="str">
        <f>IF(R1907="","",(_xlfn.XLOOKUP(R1907,Cadastros!$D$6:$D$90,Cadastros!$E$6:$E$90))*(1-_xlfn.XLOOKUP(_xlfn.XLOOKUP($F1907,Clientes!$B$4:$B$39,Clientes!$C$4:$C$39),Cadastros!$L$6:$L$12,Cadastros!$N$6:$N$12)))</f>
        <v/>
      </c>
      <c r="U1907" s="168" t="str">
        <f t="shared" si="380"/>
        <v/>
      </c>
      <c r="V1907" s="168" t="str">
        <f>IFERROR(U1907/_xlfn.XLOOKUP(_xlfn.XLOOKUP($F1907,Clientes!$B$4:$B$39,Clientes!$C$4:$C$39),Cadastros!$L$6:$L$12,Cadastros!$M$6:$M$12)," ")</f>
        <v xml:space="preserve"> </v>
      </c>
      <c r="W1907" s="28"/>
      <c r="X1907" s="28"/>
      <c r="Y1907" s="255" t="str">
        <f>IF(W1907="","",(_xlfn.XLOOKUP(W1907,Cadastros!$D$6:$D$90,Cadastros!$E$6:$E$90))*(1-_xlfn.XLOOKUP(_xlfn.XLOOKUP($F1907,Clientes!$B$4:$B$39,Clientes!$C$4:$C$39),Cadastros!$L$6:$L$12,Cadastros!$N$6:$N$12)))</f>
        <v/>
      </c>
      <c r="Z1907" s="168" t="str">
        <f t="shared" si="381"/>
        <v/>
      </c>
      <c r="AA1907" s="168" t="str">
        <f>IFERROR(Z1907/_xlfn.XLOOKUP(_xlfn.XLOOKUP($F1907,Clientes!$B$4:$B$39,Clientes!$C$4:$C$39),Cadastros!$L$6:$L$12,Cadastros!$M$6:$M$12)," ")</f>
        <v xml:space="preserve"> </v>
      </c>
      <c r="AB1907" s="28"/>
      <c r="AC1907" s="28"/>
      <c r="AD1907" s="20" t="str">
        <f>IF(AB1907="","",IF($F1907="Bernardino Furlan",_xlfn.XLOOKUP(AB1907,Cadastros!$G$6:$G$90,Cadastros!$H$6:$H$90)*(1-0.18),IF($F1907="Mauro José Salanti",_xlfn.XLOOKUP(AB1907,Cadastros!$G$6:$G$90,Cadastros!$H$6:$H$90)*(1-0.18),_xlfn.XLOOKUP(AB1907,Cadastros!$G$6:$G$90,Cadastros!$H$6:$H$90))))</f>
        <v/>
      </c>
      <c r="AE1907" s="168" t="str">
        <f t="shared" si="382"/>
        <v/>
      </c>
      <c r="AF1907" s="168" t="str">
        <f t="shared" si="383"/>
        <v/>
      </c>
      <c r="AG1907" s="28"/>
      <c r="AH1907" s="28"/>
      <c r="AI1907" s="20" t="str">
        <f>IF(AG1907="","",IF($F1907="Bernardino Furlan",_xlfn.XLOOKUP(AG1907,Cadastros!$G$6:$G$90,Cadastros!$H$6:$H$90)*(1-0.18),IF($F1907="Mauro José Salanti",_xlfn.XLOOKUP(AG1907,Cadastros!$G$6:$G$90,Cadastros!$H$6:$H$90)*(1-0.18),_xlfn.XLOOKUP(AG1907,Cadastros!$G$6:$G$90,Cadastros!$H$6:$H$90))))</f>
        <v/>
      </c>
      <c r="AJ1907" s="168" t="str">
        <f t="shared" si="384"/>
        <v/>
      </c>
      <c r="AK1907" s="168" t="str">
        <f t="shared" si="385"/>
        <v/>
      </c>
      <c r="AL1907" s="28"/>
      <c r="AM1907" s="28"/>
      <c r="AN1907" s="20" t="str">
        <f>IF(AL1907="","",IF($F1907="Bernardino Furlan",_xlfn.XLOOKUP(AL1907,Cadastros!$G$6:$G$90,Cadastros!$H$6:$H$90)*(1-0.18),IF($F1907="Mauro José Salanti",_xlfn.XLOOKUP(AL1907,Cadastros!$G$6:$G$90,Cadastros!$H$6:$H$90)*(1-0.18),_xlfn.XLOOKUP(AL1907,Cadastros!$G$6:$G$90,Cadastros!$H$6:$H$90))))</f>
        <v/>
      </c>
      <c r="AO1907" s="168" t="str">
        <f t="shared" si="386"/>
        <v/>
      </c>
      <c r="AP1907" s="168" t="str">
        <f t="shared" si="387"/>
        <v/>
      </c>
      <c r="AQ1907" s="28"/>
      <c r="AR1907" s="28"/>
      <c r="AS1907" s="20" t="str">
        <f>IF(AQ1907="","",IF($F1907="Bernardino Furlan",_xlfn.XLOOKUP(AQ1907,Cadastros!$G$6:$G$90,Cadastros!$H$6:$H$90)*(1-0.18),IF($F1907="Mauro José Salanti",_xlfn.XLOOKUP(AQ1907,Cadastros!$G$6:$G$90,Cadastros!$H$6:$H$90)*(1-0.18),_xlfn.XLOOKUP(AQ1907,Cadastros!$G$6:$G$90,Cadastros!$H$6:$H$90))))</f>
        <v/>
      </c>
      <c r="AT1907" s="168" t="str">
        <f t="shared" si="388"/>
        <v/>
      </c>
      <c r="AU1907" s="168" t="str">
        <f t="shared" si="389"/>
        <v/>
      </c>
      <c r="AV1907" s="227"/>
      <c r="AW1907" s="30"/>
      <c r="AX1907" s="267"/>
      <c r="AY1907" s="267"/>
      <c r="AZ1907" s="29"/>
      <c r="BA1907" s="30"/>
      <c r="BB1907" s="23" t="str" cm="1">
        <f t="array" ref="BB1907">_xlfn.IFS(AW1907="SIM",SUM(K1907,P1907,U1907,Z1907,AE1907,AJ1907,AO1907,AT1907,AX1907,AY1907),F1907&lt;&gt;"",SUM(K1907,P1907,U1907,Z1907,AE1907,AJ1907,,AO1907,AT1907),F1907="","")</f>
        <v/>
      </c>
      <c r="BC1907" s="211" t="str" cm="1">
        <f t="array" ref="BC1907">_xlfn.IFS(E1907="","",G1907&lt;=E1907,BB1907*(1-0.03),G1907&lt;(E1907+8),BB1907,AZ1907="Boleto",BB1907*(1+0.001)^DATEDIF(E1907,G1907,"D"),AZ1907="Cheque",BB1907,AZ1907="Dinheiro","Alterar forma pgto")</f>
        <v/>
      </c>
      <c r="BD1907" s="276" t="str" cm="1">
        <f t="array" ref="BD1907">IF(F1907=0," ",IF(BC1907&lt;BB1907,(_xlfn.IFS(AW1907="SIM",SUM(L1907,Q1907,V1907,AA1907,AF1907,AK1907,AP1907,AU1907)+AX1907/_xlfn.XLOOKUP(_xlfn.XLOOKUP($F1907,Clientes!$B$4:$B$39,Clientes!$C$4:$C$39),Cadastros!$L$6:$L$12,Cadastros!$M$6:$M$12)+IF($F1907="Bernardino Furlan",AY1907/2751.92,IF($F1907="Mauro José Salanti",AY1907/2751.92,AY1907/3356)),F1907&lt;&gt;0,SUM(L1907,Q1907,V1907,AA1907,AF1907,AK1907,AP1907,AU1907)))*(1-0.03),_xlfn.IFS(AW1907="SIM",SUM(L1907,Q1907,V1907,AA1907,AF1907,AK1907,AP1907,AU1907)+AX1907/_xlfn.XLOOKUP(_xlfn.XLOOKUP($F1907,Clientes!$B$4:$B$39,Clientes!$C$4:$C$39),Cadastros!$L$6:$L$12,Cadastros!$M$6:$M$12)+IF($F1907="Bernardino Furlan",AY1907/2751.92,IF($F1907="Mauro José Salanti",AY1907/2751.92,AY1907/3356)),F1907&lt;&gt;0,SUM(L1907,Q1907,V1907,AA1907,AF1907,AK1907,AP1907,AU1907))))</f>
        <v xml:space="preserve"> </v>
      </c>
      <c r="BE1907" s="120"/>
      <c r="BF1907" s="120"/>
      <c r="BG1907" s="120"/>
    </row>
    <row r="1908" spans="1:59" s="3" customFormat="1" x14ac:dyDescent="0.3">
      <c r="A1908" s="15" t="str">
        <f t="shared" si="377"/>
        <v/>
      </c>
      <c r="B1908" s="25"/>
      <c r="C1908" s="26"/>
      <c r="D1908" s="279"/>
      <c r="E1908" s="27"/>
      <c r="F1908" s="28"/>
      <c r="G1908" s="27"/>
      <c r="H1908" s="28"/>
      <c r="I1908" s="28"/>
      <c r="J1908" s="255" t="str">
        <f>IF(H1908="","",(_xlfn.XLOOKUP(H1908,Cadastros!$D$6:$D$90,Cadastros!$E$6:$E$90))*(1-_xlfn.XLOOKUP(_xlfn.XLOOKUP($F1908,Clientes!$B$4:$B$39,Clientes!$C$4:$C$39),Cadastros!$L$6:$L$12,Cadastros!$N$6:$N$12)))</f>
        <v/>
      </c>
      <c r="K1908" s="168" t="str">
        <f t="shared" si="378"/>
        <v/>
      </c>
      <c r="L1908" s="168" t="str">
        <f>IFERROR(K1908/_xlfn.XLOOKUP(_xlfn.XLOOKUP($F1908,Clientes!$B$4:$B$39,Clientes!$C$4:$C$39),Cadastros!$L$6:$L$12,Cadastros!$M$6:$M$12)," ")</f>
        <v xml:space="preserve"> </v>
      </c>
      <c r="M1908" s="28"/>
      <c r="N1908" s="28"/>
      <c r="O1908" s="255" t="str">
        <f>IF(M1908="","",(_xlfn.XLOOKUP(M1908,Cadastros!$D$6:$D$90,Cadastros!$E$6:$E$90))*(1-_xlfn.XLOOKUP(_xlfn.XLOOKUP($F1908,Clientes!$B$4:$B$39,Clientes!$C$4:$C$39),Cadastros!$L$6:$L$12,Cadastros!$N$6:$N$12)))</f>
        <v/>
      </c>
      <c r="P1908" s="168" t="str">
        <f t="shared" si="379"/>
        <v/>
      </c>
      <c r="Q1908" s="168" t="str">
        <f>IFERROR(P1908/_xlfn.XLOOKUP(_xlfn.XLOOKUP($F1908,Clientes!$B$4:$B$39,Clientes!$C$4:$C$39),Cadastros!$L$6:$L$12,Cadastros!$M$6:$M$12)," ")</f>
        <v xml:space="preserve"> </v>
      </c>
      <c r="R1908" s="28"/>
      <c r="S1908" s="28"/>
      <c r="T1908" s="255" t="str">
        <f>IF(R1908="","",(_xlfn.XLOOKUP(R1908,Cadastros!$D$6:$D$90,Cadastros!$E$6:$E$90))*(1-_xlfn.XLOOKUP(_xlfn.XLOOKUP($F1908,Clientes!$B$4:$B$39,Clientes!$C$4:$C$39),Cadastros!$L$6:$L$12,Cadastros!$N$6:$N$12)))</f>
        <v/>
      </c>
      <c r="U1908" s="168" t="str">
        <f t="shared" si="380"/>
        <v/>
      </c>
      <c r="V1908" s="168" t="str">
        <f>IFERROR(U1908/_xlfn.XLOOKUP(_xlfn.XLOOKUP($F1908,Clientes!$B$4:$B$39,Clientes!$C$4:$C$39),Cadastros!$L$6:$L$12,Cadastros!$M$6:$M$12)," ")</f>
        <v xml:space="preserve"> </v>
      </c>
      <c r="W1908" s="28"/>
      <c r="X1908" s="28"/>
      <c r="Y1908" s="255" t="str">
        <f>IF(W1908="","",(_xlfn.XLOOKUP(W1908,Cadastros!$D$6:$D$90,Cadastros!$E$6:$E$90))*(1-_xlfn.XLOOKUP(_xlfn.XLOOKUP($F1908,Clientes!$B$4:$B$39,Clientes!$C$4:$C$39),Cadastros!$L$6:$L$12,Cadastros!$N$6:$N$12)))</f>
        <v/>
      </c>
      <c r="Z1908" s="168" t="str">
        <f t="shared" si="381"/>
        <v/>
      </c>
      <c r="AA1908" s="168" t="str">
        <f>IFERROR(Z1908/_xlfn.XLOOKUP(_xlfn.XLOOKUP($F1908,Clientes!$B$4:$B$39,Clientes!$C$4:$C$39),Cadastros!$L$6:$L$12,Cadastros!$M$6:$M$12)," ")</f>
        <v xml:space="preserve"> </v>
      </c>
      <c r="AB1908" s="28"/>
      <c r="AC1908" s="28"/>
      <c r="AD1908" s="20" t="str">
        <f>IF(AB1908="","",IF($F1908="Bernardino Furlan",_xlfn.XLOOKUP(AB1908,Cadastros!$G$6:$G$90,Cadastros!$H$6:$H$90)*(1-0.18),IF($F1908="Mauro José Salanti",_xlfn.XLOOKUP(AB1908,Cadastros!$G$6:$G$90,Cadastros!$H$6:$H$90)*(1-0.18),_xlfn.XLOOKUP(AB1908,Cadastros!$G$6:$G$90,Cadastros!$H$6:$H$90))))</f>
        <v/>
      </c>
      <c r="AE1908" s="168" t="str">
        <f t="shared" si="382"/>
        <v/>
      </c>
      <c r="AF1908" s="168" t="str">
        <f t="shared" si="383"/>
        <v/>
      </c>
      <c r="AG1908" s="28"/>
      <c r="AH1908" s="28"/>
      <c r="AI1908" s="20" t="str">
        <f>IF(AG1908="","",IF($F1908="Bernardino Furlan",_xlfn.XLOOKUP(AG1908,Cadastros!$G$6:$G$90,Cadastros!$H$6:$H$90)*(1-0.18),IF($F1908="Mauro José Salanti",_xlfn.XLOOKUP(AG1908,Cadastros!$G$6:$G$90,Cadastros!$H$6:$H$90)*(1-0.18),_xlfn.XLOOKUP(AG1908,Cadastros!$G$6:$G$90,Cadastros!$H$6:$H$90))))</f>
        <v/>
      </c>
      <c r="AJ1908" s="168" t="str">
        <f t="shared" si="384"/>
        <v/>
      </c>
      <c r="AK1908" s="168" t="str">
        <f t="shared" si="385"/>
        <v/>
      </c>
      <c r="AL1908" s="28"/>
      <c r="AM1908" s="28"/>
      <c r="AN1908" s="20" t="str">
        <f>IF(AL1908="","",IF($F1908="Bernardino Furlan",_xlfn.XLOOKUP(AL1908,Cadastros!$G$6:$G$90,Cadastros!$H$6:$H$90)*(1-0.18),IF($F1908="Mauro José Salanti",_xlfn.XLOOKUP(AL1908,Cadastros!$G$6:$G$90,Cadastros!$H$6:$H$90)*(1-0.18),_xlfn.XLOOKUP(AL1908,Cadastros!$G$6:$G$90,Cadastros!$H$6:$H$90))))</f>
        <v/>
      </c>
      <c r="AO1908" s="168" t="str">
        <f t="shared" si="386"/>
        <v/>
      </c>
      <c r="AP1908" s="168" t="str">
        <f t="shared" si="387"/>
        <v/>
      </c>
      <c r="AQ1908" s="28"/>
      <c r="AR1908" s="28"/>
      <c r="AS1908" s="20" t="str">
        <f>IF(AQ1908="","",IF($F1908="Bernardino Furlan",_xlfn.XLOOKUP(AQ1908,Cadastros!$G$6:$G$90,Cadastros!$H$6:$H$90)*(1-0.18),IF($F1908="Mauro José Salanti",_xlfn.XLOOKUP(AQ1908,Cadastros!$G$6:$G$90,Cadastros!$H$6:$H$90)*(1-0.18),_xlfn.XLOOKUP(AQ1908,Cadastros!$G$6:$G$90,Cadastros!$H$6:$H$90))))</f>
        <v/>
      </c>
      <c r="AT1908" s="168" t="str">
        <f t="shared" si="388"/>
        <v/>
      </c>
      <c r="AU1908" s="168" t="str">
        <f t="shared" si="389"/>
        <v/>
      </c>
      <c r="AV1908" s="227"/>
      <c r="AW1908" s="30"/>
      <c r="AX1908" s="267"/>
      <c r="AY1908" s="267"/>
      <c r="AZ1908" s="29"/>
      <c r="BA1908" s="30"/>
      <c r="BB1908" s="23" t="str" cm="1">
        <f t="array" ref="BB1908">_xlfn.IFS(AW1908="SIM",SUM(K1908,P1908,U1908,Z1908,AE1908,AJ1908,AO1908,AT1908,AX1908,AY1908),F1908&lt;&gt;"",SUM(K1908,P1908,U1908,Z1908,AE1908,AJ1908,,AO1908,AT1908),F1908="","")</f>
        <v/>
      </c>
      <c r="BC1908" s="211" t="str" cm="1">
        <f t="array" ref="BC1908">_xlfn.IFS(E1908="","",G1908&lt;=E1908,BB1908*(1-0.03),G1908&lt;(E1908+8),BB1908,AZ1908="Boleto",BB1908*(1+0.001)^DATEDIF(E1908,G1908,"D"),AZ1908="Cheque",BB1908,AZ1908="Dinheiro","Alterar forma pgto")</f>
        <v/>
      </c>
      <c r="BD1908" s="276" t="str" cm="1">
        <f t="array" ref="BD1908">IF(F1908=0," ",IF(BC1908&lt;BB1908,(_xlfn.IFS(AW1908="SIM",SUM(L1908,Q1908,V1908,AA1908,AF1908,AK1908,AP1908,AU1908)+AX1908/_xlfn.XLOOKUP(_xlfn.XLOOKUP($F1908,Clientes!$B$4:$B$39,Clientes!$C$4:$C$39),Cadastros!$L$6:$L$12,Cadastros!$M$6:$M$12)+IF($F1908="Bernardino Furlan",AY1908/2751.92,IF($F1908="Mauro José Salanti",AY1908/2751.92,AY1908/3356)),F1908&lt;&gt;0,SUM(L1908,Q1908,V1908,AA1908,AF1908,AK1908,AP1908,AU1908)))*(1-0.03),_xlfn.IFS(AW1908="SIM",SUM(L1908,Q1908,V1908,AA1908,AF1908,AK1908,AP1908,AU1908)+AX1908/_xlfn.XLOOKUP(_xlfn.XLOOKUP($F1908,Clientes!$B$4:$B$39,Clientes!$C$4:$C$39),Cadastros!$L$6:$L$12,Cadastros!$M$6:$M$12)+IF($F1908="Bernardino Furlan",AY1908/2751.92,IF($F1908="Mauro José Salanti",AY1908/2751.92,AY1908/3356)),F1908&lt;&gt;0,SUM(L1908,Q1908,V1908,AA1908,AF1908,AK1908,AP1908,AU1908))))</f>
        <v xml:space="preserve"> </v>
      </c>
      <c r="BE1908" s="120"/>
      <c r="BF1908" s="120"/>
      <c r="BG1908" s="120"/>
    </row>
    <row r="1909" spans="1:59" s="3" customFormat="1" x14ac:dyDescent="0.3">
      <c r="A1909" s="15" t="str">
        <f t="shared" si="377"/>
        <v/>
      </c>
      <c r="B1909" s="25"/>
      <c r="C1909" s="26"/>
      <c r="D1909" s="279"/>
      <c r="E1909" s="27"/>
      <c r="F1909" s="28"/>
      <c r="G1909" s="27"/>
      <c r="H1909" s="28"/>
      <c r="I1909" s="28"/>
      <c r="J1909" s="255" t="str">
        <f>IF(H1909="","",(_xlfn.XLOOKUP(H1909,Cadastros!$D$6:$D$90,Cadastros!$E$6:$E$90))*(1-_xlfn.XLOOKUP(_xlfn.XLOOKUP($F1909,Clientes!$B$4:$B$39,Clientes!$C$4:$C$39),Cadastros!$L$6:$L$12,Cadastros!$N$6:$N$12)))</f>
        <v/>
      </c>
      <c r="K1909" s="168" t="str">
        <f t="shared" si="378"/>
        <v/>
      </c>
      <c r="L1909" s="168" t="str">
        <f>IFERROR(K1909/_xlfn.XLOOKUP(_xlfn.XLOOKUP($F1909,Clientes!$B$4:$B$39,Clientes!$C$4:$C$39),Cadastros!$L$6:$L$12,Cadastros!$M$6:$M$12)," ")</f>
        <v xml:space="preserve"> </v>
      </c>
      <c r="M1909" s="28"/>
      <c r="N1909" s="28"/>
      <c r="O1909" s="255" t="str">
        <f>IF(M1909="","",(_xlfn.XLOOKUP(M1909,Cadastros!$D$6:$D$90,Cadastros!$E$6:$E$90))*(1-_xlfn.XLOOKUP(_xlfn.XLOOKUP($F1909,Clientes!$B$4:$B$39,Clientes!$C$4:$C$39),Cadastros!$L$6:$L$12,Cadastros!$N$6:$N$12)))</f>
        <v/>
      </c>
      <c r="P1909" s="168" t="str">
        <f t="shared" si="379"/>
        <v/>
      </c>
      <c r="Q1909" s="168" t="str">
        <f>IFERROR(P1909/_xlfn.XLOOKUP(_xlfn.XLOOKUP($F1909,Clientes!$B$4:$B$39,Clientes!$C$4:$C$39),Cadastros!$L$6:$L$12,Cadastros!$M$6:$M$12)," ")</f>
        <v xml:space="preserve"> </v>
      </c>
      <c r="R1909" s="28"/>
      <c r="S1909" s="28"/>
      <c r="T1909" s="255" t="str">
        <f>IF(R1909="","",(_xlfn.XLOOKUP(R1909,Cadastros!$D$6:$D$90,Cadastros!$E$6:$E$90))*(1-_xlfn.XLOOKUP(_xlfn.XLOOKUP($F1909,Clientes!$B$4:$B$39,Clientes!$C$4:$C$39),Cadastros!$L$6:$L$12,Cadastros!$N$6:$N$12)))</f>
        <v/>
      </c>
      <c r="U1909" s="168" t="str">
        <f t="shared" si="380"/>
        <v/>
      </c>
      <c r="V1909" s="168" t="str">
        <f>IFERROR(U1909/_xlfn.XLOOKUP(_xlfn.XLOOKUP($F1909,Clientes!$B$4:$B$39,Clientes!$C$4:$C$39),Cadastros!$L$6:$L$12,Cadastros!$M$6:$M$12)," ")</f>
        <v xml:space="preserve"> </v>
      </c>
      <c r="W1909" s="28"/>
      <c r="X1909" s="28"/>
      <c r="Y1909" s="255" t="str">
        <f>IF(W1909="","",(_xlfn.XLOOKUP(W1909,Cadastros!$D$6:$D$90,Cadastros!$E$6:$E$90))*(1-_xlfn.XLOOKUP(_xlfn.XLOOKUP($F1909,Clientes!$B$4:$B$39,Clientes!$C$4:$C$39),Cadastros!$L$6:$L$12,Cadastros!$N$6:$N$12)))</f>
        <v/>
      </c>
      <c r="Z1909" s="168" t="str">
        <f t="shared" si="381"/>
        <v/>
      </c>
      <c r="AA1909" s="168" t="str">
        <f>IFERROR(Z1909/_xlfn.XLOOKUP(_xlfn.XLOOKUP($F1909,Clientes!$B$4:$B$39,Clientes!$C$4:$C$39),Cadastros!$L$6:$L$12,Cadastros!$M$6:$M$12)," ")</f>
        <v xml:space="preserve"> </v>
      </c>
      <c r="AB1909" s="28"/>
      <c r="AC1909" s="28"/>
      <c r="AD1909" s="20" t="str">
        <f>IF(AB1909="","",IF($F1909="Bernardino Furlan",_xlfn.XLOOKUP(AB1909,Cadastros!$G$6:$G$90,Cadastros!$H$6:$H$90)*(1-0.18),IF($F1909="Mauro José Salanti",_xlfn.XLOOKUP(AB1909,Cadastros!$G$6:$G$90,Cadastros!$H$6:$H$90)*(1-0.18),_xlfn.XLOOKUP(AB1909,Cadastros!$G$6:$G$90,Cadastros!$H$6:$H$90))))</f>
        <v/>
      </c>
      <c r="AE1909" s="168" t="str">
        <f t="shared" si="382"/>
        <v/>
      </c>
      <c r="AF1909" s="168" t="str">
        <f t="shared" si="383"/>
        <v/>
      </c>
      <c r="AG1909" s="28"/>
      <c r="AH1909" s="28"/>
      <c r="AI1909" s="20" t="str">
        <f>IF(AG1909="","",IF($F1909="Bernardino Furlan",_xlfn.XLOOKUP(AG1909,Cadastros!$G$6:$G$90,Cadastros!$H$6:$H$90)*(1-0.18),IF($F1909="Mauro José Salanti",_xlfn.XLOOKUP(AG1909,Cadastros!$G$6:$G$90,Cadastros!$H$6:$H$90)*(1-0.18),_xlfn.XLOOKUP(AG1909,Cadastros!$G$6:$G$90,Cadastros!$H$6:$H$90))))</f>
        <v/>
      </c>
      <c r="AJ1909" s="168" t="str">
        <f t="shared" si="384"/>
        <v/>
      </c>
      <c r="AK1909" s="168" t="str">
        <f t="shared" si="385"/>
        <v/>
      </c>
      <c r="AL1909" s="28"/>
      <c r="AM1909" s="28"/>
      <c r="AN1909" s="20" t="str">
        <f>IF(AL1909="","",IF($F1909="Bernardino Furlan",_xlfn.XLOOKUP(AL1909,Cadastros!$G$6:$G$90,Cadastros!$H$6:$H$90)*(1-0.18),IF($F1909="Mauro José Salanti",_xlfn.XLOOKUP(AL1909,Cadastros!$G$6:$G$90,Cadastros!$H$6:$H$90)*(1-0.18),_xlfn.XLOOKUP(AL1909,Cadastros!$G$6:$G$90,Cadastros!$H$6:$H$90))))</f>
        <v/>
      </c>
      <c r="AO1909" s="168" t="str">
        <f t="shared" si="386"/>
        <v/>
      </c>
      <c r="AP1909" s="168" t="str">
        <f t="shared" si="387"/>
        <v/>
      </c>
      <c r="AQ1909" s="28"/>
      <c r="AR1909" s="28"/>
      <c r="AS1909" s="20" t="str">
        <f>IF(AQ1909="","",IF($F1909="Bernardino Furlan",_xlfn.XLOOKUP(AQ1909,Cadastros!$G$6:$G$90,Cadastros!$H$6:$H$90)*(1-0.18),IF($F1909="Mauro José Salanti",_xlfn.XLOOKUP(AQ1909,Cadastros!$G$6:$G$90,Cadastros!$H$6:$H$90)*(1-0.18),_xlfn.XLOOKUP(AQ1909,Cadastros!$G$6:$G$90,Cadastros!$H$6:$H$90))))</f>
        <v/>
      </c>
      <c r="AT1909" s="168" t="str">
        <f t="shared" si="388"/>
        <v/>
      </c>
      <c r="AU1909" s="168" t="str">
        <f t="shared" si="389"/>
        <v/>
      </c>
      <c r="AV1909" s="227"/>
      <c r="AW1909" s="30"/>
      <c r="AX1909" s="267"/>
      <c r="AY1909" s="267"/>
      <c r="AZ1909" s="29"/>
      <c r="BA1909" s="30"/>
      <c r="BB1909" s="23" t="str" cm="1">
        <f t="array" ref="BB1909">_xlfn.IFS(AW1909="SIM",SUM(K1909,P1909,U1909,Z1909,AE1909,AJ1909,AO1909,AT1909,AX1909,AY1909),F1909&lt;&gt;"",SUM(K1909,P1909,U1909,Z1909,AE1909,AJ1909,,AO1909,AT1909),F1909="","")</f>
        <v/>
      </c>
      <c r="BC1909" s="211" t="str" cm="1">
        <f t="array" ref="BC1909">_xlfn.IFS(E1909="","",G1909&lt;=E1909,BB1909*(1-0.03),G1909&lt;(E1909+8),BB1909,AZ1909="Boleto",BB1909*(1+0.001)^DATEDIF(E1909,G1909,"D"),AZ1909="Cheque",BB1909,AZ1909="Dinheiro","Alterar forma pgto")</f>
        <v/>
      </c>
      <c r="BD1909" s="276" t="str" cm="1">
        <f t="array" ref="BD1909">IF(F1909=0," ",IF(BC1909&lt;BB1909,(_xlfn.IFS(AW1909="SIM",SUM(L1909,Q1909,V1909,AA1909,AF1909,AK1909,AP1909,AU1909)+AX1909/_xlfn.XLOOKUP(_xlfn.XLOOKUP($F1909,Clientes!$B$4:$B$39,Clientes!$C$4:$C$39),Cadastros!$L$6:$L$12,Cadastros!$M$6:$M$12)+IF($F1909="Bernardino Furlan",AY1909/2751.92,IF($F1909="Mauro José Salanti",AY1909/2751.92,AY1909/3356)),F1909&lt;&gt;0,SUM(L1909,Q1909,V1909,AA1909,AF1909,AK1909,AP1909,AU1909)))*(1-0.03),_xlfn.IFS(AW1909="SIM",SUM(L1909,Q1909,V1909,AA1909,AF1909,AK1909,AP1909,AU1909)+AX1909/_xlfn.XLOOKUP(_xlfn.XLOOKUP($F1909,Clientes!$B$4:$B$39,Clientes!$C$4:$C$39),Cadastros!$L$6:$L$12,Cadastros!$M$6:$M$12)+IF($F1909="Bernardino Furlan",AY1909/2751.92,IF($F1909="Mauro José Salanti",AY1909/2751.92,AY1909/3356)),F1909&lt;&gt;0,SUM(L1909,Q1909,V1909,AA1909,AF1909,AK1909,AP1909,AU1909))))</f>
        <v xml:space="preserve"> </v>
      </c>
      <c r="BE1909" s="120"/>
      <c r="BF1909" s="120"/>
      <c r="BG1909" s="120"/>
    </row>
    <row r="1910" spans="1:59" s="3" customFormat="1" x14ac:dyDescent="0.3">
      <c r="A1910" s="15" t="str">
        <f t="shared" si="377"/>
        <v/>
      </c>
      <c r="B1910" s="25"/>
      <c r="C1910" s="26"/>
      <c r="D1910" s="279"/>
      <c r="E1910" s="27"/>
      <c r="F1910" s="28"/>
      <c r="G1910" s="27"/>
      <c r="H1910" s="28"/>
      <c r="I1910" s="28"/>
      <c r="J1910" s="255" t="str">
        <f>IF(H1910="","",(_xlfn.XLOOKUP(H1910,Cadastros!$D$6:$D$90,Cadastros!$E$6:$E$90))*(1-_xlfn.XLOOKUP(_xlfn.XLOOKUP($F1910,Clientes!$B$4:$B$39,Clientes!$C$4:$C$39),Cadastros!$L$6:$L$12,Cadastros!$N$6:$N$12)))</f>
        <v/>
      </c>
      <c r="K1910" s="168" t="str">
        <f t="shared" si="378"/>
        <v/>
      </c>
      <c r="L1910" s="168" t="str">
        <f>IFERROR(K1910/_xlfn.XLOOKUP(_xlfn.XLOOKUP($F1910,Clientes!$B$4:$B$39,Clientes!$C$4:$C$39),Cadastros!$L$6:$L$12,Cadastros!$M$6:$M$12)," ")</f>
        <v xml:space="preserve"> </v>
      </c>
      <c r="M1910" s="28"/>
      <c r="N1910" s="28"/>
      <c r="O1910" s="255" t="str">
        <f>IF(M1910="","",(_xlfn.XLOOKUP(M1910,Cadastros!$D$6:$D$90,Cadastros!$E$6:$E$90))*(1-_xlfn.XLOOKUP(_xlfn.XLOOKUP($F1910,Clientes!$B$4:$B$39,Clientes!$C$4:$C$39),Cadastros!$L$6:$L$12,Cadastros!$N$6:$N$12)))</f>
        <v/>
      </c>
      <c r="P1910" s="168" t="str">
        <f t="shared" si="379"/>
        <v/>
      </c>
      <c r="Q1910" s="168" t="str">
        <f>IFERROR(P1910/_xlfn.XLOOKUP(_xlfn.XLOOKUP($F1910,Clientes!$B$4:$B$39,Clientes!$C$4:$C$39),Cadastros!$L$6:$L$12,Cadastros!$M$6:$M$12)," ")</f>
        <v xml:space="preserve"> </v>
      </c>
      <c r="R1910" s="28"/>
      <c r="S1910" s="28"/>
      <c r="T1910" s="255" t="str">
        <f>IF(R1910="","",(_xlfn.XLOOKUP(R1910,Cadastros!$D$6:$D$90,Cadastros!$E$6:$E$90))*(1-_xlfn.XLOOKUP(_xlfn.XLOOKUP($F1910,Clientes!$B$4:$B$39,Clientes!$C$4:$C$39),Cadastros!$L$6:$L$12,Cadastros!$N$6:$N$12)))</f>
        <v/>
      </c>
      <c r="U1910" s="168" t="str">
        <f t="shared" si="380"/>
        <v/>
      </c>
      <c r="V1910" s="168" t="str">
        <f>IFERROR(U1910/_xlfn.XLOOKUP(_xlfn.XLOOKUP($F1910,Clientes!$B$4:$B$39,Clientes!$C$4:$C$39),Cadastros!$L$6:$L$12,Cadastros!$M$6:$M$12)," ")</f>
        <v xml:space="preserve"> </v>
      </c>
      <c r="W1910" s="28"/>
      <c r="X1910" s="28"/>
      <c r="Y1910" s="255" t="str">
        <f>IF(W1910="","",(_xlfn.XLOOKUP(W1910,Cadastros!$D$6:$D$90,Cadastros!$E$6:$E$90))*(1-_xlfn.XLOOKUP(_xlfn.XLOOKUP($F1910,Clientes!$B$4:$B$39,Clientes!$C$4:$C$39),Cadastros!$L$6:$L$12,Cadastros!$N$6:$N$12)))</f>
        <v/>
      </c>
      <c r="Z1910" s="168" t="str">
        <f t="shared" si="381"/>
        <v/>
      </c>
      <c r="AA1910" s="168" t="str">
        <f>IFERROR(Z1910/_xlfn.XLOOKUP(_xlfn.XLOOKUP($F1910,Clientes!$B$4:$B$39,Clientes!$C$4:$C$39),Cadastros!$L$6:$L$12,Cadastros!$M$6:$M$12)," ")</f>
        <v xml:space="preserve"> </v>
      </c>
      <c r="AB1910" s="28"/>
      <c r="AC1910" s="28"/>
      <c r="AD1910" s="20" t="str">
        <f>IF(AB1910="","",IF($F1910="Bernardino Furlan",_xlfn.XLOOKUP(AB1910,Cadastros!$G$6:$G$90,Cadastros!$H$6:$H$90)*(1-0.18),IF($F1910="Mauro José Salanti",_xlfn.XLOOKUP(AB1910,Cadastros!$G$6:$G$90,Cadastros!$H$6:$H$90)*(1-0.18),_xlfn.XLOOKUP(AB1910,Cadastros!$G$6:$G$90,Cadastros!$H$6:$H$90))))</f>
        <v/>
      </c>
      <c r="AE1910" s="168" t="str">
        <f t="shared" si="382"/>
        <v/>
      </c>
      <c r="AF1910" s="168" t="str">
        <f t="shared" si="383"/>
        <v/>
      </c>
      <c r="AG1910" s="28"/>
      <c r="AH1910" s="28"/>
      <c r="AI1910" s="20" t="str">
        <f>IF(AG1910="","",IF($F1910="Bernardino Furlan",_xlfn.XLOOKUP(AG1910,Cadastros!$G$6:$G$90,Cadastros!$H$6:$H$90)*(1-0.18),IF($F1910="Mauro José Salanti",_xlfn.XLOOKUP(AG1910,Cadastros!$G$6:$G$90,Cadastros!$H$6:$H$90)*(1-0.18),_xlfn.XLOOKUP(AG1910,Cadastros!$G$6:$G$90,Cadastros!$H$6:$H$90))))</f>
        <v/>
      </c>
      <c r="AJ1910" s="168" t="str">
        <f t="shared" si="384"/>
        <v/>
      </c>
      <c r="AK1910" s="168" t="str">
        <f t="shared" si="385"/>
        <v/>
      </c>
      <c r="AL1910" s="28"/>
      <c r="AM1910" s="28"/>
      <c r="AN1910" s="20" t="str">
        <f>IF(AL1910="","",IF($F1910="Bernardino Furlan",_xlfn.XLOOKUP(AL1910,Cadastros!$G$6:$G$90,Cadastros!$H$6:$H$90)*(1-0.18),IF($F1910="Mauro José Salanti",_xlfn.XLOOKUP(AL1910,Cadastros!$G$6:$G$90,Cadastros!$H$6:$H$90)*(1-0.18),_xlfn.XLOOKUP(AL1910,Cadastros!$G$6:$G$90,Cadastros!$H$6:$H$90))))</f>
        <v/>
      </c>
      <c r="AO1910" s="168" t="str">
        <f t="shared" si="386"/>
        <v/>
      </c>
      <c r="AP1910" s="168" t="str">
        <f t="shared" si="387"/>
        <v/>
      </c>
      <c r="AQ1910" s="28"/>
      <c r="AR1910" s="28"/>
      <c r="AS1910" s="20" t="str">
        <f>IF(AQ1910="","",IF($F1910="Bernardino Furlan",_xlfn.XLOOKUP(AQ1910,Cadastros!$G$6:$G$90,Cadastros!$H$6:$H$90)*(1-0.18),IF($F1910="Mauro José Salanti",_xlfn.XLOOKUP(AQ1910,Cadastros!$G$6:$G$90,Cadastros!$H$6:$H$90)*(1-0.18),_xlfn.XLOOKUP(AQ1910,Cadastros!$G$6:$G$90,Cadastros!$H$6:$H$90))))</f>
        <v/>
      </c>
      <c r="AT1910" s="168" t="str">
        <f t="shared" si="388"/>
        <v/>
      </c>
      <c r="AU1910" s="168" t="str">
        <f t="shared" si="389"/>
        <v/>
      </c>
      <c r="AV1910" s="227"/>
      <c r="AW1910" s="30"/>
      <c r="AX1910" s="267"/>
      <c r="AY1910" s="267"/>
      <c r="AZ1910" s="29"/>
      <c r="BA1910" s="30"/>
      <c r="BB1910" s="23" t="str" cm="1">
        <f t="array" ref="BB1910">_xlfn.IFS(AW1910="SIM",SUM(K1910,P1910,U1910,Z1910,AE1910,AJ1910,AO1910,AT1910,AX1910,AY1910),F1910&lt;&gt;"",SUM(K1910,P1910,U1910,Z1910,AE1910,AJ1910,,AO1910,AT1910),F1910="","")</f>
        <v/>
      </c>
      <c r="BC1910" s="211" t="str" cm="1">
        <f t="array" ref="BC1910">_xlfn.IFS(E1910="","",G1910&lt;=E1910,BB1910*(1-0.03),G1910&lt;(E1910+8),BB1910,AZ1910="Boleto",BB1910*(1+0.001)^DATEDIF(E1910,G1910,"D"),AZ1910="Cheque",BB1910,AZ1910="Dinheiro","Alterar forma pgto")</f>
        <v/>
      </c>
      <c r="BD1910" s="276" t="str" cm="1">
        <f t="array" ref="BD1910">IF(F1910=0," ",IF(BC1910&lt;BB1910,(_xlfn.IFS(AW1910="SIM",SUM(L1910,Q1910,V1910,AA1910,AF1910,AK1910,AP1910,AU1910)+AX1910/_xlfn.XLOOKUP(_xlfn.XLOOKUP($F1910,Clientes!$B$4:$B$39,Clientes!$C$4:$C$39),Cadastros!$L$6:$L$12,Cadastros!$M$6:$M$12)+IF($F1910="Bernardino Furlan",AY1910/2751.92,IF($F1910="Mauro José Salanti",AY1910/2751.92,AY1910/3356)),F1910&lt;&gt;0,SUM(L1910,Q1910,V1910,AA1910,AF1910,AK1910,AP1910,AU1910)))*(1-0.03),_xlfn.IFS(AW1910="SIM",SUM(L1910,Q1910,V1910,AA1910,AF1910,AK1910,AP1910,AU1910)+AX1910/_xlfn.XLOOKUP(_xlfn.XLOOKUP($F1910,Clientes!$B$4:$B$39,Clientes!$C$4:$C$39),Cadastros!$L$6:$L$12,Cadastros!$M$6:$M$12)+IF($F1910="Bernardino Furlan",AY1910/2751.92,IF($F1910="Mauro José Salanti",AY1910/2751.92,AY1910/3356)),F1910&lt;&gt;0,SUM(L1910,Q1910,V1910,AA1910,AF1910,AK1910,AP1910,AU1910))))</f>
        <v xml:space="preserve"> </v>
      </c>
      <c r="BE1910" s="120"/>
      <c r="BF1910" s="120"/>
      <c r="BG1910" s="120"/>
    </row>
    <row r="1911" spans="1:59" s="3" customFormat="1" x14ac:dyDescent="0.3">
      <c r="A1911" s="15" t="str">
        <f t="shared" si="377"/>
        <v/>
      </c>
      <c r="B1911" s="25"/>
      <c r="C1911" s="26"/>
      <c r="D1911" s="279"/>
      <c r="E1911" s="27"/>
      <c r="F1911" s="28"/>
      <c r="G1911" s="27"/>
      <c r="H1911" s="28"/>
      <c r="I1911" s="28"/>
      <c r="J1911" s="255" t="str">
        <f>IF(H1911="","",(_xlfn.XLOOKUP(H1911,Cadastros!$D$6:$D$90,Cadastros!$E$6:$E$90))*(1-_xlfn.XLOOKUP(_xlfn.XLOOKUP($F1911,Clientes!$B$4:$B$39,Clientes!$C$4:$C$39),Cadastros!$L$6:$L$12,Cadastros!$N$6:$N$12)))</f>
        <v/>
      </c>
      <c r="K1911" s="168" t="str">
        <f t="shared" si="378"/>
        <v/>
      </c>
      <c r="L1911" s="168" t="str">
        <f>IFERROR(K1911/_xlfn.XLOOKUP(_xlfn.XLOOKUP($F1911,Clientes!$B$4:$B$39,Clientes!$C$4:$C$39),Cadastros!$L$6:$L$12,Cadastros!$M$6:$M$12)," ")</f>
        <v xml:space="preserve"> </v>
      </c>
      <c r="M1911" s="28"/>
      <c r="N1911" s="28"/>
      <c r="O1911" s="255" t="str">
        <f>IF(M1911="","",(_xlfn.XLOOKUP(M1911,Cadastros!$D$6:$D$90,Cadastros!$E$6:$E$90))*(1-_xlfn.XLOOKUP(_xlfn.XLOOKUP($F1911,Clientes!$B$4:$B$39,Clientes!$C$4:$C$39),Cadastros!$L$6:$L$12,Cadastros!$N$6:$N$12)))</f>
        <v/>
      </c>
      <c r="P1911" s="168" t="str">
        <f t="shared" si="379"/>
        <v/>
      </c>
      <c r="Q1911" s="168" t="str">
        <f>IFERROR(P1911/_xlfn.XLOOKUP(_xlfn.XLOOKUP($F1911,Clientes!$B$4:$B$39,Clientes!$C$4:$C$39),Cadastros!$L$6:$L$12,Cadastros!$M$6:$M$12)," ")</f>
        <v xml:space="preserve"> </v>
      </c>
      <c r="R1911" s="28"/>
      <c r="S1911" s="28"/>
      <c r="T1911" s="255" t="str">
        <f>IF(R1911="","",(_xlfn.XLOOKUP(R1911,Cadastros!$D$6:$D$90,Cadastros!$E$6:$E$90))*(1-_xlfn.XLOOKUP(_xlfn.XLOOKUP($F1911,Clientes!$B$4:$B$39,Clientes!$C$4:$C$39),Cadastros!$L$6:$L$12,Cadastros!$N$6:$N$12)))</f>
        <v/>
      </c>
      <c r="U1911" s="168" t="str">
        <f t="shared" si="380"/>
        <v/>
      </c>
      <c r="V1911" s="168" t="str">
        <f>IFERROR(U1911/_xlfn.XLOOKUP(_xlfn.XLOOKUP($F1911,Clientes!$B$4:$B$39,Clientes!$C$4:$C$39),Cadastros!$L$6:$L$12,Cadastros!$M$6:$M$12)," ")</f>
        <v xml:space="preserve"> </v>
      </c>
      <c r="W1911" s="28"/>
      <c r="X1911" s="28"/>
      <c r="Y1911" s="255" t="str">
        <f>IF(W1911="","",(_xlfn.XLOOKUP(W1911,Cadastros!$D$6:$D$90,Cadastros!$E$6:$E$90))*(1-_xlfn.XLOOKUP(_xlfn.XLOOKUP($F1911,Clientes!$B$4:$B$39,Clientes!$C$4:$C$39),Cadastros!$L$6:$L$12,Cadastros!$N$6:$N$12)))</f>
        <v/>
      </c>
      <c r="Z1911" s="168" t="str">
        <f t="shared" si="381"/>
        <v/>
      </c>
      <c r="AA1911" s="168" t="str">
        <f>IFERROR(Z1911/_xlfn.XLOOKUP(_xlfn.XLOOKUP($F1911,Clientes!$B$4:$B$39,Clientes!$C$4:$C$39),Cadastros!$L$6:$L$12,Cadastros!$M$6:$M$12)," ")</f>
        <v xml:space="preserve"> </v>
      </c>
      <c r="AB1911" s="28"/>
      <c r="AC1911" s="28"/>
      <c r="AD1911" s="20" t="str">
        <f>IF(AB1911="","",IF($F1911="Bernardino Furlan",_xlfn.XLOOKUP(AB1911,Cadastros!$G$6:$G$90,Cadastros!$H$6:$H$90)*(1-0.18),IF($F1911="Mauro José Salanti",_xlfn.XLOOKUP(AB1911,Cadastros!$G$6:$G$90,Cadastros!$H$6:$H$90)*(1-0.18),_xlfn.XLOOKUP(AB1911,Cadastros!$G$6:$G$90,Cadastros!$H$6:$H$90))))</f>
        <v/>
      </c>
      <c r="AE1911" s="168" t="str">
        <f t="shared" si="382"/>
        <v/>
      </c>
      <c r="AF1911" s="168" t="str">
        <f t="shared" si="383"/>
        <v/>
      </c>
      <c r="AG1911" s="28"/>
      <c r="AH1911" s="28"/>
      <c r="AI1911" s="20" t="str">
        <f>IF(AG1911="","",IF($F1911="Bernardino Furlan",_xlfn.XLOOKUP(AG1911,Cadastros!$G$6:$G$90,Cadastros!$H$6:$H$90)*(1-0.18),IF($F1911="Mauro José Salanti",_xlfn.XLOOKUP(AG1911,Cadastros!$G$6:$G$90,Cadastros!$H$6:$H$90)*(1-0.18),_xlfn.XLOOKUP(AG1911,Cadastros!$G$6:$G$90,Cadastros!$H$6:$H$90))))</f>
        <v/>
      </c>
      <c r="AJ1911" s="168" t="str">
        <f t="shared" si="384"/>
        <v/>
      </c>
      <c r="AK1911" s="168" t="str">
        <f t="shared" si="385"/>
        <v/>
      </c>
      <c r="AL1911" s="28"/>
      <c r="AM1911" s="28"/>
      <c r="AN1911" s="20" t="str">
        <f>IF(AL1911="","",IF($F1911="Bernardino Furlan",_xlfn.XLOOKUP(AL1911,Cadastros!$G$6:$G$90,Cadastros!$H$6:$H$90)*(1-0.18),IF($F1911="Mauro José Salanti",_xlfn.XLOOKUP(AL1911,Cadastros!$G$6:$G$90,Cadastros!$H$6:$H$90)*(1-0.18),_xlfn.XLOOKUP(AL1911,Cadastros!$G$6:$G$90,Cadastros!$H$6:$H$90))))</f>
        <v/>
      </c>
      <c r="AO1911" s="168" t="str">
        <f t="shared" si="386"/>
        <v/>
      </c>
      <c r="AP1911" s="168" t="str">
        <f t="shared" si="387"/>
        <v/>
      </c>
      <c r="AQ1911" s="28"/>
      <c r="AR1911" s="28"/>
      <c r="AS1911" s="20" t="str">
        <f>IF(AQ1911="","",IF($F1911="Bernardino Furlan",_xlfn.XLOOKUP(AQ1911,Cadastros!$G$6:$G$90,Cadastros!$H$6:$H$90)*(1-0.18),IF($F1911="Mauro José Salanti",_xlfn.XLOOKUP(AQ1911,Cadastros!$G$6:$G$90,Cadastros!$H$6:$H$90)*(1-0.18),_xlfn.XLOOKUP(AQ1911,Cadastros!$G$6:$G$90,Cadastros!$H$6:$H$90))))</f>
        <v/>
      </c>
      <c r="AT1911" s="168" t="str">
        <f t="shared" si="388"/>
        <v/>
      </c>
      <c r="AU1911" s="168" t="str">
        <f t="shared" si="389"/>
        <v/>
      </c>
      <c r="AV1911" s="227"/>
      <c r="AW1911" s="30"/>
      <c r="AX1911" s="267"/>
      <c r="AY1911" s="267"/>
      <c r="AZ1911" s="29"/>
      <c r="BA1911" s="30"/>
      <c r="BB1911" s="23" t="str" cm="1">
        <f t="array" ref="BB1911">_xlfn.IFS(AW1911="SIM",SUM(K1911,P1911,U1911,Z1911,AE1911,AJ1911,AO1911,AT1911,AX1911,AY1911),F1911&lt;&gt;"",SUM(K1911,P1911,U1911,Z1911,AE1911,AJ1911,,AO1911,AT1911),F1911="","")</f>
        <v/>
      </c>
      <c r="BC1911" s="211" t="str" cm="1">
        <f t="array" ref="BC1911">_xlfn.IFS(E1911="","",G1911&lt;=E1911,BB1911*(1-0.03),G1911&lt;(E1911+8),BB1911,AZ1911="Boleto",BB1911*(1+0.001)^DATEDIF(E1911,G1911,"D"),AZ1911="Cheque",BB1911,AZ1911="Dinheiro","Alterar forma pgto")</f>
        <v/>
      </c>
      <c r="BD1911" s="276" t="str" cm="1">
        <f t="array" ref="BD1911">IF(F1911=0," ",IF(BC1911&lt;BB1911,(_xlfn.IFS(AW1911="SIM",SUM(L1911,Q1911,V1911,AA1911,AF1911,AK1911,AP1911,AU1911)+AX1911/_xlfn.XLOOKUP(_xlfn.XLOOKUP($F1911,Clientes!$B$4:$B$39,Clientes!$C$4:$C$39),Cadastros!$L$6:$L$12,Cadastros!$M$6:$M$12)+IF($F1911="Bernardino Furlan",AY1911/2751.92,IF($F1911="Mauro José Salanti",AY1911/2751.92,AY1911/3356)),F1911&lt;&gt;0,SUM(L1911,Q1911,V1911,AA1911,AF1911,AK1911,AP1911,AU1911)))*(1-0.03),_xlfn.IFS(AW1911="SIM",SUM(L1911,Q1911,V1911,AA1911,AF1911,AK1911,AP1911,AU1911)+AX1911/_xlfn.XLOOKUP(_xlfn.XLOOKUP($F1911,Clientes!$B$4:$B$39,Clientes!$C$4:$C$39),Cadastros!$L$6:$L$12,Cadastros!$M$6:$M$12)+IF($F1911="Bernardino Furlan",AY1911/2751.92,IF($F1911="Mauro José Salanti",AY1911/2751.92,AY1911/3356)),F1911&lt;&gt;0,SUM(L1911,Q1911,V1911,AA1911,AF1911,AK1911,AP1911,AU1911))))</f>
        <v xml:space="preserve"> </v>
      </c>
      <c r="BE1911" s="120"/>
      <c r="BF1911" s="120"/>
      <c r="BG1911" s="120"/>
    </row>
    <row r="1912" spans="1:59" s="3" customFormat="1" x14ac:dyDescent="0.3">
      <c r="A1912" s="15" t="str">
        <f t="shared" si="377"/>
        <v/>
      </c>
      <c r="B1912" s="25"/>
      <c r="C1912" s="26"/>
      <c r="D1912" s="279"/>
      <c r="E1912" s="27"/>
      <c r="F1912" s="28"/>
      <c r="G1912" s="27"/>
      <c r="H1912" s="28"/>
      <c r="I1912" s="28"/>
      <c r="J1912" s="255" t="str">
        <f>IF(H1912="","",(_xlfn.XLOOKUP(H1912,Cadastros!$D$6:$D$90,Cadastros!$E$6:$E$90))*(1-_xlfn.XLOOKUP(_xlfn.XLOOKUP($F1912,Clientes!$B$4:$B$39,Clientes!$C$4:$C$39),Cadastros!$L$6:$L$12,Cadastros!$N$6:$N$12)))</f>
        <v/>
      </c>
      <c r="K1912" s="168" t="str">
        <f t="shared" si="378"/>
        <v/>
      </c>
      <c r="L1912" s="168" t="str">
        <f>IFERROR(K1912/_xlfn.XLOOKUP(_xlfn.XLOOKUP($F1912,Clientes!$B$4:$B$39,Clientes!$C$4:$C$39),Cadastros!$L$6:$L$12,Cadastros!$M$6:$M$12)," ")</f>
        <v xml:space="preserve"> </v>
      </c>
      <c r="M1912" s="28"/>
      <c r="N1912" s="28"/>
      <c r="O1912" s="255" t="str">
        <f>IF(M1912="","",(_xlfn.XLOOKUP(M1912,Cadastros!$D$6:$D$90,Cadastros!$E$6:$E$90))*(1-_xlfn.XLOOKUP(_xlfn.XLOOKUP($F1912,Clientes!$B$4:$B$39,Clientes!$C$4:$C$39),Cadastros!$L$6:$L$12,Cadastros!$N$6:$N$12)))</f>
        <v/>
      </c>
      <c r="P1912" s="168" t="str">
        <f t="shared" si="379"/>
        <v/>
      </c>
      <c r="Q1912" s="168" t="str">
        <f>IFERROR(P1912/_xlfn.XLOOKUP(_xlfn.XLOOKUP($F1912,Clientes!$B$4:$B$39,Clientes!$C$4:$C$39),Cadastros!$L$6:$L$12,Cadastros!$M$6:$M$12)," ")</f>
        <v xml:space="preserve"> </v>
      </c>
      <c r="R1912" s="28"/>
      <c r="S1912" s="28"/>
      <c r="T1912" s="255" t="str">
        <f>IF(R1912="","",(_xlfn.XLOOKUP(R1912,Cadastros!$D$6:$D$90,Cadastros!$E$6:$E$90))*(1-_xlfn.XLOOKUP(_xlfn.XLOOKUP($F1912,Clientes!$B$4:$B$39,Clientes!$C$4:$C$39),Cadastros!$L$6:$L$12,Cadastros!$N$6:$N$12)))</f>
        <v/>
      </c>
      <c r="U1912" s="168" t="str">
        <f t="shared" si="380"/>
        <v/>
      </c>
      <c r="V1912" s="168" t="str">
        <f>IFERROR(U1912/_xlfn.XLOOKUP(_xlfn.XLOOKUP($F1912,Clientes!$B$4:$B$39,Clientes!$C$4:$C$39),Cadastros!$L$6:$L$12,Cadastros!$M$6:$M$12)," ")</f>
        <v xml:space="preserve"> </v>
      </c>
      <c r="W1912" s="28"/>
      <c r="X1912" s="28"/>
      <c r="Y1912" s="255" t="str">
        <f>IF(W1912="","",(_xlfn.XLOOKUP(W1912,Cadastros!$D$6:$D$90,Cadastros!$E$6:$E$90))*(1-_xlfn.XLOOKUP(_xlfn.XLOOKUP($F1912,Clientes!$B$4:$B$39,Clientes!$C$4:$C$39),Cadastros!$L$6:$L$12,Cadastros!$N$6:$N$12)))</f>
        <v/>
      </c>
      <c r="Z1912" s="168" t="str">
        <f t="shared" si="381"/>
        <v/>
      </c>
      <c r="AA1912" s="168" t="str">
        <f>IFERROR(Z1912/_xlfn.XLOOKUP(_xlfn.XLOOKUP($F1912,Clientes!$B$4:$B$39,Clientes!$C$4:$C$39),Cadastros!$L$6:$L$12,Cadastros!$M$6:$M$12)," ")</f>
        <v xml:space="preserve"> </v>
      </c>
      <c r="AB1912" s="28"/>
      <c r="AC1912" s="28"/>
      <c r="AD1912" s="20" t="str">
        <f>IF(AB1912="","",IF($F1912="Bernardino Furlan",_xlfn.XLOOKUP(AB1912,Cadastros!$G$6:$G$90,Cadastros!$H$6:$H$90)*(1-0.18),IF($F1912="Mauro José Salanti",_xlfn.XLOOKUP(AB1912,Cadastros!$G$6:$G$90,Cadastros!$H$6:$H$90)*(1-0.18),_xlfn.XLOOKUP(AB1912,Cadastros!$G$6:$G$90,Cadastros!$H$6:$H$90))))</f>
        <v/>
      </c>
      <c r="AE1912" s="168" t="str">
        <f t="shared" si="382"/>
        <v/>
      </c>
      <c r="AF1912" s="168" t="str">
        <f t="shared" si="383"/>
        <v/>
      </c>
      <c r="AG1912" s="28"/>
      <c r="AH1912" s="28"/>
      <c r="AI1912" s="20" t="str">
        <f>IF(AG1912="","",IF($F1912="Bernardino Furlan",_xlfn.XLOOKUP(AG1912,Cadastros!$G$6:$G$90,Cadastros!$H$6:$H$90)*(1-0.18),IF($F1912="Mauro José Salanti",_xlfn.XLOOKUP(AG1912,Cadastros!$G$6:$G$90,Cadastros!$H$6:$H$90)*(1-0.18),_xlfn.XLOOKUP(AG1912,Cadastros!$G$6:$G$90,Cadastros!$H$6:$H$90))))</f>
        <v/>
      </c>
      <c r="AJ1912" s="168" t="str">
        <f t="shared" si="384"/>
        <v/>
      </c>
      <c r="AK1912" s="168" t="str">
        <f t="shared" si="385"/>
        <v/>
      </c>
      <c r="AL1912" s="28"/>
      <c r="AM1912" s="28"/>
      <c r="AN1912" s="20" t="str">
        <f>IF(AL1912="","",IF($F1912="Bernardino Furlan",_xlfn.XLOOKUP(AL1912,Cadastros!$G$6:$G$90,Cadastros!$H$6:$H$90)*(1-0.18),IF($F1912="Mauro José Salanti",_xlfn.XLOOKUP(AL1912,Cadastros!$G$6:$G$90,Cadastros!$H$6:$H$90)*(1-0.18),_xlfn.XLOOKUP(AL1912,Cadastros!$G$6:$G$90,Cadastros!$H$6:$H$90))))</f>
        <v/>
      </c>
      <c r="AO1912" s="168" t="str">
        <f t="shared" si="386"/>
        <v/>
      </c>
      <c r="AP1912" s="168" t="str">
        <f t="shared" si="387"/>
        <v/>
      </c>
      <c r="AQ1912" s="28"/>
      <c r="AR1912" s="28"/>
      <c r="AS1912" s="20" t="str">
        <f>IF(AQ1912="","",IF($F1912="Bernardino Furlan",_xlfn.XLOOKUP(AQ1912,Cadastros!$G$6:$G$90,Cadastros!$H$6:$H$90)*(1-0.18),IF($F1912="Mauro José Salanti",_xlfn.XLOOKUP(AQ1912,Cadastros!$G$6:$G$90,Cadastros!$H$6:$H$90)*(1-0.18),_xlfn.XLOOKUP(AQ1912,Cadastros!$G$6:$G$90,Cadastros!$H$6:$H$90))))</f>
        <v/>
      </c>
      <c r="AT1912" s="168" t="str">
        <f t="shared" si="388"/>
        <v/>
      </c>
      <c r="AU1912" s="168" t="str">
        <f t="shared" si="389"/>
        <v/>
      </c>
      <c r="AV1912" s="227"/>
      <c r="AW1912" s="30"/>
      <c r="AX1912" s="267"/>
      <c r="AY1912" s="267"/>
      <c r="AZ1912" s="29"/>
      <c r="BA1912" s="30"/>
      <c r="BB1912" s="23" t="str" cm="1">
        <f t="array" ref="BB1912">_xlfn.IFS(AW1912="SIM",SUM(K1912,P1912,U1912,Z1912,AE1912,AJ1912,AO1912,AT1912,AX1912,AY1912),F1912&lt;&gt;"",SUM(K1912,P1912,U1912,Z1912,AE1912,AJ1912,,AO1912,AT1912),F1912="","")</f>
        <v/>
      </c>
      <c r="BC1912" s="211" t="str" cm="1">
        <f t="array" ref="BC1912">_xlfn.IFS(E1912="","",G1912&lt;=E1912,BB1912*(1-0.03),G1912&lt;(E1912+8),BB1912,AZ1912="Boleto",BB1912*(1+0.001)^DATEDIF(E1912,G1912,"D"),AZ1912="Cheque",BB1912,AZ1912="Dinheiro","Alterar forma pgto")</f>
        <v/>
      </c>
      <c r="BD1912" s="276" t="str" cm="1">
        <f t="array" ref="BD1912">IF(F1912=0," ",IF(BC1912&lt;BB1912,(_xlfn.IFS(AW1912="SIM",SUM(L1912,Q1912,V1912,AA1912,AF1912,AK1912,AP1912,AU1912)+AX1912/_xlfn.XLOOKUP(_xlfn.XLOOKUP($F1912,Clientes!$B$4:$B$39,Clientes!$C$4:$C$39),Cadastros!$L$6:$L$12,Cadastros!$M$6:$M$12)+IF($F1912="Bernardino Furlan",AY1912/2751.92,IF($F1912="Mauro José Salanti",AY1912/2751.92,AY1912/3356)),F1912&lt;&gt;0,SUM(L1912,Q1912,V1912,AA1912,AF1912,AK1912,AP1912,AU1912)))*(1-0.03),_xlfn.IFS(AW1912="SIM",SUM(L1912,Q1912,V1912,AA1912,AF1912,AK1912,AP1912,AU1912)+AX1912/_xlfn.XLOOKUP(_xlfn.XLOOKUP($F1912,Clientes!$B$4:$B$39,Clientes!$C$4:$C$39),Cadastros!$L$6:$L$12,Cadastros!$M$6:$M$12)+IF($F1912="Bernardino Furlan",AY1912/2751.92,IF($F1912="Mauro José Salanti",AY1912/2751.92,AY1912/3356)),F1912&lt;&gt;0,SUM(L1912,Q1912,V1912,AA1912,AF1912,AK1912,AP1912,AU1912))))</f>
        <v xml:space="preserve"> </v>
      </c>
      <c r="BE1912" s="120"/>
      <c r="BF1912" s="120"/>
      <c r="BG1912" s="120"/>
    </row>
    <row r="1913" spans="1:59" s="3" customFormat="1" x14ac:dyDescent="0.3">
      <c r="A1913" s="15" t="str">
        <f t="shared" si="377"/>
        <v/>
      </c>
      <c r="B1913" s="25"/>
      <c r="C1913" s="26"/>
      <c r="D1913" s="279"/>
      <c r="E1913" s="27"/>
      <c r="F1913" s="28"/>
      <c r="G1913" s="27"/>
      <c r="H1913" s="28"/>
      <c r="I1913" s="28"/>
      <c r="J1913" s="255" t="str">
        <f>IF(H1913="","",(_xlfn.XLOOKUP(H1913,Cadastros!$D$6:$D$90,Cadastros!$E$6:$E$90))*(1-_xlfn.XLOOKUP(_xlfn.XLOOKUP($F1913,Clientes!$B$4:$B$39,Clientes!$C$4:$C$39),Cadastros!$L$6:$L$12,Cadastros!$N$6:$N$12)))</f>
        <v/>
      </c>
      <c r="K1913" s="168" t="str">
        <f t="shared" si="378"/>
        <v/>
      </c>
      <c r="L1913" s="168" t="str">
        <f>IFERROR(K1913/_xlfn.XLOOKUP(_xlfn.XLOOKUP($F1913,Clientes!$B$4:$B$39,Clientes!$C$4:$C$39),Cadastros!$L$6:$L$12,Cadastros!$M$6:$M$12)," ")</f>
        <v xml:space="preserve"> </v>
      </c>
      <c r="M1913" s="28"/>
      <c r="N1913" s="28"/>
      <c r="O1913" s="255" t="str">
        <f>IF(M1913="","",(_xlfn.XLOOKUP(M1913,Cadastros!$D$6:$D$90,Cadastros!$E$6:$E$90))*(1-_xlfn.XLOOKUP(_xlfn.XLOOKUP($F1913,Clientes!$B$4:$B$39,Clientes!$C$4:$C$39),Cadastros!$L$6:$L$12,Cadastros!$N$6:$N$12)))</f>
        <v/>
      </c>
      <c r="P1913" s="168" t="str">
        <f t="shared" si="379"/>
        <v/>
      </c>
      <c r="Q1913" s="168" t="str">
        <f>IFERROR(P1913/_xlfn.XLOOKUP(_xlfn.XLOOKUP($F1913,Clientes!$B$4:$B$39,Clientes!$C$4:$C$39),Cadastros!$L$6:$L$12,Cadastros!$M$6:$M$12)," ")</f>
        <v xml:space="preserve"> </v>
      </c>
      <c r="R1913" s="28"/>
      <c r="S1913" s="28"/>
      <c r="T1913" s="255" t="str">
        <f>IF(R1913="","",(_xlfn.XLOOKUP(R1913,Cadastros!$D$6:$D$90,Cadastros!$E$6:$E$90))*(1-_xlfn.XLOOKUP(_xlfn.XLOOKUP($F1913,Clientes!$B$4:$B$39,Clientes!$C$4:$C$39),Cadastros!$L$6:$L$12,Cadastros!$N$6:$N$12)))</f>
        <v/>
      </c>
      <c r="U1913" s="168" t="str">
        <f t="shared" si="380"/>
        <v/>
      </c>
      <c r="V1913" s="168" t="str">
        <f>IFERROR(U1913/_xlfn.XLOOKUP(_xlfn.XLOOKUP($F1913,Clientes!$B$4:$B$39,Clientes!$C$4:$C$39),Cadastros!$L$6:$L$12,Cadastros!$M$6:$M$12)," ")</f>
        <v xml:space="preserve"> </v>
      </c>
      <c r="W1913" s="28"/>
      <c r="X1913" s="28"/>
      <c r="Y1913" s="255" t="str">
        <f>IF(W1913="","",(_xlfn.XLOOKUP(W1913,Cadastros!$D$6:$D$90,Cadastros!$E$6:$E$90))*(1-_xlfn.XLOOKUP(_xlfn.XLOOKUP($F1913,Clientes!$B$4:$B$39,Clientes!$C$4:$C$39),Cadastros!$L$6:$L$12,Cadastros!$N$6:$N$12)))</f>
        <v/>
      </c>
      <c r="Z1913" s="168" t="str">
        <f t="shared" si="381"/>
        <v/>
      </c>
      <c r="AA1913" s="168" t="str">
        <f>IFERROR(Z1913/_xlfn.XLOOKUP(_xlfn.XLOOKUP($F1913,Clientes!$B$4:$B$39,Clientes!$C$4:$C$39),Cadastros!$L$6:$L$12,Cadastros!$M$6:$M$12)," ")</f>
        <v xml:space="preserve"> </v>
      </c>
      <c r="AB1913" s="28"/>
      <c r="AC1913" s="28"/>
      <c r="AD1913" s="20" t="str">
        <f>IF(AB1913="","",IF($F1913="Bernardino Furlan",_xlfn.XLOOKUP(AB1913,Cadastros!$G$6:$G$90,Cadastros!$H$6:$H$90)*(1-0.18),IF($F1913="Mauro José Salanti",_xlfn.XLOOKUP(AB1913,Cadastros!$G$6:$G$90,Cadastros!$H$6:$H$90)*(1-0.18),_xlfn.XLOOKUP(AB1913,Cadastros!$G$6:$G$90,Cadastros!$H$6:$H$90))))</f>
        <v/>
      </c>
      <c r="AE1913" s="168" t="str">
        <f t="shared" si="382"/>
        <v/>
      </c>
      <c r="AF1913" s="168" t="str">
        <f t="shared" si="383"/>
        <v/>
      </c>
      <c r="AG1913" s="28"/>
      <c r="AH1913" s="28"/>
      <c r="AI1913" s="20" t="str">
        <f>IF(AG1913="","",IF($F1913="Bernardino Furlan",_xlfn.XLOOKUP(AG1913,Cadastros!$G$6:$G$90,Cadastros!$H$6:$H$90)*(1-0.18),IF($F1913="Mauro José Salanti",_xlfn.XLOOKUP(AG1913,Cadastros!$G$6:$G$90,Cadastros!$H$6:$H$90)*(1-0.18),_xlfn.XLOOKUP(AG1913,Cadastros!$G$6:$G$90,Cadastros!$H$6:$H$90))))</f>
        <v/>
      </c>
      <c r="AJ1913" s="168" t="str">
        <f t="shared" si="384"/>
        <v/>
      </c>
      <c r="AK1913" s="168" t="str">
        <f t="shared" si="385"/>
        <v/>
      </c>
      <c r="AL1913" s="28"/>
      <c r="AM1913" s="28"/>
      <c r="AN1913" s="20" t="str">
        <f>IF(AL1913="","",IF($F1913="Bernardino Furlan",_xlfn.XLOOKUP(AL1913,Cadastros!$G$6:$G$90,Cadastros!$H$6:$H$90)*(1-0.18),IF($F1913="Mauro José Salanti",_xlfn.XLOOKUP(AL1913,Cadastros!$G$6:$G$90,Cadastros!$H$6:$H$90)*(1-0.18),_xlfn.XLOOKUP(AL1913,Cadastros!$G$6:$G$90,Cadastros!$H$6:$H$90))))</f>
        <v/>
      </c>
      <c r="AO1913" s="168" t="str">
        <f t="shared" si="386"/>
        <v/>
      </c>
      <c r="AP1913" s="168" t="str">
        <f t="shared" si="387"/>
        <v/>
      </c>
      <c r="AQ1913" s="28"/>
      <c r="AR1913" s="28"/>
      <c r="AS1913" s="20" t="str">
        <f>IF(AQ1913="","",IF($F1913="Bernardino Furlan",_xlfn.XLOOKUP(AQ1913,Cadastros!$G$6:$G$90,Cadastros!$H$6:$H$90)*(1-0.18),IF($F1913="Mauro José Salanti",_xlfn.XLOOKUP(AQ1913,Cadastros!$G$6:$G$90,Cadastros!$H$6:$H$90)*(1-0.18),_xlfn.XLOOKUP(AQ1913,Cadastros!$G$6:$G$90,Cadastros!$H$6:$H$90))))</f>
        <v/>
      </c>
      <c r="AT1913" s="168" t="str">
        <f t="shared" si="388"/>
        <v/>
      </c>
      <c r="AU1913" s="168" t="str">
        <f t="shared" si="389"/>
        <v/>
      </c>
      <c r="AV1913" s="227"/>
      <c r="AW1913" s="30"/>
      <c r="AX1913" s="267"/>
      <c r="AY1913" s="267"/>
      <c r="AZ1913" s="29"/>
      <c r="BA1913" s="30"/>
      <c r="BB1913" s="23" t="str" cm="1">
        <f t="array" ref="BB1913">_xlfn.IFS(AW1913="SIM",SUM(K1913,P1913,U1913,Z1913,AE1913,AJ1913,AO1913,AT1913,AX1913,AY1913),F1913&lt;&gt;"",SUM(K1913,P1913,U1913,Z1913,AE1913,AJ1913,,AO1913,AT1913),F1913="","")</f>
        <v/>
      </c>
      <c r="BC1913" s="211" t="str" cm="1">
        <f t="array" ref="BC1913">_xlfn.IFS(E1913="","",G1913&lt;=E1913,BB1913*(1-0.03),G1913&lt;(E1913+8),BB1913,AZ1913="Boleto",BB1913*(1+0.001)^DATEDIF(E1913,G1913,"D"),AZ1913="Cheque",BB1913,AZ1913="Dinheiro","Alterar forma pgto")</f>
        <v/>
      </c>
      <c r="BD1913" s="276" t="str" cm="1">
        <f t="array" ref="BD1913">IF(F1913=0," ",IF(BC1913&lt;BB1913,(_xlfn.IFS(AW1913="SIM",SUM(L1913,Q1913,V1913,AA1913,AF1913,AK1913,AP1913,AU1913)+AX1913/_xlfn.XLOOKUP(_xlfn.XLOOKUP($F1913,Clientes!$B$4:$B$39,Clientes!$C$4:$C$39),Cadastros!$L$6:$L$12,Cadastros!$M$6:$M$12)+IF($F1913="Bernardino Furlan",AY1913/2751.92,IF($F1913="Mauro José Salanti",AY1913/2751.92,AY1913/3356)),F1913&lt;&gt;0,SUM(L1913,Q1913,V1913,AA1913,AF1913,AK1913,AP1913,AU1913)))*(1-0.03),_xlfn.IFS(AW1913="SIM",SUM(L1913,Q1913,V1913,AA1913,AF1913,AK1913,AP1913,AU1913)+AX1913/_xlfn.XLOOKUP(_xlfn.XLOOKUP($F1913,Clientes!$B$4:$B$39,Clientes!$C$4:$C$39),Cadastros!$L$6:$L$12,Cadastros!$M$6:$M$12)+IF($F1913="Bernardino Furlan",AY1913/2751.92,IF($F1913="Mauro José Salanti",AY1913/2751.92,AY1913/3356)),F1913&lt;&gt;0,SUM(L1913,Q1913,V1913,AA1913,AF1913,AK1913,AP1913,AU1913))))</f>
        <v xml:space="preserve"> </v>
      </c>
      <c r="BE1913" s="120"/>
      <c r="BF1913" s="120"/>
      <c r="BG1913" s="120"/>
    </row>
    <row r="1914" spans="1:59" s="3" customFormat="1" x14ac:dyDescent="0.3">
      <c r="A1914" s="15" t="str">
        <f t="shared" si="377"/>
        <v/>
      </c>
      <c r="B1914" s="25"/>
      <c r="C1914" s="26"/>
      <c r="D1914" s="279"/>
      <c r="E1914" s="27"/>
      <c r="F1914" s="28"/>
      <c r="G1914" s="27"/>
      <c r="H1914" s="28"/>
      <c r="I1914" s="28"/>
      <c r="J1914" s="255" t="str">
        <f>IF(H1914="","",(_xlfn.XLOOKUP(H1914,Cadastros!$D$6:$D$90,Cadastros!$E$6:$E$90))*(1-_xlfn.XLOOKUP(_xlfn.XLOOKUP($F1914,Clientes!$B$4:$B$39,Clientes!$C$4:$C$39),Cadastros!$L$6:$L$12,Cadastros!$N$6:$N$12)))</f>
        <v/>
      </c>
      <c r="K1914" s="168" t="str">
        <f t="shared" si="378"/>
        <v/>
      </c>
      <c r="L1914" s="168" t="str">
        <f>IFERROR(K1914/_xlfn.XLOOKUP(_xlfn.XLOOKUP($F1914,Clientes!$B$4:$B$39,Clientes!$C$4:$C$39),Cadastros!$L$6:$L$12,Cadastros!$M$6:$M$12)," ")</f>
        <v xml:space="preserve"> </v>
      </c>
      <c r="M1914" s="28"/>
      <c r="N1914" s="28"/>
      <c r="O1914" s="255" t="str">
        <f>IF(M1914="","",(_xlfn.XLOOKUP(M1914,Cadastros!$D$6:$D$90,Cadastros!$E$6:$E$90))*(1-_xlfn.XLOOKUP(_xlfn.XLOOKUP($F1914,Clientes!$B$4:$B$39,Clientes!$C$4:$C$39),Cadastros!$L$6:$L$12,Cadastros!$N$6:$N$12)))</f>
        <v/>
      </c>
      <c r="P1914" s="168" t="str">
        <f t="shared" si="379"/>
        <v/>
      </c>
      <c r="Q1914" s="168" t="str">
        <f>IFERROR(P1914/_xlfn.XLOOKUP(_xlfn.XLOOKUP($F1914,Clientes!$B$4:$B$39,Clientes!$C$4:$C$39),Cadastros!$L$6:$L$12,Cadastros!$M$6:$M$12)," ")</f>
        <v xml:space="preserve"> </v>
      </c>
      <c r="R1914" s="28"/>
      <c r="S1914" s="28"/>
      <c r="T1914" s="255" t="str">
        <f>IF(R1914="","",(_xlfn.XLOOKUP(R1914,Cadastros!$D$6:$D$90,Cadastros!$E$6:$E$90))*(1-_xlfn.XLOOKUP(_xlfn.XLOOKUP($F1914,Clientes!$B$4:$B$39,Clientes!$C$4:$C$39),Cadastros!$L$6:$L$12,Cadastros!$N$6:$N$12)))</f>
        <v/>
      </c>
      <c r="U1914" s="168" t="str">
        <f t="shared" si="380"/>
        <v/>
      </c>
      <c r="V1914" s="168" t="str">
        <f>IFERROR(U1914/_xlfn.XLOOKUP(_xlfn.XLOOKUP($F1914,Clientes!$B$4:$B$39,Clientes!$C$4:$C$39),Cadastros!$L$6:$L$12,Cadastros!$M$6:$M$12)," ")</f>
        <v xml:space="preserve"> </v>
      </c>
      <c r="W1914" s="28"/>
      <c r="X1914" s="28"/>
      <c r="Y1914" s="255" t="str">
        <f>IF(W1914="","",(_xlfn.XLOOKUP(W1914,Cadastros!$D$6:$D$90,Cadastros!$E$6:$E$90))*(1-_xlfn.XLOOKUP(_xlfn.XLOOKUP($F1914,Clientes!$B$4:$B$39,Clientes!$C$4:$C$39),Cadastros!$L$6:$L$12,Cadastros!$N$6:$N$12)))</f>
        <v/>
      </c>
      <c r="Z1914" s="168" t="str">
        <f t="shared" si="381"/>
        <v/>
      </c>
      <c r="AA1914" s="168" t="str">
        <f>IFERROR(Z1914/_xlfn.XLOOKUP(_xlfn.XLOOKUP($F1914,Clientes!$B$4:$B$39,Clientes!$C$4:$C$39),Cadastros!$L$6:$L$12,Cadastros!$M$6:$M$12)," ")</f>
        <v xml:space="preserve"> </v>
      </c>
      <c r="AB1914" s="28"/>
      <c r="AC1914" s="28"/>
      <c r="AD1914" s="20" t="str">
        <f>IF(AB1914="","",IF($F1914="Bernardino Furlan",_xlfn.XLOOKUP(AB1914,Cadastros!$G$6:$G$90,Cadastros!$H$6:$H$90)*(1-0.18),IF($F1914="Mauro José Salanti",_xlfn.XLOOKUP(AB1914,Cadastros!$G$6:$G$90,Cadastros!$H$6:$H$90)*(1-0.18),_xlfn.XLOOKUP(AB1914,Cadastros!$G$6:$G$90,Cadastros!$H$6:$H$90))))</f>
        <v/>
      </c>
      <c r="AE1914" s="168" t="str">
        <f t="shared" si="382"/>
        <v/>
      </c>
      <c r="AF1914" s="168" t="str">
        <f t="shared" si="383"/>
        <v/>
      </c>
      <c r="AG1914" s="28"/>
      <c r="AH1914" s="28"/>
      <c r="AI1914" s="20" t="str">
        <f>IF(AG1914="","",IF($F1914="Bernardino Furlan",_xlfn.XLOOKUP(AG1914,Cadastros!$G$6:$G$90,Cadastros!$H$6:$H$90)*(1-0.18),IF($F1914="Mauro José Salanti",_xlfn.XLOOKUP(AG1914,Cadastros!$G$6:$G$90,Cadastros!$H$6:$H$90)*(1-0.18),_xlfn.XLOOKUP(AG1914,Cadastros!$G$6:$G$90,Cadastros!$H$6:$H$90))))</f>
        <v/>
      </c>
      <c r="AJ1914" s="168" t="str">
        <f t="shared" si="384"/>
        <v/>
      </c>
      <c r="AK1914" s="168" t="str">
        <f t="shared" si="385"/>
        <v/>
      </c>
      <c r="AL1914" s="28"/>
      <c r="AM1914" s="28"/>
      <c r="AN1914" s="20" t="str">
        <f>IF(AL1914="","",IF($F1914="Bernardino Furlan",_xlfn.XLOOKUP(AL1914,Cadastros!$G$6:$G$90,Cadastros!$H$6:$H$90)*(1-0.18),IF($F1914="Mauro José Salanti",_xlfn.XLOOKUP(AL1914,Cadastros!$G$6:$G$90,Cadastros!$H$6:$H$90)*(1-0.18),_xlfn.XLOOKUP(AL1914,Cadastros!$G$6:$G$90,Cadastros!$H$6:$H$90))))</f>
        <v/>
      </c>
      <c r="AO1914" s="168" t="str">
        <f t="shared" si="386"/>
        <v/>
      </c>
      <c r="AP1914" s="168" t="str">
        <f t="shared" si="387"/>
        <v/>
      </c>
      <c r="AQ1914" s="28"/>
      <c r="AR1914" s="28"/>
      <c r="AS1914" s="20" t="str">
        <f>IF(AQ1914="","",IF($F1914="Bernardino Furlan",_xlfn.XLOOKUP(AQ1914,Cadastros!$G$6:$G$90,Cadastros!$H$6:$H$90)*(1-0.18),IF($F1914="Mauro José Salanti",_xlfn.XLOOKUP(AQ1914,Cadastros!$G$6:$G$90,Cadastros!$H$6:$H$90)*(1-0.18),_xlfn.XLOOKUP(AQ1914,Cadastros!$G$6:$G$90,Cadastros!$H$6:$H$90))))</f>
        <v/>
      </c>
      <c r="AT1914" s="168" t="str">
        <f t="shared" si="388"/>
        <v/>
      </c>
      <c r="AU1914" s="168" t="str">
        <f t="shared" si="389"/>
        <v/>
      </c>
      <c r="AV1914" s="227"/>
      <c r="AW1914" s="30"/>
      <c r="AX1914" s="267"/>
      <c r="AY1914" s="267"/>
      <c r="AZ1914" s="29"/>
      <c r="BA1914" s="30"/>
      <c r="BB1914" s="23" t="str" cm="1">
        <f t="array" ref="BB1914">_xlfn.IFS(AW1914="SIM",SUM(K1914,P1914,U1914,Z1914,AE1914,AJ1914,AO1914,AT1914,AX1914,AY1914),F1914&lt;&gt;"",SUM(K1914,P1914,U1914,Z1914,AE1914,AJ1914,,AO1914,AT1914),F1914="","")</f>
        <v/>
      </c>
      <c r="BC1914" s="211" t="str" cm="1">
        <f t="array" ref="BC1914">_xlfn.IFS(E1914="","",G1914&lt;=E1914,BB1914*(1-0.03),G1914&lt;(E1914+8),BB1914,AZ1914="Boleto",BB1914*(1+0.001)^DATEDIF(E1914,G1914,"D"),AZ1914="Cheque",BB1914,AZ1914="Dinheiro","Alterar forma pgto")</f>
        <v/>
      </c>
      <c r="BD1914" s="276" t="str" cm="1">
        <f t="array" ref="BD1914">IF(F1914=0," ",IF(BC1914&lt;BB1914,(_xlfn.IFS(AW1914="SIM",SUM(L1914,Q1914,V1914,AA1914,AF1914,AK1914,AP1914,AU1914)+AX1914/_xlfn.XLOOKUP(_xlfn.XLOOKUP($F1914,Clientes!$B$4:$B$39,Clientes!$C$4:$C$39),Cadastros!$L$6:$L$12,Cadastros!$M$6:$M$12)+IF($F1914="Bernardino Furlan",AY1914/2751.92,IF($F1914="Mauro José Salanti",AY1914/2751.92,AY1914/3356)),F1914&lt;&gt;0,SUM(L1914,Q1914,V1914,AA1914,AF1914,AK1914,AP1914,AU1914)))*(1-0.03),_xlfn.IFS(AW1914="SIM",SUM(L1914,Q1914,V1914,AA1914,AF1914,AK1914,AP1914,AU1914)+AX1914/_xlfn.XLOOKUP(_xlfn.XLOOKUP($F1914,Clientes!$B$4:$B$39,Clientes!$C$4:$C$39),Cadastros!$L$6:$L$12,Cadastros!$M$6:$M$12)+IF($F1914="Bernardino Furlan",AY1914/2751.92,IF($F1914="Mauro José Salanti",AY1914/2751.92,AY1914/3356)),F1914&lt;&gt;0,SUM(L1914,Q1914,V1914,AA1914,AF1914,AK1914,AP1914,AU1914))))</f>
        <v xml:space="preserve"> </v>
      </c>
      <c r="BE1914" s="120"/>
      <c r="BF1914" s="120"/>
      <c r="BG1914" s="120"/>
    </row>
    <row r="1915" spans="1:59" s="3" customFormat="1" x14ac:dyDescent="0.3">
      <c r="A1915" s="15" t="str">
        <f t="shared" si="377"/>
        <v/>
      </c>
      <c r="B1915" s="25"/>
      <c r="C1915" s="26"/>
      <c r="D1915" s="279"/>
      <c r="E1915" s="27"/>
      <c r="F1915" s="28"/>
      <c r="G1915" s="27"/>
      <c r="H1915" s="28"/>
      <c r="I1915" s="28"/>
      <c r="J1915" s="255" t="str">
        <f>IF(H1915="","",(_xlfn.XLOOKUP(H1915,Cadastros!$D$6:$D$90,Cadastros!$E$6:$E$90))*(1-_xlfn.XLOOKUP(_xlfn.XLOOKUP($F1915,Clientes!$B$4:$B$39,Clientes!$C$4:$C$39),Cadastros!$L$6:$L$12,Cadastros!$N$6:$N$12)))</f>
        <v/>
      </c>
      <c r="K1915" s="168" t="str">
        <f t="shared" si="378"/>
        <v/>
      </c>
      <c r="L1915" s="168" t="str">
        <f>IFERROR(K1915/_xlfn.XLOOKUP(_xlfn.XLOOKUP($F1915,Clientes!$B$4:$B$39,Clientes!$C$4:$C$39),Cadastros!$L$6:$L$12,Cadastros!$M$6:$M$12)," ")</f>
        <v xml:space="preserve"> </v>
      </c>
      <c r="M1915" s="28"/>
      <c r="N1915" s="28"/>
      <c r="O1915" s="255" t="str">
        <f>IF(M1915="","",(_xlfn.XLOOKUP(M1915,Cadastros!$D$6:$D$90,Cadastros!$E$6:$E$90))*(1-_xlfn.XLOOKUP(_xlfn.XLOOKUP($F1915,Clientes!$B$4:$B$39,Clientes!$C$4:$C$39),Cadastros!$L$6:$L$12,Cadastros!$N$6:$N$12)))</f>
        <v/>
      </c>
      <c r="P1915" s="168" t="str">
        <f t="shared" si="379"/>
        <v/>
      </c>
      <c r="Q1915" s="168" t="str">
        <f>IFERROR(P1915/_xlfn.XLOOKUP(_xlfn.XLOOKUP($F1915,Clientes!$B$4:$B$39,Clientes!$C$4:$C$39),Cadastros!$L$6:$L$12,Cadastros!$M$6:$M$12)," ")</f>
        <v xml:space="preserve"> </v>
      </c>
      <c r="R1915" s="28"/>
      <c r="S1915" s="28"/>
      <c r="T1915" s="255" t="str">
        <f>IF(R1915="","",(_xlfn.XLOOKUP(R1915,Cadastros!$D$6:$D$90,Cadastros!$E$6:$E$90))*(1-_xlfn.XLOOKUP(_xlfn.XLOOKUP($F1915,Clientes!$B$4:$B$39,Clientes!$C$4:$C$39),Cadastros!$L$6:$L$12,Cadastros!$N$6:$N$12)))</f>
        <v/>
      </c>
      <c r="U1915" s="168" t="str">
        <f t="shared" si="380"/>
        <v/>
      </c>
      <c r="V1915" s="168" t="str">
        <f>IFERROR(U1915/_xlfn.XLOOKUP(_xlfn.XLOOKUP($F1915,Clientes!$B$4:$B$39,Clientes!$C$4:$C$39),Cadastros!$L$6:$L$12,Cadastros!$M$6:$M$12)," ")</f>
        <v xml:space="preserve"> </v>
      </c>
      <c r="W1915" s="28"/>
      <c r="X1915" s="28"/>
      <c r="Y1915" s="255" t="str">
        <f>IF(W1915="","",(_xlfn.XLOOKUP(W1915,Cadastros!$D$6:$D$90,Cadastros!$E$6:$E$90))*(1-_xlfn.XLOOKUP(_xlfn.XLOOKUP($F1915,Clientes!$B$4:$B$39,Clientes!$C$4:$C$39),Cadastros!$L$6:$L$12,Cadastros!$N$6:$N$12)))</f>
        <v/>
      </c>
      <c r="Z1915" s="168" t="str">
        <f t="shared" si="381"/>
        <v/>
      </c>
      <c r="AA1915" s="168" t="str">
        <f>IFERROR(Z1915/_xlfn.XLOOKUP(_xlfn.XLOOKUP($F1915,Clientes!$B$4:$B$39,Clientes!$C$4:$C$39),Cadastros!$L$6:$L$12,Cadastros!$M$6:$M$12)," ")</f>
        <v xml:space="preserve"> </v>
      </c>
      <c r="AB1915" s="28"/>
      <c r="AC1915" s="28"/>
      <c r="AD1915" s="20" t="str">
        <f>IF(AB1915="","",IF($F1915="Bernardino Furlan",_xlfn.XLOOKUP(AB1915,Cadastros!$G$6:$G$90,Cadastros!$H$6:$H$90)*(1-0.18),IF($F1915="Mauro José Salanti",_xlfn.XLOOKUP(AB1915,Cadastros!$G$6:$G$90,Cadastros!$H$6:$H$90)*(1-0.18),_xlfn.XLOOKUP(AB1915,Cadastros!$G$6:$G$90,Cadastros!$H$6:$H$90))))</f>
        <v/>
      </c>
      <c r="AE1915" s="168" t="str">
        <f t="shared" si="382"/>
        <v/>
      </c>
      <c r="AF1915" s="168" t="str">
        <f t="shared" si="383"/>
        <v/>
      </c>
      <c r="AG1915" s="28"/>
      <c r="AH1915" s="28"/>
      <c r="AI1915" s="20" t="str">
        <f>IF(AG1915="","",IF($F1915="Bernardino Furlan",_xlfn.XLOOKUP(AG1915,Cadastros!$G$6:$G$90,Cadastros!$H$6:$H$90)*(1-0.18),IF($F1915="Mauro José Salanti",_xlfn.XLOOKUP(AG1915,Cadastros!$G$6:$G$90,Cadastros!$H$6:$H$90)*(1-0.18),_xlfn.XLOOKUP(AG1915,Cadastros!$G$6:$G$90,Cadastros!$H$6:$H$90))))</f>
        <v/>
      </c>
      <c r="AJ1915" s="168" t="str">
        <f t="shared" si="384"/>
        <v/>
      </c>
      <c r="AK1915" s="168" t="str">
        <f t="shared" si="385"/>
        <v/>
      </c>
      <c r="AL1915" s="28"/>
      <c r="AM1915" s="28"/>
      <c r="AN1915" s="20" t="str">
        <f>IF(AL1915="","",IF($F1915="Bernardino Furlan",_xlfn.XLOOKUP(AL1915,Cadastros!$G$6:$G$90,Cadastros!$H$6:$H$90)*(1-0.18),IF($F1915="Mauro José Salanti",_xlfn.XLOOKUP(AL1915,Cadastros!$G$6:$G$90,Cadastros!$H$6:$H$90)*(1-0.18),_xlfn.XLOOKUP(AL1915,Cadastros!$G$6:$G$90,Cadastros!$H$6:$H$90))))</f>
        <v/>
      </c>
      <c r="AO1915" s="168" t="str">
        <f t="shared" si="386"/>
        <v/>
      </c>
      <c r="AP1915" s="168" t="str">
        <f t="shared" si="387"/>
        <v/>
      </c>
      <c r="AQ1915" s="28"/>
      <c r="AR1915" s="28"/>
      <c r="AS1915" s="20" t="str">
        <f>IF(AQ1915="","",IF($F1915="Bernardino Furlan",_xlfn.XLOOKUP(AQ1915,Cadastros!$G$6:$G$90,Cadastros!$H$6:$H$90)*(1-0.18),IF($F1915="Mauro José Salanti",_xlfn.XLOOKUP(AQ1915,Cadastros!$G$6:$G$90,Cadastros!$H$6:$H$90)*(1-0.18),_xlfn.XLOOKUP(AQ1915,Cadastros!$G$6:$G$90,Cadastros!$H$6:$H$90))))</f>
        <v/>
      </c>
      <c r="AT1915" s="168" t="str">
        <f t="shared" si="388"/>
        <v/>
      </c>
      <c r="AU1915" s="168" t="str">
        <f t="shared" si="389"/>
        <v/>
      </c>
      <c r="AV1915" s="227"/>
      <c r="AW1915" s="30"/>
      <c r="AX1915" s="267"/>
      <c r="AY1915" s="267"/>
      <c r="AZ1915" s="29"/>
      <c r="BA1915" s="30"/>
      <c r="BB1915" s="23" t="str" cm="1">
        <f t="array" ref="BB1915">_xlfn.IFS(AW1915="SIM",SUM(K1915,P1915,U1915,Z1915,AE1915,AJ1915,AO1915,AT1915,AX1915,AY1915),F1915&lt;&gt;"",SUM(K1915,P1915,U1915,Z1915,AE1915,AJ1915,,AO1915,AT1915),F1915="","")</f>
        <v/>
      </c>
      <c r="BC1915" s="211" t="str" cm="1">
        <f t="array" ref="BC1915">_xlfn.IFS(E1915="","",G1915&lt;=E1915,BB1915*(1-0.03),G1915&lt;(E1915+8),BB1915,AZ1915="Boleto",BB1915*(1+0.001)^DATEDIF(E1915,G1915,"D"),AZ1915="Cheque",BB1915,AZ1915="Dinheiro","Alterar forma pgto")</f>
        <v/>
      </c>
      <c r="BD1915" s="276" t="str" cm="1">
        <f t="array" ref="BD1915">IF(F1915=0," ",IF(BC1915&lt;BB1915,(_xlfn.IFS(AW1915="SIM",SUM(L1915,Q1915,V1915,AA1915,AF1915,AK1915,AP1915,AU1915)+AX1915/_xlfn.XLOOKUP(_xlfn.XLOOKUP($F1915,Clientes!$B$4:$B$39,Clientes!$C$4:$C$39),Cadastros!$L$6:$L$12,Cadastros!$M$6:$M$12)+IF($F1915="Bernardino Furlan",AY1915/2751.92,IF($F1915="Mauro José Salanti",AY1915/2751.92,AY1915/3356)),F1915&lt;&gt;0,SUM(L1915,Q1915,V1915,AA1915,AF1915,AK1915,AP1915,AU1915)))*(1-0.03),_xlfn.IFS(AW1915="SIM",SUM(L1915,Q1915,V1915,AA1915,AF1915,AK1915,AP1915,AU1915)+AX1915/_xlfn.XLOOKUP(_xlfn.XLOOKUP($F1915,Clientes!$B$4:$B$39,Clientes!$C$4:$C$39),Cadastros!$L$6:$L$12,Cadastros!$M$6:$M$12)+IF($F1915="Bernardino Furlan",AY1915/2751.92,IF($F1915="Mauro José Salanti",AY1915/2751.92,AY1915/3356)),F1915&lt;&gt;0,SUM(L1915,Q1915,V1915,AA1915,AF1915,AK1915,AP1915,AU1915))))</f>
        <v xml:space="preserve"> </v>
      </c>
      <c r="BE1915" s="120"/>
      <c r="BF1915" s="120"/>
      <c r="BG1915" s="120"/>
    </row>
    <row r="1916" spans="1:59" s="3" customFormat="1" x14ac:dyDescent="0.3">
      <c r="A1916" s="15" t="str">
        <f t="shared" si="377"/>
        <v/>
      </c>
      <c r="B1916" s="25"/>
      <c r="C1916" s="26"/>
      <c r="D1916" s="279"/>
      <c r="E1916" s="27"/>
      <c r="F1916" s="28"/>
      <c r="G1916" s="27"/>
      <c r="H1916" s="28"/>
      <c r="I1916" s="28"/>
      <c r="J1916" s="255" t="str">
        <f>IF(H1916="","",(_xlfn.XLOOKUP(H1916,Cadastros!$D$6:$D$90,Cadastros!$E$6:$E$90))*(1-_xlfn.XLOOKUP(_xlfn.XLOOKUP($F1916,Clientes!$B$4:$B$39,Clientes!$C$4:$C$39),Cadastros!$L$6:$L$12,Cadastros!$N$6:$N$12)))</f>
        <v/>
      </c>
      <c r="K1916" s="168" t="str">
        <f t="shared" si="378"/>
        <v/>
      </c>
      <c r="L1916" s="168" t="str">
        <f>IFERROR(K1916/_xlfn.XLOOKUP(_xlfn.XLOOKUP($F1916,Clientes!$B$4:$B$39,Clientes!$C$4:$C$39),Cadastros!$L$6:$L$12,Cadastros!$M$6:$M$12)," ")</f>
        <v xml:space="preserve"> </v>
      </c>
      <c r="M1916" s="28"/>
      <c r="N1916" s="28"/>
      <c r="O1916" s="255" t="str">
        <f>IF(M1916="","",(_xlfn.XLOOKUP(M1916,Cadastros!$D$6:$D$90,Cadastros!$E$6:$E$90))*(1-_xlfn.XLOOKUP(_xlfn.XLOOKUP($F1916,Clientes!$B$4:$B$39,Clientes!$C$4:$C$39),Cadastros!$L$6:$L$12,Cadastros!$N$6:$N$12)))</f>
        <v/>
      </c>
      <c r="P1916" s="168" t="str">
        <f t="shared" si="379"/>
        <v/>
      </c>
      <c r="Q1916" s="168" t="str">
        <f>IFERROR(P1916/_xlfn.XLOOKUP(_xlfn.XLOOKUP($F1916,Clientes!$B$4:$B$39,Clientes!$C$4:$C$39),Cadastros!$L$6:$L$12,Cadastros!$M$6:$M$12)," ")</f>
        <v xml:space="preserve"> </v>
      </c>
      <c r="R1916" s="28"/>
      <c r="S1916" s="28"/>
      <c r="T1916" s="255" t="str">
        <f>IF(R1916="","",(_xlfn.XLOOKUP(R1916,Cadastros!$D$6:$D$90,Cadastros!$E$6:$E$90))*(1-_xlfn.XLOOKUP(_xlfn.XLOOKUP($F1916,Clientes!$B$4:$B$39,Clientes!$C$4:$C$39),Cadastros!$L$6:$L$12,Cadastros!$N$6:$N$12)))</f>
        <v/>
      </c>
      <c r="U1916" s="168" t="str">
        <f t="shared" si="380"/>
        <v/>
      </c>
      <c r="V1916" s="168" t="str">
        <f>IFERROR(U1916/_xlfn.XLOOKUP(_xlfn.XLOOKUP($F1916,Clientes!$B$4:$B$39,Clientes!$C$4:$C$39),Cadastros!$L$6:$L$12,Cadastros!$M$6:$M$12)," ")</f>
        <v xml:space="preserve"> </v>
      </c>
      <c r="W1916" s="28"/>
      <c r="X1916" s="28"/>
      <c r="Y1916" s="255" t="str">
        <f>IF(W1916="","",(_xlfn.XLOOKUP(W1916,Cadastros!$D$6:$D$90,Cadastros!$E$6:$E$90))*(1-_xlfn.XLOOKUP(_xlfn.XLOOKUP($F1916,Clientes!$B$4:$B$39,Clientes!$C$4:$C$39),Cadastros!$L$6:$L$12,Cadastros!$N$6:$N$12)))</f>
        <v/>
      </c>
      <c r="Z1916" s="168" t="str">
        <f t="shared" si="381"/>
        <v/>
      </c>
      <c r="AA1916" s="168" t="str">
        <f>IFERROR(Z1916/_xlfn.XLOOKUP(_xlfn.XLOOKUP($F1916,Clientes!$B$4:$B$39,Clientes!$C$4:$C$39),Cadastros!$L$6:$L$12,Cadastros!$M$6:$M$12)," ")</f>
        <v xml:space="preserve"> </v>
      </c>
      <c r="AB1916" s="28"/>
      <c r="AC1916" s="28"/>
      <c r="AD1916" s="20" t="str">
        <f>IF(AB1916="","",IF($F1916="Bernardino Furlan",_xlfn.XLOOKUP(AB1916,Cadastros!$G$6:$G$90,Cadastros!$H$6:$H$90)*(1-0.18),IF($F1916="Mauro José Salanti",_xlfn.XLOOKUP(AB1916,Cadastros!$G$6:$G$90,Cadastros!$H$6:$H$90)*(1-0.18),_xlfn.XLOOKUP(AB1916,Cadastros!$G$6:$G$90,Cadastros!$H$6:$H$90))))</f>
        <v/>
      </c>
      <c r="AE1916" s="168" t="str">
        <f t="shared" si="382"/>
        <v/>
      </c>
      <c r="AF1916" s="168" t="str">
        <f t="shared" si="383"/>
        <v/>
      </c>
      <c r="AG1916" s="28"/>
      <c r="AH1916" s="28"/>
      <c r="AI1916" s="20" t="str">
        <f>IF(AG1916="","",IF($F1916="Bernardino Furlan",_xlfn.XLOOKUP(AG1916,Cadastros!$G$6:$G$90,Cadastros!$H$6:$H$90)*(1-0.18),IF($F1916="Mauro José Salanti",_xlfn.XLOOKUP(AG1916,Cadastros!$G$6:$G$90,Cadastros!$H$6:$H$90)*(1-0.18),_xlfn.XLOOKUP(AG1916,Cadastros!$G$6:$G$90,Cadastros!$H$6:$H$90))))</f>
        <v/>
      </c>
      <c r="AJ1916" s="168" t="str">
        <f t="shared" si="384"/>
        <v/>
      </c>
      <c r="AK1916" s="168" t="str">
        <f t="shared" si="385"/>
        <v/>
      </c>
      <c r="AL1916" s="28"/>
      <c r="AM1916" s="28"/>
      <c r="AN1916" s="20" t="str">
        <f>IF(AL1916="","",IF($F1916="Bernardino Furlan",_xlfn.XLOOKUP(AL1916,Cadastros!$G$6:$G$90,Cadastros!$H$6:$H$90)*(1-0.18),IF($F1916="Mauro José Salanti",_xlfn.XLOOKUP(AL1916,Cadastros!$G$6:$G$90,Cadastros!$H$6:$H$90)*(1-0.18),_xlfn.XLOOKUP(AL1916,Cadastros!$G$6:$G$90,Cadastros!$H$6:$H$90))))</f>
        <v/>
      </c>
      <c r="AO1916" s="168" t="str">
        <f t="shared" si="386"/>
        <v/>
      </c>
      <c r="AP1916" s="168" t="str">
        <f t="shared" si="387"/>
        <v/>
      </c>
      <c r="AQ1916" s="28"/>
      <c r="AR1916" s="28"/>
      <c r="AS1916" s="20" t="str">
        <f>IF(AQ1916="","",IF($F1916="Bernardino Furlan",_xlfn.XLOOKUP(AQ1916,Cadastros!$G$6:$G$90,Cadastros!$H$6:$H$90)*(1-0.18),IF($F1916="Mauro José Salanti",_xlfn.XLOOKUP(AQ1916,Cadastros!$G$6:$G$90,Cadastros!$H$6:$H$90)*(1-0.18),_xlfn.XLOOKUP(AQ1916,Cadastros!$G$6:$G$90,Cadastros!$H$6:$H$90))))</f>
        <v/>
      </c>
      <c r="AT1916" s="168" t="str">
        <f t="shared" si="388"/>
        <v/>
      </c>
      <c r="AU1916" s="168" t="str">
        <f t="shared" si="389"/>
        <v/>
      </c>
      <c r="AV1916" s="227"/>
      <c r="AW1916" s="30"/>
      <c r="AX1916" s="267"/>
      <c r="AY1916" s="267"/>
      <c r="AZ1916" s="29"/>
      <c r="BA1916" s="30"/>
      <c r="BB1916" s="23" t="str" cm="1">
        <f t="array" ref="BB1916">_xlfn.IFS(AW1916="SIM",SUM(K1916,P1916,U1916,Z1916,AE1916,AJ1916,AO1916,AT1916,AX1916,AY1916),F1916&lt;&gt;"",SUM(K1916,P1916,U1916,Z1916,AE1916,AJ1916,,AO1916,AT1916),F1916="","")</f>
        <v/>
      </c>
      <c r="BC1916" s="211" t="str" cm="1">
        <f t="array" ref="BC1916">_xlfn.IFS(E1916="","",G1916&lt;=E1916,BB1916*(1-0.03),G1916&lt;(E1916+8),BB1916,AZ1916="Boleto",BB1916*(1+0.001)^DATEDIF(E1916,G1916,"D"),AZ1916="Cheque",BB1916,AZ1916="Dinheiro","Alterar forma pgto")</f>
        <v/>
      </c>
      <c r="BD1916" s="276" t="str" cm="1">
        <f t="array" ref="BD1916">IF(F1916=0," ",IF(BC1916&lt;BB1916,(_xlfn.IFS(AW1916="SIM",SUM(L1916,Q1916,V1916,AA1916,AF1916,AK1916,AP1916,AU1916)+AX1916/_xlfn.XLOOKUP(_xlfn.XLOOKUP($F1916,Clientes!$B$4:$B$39,Clientes!$C$4:$C$39),Cadastros!$L$6:$L$12,Cadastros!$M$6:$M$12)+IF($F1916="Bernardino Furlan",AY1916/2751.92,IF($F1916="Mauro José Salanti",AY1916/2751.92,AY1916/3356)),F1916&lt;&gt;0,SUM(L1916,Q1916,V1916,AA1916,AF1916,AK1916,AP1916,AU1916)))*(1-0.03),_xlfn.IFS(AW1916="SIM",SUM(L1916,Q1916,V1916,AA1916,AF1916,AK1916,AP1916,AU1916)+AX1916/_xlfn.XLOOKUP(_xlfn.XLOOKUP($F1916,Clientes!$B$4:$B$39,Clientes!$C$4:$C$39),Cadastros!$L$6:$L$12,Cadastros!$M$6:$M$12)+IF($F1916="Bernardino Furlan",AY1916/2751.92,IF($F1916="Mauro José Salanti",AY1916/2751.92,AY1916/3356)),F1916&lt;&gt;0,SUM(L1916,Q1916,V1916,AA1916,AF1916,AK1916,AP1916,AU1916))))</f>
        <v xml:space="preserve"> </v>
      </c>
      <c r="BE1916" s="120"/>
      <c r="BF1916" s="120"/>
      <c r="BG1916" s="120"/>
    </row>
    <row r="1917" spans="1:59" s="3" customFormat="1" x14ac:dyDescent="0.3">
      <c r="A1917" s="15" t="str">
        <f t="shared" si="377"/>
        <v/>
      </c>
      <c r="B1917" s="25"/>
      <c r="C1917" s="26"/>
      <c r="D1917" s="279"/>
      <c r="E1917" s="27"/>
      <c r="F1917" s="28"/>
      <c r="G1917" s="27"/>
      <c r="H1917" s="28"/>
      <c r="I1917" s="28"/>
      <c r="J1917" s="255" t="str">
        <f>IF(H1917="","",(_xlfn.XLOOKUP(H1917,Cadastros!$D$6:$D$90,Cadastros!$E$6:$E$90))*(1-_xlfn.XLOOKUP(_xlfn.XLOOKUP($F1917,Clientes!$B$4:$B$39,Clientes!$C$4:$C$39),Cadastros!$L$6:$L$12,Cadastros!$N$6:$N$12)))</f>
        <v/>
      </c>
      <c r="K1917" s="168" t="str">
        <f t="shared" si="378"/>
        <v/>
      </c>
      <c r="L1917" s="168" t="str">
        <f>IFERROR(K1917/_xlfn.XLOOKUP(_xlfn.XLOOKUP($F1917,Clientes!$B$4:$B$39,Clientes!$C$4:$C$39),Cadastros!$L$6:$L$12,Cadastros!$M$6:$M$12)," ")</f>
        <v xml:space="preserve"> </v>
      </c>
      <c r="M1917" s="28"/>
      <c r="N1917" s="28"/>
      <c r="O1917" s="255" t="str">
        <f>IF(M1917="","",(_xlfn.XLOOKUP(M1917,Cadastros!$D$6:$D$90,Cadastros!$E$6:$E$90))*(1-_xlfn.XLOOKUP(_xlfn.XLOOKUP($F1917,Clientes!$B$4:$B$39,Clientes!$C$4:$C$39),Cadastros!$L$6:$L$12,Cadastros!$N$6:$N$12)))</f>
        <v/>
      </c>
      <c r="P1917" s="168" t="str">
        <f t="shared" si="379"/>
        <v/>
      </c>
      <c r="Q1917" s="168" t="str">
        <f>IFERROR(P1917/_xlfn.XLOOKUP(_xlfn.XLOOKUP($F1917,Clientes!$B$4:$B$39,Clientes!$C$4:$C$39),Cadastros!$L$6:$L$12,Cadastros!$M$6:$M$12)," ")</f>
        <v xml:space="preserve"> </v>
      </c>
      <c r="R1917" s="28"/>
      <c r="S1917" s="28"/>
      <c r="T1917" s="255" t="str">
        <f>IF(R1917="","",(_xlfn.XLOOKUP(R1917,Cadastros!$D$6:$D$90,Cadastros!$E$6:$E$90))*(1-_xlfn.XLOOKUP(_xlfn.XLOOKUP($F1917,Clientes!$B$4:$B$39,Clientes!$C$4:$C$39),Cadastros!$L$6:$L$12,Cadastros!$N$6:$N$12)))</f>
        <v/>
      </c>
      <c r="U1917" s="168" t="str">
        <f t="shared" si="380"/>
        <v/>
      </c>
      <c r="V1917" s="168" t="str">
        <f>IFERROR(U1917/_xlfn.XLOOKUP(_xlfn.XLOOKUP($F1917,Clientes!$B$4:$B$39,Clientes!$C$4:$C$39),Cadastros!$L$6:$L$12,Cadastros!$M$6:$M$12)," ")</f>
        <v xml:space="preserve"> </v>
      </c>
      <c r="W1917" s="28"/>
      <c r="X1917" s="28"/>
      <c r="Y1917" s="255" t="str">
        <f>IF(W1917="","",(_xlfn.XLOOKUP(W1917,Cadastros!$D$6:$D$90,Cadastros!$E$6:$E$90))*(1-_xlfn.XLOOKUP(_xlfn.XLOOKUP($F1917,Clientes!$B$4:$B$39,Clientes!$C$4:$C$39),Cadastros!$L$6:$L$12,Cadastros!$N$6:$N$12)))</f>
        <v/>
      </c>
      <c r="Z1917" s="168" t="str">
        <f t="shared" si="381"/>
        <v/>
      </c>
      <c r="AA1917" s="168" t="str">
        <f>IFERROR(Z1917/_xlfn.XLOOKUP(_xlfn.XLOOKUP($F1917,Clientes!$B$4:$B$39,Clientes!$C$4:$C$39),Cadastros!$L$6:$L$12,Cadastros!$M$6:$M$12)," ")</f>
        <v xml:space="preserve"> </v>
      </c>
      <c r="AB1917" s="28"/>
      <c r="AC1917" s="28"/>
      <c r="AD1917" s="20" t="str">
        <f>IF(AB1917="","",IF($F1917="Bernardino Furlan",_xlfn.XLOOKUP(AB1917,Cadastros!$G$6:$G$90,Cadastros!$H$6:$H$90)*(1-0.18),IF($F1917="Mauro José Salanti",_xlfn.XLOOKUP(AB1917,Cadastros!$G$6:$G$90,Cadastros!$H$6:$H$90)*(1-0.18),_xlfn.XLOOKUP(AB1917,Cadastros!$G$6:$G$90,Cadastros!$H$6:$H$90))))</f>
        <v/>
      </c>
      <c r="AE1917" s="168" t="str">
        <f t="shared" si="382"/>
        <v/>
      </c>
      <c r="AF1917" s="168" t="str">
        <f t="shared" si="383"/>
        <v/>
      </c>
      <c r="AG1917" s="28"/>
      <c r="AH1917" s="28"/>
      <c r="AI1917" s="20" t="str">
        <f>IF(AG1917="","",IF($F1917="Bernardino Furlan",_xlfn.XLOOKUP(AG1917,Cadastros!$G$6:$G$90,Cadastros!$H$6:$H$90)*(1-0.18),IF($F1917="Mauro José Salanti",_xlfn.XLOOKUP(AG1917,Cadastros!$G$6:$G$90,Cadastros!$H$6:$H$90)*(1-0.18),_xlfn.XLOOKUP(AG1917,Cadastros!$G$6:$G$90,Cadastros!$H$6:$H$90))))</f>
        <v/>
      </c>
      <c r="AJ1917" s="168" t="str">
        <f t="shared" si="384"/>
        <v/>
      </c>
      <c r="AK1917" s="168" t="str">
        <f t="shared" si="385"/>
        <v/>
      </c>
      <c r="AL1917" s="28"/>
      <c r="AM1917" s="28"/>
      <c r="AN1917" s="20" t="str">
        <f>IF(AL1917="","",IF($F1917="Bernardino Furlan",_xlfn.XLOOKUP(AL1917,Cadastros!$G$6:$G$90,Cadastros!$H$6:$H$90)*(1-0.18),IF($F1917="Mauro José Salanti",_xlfn.XLOOKUP(AL1917,Cadastros!$G$6:$G$90,Cadastros!$H$6:$H$90)*(1-0.18),_xlfn.XLOOKUP(AL1917,Cadastros!$G$6:$G$90,Cadastros!$H$6:$H$90))))</f>
        <v/>
      </c>
      <c r="AO1917" s="168" t="str">
        <f t="shared" si="386"/>
        <v/>
      </c>
      <c r="AP1917" s="168" t="str">
        <f t="shared" si="387"/>
        <v/>
      </c>
      <c r="AQ1917" s="28"/>
      <c r="AR1917" s="28"/>
      <c r="AS1917" s="20" t="str">
        <f>IF(AQ1917="","",IF($F1917="Bernardino Furlan",_xlfn.XLOOKUP(AQ1917,Cadastros!$G$6:$G$90,Cadastros!$H$6:$H$90)*(1-0.18),IF($F1917="Mauro José Salanti",_xlfn.XLOOKUP(AQ1917,Cadastros!$G$6:$G$90,Cadastros!$H$6:$H$90)*(1-0.18),_xlfn.XLOOKUP(AQ1917,Cadastros!$G$6:$G$90,Cadastros!$H$6:$H$90))))</f>
        <v/>
      </c>
      <c r="AT1917" s="168" t="str">
        <f t="shared" si="388"/>
        <v/>
      </c>
      <c r="AU1917" s="168" t="str">
        <f t="shared" si="389"/>
        <v/>
      </c>
      <c r="AV1917" s="227"/>
      <c r="AW1917" s="30"/>
      <c r="AX1917" s="267"/>
      <c r="AY1917" s="267"/>
      <c r="AZ1917" s="29"/>
      <c r="BA1917" s="30"/>
      <c r="BB1917" s="23" t="str" cm="1">
        <f t="array" ref="BB1917">_xlfn.IFS(AW1917="SIM",SUM(K1917,P1917,U1917,Z1917,AE1917,AJ1917,AO1917,AT1917,AX1917,AY1917),F1917&lt;&gt;"",SUM(K1917,P1917,U1917,Z1917,AE1917,AJ1917,,AO1917,AT1917),F1917="","")</f>
        <v/>
      </c>
      <c r="BC1917" s="211" t="str" cm="1">
        <f t="array" ref="BC1917">_xlfn.IFS(E1917="","",G1917&lt;=E1917,BB1917*(1-0.03),G1917&lt;(E1917+8),BB1917,AZ1917="Boleto",BB1917*(1+0.001)^DATEDIF(E1917,G1917,"D"),AZ1917="Cheque",BB1917,AZ1917="Dinheiro","Alterar forma pgto")</f>
        <v/>
      </c>
      <c r="BD1917" s="276" t="str" cm="1">
        <f t="array" ref="BD1917">IF(F1917=0," ",IF(BC1917&lt;BB1917,(_xlfn.IFS(AW1917="SIM",SUM(L1917,Q1917,V1917,AA1917,AF1917,AK1917,AP1917,AU1917)+AX1917/_xlfn.XLOOKUP(_xlfn.XLOOKUP($F1917,Clientes!$B$4:$B$39,Clientes!$C$4:$C$39),Cadastros!$L$6:$L$12,Cadastros!$M$6:$M$12)+IF($F1917="Bernardino Furlan",AY1917/2751.92,IF($F1917="Mauro José Salanti",AY1917/2751.92,AY1917/3356)),F1917&lt;&gt;0,SUM(L1917,Q1917,V1917,AA1917,AF1917,AK1917,AP1917,AU1917)))*(1-0.03),_xlfn.IFS(AW1917="SIM",SUM(L1917,Q1917,V1917,AA1917,AF1917,AK1917,AP1917,AU1917)+AX1917/_xlfn.XLOOKUP(_xlfn.XLOOKUP($F1917,Clientes!$B$4:$B$39,Clientes!$C$4:$C$39),Cadastros!$L$6:$L$12,Cadastros!$M$6:$M$12)+IF($F1917="Bernardino Furlan",AY1917/2751.92,IF($F1917="Mauro José Salanti",AY1917/2751.92,AY1917/3356)),F1917&lt;&gt;0,SUM(L1917,Q1917,V1917,AA1917,AF1917,AK1917,AP1917,AU1917))))</f>
        <v xml:space="preserve"> </v>
      </c>
      <c r="BE1917" s="120"/>
      <c r="BF1917" s="120"/>
      <c r="BG1917" s="120"/>
    </row>
    <row r="1918" spans="1:59" s="3" customFormat="1" x14ac:dyDescent="0.3">
      <c r="A1918" s="15" t="str">
        <f t="shared" si="377"/>
        <v/>
      </c>
      <c r="B1918" s="25"/>
      <c r="C1918" s="26"/>
      <c r="D1918" s="279"/>
      <c r="E1918" s="27"/>
      <c r="F1918" s="28"/>
      <c r="G1918" s="27"/>
      <c r="H1918" s="28"/>
      <c r="I1918" s="28"/>
      <c r="J1918" s="255" t="str">
        <f>IF(H1918="","",(_xlfn.XLOOKUP(H1918,Cadastros!$D$6:$D$90,Cadastros!$E$6:$E$90))*(1-_xlfn.XLOOKUP(_xlfn.XLOOKUP($F1918,Clientes!$B$4:$B$39,Clientes!$C$4:$C$39),Cadastros!$L$6:$L$12,Cadastros!$N$6:$N$12)))</f>
        <v/>
      </c>
      <c r="K1918" s="168" t="str">
        <f t="shared" si="378"/>
        <v/>
      </c>
      <c r="L1918" s="168" t="str">
        <f>IFERROR(K1918/_xlfn.XLOOKUP(_xlfn.XLOOKUP($F1918,Clientes!$B$4:$B$39,Clientes!$C$4:$C$39),Cadastros!$L$6:$L$12,Cadastros!$M$6:$M$12)," ")</f>
        <v xml:space="preserve"> </v>
      </c>
      <c r="M1918" s="28"/>
      <c r="N1918" s="28"/>
      <c r="O1918" s="255" t="str">
        <f>IF(M1918="","",(_xlfn.XLOOKUP(M1918,Cadastros!$D$6:$D$90,Cadastros!$E$6:$E$90))*(1-_xlfn.XLOOKUP(_xlfn.XLOOKUP($F1918,Clientes!$B$4:$B$39,Clientes!$C$4:$C$39),Cadastros!$L$6:$L$12,Cadastros!$N$6:$N$12)))</f>
        <v/>
      </c>
      <c r="P1918" s="168" t="str">
        <f t="shared" si="379"/>
        <v/>
      </c>
      <c r="Q1918" s="168" t="str">
        <f>IFERROR(P1918/_xlfn.XLOOKUP(_xlfn.XLOOKUP($F1918,Clientes!$B$4:$B$39,Clientes!$C$4:$C$39),Cadastros!$L$6:$L$12,Cadastros!$M$6:$M$12)," ")</f>
        <v xml:space="preserve"> </v>
      </c>
      <c r="R1918" s="28"/>
      <c r="S1918" s="28"/>
      <c r="T1918" s="255" t="str">
        <f>IF(R1918="","",(_xlfn.XLOOKUP(R1918,Cadastros!$D$6:$D$90,Cadastros!$E$6:$E$90))*(1-_xlfn.XLOOKUP(_xlfn.XLOOKUP($F1918,Clientes!$B$4:$B$39,Clientes!$C$4:$C$39),Cadastros!$L$6:$L$12,Cadastros!$N$6:$N$12)))</f>
        <v/>
      </c>
      <c r="U1918" s="168" t="str">
        <f t="shared" si="380"/>
        <v/>
      </c>
      <c r="V1918" s="168" t="str">
        <f>IFERROR(U1918/_xlfn.XLOOKUP(_xlfn.XLOOKUP($F1918,Clientes!$B$4:$B$39,Clientes!$C$4:$C$39),Cadastros!$L$6:$L$12,Cadastros!$M$6:$M$12)," ")</f>
        <v xml:space="preserve"> </v>
      </c>
      <c r="W1918" s="28"/>
      <c r="X1918" s="28"/>
      <c r="Y1918" s="255" t="str">
        <f>IF(W1918="","",(_xlfn.XLOOKUP(W1918,Cadastros!$D$6:$D$90,Cadastros!$E$6:$E$90))*(1-_xlfn.XLOOKUP(_xlfn.XLOOKUP($F1918,Clientes!$B$4:$B$39,Clientes!$C$4:$C$39),Cadastros!$L$6:$L$12,Cadastros!$N$6:$N$12)))</f>
        <v/>
      </c>
      <c r="Z1918" s="168" t="str">
        <f t="shared" si="381"/>
        <v/>
      </c>
      <c r="AA1918" s="168" t="str">
        <f>IFERROR(Z1918/_xlfn.XLOOKUP(_xlfn.XLOOKUP($F1918,Clientes!$B$4:$B$39,Clientes!$C$4:$C$39),Cadastros!$L$6:$L$12,Cadastros!$M$6:$M$12)," ")</f>
        <v xml:space="preserve"> </v>
      </c>
      <c r="AB1918" s="28"/>
      <c r="AC1918" s="28"/>
      <c r="AD1918" s="20" t="str">
        <f>IF(AB1918="","",IF($F1918="Bernardino Furlan",_xlfn.XLOOKUP(AB1918,Cadastros!$G$6:$G$90,Cadastros!$H$6:$H$90)*(1-0.18),IF($F1918="Mauro José Salanti",_xlfn.XLOOKUP(AB1918,Cadastros!$G$6:$G$90,Cadastros!$H$6:$H$90)*(1-0.18),_xlfn.XLOOKUP(AB1918,Cadastros!$G$6:$G$90,Cadastros!$H$6:$H$90))))</f>
        <v/>
      </c>
      <c r="AE1918" s="168" t="str">
        <f t="shared" si="382"/>
        <v/>
      </c>
      <c r="AF1918" s="168" t="str">
        <f t="shared" si="383"/>
        <v/>
      </c>
      <c r="AG1918" s="28"/>
      <c r="AH1918" s="28"/>
      <c r="AI1918" s="20" t="str">
        <f>IF(AG1918="","",IF($F1918="Bernardino Furlan",_xlfn.XLOOKUP(AG1918,Cadastros!$G$6:$G$90,Cadastros!$H$6:$H$90)*(1-0.18),IF($F1918="Mauro José Salanti",_xlfn.XLOOKUP(AG1918,Cadastros!$G$6:$G$90,Cadastros!$H$6:$H$90)*(1-0.18),_xlfn.XLOOKUP(AG1918,Cadastros!$G$6:$G$90,Cadastros!$H$6:$H$90))))</f>
        <v/>
      </c>
      <c r="AJ1918" s="168" t="str">
        <f t="shared" si="384"/>
        <v/>
      </c>
      <c r="AK1918" s="168" t="str">
        <f t="shared" si="385"/>
        <v/>
      </c>
      <c r="AL1918" s="28"/>
      <c r="AM1918" s="28"/>
      <c r="AN1918" s="20" t="str">
        <f>IF(AL1918="","",IF($F1918="Bernardino Furlan",_xlfn.XLOOKUP(AL1918,Cadastros!$G$6:$G$90,Cadastros!$H$6:$H$90)*(1-0.18),IF($F1918="Mauro José Salanti",_xlfn.XLOOKUP(AL1918,Cadastros!$G$6:$G$90,Cadastros!$H$6:$H$90)*(1-0.18),_xlfn.XLOOKUP(AL1918,Cadastros!$G$6:$G$90,Cadastros!$H$6:$H$90))))</f>
        <v/>
      </c>
      <c r="AO1918" s="168" t="str">
        <f t="shared" si="386"/>
        <v/>
      </c>
      <c r="AP1918" s="168" t="str">
        <f t="shared" si="387"/>
        <v/>
      </c>
      <c r="AQ1918" s="28"/>
      <c r="AR1918" s="28"/>
      <c r="AS1918" s="20" t="str">
        <f>IF(AQ1918="","",IF($F1918="Bernardino Furlan",_xlfn.XLOOKUP(AQ1918,Cadastros!$G$6:$G$90,Cadastros!$H$6:$H$90)*(1-0.18),IF($F1918="Mauro José Salanti",_xlfn.XLOOKUP(AQ1918,Cadastros!$G$6:$G$90,Cadastros!$H$6:$H$90)*(1-0.18),_xlfn.XLOOKUP(AQ1918,Cadastros!$G$6:$G$90,Cadastros!$H$6:$H$90))))</f>
        <v/>
      </c>
      <c r="AT1918" s="168" t="str">
        <f t="shared" si="388"/>
        <v/>
      </c>
      <c r="AU1918" s="168" t="str">
        <f t="shared" si="389"/>
        <v/>
      </c>
      <c r="AV1918" s="227"/>
      <c r="AW1918" s="30"/>
      <c r="AX1918" s="267"/>
      <c r="AY1918" s="267"/>
      <c r="AZ1918" s="29"/>
      <c r="BA1918" s="30"/>
      <c r="BB1918" s="23" t="str" cm="1">
        <f t="array" ref="BB1918">_xlfn.IFS(AW1918="SIM",SUM(K1918,P1918,U1918,Z1918,AE1918,AJ1918,AO1918,AT1918,AX1918,AY1918),F1918&lt;&gt;"",SUM(K1918,P1918,U1918,Z1918,AE1918,AJ1918,,AO1918,AT1918),F1918="","")</f>
        <v/>
      </c>
      <c r="BC1918" s="211" t="str" cm="1">
        <f t="array" ref="BC1918">_xlfn.IFS(E1918="","",G1918&lt;=E1918,BB1918*(1-0.03),G1918&lt;(E1918+8),BB1918,AZ1918="Boleto",BB1918*(1+0.001)^DATEDIF(E1918,G1918,"D"),AZ1918="Cheque",BB1918,AZ1918="Dinheiro","Alterar forma pgto")</f>
        <v/>
      </c>
      <c r="BD1918" s="276" t="str" cm="1">
        <f t="array" ref="BD1918">IF(F1918=0," ",IF(BC1918&lt;BB1918,(_xlfn.IFS(AW1918="SIM",SUM(L1918,Q1918,V1918,AA1918,AF1918,AK1918,AP1918,AU1918)+AX1918/_xlfn.XLOOKUP(_xlfn.XLOOKUP($F1918,Clientes!$B$4:$B$39,Clientes!$C$4:$C$39),Cadastros!$L$6:$L$12,Cadastros!$M$6:$M$12)+IF($F1918="Bernardino Furlan",AY1918/2751.92,IF($F1918="Mauro José Salanti",AY1918/2751.92,AY1918/3356)),F1918&lt;&gt;0,SUM(L1918,Q1918,V1918,AA1918,AF1918,AK1918,AP1918,AU1918)))*(1-0.03),_xlfn.IFS(AW1918="SIM",SUM(L1918,Q1918,V1918,AA1918,AF1918,AK1918,AP1918,AU1918)+AX1918/_xlfn.XLOOKUP(_xlfn.XLOOKUP($F1918,Clientes!$B$4:$B$39,Clientes!$C$4:$C$39),Cadastros!$L$6:$L$12,Cadastros!$M$6:$M$12)+IF($F1918="Bernardino Furlan",AY1918/2751.92,IF($F1918="Mauro José Salanti",AY1918/2751.92,AY1918/3356)),F1918&lt;&gt;0,SUM(L1918,Q1918,V1918,AA1918,AF1918,AK1918,AP1918,AU1918))))</f>
        <v xml:space="preserve"> </v>
      </c>
      <c r="BE1918" s="120"/>
      <c r="BF1918" s="120"/>
      <c r="BG1918" s="120"/>
    </row>
    <row r="1919" spans="1:59" s="3" customFormat="1" x14ac:dyDescent="0.3">
      <c r="A1919" s="15" t="str">
        <f t="shared" si="377"/>
        <v/>
      </c>
      <c r="B1919" s="25"/>
      <c r="C1919" s="26"/>
      <c r="D1919" s="279"/>
      <c r="E1919" s="27"/>
      <c r="F1919" s="28"/>
      <c r="G1919" s="27"/>
      <c r="H1919" s="28"/>
      <c r="I1919" s="28"/>
      <c r="J1919" s="255" t="str">
        <f>IF(H1919="","",(_xlfn.XLOOKUP(H1919,Cadastros!$D$6:$D$90,Cadastros!$E$6:$E$90))*(1-_xlfn.XLOOKUP(_xlfn.XLOOKUP($F1919,Clientes!$B$4:$B$39,Clientes!$C$4:$C$39),Cadastros!$L$6:$L$12,Cadastros!$N$6:$N$12)))</f>
        <v/>
      </c>
      <c r="K1919" s="168" t="str">
        <f t="shared" si="378"/>
        <v/>
      </c>
      <c r="L1919" s="168" t="str">
        <f>IFERROR(K1919/_xlfn.XLOOKUP(_xlfn.XLOOKUP($F1919,Clientes!$B$4:$B$39,Clientes!$C$4:$C$39),Cadastros!$L$6:$L$12,Cadastros!$M$6:$M$12)," ")</f>
        <v xml:space="preserve"> </v>
      </c>
      <c r="M1919" s="28"/>
      <c r="N1919" s="28"/>
      <c r="O1919" s="255" t="str">
        <f>IF(M1919="","",(_xlfn.XLOOKUP(M1919,Cadastros!$D$6:$D$90,Cadastros!$E$6:$E$90))*(1-_xlfn.XLOOKUP(_xlfn.XLOOKUP($F1919,Clientes!$B$4:$B$39,Clientes!$C$4:$C$39),Cadastros!$L$6:$L$12,Cadastros!$N$6:$N$12)))</f>
        <v/>
      </c>
      <c r="P1919" s="168" t="str">
        <f t="shared" si="379"/>
        <v/>
      </c>
      <c r="Q1919" s="168" t="str">
        <f>IFERROR(P1919/_xlfn.XLOOKUP(_xlfn.XLOOKUP($F1919,Clientes!$B$4:$B$39,Clientes!$C$4:$C$39),Cadastros!$L$6:$L$12,Cadastros!$M$6:$M$12)," ")</f>
        <v xml:space="preserve"> </v>
      </c>
      <c r="R1919" s="28"/>
      <c r="S1919" s="28"/>
      <c r="T1919" s="255" t="str">
        <f>IF(R1919="","",(_xlfn.XLOOKUP(R1919,Cadastros!$D$6:$D$90,Cadastros!$E$6:$E$90))*(1-_xlfn.XLOOKUP(_xlfn.XLOOKUP($F1919,Clientes!$B$4:$B$39,Clientes!$C$4:$C$39),Cadastros!$L$6:$L$12,Cadastros!$N$6:$N$12)))</f>
        <v/>
      </c>
      <c r="U1919" s="168" t="str">
        <f t="shared" si="380"/>
        <v/>
      </c>
      <c r="V1919" s="168" t="str">
        <f>IFERROR(U1919/_xlfn.XLOOKUP(_xlfn.XLOOKUP($F1919,Clientes!$B$4:$B$39,Clientes!$C$4:$C$39),Cadastros!$L$6:$L$12,Cadastros!$M$6:$M$12)," ")</f>
        <v xml:space="preserve"> </v>
      </c>
      <c r="W1919" s="28"/>
      <c r="X1919" s="28"/>
      <c r="Y1919" s="255" t="str">
        <f>IF(W1919="","",(_xlfn.XLOOKUP(W1919,Cadastros!$D$6:$D$90,Cadastros!$E$6:$E$90))*(1-_xlfn.XLOOKUP(_xlfn.XLOOKUP($F1919,Clientes!$B$4:$B$39,Clientes!$C$4:$C$39),Cadastros!$L$6:$L$12,Cadastros!$N$6:$N$12)))</f>
        <v/>
      </c>
      <c r="Z1919" s="168" t="str">
        <f t="shared" si="381"/>
        <v/>
      </c>
      <c r="AA1919" s="168" t="str">
        <f>IFERROR(Z1919/_xlfn.XLOOKUP(_xlfn.XLOOKUP($F1919,Clientes!$B$4:$B$39,Clientes!$C$4:$C$39),Cadastros!$L$6:$L$12,Cadastros!$M$6:$M$12)," ")</f>
        <v xml:space="preserve"> </v>
      </c>
      <c r="AB1919" s="28"/>
      <c r="AC1919" s="28"/>
      <c r="AD1919" s="20" t="str">
        <f>IF(AB1919="","",IF($F1919="Bernardino Furlan",_xlfn.XLOOKUP(AB1919,Cadastros!$G$6:$G$90,Cadastros!$H$6:$H$90)*(1-0.18),IF($F1919="Mauro José Salanti",_xlfn.XLOOKUP(AB1919,Cadastros!$G$6:$G$90,Cadastros!$H$6:$H$90)*(1-0.18),_xlfn.XLOOKUP(AB1919,Cadastros!$G$6:$G$90,Cadastros!$H$6:$H$90))))</f>
        <v/>
      </c>
      <c r="AE1919" s="168" t="str">
        <f t="shared" si="382"/>
        <v/>
      </c>
      <c r="AF1919" s="168" t="str">
        <f t="shared" si="383"/>
        <v/>
      </c>
      <c r="AG1919" s="28"/>
      <c r="AH1919" s="28"/>
      <c r="AI1919" s="20" t="str">
        <f>IF(AG1919="","",IF($F1919="Bernardino Furlan",_xlfn.XLOOKUP(AG1919,Cadastros!$G$6:$G$90,Cadastros!$H$6:$H$90)*(1-0.18),IF($F1919="Mauro José Salanti",_xlfn.XLOOKUP(AG1919,Cadastros!$G$6:$G$90,Cadastros!$H$6:$H$90)*(1-0.18),_xlfn.XLOOKUP(AG1919,Cadastros!$G$6:$G$90,Cadastros!$H$6:$H$90))))</f>
        <v/>
      </c>
      <c r="AJ1919" s="168" t="str">
        <f t="shared" si="384"/>
        <v/>
      </c>
      <c r="AK1919" s="168" t="str">
        <f t="shared" si="385"/>
        <v/>
      </c>
      <c r="AL1919" s="28"/>
      <c r="AM1919" s="28"/>
      <c r="AN1919" s="20" t="str">
        <f>IF(AL1919="","",IF($F1919="Bernardino Furlan",_xlfn.XLOOKUP(AL1919,Cadastros!$G$6:$G$90,Cadastros!$H$6:$H$90)*(1-0.18),IF($F1919="Mauro José Salanti",_xlfn.XLOOKUP(AL1919,Cadastros!$G$6:$G$90,Cadastros!$H$6:$H$90)*(1-0.18),_xlfn.XLOOKUP(AL1919,Cadastros!$G$6:$G$90,Cadastros!$H$6:$H$90))))</f>
        <v/>
      </c>
      <c r="AO1919" s="168" t="str">
        <f t="shared" si="386"/>
        <v/>
      </c>
      <c r="AP1919" s="168" t="str">
        <f t="shared" si="387"/>
        <v/>
      </c>
      <c r="AQ1919" s="28"/>
      <c r="AR1919" s="28"/>
      <c r="AS1919" s="20" t="str">
        <f>IF(AQ1919="","",IF($F1919="Bernardino Furlan",_xlfn.XLOOKUP(AQ1919,Cadastros!$G$6:$G$90,Cadastros!$H$6:$H$90)*(1-0.18),IF($F1919="Mauro José Salanti",_xlfn.XLOOKUP(AQ1919,Cadastros!$G$6:$G$90,Cadastros!$H$6:$H$90)*(1-0.18),_xlfn.XLOOKUP(AQ1919,Cadastros!$G$6:$G$90,Cadastros!$H$6:$H$90))))</f>
        <v/>
      </c>
      <c r="AT1919" s="168" t="str">
        <f t="shared" si="388"/>
        <v/>
      </c>
      <c r="AU1919" s="168" t="str">
        <f t="shared" si="389"/>
        <v/>
      </c>
      <c r="AV1919" s="227"/>
      <c r="AW1919" s="30"/>
      <c r="AX1919" s="267"/>
      <c r="AY1919" s="267"/>
      <c r="AZ1919" s="29"/>
      <c r="BA1919" s="30"/>
      <c r="BB1919" s="23" t="str" cm="1">
        <f t="array" ref="BB1919">_xlfn.IFS(AW1919="SIM",SUM(K1919,P1919,U1919,Z1919,AE1919,AJ1919,AO1919,AT1919,AX1919,AY1919),F1919&lt;&gt;"",SUM(K1919,P1919,U1919,Z1919,AE1919,AJ1919,,AO1919,AT1919),F1919="","")</f>
        <v/>
      </c>
      <c r="BC1919" s="211" t="str" cm="1">
        <f t="array" ref="BC1919">_xlfn.IFS(E1919="","",G1919&lt;=E1919,BB1919*(1-0.03),G1919&lt;(E1919+8),BB1919,AZ1919="Boleto",BB1919*(1+0.001)^DATEDIF(E1919,G1919,"D"),AZ1919="Cheque",BB1919,AZ1919="Dinheiro","Alterar forma pgto")</f>
        <v/>
      </c>
      <c r="BD1919" s="276" t="str" cm="1">
        <f t="array" ref="BD1919">IF(F1919=0," ",IF(BC1919&lt;BB1919,(_xlfn.IFS(AW1919="SIM",SUM(L1919,Q1919,V1919,AA1919,AF1919,AK1919,AP1919,AU1919)+AX1919/_xlfn.XLOOKUP(_xlfn.XLOOKUP($F1919,Clientes!$B$4:$B$39,Clientes!$C$4:$C$39),Cadastros!$L$6:$L$12,Cadastros!$M$6:$M$12)+IF($F1919="Bernardino Furlan",AY1919/2751.92,IF($F1919="Mauro José Salanti",AY1919/2751.92,AY1919/3356)),F1919&lt;&gt;0,SUM(L1919,Q1919,V1919,AA1919,AF1919,AK1919,AP1919,AU1919)))*(1-0.03),_xlfn.IFS(AW1919="SIM",SUM(L1919,Q1919,V1919,AA1919,AF1919,AK1919,AP1919,AU1919)+AX1919/_xlfn.XLOOKUP(_xlfn.XLOOKUP($F1919,Clientes!$B$4:$B$39,Clientes!$C$4:$C$39),Cadastros!$L$6:$L$12,Cadastros!$M$6:$M$12)+IF($F1919="Bernardino Furlan",AY1919/2751.92,IF($F1919="Mauro José Salanti",AY1919/2751.92,AY1919/3356)),F1919&lt;&gt;0,SUM(L1919,Q1919,V1919,AA1919,AF1919,AK1919,AP1919,AU1919))))</f>
        <v xml:space="preserve"> </v>
      </c>
      <c r="BE1919" s="120"/>
      <c r="BF1919" s="120"/>
      <c r="BG1919" s="120"/>
    </row>
    <row r="1920" spans="1:59" s="3" customFormat="1" x14ac:dyDescent="0.3">
      <c r="A1920" s="15" t="str">
        <f t="shared" si="377"/>
        <v/>
      </c>
      <c r="B1920" s="25"/>
      <c r="C1920" s="26"/>
      <c r="D1920" s="279"/>
      <c r="E1920" s="27"/>
      <c r="F1920" s="28"/>
      <c r="G1920" s="27"/>
      <c r="H1920" s="28"/>
      <c r="I1920" s="28"/>
      <c r="J1920" s="255" t="str">
        <f>IF(H1920="","",(_xlfn.XLOOKUP(H1920,Cadastros!$D$6:$D$90,Cadastros!$E$6:$E$90))*(1-_xlfn.XLOOKUP(_xlfn.XLOOKUP($F1920,Clientes!$B$4:$B$39,Clientes!$C$4:$C$39),Cadastros!$L$6:$L$12,Cadastros!$N$6:$N$12)))</f>
        <v/>
      </c>
      <c r="K1920" s="168" t="str">
        <f t="shared" si="378"/>
        <v/>
      </c>
      <c r="L1920" s="168" t="str">
        <f>IFERROR(K1920/_xlfn.XLOOKUP(_xlfn.XLOOKUP($F1920,Clientes!$B$4:$B$39,Clientes!$C$4:$C$39),Cadastros!$L$6:$L$12,Cadastros!$M$6:$M$12)," ")</f>
        <v xml:space="preserve"> </v>
      </c>
      <c r="M1920" s="28"/>
      <c r="N1920" s="28"/>
      <c r="O1920" s="255" t="str">
        <f>IF(M1920="","",(_xlfn.XLOOKUP(M1920,Cadastros!$D$6:$D$90,Cadastros!$E$6:$E$90))*(1-_xlfn.XLOOKUP(_xlfn.XLOOKUP($F1920,Clientes!$B$4:$B$39,Clientes!$C$4:$C$39),Cadastros!$L$6:$L$12,Cadastros!$N$6:$N$12)))</f>
        <v/>
      </c>
      <c r="P1920" s="168" t="str">
        <f t="shared" si="379"/>
        <v/>
      </c>
      <c r="Q1920" s="168" t="str">
        <f>IFERROR(P1920/_xlfn.XLOOKUP(_xlfn.XLOOKUP($F1920,Clientes!$B$4:$B$39,Clientes!$C$4:$C$39),Cadastros!$L$6:$L$12,Cadastros!$M$6:$M$12)," ")</f>
        <v xml:space="preserve"> </v>
      </c>
      <c r="R1920" s="28"/>
      <c r="S1920" s="28"/>
      <c r="T1920" s="255" t="str">
        <f>IF(R1920="","",(_xlfn.XLOOKUP(R1920,Cadastros!$D$6:$D$90,Cadastros!$E$6:$E$90))*(1-_xlfn.XLOOKUP(_xlfn.XLOOKUP($F1920,Clientes!$B$4:$B$39,Clientes!$C$4:$C$39),Cadastros!$L$6:$L$12,Cadastros!$N$6:$N$12)))</f>
        <v/>
      </c>
      <c r="U1920" s="168" t="str">
        <f t="shared" si="380"/>
        <v/>
      </c>
      <c r="V1920" s="168" t="str">
        <f>IFERROR(U1920/_xlfn.XLOOKUP(_xlfn.XLOOKUP($F1920,Clientes!$B$4:$B$39,Clientes!$C$4:$C$39),Cadastros!$L$6:$L$12,Cadastros!$M$6:$M$12)," ")</f>
        <v xml:space="preserve"> </v>
      </c>
      <c r="W1920" s="28"/>
      <c r="X1920" s="28"/>
      <c r="Y1920" s="255" t="str">
        <f>IF(W1920="","",(_xlfn.XLOOKUP(W1920,Cadastros!$D$6:$D$90,Cadastros!$E$6:$E$90))*(1-_xlfn.XLOOKUP(_xlfn.XLOOKUP($F1920,Clientes!$B$4:$B$39,Clientes!$C$4:$C$39),Cadastros!$L$6:$L$12,Cadastros!$N$6:$N$12)))</f>
        <v/>
      </c>
      <c r="Z1920" s="168" t="str">
        <f t="shared" si="381"/>
        <v/>
      </c>
      <c r="AA1920" s="168" t="str">
        <f>IFERROR(Z1920/_xlfn.XLOOKUP(_xlfn.XLOOKUP($F1920,Clientes!$B$4:$B$39,Clientes!$C$4:$C$39),Cadastros!$L$6:$L$12,Cadastros!$M$6:$M$12)," ")</f>
        <v xml:space="preserve"> </v>
      </c>
      <c r="AB1920" s="28"/>
      <c r="AC1920" s="28"/>
      <c r="AD1920" s="20" t="str">
        <f>IF(AB1920="","",IF($F1920="Bernardino Furlan",_xlfn.XLOOKUP(AB1920,Cadastros!$G$6:$G$90,Cadastros!$H$6:$H$90)*(1-0.18),IF($F1920="Mauro José Salanti",_xlfn.XLOOKUP(AB1920,Cadastros!$G$6:$G$90,Cadastros!$H$6:$H$90)*(1-0.18),_xlfn.XLOOKUP(AB1920,Cadastros!$G$6:$G$90,Cadastros!$H$6:$H$90))))</f>
        <v/>
      </c>
      <c r="AE1920" s="168" t="str">
        <f t="shared" si="382"/>
        <v/>
      </c>
      <c r="AF1920" s="168" t="str">
        <f t="shared" si="383"/>
        <v/>
      </c>
      <c r="AG1920" s="28"/>
      <c r="AH1920" s="28"/>
      <c r="AI1920" s="20" t="str">
        <f>IF(AG1920="","",IF($F1920="Bernardino Furlan",_xlfn.XLOOKUP(AG1920,Cadastros!$G$6:$G$90,Cadastros!$H$6:$H$90)*(1-0.18),IF($F1920="Mauro José Salanti",_xlfn.XLOOKUP(AG1920,Cadastros!$G$6:$G$90,Cadastros!$H$6:$H$90)*(1-0.18),_xlfn.XLOOKUP(AG1920,Cadastros!$G$6:$G$90,Cadastros!$H$6:$H$90))))</f>
        <v/>
      </c>
      <c r="AJ1920" s="168" t="str">
        <f t="shared" si="384"/>
        <v/>
      </c>
      <c r="AK1920" s="168" t="str">
        <f t="shared" si="385"/>
        <v/>
      </c>
      <c r="AL1920" s="28"/>
      <c r="AM1920" s="28"/>
      <c r="AN1920" s="20" t="str">
        <f>IF(AL1920="","",IF($F1920="Bernardino Furlan",_xlfn.XLOOKUP(AL1920,Cadastros!$G$6:$G$90,Cadastros!$H$6:$H$90)*(1-0.18),IF($F1920="Mauro José Salanti",_xlfn.XLOOKUP(AL1920,Cadastros!$G$6:$G$90,Cadastros!$H$6:$H$90)*(1-0.18),_xlfn.XLOOKUP(AL1920,Cadastros!$G$6:$G$90,Cadastros!$H$6:$H$90))))</f>
        <v/>
      </c>
      <c r="AO1920" s="168" t="str">
        <f t="shared" si="386"/>
        <v/>
      </c>
      <c r="AP1920" s="168" t="str">
        <f t="shared" si="387"/>
        <v/>
      </c>
      <c r="AQ1920" s="28"/>
      <c r="AR1920" s="28"/>
      <c r="AS1920" s="20" t="str">
        <f>IF(AQ1920="","",IF($F1920="Bernardino Furlan",_xlfn.XLOOKUP(AQ1920,Cadastros!$G$6:$G$90,Cadastros!$H$6:$H$90)*(1-0.18),IF($F1920="Mauro José Salanti",_xlfn.XLOOKUP(AQ1920,Cadastros!$G$6:$G$90,Cadastros!$H$6:$H$90)*(1-0.18),_xlfn.XLOOKUP(AQ1920,Cadastros!$G$6:$G$90,Cadastros!$H$6:$H$90))))</f>
        <v/>
      </c>
      <c r="AT1920" s="168" t="str">
        <f t="shared" si="388"/>
        <v/>
      </c>
      <c r="AU1920" s="168" t="str">
        <f t="shared" si="389"/>
        <v/>
      </c>
      <c r="AV1920" s="227"/>
      <c r="AW1920" s="30"/>
      <c r="AX1920" s="267"/>
      <c r="AY1920" s="267"/>
      <c r="AZ1920" s="29"/>
      <c r="BA1920" s="30"/>
      <c r="BB1920" s="23" t="str" cm="1">
        <f t="array" ref="BB1920">_xlfn.IFS(AW1920="SIM",SUM(K1920,P1920,U1920,Z1920,AE1920,AJ1920,AO1920,AT1920,AX1920,AY1920),F1920&lt;&gt;"",SUM(K1920,P1920,U1920,Z1920,AE1920,AJ1920,,AO1920,AT1920),F1920="","")</f>
        <v/>
      </c>
      <c r="BC1920" s="211" t="str" cm="1">
        <f t="array" ref="BC1920">_xlfn.IFS(E1920="","",G1920&lt;=E1920,BB1920*(1-0.03),G1920&lt;(E1920+8),BB1920,AZ1920="Boleto",BB1920*(1+0.001)^DATEDIF(E1920,G1920,"D"),AZ1920="Cheque",BB1920,AZ1920="Dinheiro","Alterar forma pgto")</f>
        <v/>
      </c>
      <c r="BD1920" s="276" t="str" cm="1">
        <f t="array" ref="BD1920">IF(F1920=0," ",IF(BC1920&lt;BB1920,(_xlfn.IFS(AW1920="SIM",SUM(L1920,Q1920,V1920,AA1920,AF1920,AK1920,AP1920,AU1920)+AX1920/_xlfn.XLOOKUP(_xlfn.XLOOKUP($F1920,Clientes!$B$4:$B$39,Clientes!$C$4:$C$39),Cadastros!$L$6:$L$12,Cadastros!$M$6:$M$12)+IF($F1920="Bernardino Furlan",AY1920/2751.92,IF($F1920="Mauro José Salanti",AY1920/2751.92,AY1920/3356)),F1920&lt;&gt;0,SUM(L1920,Q1920,V1920,AA1920,AF1920,AK1920,AP1920,AU1920)))*(1-0.03),_xlfn.IFS(AW1920="SIM",SUM(L1920,Q1920,V1920,AA1920,AF1920,AK1920,AP1920,AU1920)+AX1920/_xlfn.XLOOKUP(_xlfn.XLOOKUP($F1920,Clientes!$B$4:$B$39,Clientes!$C$4:$C$39),Cadastros!$L$6:$L$12,Cadastros!$M$6:$M$12)+IF($F1920="Bernardino Furlan",AY1920/2751.92,IF($F1920="Mauro José Salanti",AY1920/2751.92,AY1920/3356)),F1920&lt;&gt;0,SUM(L1920,Q1920,V1920,AA1920,AF1920,AK1920,AP1920,AU1920))))</f>
        <v xml:space="preserve"> </v>
      </c>
      <c r="BE1920" s="120"/>
      <c r="BF1920" s="120"/>
      <c r="BG1920" s="120"/>
    </row>
    <row r="1921" spans="1:59" s="3" customFormat="1" x14ac:dyDescent="0.3">
      <c r="A1921" s="15" t="str">
        <f t="shared" si="377"/>
        <v/>
      </c>
      <c r="B1921" s="25"/>
      <c r="C1921" s="26"/>
      <c r="D1921" s="279"/>
      <c r="E1921" s="27"/>
      <c r="F1921" s="28"/>
      <c r="G1921" s="27"/>
      <c r="H1921" s="28"/>
      <c r="I1921" s="28"/>
      <c r="J1921" s="255" t="str">
        <f>IF(H1921="","",(_xlfn.XLOOKUP(H1921,Cadastros!$D$6:$D$90,Cadastros!$E$6:$E$90))*(1-_xlfn.XLOOKUP(_xlfn.XLOOKUP($F1921,Clientes!$B$4:$B$39,Clientes!$C$4:$C$39),Cadastros!$L$6:$L$12,Cadastros!$N$6:$N$12)))</f>
        <v/>
      </c>
      <c r="K1921" s="168" t="str">
        <f t="shared" si="378"/>
        <v/>
      </c>
      <c r="L1921" s="168" t="str">
        <f>IFERROR(K1921/_xlfn.XLOOKUP(_xlfn.XLOOKUP($F1921,Clientes!$B$4:$B$39,Clientes!$C$4:$C$39),Cadastros!$L$6:$L$12,Cadastros!$M$6:$M$12)," ")</f>
        <v xml:space="preserve"> </v>
      </c>
      <c r="M1921" s="28"/>
      <c r="N1921" s="28"/>
      <c r="O1921" s="255" t="str">
        <f>IF(M1921="","",(_xlfn.XLOOKUP(M1921,Cadastros!$D$6:$D$90,Cadastros!$E$6:$E$90))*(1-_xlfn.XLOOKUP(_xlfn.XLOOKUP($F1921,Clientes!$B$4:$B$39,Clientes!$C$4:$C$39),Cadastros!$L$6:$L$12,Cadastros!$N$6:$N$12)))</f>
        <v/>
      </c>
      <c r="P1921" s="168" t="str">
        <f t="shared" si="379"/>
        <v/>
      </c>
      <c r="Q1921" s="168" t="str">
        <f>IFERROR(P1921/_xlfn.XLOOKUP(_xlfn.XLOOKUP($F1921,Clientes!$B$4:$B$39,Clientes!$C$4:$C$39),Cadastros!$L$6:$L$12,Cadastros!$M$6:$M$12)," ")</f>
        <v xml:space="preserve"> </v>
      </c>
      <c r="R1921" s="28"/>
      <c r="S1921" s="28"/>
      <c r="T1921" s="255" t="str">
        <f>IF(R1921="","",(_xlfn.XLOOKUP(R1921,Cadastros!$D$6:$D$90,Cadastros!$E$6:$E$90))*(1-_xlfn.XLOOKUP(_xlfn.XLOOKUP($F1921,Clientes!$B$4:$B$39,Clientes!$C$4:$C$39),Cadastros!$L$6:$L$12,Cadastros!$N$6:$N$12)))</f>
        <v/>
      </c>
      <c r="U1921" s="168" t="str">
        <f t="shared" si="380"/>
        <v/>
      </c>
      <c r="V1921" s="168" t="str">
        <f>IFERROR(U1921/_xlfn.XLOOKUP(_xlfn.XLOOKUP($F1921,Clientes!$B$4:$B$39,Clientes!$C$4:$C$39),Cadastros!$L$6:$L$12,Cadastros!$M$6:$M$12)," ")</f>
        <v xml:space="preserve"> </v>
      </c>
      <c r="W1921" s="28"/>
      <c r="X1921" s="28"/>
      <c r="Y1921" s="255" t="str">
        <f>IF(W1921="","",(_xlfn.XLOOKUP(W1921,Cadastros!$D$6:$D$90,Cadastros!$E$6:$E$90))*(1-_xlfn.XLOOKUP(_xlfn.XLOOKUP($F1921,Clientes!$B$4:$B$39,Clientes!$C$4:$C$39),Cadastros!$L$6:$L$12,Cadastros!$N$6:$N$12)))</f>
        <v/>
      </c>
      <c r="Z1921" s="168" t="str">
        <f t="shared" si="381"/>
        <v/>
      </c>
      <c r="AA1921" s="168" t="str">
        <f>IFERROR(Z1921/_xlfn.XLOOKUP(_xlfn.XLOOKUP($F1921,Clientes!$B$4:$B$39,Clientes!$C$4:$C$39),Cadastros!$L$6:$L$12,Cadastros!$M$6:$M$12)," ")</f>
        <v xml:space="preserve"> </v>
      </c>
      <c r="AB1921" s="28"/>
      <c r="AC1921" s="28"/>
      <c r="AD1921" s="20" t="str">
        <f>IF(AB1921="","",IF($F1921="Bernardino Furlan",_xlfn.XLOOKUP(AB1921,Cadastros!$G$6:$G$90,Cadastros!$H$6:$H$90)*(1-0.18),IF($F1921="Mauro José Salanti",_xlfn.XLOOKUP(AB1921,Cadastros!$G$6:$G$90,Cadastros!$H$6:$H$90)*(1-0.18),_xlfn.XLOOKUP(AB1921,Cadastros!$G$6:$G$90,Cadastros!$H$6:$H$90))))</f>
        <v/>
      </c>
      <c r="AE1921" s="168" t="str">
        <f t="shared" si="382"/>
        <v/>
      </c>
      <c r="AF1921" s="168" t="str">
        <f t="shared" si="383"/>
        <v/>
      </c>
      <c r="AG1921" s="28"/>
      <c r="AH1921" s="28"/>
      <c r="AI1921" s="20" t="str">
        <f>IF(AG1921="","",IF($F1921="Bernardino Furlan",_xlfn.XLOOKUP(AG1921,Cadastros!$G$6:$G$90,Cadastros!$H$6:$H$90)*(1-0.18),IF($F1921="Mauro José Salanti",_xlfn.XLOOKUP(AG1921,Cadastros!$G$6:$G$90,Cadastros!$H$6:$H$90)*(1-0.18),_xlfn.XLOOKUP(AG1921,Cadastros!$G$6:$G$90,Cadastros!$H$6:$H$90))))</f>
        <v/>
      </c>
      <c r="AJ1921" s="168" t="str">
        <f t="shared" si="384"/>
        <v/>
      </c>
      <c r="AK1921" s="168" t="str">
        <f t="shared" si="385"/>
        <v/>
      </c>
      <c r="AL1921" s="28"/>
      <c r="AM1921" s="28"/>
      <c r="AN1921" s="20" t="str">
        <f>IF(AL1921="","",IF($F1921="Bernardino Furlan",_xlfn.XLOOKUP(AL1921,Cadastros!$G$6:$G$90,Cadastros!$H$6:$H$90)*(1-0.18),IF($F1921="Mauro José Salanti",_xlfn.XLOOKUP(AL1921,Cadastros!$G$6:$G$90,Cadastros!$H$6:$H$90)*(1-0.18),_xlfn.XLOOKUP(AL1921,Cadastros!$G$6:$G$90,Cadastros!$H$6:$H$90))))</f>
        <v/>
      </c>
      <c r="AO1921" s="168" t="str">
        <f t="shared" si="386"/>
        <v/>
      </c>
      <c r="AP1921" s="168" t="str">
        <f t="shared" si="387"/>
        <v/>
      </c>
      <c r="AQ1921" s="28"/>
      <c r="AR1921" s="28"/>
      <c r="AS1921" s="20" t="str">
        <f>IF(AQ1921="","",IF($F1921="Bernardino Furlan",_xlfn.XLOOKUP(AQ1921,Cadastros!$G$6:$G$90,Cadastros!$H$6:$H$90)*(1-0.18),IF($F1921="Mauro José Salanti",_xlfn.XLOOKUP(AQ1921,Cadastros!$G$6:$G$90,Cadastros!$H$6:$H$90)*(1-0.18),_xlfn.XLOOKUP(AQ1921,Cadastros!$G$6:$G$90,Cadastros!$H$6:$H$90))))</f>
        <v/>
      </c>
      <c r="AT1921" s="168" t="str">
        <f t="shared" si="388"/>
        <v/>
      </c>
      <c r="AU1921" s="168" t="str">
        <f t="shared" si="389"/>
        <v/>
      </c>
      <c r="AV1921" s="227"/>
      <c r="AW1921" s="30"/>
      <c r="AX1921" s="267"/>
      <c r="AY1921" s="267"/>
      <c r="AZ1921" s="29"/>
      <c r="BA1921" s="30"/>
      <c r="BB1921" s="23" t="str" cm="1">
        <f t="array" ref="BB1921">_xlfn.IFS(AW1921="SIM",SUM(K1921,P1921,U1921,Z1921,AE1921,AJ1921,AO1921,AT1921,AX1921,AY1921),F1921&lt;&gt;"",SUM(K1921,P1921,U1921,Z1921,AE1921,AJ1921,,AO1921,AT1921),F1921="","")</f>
        <v/>
      </c>
      <c r="BC1921" s="211" t="str" cm="1">
        <f t="array" ref="BC1921">_xlfn.IFS(E1921="","",G1921&lt;=E1921,BB1921*(1-0.03),G1921&lt;(E1921+8),BB1921,AZ1921="Boleto",BB1921*(1+0.001)^DATEDIF(E1921,G1921,"D"),AZ1921="Cheque",BB1921,AZ1921="Dinheiro","Alterar forma pgto")</f>
        <v/>
      </c>
      <c r="BD1921" s="276" t="str" cm="1">
        <f t="array" ref="BD1921">IF(F1921=0," ",IF(BC1921&lt;BB1921,(_xlfn.IFS(AW1921="SIM",SUM(L1921,Q1921,V1921,AA1921,AF1921,AK1921,AP1921,AU1921)+AX1921/_xlfn.XLOOKUP(_xlfn.XLOOKUP($F1921,Clientes!$B$4:$B$39,Clientes!$C$4:$C$39),Cadastros!$L$6:$L$12,Cadastros!$M$6:$M$12)+IF($F1921="Bernardino Furlan",AY1921/2751.92,IF($F1921="Mauro José Salanti",AY1921/2751.92,AY1921/3356)),F1921&lt;&gt;0,SUM(L1921,Q1921,V1921,AA1921,AF1921,AK1921,AP1921,AU1921)))*(1-0.03),_xlfn.IFS(AW1921="SIM",SUM(L1921,Q1921,V1921,AA1921,AF1921,AK1921,AP1921,AU1921)+AX1921/_xlfn.XLOOKUP(_xlfn.XLOOKUP($F1921,Clientes!$B$4:$B$39,Clientes!$C$4:$C$39),Cadastros!$L$6:$L$12,Cadastros!$M$6:$M$12)+IF($F1921="Bernardino Furlan",AY1921/2751.92,IF($F1921="Mauro José Salanti",AY1921/2751.92,AY1921/3356)),F1921&lt;&gt;0,SUM(L1921,Q1921,V1921,AA1921,AF1921,AK1921,AP1921,AU1921))))</f>
        <v xml:space="preserve"> </v>
      </c>
      <c r="BE1921" s="120"/>
      <c r="BF1921" s="120"/>
      <c r="BG1921" s="120"/>
    </row>
    <row r="1922" spans="1:59" s="3" customFormat="1" x14ac:dyDescent="0.3">
      <c r="A1922" s="15" t="str">
        <f t="shared" si="377"/>
        <v/>
      </c>
      <c r="B1922" s="25"/>
      <c r="C1922" s="26"/>
      <c r="D1922" s="279"/>
      <c r="E1922" s="27"/>
      <c r="F1922" s="28"/>
      <c r="G1922" s="27"/>
      <c r="H1922" s="28"/>
      <c r="I1922" s="28"/>
      <c r="J1922" s="255" t="str">
        <f>IF(H1922="","",(_xlfn.XLOOKUP(H1922,Cadastros!$D$6:$D$90,Cadastros!$E$6:$E$90))*(1-_xlfn.XLOOKUP(_xlfn.XLOOKUP($F1922,Clientes!$B$4:$B$39,Clientes!$C$4:$C$39),Cadastros!$L$6:$L$12,Cadastros!$N$6:$N$12)))</f>
        <v/>
      </c>
      <c r="K1922" s="168" t="str">
        <f t="shared" si="378"/>
        <v/>
      </c>
      <c r="L1922" s="168" t="str">
        <f>IFERROR(K1922/_xlfn.XLOOKUP(_xlfn.XLOOKUP($F1922,Clientes!$B$4:$B$39,Clientes!$C$4:$C$39),Cadastros!$L$6:$L$12,Cadastros!$M$6:$M$12)," ")</f>
        <v xml:space="preserve"> </v>
      </c>
      <c r="M1922" s="28"/>
      <c r="N1922" s="28"/>
      <c r="O1922" s="255" t="str">
        <f>IF(M1922="","",(_xlfn.XLOOKUP(M1922,Cadastros!$D$6:$D$90,Cadastros!$E$6:$E$90))*(1-_xlfn.XLOOKUP(_xlfn.XLOOKUP($F1922,Clientes!$B$4:$B$39,Clientes!$C$4:$C$39),Cadastros!$L$6:$L$12,Cadastros!$N$6:$N$12)))</f>
        <v/>
      </c>
      <c r="P1922" s="168" t="str">
        <f t="shared" si="379"/>
        <v/>
      </c>
      <c r="Q1922" s="168" t="str">
        <f>IFERROR(P1922/_xlfn.XLOOKUP(_xlfn.XLOOKUP($F1922,Clientes!$B$4:$B$39,Clientes!$C$4:$C$39),Cadastros!$L$6:$L$12,Cadastros!$M$6:$M$12)," ")</f>
        <v xml:space="preserve"> </v>
      </c>
      <c r="R1922" s="28"/>
      <c r="S1922" s="28"/>
      <c r="T1922" s="255" t="str">
        <f>IF(R1922="","",(_xlfn.XLOOKUP(R1922,Cadastros!$D$6:$D$90,Cadastros!$E$6:$E$90))*(1-_xlfn.XLOOKUP(_xlfn.XLOOKUP($F1922,Clientes!$B$4:$B$39,Clientes!$C$4:$C$39),Cadastros!$L$6:$L$12,Cadastros!$N$6:$N$12)))</f>
        <v/>
      </c>
      <c r="U1922" s="168" t="str">
        <f t="shared" si="380"/>
        <v/>
      </c>
      <c r="V1922" s="168" t="str">
        <f>IFERROR(U1922/_xlfn.XLOOKUP(_xlfn.XLOOKUP($F1922,Clientes!$B$4:$B$39,Clientes!$C$4:$C$39),Cadastros!$L$6:$L$12,Cadastros!$M$6:$M$12)," ")</f>
        <v xml:space="preserve"> </v>
      </c>
      <c r="W1922" s="28"/>
      <c r="X1922" s="28"/>
      <c r="Y1922" s="255" t="str">
        <f>IF(W1922="","",(_xlfn.XLOOKUP(W1922,Cadastros!$D$6:$D$90,Cadastros!$E$6:$E$90))*(1-_xlfn.XLOOKUP(_xlfn.XLOOKUP($F1922,Clientes!$B$4:$B$39,Clientes!$C$4:$C$39),Cadastros!$L$6:$L$12,Cadastros!$N$6:$N$12)))</f>
        <v/>
      </c>
      <c r="Z1922" s="168" t="str">
        <f t="shared" si="381"/>
        <v/>
      </c>
      <c r="AA1922" s="168" t="str">
        <f>IFERROR(Z1922/_xlfn.XLOOKUP(_xlfn.XLOOKUP($F1922,Clientes!$B$4:$B$39,Clientes!$C$4:$C$39),Cadastros!$L$6:$L$12,Cadastros!$M$6:$M$12)," ")</f>
        <v xml:space="preserve"> </v>
      </c>
      <c r="AB1922" s="28"/>
      <c r="AC1922" s="28"/>
      <c r="AD1922" s="20" t="str">
        <f>IF(AB1922="","",IF($F1922="Bernardino Furlan",_xlfn.XLOOKUP(AB1922,Cadastros!$G$6:$G$90,Cadastros!$H$6:$H$90)*(1-0.18),IF($F1922="Mauro José Salanti",_xlfn.XLOOKUP(AB1922,Cadastros!$G$6:$G$90,Cadastros!$H$6:$H$90)*(1-0.18),_xlfn.XLOOKUP(AB1922,Cadastros!$G$6:$G$90,Cadastros!$H$6:$H$90))))</f>
        <v/>
      </c>
      <c r="AE1922" s="168" t="str">
        <f t="shared" si="382"/>
        <v/>
      </c>
      <c r="AF1922" s="168" t="str">
        <f t="shared" si="383"/>
        <v/>
      </c>
      <c r="AG1922" s="28"/>
      <c r="AH1922" s="28"/>
      <c r="AI1922" s="20" t="str">
        <f>IF(AG1922="","",IF($F1922="Bernardino Furlan",_xlfn.XLOOKUP(AG1922,Cadastros!$G$6:$G$90,Cadastros!$H$6:$H$90)*(1-0.18),IF($F1922="Mauro José Salanti",_xlfn.XLOOKUP(AG1922,Cadastros!$G$6:$G$90,Cadastros!$H$6:$H$90)*(1-0.18),_xlfn.XLOOKUP(AG1922,Cadastros!$G$6:$G$90,Cadastros!$H$6:$H$90))))</f>
        <v/>
      </c>
      <c r="AJ1922" s="168" t="str">
        <f t="shared" si="384"/>
        <v/>
      </c>
      <c r="AK1922" s="168" t="str">
        <f t="shared" si="385"/>
        <v/>
      </c>
      <c r="AL1922" s="28"/>
      <c r="AM1922" s="28"/>
      <c r="AN1922" s="20" t="str">
        <f>IF(AL1922="","",IF($F1922="Bernardino Furlan",_xlfn.XLOOKUP(AL1922,Cadastros!$G$6:$G$90,Cadastros!$H$6:$H$90)*(1-0.18),IF($F1922="Mauro José Salanti",_xlfn.XLOOKUP(AL1922,Cadastros!$G$6:$G$90,Cadastros!$H$6:$H$90)*(1-0.18),_xlfn.XLOOKUP(AL1922,Cadastros!$G$6:$G$90,Cadastros!$H$6:$H$90))))</f>
        <v/>
      </c>
      <c r="AO1922" s="168" t="str">
        <f t="shared" si="386"/>
        <v/>
      </c>
      <c r="AP1922" s="168" t="str">
        <f t="shared" si="387"/>
        <v/>
      </c>
      <c r="AQ1922" s="28"/>
      <c r="AR1922" s="28"/>
      <c r="AS1922" s="20" t="str">
        <f>IF(AQ1922="","",IF($F1922="Bernardino Furlan",_xlfn.XLOOKUP(AQ1922,Cadastros!$G$6:$G$90,Cadastros!$H$6:$H$90)*(1-0.18),IF($F1922="Mauro José Salanti",_xlfn.XLOOKUP(AQ1922,Cadastros!$G$6:$G$90,Cadastros!$H$6:$H$90)*(1-0.18),_xlfn.XLOOKUP(AQ1922,Cadastros!$G$6:$G$90,Cadastros!$H$6:$H$90))))</f>
        <v/>
      </c>
      <c r="AT1922" s="168" t="str">
        <f t="shared" si="388"/>
        <v/>
      </c>
      <c r="AU1922" s="168" t="str">
        <f t="shared" si="389"/>
        <v/>
      </c>
      <c r="AV1922" s="227"/>
      <c r="AW1922" s="30"/>
      <c r="AX1922" s="267"/>
      <c r="AY1922" s="267"/>
      <c r="AZ1922" s="29"/>
      <c r="BA1922" s="30"/>
      <c r="BB1922" s="23" t="str" cm="1">
        <f t="array" ref="BB1922">_xlfn.IFS(AW1922="SIM",SUM(K1922,P1922,U1922,Z1922,AE1922,AJ1922,AO1922,AT1922,AX1922,AY1922),F1922&lt;&gt;"",SUM(K1922,P1922,U1922,Z1922,AE1922,AJ1922,,AO1922,AT1922),F1922="","")</f>
        <v/>
      </c>
      <c r="BC1922" s="211" t="str" cm="1">
        <f t="array" ref="BC1922">_xlfn.IFS(E1922="","",G1922&lt;=E1922,BB1922*(1-0.03),G1922&lt;(E1922+8),BB1922,AZ1922="Boleto",BB1922*(1+0.001)^DATEDIF(E1922,G1922,"D"),AZ1922="Cheque",BB1922,AZ1922="Dinheiro","Alterar forma pgto")</f>
        <v/>
      </c>
      <c r="BD1922" s="276" t="str" cm="1">
        <f t="array" ref="BD1922">IF(F1922=0," ",IF(BC1922&lt;BB1922,(_xlfn.IFS(AW1922="SIM",SUM(L1922,Q1922,V1922,AA1922,AF1922,AK1922,AP1922,AU1922)+AX1922/_xlfn.XLOOKUP(_xlfn.XLOOKUP($F1922,Clientes!$B$4:$B$39,Clientes!$C$4:$C$39),Cadastros!$L$6:$L$12,Cadastros!$M$6:$M$12)+IF($F1922="Bernardino Furlan",AY1922/2751.92,IF($F1922="Mauro José Salanti",AY1922/2751.92,AY1922/3356)),F1922&lt;&gt;0,SUM(L1922,Q1922,V1922,AA1922,AF1922,AK1922,AP1922,AU1922)))*(1-0.03),_xlfn.IFS(AW1922="SIM",SUM(L1922,Q1922,V1922,AA1922,AF1922,AK1922,AP1922,AU1922)+AX1922/_xlfn.XLOOKUP(_xlfn.XLOOKUP($F1922,Clientes!$B$4:$B$39,Clientes!$C$4:$C$39),Cadastros!$L$6:$L$12,Cadastros!$M$6:$M$12)+IF($F1922="Bernardino Furlan",AY1922/2751.92,IF($F1922="Mauro José Salanti",AY1922/2751.92,AY1922/3356)),F1922&lt;&gt;0,SUM(L1922,Q1922,V1922,AA1922,AF1922,AK1922,AP1922,AU1922))))</f>
        <v xml:space="preserve"> </v>
      </c>
      <c r="BE1922" s="120"/>
      <c r="BF1922" s="120"/>
      <c r="BG1922" s="120"/>
    </row>
    <row r="1923" spans="1:59" s="3" customFormat="1" x14ac:dyDescent="0.3">
      <c r="A1923" s="15" t="str">
        <f t="shared" si="377"/>
        <v/>
      </c>
      <c r="B1923" s="25"/>
      <c r="C1923" s="26"/>
      <c r="D1923" s="279"/>
      <c r="E1923" s="27"/>
      <c r="F1923" s="28"/>
      <c r="G1923" s="27"/>
      <c r="H1923" s="28"/>
      <c r="I1923" s="28"/>
      <c r="J1923" s="255" t="str">
        <f>IF(H1923="","",(_xlfn.XLOOKUP(H1923,Cadastros!$D$6:$D$90,Cadastros!$E$6:$E$90))*(1-_xlfn.XLOOKUP(_xlfn.XLOOKUP($F1923,Clientes!$B$4:$B$39,Clientes!$C$4:$C$39),Cadastros!$L$6:$L$12,Cadastros!$N$6:$N$12)))</f>
        <v/>
      </c>
      <c r="K1923" s="168" t="str">
        <f t="shared" si="378"/>
        <v/>
      </c>
      <c r="L1923" s="168" t="str">
        <f>IFERROR(K1923/_xlfn.XLOOKUP(_xlfn.XLOOKUP($F1923,Clientes!$B$4:$B$39,Clientes!$C$4:$C$39),Cadastros!$L$6:$L$12,Cadastros!$M$6:$M$12)," ")</f>
        <v xml:space="preserve"> </v>
      </c>
      <c r="M1923" s="28"/>
      <c r="N1923" s="28"/>
      <c r="O1923" s="255" t="str">
        <f>IF(M1923="","",(_xlfn.XLOOKUP(M1923,Cadastros!$D$6:$D$90,Cadastros!$E$6:$E$90))*(1-_xlfn.XLOOKUP(_xlfn.XLOOKUP($F1923,Clientes!$B$4:$B$39,Clientes!$C$4:$C$39),Cadastros!$L$6:$L$12,Cadastros!$N$6:$N$12)))</f>
        <v/>
      </c>
      <c r="P1923" s="168" t="str">
        <f t="shared" si="379"/>
        <v/>
      </c>
      <c r="Q1923" s="168" t="str">
        <f>IFERROR(P1923/_xlfn.XLOOKUP(_xlfn.XLOOKUP($F1923,Clientes!$B$4:$B$39,Clientes!$C$4:$C$39),Cadastros!$L$6:$L$12,Cadastros!$M$6:$M$12)," ")</f>
        <v xml:space="preserve"> </v>
      </c>
      <c r="R1923" s="28"/>
      <c r="S1923" s="28"/>
      <c r="T1923" s="255" t="str">
        <f>IF(R1923="","",(_xlfn.XLOOKUP(R1923,Cadastros!$D$6:$D$90,Cadastros!$E$6:$E$90))*(1-_xlfn.XLOOKUP(_xlfn.XLOOKUP($F1923,Clientes!$B$4:$B$39,Clientes!$C$4:$C$39),Cadastros!$L$6:$L$12,Cadastros!$N$6:$N$12)))</f>
        <v/>
      </c>
      <c r="U1923" s="168" t="str">
        <f t="shared" si="380"/>
        <v/>
      </c>
      <c r="V1923" s="168" t="str">
        <f>IFERROR(U1923/_xlfn.XLOOKUP(_xlfn.XLOOKUP($F1923,Clientes!$B$4:$B$39,Clientes!$C$4:$C$39),Cadastros!$L$6:$L$12,Cadastros!$M$6:$M$12)," ")</f>
        <v xml:space="preserve"> </v>
      </c>
      <c r="W1923" s="28"/>
      <c r="X1923" s="28"/>
      <c r="Y1923" s="255" t="str">
        <f>IF(W1923="","",(_xlfn.XLOOKUP(W1923,Cadastros!$D$6:$D$90,Cadastros!$E$6:$E$90))*(1-_xlfn.XLOOKUP(_xlfn.XLOOKUP($F1923,Clientes!$B$4:$B$39,Clientes!$C$4:$C$39),Cadastros!$L$6:$L$12,Cadastros!$N$6:$N$12)))</f>
        <v/>
      </c>
      <c r="Z1923" s="168" t="str">
        <f t="shared" si="381"/>
        <v/>
      </c>
      <c r="AA1923" s="168" t="str">
        <f>IFERROR(Z1923/_xlfn.XLOOKUP(_xlfn.XLOOKUP($F1923,Clientes!$B$4:$B$39,Clientes!$C$4:$C$39),Cadastros!$L$6:$L$12,Cadastros!$M$6:$M$12)," ")</f>
        <v xml:space="preserve"> </v>
      </c>
      <c r="AB1923" s="28"/>
      <c r="AC1923" s="28"/>
      <c r="AD1923" s="20" t="str">
        <f>IF(AB1923="","",IF($F1923="Bernardino Furlan",_xlfn.XLOOKUP(AB1923,Cadastros!$G$6:$G$90,Cadastros!$H$6:$H$90)*(1-0.18),IF($F1923="Mauro José Salanti",_xlfn.XLOOKUP(AB1923,Cadastros!$G$6:$G$90,Cadastros!$H$6:$H$90)*(1-0.18),_xlfn.XLOOKUP(AB1923,Cadastros!$G$6:$G$90,Cadastros!$H$6:$H$90))))</f>
        <v/>
      </c>
      <c r="AE1923" s="168" t="str">
        <f t="shared" si="382"/>
        <v/>
      </c>
      <c r="AF1923" s="168" t="str">
        <f t="shared" si="383"/>
        <v/>
      </c>
      <c r="AG1923" s="28"/>
      <c r="AH1923" s="28"/>
      <c r="AI1923" s="20" t="str">
        <f>IF(AG1923="","",IF($F1923="Bernardino Furlan",_xlfn.XLOOKUP(AG1923,Cadastros!$G$6:$G$90,Cadastros!$H$6:$H$90)*(1-0.18),IF($F1923="Mauro José Salanti",_xlfn.XLOOKUP(AG1923,Cadastros!$G$6:$G$90,Cadastros!$H$6:$H$90)*(1-0.18),_xlfn.XLOOKUP(AG1923,Cadastros!$G$6:$G$90,Cadastros!$H$6:$H$90))))</f>
        <v/>
      </c>
      <c r="AJ1923" s="168" t="str">
        <f t="shared" si="384"/>
        <v/>
      </c>
      <c r="AK1923" s="168" t="str">
        <f t="shared" si="385"/>
        <v/>
      </c>
      <c r="AL1923" s="28"/>
      <c r="AM1923" s="28"/>
      <c r="AN1923" s="20" t="str">
        <f>IF(AL1923="","",IF($F1923="Bernardino Furlan",_xlfn.XLOOKUP(AL1923,Cadastros!$G$6:$G$90,Cadastros!$H$6:$H$90)*(1-0.18),IF($F1923="Mauro José Salanti",_xlfn.XLOOKUP(AL1923,Cadastros!$G$6:$G$90,Cadastros!$H$6:$H$90)*(1-0.18),_xlfn.XLOOKUP(AL1923,Cadastros!$G$6:$G$90,Cadastros!$H$6:$H$90))))</f>
        <v/>
      </c>
      <c r="AO1923" s="168" t="str">
        <f t="shared" si="386"/>
        <v/>
      </c>
      <c r="AP1923" s="168" t="str">
        <f t="shared" si="387"/>
        <v/>
      </c>
      <c r="AQ1923" s="28"/>
      <c r="AR1923" s="28"/>
      <c r="AS1923" s="20" t="str">
        <f>IF(AQ1923="","",IF($F1923="Bernardino Furlan",_xlfn.XLOOKUP(AQ1923,Cadastros!$G$6:$G$90,Cadastros!$H$6:$H$90)*(1-0.18),IF($F1923="Mauro José Salanti",_xlfn.XLOOKUP(AQ1923,Cadastros!$G$6:$G$90,Cadastros!$H$6:$H$90)*(1-0.18),_xlfn.XLOOKUP(AQ1923,Cadastros!$G$6:$G$90,Cadastros!$H$6:$H$90))))</f>
        <v/>
      </c>
      <c r="AT1923" s="168" t="str">
        <f t="shared" si="388"/>
        <v/>
      </c>
      <c r="AU1923" s="168" t="str">
        <f t="shared" si="389"/>
        <v/>
      </c>
      <c r="AV1923" s="227"/>
      <c r="AW1923" s="30"/>
      <c r="AX1923" s="267"/>
      <c r="AY1923" s="267"/>
      <c r="AZ1923" s="29"/>
      <c r="BA1923" s="30"/>
      <c r="BB1923" s="23" t="str" cm="1">
        <f t="array" ref="BB1923">_xlfn.IFS(AW1923="SIM",SUM(K1923,P1923,U1923,Z1923,AE1923,AJ1923,AO1923,AT1923,AX1923,AY1923),F1923&lt;&gt;"",SUM(K1923,P1923,U1923,Z1923,AE1923,AJ1923,,AO1923,AT1923),F1923="","")</f>
        <v/>
      </c>
      <c r="BC1923" s="211" t="str" cm="1">
        <f t="array" ref="BC1923">_xlfn.IFS(E1923="","",G1923&lt;=E1923,BB1923*(1-0.03),G1923&lt;(E1923+8),BB1923,AZ1923="Boleto",BB1923*(1+0.001)^DATEDIF(E1923,G1923,"D"),AZ1923="Cheque",BB1923,AZ1923="Dinheiro","Alterar forma pgto")</f>
        <v/>
      </c>
      <c r="BD1923" s="276" t="str" cm="1">
        <f t="array" ref="BD1923">IF(F1923=0," ",IF(BC1923&lt;BB1923,(_xlfn.IFS(AW1923="SIM",SUM(L1923,Q1923,V1923,AA1923,AF1923,AK1923,AP1923,AU1923)+AX1923/_xlfn.XLOOKUP(_xlfn.XLOOKUP($F1923,Clientes!$B$4:$B$39,Clientes!$C$4:$C$39),Cadastros!$L$6:$L$12,Cadastros!$M$6:$M$12)+IF($F1923="Bernardino Furlan",AY1923/2751.92,IF($F1923="Mauro José Salanti",AY1923/2751.92,AY1923/3356)),F1923&lt;&gt;0,SUM(L1923,Q1923,V1923,AA1923,AF1923,AK1923,AP1923,AU1923)))*(1-0.03),_xlfn.IFS(AW1923="SIM",SUM(L1923,Q1923,V1923,AA1923,AF1923,AK1923,AP1923,AU1923)+AX1923/_xlfn.XLOOKUP(_xlfn.XLOOKUP($F1923,Clientes!$B$4:$B$39,Clientes!$C$4:$C$39),Cadastros!$L$6:$L$12,Cadastros!$M$6:$M$12)+IF($F1923="Bernardino Furlan",AY1923/2751.92,IF($F1923="Mauro José Salanti",AY1923/2751.92,AY1923/3356)),F1923&lt;&gt;0,SUM(L1923,Q1923,V1923,AA1923,AF1923,AK1923,AP1923,AU1923))))</f>
        <v xml:space="preserve"> </v>
      </c>
      <c r="BE1923" s="120"/>
      <c r="BF1923" s="120"/>
      <c r="BG1923" s="120"/>
    </row>
    <row r="1924" spans="1:59" s="3" customFormat="1" x14ac:dyDescent="0.3">
      <c r="A1924" s="15" t="str">
        <f t="shared" si="377"/>
        <v/>
      </c>
      <c r="B1924" s="25"/>
      <c r="C1924" s="26"/>
      <c r="D1924" s="279"/>
      <c r="E1924" s="27"/>
      <c r="F1924" s="28"/>
      <c r="G1924" s="27"/>
      <c r="H1924" s="28"/>
      <c r="I1924" s="28"/>
      <c r="J1924" s="255" t="str">
        <f>IF(H1924="","",(_xlfn.XLOOKUP(H1924,Cadastros!$D$6:$D$90,Cadastros!$E$6:$E$90))*(1-_xlfn.XLOOKUP(_xlfn.XLOOKUP($F1924,Clientes!$B$4:$B$39,Clientes!$C$4:$C$39),Cadastros!$L$6:$L$12,Cadastros!$N$6:$N$12)))</f>
        <v/>
      </c>
      <c r="K1924" s="168" t="str">
        <f t="shared" si="378"/>
        <v/>
      </c>
      <c r="L1924" s="168" t="str">
        <f>IFERROR(K1924/_xlfn.XLOOKUP(_xlfn.XLOOKUP($F1924,Clientes!$B$4:$B$39,Clientes!$C$4:$C$39),Cadastros!$L$6:$L$12,Cadastros!$M$6:$M$12)," ")</f>
        <v xml:space="preserve"> </v>
      </c>
      <c r="M1924" s="28"/>
      <c r="N1924" s="28"/>
      <c r="O1924" s="255" t="str">
        <f>IF(M1924="","",(_xlfn.XLOOKUP(M1924,Cadastros!$D$6:$D$90,Cadastros!$E$6:$E$90))*(1-_xlfn.XLOOKUP(_xlfn.XLOOKUP($F1924,Clientes!$B$4:$B$39,Clientes!$C$4:$C$39),Cadastros!$L$6:$L$12,Cadastros!$N$6:$N$12)))</f>
        <v/>
      </c>
      <c r="P1924" s="168" t="str">
        <f t="shared" si="379"/>
        <v/>
      </c>
      <c r="Q1924" s="168" t="str">
        <f>IFERROR(P1924/_xlfn.XLOOKUP(_xlfn.XLOOKUP($F1924,Clientes!$B$4:$B$39,Clientes!$C$4:$C$39),Cadastros!$L$6:$L$12,Cadastros!$M$6:$M$12)," ")</f>
        <v xml:space="preserve"> </v>
      </c>
      <c r="R1924" s="28"/>
      <c r="S1924" s="28"/>
      <c r="T1924" s="255" t="str">
        <f>IF(R1924="","",(_xlfn.XLOOKUP(R1924,Cadastros!$D$6:$D$90,Cadastros!$E$6:$E$90))*(1-_xlfn.XLOOKUP(_xlfn.XLOOKUP($F1924,Clientes!$B$4:$B$39,Clientes!$C$4:$C$39),Cadastros!$L$6:$L$12,Cadastros!$N$6:$N$12)))</f>
        <v/>
      </c>
      <c r="U1924" s="168" t="str">
        <f t="shared" si="380"/>
        <v/>
      </c>
      <c r="V1924" s="168" t="str">
        <f>IFERROR(U1924/_xlfn.XLOOKUP(_xlfn.XLOOKUP($F1924,Clientes!$B$4:$B$39,Clientes!$C$4:$C$39),Cadastros!$L$6:$L$12,Cadastros!$M$6:$M$12)," ")</f>
        <v xml:space="preserve"> </v>
      </c>
      <c r="W1924" s="28"/>
      <c r="X1924" s="28"/>
      <c r="Y1924" s="255" t="str">
        <f>IF(W1924="","",(_xlfn.XLOOKUP(W1924,Cadastros!$D$6:$D$90,Cadastros!$E$6:$E$90))*(1-_xlfn.XLOOKUP(_xlfn.XLOOKUP($F1924,Clientes!$B$4:$B$39,Clientes!$C$4:$C$39),Cadastros!$L$6:$L$12,Cadastros!$N$6:$N$12)))</f>
        <v/>
      </c>
      <c r="Z1924" s="168" t="str">
        <f t="shared" si="381"/>
        <v/>
      </c>
      <c r="AA1924" s="168" t="str">
        <f>IFERROR(Z1924/_xlfn.XLOOKUP(_xlfn.XLOOKUP($F1924,Clientes!$B$4:$B$39,Clientes!$C$4:$C$39),Cadastros!$L$6:$L$12,Cadastros!$M$6:$M$12)," ")</f>
        <v xml:space="preserve"> </v>
      </c>
      <c r="AB1924" s="28"/>
      <c r="AC1924" s="28"/>
      <c r="AD1924" s="20" t="str">
        <f>IF(AB1924="","",IF($F1924="Bernardino Furlan",_xlfn.XLOOKUP(AB1924,Cadastros!$G$6:$G$90,Cadastros!$H$6:$H$90)*(1-0.18),IF($F1924="Mauro José Salanti",_xlfn.XLOOKUP(AB1924,Cadastros!$G$6:$G$90,Cadastros!$H$6:$H$90)*(1-0.18),_xlfn.XLOOKUP(AB1924,Cadastros!$G$6:$G$90,Cadastros!$H$6:$H$90))))</f>
        <v/>
      </c>
      <c r="AE1924" s="168" t="str">
        <f t="shared" si="382"/>
        <v/>
      </c>
      <c r="AF1924" s="168" t="str">
        <f t="shared" si="383"/>
        <v/>
      </c>
      <c r="AG1924" s="28"/>
      <c r="AH1924" s="28"/>
      <c r="AI1924" s="20" t="str">
        <f>IF(AG1924="","",IF($F1924="Bernardino Furlan",_xlfn.XLOOKUP(AG1924,Cadastros!$G$6:$G$90,Cadastros!$H$6:$H$90)*(1-0.18),IF($F1924="Mauro José Salanti",_xlfn.XLOOKUP(AG1924,Cadastros!$G$6:$G$90,Cadastros!$H$6:$H$90)*(1-0.18),_xlfn.XLOOKUP(AG1924,Cadastros!$G$6:$G$90,Cadastros!$H$6:$H$90))))</f>
        <v/>
      </c>
      <c r="AJ1924" s="168" t="str">
        <f t="shared" si="384"/>
        <v/>
      </c>
      <c r="AK1924" s="168" t="str">
        <f t="shared" si="385"/>
        <v/>
      </c>
      <c r="AL1924" s="28"/>
      <c r="AM1924" s="28"/>
      <c r="AN1924" s="20" t="str">
        <f>IF(AL1924="","",IF($F1924="Bernardino Furlan",_xlfn.XLOOKUP(AL1924,Cadastros!$G$6:$G$90,Cadastros!$H$6:$H$90)*(1-0.18),IF($F1924="Mauro José Salanti",_xlfn.XLOOKUP(AL1924,Cadastros!$G$6:$G$90,Cadastros!$H$6:$H$90)*(1-0.18),_xlfn.XLOOKUP(AL1924,Cadastros!$G$6:$G$90,Cadastros!$H$6:$H$90))))</f>
        <v/>
      </c>
      <c r="AO1924" s="168" t="str">
        <f t="shared" si="386"/>
        <v/>
      </c>
      <c r="AP1924" s="168" t="str">
        <f t="shared" si="387"/>
        <v/>
      </c>
      <c r="AQ1924" s="28"/>
      <c r="AR1924" s="28"/>
      <c r="AS1924" s="20" t="str">
        <f>IF(AQ1924="","",IF($F1924="Bernardino Furlan",_xlfn.XLOOKUP(AQ1924,Cadastros!$G$6:$G$90,Cadastros!$H$6:$H$90)*(1-0.18),IF($F1924="Mauro José Salanti",_xlfn.XLOOKUP(AQ1924,Cadastros!$G$6:$G$90,Cadastros!$H$6:$H$90)*(1-0.18),_xlfn.XLOOKUP(AQ1924,Cadastros!$G$6:$G$90,Cadastros!$H$6:$H$90))))</f>
        <v/>
      </c>
      <c r="AT1924" s="168" t="str">
        <f t="shared" si="388"/>
        <v/>
      </c>
      <c r="AU1924" s="168" t="str">
        <f t="shared" si="389"/>
        <v/>
      </c>
      <c r="AV1924" s="227"/>
      <c r="AW1924" s="30"/>
      <c r="AX1924" s="267"/>
      <c r="AY1924" s="267"/>
      <c r="AZ1924" s="29"/>
      <c r="BA1924" s="30"/>
      <c r="BB1924" s="23" t="str" cm="1">
        <f t="array" ref="BB1924">_xlfn.IFS(AW1924="SIM",SUM(K1924,P1924,U1924,Z1924,AE1924,AJ1924,AO1924,AT1924,AX1924,AY1924),F1924&lt;&gt;"",SUM(K1924,P1924,U1924,Z1924,AE1924,AJ1924,,AO1924,AT1924),F1924="","")</f>
        <v/>
      </c>
      <c r="BC1924" s="211" t="str" cm="1">
        <f t="array" ref="BC1924">_xlfn.IFS(E1924="","",G1924&lt;=E1924,BB1924*(1-0.03),G1924&lt;(E1924+8),BB1924,AZ1924="Boleto",BB1924*(1+0.001)^DATEDIF(E1924,G1924,"D"),AZ1924="Cheque",BB1924,AZ1924="Dinheiro","Alterar forma pgto")</f>
        <v/>
      </c>
      <c r="BD1924" s="276" t="str" cm="1">
        <f t="array" ref="BD1924">IF(F1924=0," ",IF(BC1924&lt;BB1924,(_xlfn.IFS(AW1924="SIM",SUM(L1924,Q1924,V1924,AA1924,AF1924,AK1924,AP1924,AU1924)+AX1924/_xlfn.XLOOKUP(_xlfn.XLOOKUP($F1924,Clientes!$B$4:$B$39,Clientes!$C$4:$C$39),Cadastros!$L$6:$L$12,Cadastros!$M$6:$M$12)+IF($F1924="Bernardino Furlan",AY1924/2751.92,IF($F1924="Mauro José Salanti",AY1924/2751.92,AY1924/3356)),F1924&lt;&gt;0,SUM(L1924,Q1924,V1924,AA1924,AF1924,AK1924,AP1924,AU1924)))*(1-0.03),_xlfn.IFS(AW1924="SIM",SUM(L1924,Q1924,V1924,AA1924,AF1924,AK1924,AP1924,AU1924)+AX1924/_xlfn.XLOOKUP(_xlfn.XLOOKUP($F1924,Clientes!$B$4:$B$39,Clientes!$C$4:$C$39),Cadastros!$L$6:$L$12,Cadastros!$M$6:$M$12)+IF($F1924="Bernardino Furlan",AY1924/2751.92,IF($F1924="Mauro José Salanti",AY1924/2751.92,AY1924/3356)),F1924&lt;&gt;0,SUM(L1924,Q1924,V1924,AA1924,AF1924,AK1924,AP1924,AU1924))))</f>
        <v xml:space="preserve"> </v>
      </c>
      <c r="BE1924" s="120"/>
      <c r="BF1924" s="120"/>
      <c r="BG1924" s="120"/>
    </row>
    <row r="1925" spans="1:59" s="3" customFormat="1" x14ac:dyDescent="0.3">
      <c r="A1925" s="15" t="str">
        <f t="shared" si="377"/>
        <v/>
      </c>
      <c r="B1925" s="25"/>
      <c r="C1925" s="26"/>
      <c r="D1925" s="279"/>
      <c r="E1925" s="27"/>
      <c r="F1925" s="28"/>
      <c r="G1925" s="27"/>
      <c r="H1925" s="28"/>
      <c r="I1925" s="28"/>
      <c r="J1925" s="255" t="str">
        <f>IF(H1925="","",(_xlfn.XLOOKUP(H1925,Cadastros!$D$6:$D$90,Cadastros!$E$6:$E$90))*(1-_xlfn.XLOOKUP(_xlfn.XLOOKUP($F1925,Clientes!$B$4:$B$39,Clientes!$C$4:$C$39),Cadastros!$L$6:$L$12,Cadastros!$N$6:$N$12)))</f>
        <v/>
      </c>
      <c r="K1925" s="168" t="str">
        <f t="shared" si="378"/>
        <v/>
      </c>
      <c r="L1925" s="168" t="str">
        <f>IFERROR(K1925/_xlfn.XLOOKUP(_xlfn.XLOOKUP($F1925,Clientes!$B$4:$B$39,Clientes!$C$4:$C$39),Cadastros!$L$6:$L$12,Cadastros!$M$6:$M$12)," ")</f>
        <v xml:space="preserve"> </v>
      </c>
      <c r="M1925" s="28"/>
      <c r="N1925" s="28"/>
      <c r="O1925" s="255" t="str">
        <f>IF(M1925="","",(_xlfn.XLOOKUP(M1925,Cadastros!$D$6:$D$90,Cadastros!$E$6:$E$90))*(1-_xlfn.XLOOKUP(_xlfn.XLOOKUP($F1925,Clientes!$B$4:$B$39,Clientes!$C$4:$C$39),Cadastros!$L$6:$L$12,Cadastros!$N$6:$N$12)))</f>
        <v/>
      </c>
      <c r="P1925" s="168" t="str">
        <f t="shared" si="379"/>
        <v/>
      </c>
      <c r="Q1925" s="168" t="str">
        <f>IFERROR(P1925/_xlfn.XLOOKUP(_xlfn.XLOOKUP($F1925,Clientes!$B$4:$B$39,Clientes!$C$4:$C$39),Cadastros!$L$6:$L$12,Cadastros!$M$6:$M$12)," ")</f>
        <v xml:space="preserve"> </v>
      </c>
      <c r="R1925" s="28"/>
      <c r="S1925" s="28"/>
      <c r="T1925" s="255" t="str">
        <f>IF(R1925="","",(_xlfn.XLOOKUP(R1925,Cadastros!$D$6:$D$90,Cadastros!$E$6:$E$90))*(1-_xlfn.XLOOKUP(_xlfn.XLOOKUP($F1925,Clientes!$B$4:$B$39,Clientes!$C$4:$C$39),Cadastros!$L$6:$L$12,Cadastros!$N$6:$N$12)))</f>
        <v/>
      </c>
      <c r="U1925" s="168" t="str">
        <f t="shared" si="380"/>
        <v/>
      </c>
      <c r="V1925" s="168" t="str">
        <f>IFERROR(U1925/_xlfn.XLOOKUP(_xlfn.XLOOKUP($F1925,Clientes!$B$4:$B$39,Clientes!$C$4:$C$39),Cadastros!$L$6:$L$12,Cadastros!$M$6:$M$12)," ")</f>
        <v xml:space="preserve"> </v>
      </c>
      <c r="W1925" s="28"/>
      <c r="X1925" s="28"/>
      <c r="Y1925" s="255" t="str">
        <f>IF(W1925="","",(_xlfn.XLOOKUP(W1925,Cadastros!$D$6:$D$90,Cadastros!$E$6:$E$90))*(1-_xlfn.XLOOKUP(_xlfn.XLOOKUP($F1925,Clientes!$B$4:$B$39,Clientes!$C$4:$C$39),Cadastros!$L$6:$L$12,Cadastros!$N$6:$N$12)))</f>
        <v/>
      </c>
      <c r="Z1925" s="168" t="str">
        <f t="shared" si="381"/>
        <v/>
      </c>
      <c r="AA1925" s="168" t="str">
        <f>IFERROR(Z1925/_xlfn.XLOOKUP(_xlfn.XLOOKUP($F1925,Clientes!$B$4:$B$39,Clientes!$C$4:$C$39),Cadastros!$L$6:$L$12,Cadastros!$M$6:$M$12)," ")</f>
        <v xml:space="preserve"> </v>
      </c>
      <c r="AB1925" s="28"/>
      <c r="AC1925" s="28"/>
      <c r="AD1925" s="20" t="str">
        <f>IF(AB1925="","",IF($F1925="Bernardino Furlan",_xlfn.XLOOKUP(AB1925,Cadastros!$G$6:$G$90,Cadastros!$H$6:$H$90)*(1-0.18),IF($F1925="Mauro José Salanti",_xlfn.XLOOKUP(AB1925,Cadastros!$G$6:$G$90,Cadastros!$H$6:$H$90)*(1-0.18),_xlfn.XLOOKUP(AB1925,Cadastros!$G$6:$G$90,Cadastros!$H$6:$H$90))))</f>
        <v/>
      </c>
      <c r="AE1925" s="168" t="str">
        <f t="shared" si="382"/>
        <v/>
      </c>
      <c r="AF1925" s="168" t="str">
        <f t="shared" si="383"/>
        <v/>
      </c>
      <c r="AG1925" s="28"/>
      <c r="AH1925" s="28"/>
      <c r="AI1925" s="20" t="str">
        <f>IF(AG1925="","",IF($F1925="Bernardino Furlan",_xlfn.XLOOKUP(AG1925,Cadastros!$G$6:$G$90,Cadastros!$H$6:$H$90)*(1-0.18),IF($F1925="Mauro José Salanti",_xlfn.XLOOKUP(AG1925,Cadastros!$G$6:$G$90,Cadastros!$H$6:$H$90)*(1-0.18),_xlfn.XLOOKUP(AG1925,Cadastros!$G$6:$G$90,Cadastros!$H$6:$H$90))))</f>
        <v/>
      </c>
      <c r="AJ1925" s="168" t="str">
        <f t="shared" si="384"/>
        <v/>
      </c>
      <c r="AK1925" s="168" t="str">
        <f t="shared" si="385"/>
        <v/>
      </c>
      <c r="AL1925" s="28"/>
      <c r="AM1925" s="28"/>
      <c r="AN1925" s="20" t="str">
        <f>IF(AL1925="","",IF($F1925="Bernardino Furlan",_xlfn.XLOOKUP(AL1925,Cadastros!$G$6:$G$90,Cadastros!$H$6:$H$90)*(1-0.18),IF($F1925="Mauro José Salanti",_xlfn.XLOOKUP(AL1925,Cadastros!$G$6:$G$90,Cadastros!$H$6:$H$90)*(1-0.18),_xlfn.XLOOKUP(AL1925,Cadastros!$G$6:$G$90,Cadastros!$H$6:$H$90))))</f>
        <v/>
      </c>
      <c r="AO1925" s="168" t="str">
        <f t="shared" si="386"/>
        <v/>
      </c>
      <c r="AP1925" s="168" t="str">
        <f t="shared" si="387"/>
        <v/>
      </c>
      <c r="AQ1925" s="28"/>
      <c r="AR1925" s="28"/>
      <c r="AS1925" s="20" t="str">
        <f>IF(AQ1925="","",IF($F1925="Bernardino Furlan",_xlfn.XLOOKUP(AQ1925,Cadastros!$G$6:$G$90,Cadastros!$H$6:$H$90)*(1-0.18),IF($F1925="Mauro José Salanti",_xlfn.XLOOKUP(AQ1925,Cadastros!$G$6:$G$90,Cadastros!$H$6:$H$90)*(1-0.18),_xlfn.XLOOKUP(AQ1925,Cadastros!$G$6:$G$90,Cadastros!$H$6:$H$90))))</f>
        <v/>
      </c>
      <c r="AT1925" s="168" t="str">
        <f t="shared" si="388"/>
        <v/>
      </c>
      <c r="AU1925" s="168" t="str">
        <f t="shared" si="389"/>
        <v/>
      </c>
      <c r="AV1925" s="227"/>
      <c r="AW1925" s="30"/>
      <c r="AX1925" s="267"/>
      <c r="AY1925" s="267"/>
      <c r="AZ1925" s="29"/>
      <c r="BA1925" s="30"/>
      <c r="BB1925" s="23" t="str" cm="1">
        <f t="array" ref="BB1925">_xlfn.IFS(AW1925="SIM",SUM(K1925,P1925,U1925,Z1925,AE1925,AJ1925,AO1925,AT1925,AX1925,AY1925),F1925&lt;&gt;"",SUM(K1925,P1925,U1925,Z1925,AE1925,AJ1925,,AO1925,AT1925),F1925="","")</f>
        <v/>
      </c>
      <c r="BC1925" s="211" t="str" cm="1">
        <f t="array" ref="BC1925">_xlfn.IFS(E1925="","",G1925&lt;=E1925,BB1925*(1-0.03),G1925&lt;(E1925+8),BB1925,AZ1925="Boleto",BB1925*(1+0.001)^DATEDIF(E1925,G1925,"D"),AZ1925="Cheque",BB1925,AZ1925="Dinheiro","Alterar forma pgto")</f>
        <v/>
      </c>
      <c r="BD1925" s="276" t="str" cm="1">
        <f t="array" ref="BD1925">IF(F1925=0," ",IF(BC1925&lt;BB1925,(_xlfn.IFS(AW1925="SIM",SUM(L1925,Q1925,V1925,AA1925,AF1925,AK1925,AP1925,AU1925)+AX1925/_xlfn.XLOOKUP(_xlfn.XLOOKUP($F1925,Clientes!$B$4:$B$39,Clientes!$C$4:$C$39),Cadastros!$L$6:$L$12,Cadastros!$M$6:$M$12)+IF($F1925="Bernardino Furlan",AY1925/2751.92,IF($F1925="Mauro José Salanti",AY1925/2751.92,AY1925/3356)),F1925&lt;&gt;0,SUM(L1925,Q1925,V1925,AA1925,AF1925,AK1925,AP1925,AU1925)))*(1-0.03),_xlfn.IFS(AW1925="SIM",SUM(L1925,Q1925,V1925,AA1925,AF1925,AK1925,AP1925,AU1925)+AX1925/_xlfn.XLOOKUP(_xlfn.XLOOKUP($F1925,Clientes!$B$4:$B$39,Clientes!$C$4:$C$39),Cadastros!$L$6:$L$12,Cadastros!$M$6:$M$12)+IF($F1925="Bernardino Furlan",AY1925/2751.92,IF($F1925="Mauro José Salanti",AY1925/2751.92,AY1925/3356)),F1925&lt;&gt;0,SUM(L1925,Q1925,V1925,AA1925,AF1925,AK1925,AP1925,AU1925))))</f>
        <v xml:space="preserve"> </v>
      </c>
      <c r="BE1925" s="120"/>
      <c r="BF1925" s="120"/>
      <c r="BG1925" s="120"/>
    </row>
    <row r="1926" spans="1:59" s="3" customFormat="1" x14ac:dyDescent="0.3">
      <c r="A1926" s="15" t="str">
        <f t="shared" si="377"/>
        <v/>
      </c>
      <c r="B1926" s="25"/>
      <c r="C1926" s="26"/>
      <c r="D1926" s="279"/>
      <c r="E1926" s="27"/>
      <c r="F1926" s="28"/>
      <c r="G1926" s="27"/>
      <c r="H1926" s="28"/>
      <c r="I1926" s="28"/>
      <c r="J1926" s="255" t="str">
        <f>IF(H1926="","",(_xlfn.XLOOKUP(H1926,Cadastros!$D$6:$D$90,Cadastros!$E$6:$E$90))*(1-_xlfn.XLOOKUP(_xlfn.XLOOKUP($F1926,Clientes!$B$4:$B$39,Clientes!$C$4:$C$39),Cadastros!$L$6:$L$12,Cadastros!$N$6:$N$12)))</f>
        <v/>
      </c>
      <c r="K1926" s="168" t="str">
        <f t="shared" si="378"/>
        <v/>
      </c>
      <c r="L1926" s="168" t="str">
        <f>IFERROR(K1926/_xlfn.XLOOKUP(_xlfn.XLOOKUP($F1926,Clientes!$B$4:$B$39,Clientes!$C$4:$C$39),Cadastros!$L$6:$L$12,Cadastros!$M$6:$M$12)," ")</f>
        <v xml:space="preserve"> </v>
      </c>
      <c r="M1926" s="28"/>
      <c r="N1926" s="28"/>
      <c r="O1926" s="255" t="str">
        <f>IF(M1926="","",(_xlfn.XLOOKUP(M1926,Cadastros!$D$6:$D$90,Cadastros!$E$6:$E$90))*(1-_xlfn.XLOOKUP(_xlfn.XLOOKUP($F1926,Clientes!$B$4:$B$39,Clientes!$C$4:$C$39),Cadastros!$L$6:$L$12,Cadastros!$N$6:$N$12)))</f>
        <v/>
      </c>
      <c r="P1926" s="168" t="str">
        <f t="shared" si="379"/>
        <v/>
      </c>
      <c r="Q1926" s="168" t="str">
        <f>IFERROR(P1926/_xlfn.XLOOKUP(_xlfn.XLOOKUP($F1926,Clientes!$B$4:$B$39,Clientes!$C$4:$C$39),Cadastros!$L$6:$L$12,Cadastros!$M$6:$M$12)," ")</f>
        <v xml:space="preserve"> </v>
      </c>
      <c r="R1926" s="28"/>
      <c r="S1926" s="28"/>
      <c r="T1926" s="255" t="str">
        <f>IF(R1926="","",(_xlfn.XLOOKUP(R1926,Cadastros!$D$6:$D$90,Cadastros!$E$6:$E$90))*(1-_xlfn.XLOOKUP(_xlfn.XLOOKUP($F1926,Clientes!$B$4:$B$39,Clientes!$C$4:$C$39),Cadastros!$L$6:$L$12,Cadastros!$N$6:$N$12)))</f>
        <v/>
      </c>
      <c r="U1926" s="168" t="str">
        <f t="shared" si="380"/>
        <v/>
      </c>
      <c r="V1926" s="168" t="str">
        <f>IFERROR(U1926/_xlfn.XLOOKUP(_xlfn.XLOOKUP($F1926,Clientes!$B$4:$B$39,Clientes!$C$4:$C$39),Cadastros!$L$6:$L$12,Cadastros!$M$6:$M$12)," ")</f>
        <v xml:space="preserve"> </v>
      </c>
      <c r="W1926" s="28"/>
      <c r="X1926" s="28"/>
      <c r="Y1926" s="255" t="str">
        <f>IF(W1926="","",(_xlfn.XLOOKUP(W1926,Cadastros!$D$6:$D$90,Cadastros!$E$6:$E$90))*(1-_xlfn.XLOOKUP(_xlfn.XLOOKUP($F1926,Clientes!$B$4:$B$39,Clientes!$C$4:$C$39),Cadastros!$L$6:$L$12,Cadastros!$N$6:$N$12)))</f>
        <v/>
      </c>
      <c r="Z1926" s="168" t="str">
        <f t="shared" si="381"/>
        <v/>
      </c>
      <c r="AA1926" s="168" t="str">
        <f>IFERROR(Z1926/_xlfn.XLOOKUP(_xlfn.XLOOKUP($F1926,Clientes!$B$4:$B$39,Clientes!$C$4:$C$39),Cadastros!$L$6:$L$12,Cadastros!$M$6:$M$12)," ")</f>
        <v xml:space="preserve"> </v>
      </c>
      <c r="AB1926" s="28"/>
      <c r="AC1926" s="28"/>
      <c r="AD1926" s="20" t="str">
        <f>IF(AB1926="","",IF($F1926="Bernardino Furlan",_xlfn.XLOOKUP(AB1926,Cadastros!$G$6:$G$90,Cadastros!$H$6:$H$90)*(1-0.18),IF($F1926="Mauro José Salanti",_xlfn.XLOOKUP(AB1926,Cadastros!$G$6:$G$90,Cadastros!$H$6:$H$90)*(1-0.18),_xlfn.XLOOKUP(AB1926,Cadastros!$G$6:$G$90,Cadastros!$H$6:$H$90))))</f>
        <v/>
      </c>
      <c r="AE1926" s="168" t="str">
        <f t="shared" si="382"/>
        <v/>
      </c>
      <c r="AF1926" s="168" t="str">
        <f t="shared" si="383"/>
        <v/>
      </c>
      <c r="AG1926" s="28"/>
      <c r="AH1926" s="28"/>
      <c r="AI1926" s="20" t="str">
        <f>IF(AG1926="","",IF($F1926="Bernardino Furlan",_xlfn.XLOOKUP(AG1926,Cadastros!$G$6:$G$90,Cadastros!$H$6:$H$90)*(1-0.18),IF($F1926="Mauro José Salanti",_xlfn.XLOOKUP(AG1926,Cadastros!$G$6:$G$90,Cadastros!$H$6:$H$90)*(1-0.18),_xlfn.XLOOKUP(AG1926,Cadastros!$G$6:$G$90,Cadastros!$H$6:$H$90))))</f>
        <v/>
      </c>
      <c r="AJ1926" s="168" t="str">
        <f t="shared" si="384"/>
        <v/>
      </c>
      <c r="AK1926" s="168" t="str">
        <f t="shared" si="385"/>
        <v/>
      </c>
      <c r="AL1926" s="28"/>
      <c r="AM1926" s="28"/>
      <c r="AN1926" s="20" t="str">
        <f>IF(AL1926="","",IF($F1926="Bernardino Furlan",_xlfn.XLOOKUP(AL1926,Cadastros!$G$6:$G$90,Cadastros!$H$6:$H$90)*(1-0.18),IF($F1926="Mauro José Salanti",_xlfn.XLOOKUP(AL1926,Cadastros!$G$6:$G$90,Cadastros!$H$6:$H$90)*(1-0.18),_xlfn.XLOOKUP(AL1926,Cadastros!$G$6:$G$90,Cadastros!$H$6:$H$90))))</f>
        <v/>
      </c>
      <c r="AO1926" s="168" t="str">
        <f t="shared" si="386"/>
        <v/>
      </c>
      <c r="AP1926" s="168" t="str">
        <f t="shared" si="387"/>
        <v/>
      </c>
      <c r="AQ1926" s="28"/>
      <c r="AR1926" s="28"/>
      <c r="AS1926" s="20" t="str">
        <f>IF(AQ1926="","",IF($F1926="Bernardino Furlan",_xlfn.XLOOKUP(AQ1926,Cadastros!$G$6:$G$90,Cadastros!$H$6:$H$90)*(1-0.18),IF($F1926="Mauro José Salanti",_xlfn.XLOOKUP(AQ1926,Cadastros!$G$6:$G$90,Cadastros!$H$6:$H$90)*(1-0.18),_xlfn.XLOOKUP(AQ1926,Cadastros!$G$6:$G$90,Cadastros!$H$6:$H$90))))</f>
        <v/>
      </c>
      <c r="AT1926" s="168" t="str">
        <f t="shared" si="388"/>
        <v/>
      </c>
      <c r="AU1926" s="168" t="str">
        <f t="shared" si="389"/>
        <v/>
      </c>
      <c r="AV1926" s="227"/>
      <c r="AW1926" s="30"/>
      <c r="AX1926" s="267"/>
      <c r="AY1926" s="267"/>
      <c r="AZ1926" s="29"/>
      <c r="BA1926" s="30"/>
      <c r="BB1926" s="23" t="str" cm="1">
        <f t="array" ref="BB1926">_xlfn.IFS(AW1926="SIM",SUM(K1926,P1926,U1926,Z1926,AE1926,AJ1926,AO1926,AT1926,AX1926,AY1926),F1926&lt;&gt;"",SUM(K1926,P1926,U1926,Z1926,AE1926,AJ1926,,AO1926,AT1926),F1926="","")</f>
        <v/>
      </c>
      <c r="BC1926" s="211" t="str" cm="1">
        <f t="array" ref="BC1926">_xlfn.IFS(E1926="","",G1926&lt;=E1926,BB1926*(1-0.03),G1926&lt;(E1926+8),BB1926,AZ1926="Boleto",BB1926*(1+0.001)^DATEDIF(E1926,G1926,"D"),AZ1926="Cheque",BB1926,AZ1926="Dinheiro","Alterar forma pgto")</f>
        <v/>
      </c>
      <c r="BD1926" s="276" t="str" cm="1">
        <f t="array" ref="BD1926">IF(F1926=0," ",IF(BC1926&lt;BB1926,(_xlfn.IFS(AW1926="SIM",SUM(L1926,Q1926,V1926,AA1926,AF1926,AK1926,AP1926,AU1926)+AX1926/_xlfn.XLOOKUP(_xlfn.XLOOKUP($F1926,Clientes!$B$4:$B$39,Clientes!$C$4:$C$39),Cadastros!$L$6:$L$12,Cadastros!$M$6:$M$12)+IF($F1926="Bernardino Furlan",AY1926/2751.92,IF($F1926="Mauro José Salanti",AY1926/2751.92,AY1926/3356)),F1926&lt;&gt;0,SUM(L1926,Q1926,V1926,AA1926,AF1926,AK1926,AP1926,AU1926)))*(1-0.03),_xlfn.IFS(AW1926="SIM",SUM(L1926,Q1926,V1926,AA1926,AF1926,AK1926,AP1926,AU1926)+AX1926/_xlfn.XLOOKUP(_xlfn.XLOOKUP($F1926,Clientes!$B$4:$B$39,Clientes!$C$4:$C$39),Cadastros!$L$6:$L$12,Cadastros!$M$6:$M$12)+IF($F1926="Bernardino Furlan",AY1926/2751.92,IF($F1926="Mauro José Salanti",AY1926/2751.92,AY1926/3356)),F1926&lt;&gt;0,SUM(L1926,Q1926,V1926,AA1926,AF1926,AK1926,AP1926,AU1926))))</f>
        <v xml:space="preserve"> </v>
      </c>
      <c r="BE1926" s="120"/>
      <c r="BF1926" s="120"/>
      <c r="BG1926" s="120"/>
    </row>
    <row r="1927" spans="1:59" s="3" customFormat="1" x14ac:dyDescent="0.3">
      <c r="A1927" s="15" t="str">
        <f t="shared" si="377"/>
        <v/>
      </c>
      <c r="B1927" s="25"/>
      <c r="C1927" s="26"/>
      <c r="D1927" s="279"/>
      <c r="E1927" s="27"/>
      <c r="F1927" s="28"/>
      <c r="G1927" s="27"/>
      <c r="H1927" s="28"/>
      <c r="I1927" s="28"/>
      <c r="J1927" s="255" t="str">
        <f>IF(H1927="","",(_xlfn.XLOOKUP(H1927,Cadastros!$D$6:$D$90,Cadastros!$E$6:$E$90))*(1-_xlfn.XLOOKUP(_xlfn.XLOOKUP($F1927,Clientes!$B$4:$B$39,Clientes!$C$4:$C$39),Cadastros!$L$6:$L$12,Cadastros!$N$6:$N$12)))</f>
        <v/>
      </c>
      <c r="K1927" s="168" t="str">
        <f t="shared" si="378"/>
        <v/>
      </c>
      <c r="L1927" s="168" t="str">
        <f>IFERROR(K1927/_xlfn.XLOOKUP(_xlfn.XLOOKUP($F1927,Clientes!$B$4:$B$39,Clientes!$C$4:$C$39),Cadastros!$L$6:$L$12,Cadastros!$M$6:$M$12)," ")</f>
        <v xml:space="preserve"> </v>
      </c>
      <c r="M1927" s="28"/>
      <c r="N1927" s="28"/>
      <c r="O1927" s="255" t="str">
        <f>IF(M1927="","",(_xlfn.XLOOKUP(M1927,Cadastros!$D$6:$D$90,Cadastros!$E$6:$E$90))*(1-_xlfn.XLOOKUP(_xlfn.XLOOKUP($F1927,Clientes!$B$4:$B$39,Clientes!$C$4:$C$39),Cadastros!$L$6:$L$12,Cadastros!$N$6:$N$12)))</f>
        <v/>
      </c>
      <c r="P1927" s="168" t="str">
        <f t="shared" si="379"/>
        <v/>
      </c>
      <c r="Q1927" s="168" t="str">
        <f>IFERROR(P1927/_xlfn.XLOOKUP(_xlfn.XLOOKUP($F1927,Clientes!$B$4:$B$39,Clientes!$C$4:$C$39),Cadastros!$L$6:$L$12,Cadastros!$M$6:$M$12)," ")</f>
        <v xml:space="preserve"> </v>
      </c>
      <c r="R1927" s="28"/>
      <c r="S1927" s="28"/>
      <c r="T1927" s="255" t="str">
        <f>IF(R1927="","",(_xlfn.XLOOKUP(R1927,Cadastros!$D$6:$D$90,Cadastros!$E$6:$E$90))*(1-_xlfn.XLOOKUP(_xlfn.XLOOKUP($F1927,Clientes!$B$4:$B$39,Clientes!$C$4:$C$39),Cadastros!$L$6:$L$12,Cadastros!$N$6:$N$12)))</f>
        <v/>
      </c>
      <c r="U1927" s="168" t="str">
        <f t="shared" si="380"/>
        <v/>
      </c>
      <c r="V1927" s="168" t="str">
        <f>IFERROR(U1927/_xlfn.XLOOKUP(_xlfn.XLOOKUP($F1927,Clientes!$B$4:$B$39,Clientes!$C$4:$C$39),Cadastros!$L$6:$L$12,Cadastros!$M$6:$M$12)," ")</f>
        <v xml:space="preserve"> </v>
      </c>
      <c r="W1927" s="28"/>
      <c r="X1927" s="28"/>
      <c r="Y1927" s="255" t="str">
        <f>IF(W1927="","",(_xlfn.XLOOKUP(W1927,Cadastros!$D$6:$D$90,Cadastros!$E$6:$E$90))*(1-_xlfn.XLOOKUP(_xlfn.XLOOKUP($F1927,Clientes!$B$4:$B$39,Clientes!$C$4:$C$39),Cadastros!$L$6:$L$12,Cadastros!$N$6:$N$12)))</f>
        <v/>
      </c>
      <c r="Z1927" s="168" t="str">
        <f t="shared" si="381"/>
        <v/>
      </c>
      <c r="AA1927" s="168" t="str">
        <f>IFERROR(Z1927/_xlfn.XLOOKUP(_xlfn.XLOOKUP($F1927,Clientes!$B$4:$B$39,Clientes!$C$4:$C$39),Cadastros!$L$6:$L$12,Cadastros!$M$6:$M$12)," ")</f>
        <v xml:space="preserve"> </v>
      </c>
      <c r="AB1927" s="28"/>
      <c r="AC1927" s="28"/>
      <c r="AD1927" s="20" t="str">
        <f>IF(AB1927="","",IF($F1927="Bernardino Furlan",_xlfn.XLOOKUP(AB1927,Cadastros!$G$6:$G$90,Cadastros!$H$6:$H$90)*(1-0.18),IF($F1927="Mauro José Salanti",_xlfn.XLOOKUP(AB1927,Cadastros!$G$6:$G$90,Cadastros!$H$6:$H$90)*(1-0.18),_xlfn.XLOOKUP(AB1927,Cadastros!$G$6:$G$90,Cadastros!$H$6:$H$90))))</f>
        <v/>
      </c>
      <c r="AE1927" s="168" t="str">
        <f t="shared" si="382"/>
        <v/>
      </c>
      <c r="AF1927" s="168" t="str">
        <f t="shared" si="383"/>
        <v/>
      </c>
      <c r="AG1927" s="28"/>
      <c r="AH1927" s="28"/>
      <c r="AI1927" s="20" t="str">
        <f>IF(AG1927="","",IF($F1927="Bernardino Furlan",_xlfn.XLOOKUP(AG1927,Cadastros!$G$6:$G$90,Cadastros!$H$6:$H$90)*(1-0.18),IF($F1927="Mauro José Salanti",_xlfn.XLOOKUP(AG1927,Cadastros!$G$6:$G$90,Cadastros!$H$6:$H$90)*(1-0.18),_xlfn.XLOOKUP(AG1927,Cadastros!$G$6:$G$90,Cadastros!$H$6:$H$90))))</f>
        <v/>
      </c>
      <c r="AJ1927" s="168" t="str">
        <f t="shared" si="384"/>
        <v/>
      </c>
      <c r="AK1927" s="168" t="str">
        <f t="shared" si="385"/>
        <v/>
      </c>
      <c r="AL1927" s="28"/>
      <c r="AM1927" s="28"/>
      <c r="AN1927" s="20" t="str">
        <f>IF(AL1927="","",IF($F1927="Bernardino Furlan",_xlfn.XLOOKUP(AL1927,Cadastros!$G$6:$G$90,Cadastros!$H$6:$H$90)*(1-0.18),IF($F1927="Mauro José Salanti",_xlfn.XLOOKUP(AL1927,Cadastros!$G$6:$G$90,Cadastros!$H$6:$H$90)*(1-0.18),_xlfn.XLOOKUP(AL1927,Cadastros!$G$6:$G$90,Cadastros!$H$6:$H$90))))</f>
        <v/>
      </c>
      <c r="AO1927" s="168" t="str">
        <f t="shared" si="386"/>
        <v/>
      </c>
      <c r="AP1927" s="168" t="str">
        <f t="shared" si="387"/>
        <v/>
      </c>
      <c r="AQ1927" s="28"/>
      <c r="AR1927" s="28"/>
      <c r="AS1927" s="20" t="str">
        <f>IF(AQ1927="","",IF($F1927="Bernardino Furlan",_xlfn.XLOOKUP(AQ1927,Cadastros!$G$6:$G$90,Cadastros!$H$6:$H$90)*(1-0.18),IF($F1927="Mauro José Salanti",_xlfn.XLOOKUP(AQ1927,Cadastros!$G$6:$G$90,Cadastros!$H$6:$H$90)*(1-0.18),_xlfn.XLOOKUP(AQ1927,Cadastros!$G$6:$G$90,Cadastros!$H$6:$H$90))))</f>
        <v/>
      </c>
      <c r="AT1927" s="168" t="str">
        <f t="shared" si="388"/>
        <v/>
      </c>
      <c r="AU1927" s="168" t="str">
        <f t="shared" si="389"/>
        <v/>
      </c>
      <c r="AV1927" s="227"/>
      <c r="AW1927" s="30"/>
      <c r="AX1927" s="267"/>
      <c r="AY1927" s="267"/>
      <c r="AZ1927" s="29"/>
      <c r="BA1927" s="30"/>
      <c r="BB1927" s="23" t="str" cm="1">
        <f t="array" ref="BB1927">_xlfn.IFS(AW1927="SIM",SUM(K1927,P1927,U1927,Z1927,AE1927,AJ1927,AO1927,AT1927,AX1927,AY1927),F1927&lt;&gt;"",SUM(K1927,P1927,U1927,Z1927,AE1927,AJ1927,,AO1927,AT1927),F1927="","")</f>
        <v/>
      </c>
      <c r="BC1927" s="211" t="str" cm="1">
        <f t="array" ref="BC1927">_xlfn.IFS(E1927="","",G1927&lt;=E1927,BB1927*(1-0.03),G1927&lt;(E1927+8),BB1927,AZ1927="Boleto",BB1927*(1+0.001)^DATEDIF(E1927,G1927,"D"),AZ1927="Cheque",BB1927,AZ1927="Dinheiro","Alterar forma pgto")</f>
        <v/>
      </c>
      <c r="BD1927" s="276" t="str" cm="1">
        <f t="array" ref="BD1927">IF(F1927=0," ",IF(BC1927&lt;BB1927,(_xlfn.IFS(AW1927="SIM",SUM(L1927,Q1927,V1927,AA1927,AF1927,AK1927,AP1927,AU1927)+AX1927/_xlfn.XLOOKUP(_xlfn.XLOOKUP($F1927,Clientes!$B$4:$B$39,Clientes!$C$4:$C$39),Cadastros!$L$6:$L$12,Cadastros!$M$6:$M$12)+IF($F1927="Bernardino Furlan",AY1927/2751.92,IF($F1927="Mauro José Salanti",AY1927/2751.92,AY1927/3356)),F1927&lt;&gt;0,SUM(L1927,Q1927,V1927,AA1927,AF1927,AK1927,AP1927,AU1927)))*(1-0.03),_xlfn.IFS(AW1927="SIM",SUM(L1927,Q1927,V1927,AA1927,AF1927,AK1927,AP1927,AU1927)+AX1927/_xlfn.XLOOKUP(_xlfn.XLOOKUP($F1927,Clientes!$B$4:$B$39,Clientes!$C$4:$C$39),Cadastros!$L$6:$L$12,Cadastros!$M$6:$M$12)+IF($F1927="Bernardino Furlan",AY1927/2751.92,IF($F1927="Mauro José Salanti",AY1927/2751.92,AY1927/3356)),F1927&lt;&gt;0,SUM(L1927,Q1927,V1927,AA1927,AF1927,AK1927,AP1927,AU1927))))</f>
        <v xml:space="preserve"> </v>
      </c>
      <c r="BE1927" s="120"/>
      <c r="BF1927" s="120"/>
      <c r="BG1927" s="120"/>
    </row>
    <row r="1928" spans="1:59" s="3" customFormat="1" x14ac:dyDescent="0.3">
      <c r="A1928" s="15" t="str">
        <f t="shared" ref="A1928:A1991" si="390">IF(C1928="orçamento",25%,IF(C1928="aprovado",50%,IF(C1928="entregue",100%,IF(C1928="não aceito",0%,""))))</f>
        <v/>
      </c>
      <c r="B1928" s="25"/>
      <c r="C1928" s="26"/>
      <c r="D1928" s="279"/>
      <c r="E1928" s="27"/>
      <c r="F1928" s="28"/>
      <c r="G1928" s="27"/>
      <c r="H1928" s="28"/>
      <c r="I1928" s="28"/>
      <c r="J1928" s="255" t="str">
        <f>IF(H1928="","",(_xlfn.XLOOKUP(H1928,Cadastros!$D$6:$D$90,Cadastros!$E$6:$E$90))*(1-_xlfn.XLOOKUP(_xlfn.XLOOKUP($F1928,Clientes!$B$4:$B$39,Clientes!$C$4:$C$39),Cadastros!$L$6:$L$12,Cadastros!$N$6:$N$12)))</f>
        <v/>
      </c>
      <c r="K1928" s="168" t="str">
        <f t="shared" ref="K1928:K1991" si="391">IF(J1928="","",I1928*J1928)</f>
        <v/>
      </c>
      <c r="L1928" s="168" t="str">
        <f>IFERROR(K1928/_xlfn.XLOOKUP(_xlfn.XLOOKUP($F1928,Clientes!$B$4:$B$39,Clientes!$C$4:$C$39),Cadastros!$L$6:$L$12,Cadastros!$M$6:$M$12)," ")</f>
        <v xml:space="preserve"> </v>
      </c>
      <c r="M1928" s="28"/>
      <c r="N1928" s="28"/>
      <c r="O1928" s="255" t="str">
        <f>IF(M1928="","",(_xlfn.XLOOKUP(M1928,Cadastros!$D$6:$D$90,Cadastros!$E$6:$E$90))*(1-_xlfn.XLOOKUP(_xlfn.XLOOKUP($F1928,Clientes!$B$4:$B$39,Clientes!$C$4:$C$39),Cadastros!$L$6:$L$12,Cadastros!$N$6:$N$12)))</f>
        <v/>
      </c>
      <c r="P1928" s="168" t="str">
        <f t="shared" ref="P1928:P1991" si="392">IF(O1928="","",N1928*O1928)</f>
        <v/>
      </c>
      <c r="Q1928" s="168" t="str">
        <f>IFERROR(P1928/_xlfn.XLOOKUP(_xlfn.XLOOKUP($F1928,Clientes!$B$4:$B$39,Clientes!$C$4:$C$39),Cadastros!$L$6:$L$12,Cadastros!$M$6:$M$12)," ")</f>
        <v xml:space="preserve"> </v>
      </c>
      <c r="R1928" s="28"/>
      <c r="S1928" s="28"/>
      <c r="T1928" s="255" t="str">
        <f>IF(R1928="","",(_xlfn.XLOOKUP(R1928,Cadastros!$D$6:$D$90,Cadastros!$E$6:$E$90))*(1-_xlfn.XLOOKUP(_xlfn.XLOOKUP($F1928,Clientes!$B$4:$B$39,Clientes!$C$4:$C$39),Cadastros!$L$6:$L$12,Cadastros!$N$6:$N$12)))</f>
        <v/>
      </c>
      <c r="U1928" s="168" t="str">
        <f t="shared" ref="U1928:U1991" si="393">IF(T1928="","",S1928*T1928)</f>
        <v/>
      </c>
      <c r="V1928" s="168" t="str">
        <f>IFERROR(U1928/_xlfn.XLOOKUP(_xlfn.XLOOKUP($F1928,Clientes!$B$4:$B$39,Clientes!$C$4:$C$39),Cadastros!$L$6:$L$12,Cadastros!$M$6:$M$12)," ")</f>
        <v xml:space="preserve"> </v>
      </c>
      <c r="W1928" s="28"/>
      <c r="X1928" s="28"/>
      <c r="Y1928" s="255" t="str">
        <f>IF(W1928="","",(_xlfn.XLOOKUP(W1928,Cadastros!$D$6:$D$90,Cadastros!$E$6:$E$90))*(1-_xlfn.XLOOKUP(_xlfn.XLOOKUP($F1928,Clientes!$B$4:$B$39,Clientes!$C$4:$C$39),Cadastros!$L$6:$L$12,Cadastros!$N$6:$N$12)))</f>
        <v/>
      </c>
      <c r="Z1928" s="168" t="str">
        <f t="shared" ref="Z1928:Z1991" si="394">IF(Y1928="","",X1928*Y1928)</f>
        <v/>
      </c>
      <c r="AA1928" s="168" t="str">
        <f>IFERROR(Z1928/_xlfn.XLOOKUP(_xlfn.XLOOKUP($F1928,Clientes!$B$4:$B$39,Clientes!$C$4:$C$39),Cadastros!$L$6:$L$12,Cadastros!$M$6:$M$12)," ")</f>
        <v xml:space="preserve"> </v>
      </c>
      <c r="AB1928" s="28"/>
      <c r="AC1928" s="28"/>
      <c r="AD1928" s="20" t="str">
        <f>IF(AB1928="","",IF($F1928="Bernardino Furlan",_xlfn.XLOOKUP(AB1928,Cadastros!$G$6:$G$90,Cadastros!$H$6:$H$90)*(1-0.18),IF($F1928="Mauro José Salanti",_xlfn.XLOOKUP(AB1928,Cadastros!$G$6:$G$90,Cadastros!$H$6:$H$90)*(1-0.18),_xlfn.XLOOKUP(AB1928,Cadastros!$G$6:$G$90,Cadastros!$H$6:$H$90))))</f>
        <v/>
      </c>
      <c r="AE1928" s="168" t="str">
        <f t="shared" ref="AE1928:AE1991" si="395">IF(AD1928="","",AC1928*AD1928)</f>
        <v/>
      </c>
      <c r="AF1928" s="168" t="str">
        <f t="shared" ref="AF1928:AF1991" si="396">IFERROR(IF($F1928="Bernardino Furlan",AE1928/2751.92,IF($F1928="Mauro José Salanti",AE1928/2751.92,AE1928/3356)),"")</f>
        <v/>
      </c>
      <c r="AG1928" s="28"/>
      <c r="AH1928" s="28"/>
      <c r="AI1928" s="20" t="str">
        <f>IF(AG1928="","",IF($F1928="Bernardino Furlan",_xlfn.XLOOKUP(AG1928,Cadastros!$G$6:$G$90,Cadastros!$H$6:$H$90)*(1-0.18),IF($F1928="Mauro José Salanti",_xlfn.XLOOKUP(AG1928,Cadastros!$G$6:$G$90,Cadastros!$H$6:$H$90)*(1-0.18),_xlfn.XLOOKUP(AG1928,Cadastros!$G$6:$G$90,Cadastros!$H$6:$H$90))))</f>
        <v/>
      </c>
      <c r="AJ1928" s="168" t="str">
        <f t="shared" ref="AJ1928:AJ1991" si="397">IF(AI1928="","",AH1928*AI1928)</f>
        <v/>
      </c>
      <c r="AK1928" s="168" t="str">
        <f t="shared" ref="AK1928:AK1991" si="398">IFERROR(IF($F1928="Bernardino Furlan",AJ1928/2751.92,IF($F1928="Mauro José Salanti",AJ1928/2751.92,AJ1928/3356)),"")</f>
        <v/>
      </c>
      <c r="AL1928" s="28"/>
      <c r="AM1928" s="28"/>
      <c r="AN1928" s="20" t="str">
        <f>IF(AL1928="","",IF($F1928="Bernardino Furlan",_xlfn.XLOOKUP(AL1928,Cadastros!$G$6:$G$90,Cadastros!$H$6:$H$90)*(1-0.18),IF($F1928="Mauro José Salanti",_xlfn.XLOOKUP(AL1928,Cadastros!$G$6:$G$90,Cadastros!$H$6:$H$90)*(1-0.18),_xlfn.XLOOKUP(AL1928,Cadastros!$G$6:$G$90,Cadastros!$H$6:$H$90))))</f>
        <v/>
      </c>
      <c r="AO1928" s="168" t="str">
        <f t="shared" ref="AO1928:AO1991" si="399">IF(AN1928="","",AM1928*AN1928)</f>
        <v/>
      </c>
      <c r="AP1928" s="168" t="str">
        <f t="shared" ref="AP1928:AP1991" si="400">IFERROR(IF($F1928="Bernardino Furlan",AO1928/2751.92,IF($F1928="Mauro José Salanti",AO1928/2751.92,AO1928/3356)),"")</f>
        <v/>
      </c>
      <c r="AQ1928" s="28"/>
      <c r="AR1928" s="28"/>
      <c r="AS1928" s="20" t="str">
        <f>IF(AQ1928="","",IF($F1928="Bernardino Furlan",_xlfn.XLOOKUP(AQ1928,Cadastros!$G$6:$G$90,Cadastros!$H$6:$H$90)*(1-0.18),IF($F1928="Mauro José Salanti",_xlfn.XLOOKUP(AQ1928,Cadastros!$G$6:$G$90,Cadastros!$H$6:$H$90)*(1-0.18),_xlfn.XLOOKUP(AQ1928,Cadastros!$G$6:$G$90,Cadastros!$H$6:$H$90))))</f>
        <v/>
      </c>
      <c r="AT1928" s="168" t="str">
        <f t="shared" ref="AT1928:AT1991" si="401">IF(AS1928="","",AR1928*AS1928)</f>
        <v/>
      </c>
      <c r="AU1928" s="168" t="str">
        <f t="shared" ref="AU1928:AU1991" si="402">IFERROR(IF($F1928="Bernardino Furlan",AT1928/2751.92,IF($F1928="Mauro José Salanti",AT1928/2751.92,AT1928/3356)),"")</f>
        <v/>
      </c>
      <c r="AV1928" s="227"/>
      <c r="AW1928" s="30"/>
      <c r="AX1928" s="267"/>
      <c r="AY1928" s="267"/>
      <c r="AZ1928" s="29"/>
      <c r="BA1928" s="30"/>
      <c r="BB1928" s="23" t="str" cm="1">
        <f t="array" ref="BB1928">_xlfn.IFS(AW1928="SIM",SUM(K1928,P1928,U1928,Z1928,AE1928,AJ1928,AO1928,AT1928,AX1928,AY1928),F1928&lt;&gt;"",SUM(K1928,P1928,U1928,Z1928,AE1928,AJ1928,,AO1928,AT1928),F1928="","")</f>
        <v/>
      </c>
      <c r="BC1928" s="211" t="str" cm="1">
        <f t="array" ref="BC1928">_xlfn.IFS(E1928="","",G1928&lt;=E1928,BB1928*(1-0.03),G1928&lt;(E1928+8),BB1928,AZ1928="Boleto",BB1928*(1+0.001)^DATEDIF(E1928,G1928,"D"),AZ1928="Cheque",BB1928,AZ1928="Dinheiro","Alterar forma pgto")</f>
        <v/>
      </c>
      <c r="BD1928" s="276" t="str" cm="1">
        <f t="array" ref="BD1928">IF(F1928=0," ",IF(BC1928&lt;BB1928,(_xlfn.IFS(AW1928="SIM",SUM(L1928,Q1928,V1928,AA1928,AF1928,AK1928,AP1928,AU1928)+AX1928/_xlfn.XLOOKUP(_xlfn.XLOOKUP($F1928,Clientes!$B$4:$B$39,Clientes!$C$4:$C$39),Cadastros!$L$6:$L$12,Cadastros!$M$6:$M$12)+IF($F1928="Bernardino Furlan",AY1928/2751.92,IF($F1928="Mauro José Salanti",AY1928/2751.92,AY1928/3356)),F1928&lt;&gt;0,SUM(L1928,Q1928,V1928,AA1928,AF1928,AK1928,AP1928,AU1928)))*(1-0.03),_xlfn.IFS(AW1928="SIM",SUM(L1928,Q1928,V1928,AA1928,AF1928,AK1928,AP1928,AU1928)+AX1928/_xlfn.XLOOKUP(_xlfn.XLOOKUP($F1928,Clientes!$B$4:$B$39,Clientes!$C$4:$C$39),Cadastros!$L$6:$L$12,Cadastros!$M$6:$M$12)+IF($F1928="Bernardino Furlan",AY1928/2751.92,IF($F1928="Mauro José Salanti",AY1928/2751.92,AY1928/3356)),F1928&lt;&gt;0,SUM(L1928,Q1928,V1928,AA1928,AF1928,AK1928,AP1928,AU1928))))</f>
        <v xml:space="preserve"> </v>
      </c>
      <c r="BE1928" s="120"/>
      <c r="BF1928" s="120"/>
      <c r="BG1928" s="120"/>
    </row>
    <row r="1929" spans="1:59" s="3" customFormat="1" x14ac:dyDescent="0.3">
      <c r="A1929" s="15" t="str">
        <f t="shared" si="390"/>
        <v/>
      </c>
      <c r="B1929" s="25"/>
      <c r="C1929" s="26"/>
      <c r="D1929" s="279"/>
      <c r="E1929" s="27"/>
      <c r="F1929" s="28"/>
      <c r="G1929" s="27"/>
      <c r="H1929" s="28"/>
      <c r="I1929" s="28"/>
      <c r="J1929" s="255" t="str">
        <f>IF(H1929="","",(_xlfn.XLOOKUP(H1929,Cadastros!$D$6:$D$90,Cadastros!$E$6:$E$90))*(1-_xlfn.XLOOKUP(_xlfn.XLOOKUP($F1929,Clientes!$B$4:$B$39,Clientes!$C$4:$C$39),Cadastros!$L$6:$L$12,Cadastros!$N$6:$N$12)))</f>
        <v/>
      </c>
      <c r="K1929" s="168" t="str">
        <f t="shared" si="391"/>
        <v/>
      </c>
      <c r="L1929" s="168" t="str">
        <f>IFERROR(K1929/_xlfn.XLOOKUP(_xlfn.XLOOKUP($F1929,Clientes!$B$4:$B$39,Clientes!$C$4:$C$39),Cadastros!$L$6:$L$12,Cadastros!$M$6:$M$12)," ")</f>
        <v xml:space="preserve"> </v>
      </c>
      <c r="M1929" s="28"/>
      <c r="N1929" s="28"/>
      <c r="O1929" s="255" t="str">
        <f>IF(M1929="","",(_xlfn.XLOOKUP(M1929,Cadastros!$D$6:$D$90,Cadastros!$E$6:$E$90))*(1-_xlfn.XLOOKUP(_xlfn.XLOOKUP($F1929,Clientes!$B$4:$B$39,Clientes!$C$4:$C$39),Cadastros!$L$6:$L$12,Cadastros!$N$6:$N$12)))</f>
        <v/>
      </c>
      <c r="P1929" s="168" t="str">
        <f t="shared" si="392"/>
        <v/>
      </c>
      <c r="Q1929" s="168" t="str">
        <f>IFERROR(P1929/_xlfn.XLOOKUP(_xlfn.XLOOKUP($F1929,Clientes!$B$4:$B$39,Clientes!$C$4:$C$39),Cadastros!$L$6:$L$12,Cadastros!$M$6:$M$12)," ")</f>
        <v xml:space="preserve"> </v>
      </c>
      <c r="R1929" s="28"/>
      <c r="S1929" s="28"/>
      <c r="T1929" s="255" t="str">
        <f>IF(R1929="","",(_xlfn.XLOOKUP(R1929,Cadastros!$D$6:$D$90,Cadastros!$E$6:$E$90))*(1-_xlfn.XLOOKUP(_xlfn.XLOOKUP($F1929,Clientes!$B$4:$B$39,Clientes!$C$4:$C$39),Cadastros!$L$6:$L$12,Cadastros!$N$6:$N$12)))</f>
        <v/>
      </c>
      <c r="U1929" s="168" t="str">
        <f t="shared" si="393"/>
        <v/>
      </c>
      <c r="V1929" s="168" t="str">
        <f>IFERROR(U1929/_xlfn.XLOOKUP(_xlfn.XLOOKUP($F1929,Clientes!$B$4:$B$39,Clientes!$C$4:$C$39),Cadastros!$L$6:$L$12,Cadastros!$M$6:$M$12)," ")</f>
        <v xml:space="preserve"> </v>
      </c>
      <c r="W1929" s="28"/>
      <c r="X1929" s="28"/>
      <c r="Y1929" s="255" t="str">
        <f>IF(W1929="","",(_xlfn.XLOOKUP(W1929,Cadastros!$D$6:$D$90,Cadastros!$E$6:$E$90))*(1-_xlfn.XLOOKUP(_xlfn.XLOOKUP($F1929,Clientes!$B$4:$B$39,Clientes!$C$4:$C$39),Cadastros!$L$6:$L$12,Cadastros!$N$6:$N$12)))</f>
        <v/>
      </c>
      <c r="Z1929" s="168" t="str">
        <f t="shared" si="394"/>
        <v/>
      </c>
      <c r="AA1929" s="168" t="str">
        <f>IFERROR(Z1929/_xlfn.XLOOKUP(_xlfn.XLOOKUP($F1929,Clientes!$B$4:$B$39,Clientes!$C$4:$C$39),Cadastros!$L$6:$L$12,Cadastros!$M$6:$M$12)," ")</f>
        <v xml:space="preserve"> </v>
      </c>
      <c r="AB1929" s="28"/>
      <c r="AC1929" s="28"/>
      <c r="AD1929" s="20" t="str">
        <f>IF(AB1929="","",IF($F1929="Bernardino Furlan",_xlfn.XLOOKUP(AB1929,Cadastros!$G$6:$G$90,Cadastros!$H$6:$H$90)*(1-0.18),IF($F1929="Mauro José Salanti",_xlfn.XLOOKUP(AB1929,Cadastros!$G$6:$G$90,Cadastros!$H$6:$H$90)*(1-0.18),_xlfn.XLOOKUP(AB1929,Cadastros!$G$6:$G$90,Cadastros!$H$6:$H$90))))</f>
        <v/>
      </c>
      <c r="AE1929" s="168" t="str">
        <f t="shared" si="395"/>
        <v/>
      </c>
      <c r="AF1929" s="168" t="str">
        <f t="shared" si="396"/>
        <v/>
      </c>
      <c r="AG1929" s="28"/>
      <c r="AH1929" s="28"/>
      <c r="AI1929" s="20" t="str">
        <f>IF(AG1929="","",IF($F1929="Bernardino Furlan",_xlfn.XLOOKUP(AG1929,Cadastros!$G$6:$G$90,Cadastros!$H$6:$H$90)*(1-0.18),IF($F1929="Mauro José Salanti",_xlfn.XLOOKUP(AG1929,Cadastros!$G$6:$G$90,Cadastros!$H$6:$H$90)*(1-0.18),_xlfn.XLOOKUP(AG1929,Cadastros!$G$6:$G$90,Cadastros!$H$6:$H$90))))</f>
        <v/>
      </c>
      <c r="AJ1929" s="168" t="str">
        <f t="shared" si="397"/>
        <v/>
      </c>
      <c r="AK1929" s="168" t="str">
        <f t="shared" si="398"/>
        <v/>
      </c>
      <c r="AL1929" s="28"/>
      <c r="AM1929" s="28"/>
      <c r="AN1929" s="20" t="str">
        <f>IF(AL1929="","",IF($F1929="Bernardino Furlan",_xlfn.XLOOKUP(AL1929,Cadastros!$G$6:$G$90,Cadastros!$H$6:$H$90)*(1-0.18),IF($F1929="Mauro José Salanti",_xlfn.XLOOKUP(AL1929,Cadastros!$G$6:$G$90,Cadastros!$H$6:$H$90)*(1-0.18),_xlfn.XLOOKUP(AL1929,Cadastros!$G$6:$G$90,Cadastros!$H$6:$H$90))))</f>
        <v/>
      </c>
      <c r="AO1929" s="168" t="str">
        <f t="shared" si="399"/>
        <v/>
      </c>
      <c r="AP1929" s="168" t="str">
        <f t="shared" si="400"/>
        <v/>
      </c>
      <c r="AQ1929" s="28"/>
      <c r="AR1929" s="28"/>
      <c r="AS1929" s="20" t="str">
        <f>IF(AQ1929="","",IF($F1929="Bernardino Furlan",_xlfn.XLOOKUP(AQ1929,Cadastros!$G$6:$G$90,Cadastros!$H$6:$H$90)*(1-0.18),IF($F1929="Mauro José Salanti",_xlfn.XLOOKUP(AQ1929,Cadastros!$G$6:$G$90,Cadastros!$H$6:$H$90)*(1-0.18),_xlfn.XLOOKUP(AQ1929,Cadastros!$G$6:$G$90,Cadastros!$H$6:$H$90))))</f>
        <v/>
      </c>
      <c r="AT1929" s="168" t="str">
        <f t="shared" si="401"/>
        <v/>
      </c>
      <c r="AU1929" s="168" t="str">
        <f t="shared" si="402"/>
        <v/>
      </c>
      <c r="AV1929" s="227"/>
      <c r="AW1929" s="30"/>
      <c r="AX1929" s="267"/>
      <c r="AY1929" s="267"/>
      <c r="AZ1929" s="29"/>
      <c r="BA1929" s="30"/>
      <c r="BB1929" s="23" t="str" cm="1">
        <f t="array" ref="BB1929">_xlfn.IFS(AW1929="SIM",SUM(K1929,P1929,U1929,Z1929,AE1929,AJ1929,AO1929,AT1929,AX1929,AY1929),F1929&lt;&gt;"",SUM(K1929,P1929,U1929,Z1929,AE1929,AJ1929,,AO1929,AT1929),F1929="","")</f>
        <v/>
      </c>
      <c r="BC1929" s="211" t="str" cm="1">
        <f t="array" ref="BC1929">_xlfn.IFS(E1929="","",G1929&lt;=E1929,BB1929*(1-0.03),G1929&lt;(E1929+8),BB1929,AZ1929="Boleto",BB1929*(1+0.001)^DATEDIF(E1929,G1929,"D"),AZ1929="Cheque",BB1929,AZ1929="Dinheiro","Alterar forma pgto")</f>
        <v/>
      </c>
      <c r="BD1929" s="276" t="str" cm="1">
        <f t="array" ref="BD1929">IF(F1929=0," ",IF(BC1929&lt;BB1929,(_xlfn.IFS(AW1929="SIM",SUM(L1929,Q1929,V1929,AA1929,AF1929,AK1929,AP1929,AU1929)+AX1929/_xlfn.XLOOKUP(_xlfn.XLOOKUP($F1929,Clientes!$B$4:$B$39,Clientes!$C$4:$C$39),Cadastros!$L$6:$L$12,Cadastros!$M$6:$M$12)+IF($F1929="Bernardino Furlan",AY1929/2751.92,IF($F1929="Mauro José Salanti",AY1929/2751.92,AY1929/3356)),F1929&lt;&gt;0,SUM(L1929,Q1929,V1929,AA1929,AF1929,AK1929,AP1929,AU1929)))*(1-0.03),_xlfn.IFS(AW1929="SIM",SUM(L1929,Q1929,V1929,AA1929,AF1929,AK1929,AP1929,AU1929)+AX1929/_xlfn.XLOOKUP(_xlfn.XLOOKUP($F1929,Clientes!$B$4:$B$39,Clientes!$C$4:$C$39),Cadastros!$L$6:$L$12,Cadastros!$M$6:$M$12)+IF($F1929="Bernardino Furlan",AY1929/2751.92,IF($F1929="Mauro José Salanti",AY1929/2751.92,AY1929/3356)),F1929&lt;&gt;0,SUM(L1929,Q1929,V1929,AA1929,AF1929,AK1929,AP1929,AU1929))))</f>
        <v xml:space="preserve"> </v>
      </c>
      <c r="BE1929" s="120"/>
      <c r="BF1929" s="120"/>
      <c r="BG1929" s="120"/>
    </row>
    <row r="1930" spans="1:59" s="3" customFormat="1" x14ac:dyDescent="0.3">
      <c r="A1930" s="15" t="str">
        <f t="shared" si="390"/>
        <v/>
      </c>
      <c r="B1930" s="25"/>
      <c r="C1930" s="26"/>
      <c r="D1930" s="279"/>
      <c r="E1930" s="27"/>
      <c r="F1930" s="28"/>
      <c r="G1930" s="27"/>
      <c r="H1930" s="28"/>
      <c r="I1930" s="28"/>
      <c r="J1930" s="255" t="str">
        <f>IF(H1930="","",(_xlfn.XLOOKUP(H1930,Cadastros!$D$6:$D$90,Cadastros!$E$6:$E$90))*(1-_xlfn.XLOOKUP(_xlfn.XLOOKUP($F1930,Clientes!$B$4:$B$39,Clientes!$C$4:$C$39),Cadastros!$L$6:$L$12,Cadastros!$N$6:$N$12)))</f>
        <v/>
      </c>
      <c r="K1930" s="168" t="str">
        <f t="shared" si="391"/>
        <v/>
      </c>
      <c r="L1930" s="168" t="str">
        <f>IFERROR(K1930/_xlfn.XLOOKUP(_xlfn.XLOOKUP($F1930,Clientes!$B$4:$B$39,Clientes!$C$4:$C$39),Cadastros!$L$6:$L$12,Cadastros!$M$6:$M$12)," ")</f>
        <v xml:space="preserve"> </v>
      </c>
      <c r="M1930" s="28"/>
      <c r="N1930" s="28"/>
      <c r="O1930" s="255" t="str">
        <f>IF(M1930="","",(_xlfn.XLOOKUP(M1930,Cadastros!$D$6:$D$90,Cadastros!$E$6:$E$90))*(1-_xlfn.XLOOKUP(_xlfn.XLOOKUP($F1930,Clientes!$B$4:$B$39,Clientes!$C$4:$C$39),Cadastros!$L$6:$L$12,Cadastros!$N$6:$N$12)))</f>
        <v/>
      </c>
      <c r="P1930" s="168" t="str">
        <f t="shared" si="392"/>
        <v/>
      </c>
      <c r="Q1930" s="168" t="str">
        <f>IFERROR(P1930/_xlfn.XLOOKUP(_xlfn.XLOOKUP($F1930,Clientes!$B$4:$B$39,Clientes!$C$4:$C$39),Cadastros!$L$6:$L$12,Cadastros!$M$6:$M$12)," ")</f>
        <v xml:space="preserve"> </v>
      </c>
      <c r="R1930" s="28"/>
      <c r="S1930" s="28"/>
      <c r="T1930" s="255" t="str">
        <f>IF(R1930="","",(_xlfn.XLOOKUP(R1930,Cadastros!$D$6:$D$90,Cadastros!$E$6:$E$90))*(1-_xlfn.XLOOKUP(_xlfn.XLOOKUP($F1930,Clientes!$B$4:$B$39,Clientes!$C$4:$C$39),Cadastros!$L$6:$L$12,Cadastros!$N$6:$N$12)))</f>
        <v/>
      </c>
      <c r="U1930" s="168" t="str">
        <f t="shared" si="393"/>
        <v/>
      </c>
      <c r="V1930" s="168" t="str">
        <f>IFERROR(U1930/_xlfn.XLOOKUP(_xlfn.XLOOKUP($F1930,Clientes!$B$4:$B$39,Clientes!$C$4:$C$39),Cadastros!$L$6:$L$12,Cadastros!$M$6:$M$12)," ")</f>
        <v xml:space="preserve"> </v>
      </c>
      <c r="W1930" s="28"/>
      <c r="X1930" s="28"/>
      <c r="Y1930" s="255" t="str">
        <f>IF(W1930="","",(_xlfn.XLOOKUP(W1930,Cadastros!$D$6:$D$90,Cadastros!$E$6:$E$90))*(1-_xlfn.XLOOKUP(_xlfn.XLOOKUP($F1930,Clientes!$B$4:$B$39,Clientes!$C$4:$C$39),Cadastros!$L$6:$L$12,Cadastros!$N$6:$N$12)))</f>
        <v/>
      </c>
      <c r="Z1930" s="168" t="str">
        <f t="shared" si="394"/>
        <v/>
      </c>
      <c r="AA1930" s="168" t="str">
        <f>IFERROR(Z1930/_xlfn.XLOOKUP(_xlfn.XLOOKUP($F1930,Clientes!$B$4:$B$39,Clientes!$C$4:$C$39),Cadastros!$L$6:$L$12,Cadastros!$M$6:$M$12)," ")</f>
        <v xml:space="preserve"> </v>
      </c>
      <c r="AB1930" s="28"/>
      <c r="AC1930" s="28"/>
      <c r="AD1930" s="20" t="str">
        <f>IF(AB1930="","",IF($F1930="Bernardino Furlan",_xlfn.XLOOKUP(AB1930,Cadastros!$G$6:$G$90,Cadastros!$H$6:$H$90)*(1-0.18),IF($F1930="Mauro José Salanti",_xlfn.XLOOKUP(AB1930,Cadastros!$G$6:$G$90,Cadastros!$H$6:$H$90)*(1-0.18),_xlfn.XLOOKUP(AB1930,Cadastros!$G$6:$G$90,Cadastros!$H$6:$H$90))))</f>
        <v/>
      </c>
      <c r="AE1930" s="168" t="str">
        <f t="shared" si="395"/>
        <v/>
      </c>
      <c r="AF1930" s="168" t="str">
        <f t="shared" si="396"/>
        <v/>
      </c>
      <c r="AG1930" s="28"/>
      <c r="AH1930" s="28"/>
      <c r="AI1930" s="20" t="str">
        <f>IF(AG1930="","",IF($F1930="Bernardino Furlan",_xlfn.XLOOKUP(AG1930,Cadastros!$G$6:$G$90,Cadastros!$H$6:$H$90)*(1-0.18),IF($F1930="Mauro José Salanti",_xlfn.XLOOKUP(AG1930,Cadastros!$G$6:$G$90,Cadastros!$H$6:$H$90)*(1-0.18),_xlfn.XLOOKUP(AG1930,Cadastros!$G$6:$G$90,Cadastros!$H$6:$H$90))))</f>
        <v/>
      </c>
      <c r="AJ1930" s="168" t="str">
        <f t="shared" si="397"/>
        <v/>
      </c>
      <c r="AK1930" s="168" t="str">
        <f t="shared" si="398"/>
        <v/>
      </c>
      <c r="AL1930" s="28"/>
      <c r="AM1930" s="28"/>
      <c r="AN1930" s="20" t="str">
        <f>IF(AL1930="","",IF($F1930="Bernardino Furlan",_xlfn.XLOOKUP(AL1930,Cadastros!$G$6:$G$90,Cadastros!$H$6:$H$90)*(1-0.18),IF($F1930="Mauro José Salanti",_xlfn.XLOOKUP(AL1930,Cadastros!$G$6:$G$90,Cadastros!$H$6:$H$90)*(1-0.18),_xlfn.XLOOKUP(AL1930,Cadastros!$G$6:$G$90,Cadastros!$H$6:$H$90))))</f>
        <v/>
      </c>
      <c r="AO1930" s="168" t="str">
        <f t="shared" si="399"/>
        <v/>
      </c>
      <c r="AP1930" s="168" t="str">
        <f t="shared" si="400"/>
        <v/>
      </c>
      <c r="AQ1930" s="28"/>
      <c r="AR1930" s="28"/>
      <c r="AS1930" s="20" t="str">
        <f>IF(AQ1930="","",IF($F1930="Bernardino Furlan",_xlfn.XLOOKUP(AQ1930,Cadastros!$G$6:$G$90,Cadastros!$H$6:$H$90)*(1-0.18),IF($F1930="Mauro José Salanti",_xlfn.XLOOKUP(AQ1930,Cadastros!$G$6:$G$90,Cadastros!$H$6:$H$90)*(1-0.18),_xlfn.XLOOKUP(AQ1930,Cadastros!$G$6:$G$90,Cadastros!$H$6:$H$90))))</f>
        <v/>
      </c>
      <c r="AT1930" s="168" t="str">
        <f t="shared" si="401"/>
        <v/>
      </c>
      <c r="AU1930" s="168" t="str">
        <f t="shared" si="402"/>
        <v/>
      </c>
      <c r="AV1930" s="227"/>
      <c r="AW1930" s="30"/>
      <c r="AX1930" s="267"/>
      <c r="AY1930" s="267"/>
      <c r="AZ1930" s="29"/>
      <c r="BA1930" s="30"/>
      <c r="BB1930" s="23" t="str" cm="1">
        <f t="array" ref="BB1930">_xlfn.IFS(AW1930="SIM",SUM(K1930,P1930,U1930,Z1930,AE1930,AJ1930,AO1930,AT1930,AX1930,AY1930),F1930&lt;&gt;"",SUM(K1930,P1930,U1930,Z1930,AE1930,AJ1930,,AO1930,AT1930),F1930="","")</f>
        <v/>
      </c>
      <c r="BC1930" s="211" t="str" cm="1">
        <f t="array" ref="BC1930">_xlfn.IFS(E1930="","",G1930&lt;=E1930,BB1930*(1-0.03),G1930&lt;(E1930+8),BB1930,AZ1930="Boleto",BB1930*(1+0.001)^DATEDIF(E1930,G1930,"D"),AZ1930="Cheque",BB1930,AZ1930="Dinheiro","Alterar forma pgto")</f>
        <v/>
      </c>
      <c r="BD1930" s="276" t="str" cm="1">
        <f t="array" ref="BD1930">IF(F1930=0," ",IF(BC1930&lt;BB1930,(_xlfn.IFS(AW1930="SIM",SUM(L1930,Q1930,V1930,AA1930,AF1930,AK1930,AP1930,AU1930)+AX1930/_xlfn.XLOOKUP(_xlfn.XLOOKUP($F1930,Clientes!$B$4:$B$39,Clientes!$C$4:$C$39),Cadastros!$L$6:$L$12,Cadastros!$M$6:$M$12)+IF($F1930="Bernardino Furlan",AY1930/2751.92,IF($F1930="Mauro José Salanti",AY1930/2751.92,AY1930/3356)),F1930&lt;&gt;0,SUM(L1930,Q1930,V1930,AA1930,AF1930,AK1930,AP1930,AU1930)))*(1-0.03),_xlfn.IFS(AW1930="SIM",SUM(L1930,Q1930,V1930,AA1930,AF1930,AK1930,AP1930,AU1930)+AX1930/_xlfn.XLOOKUP(_xlfn.XLOOKUP($F1930,Clientes!$B$4:$B$39,Clientes!$C$4:$C$39),Cadastros!$L$6:$L$12,Cadastros!$M$6:$M$12)+IF($F1930="Bernardino Furlan",AY1930/2751.92,IF($F1930="Mauro José Salanti",AY1930/2751.92,AY1930/3356)),F1930&lt;&gt;0,SUM(L1930,Q1930,V1930,AA1930,AF1930,AK1930,AP1930,AU1930))))</f>
        <v xml:space="preserve"> </v>
      </c>
      <c r="BE1930" s="120"/>
      <c r="BF1930" s="120"/>
      <c r="BG1930" s="120"/>
    </row>
    <row r="1931" spans="1:59" s="3" customFormat="1" x14ac:dyDescent="0.3">
      <c r="A1931" s="15" t="str">
        <f t="shared" si="390"/>
        <v/>
      </c>
      <c r="B1931" s="25"/>
      <c r="C1931" s="26"/>
      <c r="D1931" s="279"/>
      <c r="E1931" s="27"/>
      <c r="F1931" s="28"/>
      <c r="G1931" s="27"/>
      <c r="H1931" s="28"/>
      <c r="I1931" s="28"/>
      <c r="J1931" s="255" t="str">
        <f>IF(H1931="","",(_xlfn.XLOOKUP(H1931,Cadastros!$D$6:$D$90,Cadastros!$E$6:$E$90))*(1-_xlfn.XLOOKUP(_xlfn.XLOOKUP($F1931,Clientes!$B$4:$B$39,Clientes!$C$4:$C$39),Cadastros!$L$6:$L$12,Cadastros!$N$6:$N$12)))</f>
        <v/>
      </c>
      <c r="K1931" s="168" t="str">
        <f t="shared" si="391"/>
        <v/>
      </c>
      <c r="L1931" s="168" t="str">
        <f>IFERROR(K1931/_xlfn.XLOOKUP(_xlfn.XLOOKUP($F1931,Clientes!$B$4:$B$39,Clientes!$C$4:$C$39),Cadastros!$L$6:$L$12,Cadastros!$M$6:$M$12)," ")</f>
        <v xml:space="preserve"> </v>
      </c>
      <c r="M1931" s="28"/>
      <c r="N1931" s="28"/>
      <c r="O1931" s="255" t="str">
        <f>IF(M1931="","",(_xlfn.XLOOKUP(M1931,Cadastros!$D$6:$D$90,Cadastros!$E$6:$E$90))*(1-_xlfn.XLOOKUP(_xlfn.XLOOKUP($F1931,Clientes!$B$4:$B$39,Clientes!$C$4:$C$39),Cadastros!$L$6:$L$12,Cadastros!$N$6:$N$12)))</f>
        <v/>
      </c>
      <c r="P1931" s="168" t="str">
        <f t="shared" si="392"/>
        <v/>
      </c>
      <c r="Q1931" s="168" t="str">
        <f>IFERROR(P1931/_xlfn.XLOOKUP(_xlfn.XLOOKUP($F1931,Clientes!$B$4:$B$39,Clientes!$C$4:$C$39),Cadastros!$L$6:$L$12,Cadastros!$M$6:$M$12)," ")</f>
        <v xml:space="preserve"> </v>
      </c>
      <c r="R1931" s="28"/>
      <c r="S1931" s="28"/>
      <c r="T1931" s="255" t="str">
        <f>IF(R1931="","",(_xlfn.XLOOKUP(R1931,Cadastros!$D$6:$D$90,Cadastros!$E$6:$E$90))*(1-_xlfn.XLOOKUP(_xlfn.XLOOKUP($F1931,Clientes!$B$4:$B$39,Clientes!$C$4:$C$39),Cadastros!$L$6:$L$12,Cadastros!$N$6:$N$12)))</f>
        <v/>
      </c>
      <c r="U1931" s="168" t="str">
        <f t="shared" si="393"/>
        <v/>
      </c>
      <c r="V1931" s="168" t="str">
        <f>IFERROR(U1931/_xlfn.XLOOKUP(_xlfn.XLOOKUP($F1931,Clientes!$B$4:$B$39,Clientes!$C$4:$C$39),Cadastros!$L$6:$L$12,Cadastros!$M$6:$M$12)," ")</f>
        <v xml:space="preserve"> </v>
      </c>
      <c r="W1931" s="28"/>
      <c r="X1931" s="28"/>
      <c r="Y1931" s="255" t="str">
        <f>IF(W1931="","",(_xlfn.XLOOKUP(W1931,Cadastros!$D$6:$D$90,Cadastros!$E$6:$E$90))*(1-_xlfn.XLOOKUP(_xlfn.XLOOKUP($F1931,Clientes!$B$4:$B$39,Clientes!$C$4:$C$39),Cadastros!$L$6:$L$12,Cadastros!$N$6:$N$12)))</f>
        <v/>
      </c>
      <c r="Z1931" s="168" t="str">
        <f t="shared" si="394"/>
        <v/>
      </c>
      <c r="AA1931" s="168" t="str">
        <f>IFERROR(Z1931/_xlfn.XLOOKUP(_xlfn.XLOOKUP($F1931,Clientes!$B$4:$B$39,Clientes!$C$4:$C$39),Cadastros!$L$6:$L$12,Cadastros!$M$6:$M$12)," ")</f>
        <v xml:space="preserve"> </v>
      </c>
      <c r="AB1931" s="28"/>
      <c r="AC1931" s="28"/>
      <c r="AD1931" s="20" t="str">
        <f>IF(AB1931="","",IF($F1931="Bernardino Furlan",_xlfn.XLOOKUP(AB1931,Cadastros!$G$6:$G$90,Cadastros!$H$6:$H$90)*(1-0.18),IF($F1931="Mauro José Salanti",_xlfn.XLOOKUP(AB1931,Cadastros!$G$6:$G$90,Cadastros!$H$6:$H$90)*(1-0.18),_xlfn.XLOOKUP(AB1931,Cadastros!$G$6:$G$90,Cadastros!$H$6:$H$90))))</f>
        <v/>
      </c>
      <c r="AE1931" s="168" t="str">
        <f t="shared" si="395"/>
        <v/>
      </c>
      <c r="AF1931" s="168" t="str">
        <f t="shared" si="396"/>
        <v/>
      </c>
      <c r="AG1931" s="28"/>
      <c r="AH1931" s="28"/>
      <c r="AI1931" s="20" t="str">
        <f>IF(AG1931="","",IF($F1931="Bernardino Furlan",_xlfn.XLOOKUP(AG1931,Cadastros!$G$6:$G$90,Cadastros!$H$6:$H$90)*(1-0.18),IF($F1931="Mauro José Salanti",_xlfn.XLOOKUP(AG1931,Cadastros!$G$6:$G$90,Cadastros!$H$6:$H$90)*(1-0.18),_xlfn.XLOOKUP(AG1931,Cadastros!$G$6:$G$90,Cadastros!$H$6:$H$90))))</f>
        <v/>
      </c>
      <c r="AJ1931" s="168" t="str">
        <f t="shared" si="397"/>
        <v/>
      </c>
      <c r="AK1931" s="168" t="str">
        <f t="shared" si="398"/>
        <v/>
      </c>
      <c r="AL1931" s="28"/>
      <c r="AM1931" s="28"/>
      <c r="AN1931" s="20" t="str">
        <f>IF(AL1931="","",IF($F1931="Bernardino Furlan",_xlfn.XLOOKUP(AL1931,Cadastros!$G$6:$G$90,Cadastros!$H$6:$H$90)*(1-0.18),IF($F1931="Mauro José Salanti",_xlfn.XLOOKUP(AL1931,Cadastros!$G$6:$G$90,Cadastros!$H$6:$H$90)*(1-0.18),_xlfn.XLOOKUP(AL1931,Cadastros!$G$6:$G$90,Cadastros!$H$6:$H$90))))</f>
        <v/>
      </c>
      <c r="AO1931" s="168" t="str">
        <f t="shared" si="399"/>
        <v/>
      </c>
      <c r="AP1931" s="168" t="str">
        <f t="shared" si="400"/>
        <v/>
      </c>
      <c r="AQ1931" s="28"/>
      <c r="AR1931" s="28"/>
      <c r="AS1931" s="20" t="str">
        <f>IF(AQ1931="","",IF($F1931="Bernardino Furlan",_xlfn.XLOOKUP(AQ1931,Cadastros!$G$6:$G$90,Cadastros!$H$6:$H$90)*(1-0.18),IF($F1931="Mauro José Salanti",_xlfn.XLOOKUP(AQ1931,Cadastros!$G$6:$G$90,Cadastros!$H$6:$H$90)*(1-0.18),_xlfn.XLOOKUP(AQ1931,Cadastros!$G$6:$G$90,Cadastros!$H$6:$H$90))))</f>
        <v/>
      </c>
      <c r="AT1931" s="168" t="str">
        <f t="shared" si="401"/>
        <v/>
      </c>
      <c r="AU1931" s="168" t="str">
        <f t="shared" si="402"/>
        <v/>
      </c>
      <c r="AV1931" s="227"/>
      <c r="AW1931" s="30"/>
      <c r="AX1931" s="267"/>
      <c r="AY1931" s="267"/>
      <c r="AZ1931" s="29"/>
      <c r="BA1931" s="30"/>
      <c r="BB1931" s="23" t="str" cm="1">
        <f t="array" ref="BB1931">_xlfn.IFS(AW1931="SIM",SUM(K1931,P1931,U1931,Z1931,AE1931,AJ1931,AO1931,AT1931,AX1931,AY1931),F1931&lt;&gt;"",SUM(K1931,P1931,U1931,Z1931,AE1931,AJ1931,,AO1931,AT1931),F1931="","")</f>
        <v/>
      </c>
      <c r="BC1931" s="211" t="str" cm="1">
        <f t="array" ref="BC1931">_xlfn.IFS(E1931="","",G1931&lt;=E1931,BB1931*(1-0.03),G1931&lt;(E1931+8),BB1931,AZ1931="Boleto",BB1931*(1+0.001)^DATEDIF(E1931,G1931,"D"),AZ1931="Cheque",BB1931,AZ1931="Dinheiro","Alterar forma pgto")</f>
        <v/>
      </c>
      <c r="BD1931" s="276" t="str" cm="1">
        <f t="array" ref="BD1931">IF(F1931=0," ",IF(BC1931&lt;BB1931,(_xlfn.IFS(AW1931="SIM",SUM(L1931,Q1931,V1931,AA1931,AF1931,AK1931,AP1931,AU1931)+AX1931/_xlfn.XLOOKUP(_xlfn.XLOOKUP($F1931,Clientes!$B$4:$B$39,Clientes!$C$4:$C$39),Cadastros!$L$6:$L$12,Cadastros!$M$6:$M$12)+IF($F1931="Bernardino Furlan",AY1931/2751.92,IF($F1931="Mauro José Salanti",AY1931/2751.92,AY1931/3356)),F1931&lt;&gt;0,SUM(L1931,Q1931,V1931,AA1931,AF1931,AK1931,AP1931,AU1931)))*(1-0.03),_xlfn.IFS(AW1931="SIM",SUM(L1931,Q1931,V1931,AA1931,AF1931,AK1931,AP1931,AU1931)+AX1931/_xlfn.XLOOKUP(_xlfn.XLOOKUP($F1931,Clientes!$B$4:$B$39,Clientes!$C$4:$C$39),Cadastros!$L$6:$L$12,Cadastros!$M$6:$M$12)+IF($F1931="Bernardino Furlan",AY1931/2751.92,IF($F1931="Mauro José Salanti",AY1931/2751.92,AY1931/3356)),F1931&lt;&gt;0,SUM(L1931,Q1931,V1931,AA1931,AF1931,AK1931,AP1931,AU1931))))</f>
        <v xml:space="preserve"> </v>
      </c>
      <c r="BE1931" s="120"/>
      <c r="BF1931" s="120"/>
      <c r="BG1931" s="120"/>
    </row>
    <row r="1932" spans="1:59" s="3" customFormat="1" x14ac:dyDescent="0.3">
      <c r="A1932" s="15" t="str">
        <f t="shared" si="390"/>
        <v/>
      </c>
      <c r="B1932" s="25"/>
      <c r="C1932" s="26"/>
      <c r="D1932" s="279"/>
      <c r="E1932" s="27"/>
      <c r="F1932" s="28"/>
      <c r="G1932" s="27"/>
      <c r="H1932" s="28"/>
      <c r="I1932" s="28"/>
      <c r="J1932" s="255" t="str">
        <f>IF(H1932="","",(_xlfn.XLOOKUP(H1932,Cadastros!$D$6:$D$90,Cadastros!$E$6:$E$90))*(1-_xlfn.XLOOKUP(_xlfn.XLOOKUP($F1932,Clientes!$B$4:$B$39,Clientes!$C$4:$C$39),Cadastros!$L$6:$L$12,Cadastros!$N$6:$N$12)))</f>
        <v/>
      </c>
      <c r="K1932" s="168" t="str">
        <f t="shared" si="391"/>
        <v/>
      </c>
      <c r="L1932" s="168" t="str">
        <f>IFERROR(K1932/_xlfn.XLOOKUP(_xlfn.XLOOKUP($F1932,Clientes!$B$4:$B$39,Clientes!$C$4:$C$39),Cadastros!$L$6:$L$12,Cadastros!$M$6:$M$12)," ")</f>
        <v xml:space="preserve"> </v>
      </c>
      <c r="M1932" s="28"/>
      <c r="N1932" s="28"/>
      <c r="O1932" s="255" t="str">
        <f>IF(M1932="","",(_xlfn.XLOOKUP(M1932,Cadastros!$D$6:$D$90,Cadastros!$E$6:$E$90))*(1-_xlfn.XLOOKUP(_xlfn.XLOOKUP($F1932,Clientes!$B$4:$B$39,Clientes!$C$4:$C$39),Cadastros!$L$6:$L$12,Cadastros!$N$6:$N$12)))</f>
        <v/>
      </c>
      <c r="P1932" s="168" t="str">
        <f t="shared" si="392"/>
        <v/>
      </c>
      <c r="Q1932" s="168" t="str">
        <f>IFERROR(P1932/_xlfn.XLOOKUP(_xlfn.XLOOKUP($F1932,Clientes!$B$4:$B$39,Clientes!$C$4:$C$39),Cadastros!$L$6:$L$12,Cadastros!$M$6:$M$12)," ")</f>
        <v xml:space="preserve"> </v>
      </c>
      <c r="R1932" s="28"/>
      <c r="S1932" s="28"/>
      <c r="T1932" s="255" t="str">
        <f>IF(R1932="","",(_xlfn.XLOOKUP(R1932,Cadastros!$D$6:$D$90,Cadastros!$E$6:$E$90))*(1-_xlfn.XLOOKUP(_xlfn.XLOOKUP($F1932,Clientes!$B$4:$B$39,Clientes!$C$4:$C$39),Cadastros!$L$6:$L$12,Cadastros!$N$6:$N$12)))</f>
        <v/>
      </c>
      <c r="U1932" s="168" t="str">
        <f t="shared" si="393"/>
        <v/>
      </c>
      <c r="V1932" s="168" t="str">
        <f>IFERROR(U1932/_xlfn.XLOOKUP(_xlfn.XLOOKUP($F1932,Clientes!$B$4:$B$39,Clientes!$C$4:$C$39),Cadastros!$L$6:$L$12,Cadastros!$M$6:$M$12)," ")</f>
        <v xml:space="preserve"> </v>
      </c>
      <c r="W1932" s="28"/>
      <c r="X1932" s="28"/>
      <c r="Y1932" s="255" t="str">
        <f>IF(W1932="","",(_xlfn.XLOOKUP(W1932,Cadastros!$D$6:$D$90,Cadastros!$E$6:$E$90))*(1-_xlfn.XLOOKUP(_xlfn.XLOOKUP($F1932,Clientes!$B$4:$B$39,Clientes!$C$4:$C$39),Cadastros!$L$6:$L$12,Cadastros!$N$6:$N$12)))</f>
        <v/>
      </c>
      <c r="Z1932" s="168" t="str">
        <f t="shared" si="394"/>
        <v/>
      </c>
      <c r="AA1932" s="168" t="str">
        <f>IFERROR(Z1932/_xlfn.XLOOKUP(_xlfn.XLOOKUP($F1932,Clientes!$B$4:$B$39,Clientes!$C$4:$C$39),Cadastros!$L$6:$L$12,Cadastros!$M$6:$M$12)," ")</f>
        <v xml:space="preserve"> </v>
      </c>
      <c r="AB1932" s="28"/>
      <c r="AC1932" s="28"/>
      <c r="AD1932" s="20" t="str">
        <f>IF(AB1932="","",IF($F1932="Bernardino Furlan",_xlfn.XLOOKUP(AB1932,Cadastros!$G$6:$G$90,Cadastros!$H$6:$H$90)*(1-0.18),IF($F1932="Mauro José Salanti",_xlfn.XLOOKUP(AB1932,Cadastros!$G$6:$G$90,Cadastros!$H$6:$H$90)*(1-0.18),_xlfn.XLOOKUP(AB1932,Cadastros!$G$6:$G$90,Cadastros!$H$6:$H$90))))</f>
        <v/>
      </c>
      <c r="AE1932" s="168" t="str">
        <f t="shared" si="395"/>
        <v/>
      </c>
      <c r="AF1932" s="168" t="str">
        <f t="shared" si="396"/>
        <v/>
      </c>
      <c r="AG1932" s="28"/>
      <c r="AH1932" s="28"/>
      <c r="AI1932" s="20" t="str">
        <f>IF(AG1932="","",IF($F1932="Bernardino Furlan",_xlfn.XLOOKUP(AG1932,Cadastros!$G$6:$G$90,Cadastros!$H$6:$H$90)*(1-0.18),IF($F1932="Mauro José Salanti",_xlfn.XLOOKUP(AG1932,Cadastros!$G$6:$G$90,Cadastros!$H$6:$H$90)*(1-0.18),_xlfn.XLOOKUP(AG1932,Cadastros!$G$6:$G$90,Cadastros!$H$6:$H$90))))</f>
        <v/>
      </c>
      <c r="AJ1932" s="168" t="str">
        <f t="shared" si="397"/>
        <v/>
      </c>
      <c r="AK1932" s="168" t="str">
        <f t="shared" si="398"/>
        <v/>
      </c>
      <c r="AL1932" s="28"/>
      <c r="AM1932" s="28"/>
      <c r="AN1932" s="20" t="str">
        <f>IF(AL1932="","",IF($F1932="Bernardino Furlan",_xlfn.XLOOKUP(AL1932,Cadastros!$G$6:$G$90,Cadastros!$H$6:$H$90)*(1-0.18),IF($F1932="Mauro José Salanti",_xlfn.XLOOKUP(AL1932,Cadastros!$G$6:$G$90,Cadastros!$H$6:$H$90)*(1-0.18),_xlfn.XLOOKUP(AL1932,Cadastros!$G$6:$G$90,Cadastros!$H$6:$H$90))))</f>
        <v/>
      </c>
      <c r="AO1932" s="168" t="str">
        <f t="shared" si="399"/>
        <v/>
      </c>
      <c r="AP1932" s="168" t="str">
        <f t="shared" si="400"/>
        <v/>
      </c>
      <c r="AQ1932" s="28"/>
      <c r="AR1932" s="28"/>
      <c r="AS1932" s="20" t="str">
        <f>IF(AQ1932="","",IF($F1932="Bernardino Furlan",_xlfn.XLOOKUP(AQ1932,Cadastros!$G$6:$G$90,Cadastros!$H$6:$H$90)*(1-0.18),IF($F1932="Mauro José Salanti",_xlfn.XLOOKUP(AQ1932,Cadastros!$G$6:$G$90,Cadastros!$H$6:$H$90)*(1-0.18),_xlfn.XLOOKUP(AQ1932,Cadastros!$G$6:$G$90,Cadastros!$H$6:$H$90))))</f>
        <v/>
      </c>
      <c r="AT1932" s="168" t="str">
        <f t="shared" si="401"/>
        <v/>
      </c>
      <c r="AU1932" s="168" t="str">
        <f t="shared" si="402"/>
        <v/>
      </c>
      <c r="AV1932" s="227"/>
      <c r="AW1932" s="30"/>
      <c r="AX1932" s="267"/>
      <c r="AY1932" s="267"/>
      <c r="AZ1932" s="29"/>
      <c r="BA1932" s="30"/>
      <c r="BB1932" s="23" t="str" cm="1">
        <f t="array" ref="BB1932">_xlfn.IFS(AW1932="SIM",SUM(K1932,P1932,U1932,Z1932,AE1932,AJ1932,AO1932,AT1932,AX1932,AY1932),F1932&lt;&gt;"",SUM(K1932,P1932,U1932,Z1932,AE1932,AJ1932,,AO1932,AT1932),F1932="","")</f>
        <v/>
      </c>
      <c r="BC1932" s="211" t="str" cm="1">
        <f t="array" ref="BC1932">_xlfn.IFS(E1932="","",G1932&lt;=E1932,BB1932*(1-0.03),G1932&lt;(E1932+8),BB1932,AZ1932="Boleto",BB1932*(1+0.001)^DATEDIF(E1932,G1932,"D"),AZ1932="Cheque",BB1932,AZ1932="Dinheiro","Alterar forma pgto")</f>
        <v/>
      </c>
      <c r="BD1932" s="276" t="str" cm="1">
        <f t="array" ref="BD1932">IF(F1932=0," ",IF(BC1932&lt;BB1932,(_xlfn.IFS(AW1932="SIM",SUM(L1932,Q1932,V1932,AA1932,AF1932,AK1932,AP1932,AU1932)+AX1932/_xlfn.XLOOKUP(_xlfn.XLOOKUP($F1932,Clientes!$B$4:$B$39,Clientes!$C$4:$C$39),Cadastros!$L$6:$L$12,Cadastros!$M$6:$M$12)+IF($F1932="Bernardino Furlan",AY1932/2751.92,IF($F1932="Mauro José Salanti",AY1932/2751.92,AY1932/3356)),F1932&lt;&gt;0,SUM(L1932,Q1932,V1932,AA1932,AF1932,AK1932,AP1932,AU1932)))*(1-0.03),_xlfn.IFS(AW1932="SIM",SUM(L1932,Q1932,V1932,AA1932,AF1932,AK1932,AP1932,AU1932)+AX1932/_xlfn.XLOOKUP(_xlfn.XLOOKUP($F1932,Clientes!$B$4:$B$39,Clientes!$C$4:$C$39),Cadastros!$L$6:$L$12,Cadastros!$M$6:$M$12)+IF($F1932="Bernardino Furlan",AY1932/2751.92,IF($F1932="Mauro José Salanti",AY1932/2751.92,AY1932/3356)),F1932&lt;&gt;0,SUM(L1932,Q1932,V1932,AA1932,AF1932,AK1932,AP1932,AU1932))))</f>
        <v xml:space="preserve"> </v>
      </c>
      <c r="BE1932" s="120"/>
      <c r="BF1932" s="120"/>
      <c r="BG1932" s="120"/>
    </row>
    <row r="1933" spans="1:59" s="3" customFormat="1" x14ac:dyDescent="0.3">
      <c r="A1933" s="15" t="str">
        <f t="shared" si="390"/>
        <v/>
      </c>
      <c r="B1933" s="25"/>
      <c r="C1933" s="26"/>
      <c r="D1933" s="279"/>
      <c r="E1933" s="27"/>
      <c r="F1933" s="28"/>
      <c r="G1933" s="27"/>
      <c r="H1933" s="28"/>
      <c r="I1933" s="28"/>
      <c r="J1933" s="255" t="str">
        <f>IF(H1933="","",(_xlfn.XLOOKUP(H1933,Cadastros!$D$6:$D$90,Cadastros!$E$6:$E$90))*(1-_xlfn.XLOOKUP(_xlfn.XLOOKUP($F1933,Clientes!$B$4:$B$39,Clientes!$C$4:$C$39),Cadastros!$L$6:$L$12,Cadastros!$N$6:$N$12)))</f>
        <v/>
      </c>
      <c r="K1933" s="168" t="str">
        <f t="shared" si="391"/>
        <v/>
      </c>
      <c r="L1933" s="168" t="str">
        <f>IFERROR(K1933/_xlfn.XLOOKUP(_xlfn.XLOOKUP($F1933,Clientes!$B$4:$B$39,Clientes!$C$4:$C$39),Cadastros!$L$6:$L$12,Cadastros!$M$6:$M$12)," ")</f>
        <v xml:space="preserve"> </v>
      </c>
      <c r="M1933" s="28"/>
      <c r="N1933" s="28"/>
      <c r="O1933" s="255" t="str">
        <f>IF(M1933="","",(_xlfn.XLOOKUP(M1933,Cadastros!$D$6:$D$90,Cadastros!$E$6:$E$90))*(1-_xlfn.XLOOKUP(_xlfn.XLOOKUP($F1933,Clientes!$B$4:$B$39,Clientes!$C$4:$C$39),Cadastros!$L$6:$L$12,Cadastros!$N$6:$N$12)))</f>
        <v/>
      </c>
      <c r="P1933" s="168" t="str">
        <f t="shared" si="392"/>
        <v/>
      </c>
      <c r="Q1933" s="168" t="str">
        <f>IFERROR(P1933/_xlfn.XLOOKUP(_xlfn.XLOOKUP($F1933,Clientes!$B$4:$B$39,Clientes!$C$4:$C$39),Cadastros!$L$6:$L$12,Cadastros!$M$6:$M$12)," ")</f>
        <v xml:space="preserve"> </v>
      </c>
      <c r="R1933" s="28"/>
      <c r="S1933" s="28"/>
      <c r="T1933" s="255" t="str">
        <f>IF(R1933="","",(_xlfn.XLOOKUP(R1933,Cadastros!$D$6:$D$90,Cadastros!$E$6:$E$90))*(1-_xlfn.XLOOKUP(_xlfn.XLOOKUP($F1933,Clientes!$B$4:$B$39,Clientes!$C$4:$C$39),Cadastros!$L$6:$L$12,Cadastros!$N$6:$N$12)))</f>
        <v/>
      </c>
      <c r="U1933" s="168" t="str">
        <f t="shared" si="393"/>
        <v/>
      </c>
      <c r="V1933" s="168" t="str">
        <f>IFERROR(U1933/_xlfn.XLOOKUP(_xlfn.XLOOKUP($F1933,Clientes!$B$4:$B$39,Clientes!$C$4:$C$39),Cadastros!$L$6:$L$12,Cadastros!$M$6:$M$12)," ")</f>
        <v xml:space="preserve"> </v>
      </c>
      <c r="W1933" s="28"/>
      <c r="X1933" s="28"/>
      <c r="Y1933" s="255" t="str">
        <f>IF(W1933="","",(_xlfn.XLOOKUP(W1933,Cadastros!$D$6:$D$90,Cadastros!$E$6:$E$90))*(1-_xlfn.XLOOKUP(_xlfn.XLOOKUP($F1933,Clientes!$B$4:$B$39,Clientes!$C$4:$C$39),Cadastros!$L$6:$L$12,Cadastros!$N$6:$N$12)))</f>
        <v/>
      </c>
      <c r="Z1933" s="168" t="str">
        <f t="shared" si="394"/>
        <v/>
      </c>
      <c r="AA1933" s="168" t="str">
        <f>IFERROR(Z1933/_xlfn.XLOOKUP(_xlfn.XLOOKUP($F1933,Clientes!$B$4:$B$39,Clientes!$C$4:$C$39),Cadastros!$L$6:$L$12,Cadastros!$M$6:$M$12)," ")</f>
        <v xml:space="preserve"> </v>
      </c>
      <c r="AB1933" s="28"/>
      <c r="AC1933" s="28"/>
      <c r="AD1933" s="20" t="str">
        <f>IF(AB1933="","",IF($F1933="Bernardino Furlan",_xlfn.XLOOKUP(AB1933,Cadastros!$G$6:$G$90,Cadastros!$H$6:$H$90)*(1-0.18),IF($F1933="Mauro José Salanti",_xlfn.XLOOKUP(AB1933,Cadastros!$G$6:$G$90,Cadastros!$H$6:$H$90)*(1-0.18),_xlfn.XLOOKUP(AB1933,Cadastros!$G$6:$G$90,Cadastros!$H$6:$H$90))))</f>
        <v/>
      </c>
      <c r="AE1933" s="168" t="str">
        <f t="shared" si="395"/>
        <v/>
      </c>
      <c r="AF1933" s="168" t="str">
        <f t="shared" si="396"/>
        <v/>
      </c>
      <c r="AG1933" s="28"/>
      <c r="AH1933" s="28"/>
      <c r="AI1933" s="20" t="str">
        <f>IF(AG1933="","",IF($F1933="Bernardino Furlan",_xlfn.XLOOKUP(AG1933,Cadastros!$G$6:$G$90,Cadastros!$H$6:$H$90)*(1-0.18),IF($F1933="Mauro José Salanti",_xlfn.XLOOKUP(AG1933,Cadastros!$G$6:$G$90,Cadastros!$H$6:$H$90)*(1-0.18),_xlfn.XLOOKUP(AG1933,Cadastros!$G$6:$G$90,Cadastros!$H$6:$H$90))))</f>
        <v/>
      </c>
      <c r="AJ1933" s="168" t="str">
        <f t="shared" si="397"/>
        <v/>
      </c>
      <c r="AK1933" s="168" t="str">
        <f t="shared" si="398"/>
        <v/>
      </c>
      <c r="AL1933" s="28"/>
      <c r="AM1933" s="28"/>
      <c r="AN1933" s="20" t="str">
        <f>IF(AL1933="","",IF($F1933="Bernardino Furlan",_xlfn.XLOOKUP(AL1933,Cadastros!$G$6:$G$90,Cadastros!$H$6:$H$90)*(1-0.18),IF($F1933="Mauro José Salanti",_xlfn.XLOOKUP(AL1933,Cadastros!$G$6:$G$90,Cadastros!$H$6:$H$90)*(1-0.18),_xlfn.XLOOKUP(AL1933,Cadastros!$G$6:$G$90,Cadastros!$H$6:$H$90))))</f>
        <v/>
      </c>
      <c r="AO1933" s="168" t="str">
        <f t="shared" si="399"/>
        <v/>
      </c>
      <c r="AP1933" s="168" t="str">
        <f t="shared" si="400"/>
        <v/>
      </c>
      <c r="AQ1933" s="28"/>
      <c r="AR1933" s="28"/>
      <c r="AS1933" s="20" t="str">
        <f>IF(AQ1933="","",IF($F1933="Bernardino Furlan",_xlfn.XLOOKUP(AQ1933,Cadastros!$G$6:$G$90,Cadastros!$H$6:$H$90)*(1-0.18),IF($F1933="Mauro José Salanti",_xlfn.XLOOKUP(AQ1933,Cadastros!$G$6:$G$90,Cadastros!$H$6:$H$90)*(1-0.18),_xlfn.XLOOKUP(AQ1933,Cadastros!$G$6:$G$90,Cadastros!$H$6:$H$90))))</f>
        <v/>
      </c>
      <c r="AT1933" s="168" t="str">
        <f t="shared" si="401"/>
        <v/>
      </c>
      <c r="AU1933" s="168" t="str">
        <f t="shared" si="402"/>
        <v/>
      </c>
      <c r="AV1933" s="227"/>
      <c r="AW1933" s="30"/>
      <c r="AX1933" s="267"/>
      <c r="AY1933" s="267"/>
      <c r="AZ1933" s="29"/>
      <c r="BA1933" s="30"/>
      <c r="BB1933" s="23" t="str" cm="1">
        <f t="array" ref="BB1933">_xlfn.IFS(AW1933="SIM",SUM(K1933,P1933,U1933,Z1933,AE1933,AJ1933,AO1933,AT1933,AX1933,AY1933),F1933&lt;&gt;"",SUM(K1933,P1933,U1933,Z1933,AE1933,AJ1933,,AO1933,AT1933),F1933="","")</f>
        <v/>
      </c>
      <c r="BC1933" s="211" t="str" cm="1">
        <f t="array" ref="BC1933">_xlfn.IFS(E1933="","",G1933&lt;=E1933,BB1933*(1-0.03),G1933&lt;(E1933+8),BB1933,AZ1933="Boleto",BB1933*(1+0.001)^DATEDIF(E1933,G1933,"D"),AZ1933="Cheque",BB1933,AZ1933="Dinheiro","Alterar forma pgto")</f>
        <v/>
      </c>
      <c r="BD1933" s="276" t="str" cm="1">
        <f t="array" ref="BD1933">IF(F1933=0," ",IF(BC1933&lt;BB1933,(_xlfn.IFS(AW1933="SIM",SUM(L1933,Q1933,V1933,AA1933,AF1933,AK1933,AP1933,AU1933)+AX1933/_xlfn.XLOOKUP(_xlfn.XLOOKUP($F1933,Clientes!$B$4:$B$39,Clientes!$C$4:$C$39),Cadastros!$L$6:$L$12,Cadastros!$M$6:$M$12)+IF($F1933="Bernardino Furlan",AY1933/2751.92,IF($F1933="Mauro José Salanti",AY1933/2751.92,AY1933/3356)),F1933&lt;&gt;0,SUM(L1933,Q1933,V1933,AA1933,AF1933,AK1933,AP1933,AU1933)))*(1-0.03),_xlfn.IFS(AW1933="SIM",SUM(L1933,Q1933,V1933,AA1933,AF1933,AK1933,AP1933,AU1933)+AX1933/_xlfn.XLOOKUP(_xlfn.XLOOKUP($F1933,Clientes!$B$4:$B$39,Clientes!$C$4:$C$39),Cadastros!$L$6:$L$12,Cadastros!$M$6:$M$12)+IF($F1933="Bernardino Furlan",AY1933/2751.92,IF($F1933="Mauro José Salanti",AY1933/2751.92,AY1933/3356)),F1933&lt;&gt;0,SUM(L1933,Q1933,V1933,AA1933,AF1933,AK1933,AP1933,AU1933))))</f>
        <v xml:space="preserve"> </v>
      </c>
      <c r="BE1933" s="120"/>
      <c r="BF1933" s="120"/>
      <c r="BG1933" s="120"/>
    </row>
    <row r="1934" spans="1:59" s="3" customFormat="1" x14ac:dyDescent="0.3">
      <c r="A1934" s="15" t="str">
        <f t="shared" si="390"/>
        <v/>
      </c>
      <c r="B1934" s="25"/>
      <c r="C1934" s="26"/>
      <c r="D1934" s="279"/>
      <c r="E1934" s="27"/>
      <c r="F1934" s="28"/>
      <c r="G1934" s="27"/>
      <c r="H1934" s="28"/>
      <c r="I1934" s="28"/>
      <c r="J1934" s="255" t="str">
        <f>IF(H1934="","",(_xlfn.XLOOKUP(H1934,Cadastros!$D$6:$D$90,Cadastros!$E$6:$E$90))*(1-_xlfn.XLOOKUP(_xlfn.XLOOKUP($F1934,Clientes!$B$4:$B$39,Clientes!$C$4:$C$39),Cadastros!$L$6:$L$12,Cadastros!$N$6:$N$12)))</f>
        <v/>
      </c>
      <c r="K1934" s="168" t="str">
        <f t="shared" si="391"/>
        <v/>
      </c>
      <c r="L1934" s="168" t="str">
        <f>IFERROR(K1934/_xlfn.XLOOKUP(_xlfn.XLOOKUP($F1934,Clientes!$B$4:$B$39,Clientes!$C$4:$C$39),Cadastros!$L$6:$L$12,Cadastros!$M$6:$M$12)," ")</f>
        <v xml:space="preserve"> </v>
      </c>
      <c r="M1934" s="28"/>
      <c r="N1934" s="28"/>
      <c r="O1934" s="255" t="str">
        <f>IF(M1934="","",(_xlfn.XLOOKUP(M1934,Cadastros!$D$6:$D$90,Cadastros!$E$6:$E$90))*(1-_xlfn.XLOOKUP(_xlfn.XLOOKUP($F1934,Clientes!$B$4:$B$39,Clientes!$C$4:$C$39),Cadastros!$L$6:$L$12,Cadastros!$N$6:$N$12)))</f>
        <v/>
      </c>
      <c r="P1934" s="168" t="str">
        <f t="shared" si="392"/>
        <v/>
      </c>
      <c r="Q1934" s="168" t="str">
        <f>IFERROR(P1934/_xlfn.XLOOKUP(_xlfn.XLOOKUP($F1934,Clientes!$B$4:$B$39,Clientes!$C$4:$C$39),Cadastros!$L$6:$L$12,Cadastros!$M$6:$M$12)," ")</f>
        <v xml:space="preserve"> </v>
      </c>
      <c r="R1934" s="28"/>
      <c r="S1934" s="28"/>
      <c r="T1934" s="255" t="str">
        <f>IF(R1934="","",(_xlfn.XLOOKUP(R1934,Cadastros!$D$6:$D$90,Cadastros!$E$6:$E$90))*(1-_xlfn.XLOOKUP(_xlfn.XLOOKUP($F1934,Clientes!$B$4:$B$39,Clientes!$C$4:$C$39),Cadastros!$L$6:$L$12,Cadastros!$N$6:$N$12)))</f>
        <v/>
      </c>
      <c r="U1934" s="168" t="str">
        <f t="shared" si="393"/>
        <v/>
      </c>
      <c r="V1934" s="168" t="str">
        <f>IFERROR(U1934/_xlfn.XLOOKUP(_xlfn.XLOOKUP($F1934,Clientes!$B$4:$B$39,Clientes!$C$4:$C$39),Cadastros!$L$6:$L$12,Cadastros!$M$6:$M$12)," ")</f>
        <v xml:space="preserve"> </v>
      </c>
      <c r="W1934" s="28"/>
      <c r="X1934" s="28"/>
      <c r="Y1934" s="255" t="str">
        <f>IF(W1934="","",(_xlfn.XLOOKUP(W1934,Cadastros!$D$6:$D$90,Cadastros!$E$6:$E$90))*(1-_xlfn.XLOOKUP(_xlfn.XLOOKUP($F1934,Clientes!$B$4:$B$39,Clientes!$C$4:$C$39),Cadastros!$L$6:$L$12,Cadastros!$N$6:$N$12)))</f>
        <v/>
      </c>
      <c r="Z1934" s="168" t="str">
        <f t="shared" si="394"/>
        <v/>
      </c>
      <c r="AA1934" s="168" t="str">
        <f>IFERROR(Z1934/_xlfn.XLOOKUP(_xlfn.XLOOKUP($F1934,Clientes!$B$4:$B$39,Clientes!$C$4:$C$39),Cadastros!$L$6:$L$12,Cadastros!$M$6:$M$12)," ")</f>
        <v xml:space="preserve"> </v>
      </c>
      <c r="AB1934" s="28"/>
      <c r="AC1934" s="28"/>
      <c r="AD1934" s="20" t="str">
        <f>IF(AB1934="","",IF($F1934="Bernardino Furlan",_xlfn.XLOOKUP(AB1934,Cadastros!$G$6:$G$90,Cadastros!$H$6:$H$90)*(1-0.18),IF($F1934="Mauro José Salanti",_xlfn.XLOOKUP(AB1934,Cadastros!$G$6:$G$90,Cadastros!$H$6:$H$90)*(1-0.18),_xlfn.XLOOKUP(AB1934,Cadastros!$G$6:$G$90,Cadastros!$H$6:$H$90))))</f>
        <v/>
      </c>
      <c r="AE1934" s="168" t="str">
        <f t="shared" si="395"/>
        <v/>
      </c>
      <c r="AF1934" s="168" t="str">
        <f t="shared" si="396"/>
        <v/>
      </c>
      <c r="AG1934" s="28"/>
      <c r="AH1934" s="28"/>
      <c r="AI1934" s="20" t="str">
        <f>IF(AG1934="","",IF($F1934="Bernardino Furlan",_xlfn.XLOOKUP(AG1934,Cadastros!$G$6:$G$90,Cadastros!$H$6:$H$90)*(1-0.18),IF($F1934="Mauro José Salanti",_xlfn.XLOOKUP(AG1934,Cadastros!$G$6:$G$90,Cadastros!$H$6:$H$90)*(1-0.18),_xlfn.XLOOKUP(AG1934,Cadastros!$G$6:$G$90,Cadastros!$H$6:$H$90))))</f>
        <v/>
      </c>
      <c r="AJ1934" s="168" t="str">
        <f t="shared" si="397"/>
        <v/>
      </c>
      <c r="AK1934" s="168" t="str">
        <f t="shared" si="398"/>
        <v/>
      </c>
      <c r="AL1934" s="28"/>
      <c r="AM1934" s="28"/>
      <c r="AN1934" s="20" t="str">
        <f>IF(AL1934="","",IF($F1934="Bernardino Furlan",_xlfn.XLOOKUP(AL1934,Cadastros!$G$6:$G$90,Cadastros!$H$6:$H$90)*(1-0.18),IF($F1934="Mauro José Salanti",_xlfn.XLOOKUP(AL1934,Cadastros!$G$6:$G$90,Cadastros!$H$6:$H$90)*(1-0.18),_xlfn.XLOOKUP(AL1934,Cadastros!$G$6:$G$90,Cadastros!$H$6:$H$90))))</f>
        <v/>
      </c>
      <c r="AO1934" s="168" t="str">
        <f t="shared" si="399"/>
        <v/>
      </c>
      <c r="AP1934" s="168" t="str">
        <f t="shared" si="400"/>
        <v/>
      </c>
      <c r="AQ1934" s="28"/>
      <c r="AR1934" s="28"/>
      <c r="AS1934" s="20" t="str">
        <f>IF(AQ1934="","",IF($F1934="Bernardino Furlan",_xlfn.XLOOKUP(AQ1934,Cadastros!$G$6:$G$90,Cadastros!$H$6:$H$90)*(1-0.18),IF($F1934="Mauro José Salanti",_xlfn.XLOOKUP(AQ1934,Cadastros!$G$6:$G$90,Cadastros!$H$6:$H$90)*(1-0.18),_xlfn.XLOOKUP(AQ1934,Cadastros!$G$6:$G$90,Cadastros!$H$6:$H$90))))</f>
        <v/>
      </c>
      <c r="AT1934" s="168" t="str">
        <f t="shared" si="401"/>
        <v/>
      </c>
      <c r="AU1934" s="168" t="str">
        <f t="shared" si="402"/>
        <v/>
      </c>
      <c r="AV1934" s="227"/>
      <c r="AW1934" s="30"/>
      <c r="AX1934" s="267"/>
      <c r="AY1934" s="267"/>
      <c r="AZ1934" s="29"/>
      <c r="BA1934" s="30"/>
      <c r="BB1934" s="23" t="str" cm="1">
        <f t="array" ref="BB1934">_xlfn.IFS(AW1934="SIM",SUM(K1934,P1934,U1934,Z1934,AE1934,AJ1934,AO1934,AT1934,AX1934,AY1934),F1934&lt;&gt;"",SUM(K1934,P1934,U1934,Z1934,AE1934,AJ1934,,AO1934,AT1934),F1934="","")</f>
        <v/>
      </c>
      <c r="BC1934" s="211" t="str" cm="1">
        <f t="array" ref="BC1934">_xlfn.IFS(E1934="","",G1934&lt;=E1934,BB1934*(1-0.03),G1934&lt;(E1934+8),BB1934,AZ1934="Boleto",BB1934*(1+0.001)^DATEDIF(E1934,G1934,"D"),AZ1934="Cheque",BB1934,AZ1934="Dinheiro","Alterar forma pgto")</f>
        <v/>
      </c>
      <c r="BD1934" s="276" t="str" cm="1">
        <f t="array" ref="BD1934">IF(F1934=0," ",IF(BC1934&lt;BB1934,(_xlfn.IFS(AW1934="SIM",SUM(L1934,Q1934,V1934,AA1934,AF1934,AK1934,AP1934,AU1934)+AX1934/_xlfn.XLOOKUP(_xlfn.XLOOKUP($F1934,Clientes!$B$4:$B$39,Clientes!$C$4:$C$39),Cadastros!$L$6:$L$12,Cadastros!$M$6:$M$12)+IF($F1934="Bernardino Furlan",AY1934/2751.92,IF($F1934="Mauro José Salanti",AY1934/2751.92,AY1934/3356)),F1934&lt;&gt;0,SUM(L1934,Q1934,V1934,AA1934,AF1934,AK1934,AP1934,AU1934)))*(1-0.03),_xlfn.IFS(AW1934="SIM",SUM(L1934,Q1934,V1934,AA1934,AF1934,AK1934,AP1934,AU1934)+AX1934/_xlfn.XLOOKUP(_xlfn.XLOOKUP($F1934,Clientes!$B$4:$B$39,Clientes!$C$4:$C$39),Cadastros!$L$6:$L$12,Cadastros!$M$6:$M$12)+IF($F1934="Bernardino Furlan",AY1934/2751.92,IF($F1934="Mauro José Salanti",AY1934/2751.92,AY1934/3356)),F1934&lt;&gt;0,SUM(L1934,Q1934,V1934,AA1934,AF1934,AK1934,AP1934,AU1934))))</f>
        <v xml:space="preserve"> </v>
      </c>
      <c r="BE1934" s="120"/>
      <c r="BF1934" s="120"/>
      <c r="BG1934" s="120"/>
    </row>
    <row r="1935" spans="1:59" s="3" customFormat="1" x14ac:dyDescent="0.3">
      <c r="A1935" s="15" t="str">
        <f t="shared" si="390"/>
        <v/>
      </c>
      <c r="B1935" s="25"/>
      <c r="C1935" s="26"/>
      <c r="D1935" s="279"/>
      <c r="E1935" s="27"/>
      <c r="F1935" s="28"/>
      <c r="G1935" s="27"/>
      <c r="H1935" s="28"/>
      <c r="I1935" s="28"/>
      <c r="J1935" s="255" t="str">
        <f>IF(H1935="","",(_xlfn.XLOOKUP(H1935,Cadastros!$D$6:$D$90,Cadastros!$E$6:$E$90))*(1-_xlfn.XLOOKUP(_xlfn.XLOOKUP($F1935,Clientes!$B$4:$B$39,Clientes!$C$4:$C$39),Cadastros!$L$6:$L$12,Cadastros!$N$6:$N$12)))</f>
        <v/>
      </c>
      <c r="K1935" s="168" t="str">
        <f t="shared" si="391"/>
        <v/>
      </c>
      <c r="L1935" s="168" t="str">
        <f>IFERROR(K1935/_xlfn.XLOOKUP(_xlfn.XLOOKUP($F1935,Clientes!$B$4:$B$39,Clientes!$C$4:$C$39),Cadastros!$L$6:$L$12,Cadastros!$M$6:$M$12)," ")</f>
        <v xml:space="preserve"> </v>
      </c>
      <c r="M1935" s="28"/>
      <c r="N1935" s="28"/>
      <c r="O1935" s="255" t="str">
        <f>IF(M1935="","",(_xlfn.XLOOKUP(M1935,Cadastros!$D$6:$D$90,Cadastros!$E$6:$E$90))*(1-_xlfn.XLOOKUP(_xlfn.XLOOKUP($F1935,Clientes!$B$4:$B$39,Clientes!$C$4:$C$39),Cadastros!$L$6:$L$12,Cadastros!$N$6:$N$12)))</f>
        <v/>
      </c>
      <c r="P1935" s="168" t="str">
        <f t="shared" si="392"/>
        <v/>
      </c>
      <c r="Q1935" s="168" t="str">
        <f>IFERROR(P1935/_xlfn.XLOOKUP(_xlfn.XLOOKUP($F1935,Clientes!$B$4:$B$39,Clientes!$C$4:$C$39),Cadastros!$L$6:$L$12,Cadastros!$M$6:$M$12)," ")</f>
        <v xml:space="preserve"> </v>
      </c>
      <c r="R1935" s="28"/>
      <c r="S1935" s="28"/>
      <c r="T1935" s="255" t="str">
        <f>IF(R1935="","",(_xlfn.XLOOKUP(R1935,Cadastros!$D$6:$D$90,Cadastros!$E$6:$E$90))*(1-_xlfn.XLOOKUP(_xlfn.XLOOKUP($F1935,Clientes!$B$4:$B$39,Clientes!$C$4:$C$39),Cadastros!$L$6:$L$12,Cadastros!$N$6:$N$12)))</f>
        <v/>
      </c>
      <c r="U1935" s="168" t="str">
        <f t="shared" si="393"/>
        <v/>
      </c>
      <c r="V1935" s="168" t="str">
        <f>IFERROR(U1935/_xlfn.XLOOKUP(_xlfn.XLOOKUP($F1935,Clientes!$B$4:$B$39,Clientes!$C$4:$C$39),Cadastros!$L$6:$L$12,Cadastros!$M$6:$M$12)," ")</f>
        <v xml:space="preserve"> </v>
      </c>
      <c r="W1935" s="28"/>
      <c r="X1935" s="28"/>
      <c r="Y1935" s="255" t="str">
        <f>IF(W1935="","",(_xlfn.XLOOKUP(W1935,Cadastros!$D$6:$D$90,Cadastros!$E$6:$E$90))*(1-_xlfn.XLOOKUP(_xlfn.XLOOKUP($F1935,Clientes!$B$4:$B$39,Clientes!$C$4:$C$39),Cadastros!$L$6:$L$12,Cadastros!$N$6:$N$12)))</f>
        <v/>
      </c>
      <c r="Z1935" s="168" t="str">
        <f t="shared" si="394"/>
        <v/>
      </c>
      <c r="AA1935" s="168" t="str">
        <f>IFERROR(Z1935/_xlfn.XLOOKUP(_xlfn.XLOOKUP($F1935,Clientes!$B$4:$B$39,Clientes!$C$4:$C$39),Cadastros!$L$6:$L$12,Cadastros!$M$6:$M$12)," ")</f>
        <v xml:space="preserve"> </v>
      </c>
      <c r="AB1935" s="28"/>
      <c r="AC1935" s="28"/>
      <c r="AD1935" s="20" t="str">
        <f>IF(AB1935="","",IF($F1935="Bernardino Furlan",_xlfn.XLOOKUP(AB1935,Cadastros!$G$6:$G$90,Cadastros!$H$6:$H$90)*(1-0.18),IF($F1935="Mauro José Salanti",_xlfn.XLOOKUP(AB1935,Cadastros!$G$6:$G$90,Cadastros!$H$6:$H$90)*(1-0.18),_xlfn.XLOOKUP(AB1935,Cadastros!$G$6:$G$90,Cadastros!$H$6:$H$90))))</f>
        <v/>
      </c>
      <c r="AE1935" s="168" t="str">
        <f t="shared" si="395"/>
        <v/>
      </c>
      <c r="AF1935" s="168" t="str">
        <f t="shared" si="396"/>
        <v/>
      </c>
      <c r="AG1935" s="28"/>
      <c r="AH1935" s="28"/>
      <c r="AI1935" s="20" t="str">
        <f>IF(AG1935="","",IF($F1935="Bernardino Furlan",_xlfn.XLOOKUP(AG1935,Cadastros!$G$6:$G$90,Cadastros!$H$6:$H$90)*(1-0.18),IF($F1935="Mauro José Salanti",_xlfn.XLOOKUP(AG1935,Cadastros!$G$6:$G$90,Cadastros!$H$6:$H$90)*(1-0.18),_xlfn.XLOOKUP(AG1935,Cadastros!$G$6:$G$90,Cadastros!$H$6:$H$90))))</f>
        <v/>
      </c>
      <c r="AJ1935" s="168" t="str">
        <f t="shared" si="397"/>
        <v/>
      </c>
      <c r="AK1935" s="168" t="str">
        <f t="shared" si="398"/>
        <v/>
      </c>
      <c r="AL1935" s="28"/>
      <c r="AM1935" s="28"/>
      <c r="AN1935" s="20" t="str">
        <f>IF(AL1935="","",IF($F1935="Bernardino Furlan",_xlfn.XLOOKUP(AL1935,Cadastros!$G$6:$G$90,Cadastros!$H$6:$H$90)*(1-0.18),IF($F1935="Mauro José Salanti",_xlfn.XLOOKUP(AL1935,Cadastros!$G$6:$G$90,Cadastros!$H$6:$H$90)*(1-0.18),_xlfn.XLOOKUP(AL1935,Cadastros!$G$6:$G$90,Cadastros!$H$6:$H$90))))</f>
        <v/>
      </c>
      <c r="AO1935" s="168" t="str">
        <f t="shared" si="399"/>
        <v/>
      </c>
      <c r="AP1935" s="168" t="str">
        <f t="shared" si="400"/>
        <v/>
      </c>
      <c r="AQ1935" s="28"/>
      <c r="AR1935" s="28"/>
      <c r="AS1935" s="20" t="str">
        <f>IF(AQ1935="","",IF($F1935="Bernardino Furlan",_xlfn.XLOOKUP(AQ1935,Cadastros!$G$6:$G$90,Cadastros!$H$6:$H$90)*(1-0.18),IF($F1935="Mauro José Salanti",_xlfn.XLOOKUP(AQ1935,Cadastros!$G$6:$G$90,Cadastros!$H$6:$H$90)*(1-0.18),_xlfn.XLOOKUP(AQ1935,Cadastros!$G$6:$G$90,Cadastros!$H$6:$H$90))))</f>
        <v/>
      </c>
      <c r="AT1935" s="168" t="str">
        <f t="shared" si="401"/>
        <v/>
      </c>
      <c r="AU1935" s="168" t="str">
        <f t="shared" si="402"/>
        <v/>
      </c>
      <c r="AV1935" s="227"/>
      <c r="AW1935" s="30"/>
      <c r="AX1935" s="267"/>
      <c r="AY1935" s="267"/>
      <c r="AZ1935" s="29"/>
      <c r="BA1935" s="30"/>
      <c r="BB1935" s="23" t="str" cm="1">
        <f t="array" ref="BB1935">_xlfn.IFS(AW1935="SIM",SUM(K1935,P1935,U1935,Z1935,AE1935,AJ1935,AO1935,AT1935,AX1935,AY1935),F1935&lt;&gt;"",SUM(K1935,P1935,U1935,Z1935,AE1935,AJ1935,,AO1935,AT1935),F1935="","")</f>
        <v/>
      </c>
      <c r="BC1935" s="211" t="str" cm="1">
        <f t="array" ref="BC1935">_xlfn.IFS(E1935="","",G1935&lt;=E1935,BB1935*(1-0.03),G1935&lt;(E1935+8),BB1935,AZ1935="Boleto",BB1935*(1+0.001)^DATEDIF(E1935,G1935,"D"),AZ1935="Cheque",BB1935,AZ1935="Dinheiro","Alterar forma pgto")</f>
        <v/>
      </c>
      <c r="BD1935" s="276" t="str" cm="1">
        <f t="array" ref="BD1935">IF(F1935=0," ",IF(BC1935&lt;BB1935,(_xlfn.IFS(AW1935="SIM",SUM(L1935,Q1935,V1935,AA1935,AF1935,AK1935,AP1935,AU1935)+AX1935/_xlfn.XLOOKUP(_xlfn.XLOOKUP($F1935,Clientes!$B$4:$B$39,Clientes!$C$4:$C$39),Cadastros!$L$6:$L$12,Cadastros!$M$6:$M$12)+IF($F1935="Bernardino Furlan",AY1935/2751.92,IF($F1935="Mauro José Salanti",AY1935/2751.92,AY1935/3356)),F1935&lt;&gt;0,SUM(L1935,Q1935,V1935,AA1935,AF1935,AK1935,AP1935,AU1935)))*(1-0.03),_xlfn.IFS(AW1935="SIM",SUM(L1935,Q1935,V1935,AA1935,AF1935,AK1935,AP1935,AU1935)+AX1935/_xlfn.XLOOKUP(_xlfn.XLOOKUP($F1935,Clientes!$B$4:$B$39,Clientes!$C$4:$C$39),Cadastros!$L$6:$L$12,Cadastros!$M$6:$M$12)+IF($F1935="Bernardino Furlan",AY1935/2751.92,IF($F1935="Mauro José Salanti",AY1935/2751.92,AY1935/3356)),F1935&lt;&gt;0,SUM(L1935,Q1935,V1935,AA1935,AF1935,AK1935,AP1935,AU1935))))</f>
        <v xml:space="preserve"> </v>
      </c>
      <c r="BE1935" s="120"/>
      <c r="BF1935" s="120"/>
      <c r="BG1935" s="120"/>
    </row>
    <row r="1936" spans="1:59" s="3" customFormat="1" x14ac:dyDescent="0.3">
      <c r="A1936" s="15" t="str">
        <f t="shared" si="390"/>
        <v/>
      </c>
      <c r="B1936" s="25"/>
      <c r="C1936" s="26"/>
      <c r="D1936" s="279"/>
      <c r="E1936" s="27"/>
      <c r="F1936" s="28"/>
      <c r="G1936" s="27"/>
      <c r="H1936" s="28"/>
      <c r="I1936" s="28"/>
      <c r="J1936" s="255" t="str">
        <f>IF(H1936="","",(_xlfn.XLOOKUP(H1936,Cadastros!$D$6:$D$90,Cadastros!$E$6:$E$90))*(1-_xlfn.XLOOKUP(_xlfn.XLOOKUP($F1936,Clientes!$B$4:$B$39,Clientes!$C$4:$C$39),Cadastros!$L$6:$L$12,Cadastros!$N$6:$N$12)))</f>
        <v/>
      </c>
      <c r="K1936" s="168" t="str">
        <f t="shared" si="391"/>
        <v/>
      </c>
      <c r="L1936" s="168" t="str">
        <f>IFERROR(K1936/_xlfn.XLOOKUP(_xlfn.XLOOKUP($F1936,Clientes!$B$4:$B$39,Clientes!$C$4:$C$39),Cadastros!$L$6:$L$12,Cadastros!$M$6:$M$12)," ")</f>
        <v xml:space="preserve"> </v>
      </c>
      <c r="M1936" s="28"/>
      <c r="N1936" s="28"/>
      <c r="O1936" s="255" t="str">
        <f>IF(M1936="","",(_xlfn.XLOOKUP(M1936,Cadastros!$D$6:$D$90,Cadastros!$E$6:$E$90))*(1-_xlfn.XLOOKUP(_xlfn.XLOOKUP($F1936,Clientes!$B$4:$B$39,Clientes!$C$4:$C$39),Cadastros!$L$6:$L$12,Cadastros!$N$6:$N$12)))</f>
        <v/>
      </c>
      <c r="P1936" s="168" t="str">
        <f t="shared" si="392"/>
        <v/>
      </c>
      <c r="Q1936" s="168" t="str">
        <f>IFERROR(P1936/_xlfn.XLOOKUP(_xlfn.XLOOKUP($F1936,Clientes!$B$4:$B$39,Clientes!$C$4:$C$39),Cadastros!$L$6:$L$12,Cadastros!$M$6:$M$12)," ")</f>
        <v xml:space="preserve"> </v>
      </c>
      <c r="R1936" s="28"/>
      <c r="S1936" s="28"/>
      <c r="T1936" s="255" t="str">
        <f>IF(R1936="","",(_xlfn.XLOOKUP(R1936,Cadastros!$D$6:$D$90,Cadastros!$E$6:$E$90))*(1-_xlfn.XLOOKUP(_xlfn.XLOOKUP($F1936,Clientes!$B$4:$B$39,Clientes!$C$4:$C$39),Cadastros!$L$6:$L$12,Cadastros!$N$6:$N$12)))</f>
        <v/>
      </c>
      <c r="U1936" s="168" t="str">
        <f t="shared" si="393"/>
        <v/>
      </c>
      <c r="V1936" s="168" t="str">
        <f>IFERROR(U1936/_xlfn.XLOOKUP(_xlfn.XLOOKUP($F1936,Clientes!$B$4:$B$39,Clientes!$C$4:$C$39),Cadastros!$L$6:$L$12,Cadastros!$M$6:$M$12)," ")</f>
        <v xml:space="preserve"> </v>
      </c>
      <c r="W1936" s="28"/>
      <c r="X1936" s="28"/>
      <c r="Y1936" s="255" t="str">
        <f>IF(W1936="","",(_xlfn.XLOOKUP(W1936,Cadastros!$D$6:$D$90,Cadastros!$E$6:$E$90))*(1-_xlfn.XLOOKUP(_xlfn.XLOOKUP($F1936,Clientes!$B$4:$B$39,Clientes!$C$4:$C$39),Cadastros!$L$6:$L$12,Cadastros!$N$6:$N$12)))</f>
        <v/>
      </c>
      <c r="Z1936" s="168" t="str">
        <f t="shared" si="394"/>
        <v/>
      </c>
      <c r="AA1936" s="168" t="str">
        <f>IFERROR(Z1936/_xlfn.XLOOKUP(_xlfn.XLOOKUP($F1936,Clientes!$B$4:$B$39,Clientes!$C$4:$C$39),Cadastros!$L$6:$L$12,Cadastros!$M$6:$M$12)," ")</f>
        <v xml:space="preserve"> </v>
      </c>
      <c r="AB1936" s="28"/>
      <c r="AC1936" s="28"/>
      <c r="AD1936" s="20" t="str">
        <f>IF(AB1936="","",IF($F1936="Bernardino Furlan",_xlfn.XLOOKUP(AB1936,Cadastros!$G$6:$G$90,Cadastros!$H$6:$H$90)*(1-0.18),IF($F1936="Mauro José Salanti",_xlfn.XLOOKUP(AB1936,Cadastros!$G$6:$G$90,Cadastros!$H$6:$H$90)*(1-0.18),_xlfn.XLOOKUP(AB1936,Cadastros!$G$6:$G$90,Cadastros!$H$6:$H$90))))</f>
        <v/>
      </c>
      <c r="AE1936" s="168" t="str">
        <f t="shared" si="395"/>
        <v/>
      </c>
      <c r="AF1936" s="168" t="str">
        <f t="shared" si="396"/>
        <v/>
      </c>
      <c r="AG1936" s="28"/>
      <c r="AH1936" s="28"/>
      <c r="AI1936" s="20" t="str">
        <f>IF(AG1936="","",IF($F1936="Bernardino Furlan",_xlfn.XLOOKUP(AG1936,Cadastros!$G$6:$G$90,Cadastros!$H$6:$H$90)*(1-0.18),IF($F1936="Mauro José Salanti",_xlfn.XLOOKUP(AG1936,Cadastros!$G$6:$G$90,Cadastros!$H$6:$H$90)*(1-0.18),_xlfn.XLOOKUP(AG1936,Cadastros!$G$6:$G$90,Cadastros!$H$6:$H$90))))</f>
        <v/>
      </c>
      <c r="AJ1936" s="168" t="str">
        <f t="shared" si="397"/>
        <v/>
      </c>
      <c r="AK1936" s="168" t="str">
        <f t="shared" si="398"/>
        <v/>
      </c>
      <c r="AL1936" s="28"/>
      <c r="AM1936" s="28"/>
      <c r="AN1936" s="20" t="str">
        <f>IF(AL1936="","",IF($F1936="Bernardino Furlan",_xlfn.XLOOKUP(AL1936,Cadastros!$G$6:$G$90,Cadastros!$H$6:$H$90)*(1-0.18),IF($F1936="Mauro José Salanti",_xlfn.XLOOKUP(AL1936,Cadastros!$G$6:$G$90,Cadastros!$H$6:$H$90)*(1-0.18),_xlfn.XLOOKUP(AL1936,Cadastros!$G$6:$G$90,Cadastros!$H$6:$H$90))))</f>
        <v/>
      </c>
      <c r="AO1936" s="168" t="str">
        <f t="shared" si="399"/>
        <v/>
      </c>
      <c r="AP1936" s="168" t="str">
        <f t="shared" si="400"/>
        <v/>
      </c>
      <c r="AQ1936" s="28"/>
      <c r="AR1936" s="28"/>
      <c r="AS1936" s="20" t="str">
        <f>IF(AQ1936="","",IF($F1936="Bernardino Furlan",_xlfn.XLOOKUP(AQ1936,Cadastros!$G$6:$G$90,Cadastros!$H$6:$H$90)*(1-0.18),IF($F1936="Mauro José Salanti",_xlfn.XLOOKUP(AQ1936,Cadastros!$G$6:$G$90,Cadastros!$H$6:$H$90)*(1-0.18),_xlfn.XLOOKUP(AQ1936,Cadastros!$G$6:$G$90,Cadastros!$H$6:$H$90))))</f>
        <v/>
      </c>
      <c r="AT1936" s="168" t="str">
        <f t="shared" si="401"/>
        <v/>
      </c>
      <c r="AU1936" s="168" t="str">
        <f t="shared" si="402"/>
        <v/>
      </c>
      <c r="AV1936" s="227"/>
      <c r="AW1936" s="30"/>
      <c r="AX1936" s="267"/>
      <c r="AY1936" s="267"/>
      <c r="AZ1936" s="29"/>
      <c r="BA1936" s="30"/>
      <c r="BB1936" s="23" t="str" cm="1">
        <f t="array" ref="BB1936">_xlfn.IFS(AW1936="SIM",SUM(K1936,P1936,U1936,Z1936,AE1936,AJ1936,AO1936,AT1936,AX1936,AY1936),F1936&lt;&gt;"",SUM(K1936,P1936,U1936,Z1936,AE1936,AJ1936,,AO1936,AT1936),F1936="","")</f>
        <v/>
      </c>
      <c r="BC1936" s="211" t="str" cm="1">
        <f t="array" ref="BC1936">_xlfn.IFS(E1936="","",G1936&lt;=E1936,BB1936*(1-0.03),G1936&lt;(E1936+8),BB1936,AZ1936="Boleto",BB1936*(1+0.001)^DATEDIF(E1936,G1936,"D"),AZ1936="Cheque",BB1936,AZ1936="Dinheiro","Alterar forma pgto")</f>
        <v/>
      </c>
      <c r="BD1936" s="276" t="str" cm="1">
        <f t="array" ref="BD1936">IF(F1936=0," ",IF(BC1936&lt;BB1936,(_xlfn.IFS(AW1936="SIM",SUM(L1936,Q1936,V1936,AA1936,AF1936,AK1936,AP1936,AU1936)+AX1936/_xlfn.XLOOKUP(_xlfn.XLOOKUP($F1936,Clientes!$B$4:$B$39,Clientes!$C$4:$C$39),Cadastros!$L$6:$L$12,Cadastros!$M$6:$M$12)+IF($F1936="Bernardino Furlan",AY1936/2751.92,IF($F1936="Mauro José Salanti",AY1936/2751.92,AY1936/3356)),F1936&lt;&gt;0,SUM(L1936,Q1936,V1936,AA1936,AF1936,AK1936,AP1936,AU1936)))*(1-0.03),_xlfn.IFS(AW1936="SIM",SUM(L1936,Q1936,V1936,AA1936,AF1936,AK1936,AP1936,AU1936)+AX1936/_xlfn.XLOOKUP(_xlfn.XLOOKUP($F1936,Clientes!$B$4:$B$39,Clientes!$C$4:$C$39),Cadastros!$L$6:$L$12,Cadastros!$M$6:$M$12)+IF($F1936="Bernardino Furlan",AY1936/2751.92,IF($F1936="Mauro José Salanti",AY1936/2751.92,AY1936/3356)),F1936&lt;&gt;0,SUM(L1936,Q1936,V1936,AA1936,AF1936,AK1936,AP1936,AU1936))))</f>
        <v xml:space="preserve"> </v>
      </c>
      <c r="BE1936" s="120"/>
      <c r="BF1936" s="120"/>
      <c r="BG1936" s="120"/>
    </row>
    <row r="1937" spans="1:59" s="3" customFormat="1" x14ac:dyDescent="0.3">
      <c r="A1937" s="15" t="str">
        <f t="shared" si="390"/>
        <v/>
      </c>
      <c r="B1937" s="25"/>
      <c r="C1937" s="26"/>
      <c r="D1937" s="279"/>
      <c r="E1937" s="27"/>
      <c r="F1937" s="28"/>
      <c r="G1937" s="27"/>
      <c r="H1937" s="28"/>
      <c r="I1937" s="28"/>
      <c r="J1937" s="255" t="str">
        <f>IF(H1937="","",(_xlfn.XLOOKUP(H1937,Cadastros!$D$6:$D$90,Cadastros!$E$6:$E$90))*(1-_xlfn.XLOOKUP(_xlfn.XLOOKUP($F1937,Clientes!$B$4:$B$39,Clientes!$C$4:$C$39),Cadastros!$L$6:$L$12,Cadastros!$N$6:$N$12)))</f>
        <v/>
      </c>
      <c r="K1937" s="168" t="str">
        <f t="shared" si="391"/>
        <v/>
      </c>
      <c r="L1937" s="168" t="str">
        <f>IFERROR(K1937/_xlfn.XLOOKUP(_xlfn.XLOOKUP($F1937,Clientes!$B$4:$B$39,Clientes!$C$4:$C$39),Cadastros!$L$6:$L$12,Cadastros!$M$6:$M$12)," ")</f>
        <v xml:space="preserve"> </v>
      </c>
      <c r="M1937" s="28"/>
      <c r="N1937" s="28"/>
      <c r="O1937" s="255" t="str">
        <f>IF(M1937="","",(_xlfn.XLOOKUP(M1937,Cadastros!$D$6:$D$90,Cadastros!$E$6:$E$90))*(1-_xlfn.XLOOKUP(_xlfn.XLOOKUP($F1937,Clientes!$B$4:$B$39,Clientes!$C$4:$C$39),Cadastros!$L$6:$L$12,Cadastros!$N$6:$N$12)))</f>
        <v/>
      </c>
      <c r="P1937" s="168" t="str">
        <f t="shared" si="392"/>
        <v/>
      </c>
      <c r="Q1937" s="168" t="str">
        <f>IFERROR(P1937/_xlfn.XLOOKUP(_xlfn.XLOOKUP($F1937,Clientes!$B$4:$B$39,Clientes!$C$4:$C$39),Cadastros!$L$6:$L$12,Cadastros!$M$6:$M$12)," ")</f>
        <v xml:space="preserve"> </v>
      </c>
      <c r="R1937" s="28"/>
      <c r="S1937" s="28"/>
      <c r="T1937" s="255" t="str">
        <f>IF(R1937="","",(_xlfn.XLOOKUP(R1937,Cadastros!$D$6:$D$90,Cadastros!$E$6:$E$90))*(1-_xlfn.XLOOKUP(_xlfn.XLOOKUP($F1937,Clientes!$B$4:$B$39,Clientes!$C$4:$C$39),Cadastros!$L$6:$L$12,Cadastros!$N$6:$N$12)))</f>
        <v/>
      </c>
      <c r="U1937" s="168" t="str">
        <f t="shared" si="393"/>
        <v/>
      </c>
      <c r="V1937" s="168" t="str">
        <f>IFERROR(U1937/_xlfn.XLOOKUP(_xlfn.XLOOKUP($F1937,Clientes!$B$4:$B$39,Clientes!$C$4:$C$39),Cadastros!$L$6:$L$12,Cadastros!$M$6:$M$12)," ")</f>
        <v xml:space="preserve"> </v>
      </c>
      <c r="W1937" s="28"/>
      <c r="X1937" s="28"/>
      <c r="Y1937" s="255" t="str">
        <f>IF(W1937="","",(_xlfn.XLOOKUP(W1937,Cadastros!$D$6:$D$90,Cadastros!$E$6:$E$90))*(1-_xlfn.XLOOKUP(_xlfn.XLOOKUP($F1937,Clientes!$B$4:$B$39,Clientes!$C$4:$C$39),Cadastros!$L$6:$L$12,Cadastros!$N$6:$N$12)))</f>
        <v/>
      </c>
      <c r="Z1937" s="168" t="str">
        <f t="shared" si="394"/>
        <v/>
      </c>
      <c r="AA1937" s="168" t="str">
        <f>IFERROR(Z1937/_xlfn.XLOOKUP(_xlfn.XLOOKUP($F1937,Clientes!$B$4:$B$39,Clientes!$C$4:$C$39),Cadastros!$L$6:$L$12,Cadastros!$M$6:$M$12)," ")</f>
        <v xml:space="preserve"> </v>
      </c>
      <c r="AB1937" s="28"/>
      <c r="AC1937" s="28"/>
      <c r="AD1937" s="20" t="str">
        <f>IF(AB1937="","",IF($F1937="Bernardino Furlan",_xlfn.XLOOKUP(AB1937,Cadastros!$G$6:$G$90,Cadastros!$H$6:$H$90)*(1-0.18),IF($F1937="Mauro José Salanti",_xlfn.XLOOKUP(AB1937,Cadastros!$G$6:$G$90,Cadastros!$H$6:$H$90)*(1-0.18),_xlfn.XLOOKUP(AB1937,Cadastros!$G$6:$G$90,Cadastros!$H$6:$H$90))))</f>
        <v/>
      </c>
      <c r="AE1937" s="168" t="str">
        <f t="shared" si="395"/>
        <v/>
      </c>
      <c r="AF1937" s="168" t="str">
        <f t="shared" si="396"/>
        <v/>
      </c>
      <c r="AG1937" s="28"/>
      <c r="AH1937" s="28"/>
      <c r="AI1937" s="20" t="str">
        <f>IF(AG1937="","",IF($F1937="Bernardino Furlan",_xlfn.XLOOKUP(AG1937,Cadastros!$G$6:$G$90,Cadastros!$H$6:$H$90)*(1-0.18),IF($F1937="Mauro José Salanti",_xlfn.XLOOKUP(AG1937,Cadastros!$G$6:$G$90,Cadastros!$H$6:$H$90)*(1-0.18),_xlfn.XLOOKUP(AG1937,Cadastros!$G$6:$G$90,Cadastros!$H$6:$H$90))))</f>
        <v/>
      </c>
      <c r="AJ1937" s="168" t="str">
        <f t="shared" si="397"/>
        <v/>
      </c>
      <c r="AK1937" s="168" t="str">
        <f t="shared" si="398"/>
        <v/>
      </c>
      <c r="AL1937" s="28"/>
      <c r="AM1937" s="28"/>
      <c r="AN1937" s="20" t="str">
        <f>IF(AL1937="","",IF($F1937="Bernardino Furlan",_xlfn.XLOOKUP(AL1937,Cadastros!$G$6:$G$90,Cadastros!$H$6:$H$90)*(1-0.18),IF($F1937="Mauro José Salanti",_xlfn.XLOOKUP(AL1937,Cadastros!$G$6:$G$90,Cadastros!$H$6:$H$90)*(1-0.18),_xlfn.XLOOKUP(AL1937,Cadastros!$G$6:$G$90,Cadastros!$H$6:$H$90))))</f>
        <v/>
      </c>
      <c r="AO1937" s="168" t="str">
        <f t="shared" si="399"/>
        <v/>
      </c>
      <c r="AP1937" s="168" t="str">
        <f t="shared" si="400"/>
        <v/>
      </c>
      <c r="AQ1937" s="28"/>
      <c r="AR1937" s="28"/>
      <c r="AS1937" s="20" t="str">
        <f>IF(AQ1937="","",IF($F1937="Bernardino Furlan",_xlfn.XLOOKUP(AQ1937,Cadastros!$G$6:$G$90,Cadastros!$H$6:$H$90)*(1-0.18),IF($F1937="Mauro José Salanti",_xlfn.XLOOKUP(AQ1937,Cadastros!$G$6:$G$90,Cadastros!$H$6:$H$90)*(1-0.18),_xlfn.XLOOKUP(AQ1937,Cadastros!$G$6:$G$90,Cadastros!$H$6:$H$90))))</f>
        <v/>
      </c>
      <c r="AT1937" s="168" t="str">
        <f t="shared" si="401"/>
        <v/>
      </c>
      <c r="AU1937" s="168" t="str">
        <f t="shared" si="402"/>
        <v/>
      </c>
      <c r="AV1937" s="227"/>
      <c r="AW1937" s="30"/>
      <c r="AX1937" s="267"/>
      <c r="AY1937" s="267"/>
      <c r="AZ1937" s="29"/>
      <c r="BA1937" s="30"/>
      <c r="BB1937" s="23" t="str" cm="1">
        <f t="array" ref="BB1937">_xlfn.IFS(AW1937="SIM",SUM(K1937,P1937,U1937,Z1937,AE1937,AJ1937,AO1937,AT1937,AX1937,AY1937),F1937&lt;&gt;"",SUM(K1937,P1937,U1937,Z1937,AE1937,AJ1937,,AO1937,AT1937),F1937="","")</f>
        <v/>
      </c>
      <c r="BC1937" s="211" t="str" cm="1">
        <f t="array" ref="BC1937">_xlfn.IFS(E1937="","",G1937&lt;=E1937,BB1937*(1-0.03),G1937&lt;(E1937+8),BB1937,AZ1937="Boleto",BB1937*(1+0.001)^DATEDIF(E1937,G1937,"D"),AZ1937="Cheque",BB1937,AZ1937="Dinheiro","Alterar forma pgto")</f>
        <v/>
      </c>
      <c r="BD1937" s="276" t="str" cm="1">
        <f t="array" ref="BD1937">IF(F1937=0," ",IF(BC1937&lt;BB1937,(_xlfn.IFS(AW1937="SIM",SUM(L1937,Q1937,V1937,AA1937,AF1937,AK1937,AP1937,AU1937)+AX1937/_xlfn.XLOOKUP(_xlfn.XLOOKUP($F1937,Clientes!$B$4:$B$39,Clientes!$C$4:$C$39),Cadastros!$L$6:$L$12,Cadastros!$M$6:$M$12)+IF($F1937="Bernardino Furlan",AY1937/2751.92,IF($F1937="Mauro José Salanti",AY1937/2751.92,AY1937/3356)),F1937&lt;&gt;0,SUM(L1937,Q1937,V1937,AA1937,AF1937,AK1937,AP1937,AU1937)))*(1-0.03),_xlfn.IFS(AW1937="SIM",SUM(L1937,Q1937,V1937,AA1937,AF1937,AK1937,AP1937,AU1937)+AX1937/_xlfn.XLOOKUP(_xlfn.XLOOKUP($F1937,Clientes!$B$4:$B$39,Clientes!$C$4:$C$39),Cadastros!$L$6:$L$12,Cadastros!$M$6:$M$12)+IF($F1937="Bernardino Furlan",AY1937/2751.92,IF($F1937="Mauro José Salanti",AY1937/2751.92,AY1937/3356)),F1937&lt;&gt;0,SUM(L1937,Q1937,V1937,AA1937,AF1937,AK1937,AP1937,AU1937))))</f>
        <v xml:space="preserve"> </v>
      </c>
      <c r="BE1937" s="120"/>
      <c r="BF1937" s="120"/>
      <c r="BG1937" s="120"/>
    </row>
    <row r="1938" spans="1:59" s="3" customFormat="1" x14ac:dyDescent="0.3">
      <c r="A1938" s="15" t="str">
        <f t="shared" si="390"/>
        <v/>
      </c>
      <c r="B1938" s="25"/>
      <c r="C1938" s="26"/>
      <c r="D1938" s="279"/>
      <c r="E1938" s="27"/>
      <c r="F1938" s="28"/>
      <c r="G1938" s="27"/>
      <c r="H1938" s="28"/>
      <c r="I1938" s="28"/>
      <c r="J1938" s="255" t="str">
        <f>IF(H1938="","",(_xlfn.XLOOKUP(H1938,Cadastros!$D$6:$D$90,Cadastros!$E$6:$E$90))*(1-_xlfn.XLOOKUP(_xlfn.XLOOKUP($F1938,Clientes!$B$4:$B$39,Clientes!$C$4:$C$39),Cadastros!$L$6:$L$12,Cadastros!$N$6:$N$12)))</f>
        <v/>
      </c>
      <c r="K1938" s="168" t="str">
        <f t="shared" si="391"/>
        <v/>
      </c>
      <c r="L1938" s="168" t="str">
        <f>IFERROR(K1938/_xlfn.XLOOKUP(_xlfn.XLOOKUP($F1938,Clientes!$B$4:$B$39,Clientes!$C$4:$C$39),Cadastros!$L$6:$L$12,Cadastros!$M$6:$M$12)," ")</f>
        <v xml:space="preserve"> </v>
      </c>
      <c r="M1938" s="28"/>
      <c r="N1938" s="28"/>
      <c r="O1938" s="255" t="str">
        <f>IF(M1938="","",(_xlfn.XLOOKUP(M1938,Cadastros!$D$6:$D$90,Cadastros!$E$6:$E$90))*(1-_xlfn.XLOOKUP(_xlfn.XLOOKUP($F1938,Clientes!$B$4:$B$39,Clientes!$C$4:$C$39),Cadastros!$L$6:$L$12,Cadastros!$N$6:$N$12)))</f>
        <v/>
      </c>
      <c r="P1938" s="168" t="str">
        <f t="shared" si="392"/>
        <v/>
      </c>
      <c r="Q1938" s="168" t="str">
        <f>IFERROR(P1938/_xlfn.XLOOKUP(_xlfn.XLOOKUP($F1938,Clientes!$B$4:$B$39,Clientes!$C$4:$C$39),Cadastros!$L$6:$L$12,Cadastros!$M$6:$M$12)," ")</f>
        <v xml:space="preserve"> </v>
      </c>
      <c r="R1938" s="28"/>
      <c r="S1938" s="28"/>
      <c r="T1938" s="255" t="str">
        <f>IF(R1938="","",(_xlfn.XLOOKUP(R1938,Cadastros!$D$6:$D$90,Cadastros!$E$6:$E$90))*(1-_xlfn.XLOOKUP(_xlfn.XLOOKUP($F1938,Clientes!$B$4:$B$39,Clientes!$C$4:$C$39),Cadastros!$L$6:$L$12,Cadastros!$N$6:$N$12)))</f>
        <v/>
      </c>
      <c r="U1938" s="168" t="str">
        <f t="shared" si="393"/>
        <v/>
      </c>
      <c r="V1938" s="168" t="str">
        <f>IFERROR(U1938/_xlfn.XLOOKUP(_xlfn.XLOOKUP($F1938,Clientes!$B$4:$B$39,Clientes!$C$4:$C$39),Cadastros!$L$6:$L$12,Cadastros!$M$6:$M$12)," ")</f>
        <v xml:space="preserve"> </v>
      </c>
      <c r="W1938" s="28"/>
      <c r="X1938" s="28"/>
      <c r="Y1938" s="255" t="str">
        <f>IF(W1938="","",(_xlfn.XLOOKUP(W1938,Cadastros!$D$6:$D$90,Cadastros!$E$6:$E$90))*(1-_xlfn.XLOOKUP(_xlfn.XLOOKUP($F1938,Clientes!$B$4:$B$39,Clientes!$C$4:$C$39),Cadastros!$L$6:$L$12,Cadastros!$N$6:$N$12)))</f>
        <v/>
      </c>
      <c r="Z1938" s="168" t="str">
        <f t="shared" si="394"/>
        <v/>
      </c>
      <c r="AA1938" s="168" t="str">
        <f>IFERROR(Z1938/_xlfn.XLOOKUP(_xlfn.XLOOKUP($F1938,Clientes!$B$4:$B$39,Clientes!$C$4:$C$39),Cadastros!$L$6:$L$12,Cadastros!$M$6:$M$12)," ")</f>
        <v xml:space="preserve"> </v>
      </c>
      <c r="AB1938" s="28"/>
      <c r="AC1938" s="28"/>
      <c r="AD1938" s="20" t="str">
        <f>IF(AB1938="","",IF($F1938="Bernardino Furlan",_xlfn.XLOOKUP(AB1938,Cadastros!$G$6:$G$90,Cadastros!$H$6:$H$90)*(1-0.18),IF($F1938="Mauro José Salanti",_xlfn.XLOOKUP(AB1938,Cadastros!$G$6:$G$90,Cadastros!$H$6:$H$90)*(1-0.18),_xlfn.XLOOKUP(AB1938,Cadastros!$G$6:$G$90,Cadastros!$H$6:$H$90))))</f>
        <v/>
      </c>
      <c r="AE1938" s="168" t="str">
        <f t="shared" si="395"/>
        <v/>
      </c>
      <c r="AF1938" s="168" t="str">
        <f t="shared" si="396"/>
        <v/>
      </c>
      <c r="AG1938" s="28"/>
      <c r="AH1938" s="28"/>
      <c r="AI1938" s="20" t="str">
        <f>IF(AG1938="","",IF($F1938="Bernardino Furlan",_xlfn.XLOOKUP(AG1938,Cadastros!$G$6:$G$90,Cadastros!$H$6:$H$90)*(1-0.18),IF($F1938="Mauro José Salanti",_xlfn.XLOOKUP(AG1938,Cadastros!$G$6:$G$90,Cadastros!$H$6:$H$90)*(1-0.18),_xlfn.XLOOKUP(AG1938,Cadastros!$G$6:$G$90,Cadastros!$H$6:$H$90))))</f>
        <v/>
      </c>
      <c r="AJ1938" s="168" t="str">
        <f t="shared" si="397"/>
        <v/>
      </c>
      <c r="AK1938" s="168" t="str">
        <f t="shared" si="398"/>
        <v/>
      </c>
      <c r="AL1938" s="28"/>
      <c r="AM1938" s="28"/>
      <c r="AN1938" s="20" t="str">
        <f>IF(AL1938="","",IF($F1938="Bernardino Furlan",_xlfn.XLOOKUP(AL1938,Cadastros!$G$6:$G$90,Cadastros!$H$6:$H$90)*(1-0.18),IF($F1938="Mauro José Salanti",_xlfn.XLOOKUP(AL1938,Cadastros!$G$6:$G$90,Cadastros!$H$6:$H$90)*(1-0.18),_xlfn.XLOOKUP(AL1938,Cadastros!$G$6:$G$90,Cadastros!$H$6:$H$90))))</f>
        <v/>
      </c>
      <c r="AO1938" s="168" t="str">
        <f t="shared" si="399"/>
        <v/>
      </c>
      <c r="AP1938" s="168" t="str">
        <f t="shared" si="400"/>
        <v/>
      </c>
      <c r="AQ1938" s="28"/>
      <c r="AR1938" s="28"/>
      <c r="AS1938" s="20" t="str">
        <f>IF(AQ1938="","",IF($F1938="Bernardino Furlan",_xlfn.XLOOKUP(AQ1938,Cadastros!$G$6:$G$90,Cadastros!$H$6:$H$90)*(1-0.18),IF($F1938="Mauro José Salanti",_xlfn.XLOOKUP(AQ1938,Cadastros!$G$6:$G$90,Cadastros!$H$6:$H$90)*(1-0.18),_xlfn.XLOOKUP(AQ1938,Cadastros!$G$6:$G$90,Cadastros!$H$6:$H$90))))</f>
        <v/>
      </c>
      <c r="AT1938" s="168" t="str">
        <f t="shared" si="401"/>
        <v/>
      </c>
      <c r="AU1938" s="168" t="str">
        <f t="shared" si="402"/>
        <v/>
      </c>
      <c r="AV1938" s="227"/>
      <c r="AW1938" s="30"/>
      <c r="AX1938" s="267"/>
      <c r="AY1938" s="267"/>
      <c r="AZ1938" s="29"/>
      <c r="BA1938" s="30"/>
      <c r="BB1938" s="23" t="str" cm="1">
        <f t="array" ref="BB1938">_xlfn.IFS(AW1938="SIM",SUM(K1938,P1938,U1938,Z1938,AE1938,AJ1938,AO1938,AT1938,AX1938,AY1938),F1938&lt;&gt;"",SUM(K1938,P1938,U1938,Z1938,AE1938,AJ1938,,AO1938,AT1938),F1938="","")</f>
        <v/>
      </c>
      <c r="BC1938" s="211" t="str" cm="1">
        <f t="array" ref="BC1938">_xlfn.IFS(E1938="","",G1938&lt;=E1938,BB1938*(1-0.03),G1938&lt;(E1938+8),BB1938,AZ1938="Boleto",BB1938*(1+0.001)^DATEDIF(E1938,G1938,"D"),AZ1938="Cheque",BB1938,AZ1938="Dinheiro","Alterar forma pgto")</f>
        <v/>
      </c>
      <c r="BD1938" s="276" t="str" cm="1">
        <f t="array" ref="BD1938">IF(F1938=0," ",IF(BC1938&lt;BB1938,(_xlfn.IFS(AW1938="SIM",SUM(L1938,Q1938,V1938,AA1938,AF1938,AK1938,AP1938,AU1938)+AX1938/_xlfn.XLOOKUP(_xlfn.XLOOKUP($F1938,Clientes!$B$4:$B$39,Clientes!$C$4:$C$39),Cadastros!$L$6:$L$12,Cadastros!$M$6:$M$12)+IF($F1938="Bernardino Furlan",AY1938/2751.92,IF($F1938="Mauro José Salanti",AY1938/2751.92,AY1938/3356)),F1938&lt;&gt;0,SUM(L1938,Q1938,V1938,AA1938,AF1938,AK1938,AP1938,AU1938)))*(1-0.03),_xlfn.IFS(AW1938="SIM",SUM(L1938,Q1938,V1938,AA1938,AF1938,AK1938,AP1938,AU1938)+AX1938/_xlfn.XLOOKUP(_xlfn.XLOOKUP($F1938,Clientes!$B$4:$B$39,Clientes!$C$4:$C$39),Cadastros!$L$6:$L$12,Cadastros!$M$6:$M$12)+IF($F1938="Bernardino Furlan",AY1938/2751.92,IF($F1938="Mauro José Salanti",AY1938/2751.92,AY1938/3356)),F1938&lt;&gt;0,SUM(L1938,Q1938,V1938,AA1938,AF1938,AK1938,AP1938,AU1938))))</f>
        <v xml:space="preserve"> </v>
      </c>
      <c r="BE1938" s="120"/>
      <c r="BF1938" s="120"/>
      <c r="BG1938" s="120"/>
    </row>
    <row r="1939" spans="1:59" s="3" customFormat="1" x14ac:dyDescent="0.3">
      <c r="A1939" s="15" t="str">
        <f t="shared" si="390"/>
        <v/>
      </c>
      <c r="B1939" s="25"/>
      <c r="C1939" s="26"/>
      <c r="D1939" s="279"/>
      <c r="E1939" s="27"/>
      <c r="F1939" s="28"/>
      <c r="G1939" s="27"/>
      <c r="H1939" s="28"/>
      <c r="I1939" s="28"/>
      <c r="J1939" s="255" t="str">
        <f>IF(H1939="","",(_xlfn.XLOOKUP(H1939,Cadastros!$D$6:$D$90,Cadastros!$E$6:$E$90))*(1-_xlfn.XLOOKUP(_xlfn.XLOOKUP($F1939,Clientes!$B$4:$B$39,Clientes!$C$4:$C$39),Cadastros!$L$6:$L$12,Cadastros!$N$6:$N$12)))</f>
        <v/>
      </c>
      <c r="K1939" s="168" t="str">
        <f t="shared" si="391"/>
        <v/>
      </c>
      <c r="L1939" s="168" t="str">
        <f>IFERROR(K1939/_xlfn.XLOOKUP(_xlfn.XLOOKUP($F1939,Clientes!$B$4:$B$39,Clientes!$C$4:$C$39),Cadastros!$L$6:$L$12,Cadastros!$M$6:$M$12)," ")</f>
        <v xml:space="preserve"> </v>
      </c>
      <c r="M1939" s="28"/>
      <c r="N1939" s="28"/>
      <c r="O1939" s="255" t="str">
        <f>IF(M1939="","",(_xlfn.XLOOKUP(M1939,Cadastros!$D$6:$D$90,Cadastros!$E$6:$E$90))*(1-_xlfn.XLOOKUP(_xlfn.XLOOKUP($F1939,Clientes!$B$4:$B$39,Clientes!$C$4:$C$39),Cadastros!$L$6:$L$12,Cadastros!$N$6:$N$12)))</f>
        <v/>
      </c>
      <c r="P1939" s="168" t="str">
        <f t="shared" si="392"/>
        <v/>
      </c>
      <c r="Q1939" s="168" t="str">
        <f>IFERROR(P1939/_xlfn.XLOOKUP(_xlfn.XLOOKUP($F1939,Clientes!$B$4:$B$39,Clientes!$C$4:$C$39),Cadastros!$L$6:$L$12,Cadastros!$M$6:$M$12)," ")</f>
        <v xml:space="preserve"> </v>
      </c>
      <c r="R1939" s="28"/>
      <c r="S1939" s="28"/>
      <c r="T1939" s="255" t="str">
        <f>IF(R1939="","",(_xlfn.XLOOKUP(R1939,Cadastros!$D$6:$D$90,Cadastros!$E$6:$E$90))*(1-_xlfn.XLOOKUP(_xlfn.XLOOKUP($F1939,Clientes!$B$4:$B$39,Clientes!$C$4:$C$39),Cadastros!$L$6:$L$12,Cadastros!$N$6:$N$12)))</f>
        <v/>
      </c>
      <c r="U1939" s="168" t="str">
        <f t="shared" si="393"/>
        <v/>
      </c>
      <c r="V1939" s="168" t="str">
        <f>IFERROR(U1939/_xlfn.XLOOKUP(_xlfn.XLOOKUP($F1939,Clientes!$B$4:$B$39,Clientes!$C$4:$C$39),Cadastros!$L$6:$L$12,Cadastros!$M$6:$M$12)," ")</f>
        <v xml:space="preserve"> </v>
      </c>
      <c r="W1939" s="28"/>
      <c r="X1939" s="28"/>
      <c r="Y1939" s="255" t="str">
        <f>IF(W1939="","",(_xlfn.XLOOKUP(W1939,Cadastros!$D$6:$D$90,Cadastros!$E$6:$E$90))*(1-_xlfn.XLOOKUP(_xlfn.XLOOKUP($F1939,Clientes!$B$4:$B$39,Clientes!$C$4:$C$39),Cadastros!$L$6:$L$12,Cadastros!$N$6:$N$12)))</f>
        <v/>
      </c>
      <c r="Z1939" s="168" t="str">
        <f t="shared" si="394"/>
        <v/>
      </c>
      <c r="AA1939" s="168" t="str">
        <f>IFERROR(Z1939/_xlfn.XLOOKUP(_xlfn.XLOOKUP($F1939,Clientes!$B$4:$B$39,Clientes!$C$4:$C$39),Cadastros!$L$6:$L$12,Cadastros!$M$6:$M$12)," ")</f>
        <v xml:space="preserve"> </v>
      </c>
      <c r="AB1939" s="28"/>
      <c r="AC1939" s="28"/>
      <c r="AD1939" s="20" t="str">
        <f>IF(AB1939="","",IF($F1939="Bernardino Furlan",_xlfn.XLOOKUP(AB1939,Cadastros!$G$6:$G$90,Cadastros!$H$6:$H$90)*(1-0.18),IF($F1939="Mauro José Salanti",_xlfn.XLOOKUP(AB1939,Cadastros!$G$6:$G$90,Cadastros!$H$6:$H$90)*(1-0.18),_xlfn.XLOOKUP(AB1939,Cadastros!$G$6:$G$90,Cadastros!$H$6:$H$90))))</f>
        <v/>
      </c>
      <c r="AE1939" s="168" t="str">
        <f t="shared" si="395"/>
        <v/>
      </c>
      <c r="AF1939" s="168" t="str">
        <f t="shared" si="396"/>
        <v/>
      </c>
      <c r="AG1939" s="28"/>
      <c r="AH1939" s="28"/>
      <c r="AI1939" s="20" t="str">
        <f>IF(AG1939="","",IF($F1939="Bernardino Furlan",_xlfn.XLOOKUP(AG1939,Cadastros!$G$6:$G$90,Cadastros!$H$6:$H$90)*(1-0.18),IF($F1939="Mauro José Salanti",_xlfn.XLOOKUP(AG1939,Cadastros!$G$6:$G$90,Cadastros!$H$6:$H$90)*(1-0.18),_xlfn.XLOOKUP(AG1939,Cadastros!$G$6:$G$90,Cadastros!$H$6:$H$90))))</f>
        <v/>
      </c>
      <c r="AJ1939" s="168" t="str">
        <f t="shared" si="397"/>
        <v/>
      </c>
      <c r="AK1939" s="168" t="str">
        <f t="shared" si="398"/>
        <v/>
      </c>
      <c r="AL1939" s="28"/>
      <c r="AM1939" s="28"/>
      <c r="AN1939" s="20" t="str">
        <f>IF(AL1939="","",IF($F1939="Bernardino Furlan",_xlfn.XLOOKUP(AL1939,Cadastros!$G$6:$G$90,Cadastros!$H$6:$H$90)*(1-0.18),IF($F1939="Mauro José Salanti",_xlfn.XLOOKUP(AL1939,Cadastros!$G$6:$G$90,Cadastros!$H$6:$H$90)*(1-0.18),_xlfn.XLOOKUP(AL1939,Cadastros!$G$6:$G$90,Cadastros!$H$6:$H$90))))</f>
        <v/>
      </c>
      <c r="AO1939" s="168" t="str">
        <f t="shared" si="399"/>
        <v/>
      </c>
      <c r="AP1939" s="168" t="str">
        <f t="shared" si="400"/>
        <v/>
      </c>
      <c r="AQ1939" s="28"/>
      <c r="AR1939" s="28"/>
      <c r="AS1939" s="20" t="str">
        <f>IF(AQ1939="","",IF($F1939="Bernardino Furlan",_xlfn.XLOOKUP(AQ1939,Cadastros!$G$6:$G$90,Cadastros!$H$6:$H$90)*(1-0.18),IF($F1939="Mauro José Salanti",_xlfn.XLOOKUP(AQ1939,Cadastros!$G$6:$G$90,Cadastros!$H$6:$H$90)*(1-0.18),_xlfn.XLOOKUP(AQ1939,Cadastros!$G$6:$G$90,Cadastros!$H$6:$H$90))))</f>
        <v/>
      </c>
      <c r="AT1939" s="168" t="str">
        <f t="shared" si="401"/>
        <v/>
      </c>
      <c r="AU1939" s="168" t="str">
        <f t="shared" si="402"/>
        <v/>
      </c>
      <c r="AV1939" s="227"/>
      <c r="AW1939" s="30"/>
      <c r="AX1939" s="267"/>
      <c r="AY1939" s="267"/>
      <c r="AZ1939" s="29"/>
      <c r="BA1939" s="30"/>
      <c r="BB1939" s="23" t="str" cm="1">
        <f t="array" ref="BB1939">_xlfn.IFS(AW1939="SIM",SUM(K1939,P1939,U1939,Z1939,AE1939,AJ1939,AO1939,AT1939,AX1939,AY1939),F1939&lt;&gt;"",SUM(K1939,P1939,U1939,Z1939,AE1939,AJ1939,,AO1939,AT1939),F1939="","")</f>
        <v/>
      </c>
      <c r="BC1939" s="211" t="str" cm="1">
        <f t="array" ref="BC1939">_xlfn.IFS(E1939="","",G1939&lt;=E1939,BB1939*(1-0.03),G1939&lt;(E1939+8),BB1939,AZ1939="Boleto",BB1939*(1+0.001)^DATEDIF(E1939,G1939,"D"),AZ1939="Cheque",BB1939,AZ1939="Dinheiro","Alterar forma pgto")</f>
        <v/>
      </c>
      <c r="BD1939" s="276" t="str" cm="1">
        <f t="array" ref="BD1939">IF(F1939=0," ",IF(BC1939&lt;BB1939,(_xlfn.IFS(AW1939="SIM",SUM(L1939,Q1939,V1939,AA1939,AF1939,AK1939,AP1939,AU1939)+AX1939/_xlfn.XLOOKUP(_xlfn.XLOOKUP($F1939,Clientes!$B$4:$B$39,Clientes!$C$4:$C$39),Cadastros!$L$6:$L$12,Cadastros!$M$6:$M$12)+IF($F1939="Bernardino Furlan",AY1939/2751.92,IF($F1939="Mauro José Salanti",AY1939/2751.92,AY1939/3356)),F1939&lt;&gt;0,SUM(L1939,Q1939,V1939,AA1939,AF1939,AK1939,AP1939,AU1939)))*(1-0.03),_xlfn.IFS(AW1939="SIM",SUM(L1939,Q1939,V1939,AA1939,AF1939,AK1939,AP1939,AU1939)+AX1939/_xlfn.XLOOKUP(_xlfn.XLOOKUP($F1939,Clientes!$B$4:$B$39,Clientes!$C$4:$C$39),Cadastros!$L$6:$L$12,Cadastros!$M$6:$M$12)+IF($F1939="Bernardino Furlan",AY1939/2751.92,IF($F1939="Mauro José Salanti",AY1939/2751.92,AY1939/3356)),F1939&lt;&gt;0,SUM(L1939,Q1939,V1939,AA1939,AF1939,AK1939,AP1939,AU1939))))</f>
        <v xml:space="preserve"> </v>
      </c>
      <c r="BE1939" s="120"/>
      <c r="BF1939" s="120"/>
      <c r="BG1939" s="120"/>
    </row>
    <row r="1940" spans="1:59" s="3" customFormat="1" x14ac:dyDescent="0.3">
      <c r="A1940" s="15" t="str">
        <f t="shared" si="390"/>
        <v/>
      </c>
      <c r="B1940" s="25"/>
      <c r="C1940" s="26"/>
      <c r="D1940" s="279"/>
      <c r="E1940" s="27"/>
      <c r="F1940" s="28"/>
      <c r="G1940" s="27"/>
      <c r="H1940" s="28"/>
      <c r="I1940" s="28"/>
      <c r="J1940" s="255" t="str">
        <f>IF(H1940="","",(_xlfn.XLOOKUP(H1940,Cadastros!$D$6:$D$90,Cadastros!$E$6:$E$90))*(1-_xlfn.XLOOKUP(_xlfn.XLOOKUP($F1940,Clientes!$B$4:$B$39,Clientes!$C$4:$C$39),Cadastros!$L$6:$L$12,Cadastros!$N$6:$N$12)))</f>
        <v/>
      </c>
      <c r="K1940" s="168" t="str">
        <f t="shared" si="391"/>
        <v/>
      </c>
      <c r="L1940" s="168" t="str">
        <f>IFERROR(K1940/_xlfn.XLOOKUP(_xlfn.XLOOKUP($F1940,Clientes!$B$4:$B$39,Clientes!$C$4:$C$39),Cadastros!$L$6:$L$12,Cadastros!$M$6:$M$12)," ")</f>
        <v xml:space="preserve"> </v>
      </c>
      <c r="M1940" s="28"/>
      <c r="N1940" s="28"/>
      <c r="O1940" s="255" t="str">
        <f>IF(M1940="","",(_xlfn.XLOOKUP(M1940,Cadastros!$D$6:$D$90,Cadastros!$E$6:$E$90))*(1-_xlfn.XLOOKUP(_xlfn.XLOOKUP($F1940,Clientes!$B$4:$B$39,Clientes!$C$4:$C$39),Cadastros!$L$6:$L$12,Cadastros!$N$6:$N$12)))</f>
        <v/>
      </c>
      <c r="P1940" s="168" t="str">
        <f t="shared" si="392"/>
        <v/>
      </c>
      <c r="Q1940" s="168" t="str">
        <f>IFERROR(P1940/_xlfn.XLOOKUP(_xlfn.XLOOKUP($F1940,Clientes!$B$4:$B$39,Clientes!$C$4:$C$39),Cadastros!$L$6:$L$12,Cadastros!$M$6:$M$12)," ")</f>
        <v xml:space="preserve"> </v>
      </c>
      <c r="R1940" s="28"/>
      <c r="S1940" s="28"/>
      <c r="T1940" s="255" t="str">
        <f>IF(R1940="","",(_xlfn.XLOOKUP(R1940,Cadastros!$D$6:$D$90,Cadastros!$E$6:$E$90))*(1-_xlfn.XLOOKUP(_xlfn.XLOOKUP($F1940,Clientes!$B$4:$B$39,Clientes!$C$4:$C$39),Cadastros!$L$6:$L$12,Cadastros!$N$6:$N$12)))</f>
        <v/>
      </c>
      <c r="U1940" s="168" t="str">
        <f t="shared" si="393"/>
        <v/>
      </c>
      <c r="V1940" s="168" t="str">
        <f>IFERROR(U1940/_xlfn.XLOOKUP(_xlfn.XLOOKUP($F1940,Clientes!$B$4:$B$39,Clientes!$C$4:$C$39),Cadastros!$L$6:$L$12,Cadastros!$M$6:$M$12)," ")</f>
        <v xml:space="preserve"> </v>
      </c>
      <c r="W1940" s="28"/>
      <c r="X1940" s="28"/>
      <c r="Y1940" s="255" t="str">
        <f>IF(W1940="","",(_xlfn.XLOOKUP(W1940,Cadastros!$D$6:$D$90,Cadastros!$E$6:$E$90))*(1-_xlfn.XLOOKUP(_xlfn.XLOOKUP($F1940,Clientes!$B$4:$B$39,Clientes!$C$4:$C$39),Cadastros!$L$6:$L$12,Cadastros!$N$6:$N$12)))</f>
        <v/>
      </c>
      <c r="Z1940" s="168" t="str">
        <f t="shared" si="394"/>
        <v/>
      </c>
      <c r="AA1940" s="168" t="str">
        <f>IFERROR(Z1940/_xlfn.XLOOKUP(_xlfn.XLOOKUP($F1940,Clientes!$B$4:$B$39,Clientes!$C$4:$C$39),Cadastros!$L$6:$L$12,Cadastros!$M$6:$M$12)," ")</f>
        <v xml:space="preserve"> </v>
      </c>
      <c r="AB1940" s="28"/>
      <c r="AC1940" s="28"/>
      <c r="AD1940" s="20" t="str">
        <f>IF(AB1940="","",IF($F1940="Bernardino Furlan",_xlfn.XLOOKUP(AB1940,Cadastros!$G$6:$G$90,Cadastros!$H$6:$H$90)*(1-0.18),IF($F1940="Mauro José Salanti",_xlfn.XLOOKUP(AB1940,Cadastros!$G$6:$G$90,Cadastros!$H$6:$H$90)*(1-0.18),_xlfn.XLOOKUP(AB1940,Cadastros!$G$6:$G$90,Cadastros!$H$6:$H$90))))</f>
        <v/>
      </c>
      <c r="AE1940" s="168" t="str">
        <f t="shared" si="395"/>
        <v/>
      </c>
      <c r="AF1940" s="168" t="str">
        <f t="shared" si="396"/>
        <v/>
      </c>
      <c r="AG1940" s="28"/>
      <c r="AH1940" s="28"/>
      <c r="AI1940" s="20" t="str">
        <f>IF(AG1940="","",IF($F1940="Bernardino Furlan",_xlfn.XLOOKUP(AG1940,Cadastros!$G$6:$G$90,Cadastros!$H$6:$H$90)*(1-0.18),IF($F1940="Mauro José Salanti",_xlfn.XLOOKUP(AG1940,Cadastros!$G$6:$G$90,Cadastros!$H$6:$H$90)*(1-0.18),_xlfn.XLOOKUP(AG1940,Cadastros!$G$6:$G$90,Cadastros!$H$6:$H$90))))</f>
        <v/>
      </c>
      <c r="AJ1940" s="168" t="str">
        <f t="shared" si="397"/>
        <v/>
      </c>
      <c r="AK1940" s="168" t="str">
        <f t="shared" si="398"/>
        <v/>
      </c>
      <c r="AL1940" s="28"/>
      <c r="AM1940" s="28"/>
      <c r="AN1940" s="20" t="str">
        <f>IF(AL1940="","",IF($F1940="Bernardino Furlan",_xlfn.XLOOKUP(AL1940,Cadastros!$G$6:$G$90,Cadastros!$H$6:$H$90)*(1-0.18),IF($F1940="Mauro José Salanti",_xlfn.XLOOKUP(AL1940,Cadastros!$G$6:$G$90,Cadastros!$H$6:$H$90)*(1-0.18),_xlfn.XLOOKUP(AL1940,Cadastros!$G$6:$G$90,Cadastros!$H$6:$H$90))))</f>
        <v/>
      </c>
      <c r="AO1940" s="168" t="str">
        <f t="shared" si="399"/>
        <v/>
      </c>
      <c r="AP1940" s="168" t="str">
        <f t="shared" si="400"/>
        <v/>
      </c>
      <c r="AQ1940" s="28"/>
      <c r="AR1940" s="28"/>
      <c r="AS1940" s="20" t="str">
        <f>IF(AQ1940="","",IF($F1940="Bernardino Furlan",_xlfn.XLOOKUP(AQ1940,Cadastros!$G$6:$G$90,Cadastros!$H$6:$H$90)*(1-0.18),IF($F1940="Mauro José Salanti",_xlfn.XLOOKUP(AQ1940,Cadastros!$G$6:$G$90,Cadastros!$H$6:$H$90)*(1-0.18),_xlfn.XLOOKUP(AQ1940,Cadastros!$G$6:$G$90,Cadastros!$H$6:$H$90))))</f>
        <v/>
      </c>
      <c r="AT1940" s="168" t="str">
        <f t="shared" si="401"/>
        <v/>
      </c>
      <c r="AU1940" s="168" t="str">
        <f t="shared" si="402"/>
        <v/>
      </c>
      <c r="AV1940" s="227"/>
      <c r="AW1940" s="30"/>
      <c r="AX1940" s="267"/>
      <c r="AY1940" s="267"/>
      <c r="AZ1940" s="29"/>
      <c r="BA1940" s="30"/>
      <c r="BB1940" s="23" t="str" cm="1">
        <f t="array" ref="BB1940">_xlfn.IFS(AW1940="SIM",SUM(K1940,P1940,U1940,Z1940,AE1940,AJ1940,AO1940,AT1940,AX1940,AY1940),F1940&lt;&gt;"",SUM(K1940,P1940,U1940,Z1940,AE1940,AJ1940,,AO1940,AT1940),F1940="","")</f>
        <v/>
      </c>
      <c r="BC1940" s="211" t="str" cm="1">
        <f t="array" ref="BC1940">_xlfn.IFS(E1940="","",G1940&lt;=E1940,BB1940*(1-0.03),G1940&lt;(E1940+8),BB1940,AZ1940="Boleto",BB1940*(1+0.001)^DATEDIF(E1940,G1940,"D"),AZ1940="Cheque",BB1940,AZ1940="Dinheiro","Alterar forma pgto")</f>
        <v/>
      </c>
      <c r="BD1940" s="276" t="str" cm="1">
        <f t="array" ref="BD1940">IF(F1940=0," ",IF(BC1940&lt;BB1940,(_xlfn.IFS(AW1940="SIM",SUM(L1940,Q1940,V1940,AA1940,AF1940,AK1940,AP1940,AU1940)+AX1940/_xlfn.XLOOKUP(_xlfn.XLOOKUP($F1940,Clientes!$B$4:$B$39,Clientes!$C$4:$C$39),Cadastros!$L$6:$L$12,Cadastros!$M$6:$M$12)+IF($F1940="Bernardino Furlan",AY1940/2751.92,IF($F1940="Mauro José Salanti",AY1940/2751.92,AY1940/3356)),F1940&lt;&gt;0,SUM(L1940,Q1940,V1940,AA1940,AF1940,AK1940,AP1940,AU1940)))*(1-0.03),_xlfn.IFS(AW1940="SIM",SUM(L1940,Q1940,V1940,AA1940,AF1940,AK1940,AP1940,AU1940)+AX1940/_xlfn.XLOOKUP(_xlfn.XLOOKUP($F1940,Clientes!$B$4:$B$39,Clientes!$C$4:$C$39),Cadastros!$L$6:$L$12,Cadastros!$M$6:$M$12)+IF($F1940="Bernardino Furlan",AY1940/2751.92,IF($F1940="Mauro José Salanti",AY1940/2751.92,AY1940/3356)),F1940&lt;&gt;0,SUM(L1940,Q1940,V1940,AA1940,AF1940,AK1940,AP1940,AU1940))))</f>
        <v xml:space="preserve"> </v>
      </c>
      <c r="BE1940" s="120"/>
      <c r="BF1940" s="120"/>
      <c r="BG1940" s="120"/>
    </row>
    <row r="1941" spans="1:59" s="3" customFormat="1" x14ac:dyDescent="0.3">
      <c r="A1941" s="15" t="str">
        <f t="shared" si="390"/>
        <v/>
      </c>
      <c r="B1941" s="25"/>
      <c r="C1941" s="26"/>
      <c r="D1941" s="279"/>
      <c r="E1941" s="27"/>
      <c r="F1941" s="28"/>
      <c r="G1941" s="27"/>
      <c r="H1941" s="28"/>
      <c r="I1941" s="28"/>
      <c r="J1941" s="255" t="str">
        <f>IF(H1941="","",(_xlfn.XLOOKUP(H1941,Cadastros!$D$6:$D$90,Cadastros!$E$6:$E$90))*(1-_xlfn.XLOOKUP(_xlfn.XLOOKUP($F1941,Clientes!$B$4:$B$39,Clientes!$C$4:$C$39),Cadastros!$L$6:$L$12,Cadastros!$N$6:$N$12)))</f>
        <v/>
      </c>
      <c r="K1941" s="168" t="str">
        <f t="shared" si="391"/>
        <v/>
      </c>
      <c r="L1941" s="168" t="str">
        <f>IFERROR(K1941/_xlfn.XLOOKUP(_xlfn.XLOOKUP($F1941,Clientes!$B$4:$B$39,Clientes!$C$4:$C$39),Cadastros!$L$6:$L$12,Cadastros!$M$6:$M$12)," ")</f>
        <v xml:space="preserve"> </v>
      </c>
      <c r="M1941" s="28"/>
      <c r="N1941" s="28"/>
      <c r="O1941" s="255" t="str">
        <f>IF(M1941="","",(_xlfn.XLOOKUP(M1941,Cadastros!$D$6:$D$90,Cadastros!$E$6:$E$90))*(1-_xlfn.XLOOKUP(_xlfn.XLOOKUP($F1941,Clientes!$B$4:$B$39,Clientes!$C$4:$C$39),Cadastros!$L$6:$L$12,Cadastros!$N$6:$N$12)))</f>
        <v/>
      </c>
      <c r="P1941" s="168" t="str">
        <f t="shared" si="392"/>
        <v/>
      </c>
      <c r="Q1941" s="168" t="str">
        <f>IFERROR(P1941/_xlfn.XLOOKUP(_xlfn.XLOOKUP($F1941,Clientes!$B$4:$B$39,Clientes!$C$4:$C$39),Cadastros!$L$6:$L$12,Cadastros!$M$6:$M$12)," ")</f>
        <v xml:space="preserve"> </v>
      </c>
      <c r="R1941" s="28"/>
      <c r="S1941" s="28"/>
      <c r="T1941" s="255" t="str">
        <f>IF(R1941="","",(_xlfn.XLOOKUP(R1941,Cadastros!$D$6:$D$90,Cadastros!$E$6:$E$90))*(1-_xlfn.XLOOKUP(_xlfn.XLOOKUP($F1941,Clientes!$B$4:$B$39,Clientes!$C$4:$C$39),Cadastros!$L$6:$L$12,Cadastros!$N$6:$N$12)))</f>
        <v/>
      </c>
      <c r="U1941" s="168" t="str">
        <f t="shared" si="393"/>
        <v/>
      </c>
      <c r="V1941" s="168" t="str">
        <f>IFERROR(U1941/_xlfn.XLOOKUP(_xlfn.XLOOKUP($F1941,Clientes!$B$4:$B$39,Clientes!$C$4:$C$39),Cadastros!$L$6:$L$12,Cadastros!$M$6:$M$12)," ")</f>
        <v xml:space="preserve"> </v>
      </c>
      <c r="W1941" s="28"/>
      <c r="X1941" s="28"/>
      <c r="Y1941" s="255" t="str">
        <f>IF(W1941="","",(_xlfn.XLOOKUP(W1941,Cadastros!$D$6:$D$90,Cadastros!$E$6:$E$90))*(1-_xlfn.XLOOKUP(_xlfn.XLOOKUP($F1941,Clientes!$B$4:$B$39,Clientes!$C$4:$C$39),Cadastros!$L$6:$L$12,Cadastros!$N$6:$N$12)))</f>
        <v/>
      </c>
      <c r="Z1941" s="168" t="str">
        <f t="shared" si="394"/>
        <v/>
      </c>
      <c r="AA1941" s="168" t="str">
        <f>IFERROR(Z1941/_xlfn.XLOOKUP(_xlfn.XLOOKUP($F1941,Clientes!$B$4:$B$39,Clientes!$C$4:$C$39),Cadastros!$L$6:$L$12,Cadastros!$M$6:$M$12)," ")</f>
        <v xml:space="preserve"> </v>
      </c>
      <c r="AB1941" s="28"/>
      <c r="AC1941" s="28"/>
      <c r="AD1941" s="20" t="str">
        <f>IF(AB1941="","",IF($F1941="Bernardino Furlan",_xlfn.XLOOKUP(AB1941,Cadastros!$G$6:$G$90,Cadastros!$H$6:$H$90)*(1-0.18),IF($F1941="Mauro José Salanti",_xlfn.XLOOKUP(AB1941,Cadastros!$G$6:$G$90,Cadastros!$H$6:$H$90)*(1-0.18),_xlfn.XLOOKUP(AB1941,Cadastros!$G$6:$G$90,Cadastros!$H$6:$H$90))))</f>
        <v/>
      </c>
      <c r="AE1941" s="168" t="str">
        <f t="shared" si="395"/>
        <v/>
      </c>
      <c r="AF1941" s="168" t="str">
        <f t="shared" si="396"/>
        <v/>
      </c>
      <c r="AG1941" s="28"/>
      <c r="AH1941" s="28"/>
      <c r="AI1941" s="20" t="str">
        <f>IF(AG1941="","",IF($F1941="Bernardino Furlan",_xlfn.XLOOKUP(AG1941,Cadastros!$G$6:$G$90,Cadastros!$H$6:$H$90)*(1-0.18),IF($F1941="Mauro José Salanti",_xlfn.XLOOKUP(AG1941,Cadastros!$G$6:$G$90,Cadastros!$H$6:$H$90)*(1-0.18),_xlfn.XLOOKUP(AG1941,Cadastros!$G$6:$G$90,Cadastros!$H$6:$H$90))))</f>
        <v/>
      </c>
      <c r="AJ1941" s="168" t="str">
        <f t="shared" si="397"/>
        <v/>
      </c>
      <c r="AK1941" s="168" t="str">
        <f t="shared" si="398"/>
        <v/>
      </c>
      <c r="AL1941" s="28"/>
      <c r="AM1941" s="28"/>
      <c r="AN1941" s="20" t="str">
        <f>IF(AL1941="","",IF($F1941="Bernardino Furlan",_xlfn.XLOOKUP(AL1941,Cadastros!$G$6:$G$90,Cadastros!$H$6:$H$90)*(1-0.18),IF($F1941="Mauro José Salanti",_xlfn.XLOOKUP(AL1941,Cadastros!$G$6:$G$90,Cadastros!$H$6:$H$90)*(1-0.18),_xlfn.XLOOKUP(AL1941,Cadastros!$G$6:$G$90,Cadastros!$H$6:$H$90))))</f>
        <v/>
      </c>
      <c r="AO1941" s="168" t="str">
        <f t="shared" si="399"/>
        <v/>
      </c>
      <c r="AP1941" s="168" t="str">
        <f t="shared" si="400"/>
        <v/>
      </c>
      <c r="AQ1941" s="28"/>
      <c r="AR1941" s="28"/>
      <c r="AS1941" s="20" t="str">
        <f>IF(AQ1941="","",IF($F1941="Bernardino Furlan",_xlfn.XLOOKUP(AQ1941,Cadastros!$G$6:$G$90,Cadastros!$H$6:$H$90)*(1-0.18),IF($F1941="Mauro José Salanti",_xlfn.XLOOKUP(AQ1941,Cadastros!$G$6:$G$90,Cadastros!$H$6:$H$90)*(1-0.18),_xlfn.XLOOKUP(AQ1941,Cadastros!$G$6:$G$90,Cadastros!$H$6:$H$90))))</f>
        <v/>
      </c>
      <c r="AT1941" s="168" t="str">
        <f t="shared" si="401"/>
        <v/>
      </c>
      <c r="AU1941" s="168" t="str">
        <f t="shared" si="402"/>
        <v/>
      </c>
      <c r="AV1941" s="227"/>
      <c r="AW1941" s="30"/>
      <c r="AX1941" s="267"/>
      <c r="AY1941" s="267"/>
      <c r="AZ1941" s="29"/>
      <c r="BA1941" s="30"/>
      <c r="BB1941" s="23" t="str" cm="1">
        <f t="array" ref="BB1941">_xlfn.IFS(AW1941="SIM",SUM(K1941,P1941,U1941,Z1941,AE1941,AJ1941,AO1941,AT1941,AX1941,AY1941),F1941&lt;&gt;"",SUM(K1941,P1941,U1941,Z1941,AE1941,AJ1941,,AO1941,AT1941),F1941="","")</f>
        <v/>
      </c>
      <c r="BC1941" s="211" t="str" cm="1">
        <f t="array" ref="BC1941">_xlfn.IFS(E1941="","",G1941&lt;=E1941,BB1941*(1-0.03),G1941&lt;(E1941+8),BB1941,AZ1941="Boleto",BB1941*(1+0.001)^DATEDIF(E1941,G1941,"D"),AZ1941="Cheque",BB1941,AZ1941="Dinheiro","Alterar forma pgto")</f>
        <v/>
      </c>
      <c r="BD1941" s="276" t="str" cm="1">
        <f t="array" ref="BD1941">IF(F1941=0," ",IF(BC1941&lt;BB1941,(_xlfn.IFS(AW1941="SIM",SUM(L1941,Q1941,V1941,AA1941,AF1941,AK1941,AP1941,AU1941)+AX1941/_xlfn.XLOOKUP(_xlfn.XLOOKUP($F1941,Clientes!$B$4:$B$39,Clientes!$C$4:$C$39),Cadastros!$L$6:$L$12,Cadastros!$M$6:$M$12)+IF($F1941="Bernardino Furlan",AY1941/2751.92,IF($F1941="Mauro José Salanti",AY1941/2751.92,AY1941/3356)),F1941&lt;&gt;0,SUM(L1941,Q1941,V1941,AA1941,AF1941,AK1941,AP1941,AU1941)))*(1-0.03),_xlfn.IFS(AW1941="SIM",SUM(L1941,Q1941,V1941,AA1941,AF1941,AK1941,AP1941,AU1941)+AX1941/_xlfn.XLOOKUP(_xlfn.XLOOKUP($F1941,Clientes!$B$4:$B$39,Clientes!$C$4:$C$39),Cadastros!$L$6:$L$12,Cadastros!$M$6:$M$12)+IF($F1941="Bernardino Furlan",AY1941/2751.92,IF($F1941="Mauro José Salanti",AY1941/2751.92,AY1941/3356)),F1941&lt;&gt;0,SUM(L1941,Q1941,V1941,AA1941,AF1941,AK1941,AP1941,AU1941))))</f>
        <v xml:space="preserve"> </v>
      </c>
      <c r="BE1941" s="120"/>
      <c r="BF1941" s="120"/>
      <c r="BG1941" s="120"/>
    </row>
    <row r="1942" spans="1:59" s="3" customFormat="1" x14ac:dyDescent="0.3">
      <c r="A1942" s="15" t="str">
        <f t="shared" si="390"/>
        <v/>
      </c>
      <c r="B1942" s="25"/>
      <c r="C1942" s="26"/>
      <c r="D1942" s="279"/>
      <c r="E1942" s="27"/>
      <c r="F1942" s="28"/>
      <c r="G1942" s="27"/>
      <c r="H1942" s="28"/>
      <c r="I1942" s="28"/>
      <c r="J1942" s="255" t="str">
        <f>IF(H1942="","",(_xlfn.XLOOKUP(H1942,Cadastros!$D$6:$D$90,Cadastros!$E$6:$E$90))*(1-_xlfn.XLOOKUP(_xlfn.XLOOKUP($F1942,Clientes!$B$4:$B$39,Clientes!$C$4:$C$39),Cadastros!$L$6:$L$12,Cadastros!$N$6:$N$12)))</f>
        <v/>
      </c>
      <c r="K1942" s="168" t="str">
        <f t="shared" si="391"/>
        <v/>
      </c>
      <c r="L1942" s="168" t="str">
        <f>IFERROR(K1942/_xlfn.XLOOKUP(_xlfn.XLOOKUP($F1942,Clientes!$B$4:$B$39,Clientes!$C$4:$C$39),Cadastros!$L$6:$L$12,Cadastros!$M$6:$M$12)," ")</f>
        <v xml:space="preserve"> </v>
      </c>
      <c r="M1942" s="28"/>
      <c r="N1942" s="28"/>
      <c r="O1942" s="255" t="str">
        <f>IF(M1942="","",(_xlfn.XLOOKUP(M1942,Cadastros!$D$6:$D$90,Cadastros!$E$6:$E$90))*(1-_xlfn.XLOOKUP(_xlfn.XLOOKUP($F1942,Clientes!$B$4:$B$39,Clientes!$C$4:$C$39),Cadastros!$L$6:$L$12,Cadastros!$N$6:$N$12)))</f>
        <v/>
      </c>
      <c r="P1942" s="168" t="str">
        <f t="shared" si="392"/>
        <v/>
      </c>
      <c r="Q1942" s="168" t="str">
        <f>IFERROR(P1942/_xlfn.XLOOKUP(_xlfn.XLOOKUP($F1942,Clientes!$B$4:$B$39,Clientes!$C$4:$C$39),Cadastros!$L$6:$L$12,Cadastros!$M$6:$M$12)," ")</f>
        <v xml:space="preserve"> </v>
      </c>
      <c r="R1942" s="28"/>
      <c r="S1942" s="28"/>
      <c r="T1942" s="255" t="str">
        <f>IF(R1942="","",(_xlfn.XLOOKUP(R1942,Cadastros!$D$6:$D$90,Cadastros!$E$6:$E$90))*(1-_xlfn.XLOOKUP(_xlfn.XLOOKUP($F1942,Clientes!$B$4:$B$39,Clientes!$C$4:$C$39),Cadastros!$L$6:$L$12,Cadastros!$N$6:$N$12)))</f>
        <v/>
      </c>
      <c r="U1942" s="168" t="str">
        <f t="shared" si="393"/>
        <v/>
      </c>
      <c r="V1942" s="168" t="str">
        <f>IFERROR(U1942/_xlfn.XLOOKUP(_xlfn.XLOOKUP($F1942,Clientes!$B$4:$B$39,Clientes!$C$4:$C$39),Cadastros!$L$6:$L$12,Cadastros!$M$6:$M$12)," ")</f>
        <v xml:space="preserve"> </v>
      </c>
      <c r="W1942" s="28"/>
      <c r="X1942" s="28"/>
      <c r="Y1942" s="255" t="str">
        <f>IF(W1942="","",(_xlfn.XLOOKUP(W1942,Cadastros!$D$6:$D$90,Cadastros!$E$6:$E$90))*(1-_xlfn.XLOOKUP(_xlfn.XLOOKUP($F1942,Clientes!$B$4:$B$39,Clientes!$C$4:$C$39),Cadastros!$L$6:$L$12,Cadastros!$N$6:$N$12)))</f>
        <v/>
      </c>
      <c r="Z1942" s="168" t="str">
        <f t="shared" si="394"/>
        <v/>
      </c>
      <c r="AA1942" s="168" t="str">
        <f>IFERROR(Z1942/_xlfn.XLOOKUP(_xlfn.XLOOKUP($F1942,Clientes!$B$4:$B$39,Clientes!$C$4:$C$39),Cadastros!$L$6:$L$12,Cadastros!$M$6:$M$12)," ")</f>
        <v xml:space="preserve"> </v>
      </c>
      <c r="AB1942" s="28"/>
      <c r="AC1942" s="28"/>
      <c r="AD1942" s="20" t="str">
        <f>IF(AB1942="","",IF($F1942="Bernardino Furlan",_xlfn.XLOOKUP(AB1942,Cadastros!$G$6:$G$90,Cadastros!$H$6:$H$90)*(1-0.18),IF($F1942="Mauro José Salanti",_xlfn.XLOOKUP(AB1942,Cadastros!$G$6:$G$90,Cadastros!$H$6:$H$90)*(1-0.18),_xlfn.XLOOKUP(AB1942,Cadastros!$G$6:$G$90,Cadastros!$H$6:$H$90))))</f>
        <v/>
      </c>
      <c r="AE1942" s="168" t="str">
        <f t="shared" si="395"/>
        <v/>
      </c>
      <c r="AF1942" s="168" t="str">
        <f t="shared" si="396"/>
        <v/>
      </c>
      <c r="AG1942" s="28"/>
      <c r="AH1942" s="28"/>
      <c r="AI1942" s="20" t="str">
        <f>IF(AG1942="","",IF($F1942="Bernardino Furlan",_xlfn.XLOOKUP(AG1942,Cadastros!$G$6:$G$90,Cadastros!$H$6:$H$90)*(1-0.18),IF($F1942="Mauro José Salanti",_xlfn.XLOOKUP(AG1942,Cadastros!$G$6:$G$90,Cadastros!$H$6:$H$90)*(1-0.18),_xlfn.XLOOKUP(AG1942,Cadastros!$G$6:$G$90,Cadastros!$H$6:$H$90))))</f>
        <v/>
      </c>
      <c r="AJ1942" s="168" t="str">
        <f t="shared" si="397"/>
        <v/>
      </c>
      <c r="AK1942" s="168" t="str">
        <f t="shared" si="398"/>
        <v/>
      </c>
      <c r="AL1942" s="28"/>
      <c r="AM1942" s="28"/>
      <c r="AN1942" s="20" t="str">
        <f>IF(AL1942="","",IF($F1942="Bernardino Furlan",_xlfn.XLOOKUP(AL1942,Cadastros!$G$6:$G$90,Cadastros!$H$6:$H$90)*(1-0.18),IF($F1942="Mauro José Salanti",_xlfn.XLOOKUP(AL1942,Cadastros!$G$6:$G$90,Cadastros!$H$6:$H$90)*(1-0.18),_xlfn.XLOOKUP(AL1942,Cadastros!$G$6:$G$90,Cadastros!$H$6:$H$90))))</f>
        <v/>
      </c>
      <c r="AO1942" s="168" t="str">
        <f t="shared" si="399"/>
        <v/>
      </c>
      <c r="AP1942" s="168" t="str">
        <f t="shared" si="400"/>
        <v/>
      </c>
      <c r="AQ1942" s="28"/>
      <c r="AR1942" s="28"/>
      <c r="AS1942" s="20" t="str">
        <f>IF(AQ1942="","",IF($F1942="Bernardino Furlan",_xlfn.XLOOKUP(AQ1942,Cadastros!$G$6:$G$90,Cadastros!$H$6:$H$90)*(1-0.18),IF($F1942="Mauro José Salanti",_xlfn.XLOOKUP(AQ1942,Cadastros!$G$6:$G$90,Cadastros!$H$6:$H$90)*(1-0.18),_xlfn.XLOOKUP(AQ1942,Cadastros!$G$6:$G$90,Cadastros!$H$6:$H$90))))</f>
        <v/>
      </c>
      <c r="AT1942" s="168" t="str">
        <f t="shared" si="401"/>
        <v/>
      </c>
      <c r="AU1942" s="168" t="str">
        <f t="shared" si="402"/>
        <v/>
      </c>
      <c r="AV1942" s="227"/>
      <c r="AW1942" s="30"/>
      <c r="AX1942" s="267"/>
      <c r="AY1942" s="267"/>
      <c r="AZ1942" s="29"/>
      <c r="BA1942" s="30"/>
      <c r="BB1942" s="23" t="str" cm="1">
        <f t="array" ref="BB1942">_xlfn.IFS(AW1942="SIM",SUM(K1942,P1942,U1942,Z1942,AE1942,AJ1942,AO1942,AT1942,AX1942,AY1942),F1942&lt;&gt;"",SUM(K1942,P1942,U1942,Z1942,AE1942,AJ1942,,AO1942,AT1942),F1942="","")</f>
        <v/>
      </c>
      <c r="BC1942" s="211" t="str" cm="1">
        <f t="array" ref="BC1942">_xlfn.IFS(E1942="","",G1942&lt;=E1942,BB1942*(1-0.03),G1942&lt;(E1942+8),BB1942,AZ1942="Boleto",BB1942*(1+0.001)^DATEDIF(E1942,G1942,"D"),AZ1942="Cheque",BB1942,AZ1942="Dinheiro","Alterar forma pgto")</f>
        <v/>
      </c>
      <c r="BD1942" s="276" t="str" cm="1">
        <f t="array" ref="BD1942">IF(F1942=0," ",IF(BC1942&lt;BB1942,(_xlfn.IFS(AW1942="SIM",SUM(L1942,Q1942,V1942,AA1942,AF1942,AK1942,AP1942,AU1942)+AX1942/_xlfn.XLOOKUP(_xlfn.XLOOKUP($F1942,Clientes!$B$4:$B$39,Clientes!$C$4:$C$39),Cadastros!$L$6:$L$12,Cadastros!$M$6:$M$12)+IF($F1942="Bernardino Furlan",AY1942/2751.92,IF($F1942="Mauro José Salanti",AY1942/2751.92,AY1942/3356)),F1942&lt;&gt;0,SUM(L1942,Q1942,V1942,AA1942,AF1942,AK1942,AP1942,AU1942)))*(1-0.03),_xlfn.IFS(AW1942="SIM",SUM(L1942,Q1942,V1942,AA1942,AF1942,AK1942,AP1942,AU1942)+AX1942/_xlfn.XLOOKUP(_xlfn.XLOOKUP($F1942,Clientes!$B$4:$B$39,Clientes!$C$4:$C$39),Cadastros!$L$6:$L$12,Cadastros!$M$6:$M$12)+IF($F1942="Bernardino Furlan",AY1942/2751.92,IF($F1942="Mauro José Salanti",AY1942/2751.92,AY1942/3356)),F1942&lt;&gt;0,SUM(L1942,Q1942,V1942,AA1942,AF1942,AK1942,AP1942,AU1942))))</f>
        <v xml:space="preserve"> </v>
      </c>
      <c r="BE1942" s="120"/>
      <c r="BF1942" s="120"/>
      <c r="BG1942" s="120"/>
    </row>
    <row r="1943" spans="1:59" s="3" customFormat="1" x14ac:dyDescent="0.3">
      <c r="A1943" s="15" t="str">
        <f t="shared" si="390"/>
        <v/>
      </c>
      <c r="B1943" s="25"/>
      <c r="C1943" s="26"/>
      <c r="D1943" s="279"/>
      <c r="E1943" s="27"/>
      <c r="F1943" s="28"/>
      <c r="G1943" s="27"/>
      <c r="H1943" s="28"/>
      <c r="I1943" s="28"/>
      <c r="J1943" s="255" t="str">
        <f>IF(H1943="","",(_xlfn.XLOOKUP(H1943,Cadastros!$D$6:$D$90,Cadastros!$E$6:$E$90))*(1-_xlfn.XLOOKUP(_xlfn.XLOOKUP($F1943,Clientes!$B$4:$B$39,Clientes!$C$4:$C$39),Cadastros!$L$6:$L$12,Cadastros!$N$6:$N$12)))</f>
        <v/>
      </c>
      <c r="K1943" s="168" t="str">
        <f t="shared" si="391"/>
        <v/>
      </c>
      <c r="L1943" s="168" t="str">
        <f>IFERROR(K1943/_xlfn.XLOOKUP(_xlfn.XLOOKUP($F1943,Clientes!$B$4:$B$39,Clientes!$C$4:$C$39),Cadastros!$L$6:$L$12,Cadastros!$M$6:$M$12)," ")</f>
        <v xml:space="preserve"> </v>
      </c>
      <c r="M1943" s="28"/>
      <c r="N1943" s="28"/>
      <c r="O1943" s="255" t="str">
        <f>IF(M1943="","",(_xlfn.XLOOKUP(M1943,Cadastros!$D$6:$D$90,Cadastros!$E$6:$E$90))*(1-_xlfn.XLOOKUP(_xlfn.XLOOKUP($F1943,Clientes!$B$4:$B$39,Clientes!$C$4:$C$39),Cadastros!$L$6:$L$12,Cadastros!$N$6:$N$12)))</f>
        <v/>
      </c>
      <c r="P1943" s="168" t="str">
        <f t="shared" si="392"/>
        <v/>
      </c>
      <c r="Q1943" s="168" t="str">
        <f>IFERROR(P1943/_xlfn.XLOOKUP(_xlfn.XLOOKUP($F1943,Clientes!$B$4:$B$39,Clientes!$C$4:$C$39),Cadastros!$L$6:$L$12,Cadastros!$M$6:$M$12)," ")</f>
        <v xml:space="preserve"> </v>
      </c>
      <c r="R1943" s="28"/>
      <c r="S1943" s="28"/>
      <c r="T1943" s="255" t="str">
        <f>IF(R1943="","",(_xlfn.XLOOKUP(R1943,Cadastros!$D$6:$D$90,Cadastros!$E$6:$E$90))*(1-_xlfn.XLOOKUP(_xlfn.XLOOKUP($F1943,Clientes!$B$4:$B$39,Clientes!$C$4:$C$39),Cadastros!$L$6:$L$12,Cadastros!$N$6:$N$12)))</f>
        <v/>
      </c>
      <c r="U1943" s="168" t="str">
        <f t="shared" si="393"/>
        <v/>
      </c>
      <c r="V1943" s="168" t="str">
        <f>IFERROR(U1943/_xlfn.XLOOKUP(_xlfn.XLOOKUP($F1943,Clientes!$B$4:$B$39,Clientes!$C$4:$C$39),Cadastros!$L$6:$L$12,Cadastros!$M$6:$M$12)," ")</f>
        <v xml:space="preserve"> </v>
      </c>
      <c r="W1943" s="28"/>
      <c r="X1943" s="28"/>
      <c r="Y1943" s="255" t="str">
        <f>IF(W1943="","",(_xlfn.XLOOKUP(W1943,Cadastros!$D$6:$D$90,Cadastros!$E$6:$E$90))*(1-_xlfn.XLOOKUP(_xlfn.XLOOKUP($F1943,Clientes!$B$4:$B$39,Clientes!$C$4:$C$39),Cadastros!$L$6:$L$12,Cadastros!$N$6:$N$12)))</f>
        <v/>
      </c>
      <c r="Z1943" s="168" t="str">
        <f t="shared" si="394"/>
        <v/>
      </c>
      <c r="AA1943" s="168" t="str">
        <f>IFERROR(Z1943/_xlfn.XLOOKUP(_xlfn.XLOOKUP($F1943,Clientes!$B$4:$B$39,Clientes!$C$4:$C$39),Cadastros!$L$6:$L$12,Cadastros!$M$6:$M$12)," ")</f>
        <v xml:space="preserve"> </v>
      </c>
      <c r="AB1943" s="28"/>
      <c r="AC1943" s="28"/>
      <c r="AD1943" s="20" t="str">
        <f>IF(AB1943="","",IF($F1943="Bernardino Furlan",_xlfn.XLOOKUP(AB1943,Cadastros!$G$6:$G$90,Cadastros!$H$6:$H$90)*(1-0.18),IF($F1943="Mauro José Salanti",_xlfn.XLOOKUP(AB1943,Cadastros!$G$6:$G$90,Cadastros!$H$6:$H$90)*(1-0.18),_xlfn.XLOOKUP(AB1943,Cadastros!$G$6:$G$90,Cadastros!$H$6:$H$90))))</f>
        <v/>
      </c>
      <c r="AE1943" s="168" t="str">
        <f t="shared" si="395"/>
        <v/>
      </c>
      <c r="AF1943" s="168" t="str">
        <f t="shared" si="396"/>
        <v/>
      </c>
      <c r="AG1943" s="28"/>
      <c r="AH1943" s="28"/>
      <c r="AI1943" s="20" t="str">
        <f>IF(AG1943="","",IF($F1943="Bernardino Furlan",_xlfn.XLOOKUP(AG1943,Cadastros!$G$6:$G$90,Cadastros!$H$6:$H$90)*(1-0.18),IF($F1943="Mauro José Salanti",_xlfn.XLOOKUP(AG1943,Cadastros!$G$6:$G$90,Cadastros!$H$6:$H$90)*(1-0.18),_xlfn.XLOOKUP(AG1943,Cadastros!$G$6:$G$90,Cadastros!$H$6:$H$90))))</f>
        <v/>
      </c>
      <c r="AJ1943" s="168" t="str">
        <f t="shared" si="397"/>
        <v/>
      </c>
      <c r="AK1943" s="168" t="str">
        <f t="shared" si="398"/>
        <v/>
      </c>
      <c r="AL1943" s="28"/>
      <c r="AM1943" s="28"/>
      <c r="AN1943" s="20" t="str">
        <f>IF(AL1943="","",IF($F1943="Bernardino Furlan",_xlfn.XLOOKUP(AL1943,Cadastros!$G$6:$G$90,Cadastros!$H$6:$H$90)*(1-0.18),IF($F1943="Mauro José Salanti",_xlfn.XLOOKUP(AL1943,Cadastros!$G$6:$G$90,Cadastros!$H$6:$H$90)*(1-0.18),_xlfn.XLOOKUP(AL1943,Cadastros!$G$6:$G$90,Cadastros!$H$6:$H$90))))</f>
        <v/>
      </c>
      <c r="AO1943" s="168" t="str">
        <f t="shared" si="399"/>
        <v/>
      </c>
      <c r="AP1943" s="168" t="str">
        <f t="shared" si="400"/>
        <v/>
      </c>
      <c r="AQ1943" s="28"/>
      <c r="AR1943" s="28"/>
      <c r="AS1943" s="20" t="str">
        <f>IF(AQ1943="","",IF($F1943="Bernardino Furlan",_xlfn.XLOOKUP(AQ1943,Cadastros!$G$6:$G$90,Cadastros!$H$6:$H$90)*(1-0.18),IF($F1943="Mauro José Salanti",_xlfn.XLOOKUP(AQ1943,Cadastros!$G$6:$G$90,Cadastros!$H$6:$H$90)*(1-0.18),_xlfn.XLOOKUP(AQ1943,Cadastros!$G$6:$G$90,Cadastros!$H$6:$H$90))))</f>
        <v/>
      </c>
      <c r="AT1943" s="168" t="str">
        <f t="shared" si="401"/>
        <v/>
      </c>
      <c r="AU1943" s="168" t="str">
        <f t="shared" si="402"/>
        <v/>
      </c>
      <c r="AV1943" s="227"/>
      <c r="AW1943" s="30"/>
      <c r="AX1943" s="267"/>
      <c r="AY1943" s="267"/>
      <c r="AZ1943" s="29"/>
      <c r="BA1943" s="30"/>
      <c r="BB1943" s="23" t="str" cm="1">
        <f t="array" ref="BB1943">_xlfn.IFS(AW1943="SIM",SUM(K1943,P1943,U1943,Z1943,AE1943,AJ1943,AO1943,AT1943,AX1943,AY1943),F1943&lt;&gt;"",SUM(K1943,P1943,U1943,Z1943,AE1943,AJ1943,,AO1943,AT1943),F1943="","")</f>
        <v/>
      </c>
      <c r="BC1943" s="211" t="str" cm="1">
        <f t="array" ref="BC1943">_xlfn.IFS(E1943="","",G1943&lt;=E1943,BB1943*(1-0.03),G1943&lt;(E1943+8),BB1943,AZ1943="Boleto",BB1943*(1+0.001)^DATEDIF(E1943,G1943,"D"),AZ1943="Cheque",BB1943,AZ1943="Dinheiro","Alterar forma pgto")</f>
        <v/>
      </c>
      <c r="BD1943" s="276" t="str" cm="1">
        <f t="array" ref="BD1943">IF(F1943=0," ",IF(BC1943&lt;BB1943,(_xlfn.IFS(AW1943="SIM",SUM(L1943,Q1943,V1943,AA1943,AF1943,AK1943,AP1943,AU1943)+AX1943/_xlfn.XLOOKUP(_xlfn.XLOOKUP($F1943,Clientes!$B$4:$B$39,Clientes!$C$4:$C$39),Cadastros!$L$6:$L$12,Cadastros!$M$6:$M$12)+IF($F1943="Bernardino Furlan",AY1943/2751.92,IF($F1943="Mauro José Salanti",AY1943/2751.92,AY1943/3356)),F1943&lt;&gt;0,SUM(L1943,Q1943,V1943,AA1943,AF1943,AK1943,AP1943,AU1943)))*(1-0.03),_xlfn.IFS(AW1943="SIM",SUM(L1943,Q1943,V1943,AA1943,AF1943,AK1943,AP1943,AU1943)+AX1943/_xlfn.XLOOKUP(_xlfn.XLOOKUP($F1943,Clientes!$B$4:$B$39,Clientes!$C$4:$C$39),Cadastros!$L$6:$L$12,Cadastros!$M$6:$M$12)+IF($F1943="Bernardino Furlan",AY1943/2751.92,IF($F1943="Mauro José Salanti",AY1943/2751.92,AY1943/3356)),F1943&lt;&gt;0,SUM(L1943,Q1943,V1943,AA1943,AF1943,AK1943,AP1943,AU1943))))</f>
        <v xml:space="preserve"> </v>
      </c>
      <c r="BE1943" s="120"/>
      <c r="BF1943" s="120"/>
      <c r="BG1943" s="120"/>
    </row>
    <row r="1944" spans="1:59" s="3" customFormat="1" x14ac:dyDescent="0.3">
      <c r="A1944" s="15" t="str">
        <f t="shared" si="390"/>
        <v/>
      </c>
      <c r="B1944" s="25"/>
      <c r="C1944" s="26"/>
      <c r="D1944" s="279"/>
      <c r="E1944" s="27"/>
      <c r="F1944" s="28"/>
      <c r="G1944" s="27"/>
      <c r="H1944" s="28"/>
      <c r="I1944" s="28"/>
      <c r="J1944" s="255" t="str">
        <f>IF(H1944="","",(_xlfn.XLOOKUP(H1944,Cadastros!$D$6:$D$90,Cadastros!$E$6:$E$90))*(1-_xlfn.XLOOKUP(_xlfn.XLOOKUP($F1944,Clientes!$B$4:$B$39,Clientes!$C$4:$C$39),Cadastros!$L$6:$L$12,Cadastros!$N$6:$N$12)))</f>
        <v/>
      </c>
      <c r="K1944" s="168" t="str">
        <f t="shared" si="391"/>
        <v/>
      </c>
      <c r="L1944" s="168" t="str">
        <f>IFERROR(K1944/_xlfn.XLOOKUP(_xlfn.XLOOKUP($F1944,Clientes!$B$4:$B$39,Clientes!$C$4:$C$39),Cadastros!$L$6:$L$12,Cadastros!$M$6:$M$12)," ")</f>
        <v xml:space="preserve"> </v>
      </c>
      <c r="M1944" s="28"/>
      <c r="N1944" s="28"/>
      <c r="O1944" s="255" t="str">
        <f>IF(M1944="","",(_xlfn.XLOOKUP(M1944,Cadastros!$D$6:$D$90,Cadastros!$E$6:$E$90))*(1-_xlfn.XLOOKUP(_xlfn.XLOOKUP($F1944,Clientes!$B$4:$B$39,Clientes!$C$4:$C$39),Cadastros!$L$6:$L$12,Cadastros!$N$6:$N$12)))</f>
        <v/>
      </c>
      <c r="P1944" s="168" t="str">
        <f t="shared" si="392"/>
        <v/>
      </c>
      <c r="Q1944" s="168" t="str">
        <f>IFERROR(P1944/_xlfn.XLOOKUP(_xlfn.XLOOKUP($F1944,Clientes!$B$4:$B$39,Clientes!$C$4:$C$39),Cadastros!$L$6:$L$12,Cadastros!$M$6:$M$12)," ")</f>
        <v xml:space="preserve"> </v>
      </c>
      <c r="R1944" s="28"/>
      <c r="S1944" s="28"/>
      <c r="T1944" s="255" t="str">
        <f>IF(R1944="","",(_xlfn.XLOOKUP(R1944,Cadastros!$D$6:$D$90,Cadastros!$E$6:$E$90))*(1-_xlfn.XLOOKUP(_xlfn.XLOOKUP($F1944,Clientes!$B$4:$B$39,Clientes!$C$4:$C$39),Cadastros!$L$6:$L$12,Cadastros!$N$6:$N$12)))</f>
        <v/>
      </c>
      <c r="U1944" s="168" t="str">
        <f t="shared" si="393"/>
        <v/>
      </c>
      <c r="V1944" s="168" t="str">
        <f>IFERROR(U1944/_xlfn.XLOOKUP(_xlfn.XLOOKUP($F1944,Clientes!$B$4:$B$39,Clientes!$C$4:$C$39),Cadastros!$L$6:$L$12,Cadastros!$M$6:$M$12)," ")</f>
        <v xml:space="preserve"> </v>
      </c>
      <c r="W1944" s="28"/>
      <c r="X1944" s="28"/>
      <c r="Y1944" s="255" t="str">
        <f>IF(W1944="","",(_xlfn.XLOOKUP(W1944,Cadastros!$D$6:$D$90,Cadastros!$E$6:$E$90))*(1-_xlfn.XLOOKUP(_xlfn.XLOOKUP($F1944,Clientes!$B$4:$B$39,Clientes!$C$4:$C$39),Cadastros!$L$6:$L$12,Cadastros!$N$6:$N$12)))</f>
        <v/>
      </c>
      <c r="Z1944" s="168" t="str">
        <f t="shared" si="394"/>
        <v/>
      </c>
      <c r="AA1944" s="168" t="str">
        <f>IFERROR(Z1944/_xlfn.XLOOKUP(_xlfn.XLOOKUP($F1944,Clientes!$B$4:$B$39,Clientes!$C$4:$C$39),Cadastros!$L$6:$L$12,Cadastros!$M$6:$M$12)," ")</f>
        <v xml:space="preserve"> </v>
      </c>
      <c r="AB1944" s="28"/>
      <c r="AC1944" s="28"/>
      <c r="AD1944" s="20" t="str">
        <f>IF(AB1944="","",IF($F1944="Bernardino Furlan",_xlfn.XLOOKUP(AB1944,Cadastros!$G$6:$G$90,Cadastros!$H$6:$H$90)*(1-0.18),IF($F1944="Mauro José Salanti",_xlfn.XLOOKUP(AB1944,Cadastros!$G$6:$G$90,Cadastros!$H$6:$H$90)*(1-0.18),_xlfn.XLOOKUP(AB1944,Cadastros!$G$6:$G$90,Cadastros!$H$6:$H$90))))</f>
        <v/>
      </c>
      <c r="AE1944" s="168" t="str">
        <f t="shared" si="395"/>
        <v/>
      </c>
      <c r="AF1944" s="168" t="str">
        <f t="shared" si="396"/>
        <v/>
      </c>
      <c r="AG1944" s="28"/>
      <c r="AH1944" s="28"/>
      <c r="AI1944" s="20" t="str">
        <f>IF(AG1944="","",IF($F1944="Bernardino Furlan",_xlfn.XLOOKUP(AG1944,Cadastros!$G$6:$G$90,Cadastros!$H$6:$H$90)*(1-0.18),IF($F1944="Mauro José Salanti",_xlfn.XLOOKUP(AG1944,Cadastros!$G$6:$G$90,Cadastros!$H$6:$H$90)*(1-0.18),_xlfn.XLOOKUP(AG1944,Cadastros!$G$6:$G$90,Cadastros!$H$6:$H$90))))</f>
        <v/>
      </c>
      <c r="AJ1944" s="168" t="str">
        <f t="shared" si="397"/>
        <v/>
      </c>
      <c r="AK1944" s="168" t="str">
        <f t="shared" si="398"/>
        <v/>
      </c>
      <c r="AL1944" s="28"/>
      <c r="AM1944" s="28"/>
      <c r="AN1944" s="20" t="str">
        <f>IF(AL1944="","",IF($F1944="Bernardino Furlan",_xlfn.XLOOKUP(AL1944,Cadastros!$G$6:$G$90,Cadastros!$H$6:$H$90)*(1-0.18),IF($F1944="Mauro José Salanti",_xlfn.XLOOKUP(AL1944,Cadastros!$G$6:$G$90,Cadastros!$H$6:$H$90)*(1-0.18),_xlfn.XLOOKUP(AL1944,Cadastros!$G$6:$G$90,Cadastros!$H$6:$H$90))))</f>
        <v/>
      </c>
      <c r="AO1944" s="168" t="str">
        <f t="shared" si="399"/>
        <v/>
      </c>
      <c r="AP1944" s="168" t="str">
        <f t="shared" si="400"/>
        <v/>
      </c>
      <c r="AQ1944" s="28"/>
      <c r="AR1944" s="28"/>
      <c r="AS1944" s="20" t="str">
        <f>IF(AQ1944="","",IF($F1944="Bernardino Furlan",_xlfn.XLOOKUP(AQ1944,Cadastros!$G$6:$G$90,Cadastros!$H$6:$H$90)*(1-0.18),IF($F1944="Mauro José Salanti",_xlfn.XLOOKUP(AQ1944,Cadastros!$G$6:$G$90,Cadastros!$H$6:$H$90)*(1-0.18),_xlfn.XLOOKUP(AQ1944,Cadastros!$G$6:$G$90,Cadastros!$H$6:$H$90))))</f>
        <v/>
      </c>
      <c r="AT1944" s="168" t="str">
        <f t="shared" si="401"/>
        <v/>
      </c>
      <c r="AU1944" s="168" t="str">
        <f t="shared" si="402"/>
        <v/>
      </c>
      <c r="AV1944" s="227"/>
      <c r="AW1944" s="30"/>
      <c r="AX1944" s="267"/>
      <c r="AY1944" s="267"/>
      <c r="AZ1944" s="29"/>
      <c r="BA1944" s="30"/>
      <c r="BB1944" s="23" t="str" cm="1">
        <f t="array" ref="BB1944">_xlfn.IFS(AW1944="SIM",SUM(K1944,P1944,U1944,Z1944,AE1944,AJ1944,AO1944,AT1944,AX1944,AY1944),F1944&lt;&gt;"",SUM(K1944,P1944,U1944,Z1944,AE1944,AJ1944,,AO1944,AT1944),F1944="","")</f>
        <v/>
      </c>
      <c r="BC1944" s="211" t="str" cm="1">
        <f t="array" ref="BC1944">_xlfn.IFS(E1944="","",G1944&lt;=E1944,BB1944*(1-0.03),G1944&lt;(E1944+8),BB1944,AZ1944="Boleto",BB1944*(1+0.001)^DATEDIF(E1944,G1944,"D"),AZ1944="Cheque",BB1944,AZ1944="Dinheiro","Alterar forma pgto")</f>
        <v/>
      </c>
      <c r="BD1944" s="276" t="str" cm="1">
        <f t="array" ref="BD1944">IF(F1944=0," ",IF(BC1944&lt;BB1944,(_xlfn.IFS(AW1944="SIM",SUM(L1944,Q1944,V1944,AA1944,AF1944,AK1944,AP1944,AU1944)+AX1944/_xlfn.XLOOKUP(_xlfn.XLOOKUP($F1944,Clientes!$B$4:$B$39,Clientes!$C$4:$C$39),Cadastros!$L$6:$L$12,Cadastros!$M$6:$M$12)+IF($F1944="Bernardino Furlan",AY1944/2751.92,IF($F1944="Mauro José Salanti",AY1944/2751.92,AY1944/3356)),F1944&lt;&gt;0,SUM(L1944,Q1944,V1944,AA1944,AF1944,AK1944,AP1944,AU1944)))*(1-0.03),_xlfn.IFS(AW1944="SIM",SUM(L1944,Q1944,V1944,AA1944,AF1944,AK1944,AP1944,AU1944)+AX1944/_xlfn.XLOOKUP(_xlfn.XLOOKUP($F1944,Clientes!$B$4:$B$39,Clientes!$C$4:$C$39),Cadastros!$L$6:$L$12,Cadastros!$M$6:$M$12)+IF($F1944="Bernardino Furlan",AY1944/2751.92,IF($F1944="Mauro José Salanti",AY1944/2751.92,AY1944/3356)),F1944&lt;&gt;0,SUM(L1944,Q1944,V1944,AA1944,AF1944,AK1944,AP1944,AU1944))))</f>
        <v xml:space="preserve"> </v>
      </c>
      <c r="BE1944" s="120"/>
      <c r="BF1944" s="120"/>
      <c r="BG1944" s="120"/>
    </row>
    <row r="1945" spans="1:59" s="3" customFormat="1" x14ac:dyDescent="0.3">
      <c r="A1945" s="15" t="str">
        <f t="shared" si="390"/>
        <v/>
      </c>
      <c r="B1945" s="25"/>
      <c r="C1945" s="26"/>
      <c r="D1945" s="279"/>
      <c r="E1945" s="27"/>
      <c r="F1945" s="28"/>
      <c r="G1945" s="27"/>
      <c r="H1945" s="28"/>
      <c r="I1945" s="28"/>
      <c r="J1945" s="255" t="str">
        <f>IF(H1945="","",(_xlfn.XLOOKUP(H1945,Cadastros!$D$6:$D$90,Cadastros!$E$6:$E$90))*(1-_xlfn.XLOOKUP(_xlfn.XLOOKUP($F1945,Clientes!$B$4:$B$39,Clientes!$C$4:$C$39),Cadastros!$L$6:$L$12,Cadastros!$N$6:$N$12)))</f>
        <v/>
      </c>
      <c r="K1945" s="168" t="str">
        <f t="shared" si="391"/>
        <v/>
      </c>
      <c r="L1945" s="168" t="str">
        <f>IFERROR(K1945/_xlfn.XLOOKUP(_xlfn.XLOOKUP($F1945,Clientes!$B$4:$B$39,Clientes!$C$4:$C$39),Cadastros!$L$6:$L$12,Cadastros!$M$6:$M$12)," ")</f>
        <v xml:space="preserve"> </v>
      </c>
      <c r="M1945" s="28"/>
      <c r="N1945" s="28"/>
      <c r="O1945" s="255" t="str">
        <f>IF(M1945="","",(_xlfn.XLOOKUP(M1945,Cadastros!$D$6:$D$90,Cadastros!$E$6:$E$90))*(1-_xlfn.XLOOKUP(_xlfn.XLOOKUP($F1945,Clientes!$B$4:$B$39,Clientes!$C$4:$C$39),Cadastros!$L$6:$L$12,Cadastros!$N$6:$N$12)))</f>
        <v/>
      </c>
      <c r="P1945" s="168" t="str">
        <f t="shared" si="392"/>
        <v/>
      </c>
      <c r="Q1945" s="168" t="str">
        <f>IFERROR(P1945/_xlfn.XLOOKUP(_xlfn.XLOOKUP($F1945,Clientes!$B$4:$B$39,Clientes!$C$4:$C$39),Cadastros!$L$6:$L$12,Cadastros!$M$6:$M$12)," ")</f>
        <v xml:space="preserve"> </v>
      </c>
      <c r="R1945" s="28"/>
      <c r="S1945" s="28"/>
      <c r="T1945" s="255" t="str">
        <f>IF(R1945="","",(_xlfn.XLOOKUP(R1945,Cadastros!$D$6:$D$90,Cadastros!$E$6:$E$90))*(1-_xlfn.XLOOKUP(_xlfn.XLOOKUP($F1945,Clientes!$B$4:$B$39,Clientes!$C$4:$C$39),Cadastros!$L$6:$L$12,Cadastros!$N$6:$N$12)))</f>
        <v/>
      </c>
      <c r="U1945" s="168" t="str">
        <f t="shared" si="393"/>
        <v/>
      </c>
      <c r="V1945" s="168" t="str">
        <f>IFERROR(U1945/_xlfn.XLOOKUP(_xlfn.XLOOKUP($F1945,Clientes!$B$4:$B$39,Clientes!$C$4:$C$39),Cadastros!$L$6:$L$12,Cadastros!$M$6:$M$12)," ")</f>
        <v xml:space="preserve"> </v>
      </c>
      <c r="W1945" s="28"/>
      <c r="X1945" s="28"/>
      <c r="Y1945" s="255" t="str">
        <f>IF(W1945="","",(_xlfn.XLOOKUP(W1945,Cadastros!$D$6:$D$90,Cadastros!$E$6:$E$90))*(1-_xlfn.XLOOKUP(_xlfn.XLOOKUP($F1945,Clientes!$B$4:$B$39,Clientes!$C$4:$C$39),Cadastros!$L$6:$L$12,Cadastros!$N$6:$N$12)))</f>
        <v/>
      </c>
      <c r="Z1945" s="168" t="str">
        <f t="shared" si="394"/>
        <v/>
      </c>
      <c r="AA1945" s="168" t="str">
        <f>IFERROR(Z1945/_xlfn.XLOOKUP(_xlfn.XLOOKUP($F1945,Clientes!$B$4:$B$39,Clientes!$C$4:$C$39),Cadastros!$L$6:$L$12,Cadastros!$M$6:$M$12)," ")</f>
        <v xml:space="preserve"> </v>
      </c>
      <c r="AB1945" s="28"/>
      <c r="AC1945" s="28"/>
      <c r="AD1945" s="20" t="str">
        <f>IF(AB1945="","",IF($F1945="Bernardino Furlan",_xlfn.XLOOKUP(AB1945,Cadastros!$G$6:$G$90,Cadastros!$H$6:$H$90)*(1-0.18),IF($F1945="Mauro José Salanti",_xlfn.XLOOKUP(AB1945,Cadastros!$G$6:$G$90,Cadastros!$H$6:$H$90)*(1-0.18),_xlfn.XLOOKUP(AB1945,Cadastros!$G$6:$G$90,Cadastros!$H$6:$H$90))))</f>
        <v/>
      </c>
      <c r="AE1945" s="168" t="str">
        <f t="shared" si="395"/>
        <v/>
      </c>
      <c r="AF1945" s="168" t="str">
        <f t="shared" si="396"/>
        <v/>
      </c>
      <c r="AG1945" s="28"/>
      <c r="AH1945" s="28"/>
      <c r="AI1945" s="20" t="str">
        <f>IF(AG1945="","",IF($F1945="Bernardino Furlan",_xlfn.XLOOKUP(AG1945,Cadastros!$G$6:$G$90,Cadastros!$H$6:$H$90)*(1-0.18),IF($F1945="Mauro José Salanti",_xlfn.XLOOKUP(AG1945,Cadastros!$G$6:$G$90,Cadastros!$H$6:$H$90)*(1-0.18),_xlfn.XLOOKUP(AG1945,Cadastros!$G$6:$G$90,Cadastros!$H$6:$H$90))))</f>
        <v/>
      </c>
      <c r="AJ1945" s="168" t="str">
        <f t="shared" si="397"/>
        <v/>
      </c>
      <c r="AK1945" s="168" t="str">
        <f t="shared" si="398"/>
        <v/>
      </c>
      <c r="AL1945" s="28"/>
      <c r="AM1945" s="28"/>
      <c r="AN1945" s="20" t="str">
        <f>IF(AL1945="","",IF($F1945="Bernardino Furlan",_xlfn.XLOOKUP(AL1945,Cadastros!$G$6:$G$90,Cadastros!$H$6:$H$90)*(1-0.18),IF($F1945="Mauro José Salanti",_xlfn.XLOOKUP(AL1945,Cadastros!$G$6:$G$90,Cadastros!$H$6:$H$90)*(1-0.18),_xlfn.XLOOKUP(AL1945,Cadastros!$G$6:$G$90,Cadastros!$H$6:$H$90))))</f>
        <v/>
      </c>
      <c r="AO1945" s="168" t="str">
        <f t="shared" si="399"/>
        <v/>
      </c>
      <c r="AP1945" s="168" t="str">
        <f t="shared" si="400"/>
        <v/>
      </c>
      <c r="AQ1945" s="28"/>
      <c r="AR1945" s="28"/>
      <c r="AS1945" s="20" t="str">
        <f>IF(AQ1945="","",IF($F1945="Bernardino Furlan",_xlfn.XLOOKUP(AQ1945,Cadastros!$G$6:$G$90,Cadastros!$H$6:$H$90)*(1-0.18),IF($F1945="Mauro José Salanti",_xlfn.XLOOKUP(AQ1945,Cadastros!$G$6:$G$90,Cadastros!$H$6:$H$90)*(1-0.18),_xlfn.XLOOKUP(AQ1945,Cadastros!$G$6:$G$90,Cadastros!$H$6:$H$90))))</f>
        <v/>
      </c>
      <c r="AT1945" s="168" t="str">
        <f t="shared" si="401"/>
        <v/>
      </c>
      <c r="AU1945" s="168" t="str">
        <f t="shared" si="402"/>
        <v/>
      </c>
      <c r="AV1945" s="227"/>
      <c r="AW1945" s="30"/>
      <c r="AX1945" s="267"/>
      <c r="AY1945" s="267"/>
      <c r="AZ1945" s="29"/>
      <c r="BA1945" s="30"/>
      <c r="BB1945" s="23" t="str" cm="1">
        <f t="array" ref="BB1945">_xlfn.IFS(AW1945="SIM",SUM(K1945,P1945,U1945,Z1945,AE1945,AJ1945,AO1945,AT1945,AX1945,AY1945),F1945&lt;&gt;"",SUM(K1945,P1945,U1945,Z1945,AE1945,AJ1945,,AO1945,AT1945),F1945="","")</f>
        <v/>
      </c>
      <c r="BC1945" s="211" t="str" cm="1">
        <f t="array" ref="BC1945">_xlfn.IFS(E1945="","",G1945&lt;=E1945,BB1945*(1-0.03),G1945&lt;(E1945+8),BB1945,AZ1945="Boleto",BB1945*(1+0.001)^DATEDIF(E1945,G1945,"D"),AZ1945="Cheque",BB1945,AZ1945="Dinheiro","Alterar forma pgto")</f>
        <v/>
      </c>
      <c r="BD1945" s="276" t="str" cm="1">
        <f t="array" ref="BD1945">IF(F1945=0," ",IF(BC1945&lt;BB1945,(_xlfn.IFS(AW1945="SIM",SUM(L1945,Q1945,V1945,AA1945,AF1945,AK1945,AP1945,AU1945)+AX1945/_xlfn.XLOOKUP(_xlfn.XLOOKUP($F1945,Clientes!$B$4:$B$39,Clientes!$C$4:$C$39),Cadastros!$L$6:$L$12,Cadastros!$M$6:$M$12)+IF($F1945="Bernardino Furlan",AY1945/2751.92,IF($F1945="Mauro José Salanti",AY1945/2751.92,AY1945/3356)),F1945&lt;&gt;0,SUM(L1945,Q1945,V1945,AA1945,AF1945,AK1945,AP1945,AU1945)))*(1-0.03),_xlfn.IFS(AW1945="SIM",SUM(L1945,Q1945,V1945,AA1945,AF1945,AK1945,AP1945,AU1945)+AX1945/_xlfn.XLOOKUP(_xlfn.XLOOKUP($F1945,Clientes!$B$4:$B$39,Clientes!$C$4:$C$39),Cadastros!$L$6:$L$12,Cadastros!$M$6:$M$12)+IF($F1945="Bernardino Furlan",AY1945/2751.92,IF($F1945="Mauro José Salanti",AY1945/2751.92,AY1945/3356)),F1945&lt;&gt;0,SUM(L1945,Q1945,V1945,AA1945,AF1945,AK1945,AP1945,AU1945))))</f>
        <v xml:space="preserve"> </v>
      </c>
      <c r="BE1945" s="120"/>
      <c r="BF1945" s="120"/>
      <c r="BG1945" s="120"/>
    </row>
    <row r="1946" spans="1:59" s="3" customFormat="1" x14ac:dyDescent="0.3">
      <c r="A1946" s="15" t="str">
        <f t="shared" si="390"/>
        <v/>
      </c>
      <c r="B1946" s="25"/>
      <c r="C1946" s="26"/>
      <c r="D1946" s="279"/>
      <c r="E1946" s="27"/>
      <c r="F1946" s="28"/>
      <c r="G1946" s="27"/>
      <c r="H1946" s="28"/>
      <c r="I1946" s="28"/>
      <c r="J1946" s="255" t="str">
        <f>IF(H1946="","",(_xlfn.XLOOKUP(H1946,Cadastros!$D$6:$D$90,Cadastros!$E$6:$E$90))*(1-_xlfn.XLOOKUP(_xlfn.XLOOKUP($F1946,Clientes!$B$4:$B$39,Clientes!$C$4:$C$39),Cadastros!$L$6:$L$12,Cadastros!$N$6:$N$12)))</f>
        <v/>
      </c>
      <c r="K1946" s="168" t="str">
        <f t="shared" si="391"/>
        <v/>
      </c>
      <c r="L1946" s="168" t="str">
        <f>IFERROR(K1946/_xlfn.XLOOKUP(_xlfn.XLOOKUP($F1946,Clientes!$B$4:$B$39,Clientes!$C$4:$C$39),Cadastros!$L$6:$L$12,Cadastros!$M$6:$M$12)," ")</f>
        <v xml:space="preserve"> </v>
      </c>
      <c r="M1946" s="28"/>
      <c r="N1946" s="28"/>
      <c r="O1946" s="255" t="str">
        <f>IF(M1946="","",(_xlfn.XLOOKUP(M1946,Cadastros!$D$6:$D$90,Cadastros!$E$6:$E$90))*(1-_xlfn.XLOOKUP(_xlfn.XLOOKUP($F1946,Clientes!$B$4:$B$39,Clientes!$C$4:$C$39),Cadastros!$L$6:$L$12,Cadastros!$N$6:$N$12)))</f>
        <v/>
      </c>
      <c r="P1946" s="168" t="str">
        <f t="shared" si="392"/>
        <v/>
      </c>
      <c r="Q1946" s="168" t="str">
        <f>IFERROR(P1946/_xlfn.XLOOKUP(_xlfn.XLOOKUP($F1946,Clientes!$B$4:$B$39,Clientes!$C$4:$C$39),Cadastros!$L$6:$L$12,Cadastros!$M$6:$M$12)," ")</f>
        <v xml:space="preserve"> </v>
      </c>
      <c r="R1946" s="28"/>
      <c r="S1946" s="28"/>
      <c r="T1946" s="255" t="str">
        <f>IF(R1946="","",(_xlfn.XLOOKUP(R1946,Cadastros!$D$6:$D$90,Cadastros!$E$6:$E$90))*(1-_xlfn.XLOOKUP(_xlfn.XLOOKUP($F1946,Clientes!$B$4:$B$39,Clientes!$C$4:$C$39),Cadastros!$L$6:$L$12,Cadastros!$N$6:$N$12)))</f>
        <v/>
      </c>
      <c r="U1946" s="168" t="str">
        <f t="shared" si="393"/>
        <v/>
      </c>
      <c r="V1946" s="168" t="str">
        <f>IFERROR(U1946/_xlfn.XLOOKUP(_xlfn.XLOOKUP($F1946,Clientes!$B$4:$B$39,Clientes!$C$4:$C$39),Cadastros!$L$6:$L$12,Cadastros!$M$6:$M$12)," ")</f>
        <v xml:space="preserve"> </v>
      </c>
      <c r="W1946" s="28"/>
      <c r="X1946" s="28"/>
      <c r="Y1946" s="255" t="str">
        <f>IF(W1946="","",(_xlfn.XLOOKUP(W1946,Cadastros!$D$6:$D$90,Cadastros!$E$6:$E$90))*(1-_xlfn.XLOOKUP(_xlfn.XLOOKUP($F1946,Clientes!$B$4:$B$39,Clientes!$C$4:$C$39),Cadastros!$L$6:$L$12,Cadastros!$N$6:$N$12)))</f>
        <v/>
      </c>
      <c r="Z1946" s="168" t="str">
        <f t="shared" si="394"/>
        <v/>
      </c>
      <c r="AA1946" s="168" t="str">
        <f>IFERROR(Z1946/_xlfn.XLOOKUP(_xlfn.XLOOKUP($F1946,Clientes!$B$4:$B$39,Clientes!$C$4:$C$39),Cadastros!$L$6:$L$12,Cadastros!$M$6:$M$12)," ")</f>
        <v xml:space="preserve"> </v>
      </c>
      <c r="AB1946" s="28"/>
      <c r="AC1946" s="28"/>
      <c r="AD1946" s="20" t="str">
        <f>IF(AB1946="","",IF($F1946="Bernardino Furlan",_xlfn.XLOOKUP(AB1946,Cadastros!$G$6:$G$90,Cadastros!$H$6:$H$90)*(1-0.18),IF($F1946="Mauro José Salanti",_xlfn.XLOOKUP(AB1946,Cadastros!$G$6:$G$90,Cadastros!$H$6:$H$90)*(1-0.18),_xlfn.XLOOKUP(AB1946,Cadastros!$G$6:$G$90,Cadastros!$H$6:$H$90))))</f>
        <v/>
      </c>
      <c r="AE1946" s="168" t="str">
        <f t="shared" si="395"/>
        <v/>
      </c>
      <c r="AF1946" s="168" t="str">
        <f t="shared" si="396"/>
        <v/>
      </c>
      <c r="AG1946" s="28"/>
      <c r="AH1946" s="28"/>
      <c r="AI1946" s="20" t="str">
        <f>IF(AG1946="","",IF($F1946="Bernardino Furlan",_xlfn.XLOOKUP(AG1946,Cadastros!$G$6:$G$90,Cadastros!$H$6:$H$90)*(1-0.18),IF($F1946="Mauro José Salanti",_xlfn.XLOOKUP(AG1946,Cadastros!$G$6:$G$90,Cadastros!$H$6:$H$90)*(1-0.18),_xlfn.XLOOKUP(AG1946,Cadastros!$G$6:$G$90,Cadastros!$H$6:$H$90))))</f>
        <v/>
      </c>
      <c r="AJ1946" s="168" t="str">
        <f t="shared" si="397"/>
        <v/>
      </c>
      <c r="AK1946" s="168" t="str">
        <f t="shared" si="398"/>
        <v/>
      </c>
      <c r="AL1946" s="28"/>
      <c r="AM1946" s="28"/>
      <c r="AN1946" s="20" t="str">
        <f>IF(AL1946="","",IF($F1946="Bernardino Furlan",_xlfn.XLOOKUP(AL1946,Cadastros!$G$6:$G$90,Cadastros!$H$6:$H$90)*(1-0.18),IF($F1946="Mauro José Salanti",_xlfn.XLOOKUP(AL1946,Cadastros!$G$6:$G$90,Cadastros!$H$6:$H$90)*(1-0.18),_xlfn.XLOOKUP(AL1946,Cadastros!$G$6:$G$90,Cadastros!$H$6:$H$90))))</f>
        <v/>
      </c>
      <c r="AO1946" s="168" t="str">
        <f t="shared" si="399"/>
        <v/>
      </c>
      <c r="AP1946" s="168" t="str">
        <f t="shared" si="400"/>
        <v/>
      </c>
      <c r="AQ1946" s="28"/>
      <c r="AR1946" s="28"/>
      <c r="AS1946" s="20" t="str">
        <f>IF(AQ1946="","",IF($F1946="Bernardino Furlan",_xlfn.XLOOKUP(AQ1946,Cadastros!$G$6:$G$90,Cadastros!$H$6:$H$90)*(1-0.18),IF($F1946="Mauro José Salanti",_xlfn.XLOOKUP(AQ1946,Cadastros!$G$6:$G$90,Cadastros!$H$6:$H$90)*(1-0.18),_xlfn.XLOOKUP(AQ1946,Cadastros!$G$6:$G$90,Cadastros!$H$6:$H$90))))</f>
        <v/>
      </c>
      <c r="AT1946" s="168" t="str">
        <f t="shared" si="401"/>
        <v/>
      </c>
      <c r="AU1946" s="168" t="str">
        <f t="shared" si="402"/>
        <v/>
      </c>
      <c r="AV1946" s="227"/>
      <c r="AW1946" s="30"/>
      <c r="AX1946" s="267"/>
      <c r="AY1946" s="267"/>
      <c r="AZ1946" s="29"/>
      <c r="BA1946" s="30"/>
      <c r="BB1946" s="23" t="str" cm="1">
        <f t="array" ref="BB1946">_xlfn.IFS(AW1946="SIM",SUM(K1946,P1946,U1946,Z1946,AE1946,AJ1946,AO1946,AT1946,AX1946,AY1946),F1946&lt;&gt;"",SUM(K1946,P1946,U1946,Z1946,AE1946,AJ1946,,AO1946,AT1946),F1946="","")</f>
        <v/>
      </c>
      <c r="BC1946" s="211" t="str" cm="1">
        <f t="array" ref="BC1946">_xlfn.IFS(E1946="","",G1946&lt;=E1946,BB1946*(1-0.03),G1946&lt;(E1946+8),BB1946,AZ1946="Boleto",BB1946*(1+0.001)^DATEDIF(E1946,G1946,"D"),AZ1946="Cheque",BB1946,AZ1946="Dinheiro","Alterar forma pgto")</f>
        <v/>
      </c>
      <c r="BD1946" s="276" t="str" cm="1">
        <f t="array" ref="BD1946">IF(F1946=0," ",IF(BC1946&lt;BB1946,(_xlfn.IFS(AW1946="SIM",SUM(L1946,Q1946,V1946,AA1946,AF1946,AK1946,AP1946,AU1946)+AX1946/_xlfn.XLOOKUP(_xlfn.XLOOKUP($F1946,Clientes!$B$4:$B$39,Clientes!$C$4:$C$39),Cadastros!$L$6:$L$12,Cadastros!$M$6:$M$12)+IF($F1946="Bernardino Furlan",AY1946/2751.92,IF($F1946="Mauro José Salanti",AY1946/2751.92,AY1946/3356)),F1946&lt;&gt;0,SUM(L1946,Q1946,V1946,AA1946,AF1946,AK1946,AP1946,AU1946)))*(1-0.03),_xlfn.IFS(AW1946="SIM",SUM(L1946,Q1946,V1946,AA1946,AF1946,AK1946,AP1946,AU1946)+AX1946/_xlfn.XLOOKUP(_xlfn.XLOOKUP($F1946,Clientes!$B$4:$B$39,Clientes!$C$4:$C$39),Cadastros!$L$6:$L$12,Cadastros!$M$6:$M$12)+IF($F1946="Bernardino Furlan",AY1946/2751.92,IF($F1946="Mauro José Salanti",AY1946/2751.92,AY1946/3356)),F1946&lt;&gt;0,SUM(L1946,Q1946,V1946,AA1946,AF1946,AK1946,AP1946,AU1946))))</f>
        <v xml:space="preserve"> </v>
      </c>
      <c r="BE1946" s="120"/>
      <c r="BF1946" s="120"/>
      <c r="BG1946" s="120"/>
    </row>
    <row r="1947" spans="1:59" s="3" customFormat="1" x14ac:dyDescent="0.3">
      <c r="A1947" s="15" t="str">
        <f t="shared" si="390"/>
        <v/>
      </c>
      <c r="B1947" s="25"/>
      <c r="C1947" s="26"/>
      <c r="D1947" s="279"/>
      <c r="E1947" s="27"/>
      <c r="F1947" s="28"/>
      <c r="G1947" s="27"/>
      <c r="H1947" s="28"/>
      <c r="I1947" s="28"/>
      <c r="J1947" s="255" t="str">
        <f>IF(H1947="","",(_xlfn.XLOOKUP(H1947,Cadastros!$D$6:$D$90,Cadastros!$E$6:$E$90))*(1-_xlfn.XLOOKUP(_xlfn.XLOOKUP($F1947,Clientes!$B$4:$B$39,Clientes!$C$4:$C$39),Cadastros!$L$6:$L$12,Cadastros!$N$6:$N$12)))</f>
        <v/>
      </c>
      <c r="K1947" s="168" t="str">
        <f t="shared" si="391"/>
        <v/>
      </c>
      <c r="L1947" s="168" t="str">
        <f>IFERROR(K1947/_xlfn.XLOOKUP(_xlfn.XLOOKUP($F1947,Clientes!$B$4:$B$39,Clientes!$C$4:$C$39),Cadastros!$L$6:$L$12,Cadastros!$M$6:$M$12)," ")</f>
        <v xml:space="preserve"> </v>
      </c>
      <c r="M1947" s="28"/>
      <c r="N1947" s="28"/>
      <c r="O1947" s="255" t="str">
        <f>IF(M1947="","",(_xlfn.XLOOKUP(M1947,Cadastros!$D$6:$D$90,Cadastros!$E$6:$E$90))*(1-_xlfn.XLOOKUP(_xlfn.XLOOKUP($F1947,Clientes!$B$4:$B$39,Clientes!$C$4:$C$39),Cadastros!$L$6:$L$12,Cadastros!$N$6:$N$12)))</f>
        <v/>
      </c>
      <c r="P1947" s="168" t="str">
        <f t="shared" si="392"/>
        <v/>
      </c>
      <c r="Q1947" s="168" t="str">
        <f>IFERROR(P1947/_xlfn.XLOOKUP(_xlfn.XLOOKUP($F1947,Clientes!$B$4:$B$39,Clientes!$C$4:$C$39),Cadastros!$L$6:$L$12,Cadastros!$M$6:$M$12)," ")</f>
        <v xml:space="preserve"> </v>
      </c>
      <c r="R1947" s="28"/>
      <c r="S1947" s="28"/>
      <c r="T1947" s="255" t="str">
        <f>IF(R1947="","",(_xlfn.XLOOKUP(R1947,Cadastros!$D$6:$D$90,Cadastros!$E$6:$E$90))*(1-_xlfn.XLOOKUP(_xlfn.XLOOKUP($F1947,Clientes!$B$4:$B$39,Clientes!$C$4:$C$39),Cadastros!$L$6:$L$12,Cadastros!$N$6:$N$12)))</f>
        <v/>
      </c>
      <c r="U1947" s="168" t="str">
        <f t="shared" si="393"/>
        <v/>
      </c>
      <c r="V1947" s="168" t="str">
        <f>IFERROR(U1947/_xlfn.XLOOKUP(_xlfn.XLOOKUP($F1947,Clientes!$B$4:$B$39,Clientes!$C$4:$C$39),Cadastros!$L$6:$L$12,Cadastros!$M$6:$M$12)," ")</f>
        <v xml:space="preserve"> </v>
      </c>
      <c r="W1947" s="28"/>
      <c r="X1947" s="28"/>
      <c r="Y1947" s="255" t="str">
        <f>IF(W1947="","",(_xlfn.XLOOKUP(W1947,Cadastros!$D$6:$D$90,Cadastros!$E$6:$E$90))*(1-_xlfn.XLOOKUP(_xlfn.XLOOKUP($F1947,Clientes!$B$4:$B$39,Clientes!$C$4:$C$39),Cadastros!$L$6:$L$12,Cadastros!$N$6:$N$12)))</f>
        <v/>
      </c>
      <c r="Z1947" s="168" t="str">
        <f t="shared" si="394"/>
        <v/>
      </c>
      <c r="AA1947" s="168" t="str">
        <f>IFERROR(Z1947/_xlfn.XLOOKUP(_xlfn.XLOOKUP($F1947,Clientes!$B$4:$B$39,Clientes!$C$4:$C$39),Cadastros!$L$6:$L$12,Cadastros!$M$6:$M$12)," ")</f>
        <v xml:space="preserve"> </v>
      </c>
      <c r="AB1947" s="28"/>
      <c r="AC1947" s="28"/>
      <c r="AD1947" s="20" t="str">
        <f>IF(AB1947="","",IF($F1947="Bernardino Furlan",_xlfn.XLOOKUP(AB1947,Cadastros!$G$6:$G$90,Cadastros!$H$6:$H$90)*(1-0.18),IF($F1947="Mauro José Salanti",_xlfn.XLOOKUP(AB1947,Cadastros!$G$6:$G$90,Cadastros!$H$6:$H$90)*(1-0.18),_xlfn.XLOOKUP(AB1947,Cadastros!$G$6:$G$90,Cadastros!$H$6:$H$90))))</f>
        <v/>
      </c>
      <c r="AE1947" s="168" t="str">
        <f t="shared" si="395"/>
        <v/>
      </c>
      <c r="AF1947" s="168" t="str">
        <f t="shared" si="396"/>
        <v/>
      </c>
      <c r="AG1947" s="28"/>
      <c r="AH1947" s="28"/>
      <c r="AI1947" s="20" t="str">
        <f>IF(AG1947="","",IF($F1947="Bernardino Furlan",_xlfn.XLOOKUP(AG1947,Cadastros!$G$6:$G$90,Cadastros!$H$6:$H$90)*(1-0.18),IF($F1947="Mauro José Salanti",_xlfn.XLOOKUP(AG1947,Cadastros!$G$6:$G$90,Cadastros!$H$6:$H$90)*(1-0.18),_xlfn.XLOOKUP(AG1947,Cadastros!$G$6:$G$90,Cadastros!$H$6:$H$90))))</f>
        <v/>
      </c>
      <c r="AJ1947" s="168" t="str">
        <f t="shared" si="397"/>
        <v/>
      </c>
      <c r="AK1947" s="168" t="str">
        <f t="shared" si="398"/>
        <v/>
      </c>
      <c r="AL1947" s="28"/>
      <c r="AM1947" s="28"/>
      <c r="AN1947" s="20" t="str">
        <f>IF(AL1947="","",IF($F1947="Bernardino Furlan",_xlfn.XLOOKUP(AL1947,Cadastros!$G$6:$G$90,Cadastros!$H$6:$H$90)*(1-0.18),IF($F1947="Mauro José Salanti",_xlfn.XLOOKUP(AL1947,Cadastros!$G$6:$G$90,Cadastros!$H$6:$H$90)*(1-0.18),_xlfn.XLOOKUP(AL1947,Cadastros!$G$6:$G$90,Cadastros!$H$6:$H$90))))</f>
        <v/>
      </c>
      <c r="AO1947" s="168" t="str">
        <f t="shared" si="399"/>
        <v/>
      </c>
      <c r="AP1947" s="168" t="str">
        <f t="shared" si="400"/>
        <v/>
      </c>
      <c r="AQ1947" s="28"/>
      <c r="AR1947" s="28"/>
      <c r="AS1947" s="20" t="str">
        <f>IF(AQ1947="","",IF($F1947="Bernardino Furlan",_xlfn.XLOOKUP(AQ1947,Cadastros!$G$6:$G$90,Cadastros!$H$6:$H$90)*(1-0.18),IF($F1947="Mauro José Salanti",_xlfn.XLOOKUP(AQ1947,Cadastros!$G$6:$G$90,Cadastros!$H$6:$H$90)*(1-0.18),_xlfn.XLOOKUP(AQ1947,Cadastros!$G$6:$G$90,Cadastros!$H$6:$H$90))))</f>
        <v/>
      </c>
      <c r="AT1947" s="168" t="str">
        <f t="shared" si="401"/>
        <v/>
      </c>
      <c r="AU1947" s="168" t="str">
        <f t="shared" si="402"/>
        <v/>
      </c>
      <c r="AV1947" s="227"/>
      <c r="AW1947" s="30"/>
      <c r="AX1947" s="267"/>
      <c r="AY1947" s="267"/>
      <c r="AZ1947" s="29"/>
      <c r="BA1947" s="30"/>
      <c r="BB1947" s="23" t="str" cm="1">
        <f t="array" ref="BB1947">_xlfn.IFS(AW1947="SIM",SUM(K1947,P1947,U1947,Z1947,AE1947,AJ1947,AO1947,AT1947,AX1947,AY1947),F1947&lt;&gt;"",SUM(K1947,P1947,U1947,Z1947,AE1947,AJ1947,,AO1947,AT1947),F1947="","")</f>
        <v/>
      </c>
      <c r="BC1947" s="211" t="str" cm="1">
        <f t="array" ref="BC1947">_xlfn.IFS(E1947="","",G1947&lt;=E1947,BB1947*(1-0.03),G1947&lt;(E1947+8),BB1947,AZ1947="Boleto",BB1947*(1+0.001)^DATEDIF(E1947,G1947,"D"),AZ1947="Cheque",BB1947,AZ1947="Dinheiro","Alterar forma pgto")</f>
        <v/>
      </c>
      <c r="BD1947" s="276" t="str" cm="1">
        <f t="array" ref="BD1947">IF(F1947=0," ",IF(BC1947&lt;BB1947,(_xlfn.IFS(AW1947="SIM",SUM(L1947,Q1947,V1947,AA1947,AF1947,AK1947,AP1947,AU1947)+AX1947/_xlfn.XLOOKUP(_xlfn.XLOOKUP($F1947,Clientes!$B$4:$B$39,Clientes!$C$4:$C$39),Cadastros!$L$6:$L$12,Cadastros!$M$6:$M$12)+IF($F1947="Bernardino Furlan",AY1947/2751.92,IF($F1947="Mauro José Salanti",AY1947/2751.92,AY1947/3356)),F1947&lt;&gt;0,SUM(L1947,Q1947,V1947,AA1947,AF1947,AK1947,AP1947,AU1947)))*(1-0.03),_xlfn.IFS(AW1947="SIM",SUM(L1947,Q1947,V1947,AA1947,AF1947,AK1947,AP1947,AU1947)+AX1947/_xlfn.XLOOKUP(_xlfn.XLOOKUP($F1947,Clientes!$B$4:$B$39,Clientes!$C$4:$C$39),Cadastros!$L$6:$L$12,Cadastros!$M$6:$M$12)+IF($F1947="Bernardino Furlan",AY1947/2751.92,IF($F1947="Mauro José Salanti",AY1947/2751.92,AY1947/3356)),F1947&lt;&gt;0,SUM(L1947,Q1947,V1947,AA1947,AF1947,AK1947,AP1947,AU1947))))</f>
        <v xml:space="preserve"> </v>
      </c>
      <c r="BE1947" s="120"/>
      <c r="BF1947" s="120"/>
      <c r="BG1947" s="120"/>
    </row>
    <row r="1948" spans="1:59" s="3" customFormat="1" x14ac:dyDescent="0.3">
      <c r="A1948" s="15" t="str">
        <f t="shared" si="390"/>
        <v/>
      </c>
      <c r="B1948" s="25"/>
      <c r="C1948" s="26"/>
      <c r="D1948" s="279"/>
      <c r="E1948" s="27"/>
      <c r="F1948" s="28"/>
      <c r="G1948" s="27"/>
      <c r="H1948" s="28"/>
      <c r="I1948" s="28"/>
      <c r="J1948" s="255" t="str">
        <f>IF(H1948="","",(_xlfn.XLOOKUP(H1948,Cadastros!$D$6:$D$90,Cadastros!$E$6:$E$90))*(1-_xlfn.XLOOKUP(_xlfn.XLOOKUP($F1948,Clientes!$B$4:$B$39,Clientes!$C$4:$C$39),Cadastros!$L$6:$L$12,Cadastros!$N$6:$N$12)))</f>
        <v/>
      </c>
      <c r="K1948" s="168" t="str">
        <f t="shared" si="391"/>
        <v/>
      </c>
      <c r="L1948" s="168" t="str">
        <f>IFERROR(K1948/_xlfn.XLOOKUP(_xlfn.XLOOKUP($F1948,Clientes!$B$4:$B$39,Clientes!$C$4:$C$39),Cadastros!$L$6:$L$12,Cadastros!$M$6:$M$12)," ")</f>
        <v xml:space="preserve"> </v>
      </c>
      <c r="M1948" s="28"/>
      <c r="N1948" s="28"/>
      <c r="O1948" s="255" t="str">
        <f>IF(M1948="","",(_xlfn.XLOOKUP(M1948,Cadastros!$D$6:$D$90,Cadastros!$E$6:$E$90))*(1-_xlfn.XLOOKUP(_xlfn.XLOOKUP($F1948,Clientes!$B$4:$B$39,Clientes!$C$4:$C$39),Cadastros!$L$6:$L$12,Cadastros!$N$6:$N$12)))</f>
        <v/>
      </c>
      <c r="P1948" s="168" t="str">
        <f t="shared" si="392"/>
        <v/>
      </c>
      <c r="Q1948" s="168" t="str">
        <f>IFERROR(P1948/_xlfn.XLOOKUP(_xlfn.XLOOKUP($F1948,Clientes!$B$4:$B$39,Clientes!$C$4:$C$39),Cadastros!$L$6:$L$12,Cadastros!$M$6:$M$12)," ")</f>
        <v xml:space="preserve"> </v>
      </c>
      <c r="R1948" s="28"/>
      <c r="S1948" s="28"/>
      <c r="T1948" s="255" t="str">
        <f>IF(R1948="","",(_xlfn.XLOOKUP(R1948,Cadastros!$D$6:$D$90,Cadastros!$E$6:$E$90))*(1-_xlfn.XLOOKUP(_xlfn.XLOOKUP($F1948,Clientes!$B$4:$B$39,Clientes!$C$4:$C$39),Cadastros!$L$6:$L$12,Cadastros!$N$6:$N$12)))</f>
        <v/>
      </c>
      <c r="U1948" s="168" t="str">
        <f t="shared" si="393"/>
        <v/>
      </c>
      <c r="V1948" s="168" t="str">
        <f>IFERROR(U1948/_xlfn.XLOOKUP(_xlfn.XLOOKUP($F1948,Clientes!$B$4:$B$39,Clientes!$C$4:$C$39),Cadastros!$L$6:$L$12,Cadastros!$M$6:$M$12)," ")</f>
        <v xml:space="preserve"> </v>
      </c>
      <c r="W1948" s="28"/>
      <c r="X1948" s="28"/>
      <c r="Y1948" s="255" t="str">
        <f>IF(W1948="","",(_xlfn.XLOOKUP(W1948,Cadastros!$D$6:$D$90,Cadastros!$E$6:$E$90))*(1-_xlfn.XLOOKUP(_xlfn.XLOOKUP($F1948,Clientes!$B$4:$B$39,Clientes!$C$4:$C$39),Cadastros!$L$6:$L$12,Cadastros!$N$6:$N$12)))</f>
        <v/>
      </c>
      <c r="Z1948" s="168" t="str">
        <f t="shared" si="394"/>
        <v/>
      </c>
      <c r="AA1948" s="168" t="str">
        <f>IFERROR(Z1948/_xlfn.XLOOKUP(_xlfn.XLOOKUP($F1948,Clientes!$B$4:$B$39,Clientes!$C$4:$C$39),Cadastros!$L$6:$L$12,Cadastros!$M$6:$M$12)," ")</f>
        <v xml:space="preserve"> </v>
      </c>
      <c r="AB1948" s="28"/>
      <c r="AC1948" s="28"/>
      <c r="AD1948" s="20" t="str">
        <f>IF(AB1948="","",IF($F1948="Bernardino Furlan",_xlfn.XLOOKUP(AB1948,Cadastros!$G$6:$G$90,Cadastros!$H$6:$H$90)*(1-0.18),IF($F1948="Mauro José Salanti",_xlfn.XLOOKUP(AB1948,Cadastros!$G$6:$G$90,Cadastros!$H$6:$H$90)*(1-0.18),_xlfn.XLOOKUP(AB1948,Cadastros!$G$6:$G$90,Cadastros!$H$6:$H$90))))</f>
        <v/>
      </c>
      <c r="AE1948" s="168" t="str">
        <f t="shared" si="395"/>
        <v/>
      </c>
      <c r="AF1948" s="168" t="str">
        <f t="shared" si="396"/>
        <v/>
      </c>
      <c r="AG1948" s="28"/>
      <c r="AH1948" s="28"/>
      <c r="AI1948" s="20" t="str">
        <f>IF(AG1948="","",IF($F1948="Bernardino Furlan",_xlfn.XLOOKUP(AG1948,Cadastros!$G$6:$G$90,Cadastros!$H$6:$H$90)*(1-0.18),IF($F1948="Mauro José Salanti",_xlfn.XLOOKUP(AG1948,Cadastros!$G$6:$G$90,Cadastros!$H$6:$H$90)*(1-0.18),_xlfn.XLOOKUP(AG1948,Cadastros!$G$6:$G$90,Cadastros!$H$6:$H$90))))</f>
        <v/>
      </c>
      <c r="AJ1948" s="168" t="str">
        <f t="shared" si="397"/>
        <v/>
      </c>
      <c r="AK1948" s="168" t="str">
        <f t="shared" si="398"/>
        <v/>
      </c>
      <c r="AL1948" s="28"/>
      <c r="AM1948" s="28"/>
      <c r="AN1948" s="20" t="str">
        <f>IF(AL1948="","",IF($F1948="Bernardino Furlan",_xlfn.XLOOKUP(AL1948,Cadastros!$G$6:$G$90,Cadastros!$H$6:$H$90)*(1-0.18),IF($F1948="Mauro José Salanti",_xlfn.XLOOKUP(AL1948,Cadastros!$G$6:$G$90,Cadastros!$H$6:$H$90)*(1-0.18),_xlfn.XLOOKUP(AL1948,Cadastros!$G$6:$G$90,Cadastros!$H$6:$H$90))))</f>
        <v/>
      </c>
      <c r="AO1948" s="168" t="str">
        <f t="shared" si="399"/>
        <v/>
      </c>
      <c r="AP1948" s="168" t="str">
        <f t="shared" si="400"/>
        <v/>
      </c>
      <c r="AQ1948" s="28"/>
      <c r="AR1948" s="28"/>
      <c r="AS1948" s="20" t="str">
        <f>IF(AQ1948="","",IF($F1948="Bernardino Furlan",_xlfn.XLOOKUP(AQ1948,Cadastros!$G$6:$G$90,Cadastros!$H$6:$H$90)*(1-0.18),IF($F1948="Mauro José Salanti",_xlfn.XLOOKUP(AQ1948,Cadastros!$G$6:$G$90,Cadastros!$H$6:$H$90)*(1-0.18),_xlfn.XLOOKUP(AQ1948,Cadastros!$G$6:$G$90,Cadastros!$H$6:$H$90))))</f>
        <v/>
      </c>
      <c r="AT1948" s="168" t="str">
        <f t="shared" si="401"/>
        <v/>
      </c>
      <c r="AU1948" s="168" t="str">
        <f t="shared" si="402"/>
        <v/>
      </c>
      <c r="AV1948" s="227"/>
      <c r="AW1948" s="30"/>
      <c r="AX1948" s="267"/>
      <c r="AY1948" s="267"/>
      <c r="AZ1948" s="29"/>
      <c r="BA1948" s="30"/>
      <c r="BB1948" s="23" t="str" cm="1">
        <f t="array" ref="BB1948">_xlfn.IFS(AW1948="SIM",SUM(K1948,P1948,U1948,Z1948,AE1948,AJ1948,AO1948,AT1948,AX1948,AY1948),F1948&lt;&gt;"",SUM(K1948,P1948,U1948,Z1948,AE1948,AJ1948,,AO1948,AT1948),F1948="","")</f>
        <v/>
      </c>
      <c r="BC1948" s="211" t="str" cm="1">
        <f t="array" ref="BC1948">_xlfn.IFS(E1948="","",G1948&lt;=E1948,BB1948*(1-0.03),G1948&lt;(E1948+8),BB1948,AZ1948="Boleto",BB1948*(1+0.001)^DATEDIF(E1948,G1948,"D"),AZ1948="Cheque",BB1948,AZ1948="Dinheiro","Alterar forma pgto")</f>
        <v/>
      </c>
      <c r="BD1948" s="276" t="str" cm="1">
        <f t="array" ref="BD1948">IF(F1948=0," ",IF(BC1948&lt;BB1948,(_xlfn.IFS(AW1948="SIM",SUM(L1948,Q1948,V1948,AA1948,AF1948,AK1948,AP1948,AU1948)+AX1948/_xlfn.XLOOKUP(_xlfn.XLOOKUP($F1948,Clientes!$B$4:$B$39,Clientes!$C$4:$C$39),Cadastros!$L$6:$L$12,Cadastros!$M$6:$M$12)+IF($F1948="Bernardino Furlan",AY1948/2751.92,IF($F1948="Mauro José Salanti",AY1948/2751.92,AY1948/3356)),F1948&lt;&gt;0,SUM(L1948,Q1948,V1948,AA1948,AF1948,AK1948,AP1948,AU1948)))*(1-0.03),_xlfn.IFS(AW1948="SIM",SUM(L1948,Q1948,V1948,AA1948,AF1948,AK1948,AP1948,AU1948)+AX1948/_xlfn.XLOOKUP(_xlfn.XLOOKUP($F1948,Clientes!$B$4:$B$39,Clientes!$C$4:$C$39),Cadastros!$L$6:$L$12,Cadastros!$M$6:$M$12)+IF($F1948="Bernardino Furlan",AY1948/2751.92,IF($F1948="Mauro José Salanti",AY1948/2751.92,AY1948/3356)),F1948&lt;&gt;0,SUM(L1948,Q1948,V1948,AA1948,AF1948,AK1948,AP1948,AU1948))))</f>
        <v xml:space="preserve"> </v>
      </c>
      <c r="BE1948" s="120"/>
      <c r="BF1948" s="120"/>
      <c r="BG1948" s="120"/>
    </row>
    <row r="1949" spans="1:59" s="3" customFormat="1" x14ac:dyDescent="0.3">
      <c r="A1949" s="15" t="str">
        <f t="shared" si="390"/>
        <v/>
      </c>
      <c r="B1949" s="25"/>
      <c r="C1949" s="26"/>
      <c r="D1949" s="279"/>
      <c r="E1949" s="27"/>
      <c r="F1949" s="28"/>
      <c r="G1949" s="27"/>
      <c r="H1949" s="28"/>
      <c r="I1949" s="28"/>
      <c r="J1949" s="255" t="str">
        <f>IF(H1949="","",(_xlfn.XLOOKUP(H1949,Cadastros!$D$6:$D$90,Cadastros!$E$6:$E$90))*(1-_xlfn.XLOOKUP(_xlfn.XLOOKUP($F1949,Clientes!$B$4:$B$39,Clientes!$C$4:$C$39),Cadastros!$L$6:$L$12,Cadastros!$N$6:$N$12)))</f>
        <v/>
      </c>
      <c r="K1949" s="168" t="str">
        <f t="shared" si="391"/>
        <v/>
      </c>
      <c r="L1949" s="168" t="str">
        <f>IFERROR(K1949/_xlfn.XLOOKUP(_xlfn.XLOOKUP($F1949,Clientes!$B$4:$B$39,Clientes!$C$4:$C$39),Cadastros!$L$6:$L$12,Cadastros!$M$6:$M$12)," ")</f>
        <v xml:space="preserve"> </v>
      </c>
      <c r="M1949" s="28"/>
      <c r="N1949" s="28"/>
      <c r="O1949" s="255" t="str">
        <f>IF(M1949="","",(_xlfn.XLOOKUP(M1949,Cadastros!$D$6:$D$90,Cadastros!$E$6:$E$90))*(1-_xlfn.XLOOKUP(_xlfn.XLOOKUP($F1949,Clientes!$B$4:$B$39,Clientes!$C$4:$C$39),Cadastros!$L$6:$L$12,Cadastros!$N$6:$N$12)))</f>
        <v/>
      </c>
      <c r="P1949" s="168" t="str">
        <f t="shared" si="392"/>
        <v/>
      </c>
      <c r="Q1949" s="168" t="str">
        <f>IFERROR(P1949/_xlfn.XLOOKUP(_xlfn.XLOOKUP($F1949,Clientes!$B$4:$B$39,Clientes!$C$4:$C$39),Cadastros!$L$6:$L$12,Cadastros!$M$6:$M$12)," ")</f>
        <v xml:space="preserve"> </v>
      </c>
      <c r="R1949" s="28"/>
      <c r="S1949" s="28"/>
      <c r="T1949" s="255" t="str">
        <f>IF(R1949="","",(_xlfn.XLOOKUP(R1949,Cadastros!$D$6:$D$90,Cadastros!$E$6:$E$90))*(1-_xlfn.XLOOKUP(_xlfn.XLOOKUP($F1949,Clientes!$B$4:$B$39,Clientes!$C$4:$C$39),Cadastros!$L$6:$L$12,Cadastros!$N$6:$N$12)))</f>
        <v/>
      </c>
      <c r="U1949" s="168" t="str">
        <f t="shared" si="393"/>
        <v/>
      </c>
      <c r="V1949" s="168" t="str">
        <f>IFERROR(U1949/_xlfn.XLOOKUP(_xlfn.XLOOKUP($F1949,Clientes!$B$4:$B$39,Clientes!$C$4:$C$39),Cadastros!$L$6:$L$12,Cadastros!$M$6:$M$12)," ")</f>
        <v xml:space="preserve"> </v>
      </c>
      <c r="W1949" s="28"/>
      <c r="X1949" s="28"/>
      <c r="Y1949" s="255" t="str">
        <f>IF(W1949="","",(_xlfn.XLOOKUP(W1949,Cadastros!$D$6:$D$90,Cadastros!$E$6:$E$90))*(1-_xlfn.XLOOKUP(_xlfn.XLOOKUP($F1949,Clientes!$B$4:$B$39,Clientes!$C$4:$C$39),Cadastros!$L$6:$L$12,Cadastros!$N$6:$N$12)))</f>
        <v/>
      </c>
      <c r="Z1949" s="168" t="str">
        <f t="shared" si="394"/>
        <v/>
      </c>
      <c r="AA1949" s="168" t="str">
        <f>IFERROR(Z1949/_xlfn.XLOOKUP(_xlfn.XLOOKUP($F1949,Clientes!$B$4:$B$39,Clientes!$C$4:$C$39),Cadastros!$L$6:$L$12,Cadastros!$M$6:$M$12)," ")</f>
        <v xml:space="preserve"> </v>
      </c>
      <c r="AB1949" s="28"/>
      <c r="AC1949" s="28"/>
      <c r="AD1949" s="20" t="str">
        <f>IF(AB1949="","",IF($F1949="Bernardino Furlan",_xlfn.XLOOKUP(AB1949,Cadastros!$G$6:$G$90,Cadastros!$H$6:$H$90)*(1-0.18),IF($F1949="Mauro José Salanti",_xlfn.XLOOKUP(AB1949,Cadastros!$G$6:$G$90,Cadastros!$H$6:$H$90)*(1-0.18),_xlfn.XLOOKUP(AB1949,Cadastros!$G$6:$G$90,Cadastros!$H$6:$H$90))))</f>
        <v/>
      </c>
      <c r="AE1949" s="168" t="str">
        <f t="shared" si="395"/>
        <v/>
      </c>
      <c r="AF1949" s="168" t="str">
        <f t="shared" si="396"/>
        <v/>
      </c>
      <c r="AG1949" s="28"/>
      <c r="AH1949" s="28"/>
      <c r="AI1949" s="20" t="str">
        <f>IF(AG1949="","",IF($F1949="Bernardino Furlan",_xlfn.XLOOKUP(AG1949,Cadastros!$G$6:$G$90,Cadastros!$H$6:$H$90)*(1-0.18),IF($F1949="Mauro José Salanti",_xlfn.XLOOKUP(AG1949,Cadastros!$G$6:$G$90,Cadastros!$H$6:$H$90)*(1-0.18),_xlfn.XLOOKUP(AG1949,Cadastros!$G$6:$G$90,Cadastros!$H$6:$H$90))))</f>
        <v/>
      </c>
      <c r="AJ1949" s="168" t="str">
        <f t="shared" si="397"/>
        <v/>
      </c>
      <c r="AK1949" s="168" t="str">
        <f t="shared" si="398"/>
        <v/>
      </c>
      <c r="AL1949" s="28"/>
      <c r="AM1949" s="28"/>
      <c r="AN1949" s="20" t="str">
        <f>IF(AL1949="","",IF($F1949="Bernardino Furlan",_xlfn.XLOOKUP(AL1949,Cadastros!$G$6:$G$90,Cadastros!$H$6:$H$90)*(1-0.18),IF($F1949="Mauro José Salanti",_xlfn.XLOOKUP(AL1949,Cadastros!$G$6:$G$90,Cadastros!$H$6:$H$90)*(1-0.18),_xlfn.XLOOKUP(AL1949,Cadastros!$G$6:$G$90,Cadastros!$H$6:$H$90))))</f>
        <v/>
      </c>
      <c r="AO1949" s="168" t="str">
        <f t="shared" si="399"/>
        <v/>
      </c>
      <c r="AP1949" s="168" t="str">
        <f t="shared" si="400"/>
        <v/>
      </c>
      <c r="AQ1949" s="28"/>
      <c r="AR1949" s="28"/>
      <c r="AS1949" s="20" t="str">
        <f>IF(AQ1949="","",IF($F1949="Bernardino Furlan",_xlfn.XLOOKUP(AQ1949,Cadastros!$G$6:$G$90,Cadastros!$H$6:$H$90)*(1-0.18),IF($F1949="Mauro José Salanti",_xlfn.XLOOKUP(AQ1949,Cadastros!$G$6:$G$90,Cadastros!$H$6:$H$90)*(1-0.18),_xlfn.XLOOKUP(AQ1949,Cadastros!$G$6:$G$90,Cadastros!$H$6:$H$90))))</f>
        <v/>
      </c>
      <c r="AT1949" s="168" t="str">
        <f t="shared" si="401"/>
        <v/>
      </c>
      <c r="AU1949" s="168" t="str">
        <f t="shared" si="402"/>
        <v/>
      </c>
      <c r="AV1949" s="227"/>
      <c r="AW1949" s="30"/>
      <c r="AX1949" s="267"/>
      <c r="AY1949" s="267"/>
      <c r="AZ1949" s="29"/>
      <c r="BA1949" s="30"/>
      <c r="BB1949" s="23" t="str" cm="1">
        <f t="array" ref="BB1949">_xlfn.IFS(AW1949="SIM",SUM(K1949,P1949,U1949,Z1949,AE1949,AJ1949,AO1949,AT1949,AX1949,AY1949),F1949&lt;&gt;"",SUM(K1949,P1949,U1949,Z1949,AE1949,AJ1949,,AO1949,AT1949),F1949="","")</f>
        <v/>
      </c>
      <c r="BC1949" s="211" t="str" cm="1">
        <f t="array" ref="BC1949">_xlfn.IFS(E1949="","",G1949&lt;=E1949,BB1949*(1-0.03),G1949&lt;(E1949+8),BB1949,AZ1949="Boleto",BB1949*(1+0.001)^DATEDIF(E1949,G1949,"D"),AZ1949="Cheque",BB1949,AZ1949="Dinheiro","Alterar forma pgto")</f>
        <v/>
      </c>
      <c r="BD1949" s="276" t="str" cm="1">
        <f t="array" ref="BD1949">IF(F1949=0," ",IF(BC1949&lt;BB1949,(_xlfn.IFS(AW1949="SIM",SUM(L1949,Q1949,V1949,AA1949,AF1949,AK1949,AP1949,AU1949)+AX1949/_xlfn.XLOOKUP(_xlfn.XLOOKUP($F1949,Clientes!$B$4:$B$39,Clientes!$C$4:$C$39),Cadastros!$L$6:$L$12,Cadastros!$M$6:$M$12)+IF($F1949="Bernardino Furlan",AY1949/2751.92,IF($F1949="Mauro José Salanti",AY1949/2751.92,AY1949/3356)),F1949&lt;&gt;0,SUM(L1949,Q1949,V1949,AA1949,AF1949,AK1949,AP1949,AU1949)))*(1-0.03),_xlfn.IFS(AW1949="SIM",SUM(L1949,Q1949,V1949,AA1949,AF1949,AK1949,AP1949,AU1949)+AX1949/_xlfn.XLOOKUP(_xlfn.XLOOKUP($F1949,Clientes!$B$4:$B$39,Clientes!$C$4:$C$39),Cadastros!$L$6:$L$12,Cadastros!$M$6:$M$12)+IF($F1949="Bernardino Furlan",AY1949/2751.92,IF($F1949="Mauro José Salanti",AY1949/2751.92,AY1949/3356)),F1949&lt;&gt;0,SUM(L1949,Q1949,V1949,AA1949,AF1949,AK1949,AP1949,AU1949))))</f>
        <v xml:space="preserve"> </v>
      </c>
      <c r="BE1949" s="120"/>
      <c r="BF1949" s="120"/>
      <c r="BG1949" s="120"/>
    </row>
    <row r="1950" spans="1:59" s="3" customFormat="1" x14ac:dyDescent="0.3">
      <c r="A1950" s="15" t="str">
        <f t="shared" si="390"/>
        <v/>
      </c>
      <c r="B1950" s="25"/>
      <c r="C1950" s="26"/>
      <c r="D1950" s="279"/>
      <c r="E1950" s="27"/>
      <c r="F1950" s="28"/>
      <c r="G1950" s="27"/>
      <c r="H1950" s="28"/>
      <c r="I1950" s="28"/>
      <c r="J1950" s="255" t="str">
        <f>IF(H1950="","",(_xlfn.XLOOKUP(H1950,Cadastros!$D$6:$D$90,Cadastros!$E$6:$E$90))*(1-_xlfn.XLOOKUP(_xlfn.XLOOKUP($F1950,Clientes!$B$4:$B$39,Clientes!$C$4:$C$39),Cadastros!$L$6:$L$12,Cadastros!$N$6:$N$12)))</f>
        <v/>
      </c>
      <c r="K1950" s="168" t="str">
        <f t="shared" si="391"/>
        <v/>
      </c>
      <c r="L1950" s="168" t="str">
        <f>IFERROR(K1950/_xlfn.XLOOKUP(_xlfn.XLOOKUP($F1950,Clientes!$B$4:$B$39,Clientes!$C$4:$C$39),Cadastros!$L$6:$L$12,Cadastros!$M$6:$M$12)," ")</f>
        <v xml:space="preserve"> </v>
      </c>
      <c r="M1950" s="28"/>
      <c r="N1950" s="28"/>
      <c r="O1950" s="255" t="str">
        <f>IF(M1950="","",(_xlfn.XLOOKUP(M1950,Cadastros!$D$6:$D$90,Cadastros!$E$6:$E$90))*(1-_xlfn.XLOOKUP(_xlfn.XLOOKUP($F1950,Clientes!$B$4:$B$39,Clientes!$C$4:$C$39),Cadastros!$L$6:$L$12,Cadastros!$N$6:$N$12)))</f>
        <v/>
      </c>
      <c r="P1950" s="168" t="str">
        <f t="shared" si="392"/>
        <v/>
      </c>
      <c r="Q1950" s="168" t="str">
        <f>IFERROR(P1950/_xlfn.XLOOKUP(_xlfn.XLOOKUP($F1950,Clientes!$B$4:$B$39,Clientes!$C$4:$C$39),Cadastros!$L$6:$L$12,Cadastros!$M$6:$M$12)," ")</f>
        <v xml:space="preserve"> </v>
      </c>
      <c r="R1950" s="28"/>
      <c r="S1950" s="28"/>
      <c r="T1950" s="255" t="str">
        <f>IF(R1950="","",(_xlfn.XLOOKUP(R1950,Cadastros!$D$6:$D$90,Cadastros!$E$6:$E$90))*(1-_xlfn.XLOOKUP(_xlfn.XLOOKUP($F1950,Clientes!$B$4:$B$39,Clientes!$C$4:$C$39),Cadastros!$L$6:$L$12,Cadastros!$N$6:$N$12)))</f>
        <v/>
      </c>
      <c r="U1950" s="168" t="str">
        <f t="shared" si="393"/>
        <v/>
      </c>
      <c r="V1950" s="168" t="str">
        <f>IFERROR(U1950/_xlfn.XLOOKUP(_xlfn.XLOOKUP($F1950,Clientes!$B$4:$B$39,Clientes!$C$4:$C$39),Cadastros!$L$6:$L$12,Cadastros!$M$6:$M$12)," ")</f>
        <v xml:space="preserve"> </v>
      </c>
      <c r="W1950" s="28"/>
      <c r="X1950" s="28"/>
      <c r="Y1950" s="255" t="str">
        <f>IF(W1950="","",(_xlfn.XLOOKUP(W1950,Cadastros!$D$6:$D$90,Cadastros!$E$6:$E$90))*(1-_xlfn.XLOOKUP(_xlfn.XLOOKUP($F1950,Clientes!$B$4:$B$39,Clientes!$C$4:$C$39),Cadastros!$L$6:$L$12,Cadastros!$N$6:$N$12)))</f>
        <v/>
      </c>
      <c r="Z1950" s="168" t="str">
        <f t="shared" si="394"/>
        <v/>
      </c>
      <c r="AA1950" s="168" t="str">
        <f>IFERROR(Z1950/_xlfn.XLOOKUP(_xlfn.XLOOKUP($F1950,Clientes!$B$4:$B$39,Clientes!$C$4:$C$39),Cadastros!$L$6:$L$12,Cadastros!$M$6:$M$12)," ")</f>
        <v xml:space="preserve"> </v>
      </c>
      <c r="AB1950" s="28"/>
      <c r="AC1950" s="28"/>
      <c r="AD1950" s="20" t="str">
        <f>IF(AB1950="","",IF($F1950="Bernardino Furlan",_xlfn.XLOOKUP(AB1950,Cadastros!$G$6:$G$90,Cadastros!$H$6:$H$90)*(1-0.18),IF($F1950="Mauro José Salanti",_xlfn.XLOOKUP(AB1950,Cadastros!$G$6:$G$90,Cadastros!$H$6:$H$90)*(1-0.18),_xlfn.XLOOKUP(AB1950,Cadastros!$G$6:$G$90,Cadastros!$H$6:$H$90))))</f>
        <v/>
      </c>
      <c r="AE1950" s="168" t="str">
        <f t="shared" si="395"/>
        <v/>
      </c>
      <c r="AF1950" s="168" t="str">
        <f t="shared" si="396"/>
        <v/>
      </c>
      <c r="AG1950" s="28"/>
      <c r="AH1950" s="28"/>
      <c r="AI1950" s="20" t="str">
        <f>IF(AG1950="","",IF($F1950="Bernardino Furlan",_xlfn.XLOOKUP(AG1950,Cadastros!$G$6:$G$90,Cadastros!$H$6:$H$90)*(1-0.18),IF($F1950="Mauro José Salanti",_xlfn.XLOOKUP(AG1950,Cadastros!$G$6:$G$90,Cadastros!$H$6:$H$90)*(1-0.18),_xlfn.XLOOKUP(AG1950,Cadastros!$G$6:$G$90,Cadastros!$H$6:$H$90))))</f>
        <v/>
      </c>
      <c r="AJ1950" s="168" t="str">
        <f t="shared" si="397"/>
        <v/>
      </c>
      <c r="AK1950" s="168" t="str">
        <f t="shared" si="398"/>
        <v/>
      </c>
      <c r="AL1950" s="28"/>
      <c r="AM1950" s="28"/>
      <c r="AN1950" s="20" t="str">
        <f>IF(AL1950="","",IF($F1950="Bernardino Furlan",_xlfn.XLOOKUP(AL1950,Cadastros!$G$6:$G$90,Cadastros!$H$6:$H$90)*(1-0.18),IF($F1950="Mauro José Salanti",_xlfn.XLOOKUP(AL1950,Cadastros!$G$6:$G$90,Cadastros!$H$6:$H$90)*(1-0.18),_xlfn.XLOOKUP(AL1950,Cadastros!$G$6:$G$90,Cadastros!$H$6:$H$90))))</f>
        <v/>
      </c>
      <c r="AO1950" s="168" t="str">
        <f t="shared" si="399"/>
        <v/>
      </c>
      <c r="AP1950" s="168" t="str">
        <f t="shared" si="400"/>
        <v/>
      </c>
      <c r="AQ1950" s="28"/>
      <c r="AR1950" s="28"/>
      <c r="AS1950" s="20" t="str">
        <f>IF(AQ1950="","",IF($F1950="Bernardino Furlan",_xlfn.XLOOKUP(AQ1950,Cadastros!$G$6:$G$90,Cadastros!$H$6:$H$90)*(1-0.18),IF($F1950="Mauro José Salanti",_xlfn.XLOOKUP(AQ1950,Cadastros!$G$6:$G$90,Cadastros!$H$6:$H$90)*(1-0.18),_xlfn.XLOOKUP(AQ1950,Cadastros!$G$6:$G$90,Cadastros!$H$6:$H$90))))</f>
        <v/>
      </c>
      <c r="AT1950" s="168" t="str">
        <f t="shared" si="401"/>
        <v/>
      </c>
      <c r="AU1950" s="168" t="str">
        <f t="shared" si="402"/>
        <v/>
      </c>
      <c r="AV1950" s="227"/>
      <c r="AW1950" s="30"/>
      <c r="AX1950" s="267"/>
      <c r="AY1950" s="267"/>
      <c r="AZ1950" s="29"/>
      <c r="BA1950" s="30"/>
      <c r="BB1950" s="23" t="str" cm="1">
        <f t="array" ref="BB1950">_xlfn.IFS(AW1950="SIM",SUM(K1950,P1950,U1950,Z1950,AE1950,AJ1950,AO1950,AT1950,AX1950,AY1950),F1950&lt;&gt;"",SUM(K1950,P1950,U1950,Z1950,AE1950,AJ1950,,AO1950,AT1950),F1950="","")</f>
        <v/>
      </c>
      <c r="BC1950" s="211" t="str" cm="1">
        <f t="array" ref="BC1950">_xlfn.IFS(E1950="","",G1950&lt;=E1950,BB1950*(1-0.03),G1950&lt;(E1950+8),BB1950,AZ1950="Boleto",BB1950*(1+0.001)^DATEDIF(E1950,G1950,"D"),AZ1950="Cheque",BB1950,AZ1950="Dinheiro","Alterar forma pgto")</f>
        <v/>
      </c>
      <c r="BD1950" s="276" t="str" cm="1">
        <f t="array" ref="BD1950">IF(F1950=0," ",IF(BC1950&lt;BB1950,(_xlfn.IFS(AW1950="SIM",SUM(L1950,Q1950,V1950,AA1950,AF1950,AK1950,AP1950,AU1950)+AX1950/_xlfn.XLOOKUP(_xlfn.XLOOKUP($F1950,Clientes!$B$4:$B$39,Clientes!$C$4:$C$39),Cadastros!$L$6:$L$12,Cadastros!$M$6:$M$12)+IF($F1950="Bernardino Furlan",AY1950/2751.92,IF($F1950="Mauro José Salanti",AY1950/2751.92,AY1950/3356)),F1950&lt;&gt;0,SUM(L1950,Q1950,V1950,AA1950,AF1950,AK1950,AP1950,AU1950)))*(1-0.03),_xlfn.IFS(AW1950="SIM",SUM(L1950,Q1950,V1950,AA1950,AF1950,AK1950,AP1950,AU1950)+AX1950/_xlfn.XLOOKUP(_xlfn.XLOOKUP($F1950,Clientes!$B$4:$B$39,Clientes!$C$4:$C$39),Cadastros!$L$6:$L$12,Cadastros!$M$6:$M$12)+IF($F1950="Bernardino Furlan",AY1950/2751.92,IF($F1950="Mauro José Salanti",AY1950/2751.92,AY1950/3356)),F1950&lt;&gt;0,SUM(L1950,Q1950,V1950,AA1950,AF1950,AK1950,AP1950,AU1950))))</f>
        <v xml:space="preserve"> </v>
      </c>
      <c r="BE1950" s="120"/>
      <c r="BF1950" s="120"/>
      <c r="BG1950" s="120"/>
    </row>
    <row r="1951" spans="1:59" s="3" customFormat="1" x14ac:dyDescent="0.3">
      <c r="A1951" s="15" t="str">
        <f t="shared" si="390"/>
        <v/>
      </c>
      <c r="B1951" s="25"/>
      <c r="C1951" s="26"/>
      <c r="D1951" s="279"/>
      <c r="E1951" s="27"/>
      <c r="F1951" s="28"/>
      <c r="G1951" s="27"/>
      <c r="H1951" s="28"/>
      <c r="I1951" s="28"/>
      <c r="J1951" s="255" t="str">
        <f>IF(H1951="","",(_xlfn.XLOOKUP(H1951,Cadastros!$D$6:$D$90,Cadastros!$E$6:$E$90))*(1-_xlfn.XLOOKUP(_xlfn.XLOOKUP($F1951,Clientes!$B$4:$B$39,Clientes!$C$4:$C$39),Cadastros!$L$6:$L$12,Cadastros!$N$6:$N$12)))</f>
        <v/>
      </c>
      <c r="K1951" s="168" t="str">
        <f t="shared" si="391"/>
        <v/>
      </c>
      <c r="L1951" s="168" t="str">
        <f>IFERROR(K1951/_xlfn.XLOOKUP(_xlfn.XLOOKUP($F1951,Clientes!$B$4:$B$39,Clientes!$C$4:$C$39),Cadastros!$L$6:$L$12,Cadastros!$M$6:$M$12)," ")</f>
        <v xml:space="preserve"> </v>
      </c>
      <c r="M1951" s="28"/>
      <c r="N1951" s="28"/>
      <c r="O1951" s="255" t="str">
        <f>IF(M1951="","",(_xlfn.XLOOKUP(M1951,Cadastros!$D$6:$D$90,Cadastros!$E$6:$E$90))*(1-_xlfn.XLOOKUP(_xlfn.XLOOKUP($F1951,Clientes!$B$4:$B$39,Clientes!$C$4:$C$39),Cadastros!$L$6:$L$12,Cadastros!$N$6:$N$12)))</f>
        <v/>
      </c>
      <c r="P1951" s="168" t="str">
        <f t="shared" si="392"/>
        <v/>
      </c>
      <c r="Q1951" s="168" t="str">
        <f>IFERROR(P1951/_xlfn.XLOOKUP(_xlfn.XLOOKUP($F1951,Clientes!$B$4:$B$39,Clientes!$C$4:$C$39),Cadastros!$L$6:$L$12,Cadastros!$M$6:$M$12)," ")</f>
        <v xml:space="preserve"> </v>
      </c>
      <c r="R1951" s="28"/>
      <c r="S1951" s="28"/>
      <c r="T1951" s="255" t="str">
        <f>IF(R1951="","",(_xlfn.XLOOKUP(R1951,Cadastros!$D$6:$D$90,Cadastros!$E$6:$E$90))*(1-_xlfn.XLOOKUP(_xlfn.XLOOKUP($F1951,Clientes!$B$4:$B$39,Clientes!$C$4:$C$39),Cadastros!$L$6:$L$12,Cadastros!$N$6:$N$12)))</f>
        <v/>
      </c>
      <c r="U1951" s="168" t="str">
        <f t="shared" si="393"/>
        <v/>
      </c>
      <c r="V1951" s="168" t="str">
        <f>IFERROR(U1951/_xlfn.XLOOKUP(_xlfn.XLOOKUP($F1951,Clientes!$B$4:$B$39,Clientes!$C$4:$C$39),Cadastros!$L$6:$L$12,Cadastros!$M$6:$M$12)," ")</f>
        <v xml:space="preserve"> </v>
      </c>
      <c r="W1951" s="28"/>
      <c r="X1951" s="28"/>
      <c r="Y1951" s="255" t="str">
        <f>IF(W1951="","",(_xlfn.XLOOKUP(W1951,Cadastros!$D$6:$D$90,Cadastros!$E$6:$E$90))*(1-_xlfn.XLOOKUP(_xlfn.XLOOKUP($F1951,Clientes!$B$4:$B$39,Clientes!$C$4:$C$39),Cadastros!$L$6:$L$12,Cadastros!$N$6:$N$12)))</f>
        <v/>
      </c>
      <c r="Z1951" s="168" t="str">
        <f t="shared" si="394"/>
        <v/>
      </c>
      <c r="AA1951" s="168" t="str">
        <f>IFERROR(Z1951/_xlfn.XLOOKUP(_xlfn.XLOOKUP($F1951,Clientes!$B$4:$B$39,Clientes!$C$4:$C$39),Cadastros!$L$6:$L$12,Cadastros!$M$6:$M$12)," ")</f>
        <v xml:space="preserve"> </v>
      </c>
      <c r="AB1951" s="28"/>
      <c r="AC1951" s="28"/>
      <c r="AD1951" s="20" t="str">
        <f>IF(AB1951="","",IF($F1951="Bernardino Furlan",_xlfn.XLOOKUP(AB1951,Cadastros!$G$6:$G$90,Cadastros!$H$6:$H$90)*(1-0.18),IF($F1951="Mauro José Salanti",_xlfn.XLOOKUP(AB1951,Cadastros!$G$6:$G$90,Cadastros!$H$6:$H$90)*(1-0.18),_xlfn.XLOOKUP(AB1951,Cadastros!$G$6:$G$90,Cadastros!$H$6:$H$90))))</f>
        <v/>
      </c>
      <c r="AE1951" s="168" t="str">
        <f t="shared" si="395"/>
        <v/>
      </c>
      <c r="AF1951" s="168" t="str">
        <f t="shared" si="396"/>
        <v/>
      </c>
      <c r="AG1951" s="28"/>
      <c r="AH1951" s="28"/>
      <c r="AI1951" s="20" t="str">
        <f>IF(AG1951="","",IF($F1951="Bernardino Furlan",_xlfn.XLOOKUP(AG1951,Cadastros!$G$6:$G$90,Cadastros!$H$6:$H$90)*(1-0.18),IF($F1951="Mauro José Salanti",_xlfn.XLOOKUP(AG1951,Cadastros!$G$6:$G$90,Cadastros!$H$6:$H$90)*(1-0.18),_xlfn.XLOOKUP(AG1951,Cadastros!$G$6:$G$90,Cadastros!$H$6:$H$90))))</f>
        <v/>
      </c>
      <c r="AJ1951" s="168" t="str">
        <f t="shared" si="397"/>
        <v/>
      </c>
      <c r="AK1951" s="168" t="str">
        <f t="shared" si="398"/>
        <v/>
      </c>
      <c r="AL1951" s="28"/>
      <c r="AM1951" s="28"/>
      <c r="AN1951" s="20" t="str">
        <f>IF(AL1951="","",IF($F1951="Bernardino Furlan",_xlfn.XLOOKUP(AL1951,Cadastros!$G$6:$G$90,Cadastros!$H$6:$H$90)*(1-0.18),IF($F1951="Mauro José Salanti",_xlfn.XLOOKUP(AL1951,Cadastros!$G$6:$G$90,Cadastros!$H$6:$H$90)*(1-0.18),_xlfn.XLOOKUP(AL1951,Cadastros!$G$6:$G$90,Cadastros!$H$6:$H$90))))</f>
        <v/>
      </c>
      <c r="AO1951" s="168" t="str">
        <f t="shared" si="399"/>
        <v/>
      </c>
      <c r="AP1951" s="168" t="str">
        <f t="shared" si="400"/>
        <v/>
      </c>
      <c r="AQ1951" s="28"/>
      <c r="AR1951" s="28"/>
      <c r="AS1951" s="20" t="str">
        <f>IF(AQ1951="","",IF($F1951="Bernardino Furlan",_xlfn.XLOOKUP(AQ1951,Cadastros!$G$6:$G$90,Cadastros!$H$6:$H$90)*(1-0.18),IF($F1951="Mauro José Salanti",_xlfn.XLOOKUP(AQ1951,Cadastros!$G$6:$G$90,Cadastros!$H$6:$H$90)*(1-0.18),_xlfn.XLOOKUP(AQ1951,Cadastros!$G$6:$G$90,Cadastros!$H$6:$H$90))))</f>
        <v/>
      </c>
      <c r="AT1951" s="168" t="str">
        <f t="shared" si="401"/>
        <v/>
      </c>
      <c r="AU1951" s="168" t="str">
        <f t="shared" si="402"/>
        <v/>
      </c>
      <c r="AV1951" s="227"/>
      <c r="AW1951" s="30"/>
      <c r="AX1951" s="267"/>
      <c r="AY1951" s="267"/>
      <c r="AZ1951" s="29"/>
      <c r="BA1951" s="30"/>
      <c r="BB1951" s="23" t="str" cm="1">
        <f t="array" ref="BB1951">_xlfn.IFS(AW1951="SIM",SUM(K1951,P1951,U1951,Z1951,AE1951,AJ1951,AO1951,AT1951,AX1951,AY1951),F1951&lt;&gt;"",SUM(K1951,P1951,U1951,Z1951,AE1951,AJ1951,,AO1951,AT1951),F1951="","")</f>
        <v/>
      </c>
      <c r="BC1951" s="211" t="str" cm="1">
        <f t="array" ref="BC1951">_xlfn.IFS(E1951="","",G1951&lt;=E1951,BB1951*(1-0.03),G1951&lt;(E1951+8),BB1951,AZ1951="Boleto",BB1951*(1+0.001)^DATEDIF(E1951,G1951,"D"),AZ1951="Cheque",BB1951,AZ1951="Dinheiro","Alterar forma pgto")</f>
        <v/>
      </c>
      <c r="BD1951" s="276" t="str" cm="1">
        <f t="array" ref="BD1951">IF(F1951=0," ",IF(BC1951&lt;BB1951,(_xlfn.IFS(AW1951="SIM",SUM(L1951,Q1951,V1951,AA1951,AF1951,AK1951,AP1951,AU1951)+AX1951/_xlfn.XLOOKUP(_xlfn.XLOOKUP($F1951,Clientes!$B$4:$B$39,Clientes!$C$4:$C$39),Cadastros!$L$6:$L$12,Cadastros!$M$6:$M$12)+IF($F1951="Bernardino Furlan",AY1951/2751.92,IF($F1951="Mauro José Salanti",AY1951/2751.92,AY1951/3356)),F1951&lt;&gt;0,SUM(L1951,Q1951,V1951,AA1951,AF1951,AK1951,AP1951,AU1951)))*(1-0.03),_xlfn.IFS(AW1951="SIM",SUM(L1951,Q1951,V1951,AA1951,AF1951,AK1951,AP1951,AU1951)+AX1951/_xlfn.XLOOKUP(_xlfn.XLOOKUP($F1951,Clientes!$B$4:$B$39,Clientes!$C$4:$C$39),Cadastros!$L$6:$L$12,Cadastros!$M$6:$M$12)+IF($F1951="Bernardino Furlan",AY1951/2751.92,IF($F1951="Mauro José Salanti",AY1951/2751.92,AY1951/3356)),F1951&lt;&gt;0,SUM(L1951,Q1951,V1951,AA1951,AF1951,AK1951,AP1951,AU1951))))</f>
        <v xml:space="preserve"> </v>
      </c>
      <c r="BE1951" s="120"/>
      <c r="BF1951" s="120"/>
      <c r="BG1951" s="120"/>
    </row>
    <row r="1952" spans="1:59" s="3" customFormat="1" x14ac:dyDescent="0.3">
      <c r="A1952" s="15" t="str">
        <f t="shared" si="390"/>
        <v/>
      </c>
      <c r="B1952" s="25"/>
      <c r="C1952" s="26"/>
      <c r="D1952" s="279"/>
      <c r="E1952" s="27"/>
      <c r="F1952" s="28"/>
      <c r="G1952" s="27"/>
      <c r="H1952" s="28"/>
      <c r="I1952" s="28"/>
      <c r="J1952" s="255" t="str">
        <f>IF(H1952="","",(_xlfn.XLOOKUP(H1952,Cadastros!$D$6:$D$90,Cadastros!$E$6:$E$90))*(1-_xlfn.XLOOKUP(_xlfn.XLOOKUP($F1952,Clientes!$B$4:$B$39,Clientes!$C$4:$C$39),Cadastros!$L$6:$L$12,Cadastros!$N$6:$N$12)))</f>
        <v/>
      </c>
      <c r="K1952" s="168" t="str">
        <f t="shared" si="391"/>
        <v/>
      </c>
      <c r="L1952" s="168" t="str">
        <f>IFERROR(K1952/_xlfn.XLOOKUP(_xlfn.XLOOKUP($F1952,Clientes!$B$4:$B$39,Clientes!$C$4:$C$39),Cadastros!$L$6:$L$12,Cadastros!$M$6:$M$12)," ")</f>
        <v xml:space="preserve"> </v>
      </c>
      <c r="M1952" s="28"/>
      <c r="N1952" s="28"/>
      <c r="O1952" s="255" t="str">
        <f>IF(M1952="","",(_xlfn.XLOOKUP(M1952,Cadastros!$D$6:$D$90,Cadastros!$E$6:$E$90))*(1-_xlfn.XLOOKUP(_xlfn.XLOOKUP($F1952,Clientes!$B$4:$B$39,Clientes!$C$4:$C$39),Cadastros!$L$6:$L$12,Cadastros!$N$6:$N$12)))</f>
        <v/>
      </c>
      <c r="P1952" s="168" t="str">
        <f t="shared" si="392"/>
        <v/>
      </c>
      <c r="Q1952" s="168" t="str">
        <f>IFERROR(P1952/_xlfn.XLOOKUP(_xlfn.XLOOKUP($F1952,Clientes!$B$4:$B$39,Clientes!$C$4:$C$39),Cadastros!$L$6:$L$12,Cadastros!$M$6:$M$12)," ")</f>
        <v xml:space="preserve"> </v>
      </c>
      <c r="R1952" s="28"/>
      <c r="S1952" s="28"/>
      <c r="T1952" s="255" t="str">
        <f>IF(R1952="","",(_xlfn.XLOOKUP(R1952,Cadastros!$D$6:$D$90,Cadastros!$E$6:$E$90))*(1-_xlfn.XLOOKUP(_xlfn.XLOOKUP($F1952,Clientes!$B$4:$B$39,Clientes!$C$4:$C$39),Cadastros!$L$6:$L$12,Cadastros!$N$6:$N$12)))</f>
        <v/>
      </c>
      <c r="U1952" s="168" t="str">
        <f t="shared" si="393"/>
        <v/>
      </c>
      <c r="V1952" s="168" t="str">
        <f>IFERROR(U1952/_xlfn.XLOOKUP(_xlfn.XLOOKUP($F1952,Clientes!$B$4:$B$39,Clientes!$C$4:$C$39),Cadastros!$L$6:$L$12,Cadastros!$M$6:$M$12)," ")</f>
        <v xml:space="preserve"> </v>
      </c>
      <c r="W1952" s="28"/>
      <c r="X1952" s="28"/>
      <c r="Y1952" s="255" t="str">
        <f>IF(W1952="","",(_xlfn.XLOOKUP(W1952,Cadastros!$D$6:$D$90,Cadastros!$E$6:$E$90))*(1-_xlfn.XLOOKUP(_xlfn.XLOOKUP($F1952,Clientes!$B$4:$B$39,Clientes!$C$4:$C$39),Cadastros!$L$6:$L$12,Cadastros!$N$6:$N$12)))</f>
        <v/>
      </c>
      <c r="Z1952" s="168" t="str">
        <f t="shared" si="394"/>
        <v/>
      </c>
      <c r="AA1952" s="168" t="str">
        <f>IFERROR(Z1952/_xlfn.XLOOKUP(_xlfn.XLOOKUP($F1952,Clientes!$B$4:$B$39,Clientes!$C$4:$C$39),Cadastros!$L$6:$L$12,Cadastros!$M$6:$M$12)," ")</f>
        <v xml:space="preserve"> </v>
      </c>
      <c r="AB1952" s="28"/>
      <c r="AC1952" s="28"/>
      <c r="AD1952" s="20" t="str">
        <f>IF(AB1952="","",IF($F1952="Bernardino Furlan",_xlfn.XLOOKUP(AB1952,Cadastros!$G$6:$G$90,Cadastros!$H$6:$H$90)*(1-0.18),IF($F1952="Mauro José Salanti",_xlfn.XLOOKUP(AB1952,Cadastros!$G$6:$G$90,Cadastros!$H$6:$H$90)*(1-0.18),_xlfn.XLOOKUP(AB1952,Cadastros!$G$6:$G$90,Cadastros!$H$6:$H$90))))</f>
        <v/>
      </c>
      <c r="AE1952" s="168" t="str">
        <f t="shared" si="395"/>
        <v/>
      </c>
      <c r="AF1952" s="168" t="str">
        <f t="shared" si="396"/>
        <v/>
      </c>
      <c r="AG1952" s="28"/>
      <c r="AH1952" s="28"/>
      <c r="AI1952" s="20" t="str">
        <f>IF(AG1952="","",IF($F1952="Bernardino Furlan",_xlfn.XLOOKUP(AG1952,Cadastros!$G$6:$G$90,Cadastros!$H$6:$H$90)*(1-0.18),IF($F1952="Mauro José Salanti",_xlfn.XLOOKUP(AG1952,Cadastros!$G$6:$G$90,Cadastros!$H$6:$H$90)*(1-0.18),_xlfn.XLOOKUP(AG1952,Cadastros!$G$6:$G$90,Cadastros!$H$6:$H$90))))</f>
        <v/>
      </c>
      <c r="AJ1952" s="168" t="str">
        <f t="shared" si="397"/>
        <v/>
      </c>
      <c r="AK1952" s="168" t="str">
        <f t="shared" si="398"/>
        <v/>
      </c>
      <c r="AL1952" s="28"/>
      <c r="AM1952" s="28"/>
      <c r="AN1952" s="20" t="str">
        <f>IF(AL1952="","",IF($F1952="Bernardino Furlan",_xlfn.XLOOKUP(AL1952,Cadastros!$G$6:$G$90,Cadastros!$H$6:$H$90)*(1-0.18),IF($F1952="Mauro José Salanti",_xlfn.XLOOKUP(AL1952,Cadastros!$G$6:$G$90,Cadastros!$H$6:$H$90)*(1-0.18),_xlfn.XLOOKUP(AL1952,Cadastros!$G$6:$G$90,Cadastros!$H$6:$H$90))))</f>
        <v/>
      </c>
      <c r="AO1952" s="168" t="str">
        <f t="shared" si="399"/>
        <v/>
      </c>
      <c r="AP1952" s="168" t="str">
        <f t="shared" si="400"/>
        <v/>
      </c>
      <c r="AQ1952" s="28"/>
      <c r="AR1952" s="28"/>
      <c r="AS1952" s="20" t="str">
        <f>IF(AQ1952="","",IF($F1952="Bernardino Furlan",_xlfn.XLOOKUP(AQ1952,Cadastros!$G$6:$G$90,Cadastros!$H$6:$H$90)*(1-0.18),IF($F1952="Mauro José Salanti",_xlfn.XLOOKUP(AQ1952,Cadastros!$G$6:$G$90,Cadastros!$H$6:$H$90)*(1-0.18),_xlfn.XLOOKUP(AQ1952,Cadastros!$G$6:$G$90,Cadastros!$H$6:$H$90))))</f>
        <v/>
      </c>
      <c r="AT1952" s="168" t="str">
        <f t="shared" si="401"/>
        <v/>
      </c>
      <c r="AU1952" s="168" t="str">
        <f t="shared" si="402"/>
        <v/>
      </c>
      <c r="AV1952" s="227"/>
      <c r="AW1952" s="30"/>
      <c r="AX1952" s="267"/>
      <c r="AY1952" s="267"/>
      <c r="AZ1952" s="29"/>
      <c r="BA1952" s="30"/>
      <c r="BB1952" s="23" t="str" cm="1">
        <f t="array" ref="BB1952">_xlfn.IFS(AW1952="SIM",SUM(K1952,P1952,U1952,Z1952,AE1952,AJ1952,AO1952,AT1952,AX1952,AY1952),F1952&lt;&gt;"",SUM(K1952,P1952,U1952,Z1952,AE1952,AJ1952,,AO1952,AT1952),F1952="","")</f>
        <v/>
      </c>
      <c r="BC1952" s="211" t="str" cm="1">
        <f t="array" ref="BC1952">_xlfn.IFS(E1952="","",G1952&lt;=E1952,BB1952*(1-0.03),G1952&lt;(E1952+8),BB1952,AZ1952="Boleto",BB1952*(1+0.001)^DATEDIF(E1952,G1952,"D"),AZ1952="Cheque",BB1952,AZ1952="Dinheiro","Alterar forma pgto")</f>
        <v/>
      </c>
      <c r="BD1952" s="276" t="str" cm="1">
        <f t="array" ref="BD1952">IF(F1952=0," ",IF(BC1952&lt;BB1952,(_xlfn.IFS(AW1952="SIM",SUM(L1952,Q1952,V1952,AA1952,AF1952,AK1952,AP1952,AU1952)+AX1952/_xlfn.XLOOKUP(_xlfn.XLOOKUP($F1952,Clientes!$B$4:$B$39,Clientes!$C$4:$C$39),Cadastros!$L$6:$L$12,Cadastros!$M$6:$M$12)+IF($F1952="Bernardino Furlan",AY1952/2751.92,IF($F1952="Mauro José Salanti",AY1952/2751.92,AY1952/3356)),F1952&lt;&gt;0,SUM(L1952,Q1952,V1952,AA1952,AF1952,AK1952,AP1952,AU1952)))*(1-0.03),_xlfn.IFS(AW1952="SIM",SUM(L1952,Q1952,V1952,AA1952,AF1952,AK1952,AP1952,AU1952)+AX1952/_xlfn.XLOOKUP(_xlfn.XLOOKUP($F1952,Clientes!$B$4:$B$39,Clientes!$C$4:$C$39),Cadastros!$L$6:$L$12,Cadastros!$M$6:$M$12)+IF($F1952="Bernardino Furlan",AY1952/2751.92,IF($F1952="Mauro José Salanti",AY1952/2751.92,AY1952/3356)),F1952&lt;&gt;0,SUM(L1952,Q1952,V1952,AA1952,AF1952,AK1952,AP1952,AU1952))))</f>
        <v xml:space="preserve"> </v>
      </c>
      <c r="BE1952" s="120"/>
      <c r="BF1952" s="120"/>
      <c r="BG1952" s="120"/>
    </row>
    <row r="1953" spans="1:59" s="3" customFormat="1" x14ac:dyDescent="0.3">
      <c r="A1953" s="15" t="str">
        <f t="shared" si="390"/>
        <v/>
      </c>
      <c r="B1953" s="25"/>
      <c r="C1953" s="26"/>
      <c r="D1953" s="279"/>
      <c r="E1953" s="27"/>
      <c r="F1953" s="28"/>
      <c r="G1953" s="27"/>
      <c r="H1953" s="28"/>
      <c r="I1953" s="28"/>
      <c r="J1953" s="255" t="str">
        <f>IF(H1953="","",(_xlfn.XLOOKUP(H1953,Cadastros!$D$6:$D$90,Cadastros!$E$6:$E$90))*(1-_xlfn.XLOOKUP(_xlfn.XLOOKUP($F1953,Clientes!$B$4:$B$39,Clientes!$C$4:$C$39),Cadastros!$L$6:$L$12,Cadastros!$N$6:$N$12)))</f>
        <v/>
      </c>
      <c r="K1953" s="168" t="str">
        <f t="shared" si="391"/>
        <v/>
      </c>
      <c r="L1953" s="168" t="str">
        <f>IFERROR(K1953/_xlfn.XLOOKUP(_xlfn.XLOOKUP($F1953,Clientes!$B$4:$B$39,Clientes!$C$4:$C$39),Cadastros!$L$6:$L$12,Cadastros!$M$6:$M$12)," ")</f>
        <v xml:space="preserve"> </v>
      </c>
      <c r="M1953" s="28"/>
      <c r="N1953" s="28"/>
      <c r="O1953" s="255" t="str">
        <f>IF(M1953="","",(_xlfn.XLOOKUP(M1953,Cadastros!$D$6:$D$90,Cadastros!$E$6:$E$90))*(1-_xlfn.XLOOKUP(_xlfn.XLOOKUP($F1953,Clientes!$B$4:$B$39,Clientes!$C$4:$C$39),Cadastros!$L$6:$L$12,Cadastros!$N$6:$N$12)))</f>
        <v/>
      </c>
      <c r="P1953" s="168" t="str">
        <f t="shared" si="392"/>
        <v/>
      </c>
      <c r="Q1953" s="168" t="str">
        <f>IFERROR(P1953/_xlfn.XLOOKUP(_xlfn.XLOOKUP($F1953,Clientes!$B$4:$B$39,Clientes!$C$4:$C$39),Cadastros!$L$6:$L$12,Cadastros!$M$6:$M$12)," ")</f>
        <v xml:space="preserve"> </v>
      </c>
      <c r="R1953" s="28"/>
      <c r="S1953" s="28"/>
      <c r="T1953" s="255" t="str">
        <f>IF(R1953="","",(_xlfn.XLOOKUP(R1953,Cadastros!$D$6:$D$90,Cadastros!$E$6:$E$90))*(1-_xlfn.XLOOKUP(_xlfn.XLOOKUP($F1953,Clientes!$B$4:$B$39,Clientes!$C$4:$C$39),Cadastros!$L$6:$L$12,Cadastros!$N$6:$N$12)))</f>
        <v/>
      </c>
      <c r="U1953" s="168" t="str">
        <f t="shared" si="393"/>
        <v/>
      </c>
      <c r="V1953" s="168" t="str">
        <f>IFERROR(U1953/_xlfn.XLOOKUP(_xlfn.XLOOKUP($F1953,Clientes!$B$4:$B$39,Clientes!$C$4:$C$39),Cadastros!$L$6:$L$12,Cadastros!$M$6:$M$12)," ")</f>
        <v xml:space="preserve"> </v>
      </c>
      <c r="W1953" s="28"/>
      <c r="X1953" s="28"/>
      <c r="Y1953" s="255" t="str">
        <f>IF(W1953="","",(_xlfn.XLOOKUP(W1953,Cadastros!$D$6:$D$90,Cadastros!$E$6:$E$90))*(1-_xlfn.XLOOKUP(_xlfn.XLOOKUP($F1953,Clientes!$B$4:$B$39,Clientes!$C$4:$C$39),Cadastros!$L$6:$L$12,Cadastros!$N$6:$N$12)))</f>
        <v/>
      </c>
      <c r="Z1953" s="168" t="str">
        <f t="shared" si="394"/>
        <v/>
      </c>
      <c r="AA1953" s="168" t="str">
        <f>IFERROR(Z1953/_xlfn.XLOOKUP(_xlfn.XLOOKUP($F1953,Clientes!$B$4:$B$39,Clientes!$C$4:$C$39),Cadastros!$L$6:$L$12,Cadastros!$M$6:$M$12)," ")</f>
        <v xml:space="preserve"> </v>
      </c>
      <c r="AB1953" s="28"/>
      <c r="AC1953" s="28"/>
      <c r="AD1953" s="20" t="str">
        <f>IF(AB1953="","",IF($F1953="Bernardino Furlan",_xlfn.XLOOKUP(AB1953,Cadastros!$G$6:$G$90,Cadastros!$H$6:$H$90)*(1-0.18),IF($F1953="Mauro José Salanti",_xlfn.XLOOKUP(AB1953,Cadastros!$G$6:$G$90,Cadastros!$H$6:$H$90)*(1-0.18),_xlfn.XLOOKUP(AB1953,Cadastros!$G$6:$G$90,Cadastros!$H$6:$H$90))))</f>
        <v/>
      </c>
      <c r="AE1953" s="168" t="str">
        <f t="shared" si="395"/>
        <v/>
      </c>
      <c r="AF1953" s="168" t="str">
        <f t="shared" si="396"/>
        <v/>
      </c>
      <c r="AG1953" s="28"/>
      <c r="AH1953" s="28"/>
      <c r="AI1953" s="20" t="str">
        <f>IF(AG1953="","",IF($F1953="Bernardino Furlan",_xlfn.XLOOKUP(AG1953,Cadastros!$G$6:$G$90,Cadastros!$H$6:$H$90)*(1-0.18),IF($F1953="Mauro José Salanti",_xlfn.XLOOKUP(AG1953,Cadastros!$G$6:$G$90,Cadastros!$H$6:$H$90)*(1-0.18),_xlfn.XLOOKUP(AG1953,Cadastros!$G$6:$G$90,Cadastros!$H$6:$H$90))))</f>
        <v/>
      </c>
      <c r="AJ1953" s="168" t="str">
        <f t="shared" si="397"/>
        <v/>
      </c>
      <c r="AK1953" s="168" t="str">
        <f t="shared" si="398"/>
        <v/>
      </c>
      <c r="AL1953" s="28"/>
      <c r="AM1953" s="28"/>
      <c r="AN1953" s="20" t="str">
        <f>IF(AL1953="","",IF($F1953="Bernardino Furlan",_xlfn.XLOOKUP(AL1953,Cadastros!$G$6:$G$90,Cadastros!$H$6:$H$90)*(1-0.18),IF($F1953="Mauro José Salanti",_xlfn.XLOOKUP(AL1953,Cadastros!$G$6:$G$90,Cadastros!$H$6:$H$90)*(1-0.18),_xlfn.XLOOKUP(AL1953,Cadastros!$G$6:$G$90,Cadastros!$H$6:$H$90))))</f>
        <v/>
      </c>
      <c r="AO1953" s="168" t="str">
        <f t="shared" si="399"/>
        <v/>
      </c>
      <c r="AP1953" s="168" t="str">
        <f t="shared" si="400"/>
        <v/>
      </c>
      <c r="AQ1953" s="28"/>
      <c r="AR1953" s="28"/>
      <c r="AS1953" s="20" t="str">
        <f>IF(AQ1953="","",IF($F1953="Bernardino Furlan",_xlfn.XLOOKUP(AQ1953,Cadastros!$G$6:$G$90,Cadastros!$H$6:$H$90)*(1-0.18),IF($F1953="Mauro José Salanti",_xlfn.XLOOKUP(AQ1953,Cadastros!$G$6:$G$90,Cadastros!$H$6:$H$90)*(1-0.18),_xlfn.XLOOKUP(AQ1953,Cadastros!$G$6:$G$90,Cadastros!$H$6:$H$90))))</f>
        <v/>
      </c>
      <c r="AT1953" s="168" t="str">
        <f t="shared" si="401"/>
        <v/>
      </c>
      <c r="AU1953" s="168" t="str">
        <f t="shared" si="402"/>
        <v/>
      </c>
      <c r="AV1953" s="227"/>
      <c r="AW1953" s="30"/>
      <c r="AX1953" s="267"/>
      <c r="AY1953" s="267"/>
      <c r="AZ1953" s="29"/>
      <c r="BA1953" s="30"/>
      <c r="BB1953" s="23" t="str" cm="1">
        <f t="array" ref="BB1953">_xlfn.IFS(AW1953="SIM",SUM(K1953,P1953,U1953,Z1953,AE1953,AJ1953,AO1953,AT1953,AX1953,AY1953),F1953&lt;&gt;"",SUM(K1953,P1953,U1953,Z1953,AE1953,AJ1953,,AO1953,AT1953),F1953="","")</f>
        <v/>
      </c>
      <c r="BC1953" s="211" t="str" cm="1">
        <f t="array" ref="BC1953">_xlfn.IFS(E1953="","",G1953&lt;=E1953,BB1953*(1-0.03),G1953&lt;(E1953+8),BB1953,AZ1953="Boleto",BB1953*(1+0.001)^DATEDIF(E1953,G1953,"D"),AZ1953="Cheque",BB1953,AZ1953="Dinheiro","Alterar forma pgto")</f>
        <v/>
      </c>
      <c r="BD1953" s="276" t="str" cm="1">
        <f t="array" ref="BD1953">IF(F1953=0," ",IF(BC1953&lt;BB1953,(_xlfn.IFS(AW1953="SIM",SUM(L1953,Q1953,V1953,AA1953,AF1953,AK1953,AP1953,AU1953)+AX1953/_xlfn.XLOOKUP(_xlfn.XLOOKUP($F1953,Clientes!$B$4:$B$39,Clientes!$C$4:$C$39),Cadastros!$L$6:$L$12,Cadastros!$M$6:$M$12)+IF($F1953="Bernardino Furlan",AY1953/2751.92,IF($F1953="Mauro José Salanti",AY1953/2751.92,AY1953/3356)),F1953&lt;&gt;0,SUM(L1953,Q1953,V1953,AA1953,AF1953,AK1953,AP1953,AU1953)))*(1-0.03),_xlfn.IFS(AW1953="SIM",SUM(L1953,Q1953,V1953,AA1953,AF1953,AK1953,AP1953,AU1953)+AX1953/_xlfn.XLOOKUP(_xlfn.XLOOKUP($F1953,Clientes!$B$4:$B$39,Clientes!$C$4:$C$39),Cadastros!$L$6:$L$12,Cadastros!$M$6:$M$12)+IF($F1953="Bernardino Furlan",AY1953/2751.92,IF($F1953="Mauro José Salanti",AY1953/2751.92,AY1953/3356)),F1953&lt;&gt;0,SUM(L1953,Q1953,V1953,AA1953,AF1953,AK1953,AP1953,AU1953))))</f>
        <v xml:space="preserve"> </v>
      </c>
      <c r="BE1953" s="120"/>
      <c r="BF1953" s="120"/>
      <c r="BG1953" s="120"/>
    </row>
    <row r="1954" spans="1:59" s="3" customFormat="1" x14ac:dyDescent="0.3">
      <c r="A1954" s="15" t="str">
        <f t="shared" si="390"/>
        <v/>
      </c>
      <c r="B1954" s="25"/>
      <c r="C1954" s="26"/>
      <c r="D1954" s="279"/>
      <c r="E1954" s="27"/>
      <c r="F1954" s="28"/>
      <c r="G1954" s="27"/>
      <c r="H1954" s="28"/>
      <c r="I1954" s="28"/>
      <c r="J1954" s="255" t="str">
        <f>IF(H1954="","",(_xlfn.XLOOKUP(H1954,Cadastros!$D$6:$D$90,Cadastros!$E$6:$E$90))*(1-_xlfn.XLOOKUP(_xlfn.XLOOKUP($F1954,Clientes!$B$4:$B$39,Clientes!$C$4:$C$39),Cadastros!$L$6:$L$12,Cadastros!$N$6:$N$12)))</f>
        <v/>
      </c>
      <c r="K1954" s="168" t="str">
        <f t="shared" si="391"/>
        <v/>
      </c>
      <c r="L1954" s="168" t="str">
        <f>IFERROR(K1954/_xlfn.XLOOKUP(_xlfn.XLOOKUP($F1954,Clientes!$B$4:$B$39,Clientes!$C$4:$C$39),Cadastros!$L$6:$L$12,Cadastros!$M$6:$M$12)," ")</f>
        <v xml:space="preserve"> </v>
      </c>
      <c r="M1954" s="28"/>
      <c r="N1954" s="28"/>
      <c r="O1954" s="255" t="str">
        <f>IF(M1954="","",(_xlfn.XLOOKUP(M1954,Cadastros!$D$6:$D$90,Cadastros!$E$6:$E$90))*(1-_xlfn.XLOOKUP(_xlfn.XLOOKUP($F1954,Clientes!$B$4:$B$39,Clientes!$C$4:$C$39),Cadastros!$L$6:$L$12,Cadastros!$N$6:$N$12)))</f>
        <v/>
      </c>
      <c r="P1954" s="168" t="str">
        <f t="shared" si="392"/>
        <v/>
      </c>
      <c r="Q1954" s="168" t="str">
        <f>IFERROR(P1954/_xlfn.XLOOKUP(_xlfn.XLOOKUP($F1954,Clientes!$B$4:$B$39,Clientes!$C$4:$C$39),Cadastros!$L$6:$L$12,Cadastros!$M$6:$M$12)," ")</f>
        <v xml:space="preserve"> </v>
      </c>
      <c r="R1954" s="28"/>
      <c r="S1954" s="28"/>
      <c r="T1954" s="255" t="str">
        <f>IF(R1954="","",(_xlfn.XLOOKUP(R1954,Cadastros!$D$6:$D$90,Cadastros!$E$6:$E$90))*(1-_xlfn.XLOOKUP(_xlfn.XLOOKUP($F1954,Clientes!$B$4:$B$39,Clientes!$C$4:$C$39),Cadastros!$L$6:$L$12,Cadastros!$N$6:$N$12)))</f>
        <v/>
      </c>
      <c r="U1954" s="168" t="str">
        <f t="shared" si="393"/>
        <v/>
      </c>
      <c r="V1954" s="168" t="str">
        <f>IFERROR(U1954/_xlfn.XLOOKUP(_xlfn.XLOOKUP($F1954,Clientes!$B$4:$B$39,Clientes!$C$4:$C$39),Cadastros!$L$6:$L$12,Cadastros!$M$6:$M$12)," ")</f>
        <v xml:space="preserve"> </v>
      </c>
      <c r="W1954" s="28"/>
      <c r="X1954" s="28"/>
      <c r="Y1954" s="255" t="str">
        <f>IF(W1954="","",(_xlfn.XLOOKUP(W1954,Cadastros!$D$6:$D$90,Cadastros!$E$6:$E$90))*(1-_xlfn.XLOOKUP(_xlfn.XLOOKUP($F1954,Clientes!$B$4:$B$39,Clientes!$C$4:$C$39),Cadastros!$L$6:$L$12,Cadastros!$N$6:$N$12)))</f>
        <v/>
      </c>
      <c r="Z1954" s="168" t="str">
        <f t="shared" si="394"/>
        <v/>
      </c>
      <c r="AA1954" s="168" t="str">
        <f>IFERROR(Z1954/_xlfn.XLOOKUP(_xlfn.XLOOKUP($F1954,Clientes!$B$4:$B$39,Clientes!$C$4:$C$39),Cadastros!$L$6:$L$12,Cadastros!$M$6:$M$12)," ")</f>
        <v xml:space="preserve"> </v>
      </c>
      <c r="AB1954" s="28"/>
      <c r="AC1954" s="28"/>
      <c r="AD1954" s="20" t="str">
        <f>IF(AB1954="","",IF($F1954="Bernardino Furlan",_xlfn.XLOOKUP(AB1954,Cadastros!$G$6:$G$90,Cadastros!$H$6:$H$90)*(1-0.18),IF($F1954="Mauro José Salanti",_xlfn.XLOOKUP(AB1954,Cadastros!$G$6:$G$90,Cadastros!$H$6:$H$90)*(1-0.18),_xlfn.XLOOKUP(AB1954,Cadastros!$G$6:$G$90,Cadastros!$H$6:$H$90))))</f>
        <v/>
      </c>
      <c r="AE1954" s="168" t="str">
        <f t="shared" si="395"/>
        <v/>
      </c>
      <c r="AF1954" s="168" t="str">
        <f t="shared" si="396"/>
        <v/>
      </c>
      <c r="AG1954" s="28"/>
      <c r="AH1954" s="28"/>
      <c r="AI1954" s="20" t="str">
        <f>IF(AG1954="","",IF($F1954="Bernardino Furlan",_xlfn.XLOOKUP(AG1954,Cadastros!$G$6:$G$90,Cadastros!$H$6:$H$90)*(1-0.18),IF($F1954="Mauro José Salanti",_xlfn.XLOOKUP(AG1954,Cadastros!$G$6:$G$90,Cadastros!$H$6:$H$90)*(1-0.18),_xlfn.XLOOKUP(AG1954,Cadastros!$G$6:$G$90,Cadastros!$H$6:$H$90))))</f>
        <v/>
      </c>
      <c r="AJ1954" s="168" t="str">
        <f t="shared" si="397"/>
        <v/>
      </c>
      <c r="AK1954" s="168" t="str">
        <f t="shared" si="398"/>
        <v/>
      </c>
      <c r="AL1954" s="28"/>
      <c r="AM1954" s="28"/>
      <c r="AN1954" s="20" t="str">
        <f>IF(AL1954="","",IF($F1954="Bernardino Furlan",_xlfn.XLOOKUP(AL1954,Cadastros!$G$6:$G$90,Cadastros!$H$6:$H$90)*(1-0.18),IF($F1954="Mauro José Salanti",_xlfn.XLOOKUP(AL1954,Cadastros!$G$6:$G$90,Cadastros!$H$6:$H$90)*(1-0.18),_xlfn.XLOOKUP(AL1954,Cadastros!$G$6:$G$90,Cadastros!$H$6:$H$90))))</f>
        <v/>
      </c>
      <c r="AO1954" s="168" t="str">
        <f t="shared" si="399"/>
        <v/>
      </c>
      <c r="AP1954" s="168" t="str">
        <f t="shared" si="400"/>
        <v/>
      </c>
      <c r="AQ1954" s="28"/>
      <c r="AR1954" s="28"/>
      <c r="AS1954" s="20" t="str">
        <f>IF(AQ1954="","",IF($F1954="Bernardino Furlan",_xlfn.XLOOKUP(AQ1954,Cadastros!$G$6:$G$90,Cadastros!$H$6:$H$90)*(1-0.18),IF($F1954="Mauro José Salanti",_xlfn.XLOOKUP(AQ1954,Cadastros!$G$6:$G$90,Cadastros!$H$6:$H$90)*(1-0.18),_xlfn.XLOOKUP(AQ1954,Cadastros!$G$6:$G$90,Cadastros!$H$6:$H$90))))</f>
        <v/>
      </c>
      <c r="AT1954" s="168" t="str">
        <f t="shared" si="401"/>
        <v/>
      </c>
      <c r="AU1954" s="168" t="str">
        <f t="shared" si="402"/>
        <v/>
      </c>
      <c r="AV1954" s="227"/>
      <c r="AW1954" s="30"/>
      <c r="AX1954" s="267"/>
      <c r="AY1954" s="267"/>
      <c r="AZ1954" s="29"/>
      <c r="BA1954" s="30"/>
      <c r="BB1954" s="23" t="str" cm="1">
        <f t="array" ref="BB1954">_xlfn.IFS(AW1954="SIM",SUM(K1954,P1954,U1954,Z1954,AE1954,AJ1954,AO1954,AT1954,AX1954,AY1954),F1954&lt;&gt;"",SUM(K1954,P1954,U1954,Z1954,AE1954,AJ1954,,AO1954,AT1954),F1954="","")</f>
        <v/>
      </c>
      <c r="BC1954" s="211" t="str" cm="1">
        <f t="array" ref="BC1954">_xlfn.IFS(E1954="","",G1954&lt;=E1954,BB1954*(1-0.03),G1954&lt;(E1954+8),BB1954,AZ1954="Boleto",BB1954*(1+0.001)^DATEDIF(E1954,G1954,"D"),AZ1954="Cheque",BB1954,AZ1954="Dinheiro","Alterar forma pgto")</f>
        <v/>
      </c>
      <c r="BD1954" s="276" t="str" cm="1">
        <f t="array" ref="BD1954">IF(F1954=0," ",IF(BC1954&lt;BB1954,(_xlfn.IFS(AW1954="SIM",SUM(L1954,Q1954,V1954,AA1954,AF1954,AK1954,AP1954,AU1954)+AX1954/_xlfn.XLOOKUP(_xlfn.XLOOKUP($F1954,Clientes!$B$4:$B$39,Clientes!$C$4:$C$39),Cadastros!$L$6:$L$12,Cadastros!$M$6:$M$12)+IF($F1954="Bernardino Furlan",AY1954/2751.92,IF($F1954="Mauro José Salanti",AY1954/2751.92,AY1954/3356)),F1954&lt;&gt;0,SUM(L1954,Q1954,V1954,AA1954,AF1954,AK1954,AP1954,AU1954)))*(1-0.03),_xlfn.IFS(AW1954="SIM",SUM(L1954,Q1954,V1954,AA1954,AF1954,AK1954,AP1954,AU1954)+AX1954/_xlfn.XLOOKUP(_xlfn.XLOOKUP($F1954,Clientes!$B$4:$B$39,Clientes!$C$4:$C$39),Cadastros!$L$6:$L$12,Cadastros!$M$6:$M$12)+IF($F1954="Bernardino Furlan",AY1954/2751.92,IF($F1954="Mauro José Salanti",AY1954/2751.92,AY1954/3356)),F1954&lt;&gt;0,SUM(L1954,Q1954,V1954,AA1954,AF1954,AK1954,AP1954,AU1954))))</f>
        <v xml:space="preserve"> </v>
      </c>
      <c r="BE1954" s="120"/>
      <c r="BF1954" s="120"/>
      <c r="BG1954" s="120"/>
    </row>
    <row r="1955" spans="1:59" s="3" customFormat="1" x14ac:dyDescent="0.3">
      <c r="A1955" s="15" t="str">
        <f t="shared" si="390"/>
        <v/>
      </c>
      <c r="B1955" s="25"/>
      <c r="C1955" s="26"/>
      <c r="D1955" s="279"/>
      <c r="E1955" s="27"/>
      <c r="F1955" s="28"/>
      <c r="G1955" s="27"/>
      <c r="H1955" s="28"/>
      <c r="I1955" s="28"/>
      <c r="J1955" s="255" t="str">
        <f>IF(H1955="","",(_xlfn.XLOOKUP(H1955,Cadastros!$D$6:$D$90,Cadastros!$E$6:$E$90))*(1-_xlfn.XLOOKUP(_xlfn.XLOOKUP($F1955,Clientes!$B$4:$B$39,Clientes!$C$4:$C$39),Cadastros!$L$6:$L$12,Cadastros!$N$6:$N$12)))</f>
        <v/>
      </c>
      <c r="K1955" s="168" t="str">
        <f t="shared" si="391"/>
        <v/>
      </c>
      <c r="L1955" s="168" t="str">
        <f>IFERROR(K1955/_xlfn.XLOOKUP(_xlfn.XLOOKUP($F1955,Clientes!$B$4:$B$39,Clientes!$C$4:$C$39),Cadastros!$L$6:$L$12,Cadastros!$M$6:$M$12)," ")</f>
        <v xml:space="preserve"> </v>
      </c>
      <c r="M1955" s="28"/>
      <c r="N1955" s="28"/>
      <c r="O1955" s="255" t="str">
        <f>IF(M1955="","",(_xlfn.XLOOKUP(M1955,Cadastros!$D$6:$D$90,Cadastros!$E$6:$E$90))*(1-_xlfn.XLOOKUP(_xlfn.XLOOKUP($F1955,Clientes!$B$4:$B$39,Clientes!$C$4:$C$39),Cadastros!$L$6:$L$12,Cadastros!$N$6:$N$12)))</f>
        <v/>
      </c>
      <c r="P1955" s="168" t="str">
        <f t="shared" si="392"/>
        <v/>
      </c>
      <c r="Q1955" s="168" t="str">
        <f>IFERROR(P1955/_xlfn.XLOOKUP(_xlfn.XLOOKUP($F1955,Clientes!$B$4:$B$39,Clientes!$C$4:$C$39),Cadastros!$L$6:$L$12,Cadastros!$M$6:$M$12)," ")</f>
        <v xml:space="preserve"> </v>
      </c>
      <c r="R1955" s="28"/>
      <c r="S1955" s="28"/>
      <c r="T1955" s="255" t="str">
        <f>IF(R1955="","",(_xlfn.XLOOKUP(R1955,Cadastros!$D$6:$D$90,Cadastros!$E$6:$E$90))*(1-_xlfn.XLOOKUP(_xlfn.XLOOKUP($F1955,Clientes!$B$4:$B$39,Clientes!$C$4:$C$39),Cadastros!$L$6:$L$12,Cadastros!$N$6:$N$12)))</f>
        <v/>
      </c>
      <c r="U1955" s="168" t="str">
        <f t="shared" si="393"/>
        <v/>
      </c>
      <c r="V1955" s="168" t="str">
        <f>IFERROR(U1955/_xlfn.XLOOKUP(_xlfn.XLOOKUP($F1955,Clientes!$B$4:$B$39,Clientes!$C$4:$C$39),Cadastros!$L$6:$L$12,Cadastros!$M$6:$M$12)," ")</f>
        <v xml:space="preserve"> </v>
      </c>
      <c r="W1955" s="28"/>
      <c r="X1955" s="28"/>
      <c r="Y1955" s="255" t="str">
        <f>IF(W1955="","",(_xlfn.XLOOKUP(W1955,Cadastros!$D$6:$D$90,Cadastros!$E$6:$E$90))*(1-_xlfn.XLOOKUP(_xlfn.XLOOKUP($F1955,Clientes!$B$4:$B$39,Clientes!$C$4:$C$39),Cadastros!$L$6:$L$12,Cadastros!$N$6:$N$12)))</f>
        <v/>
      </c>
      <c r="Z1955" s="168" t="str">
        <f t="shared" si="394"/>
        <v/>
      </c>
      <c r="AA1955" s="168" t="str">
        <f>IFERROR(Z1955/_xlfn.XLOOKUP(_xlfn.XLOOKUP($F1955,Clientes!$B$4:$B$39,Clientes!$C$4:$C$39),Cadastros!$L$6:$L$12,Cadastros!$M$6:$M$12)," ")</f>
        <v xml:space="preserve"> </v>
      </c>
      <c r="AB1955" s="28"/>
      <c r="AC1955" s="28"/>
      <c r="AD1955" s="20" t="str">
        <f>IF(AB1955="","",IF($F1955="Bernardino Furlan",_xlfn.XLOOKUP(AB1955,Cadastros!$G$6:$G$90,Cadastros!$H$6:$H$90)*(1-0.18),IF($F1955="Mauro José Salanti",_xlfn.XLOOKUP(AB1955,Cadastros!$G$6:$G$90,Cadastros!$H$6:$H$90)*(1-0.18),_xlfn.XLOOKUP(AB1955,Cadastros!$G$6:$G$90,Cadastros!$H$6:$H$90))))</f>
        <v/>
      </c>
      <c r="AE1955" s="168" t="str">
        <f t="shared" si="395"/>
        <v/>
      </c>
      <c r="AF1955" s="168" t="str">
        <f t="shared" si="396"/>
        <v/>
      </c>
      <c r="AG1955" s="28"/>
      <c r="AH1955" s="28"/>
      <c r="AI1955" s="20" t="str">
        <f>IF(AG1955="","",IF($F1955="Bernardino Furlan",_xlfn.XLOOKUP(AG1955,Cadastros!$G$6:$G$90,Cadastros!$H$6:$H$90)*(1-0.18),IF($F1955="Mauro José Salanti",_xlfn.XLOOKUP(AG1955,Cadastros!$G$6:$G$90,Cadastros!$H$6:$H$90)*(1-0.18),_xlfn.XLOOKUP(AG1955,Cadastros!$G$6:$G$90,Cadastros!$H$6:$H$90))))</f>
        <v/>
      </c>
      <c r="AJ1955" s="168" t="str">
        <f t="shared" si="397"/>
        <v/>
      </c>
      <c r="AK1955" s="168" t="str">
        <f t="shared" si="398"/>
        <v/>
      </c>
      <c r="AL1955" s="28"/>
      <c r="AM1955" s="28"/>
      <c r="AN1955" s="20" t="str">
        <f>IF(AL1955="","",IF($F1955="Bernardino Furlan",_xlfn.XLOOKUP(AL1955,Cadastros!$G$6:$G$90,Cadastros!$H$6:$H$90)*(1-0.18),IF($F1955="Mauro José Salanti",_xlfn.XLOOKUP(AL1955,Cadastros!$G$6:$G$90,Cadastros!$H$6:$H$90)*(1-0.18),_xlfn.XLOOKUP(AL1955,Cadastros!$G$6:$G$90,Cadastros!$H$6:$H$90))))</f>
        <v/>
      </c>
      <c r="AO1955" s="168" t="str">
        <f t="shared" si="399"/>
        <v/>
      </c>
      <c r="AP1955" s="168" t="str">
        <f t="shared" si="400"/>
        <v/>
      </c>
      <c r="AQ1955" s="28"/>
      <c r="AR1955" s="28"/>
      <c r="AS1955" s="20" t="str">
        <f>IF(AQ1955="","",IF($F1955="Bernardino Furlan",_xlfn.XLOOKUP(AQ1955,Cadastros!$G$6:$G$90,Cadastros!$H$6:$H$90)*(1-0.18),IF($F1955="Mauro José Salanti",_xlfn.XLOOKUP(AQ1955,Cadastros!$G$6:$G$90,Cadastros!$H$6:$H$90)*(1-0.18),_xlfn.XLOOKUP(AQ1955,Cadastros!$G$6:$G$90,Cadastros!$H$6:$H$90))))</f>
        <v/>
      </c>
      <c r="AT1955" s="168" t="str">
        <f t="shared" si="401"/>
        <v/>
      </c>
      <c r="AU1955" s="168" t="str">
        <f t="shared" si="402"/>
        <v/>
      </c>
      <c r="AV1955" s="227"/>
      <c r="AW1955" s="30"/>
      <c r="AX1955" s="267"/>
      <c r="AY1955" s="267"/>
      <c r="AZ1955" s="29"/>
      <c r="BA1955" s="30"/>
      <c r="BB1955" s="23" t="str" cm="1">
        <f t="array" ref="BB1955">_xlfn.IFS(AW1955="SIM",SUM(K1955,P1955,U1955,Z1955,AE1955,AJ1955,AO1955,AT1955,AX1955,AY1955),F1955&lt;&gt;"",SUM(K1955,P1955,U1955,Z1955,AE1955,AJ1955,,AO1955,AT1955),F1955="","")</f>
        <v/>
      </c>
      <c r="BC1955" s="211" t="str" cm="1">
        <f t="array" ref="BC1955">_xlfn.IFS(E1955="","",G1955&lt;=E1955,BB1955*(1-0.03),G1955&lt;(E1955+8),BB1955,AZ1955="Boleto",BB1955*(1+0.001)^DATEDIF(E1955,G1955,"D"),AZ1955="Cheque",BB1955,AZ1955="Dinheiro","Alterar forma pgto")</f>
        <v/>
      </c>
      <c r="BD1955" s="276" t="str" cm="1">
        <f t="array" ref="BD1955">IF(F1955=0," ",IF(BC1955&lt;BB1955,(_xlfn.IFS(AW1955="SIM",SUM(L1955,Q1955,V1955,AA1955,AF1955,AK1955,AP1955,AU1955)+AX1955/_xlfn.XLOOKUP(_xlfn.XLOOKUP($F1955,Clientes!$B$4:$B$39,Clientes!$C$4:$C$39),Cadastros!$L$6:$L$12,Cadastros!$M$6:$M$12)+IF($F1955="Bernardino Furlan",AY1955/2751.92,IF($F1955="Mauro José Salanti",AY1955/2751.92,AY1955/3356)),F1955&lt;&gt;0,SUM(L1955,Q1955,V1955,AA1955,AF1955,AK1955,AP1955,AU1955)))*(1-0.03),_xlfn.IFS(AW1955="SIM",SUM(L1955,Q1955,V1955,AA1955,AF1955,AK1955,AP1955,AU1955)+AX1955/_xlfn.XLOOKUP(_xlfn.XLOOKUP($F1955,Clientes!$B$4:$B$39,Clientes!$C$4:$C$39),Cadastros!$L$6:$L$12,Cadastros!$M$6:$M$12)+IF($F1955="Bernardino Furlan",AY1955/2751.92,IF($F1955="Mauro José Salanti",AY1955/2751.92,AY1955/3356)),F1955&lt;&gt;0,SUM(L1955,Q1955,V1955,AA1955,AF1955,AK1955,AP1955,AU1955))))</f>
        <v xml:space="preserve"> </v>
      </c>
      <c r="BE1955" s="120"/>
      <c r="BF1955" s="120"/>
      <c r="BG1955" s="120"/>
    </row>
    <row r="1956" spans="1:59" s="3" customFormat="1" x14ac:dyDescent="0.3">
      <c r="A1956" s="15" t="str">
        <f t="shared" si="390"/>
        <v/>
      </c>
      <c r="B1956" s="25"/>
      <c r="C1956" s="26"/>
      <c r="D1956" s="279"/>
      <c r="E1956" s="27"/>
      <c r="F1956" s="28"/>
      <c r="G1956" s="27"/>
      <c r="H1956" s="28"/>
      <c r="I1956" s="28"/>
      <c r="J1956" s="255" t="str">
        <f>IF(H1956="","",(_xlfn.XLOOKUP(H1956,Cadastros!$D$6:$D$90,Cadastros!$E$6:$E$90))*(1-_xlfn.XLOOKUP(_xlfn.XLOOKUP($F1956,Clientes!$B$4:$B$39,Clientes!$C$4:$C$39),Cadastros!$L$6:$L$12,Cadastros!$N$6:$N$12)))</f>
        <v/>
      </c>
      <c r="K1956" s="168" t="str">
        <f t="shared" si="391"/>
        <v/>
      </c>
      <c r="L1956" s="168" t="str">
        <f>IFERROR(K1956/_xlfn.XLOOKUP(_xlfn.XLOOKUP($F1956,Clientes!$B$4:$B$39,Clientes!$C$4:$C$39),Cadastros!$L$6:$L$12,Cadastros!$M$6:$M$12)," ")</f>
        <v xml:space="preserve"> </v>
      </c>
      <c r="M1956" s="28"/>
      <c r="N1956" s="28"/>
      <c r="O1956" s="255" t="str">
        <f>IF(M1956="","",(_xlfn.XLOOKUP(M1956,Cadastros!$D$6:$D$90,Cadastros!$E$6:$E$90))*(1-_xlfn.XLOOKUP(_xlfn.XLOOKUP($F1956,Clientes!$B$4:$B$39,Clientes!$C$4:$C$39),Cadastros!$L$6:$L$12,Cadastros!$N$6:$N$12)))</f>
        <v/>
      </c>
      <c r="P1956" s="168" t="str">
        <f t="shared" si="392"/>
        <v/>
      </c>
      <c r="Q1956" s="168" t="str">
        <f>IFERROR(P1956/_xlfn.XLOOKUP(_xlfn.XLOOKUP($F1956,Clientes!$B$4:$B$39,Clientes!$C$4:$C$39),Cadastros!$L$6:$L$12,Cadastros!$M$6:$M$12)," ")</f>
        <v xml:space="preserve"> </v>
      </c>
      <c r="R1956" s="28"/>
      <c r="S1956" s="28"/>
      <c r="T1956" s="255" t="str">
        <f>IF(R1956="","",(_xlfn.XLOOKUP(R1956,Cadastros!$D$6:$D$90,Cadastros!$E$6:$E$90))*(1-_xlfn.XLOOKUP(_xlfn.XLOOKUP($F1956,Clientes!$B$4:$B$39,Clientes!$C$4:$C$39),Cadastros!$L$6:$L$12,Cadastros!$N$6:$N$12)))</f>
        <v/>
      </c>
      <c r="U1956" s="168" t="str">
        <f t="shared" si="393"/>
        <v/>
      </c>
      <c r="V1956" s="168" t="str">
        <f>IFERROR(U1956/_xlfn.XLOOKUP(_xlfn.XLOOKUP($F1956,Clientes!$B$4:$B$39,Clientes!$C$4:$C$39),Cadastros!$L$6:$L$12,Cadastros!$M$6:$M$12)," ")</f>
        <v xml:space="preserve"> </v>
      </c>
      <c r="W1956" s="28"/>
      <c r="X1956" s="28"/>
      <c r="Y1956" s="255" t="str">
        <f>IF(W1956="","",(_xlfn.XLOOKUP(W1956,Cadastros!$D$6:$D$90,Cadastros!$E$6:$E$90))*(1-_xlfn.XLOOKUP(_xlfn.XLOOKUP($F1956,Clientes!$B$4:$B$39,Clientes!$C$4:$C$39),Cadastros!$L$6:$L$12,Cadastros!$N$6:$N$12)))</f>
        <v/>
      </c>
      <c r="Z1956" s="168" t="str">
        <f t="shared" si="394"/>
        <v/>
      </c>
      <c r="AA1956" s="168" t="str">
        <f>IFERROR(Z1956/_xlfn.XLOOKUP(_xlfn.XLOOKUP($F1956,Clientes!$B$4:$B$39,Clientes!$C$4:$C$39),Cadastros!$L$6:$L$12,Cadastros!$M$6:$M$12)," ")</f>
        <v xml:space="preserve"> </v>
      </c>
      <c r="AB1956" s="28"/>
      <c r="AC1956" s="28"/>
      <c r="AD1956" s="20" t="str">
        <f>IF(AB1956="","",IF($F1956="Bernardino Furlan",_xlfn.XLOOKUP(AB1956,Cadastros!$G$6:$G$90,Cadastros!$H$6:$H$90)*(1-0.18),IF($F1956="Mauro José Salanti",_xlfn.XLOOKUP(AB1956,Cadastros!$G$6:$G$90,Cadastros!$H$6:$H$90)*(1-0.18),_xlfn.XLOOKUP(AB1956,Cadastros!$G$6:$G$90,Cadastros!$H$6:$H$90))))</f>
        <v/>
      </c>
      <c r="AE1956" s="168" t="str">
        <f t="shared" si="395"/>
        <v/>
      </c>
      <c r="AF1956" s="168" t="str">
        <f t="shared" si="396"/>
        <v/>
      </c>
      <c r="AG1956" s="28"/>
      <c r="AH1956" s="28"/>
      <c r="AI1956" s="20" t="str">
        <f>IF(AG1956="","",IF($F1956="Bernardino Furlan",_xlfn.XLOOKUP(AG1956,Cadastros!$G$6:$G$90,Cadastros!$H$6:$H$90)*(1-0.18),IF($F1956="Mauro José Salanti",_xlfn.XLOOKUP(AG1956,Cadastros!$G$6:$G$90,Cadastros!$H$6:$H$90)*(1-0.18),_xlfn.XLOOKUP(AG1956,Cadastros!$G$6:$G$90,Cadastros!$H$6:$H$90))))</f>
        <v/>
      </c>
      <c r="AJ1956" s="168" t="str">
        <f t="shared" si="397"/>
        <v/>
      </c>
      <c r="AK1956" s="168" t="str">
        <f t="shared" si="398"/>
        <v/>
      </c>
      <c r="AL1956" s="28"/>
      <c r="AM1956" s="28"/>
      <c r="AN1956" s="20" t="str">
        <f>IF(AL1956="","",IF($F1956="Bernardino Furlan",_xlfn.XLOOKUP(AL1956,Cadastros!$G$6:$G$90,Cadastros!$H$6:$H$90)*(1-0.18),IF($F1956="Mauro José Salanti",_xlfn.XLOOKUP(AL1956,Cadastros!$G$6:$G$90,Cadastros!$H$6:$H$90)*(1-0.18),_xlfn.XLOOKUP(AL1956,Cadastros!$G$6:$G$90,Cadastros!$H$6:$H$90))))</f>
        <v/>
      </c>
      <c r="AO1956" s="168" t="str">
        <f t="shared" si="399"/>
        <v/>
      </c>
      <c r="AP1956" s="168" t="str">
        <f t="shared" si="400"/>
        <v/>
      </c>
      <c r="AQ1956" s="28"/>
      <c r="AR1956" s="28"/>
      <c r="AS1956" s="20" t="str">
        <f>IF(AQ1956="","",IF($F1956="Bernardino Furlan",_xlfn.XLOOKUP(AQ1956,Cadastros!$G$6:$G$90,Cadastros!$H$6:$H$90)*(1-0.18),IF($F1956="Mauro José Salanti",_xlfn.XLOOKUP(AQ1956,Cadastros!$G$6:$G$90,Cadastros!$H$6:$H$90)*(1-0.18),_xlfn.XLOOKUP(AQ1956,Cadastros!$G$6:$G$90,Cadastros!$H$6:$H$90))))</f>
        <v/>
      </c>
      <c r="AT1956" s="168" t="str">
        <f t="shared" si="401"/>
        <v/>
      </c>
      <c r="AU1956" s="168" t="str">
        <f t="shared" si="402"/>
        <v/>
      </c>
      <c r="AV1956" s="227"/>
      <c r="AW1956" s="30"/>
      <c r="AX1956" s="267"/>
      <c r="AY1956" s="267"/>
      <c r="AZ1956" s="29"/>
      <c r="BA1956" s="30"/>
      <c r="BB1956" s="23" t="str" cm="1">
        <f t="array" ref="BB1956">_xlfn.IFS(AW1956="SIM",SUM(K1956,P1956,U1956,Z1956,AE1956,AJ1956,AO1956,AT1956,AX1956,AY1956),F1956&lt;&gt;"",SUM(K1956,P1956,U1956,Z1956,AE1956,AJ1956,,AO1956,AT1956),F1956="","")</f>
        <v/>
      </c>
      <c r="BC1956" s="211" t="str" cm="1">
        <f t="array" ref="BC1956">_xlfn.IFS(E1956="","",G1956&lt;=E1956,BB1956*(1-0.03),G1956&lt;(E1956+8),BB1956,AZ1956="Boleto",BB1956*(1+0.001)^DATEDIF(E1956,G1956,"D"),AZ1956="Cheque",BB1956,AZ1956="Dinheiro","Alterar forma pgto")</f>
        <v/>
      </c>
      <c r="BD1956" s="276" t="str" cm="1">
        <f t="array" ref="BD1956">IF(F1956=0," ",IF(BC1956&lt;BB1956,(_xlfn.IFS(AW1956="SIM",SUM(L1956,Q1956,V1956,AA1956,AF1956,AK1956,AP1956,AU1956)+AX1956/_xlfn.XLOOKUP(_xlfn.XLOOKUP($F1956,Clientes!$B$4:$B$39,Clientes!$C$4:$C$39),Cadastros!$L$6:$L$12,Cadastros!$M$6:$M$12)+IF($F1956="Bernardino Furlan",AY1956/2751.92,IF($F1956="Mauro José Salanti",AY1956/2751.92,AY1956/3356)),F1956&lt;&gt;0,SUM(L1956,Q1956,V1956,AA1956,AF1956,AK1956,AP1956,AU1956)))*(1-0.03),_xlfn.IFS(AW1956="SIM",SUM(L1956,Q1956,V1956,AA1956,AF1956,AK1956,AP1956,AU1956)+AX1956/_xlfn.XLOOKUP(_xlfn.XLOOKUP($F1956,Clientes!$B$4:$B$39,Clientes!$C$4:$C$39),Cadastros!$L$6:$L$12,Cadastros!$M$6:$M$12)+IF($F1956="Bernardino Furlan",AY1956/2751.92,IF($F1956="Mauro José Salanti",AY1956/2751.92,AY1956/3356)),F1956&lt;&gt;0,SUM(L1956,Q1956,V1956,AA1956,AF1956,AK1956,AP1956,AU1956))))</f>
        <v xml:space="preserve"> </v>
      </c>
      <c r="BE1956" s="120"/>
      <c r="BF1956" s="120"/>
      <c r="BG1956" s="120"/>
    </row>
    <row r="1957" spans="1:59" s="3" customFormat="1" x14ac:dyDescent="0.3">
      <c r="A1957" s="15" t="str">
        <f t="shared" si="390"/>
        <v/>
      </c>
      <c r="B1957" s="25"/>
      <c r="C1957" s="26"/>
      <c r="D1957" s="279"/>
      <c r="E1957" s="27"/>
      <c r="F1957" s="28"/>
      <c r="G1957" s="27"/>
      <c r="H1957" s="28"/>
      <c r="I1957" s="28"/>
      <c r="J1957" s="255" t="str">
        <f>IF(H1957="","",(_xlfn.XLOOKUP(H1957,Cadastros!$D$6:$D$90,Cadastros!$E$6:$E$90))*(1-_xlfn.XLOOKUP(_xlfn.XLOOKUP($F1957,Clientes!$B$4:$B$39,Clientes!$C$4:$C$39),Cadastros!$L$6:$L$12,Cadastros!$N$6:$N$12)))</f>
        <v/>
      </c>
      <c r="K1957" s="168" t="str">
        <f t="shared" si="391"/>
        <v/>
      </c>
      <c r="L1957" s="168" t="str">
        <f>IFERROR(K1957/_xlfn.XLOOKUP(_xlfn.XLOOKUP($F1957,Clientes!$B$4:$B$39,Clientes!$C$4:$C$39),Cadastros!$L$6:$L$12,Cadastros!$M$6:$M$12)," ")</f>
        <v xml:space="preserve"> </v>
      </c>
      <c r="M1957" s="28"/>
      <c r="N1957" s="28"/>
      <c r="O1957" s="255" t="str">
        <f>IF(M1957="","",(_xlfn.XLOOKUP(M1957,Cadastros!$D$6:$D$90,Cadastros!$E$6:$E$90))*(1-_xlfn.XLOOKUP(_xlfn.XLOOKUP($F1957,Clientes!$B$4:$B$39,Clientes!$C$4:$C$39),Cadastros!$L$6:$L$12,Cadastros!$N$6:$N$12)))</f>
        <v/>
      </c>
      <c r="P1957" s="168" t="str">
        <f t="shared" si="392"/>
        <v/>
      </c>
      <c r="Q1957" s="168" t="str">
        <f>IFERROR(P1957/_xlfn.XLOOKUP(_xlfn.XLOOKUP($F1957,Clientes!$B$4:$B$39,Clientes!$C$4:$C$39),Cadastros!$L$6:$L$12,Cadastros!$M$6:$M$12)," ")</f>
        <v xml:space="preserve"> </v>
      </c>
      <c r="R1957" s="28"/>
      <c r="S1957" s="28"/>
      <c r="T1957" s="255" t="str">
        <f>IF(R1957="","",(_xlfn.XLOOKUP(R1957,Cadastros!$D$6:$D$90,Cadastros!$E$6:$E$90))*(1-_xlfn.XLOOKUP(_xlfn.XLOOKUP($F1957,Clientes!$B$4:$B$39,Clientes!$C$4:$C$39),Cadastros!$L$6:$L$12,Cadastros!$N$6:$N$12)))</f>
        <v/>
      </c>
      <c r="U1957" s="168" t="str">
        <f t="shared" si="393"/>
        <v/>
      </c>
      <c r="V1957" s="168" t="str">
        <f>IFERROR(U1957/_xlfn.XLOOKUP(_xlfn.XLOOKUP($F1957,Clientes!$B$4:$B$39,Clientes!$C$4:$C$39),Cadastros!$L$6:$L$12,Cadastros!$M$6:$M$12)," ")</f>
        <v xml:space="preserve"> </v>
      </c>
      <c r="W1957" s="28"/>
      <c r="X1957" s="28"/>
      <c r="Y1957" s="255" t="str">
        <f>IF(W1957="","",(_xlfn.XLOOKUP(W1957,Cadastros!$D$6:$D$90,Cadastros!$E$6:$E$90))*(1-_xlfn.XLOOKUP(_xlfn.XLOOKUP($F1957,Clientes!$B$4:$B$39,Clientes!$C$4:$C$39),Cadastros!$L$6:$L$12,Cadastros!$N$6:$N$12)))</f>
        <v/>
      </c>
      <c r="Z1957" s="168" t="str">
        <f t="shared" si="394"/>
        <v/>
      </c>
      <c r="AA1957" s="168" t="str">
        <f>IFERROR(Z1957/_xlfn.XLOOKUP(_xlfn.XLOOKUP($F1957,Clientes!$B$4:$B$39,Clientes!$C$4:$C$39),Cadastros!$L$6:$L$12,Cadastros!$M$6:$M$12)," ")</f>
        <v xml:space="preserve"> </v>
      </c>
      <c r="AB1957" s="28"/>
      <c r="AC1957" s="28"/>
      <c r="AD1957" s="20" t="str">
        <f>IF(AB1957="","",IF($F1957="Bernardino Furlan",_xlfn.XLOOKUP(AB1957,Cadastros!$G$6:$G$90,Cadastros!$H$6:$H$90)*(1-0.18),IF($F1957="Mauro José Salanti",_xlfn.XLOOKUP(AB1957,Cadastros!$G$6:$G$90,Cadastros!$H$6:$H$90)*(1-0.18),_xlfn.XLOOKUP(AB1957,Cadastros!$G$6:$G$90,Cadastros!$H$6:$H$90))))</f>
        <v/>
      </c>
      <c r="AE1957" s="168" t="str">
        <f t="shared" si="395"/>
        <v/>
      </c>
      <c r="AF1957" s="168" t="str">
        <f t="shared" si="396"/>
        <v/>
      </c>
      <c r="AG1957" s="28"/>
      <c r="AH1957" s="28"/>
      <c r="AI1957" s="20" t="str">
        <f>IF(AG1957="","",IF($F1957="Bernardino Furlan",_xlfn.XLOOKUP(AG1957,Cadastros!$G$6:$G$90,Cadastros!$H$6:$H$90)*(1-0.18),IF($F1957="Mauro José Salanti",_xlfn.XLOOKUP(AG1957,Cadastros!$G$6:$G$90,Cadastros!$H$6:$H$90)*(1-0.18),_xlfn.XLOOKUP(AG1957,Cadastros!$G$6:$G$90,Cadastros!$H$6:$H$90))))</f>
        <v/>
      </c>
      <c r="AJ1957" s="168" t="str">
        <f t="shared" si="397"/>
        <v/>
      </c>
      <c r="AK1957" s="168" t="str">
        <f t="shared" si="398"/>
        <v/>
      </c>
      <c r="AL1957" s="28"/>
      <c r="AM1957" s="28"/>
      <c r="AN1957" s="20" t="str">
        <f>IF(AL1957="","",IF($F1957="Bernardino Furlan",_xlfn.XLOOKUP(AL1957,Cadastros!$G$6:$G$90,Cadastros!$H$6:$H$90)*(1-0.18),IF($F1957="Mauro José Salanti",_xlfn.XLOOKUP(AL1957,Cadastros!$G$6:$G$90,Cadastros!$H$6:$H$90)*(1-0.18),_xlfn.XLOOKUP(AL1957,Cadastros!$G$6:$G$90,Cadastros!$H$6:$H$90))))</f>
        <v/>
      </c>
      <c r="AO1957" s="168" t="str">
        <f t="shared" si="399"/>
        <v/>
      </c>
      <c r="AP1957" s="168" t="str">
        <f t="shared" si="400"/>
        <v/>
      </c>
      <c r="AQ1957" s="28"/>
      <c r="AR1957" s="28"/>
      <c r="AS1957" s="20" t="str">
        <f>IF(AQ1957="","",IF($F1957="Bernardino Furlan",_xlfn.XLOOKUP(AQ1957,Cadastros!$G$6:$G$90,Cadastros!$H$6:$H$90)*(1-0.18),IF($F1957="Mauro José Salanti",_xlfn.XLOOKUP(AQ1957,Cadastros!$G$6:$G$90,Cadastros!$H$6:$H$90)*(1-0.18),_xlfn.XLOOKUP(AQ1957,Cadastros!$G$6:$G$90,Cadastros!$H$6:$H$90))))</f>
        <v/>
      </c>
      <c r="AT1957" s="168" t="str">
        <f t="shared" si="401"/>
        <v/>
      </c>
      <c r="AU1957" s="168" t="str">
        <f t="shared" si="402"/>
        <v/>
      </c>
      <c r="AV1957" s="227"/>
      <c r="AW1957" s="30"/>
      <c r="AX1957" s="267"/>
      <c r="AY1957" s="267"/>
      <c r="AZ1957" s="29"/>
      <c r="BA1957" s="30"/>
      <c r="BB1957" s="23" t="str" cm="1">
        <f t="array" ref="BB1957">_xlfn.IFS(AW1957="SIM",SUM(K1957,P1957,U1957,Z1957,AE1957,AJ1957,AO1957,AT1957,AX1957,AY1957),F1957&lt;&gt;"",SUM(K1957,P1957,U1957,Z1957,AE1957,AJ1957,,AO1957,AT1957),F1957="","")</f>
        <v/>
      </c>
      <c r="BC1957" s="211" t="str" cm="1">
        <f t="array" ref="BC1957">_xlfn.IFS(E1957="","",G1957&lt;=E1957,BB1957*(1-0.03),G1957&lt;(E1957+8),BB1957,AZ1957="Boleto",BB1957*(1+0.001)^DATEDIF(E1957,G1957,"D"),AZ1957="Cheque",BB1957,AZ1957="Dinheiro","Alterar forma pgto")</f>
        <v/>
      </c>
      <c r="BD1957" s="276" t="str" cm="1">
        <f t="array" ref="BD1957">IF(F1957=0," ",IF(BC1957&lt;BB1957,(_xlfn.IFS(AW1957="SIM",SUM(L1957,Q1957,V1957,AA1957,AF1957,AK1957,AP1957,AU1957)+AX1957/_xlfn.XLOOKUP(_xlfn.XLOOKUP($F1957,Clientes!$B$4:$B$39,Clientes!$C$4:$C$39),Cadastros!$L$6:$L$12,Cadastros!$M$6:$M$12)+IF($F1957="Bernardino Furlan",AY1957/2751.92,IF($F1957="Mauro José Salanti",AY1957/2751.92,AY1957/3356)),F1957&lt;&gt;0,SUM(L1957,Q1957,V1957,AA1957,AF1957,AK1957,AP1957,AU1957)))*(1-0.03),_xlfn.IFS(AW1957="SIM",SUM(L1957,Q1957,V1957,AA1957,AF1957,AK1957,AP1957,AU1957)+AX1957/_xlfn.XLOOKUP(_xlfn.XLOOKUP($F1957,Clientes!$B$4:$B$39,Clientes!$C$4:$C$39),Cadastros!$L$6:$L$12,Cadastros!$M$6:$M$12)+IF($F1957="Bernardino Furlan",AY1957/2751.92,IF($F1957="Mauro José Salanti",AY1957/2751.92,AY1957/3356)),F1957&lt;&gt;0,SUM(L1957,Q1957,V1957,AA1957,AF1957,AK1957,AP1957,AU1957))))</f>
        <v xml:space="preserve"> </v>
      </c>
      <c r="BE1957" s="120"/>
      <c r="BF1957" s="120"/>
      <c r="BG1957" s="120"/>
    </row>
    <row r="1958" spans="1:59" s="3" customFormat="1" x14ac:dyDescent="0.3">
      <c r="A1958" s="15" t="str">
        <f t="shared" si="390"/>
        <v/>
      </c>
      <c r="B1958" s="25"/>
      <c r="C1958" s="26"/>
      <c r="D1958" s="279"/>
      <c r="E1958" s="27"/>
      <c r="F1958" s="28"/>
      <c r="G1958" s="27"/>
      <c r="H1958" s="28"/>
      <c r="I1958" s="28"/>
      <c r="J1958" s="255" t="str">
        <f>IF(H1958="","",(_xlfn.XLOOKUP(H1958,Cadastros!$D$6:$D$90,Cadastros!$E$6:$E$90))*(1-_xlfn.XLOOKUP(_xlfn.XLOOKUP($F1958,Clientes!$B$4:$B$39,Clientes!$C$4:$C$39),Cadastros!$L$6:$L$12,Cadastros!$N$6:$N$12)))</f>
        <v/>
      </c>
      <c r="K1958" s="168" t="str">
        <f t="shared" si="391"/>
        <v/>
      </c>
      <c r="L1958" s="168" t="str">
        <f>IFERROR(K1958/_xlfn.XLOOKUP(_xlfn.XLOOKUP($F1958,Clientes!$B$4:$B$39,Clientes!$C$4:$C$39),Cadastros!$L$6:$L$12,Cadastros!$M$6:$M$12)," ")</f>
        <v xml:space="preserve"> </v>
      </c>
      <c r="M1958" s="28"/>
      <c r="N1958" s="28"/>
      <c r="O1958" s="255" t="str">
        <f>IF(M1958="","",(_xlfn.XLOOKUP(M1958,Cadastros!$D$6:$D$90,Cadastros!$E$6:$E$90))*(1-_xlfn.XLOOKUP(_xlfn.XLOOKUP($F1958,Clientes!$B$4:$B$39,Clientes!$C$4:$C$39),Cadastros!$L$6:$L$12,Cadastros!$N$6:$N$12)))</f>
        <v/>
      </c>
      <c r="P1958" s="168" t="str">
        <f t="shared" si="392"/>
        <v/>
      </c>
      <c r="Q1958" s="168" t="str">
        <f>IFERROR(P1958/_xlfn.XLOOKUP(_xlfn.XLOOKUP($F1958,Clientes!$B$4:$B$39,Clientes!$C$4:$C$39),Cadastros!$L$6:$L$12,Cadastros!$M$6:$M$12)," ")</f>
        <v xml:space="preserve"> </v>
      </c>
      <c r="R1958" s="28"/>
      <c r="S1958" s="28"/>
      <c r="T1958" s="255" t="str">
        <f>IF(R1958="","",(_xlfn.XLOOKUP(R1958,Cadastros!$D$6:$D$90,Cadastros!$E$6:$E$90))*(1-_xlfn.XLOOKUP(_xlfn.XLOOKUP($F1958,Clientes!$B$4:$B$39,Clientes!$C$4:$C$39),Cadastros!$L$6:$L$12,Cadastros!$N$6:$N$12)))</f>
        <v/>
      </c>
      <c r="U1958" s="168" t="str">
        <f t="shared" si="393"/>
        <v/>
      </c>
      <c r="V1958" s="168" t="str">
        <f>IFERROR(U1958/_xlfn.XLOOKUP(_xlfn.XLOOKUP($F1958,Clientes!$B$4:$B$39,Clientes!$C$4:$C$39),Cadastros!$L$6:$L$12,Cadastros!$M$6:$M$12)," ")</f>
        <v xml:space="preserve"> </v>
      </c>
      <c r="W1958" s="28"/>
      <c r="X1958" s="28"/>
      <c r="Y1958" s="255" t="str">
        <f>IF(W1958="","",(_xlfn.XLOOKUP(W1958,Cadastros!$D$6:$D$90,Cadastros!$E$6:$E$90))*(1-_xlfn.XLOOKUP(_xlfn.XLOOKUP($F1958,Clientes!$B$4:$B$39,Clientes!$C$4:$C$39),Cadastros!$L$6:$L$12,Cadastros!$N$6:$N$12)))</f>
        <v/>
      </c>
      <c r="Z1958" s="168" t="str">
        <f t="shared" si="394"/>
        <v/>
      </c>
      <c r="AA1958" s="168" t="str">
        <f>IFERROR(Z1958/_xlfn.XLOOKUP(_xlfn.XLOOKUP($F1958,Clientes!$B$4:$B$39,Clientes!$C$4:$C$39),Cadastros!$L$6:$L$12,Cadastros!$M$6:$M$12)," ")</f>
        <v xml:space="preserve"> </v>
      </c>
      <c r="AB1958" s="28"/>
      <c r="AC1958" s="28"/>
      <c r="AD1958" s="20" t="str">
        <f>IF(AB1958="","",IF($F1958="Bernardino Furlan",_xlfn.XLOOKUP(AB1958,Cadastros!$G$6:$G$90,Cadastros!$H$6:$H$90)*(1-0.18),IF($F1958="Mauro José Salanti",_xlfn.XLOOKUP(AB1958,Cadastros!$G$6:$G$90,Cadastros!$H$6:$H$90)*(1-0.18),_xlfn.XLOOKUP(AB1958,Cadastros!$G$6:$G$90,Cadastros!$H$6:$H$90))))</f>
        <v/>
      </c>
      <c r="AE1958" s="168" t="str">
        <f t="shared" si="395"/>
        <v/>
      </c>
      <c r="AF1958" s="168" t="str">
        <f t="shared" si="396"/>
        <v/>
      </c>
      <c r="AG1958" s="28"/>
      <c r="AH1958" s="28"/>
      <c r="AI1958" s="20" t="str">
        <f>IF(AG1958="","",IF($F1958="Bernardino Furlan",_xlfn.XLOOKUP(AG1958,Cadastros!$G$6:$G$90,Cadastros!$H$6:$H$90)*(1-0.18),IF($F1958="Mauro José Salanti",_xlfn.XLOOKUP(AG1958,Cadastros!$G$6:$G$90,Cadastros!$H$6:$H$90)*(1-0.18),_xlfn.XLOOKUP(AG1958,Cadastros!$G$6:$G$90,Cadastros!$H$6:$H$90))))</f>
        <v/>
      </c>
      <c r="AJ1958" s="168" t="str">
        <f t="shared" si="397"/>
        <v/>
      </c>
      <c r="AK1958" s="168" t="str">
        <f t="shared" si="398"/>
        <v/>
      </c>
      <c r="AL1958" s="28"/>
      <c r="AM1958" s="28"/>
      <c r="AN1958" s="20" t="str">
        <f>IF(AL1958="","",IF($F1958="Bernardino Furlan",_xlfn.XLOOKUP(AL1958,Cadastros!$G$6:$G$90,Cadastros!$H$6:$H$90)*(1-0.18),IF($F1958="Mauro José Salanti",_xlfn.XLOOKUP(AL1958,Cadastros!$G$6:$G$90,Cadastros!$H$6:$H$90)*(1-0.18),_xlfn.XLOOKUP(AL1958,Cadastros!$G$6:$G$90,Cadastros!$H$6:$H$90))))</f>
        <v/>
      </c>
      <c r="AO1958" s="168" t="str">
        <f t="shared" si="399"/>
        <v/>
      </c>
      <c r="AP1958" s="168" t="str">
        <f t="shared" si="400"/>
        <v/>
      </c>
      <c r="AQ1958" s="28"/>
      <c r="AR1958" s="28"/>
      <c r="AS1958" s="20" t="str">
        <f>IF(AQ1958="","",IF($F1958="Bernardino Furlan",_xlfn.XLOOKUP(AQ1958,Cadastros!$G$6:$G$90,Cadastros!$H$6:$H$90)*(1-0.18),IF($F1958="Mauro José Salanti",_xlfn.XLOOKUP(AQ1958,Cadastros!$G$6:$G$90,Cadastros!$H$6:$H$90)*(1-0.18),_xlfn.XLOOKUP(AQ1958,Cadastros!$G$6:$G$90,Cadastros!$H$6:$H$90))))</f>
        <v/>
      </c>
      <c r="AT1958" s="168" t="str">
        <f t="shared" si="401"/>
        <v/>
      </c>
      <c r="AU1958" s="168" t="str">
        <f t="shared" si="402"/>
        <v/>
      </c>
      <c r="AV1958" s="227"/>
      <c r="AW1958" s="30"/>
      <c r="AX1958" s="267"/>
      <c r="AY1958" s="267"/>
      <c r="AZ1958" s="29"/>
      <c r="BA1958" s="30"/>
      <c r="BB1958" s="23" t="str" cm="1">
        <f t="array" ref="BB1958">_xlfn.IFS(AW1958="SIM",SUM(K1958,P1958,U1958,Z1958,AE1958,AJ1958,AO1958,AT1958,AX1958,AY1958),F1958&lt;&gt;"",SUM(K1958,P1958,U1958,Z1958,AE1958,AJ1958,,AO1958,AT1958),F1958="","")</f>
        <v/>
      </c>
      <c r="BC1958" s="211" t="str" cm="1">
        <f t="array" ref="BC1958">_xlfn.IFS(E1958="","",G1958&lt;=E1958,BB1958*(1-0.03),G1958&lt;(E1958+8),BB1958,AZ1958="Boleto",BB1958*(1+0.001)^DATEDIF(E1958,G1958,"D"),AZ1958="Cheque",BB1958,AZ1958="Dinheiro","Alterar forma pgto")</f>
        <v/>
      </c>
      <c r="BD1958" s="276" t="str" cm="1">
        <f t="array" ref="BD1958">IF(F1958=0," ",IF(BC1958&lt;BB1958,(_xlfn.IFS(AW1958="SIM",SUM(L1958,Q1958,V1958,AA1958,AF1958,AK1958,AP1958,AU1958)+AX1958/_xlfn.XLOOKUP(_xlfn.XLOOKUP($F1958,Clientes!$B$4:$B$39,Clientes!$C$4:$C$39),Cadastros!$L$6:$L$12,Cadastros!$M$6:$M$12)+IF($F1958="Bernardino Furlan",AY1958/2751.92,IF($F1958="Mauro José Salanti",AY1958/2751.92,AY1958/3356)),F1958&lt;&gt;0,SUM(L1958,Q1958,V1958,AA1958,AF1958,AK1958,AP1958,AU1958)))*(1-0.03),_xlfn.IFS(AW1958="SIM",SUM(L1958,Q1958,V1958,AA1958,AF1958,AK1958,AP1958,AU1958)+AX1958/_xlfn.XLOOKUP(_xlfn.XLOOKUP($F1958,Clientes!$B$4:$B$39,Clientes!$C$4:$C$39),Cadastros!$L$6:$L$12,Cadastros!$M$6:$M$12)+IF($F1958="Bernardino Furlan",AY1958/2751.92,IF($F1958="Mauro José Salanti",AY1958/2751.92,AY1958/3356)),F1958&lt;&gt;0,SUM(L1958,Q1958,V1958,AA1958,AF1958,AK1958,AP1958,AU1958))))</f>
        <v xml:space="preserve"> </v>
      </c>
      <c r="BE1958" s="120"/>
      <c r="BF1958" s="120"/>
      <c r="BG1958" s="120"/>
    </row>
    <row r="1959" spans="1:59" s="3" customFormat="1" x14ac:dyDescent="0.3">
      <c r="A1959" s="15" t="str">
        <f t="shared" si="390"/>
        <v/>
      </c>
      <c r="B1959" s="25"/>
      <c r="C1959" s="26"/>
      <c r="D1959" s="279"/>
      <c r="E1959" s="27"/>
      <c r="F1959" s="28"/>
      <c r="G1959" s="27"/>
      <c r="H1959" s="28"/>
      <c r="I1959" s="28"/>
      <c r="J1959" s="255" t="str">
        <f>IF(H1959="","",(_xlfn.XLOOKUP(H1959,Cadastros!$D$6:$D$90,Cadastros!$E$6:$E$90))*(1-_xlfn.XLOOKUP(_xlfn.XLOOKUP($F1959,Clientes!$B$4:$B$39,Clientes!$C$4:$C$39),Cadastros!$L$6:$L$12,Cadastros!$N$6:$N$12)))</f>
        <v/>
      </c>
      <c r="K1959" s="168" t="str">
        <f t="shared" si="391"/>
        <v/>
      </c>
      <c r="L1959" s="168" t="str">
        <f>IFERROR(K1959/_xlfn.XLOOKUP(_xlfn.XLOOKUP($F1959,Clientes!$B$4:$B$39,Clientes!$C$4:$C$39),Cadastros!$L$6:$L$12,Cadastros!$M$6:$M$12)," ")</f>
        <v xml:space="preserve"> </v>
      </c>
      <c r="M1959" s="28"/>
      <c r="N1959" s="28"/>
      <c r="O1959" s="255" t="str">
        <f>IF(M1959="","",(_xlfn.XLOOKUP(M1959,Cadastros!$D$6:$D$90,Cadastros!$E$6:$E$90))*(1-_xlfn.XLOOKUP(_xlfn.XLOOKUP($F1959,Clientes!$B$4:$B$39,Clientes!$C$4:$C$39),Cadastros!$L$6:$L$12,Cadastros!$N$6:$N$12)))</f>
        <v/>
      </c>
      <c r="P1959" s="168" t="str">
        <f t="shared" si="392"/>
        <v/>
      </c>
      <c r="Q1959" s="168" t="str">
        <f>IFERROR(P1959/_xlfn.XLOOKUP(_xlfn.XLOOKUP($F1959,Clientes!$B$4:$B$39,Clientes!$C$4:$C$39),Cadastros!$L$6:$L$12,Cadastros!$M$6:$M$12)," ")</f>
        <v xml:space="preserve"> </v>
      </c>
      <c r="R1959" s="28"/>
      <c r="S1959" s="28"/>
      <c r="T1959" s="255" t="str">
        <f>IF(R1959="","",(_xlfn.XLOOKUP(R1959,Cadastros!$D$6:$D$90,Cadastros!$E$6:$E$90))*(1-_xlfn.XLOOKUP(_xlfn.XLOOKUP($F1959,Clientes!$B$4:$B$39,Clientes!$C$4:$C$39),Cadastros!$L$6:$L$12,Cadastros!$N$6:$N$12)))</f>
        <v/>
      </c>
      <c r="U1959" s="168" t="str">
        <f t="shared" si="393"/>
        <v/>
      </c>
      <c r="V1959" s="168" t="str">
        <f>IFERROR(U1959/_xlfn.XLOOKUP(_xlfn.XLOOKUP($F1959,Clientes!$B$4:$B$39,Clientes!$C$4:$C$39),Cadastros!$L$6:$L$12,Cadastros!$M$6:$M$12)," ")</f>
        <v xml:space="preserve"> </v>
      </c>
      <c r="W1959" s="28"/>
      <c r="X1959" s="28"/>
      <c r="Y1959" s="255" t="str">
        <f>IF(W1959="","",(_xlfn.XLOOKUP(W1959,Cadastros!$D$6:$D$90,Cadastros!$E$6:$E$90))*(1-_xlfn.XLOOKUP(_xlfn.XLOOKUP($F1959,Clientes!$B$4:$B$39,Clientes!$C$4:$C$39),Cadastros!$L$6:$L$12,Cadastros!$N$6:$N$12)))</f>
        <v/>
      </c>
      <c r="Z1959" s="168" t="str">
        <f t="shared" si="394"/>
        <v/>
      </c>
      <c r="AA1959" s="168" t="str">
        <f>IFERROR(Z1959/_xlfn.XLOOKUP(_xlfn.XLOOKUP($F1959,Clientes!$B$4:$B$39,Clientes!$C$4:$C$39),Cadastros!$L$6:$L$12,Cadastros!$M$6:$M$12)," ")</f>
        <v xml:space="preserve"> </v>
      </c>
      <c r="AB1959" s="28"/>
      <c r="AC1959" s="28"/>
      <c r="AD1959" s="20" t="str">
        <f>IF(AB1959="","",IF($F1959="Bernardino Furlan",_xlfn.XLOOKUP(AB1959,Cadastros!$G$6:$G$90,Cadastros!$H$6:$H$90)*(1-0.18),IF($F1959="Mauro José Salanti",_xlfn.XLOOKUP(AB1959,Cadastros!$G$6:$G$90,Cadastros!$H$6:$H$90)*(1-0.18),_xlfn.XLOOKUP(AB1959,Cadastros!$G$6:$G$90,Cadastros!$H$6:$H$90))))</f>
        <v/>
      </c>
      <c r="AE1959" s="168" t="str">
        <f t="shared" si="395"/>
        <v/>
      </c>
      <c r="AF1959" s="168" t="str">
        <f t="shared" si="396"/>
        <v/>
      </c>
      <c r="AG1959" s="28"/>
      <c r="AH1959" s="28"/>
      <c r="AI1959" s="20" t="str">
        <f>IF(AG1959="","",IF($F1959="Bernardino Furlan",_xlfn.XLOOKUP(AG1959,Cadastros!$G$6:$G$90,Cadastros!$H$6:$H$90)*(1-0.18),IF($F1959="Mauro José Salanti",_xlfn.XLOOKUP(AG1959,Cadastros!$G$6:$G$90,Cadastros!$H$6:$H$90)*(1-0.18),_xlfn.XLOOKUP(AG1959,Cadastros!$G$6:$G$90,Cadastros!$H$6:$H$90))))</f>
        <v/>
      </c>
      <c r="AJ1959" s="168" t="str">
        <f t="shared" si="397"/>
        <v/>
      </c>
      <c r="AK1959" s="168" t="str">
        <f t="shared" si="398"/>
        <v/>
      </c>
      <c r="AL1959" s="28"/>
      <c r="AM1959" s="28"/>
      <c r="AN1959" s="20" t="str">
        <f>IF(AL1959="","",IF($F1959="Bernardino Furlan",_xlfn.XLOOKUP(AL1959,Cadastros!$G$6:$G$90,Cadastros!$H$6:$H$90)*(1-0.18),IF($F1959="Mauro José Salanti",_xlfn.XLOOKUP(AL1959,Cadastros!$G$6:$G$90,Cadastros!$H$6:$H$90)*(1-0.18),_xlfn.XLOOKUP(AL1959,Cadastros!$G$6:$G$90,Cadastros!$H$6:$H$90))))</f>
        <v/>
      </c>
      <c r="AO1959" s="168" t="str">
        <f t="shared" si="399"/>
        <v/>
      </c>
      <c r="AP1959" s="168" t="str">
        <f t="shared" si="400"/>
        <v/>
      </c>
      <c r="AQ1959" s="28"/>
      <c r="AR1959" s="28"/>
      <c r="AS1959" s="20" t="str">
        <f>IF(AQ1959="","",IF($F1959="Bernardino Furlan",_xlfn.XLOOKUP(AQ1959,Cadastros!$G$6:$G$90,Cadastros!$H$6:$H$90)*(1-0.18),IF($F1959="Mauro José Salanti",_xlfn.XLOOKUP(AQ1959,Cadastros!$G$6:$G$90,Cadastros!$H$6:$H$90)*(1-0.18),_xlfn.XLOOKUP(AQ1959,Cadastros!$G$6:$G$90,Cadastros!$H$6:$H$90))))</f>
        <v/>
      </c>
      <c r="AT1959" s="168" t="str">
        <f t="shared" si="401"/>
        <v/>
      </c>
      <c r="AU1959" s="168" t="str">
        <f t="shared" si="402"/>
        <v/>
      </c>
      <c r="AV1959" s="227"/>
      <c r="AW1959" s="30"/>
      <c r="AX1959" s="267"/>
      <c r="AY1959" s="267"/>
      <c r="AZ1959" s="29"/>
      <c r="BA1959" s="30"/>
      <c r="BB1959" s="23" t="str" cm="1">
        <f t="array" ref="BB1959">_xlfn.IFS(AW1959="SIM",SUM(K1959,P1959,U1959,Z1959,AE1959,AJ1959,AO1959,AT1959,AX1959,AY1959),F1959&lt;&gt;"",SUM(K1959,P1959,U1959,Z1959,AE1959,AJ1959,,AO1959,AT1959),F1959="","")</f>
        <v/>
      </c>
      <c r="BC1959" s="211" t="str" cm="1">
        <f t="array" ref="BC1959">_xlfn.IFS(E1959="","",G1959&lt;=E1959,BB1959*(1-0.03),G1959&lt;(E1959+8),BB1959,AZ1959="Boleto",BB1959*(1+0.001)^DATEDIF(E1959,G1959,"D"),AZ1959="Cheque",BB1959,AZ1959="Dinheiro","Alterar forma pgto")</f>
        <v/>
      </c>
      <c r="BD1959" s="276" t="str" cm="1">
        <f t="array" ref="BD1959">IF(F1959=0," ",IF(BC1959&lt;BB1959,(_xlfn.IFS(AW1959="SIM",SUM(L1959,Q1959,V1959,AA1959,AF1959,AK1959,AP1959,AU1959)+AX1959/_xlfn.XLOOKUP(_xlfn.XLOOKUP($F1959,Clientes!$B$4:$B$39,Clientes!$C$4:$C$39),Cadastros!$L$6:$L$12,Cadastros!$M$6:$M$12)+IF($F1959="Bernardino Furlan",AY1959/2751.92,IF($F1959="Mauro José Salanti",AY1959/2751.92,AY1959/3356)),F1959&lt;&gt;0,SUM(L1959,Q1959,V1959,AA1959,AF1959,AK1959,AP1959,AU1959)))*(1-0.03),_xlfn.IFS(AW1959="SIM",SUM(L1959,Q1959,V1959,AA1959,AF1959,AK1959,AP1959,AU1959)+AX1959/_xlfn.XLOOKUP(_xlfn.XLOOKUP($F1959,Clientes!$B$4:$B$39,Clientes!$C$4:$C$39),Cadastros!$L$6:$L$12,Cadastros!$M$6:$M$12)+IF($F1959="Bernardino Furlan",AY1959/2751.92,IF($F1959="Mauro José Salanti",AY1959/2751.92,AY1959/3356)),F1959&lt;&gt;0,SUM(L1959,Q1959,V1959,AA1959,AF1959,AK1959,AP1959,AU1959))))</f>
        <v xml:space="preserve"> </v>
      </c>
      <c r="BE1959" s="120"/>
      <c r="BF1959" s="120"/>
      <c r="BG1959" s="120"/>
    </row>
    <row r="1960" spans="1:59" s="3" customFormat="1" x14ac:dyDescent="0.3">
      <c r="A1960" s="15" t="str">
        <f t="shared" si="390"/>
        <v/>
      </c>
      <c r="B1960" s="25"/>
      <c r="C1960" s="26"/>
      <c r="D1960" s="279"/>
      <c r="E1960" s="27"/>
      <c r="F1960" s="28"/>
      <c r="G1960" s="27"/>
      <c r="H1960" s="28"/>
      <c r="I1960" s="28"/>
      <c r="J1960" s="255" t="str">
        <f>IF(H1960="","",(_xlfn.XLOOKUP(H1960,Cadastros!$D$6:$D$90,Cadastros!$E$6:$E$90))*(1-_xlfn.XLOOKUP(_xlfn.XLOOKUP($F1960,Clientes!$B$4:$B$39,Clientes!$C$4:$C$39),Cadastros!$L$6:$L$12,Cadastros!$N$6:$N$12)))</f>
        <v/>
      </c>
      <c r="K1960" s="168" t="str">
        <f t="shared" si="391"/>
        <v/>
      </c>
      <c r="L1960" s="168" t="str">
        <f>IFERROR(K1960/_xlfn.XLOOKUP(_xlfn.XLOOKUP($F1960,Clientes!$B$4:$B$39,Clientes!$C$4:$C$39),Cadastros!$L$6:$L$12,Cadastros!$M$6:$M$12)," ")</f>
        <v xml:space="preserve"> </v>
      </c>
      <c r="M1960" s="28"/>
      <c r="N1960" s="28"/>
      <c r="O1960" s="255" t="str">
        <f>IF(M1960="","",(_xlfn.XLOOKUP(M1960,Cadastros!$D$6:$D$90,Cadastros!$E$6:$E$90))*(1-_xlfn.XLOOKUP(_xlfn.XLOOKUP($F1960,Clientes!$B$4:$B$39,Clientes!$C$4:$C$39),Cadastros!$L$6:$L$12,Cadastros!$N$6:$N$12)))</f>
        <v/>
      </c>
      <c r="P1960" s="168" t="str">
        <f t="shared" si="392"/>
        <v/>
      </c>
      <c r="Q1960" s="168" t="str">
        <f>IFERROR(P1960/_xlfn.XLOOKUP(_xlfn.XLOOKUP($F1960,Clientes!$B$4:$B$39,Clientes!$C$4:$C$39),Cadastros!$L$6:$L$12,Cadastros!$M$6:$M$12)," ")</f>
        <v xml:space="preserve"> </v>
      </c>
      <c r="R1960" s="28"/>
      <c r="S1960" s="28"/>
      <c r="T1960" s="255" t="str">
        <f>IF(R1960="","",(_xlfn.XLOOKUP(R1960,Cadastros!$D$6:$D$90,Cadastros!$E$6:$E$90))*(1-_xlfn.XLOOKUP(_xlfn.XLOOKUP($F1960,Clientes!$B$4:$B$39,Clientes!$C$4:$C$39),Cadastros!$L$6:$L$12,Cadastros!$N$6:$N$12)))</f>
        <v/>
      </c>
      <c r="U1960" s="168" t="str">
        <f t="shared" si="393"/>
        <v/>
      </c>
      <c r="V1960" s="168" t="str">
        <f>IFERROR(U1960/_xlfn.XLOOKUP(_xlfn.XLOOKUP($F1960,Clientes!$B$4:$B$39,Clientes!$C$4:$C$39),Cadastros!$L$6:$L$12,Cadastros!$M$6:$M$12)," ")</f>
        <v xml:space="preserve"> </v>
      </c>
      <c r="W1960" s="28"/>
      <c r="X1960" s="28"/>
      <c r="Y1960" s="255" t="str">
        <f>IF(W1960="","",(_xlfn.XLOOKUP(W1960,Cadastros!$D$6:$D$90,Cadastros!$E$6:$E$90))*(1-_xlfn.XLOOKUP(_xlfn.XLOOKUP($F1960,Clientes!$B$4:$B$39,Clientes!$C$4:$C$39),Cadastros!$L$6:$L$12,Cadastros!$N$6:$N$12)))</f>
        <v/>
      </c>
      <c r="Z1960" s="168" t="str">
        <f t="shared" si="394"/>
        <v/>
      </c>
      <c r="AA1960" s="168" t="str">
        <f>IFERROR(Z1960/_xlfn.XLOOKUP(_xlfn.XLOOKUP($F1960,Clientes!$B$4:$B$39,Clientes!$C$4:$C$39),Cadastros!$L$6:$L$12,Cadastros!$M$6:$M$12)," ")</f>
        <v xml:space="preserve"> </v>
      </c>
      <c r="AB1960" s="28"/>
      <c r="AC1960" s="28"/>
      <c r="AD1960" s="20" t="str">
        <f>IF(AB1960="","",IF($F1960="Bernardino Furlan",_xlfn.XLOOKUP(AB1960,Cadastros!$G$6:$G$90,Cadastros!$H$6:$H$90)*(1-0.18),IF($F1960="Mauro José Salanti",_xlfn.XLOOKUP(AB1960,Cadastros!$G$6:$G$90,Cadastros!$H$6:$H$90)*(1-0.18),_xlfn.XLOOKUP(AB1960,Cadastros!$G$6:$G$90,Cadastros!$H$6:$H$90))))</f>
        <v/>
      </c>
      <c r="AE1960" s="168" t="str">
        <f t="shared" si="395"/>
        <v/>
      </c>
      <c r="AF1960" s="168" t="str">
        <f t="shared" si="396"/>
        <v/>
      </c>
      <c r="AG1960" s="28"/>
      <c r="AH1960" s="28"/>
      <c r="AI1960" s="20" t="str">
        <f>IF(AG1960="","",IF($F1960="Bernardino Furlan",_xlfn.XLOOKUP(AG1960,Cadastros!$G$6:$G$90,Cadastros!$H$6:$H$90)*(1-0.18),IF($F1960="Mauro José Salanti",_xlfn.XLOOKUP(AG1960,Cadastros!$G$6:$G$90,Cadastros!$H$6:$H$90)*(1-0.18),_xlfn.XLOOKUP(AG1960,Cadastros!$G$6:$G$90,Cadastros!$H$6:$H$90))))</f>
        <v/>
      </c>
      <c r="AJ1960" s="168" t="str">
        <f t="shared" si="397"/>
        <v/>
      </c>
      <c r="AK1960" s="168" t="str">
        <f t="shared" si="398"/>
        <v/>
      </c>
      <c r="AL1960" s="28"/>
      <c r="AM1960" s="28"/>
      <c r="AN1960" s="20" t="str">
        <f>IF(AL1960="","",IF($F1960="Bernardino Furlan",_xlfn.XLOOKUP(AL1960,Cadastros!$G$6:$G$90,Cadastros!$H$6:$H$90)*(1-0.18),IF($F1960="Mauro José Salanti",_xlfn.XLOOKUP(AL1960,Cadastros!$G$6:$G$90,Cadastros!$H$6:$H$90)*(1-0.18),_xlfn.XLOOKUP(AL1960,Cadastros!$G$6:$G$90,Cadastros!$H$6:$H$90))))</f>
        <v/>
      </c>
      <c r="AO1960" s="168" t="str">
        <f t="shared" si="399"/>
        <v/>
      </c>
      <c r="AP1960" s="168" t="str">
        <f t="shared" si="400"/>
        <v/>
      </c>
      <c r="AQ1960" s="28"/>
      <c r="AR1960" s="28"/>
      <c r="AS1960" s="20" t="str">
        <f>IF(AQ1960="","",IF($F1960="Bernardino Furlan",_xlfn.XLOOKUP(AQ1960,Cadastros!$G$6:$G$90,Cadastros!$H$6:$H$90)*(1-0.18),IF($F1960="Mauro José Salanti",_xlfn.XLOOKUP(AQ1960,Cadastros!$G$6:$G$90,Cadastros!$H$6:$H$90)*(1-0.18),_xlfn.XLOOKUP(AQ1960,Cadastros!$G$6:$G$90,Cadastros!$H$6:$H$90))))</f>
        <v/>
      </c>
      <c r="AT1960" s="168" t="str">
        <f t="shared" si="401"/>
        <v/>
      </c>
      <c r="AU1960" s="168" t="str">
        <f t="shared" si="402"/>
        <v/>
      </c>
      <c r="AV1960" s="227"/>
      <c r="AW1960" s="30"/>
      <c r="AX1960" s="267"/>
      <c r="AY1960" s="267"/>
      <c r="AZ1960" s="29"/>
      <c r="BA1960" s="30"/>
      <c r="BB1960" s="23" t="str" cm="1">
        <f t="array" ref="BB1960">_xlfn.IFS(AW1960="SIM",SUM(K1960,P1960,U1960,Z1960,AE1960,AJ1960,AO1960,AT1960,AX1960,AY1960),F1960&lt;&gt;"",SUM(K1960,P1960,U1960,Z1960,AE1960,AJ1960,,AO1960,AT1960),F1960="","")</f>
        <v/>
      </c>
      <c r="BC1960" s="211" t="str" cm="1">
        <f t="array" ref="BC1960">_xlfn.IFS(E1960="","",G1960&lt;=E1960,BB1960*(1-0.03),G1960&lt;(E1960+8),BB1960,AZ1960="Boleto",BB1960*(1+0.001)^DATEDIF(E1960,G1960,"D"),AZ1960="Cheque",BB1960,AZ1960="Dinheiro","Alterar forma pgto")</f>
        <v/>
      </c>
      <c r="BD1960" s="276" t="str" cm="1">
        <f t="array" ref="BD1960">IF(F1960=0," ",IF(BC1960&lt;BB1960,(_xlfn.IFS(AW1960="SIM",SUM(L1960,Q1960,V1960,AA1960,AF1960,AK1960,AP1960,AU1960)+AX1960/_xlfn.XLOOKUP(_xlfn.XLOOKUP($F1960,Clientes!$B$4:$B$39,Clientes!$C$4:$C$39),Cadastros!$L$6:$L$12,Cadastros!$M$6:$M$12)+IF($F1960="Bernardino Furlan",AY1960/2751.92,IF($F1960="Mauro José Salanti",AY1960/2751.92,AY1960/3356)),F1960&lt;&gt;0,SUM(L1960,Q1960,V1960,AA1960,AF1960,AK1960,AP1960,AU1960)))*(1-0.03),_xlfn.IFS(AW1960="SIM",SUM(L1960,Q1960,V1960,AA1960,AF1960,AK1960,AP1960,AU1960)+AX1960/_xlfn.XLOOKUP(_xlfn.XLOOKUP($F1960,Clientes!$B$4:$B$39,Clientes!$C$4:$C$39),Cadastros!$L$6:$L$12,Cadastros!$M$6:$M$12)+IF($F1960="Bernardino Furlan",AY1960/2751.92,IF($F1960="Mauro José Salanti",AY1960/2751.92,AY1960/3356)),F1960&lt;&gt;0,SUM(L1960,Q1960,V1960,AA1960,AF1960,AK1960,AP1960,AU1960))))</f>
        <v xml:space="preserve"> </v>
      </c>
      <c r="BE1960" s="120"/>
      <c r="BF1960" s="120"/>
      <c r="BG1960" s="120"/>
    </row>
    <row r="1961" spans="1:59" s="3" customFormat="1" x14ac:dyDescent="0.3">
      <c r="A1961" s="15" t="str">
        <f t="shared" si="390"/>
        <v/>
      </c>
      <c r="B1961" s="25"/>
      <c r="C1961" s="26"/>
      <c r="D1961" s="279"/>
      <c r="E1961" s="27"/>
      <c r="F1961" s="28"/>
      <c r="G1961" s="27"/>
      <c r="H1961" s="28"/>
      <c r="I1961" s="28"/>
      <c r="J1961" s="255" t="str">
        <f>IF(H1961="","",(_xlfn.XLOOKUP(H1961,Cadastros!$D$6:$D$90,Cadastros!$E$6:$E$90))*(1-_xlfn.XLOOKUP(_xlfn.XLOOKUP($F1961,Clientes!$B$4:$B$39,Clientes!$C$4:$C$39),Cadastros!$L$6:$L$12,Cadastros!$N$6:$N$12)))</f>
        <v/>
      </c>
      <c r="K1961" s="168" t="str">
        <f t="shared" si="391"/>
        <v/>
      </c>
      <c r="L1961" s="168" t="str">
        <f>IFERROR(K1961/_xlfn.XLOOKUP(_xlfn.XLOOKUP($F1961,Clientes!$B$4:$B$39,Clientes!$C$4:$C$39),Cadastros!$L$6:$L$12,Cadastros!$M$6:$M$12)," ")</f>
        <v xml:space="preserve"> </v>
      </c>
      <c r="M1961" s="28"/>
      <c r="N1961" s="28"/>
      <c r="O1961" s="255" t="str">
        <f>IF(M1961="","",(_xlfn.XLOOKUP(M1961,Cadastros!$D$6:$D$90,Cadastros!$E$6:$E$90))*(1-_xlfn.XLOOKUP(_xlfn.XLOOKUP($F1961,Clientes!$B$4:$B$39,Clientes!$C$4:$C$39),Cadastros!$L$6:$L$12,Cadastros!$N$6:$N$12)))</f>
        <v/>
      </c>
      <c r="P1961" s="168" t="str">
        <f t="shared" si="392"/>
        <v/>
      </c>
      <c r="Q1961" s="168" t="str">
        <f>IFERROR(P1961/_xlfn.XLOOKUP(_xlfn.XLOOKUP($F1961,Clientes!$B$4:$B$39,Clientes!$C$4:$C$39),Cadastros!$L$6:$L$12,Cadastros!$M$6:$M$12)," ")</f>
        <v xml:space="preserve"> </v>
      </c>
      <c r="R1961" s="28"/>
      <c r="S1961" s="28"/>
      <c r="T1961" s="255" t="str">
        <f>IF(R1961="","",(_xlfn.XLOOKUP(R1961,Cadastros!$D$6:$D$90,Cadastros!$E$6:$E$90))*(1-_xlfn.XLOOKUP(_xlfn.XLOOKUP($F1961,Clientes!$B$4:$B$39,Clientes!$C$4:$C$39),Cadastros!$L$6:$L$12,Cadastros!$N$6:$N$12)))</f>
        <v/>
      </c>
      <c r="U1961" s="168" t="str">
        <f t="shared" si="393"/>
        <v/>
      </c>
      <c r="V1961" s="168" t="str">
        <f>IFERROR(U1961/_xlfn.XLOOKUP(_xlfn.XLOOKUP($F1961,Clientes!$B$4:$B$39,Clientes!$C$4:$C$39),Cadastros!$L$6:$L$12,Cadastros!$M$6:$M$12)," ")</f>
        <v xml:space="preserve"> </v>
      </c>
      <c r="W1961" s="28"/>
      <c r="X1961" s="28"/>
      <c r="Y1961" s="255" t="str">
        <f>IF(W1961="","",(_xlfn.XLOOKUP(W1961,Cadastros!$D$6:$D$90,Cadastros!$E$6:$E$90))*(1-_xlfn.XLOOKUP(_xlfn.XLOOKUP($F1961,Clientes!$B$4:$B$39,Clientes!$C$4:$C$39),Cadastros!$L$6:$L$12,Cadastros!$N$6:$N$12)))</f>
        <v/>
      </c>
      <c r="Z1961" s="168" t="str">
        <f t="shared" si="394"/>
        <v/>
      </c>
      <c r="AA1961" s="168" t="str">
        <f>IFERROR(Z1961/_xlfn.XLOOKUP(_xlfn.XLOOKUP($F1961,Clientes!$B$4:$B$39,Clientes!$C$4:$C$39),Cadastros!$L$6:$L$12,Cadastros!$M$6:$M$12)," ")</f>
        <v xml:space="preserve"> </v>
      </c>
      <c r="AB1961" s="28"/>
      <c r="AC1961" s="28"/>
      <c r="AD1961" s="20" t="str">
        <f>IF(AB1961="","",IF($F1961="Bernardino Furlan",_xlfn.XLOOKUP(AB1961,Cadastros!$G$6:$G$90,Cadastros!$H$6:$H$90)*(1-0.18),IF($F1961="Mauro José Salanti",_xlfn.XLOOKUP(AB1961,Cadastros!$G$6:$G$90,Cadastros!$H$6:$H$90)*(1-0.18),_xlfn.XLOOKUP(AB1961,Cadastros!$G$6:$G$90,Cadastros!$H$6:$H$90))))</f>
        <v/>
      </c>
      <c r="AE1961" s="168" t="str">
        <f t="shared" si="395"/>
        <v/>
      </c>
      <c r="AF1961" s="168" t="str">
        <f t="shared" si="396"/>
        <v/>
      </c>
      <c r="AG1961" s="28"/>
      <c r="AH1961" s="28"/>
      <c r="AI1961" s="20" t="str">
        <f>IF(AG1961="","",IF($F1961="Bernardino Furlan",_xlfn.XLOOKUP(AG1961,Cadastros!$G$6:$G$90,Cadastros!$H$6:$H$90)*(1-0.18),IF($F1961="Mauro José Salanti",_xlfn.XLOOKUP(AG1961,Cadastros!$G$6:$G$90,Cadastros!$H$6:$H$90)*(1-0.18),_xlfn.XLOOKUP(AG1961,Cadastros!$G$6:$G$90,Cadastros!$H$6:$H$90))))</f>
        <v/>
      </c>
      <c r="AJ1961" s="168" t="str">
        <f t="shared" si="397"/>
        <v/>
      </c>
      <c r="AK1961" s="168" t="str">
        <f t="shared" si="398"/>
        <v/>
      </c>
      <c r="AL1961" s="28"/>
      <c r="AM1961" s="28"/>
      <c r="AN1961" s="20" t="str">
        <f>IF(AL1961="","",IF($F1961="Bernardino Furlan",_xlfn.XLOOKUP(AL1961,Cadastros!$G$6:$G$90,Cadastros!$H$6:$H$90)*(1-0.18),IF($F1961="Mauro José Salanti",_xlfn.XLOOKUP(AL1961,Cadastros!$G$6:$G$90,Cadastros!$H$6:$H$90)*(1-0.18),_xlfn.XLOOKUP(AL1961,Cadastros!$G$6:$G$90,Cadastros!$H$6:$H$90))))</f>
        <v/>
      </c>
      <c r="AO1961" s="168" t="str">
        <f t="shared" si="399"/>
        <v/>
      </c>
      <c r="AP1961" s="168" t="str">
        <f t="shared" si="400"/>
        <v/>
      </c>
      <c r="AQ1961" s="28"/>
      <c r="AR1961" s="28"/>
      <c r="AS1961" s="20" t="str">
        <f>IF(AQ1961="","",IF($F1961="Bernardino Furlan",_xlfn.XLOOKUP(AQ1961,Cadastros!$G$6:$G$90,Cadastros!$H$6:$H$90)*(1-0.18),IF($F1961="Mauro José Salanti",_xlfn.XLOOKUP(AQ1961,Cadastros!$G$6:$G$90,Cadastros!$H$6:$H$90)*(1-0.18),_xlfn.XLOOKUP(AQ1961,Cadastros!$G$6:$G$90,Cadastros!$H$6:$H$90))))</f>
        <v/>
      </c>
      <c r="AT1961" s="168" t="str">
        <f t="shared" si="401"/>
        <v/>
      </c>
      <c r="AU1961" s="168" t="str">
        <f t="shared" si="402"/>
        <v/>
      </c>
      <c r="AV1961" s="227"/>
      <c r="AW1961" s="30"/>
      <c r="AX1961" s="267"/>
      <c r="AY1961" s="267"/>
      <c r="AZ1961" s="29"/>
      <c r="BA1961" s="30"/>
      <c r="BB1961" s="23" t="str" cm="1">
        <f t="array" ref="BB1961">_xlfn.IFS(AW1961="SIM",SUM(K1961,P1961,U1961,Z1961,AE1961,AJ1961,AO1961,AT1961,AX1961,AY1961),F1961&lt;&gt;"",SUM(K1961,P1961,U1961,Z1961,AE1961,AJ1961,,AO1961,AT1961),F1961="","")</f>
        <v/>
      </c>
      <c r="BC1961" s="211" t="str" cm="1">
        <f t="array" ref="BC1961">_xlfn.IFS(E1961="","",G1961&lt;=E1961,BB1961*(1-0.03),G1961&lt;(E1961+8),BB1961,AZ1961="Boleto",BB1961*(1+0.001)^DATEDIF(E1961,G1961,"D"),AZ1961="Cheque",BB1961,AZ1961="Dinheiro","Alterar forma pgto")</f>
        <v/>
      </c>
      <c r="BD1961" s="276" t="str" cm="1">
        <f t="array" ref="BD1961">IF(F1961=0," ",IF(BC1961&lt;BB1961,(_xlfn.IFS(AW1961="SIM",SUM(L1961,Q1961,V1961,AA1961,AF1961,AK1961,AP1961,AU1961)+AX1961/_xlfn.XLOOKUP(_xlfn.XLOOKUP($F1961,Clientes!$B$4:$B$39,Clientes!$C$4:$C$39),Cadastros!$L$6:$L$12,Cadastros!$M$6:$M$12)+IF($F1961="Bernardino Furlan",AY1961/2751.92,IF($F1961="Mauro José Salanti",AY1961/2751.92,AY1961/3356)),F1961&lt;&gt;0,SUM(L1961,Q1961,V1961,AA1961,AF1961,AK1961,AP1961,AU1961)))*(1-0.03),_xlfn.IFS(AW1961="SIM",SUM(L1961,Q1961,V1961,AA1961,AF1961,AK1961,AP1961,AU1961)+AX1961/_xlfn.XLOOKUP(_xlfn.XLOOKUP($F1961,Clientes!$B$4:$B$39,Clientes!$C$4:$C$39),Cadastros!$L$6:$L$12,Cadastros!$M$6:$M$12)+IF($F1961="Bernardino Furlan",AY1961/2751.92,IF($F1961="Mauro José Salanti",AY1961/2751.92,AY1961/3356)),F1961&lt;&gt;0,SUM(L1961,Q1961,V1961,AA1961,AF1961,AK1961,AP1961,AU1961))))</f>
        <v xml:space="preserve"> </v>
      </c>
      <c r="BE1961" s="120"/>
      <c r="BF1961" s="120"/>
      <c r="BG1961" s="120"/>
    </row>
    <row r="1962" spans="1:59" s="3" customFormat="1" x14ac:dyDescent="0.3">
      <c r="A1962" s="15" t="str">
        <f t="shared" si="390"/>
        <v/>
      </c>
      <c r="B1962" s="25"/>
      <c r="C1962" s="26"/>
      <c r="D1962" s="279"/>
      <c r="E1962" s="27"/>
      <c r="F1962" s="28"/>
      <c r="G1962" s="27"/>
      <c r="H1962" s="28"/>
      <c r="I1962" s="28"/>
      <c r="J1962" s="255" t="str">
        <f>IF(H1962="","",(_xlfn.XLOOKUP(H1962,Cadastros!$D$6:$D$90,Cadastros!$E$6:$E$90))*(1-_xlfn.XLOOKUP(_xlfn.XLOOKUP($F1962,Clientes!$B$4:$B$39,Clientes!$C$4:$C$39),Cadastros!$L$6:$L$12,Cadastros!$N$6:$N$12)))</f>
        <v/>
      </c>
      <c r="K1962" s="168" t="str">
        <f t="shared" si="391"/>
        <v/>
      </c>
      <c r="L1962" s="168" t="str">
        <f>IFERROR(K1962/_xlfn.XLOOKUP(_xlfn.XLOOKUP($F1962,Clientes!$B$4:$B$39,Clientes!$C$4:$C$39),Cadastros!$L$6:$L$12,Cadastros!$M$6:$M$12)," ")</f>
        <v xml:space="preserve"> </v>
      </c>
      <c r="M1962" s="28"/>
      <c r="N1962" s="28"/>
      <c r="O1962" s="255" t="str">
        <f>IF(M1962="","",(_xlfn.XLOOKUP(M1962,Cadastros!$D$6:$D$90,Cadastros!$E$6:$E$90))*(1-_xlfn.XLOOKUP(_xlfn.XLOOKUP($F1962,Clientes!$B$4:$B$39,Clientes!$C$4:$C$39),Cadastros!$L$6:$L$12,Cadastros!$N$6:$N$12)))</f>
        <v/>
      </c>
      <c r="P1962" s="168" t="str">
        <f t="shared" si="392"/>
        <v/>
      </c>
      <c r="Q1962" s="168" t="str">
        <f>IFERROR(P1962/_xlfn.XLOOKUP(_xlfn.XLOOKUP($F1962,Clientes!$B$4:$B$39,Clientes!$C$4:$C$39),Cadastros!$L$6:$L$12,Cadastros!$M$6:$M$12)," ")</f>
        <v xml:space="preserve"> </v>
      </c>
      <c r="R1962" s="28"/>
      <c r="S1962" s="28"/>
      <c r="T1962" s="255" t="str">
        <f>IF(R1962="","",(_xlfn.XLOOKUP(R1962,Cadastros!$D$6:$D$90,Cadastros!$E$6:$E$90))*(1-_xlfn.XLOOKUP(_xlfn.XLOOKUP($F1962,Clientes!$B$4:$B$39,Clientes!$C$4:$C$39),Cadastros!$L$6:$L$12,Cadastros!$N$6:$N$12)))</f>
        <v/>
      </c>
      <c r="U1962" s="168" t="str">
        <f t="shared" si="393"/>
        <v/>
      </c>
      <c r="V1962" s="168" t="str">
        <f>IFERROR(U1962/_xlfn.XLOOKUP(_xlfn.XLOOKUP($F1962,Clientes!$B$4:$B$39,Clientes!$C$4:$C$39),Cadastros!$L$6:$L$12,Cadastros!$M$6:$M$12)," ")</f>
        <v xml:space="preserve"> </v>
      </c>
      <c r="W1962" s="28"/>
      <c r="X1962" s="28"/>
      <c r="Y1962" s="255" t="str">
        <f>IF(W1962="","",(_xlfn.XLOOKUP(W1962,Cadastros!$D$6:$D$90,Cadastros!$E$6:$E$90))*(1-_xlfn.XLOOKUP(_xlfn.XLOOKUP($F1962,Clientes!$B$4:$B$39,Clientes!$C$4:$C$39),Cadastros!$L$6:$L$12,Cadastros!$N$6:$N$12)))</f>
        <v/>
      </c>
      <c r="Z1962" s="168" t="str">
        <f t="shared" si="394"/>
        <v/>
      </c>
      <c r="AA1962" s="168" t="str">
        <f>IFERROR(Z1962/_xlfn.XLOOKUP(_xlfn.XLOOKUP($F1962,Clientes!$B$4:$B$39,Clientes!$C$4:$C$39),Cadastros!$L$6:$L$12,Cadastros!$M$6:$M$12)," ")</f>
        <v xml:space="preserve"> </v>
      </c>
      <c r="AB1962" s="28"/>
      <c r="AC1962" s="28"/>
      <c r="AD1962" s="20" t="str">
        <f>IF(AB1962="","",IF($F1962="Bernardino Furlan",_xlfn.XLOOKUP(AB1962,Cadastros!$G$6:$G$90,Cadastros!$H$6:$H$90)*(1-0.18),IF($F1962="Mauro José Salanti",_xlfn.XLOOKUP(AB1962,Cadastros!$G$6:$G$90,Cadastros!$H$6:$H$90)*(1-0.18),_xlfn.XLOOKUP(AB1962,Cadastros!$G$6:$G$90,Cadastros!$H$6:$H$90))))</f>
        <v/>
      </c>
      <c r="AE1962" s="168" t="str">
        <f t="shared" si="395"/>
        <v/>
      </c>
      <c r="AF1962" s="168" t="str">
        <f t="shared" si="396"/>
        <v/>
      </c>
      <c r="AG1962" s="28"/>
      <c r="AH1962" s="28"/>
      <c r="AI1962" s="20" t="str">
        <f>IF(AG1962="","",IF($F1962="Bernardino Furlan",_xlfn.XLOOKUP(AG1962,Cadastros!$G$6:$G$90,Cadastros!$H$6:$H$90)*(1-0.18),IF($F1962="Mauro José Salanti",_xlfn.XLOOKUP(AG1962,Cadastros!$G$6:$G$90,Cadastros!$H$6:$H$90)*(1-0.18),_xlfn.XLOOKUP(AG1962,Cadastros!$G$6:$G$90,Cadastros!$H$6:$H$90))))</f>
        <v/>
      </c>
      <c r="AJ1962" s="168" t="str">
        <f t="shared" si="397"/>
        <v/>
      </c>
      <c r="AK1962" s="168" t="str">
        <f t="shared" si="398"/>
        <v/>
      </c>
      <c r="AL1962" s="28"/>
      <c r="AM1962" s="28"/>
      <c r="AN1962" s="20" t="str">
        <f>IF(AL1962="","",IF($F1962="Bernardino Furlan",_xlfn.XLOOKUP(AL1962,Cadastros!$G$6:$G$90,Cadastros!$H$6:$H$90)*(1-0.18),IF($F1962="Mauro José Salanti",_xlfn.XLOOKUP(AL1962,Cadastros!$G$6:$G$90,Cadastros!$H$6:$H$90)*(1-0.18),_xlfn.XLOOKUP(AL1962,Cadastros!$G$6:$G$90,Cadastros!$H$6:$H$90))))</f>
        <v/>
      </c>
      <c r="AO1962" s="168" t="str">
        <f t="shared" si="399"/>
        <v/>
      </c>
      <c r="AP1962" s="168" t="str">
        <f t="shared" si="400"/>
        <v/>
      </c>
      <c r="AQ1962" s="28"/>
      <c r="AR1962" s="28"/>
      <c r="AS1962" s="20" t="str">
        <f>IF(AQ1962="","",IF($F1962="Bernardino Furlan",_xlfn.XLOOKUP(AQ1962,Cadastros!$G$6:$G$90,Cadastros!$H$6:$H$90)*(1-0.18),IF($F1962="Mauro José Salanti",_xlfn.XLOOKUP(AQ1962,Cadastros!$G$6:$G$90,Cadastros!$H$6:$H$90)*(1-0.18),_xlfn.XLOOKUP(AQ1962,Cadastros!$G$6:$G$90,Cadastros!$H$6:$H$90))))</f>
        <v/>
      </c>
      <c r="AT1962" s="168" t="str">
        <f t="shared" si="401"/>
        <v/>
      </c>
      <c r="AU1962" s="168" t="str">
        <f t="shared" si="402"/>
        <v/>
      </c>
      <c r="AV1962" s="227"/>
      <c r="AW1962" s="30"/>
      <c r="AX1962" s="267"/>
      <c r="AY1962" s="267"/>
      <c r="AZ1962" s="29"/>
      <c r="BA1962" s="30"/>
      <c r="BB1962" s="23" t="str" cm="1">
        <f t="array" ref="BB1962">_xlfn.IFS(AW1962="SIM",SUM(K1962,P1962,U1962,Z1962,AE1962,AJ1962,AO1962,AT1962,AX1962,AY1962),F1962&lt;&gt;"",SUM(K1962,P1962,U1962,Z1962,AE1962,AJ1962,,AO1962,AT1962),F1962="","")</f>
        <v/>
      </c>
      <c r="BC1962" s="211" t="str" cm="1">
        <f t="array" ref="BC1962">_xlfn.IFS(E1962="","",G1962&lt;=E1962,BB1962*(1-0.03),G1962&lt;(E1962+8),BB1962,AZ1962="Boleto",BB1962*(1+0.001)^DATEDIF(E1962,G1962,"D"),AZ1962="Cheque",BB1962,AZ1962="Dinheiro","Alterar forma pgto")</f>
        <v/>
      </c>
      <c r="BD1962" s="276" t="str" cm="1">
        <f t="array" ref="BD1962">IF(F1962=0," ",IF(BC1962&lt;BB1962,(_xlfn.IFS(AW1962="SIM",SUM(L1962,Q1962,V1962,AA1962,AF1962,AK1962,AP1962,AU1962)+AX1962/_xlfn.XLOOKUP(_xlfn.XLOOKUP($F1962,Clientes!$B$4:$B$39,Clientes!$C$4:$C$39),Cadastros!$L$6:$L$12,Cadastros!$M$6:$M$12)+IF($F1962="Bernardino Furlan",AY1962/2751.92,IF($F1962="Mauro José Salanti",AY1962/2751.92,AY1962/3356)),F1962&lt;&gt;0,SUM(L1962,Q1962,V1962,AA1962,AF1962,AK1962,AP1962,AU1962)))*(1-0.03),_xlfn.IFS(AW1962="SIM",SUM(L1962,Q1962,V1962,AA1962,AF1962,AK1962,AP1962,AU1962)+AX1962/_xlfn.XLOOKUP(_xlfn.XLOOKUP($F1962,Clientes!$B$4:$B$39,Clientes!$C$4:$C$39),Cadastros!$L$6:$L$12,Cadastros!$M$6:$M$12)+IF($F1962="Bernardino Furlan",AY1962/2751.92,IF($F1962="Mauro José Salanti",AY1962/2751.92,AY1962/3356)),F1962&lt;&gt;0,SUM(L1962,Q1962,V1962,AA1962,AF1962,AK1962,AP1962,AU1962))))</f>
        <v xml:space="preserve"> </v>
      </c>
      <c r="BE1962" s="120"/>
      <c r="BF1962" s="120"/>
      <c r="BG1962" s="120"/>
    </row>
    <row r="1963" spans="1:59" s="3" customFormat="1" x14ac:dyDescent="0.3">
      <c r="A1963" s="15" t="str">
        <f t="shared" si="390"/>
        <v/>
      </c>
      <c r="B1963" s="25"/>
      <c r="C1963" s="26"/>
      <c r="D1963" s="279"/>
      <c r="E1963" s="27"/>
      <c r="F1963" s="28"/>
      <c r="G1963" s="27"/>
      <c r="H1963" s="28"/>
      <c r="I1963" s="28"/>
      <c r="J1963" s="255" t="str">
        <f>IF(H1963="","",(_xlfn.XLOOKUP(H1963,Cadastros!$D$6:$D$90,Cadastros!$E$6:$E$90))*(1-_xlfn.XLOOKUP(_xlfn.XLOOKUP($F1963,Clientes!$B$4:$B$39,Clientes!$C$4:$C$39),Cadastros!$L$6:$L$12,Cadastros!$N$6:$N$12)))</f>
        <v/>
      </c>
      <c r="K1963" s="168" t="str">
        <f t="shared" si="391"/>
        <v/>
      </c>
      <c r="L1963" s="168" t="str">
        <f>IFERROR(K1963/_xlfn.XLOOKUP(_xlfn.XLOOKUP($F1963,Clientes!$B$4:$B$39,Clientes!$C$4:$C$39),Cadastros!$L$6:$L$12,Cadastros!$M$6:$M$12)," ")</f>
        <v xml:space="preserve"> </v>
      </c>
      <c r="M1963" s="28"/>
      <c r="N1963" s="28"/>
      <c r="O1963" s="255" t="str">
        <f>IF(M1963="","",(_xlfn.XLOOKUP(M1963,Cadastros!$D$6:$D$90,Cadastros!$E$6:$E$90))*(1-_xlfn.XLOOKUP(_xlfn.XLOOKUP($F1963,Clientes!$B$4:$B$39,Clientes!$C$4:$C$39),Cadastros!$L$6:$L$12,Cadastros!$N$6:$N$12)))</f>
        <v/>
      </c>
      <c r="P1963" s="168" t="str">
        <f t="shared" si="392"/>
        <v/>
      </c>
      <c r="Q1963" s="168" t="str">
        <f>IFERROR(P1963/_xlfn.XLOOKUP(_xlfn.XLOOKUP($F1963,Clientes!$B$4:$B$39,Clientes!$C$4:$C$39),Cadastros!$L$6:$L$12,Cadastros!$M$6:$M$12)," ")</f>
        <v xml:space="preserve"> </v>
      </c>
      <c r="R1963" s="28"/>
      <c r="S1963" s="28"/>
      <c r="T1963" s="255" t="str">
        <f>IF(R1963="","",(_xlfn.XLOOKUP(R1963,Cadastros!$D$6:$D$90,Cadastros!$E$6:$E$90))*(1-_xlfn.XLOOKUP(_xlfn.XLOOKUP($F1963,Clientes!$B$4:$B$39,Clientes!$C$4:$C$39),Cadastros!$L$6:$L$12,Cadastros!$N$6:$N$12)))</f>
        <v/>
      </c>
      <c r="U1963" s="168" t="str">
        <f t="shared" si="393"/>
        <v/>
      </c>
      <c r="V1963" s="168" t="str">
        <f>IFERROR(U1963/_xlfn.XLOOKUP(_xlfn.XLOOKUP($F1963,Clientes!$B$4:$B$39,Clientes!$C$4:$C$39),Cadastros!$L$6:$L$12,Cadastros!$M$6:$M$12)," ")</f>
        <v xml:space="preserve"> </v>
      </c>
      <c r="W1963" s="28"/>
      <c r="X1963" s="28"/>
      <c r="Y1963" s="255" t="str">
        <f>IF(W1963="","",(_xlfn.XLOOKUP(W1963,Cadastros!$D$6:$D$90,Cadastros!$E$6:$E$90))*(1-_xlfn.XLOOKUP(_xlfn.XLOOKUP($F1963,Clientes!$B$4:$B$39,Clientes!$C$4:$C$39),Cadastros!$L$6:$L$12,Cadastros!$N$6:$N$12)))</f>
        <v/>
      </c>
      <c r="Z1963" s="168" t="str">
        <f t="shared" si="394"/>
        <v/>
      </c>
      <c r="AA1963" s="168" t="str">
        <f>IFERROR(Z1963/_xlfn.XLOOKUP(_xlfn.XLOOKUP($F1963,Clientes!$B$4:$B$39,Clientes!$C$4:$C$39),Cadastros!$L$6:$L$12,Cadastros!$M$6:$M$12)," ")</f>
        <v xml:space="preserve"> </v>
      </c>
      <c r="AB1963" s="28"/>
      <c r="AC1963" s="28"/>
      <c r="AD1963" s="20" t="str">
        <f>IF(AB1963="","",IF($F1963="Bernardino Furlan",_xlfn.XLOOKUP(AB1963,Cadastros!$G$6:$G$90,Cadastros!$H$6:$H$90)*(1-0.18),IF($F1963="Mauro José Salanti",_xlfn.XLOOKUP(AB1963,Cadastros!$G$6:$G$90,Cadastros!$H$6:$H$90)*(1-0.18),_xlfn.XLOOKUP(AB1963,Cadastros!$G$6:$G$90,Cadastros!$H$6:$H$90))))</f>
        <v/>
      </c>
      <c r="AE1963" s="168" t="str">
        <f t="shared" si="395"/>
        <v/>
      </c>
      <c r="AF1963" s="168" t="str">
        <f t="shared" si="396"/>
        <v/>
      </c>
      <c r="AG1963" s="28"/>
      <c r="AH1963" s="28"/>
      <c r="AI1963" s="20" t="str">
        <f>IF(AG1963="","",IF($F1963="Bernardino Furlan",_xlfn.XLOOKUP(AG1963,Cadastros!$G$6:$G$90,Cadastros!$H$6:$H$90)*(1-0.18),IF($F1963="Mauro José Salanti",_xlfn.XLOOKUP(AG1963,Cadastros!$G$6:$G$90,Cadastros!$H$6:$H$90)*(1-0.18),_xlfn.XLOOKUP(AG1963,Cadastros!$G$6:$G$90,Cadastros!$H$6:$H$90))))</f>
        <v/>
      </c>
      <c r="AJ1963" s="168" t="str">
        <f t="shared" si="397"/>
        <v/>
      </c>
      <c r="AK1963" s="168" t="str">
        <f t="shared" si="398"/>
        <v/>
      </c>
      <c r="AL1963" s="28"/>
      <c r="AM1963" s="28"/>
      <c r="AN1963" s="20" t="str">
        <f>IF(AL1963="","",IF($F1963="Bernardino Furlan",_xlfn.XLOOKUP(AL1963,Cadastros!$G$6:$G$90,Cadastros!$H$6:$H$90)*(1-0.18),IF($F1963="Mauro José Salanti",_xlfn.XLOOKUP(AL1963,Cadastros!$G$6:$G$90,Cadastros!$H$6:$H$90)*(1-0.18),_xlfn.XLOOKUP(AL1963,Cadastros!$G$6:$G$90,Cadastros!$H$6:$H$90))))</f>
        <v/>
      </c>
      <c r="AO1963" s="168" t="str">
        <f t="shared" si="399"/>
        <v/>
      </c>
      <c r="AP1963" s="168" t="str">
        <f t="shared" si="400"/>
        <v/>
      </c>
      <c r="AQ1963" s="28"/>
      <c r="AR1963" s="28"/>
      <c r="AS1963" s="20" t="str">
        <f>IF(AQ1963="","",IF($F1963="Bernardino Furlan",_xlfn.XLOOKUP(AQ1963,Cadastros!$G$6:$G$90,Cadastros!$H$6:$H$90)*(1-0.18),IF($F1963="Mauro José Salanti",_xlfn.XLOOKUP(AQ1963,Cadastros!$G$6:$G$90,Cadastros!$H$6:$H$90)*(1-0.18),_xlfn.XLOOKUP(AQ1963,Cadastros!$G$6:$G$90,Cadastros!$H$6:$H$90))))</f>
        <v/>
      </c>
      <c r="AT1963" s="168" t="str">
        <f t="shared" si="401"/>
        <v/>
      </c>
      <c r="AU1963" s="168" t="str">
        <f t="shared" si="402"/>
        <v/>
      </c>
      <c r="AV1963" s="227"/>
      <c r="AW1963" s="30"/>
      <c r="AX1963" s="267"/>
      <c r="AY1963" s="267"/>
      <c r="AZ1963" s="29"/>
      <c r="BA1963" s="30"/>
      <c r="BB1963" s="23" t="str" cm="1">
        <f t="array" ref="BB1963">_xlfn.IFS(AW1963="SIM",SUM(K1963,P1963,U1963,Z1963,AE1963,AJ1963,AO1963,AT1963,AX1963,AY1963),F1963&lt;&gt;"",SUM(K1963,P1963,U1963,Z1963,AE1963,AJ1963,,AO1963,AT1963),F1963="","")</f>
        <v/>
      </c>
      <c r="BC1963" s="211" t="str" cm="1">
        <f t="array" ref="BC1963">_xlfn.IFS(E1963="","",G1963&lt;=E1963,BB1963*(1-0.03),G1963&lt;(E1963+8),BB1963,AZ1963="Boleto",BB1963*(1+0.001)^DATEDIF(E1963,G1963,"D"),AZ1963="Cheque",BB1963,AZ1963="Dinheiro","Alterar forma pgto")</f>
        <v/>
      </c>
      <c r="BD1963" s="276" t="str" cm="1">
        <f t="array" ref="BD1963">IF(F1963=0," ",IF(BC1963&lt;BB1963,(_xlfn.IFS(AW1963="SIM",SUM(L1963,Q1963,V1963,AA1963,AF1963,AK1963,AP1963,AU1963)+AX1963/_xlfn.XLOOKUP(_xlfn.XLOOKUP($F1963,Clientes!$B$4:$B$39,Clientes!$C$4:$C$39),Cadastros!$L$6:$L$12,Cadastros!$M$6:$M$12)+IF($F1963="Bernardino Furlan",AY1963/2751.92,IF($F1963="Mauro José Salanti",AY1963/2751.92,AY1963/3356)),F1963&lt;&gt;0,SUM(L1963,Q1963,V1963,AA1963,AF1963,AK1963,AP1963,AU1963)))*(1-0.03),_xlfn.IFS(AW1963="SIM",SUM(L1963,Q1963,V1963,AA1963,AF1963,AK1963,AP1963,AU1963)+AX1963/_xlfn.XLOOKUP(_xlfn.XLOOKUP($F1963,Clientes!$B$4:$B$39,Clientes!$C$4:$C$39),Cadastros!$L$6:$L$12,Cadastros!$M$6:$M$12)+IF($F1963="Bernardino Furlan",AY1963/2751.92,IF($F1963="Mauro José Salanti",AY1963/2751.92,AY1963/3356)),F1963&lt;&gt;0,SUM(L1963,Q1963,V1963,AA1963,AF1963,AK1963,AP1963,AU1963))))</f>
        <v xml:space="preserve"> </v>
      </c>
      <c r="BE1963" s="120"/>
      <c r="BF1963" s="120"/>
      <c r="BG1963" s="120"/>
    </row>
    <row r="1964" spans="1:59" s="3" customFormat="1" x14ac:dyDescent="0.3">
      <c r="A1964" s="15" t="str">
        <f t="shared" si="390"/>
        <v/>
      </c>
      <c r="B1964" s="25"/>
      <c r="C1964" s="26"/>
      <c r="D1964" s="279"/>
      <c r="E1964" s="27"/>
      <c r="F1964" s="28"/>
      <c r="G1964" s="27"/>
      <c r="H1964" s="28"/>
      <c r="I1964" s="28"/>
      <c r="J1964" s="255" t="str">
        <f>IF(H1964="","",(_xlfn.XLOOKUP(H1964,Cadastros!$D$6:$D$90,Cadastros!$E$6:$E$90))*(1-_xlfn.XLOOKUP(_xlfn.XLOOKUP($F1964,Clientes!$B$4:$B$39,Clientes!$C$4:$C$39),Cadastros!$L$6:$L$12,Cadastros!$N$6:$N$12)))</f>
        <v/>
      </c>
      <c r="K1964" s="168" t="str">
        <f t="shared" si="391"/>
        <v/>
      </c>
      <c r="L1964" s="168" t="str">
        <f>IFERROR(K1964/_xlfn.XLOOKUP(_xlfn.XLOOKUP($F1964,Clientes!$B$4:$B$39,Clientes!$C$4:$C$39),Cadastros!$L$6:$L$12,Cadastros!$M$6:$M$12)," ")</f>
        <v xml:space="preserve"> </v>
      </c>
      <c r="M1964" s="28"/>
      <c r="N1964" s="28"/>
      <c r="O1964" s="255" t="str">
        <f>IF(M1964="","",(_xlfn.XLOOKUP(M1964,Cadastros!$D$6:$D$90,Cadastros!$E$6:$E$90))*(1-_xlfn.XLOOKUP(_xlfn.XLOOKUP($F1964,Clientes!$B$4:$B$39,Clientes!$C$4:$C$39),Cadastros!$L$6:$L$12,Cadastros!$N$6:$N$12)))</f>
        <v/>
      </c>
      <c r="P1964" s="168" t="str">
        <f t="shared" si="392"/>
        <v/>
      </c>
      <c r="Q1964" s="168" t="str">
        <f>IFERROR(P1964/_xlfn.XLOOKUP(_xlfn.XLOOKUP($F1964,Clientes!$B$4:$B$39,Clientes!$C$4:$C$39),Cadastros!$L$6:$L$12,Cadastros!$M$6:$M$12)," ")</f>
        <v xml:space="preserve"> </v>
      </c>
      <c r="R1964" s="28"/>
      <c r="S1964" s="28"/>
      <c r="T1964" s="255" t="str">
        <f>IF(R1964="","",(_xlfn.XLOOKUP(R1964,Cadastros!$D$6:$D$90,Cadastros!$E$6:$E$90))*(1-_xlfn.XLOOKUP(_xlfn.XLOOKUP($F1964,Clientes!$B$4:$B$39,Clientes!$C$4:$C$39),Cadastros!$L$6:$L$12,Cadastros!$N$6:$N$12)))</f>
        <v/>
      </c>
      <c r="U1964" s="168" t="str">
        <f t="shared" si="393"/>
        <v/>
      </c>
      <c r="V1964" s="168" t="str">
        <f>IFERROR(U1964/_xlfn.XLOOKUP(_xlfn.XLOOKUP($F1964,Clientes!$B$4:$B$39,Clientes!$C$4:$C$39),Cadastros!$L$6:$L$12,Cadastros!$M$6:$M$12)," ")</f>
        <v xml:space="preserve"> </v>
      </c>
      <c r="W1964" s="28"/>
      <c r="X1964" s="28"/>
      <c r="Y1964" s="255" t="str">
        <f>IF(W1964="","",(_xlfn.XLOOKUP(W1964,Cadastros!$D$6:$D$90,Cadastros!$E$6:$E$90))*(1-_xlfn.XLOOKUP(_xlfn.XLOOKUP($F1964,Clientes!$B$4:$B$39,Clientes!$C$4:$C$39),Cadastros!$L$6:$L$12,Cadastros!$N$6:$N$12)))</f>
        <v/>
      </c>
      <c r="Z1964" s="168" t="str">
        <f t="shared" si="394"/>
        <v/>
      </c>
      <c r="AA1964" s="168" t="str">
        <f>IFERROR(Z1964/_xlfn.XLOOKUP(_xlfn.XLOOKUP($F1964,Clientes!$B$4:$B$39,Clientes!$C$4:$C$39),Cadastros!$L$6:$L$12,Cadastros!$M$6:$M$12)," ")</f>
        <v xml:space="preserve"> </v>
      </c>
      <c r="AB1964" s="28"/>
      <c r="AC1964" s="28"/>
      <c r="AD1964" s="20" t="str">
        <f>IF(AB1964="","",IF($F1964="Bernardino Furlan",_xlfn.XLOOKUP(AB1964,Cadastros!$G$6:$G$90,Cadastros!$H$6:$H$90)*(1-0.18),IF($F1964="Mauro José Salanti",_xlfn.XLOOKUP(AB1964,Cadastros!$G$6:$G$90,Cadastros!$H$6:$H$90)*(1-0.18),_xlfn.XLOOKUP(AB1964,Cadastros!$G$6:$G$90,Cadastros!$H$6:$H$90))))</f>
        <v/>
      </c>
      <c r="AE1964" s="168" t="str">
        <f t="shared" si="395"/>
        <v/>
      </c>
      <c r="AF1964" s="168" t="str">
        <f t="shared" si="396"/>
        <v/>
      </c>
      <c r="AG1964" s="28"/>
      <c r="AH1964" s="28"/>
      <c r="AI1964" s="20" t="str">
        <f>IF(AG1964="","",IF($F1964="Bernardino Furlan",_xlfn.XLOOKUP(AG1964,Cadastros!$G$6:$G$90,Cadastros!$H$6:$H$90)*(1-0.18),IF($F1964="Mauro José Salanti",_xlfn.XLOOKUP(AG1964,Cadastros!$G$6:$G$90,Cadastros!$H$6:$H$90)*(1-0.18),_xlfn.XLOOKUP(AG1964,Cadastros!$G$6:$G$90,Cadastros!$H$6:$H$90))))</f>
        <v/>
      </c>
      <c r="AJ1964" s="168" t="str">
        <f t="shared" si="397"/>
        <v/>
      </c>
      <c r="AK1964" s="168" t="str">
        <f t="shared" si="398"/>
        <v/>
      </c>
      <c r="AL1964" s="28"/>
      <c r="AM1964" s="28"/>
      <c r="AN1964" s="20" t="str">
        <f>IF(AL1964="","",IF($F1964="Bernardino Furlan",_xlfn.XLOOKUP(AL1964,Cadastros!$G$6:$G$90,Cadastros!$H$6:$H$90)*(1-0.18),IF($F1964="Mauro José Salanti",_xlfn.XLOOKUP(AL1964,Cadastros!$G$6:$G$90,Cadastros!$H$6:$H$90)*(1-0.18),_xlfn.XLOOKUP(AL1964,Cadastros!$G$6:$G$90,Cadastros!$H$6:$H$90))))</f>
        <v/>
      </c>
      <c r="AO1964" s="168" t="str">
        <f t="shared" si="399"/>
        <v/>
      </c>
      <c r="AP1964" s="168" t="str">
        <f t="shared" si="400"/>
        <v/>
      </c>
      <c r="AQ1964" s="28"/>
      <c r="AR1964" s="28"/>
      <c r="AS1964" s="20" t="str">
        <f>IF(AQ1964="","",IF($F1964="Bernardino Furlan",_xlfn.XLOOKUP(AQ1964,Cadastros!$G$6:$G$90,Cadastros!$H$6:$H$90)*(1-0.18),IF($F1964="Mauro José Salanti",_xlfn.XLOOKUP(AQ1964,Cadastros!$G$6:$G$90,Cadastros!$H$6:$H$90)*(1-0.18),_xlfn.XLOOKUP(AQ1964,Cadastros!$G$6:$G$90,Cadastros!$H$6:$H$90))))</f>
        <v/>
      </c>
      <c r="AT1964" s="168" t="str">
        <f t="shared" si="401"/>
        <v/>
      </c>
      <c r="AU1964" s="168" t="str">
        <f t="shared" si="402"/>
        <v/>
      </c>
      <c r="AV1964" s="227"/>
      <c r="AW1964" s="30"/>
      <c r="AX1964" s="267"/>
      <c r="AY1964" s="267"/>
      <c r="AZ1964" s="29"/>
      <c r="BA1964" s="30"/>
      <c r="BB1964" s="23" t="str" cm="1">
        <f t="array" ref="BB1964">_xlfn.IFS(AW1964="SIM",SUM(K1964,P1964,U1964,Z1964,AE1964,AJ1964,AO1964,AT1964,AX1964,AY1964),F1964&lt;&gt;"",SUM(K1964,P1964,U1964,Z1964,AE1964,AJ1964,,AO1964,AT1964),F1964="","")</f>
        <v/>
      </c>
      <c r="BC1964" s="211" t="str" cm="1">
        <f t="array" ref="BC1964">_xlfn.IFS(E1964="","",G1964&lt;=E1964,BB1964*(1-0.03),G1964&lt;(E1964+8),BB1964,AZ1964="Boleto",BB1964*(1+0.001)^DATEDIF(E1964,G1964,"D"),AZ1964="Cheque",BB1964,AZ1964="Dinheiro","Alterar forma pgto")</f>
        <v/>
      </c>
      <c r="BD1964" s="276" t="str" cm="1">
        <f t="array" ref="BD1964">IF(F1964=0," ",IF(BC1964&lt;BB1964,(_xlfn.IFS(AW1964="SIM",SUM(L1964,Q1964,V1964,AA1964,AF1964,AK1964,AP1964,AU1964)+AX1964/_xlfn.XLOOKUP(_xlfn.XLOOKUP($F1964,Clientes!$B$4:$B$39,Clientes!$C$4:$C$39),Cadastros!$L$6:$L$12,Cadastros!$M$6:$M$12)+IF($F1964="Bernardino Furlan",AY1964/2751.92,IF($F1964="Mauro José Salanti",AY1964/2751.92,AY1964/3356)),F1964&lt;&gt;0,SUM(L1964,Q1964,V1964,AA1964,AF1964,AK1964,AP1964,AU1964)))*(1-0.03),_xlfn.IFS(AW1964="SIM",SUM(L1964,Q1964,V1964,AA1964,AF1964,AK1964,AP1964,AU1964)+AX1964/_xlfn.XLOOKUP(_xlfn.XLOOKUP($F1964,Clientes!$B$4:$B$39,Clientes!$C$4:$C$39),Cadastros!$L$6:$L$12,Cadastros!$M$6:$M$12)+IF($F1964="Bernardino Furlan",AY1964/2751.92,IF($F1964="Mauro José Salanti",AY1964/2751.92,AY1964/3356)),F1964&lt;&gt;0,SUM(L1964,Q1964,V1964,AA1964,AF1964,AK1964,AP1964,AU1964))))</f>
        <v xml:space="preserve"> </v>
      </c>
      <c r="BE1964" s="120"/>
      <c r="BF1964" s="120"/>
      <c r="BG1964" s="120"/>
    </row>
    <row r="1965" spans="1:59" s="3" customFormat="1" x14ac:dyDescent="0.3">
      <c r="A1965" s="15" t="str">
        <f t="shared" si="390"/>
        <v/>
      </c>
      <c r="B1965" s="25"/>
      <c r="C1965" s="26"/>
      <c r="D1965" s="279"/>
      <c r="E1965" s="27"/>
      <c r="F1965" s="28"/>
      <c r="G1965" s="27"/>
      <c r="H1965" s="28"/>
      <c r="I1965" s="28"/>
      <c r="J1965" s="255" t="str">
        <f>IF(H1965="","",(_xlfn.XLOOKUP(H1965,Cadastros!$D$6:$D$90,Cadastros!$E$6:$E$90))*(1-_xlfn.XLOOKUP(_xlfn.XLOOKUP($F1965,Clientes!$B$4:$B$39,Clientes!$C$4:$C$39),Cadastros!$L$6:$L$12,Cadastros!$N$6:$N$12)))</f>
        <v/>
      </c>
      <c r="K1965" s="168" t="str">
        <f t="shared" si="391"/>
        <v/>
      </c>
      <c r="L1965" s="168" t="str">
        <f>IFERROR(K1965/_xlfn.XLOOKUP(_xlfn.XLOOKUP($F1965,Clientes!$B$4:$B$39,Clientes!$C$4:$C$39),Cadastros!$L$6:$L$12,Cadastros!$M$6:$M$12)," ")</f>
        <v xml:space="preserve"> </v>
      </c>
      <c r="M1965" s="28"/>
      <c r="N1965" s="28"/>
      <c r="O1965" s="255" t="str">
        <f>IF(M1965="","",(_xlfn.XLOOKUP(M1965,Cadastros!$D$6:$D$90,Cadastros!$E$6:$E$90))*(1-_xlfn.XLOOKUP(_xlfn.XLOOKUP($F1965,Clientes!$B$4:$B$39,Clientes!$C$4:$C$39),Cadastros!$L$6:$L$12,Cadastros!$N$6:$N$12)))</f>
        <v/>
      </c>
      <c r="P1965" s="168" t="str">
        <f t="shared" si="392"/>
        <v/>
      </c>
      <c r="Q1965" s="168" t="str">
        <f>IFERROR(P1965/_xlfn.XLOOKUP(_xlfn.XLOOKUP($F1965,Clientes!$B$4:$B$39,Clientes!$C$4:$C$39),Cadastros!$L$6:$L$12,Cadastros!$M$6:$M$12)," ")</f>
        <v xml:space="preserve"> </v>
      </c>
      <c r="R1965" s="28"/>
      <c r="S1965" s="28"/>
      <c r="T1965" s="255" t="str">
        <f>IF(R1965="","",(_xlfn.XLOOKUP(R1965,Cadastros!$D$6:$D$90,Cadastros!$E$6:$E$90))*(1-_xlfn.XLOOKUP(_xlfn.XLOOKUP($F1965,Clientes!$B$4:$B$39,Clientes!$C$4:$C$39),Cadastros!$L$6:$L$12,Cadastros!$N$6:$N$12)))</f>
        <v/>
      </c>
      <c r="U1965" s="168" t="str">
        <f t="shared" si="393"/>
        <v/>
      </c>
      <c r="V1965" s="168" t="str">
        <f>IFERROR(U1965/_xlfn.XLOOKUP(_xlfn.XLOOKUP($F1965,Clientes!$B$4:$B$39,Clientes!$C$4:$C$39),Cadastros!$L$6:$L$12,Cadastros!$M$6:$M$12)," ")</f>
        <v xml:space="preserve"> </v>
      </c>
      <c r="W1965" s="28"/>
      <c r="X1965" s="28"/>
      <c r="Y1965" s="255" t="str">
        <f>IF(W1965="","",(_xlfn.XLOOKUP(W1965,Cadastros!$D$6:$D$90,Cadastros!$E$6:$E$90))*(1-_xlfn.XLOOKUP(_xlfn.XLOOKUP($F1965,Clientes!$B$4:$B$39,Clientes!$C$4:$C$39),Cadastros!$L$6:$L$12,Cadastros!$N$6:$N$12)))</f>
        <v/>
      </c>
      <c r="Z1965" s="168" t="str">
        <f t="shared" si="394"/>
        <v/>
      </c>
      <c r="AA1965" s="168" t="str">
        <f>IFERROR(Z1965/_xlfn.XLOOKUP(_xlfn.XLOOKUP($F1965,Clientes!$B$4:$B$39,Clientes!$C$4:$C$39),Cadastros!$L$6:$L$12,Cadastros!$M$6:$M$12)," ")</f>
        <v xml:space="preserve"> </v>
      </c>
      <c r="AB1965" s="28"/>
      <c r="AC1965" s="28"/>
      <c r="AD1965" s="20" t="str">
        <f>IF(AB1965="","",IF($F1965="Bernardino Furlan",_xlfn.XLOOKUP(AB1965,Cadastros!$G$6:$G$90,Cadastros!$H$6:$H$90)*(1-0.18),IF($F1965="Mauro José Salanti",_xlfn.XLOOKUP(AB1965,Cadastros!$G$6:$G$90,Cadastros!$H$6:$H$90)*(1-0.18),_xlfn.XLOOKUP(AB1965,Cadastros!$G$6:$G$90,Cadastros!$H$6:$H$90))))</f>
        <v/>
      </c>
      <c r="AE1965" s="168" t="str">
        <f t="shared" si="395"/>
        <v/>
      </c>
      <c r="AF1965" s="168" t="str">
        <f t="shared" si="396"/>
        <v/>
      </c>
      <c r="AG1965" s="28"/>
      <c r="AH1965" s="28"/>
      <c r="AI1965" s="20" t="str">
        <f>IF(AG1965="","",IF($F1965="Bernardino Furlan",_xlfn.XLOOKUP(AG1965,Cadastros!$G$6:$G$90,Cadastros!$H$6:$H$90)*(1-0.18),IF($F1965="Mauro José Salanti",_xlfn.XLOOKUP(AG1965,Cadastros!$G$6:$G$90,Cadastros!$H$6:$H$90)*(1-0.18),_xlfn.XLOOKUP(AG1965,Cadastros!$G$6:$G$90,Cadastros!$H$6:$H$90))))</f>
        <v/>
      </c>
      <c r="AJ1965" s="168" t="str">
        <f t="shared" si="397"/>
        <v/>
      </c>
      <c r="AK1965" s="168" t="str">
        <f t="shared" si="398"/>
        <v/>
      </c>
      <c r="AL1965" s="28"/>
      <c r="AM1965" s="28"/>
      <c r="AN1965" s="20" t="str">
        <f>IF(AL1965="","",IF($F1965="Bernardino Furlan",_xlfn.XLOOKUP(AL1965,Cadastros!$G$6:$G$90,Cadastros!$H$6:$H$90)*(1-0.18),IF($F1965="Mauro José Salanti",_xlfn.XLOOKUP(AL1965,Cadastros!$G$6:$G$90,Cadastros!$H$6:$H$90)*(1-0.18),_xlfn.XLOOKUP(AL1965,Cadastros!$G$6:$G$90,Cadastros!$H$6:$H$90))))</f>
        <v/>
      </c>
      <c r="AO1965" s="168" t="str">
        <f t="shared" si="399"/>
        <v/>
      </c>
      <c r="AP1965" s="168" t="str">
        <f t="shared" si="400"/>
        <v/>
      </c>
      <c r="AQ1965" s="28"/>
      <c r="AR1965" s="28"/>
      <c r="AS1965" s="20" t="str">
        <f>IF(AQ1965="","",IF($F1965="Bernardino Furlan",_xlfn.XLOOKUP(AQ1965,Cadastros!$G$6:$G$90,Cadastros!$H$6:$H$90)*(1-0.18),IF($F1965="Mauro José Salanti",_xlfn.XLOOKUP(AQ1965,Cadastros!$G$6:$G$90,Cadastros!$H$6:$H$90)*(1-0.18),_xlfn.XLOOKUP(AQ1965,Cadastros!$G$6:$G$90,Cadastros!$H$6:$H$90))))</f>
        <v/>
      </c>
      <c r="AT1965" s="168" t="str">
        <f t="shared" si="401"/>
        <v/>
      </c>
      <c r="AU1965" s="168" t="str">
        <f t="shared" si="402"/>
        <v/>
      </c>
      <c r="AV1965" s="227"/>
      <c r="AW1965" s="30"/>
      <c r="AX1965" s="267"/>
      <c r="AY1965" s="267"/>
      <c r="AZ1965" s="29"/>
      <c r="BA1965" s="30"/>
      <c r="BB1965" s="23" t="str" cm="1">
        <f t="array" ref="BB1965">_xlfn.IFS(AW1965="SIM",SUM(K1965,P1965,U1965,Z1965,AE1965,AJ1965,AO1965,AT1965,AX1965,AY1965),F1965&lt;&gt;"",SUM(K1965,P1965,U1965,Z1965,AE1965,AJ1965,,AO1965,AT1965),F1965="","")</f>
        <v/>
      </c>
      <c r="BC1965" s="211" t="str" cm="1">
        <f t="array" ref="BC1965">_xlfn.IFS(E1965="","",G1965&lt;=E1965,BB1965*(1-0.03),G1965&lt;(E1965+8),BB1965,AZ1965="Boleto",BB1965*(1+0.001)^DATEDIF(E1965,G1965,"D"),AZ1965="Cheque",BB1965,AZ1965="Dinheiro","Alterar forma pgto")</f>
        <v/>
      </c>
      <c r="BD1965" s="276" t="str" cm="1">
        <f t="array" ref="BD1965">IF(F1965=0," ",IF(BC1965&lt;BB1965,(_xlfn.IFS(AW1965="SIM",SUM(L1965,Q1965,V1965,AA1965,AF1965,AK1965,AP1965,AU1965)+AX1965/_xlfn.XLOOKUP(_xlfn.XLOOKUP($F1965,Clientes!$B$4:$B$39,Clientes!$C$4:$C$39),Cadastros!$L$6:$L$12,Cadastros!$M$6:$M$12)+IF($F1965="Bernardino Furlan",AY1965/2751.92,IF($F1965="Mauro José Salanti",AY1965/2751.92,AY1965/3356)),F1965&lt;&gt;0,SUM(L1965,Q1965,V1965,AA1965,AF1965,AK1965,AP1965,AU1965)))*(1-0.03),_xlfn.IFS(AW1965="SIM",SUM(L1965,Q1965,V1965,AA1965,AF1965,AK1965,AP1965,AU1965)+AX1965/_xlfn.XLOOKUP(_xlfn.XLOOKUP($F1965,Clientes!$B$4:$B$39,Clientes!$C$4:$C$39),Cadastros!$L$6:$L$12,Cadastros!$M$6:$M$12)+IF($F1965="Bernardino Furlan",AY1965/2751.92,IF($F1965="Mauro José Salanti",AY1965/2751.92,AY1965/3356)),F1965&lt;&gt;0,SUM(L1965,Q1965,V1965,AA1965,AF1965,AK1965,AP1965,AU1965))))</f>
        <v xml:space="preserve"> </v>
      </c>
      <c r="BE1965" s="120"/>
      <c r="BF1965" s="120"/>
      <c r="BG1965" s="120"/>
    </row>
    <row r="1966" spans="1:59" s="3" customFormat="1" x14ac:dyDescent="0.3">
      <c r="A1966" s="15" t="str">
        <f t="shared" si="390"/>
        <v/>
      </c>
      <c r="B1966" s="25"/>
      <c r="C1966" s="26"/>
      <c r="D1966" s="279"/>
      <c r="E1966" s="27"/>
      <c r="F1966" s="28"/>
      <c r="G1966" s="27"/>
      <c r="H1966" s="28"/>
      <c r="I1966" s="28"/>
      <c r="J1966" s="255" t="str">
        <f>IF(H1966="","",(_xlfn.XLOOKUP(H1966,Cadastros!$D$6:$D$90,Cadastros!$E$6:$E$90))*(1-_xlfn.XLOOKUP(_xlfn.XLOOKUP($F1966,Clientes!$B$4:$B$39,Clientes!$C$4:$C$39),Cadastros!$L$6:$L$12,Cadastros!$N$6:$N$12)))</f>
        <v/>
      </c>
      <c r="K1966" s="168" t="str">
        <f t="shared" si="391"/>
        <v/>
      </c>
      <c r="L1966" s="168" t="str">
        <f>IFERROR(K1966/_xlfn.XLOOKUP(_xlfn.XLOOKUP($F1966,Clientes!$B$4:$B$39,Clientes!$C$4:$C$39),Cadastros!$L$6:$L$12,Cadastros!$M$6:$M$12)," ")</f>
        <v xml:space="preserve"> </v>
      </c>
      <c r="M1966" s="28"/>
      <c r="N1966" s="28"/>
      <c r="O1966" s="255" t="str">
        <f>IF(M1966="","",(_xlfn.XLOOKUP(M1966,Cadastros!$D$6:$D$90,Cadastros!$E$6:$E$90))*(1-_xlfn.XLOOKUP(_xlfn.XLOOKUP($F1966,Clientes!$B$4:$B$39,Clientes!$C$4:$C$39),Cadastros!$L$6:$L$12,Cadastros!$N$6:$N$12)))</f>
        <v/>
      </c>
      <c r="P1966" s="168" t="str">
        <f t="shared" si="392"/>
        <v/>
      </c>
      <c r="Q1966" s="168" t="str">
        <f>IFERROR(P1966/_xlfn.XLOOKUP(_xlfn.XLOOKUP($F1966,Clientes!$B$4:$B$39,Clientes!$C$4:$C$39),Cadastros!$L$6:$L$12,Cadastros!$M$6:$M$12)," ")</f>
        <v xml:space="preserve"> </v>
      </c>
      <c r="R1966" s="28"/>
      <c r="S1966" s="28"/>
      <c r="T1966" s="255" t="str">
        <f>IF(R1966="","",(_xlfn.XLOOKUP(R1966,Cadastros!$D$6:$D$90,Cadastros!$E$6:$E$90))*(1-_xlfn.XLOOKUP(_xlfn.XLOOKUP($F1966,Clientes!$B$4:$B$39,Clientes!$C$4:$C$39),Cadastros!$L$6:$L$12,Cadastros!$N$6:$N$12)))</f>
        <v/>
      </c>
      <c r="U1966" s="168" t="str">
        <f t="shared" si="393"/>
        <v/>
      </c>
      <c r="V1966" s="168" t="str">
        <f>IFERROR(U1966/_xlfn.XLOOKUP(_xlfn.XLOOKUP($F1966,Clientes!$B$4:$B$39,Clientes!$C$4:$C$39),Cadastros!$L$6:$L$12,Cadastros!$M$6:$M$12)," ")</f>
        <v xml:space="preserve"> </v>
      </c>
      <c r="W1966" s="28"/>
      <c r="X1966" s="28"/>
      <c r="Y1966" s="255" t="str">
        <f>IF(W1966="","",(_xlfn.XLOOKUP(W1966,Cadastros!$D$6:$D$90,Cadastros!$E$6:$E$90))*(1-_xlfn.XLOOKUP(_xlfn.XLOOKUP($F1966,Clientes!$B$4:$B$39,Clientes!$C$4:$C$39),Cadastros!$L$6:$L$12,Cadastros!$N$6:$N$12)))</f>
        <v/>
      </c>
      <c r="Z1966" s="168" t="str">
        <f t="shared" si="394"/>
        <v/>
      </c>
      <c r="AA1966" s="168" t="str">
        <f>IFERROR(Z1966/_xlfn.XLOOKUP(_xlfn.XLOOKUP($F1966,Clientes!$B$4:$B$39,Clientes!$C$4:$C$39),Cadastros!$L$6:$L$12,Cadastros!$M$6:$M$12)," ")</f>
        <v xml:space="preserve"> </v>
      </c>
      <c r="AB1966" s="28"/>
      <c r="AC1966" s="28"/>
      <c r="AD1966" s="20" t="str">
        <f>IF(AB1966="","",IF($F1966="Bernardino Furlan",_xlfn.XLOOKUP(AB1966,Cadastros!$G$6:$G$90,Cadastros!$H$6:$H$90)*(1-0.18),IF($F1966="Mauro José Salanti",_xlfn.XLOOKUP(AB1966,Cadastros!$G$6:$G$90,Cadastros!$H$6:$H$90)*(1-0.18),_xlfn.XLOOKUP(AB1966,Cadastros!$G$6:$G$90,Cadastros!$H$6:$H$90))))</f>
        <v/>
      </c>
      <c r="AE1966" s="168" t="str">
        <f t="shared" si="395"/>
        <v/>
      </c>
      <c r="AF1966" s="168" t="str">
        <f t="shared" si="396"/>
        <v/>
      </c>
      <c r="AG1966" s="28"/>
      <c r="AH1966" s="28"/>
      <c r="AI1966" s="20" t="str">
        <f>IF(AG1966="","",IF($F1966="Bernardino Furlan",_xlfn.XLOOKUP(AG1966,Cadastros!$G$6:$G$90,Cadastros!$H$6:$H$90)*(1-0.18),IF($F1966="Mauro José Salanti",_xlfn.XLOOKUP(AG1966,Cadastros!$G$6:$G$90,Cadastros!$H$6:$H$90)*(1-0.18),_xlfn.XLOOKUP(AG1966,Cadastros!$G$6:$G$90,Cadastros!$H$6:$H$90))))</f>
        <v/>
      </c>
      <c r="AJ1966" s="168" t="str">
        <f t="shared" si="397"/>
        <v/>
      </c>
      <c r="AK1966" s="168" t="str">
        <f t="shared" si="398"/>
        <v/>
      </c>
      <c r="AL1966" s="28"/>
      <c r="AM1966" s="28"/>
      <c r="AN1966" s="20" t="str">
        <f>IF(AL1966="","",IF($F1966="Bernardino Furlan",_xlfn.XLOOKUP(AL1966,Cadastros!$G$6:$G$90,Cadastros!$H$6:$H$90)*(1-0.18),IF($F1966="Mauro José Salanti",_xlfn.XLOOKUP(AL1966,Cadastros!$G$6:$G$90,Cadastros!$H$6:$H$90)*(1-0.18),_xlfn.XLOOKUP(AL1966,Cadastros!$G$6:$G$90,Cadastros!$H$6:$H$90))))</f>
        <v/>
      </c>
      <c r="AO1966" s="168" t="str">
        <f t="shared" si="399"/>
        <v/>
      </c>
      <c r="AP1966" s="168" t="str">
        <f t="shared" si="400"/>
        <v/>
      </c>
      <c r="AQ1966" s="28"/>
      <c r="AR1966" s="28"/>
      <c r="AS1966" s="20" t="str">
        <f>IF(AQ1966="","",IF($F1966="Bernardino Furlan",_xlfn.XLOOKUP(AQ1966,Cadastros!$G$6:$G$90,Cadastros!$H$6:$H$90)*(1-0.18),IF($F1966="Mauro José Salanti",_xlfn.XLOOKUP(AQ1966,Cadastros!$G$6:$G$90,Cadastros!$H$6:$H$90)*(1-0.18),_xlfn.XLOOKUP(AQ1966,Cadastros!$G$6:$G$90,Cadastros!$H$6:$H$90))))</f>
        <v/>
      </c>
      <c r="AT1966" s="168" t="str">
        <f t="shared" si="401"/>
        <v/>
      </c>
      <c r="AU1966" s="168" t="str">
        <f t="shared" si="402"/>
        <v/>
      </c>
      <c r="AV1966" s="227"/>
      <c r="AW1966" s="30"/>
      <c r="AX1966" s="267"/>
      <c r="AY1966" s="267"/>
      <c r="AZ1966" s="29"/>
      <c r="BA1966" s="30"/>
      <c r="BB1966" s="23" t="str" cm="1">
        <f t="array" ref="BB1966">_xlfn.IFS(AW1966="SIM",SUM(K1966,P1966,U1966,Z1966,AE1966,AJ1966,AO1966,AT1966,AX1966,AY1966),F1966&lt;&gt;"",SUM(K1966,P1966,U1966,Z1966,AE1966,AJ1966,,AO1966,AT1966),F1966="","")</f>
        <v/>
      </c>
      <c r="BC1966" s="211" t="str" cm="1">
        <f t="array" ref="BC1966">_xlfn.IFS(E1966="","",G1966&lt;=E1966,BB1966*(1-0.03),G1966&lt;(E1966+8),BB1966,AZ1966="Boleto",BB1966*(1+0.001)^DATEDIF(E1966,G1966,"D"),AZ1966="Cheque",BB1966,AZ1966="Dinheiro","Alterar forma pgto")</f>
        <v/>
      </c>
      <c r="BD1966" s="276" t="str" cm="1">
        <f t="array" ref="BD1966">IF(F1966=0," ",IF(BC1966&lt;BB1966,(_xlfn.IFS(AW1966="SIM",SUM(L1966,Q1966,V1966,AA1966,AF1966,AK1966,AP1966,AU1966)+AX1966/_xlfn.XLOOKUP(_xlfn.XLOOKUP($F1966,Clientes!$B$4:$B$39,Clientes!$C$4:$C$39),Cadastros!$L$6:$L$12,Cadastros!$M$6:$M$12)+IF($F1966="Bernardino Furlan",AY1966/2751.92,IF($F1966="Mauro José Salanti",AY1966/2751.92,AY1966/3356)),F1966&lt;&gt;0,SUM(L1966,Q1966,V1966,AA1966,AF1966,AK1966,AP1966,AU1966)))*(1-0.03),_xlfn.IFS(AW1966="SIM",SUM(L1966,Q1966,V1966,AA1966,AF1966,AK1966,AP1966,AU1966)+AX1966/_xlfn.XLOOKUP(_xlfn.XLOOKUP($F1966,Clientes!$B$4:$B$39,Clientes!$C$4:$C$39),Cadastros!$L$6:$L$12,Cadastros!$M$6:$M$12)+IF($F1966="Bernardino Furlan",AY1966/2751.92,IF($F1966="Mauro José Salanti",AY1966/2751.92,AY1966/3356)),F1966&lt;&gt;0,SUM(L1966,Q1966,V1966,AA1966,AF1966,AK1966,AP1966,AU1966))))</f>
        <v xml:space="preserve"> </v>
      </c>
      <c r="BE1966" s="120"/>
      <c r="BF1966" s="120"/>
      <c r="BG1966" s="120"/>
    </row>
    <row r="1967" spans="1:59" s="3" customFormat="1" x14ac:dyDescent="0.3">
      <c r="A1967" s="15" t="str">
        <f t="shared" si="390"/>
        <v/>
      </c>
      <c r="B1967" s="25"/>
      <c r="C1967" s="26"/>
      <c r="D1967" s="279"/>
      <c r="E1967" s="27"/>
      <c r="F1967" s="28"/>
      <c r="G1967" s="27"/>
      <c r="H1967" s="28"/>
      <c r="I1967" s="28"/>
      <c r="J1967" s="255" t="str">
        <f>IF(H1967="","",(_xlfn.XLOOKUP(H1967,Cadastros!$D$6:$D$90,Cadastros!$E$6:$E$90))*(1-_xlfn.XLOOKUP(_xlfn.XLOOKUP($F1967,Clientes!$B$4:$B$39,Clientes!$C$4:$C$39),Cadastros!$L$6:$L$12,Cadastros!$N$6:$N$12)))</f>
        <v/>
      </c>
      <c r="K1967" s="168" t="str">
        <f t="shared" si="391"/>
        <v/>
      </c>
      <c r="L1967" s="168" t="str">
        <f>IFERROR(K1967/_xlfn.XLOOKUP(_xlfn.XLOOKUP($F1967,Clientes!$B$4:$B$39,Clientes!$C$4:$C$39),Cadastros!$L$6:$L$12,Cadastros!$M$6:$M$12)," ")</f>
        <v xml:space="preserve"> </v>
      </c>
      <c r="M1967" s="28"/>
      <c r="N1967" s="28"/>
      <c r="O1967" s="255" t="str">
        <f>IF(M1967="","",(_xlfn.XLOOKUP(M1967,Cadastros!$D$6:$D$90,Cadastros!$E$6:$E$90))*(1-_xlfn.XLOOKUP(_xlfn.XLOOKUP($F1967,Clientes!$B$4:$B$39,Clientes!$C$4:$C$39),Cadastros!$L$6:$L$12,Cadastros!$N$6:$N$12)))</f>
        <v/>
      </c>
      <c r="P1967" s="168" t="str">
        <f t="shared" si="392"/>
        <v/>
      </c>
      <c r="Q1967" s="168" t="str">
        <f>IFERROR(P1967/_xlfn.XLOOKUP(_xlfn.XLOOKUP($F1967,Clientes!$B$4:$B$39,Clientes!$C$4:$C$39),Cadastros!$L$6:$L$12,Cadastros!$M$6:$M$12)," ")</f>
        <v xml:space="preserve"> </v>
      </c>
      <c r="R1967" s="28"/>
      <c r="S1967" s="28"/>
      <c r="T1967" s="255" t="str">
        <f>IF(R1967="","",(_xlfn.XLOOKUP(R1967,Cadastros!$D$6:$D$90,Cadastros!$E$6:$E$90))*(1-_xlfn.XLOOKUP(_xlfn.XLOOKUP($F1967,Clientes!$B$4:$B$39,Clientes!$C$4:$C$39),Cadastros!$L$6:$L$12,Cadastros!$N$6:$N$12)))</f>
        <v/>
      </c>
      <c r="U1967" s="168" t="str">
        <f t="shared" si="393"/>
        <v/>
      </c>
      <c r="V1967" s="168" t="str">
        <f>IFERROR(U1967/_xlfn.XLOOKUP(_xlfn.XLOOKUP($F1967,Clientes!$B$4:$B$39,Clientes!$C$4:$C$39),Cadastros!$L$6:$L$12,Cadastros!$M$6:$M$12)," ")</f>
        <v xml:space="preserve"> </v>
      </c>
      <c r="W1967" s="28"/>
      <c r="X1967" s="28"/>
      <c r="Y1967" s="255" t="str">
        <f>IF(W1967="","",(_xlfn.XLOOKUP(W1967,Cadastros!$D$6:$D$90,Cadastros!$E$6:$E$90))*(1-_xlfn.XLOOKUP(_xlfn.XLOOKUP($F1967,Clientes!$B$4:$B$39,Clientes!$C$4:$C$39),Cadastros!$L$6:$L$12,Cadastros!$N$6:$N$12)))</f>
        <v/>
      </c>
      <c r="Z1967" s="168" t="str">
        <f t="shared" si="394"/>
        <v/>
      </c>
      <c r="AA1967" s="168" t="str">
        <f>IFERROR(Z1967/_xlfn.XLOOKUP(_xlfn.XLOOKUP($F1967,Clientes!$B$4:$B$39,Clientes!$C$4:$C$39),Cadastros!$L$6:$L$12,Cadastros!$M$6:$M$12)," ")</f>
        <v xml:space="preserve"> </v>
      </c>
      <c r="AB1967" s="28"/>
      <c r="AC1967" s="28"/>
      <c r="AD1967" s="20" t="str">
        <f>IF(AB1967="","",IF($F1967="Bernardino Furlan",_xlfn.XLOOKUP(AB1967,Cadastros!$G$6:$G$90,Cadastros!$H$6:$H$90)*(1-0.18),IF($F1967="Mauro José Salanti",_xlfn.XLOOKUP(AB1967,Cadastros!$G$6:$G$90,Cadastros!$H$6:$H$90)*(1-0.18),_xlfn.XLOOKUP(AB1967,Cadastros!$G$6:$G$90,Cadastros!$H$6:$H$90))))</f>
        <v/>
      </c>
      <c r="AE1967" s="168" t="str">
        <f t="shared" si="395"/>
        <v/>
      </c>
      <c r="AF1967" s="168" t="str">
        <f t="shared" si="396"/>
        <v/>
      </c>
      <c r="AG1967" s="28"/>
      <c r="AH1967" s="28"/>
      <c r="AI1967" s="20" t="str">
        <f>IF(AG1967="","",IF($F1967="Bernardino Furlan",_xlfn.XLOOKUP(AG1967,Cadastros!$G$6:$G$90,Cadastros!$H$6:$H$90)*(1-0.18),IF($F1967="Mauro José Salanti",_xlfn.XLOOKUP(AG1967,Cadastros!$G$6:$G$90,Cadastros!$H$6:$H$90)*(1-0.18),_xlfn.XLOOKUP(AG1967,Cadastros!$G$6:$G$90,Cadastros!$H$6:$H$90))))</f>
        <v/>
      </c>
      <c r="AJ1967" s="168" t="str">
        <f t="shared" si="397"/>
        <v/>
      </c>
      <c r="AK1967" s="168" t="str">
        <f t="shared" si="398"/>
        <v/>
      </c>
      <c r="AL1967" s="28"/>
      <c r="AM1967" s="28"/>
      <c r="AN1967" s="20" t="str">
        <f>IF(AL1967="","",IF($F1967="Bernardino Furlan",_xlfn.XLOOKUP(AL1967,Cadastros!$G$6:$G$90,Cadastros!$H$6:$H$90)*(1-0.18),IF($F1967="Mauro José Salanti",_xlfn.XLOOKUP(AL1967,Cadastros!$G$6:$G$90,Cadastros!$H$6:$H$90)*(1-0.18),_xlfn.XLOOKUP(AL1967,Cadastros!$G$6:$G$90,Cadastros!$H$6:$H$90))))</f>
        <v/>
      </c>
      <c r="AO1967" s="168" t="str">
        <f t="shared" si="399"/>
        <v/>
      </c>
      <c r="AP1967" s="168" t="str">
        <f t="shared" si="400"/>
        <v/>
      </c>
      <c r="AQ1967" s="28"/>
      <c r="AR1967" s="28"/>
      <c r="AS1967" s="20" t="str">
        <f>IF(AQ1967="","",IF($F1967="Bernardino Furlan",_xlfn.XLOOKUP(AQ1967,Cadastros!$G$6:$G$90,Cadastros!$H$6:$H$90)*(1-0.18),IF($F1967="Mauro José Salanti",_xlfn.XLOOKUP(AQ1967,Cadastros!$G$6:$G$90,Cadastros!$H$6:$H$90)*(1-0.18),_xlfn.XLOOKUP(AQ1967,Cadastros!$G$6:$G$90,Cadastros!$H$6:$H$90))))</f>
        <v/>
      </c>
      <c r="AT1967" s="168" t="str">
        <f t="shared" si="401"/>
        <v/>
      </c>
      <c r="AU1967" s="168" t="str">
        <f t="shared" si="402"/>
        <v/>
      </c>
      <c r="AV1967" s="227"/>
      <c r="AW1967" s="30"/>
      <c r="AX1967" s="267"/>
      <c r="AY1967" s="267"/>
      <c r="AZ1967" s="29"/>
      <c r="BA1967" s="30"/>
      <c r="BB1967" s="23" t="str" cm="1">
        <f t="array" ref="BB1967">_xlfn.IFS(AW1967="SIM",SUM(K1967,P1967,U1967,Z1967,AE1967,AJ1967,AO1967,AT1967,AX1967,AY1967),F1967&lt;&gt;"",SUM(K1967,P1967,U1967,Z1967,AE1967,AJ1967,,AO1967,AT1967),F1967="","")</f>
        <v/>
      </c>
      <c r="BC1967" s="211" t="str" cm="1">
        <f t="array" ref="BC1967">_xlfn.IFS(E1967="","",G1967&lt;=E1967,BB1967*(1-0.03),G1967&lt;(E1967+8),BB1967,AZ1967="Boleto",BB1967*(1+0.001)^DATEDIF(E1967,G1967,"D"),AZ1967="Cheque",BB1967,AZ1967="Dinheiro","Alterar forma pgto")</f>
        <v/>
      </c>
      <c r="BD1967" s="276" t="str" cm="1">
        <f t="array" ref="BD1967">IF(F1967=0," ",IF(BC1967&lt;BB1967,(_xlfn.IFS(AW1967="SIM",SUM(L1967,Q1967,V1967,AA1967,AF1967,AK1967,AP1967,AU1967)+AX1967/_xlfn.XLOOKUP(_xlfn.XLOOKUP($F1967,Clientes!$B$4:$B$39,Clientes!$C$4:$C$39),Cadastros!$L$6:$L$12,Cadastros!$M$6:$M$12)+IF($F1967="Bernardino Furlan",AY1967/2751.92,IF($F1967="Mauro José Salanti",AY1967/2751.92,AY1967/3356)),F1967&lt;&gt;0,SUM(L1967,Q1967,V1967,AA1967,AF1967,AK1967,AP1967,AU1967)))*(1-0.03),_xlfn.IFS(AW1967="SIM",SUM(L1967,Q1967,V1967,AA1967,AF1967,AK1967,AP1967,AU1967)+AX1967/_xlfn.XLOOKUP(_xlfn.XLOOKUP($F1967,Clientes!$B$4:$B$39,Clientes!$C$4:$C$39),Cadastros!$L$6:$L$12,Cadastros!$M$6:$M$12)+IF($F1967="Bernardino Furlan",AY1967/2751.92,IF($F1967="Mauro José Salanti",AY1967/2751.92,AY1967/3356)),F1967&lt;&gt;0,SUM(L1967,Q1967,V1967,AA1967,AF1967,AK1967,AP1967,AU1967))))</f>
        <v xml:space="preserve"> </v>
      </c>
      <c r="BE1967" s="120"/>
      <c r="BF1967" s="120"/>
      <c r="BG1967" s="120"/>
    </row>
    <row r="1968" spans="1:59" s="3" customFormat="1" x14ac:dyDescent="0.3">
      <c r="A1968" s="15" t="str">
        <f t="shared" si="390"/>
        <v/>
      </c>
      <c r="B1968" s="25"/>
      <c r="C1968" s="26"/>
      <c r="D1968" s="279"/>
      <c r="E1968" s="27"/>
      <c r="F1968" s="28"/>
      <c r="G1968" s="27"/>
      <c r="H1968" s="28"/>
      <c r="I1968" s="28"/>
      <c r="J1968" s="255" t="str">
        <f>IF(H1968="","",(_xlfn.XLOOKUP(H1968,Cadastros!$D$6:$D$90,Cadastros!$E$6:$E$90))*(1-_xlfn.XLOOKUP(_xlfn.XLOOKUP($F1968,Clientes!$B$4:$B$39,Clientes!$C$4:$C$39),Cadastros!$L$6:$L$12,Cadastros!$N$6:$N$12)))</f>
        <v/>
      </c>
      <c r="K1968" s="168" t="str">
        <f t="shared" si="391"/>
        <v/>
      </c>
      <c r="L1968" s="168" t="str">
        <f>IFERROR(K1968/_xlfn.XLOOKUP(_xlfn.XLOOKUP($F1968,Clientes!$B$4:$B$39,Clientes!$C$4:$C$39),Cadastros!$L$6:$L$12,Cadastros!$M$6:$M$12)," ")</f>
        <v xml:space="preserve"> </v>
      </c>
      <c r="M1968" s="28"/>
      <c r="N1968" s="28"/>
      <c r="O1968" s="255" t="str">
        <f>IF(M1968="","",(_xlfn.XLOOKUP(M1968,Cadastros!$D$6:$D$90,Cadastros!$E$6:$E$90))*(1-_xlfn.XLOOKUP(_xlfn.XLOOKUP($F1968,Clientes!$B$4:$B$39,Clientes!$C$4:$C$39),Cadastros!$L$6:$L$12,Cadastros!$N$6:$N$12)))</f>
        <v/>
      </c>
      <c r="P1968" s="168" t="str">
        <f t="shared" si="392"/>
        <v/>
      </c>
      <c r="Q1968" s="168" t="str">
        <f>IFERROR(P1968/_xlfn.XLOOKUP(_xlfn.XLOOKUP($F1968,Clientes!$B$4:$B$39,Clientes!$C$4:$C$39),Cadastros!$L$6:$L$12,Cadastros!$M$6:$M$12)," ")</f>
        <v xml:space="preserve"> </v>
      </c>
      <c r="R1968" s="28"/>
      <c r="S1968" s="28"/>
      <c r="T1968" s="255" t="str">
        <f>IF(R1968="","",(_xlfn.XLOOKUP(R1968,Cadastros!$D$6:$D$90,Cadastros!$E$6:$E$90))*(1-_xlfn.XLOOKUP(_xlfn.XLOOKUP($F1968,Clientes!$B$4:$B$39,Clientes!$C$4:$C$39),Cadastros!$L$6:$L$12,Cadastros!$N$6:$N$12)))</f>
        <v/>
      </c>
      <c r="U1968" s="168" t="str">
        <f t="shared" si="393"/>
        <v/>
      </c>
      <c r="V1968" s="168" t="str">
        <f>IFERROR(U1968/_xlfn.XLOOKUP(_xlfn.XLOOKUP($F1968,Clientes!$B$4:$B$39,Clientes!$C$4:$C$39),Cadastros!$L$6:$L$12,Cadastros!$M$6:$M$12)," ")</f>
        <v xml:space="preserve"> </v>
      </c>
      <c r="W1968" s="28"/>
      <c r="X1968" s="28"/>
      <c r="Y1968" s="255" t="str">
        <f>IF(W1968="","",(_xlfn.XLOOKUP(W1968,Cadastros!$D$6:$D$90,Cadastros!$E$6:$E$90))*(1-_xlfn.XLOOKUP(_xlfn.XLOOKUP($F1968,Clientes!$B$4:$B$39,Clientes!$C$4:$C$39),Cadastros!$L$6:$L$12,Cadastros!$N$6:$N$12)))</f>
        <v/>
      </c>
      <c r="Z1968" s="168" t="str">
        <f t="shared" si="394"/>
        <v/>
      </c>
      <c r="AA1968" s="168" t="str">
        <f>IFERROR(Z1968/_xlfn.XLOOKUP(_xlfn.XLOOKUP($F1968,Clientes!$B$4:$B$39,Clientes!$C$4:$C$39),Cadastros!$L$6:$L$12,Cadastros!$M$6:$M$12)," ")</f>
        <v xml:space="preserve"> </v>
      </c>
      <c r="AB1968" s="28"/>
      <c r="AC1968" s="28"/>
      <c r="AD1968" s="20" t="str">
        <f>IF(AB1968="","",IF($F1968="Bernardino Furlan",_xlfn.XLOOKUP(AB1968,Cadastros!$G$6:$G$90,Cadastros!$H$6:$H$90)*(1-0.18),IF($F1968="Mauro José Salanti",_xlfn.XLOOKUP(AB1968,Cadastros!$G$6:$G$90,Cadastros!$H$6:$H$90)*(1-0.18),_xlfn.XLOOKUP(AB1968,Cadastros!$G$6:$G$90,Cadastros!$H$6:$H$90))))</f>
        <v/>
      </c>
      <c r="AE1968" s="168" t="str">
        <f t="shared" si="395"/>
        <v/>
      </c>
      <c r="AF1968" s="168" t="str">
        <f t="shared" si="396"/>
        <v/>
      </c>
      <c r="AG1968" s="28"/>
      <c r="AH1968" s="28"/>
      <c r="AI1968" s="20" t="str">
        <f>IF(AG1968="","",IF($F1968="Bernardino Furlan",_xlfn.XLOOKUP(AG1968,Cadastros!$G$6:$G$90,Cadastros!$H$6:$H$90)*(1-0.18),IF($F1968="Mauro José Salanti",_xlfn.XLOOKUP(AG1968,Cadastros!$G$6:$G$90,Cadastros!$H$6:$H$90)*(1-0.18),_xlfn.XLOOKUP(AG1968,Cadastros!$G$6:$G$90,Cadastros!$H$6:$H$90))))</f>
        <v/>
      </c>
      <c r="AJ1968" s="168" t="str">
        <f t="shared" si="397"/>
        <v/>
      </c>
      <c r="AK1968" s="168" t="str">
        <f t="shared" si="398"/>
        <v/>
      </c>
      <c r="AL1968" s="28"/>
      <c r="AM1968" s="28"/>
      <c r="AN1968" s="20" t="str">
        <f>IF(AL1968="","",IF($F1968="Bernardino Furlan",_xlfn.XLOOKUP(AL1968,Cadastros!$G$6:$G$90,Cadastros!$H$6:$H$90)*(1-0.18),IF($F1968="Mauro José Salanti",_xlfn.XLOOKUP(AL1968,Cadastros!$G$6:$G$90,Cadastros!$H$6:$H$90)*(1-0.18),_xlfn.XLOOKUP(AL1968,Cadastros!$G$6:$G$90,Cadastros!$H$6:$H$90))))</f>
        <v/>
      </c>
      <c r="AO1968" s="168" t="str">
        <f t="shared" si="399"/>
        <v/>
      </c>
      <c r="AP1968" s="168" t="str">
        <f t="shared" si="400"/>
        <v/>
      </c>
      <c r="AQ1968" s="28"/>
      <c r="AR1968" s="28"/>
      <c r="AS1968" s="20" t="str">
        <f>IF(AQ1968="","",IF($F1968="Bernardino Furlan",_xlfn.XLOOKUP(AQ1968,Cadastros!$G$6:$G$90,Cadastros!$H$6:$H$90)*(1-0.18),IF($F1968="Mauro José Salanti",_xlfn.XLOOKUP(AQ1968,Cadastros!$G$6:$G$90,Cadastros!$H$6:$H$90)*(1-0.18),_xlfn.XLOOKUP(AQ1968,Cadastros!$G$6:$G$90,Cadastros!$H$6:$H$90))))</f>
        <v/>
      </c>
      <c r="AT1968" s="168" t="str">
        <f t="shared" si="401"/>
        <v/>
      </c>
      <c r="AU1968" s="168" t="str">
        <f t="shared" si="402"/>
        <v/>
      </c>
      <c r="AV1968" s="227"/>
      <c r="AW1968" s="30"/>
      <c r="AX1968" s="267"/>
      <c r="AY1968" s="267"/>
      <c r="AZ1968" s="29"/>
      <c r="BA1968" s="30"/>
      <c r="BB1968" s="23" t="str" cm="1">
        <f t="array" ref="BB1968">_xlfn.IFS(AW1968="SIM",SUM(K1968,P1968,U1968,Z1968,AE1968,AJ1968,AO1968,AT1968,AX1968,AY1968),F1968&lt;&gt;"",SUM(K1968,P1968,U1968,Z1968,AE1968,AJ1968,,AO1968,AT1968),F1968="","")</f>
        <v/>
      </c>
      <c r="BC1968" s="211" t="str" cm="1">
        <f t="array" ref="BC1968">_xlfn.IFS(E1968="","",G1968&lt;=E1968,BB1968*(1-0.03),G1968&lt;(E1968+8),BB1968,AZ1968="Boleto",BB1968*(1+0.001)^DATEDIF(E1968,G1968,"D"),AZ1968="Cheque",BB1968,AZ1968="Dinheiro","Alterar forma pgto")</f>
        <v/>
      </c>
      <c r="BD1968" s="276" t="str" cm="1">
        <f t="array" ref="BD1968">IF(F1968=0," ",IF(BC1968&lt;BB1968,(_xlfn.IFS(AW1968="SIM",SUM(L1968,Q1968,V1968,AA1968,AF1968,AK1968,AP1968,AU1968)+AX1968/_xlfn.XLOOKUP(_xlfn.XLOOKUP($F1968,Clientes!$B$4:$B$39,Clientes!$C$4:$C$39),Cadastros!$L$6:$L$12,Cadastros!$M$6:$M$12)+IF($F1968="Bernardino Furlan",AY1968/2751.92,IF($F1968="Mauro José Salanti",AY1968/2751.92,AY1968/3356)),F1968&lt;&gt;0,SUM(L1968,Q1968,V1968,AA1968,AF1968,AK1968,AP1968,AU1968)))*(1-0.03),_xlfn.IFS(AW1968="SIM",SUM(L1968,Q1968,V1968,AA1968,AF1968,AK1968,AP1968,AU1968)+AX1968/_xlfn.XLOOKUP(_xlfn.XLOOKUP($F1968,Clientes!$B$4:$B$39,Clientes!$C$4:$C$39),Cadastros!$L$6:$L$12,Cadastros!$M$6:$M$12)+IF($F1968="Bernardino Furlan",AY1968/2751.92,IF($F1968="Mauro José Salanti",AY1968/2751.92,AY1968/3356)),F1968&lt;&gt;0,SUM(L1968,Q1968,V1968,AA1968,AF1968,AK1968,AP1968,AU1968))))</f>
        <v xml:space="preserve"> </v>
      </c>
      <c r="BE1968" s="120"/>
      <c r="BF1968" s="120"/>
      <c r="BG1968" s="120"/>
    </row>
    <row r="1969" spans="1:59" s="3" customFormat="1" x14ac:dyDescent="0.3">
      <c r="A1969" s="15" t="str">
        <f t="shared" si="390"/>
        <v/>
      </c>
      <c r="B1969" s="25"/>
      <c r="C1969" s="26"/>
      <c r="D1969" s="279"/>
      <c r="E1969" s="27"/>
      <c r="F1969" s="28"/>
      <c r="G1969" s="27"/>
      <c r="H1969" s="28"/>
      <c r="I1969" s="28"/>
      <c r="J1969" s="255" t="str">
        <f>IF(H1969="","",(_xlfn.XLOOKUP(H1969,Cadastros!$D$6:$D$90,Cadastros!$E$6:$E$90))*(1-_xlfn.XLOOKUP(_xlfn.XLOOKUP($F1969,Clientes!$B$4:$B$39,Clientes!$C$4:$C$39),Cadastros!$L$6:$L$12,Cadastros!$N$6:$N$12)))</f>
        <v/>
      </c>
      <c r="K1969" s="168" t="str">
        <f t="shared" si="391"/>
        <v/>
      </c>
      <c r="L1969" s="168" t="str">
        <f>IFERROR(K1969/_xlfn.XLOOKUP(_xlfn.XLOOKUP($F1969,Clientes!$B$4:$B$39,Clientes!$C$4:$C$39),Cadastros!$L$6:$L$12,Cadastros!$M$6:$M$12)," ")</f>
        <v xml:space="preserve"> </v>
      </c>
      <c r="M1969" s="28"/>
      <c r="N1969" s="28"/>
      <c r="O1969" s="255" t="str">
        <f>IF(M1969="","",(_xlfn.XLOOKUP(M1969,Cadastros!$D$6:$D$90,Cadastros!$E$6:$E$90))*(1-_xlfn.XLOOKUP(_xlfn.XLOOKUP($F1969,Clientes!$B$4:$B$39,Clientes!$C$4:$C$39),Cadastros!$L$6:$L$12,Cadastros!$N$6:$N$12)))</f>
        <v/>
      </c>
      <c r="P1969" s="168" t="str">
        <f t="shared" si="392"/>
        <v/>
      </c>
      <c r="Q1969" s="168" t="str">
        <f>IFERROR(P1969/_xlfn.XLOOKUP(_xlfn.XLOOKUP($F1969,Clientes!$B$4:$B$39,Clientes!$C$4:$C$39),Cadastros!$L$6:$L$12,Cadastros!$M$6:$M$12)," ")</f>
        <v xml:space="preserve"> </v>
      </c>
      <c r="R1969" s="28"/>
      <c r="S1969" s="28"/>
      <c r="T1969" s="255" t="str">
        <f>IF(R1969="","",(_xlfn.XLOOKUP(R1969,Cadastros!$D$6:$D$90,Cadastros!$E$6:$E$90))*(1-_xlfn.XLOOKUP(_xlfn.XLOOKUP($F1969,Clientes!$B$4:$B$39,Clientes!$C$4:$C$39),Cadastros!$L$6:$L$12,Cadastros!$N$6:$N$12)))</f>
        <v/>
      </c>
      <c r="U1969" s="168" t="str">
        <f t="shared" si="393"/>
        <v/>
      </c>
      <c r="V1969" s="168" t="str">
        <f>IFERROR(U1969/_xlfn.XLOOKUP(_xlfn.XLOOKUP($F1969,Clientes!$B$4:$B$39,Clientes!$C$4:$C$39),Cadastros!$L$6:$L$12,Cadastros!$M$6:$M$12)," ")</f>
        <v xml:space="preserve"> </v>
      </c>
      <c r="W1969" s="28"/>
      <c r="X1969" s="28"/>
      <c r="Y1969" s="255" t="str">
        <f>IF(W1969="","",(_xlfn.XLOOKUP(W1969,Cadastros!$D$6:$D$90,Cadastros!$E$6:$E$90))*(1-_xlfn.XLOOKUP(_xlfn.XLOOKUP($F1969,Clientes!$B$4:$B$39,Clientes!$C$4:$C$39),Cadastros!$L$6:$L$12,Cadastros!$N$6:$N$12)))</f>
        <v/>
      </c>
      <c r="Z1969" s="168" t="str">
        <f t="shared" si="394"/>
        <v/>
      </c>
      <c r="AA1969" s="168" t="str">
        <f>IFERROR(Z1969/_xlfn.XLOOKUP(_xlfn.XLOOKUP($F1969,Clientes!$B$4:$B$39,Clientes!$C$4:$C$39),Cadastros!$L$6:$L$12,Cadastros!$M$6:$M$12)," ")</f>
        <v xml:space="preserve"> </v>
      </c>
      <c r="AB1969" s="28"/>
      <c r="AC1969" s="28"/>
      <c r="AD1969" s="20" t="str">
        <f>IF(AB1969="","",IF($F1969="Bernardino Furlan",_xlfn.XLOOKUP(AB1969,Cadastros!$G$6:$G$90,Cadastros!$H$6:$H$90)*(1-0.18),IF($F1969="Mauro José Salanti",_xlfn.XLOOKUP(AB1969,Cadastros!$G$6:$G$90,Cadastros!$H$6:$H$90)*(1-0.18),_xlfn.XLOOKUP(AB1969,Cadastros!$G$6:$G$90,Cadastros!$H$6:$H$90))))</f>
        <v/>
      </c>
      <c r="AE1969" s="168" t="str">
        <f t="shared" si="395"/>
        <v/>
      </c>
      <c r="AF1969" s="168" t="str">
        <f t="shared" si="396"/>
        <v/>
      </c>
      <c r="AG1969" s="28"/>
      <c r="AH1969" s="28"/>
      <c r="AI1969" s="20" t="str">
        <f>IF(AG1969="","",IF($F1969="Bernardino Furlan",_xlfn.XLOOKUP(AG1969,Cadastros!$G$6:$G$90,Cadastros!$H$6:$H$90)*(1-0.18),IF($F1969="Mauro José Salanti",_xlfn.XLOOKUP(AG1969,Cadastros!$G$6:$G$90,Cadastros!$H$6:$H$90)*(1-0.18),_xlfn.XLOOKUP(AG1969,Cadastros!$G$6:$G$90,Cadastros!$H$6:$H$90))))</f>
        <v/>
      </c>
      <c r="AJ1969" s="168" t="str">
        <f t="shared" si="397"/>
        <v/>
      </c>
      <c r="AK1969" s="168" t="str">
        <f t="shared" si="398"/>
        <v/>
      </c>
      <c r="AL1969" s="28"/>
      <c r="AM1969" s="28"/>
      <c r="AN1969" s="20" t="str">
        <f>IF(AL1969="","",IF($F1969="Bernardino Furlan",_xlfn.XLOOKUP(AL1969,Cadastros!$G$6:$G$90,Cadastros!$H$6:$H$90)*(1-0.18),IF($F1969="Mauro José Salanti",_xlfn.XLOOKUP(AL1969,Cadastros!$G$6:$G$90,Cadastros!$H$6:$H$90)*(1-0.18),_xlfn.XLOOKUP(AL1969,Cadastros!$G$6:$G$90,Cadastros!$H$6:$H$90))))</f>
        <v/>
      </c>
      <c r="AO1969" s="168" t="str">
        <f t="shared" si="399"/>
        <v/>
      </c>
      <c r="AP1969" s="168" t="str">
        <f t="shared" si="400"/>
        <v/>
      </c>
      <c r="AQ1969" s="28"/>
      <c r="AR1969" s="28"/>
      <c r="AS1969" s="20" t="str">
        <f>IF(AQ1969="","",IF($F1969="Bernardino Furlan",_xlfn.XLOOKUP(AQ1969,Cadastros!$G$6:$G$90,Cadastros!$H$6:$H$90)*(1-0.18),IF($F1969="Mauro José Salanti",_xlfn.XLOOKUP(AQ1969,Cadastros!$G$6:$G$90,Cadastros!$H$6:$H$90)*(1-0.18),_xlfn.XLOOKUP(AQ1969,Cadastros!$G$6:$G$90,Cadastros!$H$6:$H$90))))</f>
        <v/>
      </c>
      <c r="AT1969" s="168" t="str">
        <f t="shared" si="401"/>
        <v/>
      </c>
      <c r="AU1969" s="168" t="str">
        <f t="shared" si="402"/>
        <v/>
      </c>
      <c r="AV1969" s="227"/>
      <c r="AW1969" s="30"/>
      <c r="AX1969" s="267"/>
      <c r="AY1969" s="267"/>
      <c r="AZ1969" s="29"/>
      <c r="BA1969" s="30"/>
      <c r="BB1969" s="23" t="str" cm="1">
        <f t="array" ref="BB1969">_xlfn.IFS(AW1969="SIM",SUM(K1969,P1969,U1969,Z1969,AE1969,AJ1969,AO1969,AT1969,AX1969,AY1969),F1969&lt;&gt;"",SUM(K1969,P1969,U1969,Z1969,AE1969,AJ1969,,AO1969,AT1969),F1969="","")</f>
        <v/>
      </c>
      <c r="BC1969" s="211" t="str" cm="1">
        <f t="array" ref="BC1969">_xlfn.IFS(E1969="","",G1969&lt;=E1969,BB1969*(1-0.03),G1969&lt;(E1969+8),BB1969,AZ1969="Boleto",BB1969*(1+0.001)^DATEDIF(E1969,G1969,"D"),AZ1969="Cheque",BB1969,AZ1969="Dinheiro","Alterar forma pgto")</f>
        <v/>
      </c>
      <c r="BD1969" s="276" t="str" cm="1">
        <f t="array" ref="BD1969">IF(F1969=0," ",IF(BC1969&lt;BB1969,(_xlfn.IFS(AW1969="SIM",SUM(L1969,Q1969,V1969,AA1969,AF1969,AK1969,AP1969,AU1969)+AX1969/_xlfn.XLOOKUP(_xlfn.XLOOKUP($F1969,Clientes!$B$4:$B$39,Clientes!$C$4:$C$39),Cadastros!$L$6:$L$12,Cadastros!$M$6:$M$12)+IF($F1969="Bernardino Furlan",AY1969/2751.92,IF($F1969="Mauro José Salanti",AY1969/2751.92,AY1969/3356)),F1969&lt;&gt;0,SUM(L1969,Q1969,V1969,AA1969,AF1969,AK1969,AP1969,AU1969)))*(1-0.03),_xlfn.IFS(AW1969="SIM",SUM(L1969,Q1969,V1969,AA1969,AF1969,AK1969,AP1969,AU1969)+AX1969/_xlfn.XLOOKUP(_xlfn.XLOOKUP($F1969,Clientes!$B$4:$B$39,Clientes!$C$4:$C$39),Cadastros!$L$6:$L$12,Cadastros!$M$6:$M$12)+IF($F1969="Bernardino Furlan",AY1969/2751.92,IF($F1969="Mauro José Salanti",AY1969/2751.92,AY1969/3356)),F1969&lt;&gt;0,SUM(L1969,Q1969,V1969,AA1969,AF1969,AK1969,AP1969,AU1969))))</f>
        <v xml:space="preserve"> </v>
      </c>
      <c r="BE1969" s="120"/>
      <c r="BF1969" s="120"/>
      <c r="BG1969" s="120"/>
    </row>
    <row r="1970" spans="1:59" s="3" customFormat="1" x14ac:dyDescent="0.3">
      <c r="A1970" s="15" t="str">
        <f t="shared" si="390"/>
        <v/>
      </c>
      <c r="B1970" s="25"/>
      <c r="C1970" s="26"/>
      <c r="D1970" s="279"/>
      <c r="E1970" s="27"/>
      <c r="F1970" s="28"/>
      <c r="G1970" s="27"/>
      <c r="H1970" s="28"/>
      <c r="I1970" s="28"/>
      <c r="J1970" s="255" t="str">
        <f>IF(H1970="","",(_xlfn.XLOOKUP(H1970,Cadastros!$D$6:$D$90,Cadastros!$E$6:$E$90))*(1-_xlfn.XLOOKUP(_xlfn.XLOOKUP($F1970,Clientes!$B$4:$B$39,Clientes!$C$4:$C$39),Cadastros!$L$6:$L$12,Cadastros!$N$6:$N$12)))</f>
        <v/>
      </c>
      <c r="K1970" s="168" t="str">
        <f t="shared" si="391"/>
        <v/>
      </c>
      <c r="L1970" s="168" t="str">
        <f>IFERROR(K1970/_xlfn.XLOOKUP(_xlfn.XLOOKUP($F1970,Clientes!$B$4:$B$39,Clientes!$C$4:$C$39),Cadastros!$L$6:$L$12,Cadastros!$M$6:$M$12)," ")</f>
        <v xml:space="preserve"> </v>
      </c>
      <c r="M1970" s="28"/>
      <c r="N1970" s="28"/>
      <c r="O1970" s="255" t="str">
        <f>IF(M1970="","",(_xlfn.XLOOKUP(M1970,Cadastros!$D$6:$D$90,Cadastros!$E$6:$E$90))*(1-_xlfn.XLOOKUP(_xlfn.XLOOKUP($F1970,Clientes!$B$4:$B$39,Clientes!$C$4:$C$39),Cadastros!$L$6:$L$12,Cadastros!$N$6:$N$12)))</f>
        <v/>
      </c>
      <c r="P1970" s="168" t="str">
        <f t="shared" si="392"/>
        <v/>
      </c>
      <c r="Q1970" s="168" t="str">
        <f>IFERROR(P1970/_xlfn.XLOOKUP(_xlfn.XLOOKUP($F1970,Clientes!$B$4:$B$39,Clientes!$C$4:$C$39),Cadastros!$L$6:$L$12,Cadastros!$M$6:$M$12)," ")</f>
        <v xml:space="preserve"> </v>
      </c>
      <c r="R1970" s="28"/>
      <c r="S1970" s="28"/>
      <c r="T1970" s="255" t="str">
        <f>IF(R1970="","",(_xlfn.XLOOKUP(R1970,Cadastros!$D$6:$D$90,Cadastros!$E$6:$E$90))*(1-_xlfn.XLOOKUP(_xlfn.XLOOKUP($F1970,Clientes!$B$4:$B$39,Clientes!$C$4:$C$39),Cadastros!$L$6:$L$12,Cadastros!$N$6:$N$12)))</f>
        <v/>
      </c>
      <c r="U1970" s="168" t="str">
        <f t="shared" si="393"/>
        <v/>
      </c>
      <c r="V1970" s="168" t="str">
        <f>IFERROR(U1970/_xlfn.XLOOKUP(_xlfn.XLOOKUP($F1970,Clientes!$B$4:$B$39,Clientes!$C$4:$C$39),Cadastros!$L$6:$L$12,Cadastros!$M$6:$M$12)," ")</f>
        <v xml:space="preserve"> </v>
      </c>
      <c r="W1970" s="28"/>
      <c r="X1970" s="28"/>
      <c r="Y1970" s="255" t="str">
        <f>IF(W1970="","",(_xlfn.XLOOKUP(W1970,Cadastros!$D$6:$D$90,Cadastros!$E$6:$E$90))*(1-_xlfn.XLOOKUP(_xlfn.XLOOKUP($F1970,Clientes!$B$4:$B$39,Clientes!$C$4:$C$39),Cadastros!$L$6:$L$12,Cadastros!$N$6:$N$12)))</f>
        <v/>
      </c>
      <c r="Z1970" s="168" t="str">
        <f t="shared" si="394"/>
        <v/>
      </c>
      <c r="AA1970" s="168" t="str">
        <f>IFERROR(Z1970/_xlfn.XLOOKUP(_xlfn.XLOOKUP($F1970,Clientes!$B$4:$B$39,Clientes!$C$4:$C$39),Cadastros!$L$6:$L$12,Cadastros!$M$6:$M$12)," ")</f>
        <v xml:space="preserve"> </v>
      </c>
      <c r="AB1970" s="28"/>
      <c r="AC1970" s="28"/>
      <c r="AD1970" s="20" t="str">
        <f>IF(AB1970="","",IF($F1970="Bernardino Furlan",_xlfn.XLOOKUP(AB1970,Cadastros!$G$6:$G$90,Cadastros!$H$6:$H$90)*(1-0.18),IF($F1970="Mauro José Salanti",_xlfn.XLOOKUP(AB1970,Cadastros!$G$6:$G$90,Cadastros!$H$6:$H$90)*(1-0.18),_xlfn.XLOOKUP(AB1970,Cadastros!$G$6:$G$90,Cadastros!$H$6:$H$90))))</f>
        <v/>
      </c>
      <c r="AE1970" s="168" t="str">
        <f t="shared" si="395"/>
        <v/>
      </c>
      <c r="AF1970" s="168" t="str">
        <f t="shared" si="396"/>
        <v/>
      </c>
      <c r="AG1970" s="28"/>
      <c r="AH1970" s="28"/>
      <c r="AI1970" s="20" t="str">
        <f>IF(AG1970="","",IF($F1970="Bernardino Furlan",_xlfn.XLOOKUP(AG1970,Cadastros!$G$6:$G$90,Cadastros!$H$6:$H$90)*(1-0.18),IF($F1970="Mauro José Salanti",_xlfn.XLOOKUP(AG1970,Cadastros!$G$6:$G$90,Cadastros!$H$6:$H$90)*(1-0.18),_xlfn.XLOOKUP(AG1970,Cadastros!$G$6:$G$90,Cadastros!$H$6:$H$90))))</f>
        <v/>
      </c>
      <c r="AJ1970" s="168" t="str">
        <f t="shared" si="397"/>
        <v/>
      </c>
      <c r="AK1970" s="168" t="str">
        <f t="shared" si="398"/>
        <v/>
      </c>
      <c r="AL1970" s="28"/>
      <c r="AM1970" s="28"/>
      <c r="AN1970" s="20" t="str">
        <f>IF(AL1970="","",IF($F1970="Bernardino Furlan",_xlfn.XLOOKUP(AL1970,Cadastros!$G$6:$G$90,Cadastros!$H$6:$H$90)*(1-0.18),IF($F1970="Mauro José Salanti",_xlfn.XLOOKUP(AL1970,Cadastros!$G$6:$G$90,Cadastros!$H$6:$H$90)*(1-0.18),_xlfn.XLOOKUP(AL1970,Cadastros!$G$6:$G$90,Cadastros!$H$6:$H$90))))</f>
        <v/>
      </c>
      <c r="AO1970" s="168" t="str">
        <f t="shared" si="399"/>
        <v/>
      </c>
      <c r="AP1970" s="168" t="str">
        <f t="shared" si="400"/>
        <v/>
      </c>
      <c r="AQ1970" s="28"/>
      <c r="AR1970" s="28"/>
      <c r="AS1970" s="20" t="str">
        <f>IF(AQ1970="","",IF($F1970="Bernardino Furlan",_xlfn.XLOOKUP(AQ1970,Cadastros!$G$6:$G$90,Cadastros!$H$6:$H$90)*(1-0.18),IF($F1970="Mauro José Salanti",_xlfn.XLOOKUP(AQ1970,Cadastros!$G$6:$G$90,Cadastros!$H$6:$H$90)*(1-0.18),_xlfn.XLOOKUP(AQ1970,Cadastros!$G$6:$G$90,Cadastros!$H$6:$H$90))))</f>
        <v/>
      </c>
      <c r="AT1970" s="168" t="str">
        <f t="shared" si="401"/>
        <v/>
      </c>
      <c r="AU1970" s="168" t="str">
        <f t="shared" si="402"/>
        <v/>
      </c>
      <c r="AV1970" s="227"/>
      <c r="AW1970" s="30"/>
      <c r="AX1970" s="267"/>
      <c r="AY1970" s="267"/>
      <c r="AZ1970" s="29"/>
      <c r="BA1970" s="30"/>
      <c r="BB1970" s="23" t="str" cm="1">
        <f t="array" ref="BB1970">_xlfn.IFS(AW1970="SIM",SUM(K1970,P1970,U1970,Z1970,AE1970,AJ1970,AO1970,AT1970,AX1970,AY1970),F1970&lt;&gt;"",SUM(K1970,P1970,U1970,Z1970,AE1970,AJ1970,,AO1970,AT1970),F1970="","")</f>
        <v/>
      </c>
      <c r="BC1970" s="211" t="str" cm="1">
        <f t="array" ref="BC1970">_xlfn.IFS(E1970="","",G1970&lt;=E1970,BB1970*(1-0.03),G1970&lt;(E1970+8),BB1970,AZ1970="Boleto",BB1970*(1+0.001)^DATEDIF(E1970,G1970,"D"),AZ1970="Cheque",BB1970,AZ1970="Dinheiro","Alterar forma pgto")</f>
        <v/>
      </c>
      <c r="BD1970" s="276" t="str" cm="1">
        <f t="array" ref="BD1970">IF(F1970=0," ",IF(BC1970&lt;BB1970,(_xlfn.IFS(AW1970="SIM",SUM(L1970,Q1970,V1970,AA1970,AF1970,AK1970,AP1970,AU1970)+AX1970/_xlfn.XLOOKUP(_xlfn.XLOOKUP($F1970,Clientes!$B$4:$B$39,Clientes!$C$4:$C$39),Cadastros!$L$6:$L$12,Cadastros!$M$6:$M$12)+IF($F1970="Bernardino Furlan",AY1970/2751.92,IF($F1970="Mauro José Salanti",AY1970/2751.92,AY1970/3356)),F1970&lt;&gt;0,SUM(L1970,Q1970,V1970,AA1970,AF1970,AK1970,AP1970,AU1970)))*(1-0.03),_xlfn.IFS(AW1970="SIM",SUM(L1970,Q1970,V1970,AA1970,AF1970,AK1970,AP1970,AU1970)+AX1970/_xlfn.XLOOKUP(_xlfn.XLOOKUP($F1970,Clientes!$B$4:$B$39,Clientes!$C$4:$C$39),Cadastros!$L$6:$L$12,Cadastros!$M$6:$M$12)+IF($F1970="Bernardino Furlan",AY1970/2751.92,IF($F1970="Mauro José Salanti",AY1970/2751.92,AY1970/3356)),F1970&lt;&gt;0,SUM(L1970,Q1970,V1970,AA1970,AF1970,AK1970,AP1970,AU1970))))</f>
        <v xml:space="preserve"> </v>
      </c>
      <c r="BE1970" s="120"/>
      <c r="BF1970" s="120"/>
      <c r="BG1970" s="120"/>
    </row>
    <row r="1971" spans="1:59" s="3" customFormat="1" x14ac:dyDescent="0.3">
      <c r="A1971" s="15" t="str">
        <f t="shared" si="390"/>
        <v/>
      </c>
      <c r="B1971" s="25"/>
      <c r="C1971" s="26"/>
      <c r="D1971" s="279"/>
      <c r="E1971" s="27"/>
      <c r="F1971" s="28"/>
      <c r="G1971" s="27"/>
      <c r="H1971" s="28"/>
      <c r="I1971" s="28"/>
      <c r="J1971" s="255" t="str">
        <f>IF(H1971="","",(_xlfn.XLOOKUP(H1971,Cadastros!$D$6:$D$90,Cadastros!$E$6:$E$90))*(1-_xlfn.XLOOKUP(_xlfn.XLOOKUP($F1971,Clientes!$B$4:$B$39,Clientes!$C$4:$C$39),Cadastros!$L$6:$L$12,Cadastros!$N$6:$N$12)))</f>
        <v/>
      </c>
      <c r="K1971" s="168" t="str">
        <f t="shared" si="391"/>
        <v/>
      </c>
      <c r="L1971" s="168" t="str">
        <f>IFERROR(K1971/_xlfn.XLOOKUP(_xlfn.XLOOKUP($F1971,Clientes!$B$4:$B$39,Clientes!$C$4:$C$39),Cadastros!$L$6:$L$12,Cadastros!$M$6:$M$12)," ")</f>
        <v xml:space="preserve"> </v>
      </c>
      <c r="M1971" s="28"/>
      <c r="N1971" s="28"/>
      <c r="O1971" s="255" t="str">
        <f>IF(M1971="","",(_xlfn.XLOOKUP(M1971,Cadastros!$D$6:$D$90,Cadastros!$E$6:$E$90))*(1-_xlfn.XLOOKUP(_xlfn.XLOOKUP($F1971,Clientes!$B$4:$B$39,Clientes!$C$4:$C$39),Cadastros!$L$6:$L$12,Cadastros!$N$6:$N$12)))</f>
        <v/>
      </c>
      <c r="P1971" s="168" t="str">
        <f t="shared" si="392"/>
        <v/>
      </c>
      <c r="Q1971" s="168" t="str">
        <f>IFERROR(P1971/_xlfn.XLOOKUP(_xlfn.XLOOKUP($F1971,Clientes!$B$4:$B$39,Clientes!$C$4:$C$39),Cadastros!$L$6:$L$12,Cadastros!$M$6:$M$12)," ")</f>
        <v xml:space="preserve"> </v>
      </c>
      <c r="R1971" s="28"/>
      <c r="S1971" s="28"/>
      <c r="T1971" s="255" t="str">
        <f>IF(R1971="","",(_xlfn.XLOOKUP(R1971,Cadastros!$D$6:$D$90,Cadastros!$E$6:$E$90))*(1-_xlfn.XLOOKUP(_xlfn.XLOOKUP($F1971,Clientes!$B$4:$B$39,Clientes!$C$4:$C$39),Cadastros!$L$6:$L$12,Cadastros!$N$6:$N$12)))</f>
        <v/>
      </c>
      <c r="U1971" s="168" t="str">
        <f t="shared" si="393"/>
        <v/>
      </c>
      <c r="V1971" s="168" t="str">
        <f>IFERROR(U1971/_xlfn.XLOOKUP(_xlfn.XLOOKUP($F1971,Clientes!$B$4:$B$39,Clientes!$C$4:$C$39),Cadastros!$L$6:$L$12,Cadastros!$M$6:$M$12)," ")</f>
        <v xml:space="preserve"> </v>
      </c>
      <c r="W1971" s="28"/>
      <c r="X1971" s="28"/>
      <c r="Y1971" s="255" t="str">
        <f>IF(W1971="","",(_xlfn.XLOOKUP(W1971,Cadastros!$D$6:$D$90,Cadastros!$E$6:$E$90))*(1-_xlfn.XLOOKUP(_xlfn.XLOOKUP($F1971,Clientes!$B$4:$B$39,Clientes!$C$4:$C$39),Cadastros!$L$6:$L$12,Cadastros!$N$6:$N$12)))</f>
        <v/>
      </c>
      <c r="Z1971" s="168" t="str">
        <f t="shared" si="394"/>
        <v/>
      </c>
      <c r="AA1971" s="168" t="str">
        <f>IFERROR(Z1971/_xlfn.XLOOKUP(_xlfn.XLOOKUP($F1971,Clientes!$B$4:$B$39,Clientes!$C$4:$C$39),Cadastros!$L$6:$L$12,Cadastros!$M$6:$M$12)," ")</f>
        <v xml:space="preserve"> </v>
      </c>
      <c r="AB1971" s="28"/>
      <c r="AC1971" s="28"/>
      <c r="AD1971" s="20" t="str">
        <f>IF(AB1971="","",IF($F1971="Bernardino Furlan",_xlfn.XLOOKUP(AB1971,Cadastros!$G$6:$G$90,Cadastros!$H$6:$H$90)*(1-0.18),IF($F1971="Mauro José Salanti",_xlfn.XLOOKUP(AB1971,Cadastros!$G$6:$G$90,Cadastros!$H$6:$H$90)*(1-0.18),_xlfn.XLOOKUP(AB1971,Cadastros!$G$6:$G$90,Cadastros!$H$6:$H$90))))</f>
        <v/>
      </c>
      <c r="AE1971" s="168" t="str">
        <f t="shared" si="395"/>
        <v/>
      </c>
      <c r="AF1971" s="168" t="str">
        <f t="shared" si="396"/>
        <v/>
      </c>
      <c r="AG1971" s="28"/>
      <c r="AH1971" s="28"/>
      <c r="AI1971" s="20" t="str">
        <f>IF(AG1971="","",IF($F1971="Bernardino Furlan",_xlfn.XLOOKUP(AG1971,Cadastros!$G$6:$G$90,Cadastros!$H$6:$H$90)*(1-0.18),IF($F1971="Mauro José Salanti",_xlfn.XLOOKUP(AG1971,Cadastros!$G$6:$G$90,Cadastros!$H$6:$H$90)*(1-0.18),_xlfn.XLOOKUP(AG1971,Cadastros!$G$6:$G$90,Cadastros!$H$6:$H$90))))</f>
        <v/>
      </c>
      <c r="AJ1971" s="168" t="str">
        <f t="shared" si="397"/>
        <v/>
      </c>
      <c r="AK1971" s="168" t="str">
        <f t="shared" si="398"/>
        <v/>
      </c>
      <c r="AL1971" s="28"/>
      <c r="AM1971" s="28"/>
      <c r="AN1971" s="20" t="str">
        <f>IF(AL1971="","",IF($F1971="Bernardino Furlan",_xlfn.XLOOKUP(AL1971,Cadastros!$G$6:$G$90,Cadastros!$H$6:$H$90)*(1-0.18),IF($F1971="Mauro José Salanti",_xlfn.XLOOKUP(AL1971,Cadastros!$G$6:$G$90,Cadastros!$H$6:$H$90)*(1-0.18),_xlfn.XLOOKUP(AL1971,Cadastros!$G$6:$G$90,Cadastros!$H$6:$H$90))))</f>
        <v/>
      </c>
      <c r="AO1971" s="168" t="str">
        <f t="shared" si="399"/>
        <v/>
      </c>
      <c r="AP1971" s="168" t="str">
        <f t="shared" si="400"/>
        <v/>
      </c>
      <c r="AQ1971" s="28"/>
      <c r="AR1971" s="28"/>
      <c r="AS1971" s="20" t="str">
        <f>IF(AQ1971="","",IF($F1971="Bernardino Furlan",_xlfn.XLOOKUP(AQ1971,Cadastros!$G$6:$G$90,Cadastros!$H$6:$H$90)*(1-0.18),IF($F1971="Mauro José Salanti",_xlfn.XLOOKUP(AQ1971,Cadastros!$G$6:$G$90,Cadastros!$H$6:$H$90)*(1-0.18),_xlfn.XLOOKUP(AQ1971,Cadastros!$G$6:$G$90,Cadastros!$H$6:$H$90))))</f>
        <v/>
      </c>
      <c r="AT1971" s="168" t="str">
        <f t="shared" si="401"/>
        <v/>
      </c>
      <c r="AU1971" s="168" t="str">
        <f t="shared" si="402"/>
        <v/>
      </c>
      <c r="AV1971" s="227"/>
      <c r="AW1971" s="30"/>
      <c r="AX1971" s="267"/>
      <c r="AY1971" s="267"/>
      <c r="AZ1971" s="29"/>
      <c r="BA1971" s="30"/>
      <c r="BB1971" s="23" t="str" cm="1">
        <f t="array" ref="BB1971">_xlfn.IFS(AW1971="SIM",SUM(K1971,P1971,U1971,Z1971,AE1971,AJ1971,AO1971,AT1971,AX1971,AY1971),F1971&lt;&gt;"",SUM(K1971,P1971,U1971,Z1971,AE1971,AJ1971,,AO1971,AT1971),F1971="","")</f>
        <v/>
      </c>
      <c r="BC1971" s="211" t="str" cm="1">
        <f t="array" ref="BC1971">_xlfn.IFS(E1971="","",G1971&lt;=E1971,BB1971*(1-0.03),G1971&lt;(E1971+8),BB1971,AZ1971="Boleto",BB1971*(1+0.001)^DATEDIF(E1971,G1971,"D"),AZ1971="Cheque",BB1971,AZ1971="Dinheiro","Alterar forma pgto")</f>
        <v/>
      </c>
      <c r="BD1971" s="276" t="str" cm="1">
        <f t="array" ref="BD1971">IF(F1971=0," ",IF(BC1971&lt;BB1971,(_xlfn.IFS(AW1971="SIM",SUM(L1971,Q1971,V1971,AA1971,AF1971,AK1971,AP1971,AU1971)+AX1971/_xlfn.XLOOKUP(_xlfn.XLOOKUP($F1971,Clientes!$B$4:$B$39,Clientes!$C$4:$C$39),Cadastros!$L$6:$L$12,Cadastros!$M$6:$M$12)+IF($F1971="Bernardino Furlan",AY1971/2751.92,IF($F1971="Mauro José Salanti",AY1971/2751.92,AY1971/3356)),F1971&lt;&gt;0,SUM(L1971,Q1971,V1971,AA1971,AF1971,AK1971,AP1971,AU1971)))*(1-0.03),_xlfn.IFS(AW1971="SIM",SUM(L1971,Q1971,V1971,AA1971,AF1971,AK1971,AP1971,AU1971)+AX1971/_xlfn.XLOOKUP(_xlfn.XLOOKUP($F1971,Clientes!$B$4:$B$39,Clientes!$C$4:$C$39),Cadastros!$L$6:$L$12,Cadastros!$M$6:$M$12)+IF($F1971="Bernardino Furlan",AY1971/2751.92,IF($F1971="Mauro José Salanti",AY1971/2751.92,AY1971/3356)),F1971&lt;&gt;0,SUM(L1971,Q1971,V1971,AA1971,AF1971,AK1971,AP1971,AU1971))))</f>
        <v xml:space="preserve"> </v>
      </c>
      <c r="BE1971" s="120"/>
      <c r="BF1971" s="120"/>
      <c r="BG1971" s="120"/>
    </row>
    <row r="1972" spans="1:59" s="3" customFormat="1" x14ac:dyDescent="0.3">
      <c r="A1972" s="15" t="str">
        <f t="shared" si="390"/>
        <v/>
      </c>
      <c r="B1972" s="25"/>
      <c r="C1972" s="26"/>
      <c r="D1972" s="279"/>
      <c r="E1972" s="27"/>
      <c r="F1972" s="28"/>
      <c r="G1972" s="27"/>
      <c r="H1972" s="28"/>
      <c r="I1972" s="28"/>
      <c r="J1972" s="255" t="str">
        <f>IF(H1972="","",(_xlfn.XLOOKUP(H1972,Cadastros!$D$6:$D$90,Cadastros!$E$6:$E$90))*(1-_xlfn.XLOOKUP(_xlfn.XLOOKUP($F1972,Clientes!$B$4:$B$39,Clientes!$C$4:$C$39),Cadastros!$L$6:$L$12,Cadastros!$N$6:$N$12)))</f>
        <v/>
      </c>
      <c r="K1972" s="168" t="str">
        <f t="shared" si="391"/>
        <v/>
      </c>
      <c r="L1972" s="168" t="str">
        <f>IFERROR(K1972/_xlfn.XLOOKUP(_xlfn.XLOOKUP($F1972,Clientes!$B$4:$B$39,Clientes!$C$4:$C$39),Cadastros!$L$6:$L$12,Cadastros!$M$6:$M$12)," ")</f>
        <v xml:space="preserve"> </v>
      </c>
      <c r="M1972" s="28"/>
      <c r="N1972" s="28"/>
      <c r="O1972" s="255" t="str">
        <f>IF(M1972="","",(_xlfn.XLOOKUP(M1972,Cadastros!$D$6:$D$90,Cadastros!$E$6:$E$90))*(1-_xlfn.XLOOKUP(_xlfn.XLOOKUP($F1972,Clientes!$B$4:$B$39,Clientes!$C$4:$C$39),Cadastros!$L$6:$L$12,Cadastros!$N$6:$N$12)))</f>
        <v/>
      </c>
      <c r="P1972" s="168" t="str">
        <f t="shared" si="392"/>
        <v/>
      </c>
      <c r="Q1972" s="168" t="str">
        <f>IFERROR(P1972/_xlfn.XLOOKUP(_xlfn.XLOOKUP($F1972,Clientes!$B$4:$B$39,Clientes!$C$4:$C$39),Cadastros!$L$6:$L$12,Cadastros!$M$6:$M$12)," ")</f>
        <v xml:space="preserve"> </v>
      </c>
      <c r="R1972" s="28"/>
      <c r="S1972" s="28"/>
      <c r="T1972" s="255" t="str">
        <f>IF(R1972="","",(_xlfn.XLOOKUP(R1972,Cadastros!$D$6:$D$90,Cadastros!$E$6:$E$90))*(1-_xlfn.XLOOKUP(_xlfn.XLOOKUP($F1972,Clientes!$B$4:$B$39,Clientes!$C$4:$C$39),Cadastros!$L$6:$L$12,Cadastros!$N$6:$N$12)))</f>
        <v/>
      </c>
      <c r="U1972" s="168" t="str">
        <f t="shared" si="393"/>
        <v/>
      </c>
      <c r="V1972" s="168" t="str">
        <f>IFERROR(U1972/_xlfn.XLOOKUP(_xlfn.XLOOKUP($F1972,Clientes!$B$4:$B$39,Clientes!$C$4:$C$39),Cadastros!$L$6:$L$12,Cadastros!$M$6:$M$12)," ")</f>
        <v xml:space="preserve"> </v>
      </c>
      <c r="W1972" s="28"/>
      <c r="X1972" s="28"/>
      <c r="Y1972" s="255" t="str">
        <f>IF(W1972="","",(_xlfn.XLOOKUP(W1972,Cadastros!$D$6:$D$90,Cadastros!$E$6:$E$90))*(1-_xlfn.XLOOKUP(_xlfn.XLOOKUP($F1972,Clientes!$B$4:$B$39,Clientes!$C$4:$C$39),Cadastros!$L$6:$L$12,Cadastros!$N$6:$N$12)))</f>
        <v/>
      </c>
      <c r="Z1972" s="168" t="str">
        <f t="shared" si="394"/>
        <v/>
      </c>
      <c r="AA1972" s="168" t="str">
        <f>IFERROR(Z1972/_xlfn.XLOOKUP(_xlfn.XLOOKUP($F1972,Clientes!$B$4:$B$39,Clientes!$C$4:$C$39),Cadastros!$L$6:$L$12,Cadastros!$M$6:$M$12)," ")</f>
        <v xml:space="preserve"> </v>
      </c>
      <c r="AB1972" s="28"/>
      <c r="AC1972" s="28"/>
      <c r="AD1972" s="20" t="str">
        <f>IF(AB1972="","",IF($F1972="Bernardino Furlan",_xlfn.XLOOKUP(AB1972,Cadastros!$G$6:$G$90,Cadastros!$H$6:$H$90)*(1-0.18),IF($F1972="Mauro José Salanti",_xlfn.XLOOKUP(AB1972,Cadastros!$G$6:$G$90,Cadastros!$H$6:$H$90)*(1-0.18),_xlfn.XLOOKUP(AB1972,Cadastros!$G$6:$G$90,Cadastros!$H$6:$H$90))))</f>
        <v/>
      </c>
      <c r="AE1972" s="168" t="str">
        <f t="shared" si="395"/>
        <v/>
      </c>
      <c r="AF1972" s="168" t="str">
        <f t="shared" si="396"/>
        <v/>
      </c>
      <c r="AG1972" s="28"/>
      <c r="AH1972" s="28"/>
      <c r="AI1972" s="20" t="str">
        <f>IF(AG1972="","",IF($F1972="Bernardino Furlan",_xlfn.XLOOKUP(AG1972,Cadastros!$G$6:$G$90,Cadastros!$H$6:$H$90)*(1-0.18),IF($F1972="Mauro José Salanti",_xlfn.XLOOKUP(AG1972,Cadastros!$G$6:$G$90,Cadastros!$H$6:$H$90)*(1-0.18),_xlfn.XLOOKUP(AG1972,Cadastros!$G$6:$G$90,Cadastros!$H$6:$H$90))))</f>
        <v/>
      </c>
      <c r="AJ1972" s="168" t="str">
        <f t="shared" si="397"/>
        <v/>
      </c>
      <c r="AK1972" s="168" t="str">
        <f t="shared" si="398"/>
        <v/>
      </c>
      <c r="AL1972" s="28"/>
      <c r="AM1972" s="28"/>
      <c r="AN1972" s="20" t="str">
        <f>IF(AL1972="","",IF($F1972="Bernardino Furlan",_xlfn.XLOOKUP(AL1972,Cadastros!$G$6:$G$90,Cadastros!$H$6:$H$90)*(1-0.18),IF($F1972="Mauro José Salanti",_xlfn.XLOOKUP(AL1972,Cadastros!$G$6:$G$90,Cadastros!$H$6:$H$90)*(1-0.18),_xlfn.XLOOKUP(AL1972,Cadastros!$G$6:$G$90,Cadastros!$H$6:$H$90))))</f>
        <v/>
      </c>
      <c r="AO1972" s="168" t="str">
        <f t="shared" si="399"/>
        <v/>
      </c>
      <c r="AP1972" s="168" t="str">
        <f t="shared" si="400"/>
        <v/>
      </c>
      <c r="AQ1972" s="28"/>
      <c r="AR1972" s="28"/>
      <c r="AS1972" s="20" t="str">
        <f>IF(AQ1972="","",IF($F1972="Bernardino Furlan",_xlfn.XLOOKUP(AQ1972,Cadastros!$G$6:$G$90,Cadastros!$H$6:$H$90)*(1-0.18),IF($F1972="Mauro José Salanti",_xlfn.XLOOKUP(AQ1972,Cadastros!$G$6:$G$90,Cadastros!$H$6:$H$90)*(1-0.18),_xlfn.XLOOKUP(AQ1972,Cadastros!$G$6:$G$90,Cadastros!$H$6:$H$90))))</f>
        <v/>
      </c>
      <c r="AT1972" s="168" t="str">
        <f t="shared" si="401"/>
        <v/>
      </c>
      <c r="AU1972" s="168" t="str">
        <f t="shared" si="402"/>
        <v/>
      </c>
      <c r="AV1972" s="227"/>
      <c r="AW1972" s="30"/>
      <c r="AX1972" s="267"/>
      <c r="AY1972" s="267"/>
      <c r="AZ1972" s="29"/>
      <c r="BA1972" s="30"/>
      <c r="BB1972" s="23" t="str" cm="1">
        <f t="array" ref="BB1972">_xlfn.IFS(AW1972="SIM",SUM(K1972,P1972,U1972,Z1972,AE1972,AJ1972,AO1972,AT1972,AX1972,AY1972),F1972&lt;&gt;"",SUM(K1972,P1972,U1972,Z1972,AE1972,AJ1972,,AO1972,AT1972),F1972="","")</f>
        <v/>
      </c>
      <c r="BC1972" s="211" t="str" cm="1">
        <f t="array" ref="BC1972">_xlfn.IFS(E1972="","",G1972&lt;=E1972,BB1972*(1-0.03),G1972&lt;(E1972+8),BB1972,AZ1972="Boleto",BB1972*(1+0.001)^DATEDIF(E1972,G1972,"D"),AZ1972="Cheque",BB1972,AZ1972="Dinheiro","Alterar forma pgto")</f>
        <v/>
      </c>
      <c r="BD1972" s="276" t="str" cm="1">
        <f t="array" ref="BD1972">IF(F1972=0," ",IF(BC1972&lt;BB1972,(_xlfn.IFS(AW1972="SIM",SUM(L1972,Q1972,V1972,AA1972,AF1972,AK1972,AP1972,AU1972)+AX1972/_xlfn.XLOOKUP(_xlfn.XLOOKUP($F1972,Clientes!$B$4:$B$39,Clientes!$C$4:$C$39),Cadastros!$L$6:$L$12,Cadastros!$M$6:$M$12)+IF($F1972="Bernardino Furlan",AY1972/2751.92,IF($F1972="Mauro José Salanti",AY1972/2751.92,AY1972/3356)),F1972&lt;&gt;0,SUM(L1972,Q1972,V1972,AA1972,AF1972,AK1972,AP1972,AU1972)))*(1-0.03),_xlfn.IFS(AW1972="SIM",SUM(L1972,Q1972,V1972,AA1972,AF1972,AK1972,AP1972,AU1972)+AX1972/_xlfn.XLOOKUP(_xlfn.XLOOKUP($F1972,Clientes!$B$4:$B$39,Clientes!$C$4:$C$39),Cadastros!$L$6:$L$12,Cadastros!$M$6:$M$12)+IF($F1972="Bernardino Furlan",AY1972/2751.92,IF($F1972="Mauro José Salanti",AY1972/2751.92,AY1972/3356)),F1972&lt;&gt;0,SUM(L1972,Q1972,V1972,AA1972,AF1972,AK1972,AP1972,AU1972))))</f>
        <v xml:space="preserve"> </v>
      </c>
      <c r="BE1972" s="120"/>
      <c r="BF1972" s="120"/>
      <c r="BG1972" s="120"/>
    </row>
    <row r="1973" spans="1:59" s="3" customFormat="1" x14ac:dyDescent="0.3">
      <c r="A1973" s="15" t="str">
        <f t="shared" si="390"/>
        <v/>
      </c>
      <c r="B1973" s="25"/>
      <c r="C1973" s="26"/>
      <c r="D1973" s="279"/>
      <c r="E1973" s="27"/>
      <c r="F1973" s="28"/>
      <c r="G1973" s="27"/>
      <c r="H1973" s="28"/>
      <c r="I1973" s="28"/>
      <c r="J1973" s="255" t="str">
        <f>IF(H1973="","",(_xlfn.XLOOKUP(H1973,Cadastros!$D$6:$D$90,Cadastros!$E$6:$E$90))*(1-_xlfn.XLOOKUP(_xlfn.XLOOKUP($F1973,Clientes!$B$4:$B$39,Clientes!$C$4:$C$39),Cadastros!$L$6:$L$12,Cadastros!$N$6:$N$12)))</f>
        <v/>
      </c>
      <c r="K1973" s="168" t="str">
        <f t="shared" si="391"/>
        <v/>
      </c>
      <c r="L1973" s="168" t="str">
        <f>IFERROR(K1973/_xlfn.XLOOKUP(_xlfn.XLOOKUP($F1973,Clientes!$B$4:$B$39,Clientes!$C$4:$C$39),Cadastros!$L$6:$L$12,Cadastros!$M$6:$M$12)," ")</f>
        <v xml:space="preserve"> </v>
      </c>
      <c r="M1973" s="28"/>
      <c r="N1973" s="28"/>
      <c r="O1973" s="255" t="str">
        <f>IF(M1973="","",(_xlfn.XLOOKUP(M1973,Cadastros!$D$6:$D$90,Cadastros!$E$6:$E$90))*(1-_xlfn.XLOOKUP(_xlfn.XLOOKUP($F1973,Clientes!$B$4:$B$39,Clientes!$C$4:$C$39),Cadastros!$L$6:$L$12,Cadastros!$N$6:$N$12)))</f>
        <v/>
      </c>
      <c r="P1973" s="168" t="str">
        <f t="shared" si="392"/>
        <v/>
      </c>
      <c r="Q1973" s="168" t="str">
        <f>IFERROR(P1973/_xlfn.XLOOKUP(_xlfn.XLOOKUP($F1973,Clientes!$B$4:$B$39,Clientes!$C$4:$C$39),Cadastros!$L$6:$L$12,Cadastros!$M$6:$M$12)," ")</f>
        <v xml:space="preserve"> </v>
      </c>
      <c r="R1973" s="28"/>
      <c r="S1973" s="28"/>
      <c r="T1973" s="255" t="str">
        <f>IF(R1973="","",(_xlfn.XLOOKUP(R1973,Cadastros!$D$6:$D$90,Cadastros!$E$6:$E$90))*(1-_xlfn.XLOOKUP(_xlfn.XLOOKUP($F1973,Clientes!$B$4:$B$39,Clientes!$C$4:$C$39),Cadastros!$L$6:$L$12,Cadastros!$N$6:$N$12)))</f>
        <v/>
      </c>
      <c r="U1973" s="168" t="str">
        <f t="shared" si="393"/>
        <v/>
      </c>
      <c r="V1973" s="168" t="str">
        <f>IFERROR(U1973/_xlfn.XLOOKUP(_xlfn.XLOOKUP($F1973,Clientes!$B$4:$B$39,Clientes!$C$4:$C$39),Cadastros!$L$6:$L$12,Cadastros!$M$6:$M$12)," ")</f>
        <v xml:space="preserve"> </v>
      </c>
      <c r="W1973" s="28"/>
      <c r="X1973" s="28"/>
      <c r="Y1973" s="255" t="str">
        <f>IF(W1973="","",(_xlfn.XLOOKUP(W1973,Cadastros!$D$6:$D$90,Cadastros!$E$6:$E$90))*(1-_xlfn.XLOOKUP(_xlfn.XLOOKUP($F1973,Clientes!$B$4:$B$39,Clientes!$C$4:$C$39),Cadastros!$L$6:$L$12,Cadastros!$N$6:$N$12)))</f>
        <v/>
      </c>
      <c r="Z1973" s="168" t="str">
        <f t="shared" si="394"/>
        <v/>
      </c>
      <c r="AA1973" s="168" t="str">
        <f>IFERROR(Z1973/_xlfn.XLOOKUP(_xlfn.XLOOKUP($F1973,Clientes!$B$4:$B$39,Clientes!$C$4:$C$39),Cadastros!$L$6:$L$12,Cadastros!$M$6:$M$12)," ")</f>
        <v xml:space="preserve"> </v>
      </c>
      <c r="AB1973" s="28"/>
      <c r="AC1973" s="28"/>
      <c r="AD1973" s="20" t="str">
        <f>IF(AB1973="","",IF($F1973="Bernardino Furlan",_xlfn.XLOOKUP(AB1973,Cadastros!$G$6:$G$90,Cadastros!$H$6:$H$90)*(1-0.18),IF($F1973="Mauro José Salanti",_xlfn.XLOOKUP(AB1973,Cadastros!$G$6:$G$90,Cadastros!$H$6:$H$90)*(1-0.18),_xlfn.XLOOKUP(AB1973,Cadastros!$G$6:$G$90,Cadastros!$H$6:$H$90))))</f>
        <v/>
      </c>
      <c r="AE1973" s="168" t="str">
        <f t="shared" si="395"/>
        <v/>
      </c>
      <c r="AF1973" s="168" t="str">
        <f t="shared" si="396"/>
        <v/>
      </c>
      <c r="AG1973" s="28"/>
      <c r="AH1973" s="28"/>
      <c r="AI1973" s="20" t="str">
        <f>IF(AG1973="","",IF($F1973="Bernardino Furlan",_xlfn.XLOOKUP(AG1973,Cadastros!$G$6:$G$90,Cadastros!$H$6:$H$90)*(1-0.18),IF($F1973="Mauro José Salanti",_xlfn.XLOOKUP(AG1973,Cadastros!$G$6:$G$90,Cadastros!$H$6:$H$90)*(1-0.18),_xlfn.XLOOKUP(AG1973,Cadastros!$G$6:$G$90,Cadastros!$H$6:$H$90))))</f>
        <v/>
      </c>
      <c r="AJ1973" s="168" t="str">
        <f t="shared" si="397"/>
        <v/>
      </c>
      <c r="AK1973" s="168" t="str">
        <f t="shared" si="398"/>
        <v/>
      </c>
      <c r="AL1973" s="28"/>
      <c r="AM1973" s="28"/>
      <c r="AN1973" s="20" t="str">
        <f>IF(AL1973="","",IF($F1973="Bernardino Furlan",_xlfn.XLOOKUP(AL1973,Cadastros!$G$6:$G$90,Cadastros!$H$6:$H$90)*(1-0.18),IF($F1973="Mauro José Salanti",_xlfn.XLOOKUP(AL1973,Cadastros!$G$6:$G$90,Cadastros!$H$6:$H$90)*(1-0.18),_xlfn.XLOOKUP(AL1973,Cadastros!$G$6:$G$90,Cadastros!$H$6:$H$90))))</f>
        <v/>
      </c>
      <c r="AO1973" s="168" t="str">
        <f t="shared" si="399"/>
        <v/>
      </c>
      <c r="AP1973" s="168" t="str">
        <f t="shared" si="400"/>
        <v/>
      </c>
      <c r="AQ1973" s="28"/>
      <c r="AR1973" s="28"/>
      <c r="AS1973" s="20" t="str">
        <f>IF(AQ1973="","",IF($F1973="Bernardino Furlan",_xlfn.XLOOKUP(AQ1973,Cadastros!$G$6:$G$90,Cadastros!$H$6:$H$90)*(1-0.18),IF($F1973="Mauro José Salanti",_xlfn.XLOOKUP(AQ1973,Cadastros!$G$6:$G$90,Cadastros!$H$6:$H$90)*(1-0.18),_xlfn.XLOOKUP(AQ1973,Cadastros!$G$6:$G$90,Cadastros!$H$6:$H$90))))</f>
        <v/>
      </c>
      <c r="AT1973" s="168" t="str">
        <f t="shared" si="401"/>
        <v/>
      </c>
      <c r="AU1973" s="168" t="str">
        <f t="shared" si="402"/>
        <v/>
      </c>
      <c r="AV1973" s="227"/>
      <c r="AW1973" s="30"/>
      <c r="AX1973" s="267"/>
      <c r="AY1973" s="267"/>
      <c r="AZ1973" s="29"/>
      <c r="BA1973" s="30"/>
      <c r="BB1973" s="23" t="str" cm="1">
        <f t="array" ref="BB1973">_xlfn.IFS(AW1973="SIM",SUM(K1973,P1973,U1973,Z1973,AE1973,AJ1973,AO1973,AT1973,AX1973,AY1973),F1973&lt;&gt;"",SUM(K1973,P1973,U1973,Z1973,AE1973,AJ1973,,AO1973,AT1973),F1973="","")</f>
        <v/>
      </c>
      <c r="BC1973" s="211" t="str" cm="1">
        <f t="array" ref="BC1973">_xlfn.IFS(E1973="","",G1973&lt;=E1973,BB1973*(1-0.03),G1973&lt;(E1973+8),BB1973,AZ1973="Boleto",BB1973*(1+0.001)^DATEDIF(E1973,G1973,"D"),AZ1973="Cheque",BB1973,AZ1973="Dinheiro","Alterar forma pgto")</f>
        <v/>
      </c>
      <c r="BD1973" s="276" t="str" cm="1">
        <f t="array" ref="BD1973">IF(F1973=0," ",IF(BC1973&lt;BB1973,(_xlfn.IFS(AW1973="SIM",SUM(L1973,Q1973,V1973,AA1973,AF1973,AK1973,AP1973,AU1973)+AX1973/_xlfn.XLOOKUP(_xlfn.XLOOKUP($F1973,Clientes!$B$4:$B$39,Clientes!$C$4:$C$39),Cadastros!$L$6:$L$12,Cadastros!$M$6:$M$12)+IF($F1973="Bernardino Furlan",AY1973/2751.92,IF($F1973="Mauro José Salanti",AY1973/2751.92,AY1973/3356)),F1973&lt;&gt;0,SUM(L1973,Q1973,V1973,AA1973,AF1973,AK1973,AP1973,AU1973)))*(1-0.03),_xlfn.IFS(AW1973="SIM",SUM(L1973,Q1973,V1973,AA1973,AF1973,AK1973,AP1973,AU1973)+AX1973/_xlfn.XLOOKUP(_xlfn.XLOOKUP($F1973,Clientes!$B$4:$B$39,Clientes!$C$4:$C$39),Cadastros!$L$6:$L$12,Cadastros!$M$6:$M$12)+IF($F1973="Bernardino Furlan",AY1973/2751.92,IF($F1973="Mauro José Salanti",AY1973/2751.92,AY1973/3356)),F1973&lt;&gt;0,SUM(L1973,Q1973,V1973,AA1973,AF1973,AK1973,AP1973,AU1973))))</f>
        <v xml:space="preserve"> </v>
      </c>
      <c r="BE1973" s="120"/>
      <c r="BF1973" s="120"/>
      <c r="BG1973" s="120"/>
    </row>
    <row r="1974" spans="1:59" s="3" customFormat="1" x14ac:dyDescent="0.3">
      <c r="A1974" s="15" t="str">
        <f t="shared" si="390"/>
        <v/>
      </c>
      <c r="B1974" s="25"/>
      <c r="C1974" s="26"/>
      <c r="D1974" s="279"/>
      <c r="E1974" s="27"/>
      <c r="F1974" s="28"/>
      <c r="G1974" s="27"/>
      <c r="H1974" s="28"/>
      <c r="I1974" s="28"/>
      <c r="J1974" s="255" t="str">
        <f>IF(H1974="","",(_xlfn.XLOOKUP(H1974,Cadastros!$D$6:$D$90,Cadastros!$E$6:$E$90))*(1-_xlfn.XLOOKUP(_xlfn.XLOOKUP($F1974,Clientes!$B$4:$B$39,Clientes!$C$4:$C$39),Cadastros!$L$6:$L$12,Cadastros!$N$6:$N$12)))</f>
        <v/>
      </c>
      <c r="K1974" s="168" t="str">
        <f t="shared" si="391"/>
        <v/>
      </c>
      <c r="L1974" s="168" t="str">
        <f>IFERROR(K1974/_xlfn.XLOOKUP(_xlfn.XLOOKUP($F1974,Clientes!$B$4:$B$39,Clientes!$C$4:$C$39),Cadastros!$L$6:$L$12,Cadastros!$M$6:$M$12)," ")</f>
        <v xml:space="preserve"> </v>
      </c>
      <c r="M1974" s="28"/>
      <c r="N1974" s="28"/>
      <c r="O1974" s="255" t="str">
        <f>IF(M1974="","",(_xlfn.XLOOKUP(M1974,Cadastros!$D$6:$D$90,Cadastros!$E$6:$E$90))*(1-_xlfn.XLOOKUP(_xlfn.XLOOKUP($F1974,Clientes!$B$4:$B$39,Clientes!$C$4:$C$39),Cadastros!$L$6:$L$12,Cadastros!$N$6:$N$12)))</f>
        <v/>
      </c>
      <c r="P1974" s="168" t="str">
        <f t="shared" si="392"/>
        <v/>
      </c>
      <c r="Q1974" s="168" t="str">
        <f>IFERROR(P1974/_xlfn.XLOOKUP(_xlfn.XLOOKUP($F1974,Clientes!$B$4:$B$39,Clientes!$C$4:$C$39),Cadastros!$L$6:$L$12,Cadastros!$M$6:$M$12)," ")</f>
        <v xml:space="preserve"> </v>
      </c>
      <c r="R1974" s="28"/>
      <c r="S1974" s="28"/>
      <c r="T1974" s="255" t="str">
        <f>IF(R1974="","",(_xlfn.XLOOKUP(R1974,Cadastros!$D$6:$D$90,Cadastros!$E$6:$E$90))*(1-_xlfn.XLOOKUP(_xlfn.XLOOKUP($F1974,Clientes!$B$4:$B$39,Clientes!$C$4:$C$39),Cadastros!$L$6:$L$12,Cadastros!$N$6:$N$12)))</f>
        <v/>
      </c>
      <c r="U1974" s="168" t="str">
        <f t="shared" si="393"/>
        <v/>
      </c>
      <c r="V1974" s="168" t="str">
        <f>IFERROR(U1974/_xlfn.XLOOKUP(_xlfn.XLOOKUP($F1974,Clientes!$B$4:$B$39,Clientes!$C$4:$C$39),Cadastros!$L$6:$L$12,Cadastros!$M$6:$M$12)," ")</f>
        <v xml:space="preserve"> </v>
      </c>
      <c r="W1974" s="28"/>
      <c r="X1974" s="28"/>
      <c r="Y1974" s="255" t="str">
        <f>IF(W1974="","",(_xlfn.XLOOKUP(W1974,Cadastros!$D$6:$D$90,Cadastros!$E$6:$E$90))*(1-_xlfn.XLOOKUP(_xlfn.XLOOKUP($F1974,Clientes!$B$4:$B$39,Clientes!$C$4:$C$39),Cadastros!$L$6:$L$12,Cadastros!$N$6:$N$12)))</f>
        <v/>
      </c>
      <c r="Z1974" s="168" t="str">
        <f t="shared" si="394"/>
        <v/>
      </c>
      <c r="AA1974" s="168" t="str">
        <f>IFERROR(Z1974/_xlfn.XLOOKUP(_xlfn.XLOOKUP($F1974,Clientes!$B$4:$B$39,Clientes!$C$4:$C$39),Cadastros!$L$6:$L$12,Cadastros!$M$6:$M$12)," ")</f>
        <v xml:space="preserve"> </v>
      </c>
      <c r="AB1974" s="28"/>
      <c r="AC1974" s="28"/>
      <c r="AD1974" s="20" t="str">
        <f>IF(AB1974="","",IF($F1974="Bernardino Furlan",_xlfn.XLOOKUP(AB1974,Cadastros!$G$6:$G$90,Cadastros!$H$6:$H$90)*(1-0.18),IF($F1974="Mauro José Salanti",_xlfn.XLOOKUP(AB1974,Cadastros!$G$6:$G$90,Cadastros!$H$6:$H$90)*(1-0.18),_xlfn.XLOOKUP(AB1974,Cadastros!$G$6:$G$90,Cadastros!$H$6:$H$90))))</f>
        <v/>
      </c>
      <c r="AE1974" s="168" t="str">
        <f t="shared" si="395"/>
        <v/>
      </c>
      <c r="AF1974" s="168" t="str">
        <f t="shared" si="396"/>
        <v/>
      </c>
      <c r="AG1974" s="28"/>
      <c r="AH1974" s="28"/>
      <c r="AI1974" s="20" t="str">
        <f>IF(AG1974="","",IF($F1974="Bernardino Furlan",_xlfn.XLOOKUP(AG1974,Cadastros!$G$6:$G$90,Cadastros!$H$6:$H$90)*(1-0.18),IF($F1974="Mauro José Salanti",_xlfn.XLOOKUP(AG1974,Cadastros!$G$6:$G$90,Cadastros!$H$6:$H$90)*(1-0.18),_xlfn.XLOOKUP(AG1974,Cadastros!$G$6:$G$90,Cadastros!$H$6:$H$90))))</f>
        <v/>
      </c>
      <c r="AJ1974" s="168" t="str">
        <f t="shared" si="397"/>
        <v/>
      </c>
      <c r="AK1974" s="168" t="str">
        <f t="shared" si="398"/>
        <v/>
      </c>
      <c r="AL1974" s="28"/>
      <c r="AM1974" s="28"/>
      <c r="AN1974" s="20" t="str">
        <f>IF(AL1974="","",IF($F1974="Bernardino Furlan",_xlfn.XLOOKUP(AL1974,Cadastros!$G$6:$G$90,Cadastros!$H$6:$H$90)*(1-0.18),IF($F1974="Mauro José Salanti",_xlfn.XLOOKUP(AL1974,Cadastros!$G$6:$G$90,Cadastros!$H$6:$H$90)*(1-0.18),_xlfn.XLOOKUP(AL1974,Cadastros!$G$6:$G$90,Cadastros!$H$6:$H$90))))</f>
        <v/>
      </c>
      <c r="AO1974" s="168" t="str">
        <f t="shared" si="399"/>
        <v/>
      </c>
      <c r="AP1974" s="168" t="str">
        <f t="shared" si="400"/>
        <v/>
      </c>
      <c r="AQ1974" s="28"/>
      <c r="AR1974" s="28"/>
      <c r="AS1974" s="20" t="str">
        <f>IF(AQ1974="","",IF($F1974="Bernardino Furlan",_xlfn.XLOOKUP(AQ1974,Cadastros!$G$6:$G$90,Cadastros!$H$6:$H$90)*(1-0.18),IF($F1974="Mauro José Salanti",_xlfn.XLOOKUP(AQ1974,Cadastros!$G$6:$G$90,Cadastros!$H$6:$H$90)*(1-0.18),_xlfn.XLOOKUP(AQ1974,Cadastros!$G$6:$G$90,Cadastros!$H$6:$H$90))))</f>
        <v/>
      </c>
      <c r="AT1974" s="168" t="str">
        <f t="shared" si="401"/>
        <v/>
      </c>
      <c r="AU1974" s="168" t="str">
        <f t="shared" si="402"/>
        <v/>
      </c>
      <c r="AV1974" s="227"/>
      <c r="AW1974" s="30"/>
      <c r="AX1974" s="267"/>
      <c r="AY1974" s="267"/>
      <c r="AZ1974" s="29"/>
      <c r="BA1974" s="30"/>
      <c r="BB1974" s="23" t="str" cm="1">
        <f t="array" ref="BB1974">_xlfn.IFS(AW1974="SIM",SUM(K1974,P1974,U1974,Z1974,AE1974,AJ1974,AO1974,AT1974,AX1974,AY1974),F1974&lt;&gt;"",SUM(K1974,P1974,U1974,Z1974,AE1974,AJ1974,,AO1974,AT1974),F1974="","")</f>
        <v/>
      </c>
      <c r="BC1974" s="211" t="str" cm="1">
        <f t="array" ref="BC1974">_xlfn.IFS(E1974="","",G1974&lt;=E1974,BB1974*(1-0.03),G1974&lt;(E1974+8),BB1974,AZ1974="Boleto",BB1974*(1+0.001)^DATEDIF(E1974,G1974,"D"),AZ1974="Cheque",BB1974,AZ1974="Dinheiro","Alterar forma pgto")</f>
        <v/>
      </c>
      <c r="BD1974" s="276" t="str" cm="1">
        <f t="array" ref="BD1974">IF(F1974=0," ",IF(BC1974&lt;BB1974,(_xlfn.IFS(AW1974="SIM",SUM(L1974,Q1974,V1974,AA1974,AF1974,AK1974,AP1974,AU1974)+AX1974/_xlfn.XLOOKUP(_xlfn.XLOOKUP($F1974,Clientes!$B$4:$B$39,Clientes!$C$4:$C$39),Cadastros!$L$6:$L$12,Cadastros!$M$6:$M$12)+IF($F1974="Bernardino Furlan",AY1974/2751.92,IF($F1974="Mauro José Salanti",AY1974/2751.92,AY1974/3356)),F1974&lt;&gt;0,SUM(L1974,Q1974,V1974,AA1974,AF1974,AK1974,AP1974,AU1974)))*(1-0.03),_xlfn.IFS(AW1974="SIM",SUM(L1974,Q1974,V1974,AA1974,AF1974,AK1974,AP1974,AU1974)+AX1974/_xlfn.XLOOKUP(_xlfn.XLOOKUP($F1974,Clientes!$B$4:$B$39,Clientes!$C$4:$C$39),Cadastros!$L$6:$L$12,Cadastros!$M$6:$M$12)+IF($F1974="Bernardino Furlan",AY1974/2751.92,IF($F1974="Mauro José Salanti",AY1974/2751.92,AY1974/3356)),F1974&lt;&gt;0,SUM(L1974,Q1974,V1974,AA1974,AF1974,AK1974,AP1974,AU1974))))</f>
        <v xml:space="preserve"> </v>
      </c>
      <c r="BE1974" s="120"/>
      <c r="BF1974" s="120"/>
      <c r="BG1974" s="120"/>
    </row>
    <row r="1975" spans="1:59" s="3" customFormat="1" x14ac:dyDescent="0.3">
      <c r="A1975" s="15" t="str">
        <f t="shared" si="390"/>
        <v/>
      </c>
      <c r="B1975" s="25"/>
      <c r="C1975" s="26"/>
      <c r="D1975" s="279"/>
      <c r="E1975" s="27"/>
      <c r="F1975" s="28"/>
      <c r="G1975" s="27"/>
      <c r="H1975" s="28"/>
      <c r="I1975" s="28"/>
      <c r="J1975" s="255" t="str">
        <f>IF(H1975="","",(_xlfn.XLOOKUP(H1975,Cadastros!$D$6:$D$90,Cadastros!$E$6:$E$90))*(1-_xlfn.XLOOKUP(_xlfn.XLOOKUP($F1975,Clientes!$B$4:$B$39,Clientes!$C$4:$C$39),Cadastros!$L$6:$L$12,Cadastros!$N$6:$N$12)))</f>
        <v/>
      </c>
      <c r="K1975" s="168" t="str">
        <f t="shared" si="391"/>
        <v/>
      </c>
      <c r="L1975" s="168" t="str">
        <f>IFERROR(K1975/_xlfn.XLOOKUP(_xlfn.XLOOKUP($F1975,Clientes!$B$4:$B$39,Clientes!$C$4:$C$39),Cadastros!$L$6:$L$12,Cadastros!$M$6:$M$12)," ")</f>
        <v xml:space="preserve"> </v>
      </c>
      <c r="M1975" s="28"/>
      <c r="N1975" s="28"/>
      <c r="O1975" s="255" t="str">
        <f>IF(M1975="","",(_xlfn.XLOOKUP(M1975,Cadastros!$D$6:$D$90,Cadastros!$E$6:$E$90))*(1-_xlfn.XLOOKUP(_xlfn.XLOOKUP($F1975,Clientes!$B$4:$B$39,Clientes!$C$4:$C$39),Cadastros!$L$6:$L$12,Cadastros!$N$6:$N$12)))</f>
        <v/>
      </c>
      <c r="P1975" s="168" t="str">
        <f t="shared" si="392"/>
        <v/>
      </c>
      <c r="Q1975" s="168" t="str">
        <f>IFERROR(P1975/_xlfn.XLOOKUP(_xlfn.XLOOKUP($F1975,Clientes!$B$4:$B$39,Clientes!$C$4:$C$39),Cadastros!$L$6:$L$12,Cadastros!$M$6:$M$12)," ")</f>
        <v xml:space="preserve"> </v>
      </c>
      <c r="R1975" s="28"/>
      <c r="S1975" s="28"/>
      <c r="T1975" s="255" t="str">
        <f>IF(R1975="","",(_xlfn.XLOOKUP(R1975,Cadastros!$D$6:$D$90,Cadastros!$E$6:$E$90))*(1-_xlfn.XLOOKUP(_xlfn.XLOOKUP($F1975,Clientes!$B$4:$B$39,Clientes!$C$4:$C$39),Cadastros!$L$6:$L$12,Cadastros!$N$6:$N$12)))</f>
        <v/>
      </c>
      <c r="U1975" s="168" t="str">
        <f t="shared" si="393"/>
        <v/>
      </c>
      <c r="V1975" s="168" t="str">
        <f>IFERROR(U1975/_xlfn.XLOOKUP(_xlfn.XLOOKUP($F1975,Clientes!$B$4:$B$39,Clientes!$C$4:$C$39),Cadastros!$L$6:$L$12,Cadastros!$M$6:$M$12)," ")</f>
        <v xml:space="preserve"> </v>
      </c>
      <c r="W1975" s="28"/>
      <c r="X1975" s="28"/>
      <c r="Y1975" s="255" t="str">
        <f>IF(W1975="","",(_xlfn.XLOOKUP(W1975,Cadastros!$D$6:$D$90,Cadastros!$E$6:$E$90))*(1-_xlfn.XLOOKUP(_xlfn.XLOOKUP($F1975,Clientes!$B$4:$B$39,Clientes!$C$4:$C$39),Cadastros!$L$6:$L$12,Cadastros!$N$6:$N$12)))</f>
        <v/>
      </c>
      <c r="Z1975" s="168" t="str">
        <f t="shared" si="394"/>
        <v/>
      </c>
      <c r="AA1975" s="168" t="str">
        <f>IFERROR(Z1975/_xlfn.XLOOKUP(_xlfn.XLOOKUP($F1975,Clientes!$B$4:$B$39,Clientes!$C$4:$C$39),Cadastros!$L$6:$L$12,Cadastros!$M$6:$M$12)," ")</f>
        <v xml:space="preserve"> </v>
      </c>
      <c r="AB1975" s="28"/>
      <c r="AC1975" s="28"/>
      <c r="AD1975" s="20" t="str">
        <f>IF(AB1975="","",IF($F1975="Bernardino Furlan",_xlfn.XLOOKUP(AB1975,Cadastros!$G$6:$G$90,Cadastros!$H$6:$H$90)*(1-0.18),IF($F1975="Mauro José Salanti",_xlfn.XLOOKUP(AB1975,Cadastros!$G$6:$G$90,Cadastros!$H$6:$H$90)*(1-0.18),_xlfn.XLOOKUP(AB1975,Cadastros!$G$6:$G$90,Cadastros!$H$6:$H$90))))</f>
        <v/>
      </c>
      <c r="AE1975" s="168" t="str">
        <f t="shared" si="395"/>
        <v/>
      </c>
      <c r="AF1975" s="168" t="str">
        <f t="shared" si="396"/>
        <v/>
      </c>
      <c r="AG1975" s="28"/>
      <c r="AH1975" s="28"/>
      <c r="AI1975" s="20" t="str">
        <f>IF(AG1975="","",IF($F1975="Bernardino Furlan",_xlfn.XLOOKUP(AG1975,Cadastros!$G$6:$G$90,Cadastros!$H$6:$H$90)*(1-0.18),IF($F1975="Mauro José Salanti",_xlfn.XLOOKUP(AG1975,Cadastros!$G$6:$G$90,Cadastros!$H$6:$H$90)*(1-0.18),_xlfn.XLOOKUP(AG1975,Cadastros!$G$6:$G$90,Cadastros!$H$6:$H$90))))</f>
        <v/>
      </c>
      <c r="AJ1975" s="168" t="str">
        <f t="shared" si="397"/>
        <v/>
      </c>
      <c r="AK1975" s="168" t="str">
        <f t="shared" si="398"/>
        <v/>
      </c>
      <c r="AL1975" s="28"/>
      <c r="AM1975" s="28"/>
      <c r="AN1975" s="20" t="str">
        <f>IF(AL1975="","",IF($F1975="Bernardino Furlan",_xlfn.XLOOKUP(AL1975,Cadastros!$G$6:$G$90,Cadastros!$H$6:$H$90)*(1-0.18),IF($F1975="Mauro José Salanti",_xlfn.XLOOKUP(AL1975,Cadastros!$G$6:$G$90,Cadastros!$H$6:$H$90)*(1-0.18),_xlfn.XLOOKUP(AL1975,Cadastros!$G$6:$G$90,Cadastros!$H$6:$H$90))))</f>
        <v/>
      </c>
      <c r="AO1975" s="168" t="str">
        <f t="shared" si="399"/>
        <v/>
      </c>
      <c r="AP1975" s="168" t="str">
        <f t="shared" si="400"/>
        <v/>
      </c>
      <c r="AQ1975" s="28"/>
      <c r="AR1975" s="28"/>
      <c r="AS1975" s="20" t="str">
        <f>IF(AQ1975="","",IF($F1975="Bernardino Furlan",_xlfn.XLOOKUP(AQ1975,Cadastros!$G$6:$G$90,Cadastros!$H$6:$H$90)*(1-0.18),IF($F1975="Mauro José Salanti",_xlfn.XLOOKUP(AQ1975,Cadastros!$G$6:$G$90,Cadastros!$H$6:$H$90)*(1-0.18),_xlfn.XLOOKUP(AQ1975,Cadastros!$G$6:$G$90,Cadastros!$H$6:$H$90))))</f>
        <v/>
      </c>
      <c r="AT1975" s="168" t="str">
        <f t="shared" si="401"/>
        <v/>
      </c>
      <c r="AU1975" s="168" t="str">
        <f t="shared" si="402"/>
        <v/>
      </c>
      <c r="AV1975" s="227"/>
      <c r="AW1975" s="30"/>
      <c r="AX1975" s="267"/>
      <c r="AY1975" s="267"/>
      <c r="AZ1975" s="29"/>
      <c r="BA1975" s="30"/>
      <c r="BB1975" s="23" t="str" cm="1">
        <f t="array" ref="BB1975">_xlfn.IFS(AW1975="SIM",SUM(K1975,P1975,U1975,Z1975,AE1975,AJ1975,AO1975,AT1975,AX1975,AY1975),F1975&lt;&gt;"",SUM(K1975,P1975,U1975,Z1975,AE1975,AJ1975,,AO1975,AT1975),F1975="","")</f>
        <v/>
      </c>
      <c r="BC1975" s="211" t="str" cm="1">
        <f t="array" ref="BC1975">_xlfn.IFS(E1975="","",G1975&lt;=E1975,BB1975*(1-0.03),G1975&lt;(E1975+8),BB1975,AZ1975="Boleto",BB1975*(1+0.001)^DATEDIF(E1975,G1975,"D"),AZ1975="Cheque",BB1975,AZ1975="Dinheiro","Alterar forma pgto")</f>
        <v/>
      </c>
      <c r="BD1975" s="276" t="str" cm="1">
        <f t="array" ref="BD1975">IF(F1975=0," ",IF(BC1975&lt;BB1975,(_xlfn.IFS(AW1975="SIM",SUM(L1975,Q1975,V1975,AA1975,AF1975,AK1975,AP1975,AU1975)+AX1975/_xlfn.XLOOKUP(_xlfn.XLOOKUP($F1975,Clientes!$B$4:$B$39,Clientes!$C$4:$C$39),Cadastros!$L$6:$L$12,Cadastros!$M$6:$M$12)+IF($F1975="Bernardino Furlan",AY1975/2751.92,IF($F1975="Mauro José Salanti",AY1975/2751.92,AY1975/3356)),F1975&lt;&gt;0,SUM(L1975,Q1975,V1975,AA1975,AF1975,AK1975,AP1975,AU1975)))*(1-0.03),_xlfn.IFS(AW1975="SIM",SUM(L1975,Q1975,V1975,AA1975,AF1975,AK1975,AP1975,AU1975)+AX1975/_xlfn.XLOOKUP(_xlfn.XLOOKUP($F1975,Clientes!$B$4:$B$39,Clientes!$C$4:$C$39),Cadastros!$L$6:$L$12,Cadastros!$M$6:$M$12)+IF($F1975="Bernardino Furlan",AY1975/2751.92,IF($F1975="Mauro José Salanti",AY1975/2751.92,AY1975/3356)),F1975&lt;&gt;0,SUM(L1975,Q1975,V1975,AA1975,AF1975,AK1975,AP1975,AU1975))))</f>
        <v xml:space="preserve"> </v>
      </c>
      <c r="BE1975" s="120"/>
      <c r="BF1975" s="120"/>
      <c r="BG1975" s="120"/>
    </row>
    <row r="1976" spans="1:59" s="3" customFormat="1" x14ac:dyDescent="0.3">
      <c r="A1976" s="15" t="str">
        <f t="shared" si="390"/>
        <v/>
      </c>
      <c r="B1976" s="25"/>
      <c r="C1976" s="26"/>
      <c r="D1976" s="279"/>
      <c r="E1976" s="27"/>
      <c r="F1976" s="28"/>
      <c r="G1976" s="27"/>
      <c r="H1976" s="28"/>
      <c r="I1976" s="28"/>
      <c r="J1976" s="255" t="str">
        <f>IF(H1976="","",(_xlfn.XLOOKUP(H1976,Cadastros!$D$6:$D$90,Cadastros!$E$6:$E$90))*(1-_xlfn.XLOOKUP(_xlfn.XLOOKUP($F1976,Clientes!$B$4:$B$39,Clientes!$C$4:$C$39),Cadastros!$L$6:$L$12,Cadastros!$N$6:$N$12)))</f>
        <v/>
      </c>
      <c r="K1976" s="168" t="str">
        <f t="shared" si="391"/>
        <v/>
      </c>
      <c r="L1976" s="168" t="str">
        <f>IFERROR(K1976/_xlfn.XLOOKUP(_xlfn.XLOOKUP($F1976,Clientes!$B$4:$B$39,Clientes!$C$4:$C$39),Cadastros!$L$6:$L$12,Cadastros!$M$6:$M$12)," ")</f>
        <v xml:space="preserve"> </v>
      </c>
      <c r="M1976" s="28"/>
      <c r="N1976" s="28"/>
      <c r="O1976" s="255" t="str">
        <f>IF(M1976="","",(_xlfn.XLOOKUP(M1976,Cadastros!$D$6:$D$90,Cadastros!$E$6:$E$90))*(1-_xlfn.XLOOKUP(_xlfn.XLOOKUP($F1976,Clientes!$B$4:$B$39,Clientes!$C$4:$C$39),Cadastros!$L$6:$L$12,Cadastros!$N$6:$N$12)))</f>
        <v/>
      </c>
      <c r="P1976" s="168" t="str">
        <f t="shared" si="392"/>
        <v/>
      </c>
      <c r="Q1976" s="168" t="str">
        <f>IFERROR(P1976/_xlfn.XLOOKUP(_xlfn.XLOOKUP($F1976,Clientes!$B$4:$B$39,Clientes!$C$4:$C$39),Cadastros!$L$6:$L$12,Cadastros!$M$6:$M$12)," ")</f>
        <v xml:space="preserve"> </v>
      </c>
      <c r="R1976" s="28"/>
      <c r="S1976" s="28"/>
      <c r="T1976" s="255" t="str">
        <f>IF(R1976="","",(_xlfn.XLOOKUP(R1976,Cadastros!$D$6:$D$90,Cadastros!$E$6:$E$90))*(1-_xlfn.XLOOKUP(_xlfn.XLOOKUP($F1976,Clientes!$B$4:$B$39,Clientes!$C$4:$C$39),Cadastros!$L$6:$L$12,Cadastros!$N$6:$N$12)))</f>
        <v/>
      </c>
      <c r="U1976" s="168" t="str">
        <f t="shared" si="393"/>
        <v/>
      </c>
      <c r="V1976" s="168" t="str">
        <f>IFERROR(U1976/_xlfn.XLOOKUP(_xlfn.XLOOKUP($F1976,Clientes!$B$4:$B$39,Clientes!$C$4:$C$39),Cadastros!$L$6:$L$12,Cadastros!$M$6:$M$12)," ")</f>
        <v xml:space="preserve"> </v>
      </c>
      <c r="W1976" s="28"/>
      <c r="X1976" s="28"/>
      <c r="Y1976" s="255" t="str">
        <f>IF(W1976="","",(_xlfn.XLOOKUP(W1976,Cadastros!$D$6:$D$90,Cadastros!$E$6:$E$90))*(1-_xlfn.XLOOKUP(_xlfn.XLOOKUP($F1976,Clientes!$B$4:$B$39,Clientes!$C$4:$C$39),Cadastros!$L$6:$L$12,Cadastros!$N$6:$N$12)))</f>
        <v/>
      </c>
      <c r="Z1976" s="168" t="str">
        <f t="shared" si="394"/>
        <v/>
      </c>
      <c r="AA1976" s="168" t="str">
        <f>IFERROR(Z1976/_xlfn.XLOOKUP(_xlfn.XLOOKUP($F1976,Clientes!$B$4:$B$39,Clientes!$C$4:$C$39),Cadastros!$L$6:$L$12,Cadastros!$M$6:$M$12)," ")</f>
        <v xml:space="preserve"> </v>
      </c>
      <c r="AB1976" s="28"/>
      <c r="AC1976" s="28"/>
      <c r="AD1976" s="20" t="str">
        <f>IF(AB1976="","",IF($F1976="Bernardino Furlan",_xlfn.XLOOKUP(AB1976,Cadastros!$G$6:$G$90,Cadastros!$H$6:$H$90)*(1-0.18),IF($F1976="Mauro José Salanti",_xlfn.XLOOKUP(AB1976,Cadastros!$G$6:$G$90,Cadastros!$H$6:$H$90)*(1-0.18),_xlfn.XLOOKUP(AB1976,Cadastros!$G$6:$G$90,Cadastros!$H$6:$H$90))))</f>
        <v/>
      </c>
      <c r="AE1976" s="168" t="str">
        <f t="shared" si="395"/>
        <v/>
      </c>
      <c r="AF1976" s="168" t="str">
        <f t="shared" si="396"/>
        <v/>
      </c>
      <c r="AG1976" s="28"/>
      <c r="AH1976" s="28"/>
      <c r="AI1976" s="20" t="str">
        <f>IF(AG1976="","",IF($F1976="Bernardino Furlan",_xlfn.XLOOKUP(AG1976,Cadastros!$G$6:$G$90,Cadastros!$H$6:$H$90)*(1-0.18),IF($F1976="Mauro José Salanti",_xlfn.XLOOKUP(AG1976,Cadastros!$G$6:$G$90,Cadastros!$H$6:$H$90)*(1-0.18),_xlfn.XLOOKUP(AG1976,Cadastros!$G$6:$G$90,Cadastros!$H$6:$H$90))))</f>
        <v/>
      </c>
      <c r="AJ1976" s="168" t="str">
        <f t="shared" si="397"/>
        <v/>
      </c>
      <c r="AK1976" s="168" t="str">
        <f t="shared" si="398"/>
        <v/>
      </c>
      <c r="AL1976" s="28"/>
      <c r="AM1976" s="28"/>
      <c r="AN1976" s="20" t="str">
        <f>IF(AL1976="","",IF($F1976="Bernardino Furlan",_xlfn.XLOOKUP(AL1976,Cadastros!$G$6:$G$90,Cadastros!$H$6:$H$90)*(1-0.18),IF($F1976="Mauro José Salanti",_xlfn.XLOOKUP(AL1976,Cadastros!$G$6:$G$90,Cadastros!$H$6:$H$90)*(1-0.18),_xlfn.XLOOKUP(AL1976,Cadastros!$G$6:$G$90,Cadastros!$H$6:$H$90))))</f>
        <v/>
      </c>
      <c r="AO1976" s="168" t="str">
        <f t="shared" si="399"/>
        <v/>
      </c>
      <c r="AP1976" s="168" t="str">
        <f t="shared" si="400"/>
        <v/>
      </c>
      <c r="AQ1976" s="28"/>
      <c r="AR1976" s="28"/>
      <c r="AS1976" s="20" t="str">
        <f>IF(AQ1976="","",IF($F1976="Bernardino Furlan",_xlfn.XLOOKUP(AQ1976,Cadastros!$G$6:$G$90,Cadastros!$H$6:$H$90)*(1-0.18),IF($F1976="Mauro José Salanti",_xlfn.XLOOKUP(AQ1976,Cadastros!$G$6:$G$90,Cadastros!$H$6:$H$90)*(1-0.18),_xlfn.XLOOKUP(AQ1976,Cadastros!$G$6:$G$90,Cadastros!$H$6:$H$90))))</f>
        <v/>
      </c>
      <c r="AT1976" s="168" t="str">
        <f t="shared" si="401"/>
        <v/>
      </c>
      <c r="AU1976" s="168" t="str">
        <f t="shared" si="402"/>
        <v/>
      </c>
      <c r="AV1976" s="227"/>
      <c r="AW1976" s="30"/>
      <c r="AX1976" s="267"/>
      <c r="AY1976" s="267"/>
      <c r="AZ1976" s="29"/>
      <c r="BA1976" s="30"/>
      <c r="BB1976" s="23" t="str" cm="1">
        <f t="array" ref="BB1976">_xlfn.IFS(AW1976="SIM",SUM(K1976,P1976,U1976,Z1976,AE1976,AJ1976,AO1976,AT1976,AX1976,AY1976),F1976&lt;&gt;"",SUM(K1976,P1976,U1976,Z1976,AE1976,AJ1976,,AO1976,AT1976),F1976="","")</f>
        <v/>
      </c>
      <c r="BC1976" s="211" t="str" cm="1">
        <f t="array" ref="BC1976">_xlfn.IFS(E1976="","",G1976&lt;=E1976,BB1976*(1-0.03),G1976&lt;(E1976+8),BB1976,AZ1976="Boleto",BB1976*(1+0.001)^DATEDIF(E1976,G1976,"D"),AZ1976="Cheque",BB1976,AZ1976="Dinheiro","Alterar forma pgto")</f>
        <v/>
      </c>
      <c r="BD1976" s="276" t="str" cm="1">
        <f t="array" ref="BD1976">IF(F1976=0," ",IF(BC1976&lt;BB1976,(_xlfn.IFS(AW1976="SIM",SUM(L1976,Q1976,V1976,AA1976,AF1976,AK1976,AP1976,AU1976)+AX1976/_xlfn.XLOOKUP(_xlfn.XLOOKUP($F1976,Clientes!$B$4:$B$39,Clientes!$C$4:$C$39),Cadastros!$L$6:$L$12,Cadastros!$M$6:$M$12)+IF($F1976="Bernardino Furlan",AY1976/2751.92,IF($F1976="Mauro José Salanti",AY1976/2751.92,AY1976/3356)),F1976&lt;&gt;0,SUM(L1976,Q1976,V1976,AA1976,AF1976,AK1976,AP1976,AU1976)))*(1-0.03),_xlfn.IFS(AW1976="SIM",SUM(L1976,Q1976,V1976,AA1976,AF1976,AK1976,AP1976,AU1976)+AX1976/_xlfn.XLOOKUP(_xlfn.XLOOKUP($F1976,Clientes!$B$4:$B$39,Clientes!$C$4:$C$39),Cadastros!$L$6:$L$12,Cadastros!$M$6:$M$12)+IF($F1976="Bernardino Furlan",AY1976/2751.92,IF($F1976="Mauro José Salanti",AY1976/2751.92,AY1976/3356)),F1976&lt;&gt;0,SUM(L1976,Q1976,V1976,AA1976,AF1976,AK1976,AP1976,AU1976))))</f>
        <v xml:space="preserve"> </v>
      </c>
      <c r="BE1976" s="120"/>
      <c r="BF1976" s="120"/>
      <c r="BG1976" s="120"/>
    </row>
    <row r="1977" spans="1:59" s="3" customFormat="1" x14ac:dyDescent="0.3">
      <c r="A1977" s="15" t="str">
        <f t="shared" si="390"/>
        <v/>
      </c>
      <c r="B1977" s="25"/>
      <c r="C1977" s="26"/>
      <c r="D1977" s="279"/>
      <c r="E1977" s="27"/>
      <c r="F1977" s="28"/>
      <c r="G1977" s="27"/>
      <c r="H1977" s="28"/>
      <c r="I1977" s="28"/>
      <c r="J1977" s="255" t="str">
        <f>IF(H1977="","",(_xlfn.XLOOKUP(H1977,Cadastros!$D$6:$D$90,Cadastros!$E$6:$E$90))*(1-_xlfn.XLOOKUP(_xlfn.XLOOKUP($F1977,Clientes!$B$4:$B$39,Clientes!$C$4:$C$39),Cadastros!$L$6:$L$12,Cadastros!$N$6:$N$12)))</f>
        <v/>
      </c>
      <c r="K1977" s="168" t="str">
        <f t="shared" si="391"/>
        <v/>
      </c>
      <c r="L1977" s="168" t="str">
        <f>IFERROR(K1977/_xlfn.XLOOKUP(_xlfn.XLOOKUP($F1977,Clientes!$B$4:$B$39,Clientes!$C$4:$C$39),Cadastros!$L$6:$L$12,Cadastros!$M$6:$M$12)," ")</f>
        <v xml:space="preserve"> </v>
      </c>
      <c r="M1977" s="28"/>
      <c r="N1977" s="28"/>
      <c r="O1977" s="255" t="str">
        <f>IF(M1977="","",(_xlfn.XLOOKUP(M1977,Cadastros!$D$6:$D$90,Cadastros!$E$6:$E$90))*(1-_xlfn.XLOOKUP(_xlfn.XLOOKUP($F1977,Clientes!$B$4:$B$39,Clientes!$C$4:$C$39),Cadastros!$L$6:$L$12,Cadastros!$N$6:$N$12)))</f>
        <v/>
      </c>
      <c r="P1977" s="168" t="str">
        <f t="shared" si="392"/>
        <v/>
      </c>
      <c r="Q1977" s="168" t="str">
        <f>IFERROR(P1977/_xlfn.XLOOKUP(_xlfn.XLOOKUP($F1977,Clientes!$B$4:$B$39,Clientes!$C$4:$C$39),Cadastros!$L$6:$L$12,Cadastros!$M$6:$M$12)," ")</f>
        <v xml:space="preserve"> </v>
      </c>
      <c r="R1977" s="28"/>
      <c r="S1977" s="28"/>
      <c r="T1977" s="255" t="str">
        <f>IF(R1977="","",(_xlfn.XLOOKUP(R1977,Cadastros!$D$6:$D$90,Cadastros!$E$6:$E$90))*(1-_xlfn.XLOOKUP(_xlfn.XLOOKUP($F1977,Clientes!$B$4:$B$39,Clientes!$C$4:$C$39),Cadastros!$L$6:$L$12,Cadastros!$N$6:$N$12)))</f>
        <v/>
      </c>
      <c r="U1977" s="168" t="str">
        <f t="shared" si="393"/>
        <v/>
      </c>
      <c r="V1977" s="168" t="str">
        <f>IFERROR(U1977/_xlfn.XLOOKUP(_xlfn.XLOOKUP($F1977,Clientes!$B$4:$B$39,Clientes!$C$4:$C$39),Cadastros!$L$6:$L$12,Cadastros!$M$6:$M$12)," ")</f>
        <v xml:space="preserve"> </v>
      </c>
      <c r="W1977" s="28"/>
      <c r="X1977" s="28"/>
      <c r="Y1977" s="255" t="str">
        <f>IF(W1977="","",(_xlfn.XLOOKUP(W1977,Cadastros!$D$6:$D$90,Cadastros!$E$6:$E$90))*(1-_xlfn.XLOOKUP(_xlfn.XLOOKUP($F1977,Clientes!$B$4:$B$39,Clientes!$C$4:$C$39),Cadastros!$L$6:$L$12,Cadastros!$N$6:$N$12)))</f>
        <v/>
      </c>
      <c r="Z1977" s="168" t="str">
        <f t="shared" si="394"/>
        <v/>
      </c>
      <c r="AA1977" s="168" t="str">
        <f>IFERROR(Z1977/_xlfn.XLOOKUP(_xlfn.XLOOKUP($F1977,Clientes!$B$4:$B$39,Clientes!$C$4:$C$39),Cadastros!$L$6:$L$12,Cadastros!$M$6:$M$12)," ")</f>
        <v xml:space="preserve"> </v>
      </c>
      <c r="AB1977" s="28"/>
      <c r="AC1977" s="28"/>
      <c r="AD1977" s="20" t="str">
        <f>IF(AB1977="","",IF($F1977="Bernardino Furlan",_xlfn.XLOOKUP(AB1977,Cadastros!$G$6:$G$90,Cadastros!$H$6:$H$90)*(1-0.18),IF($F1977="Mauro José Salanti",_xlfn.XLOOKUP(AB1977,Cadastros!$G$6:$G$90,Cadastros!$H$6:$H$90)*(1-0.18),_xlfn.XLOOKUP(AB1977,Cadastros!$G$6:$G$90,Cadastros!$H$6:$H$90))))</f>
        <v/>
      </c>
      <c r="AE1977" s="168" t="str">
        <f t="shared" si="395"/>
        <v/>
      </c>
      <c r="AF1977" s="168" t="str">
        <f t="shared" si="396"/>
        <v/>
      </c>
      <c r="AG1977" s="28"/>
      <c r="AH1977" s="28"/>
      <c r="AI1977" s="20" t="str">
        <f>IF(AG1977="","",IF($F1977="Bernardino Furlan",_xlfn.XLOOKUP(AG1977,Cadastros!$G$6:$G$90,Cadastros!$H$6:$H$90)*(1-0.18),IF($F1977="Mauro José Salanti",_xlfn.XLOOKUP(AG1977,Cadastros!$G$6:$G$90,Cadastros!$H$6:$H$90)*(1-0.18),_xlfn.XLOOKUP(AG1977,Cadastros!$G$6:$G$90,Cadastros!$H$6:$H$90))))</f>
        <v/>
      </c>
      <c r="AJ1977" s="168" t="str">
        <f t="shared" si="397"/>
        <v/>
      </c>
      <c r="AK1977" s="168" t="str">
        <f t="shared" si="398"/>
        <v/>
      </c>
      <c r="AL1977" s="28"/>
      <c r="AM1977" s="28"/>
      <c r="AN1977" s="20" t="str">
        <f>IF(AL1977="","",IF($F1977="Bernardino Furlan",_xlfn.XLOOKUP(AL1977,Cadastros!$G$6:$G$90,Cadastros!$H$6:$H$90)*(1-0.18),IF($F1977="Mauro José Salanti",_xlfn.XLOOKUP(AL1977,Cadastros!$G$6:$G$90,Cadastros!$H$6:$H$90)*(1-0.18),_xlfn.XLOOKUP(AL1977,Cadastros!$G$6:$G$90,Cadastros!$H$6:$H$90))))</f>
        <v/>
      </c>
      <c r="AO1977" s="168" t="str">
        <f t="shared" si="399"/>
        <v/>
      </c>
      <c r="AP1977" s="168" t="str">
        <f t="shared" si="400"/>
        <v/>
      </c>
      <c r="AQ1977" s="28"/>
      <c r="AR1977" s="28"/>
      <c r="AS1977" s="20" t="str">
        <f>IF(AQ1977="","",IF($F1977="Bernardino Furlan",_xlfn.XLOOKUP(AQ1977,Cadastros!$G$6:$G$90,Cadastros!$H$6:$H$90)*(1-0.18),IF($F1977="Mauro José Salanti",_xlfn.XLOOKUP(AQ1977,Cadastros!$G$6:$G$90,Cadastros!$H$6:$H$90)*(1-0.18),_xlfn.XLOOKUP(AQ1977,Cadastros!$G$6:$G$90,Cadastros!$H$6:$H$90))))</f>
        <v/>
      </c>
      <c r="AT1977" s="168" t="str">
        <f t="shared" si="401"/>
        <v/>
      </c>
      <c r="AU1977" s="168" t="str">
        <f t="shared" si="402"/>
        <v/>
      </c>
      <c r="AV1977" s="227"/>
      <c r="AW1977" s="30"/>
      <c r="AX1977" s="267"/>
      <c r="AY1977" s="267"/>
      <c r="AZ1977" s="29"/>
      <c r="BA1977" s="30"/>
      <c r="BB1977" s="23" t="str" cm="1">
        <f t="array" ref="BB1977">_xlfn.IFS(AW1977="SIM",SUM(K1977,P1977,U1977,Z1977,AE1977,AJ1977,AO1977,AT1977,AX1977,AY1977),F1977&lt;&gt;"",SUM(K1977,P1977,U1977,Z1977,AE1977,AJ1977,,AO1977,AT1977),F1977="","")</f>
        <v/>
      </c>
      <c r="BC1977" s="211" t="str" cm="1">
        <f t="array" ref="BC1977">_xlfn.IFS(E1977="","",G1977&lt;=E1977,BB1977*(1-0.03),G1977&lt;(E1977+8),BB1977,AZ1977="Boleto",BB1977*(1+0.001)^DATEDIF(E1977,G1977,"D"),AZ1977="Cheque",BB1977,AZ1977="Dinheiro","Alterar forma pgto")</f>
        <v/>
      </c>
      <c r="BD1977" s="276" t="str" cm="1">
        <f t="array" ref="BD1977">IF(F1977=0," ",IF(BC1977&lt;BB1977,(_xlfn.IFS(AW1977="SIM",SUM(L1977,Q1977,V1977,AA1977,AF1977,AK1977,AP1977,AU1977)+AX1977/_xlfn.XLOOKUP(_xlfn.XLOOKUP($F1977,Clientes!$B$4:$B$39,Clientes!$C$4:$C$39),Cadastros!$L$6:$L$12,Cadastros!$M$6:$M$12)+IF($F1977="Bernardino Furlan",AY1977/2751.92,IF($F1977="Mauro José Salanti",AY1977/2751.92,AY1977/3356)),F1977&lt;&gt;0,SUM(L1977,Q1977,V1977,AA1977,AF1977,AK1977,AP1977,AU1977)))*(1-0.03),_xlfn.IFS(AW1977="SIM",SUM(L1977,Q1977,V1977,AA1977,AF1977,AK1977,AP1977,AU1977)+AX1977/_xlfn.XLOOKUP(_xlfn.XLOOKUP($F1977,Clientes!$B$4:$B$39,Clientes!$C$4:$C$39),Cadastros!$L$6:$L$12,Cadastros!$M$6:$M$12)+IF($F1977="Bernardino Furlan",AY1977/2751.92,IF($F1977="Mauro José Salanti",AY1977/2751.92,AY1977/3356)),F1977&lt;&gt;0,SUM(L1977,Q1977,V1977,AA1977,AF1977,AK1977,AP1977,AU1977))))</f>
        <v xml:space="preserve"> </v>
      </c>
      <c r="BE1977" s="120"/>
      <c r="BF1977" s="120"/>
      <c r="BG1977" s="120"/>
    </row>
    <row r="1978" spans="1:59" s="3" customFormat="1" x14ac:dyDescent="0.3">
      <c r="A1978" s="15" t="str">
        <f t="shared" si="390"/>
        <v/>
      </c>
      <c r="B1978" s="25"/>
      <c r="C1978" s="26"/>
      <c r="D1978" s="279"/>
      <c r="E1978" s="27"/>
      <c r="F1978" s="28"/>
      <c r="G1978" s="27"/>
      <c r="H1978" s="28"/>
      <c r="I1978" s="28"/>
      <c r="J1978" s="255" t="str">
        <f>IF(H1978="","",(_xlfn.XLOOKUP(H1978,Cadastros!$D$6:$D$90,Cadastros!$E$6:$E$90))*(1-_xlfn.XLOOKUP(_xlfn.XLOOKUP($F1978,Clientes!$B$4:$B$39,Clientes!$C$4:$C$39),Cadastros!$L$6:$L$12,Cadastros!$N$6:$N$12)))</f>
        <v/>
      </c>
      <c r="K1978" s="168" t="str">
        <f t="shared" si="391"/>
        <v/>
      </c>
      <c r="L1978" s="168" t="str">
        <f>IFERROR(K1978/_xlfn.XLOOKUP(_xlfn.XLOOKUP($F1978,Clientes!$B$4:$B$39,Clientes!$C$4:$C$39),Cadastros!$L$6:$L$12,Cadastros!$M$6:$M$12)," ")</f>
        <v xml:space="preserve"> </v>
      </c>
      <c r="M1978" s="28"/>
      <c r="N1978" s="28"/>
      <c r="O1978" s="255" t="str">
        <f>IF(M1978="","",(_xlfn.XLOOKUP(M1978,Cadastros!$D$6:$D$90,Cadastros!$E$6:$E$90))*(1-_xlfn.XLOOKUP(_xlfn.XLOOKUP($F1978,Clientes!$B$4:$B$39,Clientes!$C$4:$C$39),Cadastros!$L$6:$L$12,Cadastros!$N$6:$N$12)))</f>
        <v/>
      </c>
      <c r="P1978" s="168" t="str">
        <f t="shared" si="392"/>
        <v/>
      </c>
      <c r="Q1978" s="168" t="str">
        <f>IFERROR(P1978/_xlfn.XLOOKUP(_xlfn.XLOOKUP($F1978,Clientes!$B$4:$B$39,Clientes!$C$4:$C$39),Cadastros!$L$6:$L$12,Cadastros!$M$6:$M$12)," ")</f>
        <v xml:space="preserve"> </v>
      </c>
      <c r="R1978" s="28"/>
      <c r="S1978" s="28"/>
      <c r="T1978" s="255" t="str">
        <f>IF(R1978="","",(_xlfn.XLOOKUP(R1978,Cadastros!$D$6:$D$90,Cadastros!$E$6:$E$90))*(1-_xlfn.XLOOKUP(_xlfn.XLOOKUP($F1978,Clientes!$B$4:$B$39,Clientes!$C$4:$C$39),Cadastros!$L$6:$L$12,Cadastros!$N$6:$N$12)))</f>
        <v/>
      </c>
      <c r="U1978" s="168" t="str">
        <f t="shared" si="393"/>
        <v/>
      </c>
      <c r="V1978" s="168" t="str">
        <f>IFERROR(U1978/_xlfn.XLOOKUP(_xlfn.XLOOKUP($F1978,Clientes!$B$4:$B$39,Clientes!$C$4:$C$39),Cadastros!$L$6:$L$12,Cadastros!$M$6:$M$12)," ")</f>
        <v xml:space="preserve"> </v>
      </c>
      <c r="W1978" s="28"/>
      <c r="X1978" s="28"/>
      <c r="Y1978" s="255" t="str">
        <f>IF(W1978="","",(_xlfn.XLOOKUP(W1978,Cadastros!$D$6:$D$90,Cadastros!$E$6:$E$90))*(1-_xlfn.XLOOKUP(_xlfn.XLOOKUP($F1978,Clientes!$B$4:$B$39,Clientes!$C$4:$C$39),Cadastros!$L$6:$L$12,Cadastros!$N$6:$N$12)))</f>
        <v/>
      </c>
      <c r="Z1978" s="168" t="str">
        <f t="shared" si="394"/>
        <v/>
      </c>
      <c r="AA1978" s="168" t="str">
        <f>IFERROR(Z1978/_xlfn.XLOOKUP(_xlfn.XLOOKUP($F1978,Clientes!$B$4:$B$39,Clientes!$C$4:$C$39),Cadastros!$L$6:$L$12,Cadastros!$M$6:$M$12)," ")</f>
        <v xml:space="preserve"> </v>
      </c>
      <c r="AB1978" s="28"/>
      <c r="AC1978" s="28"/>
      <c r="AD1978" s="20" t="str">
        <f>IF(AB1978="","",IF($F1978="Bernardino Furlan",_xlfn.XLOOKUP(AB1978,Cadastros!$G$6:$G$90,Cadastros!$H$6:$H$90)*(1-0.18),IF($F1978="Mauro José Salanti",_xlfn.XLOOKUP(AB1978,Cadastros!$G$6:$G$90,Cadastros!$H$6:$H$90)*(1-0.18),_xlfn.XLOOKUP(AB1978,Cadastros!$G$6:$G$90,Cadastros!$H$6:$H$90))))</f>
        <v/>
      </c>
      <c r="AE1978" s="168" t="str">
        <f t="shared" si="395"/>
        <v/>
      </c>
      <c r="AF1978" s="168" t="str">
        <f t="shared" si="396"/>
        <v/>
      </c>
      <c r="AG1978" s="28"/>
      <c r="AH1978" s="28"/>
      <c r="AI1978" s="20" t="str">
        <f>IF(AG1978="","",IF($F1978="Bernardino Furlan",_xlfn.XLOOKUP(AG1978,Cadastros!$G$6:$G$90,Cadastros!$H$6:$H$90)*(1-0.18),IF($F1978="Mauro José Salanti",_xlfn.XLOOKUP(AG1978,Cadastros!$G$6:$G$90,Cadastros!$H$6:$H$90)*(1-0.18),_xlfn.XLOOKUP(AG1978,Cadastros!$G$6:$G$90,Cadastros!$H$6:$H$90))))</f>
        <v/>
      </c>
      <c r="AJ1978" s="168" t="str">
        <f t="shared" si="397"/>
        <v/>
      </c>
      <c r="AK1978" s="168" t="str">
        <f t="shared" si="398"/>
        <v/>
      </c>
      <c r="AL1978" s="28"/>
      <c r="AM1978" s="28"/>
      <c r="AN1978" s="20" t="str">
        <f>IF(AL1978="","",IF($F1978="Bernardino Furlan",_xlfn.XLOOKUP(AL1978,Cadastros!$G$6:$G$90,Cadastros!$H$6:$H$90)*(1-0.18),IF($F1978="Mauro José Salanti",_xlfn.XLOOKUP(AL1978,Cadastros!$G$6:$G$90,Cadastros!$H$6:$H$90)*(1-0.18),_xlfn.XLOOKUP(AL1978,Cadastros!$G$6:$G$90,Cadastros!$H$6:$H$90))))</f>
        <v/>
      </c>
      <c r="AO1978" s="168" t="str">
        <f t="shared" si="399"/>
        <v/>
      </c>
      <c r="AP1978" s="168" t="str">
        <f t="shared" si="400"/>
        <v/>
      </c>
      <c r="AQ1978" s="28"/>
      <c r="AR1978" s="28"/>
      <c r="AS1978" s="20" t="str">
        <f>IF(AQ1978="","",IF($F1978="Bernardino Furlan",_xlfn.XLOOKUP(AQ1978,Cadastros!$G$6:$G$90,Cadastros!$H$6:$H$90)*(1-0.18),IF($F1978="Mauro José Salanti",_xlfn.XLOOKUP(AQ1978,Cadastros!$G$6:$G$90,Cadastros!$H$6:$H$90)*(1-0.18),_xlfn.XLOOKUP(AQ1978,Cadastros!$G$6:$G$90,Cadastros!$H$6:$H$90))))</f>
        <v/>
      </c>
      <c r="AT1978" s="168" t="str">
        <f t="shared" si="401"/>
        <v/>
      </c>
      <c r="AU1978" s="168" t="str">
        <f t="shared" si="402"/>
        <v/>
      </c>
      <c r="AV1978" s="227"/>
      <c r="AW1978" s="30"/>
      <c r="AX1978" s="267"/>
      <c r="AY1978" s="267"/>
      <c r="AZ1978" s="29"/>
      <c r="BA1978" s="30"/>
      <c r="BB1978" s="23" t="str" cm="1">
        <f t="array" ref="BB1978">_xlfn.IFS(AW1978="SIM",SUM(K1978,P1978,U1978,Z1978,AE1978,AJ1978,AO1978,AT1978,AX1978,AY1978),F1978&lt;&gt;"",SUM(K1978,P1978,U1978,Z1978,AE1978,AJ1978,,AO1978,AT1978),F1978="","")</f>
        <v/>
      </c>
      <c r="BC1978" s="211" t="str" cm="1">
        <f t="array" ref="BC1978">_xlfn.IFS(E1978="","",G1978&lt;=E1978,BB1978*(1-0.03),G1978&lt;(E1978+8),BB1978,AZ1978="Boleto",BB1978*(1+0.001)^DATEDIF(E1978,G1978,"D"),AZ1978="Cheque",BB1978,AZ1978="Dinheiro","Alterar forma pgto")</f>
        <v/>
      </c>
      <c r="BD1978" s="276" t="str" cm="1">
        <f t="array" ref="BD1978">IF(F1978=0," ",IF(BC1978&lt;BB1978,(_xlfn.IFS(AW1978="SIM",SUM(L1978,Q1978,V1978,AA1978,AF1978,AK1978,AP1978,AU1978)+AX1978/_xlfn.XLOOKUP(_xlfn.XLOOKUP($F1978,Clientes!$B$4:$B$39,Clientes!$C$4:$C$39),Cadastros!$L$6:$L$12,Cadastros!$M$6:$M$12)+IF($F1978="Bernardino Furlan",AY1978/2751.92,IF($F1978="Mauro José Salanti",AY1978/2751.92,AY1978/3356)),F1978&lt;&gt;0,SUM(L1978,Q1978,V1978,AA1978,AF1978,AK1978,AP1978,AU1978)))*(1-0.03),_xlfn.IFS(AW1978="SIM",SUM(L1978,Q1978,V1978,AA1978,AF1978,AK1978,AP1978,AU1978)+AX1978/_xlfn.XLOOKUP(_xlfn.XLOOKUP($F1978,Clientes!$B$4:$B$39,Clientes!$C$4:$C$39),Cadastros!$L$6:$L$12,Cadastros!$M$6:$M$12)+IF($F1978="Bernardino Furlan",AY1978/2751.92,IF($F1978="Mauro José Salanti",AY1978/2751.92,AY1978/3356)),F1978&lt;&gt;0,SUM(L1978,Q1978,V1978,AA1978,AF1978,AK1978,AP1978,AU1978))))</f>
        <v xml:space="preserve"> </v>
      </c>
      <c r="BE1978" s="120"/>
      <c r="BF1978" s="120"/>
      <c r="BG1978" s="120"/>
    </row>
    <row r="1979" spans="1:59" s="3" customFormat="1" x14ac:dyDescent="0.3">
      <c r="A1979" s="15" t="str">
        <f t="shared" si="390"/>
        <v/>
      </c>
      <c r="B1979" s="25"/>
      <c r="C1979" s="26"/>
      <c r="D1979" s="279"/>
      <c r="E1979" s="27"/>
      <c r="F1979" s="28"/>
      <c r="G1979" s="27"/>
      <c r="H1979" s="28"/>
      <c r="I1979" s="28"/>
      <c r="J1979" s="255" t="str">
        <f>IF(H1979="","",(_xlfn.XLOOKUP(H1979,Cadastros!$D$6:$D$90,Cadastros!$E$6:$E$90))*(1-_xlfn.XLOOKUP(_xlfn.XLOOKUP($F1979,Clientes!$B$4:$B$39,Clientes!$C$4:$C$39),Cadastros!$L$6:$L$12,Cadastros!$N$6:$N$12)))</f>
        <v/>
      </c>
      <c r="K1979" s="168" t="str">
        <f t="shared" si="391"/>
        <v/>
      </c>
      <c r="L1979" s="168" t="str">
        <f>IFERROR(K1979/_xlfn.XLOOKUP(_xlfn.XLOOKUP($F1979,Clientes!$B$4:$B$39,Clientes!$C$4:$C$39),Cadastros!$L$6:$L$12,Cadastros!$M$6:$M$12)," ")</f>
        <v xml:space="preserve"> </v>
      </c>
      <c r="M1979" s="28"/>
      <c r="N1979" s="28"/>
      <c r="O1979" s="255" t="str">
        <f>IF(M1979="","",(_xlfn.XLOOKUP(M1979,Cadastros!$D$6:$D$90,Cadastros!$E$6:$E$90))*(1-_xlfn.XLOOKUP(_xlfn.XLOOKUP($F1979,Clientes!$B$4:$B$39,Clientes!$C$4:$C$39),Cadastros!$L$6:$L$12,Cadastros!$N$6:$N$12)))</f>
        <v/>
      </c>
      <c r="P1979" s="168" t="str">
        <f t="shared" si="392"/>
        <v/>
      </c>
      <c r="Q1979" s="168" t="str">
        <f>IFERROR(P1979/_xlfn.XLOOKUP(_xlfn.XLOOKUP($F1979,Clientes!$B$4:$B$39,Clientes!$C$4:$C$39),Cadastros!$L$6:$L$12,Cadastros!$M$6:$M$12)," ")</f>
        <v xml:space="preserve"> </v>
      </c>
      <c r="R1979" s="28"/>
      <c r="S1979" s="28"/>
      <c r="T1979" s="255" t="str">
        <f>IF(R1979="","",(_xlfn.XLOOKUP(R1979,Cadastros!$D$6:$D$90,Cadastros!$E$6:$E$90))*(1-_xlfn.XLOOKUP(_xlfn.XLOOKUP($F1979,Clientes!$B$4:$B$39,Clientes!$C$4:$C$39),Cadastros!$L$6:$L$12,Cadastros!$N$6:$N$12)))</f>
        <v/>
      </c>
      <c r="U1979" s="168" t="str">
        <f t="shared" si="393"/>
        <v/>
      </c>
      <c r="V1979" s="168" t="str">
        <f>IFERROR(U1979/_xlfn.XLOOKUP(_xlfn.XLOOKUP($F1979,Clientes!$B$4:$B$39,Clientes!$C$4:$C$39),Cadastros!$L$6:$L$12,Cadastros!$M$6:$M$12)," ")</f>
        <v xml:space="preserve"> </v>
      </c>
      <c r="W1979" s="28"/>
      <c r="X1979" s="28"/>
      <c r="Y1979" s="255" t="str">
        <f>IF(W1979="","",(_xlfn.XLOOKUP(W1979,Cadastros!$D$6:$D$90,Cadastros!$E$6:$E$90))*(1-_xlfn.XLOOKUP(_xlfn.XLOOKUP($F1979,Clientes!$B$4:$B$39,Clientes!$C$4:$C$39),Cadastros!$L$6:$L$12,Cadastros!$N$6:$N$12)))</f>
        <v/>
      </c>
      <c r="Z1979" s="168" t="str">
        <f t="shared" si="394"/>
        <v/>
      </c>
      <c r="AA1979" s="168" t="str">
        <f>IFERROR(Z1979/_xlfn.XLOOKUP(_xlfn.XLOOKUP($F1979,Clientes!$B$4:$B$39,Clientes!$C$4:$C$39),Cadastros!$L$6:$L$12,Cadastros!$M$6:$M$12)," ")</f>
        <v xml:space="preserve"> </v>
      </c>
      <c r="AB1979" s="28"/>
      <c r="AC1979" s="28"/>
      <c r="AD1979" s="20" t="str">
        <f>IF(AB1979="","",IF($F1979="Bernardino Furlan",_xlfn.XLOOKUP(AB1979,Cadastros!$G$6:$G$90,Cadastros!$H$6:$H$90)*(1-0.18),IF($F1979="Mauro José Salanti",_xlfn.XLOOKUP(AB1979,Cadastros!$G$6:$G$90,Cadastros!$H$6:$H$90)*(1-0.18),_xlfn.XLOOKUP(AB1979,Cadastros!$G$6:$G$90,Cadastros!$H$6:$H$90))))</f>
        <v/>
      </c>
      <c r="AE1979" s="168" t="str">
        <f t="shared" si="395"/>
        <v/>
      </c>
      <c r="AF1979" s="168" t="str">
        <f t="shared" si="396"/>
        <v/>
      </c>
      <c r="AG1979" s="28"/>
      <c r="AH1979" s="28"/>
      <c r="AI1979" s="20" t="str">
        <f>IF(AG1979="","",IF($F1979="Bernardino Furlan",_xlfn.XLOOKUP(AG1979,Cadastros!$G$6:$G$90,Cadastros!$H$6:$H$90)*(1-0.18),IF($F1979="Mauro José Salanti",_xlfn.XLOOKUP(AG1979,Cadastros!$G$6:$G$90,Cadastros!$H$6:$H$90)*(1-0.18),_xlfn.XLOOKUP(AG1979,Cadastros!$G$6:$G$90,Cadastros!$H$6:$H$90))))</f>
        <v/>
      </c>
      <c r="AJ1979" s="168" t="str">
        <f t="shared" si="397"/>
        <v/>
      </c>
      <c r="AK1979" s="168" t="str">
        <f t="shared" si="398"/>
        <v/>
      </c>
      <c r="AL1979" s="28"/>
      <c r="AM1979" s="28"/>
      <c r="AN1979" s="20" t="str">
        <f>IF(AL1979="","",IF($F1979="Bernardino Furlan",_xlfn.XLOOKUP(AL1979,Cadastros!$G$6:$G$90,Cadastros!$H$6:$H$90)*(1-0.18),IF($F1979="Mauro José Salanti",_xlfn.XLOOKUP(AL1979,Cadastros!$G$6:$G$90,Cadastros!$H$6:$H$90)*(1-0.18),_xlfn.XLOOKUP(AL1979,Cadastros!$G$6:$G$90,Cadastros!$H$6:$H$90))))</f>
        <v/>
      </c>
      <c r="AO1979" s="168" t="str">
        <f t="shared" si="399"/>
        <v/>
      </c>
      <c r="AP1979" s="168" t="str">
        <f t="shared" si="400"/>
        <v/>
      </c>
      <c r="AQ1979" s="28"/>
      <c r="AR1979" s="28"/>
      <c r="AS1979" s="20" t="str">
        <f>IF(AQ1979="","",IF($F1979="Bernardino Furlan",_xlfn.XLOOKUP(AQ1979,Cadastros!$G$6:$G$90,Cadastros!$H$6:$H$90)*(1-0.18),IF($F1979="Mauro José Salanti",_xlfn.XLOOKUP(AQ1979,Cadastros!$G$6:$G$90,Cadastros!$H$6:$H$90)*(1-0.18),_xlfn.XLOOKUP(AQ1979,Cadastros!$G$6:$G$90,Cadastros!$H$6:$H$90))))</f>
        <v/>
      </c>
      <c r="AT1979" s="168" t="str">
        <f t="shared" si="401"/>
        <v/>
      </c>
      <c r="AU1979" s="168" t="str">
        <f t="shared" si="402"/>
        <v/>
      </c>
      <c r="AV1979" s="227"/>
      <c r="AW1979" s="30"/>
      <c r="AX1979" s="267"/>
      <c r="AY1979" s="267"/>
      <c r="AZ1979" s="29"/>
      <c r="BA1979" s="30"/>
      <c r="BB1979" s="23" t="str" cm="1">
        <f t="array" ref="BB1979">_xlfn.IFS(AW1979="SIM",SUM(K1979,P1979,U1979,Z1979,AE1979,AJ1979,AO1979,AT1979,AX1979,AY1979),F1979&lt;&gt;"",SUM(K1979,P1979,U1979,Z1979,AE1979,AJ1979,,AO1979,AT1979),F1979="","")</f>
        <v/>
      </c>
      <c r="BC1979" s="211" t="str" cm="1">
        <f t="array" ref="BC1979">_xlfn.IFS(E1979="","",G1979&lt;=E1979,BB1979*(1-0.03),G1979&lt;(E1979+8),BB1979,AZ1979="Boleto",BB1979*(1+0.001)^DATEDIF(E1979,G1979,"D"),AZ1979="Cheque",BB1979,AZ1979="Dinheiro","Alterar forma pgto")</f>
        <v/>
      </c>
      <c r="BD1979" s="276" t="str" cm="1">
        <f t="array" ref="BD1979">IF(F1979=0," ",IF(BC1979&lt;BB1979,(_xlfn.IFS(AW1979="SIM",SUM(L1979,Q1979,V1979,AA1979,AF1979,AK1979,AP1979,AU1979)+AX1979/_xlfn.XLOOKUP(_xlfn.XLOOKUP($F1979,Clientes!$B$4:$B$39,Clientes!$C$4:$C$39),Cadastros!$L$6:$L$12,Cadastros!$M$6:$M$12)+IF($F1979="Bernardino Furlan",AY1979/2751.92,IF($F1979="Mauro José Salanti",AY1979/2751.92,AY1979/3356)),F1979&lt;&gt;0,SUM(L1979,Q1979,V1979,AA1979,AF1979,AK1979,AP1979,AU1979)))*(1-0.03),_xlfn.IFS(AW1979="SIM",SUM(L1979,Q1979,V1979,AA1979,AF1979,AK1979,AP1979,AU1979)+AX1979/_xlfn.XLOOKUP(_xlfn.XLOOKUP($F1979,Clientes!$B$4:$B$39,Clientes!$C$4:$C$39),Cadastros!$L$6:$L$12,Cadastros!$M$6:$M$12)+IF($F1979="Bernardino Furlan",AY1979/2751.92,IF($F1979="Mauro José Salanti",AY1979/2751.92,AY1979/3356)),F1979&lt;&gt;0,SUM(L1979,Q1979,V1979,AA1979,AF1979,AK1979,AP1979,AU1979))))</f>
        <v xml:space="preserve"> </v>
      </c>
      <c r="BE1979" s="120"/>
      <c r="BF1979" s="120"/>
      <c r="BG1979" s="120"/>
    </row>
    <row r="1980" spans="1:59" s="3" customFormat="1" x14ac:dyDescent="0.3">
      <c r="A1980" s="15" t="str">
        <f t="shared" si="390"/>
        <v/>
      </c>
      <c r="B1980" s="25"/>
      <c r="C1980" s="26"/>
      <c r="D1980" s="279"/>
      <c r="E1980" s="27"/>
      <c r="F1980" s="28"/>
      <c r="G1980" s="27"/>
      <c r="H1980" s="28"/>
      <c r="I1980" s="28"/>
      <c r="J1980" s="255" t="str">
        <f>IF(H1980="","",(_xlfn.XLOOKUP(H1980,Cadastros!$D$6:$D$90,Cadastros!$E$6:$E$90))*(1-_xlfn.XLOOKUP(_xlfn.XLOOKUP($F1980,Clientes!$B$4:$B$39,Clientes!$C$4:$C$39),Cadastros!$L$6:$L$12,Cadastros!$N$6:$N$12)))</f>
        <v/>
      </c>
      <c r="K1980" s="168" t="str">
        <f t="shared" si="391"/>
        <v/>
      </c>
      <c r="L1980" s="168" t="str">
        <f>IFERROR(K1980/_xlfn.XLOOKUP(_xlfn.XLOOKUP($F1980,Clientes!$B$4:$B$39,Clientes!$C$4:$C$39),Cadastros!$L$6:$L$12,Cadastros!$M$6:$M$12)," ")</f>
        <v xml:space="preserve"> </v>
      </c>
      <c r="M1980" s="28"/>
      <c r="N1980" s="28"/>
      <c r="O1980" s="255" t="str">
        <f>IF(M1980="","",(_xlfn.XLOOKUP(M1980,Cadastros!$D$6:$D$90,Cadastros!$E$6:$E$90))*(1-_xlfn.XLOOKUP(_xlfn.XLOOKUP($F1980,Clientes!$B$4:$B$39,Clientes!$C$4:$C$39),Cadastros!$L$6:$L$12,Cadastros!$N$6:$N$12)))</f>
        <v/>
      </c>
      <c r="P1980" s="168" t="str">
        <f t="shared" si="392"/>
        <v/>
      </c>
      <c r="Q1980" s="168" t="str">
        <f>IFERROR(P1980/_xlfn.XLOOKUP(_xlfn.XLOOKUP($F1980,Clientes!$B$4:$B$39,Clientes!$C$4:$C$39),Cadastros!$L$6:$L$12,Cadastros!$M$6:$M$12)," ")</f>
        <v xml:space="preserve"> </v>
      </c>
      <c r="R1980" s="28"/>
      <c r="S1980" s="28"/>
      <c r="T1980" s="255" t="str">
        <f>IF(R1980="","",(_xlfn.XLOOKUP(R1980,Cadastros!$D$6:$D$90,Cadastros!$E$6:$E$90))*(1-_xlfn.XLOOKUP(_xlfn.XLOOKUP($F1980,Clientes!$B$4:$B$39,Clientes!$C$4:$C$39),Cadastros!$L$6:$L$12,Cadastros!$N$6:$N$12)))</f>
        <v/>
      </c>
      <c r="U1980" s="168" t="str">
        <f t="shared" si="393"/>
        <v/>
      </c>
      <c r="V1980" s="168" t="str">
        <f>IFERROR(U1980/_xlfn.XLOOKUP(_xlfn.XLOOKUP($F1980,Clientes!$B$4:$B$39,Clientes!$C$4:$C$39),Cadastros!$L$6:$L$12,Cadastros!$M$6:$M$12)," ")</f>
        <v xml:space="preserve"> </v>
      </c>
      <c r="W1980" s="28"/>
      <c r="X1980" s="28"/>
      <c r="Y1980" s="255" t="str">
        <f>IF(W1980="","",(_xlfn.XLOOKUP(W1980,Cadastros!$D$6:$D$90,Cadastros!$E$6:$E$90))*(1-_xlfn.XLOOKUP(_xlfn.XLOOKUP($F1980,Clientes!$B$4:$B$39,Clientes!$C$4:$C$39),Cadastros!$L$6:$L$12,Cadastros!$N$6:$N$12)))</f>
        <v/>
      </c>
      <c r="Z1980" s="168" t="str">
        <f t="shared" si="394"/>
        <v/>
      </c>
      <c r="AA1980" s="168" t="str">
        <f>IFERROR(Z1980/_xlfn.XLOOKUP(_xlfn.XLOOKUP($F1980,Clientes!$B$4:$B$39,Clientes!$C$4:$C$39),Cadastros!$L$6:$L$12,Cadastros!$M$6:$M$12)," ")</f>
        <v xml:space="preserve"> </v>
      </c>
      <c r="AB1980" s="28"/>
      <c r="AC1980" s="28"/>
      <c r="AD1980" s="20" t="str">
        <f>IF(AB1980="","",IF($F1980="Bernardino Furlan",_xlfn.XLOOKUP(AB1980,Cadastros!$G$6:$G$90,Cadastros!$H$6:$H$90)*(1-0.18),IF($F1980="Mauro José Salanti",_xlfn.XLOOKUP(AB1980,Cadastros!$G$6:$G$90,Cadastros!$H$6:$H$90)*(1-0.18),_xlfn.XLOOKUP(AB1980,Cadastros!$G$6:$G$90,Cadastros!$H$6:$H$90))))</f>
        <v/>
      </c>
      <c r="AE1980" s="168" t="str">
        <f t="shared" si="395"/>
        <v/>
      </c>
      <c r="AF1980" s="168" t="str">
        <f t="shared" si="396"/>
        <v/>
      </c>
      <c r="AG1980" s="28"/>
      <c r="AH1980" s="28"/>
      <c r="AI1980" s="20" t="str">
        <f>IF(AG1980="","",IF($F1980="Bernardino Furlan",_xlfn.XLOOKUP(AG1980,Cadastros!$G$6:$G$90,Cadastros!$H$6:$H$90)*(1-0.18),IF($F1980="Mauro José Salanti",_xlfn.XLOOKUP(AG1980,Cadastros!$G$6:$G$90,Cadastros!$H$6:$H$90)*(1-0.18),_xlfn.XLOOKUP(AG1980,Cadastros!$G$6:$G$90,Cadastros!$H$6:$H$90))))</f>
        <v/>
      </c>
      <c r="AJ1980" s="168" t="str">
        <f t="shared" si="397"/>
        <v/>
      </c>
      <c r="AK1980" s="168" t="str">
        <f t="shared" si="398"/>
        <v/>
      </c>
      <c r="AL1980" s="28"/>
      <c r="AM1980" s="28"/>
      <c r="AN1980" s="20" t="str">
        <f>IF(AL1980="","",IF($F1980="Bernardino Furlan",_xlfn.XLOOKUP(AL1980,Cadastros!$G$6:$G$90,Cadastros!$H$6:$H$90)*(1-0.18),IF($F1980="Mauro José Salanti",_xlfn.XLOOKUP(AL1980,Cadastros!$G$6:$G$90,Cadastros!$H$6:$H$90)*(1-0.18),_xlfn.XLOOKUP(AL1980,Cadastros!$G$6:$G$90,Cadastros!$H$6:$H$90))))</f>
        <v/>
      </c>
      <c r="AO1980" s="168" t="str">
        <f t="shared" si="399"/>
        <v/>
      </c>
      <c r="AP1980" s="168" t="str">
        <f t="shared" si="400"/>
        <v/>
      </c>
      <c r="AQ1980" s="28"/>
      <c r="AR1980" s="28"/>
      <c r="AS1980" s="20" t="str">
        <f>IF(AQ1980="","",IF($F1980="Bernardino Furlan",_xlfn.XLOOKUP(AQ1980,Cadastros!$G$6:$G$90,Cadastros!$H$6:$H$90)*(1-0.18),IF($F1980="Mauro José Salanti",_xlfn.XLOOKUP(AQ1980,Cadastros!$G$6:$G$90,Cadastros!$H$6:$H$90)*(1-0.18),_xlfn.XLOOKUP(AQ1980,Cadastros!$G$6:$G$90,Cadastros!$H$6:$H$90))))</f>
        <v/>
      </c>
      <c r="AT1980" s="168" t="str">
        <f t="shared" si="401"/>
        <v/>
      </c>
      <c r="AU1980" s="168" t="str">
        <f t="shared" si="402"/>
        <v/>
      </c>
      <c r="AV1980" s="227"/>
      <c r="AW1980" s="30"/>
      <c r="AX1980" s="267"/>
      <c r="AY1980" s="267"/>
      <c r="AZ1980" s="29"/>
      <c r="BA1980" s="30"/>
      <c r="BB1980" s="23" t="str" cm="1">
        <f t="array" ref="BB1980">_xlfn.IFS(AW1980="SIM",SUM(K1980,P1980,U1980,Z1980,AE1980,AJ1980,AO1980,AT1980,AX1980,AY1980),F1980&lt;&gt;"",SUM(K1980,P1980,U1980,Z1980,AE1980,AJ1980,,AO1980,AT1980),F1980="","")</f>
        <v/>
      </c>
      <c r="BC1980" s="211" t="str" cm="1">
        <f t="array" ref="BC1980">_xlfn.IFS(E1980="","",G1980&lt;=E1980,BB1980*(1-0.03),G1980&lt;(E1980+8),BB1980,AZ1980="Boleto",BB1980*(1+0.001)^DATEDIF(E1980,G1980,"D"),AZ1980="Cheque",BB1980,AZ1980="Dinheiro","Alterar forma pgto")</f>
        <v/>
      </c>
      <c r="BD1980" s="276" t="str" cm="1">
        <f t="array" ref="BD1980">IF(F1980=0," ",IF(BC1980&lt;BB1980,(_xlfn.IFS(AW1980="SIM",SUM(L1980,Q1980,V1980,AA1980,AF1980,AK1980,AP1980,AU1980)+AX1980/_xlfn.XLOOKUP(_xlfn.XLOOKUP($F1980,Clientes!$B$4:$B$39,Clientes!$C$4:$C$39),Cadastros!$L$6:$L$12,Cadastros!$M$6:$M$12)+IF($F1980="Bernardino Furlan",AY1980/2751.92,IF($F1980="Mauro José Salanti",AY1980/2751.92,AY1980/3356)),F1980&lt;&gt;0,SUM(L1980,Q1980,V1980,AA1980,AF1980,AK1980,AP1980,AU1980)))*(1-0.03),_xlfn.IFS(AW1980="SIM",SUM(L1980,Q1980,V1980,AA1980,AF1980,AK1980,AP1980,AU1980)+AX1980/_xlfn.XLOOKUP(_xlfn.XLOOKUP($F1980,Clientes!$B$4:$B$39,Clientes!$C$4:$C$39),Cadastros!$L$6:$L$12,Cadastros!$M$6:$M$12)+IF($F1980="Bernardino Furlan",AY1980/2751.92,IF($F1980="Mauro José Salanti",AY1980/2751.92,AY1980/3356)),F1980&lt;&gt;0,SUM(L1980,Q1980,V1980,AA1980,AF1980,AK1980,AP1980,AU1980))))</f>
        <v xml:space="preserve"> </v>
      </c>
      <c r="BE1980" s="120"/>
      <c r="BF1980" s="120"/>
      <c r="BG1980" s="120"/>
    </row>
    <row r="1981" spans="1:59" s="3" customFormat="1" x14ac:dyDescent="0.3">
      <c r="A1981" s="15" t="str">
        <f t="shared" si="390"/>
        <v/>
      </c>
      <c r="B1981" s="25"/>
      <c r="C1981" s="26"/>
      <c r="D1981" s="279"/>
      <c r="E1981" s="27"/>
      <c r="F1981" s="28"/>
      <c r="G1981" s="27"/>
      <c r="H1981" s="28"/>
      <c r="I1981" s="28"/>
      <c r="J1981" s="255" t="str">
        <f>IF(H1981="","",(_xlfn.XLOOKUP(H1981,Cadastros!$D$6:$D$90,Cadastros!$E$6:$E$90))*(1-_xlfn.XLOOKUP(_xlfn.XLOOKUP($F1981,Clientes!$B$4:$B$39,Clientes!$C$4:$C$39),Cadastros!$L$6:$L$12,Cadastros!$N$6:$N$12)))</f>
        <v/>
      </c>
      <c r="K1981" s="168" t="str">
        <f t="shared" si="391"/>
        <v/>
      </c>
      <c r="L1981" s="168" t="str">
        <f>IFERROR(K1981/_xlfn.XLOOKUP(_xlfn.XLOOKUP($F1981,Clientes!$B$4:$B$39,Clientes!$C$4:$C$39),Cadastros!$L$6:$L$12,Cadastros!$M$6:$M$12)," ")</f>
        <v xml:space="preserve"> </v>
      </c>
      <c r="M1981" s="28"/>
      <c r="N1981" s="28"/>
      <c r="O1981" s="255" t="str">
        <f>IF(M1981="","",(_xlfn.XLOOKUP(M1981,Cadastros!$D$6:$D$90,Cadastros!$E$6:$E$90))*(1-_xlfn.XLOOKUP(_xlfn.XLOOKUP($F1981,Clientes!$B$4:$B$39,Clientes!$C$4:$C$39),Cadastros!$L$6:$L$12,Cadastros!$N$6:$N$12)))</f>
        <v/>
      </c>
      <c r="P1981" s="168" t="str">
        <f t="shared" si="392"/>
        <v/>
      </c>
      <c r="Q1981" s="168" t="str">
        <f>IFERROR(P1981/_xlfn.XLOOKUP(_xlfn.XLOOKUP($F1981,Clientes!$B$4:$B$39,Clientes!$C$4:$C$39),Cadastros!$L$6:$L$12,Cadastros!$M$6:$M$12)," ")</f>
        <v xml:space="preserve"> </v>
      </c>
      <c r="R1981" s="28"/>
      <c r="S1981" s="28"/>
      <c r="T1981" s="255" t="str">
        <f>IF(R1981="","",(_xlfn.XLOOKUP(R1981,Cadastros!$D$6:$D$90,Cadastros!$E$6:$E$90))*(1-_xlfn.XLOOKUP(_xlfn.XLOOKUP($F1981,Clientes!$B$4:$B$39,Clientes!$C$4:$C$39),Cadastros!$L$6:$L$12,Cadastros!$N$6:$N$12)))</f>
        <v/>
      </c>
      <c r="U1981" s="168" t="str">
        <f t="shared" si="393"/>
        <v/>
      </c>
      <c r="V1981" s="168" t="str">
        <f>IFERROR(U1981/_xlfn.XLOOKUP(_xlfn.XLOOKUP($F1981,Clientes!$B$4:$B$39,Clientes!$C$4:$C$39),Cadastros!$L$6:$L$12,Cadastros!$M$6:$M$12)," ")</f>
        <v xml:space="preserve"> </v>
      </c>
      <c r="W1981" s="28"/>
      <c r="X1981" s="28"/>
      <c r="Y1981" s="255" t="str">
        <f>IF(W1981="","",(_xlfn.XLOOKUP(W1981,Cadastros!$D$6:$D$90,Cadastros!$E$6:$E$90))*(1-_xlfn.XLOOKUP(_xlfn.XLOOKUP($F1981,Clientes!$B$4:$B$39,Clientes!$C$4:$C$39),Cadastros!$L$6:$L$12,Cadastros!$N$6:$N$12)))</f>
        <v/>
      </c>
      <c r="Z1981" s="168" t="str">
        <f t="shared" si="394"/>
        <v/>
      </c>
      <c r="AA1981" s="168" t="str">
        <f>IFERROR(Z1981/_xlfn.XLOOKUP(_xlfn.XLOOKUP($F1981,Clientes!$B$4:$B$39,Clientes!$C$4:$C$39),Cadastros!$L$6:$L$12,Cadastros!$M$6:$M$12)," ")</f>
        <v xml:space="preserve"> </v>
      </c>
      <c r="AB1981" s="28"/>
      <c r="AC1981" s="28"/>
      <c r="AD1981" s="20" t="str">
        <f>IF(AB1981="","",IF($F1981="Bernardino Furlan",_xlfn.XLOOKUP(AB1981,Cadastros!$G$6:$G$90,Cadastros!$H$6:$H$90)*(1-0.18),IF($F1981="Mauro José Salanti",_xlfn.XLOOKUP(AB1981,Cadastros!$G$6:$G$90,Cadastros!$H$6:$H$90)*(1-0.18),_xlfn.XLOOKUP(AB1981,Cadastros!$G$6:$G$90,Cadastros!$H$6:$H$90))))</f>
        <v/>
      </c>
      <c r="AE1981" s="168" t="str">
        <f t="shared" si="395"/>
        <v/>
      </c>
      <c r="AF1981" s="168" t="str">
        <f t="shared" si="396"/>
        <v/>
      </c>
      <c r="AG1981" s="28"/>
      <c r="AH1981" s="28"/>
      <c r="AI1981" s="20" t="str">
        <f>IF(AG1981="","",IF($F1981="Bernardino Furlan",_xlfn.XLOOKUP(AG1981,Cadastros!$G$6:$G$90,Cadastros!$H$6:$H$90)*(1-0.18),IF($F1981="Mauro José Salanti",_xlfn.XLOOKUP(AG1981,Cadastros!$G$6:$G$90,Cadastros!$H$6:$H$90)*(1-0.18),_xlfn.XLOOKUP(AG1981,Cadastros!$G$6:$G$90,Cadastros!$H$6:$H$90))))</f>
        <v/>
      </c>
      <c r="AJ1981" s="168" t="str">
        <f t="shared" si="397"/>
        <v/>
      </c>
      <c r="AK1981" s="168" t="str">
        <f t="shared" si="398"/>
        <v/>
      </c>
      <c r="AL1981" s="28"/>
      <c r="AM1981" s="28"/>
      <c r="AN1981" s="20" t="str">
        <f>IF(AL1981="","",IF($F1981="Bernardino Furlan",_xlfn.XLOOKUP(AL1981,Cadastros!$G$6:$G$90,Cadastros!$H$6:$H$90)*(1-0.18),IF($F1981="Mauro José Salanti",_xlfn.XLOOKUP(AL1981,Cadastros!$G$6:$G$90,Cadastros!$H$6:$H$90)*(1-0.18),_xlfn.XLOOKUP(AL1981,Cadastros!$G$6:$G$90,Cadastros!$H$6:$H$90))))</f>
        <v/>
      </c>
      <c r="AO1981" s="168" t="str">
        <f t="shared" si="399"/>
        <v/>
      </c>
      <c r="AP1981" s="168" t="str">
        <f t="shared" si="400"/>
        <v/>
      </c>
      <c r="AQ1981" s="28"/>
      <c r="AR1981" s="28"/>
      <c r="AS1981" s="20" t="str">
        <f>IF(AQ1981="","",IF($F1981="Bernardino Furlan",_xlfn.XLOOKUP(AQ1981,Cadastros!$G$6:$G$90,Cadastros!$H$6:$H$90)*(1-0.18),IF($F1981="Mauro José Salanti",_xlfn.XLOOKUP(AQ1981,Cadastros!$G$6:$G$90,Cadastros!$H$6:$H$90)*(1-0.18),_xlfn.XLOOKUP(AQ1981,Cadastros!$G$6:$G$90,Cadastros!$H$6:$H$90))))</f>
        <v/>
      </c>
      <c r="AT1981" s="168" t="str">
        <f t="shared" si="401"/>
        <v/>
      </c>
      <c r="AU1981" s="168" t="str">
        <f t="shared" si="402"/>
        <v/>
      </c>
      <c r="AV1981" s="227"/>
      <c r="AW1981" s="30"/>
      <c r="AX1981" s="267"/>
      <c r="AY1981" s="267"/>
      <c r="AZ1981" s="29"/>
      <c r="BA1981" s="30"/>
      <c r="BB1981" s="23" t="str" cm="1">
        <f t="array" ref="BB1981">_xlfn.IFS(AW1981="SIM",SUM(K1981,P1981,U1981,Z1981,AE1981,AJ1981,AO1981,AT1981,AX1981,AY1981),F1981&lt;&gt;"",SUM(K1981,P1981,U1981,Z1981,AE1981,AJ1981,,AO1981,AT1981),F1981="","")</f>
        <v/>
      </c>
      <c r="BC1981" s="211" t="str" cm="1">
        <f t="array" ref="BC1981">_xlfn.IFS(E1981="","",G1981&lt;=E1981,BB1981*(1-0.03),G1981&lt;(E1981+8),BB1981,AZ1981="Boleto",BB1981*(1+0.001)^DATEDIF(E1981,G1981,"D"),AZ1981="Cheque",BB1981,AZ1981="Dinheiro","Alterar forma pgto")</f>
        <v/>
      </c>
      <c r="BD1981" s="276" t="str" cm="1">
        <f t="array" ref="BD1981">IF(F1981=0," ",IF(BC1981&lt;BB1981,(_xlfn.IFS(AW1981="SIM",SUM(L1981,Q1981,V1981,AA1981,AF1981,AK1981,AP1981,AU1981)+AX1981/_xlfn.XLOOKUP(_xlfn.XLOOKUP($F1981,Clientes!$B$4:$B$39,Clientes!$C$4:$C$39),Cadastros!$L$6:$L$12,Cadastros!$M$6:$M$12)+IF($F1981="Bernardino Furlan",AY1981/2751.92,IF($F1981="Mauro José Salanti",AY1981/2751.92,AY1981/3356)),F1981&lt;&gt;0,SUM(L1981,Q1981,V1981,AA1981,AF1981,AK1981,AP1981,AU1981)))*(1-0.03),_xlfn.IFS(AW1981="SIM",SUM(L1981,Q1981,V1981,AA1981,AF1981,AK1981,AP1981,AU1981)+AX1981/_xlfn.XLOOKUP(_xlfn.XLOOKUP($F1981,Clientes!$B$4:$B$39,Clientes!$C$4:$C$39),Cadastros!$L$6:$L$12,Cadastros!$M$6:$M$12)+IF($F1981="Bernardino Furlan",AY1981/2751.92,IF($F1981="Mauro José Salanti",AY1981/2751.92,AY1981/3356)),F1981&lt;&gt;0,SUM(L1981,Q1981,V1981,AA1981,AF1981,AK1981,AP1981,AU1981))))</f>
        <v xml:space="preserve"> </v>
      </c>
      <c r="BE1981" s="120"/>
      <c r="BF1981" s="120"/>
      <c r="BG1981" s="120"/>
    </row>
    <row r="1982" spans="1:59" s="3" customFormat="1" x14ac:dyDescent="0.3">
      <c r="A1982" s="15" t="str">
        <f t="shared" si="390"/>
        <v/>
      </c>
      <c r="B1982" s="25"/>
      <c r="C1982" s="26"/>
      <c r="D1982" s="279"/>
      <c r="E1982" s="27"/>
      <c r="F1982" s="28"/>
      <c r="G1982" s="27"/>
      <c r="H1982" s="28"/>
      <c r="I1982" s="28"/>
      <c r="J1982" s="255" t="str">
        <f>IF(H1982="","",(_xlfn.XLOOKUP(H1982,Cadastros!$D$6:$D$90,Cadastros!$E$6:$E$90))*(1-_xlfn.XLOOKUP(_xlfn.XLOOKUP($F1982,Clientes!$B$4:$B$39,Clientes!$C$4:$C$39),Cadastros!$L$6:$L$12,Cadastros!$N$6:$N$12)))</f>
        <v/>
      </c>
      <c r="K1982" s="168" t="str">
        <f t="shared" si="391"/>
        <v/>
      </c>
      <c r="L1982" s="168" t="str">
        <f>IFERROR(K1982/_xlfn.XLOOKUP(_xlfn.XLOOKUP($F1982,Clientes!$B$4:$B$39,Clientes!$C$4:$C$39),Cadastros!$L$6:$L$12,Cadastros!$M$6:$M$12)," ")</f>
        <v xml:space="preserve"> </v>
      </c>
      <c r="M1982" s="28"/>
      <c r="N1982" s="28"/>
      <c r="O1982" s="255" t="str">
        <f>IF(M1982="","",(_xlfn.XLOOKUP(M1982,Cadastros!$D$6:$D$90,Cadastros!$E$6:$E$90))*(1-_xlfn.XLOOKUP(_xlfn.XLOOKUP($F1982,Clientes!$B$4:$B$39,Clientes!$C$4:$C$39),Cadastros!$L$6:$L$12,Cadastros!$N$6:$N$12)))</f>
        <v/>
      </c>
      <c r="P1982" s="168" t="str">
        <f t="shared" si="392"/>
        <v/>
      </c>
      <c r="Q1982" s="168" t="str">
        <f>IFERROR(P1982/_xlfn.XLOOKUP(_xlfn.XLOOKUP($F1982,Clientes!$B$4:$B$39,Clientes!$C$4:$C$39),Cadastros!$L$6:$L$12,Cadastros!$M$6:$M$12)," ")</f>
        <v xml:space="preserve"> </v>
      </c>
      <c r="R1982" s="28"/>
      <c r="S1982" s="28"/>
      <c r="T1982" s="255" t="str">
        <f>IF(R1982="","",(_xlfn.XLOOKUP(R1982,Cadastros!$D$6:$D$90,Cadastros!$E$6:$E$90))*(1-_xlfn.XLOOKUP(_xlfn.XLOOKUP($F1982,Clientes!$B$4:$B$39,Clientes!$C$4:$C$39),Cadastros!$L$6:$L$12,Cadastros!$N$6:$N$12)))</f>
        <v/>
      </c>
      <c r="U1982" s="168" t="str">
        <f t="shared" si="393"/>
        <v/>
      </c>
      <c r="V1982" s="168" t="str">
        <f>IFERROR(U1982/_xlfn.XLOOKUP(_xlfn.XLOOKUP($F1982,Clientes!$B$4:$B$39,Clientes!$C$4:$C$39),Cadastros!$L$6:$L$12,Cadastros!$M$6:$M$12)," ")</f>
        <v xml:space="preserve"> </v>
      </c>
      <c r="W1982" s="28"/>
      <c r="X1982" s="28"/>
      <c r="Y1982" s="255" t="str">
        <f>IF(W1982="","",(_xlfn.XLOOKUP(W1982,Cadastros!$D$6:$D$90,Cadastros!$E$6:$E$90))*(1-_xlfn.XLOOKUP(_xlfn.XLOOKUP($F1982,Clientes!$B$4:$B$39,Clientes!$C$4:$C$39),Cadastros!$L$6:$L$12,Cadastros!$N$6:$N$12)))</f>
        <v/>
      </c>
      <c r="Z1982" s="168" t="str">
        <f t="shared" si="394"/>
        <v/>
      </c>
      <c r="AA1982" s="168" t="str">
        <f>IFERROR(Z1982/_xlfn.XLOOKUP(_xlfn.XLOOKUP($F1982,Clientes!$B$4:$B$39,Clientes!$C$4:$C$39),Cadastros!$L$6:$L$12,Cadastros!$M$6:$M$12)," ")</f>
        <v xml:space="preserve"> </v>
      </c>
      <c r="AB1982" s="28"/>
      <c r="AC1982" s="28"/>
      <c r="AD1982" s="20" t="str">
        <f>IF(AB1982="","",IF($F1982="Bernardino Furlan",_xlfn.XLOOKUP(AB1982,Cadastros!$G$6:$G$90,Cadastros!$H$6:$H$90)*(1-0.18),IF($F1982="Mauro José Salanti",_xlfn.XLOOKUP(AB1982,Cadastros!$G$6:$G$90,Cadastros!$H$6:$H$90)*(1-0.18),_xlfn.XLOOKUP(AB1982,Cadastros!$G$6:$G$90,Cadastros!$H$6:$H$90))))</f>
        <v/>
      </c>
      <c r="AE1982" s="168" t="str">
        <f t="shared" si="395"/>
        <v/>
      </c>
      <c r="AF1982" s="168" t="str">
        <f t="shared" si="396"/>
        <v/>
      </c>
      <c r="AG1982" s="28"/>
      <c r="AH1982" s="28"/>
      <c r="AI1982" s="20" t="str">
        <f>IF(AG1982="","",IF($F1982="Bernardino Furlan",_xlfn.XLOOKUP(AG1982,Cadastros!$G$6:$G$90,Cadastros!$H$6:$H$90)*(1-0.18),IF($F1982="Mauro José Salanti",_xlfn.XLOOKUP(AG1982,Cadastros!$G$6:$G$90,Cadastros!$H$6:$H$90)*(1-0.18),_xlfn.XLOOKUP(AG1982,Cadastros!$G$6:$G$90,Cadastros!$H$6:$H$90))))</f>
        <v/>
      </c>
      <c r="AJ1982" s="168" t="str">
        <f t="shared" si="397"/>
        <v/>
      </c>
      <c r="AK1982" s="168" t="str">
        <f t="shared" si="398"/>
        <v/>
      </c>
      <c r="AL1982" s="28"/>
      <c r="AM1982" s="28"/>
      <c r="AN1982" s="20" t="str">
        <f>IF(AL1982="","",IF($F1982="Bernardino Furlan",_xlfn.XLOOKUP(AL1982,Cadastros!$G$6:$G$90,Cadastros!$H$6:$H$90)*(1-0.18),IF($F1982="Mauro José Salanti",_xlfn.XLOOKUP(AL1982,Cadastros!$G$6:$G$90,Cadastros!$H$6:$H$90)*(1-0.18),_xlfn.XLOOKUP(AL1982,Cadastros!$G$6:$G$90,Cadastros!$H$6:$H$90))))</f>
        <v/>
      </c>
      <c r="AO1982" s="168" t="str">
        <f t="shared" si="399"/>
        <v/>
      </c>
      <c r="AP1982" s="168" t="str">
        <f t="shared" si="400"/>
        <v/>
      </c>
      <c r="AQ1982" s="28"/>
      <c r="AR1982" s="28"/>
      <c r="AS1982" s="20" t="str">
        <f>IF(AQ1982="","",IF($F1982="Bernardino Furlan",_xlfn.XLOOKUP(AQ1982,Cadastros!$G$6:$G$90,Cadastros!$H$6:$H$90)*(1-0.18),IF($F1982="Mauro José Salanti",_xlfn.XLOOKUP(AQ1982,Cadastros!$G$6:$G$90,Cadastros!$H$6:$H$90)*(1-0.18),_xlfn.XLOOKUP(AQ1982,Cadastros!$G$6:$G$90,Cadastros!$H$6:$H$90))))</f>
        <v/>
      </c>
      <c r="AT1982" s="168" t="str">
        <f t="shared" si="401"/>
        <v/>
      </c>
      <c r="AU1982" s="168" t="str">
        <f t="shared" si="402"/>
        <v/>
      </c>
      <c r="AV1982" s="227"/>
      <c r="AW1982" s="30"/>
      <c r="AX1982" s="267"/>
      <c r="AY1982" s="267"/>
      <c r="AZ1982" s="29"/>
      <c r="BA1982" s="30"/>
      <c r="BB1982" s="23" t="str" cm="1">
        <f t="array" ref="BB1982">_xlfn.IFS(AW1982="SIM",SUM(K1982,P1982,U1982,Z1982,AE1982,AJ1982,AO1982,AT1982,AX1982,AY1982),F1982&lt;&gt;"",SUM(K1982,P1982,U1982,Z1982,AE1982,AJ1982,,AO1982,AT1982),F1982="","")</f>
        <v/>
      </c>
      <c r="BC1982" s="211" t="str" cm="1">
        <f t="array" ref="BC1982">_xlfn.IFS(E1982="","",G1982&lt;=E1982,BB1982*(1-0.03),G1982&lt;(E1982+8),BB1982,AZ1982="Boleto",BB1982*(1+0.001)^DATEDIF(E1982,G1982,"D"),AZ1982="Cheque",BB1982,AZ1982="Dinheiro","Alterar forma pgto")</f>
        <v/>
      </c>
      <c r="BD1982" s="276" t="str" cm="1">
        <f t="array" ref="BD1982">IF(F1982=0," ",IF(BC1982&lt;BB1982,(_xlfn.IFS(AW1982="SIM",SUM(L1982,Q1982,V1982,AA1982,AF1982,AK1982,AP1982,AU1982)+AX1982/_xlfn.XLOOKUP(_xlfn.XLOOKUP($F1982,Clientes!$B$4:$B$39,Clientes!$C$4:$C$39),Cadastros!$L$6:$L$12,Cadastros!$M$6:$M$12)+IF($F1982="Bernardino Furlan",AY1982/2751.92,IF($F1982="Mauro José Salanti",AY1982/2751.92,AY1982/3356)),F1982&lt;&gt;0,SUM(L1982,Q1982,V1982,AA1982,AF1982,AK1982,AP1982,AU1982)))*(1-0.03),_xlfn.IFS(AW1982="SIM",SUM(L1982,Q1982,V1982,AA1982,AF1982,AK1982,AP1982,AU1982)+AX1982/_xlfn.XLOOKUP(_xlfn.XLOOKUP($F1982,Clientes!$B$4:$B$39,Clientes!$C$4:$C$39),Cadastros!$L$6:$L$12,Cadastros!$M$6:$M$12)+IF($F1982="Bernardino Furlan",AY1982/2751.92,IF($F1982="Mauro José Salanti",AY1982/2751.92,AY1982/3356)),F1982&lt;&gt;0,SUM(L1982,Q1982,V1982,AA1982,AF1982,AK1982,AP1982,AU1982))))</f>
        <v xml:space="preserve"> </v>
      </c>
      <c r="BE1982" s="120"/>
      <c r="BF1982" s="120"/>
      <c r="BG1982" s="120"/>
    </row>
    <row r="1983" spans="1:59" s="3" customFormat="1" x14ac:dyDescent="0.3">
      <c r="A1983" s="15" t="str">
        <f t="shared" si="390"/>
        <v/>
      </c>
      <c r="B1983" s="25"/>
      <c r="C1983" s="26"/>
      <c r="D1983" s="279"/>
      <c r="E1983" s="27"/>
      <c r="F1983" s="28"/>
      <c r="G1983" s="27"/>
      <c r="H1983" s="28"/>
      <c r="I1983" s="28"/>
      <c r="J1983" s="255" t="str">
        <f>IF(H1983="","",(_xlfn.XLOOKUP(H1983,Cadastros!$D$6:$D$90,Cadastros!$E$6:$E$90))*(1-_xlfn.XLOOKUP(_xlfn.XLOOKUP($F1983,Clientes!$B$4:$B$39,Clientes!$C$4:$C$39),Cadastros!$L$6:$L$12,Cadastros!$N$6:$N$12)))</f>
        <v/>
      </c>
      <c r="K1983" s="168" t="str">
        <f t="shared" si="391"/>
        <v/>
      </c>
      <c r="L1983" s="168" t="str">
        <f>IFERROR(K1983/_xlfn.XLOOKUP(_xlfn.XLOOKUP($F1983,Clientes!$B$4:$B$39,Clientes!$C$4:$C$39),Cadastros!$L$6:$L$12,Cadastros!$M$6:$M$12)," ")</f>
        <v xml:space="preserve"> </v>
      </c>
      <c r="M1983" s="28"/>
      <c r="N1983" s="28"/>
      <c r="O1983" s="255" t="str">
        <f>IF(M1983="","",(_xlfn.XLOOKUP(M1983,Cadastros!$D$6:$D$90,Cadastros!$E$6:$E$90))*(1-_xlfn.XLOOKUP(_xlfn.XLOOKUP($F1983,Clientes!$B$4:$B$39,Clientes!$C$4:$C$39),Cadastros!$L$6:$L$12,Cadastros!$N$6:$N$12)))</f>
        <v/>
      </c>
      <c r="P1983" s="168" t="str">
        <f t="shared" si="392"/>
        <v/>
      </c>
      <c r="Q1983" s="168" t="str">
        <f>IFERROR(P1983/_xlfn.XLOOKUP(_xlfn.XLOOKUP($F1983,Clientes!$B$4:$B$39,Clientes!$C$4:$C$39),Cadastros!$L$6:$L$12,Cadastros!$M$6:$M$12)," ")</f>
        <v xml:space="preserve"> </v>
      </c>
      <c r="R1983" s="28"/>
      <c r="S1983" s="28"/>
      <c r="T1983" s="255" t="str">
        <f>IF(R1983="","",(_xlfn.XLOOKUP(R1983,Cadastros!$D$6:$D$90,Cadastros!$E$6:$E$90))*(1-_xlfn.XLOOKUP(_xlfn.XLOOKUP($F1983,Clientes!$B$4:$B$39,Clientes!$C$4:$C$39),Cadastros!$L$6:$L$12,Cadastros!$N$6:$N$12)))</f>
        <v/>
      </c>
      <c r="U1983" s="168" t="str">
        <f t="shared" si="393"/>
        <v/>
      </c>
      <c r="V1983" s="168" t="str">
        <f>IFERROR(U1983/_xlfn.XLOOKUP(_xlfn.XLOOKUP($F1983,Clientes!$B$4:$B$39,Clientes!$C$4:$C$39),Cadastros!$L$6:$L$12,Cadastros!$M$6:$M$12)," ")</f>
        <v xml:space="preserve"> </v>
      </c>
      <c r="W1983" s="28"/>
      <c r="X1983" s="28"/>
      <c r="Y1983" s="255" t="str">
        <f>IF(W1983="","",(_xlfn.XLOOKUP(W1983,Cadastros!$D$6:$D$90,Cadastros!$E$6:$E$90))*(1-_xlfn.XLOOKUP(_xlfn.XLOOKUP($F1983,Clientes!$B$4:$B$39,Clientes!$C$4:$C$39),Cadastros!$L$6:$L$12,Cadastros!$N$6:$N$12)))</f>
        <v/>
      </c>
      <c r="Z1983" s="168" t="str">
        <f t="shared" si="394"/>
        <v/>
      </c>
      <c r="AA1983" s="168" t="str">
        <f>IFERROR(Z1983/_xlfn.XLOOKUP(_xlfn.XLOOKUP($F1983,Clientes!$B$4:$B$39,Clientes!$C$4:$C$39),Cadastros!$L$6:$L$12,Cadastros!$M$6:$M$12)," ")</f>
        <v xml:space="preserve"> </v>
      </c>
      <c r="AB1983" s="28"/>
      <c r="AC1983" s="28"/>
      <c r="AD1983" s="20" t="str">
        <f>IF(AB1983="","",IF($F1983="Bernardino Furlan",_xlfn.XLOOKUP(AB1983,Cadastros!$G$6:$G$90,Cadastros!$H$6:$H$90)*(1-0.18),IF($F1983="Mauro José Salanti",_xlfn.XLOOKUP(AB1983,Cadastros!$G$6:$G$90,Cadastros!$H$6:$H$90)*(1-0.18),_xlfn.XLOOKUP(AB1983,Cadastros!$G$6:$G$90,Cadastros!$H$6:$H$90))))</f>
        <v/>
      </c>
      <c r="AE1983" s="168" t="str">
        <f t="shared" si="395"/>
        <v/>
      </c>
      <c r="AF1983" s="168" t="str">
        <f t="shared" si="396"/>
        <v/>
      </c>
      <c r="AG1983" s="28"/>
      <c r="AH1983" s="28"/>
      <c r="AI1983" s="20" t="str">
        <f>IF(AG1983="","",IF($F1983="Bernardino Furlan",_xlfn.XLOOKUP(AG1983,Cadastros!$G$6:$G$90,Cadastros!$H$6:$H$90)*(1-0.18),IF($F1983="Mauro José Salanti",_xlfn.XLOOKUP(AG1983,Cadastros!$G$6:$G$90,Cadastros!$H$6:$H$90)*(1-0.18),_xlfn.XLOOKUP(AG1983,Cadastros!$G$6:$G$90,Cadastros!$H$6:$H$90))))</f>
        <v/>
      </c>
      <c r="AJ1983" s="168" t="str">
        <f t="shared" si="397"/>
        <v/>
      </c>
      <c r="AK1983" s="168" t="str">
        <f t="shared" si="398"/>
        <v/>
      </c>
      <c r="AL1983" s="28"/>
      <c r="AM1983" s="28"/>
      <c r="AN1983" s="20" t="str">
        <f>IF(AL1983="","",IF($F1983="Bernardino Furlan",_xlfn.XLOOKUP(AL1983,Cadastros!$G$6:$G$90,Cadastros!$H$6:$H$90)*(1-0.18),IF($F1983="Mauro José Salanti",_xlfn.XLOOKUP(AL1983,Cadastros!$G$6:$G$90,Cadastros!$H$6:$H$90)*(1-0.18),_xlfn.XLOOKUP(AL1983,Cadastros!$G$6:$G$90,Cadastros!$H$6:$H$90))))</f>
        <v/>
      </c>
      <c r="AO1983" s="168" t="str">
        <f t="shared" si="399"/>
        <v/>
      </c>
      <c r="AP1983" s="168" t="str">
        <f t="shared" si="400"/>
        <v/>
      </c>
      <c r="AQ1983" s="28"/>
      <c r="AR1983" s="28"/>
      <c r="AS1983" s="20" t="str">
        <f>IF(AQ1983="","",IF($F1983="Bernardino Furlan",_xlfn.XLOOKUP(AQ1983,Cadastros!$G$6:$G$90,Cadastros!$H$6:$H$90)*(1-0.18),IF($F1983="Mauro José Salanti",_xlfn.XLOOKUP(AQ1983,Cadastros!$G$6:$G$90,Cadastros!$H$6:$H$90)*(1-0.18),_xlfn.XLOOKUP(AQ1983,Cadastros!$G$6:$G$90,Cadastros!$H$6:$H$90))))</f>
        <v/>
      </c>
      <c r="AT1983" s="168" t="str">
        <f t="shared" si="401"/>
        <v/>
      </c>
      <c r="AU1983" s="168" t="str">
        <f t="shared" si="402"/>
        <v/>
      </c>
      <c r="AV1983" s="227"/>
      <c r="AW1983" s="30"/>
      <c r="AX1983" s="267"/>
      <c r="AY1983" s="267"/>
      <c r="AZ1983" s="29"/>
      <c r="BA1983" s="30"/>
      <c r="BB1983" s="23" t="str" cm="1">
        <f t="array" ref="BB1983">_xlfn.IFS(AW1983="SIM",SUM(K1983,P1983,U1983,Z1983,AE1983,AJ1983,AO1983,AT1983,AX1983,AY1983),F1983&lt;&gt;"",SUM(K1983,P1983,U1983,Z1983,AE1983,AJ1983,,AO1983,AT1983),F1983="","")</f>
        <v/>
      </c>
      <c r="BC1983" s="211" t="str" cm="1">
        <f t="array" ref="BC1983">_xlfn.IFS(E1983="","",G1983&lt;=E1983,BB1983*(1-0.03),G1983&lt;(E1983+8),BB1983,AZ1983="Boleto",BB1983*(1+0.001)^DATEDIF(E1983,G1983,"D"),AZ1983="Cheque",BB1983,AZ1983="Dinheiro","Alterar forma pgto")</f>
        <v/>
      </c>
      <c r="BD1983" s="276" t="str" cm="1">
        <f t="array" ref="BD1983">IF(F1983=0," ",IF(BC1983&lt;BB1983,(_xlfn.IFS(AW1983="SIM",SUM(L1983,Q1983,V1983,AA1983,AF1983,AK1983,AP1983,AU1983)+AX1983/_xlfn.XLOOKUP(_xlfn.XLOOKUP($F1983,Clientes!$B$4:$B$39,Clientes!$C$4:$C$39),Cadastros!$L$6:$L$12,Cadastros!$M$6:$M$12)+IF($F1983="Bernardino Furlan",AY1983/2751.92,IF($F1983="Mauro José Salanti",AY1983/2751.92,AY1983/3356)),F1983&lt;&gt;0,SUM(L1983,Q1983,V1983,AA1983,AF1983,AK1983,AP1983,AU1983)))*(1-0.03),_xlfn.IFS(AW1983="SIM",SUM(L1983,Q1983,V1983,AA1983,AF1983,AK1983,AP1983,AU1983)+AX1983/_xlfn.XLOOKUP(_xlfn.XLOOKUP($F1983,Clientes!$B$4:$B$39,Clientes!$C$4:$C$39),Cadastros!$L$6:$L$12,Cadastros!$M$6:$M$12)+IF($F1983="Bernardino Furlan",AY1983/2751.92,IF($F1983="Mauro José Salanti",AY1983/2751.92,AY1983/3356)),F1983&lt;&gt;0,SUM(L1983,Q1983,V1983,AA1983,AF1983,AK1983,AP1983,AU1983))))</f>
        <v xml:space="preserve"> </v>
      </c>
      <c r="BE1983" s="120"/>
      <c r="BF1983" s="120"/>
      <c r="BG1983" s="120"/>
    </row>
    <row r="1984" spans="1:59" s="3" customFormat="1" x14ac:dyDescent="0.3">
      <c r="A1984" s="15" t="str">
        <f t="shared" si="390"/>
        <v/>
      </c>
      <c r="B1984" s="25"/>
      <c r="C1984" s="26"/>
      <c r="D1984" s="279"/>
      <c r="E1984" s="27"/>
      <c r="F1984" s="28"/>
      <c r="G1984" s="27"/>
      <c r="H1984" s="28"/>
      <c r="I1984" s="28"/>
      <c r="J1984" s="255" t="str">
        <f>IF(H1984="","",(_xlfn.XLOOKUP(H1984,Cadastros!$D$6:$D$90,Cadastros!$E$6:$E$90))*(1-_xlfn.XLOOKUP(_xlfn.XLOOKUP($F1984,Clientes!$B$4:$B$39,Clientes!$C$4:$C$39),Cadastros!$L$6:$L$12,Cadastros!$N$6:$N$12)))</f>
        <v/>
      </c>
      <c r="K1984" s="168" t="str">
        <f t="shared" si="391"/>
        <v/>
      </c>
      <c r="L1984" s="168" t="str">
        <f>IFERROR(K1984/_xlfn.XLOOKUP(_xlfn.XLOOKUP($F1984,Clientes!$B$4:$B$39,Clientes!$C$4:$C$39),Cadastros!$L$6:$L$12,Cadastros!$M$6:$M$12)," ")</f>
        <v xml:space="preserve"> </v>
      </c>
      <c r="M1984" s="28"/>
      <c r="N1984" s="28"/>
      <c r="O1984" s="255" t="str">
        <f>IF(M1984="","",(_xlfn.XLOOKUP(M1984,Cadastros!$D$6:$D$90,Cadastros!$E$6:$E$90))*(1-_xlfn.XLOOKUP(_xlfn.XLOOKUP($F1984,Clientes!$B$4:$B$39,Clientes!$C$4:$C$39),Cadastros!$L$6:$L$12,Cadastros!$N$6:$N$12)))</f>
        <v/>
      </c>
      <c r="P1984" s="168" t="str">
        <f t="shared" si="392"/>
        <v/>
      </c>
      <c r="Q1984" s="168" t="str">
        <f>IFERROR(P1984/_xlfn.XLOOKUP(_xlfn.XLOOKUP($F1984,Clientes!$B$4:$B$39,Clientes!$C$4:$C$39),Cadastros!$L$6:$L$12,Cadastros!$M$6:$M$12)," ")</f>
        <v xml:space="preserve"> </v>
      </c>
      <c r="R1984" s="28"/>
      <c r="S1984" s="28"/>
      <c r="T1984" s="255" t="str">
        <f>IF(R1984="","",(_xlfn.XLOOKUP(R1984,Cadastros!$D$6:$D$90,Cadastros!$E$6:$E$90))*(1-_xlfn.XLOOKUP(_xlfn.XLOOKUP($F1984,Clientes!$B$4:$B$39,Clientes!$C$4:$C$39),Cadastros!$L$6:$L$12,Cadastros!$N$6:$N$12)))</f>
        <v/>
      </c>
      <c r="U1984" s="168" t="str">
        <f t="shared" si="393"/>
        <v/>
      </c>
      <c r="V1984" s="168" t="str">
        <f>IFERROR(U1984/_xlfn.XLOOKUP(_xlfn.XLOOKUP($F1984,Clientes!$B$4:$B$39,Clientes!$C$4:$C$39),Cadastros!$L$6:$L$12,Cadastros!$M$6:$M$12)," ")</f>
        <v xml:space="preserve"> </v>
      </c>
      <c r="W1984" s="28"/>
      <c r="X1984" s="28"/>
      <c r="Y1984" s="255" t="str">
        <f>IF(W1984="","",(_xlfn.XLOOKUP(W1984,Cadastros!$D$6:$D$90,Cadastros!$E$6:$E$90))*(1-_xlfn.XLOOKUP(_xlfn.XLOOKUP($F1984,Clientes!$B$4:$B$39,Clientes!$C$4:$C$39),Cadastros!$L$6:$L$12,Cadastros!$N$6:$N$12)))</f>
        <v/>
      </c>
      <c r="Z1984" s="168" t="str">
        <f t="shared" si="394"/>
        <v/>
      </c>
      <c r="AA1984" s="168" t="str">
        <f>IFERROR(Z1984/_xlfn.XLOOKUP(_xlfn.XLOOKUP($F1984,Clientes!$B$4:$B$39,Clientes!$C$4:$C$39),Cadastros!$L$6:$L$12,Cadastros!$M$6:$M$12)," ")</f>
        <v xml:space="preserve"> </v>
      </c>
      <c r="AB1984" s="28"/>
      <c r="AC1984" s="28"/>
      <c r="AD1984" s="20" t="str">
        <f>IF(AB1984="","",IF($F1984="Bernardino Furlan",_xlfn.XLOOKUP(AB1984,Cadastros!$G$6:$G$90,Cadastros!$H$6:$H$90)*(1-0.18),IF($F1984="Mauro José Salanti",_xlfn.XLOOKUP(AB1984,Cadastros!$G$6:$G$90,Cadastros!$H$6:$H$90)*(1-0.18),_xlfn.XLOOKUP(AB1984,Cadastros!$G$6:$G$90,Cadastros!$H$6:$H$90))))</f>
        <v/>
      </c>
      <c r="AE1984" s="168" t="str">
        <f t="shared" si="395"/>
        <v/>
      </c>
      <c r="AF1984" s="168" t="str">
        <f t="shared" si="396"/>
        <v/>
      </c>
      <c r="AG1984" s="28"/>
      <c r="AH1984" s="28"/>
      <c r="AI1984" s="20" t="str">
        <f>IF(AG1984="","",IF($F1984="Bernardino Furlan",_xlfn.XLOOKUP(AG1984,Cadastros!$G$6:$G$90,Cadastros!$H$6:$H$90)*(1-0.18),IF($F1984="Mauro José Salanti",_xlfn.XLOOKUP(AG1984,Cadastros!$G$6:$G$90,Cadastros!$H$6:$H$90)*(1-0.18),_xlfn.XLOOKUP(AG1984,Cadastros!$G$6:$G$90,Cadastros!$H$6:$H$90))))</f>
        <v/>
      </c>
      <c r="AJ1984" s="168" t="str">
        <f t="shared" si="397"/>
        <v/>
      </c>
      <c r="AK1984" s="168" t="str">
        <f t="shared" si="398"/>
        <v/>
      </c>
      <c r="AL1984" s="28"/>
      <c r="AM1984" s="28"/>
      <c r="AN1984" s="20" t="str">
        <f>IF(AL1984="","",IF($F1984="Bernardino Furlan",_xlfn.XLOOKUP(AL1984,Cadastros!$G$6:$G$90,Cadastros!$H$6:$H$90)*(1-0.18),IF($F1984="Mauro José Salanti",_xlfn.XLOOKUP(AL1984,Cadastros!$G$6:$G$90,Cadastros!$H$6:$H$90)*(1-0.18),_xlfn.XLOOKUP(AL1984,Cadastros!$G$6:$G$90,Cadastros!$H$6:$H$90))))</f>
        <v/>
      </c>
      <c r="AO1984" s="168" t="str">
        <f t="shared" si="399"/>
        <v/>
      </c>
      <c r="AP1984" s="168" t="str">
        <f t="shared" si="400"/>
        <v/>
      </c>
      <c r="AQ1984" s="28"/>
      <c r="AR1984" s="28"/>
      <c r="AS1984" s="20" t="str">
        <f>IF(AQ1984="","",IF($F1984="Bernardino Furlan",_xlfn.XLOOKUP(AQ1984,Cadastros!$G$6:$G$90,Cadastros!$H$6:$H$90)*(1-0.18),IF($F1984="Mauro José Salanti",_xlfn.XLOOKUP(AQ1984,Cadastros!$G$6:$G$90,Cadastros!$H$6:$H$90)*(1-0.18),_xlfn.XLOOKUP(AQ1984,Cadastros!$G$6:$G$90,Cadastros!$H$6:$H$90))))</f>
        <v/>
      </c>
      <c r="AT1984" s="168" t="str">
        <f t="shared" si="401"/>
        <v/>
      </c>
      <c r="AU1984" s="168" t="str">
        <f t="shared" si="402"/>
        <v/>
      </c>
      <c r="AV1984" s="227"/>
      <c r="AW1984" s="30"/>
      <c r="AX1984" s="267"/>
      <c r="AY1984" s="267"/>
      <c r="AZ1984" s="29"/>
      <c r="BA1984" s="30"/>
      <c r="BB1984" s="23" t="str" cm="1">
        <f t="array" ref="BB1984">_xlfn.IFS(AW1984="SIM",SUM(K1984,P1984,U1984,Z1984,AE1984,AJ1984,AO1984,AT1984,AX1984,AY1984),F1984&lt;&gt;"",SUM(K1984,P1984,U1984,Z1984,AE1984,AJ1984,,AO1984,AT1984),F1984="","")</f>
        <v/>
      </c>
      <c r="BC1984" s="211" t="str" cm="1">
        <f t="array" ref="BC1984">_xlfn.IFS(E1984="","",G1984&lt;=E1984,BB1984*(1-0.03),G1984&lt;(E1984+8),BB1984,AZ1984="Boleto",BB1984*(1+0.001)^DATEDIF(E1984,G1984,"D"),AZ1984="Cheque",BB1984,AZ1984="Dinheiro","Alterar forma pgto")</f>
        <v/>
      </c>
      <c r="BD1984" s="276" t="str" cm="1">
        <f t="array" ref="BD1984">IF(F1984=0," ",IF(BC1984&lt;BB1984,(_xlfn.IFS(AW1984="SIM",SUM(L1984,Q1984,V1984,AA1984,AF1984,AK1984,AP1984,AU1984)+AX1984/_xlfn.XLOOKUP(_xlfn.XLOOKUP($F1984,Clientes!$B$4:$B$39,Clientes!$C$4:$C$39),Cadastros!$L$6:$L$12,Cadastros!$M$6:$M$12)+IF($F1984="Bernardino Furlan",AY1984/2751.92,IF($F1984="Mauro José Salanti",AY1984/2751.92,AY1984/3356)),F1984&lt;&gt;0,SUM(L1984,Q1984,V1984,AA1984,AF1984,AK1984,AP1984,AU1984)))*(1-0.03),_xlfn.IFS(AW1984="SIM",SUM(L1984,Q1984,V1984,AA1984,AF1984,AK1984,AP1984,AU1984)+AX1984/_xlfn.XLOOKUP(_xlfn.XLOOKUP($F1984,Clientes!$B$4:$B$39,Clientes!$C$4:$C$39),Cadastros!$L$6:$L$12,Cadastros!$M$6:$M$12)+IF($F1984="Bernardino Furlan",AY1984/2751.92,IF($F1984="Mauro José Salanti",AY1984/2751.92,AY1984/3356)),F1984&lt;&gt;0,SUM(L1984,Q1984,V1984,AA1984,AF1984,AK1984,AP1984,AU1984))))</f>
        <v xml:space="preserve"> </v>
      </c>
      <c r="BE1984" s="120"/>
      <c r="BF1984" s="120"/>
      <c r="BG1984" s="120"/>
    </row>
    <row r="1985" spans="1:59" s="3" customFormat="1" x14ac:dyDescent="0.3">
      <c r="A1985" s="15" t="str">
        <f t="shared" si="390"/>
        <v/>
      </c>
      <c r="B1985" s="25"/>
      <c r="C1985" s="26"/>
      <c r="D1985" s="279"/>
      <c r="E1985" s="27"/>
      <c r="F1985" s="28"/>
      <c r="G1985" s="27"/>
      <c r="H1985" s="28"/>
      <c r="I1985" s="28"/>
      <c r="J1985" s="255" t="str">
        <f>IF(H1985="","",(_xlfn.XLOOKUP(H1985,Cadastros!$D$6:$D$90,Cadastros!$E$6:$E$90))*(1-_xlfn.XLOOKUP(_xlfn.XLOOKUP($F1985,Clientes!$B$4:$B$39,Clientes!$C$4:$C$39),Cadastros!$L$6:$L$12,Cadastros!$N$6:$N$12)))</f>
        <v/>
      </c>
      <c r="K1985" s="168" t="str">
        <f t="shared" si="391"/>
        <v/>
      </c>
      <c r="L1985" s="168" t="str">
        <f>IFERROR(K1985/_xlfn.XLOOKUP(_xlfn.XLOOKUP($F1985,Clientes!$B$4:$B$39,Clientes!$C$4:$C$39),Cadastros!$L$6:$L$12,Cadastros!$M$6:$M$12)," ")</f>
        <v xml:space="preserve"> </v>
      </c>
      <c r="M1985" s="28"/>
      <c r="N1985" s="28"/>
      <c r="O1985" s="255" t="str">
        <f>IF(M1985="","",(_xlfn.XLOOKUP(M1985,Cadastros!$D$6:$D$90,Cadastros!$E$6:$E$90))*(1-_xlfn.XLOOKUP(_xlfn.XLOOKUP($F1985,Clientes!$B$4:$B$39,Clientes!$C$4:$C$39),Cadastros!$L$6:$L$12,Cadastros!$N$6:$N$12)))</f>
        <v/>
      </c>
      <c r="P1985" s="168" t="str">
        <f t="shared" si="392"/>
        <v/>
      </c>
      <c r="Q1985" s="168" t="str">
        <f>IFERROR(P1985/_xlfn.XLOOKUP(_xlfn.XLOOKUP($F1985,Clientes!$B$4:$B$39,Clientes!$C$4:$C$39),Cadastros!$L$6:$L$12,Cadastros!$M$6:$M$12)," ")</f>
        <v xml:space="preserve"> </v>
      </c>
      <c r="R1985" s="28"/>
      <c r="S1985" s="28"/>
      <c r="T1985" s="255" t="str">
        <f>IF(R1985="","",(_xlfn.XLOOKUP(R1985,Cadastros!$D$6:$D$90,Cadastros!$E$6:$E$90))*(1-_xlfn.XLOOKUP(_xlfn.XLOOKUP($F1985,Clientes!$B$4:$B$39,Clientes!$C$4:$C$39),Cadastros!$L$6:$L$12,Cadastros!$N$6:$N$12)))</f>
        <v/>
      </c>
      <c r="U1985" s="168" t="str">
        <f t="shared" si="393"/>
        <v/>
      </c>
      <c r="V1985" s="168" t="str">
        <f>IFERROR(U1985/_xlfn.XLOOKUP(_xlfn.XLOOKUP($F1985,Clientes!$B$4:$B$39,Clientes!$C$4:$C$39),Cadastros!$L$6:$L$12,Cadastros!$M$6:$M$12)," ")</f>
        <v xml:space="preserve"> </v>
      </c>
      <c r="W1985" s="28"/>
      <c r="X1985" s="28"/>
      <c r="Y1985" s="255" t="str">
        <f>IF(W1985="","",(_xlfn.XLOOKUP(W1985,Cadastros!$D$6:$D$90,Cadastros!$E$6:$E$90))*(1-_xlfn.XLOOKUP(_xlfn.XLOOKUP($F1985,Clientes!$B$4:$B$39,Clientes!$C$4:$C$39),Cadastros!$L$6:$L$12,Cadastros!$N$6:$N$12)))</f>
        <v/>
      </c>
      <c r="Z1985" s="168" t="str">
        <f t="shared" si="394"/>
        <v/>
      </c>
      <c r="AA1985" s="168" t="str">
        <f>IFERROR(Z1985/_xlfn.XLOOKUP(_xlfn.XLOOKUP($F1985,Clientes!$B$4:$B$39,Clientes!$C$4:$C$39),Cadastros!$L$6:$L$12,Cadastros!$M$6:$M$12)," ")</f>
        <v xml:space="preserve"> </v>
      </c>
      <c r="AB1985" s="28"/>
      <c r="AC1985" s="28"/>
      <c r="AD1985" s="20" t="str">
        <f>IF(AB1985="","",IF($F1985="Bernardino Furlan",_xlfn.XLOOKUP(AB1985,Cadastros!$G$6:$G$90,Cadastros!$H$6:$H$90)*(1-0.18),IF($F1985="Mauro José Salanti",_xlfn.XLOOKUP(AB1985,Cadastros!$G$6:$G$90,Cadastros!$H$6:$H$90)*(1-0.18),_xlfn.XLOOKUP(AB1985,Cadastros!$G$6:$G$90,Cadastros!$H$6:$H$90))))</f>
        <v/>
      </c>
      <c r="AE1985" s="168" t="str">
        <f t="shared" si="395"/>
        <v/>
      </c>
      <c r="AF1985" s="168" t="str">
        <f t="shared" si="396"/>
        <v/>
      </c>
      <c r="AG1985" s="28"/>
      <c r="AH1985" s="28"/>
      <c r="AI1985" s="20" t="str">
        <f>IF(AG1985="","",IF($F1985="Bernardino Furlan",_xlfn.XLOOKUP(AG1985,Cadastros!$G$6:$G$90,Cadastros!$H$6:$H$90)*(1-0.18),IF($F1985="Mauro José Salanti",_xlfn.XLOOKUP(AG1985,Cadastros!$G$6:$G$90,Cadastros!$H$6:$H$90)*(1-0.18),_xlfn.XLOOKUP(AG1985,Cadastros!$G$6:$G$90,Cadastros!$H$6:$H$90))))</f>
        <v/>
      </c>
      <c r="AJ1985" s="168" t="str">
        <f t="shared" si="397"/>
        <v/>
      </c>
      <c r="AK1985" s="168" t="str">
        <f t="shared" si="398"/>
        <v/>
      </c>
      <c r="AL1985" s="28"/>
      <c r="AM1985" s="28"/>
      <c r="AN1985" s="20" t="str">
        <f>IF(AL1985="","",IF($F1985="Bernardino Furlan",_xlfn.XLOOKUP(AL1985,Cadastros!$G$6:$G$90,Cadastros!$H$6:$H$90)*(1-0.18),IF($F1985="Mauro José Salanti",_xlfn.XLOOKUP(AL1985,Cadastros!$G$6:$G$90,Cadastros!$H$6:$H$90)*(1-0.18),_xlfn.XLOOKUP(AL1985,Cadastros!$G$6:$G$90,Cadastros!$H$6:$H$90))))</f>
        <v/>
      </c>
      <c r="AO1985" s="168" t="str">
        <f t="shared" si="399"/>
        <v/>
      </c>
      <c r="AP1985" s="168" t="str">
        <f t="shared" si="400"/>
        <v/>
      </c>
      <c r="AQ1985" s="28"/>
      <c r="AR1985" s="28"/>
      <c r="AS1985" s="20" t="str">
        <f>IF(AQ1985="","",IF($F1985="Bernardino Furlan",_xlfn.XLOOKUP(AQ1985,Cadastros!$G$6:$G$90,Cadastros!$H$6:$H$90)*(1-0.18),IF($F1985="Mauro José Salanti",_xlfn.XLOOKUP(AQ1985,Cadastros!$G$6:$G$90,Cadastros!$H$6:$H$90)*(1-0.18),_xlfn.XLOOKUP(AQ1985,Cadastros!$G$6:$G$90,Cadastros!$H$6:$H$90))))</f>
        <v/>
      </c>
      <c r="AT1985" s="168" t="str">
        <f t="shared" si="401"/>
        <v/>
      </c>
      <c r="AU1985" s="168" t="str">
        <f t="shared" si="402"/>
        <v/>
      </c>
      <c r="AV1985" s="227"/>
      <c r="AW1985" s="30"/>
      <c r="AX1985" s="267"/>
      <c r="AY1985" s="267"/>
      <c r="AZ1985" s="29"/>
      <c r="BA1985" s="30"/>
      <c r="BB1985" s="23" t="str" cm="1">
        <f t="array" ref="BB1985">_xlfn.IFS(AW1985="SIM",SUM(K1985,P1985,U1985,Z1985,AE1985,AJ1985,AO1985,AT1985,AX1985,AY1985),F1985&lt;&gt;"",SUM(K1985,P1985,U1985,Z1985,AE1985,AJ1985,,AO1985,AT1985),F1985="","")</f>
        <v/>
      </c>
      <c r="BC1985" s="211" t="str" cm="1">
        <f t="array" ref="BC1985">_xlfn.IFS(E1985="","",G1985&lt;=E1985,BB1985*(1-0.03),G1985&lt;(E1985+8),BB1985,AZ1985="Boleto",BB1985*(1+0.001)^DATEDIF(E1985,G1985,"D"),AZ1985="Cheque",BB1985,AZ1985="Dinheiro","Alterar forma pgto")</f>
        <v/>
      </c>
      <c r="BD1985" s="276" t="str" cm="1">
        <f t="array" ref="BD1985">IF(F1985=0," ",IF(BC1985&lt;BB1985,(_xlfn.IFS(AW1985="SIM",SUM(L1985,Q1985,V1985,AA1985,AF1985,AK1985,AP1985,AU1985)+AX1985/_xlfn.XLOOKUP(_xlfn.XLOOKUP($F1985,Clientes!$B$4:$B$39,Clientes!$C$4:$C$39),Cadastros!$L$6:$L$12,Cadastros!$M$6:$M$12)+IF($F1985="Bernardino Furlan",AY1985/2751.92,IF($F1985="Mauro José Salanti",AY1985/2751.92,AY1985/3356)),F1985&lt;&gt;0,SUM(L1985,Q1985,V1985,AA1985,AF1985,AK1985,AP1985,AU1985)))*(1-0.03),_xlfn.IFS(AW1985="SIM",SUM(L1985,Q1985,V1985,AA1985,AF1985,AK1985,AP1985,AU1985)+AX1985/_xlfn.XLOOKUP(_xlfn.XLOOKUP($F1985,Clientes!$B$4:$B$39,Clientes!$C$4:$C$39),Cadastros!$L$6:$L$12,Cadastros!$M$6:$M$12)+IF($F1985="Bernardino Furlan",AY1985/2751.92,IF($F1985="Mauro José Salanti",AY1985/2751.92,AY1985/3356)),F1985&lt;&gt;0,SUM(L1985,Q1985,V1985,AA1985,AF1985,AK1985,AP1985,AU1985))))</f>
        <v xml:space="preserve"> </v>
      </c>
      <c r="BE1985" s="120"/>
      <c r="BF1985" s="120"/>
      <c r="BG1985" s="120"/>
    </row>
    <row r="1986" spans="1:59" s="3" customFormat="1" x14ac:dyDescent="0.3">
      <c r="A1986" s="15" t="str">
        <f t="shared" si="390"/>
        <v/>
      </c>
      <c r="B1986" s="25"/>
      <c r="C1986" s="26"/>
      <c r="D1986" s="279"/>
      <c r="E1986" s="27"/>
      <c r="F1986" s="28"/>
      <c r="G1986" s="27"/>
      <c r="H1986" s="28"/>
      <c r="I1986" s="28"/>
      <c r="J1986" s="255" t="str">
        <f>IF(H1986="","",(_xlfn.XLOOKUP(H1986,Cadastros!$D$6:$D$90,Cadastros!$E$6:$E$90))*(1-_xlfn.XLOOKUP(_xlfn.XLOOKUP($F1986,Clientes!$B$4:$B$39,Clientes!$C$4:$C$39),Cadastros!$L$6:$L$12,Cadastros!$N$6:$N$12)))</f>
        <v/>
      </c>
      <c r="K1986" s="168" t="str">
        <f t="shared" si="391"/>
        <v/>
      </c>
      <c r="L1986" s="168" t="str">
        <f>IFERROR(K1986/_xlfn.XLOOKUP(_xlfn.XLOOKUP($F1986,Clientes!$B$4:$B$39,Clientes!$C$4:$C$39),Cadastros!$L$6:$L$12,Cadastros!$M$6:$M$12)," ")</f>
        <v xml:space="preserve"> </v>
      </c>
      <c r="M1986" s="28"/>
      <c r="N1986" s="28"/>
      <c r="O1986" s="255" t="str">
        <f>IF(M1986="","",(_xlfn.XLOOKUP(M1986,Cadastros!$D$6:$D$90,Cadastros!$E$6:$E$90))*(1-_xlfn.XLOOKUP(_xlfn.XLOOKUP($F1986,Clientes!$B$4:$B$39,Clientes!$C$4:$C$39),Cadastros!$L$6:$L$12,Cadastros!$N$6:$N$12)))</f>
        <v/>
      </c>
      <c r="P1986" s="168" t="str">
        <f t="shared" si="392"/>
        <v/>
      </c>
      <c r="Q1986" s="168" t="str">
        <f>IFERROR(P1986/_xlfn.XLOOKUP(_xlfn.XLOOKUP($F1986,Clientes!$B$4:$B$39,Clientes!$C$4:$C$39),Cadastros!$L$6:$L$12,Cadastros!$M$6:$M$12)," ")</f>
        <v xml:space="preserve"> </v>
      </c>
      <c r="R1986" s="28"/>
      <c r="S1986" s="28"/>
      <c r="T1986" s="255" t="str">
        <f>IF(R1986="","",(_xlfn.XLOOKUP(R1986,Cadastros!$D$6:$D$90,Cadastros!$E$6:$E$90))*(1-_xlfn.XLOOKUP(_xlfn.XLOOKUP($F1986,Clientes!$B$4:$B$39,Clientes!$C$4:$C$39),Cadastros!$L$6:$L$12,Cadastros!$N$6:$N$12)))</f>
        <v/>
      </c>
      <c r="U1986" s="168" t="str">
        <f t="shared" si="393"/>
        <v/>
      </c>
      <c r="V1986" s="168" t="str">
        <f>IFERROR(U1986/_xlfn.XLOOKUP(_xlfn.XLOOKUP($F1986,Clientes!$B$4:$B$39,Clientes!$C$4:$C$39),Cadastros!$L$6:$L$12,Cadastros!$M$6:$M$12)," ")</f>
        <v xml:space="preserve"> </v>
      </c>
      <c r="W1986" s="28"/>
      <c r="X1986" s="28"/>
      <c r="Y1986" s="255" t="str">
        <f>IF(W1986="","",(_xlfn.XLOOKUP(W1986,Cadastros!$D$6:$D$90,Cadastros!$E$6:$E$90))*(1-_xlfn.XLOOKUP(_xlfn.XLOOKUP($F1986,Clientes!$B$4:$B$39,Clientes!$C$4:$C$39),Cadastros!$L$6:$L$12,Cadastros!$N$6:$N$12)))</f>
        <v/>
      </c>
      <c r="Z1986" s="168" t="str">
        <f t="shared" si="394"/>
        <v/>
      </c>
      <c r="AA1986" s="168" t="str">
        <f>IFERROR(Z1986/_xlfn.XLOOKUP(_xlfn.XLOOKUP($F1986,Clientes!$B$4:$B$39,Clientes!$C$4:$C$39),Cadastros!$L$6:$L$12,Cadastros!$M$6:$M$12)," ")</f>
        <v xml:space="preserve"> </v>
      </c>
      <c r="AB1986" s="28"/>
      <c r="AC1986" s="28"/>
      <c r="AD1986" s="20" t="str">
        <f>IF(AB1986="","",IF($F1986="Bernardino Furlan",_xlfn.XLOOKUP(AB1986,Cadastros!$G$6:$G$90,Cadastros!$H$6:$H$90)*(1-0.18),IF($F1986="Mauro José Salanti",_xlfn.XLOOKUP(AB1986,Cadastros!$G$6:$G$90,Cadastros!$H$6:$H$90)*(1-0.18),_xlfn.XLOOKUP(AB1986,Cadastros!$G$6:$G$90,Cadastros!$H$6:$H$90))))</f>
        <v/>
      </c>
      <c r="AE1986" s="168" t="str">
        <f t="shared" si="395"/>
        <v/>
      </c>
      <c r="AF1986" s="168" t="str">
        <f t="shared" si="396"/>
        <v/>
      </c>
      <c r="AG1986" s="28"/>
      <c r="AH1986" s="28"/>
      <c r="AI1986" s="20" t="str">
        <f>IF(AG1986="","",IF($F1986="Bernardino Furlan",_xlfn.XLOOKUP(AG1986,Cadastros!$G$6:$G$90,Cadastros!$H$6:$H$90)*(1-0.18),IF($F1986="Mauro José Salanti",_xlfn.XLOOKUP(AG1986,Cadastros!$G$6:$G$90,Cadastros!$H$6:$H$90)*(1-0.18),_xlfn.XLOOKUP(AG1986,Cadastros!$G$6:$G$90,Cadastros!$H$6:$H$90))))</f>
        <v/>
      </c>
      <c r="AJ1986" s="168" t="str">
        <f t="shared" si="397"/>
        <v/>
      </c>
      <c r="AK1986" s="168" t="str">
        <f t="shared" si="398"/>
        <v/>
      </c>
      <c r="AL1986" s="28"/>
      <c r="AM1986" s="28"/>
      <c r="AN1986" s="20" t="str">
        <f>IF(AL1986="","",IF($F1986="Bernardino Furlan",_xlfn.XLOOKUP(AL1986,Cadastros!$G$6:$G$90,Cadastros!$H$6:$H$90)*(1-0.18),IF($F1986="Mauro José Salanti",_xlfn.XLOOKUP(AL1986,Cadastros!$G$6:$G$90,Cadastros!$H$6:$H$90)*(1-0.18),_xlfn.XLOOKUP(AL1986,Cadastros!$G$6:$G$90,Cadastros!$H$6:$H$90))))</f>
        <v/>
      </c>
      <c r="AO1986" s="168" t="str">
        <f t="shared" si="399"/>
        <v/>
      </c>
      <c r="AP1986" s="168" t="str">
        <f t="shared" si="400"/>
        <v/>
      </c>
      <c r="AQ1986" s="28"/>
      <c r="AR1986" s="28"/>
      <c r="AS1986" s="20" t="str">
        <f>IF(AQ1986="","",IF($F1986="Bernardino Furlan",_xlfn.XLOOKUP(AQ1986,Cadastros!$G$6:$G$90,Cadastros!$H$6:$H$90)*(1-0.18),IF($F1986="Mauro José Salanti",_xlfn.XLOOKUP(AQ1986,Cadastros!$G$6:$G$90,Cadastros!$H$6:$H$90)*(1-0.18),_xlfn.XLOOKUP(AQ1986,Cadastros!$G$6:$G$90,Cadastros!$H$6:$H$90))))</f>
        <v/>
      </c>
      <c r="AT1986" s="168" t="str">
        <f t="shared" si="401"/>
        <v/>
      </c>
      <c r="AU1986" s="168" t="str">
        <f t="shared" si="402"/>
        <v/>
      </c>
      <c r="AV1986" s="227"/>
      <c r="AW1986" s="30"/>
      <c r="AX1986" s="267"/>
      <c r="AY1986" s="267"/>
      <c r="AZ1986" s="29"/>
      <c r="BA1986" s="30"/>
      <c r="BB1986" s="23" t="str" cm="1">
        <f t="array" ref="BB1986">_xlfn.IFS(AW1986="SIM",SUM(K1986,P1986,U1986,Z1986,AE1986,AJ1986,AO1986,AT1986,AX1986,AY1986),F1986&lt;&gt;"",SUM(K1986,P1986,U1986,Z1986,AE1986,AJ1986,,AO1986,AT1986),F1986="","")</f>
        <v/>
      </c>
      <c r="BC1986" s="211" t="str" cm="1">
        <f t="array" ref="BC1986">_xlfn.IFS(E1986="","",G1986&lt;=E1986,BB1986*(1-0.03),G1986&lt;(E1986+8),BB1986,AZ1986="Boleto",BB1986*(1+0.001)^DATEDIF(E1986,G1986,"D"),AZ1986="Cheque",BB1986,AZ1986="Dinheiro","Alterar forma pgto")</f>
        <v/>
      </c>
      <c r="BD1986" s="276" t="str" cm="1">
        <f t="array" ref="BD1986">IF(F1986=0," ",IF(BC1986&lt;BB1986,(_xlfn.IFS(AW1986="SIM",SUM(L1986,Q1986,V1986,AA1986,AF1986,AK1986,AP1986,AU1986)+AX1986/_xlfn.XLOOKUP(_xlfn.XLOOKUP($F1986,Clientes!$B$4:$B$39,Clientes!$C$4:$C$39),Cadastros!$L$6:$L$12,Cadastros!$M$6:$M$12)+IF($F1986="Bernardino Furlan",AY1986/2751.92,IF($F1986="Mauro José Salanti",AY1986/2751.92,AY1986/3356)),F1986&lt;&gt;0,SUM(L1986,Q1986,V1986,AA1986,AF1986,AK1986,AP1986,AU1986)))*(1-0.03),_xlfn.IFS(AW1986="SIM",SUM(L1986,Q1986,V1986,AA1986,AF1986,AK1986,AP1986,AU1986)+AX1986/_xlfn.XLOOKUP(_xlfn.XLOOKUP($F1986,Clientes!$B$4:$B$39,Clientes!$C$4:$C$39),Cadastros!$L$6:$L$12,Cadastros!$M$6:$M$12)+IF($F1986="Bernardino Furlan",AY1986/2751.92,IF($F1986="Mauro José Salanti",AY1986/2751.92,AY1986/3356)),F1986&lt;&gt;0,SUM(L1986,Q1986,V1986,AA1986,AF1986,AK1986,AP1986,AU1986))))</f>
        <v xml:space="preserve"> </v>
      </c>
      <c r="BE1986" s="120"/>
      <c r="BF1986" s="120"/>
      <c r="BG1986" s="120"/>
    </row>
    <row r="1987" spans="1:59" s="3" customFormat="1" x14ac:dyDescent="0.3">
      <c r="A1987" s="15" t="str">
        <f t="shared" si="390"/>
        <v/>
      </c>
      <c r="B1987" s="25"/>
      <c r="C1987" s="26"/>
      <c r="D1987" s="279"/>
      <c r="E1987" s="27"/>
      <c r="F1987" s="28"/>
      <c r="G1987" s="27"/>
      <c r="H1987" s="28"/>
      <c r="I1987" s="28"/>
      <c r="J1987" s="255" t="str">
        <f>IF(H1987="","",(_xlfn.XLOOKUP(H1987,Cadastros!$D$6:$D$90,Cadastros!$E$6:$E$90))*(1-_xlfn.XLOOKUP(_xlfn.XLOOKUP($F1987,Clientes!$B$4:$B$39,Clientes!$C$4:$C$39),Cadastros!$L$6:$L$12,Cadastros!$N$6:$N$12)))</f>
        <v/>
      </c>
      <c r="K1987" s="168" t="str">
        <f t="shared" si="391"/>
        <v/>
      </c>
      <c r="L1987" s="168" t="str">
        <f>IFERROR(K1987/_xlfn.XLOOKUP(_xlfn.XLOOKUP($F1987,Clientes!$B$4:$B$39,Clientes!$C$4:$C$39),Cadastros!$L$6:$L$12,Cadastros!$M$6:$M$12)," ")</f>
        <v xml:space="preserve"> </v>
      </c>
      <c r="M1987" s="28"/>
      <c r="N1987" s="28"/>
      <c r="O1987" s="255" t="str">
        <f>IF(M1987="","",(_xlfn.XLOOKUP(M1987,Cadastros!$D$6:$D$90,Cadastros!$E$6:$E$90))*(1-_xlfn.XLOOKUP(_xlfn.XLOOKUP($F1987,Clientes!$B$4:$B$39,Clientes!$C$4:$C$39),Cadastros!$L$6:$L$12,Cadastros!$N$6:$N$12)))</f>
        <v/>
      </c>
      <c r="P1987" s="168" t="str">
        <f t="shared" si="392"/>
        <v/>
      </c>
      <c r="Q1987" s="168" t="str">
        <f>IFERROR(P1987/_xlfn.XLOOKUP(_xlfn.XLOOKUP($F1987,Clientes!$B$4:$B$39,Clientes!$C$4:$C$39),Cadastros!$L$6:$L$12,Cadastros!$M$6:$M$12)," ")</f>
        <v xml:space="preserve"> </v>
      </c>
      <c r="R1987" s="28"/>
      <c r="S1987" s="28"/>
      <c r="T1987" s="255" t="str">
        <f>IF(R1987="","",(_xlfn.XLOOKUP(R1987,Cadastros!$D$6:$D$90,Cadastros!$E$6:$E$90))*(1-_xlfn.XLOOKUP(_xlfn.XLOOKUP($F1987,Clientes!$B$4:$B$39,Clientes!$C$4:$C$39),Cadastros!$L$6:$L$12,Cadastros!$N$6:$N$12)))</f>
        <v/>
      </c>
      <c r="U1987" s="168" t="str">
        <f t="shared" si="393"/>
        <v/>
      </c>
      <c r="V1987" s="168" t="str">
        <f>IFERROR(U1987/_xlfn.XLOOKUP(_xlfn.XLOOKUP($F1987,Clientes!$B$4:$B$39,Clientes!$C$4:$C$39),Cadastros!$L$6:$L$12,Cadastros!$M$6:$M$12)," ")</f>
        <v xml:space="preserve"> </v>
      </c>
      <c r="W1987" s="28"/>
      <c r="X1987" s="28"/>
      <c r="Y1987" s="255" t="str">
        <f>IF(W1987="","",(_xlfn.XLOOKUP(W1987,Cadastros!$D$6:$D$90,Cadastros!$E$6:$E$90))*(1-_xlfn.XLOOKUP(_xlfn.XLOOKUP($F1987,Clientes!$B$4:$B$39,Clientes!$C$4:$C$39),Cadastros!$L$6:$L$12,Cadastros!$N$6:$N$12)))</f>
        <v/>
      </c>
      <c r="Z1987" s="168" t="str">
        <f t="shared" si="394"/>
        <v/>
      </c>
      <c r="AA1987" s="168" t="str">
        <f>IFERROR(Z1987/_xlfn.XLOOKUP(_xlfn.XLOOKUP($F1987,Clientes!$B$4:$B$39,Clientes!$C$4:$C$39),Cadastros!$L$6:$L$12,Cadastros!$M$6:$M$12)," ")</f>
        <v xml:space="preserve"> </v>
      </c>
      <c r="AB1987" s="28"/>
      <c r="AC1987" s="28"/>
      <c r="AD1987" s="20" t="str">
        <f>IF(AB1987="","",IF($F1987="Bernardino Furlan",_xlfn.XLOOKUP(AB1987,Cadastros!$G$6:$G$90,Cadastros!$H$6:$H$90)*(1-0.18),IF($F1987="Mauro José Salanti",_xlfn.XLOOKUP(AB1987,Cadastros!$G$6:$G$90,Cadastros!$H$6:$H$90)*(1-0.18),_xlfn.XLOOKUP(AB1987,Cadastros!$G$6:$G$90,Cadastros!$H$6:$H$90))))</f>
        <v/>
      </c>
      <c r="AE1987" s="168" t="str">
        <f t="shared" si="395"/>
        <v/>
      </c>
      <c r="AF1987" s="168" t="str">
        <f t="shared" si="396"/>
        <v/>
      </c>
      <c r="AG1987" s="28"/>
      <c r="AH1987" s="28"/>
      <c r="AI1987" s="20" t="str">
        <f>IF(AG1987="","",IF($F1987="Bernardino Furlan",_xlfn.XLOOKUP(AG1987,Cadastros!$G$6:$G$90,Cadastros!$H$6:$H$90)*(1-0.18),IF($F1987="Mauro José Salanti",_xlfn.XLOOKUP(AG1987,Cadastros!$G$6:$G$90,Cadastros!$H$6:$H$90)*(1-0.18),_xlfn.XLOOKUP(AG1987,Cadastros!$G$6:$G$90,Cadastros!$H$6:$H$90))))</f>
        <v/>
      </c>
      <c r="AJ1987" s="168" t="str">
        <f t="shared" si="397"/>
        <v/>
      </c>
      <c r="AK1987" s="168" t="str">
        <f t="shared" si="398"/>
        <v/>
      </c>
      <c r="AL1987" s="28"/>
      <c r="AM1987" s="28"/>
      <c r="AN1987" s="20" t="str">
        <f>IF(AL1987="","",IF($F1987="Bernardino Furlan",_xlfn.XLOOKUP(AL1987,Cadastros!$G$6:$G$90,Cadastros!$H$6:$H$90)*(1-0.18),IF($F1987="Mauro José Salanti",_xlfn.XLOOKUP(AL1987,Cadastros!$G$6:$G$90,Cadastros!$H$6:$H$90)*(1-0.18),_xlfn.XLOOKUP(AL1987,Cadastros!$G$6:$G$90,Cadastros!$H$6:$H$90))))</f>
        <v/>
      </c>
      <c r="AO1987" s="168" t="str">
        <f t="shared" si="399"/>
        <v/>
      </c>
      <c r="AP1987" s="168" t="str">
        <f t="shared" si="400"/>
        <v/>
      </c>
      <c r="AQ1987" s="28"/>
      <c r="AR1987" s="28"/>
      <c r="AS1987" s="20" t="str">
        <f>IF(AQ1987="","",IF($F1987="Bernardino Furlan",_xlfn.XLOOKUP(AQ1987,Cadastros!$G$6:$G$90,Cadastros!$H$6:$H$90)*(1-0.18),IF($F1987="Mauro José Salanti",_xlfn.XLOOKUP(AQ1987,Cadastros!$G$6:$G$90,Cadastros!$H$6:$H$90)*(1-0.18),_xlfn.XLOOKUP(AQ1987,Cadastros!$G$6:$G$90,Cadastros!$H$6:$H$90))))</f>
        <v/>
      </c>
      <c r="AT1987" s="168" t="str">
        <f t="shared" si="401"/>
        <v/>
      </c>
      <c r="AU1987" s="168" t="str">
        <f t="shared" si="402"/>
        <v/>
      </c>
      <c r="AV1987" s="227"/>
      <c r="AW1987" s="30"/>
      <c r="AX1987" s="267"/>
      <c r="AY1987" s="267"/>
      <c r="AZ1987" s="29"/>
      <c r="BA1987" s="30"/>
      <c r="BB1987" s="23" t="str" cm="1">
        <f t="array" ref="BB1987">_xlfn.IFS(AW1987="SIM",SUM(K1987,P1987,U1987,Z1987,AE1987,AJ1987,AO1987,AT1987,AX1987,AY1987),F1987&lt;&gt;"",SUM(K1987,P1987,U1987,Z1987,AE1987,AJ1987,,AO1987,AT1987),F1987="","")</f>
        <v/>
      </c>
      <c r="BC1987" s="211" t="str" cm="1">
        <f t="array" ref="BC1987">_xlfn.IFS(E1987="","",G1987&lt;=E1987,BB1987*(1-0.03),G1987&lt;(E1987+8),BB1987,AZ1987="Boleto",BB1987*(1+0.001)^DATEDIF(E1987,G1987,"D"),AZ1987="Cheque",BB1987,AZ1987="Dinheiro","Alterar forma pgto")</f>
        <v/>
      </c>
      <c r="BD1987" s="276" t="str" cm="1">
        <f t="array" ref="BD1987">IF(F1987=0," ",IF(BC1987&lt;BB1987,(_xlfn.IFS(AW1987="SIM",SUM(L1987,Q1987,V1987,AA1987,AF1987,AK1987,AP1987,AU1987)+AX1987/_xlfn.XLOOKUP(_xlfn.XLOOKUP($F1987,Clientes!$B$4:$B$39,Clientes!$C$4:$C$39),Cadastros!$L$6:$L$12,Cadastros!$M$6:$M$12)+IF($F1987="Bernardino Furlan",AY1987/2751.92,IF($F1987="Mauro José Salanti",AY1987/2751.92,AY1987/3356)),F1987&lt;&gt;0,SUM(L1987,Q1987,V1987,AA1987,AF1987,AK1987,AP1987,AU1987)))*(1-0.03),_xlfn.IFS(AW1987="SIM",SUM(L1987,Q1987,V1987,AA1987,AF1987,AK1987,AP1987,AU1987)+AX1987/_xlfn.XLOOKUP(_xlfn.XLOOKUP($F1987,Clientes!$B$4:$B$39,Clientes!$C$4:$C$39),Cadastros!$L$6:$L$12,Cadastros!$M$6:$M$12)+IF($F1987="Bernardino Furlan",AY1987/2751.92,IF($F1987="Mauro José Salanti",AY1987/2751.92,AY1987/3356)),F1987&lt;&gt;0,SUM(L1987,Q1987,V1987,AA1987,AF1987,AK1987,AP1987,AU1987))))</f>
        <v xml:space="preserve"> </v>
      </c>
      <c r="BE1987" s="120"/>
      <c r="BF1987" s="120"/>
      <c r="BG1987" s="120"/>
    </row>
    <row r="1988" spans="1:59" s="3" customFormat="1" x14ac:dyDescent="0.3">
      <c r="A1988" s="15" t="str">
        <f t="shared" si="390"/>
        <v/>
      </c>
      <c r="B1988" s="25"/>
      <c r="C1988" s="26"/>
      <c r="D1988" s="279"/>
      <c r="E1988" s="27"/>
      <c r="F1988" s="28"/>
      <c r="G1988" s="27"/>
      <c r="H1988" s="28"/>
      <c r="I1988" s="28"/>
      <c r="J1988" s="255" t="str">
        <f>IF(H1988="","",(_xlfn.XLOOKUP(H1988,Cadastros!$D$6:$D$90,Cadastros!$E$6:$E$90))*(1-_xlfn.XLOOKUP(_xlfn.XLOOKUP($F1988,Clientes!$B$4:$B$39,Clientes!$C$4:$C$39),Cadastros!$L$6:$L$12,Cadastros!$N$6:$N$12)))</f>
        <v/>
      </c>
      <c r="K1988" s="168" t="str">
        <f t="shared" si="391"/>
        <v/>
      </c>
      <c r="L1988" s="168" t="str">
        <f>IFERROR(K1988/_xlfn.XLOOKUP(_xlfn.XLOOKUP($F1988,Clientes!$B$4:$B$39,Clientes!$C$4:$C$39),Cadastros!$L$6:$L$12,Cadastros!$M$6:$M$12)," ")</f>
        <v xml:space="preserve"> </v>
      </c>
      <c r="M1988" s="28"/>
      <c r="N1988" s="28"/>
      <c r="O1988" s="255" t="str">
        <f>IF(M1988="","",(_xlfn.XLOOKUP(M1988,Cadastros!$D$6:$D$90,Cadastros!$E$6:$E$90))*(1-_xlfn.XLOOKUP(_xlfn.XLOOKUP($F1988,Clientes!$B$4:$B$39,Clientes!$C$4:$C$39),Cadastros!$L$6:$L$12,Cadastros!$N$6:$N$12)))</f>
        <v/>
      </c>
      <c r="P1988" s="168" t="str">
        <f t="shared" si="392"/>
        <v/>
      </c>
      <c r="Q1988" s="168" t="str">
        <f>IFERROR(P1988/_xlfn.XLOOKUP(_xlfn.XLOOKUP($F1988,Clientes!$B$4:$B$39,Clientes!$C$4:$C$39),Cadastros!$L$6:$L$12,Cadastros!$M$6:$M$12)," ")</f>
        <v xml:space="preserve"> </v>
      </c>
      <c r="R1988" s="28"/>
      <c r="S1988" s="28"/>
      <c r="T1988" s="255" t="str">
        <f>IF(R1988="","",(_xlfn.XLOOKUP(R1988,Cadastros!$D$6:$D$90,Cadastros!$E$6:$E$90))*(1-_xlfn.XLOOKUP(_xlfn.XLOOKUP($F1988,Clientes!$B$4:$B$39,Clientes!$C$4:$C$39),Cadastros!$L$6:$L$12,Cadastros!$N$6:$N$12)))</f>
        <v/>
      </c>
      <c r="U1988" s="168" t="str">
        <f t="shared" si="393"/>
        <v/>
      </c>
      <c r="V1988" s="168" t="str">
        <f>IFERROR(U1988/_xlfn.XLOOKUP(_xlfn.XLOOKUP($F1988,Clientes!$B$4:$B$39,Clientes!$C$4:$C$39),Cadastros!$L$6:$L$12,Cadastros!$M$6:$M$12)," ")</f>
        <v xml:space="preserve"> </v>
      </c>
      <c r="W1988" s="28"/>
      <c r="X1988" s="28"/>
      <c r="Y1988" s="255" t="str">
        <f>IF(W1988="","",(_xlfn.XLOOKUP(W1988,Cadastros!$D$6:$D$90,Cadastros!$E$6:$E$90))*(1-_xlfn.XLOOKUP(_xlfn.XLOOKUP($F1988,Clientes!$B$4:$B$39,Clientes!$C$4:$C$39),Cadastros!$L$6:$L$12,Cadastros!$N$6:$N$12)))</f>
        <v/>
      </c>
      <c r="Z1988" s="168" t="str">
        <f t="shared" si="394"/>
        <v/>
      </c>
      <c r="AA1988" s="168" t="str">
        <f>IFERROR(Z1988/_xlfn.XLOOKUP(_xlfn.XLOOKUP($F1988,Clientes!$B$4:$B$39,Clientes!$C$4:$C$39),Cadastros!$L$6:$L$12,Cadastros!$M$6:$M$12)," ")</f>
        <v xml:space="preserve"> </v>
      </c>
      <c r="AB1988" s="28"/>
      <c r="AC1988" s="28"/>
      <c r="AD1988" s="20" t="str">
        <f>IF(AB1988="","",IF($F1988="Bernardino Furlan",_xlfn.XLOOKUP(AB1988,Cadastros!$G$6:$G$90,Cadastros!$H$6:$H$90)*(1-0.18),IF($F1988="Mauro José Salanti",_xlfn.XLOOKUP(AB1988,Cadastros!$G$6:$G$90,Cadastros!$H$6:$H$90)*(1-0.18),_xlfn.XLOOKUP(AB1988,Cadastros!$G$6:$G$90,Cadastros!$H$6:$H$90))))</f>
        <v/>
      </c>
      <c r="AE1988" s="168" t="str">
        <f t="shared" si="395"/>
        <v/>
      </c>
      <c r="AF1988" s="168" t="str">
        <f t="shared" si="396"/>
        <v/>
      </c>
      <c r="AG1988" s="28"/>
      <c r="AH1988" s="28"/>
      <c r="AI1988" s="20" t="str">
        <f>IF(AG1988="","",IF($F1988="Bernardino Furlan",_xlfn.XLOOKUP(AG1988,Cadastros!$G$6:$G$90,Cadastros!$H$6:$H$90)*(1-0.18),IF($F1988="Mauro José Salanti",_xlfn.XLOOKUP(AG1988,Cadastros!$G$6:$G$90,Cadastros!$H$6:$H$90)*(1-0.18),_xlfn.XLOOKUP(AG1988,Cadastros!$G$6:$G$90,Cadastros!$H$6:$H$90))))</f>
        <v/>
      </c>
      <c r="AJ1988" s="168" t="str">
        <f t="shared" si="397"/>
        <v/>
      </c>
      <c r="AK1988" s="168" t="str">
        <f t="shared" si="398"/>
        <v/>
      </c>
      <c r="AL1988" s="28"/>
      <c r="AM1988" s="28"/>
      <c r="AN1988" s="20" t="str">
        <f>IF(AL1988="","",IF($F1988="Bernardino Furlan",_xlfn.XLOOKUP(AL1988,Cadastros!$G$6:$G$90,Cadastros!$H$6:$H$90)*(1-0.18),IF($F1988="Mauro José Salanti",_xlfn.XLOOKUP(AL1988,Cadastros!$G$6:$G$90,Cadastros!$H$6:$H$90)*(1-0.18),_xlfn.XLOOKUP(AL1988,Cadastros!$G$6:$G$90,Cadastros!$H$6:$H$90))))</f>
        <v/>
      </c>
      <c r="AO1988" s="168" t="str">
        <f t="shared" si="399"/>
        <v/>
      </c>
      <c r="AP1988" s="168" t="str">
        <f t="shared" si="400"/>
        <v/>
      </c>
      <c r="AQ1988" s="28"/>
      <c r="AR1988" s="28"/>
      <c r="AS1988" s="20" t="str">
        <f>IF(AQ1988="","",IF($F1988="Bernardino Furlan",_xlfn.XLOOKUP(AQ1988,Cadastros!$G$6:$G$90,Cadastros!$H$6:$H$90)*(1-0.18),IF($F1988="Mauro José Salanti",_xlfn.XLOOKUP(AQ1988,Cadastros!$G$6:$G$90,Cadastros!$H$6:$H$90)*(1-0.18),_xlfn.XLOOKUP(AQ1988,Cadastros!$G$6:$G$90,Cadastros!$H$6:$H$90))))</f>
        <v/>
      </c>
      <c r="AT1988" s="168" t="str">
        <f t="shared" si="401"/>
        <v/>
      </c>
      <c r="AU1988" s="168" t="str">
        <f t="shared" si="402"/>
        <v/>
      </c>
      <c r="AV1988" s="227"/>
      <c r="AW1988" s="30"/>
      <c r="AX1988" s="267"/>
      <c r="AY1988" s="267"/>
      <c r="AZ1988" s="29"/>
      <c r="BA1988" s="30"/>
      <c r="BB1988" s="23" t="str" cm="1">
        <f t="array" ref="BB1988">_xlfn.IFS(AW1988="SIM",SUM(K1988,P1988,U1988,Z1988,AE1988,AJ1988,AO1988,AT1988,AX1988,AY1988),F1988&lt;&gt;"",SUM(K1988,P1988,U1988,Z1988,AE1988,AJ1988,,AO1988,AT1988),F1988="","")</f>
        <v/>
      </c>
      <c r="BC1988" s="211" t="str" cm="1">
        <f t="array" ref="BC1988">_xlfn.IFS(E1988="","",G1988&lt;=E1988,BB1988*(1-0.03),G1988&lt;(E1988+8),BB1988,AZ1988="Boleto",BB1988*(1+0.001)^DATEDIF(E1988,G1988,"D"),AZ1988="Cheque",BB1988,AZ1988="Dinheiro","Alterar forma pgto")</f>
        <v/>
      </c>
      <c r="BD1988" s="276" t="str" cm="1">
        <f t="array" ref="BD1988">IF(F1988=0," ",IF(BC1988&lt;BB1988,(_xlfn.IFS(AW1988="SIM",SUM(L1988,Q1988,V1988,AA1988,AF1988,AK1988,AP1988,AU1988)+AX1988/_xlfn.XLOOKUP(_xlfn.XLOOKUP($F1988,Clientes!$B$4:$B$39,Clientes!$C$4:$C$39),Cadastros!$L$6:$L$12,Cadastros!$M$6:$M$12)+IF($F1988="Bernardino Furlan",AY1988/2751.92,IF($F1988="Mauro José Salanti",AY1988/2751.92,AY1988/3356)),F1988&lt;&gt;0,SUM(L1988,Q1988,V1988,AA1988,AF1988,AK1988,AP1988,AU1988)))*(1-0.03),_xlfn.IFS(AW1988="SIM",SUM(L1988,Q1988,V1988,AA1988,AF1988,AK1988,AP1988,AU1988)+AX1988/_xlfn.XLOOKUP(_xlfn.XLOOKUP($F1988,Clientes!$B$4:$B$39,Clientes!$C$4:$C$39),Cadastros!$L$6:$L$12,Cadastros!$M$6:$M$12)+IF($F1988="Bernardino Furlan",AY1988/2751.92,IF($F1988="Mauro José Salanti",AY1988/2751.92,AY1988/3356)),F1988&lt;&gt;0,SUM(L1988,Q1988,V1988,AA1988,AF1988,AK1988,AP1988,AU1988))))</f>
        <v xml:space="preserve"> </v>
      </c>
      <c r="BE1988" s="120"/>
      <c r="BF1988" s="120"/>
      <c r="BG1988" s="120"/>
    </row>
    <row r="1989" spans="1:59" s="3" customFormat="1" x14ac:dyDescent="0.3">
      <c r="A1989" s="15" t="str">
        <f t="shared" si="390"/>
        <v/>
      </c>
      <c r="B1989" s="25"/>
      <c r="C1989" s="26"/>
      <c r="D1989" s="279"/>
      <c r="E1989" s="27"/>
      <c r="F1989" s="28"/>
      <c r="G1989" s="27"/>
      <c r="H1989" s="28"/>
      <c r="I1989" s="28"/>
      <c r="J1989" s="255" t="str">
        <f>IF(H1989="","",(_xlfn.XLOOKUP(H1989,Cadastros!$D$6:$D$90,Cadastros!$E$6:$E$90))*(1-_xlfn.XLOOKUP(_xlfn.XLOOKUP($F1989,Clientes!$B$4:$B$39,Clientes!$C$4:$C$39),Cadastros!$L$6:$L$12,Cadastros!$N$6:$N$12)))</f>
        <v/>
      </c>
      <c r="K1989" s="168" t="str">
        <f t="shared" si="391"/>
        <v/>
      </c>
      <c r="L1989" s="168" t="str">
        <f>IFERROR(K1989/_xlfn.XLOOKUP(_xlfn.XLOOKUP($F1989,Clientes!$B$4:$B$39,Clientes!$C$4:$C$39),Cadastros!$L$6:$L$12,Cadastros!$M$6:$M$12)," ")</f>
        <v xml:space="preserve"> </v>
      </c>
      <c r="M1989" s="28"/>
      <c r="N1989" s="28"/>
      <c r="O1989" s="255" t="str">
        <f>IF(M1989="","",(_xlfn.XLOOKUP(M1989,Cadastros!$D$6:$D$90,Cadastros!$E$6:$E$90))*(1-_xlfn.XLOOKUP(_xlfn.XLOOKUP($F1989,Clientes!$B$4:$B$39,Clientes!$C$4:$C$39),Cadastros!$L$6:$L$12,Cadastros!$N$6:$N$12)))</f>
        <v/>
      </c>
      <c r="P1989" s="168" t="str">
        <f t="shared" si="392"/>
        <v/>
      </c>
      <c r="Q1989" s="168" t="str">
        <f>IFERROR(P1989/_xlfn.XLOOKUP(_xlfn.XLOOKUP($F1989,Clientes!$B$4:$B$39,Clientes!$C$4:$C$39),Cadastros!$L$6:$L$12,Cadastros!$M$6:$M$12)," ")</f>
        <v xml:space="preserve"> </v>
      </c>
      <c r="R1989" s="28"/>
      <c r="S1989" s="28"/>
      <c r="T1989" s="255" t="str">
        <f>IF(R1989="","",(_xlfn.XLOOKUP(R1989,Cadastros!$D$6:$D$90,Cadastros!$E$6:$E$90))*(1-_xlfn.XLOOKUP(_xlfn.XLOOKUP($F1989,Clientes!$B$4:$B$39,Clientes!$C$4:$C$39),Cadastros!$L$6:$L$12,Cadastros!$N$6:$N$12)))</f>
        <v/>
      </c>
      <c r="U1989" s="168" t="str">
        <f t="shared" si="393"/>
        <v/>
      </c>
      <c r="V1989" s="168" t="str">
        <f>IFERROR(U1989/_xlfn.XLOOKUP(_xlfn.XLOOKUP($F1989,Clientes!$B$4:$B$39,Clientes!$C$4:$C$39),Cadastros!$L$6:$L$12,Cadastros!$M$6:$M$12)," ")</f>
        <v xml:space="preserve"> </v>
      </c>
      <c r="W1989" s="28"/>
      <c r="X1989" s="28"/>
      <c r="Y1989" s="255" t="str">
        <f>IF(W1989="","",(_xlfn.XLOOKUP(W1989,Cadastros!$D$6:$D$90,Cadastros!$E$6:$E$90))*(1-_xlfn.XLOOKUP(_xlfn.XLOOKUP($F1989,Clientes!$B$4:$B$39,Clientes!$C$4:$C$39),Cadastros!$L$6:$L$12,Cadastros!$N$6:$N$12)))</f>
        <v/>
      </c>
      <c r="Z1989" s="168" t="str">
        <f t="shared" si="394"/>
        <v/>
      </c>
      <c r="AA1989" s="168" t="str">
        <f>IFERROR(Z1989/_xlfn.XLOOKUP(_xlfn.XLOOKUP($F1989,Clientes!$B$4:$B$39,Clientes!$C$4:$C$39),Cadastros!$L$6:$L$12,Cadastros!$M$6:$M$12)," ")</f>
        <v xml:space="preserve"> </v>
      </c>
      <c r="AB1989" s="28"/>
      <c r="AC1989" s="28"/>
      <c r="AD1989" s="20" t="str">
        <f>IF(AB1989="","",IF($F1989="Bernardino Furlan",_xlfn.XLOOKUP(AB1989,Cadastros!$G$6:$G$90,Cadastros!$H$6:$H$90)*(1-0.18),IF($F1989="Mauro José Salanti",_xlfn.XLOOKUP(AB1989,Cadastros!$G$6:$G$90,Cadastros!$H$6:$H$90)*(1-0.18),_xlfn.XLOOKUP(AB1989,Cadastros!$G$6:$G$90,Cadastros!$H$6:$H$90))))</f>
        <v/>
      </c>
      <c r="AE1989" s="168" t="str">
        <f t="shared" si="395"/>
        <v/>
      </c>
      <c r="AF1989" s="168" t="str">
        <f t="shared" si="396"/>
        <v/>
      </c>
      <c r="AG1989" s="28"/>
      <c r="AH1989" s="28"/>
      <c r="AI1989" s="20" t="str">
        <f>IF(AG1989="","",IF($F1989="Bernardino Furlan",_xlfn.XLOOKUP(AG1989,Cadastros!$G$6:$G$90,Cadastros!$H$6:$H$90)*(1-0.18),IF($F1989="Mauro José Salanti",_xlfn.XLOOKUP(AG1989,Cadastros!$G$6:$G$90,Cadastros!$H$6:$H$90)*(1-0.18),_xlfn.XLOOKUP(AG1989,Cadastros!$G$6:$G$90,Cadastros!$H$6:$H$90))))</f>
        <v/>
      </c>
      <c r="AJ1989" s="168" t="str">
        <f t="shared" si="397"/>
        <v/>
      </c>
      <c r="AK1989" s="168" t="str">
        <f t="shared" si="398"/>
        <v/>
      </c>
      <c r="AL1989" s="28"/>
      <c r="AM1989" s="28"/>
      <c r="AN1989" s="20" t="str">
        <f>IF(AL1989="","",IF($F1989="Bernardino Furlan",_xlfn.XLOOKUP(AL1989,Cadastros!$G$6:$G$90,Cadastros!$H$6:$H$90)*(1-0.18),IF($F1989="Mauro José Salanti",_xlfn.XLOOKUP(AL1989,Cadastros!$G$6:$G$90,Cadastros!$H$6:$H$90)*(1-0.18),_xlfn.XLOOKUP(AL1989,Cadastros!$G$6:$G$90,Cadastros!$H$6:$H$90))))</f>
        <v/>
      </c>
      <c r="AO1989" s="168" t="str">
        <f t="shared" si="399"/>
        <v/>
      </c>
      <c r="AP1989" s="168" t="str">
        <f t="shared" si="400"/>
        <v/>
      </c>
      <c r="AQ1989" s="28"/>
      <c r="AR1989" s="28"/>
      <c r="AS1989" s="20" t="str">
        <f>IF(AQ1989="","",IF($F1989="Bernardino Furlan",_xlfn.XLOOKUP(AQ1989,Cadastros!$G$6:$G$90,Cadastros!$H$6:$H$90)*(1-0.18),IF($F1989="Mauro José Salanti",_xlfn.XLOOKUP(AQ1989,Cadastros!$G$6:$G$90,Cadastros!$H$6:$H$90)*(1-0.18),_xlfn.XLOOKUP(AQ1989,Cadastros!$G$6:$G$90,Cadastros!$H$6:$H$90))))</f>
        <v/>
      </c>
      <c r="AT1989" s="168" t="str">
        <f t="shared" si="401"/>
        <v/>
      </c>
      <c r="AU1989" s="168" t="str">
        <f t="shared" si="402"/>
        <v/>
      </c>
      <c r="AV1989" s="227"/>
      <c r="AW1989" s="30"/>
      <c r="AX1989" s="267"/>
      <c r="AY1989" s="267"/>
      <c r="AZ1989" s="29"/>
      <c r="BA1989" s="30"/>
      <c r="BB1989" s="23" t="str" cm="1">
        <f t="array" ref="BB1989">_xlfn.IFS(AW1989="SIM",SUM(K1989,P1989,U1989,Z1989,AE1989,AJ1989,AO1989,AT1989,AX1989,AY1989),F1989&lt;&gt;"",SUM(K1989,P1989,U1989,Z1989,AE1989,AJ1989,,AO1989,AT1989),F1989="","")</f>
        <v/>
      </c>
      <c r="BC1989" s="211" t="str" cm="1">
        <f t="array" ref="BC1989">_xlfn.IFS(E1989="","",G1989&lt;=E1989,BB1989*(1-0.03),G1989&lt;(E1989+8),BB1989,AZ1989="Boleto",BB1989*(1+0.001)^DATEDIF(E1989,G1989,"D"),AZ1989="Cheque",BB1989,AZ1989="Dinheiro","Alterar forma pgto")</f>
        <v/>
      </c>
      <c r="BD1989" s="276" t="str" cm="1">
        <f t="array" ref="BD1989">IF(F1989=0," ",IF(BC1989&lt;BB1989,(_xlfn.IFS(AW1989="SIM",SUM(L1989,Q1989,V1989,AA1989,AF1989,AK1989,AP1989,AU1989)+AX1989/_xlfn.XLOOKUP(_xlfn.XLOOKUP($F1989,Clientes!$B$4:$B$39,Clientes!$C$4:$C$39),Cadastros!$L$6:$L$12,Cadastros!$M$6:$M$12)+IF($F1989="Bernardino Furlan",AY1989/2751.92,IF($F1989="Mauro José Salanti",AY1989/2751.92,AY1989/3356)),F1989&lt;&gt;0,SUM(L1989,Q1989,V1989,AA1989,AF1989,AK1989,AP1989,AU1989)))*(1-0.03),_xlfn.IFS(AW1989="SIM",SUM(L1989,Q1989,V1989,AA1989,AF1989,AK1989,AP1989,AU1989)+AX1989/_xlfn.XLOOKUP(_xlfn.XLOOKUP($F1989,Clientes!$B$4:$B$39,Clientes!$C$4:$C$39),Cadastros!$L$6:$L$12,Cadastros!$M$6:$M$12)+IF($F1989="Bernardino Furlan",AY1989/2751.92,IF($F1989="Mauro José Salanti",AY1989/2751.92,AY1989/3356)),F1989&lt;&gt;0,SUM(L1989,Q1989,V1989,AA1989,AF1989,AK1989,AP1989,AU1989))))</f>
        <v xml:space="preserve"> </v>
      </c>
      <c r="BE1989" s="120"/>
      <c r="BF1989" s="120"/>
      <c r="BG1989" s="120"/>
    </row>
    <row r="1990" spans="1:59" s="3" customFormat="1" x14ac:dyDescent="0.3">
      <c r="A1990" s="15" t="str">
        <f t="shared" si="390"/>
        <v/>
      </c>
      <c r="B1990" s="25"/>
      <c r="C1990" s="26"/>
      <c r="D1990" s="279"/>
      <c r="E1990" s="27"/>
      <c r="F1990" s="28"/>
      <c r="G1990" s="27"/>
      <c r="H1990" s="28"/>
      <c r="I1990" s="28"/>
      <c r="J1990" s="255" t="str">
        <f>IF(H1990="","",(_xlfn.XLOOKUP(H1990,Cadastros!$D$6:$D$90,Cadastros!$E$6:$E$90))*(1-_xlfn.XLOOKUP(_xlfn.XLOOKUP($F1990,Clientes!$B$4:$B$39,Clientes!$C$4:$C$39),Cadastros!$L$6:$L$12,Cadastros!$N$6:$N$12)))</f>
        <v/>
      </c>
      <c r="K1990" s="168" t="str">
        <f t="shared" si="391"/>
        <v/>
      </c>
      <c r="L1990" s="168" t="str">
        <f>IFERROR(K1990/_xlfn.XLOOKUP(_xlfn.XLOOKUP($F1990,Clientes!$B$4:$B$39,Clientes!$C$4:$C$39),Cadastros!$L$6:$L$12,Cadastros!$M$6:$M$12)," ")</f>
        <v xml:space="preserve"> </v>
      </c>
      <c r="M1990" s="28"/>
      <c r="N1990" s="28"/>
      <c r="O1990" s="255" t="str">
        <f>IF(M1990="","",(_xlfn.XLOOKUP(M1990,Cadastros!$D$6:$D$90,Cadastros!$E$6:$E$90))*(1-_xlfn.XLOOKUP(_xlfn.XLOOKUP($F1990,Clientes!$B$4:$B$39,Clientes!$C$4:$C$39),Cadastros!$L$6:$L$12,Cadastros!$N$6:$N$12)))</f>
        <v/>
      </c>
      <c r="P1990" s="168" t="str">
        <f t="shared" si="392"/>
        <v/>
      </c>
      <c r="Q1990" s="168" t="str">
        <f>IFERROR(P1990/_xlfn.XLOOKUP(_xlfn.XLOOKUP($F1990,Clientes!$B$4:$B$39,Clientes!$C$4:$C$39),Cadastros!$L$6:$L$12,Cadastros!$M$6:$M$12)," ")</f>
        <v xml:space="preserve"> </v>
      </c>
      <c r="R1990" s="28"/>
      <c r="S1990" s="28"/>
      <c r="T1990" s="255" t="str">
        <f>IF(R1990="","",(_xlfn.XLOOKUP(R1990,Cadastros!$D$6:$D$90,Cadastros!$E$6:$E$90))*(1-_xlfn.XLOOKUP(_xlfn.XLOOKUP($F1990,Clientes!$B$4:$B$39,Clientes!$C$4:$C$39),Cadastros!$L$6:$L$12,Cadastros!$N$6:$N$12)))</f>
        <v/>
      </c>
      <c r="U1990" s="168" t="str">
        <f t="shared" si="393"/>
        <v/>
      </c>
      <c r="V1990" s="168" t="str">
        <f>IFERROR(U1990/_xlfn.XLOOKUP(_xlfn.XLOOKUP($F1990,Clientes!$B$4:$B$39,Clientes!$C$4:$C$39),Cadastros!$L$6:$L$12,Cadastros!$M$6:$M$12)," ")</f>
        <v xml:space="preserve"> </v>
      </c>
      <c r="W1990" s="28"/>
      <c r="X1990" s="28"/>
      <c r="Y1990" s="255" t="str">
        <f>IF(W1990="","",(_xlfn.XLOOKUP(W1990,Cadastros!$D$6:$D$90,Cadastros!$E$6:$E$90))*(1-_xlfn.XLOOKUP(_xlfn.XLOOKUP($F1990,Clientes!$B$4:$B$39,Clientes!$C$4:$C$39),Cadastros!$L$6:$L$12,Cadastros!$N$6:$N$12)))</f>
        <v/>
      </c>
      <c r="Z1990" s="168" t="str">
        <f t="shared" si="394"/>
        <v/>
      </c>
      <c r="AA1990" s="168" t="str">
        <f>IFERROR(Z1990/_xlfn.XLOOKUP(_xlfn.XLOOKUP($F1990,Clientes!$B$4:$B$39,Clientes!$C$4:$C$39),Cadastros!$L$6:$L$12,Cadastros!$M$6:$M$12)," ")</f>
        <v xml:space="preserve"> </v>
      </c>
      <c r="AB1990" s="28"/>
      <c r="AC1990" s="28"/>
      <c r="AD1990" s="20" t="str">
        <f>IF(AB1990="","",IF($F1990="Bernardino Furlan",_xlfn.XLOOKUP(AB1990,Cadastros!$G$6:$G$90,Cadastros!$H$6:$H$90)*(1-0.18),IF($F1990="Mauro José Salanti",_xlfn.XLOOKUP(AB1990,Cadastros!$G$6:$G$90,Cadastros!$H$6:$H$90)*(1-0.18),_xlfn.XLOOKUP(AB1990,Cadastros!$G$6:$G$90,Cadastros!$H$6:$H$90))))</f>
        <v/>
      </c>
      <c r="AE1990" s="168" t="str">
        <f t="shared" si="395"/>
        <v/>
      </c>
      <c r="AF1990" s="168" t="str">
        <f t="shared" si="396"/>
        <v/>
      </c>
      <c r="AG1990" s="28"/>
      <c r="AH1990" s="28"/>
      <c r="AI1990" s="20" t="str">
        <f>IF(AG1990="","",IF($F1990="Bernardino Furlan",_xlfn.XLOOKUP(AG1990,Cadastros!$G$6:$G$90,Cadastros!$H$6:$H$90)*(1-0.18),IF($F1990="Mauro José Salanti",_xlfn.XLOOKUP(AG1990,Cadastros!$G$6:$G$90,Cadastros!$H$6:$H$90)*(1-0.18),_xlfn.XLOOKUP(AG1990,Cadastros!$G$6:$G$90,Cadastros!$H$6:$H$90))))</f>
        <v/>
      </c>
      <c r="AJ1990" s="168" t="str">
        <f t="shared" si="397"/>
        <v/>
      </c>
      <c r="AK1990" s="168" t="str">
        <f t="shared" si="398"/>
        <v/>
      </c>
      <c r="AL1990" s="28"/>
      <c r="AM1990" s="28"/>
      <c r="AN1990" s="20" t="str">
        <f>IF(AL1990="","",IF($F1990="Bernardino Furlan",_xlfn.XLOOKUP(AL1990,Cadastros!$G$6:$G$90,Cadastros!$H$6:$H$90)*(1-0.18),IF($F1990="Mauro José Salanti",_xlfn.XLOOKUP(AL1990,Cadastros!$G$6:$G$90,Cadastros!$H$6:$H$90)*(1-0.18),_xlfn.XLOOKUP(AL1990,Cadastros!$G$6:$G$90,Cadastros!$H$6:$H$90))))</f>
        <v/>
      </c>
      <c r="AO1990" s="168" t="str">
        <f t="shared" si="399"/>
        <v/>
      </c>
      <c r="AP1990" s="168" t="str">
        <f t="shared" si="400"/>
        <v/>
      </c>
      <c r="AQ1990" s="28"/>
      <c r="AR1990" s="28"/>
      <c r="AS1990" s="20" t="str">
        <f>IF(AQ1990="","",IF($F1990="Bernardino Furlan",_xlfn.XLOOKUP(AQ1990,Cadastros!$G$6:$G$90,Cadastros!$H$6:$H$90)*(1-0.18),IF($F1990="Mauro José Salanti",_xlfn.XLOOKUP(AQ1990,Cadastros!$G$6:$G$90,Cadastros!$H$6:$H$90)*(1-0.18),_xlfn.XLOOKUP(AQ1990,Cadastros!$G$6:$G$90,Cadastros!$H$6:$H$90))))</f>
        <v/>
      </c>
      <c r="AT1990" s="168" t="str">
        <f t="shared" si="401"/>
        <v/>
      </c>
      <c r="AU1990" s="168" t="str">
        <f t="shared" si="402"/>
        <v/>
      </c>
      <c r="AV1990" s="227"/>
      <c r="AW1990" s="30"/>
      <c r="AX1990" s="267"/>
      <c r="AY1990" s="267"/>
      <c r="AZ1990" s="29"/>
      <c r="BA1990" s="30"/>
      <c r="BB1990" s="23" t="str" cm="1">
        <f t="array" ref="BB1990">_xlfn.IFS(AW1990="SIM",SUM(K1990,P1990,U1990,Z1990,AE1990,AJ1990,AO1990,AT1990,AX1990,AY1990),F1990&lt;&gt;"",SUM(K1990,P1990,U1990,Z1990,AE1990,AJ1990,,AO1990,AT1990),F1990="","")</f>
        <v/>
      </c>
      <c r="BC1990" s="211" t="str" cm="1">
        <f t="array" ref="BC1990">_xlfn.IFS(E1990="","",G1990&lt;=E1990,BB1990*(1-0.03),G1990&lt;(E1990+8),BB1990,AZ1990="Boleto",BB1990*(1+0.001)^DATEDIF(E1990,G1990,"D"),AZ1990="Cheque",BB1990,AZ1990="Dinheiro","Alterar forma pgto")</f>
        <v/>
      </c>
      <c r="BD1990" s="276" t="str" cm="1">
        <f t="array" ref="BD1990">IF(F1990=0," ",IF(BC1990&lt;BB1990,(_xlfn.IFS(AW1990="SIM",SUM(L1990,Q1990,V1990,AA1990,AF1990,AK1990,AP1990,AU1990)+AX1990/_xlfn.XLOOKUP(_xlfn.XLOOKUP($F1990,Clientes!$B$4:$B$39,Clientes!$C$4:$C$39),Cadastros!$L$6:$L$12,Cadastros!$M$6:$M$12)+IF($F1990="Bernardino Furlan",AY1990/2751.92,IF($F1990="Mauro José Salanti",AY1990/2751.92,AY1990/3356)),F1990&lt;&gt;0,SUM(L1990,Q1990,V1990,AA1990,AF1990,AK1990,AP1990,AU1990)))*(1-0.03),_xlfn.IFS(AW1990="SIM",SUM(L1990,Q1990,V1990,AA1990,AF1990,AK1990,AP1990,AU1990)+AX1990/_xlfn.XLOOKUP(_xlfn.XLOOKUP($F1990,Clientes!$B$4:$B$39,Clientes!$C$4:$C$39),Cadastros!$L$6:$L$12,Cadastros!$M$6:$M$12)+IF($F1990="Bernardino Furlan",AY1990/2751.92,IF($F1990="Mauro José Salanti",AY1990/2751.92,AY1990/3356)),F1990&lt;&gt;0,SUM(L1990,Q1990,V1990,AA1990,AF1990,AK1990,AP1990,AU1990))))</f>
        <v xml:space="preserve"> </v>
      </c>
      <c r="BE1990" s="120"/>
      <c r="BF1990" s="120"/>
      <c r="BG1990" s="120"/>
    </row>
    <row r="1991" spans="1:59" s="3" customFormat="1" x14ac:dyDescent="0.3">
      <c r="A1991" s="15" t="str">
        <f t="shared" si="390"/>
        <v/>
      </c>
      <c r="B1991" s="25"/>
      <c r="C1991" s="26"/>
      <c r="D1991" s="279"/>
      <c r="E1991" s="27"/>
      <c r="F1991" s="28"/>
      <c r="G1991" s="27"/>
      <c r="H1991" s="28"/>
      <c r="I1991" s="28"/>
      <c r="J1991" s="255" t="str">
        <f>IF(H1991="","",(_xlfn.XLOOKUP(H1991,Cadastros!$D$6:$D$90,Cadastros!$E$6:$E$90))*(1-_xlfn.XLOOKUP(_xlfn.XLOOKUP($F1991,Clientes!$B$4:$B$39,Clientes!$C$4:$C$39),Cadastros!$L$6:$L$12,Cadastros!$N$6:$N$12)))</f>
        <v/>
      </c>
      <c r="K1991" s="168" t="str">
        <f t="shared" si="391"/>
        <v/>
      </c>
      <c r="L1991" s="168" t="str">
        <f>IFERROR(K1991/_xlfn.XLOOKUP(_xlfn.XLOOKUP($F1991,Clientes!$B$4:$B$39,Clientes!$C$4:$C$39),Cadastros!$L$6:$L$12,Cadastros!$M$6:$M$12)," ")</f>
        <v xml:space="preserve"> </v>
      </c>
      <c r="M1991" s="28"/>
      <c r="N1991" s="28"/>
      <c r="O1991" s="255" t="str">
        <f>IF(M1991="","",(_xlfn.XLOOKUP(M1991,Cadastros!$D$6:$D$90,Cadastros!$E$6:$E$90))*(1-_xlfn.XLOOKUP(_xlfn.XLOOKUP($F1991,Clientes!$B$4:$B$39,Clientes!$C$4:$C$39),Cadastros!$L$6:$L$12,Cadastros!$N$6:$N$12)))</f>
        <v/>
      </c>
      <c r="P1991" s="168" t="str">
        <f t="shared" si="392"/>
        <v/>
      </c>
      <c r="Q1991" s="168" t="str">
        <f>IFERROR(P1991/_xlfn.XLOOKUP(_xlfn.XLOOKUP($F1991,Clientes!$B$4:$B$39,Clientes!$C$4:$C$39),Cadastros!$L$6:$L$12,Cadastros!$M$6:$M$12)," ")</f>
        <v xml:space="preserve"> </v>
      </c>
      <c r="R1991" s="28"/>
      <c r="S1991" s="28"/>
      <c r="T1991" s="255" t="str">
        <f>IF(R1991="","",(_xlfn.XLOOKUP(R1991,Cadastros!$D$6:$D$90,Cadastros!$E$6:$E$90))*(1-_xlfn.XLOOKUP(_xlfn.XLOOKUP($F1991,Clientes!$B$4:$B$39,Clientes!$C$4:$C$39),Cadastros!$L$6:$L$12,Cadastros!$N$6:$N$12)))</f>
        <v/>
      </c>
      <c r="U1991" s="168" t="str">
        <f t="shared" si="393"/>
        <v/>
      </c>
      <c r="V1991" s="168" t="str">
        <f>IFERROR(U1991/_xlfn.XLOOKUP(_xlfn.XLOOKUP($F1991,Clientes!$B$4:$B$39,Clientes!$C$4:$C$39),Cadastros!$L$6:$L$12,Cadastros!$M$6:$M$12)," ")</f>
        <v xml:space="preserve"> </v>
      </c>
      <c r="W1991" s="28"/>
      <c r="X1991" s="28"/>
      <c r="Y1991" s="255" t="str">
        <f>IF(W1991="","",(_xlfn.XLOOKUP(W1991,Cadastros!$D$6:$D$90,Cadastros!$E$6:$E$90))*(1-_xlfn.XLOOKUP(_xlfn.XLOOKUP($F1991,Clientes!$B$4:$B$39,Clientes!$C$4:$C$39),Cadastros!$L$6:$L$12,Cadastros!$N$6:$N$12)))</f>
        <v/>
      </c>
      <c r="Z1991" s="168" t="str">
        <f t="shared" si="394"/>
        <v/>
      </c>
      <c r="AA1991" s="168" t="str">
        <f>IFERROR(Z1991/_xlfn.XLOOKUP(_xlfn.XLOOKUP($F1991,Clientes!$B$4:$B$39,Clientes!$C$4:$C$39),Cadastros!$L$6:$L$12,Cadastros!$M$6:$M$12)," ")</f>
        <v xml:space="preserve"> </v>
      </c>
      <c r="AB1991" s="28"/>
      <c r="AC1991" s="28"/>
      <c r="AD1991" s="20" t="str">
        <f>IF(AB1991="","",IF($F1991="Bernardino Furlan",_xlfn.XLOOKUP(AB1991,Cadastros!$G$6:$G$90,Cadastros!$H$6:$H$90)*(1-0.18),IF($F1991="Mauro José Salanti",_xlfn.XLOOKUP(AB1991,Cadastros!$G$6:$G$90,Cadastros!$H$6:$H$90)*(1-0.18),_xlfn.XLOOKUP(AB1991,Cadastros!$G$6:$G$90,Cadastros!$H$6:$H$90))))</f>
        <v/>
      </c>
      <c r="AE1991" s="168" t="str">
        <f t="shared" si="395"/>
        <v/>
      </c>
      <c r="AF1991" s="168" t="str">
        <f t="shared" si="396"/>
        <v/>
      </c>
      <c r="AG1991" s="28"/>
      <c r="AH1991" s="28"/>
      <c r="AI1991" s="20" t="str">
        <f>IF(AG1991="","",IF($F1991="Bernardino Furlan",_xlfn.XLOOKUP(AG1991,Cadastros!$G$6:$G$90,Cadastros!$H$6:$H$90)*(1-0.18),IF($F1991="Mauro José Salanti",_xlfn.XLOOKUP(AG1991,Cadastros!$G$6:$G$90,Cadastros!$H$6:$H$90)*(1-0.18),_xlfn.XLOOKUP(AG1991,Cadastros!$G$6:$G$90,Cadastros!$H$6:$H$90))))</f>
        <v/>
      </c>
      <c r="AJ1991" s="168" t="str">
        <f t="shared" si="397"/>
        <v/>
      </c>
      <c r="AK1991" s="168" t="str">
        <f t="shared" si="398"/>
        <v/>
      </c>
      <c r="AL1991" s="28"/>
      <c r="AM1991" s="28"/>
      <c r="AN1991" s="20" t="str">
        <f>IF(AL1991="","",IF($F1991="Bernardino Furlan",_xlfn.XLOOKUP(AL1991,Cadastros!$G$6:$G$90,Cadastros!$H$6:$H$90)*(1-0.18),IF($F1991="Mauro José Salanti",_xlfn.XLOOKUP(AL1991,Cadastros!$G$6:$G$90,Cadastros!$H$6:$H$90)*(1-0.18),_xlfn.XLOOKUP(AL1991,Cadastros!$G$6:$G$90,Cadastros!$H$6:$H$90))))</f>
        <v/>
      </c>
      <c r="AO1991" s="168" t="str">
        <f t="shared" si="399"/>
        <v/>
      </c>
      <c r="AP1991" s="168" t="str">
        <f t="shared" si="400"/>
        <v/>
      </c>
      <c r="AQ1991" s="28"/>
      <c r="AR1991" s="28"/>
      <c r="AS1991" s="20" t="str">
        <f>IF(AQ1991="","",IF($F1991="Bernardino Furlan",_xlfn.XLOOKUP(AQ1991,Cadastros!$G$6:$G$90,Cadastros!$H$6:$H$90)*(1-0.18),IF($F1991="Mauro José Salanti",_xlfn.XLOOKUP(AQ1991,Cadastros!$G$6:$G$90,Cadastros!$H$6:$H$90)*(1-0.18),_xlfn.XLOOKUP(AQ1991,Cadastros!$G$6:$G$90,Cadastros!$H$6:$H$90))))</f>
        <v/>
      </c>
      <c r="AT1991" s="168" t="str">
        <f t="shared" si="401"/>
        <v/>
      </c>
      <c r="AU1991" s="168" t="str">
        <f t="shared" si="402"/>
        <v/>
      </c>
      <c r="AV1991" s="227"/>
      <c r="AW1991" s="30"/>
      <c r="AX1991" s="267"/>
      <c r="AY1991" s="267"/>
      <c r="AZ1991" s="29"/>
      <c r="BA1991" s="30"/>
      <c r="BB1991" s="23" t="str" cm="1">
        <f t="array" ref="BB1991">_xlfn.IFS(AW1991="SIM",SUM(K1991,P1991,U1991,Z1991,AE1991,AJ1991,AO1991,AT1991,AX1991,AY1991),F1991&lt;&gt;"",SUM(K1991,P1991,U1991,Z1991,AE1991,AJ1991,,AO1991,AT1991),F1991="","")</f>
        <v/>
      </c>
      <c r="BC1991" s="211" t="str" cm="1">
        <f t="array" ref="BC1991">_xlfn.IFS(E1991="","",G1991&lt;=E1991,BB1991*(1-0.03),G1991&lt;(E1991+8),BB1991,AZ1991="Boleto",BB1991*(1+0.001)^DATEDIF(E1991,G1991,"D"),AZ1991="Cheque",BB1991,AZ1991="Dinheiro","Alterar forma pgto")</f>
        <v/>
      </c>
      <c r="BD1991" s="276" t="str" cm="1">
        <f t="array" ref="BD1991">IF(F1991=0," ",IF(BC1991&lt;BB1991,(_xlfn.IFS(AW1991="SIM",SUM(L1991,Q1991,V1991,AA1991,AF1991,AK1991,AP1991,AU1991)+AX1991/_xlfn.XLOOKUP(_xlfn.XLOOKUP($F1991,Clientes!$B$4:$B$39,Clientes!$C$4:$C$39),Cadastros!$L$6:$L$12,Cadastros!$M$6:$M$12)+IF($F1991="Bernardino Furlan",AY1991/2751.92,IF($F1991="Mauro José Salanti",AY1991/2751.92,AY1991/3356)),F1991&lt;&gt;0,SUM(L1991,Q1991,V1991,AA1991,AF1991,AK1991,AP1991,AU1991)))*(1-0.03),_xlfn.IFS(AW1991="SIM",SUM(L1991,Q1991,V1991,AA1991,AF1991,AK1991,AP1991,AU1991)+AX1991/_xlfn.XLOOKUP(_xlfn.XLOOKUP($F1991,Clientes!$B$4:$B$39,Clientes!$C$4:$C$39),Cadastros!$L$6:$L$12,Cadastros!$M$6:$M$12)+IF($F1991="Bernardino Furlan",AY1991/2751.92,IF($F1991="Mauro José Salanti",AY1991/2751.92,AY1991/3356)),F1991&lt;&gt;0,SUM(L1991,Q1991,V1991,AA1991,AF1991,AK1991,AP1991,AU1991))))</f>
        <v xml:space="preserve"> </v>
      </c>
      <c r="BE1991" s="120"/>
      <c r="BF1991" s="120"/>
      <c r="BG1991" s="120"/>
    </row>
    <row r="1992" spans="1:59" s="3" customFormat="1" x14ac:dyDescent="0.3">
      <c r="A1992" s="15" t="str">
        <f t="shared" ref="A1992:A2008" si="403">IF(C1992="orçamento",25%,IF(C1992="aprovado",50%,IF(C1992="entregue",100%,IF(C1992="não aceito",0%,""))))</f>
        <v/>
      </c>
      <c r="B1992" s="25"/>
      <c r="C1992" s="26"/>
      <c r="D1992" s="279"/>
      <c r="E1992" s="27"/>
      <c r="F1992" s="28"/>
      <c r="G1992" s="27"/>
      <c r="H1992" s="28"/>
      <c r="I1992" s="28"/>
      <c r="J1992" s="255" t="str">
        <f>IF(H1992="","",(_xlfn.XLOOKUP(H1992,Cadastros!$D$6:$D$90,Cadastros!$E$6:$E$90))*(1-_xlfn.XLOOKUP(_xlfn.XLOOKUP($F1992,Clientes!$B$4:$B$39,Clientes!$C$4:$C$39),Cadastros!$L$6:$L$12,Cadastros!$N$6:$N$12)))</f>
        <v/>
      </c>
      <c r="K1992" s="168" t="str">
        <f t="shared" ref="K1992:K2008" si="404">IF(J1992="","",I1992*J1992)</f>
        <v/>
      </c>
      <c r="L1992" s="168" t="str">
        <f>IFERROR(K1992/_xlfn.XLOOKUP(_xlfn.XLOOKUP($F1992,Clientes!$B$4:$B$39,Clientes!$C$4:$C$39),Cadastros!$L$6:$L$12,Cadastros!$M$6:$M$12)," ")</f>
        <v xml:space="preserve"> </v>
      </c>
      <c r="M1992" s="28"/>
      <c r="N1992" s="28"/>
      <c r="O1992" s="255" t="str">
        <f>IF(M1992="","",(_xlfn.XLOOKUP(M1992,Cadastros!$D$6:$D$90,Cadastros!$E$6:$E$90))*(1-_xlfn.XLOOKUP(_xlfn.XLOOKUP($F1992,Clientes!$B$4:$B$39,Clientes!$C$4:$C$39),Cadastros!$L$6:$L$12,Cadastros!$N$6:$N$12)))</f>
        <v/>
      </c>
      <c r="P1992" s="168" t="str">
        <f t="shared" ref="P1992:P2008" si="405">IF(O1992="","",N1992*O1992)</f>
        <v/>
      </c>
      <c r="Q1992" s="168" t="str">
        <f>IFERROR(P1992/_xlfn.XLOOKUP(_xlfn.XLOOKUP($F1992,Clientes!$B$4:$B$39,Clientes!$C$4:$C$39),Cadastros!$L$6:$L$12,Cadastros!$M$6:$M$12)," ")</f>
        <v xml:space="preserve"> </v>
      </c>
      <c r="R1992" s="28"/>
      <c r="S1992" s="28"/>
      <c r="T1992" s="255" t="str">
        <f>IF(R1992="","",(_xlfn.XLOOKUP(R1992,Cadastros!$D$6:$D$90,Cadastros!$E$6:$E$90))*(1-_xlfn.XLOOKUP(_xlfn.XLOOKUP($F1992,Clientes!$B$4:$B$39,Clientes!$C$4:$C$39),Cadastros!$L$6:$L$12,Cadastros!$N$6:$N$12)))</f>
        <v/>
      </c>
      <c r="U1992" s="168" t="str">
        <f t="shared" ref="U1992:U2008" si="406">IF(T1992="","",S1992*T1992)</f>
        <v/>
      </c>
      <c r="V1992" s="168" t="str">
        <f>IFERROR(U1992/_xlfn.XLOOKUP(_xlfn.XLOOKUP($F1992,Clientes!$B$4:$B$39,Clientes!$C$4:$C$39),Cadastros!$L$6:$L$12,Cadastros!$M$6:$M$12)," ")</f>
        <v xml:space="preserve"> </v>
      </c>
      <c r="W1992" s="28"/>
      <c r="X1992" s="28"/>
      <c r="Y1992" s="255" t="str">
        <f>IF(W1992="","",(_xlfn.XLOOKUP(W1992,Cadastros!$D$6:$D$90,Cadastros!$E$6:$E$90))*(1-_xlfn.XLOOKUP(_xlfn.XLOOKUP($F1992,Clientes!$B$4:$B$39,Clientes!$C$4:$C$39),Cadastros!$L$6:$L$12,Cadastros!$N$6:$N$12)))</f>
        <v/>
      </c>
      <c r="Z1992" s="168" t="str">
        <f t="shared" ref="Z1992:Z2008" si="407">IF(Y1992="","",X1992*Y1992)</f>
        <v/>
      </c>
      <c r="AA1992" s="168" t="str">
        <f>IFERROR(Z1992/_xlfn.XLOOKUP(_xlfn.XLOOKUP($F1992,Clientes!$B$4:$B$39,Clientes!$C$4:$C$39),Cadastros!$L$6:$L$12,Cadastros!$M$6:$M$12)," ")</f>
        <v xml:space="preserve"> </v>
      </c>
      <c r="AB1992" s="28"/>
      <c r="AC1992" s="28"/>
      <c r="AD1992" s="20" t="str">
        <f>IF(AB1992="","",IF($F1992="Bernardino Furlan",_xlfn.XLOOKUP(AB1992,Cadastros!$G$6:$G$90,Cadastros!$H$6:$H$90)*(1-0.18),IF($F1992="Mauro José Salanti",_xlfn.XLOOKUP(AB1992,Cadastros!$G$6:$G$90,Cadastros!$H$6:$H$90)*(1-0.18),_xlfn.XLOOKUP(AB1992,Cadastros!$G$6:$G$90,Cadastros!$H$6:$H$90))))</f>
        <v/>
      </c>
      <c r="AE1992" s="168" t="str">
        <f t="shared" ref="AE1992:AE2008" si="408">IF(AD1992="","",AC1992*AD1992)</f>
        <v/>
      </c>
      <c r="AF1992" s="168" t="str">
        <f t="shared" ref="AF1992:AF2008" si="409">IFERROR(IF($F1992="Bernardino Furlan",AE1992/2751.92,IF($F1992="Mauro José Salanti",AE1992/2751.92,AE1992/3356)),"")</f>
        <v/>
      </c>
      <c r="AG1992" s="28"/>
      <c r="AH1992" s="28"/>
      <c r="AI1992" s="20" t="str">
        <f>IF(AG1992="","",IF($F1992="Bernardino Furlan",_xlfn.XLOOKUP(AG1992,Cadastros!$G$6:$G$90,Cadastros!$H$6:$H$90)*(1-0.18),IF($F1992="Mauro José Salanti",_xlfn.XLOOKUP(AG1992,Cadastros!$G$6:$G$90,Cadastros!$H$6:$H$90)*(1-0.18),_xlfn.XLOOKUP(AG1992,Cadastros!$G$6:$G$90,Cadastros!$H$6:$H$90))))</f>
        <v/>
      </c>
      <c r="AJ1992" s="168" t="str">
        <f t="shared" ref="AJ1992:AJ2008" si="410">IF(AI1992="","",AH1992*AI1992)</f>
        <v/>
      </c>
      <c r="AK1992" s="168" t="str">
        <f t="shared" ref="AK1992:AK2008" si="411">IFERROR(IF($F1992="Bernardino Furlan",AJ1992/2751.92,IF($F1992="Mauro José Salanti",AJ1992/2751.92,AJ1992/3356)),"")</f>
        <v/>
      </c>
      <c r="AL1992" s="28"/>
      <c r="AM1992" s="28"/>
      <c r="AN1992" s="20" t="str">
        <f>IF(AL1992="","",IF($F1992="Bernardino Furlan",_xlfn.XLOOKUP(AL1992,Cadastros!$G$6:$G$90,Cadastros!$H$6:$H$90)*(1-0.18),IF($F1992="Mauro José Salanti",_xlfn.XLOOKUP(AL1992,Cadastros!$G$6:$G$90,Cadastros!$H$6:$H$90)*(1-0.18),_xlfn.XLOOKUP(AL1992,Cadastros!$G$6:$G$90,Cadastros!$H$6:$H$90))))</f>
        <v/>
      </c>
      <c r="AO1992" s="168" t="str">
        <f t="shared" ref="AO1992:AO2008" si="412">IF(AN1992="","",AM1992*AN1992)</f>
        <v/>
      </c>
      <c r="AP1992" s="168" t="str">
        <f t="shared" ref="AP1992:AP2008" si="413">IFERROR(IF($F1992="Bernardino Furlan",AO1992/2751.92,IF($F1992="Mauro José Salanti",AO1992/2751.92,AO1992/3356)),"")</f>
        <v/>
      </c>
      <c r="AQ1992" s="28"/>
      <c r="AR1992" s="28"/>
      <c r="AS1992" s="20" t="str">
        <f>IF(AQ1992="","",IF($F1992="Bernardino Furlan",_xlfn.XLOOKUP(AQ1992,Cadastros!$G$6:$G$90,Cadastros!$H$6:$H$90)*(1-0.18),IF($F1992="Mauro José Salanti",_xlfn.XLOOKUP(AQ1992,Cadastros!$G$6:$G$90,Cadastros!$H$6:$H$90)*(1-0.18),_xlfn.XLOOKUP(AQ1992,Cadastros!$G$6:$G$90,Cadastros!$H$6:$H$90))))</f>
        <v/>
      </c>
      <c r="AT1992" s="168" t="str">
        <f t="shared" ref="AT1992:AT2008" si="414">IF(AS1992="","",AR1992*AS1992)</f>
        <v/>
      </c>
      <c r="AU1992" s="168" t="str">
        <f t="shared" ref="AU1992:AU2008" si="415">IFERROR(IF($F1992="Bernardino Furlan",AT1992/2751.92,IF($F1992="Mauro José Salanti",AT1992/2751.92,AT1992/3356)),"")</f>
        <v/>
      </c>
      <c r="AV1992" s="227"/>
      <c r="AW1992" s="30"/>
      <c r="AX1992" s="267"/>
      <c r="AY1992" s="267"/>
      <c r="AZ1992" s="29"/>
      <c r="BA1992" s="30"/>
      <c r="BB1992" s="23" t="str" cm="1">
        <f t="array" ref="BB1992">_xlfn.IFS(AW1992="SIM",SUM(K1992,P1992,U1992,Z1992,AE1992,AJ1992,AO1992,AT1992,AX1992,AY1992),F1992&lt;&gt;"",SUM(K1992,P1992,U1992,Z1992,AE1992,AJ1992,,AO1992,AT1992),F1992="","")</f>
        <v/>
      </c>
      <c r="BC1992" s="211" t="str" cm="1">
        <f t="array" ref="BC1992">_xlfn.IFS(E1992="","",G1992&lt;=E1992,BB1992*(1-0.03),G1992&lt;(E1992+8),BB1992,AZ1992="Boleto",BB1992*(1+0.001)^DATEDIF(E1992,G1992,"D"),AZ1992="Cheque",BB1992,AZ1992="Dinheiro","Alterar forma pgto")</f>
        <v/>
      </c>
      <c r="BD1992" s="276" t="str" cm="1">
        <f t="array" ref="BD1992">IF(F1992=0," ",IF(BC1992&lt;BB1992,(_xlfn.IFS(AW1992="SIM",SUM(L1992,Q1992,V1992,AA1992,AF1992,AK1992,AP1992,AU1992)+AX1992/_xlfn.XLOOKUP(_xlfn.XLOOKUP($F1992,Clientes!$B$4:$B$39,Clientes!$C$4:$C$39),Cadastros!$L$6:$L$12,Cadastros!$M$6:$M$12)+IF($F1992="Bernardino Furlan",AY1992/2751.92,IF($F1992="Mauro José Salanti",AY1992/2751.92,AY1992/3356)),F1992&lt;&gt;0,SUM(L1992,Q1992,V1992,AA1992,AF1992,AK1992,AP1992,AU1992)))*(1-0.03),_xlfn.IFS(AW1992="SIM",SUM(L1992,Q1992,V1992,AA1992,AF1992,AK1992,AP1992,AU1992)+AX1992/_xlfn.XLOOKUP(_xlfn.XLOOKUP($F1992,Clientes!$B$4:$B$39,Clientes!$C$4:$C$39),Cadastros!$L$6:$L$12,Cadastros!$M$6:$M$12)+IF($F1992="Bernardino Furlan",AY1992/2751.92,IF($F1992="Mauro José Salanti",AY1992/2751.92,AY1992/3356)),F1992&lt;&gt;0,SUM(L1992,Q1992,V1992,AA1992,AF1992,AK1992,AP1992,AU1992))))</f>
        <v xml:space="preserve"> </v>
      </c>
      <c r="BE1992" s="120"/>
      <c r="BF1992" s="120"/>
      <c r="BG1992" s="120"/>
    </row>
    <row r="1993" spans="1:59" s="3" customFormat="1" x14ac:dyDescent="0.3">
      <c r="A1993" s="15" t="str">
        <f t="shared" si="403"/>
        <v/>
      </c>
      <c r="B1993" s="25"/>
      <c r="C1993" s="26"/>
      <c r="D1993" s="279"/>
      <c r="E1993" s="27"/>
      <c r="F1993" s="28"/>
      <c r="G1993" s="27"/>
      <c r="H1993" s="28"/>
      <c r="I1993" s="28"/>
      <c r="J1993" s="255" t="str">
        <f>IF(H1993="","",(_xlfn.XLOOKUP(H1993,Cadastros!$D$6:$D$90,Cadastros!$E$6:$E$90))*(1-_xlfn.XLOOKUP(_xlfn.XLOOKUP($F1993,Clientes!$B$4:$B$39,Clientes!$C$4:$C$39),Cadastros!$L$6:$L$12,Cadastros!$N$6:$N$12)))</f>
        <v/>
      </c>
      <c r="K1993" s="168" t="str">
        <f t="shared" si="404"/>
        <v/>
      </c>
      <c r="L1993" s="168" t="str">
        <f>IFERROR(K1993/_xlfn.XLOOKUP(_xlfn.XLOOKUP($F1993,Clientes!$B$4:$B$39,Clientes!$C$4:$C$39),Cadastros!$L$6:$L$12,Cadastros!$M$6:$M$12)," ")</f>
        <v xml:space="preserve"> </v>
      </c>
      <c r="M1993" s="28"/>
      <c r="N1993" s="28"/>
      <c r="O1993" s="255" t="str">
        <f>IF(M1993="","",(_xlfn.XLOOKUP(M1993,Cadastros!$D$6:$D$90,Cadastros!$E$6:$E$90))*(1-_xlfn.XLOOKUP(_xlfn.XLOOKUP($F1993,Clientes!$B$4:$B$39,Clientes!$C$4:$C$39),Cadastros!$L$6:$L$12,Cadastros!$N$6:$N$12)))</f>
        <v/>
      </c>
      <c r="P1993" s="168" t="str">
        <f t="shared" si="405"/>
        <v/>
      </c>
      <c r="Q1993" s="168" t="str">
        <f>IFERROR(P1993/_xlfn.XLOOKUP(_xlfn.XLOOKUP($F1993,Clientes!$B$4:$B$39,Clientes!$C$4:$C$39),Cadastros!$L$6:$L$12,Cadastros!$M$6:$M$12)," ")</f>
        <v xml:space="preserve"> </v>
      </c>
      <c r="R1993" s="28"/>
      <c r="S1993" s="28"/>
      <c r="T1993" s="255" t="str">
        <f>IF(R1993="","",(_xlfn.XLOOKUP(R1993,Cadastros!$D$6:$D$90,Cadastros!$E$6:$E$90))*(1-_xlfn.XLOOKUP(_xlfn.XLOOKUP($F1993,Clientes!$B$4:$B$39,Clientes!$C$4:$C$39),Cadastros!$L$6:$L$12,Cadastros!$N$6:$N$12)))</f>
        <v/>
      </c>
      <c r="U1993" s="168" t="str">
        <f t="shared" si="406"/>
        <v/>
      </c>
      <c r="V1993" s="168" t="str">
        <f>IFERROR(U1993/_xlfn.XLOOKUP(_xlfn.XLOOKUP($F1993,Clientes!$B$4:$B$39,Clientes!$C$4:$C$39),Cadastros!$L$6:$L$12,Cadastros!$M$6:$M$12)," ")</f>
        <v xml:space="preserve"> </v>
      </c>
      <c r="W1993" s="28"/>
      <c r="X1993" s="28"/>
      <c r="Y1993" s="255" t="str">
        <f>IF(W1993="","",(_xlfn.XLOOKUP(W1993,Cadastros!$D$6:$D$90,Cadastros!$E$6:$E$90))*(1-_xlfn.XLOOKUP(_xlfn.XLOOKUP($F1993,Clientes!$B$4:$B$39,Clientes!$C$4:$C$39),Cadastros!$L$6:$L$12,Cadastros!$N$6:$N$12)))</f>
        <v/>
      </c>
      <c r="Z1993" s="168" t="str">
        <f t="shared" si="407"/>
        <v/>
      </c>
      <c r="AA1993" s="168" t="str">
        <f>IFERROR(Z1993/_xlfn.XLOOKUP(_xlfn.XLOOKUP($F1993,Clientes!$B$4:$B$39,Clientes!$C$4:$C$39),Cadastros!$L$6:$L$12,Cadastros!$M$6:$M$12)," ")</f>
        <v xml:space="preserve"> </v>
      </c>
      <c r="AB1993" s="28"/>
      <c r="AC1993" s="28"/>
      <c r="AD1993" s="20" t="str">
        <f>IF(AB1993="","",IF($F1993="Bernardino Furlan",_xlfn.XLOOKUP(AB1993,Cadastros!$G$6:$G$90,Cadastros!$H$6:$H$90)*(1-0.18),IF($F1993="Mauro José Salanti",_xlfn.XLOOKUP(AB1993,Cadastros!$G$6:$G$90,Cadastros!$H$6:$H$90)*(1-0.18),_xlfn.XLOOKUP(AB1993,Cadastros!$G$6:$G$90,Cadastros!$H$6:$H$90))))</f>
        <v/>
      </c>
      <c r="AE1993" s="168" t="str">
        <f t="shared" si="408"/>
        <v/>
      </c>
      <c r="AF1993" s="168" t="str">
        <f t="shared" si="409"/>
        <v/>
      </c>
      <c r="AG1993" s="28"/>
      <c r="AH1993" s="28"/>
      <c r="AI1993" s="20" t="str">
        <f>IF(AG1993="","",IF($F1993="Bernardino Furlan",_xlfn.XLOOKUP(AG1993,Cadastros!$G$6:$G$90,Cadastros!$H$6:$H$90)*(1-0.18),IF($F1993="Mauro José Salanti",_xlfn.XLOOKUP(AG1993,Cadastros!$G$6:$G$90,Cadastros!$H$6:$H$90)*(1-0.18),_xlfn.XLOOKUP(AG1993,Cadastros!$G$6:$G$90,Cadastros!$H$6:$H$90))))</f>
        <v/>
      </c>
      <c r="AJ1993" s="168" t="str">
        <f t="shared" si="410"/>
        <v/>
      </c>
      <c r="AK1993" s="168" t="str">
        <f t="shared" si="411"/>
        <v/>
      </c>
      <c r="AL1993" s="28"/>
      <c r="AM1993" s="28"/>
      <c r="AN1993" s="20" t="str">
        <f>IF(AL1993="","",IF($F1993="Bernardino Furlan",_xlfn.XLOOKUP(AL1993,Cadastros!$G$6:$G$90,Cadastros!$H$6:$H$90)*(1-0.18),IF($F1993="Mauro José Salanti",_xlfn.XLOOKUP(AL1993,Cadastros!$G$6:$G$90,Cadastros!$H$6:$H$90)*(1-0.18),_xlfn.XLOOKUP(AL1993,Cadastros!$G$6:$G$90,Cadastros!$H$6:$H$90))))</f>
        <v/>
      </c>
      <c r="AO1993" s="168" t="str">
        <f t="shared" si="412"/>
        <v/>
      </c>
      <c r="AP1993" s="168" t="str">
        <f t="shared" si="413"/>
        <v/>
      </c>
      <c r="AQ1993" s="28"/>
      <c r="AR1993" s="28"/>
      <c r="AS1993" s="20" t="str">
        <f>IF(AQ1993="","",IF($F1993="Bernardino Furlan",_xlfn.XLOOKUP(AQ1993,Cadastros!$G$6:$G$90,Cadastros!$H$6:$H$90)*(1-0.18),IF($F1993="Mauro José Salanti",_xlfn.XLOOKUP(AQ1993,Cadastros!$G$6:$G$90,Cadastros!$H$6:$H$90)*(1-0.18),_xlfn.XLOOKUP(AQ1993,Cadastros!$G$6:$G$90,Cadastros!$H$6:$H$90))))</f>
        <v/>
      </c>
      <c r="AT1993" s="168" t="str">
        <f t="shared" si="414"/>
        <v/>
      </c>
      <c r="AU1993" s="168" t="str">
        <f t="shared" si="415"/>
        <v/>
      </c>
      <c r="AV1993" s="227"/>
      <c r="AW1993" s="30"/>
      <c r="AX1993" s="267"/>
      <c r="AY1993" s="267"/>
      <c r="AZ1993" s="29"/>
      <c r="BA1993" s="30"/>
      <c r="BB1993" s="23" t="str" cm="1">
        <f t="array" ref="BB1993">_xlfn.IFS(AW1993="SIM",SUM(K1993,P1993,U1993,Z1993,AE1993,AJ1993,AO1993,AT1993,AX1993,AY1993),F1993&lt;&gt;"",SUM(K1993,P1993,U1993,Z1993,AE1993,AJ1993,,AO1993,AT1993),F1993="","")</f>
        <v/>
      </c>
      <c r="BC1993" s="211" t="str" cm="1">
        <f t="array" ref="BC1993">_xlfn.IFS(E1993="","",G1993&lt;=E1993,BB1993*(1-0.03),G1993&lt;(E1993+8),BB1993,AZ1993="Boleto",BB1993*(1+0.001)^DATEDIF(E1993,G1993,"D"),AZ1993="Cheque",BB1993,AZ1993="Dinheiro","Alterar forma pgto")</f>
        <v/>
      </c>
      <c r="BD1993" s="276" t="str" cm="1">
        <f t="array" ref="BD1993">IF(F1993=0," ",IF(BC1993&lt;BB1993,(_xlfn.IFS(AW1993="SIM",SUM(L1993,Q1993,V1993,AA1993,AF1993,AK1993,AP1993,AU1993)+AX1993/_xlfn.XLOOKUP(_xlfn.XLOOKUP($F1993,Clientes!$B$4:$B$39,Clientes!$C$4:$C$39),Cadastros!$L$6:$L$12,Cadastros!$M$6:$M$12)+IF($F1993="Bernardino Furlan",AY1993/2751.92,IF($F1993="Mauro José Salanti",AY1993/2751.92,AY1993/3356)),F1993&lt;&gt;0,SUM(L1993,Q1993,V1993,AA1993,AF1993,AK1993,AP1993,AU1993)))*(1-0.03),_xlfn.IFS(AW1993="SIM",SUM(L1993,Q1993,V1993,AA1993,AF1993,AK1993,AP1993,AU1993)+AX1993/_xlfn.XLOOKUP(_xlfn.XLOOKUP($F1993,Clientes!$B$4:$B$39,Clientes!$C$4:$C$39),Cadastros!$L$6:$L$12,Cadastros!$M$6:$M$12)+IF($F1993="Bernardino Furlan",AY1993/2751.92,IF($F1993="Mauro José Salanti",AY1993/2751.92,AY1993/3356)),F1993&lt;&gt;0,SUM(L1993,Q1993,V1993,AA1993,AF1993,AK1993,AP1993,AU1993))))</f>
        <v xml:space="preserve"> </v>
      </c>
      <c r="BE1993" s="120"/>
      <c r="BF1993" s="120"/>
      <c r="BG1993" s="120"/>
    </row>
    <row r="1994" spans="1:59" s="3" customFormat="1" x14ac:dyDescent="0.3">
      <c r="A1994" s="15" t="str">
        <f t="shared" si="403"/>
        <v/>
      </c>
      <c r="B1994" s="25"/>
      <c r="C1994" s="26"/>
      <c r="D1994" s="279"/>
      <c r="E1994" s="27"/>
      <c r="F1994" s="28"/>
      <c r="G1994" s="27"/>
      <c r="H1994" s="28"/>
      <c r="I1994" s="28"/>
      <c r="J1994" s="255" t="str">
        <f>IF(H1994="","",(_xlfn.XLOOKUP(H1994,Cadastros!$D$6:$D$90,Cadastros!$E$6:$E$90))*(1-_xlfn.XLOOKUP(_xlfn.XLOOKUP($F1994,Clientes!$B$4:$B$39,Clientes!$C$4:$C$39),Cadastros!$L$6:$L$12,Cadastros!$N$6:$N$12)))</f>
        <v/>
      </c>
      <c r="K1994" s="168" t="str">
        <f t="shared" si="404"/>
        <v/>
      </c>
      <c r="L1994" s="168" t="str">
        <f>IFERROR(K1994/_xlfn.XLOOKUP(_xlfn.XLOOKUP($F1994,Clientes!$B$4:$B$39,Clientes!$C$4:$C$39),Cadastros!$L$6:$L$12,Cadastros!$M$6:$M$12)," ")</f>
        <v xml:space="preserve"> </v>
      </c>
      <c r="M1994" s="28"/>
      <c r="N1994" s="28"/>
      <c r="O1994" s="255" t="str">
        <f>IF(M1994="","",(_xlfn.XLOOKUP(M1994,Cadastros!$D$6:$D$90,Cadastros!$E$6:$E$90))*(1-_xlfn.XLOOKUP(_xlfn.XLOOKUP($F1994,Clientes!$B$4:$B$39,Clientes!$C$4:$C$39),Cadastros!$L$6:$L$12,Cadastros!$N$6:$N$12)))</f>
        <v/>
      </c>
      <c r="P1994" s="168" t="str">
        <f t="shared" si="405"/>
        <v/>
      </c>
      <c r="Q1994" s="168" t="str">
        <f>IFERROR(P1994/_xlfn.XLOOKUP(_xlfn.XLOOKUP($F1994,Clientes!$B$4:$B$39,Clientes!$C$4:$C$39),Cadastros!$L$6:$L$12,Cadastros!$M$6:$M$12)," ")</f>
        <v xml:space="preserve"> </v>
      </c>
      <c r="R1994" s="28"/>
      <c r="S1994" s="28"/>
      <c r="T1994" s="255" t="str">
        <f>IF(R1994="","",(_xlfn.XLOOKUP(R1994,Cadastros!$D$6:$D$90,Cadastros!$E$6:$E$90))*(1-_xlfn.XLOOKUP(_xlfn.XLOOKUP($F1994,Clientes!$B$4:$B$39,Clientes!$C$4:$C$39),Cadastros!$L$6:$L$12,Cadastros!$N$6:$N$12)))</f>
        <v/>
      </c>
      <c r="U1994" s="168" t="str">
        <f t="shared" si="406"/>
        <v/>
      </c>
      <c r="V1994" s="168" t="str">
        <f>IFERROR(U1994/_xlfn.XLOOKUP(_xlfn.XLOOKUP($F1994,Clientes!$B$4:$B$39,Clientes!$C$4:$C$39),Cadastros!$L$6:$L$12,Cadastros!$M$6:$M$12)," ")</f>
        <v xml:space="preserve"> </v>
      </c>
      <c r="W1994" s="28"/>
      <c r="X1994" s="28"/>
      <c r="Y1994" s="255" t="str">
        <f>IF(W1994="","",(_xlfn.XLOOKUP(W1994,Cadastros!$D$6:$D$90,Cadastros!$E$6:$E$90))*(1-_xlfn.XLOOKUP(_xlfn.XLOOKUP($F1994,Clientes!$B$4:$B$39,Clientes!$C$4:$C$39),Cadastros!$L$6:$L$12,Cadastros!$N$6:$N$12)))</f>
        <v/>
      </c>
      <c r="Z1994" s="168" t="str">
        <f t="shared" si="407"/>
        <v/>
      </c>
      <c r="AA1994" s="168" t="str">
        <f>IFERROR(Z1994/_xlfn.XLOOKUP(_xlfn.XLOOKUP($F1994,Clientes!$B$4:$B$39,Clientes!$C$4:$C$39),Cadastros!$L$6:$L$12,Cadastros!$M$6:$M$12)," ")</f>
        <v xml:space="preserve"> </v>
      </c>
      <c r="AB1994" s="28"/>
      <c r="AC1994" s="28"/>
      <c r="AD1994" s="20" t="str">
        <f>IF(AB1994="","",IF($F1994="Bernardino Furlan",_xlfn.XLOOKUP(AB1994,Cadastros!$G$6:$G$90,Cadastros!$H$6:$H$90)*(1-0.18),IF($F1994="Mauro José Salanti",_xlfn.XLOOKUP(AB1994,Cadastros!$G$6:$G$90,Cadastros!$H$6:$H$90)*(1-0.18),_xlfn.XLOOKUP(AB1994,Cadastros!$G$6:$G$90,Cadastros!$H$6:$H$90))))</f>
        <v/>
      </c>
      <c r="AE1994" s="168" t="str">
        <f t="shared" si="408"/>
        <v/>
      </c>
      <c r="AF1994" s="168" t="str">
        <f t="shared" si="409"/>
        <v/>
      </c>
      <c r="AG1994" s="28"/>
      <c r="AH1994" s="28"/>
      <c r="AI1994" s="20" t="str">
        <f>IF(AG1994="","",IF($F1994="Bernardino Furlan",_xlfn.XLOOKUP(AG1994,Cadastros!$G$6:$G$90,Cadastros!$H$6:$H$90)*(1-0.18),IF($F1994="Mauro José Salanti",_xlfn.XLOOKUP(AG1994,Cadastros!$G$6:$G$90,Cadastros!$H$6:$H$90)*(1-0.18),_xlfn.XLOOKUP(AG1994,Cadastros!$G$6:$G$90,Cadastros!$H$6:$H$90))))</f>
        <v/>
      </c>
      <c r="AJ1994" s="168" t="str">
        <f t="shared" si="410"/>
        <v/>
      </c>
      <c r="AK1994" s="168" t="str">
        <f t="shared" si="411"/>
        <v/>
      </c>
      <c r="AL1994" s="28"/>
      <c r="AM1994" s="28"/>
      <c r="AN1994" s="20" t="str">
        <f>IF(AL1994="","",IF($F1994="Bernardino Furlan",_xlfn.XLOOKUP(AL1994,Cadastros!$G$6:$G$90,Cadastros!$H$6:$H$90)*(1-0.18),IF($F1994="Mauro José Salanti",_xlfn.XLOOKUP(AL1994,Cadastros!$G$6:$G$90,Cadastros!$H$6:$H$90)*(1-0.18),_xlfn.XLOOKUP(AL1994,Cadastros!$G$6:$G$90,Cadastros!$H$6:$H$90))))</f>
        <v/>
      </c>
      <c r="AO1994" s="168" t="str">
        <f t="shared" si="412"/>
        <v/>
      </c>
      <c r="AP1994" s="168" t="str">
        <f t="shared" si="413"/>
        <v/>
      </c>
      <c r="AQ1994" s="28"/>
      <c r="AR1994" s="28"/>
      <c r="AS1994" s="20" t="str">
        <f>IF(AQ1994="","",IF($F1994="Bernardino Furlan",_xlfn.XLOOKUP(AQ1994,Cadastros!$G$6:$G$90,Cadastros!$H$6:$H$90)*(1-0.18),IF($F1994="Mauro José Salanti",_xlfn.XLOOKUP(AQ1994,Cadastros!$G$6:$G$90,Cadastros!$H$6:$H$90)*(1-0.18),_xlfn.XLOOKUP(AQ1994,Cadastros!$G$6:$G$90,Cadastros!$H$6:$H$90))))</f>
        <v/>
      </c>
      <c r="AT1994" s="168" t="str">
        <f t="shared" si="414"/>
        <v/>
      </c>
      <c r="AU1994" s="168" t="str">
        <f t="shared" si="415"/>
        <v/>
      </c>
      <c r="AV1994" s="227"/>
      <c r="AW1994" s="30"/>
      <c r="AX1994" s="267"/>
      <c r="AY1994" s="267"/>
      <c r="AZ1994" s="29"/>
      <c r="BA1994" s="30"/>
      <c r="BB1994" s="23" t="str" cm="1">
        <f t="array" ref="BB1994">_xlfn.IFS(AW1994="SIM",SUM(K1994,P1994,U1994,Z1994,AE1994,AJ1994,AO1994,AT1994,AX1994,AY1994),F1994&lt;&gt;"",SUM(K1994,P1994,U1994,Z1994,AE1994,AJ1994,,AO1994,AT1994),F1994="","")</f>
        <v/>
      </c>
      <c r="BC1994" s="211" t="str" cm="1">
        <f t="array" ref="BC1994">_xlfn.IFS(E1994="","",G1994&lt;=E1994,BB1994*(1-0.03),G1994&lt;(E1994+8),BB1994,AZ1994="Boleto",BB1994*(1+0.001)^DATEDIF(E1994,G1994,"D"),AZ1994="Cheque",BB1994,AZ1994="Dinheiro","Alterar forma pgto")</f>
        <v/>
      </c>
      <c r="BD1994" s="276" t="str" cm="1">
        <f t="array" ref="BD1994">IF(F1994=0," ",IF(BC1994&lt;BB1994,(_xlfn.IFS(AW1994="SIM",SUM(L1994,Q1994,V1994,AA1994,AF1994,AK1994,AP1994,AU1994)+AX1994/_xlfn.XLOOKUP(_xlfn.XLOOKUP($F1994,Clientes!$B$4:$B$39,Clientes!$C$4:$C$39),Cadastros!$L$6:$L$12,Cadastros!$M$6:$M$12)+IF($F1994="Bernardino Furlan",AY1994/2751.92,IF($F1994="Mauro José Salanti",AY1994/2751.92,AY1994/3356)),F1994&lt;&gt;0,SUM(L1994,Q1994,V1994,AA1994,AF1994,AK1994,AP1994,AU1994)))*(1-0.03),_xlfn.IFS(AW1994="SIM",SUM(L1994,Q1994,V1994,AA1994,AF1994,AK1994,AP1994,AU1994)+AX1994/_xlfn.XLOOKUP(_xlfn.XLOOKUP($F1994,Clientes!$B$4:$B$39,Clientes!$C$4:$C$39),Cadastros!$L$6:$L$12,Cadastros!$M$6:$M$12)+IF($F1994="Bernardino Furlan",AY1994/2751.92,IF($F1994="Mauro José Salanti",AY1994/2751.92,AY1994/3356)),F1994&lt;&gt;0,SUM(L1994,Q1994,V1994,AA1994,AF1994,AK1994,AP1994,AU1994))))</f>
        <v xml:space="preserve"> </v>
      </c>
      <c r="BE1994" s="120"/>
      <c r="BF1994" s="120"/>
      <c r="BG1994" s="120"/>
    </row>
    <row r="1995" spans="1:59" s="3" customFormat="1" x14ac:dyDescent="0.3">
      <c r="A1995" s="15" t="str">
        <f t="shared" si="403"/>
        <v/>
      </c>
      <c r="B1995" s="25"/>
      <c r="C1995" s="26"/>
      <c r="D1995" s="279"/>
      <c r="E1995" s="27"/>
      <c r="F1995" s="28"/>
      <c r="G1995" s="27"/>
      <c r="H1995" s="28"/>
      <c r="I1995" s="28"/>
      <c r="J1995" s="255" t="str">
        <f>IF(H1995="","",(_xlfn.XLOOKUP(H1995,Cadastros!$D$6:$D$90,Cadastros!$E$6:$E$90))*(1-_xlfn.XLOOKUP(_xlfn.XLOOKUP($F1995,Clientes!$B$4:$B$39,Clientes!$C$4:$C$39),Cadastros!$L$6:$L$12,Cadastros!$N$6:$N$12)))</f>
        <v/>
      </c>
      <c r="K1995" s="168" t="str">
        <f t="shared" si="404"/>
        <v/>
      </c>
      <c r="L1995" s="168" t="str">
        <f>IFERROR(K1995/_xlfn.XLOOKUP(_xlfn.XLOOKUP($F1995,Clientes!$B$4:$B$39,Clientes!$C$4:$C$39),Cadastros!$L$6:$L$12,Cadastros!$M$6:$M$12)," ")</f>
        <v xml:space="preserve"> </v>
      </c>
      <c r="M1995" s="28"/>
      <c r="N1995" s="28"/>
      <c r="O1995" s="255" t="str">
        <f>IF(M1995="","",(_xlfn.XLOOKUP(M1995,Cadastros!$D$6:$D$90,Cadastros!$E$6:$E$90))*(1-_xlfn.XLOOKUP(_xlfn.XLOOKUP($F1995,Clientes!$B$4:$B$39,Clientes!$C$4:$C$39),Cadastros!$L$6:$L$12,Cadastros!$N$6:$N$12)))</f>
        <v/>
      </c>
      <c r="P1995" s="168" t="str">
        <f t="shared" si="405"/>
        <v/>
      </c>
      <c r="Q1995" s="168" t="str">
        <f>IFERROR(P1995/_xlfn.XLOOKUP(_xlfn.XLOOKUP($F1995,Clientes!$B$4:$B$39,Clientes!$C$4:$C$39),Cadastros!$L$6:$L$12,Cadastros!$M$6:$M$12)," ")</f>
        <v xml:space="preserve"> </v>
      </c>
      <c r="R1995" s="28"/>
      <c r="S1995" s="28"/>
      <c r="T1995" s="255" t="str">
        <f>IF(R1995="","",(_xlfn.XLOOKUP(R1995,Cadastros!$D$6:$D$90,Cadastros!$E$6:$E$90))*(1-_xlfn.XLOOKUP(_xlfn.XLOOKUP($F1995,Clientes!$B$4:$B$39,Clientes!$C$4:$C$39),Cadastros!$L$6:$L$12,Cadastros!$N$6:$N$12)))</f>
        <v/>
      </c>
      <c r="U1995" s="168" t="str">
        <f t="shared" si="406"/>
        <v/>
      </c>
      <c r="V1995" s="168" t="str">
        <f>IFERROR(U1995/_xlfn.XLOOKUP(_xlfn.XLOOKUP($F1995,Clientes!$B$4:$B$39,Clientes!$C$4:$C$39),Cadastros!$L$6:$L$12,Cadastros!$M$6:$M$12)," ")</f>
        <v xml:space="preserve"> </v>
      </c>
      <c r="W1995" s="28"/>
      <c r="X1995" s="28"/>
      <c r="Y1995" s="255" t="str">
        <f>IF(W1995="","",(_xlfn.XLOOKUP(W1995,Cadastros!$D$6:$D$90,Cadastros!$E$6:$E$90))*(1-_xlfn.XLOOKUP(_xlfn.XLOOKUP($F1995,Clientes!$B$4:$B$39,Clientes!$C$4:$C$39),Cadastros!$L$6:$L$12,Cadastros!$N$6:$N$12)))</f>
        <v/>
      </c>
      <c r="Z1995" s="168" t="str">
        <f t="shared" si="407"/>
        <v/>
      </c>
      <c r="AA1995" s="168" t="str">
        <f>IFERROR(Z1995/_xlfn.XLOOKUP(_xlfn.XLOOKUP($F1995,Clientes!$B$4:$B$39,Clientes!$C$4:$C$39),Cadastros!$L$6:$L$12,Cadastros!$M$6:$M$12)," ")</f>
        <v xml:space="preserve"> </v>
      </c>
      <c r="AB1995" s="28"/>
      <c r="AC1995" s="28"/>
      <c r="AD1995" s="20" t="str">
        <f>IF(AB1995="","",IF($F1995="Bernardino Furlan",_xlfn.XLOOKUP(AB1995,Cadastros!$G$6:$G$90,Cadastros!$H$6:$H$90)*(1-0.18),IF($F1995="Mauro José Salanti",_xlfn.XLOOKUP(AB1995,Cadastros!$G$6:$G$90,Cadastros!$H$6:$H$90)*(1-0.18),_xlfn.XLOOKUP(AB1995,Cadastros!$G$6:$G$90,Cadastros!$H$6:$H$90))))</f>
        <v/>
      </c>
      <c r="AE1995" s="168" t="str">
        <f t="shared" si="408"/>
        <v/>
      </c>
      <c r="AF1995" s="168" t="str">
        <f t="shared" si="409"/>
        <v/>
      </c>
      <c r="AG1995" s="28"/>
      <c r="AH1995" s="28"/>
      <c r="AI1995" s="20" t="str">
        <f>IF(AG1995="","",IF($F1995="Bernardino Furlan",_xlfn.XLOOKUP(AG1995,Cadastros!$G$6:$G$90,Cadastros!$H$6:$H$90)*(1-0.18),IF($F1995="Mauro José Salanti",_xlfn.XLOOKUP(AG1995,Cadastros!$G$6:$G$90,Cadastros!$H$6:$H$90)*(1-0.18),_xlfn.XLOOKUP(AG1995,Cadastros!$G$6:$G$90,Cadastros!$H$6:$H$90))))</f>
        <v/>
      </c>
      <c r="AJ1995" s="168" t="str">
        <f t="shared" si="410"/>
        <v/>
      </c>
      <c r="AK1995" s="168" t="str">
        <f t="shared" si="411"/>
        <v/>
      </c>
      <c r="AL1995" s="28"/>
      <c r="AM1995" s="28"/>
      <c r="AN1995" s="20" t="str">
        <f>IF(AL1995="","",IF($F1995="Bernardino Furlan",_xlfn.XLOOKUP(AL1995,Cadastros!$G$6:$G$90,Cadastros!$H$6:$H$90)*(1-0.18),IF($F1995="Mauro José Salanti",_xlfn.XLOOKUP(AL1995,Cadastros!$G$6:$G$90,Cadastros!$H$6:$H$90)*(1-0.18),_xlfn.XLOOKUP(AL1995,Cadastros!$G$6:$G$90,Cadastros!$H$6:$H$90))))</f>
        <v/>
      </c>
      <c r="AO1995" s="168" t="str">
        <f t="shared" si="412"/>
        <v/>
      </c>
      <c r="AP1995" s="168" t="str">
        <f t="shared" si="413"/>
        <v/>
      </c>
      <c r="AQ1995" s="28"/>
      <c r="AR1995" s="28"/>
      <c r="AS1995" s="20" t="str">
        <f>IF(AQ1995="","",IF($F1995="Bernardino Furlan",_xlfn.XLOOKUP(AQ1995,Cadastros!$G$6:$G$90,Cadastros!$H$6:$H$90)*(1-0.18),IF($F1995="Mauro José Salanti",_xlfn.XLOOKUP(AQ1995,Cadastros!$G$6:$G$90,Cadastros!$H$6:$H$90)*(1-0.18),_xlfn.XLOOKUP(AQ1995,Cadastros!$G$6:$G$90,Cadastros!$H$6:$H$90))))</f>
        <v/>
      </c>
      <c r="AT1995" s="168" t="str">
        <f t="shared" si="414"/>
        <v/>
      </c>
      <c r="AU1995" s="168" t="str">
        <f t="shared" si="415"/>
        <v/>
      </c>
      <c r="AV1995" s="227"/>
      <c r="AW1995" s="30"/>
      <c r="AX1995" s="267"/>
      <c r="AY1995" s="267"/>
      <c r="AZ1995" s="29"/>
      <c r="BA1995" s="30"/>
      <c r="BB1995" s="23" t="str" cm="1">
        <f t="array" ref="BB1995">_xlfn.IFS(AW1995="SIM",SUM(K1995,P1995,U1995,Z1995,AE1995,AJ1995,AO1995,AT1995,AX1995,AY1995),F1995&lt;&gt;"",SUM(K1995,P1995,U1995,Z1995,AE1995,AJ1995,,AO1995,AT1995),F1995="","")</f>
        <v/>
      </c>
      <c r="BC1995" s="211" t="str" cm="1">
        <f t="array" ref="BC1995">_xlfn.IFS(E1995="","",G1995&lt;=E1995,BB1995*(1-0.03),G1995&lt;(E1995+8),BB1995,AZ1995="Boleto",BB1995*(1+0.001)^DATEDIF(E1995,G1995,"D"),AZ1995="Cheque",BB1995,AZ1995="Dinheiro","Alterar forma pgto")</f>
        <v/>
      </c>
      <c r="BD1995" s="276" t="str" cm="1">
        <f t="array" ref="BD1995">IF(F1995=0," ",IF(BC1995&lt;BB1995,(_xlfn.IFS(AW1995="SIM",SUM(L1995,Q1995,V1995,AA1995,AF1995,AK1995,AP1995,AU1995)+AX1995/_xlfn.XLOOKUP(_xlfn.XLOOKUP($F1995,Clientes!$B$4:$B$39,Clientes!$C$4:$C$39),Cadastros!$L$6:$L$12,Cadastros!$M$6:$M$12)+IF($F1995="Bernardino Furlan",AY1995/2751.92,IF($F1995="Mauro José Salanti",AY1995/2751.92,AY1995/3356)),F1995&lt;&gt;0,SUM(L1995,Q1995,V1995,AA1995,AF1995,AK1995,AP1995,AU1995)))*(1-0.03),_xlfn.IFS(AW1995="SIM",SUM(L1995,Q1995,V1995,AA1995,AF1995,AK1995,AP1995,AU1995)+AX1995/_xlfn.XLOOKUP(_xlfn.XLOOKUP($F1995,Clientes!$B$4:$B$39,Clientes!$C$4:$C$39),Cadastros!$L$6:$L$12,Cadastros!$M$6:$M$12)+IF($F1995="Bernardino Furlan",AY1995/2751.92,IF($F1995="Mauro José Salanti",AY1995/2751.92,AY1995/3356)),F1995&lt;&gt;0,SUM(L1995,Q1995,V1995,AA1995,AF1995,AK1995,AP1995,AU1995))))</f>
        <v xml:space="preserve"> </v>
      </c>
      <c r="BE1995" s="120"/>
      <c r="BF1995" s="120"/>
      <c r="BG1995" s="120"/>
    </row>
    <row r="1996" spans="1:59" s="3" customFormat="1" x14ac:dyDescent="0.3">
      <c r="A1996" s="15" t="str">
        <f t="shared" si="403"/>
        <v/>
      </c>
      <c r="B1996" s="25"/>
      <c r="C1996" s="26"/>
      <c r="D1996" s="279"/>
      <c r="E1996" s="27"/>
      <c r="F1996" s="28"/>
      <c r="G1996" s="27"/>
      <c r="H1996" s="28"/>
      <c r="I1996" s="28"/>
      <c r="J1996" s="255" t="str">
        <f>IF(H1996="","",(_xlfn.XLOOKUP(H1996,Cadastros!$D$6:$D$90,Cadastros!$E$6:$E$90))*(1-_xlfn.XLOOKUP(_xlfn.XLOOKUP($F1996,Clientes!$B$4:$B$39,Clientes!$C$4:$C$39),Cadastros!$L$6:$L$12,Cadastros!$N$6:$N$12)))</f>
        <v/>
      </c>
      <c r="K1996" s="168" t="str">
        <f t="shared" si="404"/>
        <v/>
      </c>
      <c r="L1996" s="168" t="str">
        <f>IFERROR(K1996/_xlfn.XLOOKUP(_xlfn.XLOOKUP($F1996,Clientes!$B$4:$B$39,Clientes!$C$4:$C$39),Cadastros!$L$6:$L$12,Cadastros!$M$6:$M$12)," ")</f>
        <v xml:space="preserve"> </v>
      </c>
      <c r="M1996" s="28"/>
      <c r="N1996" s="28"/>
      <c r="O1996" s="255" t="str">
        <f>IF(M1996="","",(_xlfn.XLOOKUP(M1996,Cadastros!$D$6:$D$90,Cadastros!$E$6:$E$90))*(1-_xlfn.XLOOKUP(_xlfn.XLOOKUP($F1996,Clientes!$B$4:$B$39,Clientes!$C$4:$C$39),Cadastros!$L$6:$L$12,Cadastros!$N$6:$N$12)))</f>
        <v/>
      </c>
      <c r="P1996" s="168" t="str">
        <f t="shared" si="405"/>
        <v/>
      </c>
      <c r="Q1996" s="168" t="str">
        <f>IFERROR(P1996/_xlfn.XLOOKUP(_xlfn.XLOOKUP($F1996,Clientes!$B$4:$B$39,Clientes!$C$4:$C$39),Cadastros!$L$6:$L$12,Cadastros!$M$6:$M$12)," ")</f>
        <v xml:space="preserve"> </v>
      </c>
      <c r="R1996" s="28"/>
      <c r="S1996" s="28"/>
      <c r="T1996" s="255" t="str">
        <f>IF(R1996="","",(_xlfn.XLOOKUP(R1996,Cadastros!$D$6:$D$90,Cadastros!$E$6:$E$90))*(1-_xlfn.XLOOKUP(_xlfn.XLOOKUP($F1996,Clientes!$B$4:$B$39,Clientes!$C$4:$C$39),Cadastros!$L$6:$L$12,Cadastros!$N$6:$N$12)))</f>
        <v/>
      </c>
      <c r="U1996" s="168" t="str">
        <f t="shared" si="406"/>
        <v/>
      </c>
      <c r="V1996" s="168" t="str">
        <f>IFERROR(U1996/_xlfn.XLOOKUP(_xlfn.XLOOKUP($F1996,Clientes!$B$4:$B$39,Clientes!$C$4:$C$39),Cadastros!$L$6:$L$12,Cadastros!$M$6:$M$12)," ")</f>
        <v xml:space="preserve"> </v>
      </c>
      <c r="W1996" s="28"/>
      <c r="X1996" s="28"/>
      <c r="Y1996" s="255" t="str">
        <f>IF(W1996="","",(_xlfn.XLOOKUP(W1996,Cadastros!$D$6:$D$90,Cadastros!$E$6:$E$90))*(1-_xlfn.XLOOKUP(_xlfn.XLOOKUP($F1996,Clientes!$B$4:$B$39,Clientes!$C$4:$C$39),Cadastros!$L$6:$L$12,Cadastros!$N$6:$N$12)))</f>
        <v/>
      </c>
      <c r="Z1996" s="168" t="str">
        <f t="shared" si="407"/>
        <v/>
      </c>
      <c r="AA1996" s="168" t="str">
        <f>IFERROR(Z1996/_xlfn.XLOOKUP(_xlfn.XLOOKUP($F1996,Clientes!$B$4:$B$39,Clientes!$C$4:$C$39),Cadastros!$L$6:$L$12,Cadastros!$M$6:$M$12)," ")</f>
        <v xml:space="preserve"> </v>
      </c>
      <c r="AB1996" s="28"/>
      <c r="AC1996" s="28"/>
      <c r="AD1996" s="20" t="str">
        <f>IF(AB1996="","",IF($F1996="Bernardino Furlan",_xlfn.XLOOKUP(AB1996,Cadastros!$G$6:$G$90,Cadastros!$H$6:$H$90)*(1-0.18),IF($F1996="Mauro José Salanti",_xlfn.XLOOKUP(AB1996,Cadastros!$G$6:$G$90,Cadastros!$H$6:$H$90)*(1-0.18),_xlfn.XLOOKUP(AB1996,Cadastros!$G$6:$G$90,Cadastros!$H$6:$H$90))))</f>
        <v/>
      </c>
      <c r="AE1996" s="168" t="str">
        <f t="shared" si="408"/>
        <v/>
      </c>
      <c r="AF1996" s="168" t="str">
        <f t="shared" si="409"/>
        <v/>
      </c>
      <c r="AG1996" s="28"/>
      <c r="AH1996" s="28"/>
      <c r="AI1996" s="20" t="str">
        <f>IF(AG1996="","",IF($F1996="Bernardino Furlan",_xlfn.XLOOKUP(AG1996,Cadastros!$G$6:$G$90,Cadastros!$H$6:$H$90)*(1-0.18),IF($F1996="Mauro José Salanti",_xlfn.XLOOKUP(AG1996,Cadastros!$G$6:$G$90,Cadastros!$H$6:$H$90)*(1-0.18),_xlfn.XLOOKUP(AG1996,Cadastros!$G$6:$G$90,Cadastros!$H$6:$H$90))))</f>
        <v/>
      </c>
      <c r="AJ1996" s="168" t="str">
        <f t="shared" si="410"/>
        <v/>
      </c>
      <c r="AK1996" s="168" t="str">
        <f t="shared" si="411"/>
        <v/>
      </c>
      <c r="AL1996" s="28"/>
      <c r="AM1996" s="28"/>
      <c r="AN1996" s="20" t="str">
        <f>IF(AL1996="","",IF($F1996="Bernardino Furlan",_xlfn.XLOOKUP(AL1996,Cadastros!$G$6:$G$90,Cadastros!$H$6:$H$90)*(1-0.18),IF($F1996="Mauro José Salanti",_xlfn.XLOOKUP(AL1996,Cadastros!$G$6:$G$90,Cadastros!$H$6:$H$90)*(1-0.18),_xlfn.XLOOKUP(AL1996,Cadastros!$G$6:$G$90,Cadastros!$H$6:$H$90))))</f>
        <v/>
      </c>
      <c r="AO1996" s="168" t="str">
        <f t="shared" si="412"/>
        <v/>
      </c>
      <c r="AP1996" s="168" t="str">
        <f t="shared" si="413"/>
        <v/>
      </c>
      <c r="AQ1996" s="28"/>
      <c r="AR1996" s="28"/>
      <c r="AS1996" s="20" t="str">
        <f>IF(AQ1996="","",IF($F1996="Bernardino Furlan",_xlfn.XLOOKUP(AQ1996,Cadastros!$G$6:$G$90,Cadastros!$H$6:$H$90)*(1-0.18),IF($F1996="Mauro José Salanti",_xlfn.XLOOKUP(AQ1996,Cadastros!$G$6:$G$90,Cadastros!$H$6:$H$90)*(1-0.18),_xlfn.XLOOKUP(AQ1996,Cadastros!$G$6:$G$90,Cadastros!$H$6:$H$90))))</f>
        <v/>
      </c>
      <c r="AT1996" s="168" t="str">
        <f t="shared" si="414"/>
        <v/>
      </c>
      <c r="AU1996" s="168" t="str">
        <f t="shared" si="415"/>
        <v/>
      </c>
      <c r="AV1996" s="227"/>
      <c r="AW1996" s="30"/>
      <c r="AX1996" s="267"/>
      <c r="AY1996" s="267"/>
      <c r="AZ1996" s="29"/>
      <c r="BA1996" s="30"/>
      <c r="BB1996" s="23" t="str" cm="1">
        <f t="array" ref="BB1996">_xlfn.IFS(AW1996="SIM",SUM(K1996,P1996,U1996,Z1996,AE1996,AJ1996,AO1996,AT1996,AX1996,AY1996),F1996&lt;&gt;"",SUM(K1996,P1996,U1996,Z1996,AE1996,AJ1996,,AO1996,AT1996),F1996="","")</f>
        <v/>
      </c>
      <c r="BC1996" s="211" t="str" cm="1">
        <f t="array" ref="BC1996">_xlfn.IFS(E1996="","",G1996&lt;=E1996,BB1996*(1-0.03),G1996&lt;(E1996+8),BB1996,AZ1996="Boleto",BB1996*(1+0.001)^DATEDIF(E1996,G1996,"D"),AZ1996="Cheque",BB1996,AZ1996="Dinheiro","Alterar forma pgto")</f>
        <v/>
      </c>
      <c r="BD1996" s="276" t="str" cm="1">
        <f t="array" ref="BD1996">IF(F1996=0," ",IF(BC1996&lt;BB1996,(_xlfn.IFS(AW1996="SIM",SUM(L1996,Q1996,V1996,AA1996,AF1996,AK1996,AP1996,AU1996)+AX1996/_xlfn.XLOOKUP(_xlfn.XLOOKUP($F1996,Clientes!$B$4:$B$39,Clientes!$C$4:$C$39),Cadastros!$L$6:$L$12,Cadastros!$M$6:$M$12)+IF($F1996="Bernardino Furlan",AY1996/2751.92,IF($F1996="Mauro José Salanti",AY1996/2751.92,AY1996/3356)),F1996&lt;&gt;0,SUM(L1996,Q1996,V1996,AA1996,AF1996,AK1996,AP1996,AU1996)))*(1-0.03),_xlfn.IFS(AW1996="SIM",SUM(L1996,Q1996,V1996,AA1996,AF1996,AK1996,AP1996,AU1996)+AX1996/_xlfn.XLOOKUP(_xlfn.XLOOKUP($F1996,Clientes!$B$4:$B$39,Clientes!$C$4:$C$39),Cadastros!$L$6:$L$12,Cadastros!$M$6:$M$12)+IF($F1996="Bernardino Furlan",AY1996/2751.92,IF($F1996="Mauro José Salanti",AY1996/2751.92,AY1996/3356)),F1996&lt;&gt;0,SUM(L1996,Q1996,V1996,AA1996,AF1996,AK1996,AP1996,AU1996))))</f>
        <v xml:space="preserve"> </v>
      </c>
      <c r="BE1996" s="120"/>
      <c r="BF1996" s="120"/>
      <c r="BG1996" s="120"/>
    </row>
    <row r="1997" spans="1:59" s="3" customFormat="1" x14ac:dyDescent="0.3">
      <c r="A1997" s="15" t="str">
        <f t="shared" si="403"/>
        <v/>
      </c>
      <c r="B1997" s="25"/>
      <c r="C1997" s="26"/>
      <c r="D1997" s="279"/>
      <c r="E1997" s="27"/>
      <c r="F1997" s="28"/>
      <c r="G1997" s="27"/>
      <c r="H1997" s="28"/>
      <c r="I1997" s="28"/>
      <c r="J1997" s="255" t="str">
        <f>IF(H1997="","",(_xlfn.XLOOKUP(H1997,Cadastros!$D$6:$D$90,Cadastros!$E$6:$E$90))*(1-_xlfn.XLOOKUP(_xlfn.XLOOKUP($F1997,Clientes!$B$4:$B$39,Clientes!$C$4:$C$39),Cadastros!$L$6:$L$12,Cadastros!$N$6:$N$12)))</f>
        <v/>
      </c>
      <c r="K1997" s="168" t="str">
        <f t="shared" si="404"/>
        <v/>
      </c>
      <c r="L1997" s="168" t="str">
        <f>IFERROR(K1997/_xlfn.XLOOKUP(_xlfn.XLOOKUP($F1997,Clientes!$B$4:$B$39,Clientes!$C$4:$C$39),Cadastros!$L$6:$L$12,Cadastros!$M$6:$M$12)," ")</f>
        <v xml:space="preserve"> </v>
      </c>
      <c r="M1997" s="28"/>
      <c r="N1997" s="28"/>
      <c r="O1997" s="255" t="str">
        <f>IF(M1997="","",(_xlfn.XLOOKUP(M1997,Cadastros!$D$6:$D$90,Cadastros!$E$6:$E$90))*(1-_xlfn.XLOOKUP(_xlfn.XLOOKUP($F1997,Clientes!$B$4:$B$39,Clientes!$C$4:$C$39),Cadastros!$L$6:$L$12,Cadastros!$N$6:$N$12)))</f>
        <v/>
      </c>
      <c r="P1997" s="168" t="str">
        <f t="shared" si="405"/>
        <v/>
      </c>
      <c r="Q1997" s="168" t="str">
        <f>IFERROR(P1997/_xlfn.XLOOKUP(_xlfn.XLOOKUP($F1997,Clientes!$B$4:$B$39,Clientes!$C$4:$C$39),Cadastros!$L$6:$L$12,Cadastros!$M$6:$M$12)," ")</f>
        <v xml:space="preserve"> </v>
      </c>
      <c r="R1997" s="28"/>
      <c r="S1997" s="28"/>
      <c r="T1997" s="255" t="str">
        <f>IF(R1997="","",(_xlfn.XLOOKUP(R1997,Cadastros!$D$6:$D$90,Cadastros!$E$6:$E$90))*(1-_xlfn.XLOOKUP(_xlfn.XLOOKUP($F1997,Clientes!$B$4:$B$39,Clientes!$C$4:$C$39),Cadastros!$L$6:$L$12,Cadastros!$N$6:$N$12)))</f>
        <v/>
      </c>
      <c r="U1997" s="168" t="str">
        <f t="shared" si="406"/>
        <v/>
      </c>
      <c r="V1997" s="168" t="str">
        <f>IFERROR(U1997/_xlfn.XLOOKUP(_xlfn.XLOOKUP($F1997,Clientes!$B$4:$B$39,Clientes!$C$4:$C$39),Cadastros!$L$6:$L$12,Cadastros!$M$6:$M$12)," ")</f>
        <v xml:space="preserve"> </v>
      </c>
      <c r="W1997" s="28"/>
      <c r="X1997" s="28"/>
      <c r="Y1997" s="255" t="str">
        <f>IF(W1997="","",(_xlfn.XLOOKUP(W1997,Cadastros!$D$6:$D$90,Cadastros!$E$6:$E$90))*(1-_xlfn.XLOOKUP(_xlfn.XLOOKUP($F1997,Clientes!$B$4:$B$39,Clientes!$C$4:$C$39),Cadastros!$L$6:$L$12,Cadastros!$N$6:$N$12)))</f>
        <v/>
      </c>
      <c r="Z1997" s="168" t="str">
        <f t="shared" si="407"/>
        <v/>
      </c>
      <c r="AA1997" s="168" t="str">
        <f>IFERROR(Z1997/_xlfn.XLOOKUP(_xlfn.XLOOKUP($F1997,Clientes!$B$4:$B$39,Clientes!$C$4:$C$39),Cadastros!$L$6:$L$12,Cadastros!$M$6:$M$12)," ")</f>
        <v xml:space="preserve"> </v>
      </c>
      <c r="AB1997" s="28"/>
      <c r="AC1997" s="28"/>
      <c r="AD1997" s="20" t="str">
        <f>IF(AB1997="","",IF($F1997="Bernardino Furlan",_xlfn.XLOOKUP(AB1997,Cadastros!$G$6:$G$90,Cadastros!$H$6:$H$90)*(1-0.18),IF($F1997="Mauro José Salanti",_xlfn.XLOOKUP(AB1997,Cadastros!$G$6:$G$90,Cadastros!$H$6:$H$90)*(1-0.18),_xlfn.XLOOKUP(AB1997,Cadastros!$G$6:$G$90,Cadastros!$H$6:$H$90))))</f>
        <v/>
      </c>
      <c r="AE1997" s="168" t="str">
        <f t="shared" si="408"/>
        <v/>
      </c>
      <c r="AF1997" s="168" t="str">
        <f t="shared" si="409"/>
        <v/>
      </c>
      <c r="AG1997" s="28"/>
      <c r="AH1997" s="28"/>
      <c r="AI1997" s="20" t="str">
        <f>IF(AG1997="","",IF($F1997="Bernardino Furlan",_xlfn.XLOOKUP(AG1997,Cadastros!$G$6:$G$90,Cadastros!$H$6:$H$90)*(1-0.18),IF($F1997="Mauro José Salanti",_xlfn.XLOOKUP(AG1997,Cadastros!$G$6:$G$90,Cadastros!$H$6:$H$90)*(1-0.18),_xlfn.XLOOKUP(AG1997,Cadastros!$G$6:$G$90,Cadastros!$H$6:$H$90))))</f>
        <v/>
      </c>
      <c r="AJ1997" s="168" t="str">
        <f t="shared" si="410"/>
        <v/>
      </c>
      <c r="AK1997" s="168" t="str">
        <f t="shared" si="411"/>
        <v/>
      </c>
      <c r="AL1997" s="28"/>
      <c r="AM1997" s="28"/>
      <c r="AN1997" s="20" t="str">
        <f>IF(AL1997="","",IF($F1997="Bernardino Furlan",_xlfn.XLOOKUP(AL1997,Cadastros!$G$6:$G$90,Cadastros!$H$6:$H$90)*(1-0.18),IF($F1997="Mauro José Salanti",_xlfn.XLOOKUP(AL1997,Cadastros!$G$6:$G$90,Cadastros!$H$6:$H$90)*(1-0.18),_xlfn.XLOOKUP(AL1997,Cadastros!$G$6:$G$90,Cadastros!$H$6:$H$90))))</f>
        <v/>
      </c>
      <c r="AO1997" s="168" t="str">
        <f t="shared" si="412"/>
        <v/>
      </c>
      <c r="AP1997" s="168" t="str">
        <f t="shared" si="413"/>
        <v/>
      </c>
      <c r="AQ1997" s="28"/>
      <c r="AR1997" s="28"/>
      <c r="AS1997" s="20" t="str">
        <f>IF(AQ1997="","",IF($F1997="Bernardino Furlan",_xlfn.XLOOKUP(AQ1997,Cadastros!$G$6:$G$90,Cadastros!$H$6:$H$90)*(1-0.18),IF($F1997="Mauro José Salanti",_xlfn.XLOOKUP(AQ1997,Cadastros!$G$6:$G$90,Cadastros!$H$6:$H$90)*(1-0.18),_xlfn.XLOOKUP(AQ1997,Cadastros!$G$6:$G$90,Cadastros!$H$6:$H$90))))</f>
        <v/>
      </c>
      <c r="AT1997" s="168" t="str">
        <f t="shared" si="414"/>
        <v/>
      </c>
      <c r="AU1997" s="168" t="str">
        <f t="shared" si="415"/>
        <v/>
      </c>
      <c r="AV1997" s="227"/>
      <c r="AW1997" s="30"/>
      <c r="AX1997" s="267"/>
      <c r="AY1997" s="267"/>
      <c r="AZ1997" s="29"/>
      <c r="BA1997" s="30"/>
      <c r="BB1997" s="23" t="str" cm="1">
        <f t="array" ref="BB1997">_xlfn.IFS(AW1997="SIM",SUM(K1997,P1997,U1997,Z1997,AE1997,AJ1997,AO1997,AT1997,AX1997,AY1997),F1997&lt;&gt;"",SUM(K1997,P1997,U1997,Z1997,AE1997,AJ1997,,AO1997,AT1997),F1997="","")</f>
        <v/>
      </c>
      <c r="BC1997" s="211" t="str" cm="1">
        <f t="array" ref="BC1997">_xlfn.IFS(E1997="","",G1997&lt;=E1997,BB1997*(1-0.03),G1997&lt;(E1997+8),BB1997,AZ1997="Boleto",BB1997*(1+0.001)^DATEDIF(E1997,G1997,"D"),AZ1997="Cheque",BB1997,AZ1997="Dinheiro","Alterar forma pgto")</f>
        <v/>
      </c>
      <c r="BD1997" s="276" t="str" cm="1">
        <f t="array" ref="BD1997">IF(F1997=0," ",IF(BC1997&lt;BB1997,(_xlfn.IFS(AW1997="SIM",SUM(L1997,Q1997,V1997,AA1997,AF1997,AK1997,AP1997,AU1997)+AX1997/_xlfn.XLOOKUP(_xlfn.XLOOKUP($F1997,Clientes!$B$4:$B$39,Clientes!$C$4:$C$39),Cadastros!$L$6:$L$12,Cadastros!$M$6:$M$12)+IF($F1997="Bernardino Furlan",AY1997/2751.92,IF($F1997="Mauro José Salanti",AY1997/2751.92,AY1997/3356)),F1997&lt;&gt;0,SUM(L1997,Q1997,V1997,AA1997,AF1997,AK1997,AP1997,AU1997)))*(1-0.03),_xlfn.IFS(AW1997="SIM",SUM(L1997,Q1997,V1997,AA1997,AF1997,AK1997,AP1997,AU1997)+AX1997/_xlfn.XLOOKUP(_xlfn.XLOOKUP($F1997,Clientes!$B$4:$B$39,Clientes!$C$4:$C$39),Cadastros!$L$6:$L$12,Cadastros!$M$6:$M$12)+IF($F1997="Bernardino Furlan",AY1997/2751.92,IF($F1997="Mauro José Salanti",AY1997/2751.92,AY1997/3356)),F1997&lt;&gt;0,SUM(L1997,Q1997,V1997,AA1997,AF1997,AK1997,AP1997,AU1997))))</f>
        <v xml:space="preserve"> </v>
      </c>
      <c r="BE1997" s="120"/>
      <c r="BF1997" s="120"/>
      <c r="BG1997" s="120"/>
    </row>
    <row r="1998" spans="1:59" s="3" customFormat="1" x14ac:dyDescent="0.3">
      <c r="A1998" s="15" t="str">
        <f t="shared" si="403"/>
        <v/>
      </c>
      <c r="B1998" s="25"/>
      <c r="C1998" s="26"/>
      <c r="D1998" s="279"/>
      <c r="E1998" s="27"/>
      <c r="F1998" s="28"/>
      <c r="G1998" s="27"/>
      <c r="H1998" s="28"/>
      <c r="I1998" s="28"/>
      <c r="J1998" s="255" t="str">
        <f>IF(H1998="","",(_xlfn.XLOOKUP(H1998,Cadastros!$D$6:$D$90,Cadastros!$E$6:$E$90))*(1-_xlfn.XLOOKUP(_xlfn.XLOOKUP($F1998,Clientes!$B$4:$B$39,Clientes!$C$4:$C$39),Cadastros!$L$6:$L$12,Cadastros!$N$6:$N$12)))</f>
        <v/>
      </c>
      <c r="K1998" s="168" t="str">
        <f t="shared" si="404"/>
        <v/>
      </c>
      <c r="L1998" s="168" t="str">
        <f>IFERROR(K1998/_xlfn.XLOOKUP(_xlfn.XLOOKUP($F1998,Clientes!$B$4:$B$39,Clientes!$C$4:$C$39),Cadastros!$L$6:$L$12,Cadastros!$M$6:$M$12)," ")</f>
        <v xml:space="preserve"> </v>
      </c>
      <c r="M1998" s="28"/>
      <c r="N1998" s="28"/>
      <c r="O1998" s="255" t="str">
        <f>IF(M1998="","",(_xlfn.XLOOKUP(M1998,Cadastros!$D$6:$D$90,Cadastros!$E$6:$E$90))*(1-_xlfn.XLOOKUP(_xlfn.XLOOKUP($F1998,Clientes!$B$4:$B$39,Clientes!$C$4:$C$39),Cadastros!$L$6:$L$12,Cadastros!$N$6:$N$12)))</f>
        <v/>
      </c>
      <c r="P1998" s="168" t="str">
        <f t="shared" si="405"/>
        <v/>
      </c>
      <c r="Q1998" s="168" t="str">
        <f>IFERROR(P1998/_xlfn.XLOOKUP(_xlfn.XLOOKUP($F1998,Clientes!$B$4:$B$39,Clientes!$C$4:$C$39),Cadastros!$L$6:$L$12,Cadastros!$M$6:$M$12)," ")</f>
        <v xml:space="preserve"> </v>
      </c>
      <c r="R1998" s="28"/>
      <c r="S1998" s="28"/>
      <c r="T1998" s="255" t="str">
        <f>IF(R1998="","",(_xlfn.XLOOKUP(R1998,Cadastros!$D$6:$D$90,Cadastros!$E$6:$E$90))*(1-_xlfn.XLOOKUP(_xlfn.XLOOKUP($F1998,Clientes!$B$4:$B$39,Clientes!$C$4:$C$39),Cadastros!$L$6:$L$12,Cadastros!$N$6:$N$12)))</f>
        <v/>
      </c>
      <c r="U1998" s="168" t="str">
        <f t="shared" si="406"/>
        <v/>
      </c>
      <c r="V1998" s="168" t="str">
        <f>IFERROR(U1998/_xlfn.XLOOKUP(_xlfn.XLOOKUP($F1998,Clientes!$B$4:$B$39,Clientes!$C$4:$C$39),Cadastros!$L$6:$L$12,Cadastros!$M$6:$M$12)," ")</f>
        <v xml:space="preserve"> </v>
      </c>
      <c r="W1998" s="28"/>
      <c r="X1998" s="28"/>
      <c r="Y1998" s="255" t="str">
        <f>IF(W1998="","",(_xlfn.XLOOKUP(W1998,Cadastros!$D$6:$D$90,Cadastros!$E$6:$E$90))*(1-_xlfn.XLOOKUP(_xlfn.XLOOKUP($F1998,Clientes!$B$4:$B$39,Clientes!$C$4:$C$39),Cadastros!$L$6:$L$12,Cadastros!$N$6:$N$12)))</f>
        <v/>
      </c>
      <c r="Z1998" s="168" t="str">
        <f t="shared" si="407"/>
        <v/>
      </c>
      <c r="AA1998" s="168" t="str">
        <f>IFERROR(Z1998/_xlfn.XLOOKUP(_xlfn.XLOOKUP($F1998,Clientes!$B$4:$B$39,Clientes!$C$4:$C$39),Cadastros!$L$6:$L$12,Cadastros!$M$6:$M$12)," ")</f>
        <v xml:space="preserve"> </v>
      </c>
      <c r="AB1998" s="28"/>
      <c r="AC1998" s="28"/>
      <c r="AD1998" s="20" t="str">
        <f>IF(AB1998="","",IF($F1998="Bernardino Furlan",_xlfn.XLOOKUP(AB1998,Cadastros!$G$6:$G$90,Cadastros!$H$6:$H$90)*(1-0.18),IF($F1998="Mauro José Salanti",_xlfn.XLOOKUP(AB1998,Cadastros!$G$6:$G$90,Cadastros!$H$6:$H$90)*(1-0.18),_xlfn.XLOOKUP(AB1998,Cadastros!$G$6:$G$90,Cadastros!$H$6:$H$90))))</f>
        <v/>
      </c>
      <c r="AE1998" s="168" t="str">
        <f t="shared" si="408"/>
        <v/>
      </c>
      <c r="AF1998" s="168" t="str">
        <f t="shared" si="409"/>
        <v/>
      </c>
      <c r="AG1998" s="28"/>
      <c r="AH1998" s="28"/>
      <c r="AI1998" s="20" t="str">
        <f>IF(AG1998="","",IF($F1998="Bernardino Furlan",_xlfn.XLOOKUP(AG1998,Cadastros!$G$6:$G$90,Cadastros!$H$6:$H$90)*(1-0.18),IF($F1998="Mauro José Salanti",_xlfn.XLOOKUP(AG1998,Cadastros!$G$6:$G$90,Cadastros!$H$6:$H$90)*(1-0.18),_xlfn.XLOOKUP(AG1998,Cadastros!$G$6:$G$90,Cadastros!$H$6:$H$90))))</f>
        <v/>
      </c>
      <c r="AJ1998" s="168" t="str">
        <f t="shared" si="410"/>
        <v/>
      </c>
      <c r="AK1998" s="168" t="str">
        <f t="shared" si="411"/>
        <v/>
      </c>
      <c r="AL1998" s="28"/>
      <c r="AM1998" s="28"/>
      <c r="AN1998" s="20" t="str">
        <f>IF(AL1998="","",IF($F1998="Bernardino Furlan",_xlfn.XLOOKUP(AL1998,Cadastros!$G$6:$G$90,Cadastros!$H$6:$H$90)*(1-0.18),IF($F1998="Mauro José Salanti",_xlfn.XLOOKUP(AL1998,Cadastros!$G$6:$G$90,Cadastros!$H$6:$H$90)*(1-0.18),_xlfn.XLOOKUP(AL1998,Cadastros!$G$6:$G$90,Cadastros!$H$6:$H$90))))</f>
        <v/>
      </c>
      <c r="AO1998" s="168" t="str">
        <f t="shared" si="412"/>
        <v/>
      </c>
      <c r="AP1998" s="168" t="str">
        <f t="shared" si="413"/>
        <v/>
      </c>
      <c r="AQ1998" s="28"/>
      <c r="AR1998" s="28"/>
      <c r="AS1998" s="20" t="str">
        <f>IF(AQ1998="","",IF($F1998="Bernardino Furlan",_xlfn.XLOOKUP(AQ1998,Cadastros!$G$6:$G$90,Cadastros!$H$6:$H$90)*(1-0.18),IF($F1998="Mauro José Salanti",_xlfn.XLOOKUP(AQ1998,Cadastros!$G$6:$G$90,Cadastros!$H$6:$H$90)*(1-0.18),_xlfn.XLOOKUP(AQ1998,Cadastros!$G$6:$G$90,Cadastros!$H$6:$H$90))))</f>
        <v/>
      </c>
      <c r="AT1998" s="168" t="str">
        <f t="shared" si="414"/>
        <v/>
      </c>
      <c r="AU1998" s="168" t="str">
        <f t="shared" si="415"/>
        <v/>
      </c>
      <c r="AV1998" s="227"/>
      <c r="AW1998" s="30"/>
      <c r="AX1998" s="267"/>
      <c r="AY1998" s="267"/>
      <c r="AZ1998" s="29"/>
      <c r="BA1998" s="30"/>
      <c r="BB1998" s="23" t="str" cm="1">
        <f t="array" ref="BB1998">_xlfn.IFS(AW1998="SIM",SUM(K1998,P1998,U1998,Z1998,AE1998,AJ1998,AO1998,AT1998,AX1998,AY1998),F1998&lt;&gt;"",SUM(K1998,P1998,U1998,Z1998,AE1998,AJ1998,,AO1998,AT1998),F1998="","")</f>
        <v/>
      </c>
      <c r="BC1998" s="211" t="str" cm="1">
        <f t="array" ref="BC1998">_xlfn.IFS(E1998="","",G1998&lt;=E1998,BB1998*(1-0.03),G1998&lt;(E1998+8),BB1998,AZ1998="Boleto",BB1998*(1+0.001)^DATEDIF(E1998,G1998,"D"),AZ1998="Cheque",BB1998,AZ1998="Dinheiro","Alterar forma pgto")</f>
        <v/>
      </c>
      <c r="BD1998" s="276" t="str" cm="1">
        <f t="array" ref="BD1998">IF(F1998=0," ",IF(BC1998&lt;BB1998,(_xlfn.IFS(AW1998="SIM",SUM(L1998,Q1998,V1998,AA1998,AF1998,AK1998,AP1998,AU1998)+AX1998/_xlfn.XLOOKUP(_xlfn.XLOOKUP($F1998,Clientes!$B$4:$B$39,Clientes!$C$4:$C$39),Cadastros!$L$6:$L$12,Cadastros!$M$6:$M$12)+IF($F1998="Bernardino Furlan",AY1998/2751.92,IF($F1998="Mauro José Salanti",AY1998/2751.92,AY1998/3356)),F1998&lt;&gt;0,SUM(L1998,Q1998,V1998,AA1998,AF1998,AK1998,AP1998,AU1998)))*(1-0.03),_xlfn.IFS(AW1998="SIM",SUM(L1998,Q1998,V1998,AA1998,AF1998,AK1998,AP1998,AU1998)+AX1998/_xlfn.XLOOKUP(_xlfn.XLOOKUP($F1998,Clientes!$B$4:$B$39,Clientes!$C$4:$C$39),Cadastros!$L$6:$L$12,Cadastros!$M$6:$M$12)+IF($F1998="Bernardino Furlan",AY1998/2751.92,IF($F1998="Mauro José Salanti",AY1998/2751.92,AY1998/3356)),F1998&lt;&gt;0,SUM(L1998,Q1998,V1998,AA1998,AF1998,AK1998,AP1998,AU1998))))</f>
        <v xml:space="preserve"> </v>
      </c>
      <c r="BE1998" s="120"/>
      <c r="BF1998" s="120"/>
      <c r="BG1998" s="120"/>
    </row>
    <row r="1999" spans="1:59" s="3" customFormat="1" x14ac:dyDescent="0.3">
      <c r="A1999" s="15" t="str">
        <f t="shared" si="403"/>
        <v/>
      </c>
      <c r="B1999" s="25"/>
      <c r="C1999" s="26"/>
      <c r="D1999" s="279"/>
      <c r="E1999" s="27"/>
      <c r="F1999" s="28"/>
      <c r="G1999" s="27"/>
      <c r="H1999" s="28"/>
      <c r="I1999" s="28"/>
      <c r="J1999" s="255" t="str">
        <f>IF(H1999="","",(_xlfn.XLOOKUP(H1999,Cadastros!$D$6:$D$90,Cadastros!$E$6:$E$90))*(1-_xlfn.XLOOKUP(_xlfn.XLOOKUP($F1999,Clientes!$B$4:$B$39,Clientes!$C$4:$C$39),Cadastros!$L$6:$L$12,Cadastros!$N$6:$N$12)))</f>
        <v/>
      </c>
      <c r="K1999" s="168" t="str">
        <f t="shared" si="404"/>
        <v/>
      </c>
      <c r="L1999" s="168" t="str">
        <f>IFERROR(K1999/_xlfn.XLOOKUP(_xlfn.XLOOKUP($F1999,Clientes!$B$4:$B$39,Clientes!$C$4:$C$39),Cadastros!$L$6:$L$12,Cadastros!$M$6:$M$12)," ")</f>
        <v xml:space="preserve"> </v>
      </c>
      <c r="M1999" s="28"/>
      <c r="N1999" s="28"/>
      <c r="O1999" s="255" t="str">
        <f>IF(M1999="","",(_xlfn.XLOOKUP(M1999,Cadastros!$D$6:$D$90,Cadastros!$E$6:$E$90))*(1-_xlfn.XLOOKUP(_xlfn.XLOOKUP($F1999,Clientes!$B$4:$B$39,Clientes!$C$4:$C$39),Cadastros!$L$6:$L$12,Cadastros!$N$6:$N$12)))</f>
        <v/>
      </c>
      <c r="P1999" s="168" t="str">
        <f t="shared" si="405"/>
        <v/>
      </c>
      <c r="Q1999" s="168" t="str">
        <f>IFERROR(P1999/_xlfn.XLOOKUP(_xlfn.XLOOKUP($F1999,Clientes!$B$4:$B$39,Clientes!$C$4:$C$39),Cadastros!$L$6:$L$12,Cadastros!$M$6:$M$12)," ")</f>
        <v xml:space="preserve"> </v>
      </c>
      <c r="R1999" s="28"/>
      <c r="S1999" s="28"/>
      <c r="T1999" s="255" t="str">
        <f>IF(R1999="","",(_xlfn.XLOOKUP(R1999,Cadastros!$D$6:$D$90,Cadastros!$E$6:$E$90))*(1-_xlfn.XLOOKUP(_xlfn.XLOOKUP($F1999,Clientes!$B$4:$B$39,Clientes!$C$4:$C$39),Cadastros!$L$6:$L$12,Cadastros!$N$6:$N$12)))</f>
        <v/>
      </c>
      <c r="U1999" s="168" t="str">
        <f t="shared" si="406"/>
        <v/>
      </c>
      <c r="V1999" s="168" t="str">
        <f>IFERROR(U1999/_xlfn.XLOOKUP(_xlfn.XLOOKUP($F1999,Clientes!$B$4:$B$39,Clientes!$C$4:$C$39),Cadastros!$L$6:$L$12,Cadastros!$M$6:$M$12)," ")</f>
        <v xml:space="preserve"> </v>
      </c>
      <c r="W1999" s="28"/>
      <c r="X1999" s="28"/>
      <c r="Y1999" s="255" t="str">
        <f>IF(W1999="","",(_xlfn.XLOOKUP(W1999,Cadastros!$D$6:$D$90,Cadastros!$E$6:$E$90))*(1-_xlfn.XLOOKUP(_xlfn.XLOOKUP($F1999,Clientes!$B$4:$B$39,Clientes!$C$4:$C$39),Cadastros!$L$6:$L$12,Cadastros!$N$6:$N$12)))</f>
        <v/>
      </c>
      <c r="Z1999" s="168" t="str">
        <f t="shared" si="407"/>
        <v/>
      </c>
      <c r="AA1999" s="168" t="str">
        <f>IFERROR(Z1999/_xlfn.XLOOKUP(_xlfn.XLOOKUP($F1999,Clientes!$B$4:$B$39,Clientes!$C$4:$C$39),Cadastros!$L$6:$L$12,Cadastros!$M$6:$M$12)," ")</f>
        <v xml:space="preserve"> </v>
      </c>
      <c r="AB1999" s="28"/>
      <c r="AC1999" s="28"/>
      <c r="AD1999" s="20" t="str">
        <f>IF(AB1999="","",IF($F1999="Bernardino Furlan",_xlfn.XLOOKUP(AB1999,Cadastros!$G$6:$G$90,Cadastros!$H$6:$H$90)*(1-0.18),IF($F1999="Mauro José Salanti",_xlfn.XLOOKUP(AB1999,Cadastros!$G$6:$G$90,Cadastros!$H$6:$H$90)*(1-0.18),_xlfn.XLOOKUP(AB1999,Cadastros!$G$6:$G$90,Cadastros!$H$6:$H$90))))</f>
        <v/>
      </c>
      <c r="AE1999" s="168" t="str">
        <f t="shared" si="408"/>
        <v/>
      </c>
      <c r="AF1999" s="168" t="str">
        <f t="shared" si="409"/>
        <v/>
      </c>
      <c r="AG1999" s="28"/>
      <c r="AH1999" s="28"/>
      <c r="AI1999" s="20" t="str">
        <f>IF(AG1999="","",IF($F1999="Bernardino Furlan",_xlfn.XLOOKUP(AG1999,Cadastros!$G$6:$G$90,Cadastros!$H$6:$H$90)*(1-0.18),IF($F1999="Mauro José Salanti",_xlfn.XLOOKUP(AG1999,Cadastros!$G$6:$G$90,Cadastros!$H$6:$H$90)*(1-0.18),_xlfn.XLOOKUP(AG1999,Cadastros!$G$6:$G$90,Cadastros!$H$6:$H$90))))</f>
        <v/>
      </c>
      <c r="AJ1999" s="168" t="str">
        <f t="shared" si="410"/>
        <v/>
      </c>
      <c r="AK1999" s="168" t="str">
        <f t="shared" si="411"/>
        <v/>
      </c>
      <c r="AL1999" s="28"/>
      <c r="AM1999" s="28"/>
      <c r="AN1999" s="20" t="str">
        <f>IF(AL1999="","",IF($F1999="Bernardino Furlan",_xlfn.XLOOKUP(AL1999,Cadastros!$G$6:$G$90,Cadastros!$H$6:$H$90)*(1-0.18),IF($F1999="Mauro José Salanti",_xlfn.XLOOKUP(AL1999,Cadastros!$G$6:$G$90,Cadastros!$H$6:$H$90)*(1-0.18),_xlfn.XLOOKUP(AL1999,Cadastros!$G$6:$G$90,Cadastros!$H$6:$H$90))))</f>
        <v/>
      </c>
      <c r="AO1999" s="168" t="str">
        <f t="shared" si="412"/>
        <v/>
      </c>
      <c r="AP1999" s="168" t="str">
        <f t="shared" si="413"/>
        <v/>
      </c>
      <c r="AQ1999" s="28"/>
      <c r="AR1999" s="28"/>
      <c r="AS1999" s="20" t="str">
        <f>IF(AQ1999="","",IF($F1999="Bernardino Furlan",_xlfn.XLOOKUP(AQ1999,Cadastros!$G$6:$G$90,Cadastros!$H$6:$H$90)*(1-0.18),IF($F1999="Mauro José Salanti",_xlfn.XLOOKUP(AQ1999,Cadastros!$G$6:$G$90,Cadastros!$H$6:$H$90)*(1-0.18),_xlfn.XLOOKUP(AQ1999,Cadastros!$G$6:$G$90,Cadastros!$H$6:$H$90))))</f>
        <v/>
      </c>
      <c r="AT1999" s="168" t="str">
        <f t="shared" si="414"/>
        <v/>
      </c>
      <c r="AU1999" s="168" t="str">
        <f t="shared" si="415"/>
        <v/>
      </c>
      <c r="AV1999" s="227"/>
      <c r="AW1999" s="30"/>
      <c r="AX1999" s="267"/>
      <c r="AY1999" s="267"/>
      <c r="AZ1999" s="29"/>
      <c r="BA1999" s="30"/>
      <c r="BB1999" s="23" t="str" cm="1">
        <f t="array" ref="BB1999">_xlfn.IFS(AW1999="SIM",SUM(K1999,P1999,U1999,Z1999,AE1999,AJ1999,AO1999,AT1999,AX1999,AY1999),F1999&lt;&gt;"",SUM(K1999,P1999,U1999,Z1999,AE1999,AJ1999,,AO1999,AT1999),F1999="","")</f>
        <v/>
      </c>
      <c r="BC1999" s="211" t="str" cm="1">
        <f t="array" ref="BC1999">_xlfn.IFS(E1999="","",G1999&lt;=E1999,BB1999*(1-0.03),G1999&lt;(E1999+8),BB1999,AZ1999="Boleto",BB1999*(1+0.001)^DATEDIF(E1999,G1999,"D"),AZ1999="Cheque",BB1999,AZ1999="Dinheiro","Alterar forma pgto")</f>
        <v/>
      </c>
      <c r="BD1999" s="276" t="str" cm="1">
        <f t="array" ref="BD1999">IF(F1999=0," ",IF(BC1999&lt;BB1999,(_xlfn.IFS(AW1999="SIM",SUM(L1999,Q1999,V1999,AA1999,AF1999,AK1999,AP1999,AU1999)+AX1999/_xlfn.XLOOKUP(_xlfn.XLOOKUP($F1999,Clientes!$B$4:$B$39,Clientes!$C$4:$C$39),Cadastros!$L$6:$L$12,Cadastros!$M$6:$M$12)+IF($F1999="Bernardino Furlan",AY1999/2751.92,IF($F1999="Mauro José Salanti",AY1999/2751.92,AY1999/3356)),F1999&lt;&gt;0,SUM(L1999,Q1999,V1999,AA1999,AF1999,AK1999,AP1999,AU1999)))*(1-0.03),_xlfn.IFS(AW1999="SIM",SUM(L1999,Q1999,V1999,AA1999,AF1999,AK1999,AP1999,AU1999)+AX1999/_xlfn.XLOOKUP(_xlfn.XLOOKUP($F1999,Clientes!$B$4:$B$39,Clientes!$C$4:$C$39),Cadastros!$L$6:$L$12,Cadastros!$M$6:$M$12)+IF($F1999="Bernardino Furlan",AY1999/2751.92,IF($F1999="Mauro José Salanti",AY1999/2751.92,AY1999/3356)),F1999&lt;&gt;0,SUM(L1999,Q1999,V1999,AA1999,AF1999,AK1999,AP1999,AU1999))))</f>
        <v xml:space="preserve"> </v>
      </c>
      <c r="BE1999" s="120"/>
      <c r="BF1999" s="120"/>
      <c r="BG1999" s="120"/>
    </row>
    <row r="2000" spans="1:59" s="3" customFormat="1" x14ac:dyDescent="0.3">
      <c r="A2000" s="15" t="str">
        <f t="shared" si="403"/>
        <v/>
      </c>
      <c r="B2000" s="25"/>
      <c r="C2000" s="26"/>
      <c r="D2000" s="279"/>
      <c r="E2000" s="27"/>
      <c r="F2000" s="28"/>
      <c r="G2000" s="27"/>
      <c r="H2000" s="28"/>
      <c r="I2000" s="28"/>
      <c r="J2000" s="255" t="str">
        <f>IF(H2000="","",(_xlfn.XLOOKUP(H2000,Cadastros!$D$6:$D$90,Cadastros!$E$6:$E$90))*(1-_xlfn.XLOOKUP(_xlfn.XLOOKUP($F2000,Clientes!$B$4:$B$39,Clientes!$C$4:$C$39),Cadastros!$L$6:$L$12,Cadastros!$N$6:$N$12)))</f>
        <v/>
      </c>
      <c r="K2000" s="168" t="str">
        <f t="shared" si="404"/>
        <v/>
      </c>
      <c r="L2000" s="168" t="str">
        <f>IFERROR(K2000/_xlfn.XLOOKUP(_xlfn.XLOOKUP($F2000,Clientes!$B$4:$B$39,Clientes!$C$4:$C$39),Cadastros!$L$6:$L$12,Cadastros!$M$6:$M$12)," ")</f>
        <v xml:space="preserve"> </v>
      </c>
      <c r="M2000" s="28"/>
      <c r="N2000" s="28"/>
      <c r="O2000" s="255" t="str">
        <f>IF(M2000="","",(_xlfn.XLOOKUP(M2000,Cadastros!$D$6:$D$90,Cadastros!$E$6:$E$90))*(1-_xlfn.XLOOKUP(_xlfn.XLOOKUP($F2000,Clientes!$B$4:$B$39,Clientes!$C$4:$C$39),Cadastros!$L$6:$L$12,Cadastros!$N$6:$N$12)))</f>
        <v/>
      </c>
      <c r="P2000" s="168" t="str">
        <f t="shared" si="405"/>
        <v/>
      </c>
      <c r="Q2000" s="168" t="str">
        <f>IFERROR(P2000/_xlfn.XLOOKUP(_xlfn.XLOOKUP($F2000,Clientes!$B$4:$B$39,Clientes!$C$4:$C$39),Cadastros!$L$6:$L$12,Cadastros!$M$6:$M$12)," ")</f>
        <v xml:space="preserve"> </v>
      </c>
      <c r="R2000" s="28"/>
      <c r="S2000" s="28"/>
      <c r="T2000" s="255" t="str">
        <f>IF(R2000="","",(_xlfn.XLOOKUP(R2000,Cadastros!$D$6:$D$90,Cadastros!$E$6:$E$90))*(1-_xlfn.XLOOKUP(_xlfn.XLOOKUP($F2000,Clientes!$B$4:$B$39,Clientes!$C$4:$C$39),Cadastros!$L$6:$L$12,Cadastros!$N$6:$N$12)))</f>
        <v/>
      </c>
      <c r="U2000" s="168" t="str">
        <f t="shared" si="406"/>
        <v/>
      </c>
      <c r="V2000" s="168" t="str">
        <f>IFERROR(U2000/_xlfn.XLOOKUP(_xlfn.XLOOKUP($F2000,Clientes!$B$4:$B$39,Clientes!$C$4:$C$39),Cadastros!$L$6:$L$12,Cadastros!$M$6:$M$12)," ")</f>
        <v xml:space="preserve"> </v>
      </c>
      <c r="W2000" s="28"/>
      <c r="X2000" s="28"/>
      <c r="Y2000" s="255" t="str">
        <f>IF(W2000="","",(_xlfn.XLOOKUP(W2000,Cadastros!$D$6:$D$90,Cadastros!$E$6:$E$90))*(1-_xlfn.XLOOKUP(_xlfn.XLOOKUP($F2000,Clientes!$B$4:$B$39,Clientes!$C$4:$C$39),Cadastros!$L$6:$L$12,Cadastros!$N$6:$N$12)))</f>
        <v/>
      </c>
      <c r="Z2000" s="168" t="str">
        <f t="shared" si="407"/>
        <v/>
      </c>
      <c r="AA2000" s="168" t="str">
        <f>IFERROR(Z2000/_xlfn.XLOOKUP(_xlfn.XLOOKUP($F2000,Clientes!$B$4:$B$39,Clientes!$C$4:$C$39),Cadastros!$L$6:$L$12,Cadastros!$M$6:$M$12)," ")</f>
        <v xml:space="preserve"> </v>
      </c>
      <c r="AB2000" s="28"/>
      <c r="AC2000" s="28"/>
      <c r="AD2000" s="20" t="str">
        <f>IF(AB2000="","",IF($F2000="Bernardino Furlan",_xlfn.XLOOKUP(AB2000,Cadastros!$G$6:$G$90,Cadastros!$H$6:$H$90)*(1-0.18),IF($F2000="Mauro José Salanti",_xlfn.XLOOKUP(AB2000,Cadastros!$G$6:$G$90,Cadastros!$H$6:$H$90)*(1-0.18),_xlfn.XLOOKUP(AB2000,Cadastros!$G$6:$G$90,Cadastros!$H$6:$H$90))))</f>
        <v/>
      </c>
      <c r="AE2000" s="168" t="str">
        <f t="shared" si="408"/>
        <v/>
      </c>
      <c r="AF2000" s="168" t="str">
        <f t="shared" si="409"/>
        <v/>
      </c>
      <c r="AG2000" s="28"/>
      <c r="AH2000" s="28"/>
      <c r="AI2000" s="20" t="str">
        <f>IF(AG2000="","",IF($F2000="Bernardino Furlan",_xlfn.XLOOKUP(AG2000,Cadastros!$G$6:$G$90,Cadastros!$H$6:$H$90)*(1-0.18),IF($F2000="Mauro José Salanti",_xlfn.XLOOKUP(AG2000,Cadastros!$G$6:$G$90,Cadastros!$H$6:$H$90)*(1-0.18),_xlfn.XLOOKUP(AG2000,Cadastros!$G$6:$G$90,Cadastros!$H$6:$H$90))))</f>
        <v/>
      </c>
      <c r="AJ2000" s="168" t="str">
        <f t="shared" si="410"/>
        <v/>
      </c>
      <c r="AK2000" s="168" t="str">
        <f t="shared" si="411"/>
        <v/>
      </c>
      <c r="AL2000" s="28"/>
      <c r="AM2000" s="28"/>
      <c r="AN2000" s="20" t="str">
        <f>IF(AL2000="","",IF($F2000="Bernardino Furlan",_xlfn.XLOOKUP(AL2000,Cadastros!$G$6:$G$90,Cadastros!$H$6:$H$90)*(1-0.18),IF($F2000="Mauro José Salanti",_xlfn.XLOOKUP(AL2000,Cadastros!$G$6:$G$90,Cadastros!$H$6:$H$90)*(1-0.18),_xlfn.XLOOKUP(AL2000,Cadastros!$G$6:$G$90,Cadastros!$H$6:$H$90))))</f>
        <v/>
      </c>
      <c r="AO2000" s="168" t="str">
        <f t="shared" si="412"/>
        <v/>
      </c>
      <c r="AP2000" s="168" t="str">
        <f t="shared" si="413"/>
        <v/>
      </c>
      <c r="AQ2000" s="28"/>
      <c r="AR2000" s="28"/>
      <c r="AS2000" s="20" t="str">
        <f>IF(AQ2000="","",IF($F2000="Bernardino Furlan",_xlfn.XLOOKUP(AQ2000,Cadastros!$G$6:$G$90,Cadastros!$H$6:$H$90)*(1-0.18),IF($F2000="Mauro José Salanti",_xlfn.XLOOKUP(AQ2000,Cadastros!$G$6:$G$90,Cadastros!$H$6:$H$90)*(1-0.18),_xlfn.XLOOKUP(AQ2000,Cadastros!$G$6:$G$90,Cadastros!$H$6:$H$90))))</f>
        <v/>
      </c>
      <c r="AT2000" s="168" t="str">
        <f t="shared" si="414"/>
        <v/>
      </c>
      <c r="AU2000" s="168" t="str">
        <f t="shared" si="415"/>
        <v/>
      </c>
      <c r="AV2000" s="227"/>
      <c r="AW2000" s="30"/>
      <c r="AX2000" s="267"/>
      <c r="AY2000" s="267"/>
      <c r="AZ2000" s="29"/>
      <c r="BA2000" s="30"/>
      <c r="BB2000" s="23" t="str" cm="1">
        <f t="array" ref="BB2000">_xlfn.IFS(AW2000="SIM",SUM(K2000,P2000,U2000,Z2000,AE2000,AJ2000,AO2000,AT2000,AX2000,AY2000),F2000&lt;&gt;"",SUM(K2000,P2000,U2000,Z2000,AE2000,AJ2000,,AO2000,AT2000),F2000="","")</f>
        <v/>
      </c>
      <c r="BC2000" s="211" t="str" cm="1">
        <f t="array" ref="BC2000">_xlfn.IFS(E2000="","",G2000&lt;=E2000,BB2000*(1-0.03),G2000&lt;(E2000+8),BB2000,AZ2000="Boleto",BB2000*(1+0.001)^DATEDIF(E2000,G2000,"D"),AZ2000="Cheque",BB2000,AZ2000="Dinheiro","Alterar forma pgto")</f>
        <v/>
      </c>
      <c r="BD2000" s="276" t="str" cm="1">
        <f t="array" ref="BD2000">IF(F2000=0," ",IF(BC2000&lt;BB2000,(_xlfn.IFS(AW2000="SIM",SUM(L2000,Q2000,V2000,AA2000,AF2000,AK2000,AP2000,AU2000)+AX2000/_xlfn.XLOOKUP(_xlfn.XLOOKUP($F2000,Clientes!$B$4:$B$39,Clientes!$C$4:$C$39),Cadastros!$L$6:$L$12,Cadastros!$M$6:$M$12)+IF($F2000="Bernardino Furlan",AY2000/2751.92,IF($F2000="Mauro José Salanti",AY2000/2751.92,AY2000/3356)),F2000&lt;&gt;0,SUM(L2000,Q2000,V2000,AA2000,AF2000,AK2000,AP2000,AU2000)))*(1-0.03),_xlfn.IFS(AW2000="SIM",SUM(L2000,Q2000,V2000,AA2000,AF2000,AK2000,AP2000,AU2000)+AX2000/_xlfn.XLOOKUP(_xlfn.XLOOKUP($F2000,Clientes!$B$4:$B$39,Clientes!$C$4:$C$39),Cadastros!$L$6:$L$12,Cadastros!$M$6:$M$12)+IF($F2000="Bernardino Furlan",AY2000/2751.92,IF($F2000="Mauro José Salanti",AY2000/2751.92,AY2000/3356)),F2000&lt;&gt;0,SUM(L2000,Q2000,V2000,AA2000,AF2000,AK2000,AP2000,AU2000))))</f>
        <v xml:space="preserve"> </v>
      </c>
      <c r="BE2000" s="120"/>
      <c r="BF2000" s="120"/>
      <c r="BG2000" s="120"/>
    </row>
    <row r="2001" spans="1:59" s="3" customFormat="1" x14ac:dyDescent="0.3">
      <c r="A2001" s="15" t="str">
        <f t="shared" si="403"/>
        <v/>
      </c>
      <c r="B2001" s="25"/>
      <c r="C2001" s="26"/>
      <c r="D2001" s="279"/>
      <c r="E2001" s="27"/>
      <c r="F2001" s="28"/>
      <c r="G2001" s="27"/>
      <c r="H2001" s="28"/>
      <c r="I2001" s="28"/>
      <c r="J2001" s="255" t="str">
        <f>IF(H2001="","",(_xlfn.XLOOKUP(H2001,Cadastros!$D$6:$D$90,Cadastros!$E$6:$E$90))*(1-_xlfn.XLOOKUP(_xlfn.XLOOKUP($F2001,Clientes!$B$4:$B$39,Clientes!$C$4:$C$39),Cadastros!$L$6:$L$12,Cadastros!$N$6:$N$12)))</f>
        <v/>
      </c>
      <c r="K2001" s="168" t="str">
        <f t="shared" si="404"/>
        <v/>
      </c>
      <c r="L2001" s="168" t="str">
        <f>IFERROR(K2001/_xlfn.XLOOKUP(_xlfn.XLOOKUP($F2001,Clientes!$B$4:$B$39,Clientes!$C$4:$C$39),Cadastros!$L$6:$L$12,Cadastros!$M$6:$M$12)," ")</f>
        <v xml:space="preserve"> </v>
      </c>
      <c r="M2001" s="28"/>
      <c r="N2001" s="28"/>
      <c r="O2001" s="255" t="str">
        <f>IF(M2001="","",(_xlfn.XLOOKUP(M2001,Cadastros!$D$6:$D$90,Cadastros!$E$6:$E$90))*(1-_xlfn.XLOOKUP(_xlfn.XLOOKUP($F2001,Clientes!$B$4:$B$39,Clientes!$C$4:$C$39),Cadastros!$L$6:$L$12,Cadastros!$N$6:$N$12)))</f>
        <v/>
      </c>
      <c r="P2001" s="168" t="str">
        <f t="shared" si="405"/>
        <v/>
      </c>
      <c r="Q2001" s="168" t="str">
        <f>IFERROR(P2001/_xlfn.XLOOKUP(_xlfn.XLOOKUP($F2001,Clientes!$B$4:$B$39,Clientes!$C$4:$C$39),Cadastros!$L$6:$L$12,Cadastros!$M$6:$M$12)," ")</f>
        <v xml:space="preserve"> </v>
      </c>
      <c r="R2001" s="28"/>
      <c r="S2001" s="28"/>
      <c r="T2001" s="255" t="str">
        <f>IF(R2001="","",(_xlfn.XLOOKUP(R2001,Cadastros!$D$6:$D$90,Cadastros!$E$6:$E$90))*(1-_xlfn.XLOOKUP(_xlfn.XLOOKUP($F2001,Clientes!$B$4:$B$39,Clientes!$C$4:$C$39),Cadastros!$L$6:$L$12,Cadastros!$N$6:$N$12)))</f>
        <v/>
      </c>
      <c r="U2001" s="168" t="str">
        <f t="shared" si="406"/>
        <v/>
      </c>
      <c r="V2001" s="168" t="str">
        <f>IFERROR(U2001/_xlfn.XLOOKUP(_xlfn.XLOOKUP($F2001,Clientes!$B$4:$B$39,Clientes!$C$4:$C$39),Cadastros!$L$6:$L$12,Cadastros!$M$6:$M$12)," ")</f>
        <v xml:space="preserve"> </v>
      </c>
      <c r="W2001" s="28"/>
      <c r="X2001" s="28"/>
      <c r="Y2001" s="255" t="str">
        <f>IF(W2001="","",(_xlfn.XLOOKUP(W2001,Cadastros!$D$6:$D$90,Cadastros!$E$6:$E$90))*(1-_xlfn.XLOOKUP(_xlfn.XLOOKUP($F2001,Clientes!$B$4:$B$39,Clientes!$C$4:$C$39),Cadastros!$L$6:$L$12,Cadastros!$N$6:$N$12)))</f>
        <v/>
      </c>
      <c r="Z2001" s="168" t="str">
        <f t="shared" si="407"/>
        <v/>
      </c>
      <c r="AA2001" s="168" t="str">
        <f>IFERROR(Z2001/_xlfn.XLOOKUP(_xlfn.XLOOKUP($F2001,Clientes!$B$4:$B$39,Clientes!$C$4:$C$39),Cadastros!$L$6:$L$12,Cadastros!$M$6:$M$12)," ")</f>
        <v xml:space="preserve"> </v>
      </c>
      <c r="AB2001" s="28"/>
      <c r="AC2001" s="28"/>
      <c r="AD2001" s="20" t="str">
        <f>IF(AB2001="","",IF($F2001="Bernardino Furlan",_xlfn.XLOOKUP(AB2001,Cadastros!$G$6:$G$90,Cadastros!$H$6:$H$90)*(1-0.18),IF($F2001="Mauro José Salanti",_xlfn.XLOOKUP(AB2001,Cadastros!$G$6:$G$90,Cadastros!$H$6:$H$90)*(1-0.18),_xlfn.XLOOKUP(AB2001,Cadastros!$G$6:$G$90,Cadastros!$H$6:$H$90))))</f>
        <v/>
      </c>
      <c r="AE2001" s="168" t="str">
        <f t="shared" si="408"/>
        <v/>
      </c>
      <c r="AF2001" s="168" t="str">
        <f t="shared" si="409"/>
        <v/>
      </c>
      <c r="AG2001" s="28"/>
      <c r="AH2001" s="28"/>
      <c r="AI2001" s="20" t="str">
        <f>IF(AG2001="","",IF($F2001="Bernardino Furlan",_xlfn.XLOOKUP(AG2001,Cadastros!$G$6:$G$90,Cadastros!$H$6:$H$90)*(1-0.18),IF($F2001="Mauro José Salanti",_xlfn.XLOOKUP(AG2001,Cadastros!$G$6:$G$90,Cadastros!$H$6:$H$90)*(1-0.18),_xlfn.XLOOKUP(AG2001,Cadastros!$G$6:$G$90,Cadastros!$H$6:$H$90))))</f>
        <v/>
      </c>
      <c r="AJ2001" s="168" t="str">
        <f t="shared" si="410"/>
        <v/>
      </c>
      <c r="AK2001" s="168" t="str">
        <f t="shared" si="411"/>
        <v/>
      </c>
      <c r="AL2001" s="28"/>
      <c r="AM2001" s="28"/>
      <c r="AN2001" s="20" t="str">
        <f>IF(AL2001="","",IF($F2001="Bernardino Furlan",_xlfn.XLOOKUP(AL2001,Cadastros!$G$6:$G$90,Cadastros!$H$6:$H$90)*(1-0.18),IF($F2001="Mauro José Salanti",_xlfn.XLOOKUP(AL2001,Cadastros!$G$6:$G$90,Cadastros!$H$6:$H$90)*(1-0.18),_xlfn.XLOOKUP(AL2001,Cadastros!$G$6:$G$90,Cadastros!$H$6:$H$90))))</f>
        <v/>
      </c>
      <c r="AO2001" s="168" t="str">
        <f t="shared" si="412"/>
        <v/>
      </c>
      <c r="AP2001" s="168" t="str">
        <f t="shared" si="413"/>
        <v/>
      </c>
      <c r="AQ2001" s="28"/>
      <c r="AR2001" s="28"/>
      <c r="AS2001" s="20" t="str">
        <f>IF(AQ2001="","",IF($F2001="Bernardino Furlan",_xlfn.XLOOKUP(AQ2001,Cadastros!$G$6:$G$90,Cadastros!$H$6:$H$90)*(1-0.18),IF($F2001="Mauro José Salanti",_xlfn.XLOOKUP(AQ2001,Cadastros!$G$6:$G$90,Cadastros!$H$6:$H$90)*(1-0.18),_xlfn.XLOOKUP(AQ2001,Cadastros!$G$6:$G$90,Cadastros!$H$6:$H$90))))</f>
        <v/>
      </c>
      <c r="AT2001" s="168" t="str">
        <f t="shared" si="414"/>
        <v/>
      </c>
      <c r="AU2001" s="168" t="str">
        <f t="shared" si="415"/>
        <v/>
      </c>
      <c r="AV2001" s="227"/>
      <c r="AW2001" s="30"/>
      <c r="AX2001" s="267"/>
      <c r="AY2001" s="267"/>
      <c r="AZ2001" s="29"/>
      <c r="BA2001" s="30"/>
      <c r="BB2001" s="23" t="str" cm="1">
        <f t="array" ref="BB2001">_xlfn.IFS(AW2001="SIM",SUM(K2001,P2001,U2001,Z2001,AE2001,AJ2001,AO2001,AT2001,AX2001,AY2001),F2001&lt;&gt;"",SUM(K2001,P2001,U2001,Z2001,AE2001,AJ2001,,AO2001,AT2001),F2001="","")</f>
        <v/>
      </c>
      <c r="BC2001" s="211" t="str" cm="1">
        <f t="array" ref="BC2001">_xlfn.IFS(E2001="","",G2001&lt;=E2001,BB2001*(1-0.03),G2001&lt;(E2001+8),BB2001,AZ2001="Boleto",BB2001*(1+0.001)^DATEDIF(E2001,G2001,"D"),AZ2001="Cheque",BB2001,AZ2001="Dinheiro","Alterar forma pgto")</f>
        <v/>
      </c>
      <c r="BD2001" s="276" t="str" cm="1">
        <f t="array" ref="BD2001">IF(F2001=0," ",IF(BC2001&lt;BB2001,(_xlfn.IFS(AW2001="SIM",SUM(L2001,Q2001,V2001,AA2001,AF2001,AK2001,AP2001,AU2001)+AX2001/_xlfn.XLOOKUP(_xlfn.XLOOKUP($F2001,Clientes!$B$4:$B$39,Clientes!$C$4:$C$39),Cadastros!$L$6:$L$12,Cadastros!$M$6:$M$12)+IF($F2001="Bernardino Furlan",AY2001/2751.92,IF($F2001="Mauro José Salanti",AY2001/2751.92,AY2001/3356)),F2001&lt;&gt;0,SUM(L2001,Q2001,V2001,AA2001,AF2001,AK2001,AP2001,AU2001)))*(1-0.03),_xlfn.IFS(AW2001="SIM",SUM(L2001,Q2001,V2001,AA2001,AF2001,AK2001,AP2001,AU2001)+AX2001/_xlfn.XLOOKUP(_xlfn.XLOOKUP($F2001,Clientes!$B$4:$B$39,Clientes!$C$4:$C$39),Cadastros!$L$6:$L$12,Cadastros!$M$6:$M$12)+IF($F2001="Bernardino Furlan",AY2001/2751.92,IF($F2001="Mauro José Salanti",AY2001/2751.92,AY2001/3356)),F2001&lt;&gt;0,SUM(L2001,Q2001,V2001,AA2001,AF2001,AK2001,AP2001,AU2001))))</f>
        <v xml:space="preserve"> </v>
      </c>
      <c r="BE2001" s="120"/>
      <c r="BF2001" s="120"/>
      <c r="BG2001" s="120"/>
    </row>
    <row r="2002" spans="1:59" s="3" customFormat="1" x14ac:dyDescent="0.3">
      <c r="A2002" s="15" t="str">
        <f t="shared" si="403"/>
        <v/>
      </c>
      <c r="B2002" s="25"/>
      <c r="C2002" s="26"/>
      <c r="D2002" s="279"/>
      <c r="E2002" s="27"/>
      <c r="F2002" s="28"/>
      <c r="G2002" s="27"/>
      <c r="H2002" s="28"/>
      <c r="I2002" s="28"/>
      <c r="J2002" s="255" t="str">
        <f>IF(H2002="","",(_xlfn.XLOOKUP(H2002,Cadastros!$D$6:$D$90,Cadastros!$E$6:$E$90))*(1-_xlfn.XLOOKUP(_xlfn.XLOOKUP($F2002,Clientes!$B$4:$B$39,Clientes!$C$4:$C$39),Cadastros!$L$6:$L$12,Cadastros!$N$6:$N$12)))</f>
        <v/>
      </c>
      <c r="K2002" s="168" t="str">
        <f t="shared" si="404"/>
        <v/>
      </c>
      <c r="L2002" s="168" t="str">
        <f>IFERROR(K2002/_xlfn.XLOOKUP(_xlfn.XLOOKUP($F2002,Clientes!$B$4:$B$39,Clientes!$C$4:$C$39),Cadastros!$L$6:$L$12,Cadastros!$M$6:$M$12)," ")</f>
        <v xml:space="preserve"> </v>
      </c>
      <c r="M2002" s="28"/>
      <c r="N2002" s="28"/>
      <c r="O2002" s="255" t="str">
        <f>IF(M2002="","",(_xlfn.XLOOKUP(M2002,Cadastros!$D$6:$D$90,Cadastros!$E$6:$E$90))*(1-_xlfn.XLOOKUP(_xlfn.XLOOKUP($F2002,Clientes!$B$4:$B$39,Clientes!$C$4:$C$39),Cadastros!$L$6:$L$12,Cadastros!$N$6:$N$12)))</f>
        <v/>
      </c>
      <c r="P2002" s="168" t="str">
        <f t="shared" si="405"/>
        <v/>
      </c>
      <c r="Q2002" s="168" t="str">
        <f>IFERROR(P2002/_xlfn.XLOOKUP(_xlfn.XLOOKUP($F2002,Clientes!$B$4:$B$39,Clientes!$C$4:$C$39),Cadastros!$L$6:$L$12,Cadastros!$M$6:$M$12)," ")</f>
        <v xml:space="preserve"> </v>
      </c>
      <c r="R2002" s="28"/>
      <c r="S2002" s="28"/>
      <c r="T2002" s="255" t="str">
        <f>IF(R2002="","",(_xlfn.XLOOKUP(R2002,Cadastros!$D$6:$D$90,Cadastros!$E$6:$E$90))*(1-_xlfn.XLOOKUP(_xlfn.XLOOKUP($F2002,Clientes!$B$4:$B$39,Clientes!$C$4:$C$39),Cadastros!$L$6:$L$12,Cadastros!$N$6:$N$12)))</f>
        <v/>
      </c>
      <c r="U2002" s="168" t="str">
        <f t="shared" si="406"/>
        <v/>
      </c>
      <c r="V2002" s="168" t="str">
        <f>IFERROR(U2002/_xlfn.XLOOKUP(_xlfn.XLOOKUP($F2002,Clientes!$B$4:$B$39,Clientes!$C$4:$C$39),Cadastros!$L$6:$L$12,Cadastros!$M$6:$M$12)," ")</f>
        <v xml:space="preserve"> </v>
      </c>
      <c r="W2002" s="28"/>
      <c r="X2002" s="28"/>
      <c r="Y2002" s="255" t="str">
        <f>IF(W2002="","",(_xlfn.XLOOKUP(W2002,Cadastros!$D$6:$D$90,Cadastros!$E$6:$E$90))*(1-_xlfn.XLOOKUP(_xlfn.XLOOKUP($F2002,Clientes!$B$4:$B$39,Clientes!$C$4:$C$39),Cadastros!$L$6:$L$12,Cadastros!$N$6:$N$12)))</f>
        <v/>
      </c>
      <c r="Z2002" s="168" t="str">
        <f t="shared" si="407"/>
        <v/>
      </c>
      <c r="AA2002" s="168" t="str">
        <f>IFERROR(Z2002/_xlfn.XLOOKUP(_xlfn.XLOOKUP($F2002,Clientes!$B$4:$B$39,Clientes!$C$4:$C$39),Cadastros!$L$6:$L$12,Cadastros!$M$6:$M$12)," ")</f>
        <v xml:space="preserve"> </v>
      </c>
      <c r="AB2002" s="28"/>
      <c r="AC2002" s="28"/>
      <c r="AD2002" s="20" t="str">
        <f>IF(AB2002="","",IF($F2002="Bernardino Furlan",_xlfn.XLOOKUP(AB2002,Cadastros!$G$6:$G$90,Cadastros!$H$6:$H$90)*(1-0.18),IF($F2002="Mauro José Salanti",_xlfn.XLOOKUP(AB2002,Cadastros!$G$6:$G$90,Cadastros!$H$6:$H$90)*(1-0.18),_xlfn.XLOOKUP(AB2002,Cadastros!$G$6:$G$90,Cadastros!$H$6:$H$90))))</f>
        <v/>
      </c>
      <c r="AE2002" s="168" t="str">
        <f t="shared" si="408"/>
        <v/>
      </c>
      <c r="AF2002" s="168" t="str">
        <f t="shared" si="409"/>
        <v/>
      </c>
      <c r="AG2002" s="28"/>
      <c r="AH2002" s="28"/>
      <c r="AI2002" s="20" t="str">
        <f>IF(AG2002="","",IF($F2002="Bernardino Furlan",_xlfn.XLOOKUP(AG2002,Cadastros!$G$6:$G$90,Cadastros!$H$6:$H$90)*(1-0.18),IF($F2002="Mauro José Salanti",_xlfn.XLOOKUP(AG2002,Cadastros!$G$6:$G$90,Cadastros!$H$6:$H$90)*(1-0.18),_xlfn.XLOOKUP(AG2002,Cadastros!$G$6:$G$90,Cadastros!$H$6:$H$90))))</f>
        <v/>
      </c>
      <c r="AJ2002" s="168" t="str">
        <f t="shared" si="410"/>
        <v/>
      </c>
      <c r="AK2002" s="168" t="str">
        <f t="shared" si="411"/>
        <v/>
      </c>
      <c r="AL2002" s="28"/>
      <c r="AM2002" s="28"/>
      <c r="AN2002" s="20" t="str">
        <f>IF(AL2002="","",IF($F2002="Bernardino Furlan",_xlfn.XLOOKUP(AL2002,Cadastros!$G$6:$G$90,Cadastros!$H$6:$H$90)*(1-0.18),IF($F2002="Mauro José Salanti",_xlfn.XLOOKUP(AL2002,Cadastros!$G$6:$G$90,Cadastros!$H$6:$H$90)*(1-0.18),_xlfn.XLOOKUP(AL2002,Cadastros!$G$6:$G$90,Cadastros!$H$6:$H$90))))</f>
        <v/>
      </c>
      <c r="AO2002" s="168" t="str">
        <f t="shared" si="412"/>
        <v/>
      </c>
      <c r="AP2002" s="168" t="str">
        <f t="shared" si="413"/>
        <v/>
      </c>
      <c r="AQ2002" s="28"/>
      <c r="AR2002" s="28"/>
      <c r="AS2002" s="20" t="str">
        <f>IF(AQ2002="","",IF($F2002="Bernardino Furlan",_xlfn.XLOOKUP(AQ2002,Cadastros!$G$6:$G$90,Cadastros!$H$6:$H$90)*(1-0.18),IF($F2002="Mauro José Salanti",_xlfn.XLOOKUP(AQ2002,Cadastros!$G$6:$G$90,Cadastros!$H$6:$H$90)*(1-0.18),_xlfn.XLOOKUP(AQ2002,Cadastros!$G$6:$G$90,Cadastros!$H$6:$H$90))))</f>
        <v/>
      </c>
      <c r="AT2002" s="168" t="str">
        <f t="shared" si="414"/>
        <v/>
      </c>
      <c r="AU2002" s="168" t="str">
        <f t="shared" si="415"/>
        <v/>
      </c>
      <c r="AV2002" s="227"/>
      <c r="AW2002" s="30"/>
      <c r="AX2002" s="267"/>
      <c r="AY2002" s="267"/>
      <c r="AZ2002" s="29"/>
      <c r="BA2002" s="30"/>
      <c r="BB2002" s="23" t="str" cm="1">
        <f t="array" ref="BB2002">_xlfn.IFS(AW2002="SIM",SUM(K2002,P2002,U2002,Z2002,AE2002,AJ2002,AO2002,AT2002,AX2002,AY2002),F2002&lt;&gt;"",SUM(K2002,P2002,U2002,Z2002,AE2002,AJ2002,,AO2002,AT2002),F2002="","")</f>
        <v/>
      </c>
      <c r="BC2002" s="211" t="str" cm="1">
        <f t="array" ref="BC2002">_xlfn.IFS(E2002="","",G2002&lt;=E2002,BB2002*(1-0.03),G2002&lt;(E2002+8),BB2002,AZ2002="Boleto",BB2002*(1+0.001)^DATEDIF(E2002,G2002,"D"),AZ2002="Cheque",BB2002,AZ2002="Dinheiro","Alterar forma pgto")</f>
        <v/>
      </c>
      <c r="BD2002" s="276" t="str" cm="1">
        <f t="array" ref="BD2002">IF(F2002=0," ",IF(BC2002&lt;BB2002,(_xlfn.IFS(AW2002="SIM",SUM(L2002,Q2002,V2002,AA2002,AF2002,AK2002,AP2002,AU2002)+AX2002/_xlfn.XLOOKUP(_xlfn.XLOOKUP($F2002,Clientes!$B$4:$B$39,Clientes!$C$4:$C$39),Cadastros!$L$6:$L$12,Cadastros!$M$6:$M$12)+IF($F2002="Bernardino Furlan",AY2002/2751.92,IF($F2002="Mauro José Salanti",AY2002/2751.92,AY2002/3356)),F2002&lt;&gt;0,SUM(L2002,Q2002,V2002,AA2002,AF2002,AK2002,AP2002,AU2002)))*(1-0.03),_xlfn.IFS(AW2002="SIM",SUM(L2002,Q2002,V2002,AA2002,AF2002,AK2002,AP2002,AU2002)+AX2002/_xlfn.XLOOKUP(_xlfn.XLOOKUP($F2002,Clientes!$B$4:$B$39,Clientes!$C$4:$C$39),Cadastros!$L$6:$L$12,Cadastros!$M$6:$M$12)+IF($F2002="Bernardino Furlan",AY2002/2751.92,IF($F2002="Mauro José Salanti",AY2002/2751.92,AY2002/3356)),F2002&lt;&gt;0,SUM(L2002,Q2002,V2002,AA2002,AF2002,AK2002,AP2002,AU2002))))</f>
        <v xml:space="preserve"> </v>
      </c>
      <c r="BE2002" s="120"/>
      <c r="BF2002" s="120"/>
      <c r="BG2002" s="120"/>
    </row>
    <row r="2003" spans="1:59" s="3" customFormat="1" x14ac:dyDescent="0.3">
      <c r="A2003" s="15" t="str">
        <f t="shared" si="403"/>
        <v/>
      </c>
      <c r="B2003" s="25"/>
      <c r="C2003" s="26"/>
      <c r="D2003" s="279"/>
      <c r="E2003" s="27"/>
      <c r="F2003" s="28"/>
      <c r="G2003" s="27"/>
      <c r="H2003" s="28"/>
      <c r="I2003" s="28"/>
      <c r="J2003" s="255" t="str">
        <f>IF(H2003="","",(_xlfn.XLOOKUP(H2003,Cadastros!$D$6:$D$90,Cadastros!$E$6:$E$90))*(1-_xlfn.XLOOKUP(_xlfn.XLOOKUP($F2003,Clientes!$B$4:$B$39,Clientes!$C$4:$C$39),Cadastros!$L$6:$L$12,Cadastros!$N$6:$N$12)))</f>
        <v/>
      </c>
      <c r="K2003" s="168" t="str">
        <f t="shared" si="404"/>
        <v/>
      </c>
      <c r="L2003" s="168" t="str">
        <f>IFERROR(K2003/_xlfn.XLOOKUP(_xlfn.XLOOKUP($F2003,Clientes!$B$4:$B$39,Clientes!$C$4:$C$39),Cadastros!$L$6:$L$12,Cadastros!$M$6:$M$12)," ")</f>
        <v xml:space="preserve"> </v>
      </c>
      <c r="M2003" s="28"/>
      <c r="N2003" s="28"/>
      <c r="O2003" s="255" t="str">
        <f>IF(M2003="","",(_xlfn.XLOOKUP(M2003,Cadastros!$D$6:$D$90,Cadastros!$E$6:$E$90))*(1-_xlfn.XLOOKUP(_xlfn.XLOOKUP($F2003,Clientes!$B$4:$B$39,Clientes!$C$4:$C$39),Cadastros!$L$6:$L$12,Cadastros!$N$6:$N$12)))</f>
        <v/>
      </c>
      <c r="P2003" s="168" t="str">
        <f t="shared" si="405"/>
        <v/>
      </c>
      <c r="Q2003" s="168" t="str">
        <f>IFERROR(P2003/_xlfn.XLOOKUP(_xlfn.XLOOKUP($F2003,Clientes!$B$4:$B$39,Clientes!$C$4:$C$39),Cadastros!$L$6:$L$12,Cadastros!$M$6:$M$12)," ")</f>
        <v xml:space="preserve"> </v>
      </c>
      <c r="R2003" s="28"/>
      <c r="S2003" s="28"/>
      <c r="T2003" s="255" t="str">
        <f>IF(R2003="","",(_xlfn.XLOOKUP(R2003,Cadastros!$D$6:$D$90,Cadastros!$E$6:$E$90))*(1-_xlfn.XLOOKUP(_xlfn.XLOOKUP($F2003,Clientes!$B$4:$B$39,Clientes!$C$4:$C$39),Cadastros!$L$6:$L$12,Cadastros!$N$6:$N$12)))</f>
        <v/>
      </c>
      <c r="U2003" s="168" t="str">
        <f t="shared" si="406"/>
        <v/>
      </c>
      <c r="V2003" s="168" t="str">
        <f>IFERROR(U2003/_xlfn.XLOOKUP(_xlfn.XLOOKUP($F2003,Clientes!$B$4:$B$39,Clientes!$C$4:$C$39),Cadastros!$L$6:$L$12,Cadastros!$M$6:$M$12)," ")</f>
        <v xml:space="preserve"> </v>
      </c>
      <c r="W2003" s="28"/>
      <c r="X2003" s="28"/>
      <c r="Y2003" s="255" t="str">
        <f>IF(W2003="","",(_xlfn.XLOOKUP(W2003,Cadastros!$D$6:$D$90,Cadastros!$E$6:$E$90))*(1-_xlfn.XLOOKUP(_xlfn.XLOOKUP($F2003,Clientes!$B$4:$B$39,Clientes!$C$4:$C$39),Cadastros!$L$6:$L$12,Cadastros!$N$6:$N$12)))</f>
        <v/>
      </c>
      <c r="Z2003" s="168" t="str">
        <f t="shared" si="407"/>
        <v/>
      </c>
      <c r="AA2003" s="168" t="str">
        <f>IFERROR(Z2003/_xlfn.XLOOKUP(_xlfn.XLOOKUP($F2003,Clientes!$B$4:$B$39,Clientes!$C$4:$C$39),Cadastros!$L$6:$L$12,Cadastros!$M$6:$M$12)," ")</f>
        <v xml:space="preserve"> </v>
      </c>
      <c r="AB2003" s="28"/>
      <c r="AC2003" s="28"/>
      <c r="AD2003" s="20" t="str">
        <f>IF(AB2003="","",IF($F2003="Bernardino Furlan",_xlfn.XLOOKUP(AB2003,Cadastros!$G$6:$G$90,Cadastros!$H$6:$H$90)*(1-0.18),IF($F2003="Mauro José Salanti",_xlfn.XLOOKUP(AB2003,Cadastros!$G$6:$G$90,Cadastros!$H$6:$H$90)*(1-0.18),_xlfn.XLOOKUP(AB2003,Cadastros!$G$6:$G$90,Cadastros!$H$6:$H$90))))</f>
        <v/>
      </c>
      <c r="AE2003" s="168" t="str">
        <f t="shared" si="408"/>
        <v/>
      </c>
      <c r="AF2003" s="168" t="str">
        <f t="shared" si="409"/>
        <v/>
      </c>
      <c r="AG2003" s="28"/>
      <c r="AH2003" s="28"/>
      <c r="AI2003" s="20" t="str">
        <f>IF(AG2003="","",IF($F2003="Bernardino Furlan",_xlfn.XLOOKUP(AG2003,Cadastros!$G$6:$G$90,Cadastros!$H$6:$H$90)*(1-0.18),IF($F2003="Mauro José Salanti",_xlfn.XLOOKUP(AG2003,Cadastros!$G$6:$G$90,Cadastros!$H$6:$H$90)*(1-0.18),_xlfn.XLOOKUP(AG2003,Cadastros!$G$6:$G$90,Cadastros!$H$6:$H$90))))</f>
        <v/>
      </c>
      <c r="AJ2003" s="168" t="str">
        <f t="shared" si="410"/>
        <v/>
      </c>
      <c r="AK2003" s="168" t="str">
        <f t="shared" si="411"/>
        <v/>
      </c>
      <c r="AL2003" s="28"/>
      <c r="AM2003" s="28"/>
      <c r="AN2003" s="20" t="str">
        <f>IF(AL2003="","",IF($F2003="Bernardino Furlan",_xlfn.XLOOKUP(AL2003,Cadastros!$G$6:$G$90,Cadastros!$H$6:$H$90)*(1-0.18),IF($F2003="Mauro José Salanti",_xlfn.XLOOKUP(AL2003,Cadastros!$G$6:$G$90,Cadastros!$H$6:$H$90)*(1-0.18),_xlfn.XLOOKUP(AL2003,Cadastros!$G$6:$G$90,Cadastros!$H$6:$H$90))))</f>
        <v/>
      </c>
      <c r="AO2003" s="168" t="str">
        <f t="shared" si="412"/>
        <v/>
      </c>
      <c r="AP2003" s="168" t="str">
        <f t="shared" si="413"/>
        <v/>
      </c>
      <c r="AQ2003" s="28"/>
      <c r="AR2003" s="28"/>
      <c r="AS2003" s="20" t="str">
        <f>IF(AQ2003="","",IF($F2003="Bernardino Furlan",_xlfn.XLOOKUP(AQ2003,Cadastros!$G$6:$G$90,Cadastros!$H$6:$H$90)*(1-0.18),IF($F2003="Mauro José Salanti",_xlfn.XLOOKUP(AQ2003,Cadastros!$G$6:$G$90,Cadastros!$H$6:$H$90)*(1-0.18),_xlfn.XLOOKUP(AQ2003,Cadastros!$G$6:$G$90,Cadastros!$H$6:$H$90))))</f>
        <v/>
      </c>
      <c r="AT2003" s="168" t="str">
        <f t="shared" si="414"/>
        <v/>
      </c>
      <c r="AU2003" s="168" t="str">
        <f t="shared" si="415"/>
        <v/>
      </c>
      <c r="AV2003" s="227"/>
      <c r="AW2003" s="30"/>
      <c r="AX2003" s="267"/>
      <c r="AY2003" s="267"/>
      <c r="AZ2003" s="29"/>
      <c r="BA2003" s="30"/>
      <c r="BB2003" s="23" t="str" cm="1">
        <f t="array" ref="BB2003">_xlfn.IFS(AW2003="SIM",SUM(K2003,P2003,U2003,Z2003,AE2003,AJ2003,AO2003,AT2003,AX2003,AY2003),F2003&lt;&gt;"",SUM(K2003,P2003,U2003,Z2003,AE2003,AJ2003,,AO2003,AT2003),F2003="","")</f>
        <v/>
      </c>
      <c r="BC2003" s="211" t="str" cm="1">
        <f t="array" ref="BC2003">_xlfn.IFS(E2003="","",G2003&lt;=E2003,BB2003*(1-0.03),G2003&lt;(E2003+8),BB2003,AZ2003="Boleto",BB2003*(1+0.001)^DATEDIF(E2003,G2003,"D"),AZ2003="Cheque",BB2003,AZ2003="Dinheiro","Alterar forma pgto")</f>
        <v/>
      </c>
      <c r="BD2003" s="276" t="str" cm="1">
        <f t="array" ref="BD2003">IF(F2003=0," ",IF(BC2003&lt;BB2003,(_xlfn.IFS(AW2003="SIM",SUM(L2003,Q2003,V2003,AA2003,AF2003,AK2003,AP2003,AU2003)+AX2003/_xlfn.XLOOKUP(_xlfn.XLOOKUP($F2003,Clientes!$B$4:$B$39,Clientes!$C$4:$C$39),Cadastros!$L$6:$L$12,Cadastros!$M$6:$M$12)+IF($F2003="Bernardino Furlan",AY2003/2751.92,IF($F2003="Mauro José Salanti",AY2003/2751.92,AY2003/3356)),F2003&lt;&gt;0,SUM(L2003,Q2003,V2003,AA2003,AF2003,AK2003,AP2003,AU2003)))*(1-0.03),_xlfn.IFS(AW2003="SIM",SUM(L2003,Q2003,V2003,AA2003,AF2003,AK2003,AP2003,AU2003)+AX2003/_xlfn.XLOOKUP(_xlfn.XLOOKUP($F2003,Clientes!$B$4:$B$39,Clientes!$C$4:$C$39),Cadastros!$L$6:$L$12,Cadastros!$M$6:$M$12)+IF($F2003="Bernardino Furlan",AY2003/2751.92,IF($F2003="Mauro José Salanti",AY2003/2751.92,AY2003/3356)),F2003&lt;&gt;0,SUM(L2003,Q2003,V2003,AA2003,AF2003,AK2003,AP2003,AU2003))))</f>
        <v xml:space="preserve"> </v>
      </c>
      <c r="BE2003" s="120"/>
      <c r="BF2003" s="120"/>
      <c r="BG2003" s="120"/>
    </row>
    <row r="2004" spans="1:59" s="3" customFormat="1" x14ac:dyDescent="0.3">
      <c r="A2004" s="15" t="str">
        <f t="shared" si="403"/>
        <v/>
      </c>
      <c r="B2004" s="25"/>
      <c r="C2004" s="26"/>
      <c r="D2004" s="279"/>
      <c r="E2004" s="27"/>
      <c r="F2004" s="28"/>
      <c r="G2004" s="27"/>
      <c r="H2004" s="28"/>
      <c r="I2004" s="28"/>
      <c r="J2004" s="255" t="str">
        <f>IF(H2004="","",(_xlfn.XLOOKUP(H2004,Cadastros!$D$6:$D$90,Cadastros!$E$6:$E$90))*(1-_xlfn.XLOOKUP(_xlfn.XLOOKUP($F2004,Clientes!$B$4:$B$39,Clientes!$C$4:$C$39),Cadastros!$L$6:$L$12,Cadastros!$N$6:$N$12)))</f>
        <v/>
      </c>
      <c r="K2004" s="168" t="str">
        <f t="shared" si="404"/>
        <v/>
      </c>
      <c r="L2004" s="168" t="str">
        <f>IFERROR(K2004/_xlfn.XLOOKUP(_xlfn.XLOOKUP($F2004,Clientes!$B$4:$B$39,Clientes!$C$4:$C$39),Cadastros!$L$6:$L$12,Cadastros!$M$6:$M$12)," ")</f>
        <v xml:space="preserve"> </v>
      </c>
      <c r="M2004" s="28"/>
      <c r="N2004" s="28"/>
      <c r="O2004" s="255" t="str">
        <f>IF(M2004="","",(_xlfn.XLOOKUP(M2004,Cadastros!$D$6:$D$90,Cadastros!$E$6:$E$90))*(1-_xlfn.XLOOKUP(_xlfn.XLOOKUP($F2004,Clientes!$B$4:$B$39,Clientes!$C$4:$C$39),Cadastros!$L$6:$L$12,Cadastros!$N$6:$N$12)))</f>
        <v/>
      </c>
      <c r="P2004" s="168" t="str">
        <f t="shared" si="405"/>
        <v/>
      </c>
      <c r="Q2004" s="168" t="str">
        <f>IFERROR(P2004/_xlfn.XLOOKUP(_xlfn.XLOOKUP($F2004,Clientes!$B$4:$B$39,Clientes!$C$4:$C$39),Cadastros!$L$6:$L$12,Cadastros!$M$6:$M$12)," ")</f>
        <v xml:space="preserve"> </v>
      </c>
      <c r="R2004" s="28"/>
      <c r="S2004" s="28"/>
      <c r="T2004" s="255" t="str">
        <f>IF(R2004="","",(_xlfn.XLOOKUP(R2004,Cadastros!$D$6:$D$90,Cadastros!$E$6:$E$90))*(1-_xlfn.XLOOKUP(_xlfn.XLOOKUP($F2004,Clientes!$B$4:$B$39,Clientes!$C$4:$C$39),Cadastros!$L$6:$L$12,Cadastros!$N$6:$N$12)))</f>
        <v/>
      </c>
      <c r="U2004" s="168" t="str">
        <f t="shared" si="406"/>
        <v/>
      </c>
      <c r="V2004" s="168" t="str">
        <f>IFERROR(U2004/_xlfn.XLOOKUP(_xlfn.XLOOKUP($F2004,Clientes!$B$4:$B$39,Clientes!$C$4:$C$39),Cadastros!$L$6:$L$12,Cadastros!$M$6:$M$12)," ")</f>
        <v xml:space="preserve"> </v>
      </c>
      <c r="W2004" s="28"/>
      <c r="X2004" s="28"/>
      <c r="Y2004" s="255" t="str">
        <f>IF(W2004="","",(_xlfn.XLOOKUP(W2004,Cadastros!$D$6:$D$90,Cadastros!$E$6:$E$90))*(1-_xlfn.XLOOKUP(_xlfn.XLOOKUP($F2004,Clientes!$B$4:$B$39,Clientes!$C$4:$C$39),Cadastros!$L$6:$L$12,Cadastros!$N$6:$N$12)))</f>
        <v/>
      </c>
      <c r="Z2004" s="168" t="str">
        <f t="shared" si="407"/>
        <v/>
      </c>
      <c r="AA2004" s="168" t="str">
        <f>IFERROR(Z2004/_xlfn.XLOOKUP(_xlfn.XLOOKUP($F2004,Clientes!$B$4:$B$39,Clientes!$C$4:$C$39),Cadastros!$L$6:$L$12,Cadastros!$M$6:$M$12)," ")</f>
        <v xml:space="preserve"> </v>
      </c>
      <c r="AB2004" s="28"/>
      <c r="AC2004" s="28"/>
      <c r="AD2004" s="20" t="str">
        <f>IF(AB2004="","",IF($F2004="Bernardino Furlan",_xlfn.XLOOKUP(AB2004,Cadastros!$G$6:$G$90,Cadastros!$H$6:$H$90)*(1-0.18),IF($F2004="Mauro José Salanti",_xlfn.XLOOKUP(AB2004,Cadastros!$G$6:$G$90,Cadastros!$H$6:$H$90)*(1-0.18),_xlfn.XLOOKUP(AB2004,Cadastros!$G$6:$G$90,Cadastros!$H$6:$H$90))))</f>
        <v/>
      </c>
      <c r="AE2004" s="168" t="str">
        <f t="shared" si="408"/>
        <v/>
      </c>
      <c r="AF2004" s="168" t="str">
        <f t="shared" si="409"/>
        <v/>
      </c>
      <c r="AG2004" s="28"/>
      <c r="AH2004" s="28"/>
      <c r="AI2004" s="20" t="str">
        <f>IF(AG2004="","",IF($F2004="Bernardino Furlan",_xlfn.XLOOKUP(AG2004,Cadastros!$G$6:$G$90,Cadastros!$H$6:$H$90)*(1-0.18),IF($F2004="Mauro José Salanti",_xlfn.XLOOKUP(AG2004,Cadastros!$G$6:$G$90,Cadastros!$H$6:$H$90)*(1-0.18),_xlfn.XLOOKUP(AG2004,Cadastros!$G$6:$G$90,Cadastros!$H$6:$H$90))))</f>
        <v/>
      </c>
      <c r="AJ2004" s="168" t="str">
        <f t="shared" si="410"/>
        <v/>
      </c>
      <c r="AK2004" s="168" t="str">
        <f t="shared" si="411"/>
        <v/>
      </c>
      <c r="AL2004" s="28"/>
      <c r="AM2004" s="28"/>
      <c r="AN2004" s="20" t="str">
        <f>IF(AL2004="","",IF($F2004="Bernardino Furlan",_xlfn.XLOOKUP(AL2004,Cadastros!$G$6:$G$90,Cadastros!$H$6:$H$90)*(1-0.18),IF($F2004="Mauro José Salanti",_xlfn.XLOOKUP(AL2004,Cadastros!$G$6:$G$90,Cadastros!$H$6:$H$90)*(1-0.18),_xlfn.XLOOKUP(AL2004,Cadastros!$G$6:$G$90,Cadastros!$H$6:$H$90))))</f>
        <v/>
      </c>
      <c r="AO2004" s="168" t="str">
        <f t="shared" si="412"/>
        <v/>
      </c>
      <c r="AP2004" s="168" t="str">
        <f t="shared" si="413"/>
        <v/>
      </c>
      <c r="AQ2004" s="28"/>
      <c r="AR2004" s="28"/>
      <c r="AS2004" s="20" t="str">
        <f>IF(AQ2004="","",IF($F2004="Bernardino Furlan",_xlfn.XLOOKUP(AQ2004,Cadastros!$G$6:$G$90,Cadastros!$H$6:$H$90)*(1-0.18),IF($F2004="Mauro José Salanti",_xlfn.XLOOKUP(AQ2004,Cadastros!$G$6:$G$90,Cadastros!$H$6:$H$90)*(1-0.18),_xlfn.XLOOKUP(AQ2004,Cadastros!$G$6:$G$90,Cadastros!$H$6:$H$90))))</f>
        <v/>
      </c>
      <c r="AT2004" s="168" t="str">
        <f t="shared" si="414"/>
        <v/>
      </c>
      <c r="AU2004" s="168" t="str">
        <f t="shared" si="415"/>
        <v/>
      </c>
      <c r="AV2004" s="227"/>
      <c r="AW2004" s="30"/>
      <c r="AX2004" s="267"/>
      <c r="AY2004" s="267"/>
      <c r="AZ2004" s="29"/>
      <c r="BA2004" s="30"/>
      <c r="BB2004" s="23" t="str" cm="1">
        <f t="array" ref="BB2004">_xlfn.IFS(AW2004="SIM",SUM(K2004,P2004,U2004,Z2004,AE2004,AJ2004,AO2004,AT2004,AX2004,AY2004),F2004&lt;&gt;"",SUM(K2004,P2004,U2004,Z2004,AE2004,AJ2004,,AO2004,AT2004),F2004="","")</f>
        <v/>
      </c>
      <c r="BC2004" s="211" t="str" cm="1">
        <f t="array" ref="BC2004">_xlfn.IFS(E2004="","",G2004&lt;=E2004,BB2004*(1-0.03),G2004&lt;(E2004+8),BB2004,AZ2004="Boleto",BB2004*(1+0.001)^DATEDIF(E2004,G2004,"D"),AZ2004="Cheque",BB2004,AZ2004="Dinheiro","Alterar forma pgto")</f>
        <v/>
      </c>
      <c r="BD2004" s="276" t="str" cm="1">
        <f t="array" ref="BD2004">IF(F2004=0," ",IF(BC2004&lt;BB2004,(_xlfn.IFS(AW2004="SIM",SUM(L2004,Q2004,V2004,AA2004,AF2004,AK2004,AP2004,AU2004)+AX2004/_xlfn.XLOOKUP(_xlfn.XLOOKUP($F2004,Clientes!$B$4:$B$39,Clientes!$C$4:$C$39),Cadastros!$L$6:$L$12,Cadastros!$M$6:$M$12)+IF($F2004="Bernardino Furlan",AY2004/2751.92,IF($F2004="Mauro José Salanti",AY2004/2751.92,AY2004/3356)),F2004&lt;&gt;0,SUM(L2004,Q2004,V2004,AA2004,AF2004,AK2004,AP2004,AU2004)))*(1-0.03),_xlfn.IFS(AW2004="SIM",SUM(L2004,Q2004,V2004,AA2004,AF2004,AK2004,AP2004,AU2004)+AX2004/_xlfn.XLOOKUP(_xlfn.XLOOKUP($F2004,Clientes!$B$4:$B$39,Clientes!$C$4:$C$39),Cadastros!$L$6:$L$12,Cadastros!$M$6:$M$12)+IF($F2004="Bernardino Furlan",AY2004/2751.92,IF($F2004="Mauro José Salanti",AY2004/2751.92,AY2004/3356)),F2004&lt;&gt;0,SUM(L2004,Q2004,V2004,AA2004,AF2004,AK2004,AP2004,AU2004))))</f>
        <v xml:space="preserve"> </v>
      </c>
      <c r="BE2004" s="120"/>
      <c r="BF2004" s="120"/>
      <c r="BG2004" s="120"/>
    </row>
    <row r="2005" spans="1:59" s="3" customFormat="1" x14ac:dyDescent="0.3">
      <c r="A2005" s="15" t="str">
        <f t="shared" si="403"/>
        <v/>
      </c>
      <c r="B2005" s="25"/>
      <c r="C2005" s="26"/>
      <c r="D2005" s="279"/>
      <c r="E2005" s="27"/>
      <c r="F2005" s="28"/>
      <c r="G2005" s="27"/>
      <c r="H2005" s="28"/>
      <c r="I2005" s="28"/>
      <c r="J2005" s="255" t="str">
        <f>IF(H2005="","",(_xlfn.XLOOKUP(H2005,Cadastros!$D$6:$D$90,Cadastros!$E$6:$E$90))*(1-_xlfn.XLOOKUP(_xlfn.XLOOKUP($F2005,Clientes!$B$4:$B$39,Clientes!$C$4:$C$39),Cadastros!$L$6:$L$12,Cadastros!$N$6:$N$12)))</f>
        <v/>
      </c>
      <c r="K2005" s="168" t="str">
        <f t="shared" si="404"/>
        <v/>
      </c>
      <c r="L2005" s="168" t="str">
        <f>IFERROR(K2005/_xlfn.XLOOKUP(_xlfn.XLOOKUP($F2005,Clientes!$B$4:$B$39,Clientes!$C$4:$C$39),Cadastros!$L$6:$L$12,Cadastros!$M$6:$M$12)," ")</f>
        <v xml:space="preserve"> </v>
      </c>
      <c r="M2005" s="28"/>
      <c r="N2005" s="28"/>
      <c r="O2005" s="255" t="str">
        <f>IF(M2005="","",(_xlfn.XLOOKUP(M2005,Cadastros!$D$6:$D$90,Cadastros!$E$6:$E$90))*(1-_xlfn.XLOOKUP(_xlfn.XLOOKUP($F2005,Clientes!$B$4:$B$39,Clientes!$C$4:$C$39),Cadastros!$L$6:$L$12,Cadastros!$N$6:$N$12)))</f>
        <v/>
      </c>
      <c r="P2005" s="168" t="str">
        <f t="shared" si="405"/>
        <v/>
      </c>
      <c r="Q2005" s="168" t="str">
        <f>IFERROR(P2005/_xlfn.XLOOKUP(_xlfn.XLOOKUP($F2005,Clientes!$B$4:$B$39,Clientes!$C$4:$C$39),Cadastros!$L$6:$L$12,Cadastros!$M$6:$M$12)," ")</f>
        <v xml:space="preserve"> </v>
      </c>
      <c r="R2005" s="28"/>
      <c r="S2005" s="28"/>
      <c r="T2005" s="255" t="str">
        <f>IF(R2005="","",(_xlfn.XLOOKUP(R2005,Cadastros!$D$6:$D$90,Cadastros!$E$6:$E$90))*(1-_xlfn.XLOOKUP(_xlfn.XLOOKUP($F2005,Clientes!$B$4:$B$39,Clientes!$C$4:$C$39),Cadastros!$L$6:$L$12,Cadastros!$N$6:$N$12)))</f>
        <v/>
      </c>
      <c r="U2005" s="168" t="str">
        <f t="shared" si="406"/>
        <v/>
      </c>
      <c r="V2005" s="168" t="str">
        <f>IFERROR(U2005/_xlfn.XLOOKUP(_xlfn.XLOOKUP($F2005,Clientes!$B$4:$B$39,Clientes!$C$4:$C$39),Cadastros!$L$6:$L$12,Cadastros!$M$6:$M$12)," ")</f>
        <v xml:space="preserve"> </v>
      </c>
      <c r="W2005" s="28"/>
      <c r="X2005" s="28"/>
      <c r="Y2005" s="255" t="str">
        <f>IF(W2005="","",(_xlfn.XLOOKUP(W2005,Cadastros!$D$6:$D$90,Cadastros!$E$6:$E$90))*(1-_xlfn.XLOOKUP(_xlfn.XLOOKUP($F2005,Clientes!$B$4:$B$39,Clientes!$C$4:$C$39),Cadastros!$L$6:$L$12,Cadastros!$N$6:$N$12)))</f>
        <v/>
      </c>
      <c r="Z2005" s="168" t="str">
        <f t="shared" si="407"/>
        <v/>
      </c>
      <c r="AA2005" s="168" t="str">
        <f>IFERROR(Z2005/_xlfn.XLOOKUP(_xlfn.XLOOKUP($F2005,Clientes!$B$4:$B$39,Clientes!$C$4:$C$39),Cadastros!$L$6:$L$12,Cadastros!$M$6:$M$12)," ")</f>
        <v xml:space="preserve"> </v>
      </c>
      <c r="AB2005" s="28"/>
      <c r="AC2005" s="28"/>
      <c r="AD2005" s="20" t="str">
        <f>IF(AB2005="","",IF($F2005="Bernardino Furlan",_xlfn.XLOOKUP(AB2005,Cadastros!$G$6:$G$90,Cadastros!$H$6:$H$90)*(1-0.18),IF($F2005="Mauro José Salanti",_xlfn.XLOOKUP(AB2005,Cadastros!$G$6:$G$90,Cadastros!$H$6:$H$90)*(1-0.18),_xlfn.XLOOKUP(AB2005,Cadastros!$G$6:$G$90,Cadastros!$H$6:$H$90))))</f>
        <v/>
      </c>
      <c r="AE2005" s="168" t="str">
        <f t="shared" si="408"/>
        <v/>
      </c>
      <c r="AF2005" s="168" t="str">
        <f t="shared" si="409"/>
        <v/>
      </c>
      <c r="AG2005" s="28"/>
      <c r="AH2005" s="28"/>
      <c r="AI2005" s="20" t="str">
        <f>IF(AG2005="","",IF($F2005="Bernardino Furlan",_xlfn.XLOOKUP(AG2005,Cadastros!$G$6:$G$90,Cadastros!$H$6:$H$90)*(1-0.18),IF($F2005="Mauro José Salanti",_xlfn.XLOOKUP(AG2005,Cadastros!$G$6:$G$90,Cadastros!$H$6:$H$90)*(1-0.18),_xlfn.XLOOKUP(AG2005,Cadastros!$G$6:$G$90,Cadastros!$H$6:$H$90))))</f>
        <v/>
      </c>
      <c r="AJ2005" s="168" t="str">
        <f t="shared" si="410"/>
        <v/>
      </c>
      <c r="AK2005" s="168" t="str">
        <f t="shared" si="411"/>
        <v/>
      </c>
      <c r="AL2005" s="28"/>
      <c r="AM2005" s="28"/>
      <c r="AN2005" s="20" t="str">
        <f>IF(AL2005="","",IF($F2005="Bernardino Furlan",_xlfn.XLOOKUP(AL2005,Cadastros!$G$6:$G$90,Cadastros!$H$6:$H$90)*(1-0.18),IF($F2005="Mauro José Salanti",_xlfn.XLOOKUP(AL2005,Cadastros!$G$6:$G$90,Cadastros!$H$6:$H$90)*(1-0.18),_xlfn.XLOOKUP(AL2005,Cadastros!$G$6:$G$90,Cadastros!$H$6:$H$90))))</f>
        <v/>
      </c>
      <c r="AO2005" s="168" t="str">
        <f t="shared" si="412"/>
        <v/>
      </c>
      <c r="AP2005" s="168" t="str">
        <f t="shared" si="413"/>
        <v/>
      </c>
      <c r="AQ2005" s="28"/>
      <c r="AR2005" s="28"/>
      <c r="AS2005" s="20" t="str">
        <f>IF(AQ2005="","",IF($F2005="Bernardino Furlan",_xlfn.XLOOKUP(AQ2005,Cadastros!$G$6:$G$90,Cadastros!$H$6:$H$90)*(1-0.18),IF($F2005="Mauro José Salanti",_xlfn.XLOOKUP(AQ2005,Cadastros!$G$6:$G$90,Cadastros!$H$6:$H$90)*(1-0.18),_xlfn.XLOOKUP(AQ2005,Cadastros!$G$6:$G$90,Cadastros!$H$6:$H$90))))</f>
        <v/>
      </c>
      <c r="AT2005" s="168" t="str">
        <f t="shared" si="414"/>
        <v/>
      </c>
      <c r="AU2005" s="168" t="str">
        <f t="shared" si="415"/>
        <v/>
      </c>
      <c r="AV2005" s="227"/>
      <c r="AW2005" s="30"/>
      <c r="AX2005" s="267"/>
      <c r="AY2005" s="267"/>
      <c r="AZ2005" s="29"/>
      <c r="BA2005" s="30"/>
      <c r="BB2005" s="23" t="str" cm="1">
        <f t="array" ref="BB2005">_xlfn.IFS(AW2005="SIM",SUM(K2005,P2005,U2005,Z2005,AE2005,AJ2005,AO2005,AT2005,AX2005,AY2005),F2005&lt;&gt;"",SUM(K2005,P2005,U2005,Z2005,AE2005,AJ2005,,AO2005,AT2005),F2005="","")</f>
        <v/>
      </c>
      <c r="BC2005" s="211" t="str" cm="1">
        <f t="array" ref="BC2005">_xlfn.IFS(E2005="","",G2005&lt;=E2005,BB2005*(1-0.03),G2005&lt;(E2005+8),BB2005,AZ2005="Boleto",BB2005*(1+0.001)^DATEDIF(E2005,G2005,"D"),AZ2005="Cheque",BB2005,AZ2005="Dinheiro","Alterar forma pgto")</f>
        <v/>
      </c>
      <c r="BD2005" s="276" t="str" cm="1">
        <f t="array" ref="BD2005">IF(F2005=0," ",IF(BC2005&lt;BB2005,(_xlfn.IFS(AW2005="SIM",SUM(L2005,Q2005,V2005,AA2005,AF2005,AK2005,AP2005,AU2005)+AX2005/_xlfn.XLOOKUP(_xlfn.XLOOKUP($F2005,Clientes!$B$4:$B$39,Clientes!$C$4:$C$39),Cadastros!$L$6:$L$12,Cadastros!$M$6:$M$12)+IF($F2005="Bernardino Furlan",AY2005/2751.92,IF($F2005="Mauro José Salanti",AY2005/2751.92,AY2005/3356)),F2005&lt;&gt;0,SUM(L2005,Q2005,V2005,AA2005,AF2005,AK2005,AP2005,AU2005)))*(1-0.03),_xlfn.IFS(AW2005="SIM",SUM(L2005,Q2005,V2005,AA2005,AF2005,AK2005,AP2005,AU2005)+AX2005/_xlfn.XLOOKUP(_xlfn.XLOOKUP($F2005,Clientes!$B$4:$B$39,Clientes!$C$4:$C$39),Cadastros!$L$6:$L$12,Cadastros!$M$6:$M$12)+IF($F2005="Bernardino Furlan",AY2005/2751.92,IF($F2005="Mauro José Salanti",AY2005/2751.92,AY2005/3356)),F2005&lt;&gt;0,SUM(L2005,Q2005,V2005,AA2005,AF2005,AK2005,AP2005,AU2005))))</f>
        <v xml:space="preserve"> </v>
      </c>
      <c r="BE2005" s="120"/>
      <c r="BF2005" s="120"/>
      <c r="BG2005" s="120"/>
    </row>
    <row r="2006" spans="1:59" s="3" customFormat="1" x14ac:dyDescent="0.3">
      <c r="A2006" s="15" t="str">
        <f t="shared" si="403"/>
        <v/>
      </c>
      <c r="B2006" s="25"/>
      <c r="C2006" s="26"/>
      <c r="D2006" s="279"/>
      <c r="E2006" s="27"/>
      <c r="F2006" s="28"/>
      <c r="G2006" s="27"/>
      <c r="H2006" s="28"/>
      <c r="I2006" s="28"/>
      <c r="J2006" s="255" t="str">
        <f>IF(H2006="","",(_xlfn.XLOOKUP(H2006,Cadastros!$D$6:$D$90,Cadastros!$E$6:$E$90))*(1-_xlfn.XLOOKUP(_xlfn.XLOOKUP($F2006,Clientes!$B$4:$B$39,Clientes!$C$4:$C$39),Cadastros!$L$6:$L$12,Cadastros!$N$6:$N$12)))</f>
        <v/>
      </c>
      <c r="K2006" s="168" t="str">
        <f t="shared" si="404"/>
        <v/>
      </c>
      <c r="L2006" s="168" t="str">
        <f>IFERROR(K2006/_xlfn.XLOOKUP(_xlfn.XLOOKUP($F2006,Clientes!$B$4:$B$39,Clientes!$C$4:$C$39),Cadastros!$L$6:$L$12,Cadastros!$M$6:$M$12)," ")</f>
        <v xml:space="preserve"> </v>
      </c>
      <c r="M2006" s="28"/>
      <c r="N2006" s="28"/>
      <c r="O2006" s="255" t="str">
        <f>IF(M2006="","",(_xlfn.XLOOKUP(M2006,Cadastros!$D$6:$D$90,Cadastros!$E$6:$E$90))*(1-_xlfn.XLOOKUP(_xlfn.XLOOKUP($F2006,Clientes!$B$4:$B$39,Clientes!$C$4:$C$39),Cadastros!$L$6:$L$12,Cadastros!$N$6:$N$12)))</f>
        <v/>
      </c>
      <c r="P2006" s="168" t="str">
        <f t="shared" si="405"/>
        <v/>
      </c>
      <c r="Q2006" s="168" t="str">
        <f>IFERROR(P2006/_xlfn.XLOOKUP(_xlfn.XLOOKUP($F2006,Clientes!$B$4:$B$39,Clientes!$C$4:$C$39),Cadastros!$L$6:$L$12,Cadastros!$M$6:$M$12)," ")</f>
        <v xml:space="preserve"> </v>
      </c>
      <c r="R2006" s="28"/>
      <c r="S2006" s="28"/>
      <c r="T2006" s="255" t="str">
        <f>IF(R2006="","",(_xlfn.XLOOKUP(R2006,Cadastros!$D$6:$D$90,Cadastros!$E$6:$E$90))*(1-_xlfn.XLOOKUP(_xlfn.XLOOKUP($F2006,Clientes!$B$4:$B$39,Clientes!$C$4:$C$39),Cadastros!$L$6:$L$12,Cadastros!$N$6:$N$12)))</f>
        <v/>
      </c>
      <c r="U2006" s="168" t="str">
        <f t="shared" si="406"/>
        <v/>
      </c>
      <c r="V2006" s="168" t="str">
        <f>IFERROR(U2006/_xlfn.XLOOKUP(_xlfn.XLOOKUP($F2006,Clientes!$B$4:$B$39,Clientes!$C$4:$C$39),Cadastros!$L$6:$L$12,Cadastros!$M$6:$M$12)," ")</f>
        <v xml:space="preserve"> </v>
      </c>
      <c r="W2006" s="28"/>
      <c r="X2006" s="28"/>
      <c r="Y2006" s="255" t="str">
        <f>IF(W2006="","",(_xlfn.XLOOKUP(W2006,Cadastros!$D$6:$D$90,Cadastros!$E$6:$E$90))*(1-_xlfn.XLOOKUP(_xlfn.XLOOKUP($F2006,Clientes!$B$4:$B$39,Clientes!$C$4:$C$39),Cadastros!$L$6:$L$12,Cadastros!$N$6:$N$12)))</f>
        <v/>
      </c>
      <c r="Z2006" s="168" t="str">
        <f t="shared" si="407"/>
        <v/>
      </c>
      <c r="AA2006" s="168" t="str">
        <f>IFERROR(Z2006/_xlfn.XLOOKUP(_xlfn.XLOOKUP($F2006,Clientes!$B$4:$B$39,Clientes!$C$4:$C$39),Cadastros!$L$6:$L$12,Cadastros!$M$6:$M$12)," ")</f>
        <v xml:space="preserve"> </v>
      </c>
      <c r="AB2006" s="28"/>
      <c r="AC2006" s="28"/>
      <c r="AD2006" s="20" t="str">
        <f>IF(AB2006="","",IF($F2006="Bernardino Furlan",_xlfn.XLOOKUP(AB2006,Cadastros!$G$6:$G$90,Cadastros!$H$6:$H$90)*(1-0.18),IF($F2006="Mauro José Salanti",_xlfn.XLOOKUP(AB2006,Cadastros!$G$6:$G$90,Cadastros!$H$6:$H$90)*(1-0.18),_xlfn.XLOOKUP(AB2006,Cadastros!$G$6:$G$90,Cadastros!$H$6:$H$90))))</f>
        <v/>
      </c>
      <c r="AE2006" s="168" t="str">
        <f t="shared" si="408"/>
        <v/>
      </c>
      <c r="AF2006" s="168" t="str">
        <f t="shared" si="409"/>
        <v/>
      </c>
      <c r="AG2006" s="28"/>
      <c r="AH2006" s="28"/>
      <c r="AI2006" s="20" t="str">
        <f>IF(AG2006="","",IF($F2006="Bernardino Furlan",_xlfn.XLOOKUP(AG2006,Cadastros!$G$6:$G$90,Cadastros!$H$6:$H$90)*(1-0.18),IF($F2006="Mauro José Salanti",_xlfn.XLOOKUP(AG2006,Cadastros!$G$6:$G$90,Cadastros!$H$6:$H$90)*(1-0.18),_xlfn.XLOOKUP(AG2006,Cadastros!$G$6:$G$90,Cadastros!$H$6:$H$90))))</f>
        <v/>
      </c>
      <c r="AJ2006" s="168" t="str">
        <f t="shared" si="410"/>
        <v/>
      </c>
      <c r="AK2006" s="168" t="str">
        <f t="shared" si="411"/>
        <v/>
      </c>
      <c r="AL2006" s="28"/>
      <c r="AM2006" s="28"/>
      <c r="AN2006" s="20" t="str">
        <f>IF(AL2006="","",IF($F2006="Bernardino Furlan",_xlfn.XLOOKUP(AL2006,Cadastros!$G$6:$G$90,Cadastros!$H$6:$H$90)*(1-0.18),IF($F2006="Mauro José Salanti",_xlfn.XLOOKUP(AL2006,Cadastros!$G$6:$G$90,Cadastros!$H$6:$H$90)*(1-0.18),_xlfn.XLOOKUP(AL2006,Cadastros!$G$6:$G$90,Cadastros!$H$6:$H$90))))</f>
        <v/>
      </c>
      <c r="AO2006" s="168" t="str">
        <f t="shared" si="412"/>
        <v/>
      </c>
      <c r="AP2006" s="168" t="str">
        <f t="shared" si="413"/>
        <v/>
      </c>
      <c r="AQ2006" s="28"/>
      <c r="AR2006" s="28"/>
      <c r="AS2006" s="20" t="str">
        <f>IF(AQ2006="","",IF($F2006="Bernardino Furlan",_xlfn.XLOOKUP(AQ2006,Cadastros!$G$6:$G$90,Cadastros!$H$6:$H$90)*(1-0.18),IF($F2006="Mauro José Salanti",_xlfn.XLOOKUP(AQ2006,Cadastros!$G$6:$G$90,Cadastros!$H$6:$H$90)*(1-0.18),_xlfn.XLOOKUP(AQ2006,Cadastros!$G$6:$G$90,Cadastros!$H$6:$H$90))))</f>
        <v/>
      </c>
      <c r="AT2006" s="168" t="str">
        <f t="shared" si="414"/>
        <v/>
      </c>
      <c r="AU2006" s="168" t="str">
        <f t="shared" si="415"/>
        <v/>
      </c>
      <c r="AV2006" s="227"/>
      <c r="AW2006" s="30"/>
      <c r="AX2006" s="267"/>
      <c r="AY2006" s="267"/>
      <c r="AZ2006" s="29"/>
      <c r="BA2006" s="30"/>
      <c r="BB2006" s="23" t="str" cm="1">
        <f t="array" ref="BB2006">_xlfn.IFS(AW2006="SIM",SUM(K2006,P2006,U2006,Z2006,AE2006,AJ2006,AO2006,AT2006,AX2006,AY2006),F2006&lt;&gt;"",SUM(K2006,P2006,U2006,Z2006,AE2006,AJ2006,,AO2006,AT2006),F2006="","")</f>
        <v/>
      </c>
      <c r="BC2006" s="211" t="str" cm="1">
        <f t="array" ref="BC2006">_xlfn.IFS(E2006="","",G2006&lt;=E2006,BB2006*(1-0.03),G2006&lt;(E2006+8),BB2006,AZ2006="Boleto",BB2006*(1+0.001)^DATEDIF(E2006,G2006,"D"),AZ2006="Cheque",BB2006,AZ2006="Dinheiro","Alterar forma pgto")</f>
        <v/>
      </c>
      <c r="BD2006" s="276" t="str" cm="1">
        <f t="array" ref="BD2006">IF(F2006=0," ",IF(BC2006&lt;BB2006,(_xlfn.IFS(AW2006="SIM",SUM(L2006,Q2006,V2006,AA2006,AF2006,AK2006,AP2006,AU2006)+AX2006/_xlfn.XLOOKUP(_xlfn.XLOOKUP($F2006,Clientes!$B$4:$B$39,Clientes!$C$4:$C$39),Cadastros!$L$6:$L$12,Cadastros!$M$6:$M$12)+IF($F2006="Bernardino Furlan",AY2006/2751.92,IF($F2006="Mauro José Salanti",AY2006/2751.92,AY2006/3356)),F2006&lt;&gt;0,SUM(L2006,Q2006,V2006,AA2006,AF2006,AK2006,AP2006,AU2006)))*(1-0.03),_xlfn.IFS(AW2006="SIM",SUM(L2006,Q2006,V2006,AA2006,AF2006,AK2006,AP2006,AU2006)+AX2006/_xlfn.XLOOKUP(_xlfn.XLOOKUP($F2006,Clientes!$B$4:$B$39,Clientes!$C$4:$C$39),Cadastros!$L$6:$L$12,Cadastros!$M$6:$M$12)+IF($F2006="Bernardino Furlan",AY2006/2751.92,IF($F2006="Mauro José Salanti",AY2006/2751.92,AY2006/3356)),F2006&lt;&gt;0,SUM(L2006,Q2006,V2006,AA2006,AF2006,AK2006,AP2006,AU2006))))</f>
        <v xml:space="preserve"> </v>
      </c>
      <c r="BE2006" s="120"/>
      <c r="BF2006" s="120"/>
      <c r="BG2006" s="120"/>
    </row>
    <row r="2007" spans="1:59" s="3" customFormat="1" x14ac:dyDescent="0.3">
      <c r="A2007" s="15" t="str">
        <f t="shared" si="403"/>
        <v/>
      </c>
      <c r="B2007" s="25"/>
      <c r="C2007" s="26"/>
      <c r="D2007" s="279"/>
      <c r="E2007" s="27"/>
      <c r="F2007" s="28"/>
      <c r="G2007" s="27"/>
      <c r="H2007" s="28"/>
      <c r="I2007" s="28"/>
      <c r="J2007" s="255" t="str">
        <f>IF(H2007="","",(_xlfn.XLOOKUP(H2007,Cadastros!$D$6:$D$90,Cadastros!$E$6:$E$90))*(1-_xlfn.XLOOKUP(_xlfn.XLOOKUP($F2007,Clientes!$B$4:$B$39,Clientes!$C$4:$C$39),Cadastros!$L$6:$L$12,Cadastros!$N$6:$N$12)))</f>
        <v/>
      </c>
      <c r="K2007" s="168" t="str">
        <f t="shared" si="404"/>
        <v/>
      </c>
      <c r="L2007" s="168" t="str">
        <f>IFERROR(K2007/_xlfn.XLOOKUP(_xlfn.XLOOKUP($F2007,Clientes!$B$4:$B$39,Clientes!$C$4:$C$39),Cadastros!$L$6:$L$12,Cadastros!$M$6:$M$12)," ")</f>
        <v xml:space="preserve"> </v>
      </c>
      <c r="M2007" s="28"/>
      <c r="N2007" s="28"/>
      <c r="O2007" s="255" t="str">
        <f>IF(M2007="","",(_xlfn.XLOOKUP(M2007,Cadastros!$D$6:$D$90,Cadastros!$E$6:$E$90))*(1-_xlfn.XLOOKUP(_xlfn.XLOOKUP($F2007,Clientes!$B$4:$B$39,Clientes!$C$4:$C$39),Cadastros!$L$6:$L$12,Cadastros!$N$6:$N$12)))</f>
        <v/>
      </c>
      <c r="P2007" s="168" t="str">
        <f t="shared" si="405"/>
        <v/>
      </c>
      <c r="Q2007" s="168" t="str">
        <f>IFERROR(P2007/_xlfn.XLOOKUP(_xlfn.XLOOKUP($F2007,Clientes!$B$4:$B$39,Clientes!$C$4:$C$39),Cadastros!$L$6:$L$12,Cadastros!$M$6:$M$12)," ")</f>
        <v xml:space="preserve"> </v>
      </c>
      <c r="R2007" s="28"/>
      <c r="S2007" s="28"/>
      <c r="T2007" s="255" t="str">
        <f>IF(R2007="","",(_xlfn.XLOOKUP(R2007,Cadastros!$D$6:$D$90,Cadastros!$E$6:$E$90))*(1-_xlfn.XLOOKUP(_xlfn.XLOOKUP($F2007,Clientes!$B$4:$B$39,Clientes!$C$4:$C$39),Cadastros!$L$6:$L$12,Cadastros!$N$6:$N$12)))</f>
        <v/>
      </c>
      <c r="U2007" s="168" t="str">
        <f t="shared" si="406"/>
        <v/>
      </c>
      <c r="V2007" s="168" t="str">
        <f>IFERROR(U2007/_xlfn.XLOOKUP(_xlfn.XLOOKUP($F2007,Clientes!$B$4:$B$39,Clientes!$C$4:$C$39),Cadastros!$L$6:$L$12,Cadastros!$M$6:$M$12)," ")</f>
        <v xml:space="preserve"> </v>
      </c>
      <c r="W2007" s="28"/>
      <c r="X2007" s="28"/>
      <c r="Y2007" s="255" t="str">
        <f>IF(W2007="","",(_xlfn.XLOOKUP(W2007,Cadastros!$D$6:$D$90,Cadastros!$E$6:$E$90))*(1-_xlfn.XLOOKUP(_xlfn.XLOOKUP($F2007,Clientes!$B$4:$B$39,Clientes!$C$4:$C$39),Cadastros!$L$6:$L$12,Cadastros!$N$6:$N$12)))</f>
        <v/>
      </c>
      <c r="Z2007" s="168" t="str">
        <f t="shared" si="407"/>
        <v/>
      </c>
      <c r="AA2007" s="168" t="str">
        <f>IFERROR(Z2007/_xlfn.XLOOKUP(_xlfn.XLOOKUP($F2007,Clientes!$B$4:$B$39,Clientes!$C$4:$C$39),Cadastros!$L$6:$L$12,Cadastros!$M$6:$M$12)," ")</f>
        <v xml:space="preserve"> </v>
      </c>
      <c r="AB2007" s="28"/>
      <c r="AC2007" s="28"/>
      <c r="AD2007" s="20" t="str">
        <f>IF(AB2007="","",IF($F2007="Bernardino Furlan",_xlfn.XLOOKUP(AB2007,Cadastros!$G$6:$G$90,Cadastros!$H$6:$H$90)*(1-0.18),IF($F2007="Mauro José Salanti",_xlfn.XLOOKUP(AB2007,Cadastros!$G$6:$G$90,Cadastros!$H$6:$H$90)*(1-0.18),_xlfn.XLOOKUP(AB2007,Cadastros!$G$6:$G$90,Cadastros!$H$6:$H$90))))</f>
        <v/>
      </c>
      <c r="AE2007" s="168" t="str">
        <f t="shared" si="408"/>
        <v/>
      </c>
      <c r="AF2007" s="168" t="str">
        <f t="shared" si="409"/>
        <v/>
      </c>
      <c r="AG2007" s="28"/>
      <c r="AH2007" s="28"/>
      <c r="AI2007" s="20" t="str">
        <f>IF(AG2007="","",IF($F2007="Bernardino Furlan",_xlfn.XLOOKUP(AG2007,Cadastros!$G$6:$G$90,Cadastros!$H$6:$H$90)*(1-0.18),IF($F2007="Mauro José Salanti",_xlfn.XLOOKUP(AG2007,Cadastros!$G$6:$G$90,Cadastros!$H$6:$H$90)*(1-0.18),_xlfn.XLOOKUP(AG2007,Cadastros!$G$6:$G$90,Cadastros!$H$6:$H$90))))</f>
        <v/>
      </c>
      <c r="AJ2007" s="168" t="str">
        <f t="shared" si="410"/>
        <v/>
      </c>
      <c r="AK2007" s="168" t="str">
        <f t="shared" si="411"/>
        <v/>
      </c>
      <c r="AL2007" s="28"/>
      <c r="AM2007" s="28"/>
      <c r="AN2007" s="20" t="str">
        <f>IF(AL2007="","",IF($F2007="Bernardino Furlan",_xlfn.XLOOKUP(AL2007,Cadastros!$G$6:$G$90,Cadastros!$H$6:$H$90)*(1-0.18),IF($F2007="Mauro José Salanti",_xlfn.XLOOKUP(AL2007,Cadastros!$G$6:$G$90,Cadastros!$H$6:$H$90)*(1-0.18),_xlfn.XLOOKUP(AL2007,Cadastros!$G$6:$G$90,Cadastros!$H$6:$H$90))))</f>
        <v/>
      </c>
      <c r="AO2007" s="168" t="str">
        <f t="shared" si="412"/>
        <v/>
      </c>
      <c r="AP2007" s="168" t="str">
        <f t="shared" si="413"/>
        <v/>
      </c>
      <c r="AQ2007" s="28"/>
      <c r="AR2007" s="28"/>
      <c r="AS2007" s="20" t="str">
        <f>IF(AQ2007="","",IF($F2007="Bernardino Furlan",_xlfn.XLOOKUP(AQ2007,Cadastros!$G$6:$G$90,Cadastros!$H$6:$H$90)*(1-0.18),IF($F2007="Mauro José Salanti",_xlfn.XLOOKUP(AQ2007,Cadastros!$G$6:$G$90,Cadastros!$H$6:$H$90)*(1-0.18),_xlfn.XLOOKUP(AQ2007,Cadastros!$G$6:$G$90,Cadastros!$H$6:$H$90))))</f>
        <v/>
      </c>
      <c r="AT2007" s="168" t="str">
        <f t="shared" si="414"/>
        <v/>
      </c>
      <c r="AU2007" s="168" t="str">
        <f t="shared" si="415"/>
        <v/>
      </c>
      <c r="AV2007" s="227"/>
      <c r="AW2007" s="30"/>
      <c r="AX2007" s="267"/>
      <c r="AY2007" s="267"/>
      <c r="AZ2007" s="29"/>
      <c r="BA2007" s="30"/>
      <c r="BB2007" s="23" t="str" cm="1">
        <f t="array" ref="BB2007">_xlfn.IFS(AW2007="SIM",SUM(K2007,P2007,U2007,Z2007,AE2007,AJ2007,AO2007,AT2007,AX2007,AY2007),F2007&lt;&gt;"",SUM(K2007,P2007,U2007,Z2007,AE2007,AJ2007,,AO2007,AT2007),F2007="","")</f>
        <v/>
      </c>
      <c r="BC2007" s="211" t="str" cm="1">
        <f t="array" ref="BC2007">_xlfn.IFS(E2007="","",G2007&lt;=E2007,BB2007*(1-0.03),G2007&lt;(E2007+8),BB2007,AZ2007="Boleto",BB2007*(1+0.001)^DATEDIF(E2007,G2007,"D"),AZ2007="Cheque",BB2007,AZ2007="Dinheiro","Alterar forma pgto")</f>
        <v/>
      </c>
      <c r="BD2007" s="276" t="str" cm="1">
        <f t="array" ref="BD2007">IF(F2007=0," ",IF(BC2007&lt;BB2007,(_xlfn.IFS(AW2007="SIM",SUM(L2007,Q2007,V2007,AA2007,AF2007,AK2007,AP2007,AU2007)+AX2007/_xlfn.XLOOKUP(_xlfn.XLOOKUP($F2007,Clientes!$B$4:$B$39,Clientes!$C$4:$C$39),Cadastros!$L$6:$L$12,Cadastros!$M$6:$M$12)+IF($F2007="Bernardino Furlan",AY2007/2751.92,IF($F2007="Mauro José Salanti",AY2007/2751.92,AY2007/3356)),F2007&lt;&gt;0,SUM(L2007,Q2007,V2007,AA2007,AF2007,AK2007,AP2007,AU2007)))*(1-0.03),_xlfn.IFS(AW2007="SIM",SUM(L2007,Q2007,V2007,AA2007,AF2007,AK2007,AP2007,AU2007)+AX2007/_xlfn.XLOOKUP(_xlfn.XLOOKUP($F2007,Clientes!$B$4:$B$39,Clientes!$C$4:$C$39),Cadastros!$L$6:$L$12,Cadastros!$M$6:$M$12)+IF($F2007="Bernardino Furlan",AY2007/2751.92,IF($F2007="Mauro José Salanti",AY2007/2751.92,AY2007/3356)),F2007&lt;&gt;0,SUM(L2007,Q2007,V2007,AA2007,AF2007,AK2007,AP2007,AU2007))))</f>
        <v xml:space="preserve"> </v>
      </c>
      <c r="BE2007" s="120"/>
      <c r="BF2007" s="120"/>
      <c r="BG2007" s="120"/>
    </row>
    <row r="2008" spans="1:59" s="3" customFormat="1" x14ac:dyDescent="0.3">
      <c r="A2008" s="15" t="str">
        <f t="shared" si="403"/>
        <v/>
      </c>
      <c r="B2008" s="25"/>
      <c r="C2008" s="26"/>
      <c r="D2008" s="279"/>
      <c r="E2008" s="27"/>
      <c r="F2008" s="28"/>
      <c r="G2008" s="27"/>
      <c r="H2008" s="28"/>
      <c r="I2008" s="28"/>
      <c r="J2008" s="255" t="str">
        <f>IF(H2008="","",(_xlfn.XLOOKUP(H2008,Cadastros!$D$6:$D$90,Cadastros!$E$6:$E$90))*(1-_xlfn.XLOOKUP(_xlfn.XLOOKUP($F2008,Clientes!$B$4:$B$39,Clientes!$C$4:$C$39),Cadastros!$L$6:$L$12,Cadastros!$N$6:$N$12)))</f>
        <v/>
      </c>
      <c r="K2008" s="168" t="str">
        <f t="shared" si="404"/>
        <v/>
      </c>
      <c r="L2008" s="168" t="str">
        <f>IFERROR(K2008/_xlfn.XLOOKUP(_xlfn.XLOOKUP($F2008,Clientes!$B$4:$B$39,Clientes!$C$4:$C$39),Cadastros!$L$6:$L$12,Cadastros!$M$6:$M$12)," ")</f>
        <v xml:space="preserve"> </v>
      </c>
      <c r="M2008" s="28"/>
      <c r="N2008" s="28"/>
      <c r="O2008" s="255" t="str">
        <f>IF(M2008="","",(_xlfn.XLOOKUP(M2008,Cadastros!$D$6:$D$90,Cadastros!$E$6:$E$90))*(1-_xlfn.XLOOKUP(_xlfn.XLOOKUP($F2008,Clientes!$B$4:$B$39,Clientes!$C$4:$C$39),Cadastros!$L$6:$L$12,Cadastros!$N$6:$N$12)))</f>
        <v/>
      </c>
      <c r="P2008" s="168" t="str">
        <f t="shared" si="405"/>
        <v/>
      </c>
      <c r="Q2008" s="168" t="str">
        <f>IFERROR(P2008/_xlfn.XLOOKUP(_xlfn.XLOOKUP($F2008,Clientes!$B$4:$B$39,Clientes!$C$4:$C$39),Cadastros!$L$6:$L$12,Cadastros!$M$6:$M$12)," ")</f>
        <v xml:space="preserve"> </v>
      </c>
      <c r="R2008" s="28"/>
      <c r="S2008" s="28"/>
      <c r="T2008" s="255" t="str">
        <f>IF(R2008="","",(_xlfn.XLOOKUP(R2008,Cadastros!$D$6:$D$90,Cadastros!$E$6:$E$90))*(1-_xlfn.XLOOKUP(_xlfn.XLOOKUP($F2008,Clientes!$B$4:$B$39,Clientes!$C$4:$C$39),Cadastros!$L$6:$L$12,Cadastros!$N$6:$N$12)))</f>
        <v/>
      </c>
      <c r="U2008" s="168" t="str">
        <f t="shared" si="406"/>
        <v/>
      </c>
      <c r="V2008" s="168" t="str">
        <f>IFERROR(U2008/_xlfn.XLOOKUP(_xlfn.XLOOKUP($F2008,Clientes!$B$4:$B$39,Clientes!$C$4:$C$39),Cadastros!$L$6:$L$12,Cadastros!$M$6:$M$12)," ")</f>
        <v xml:space="preserve"> </v>
      </c>
      <c r="W2008" s="28"/>
      <c r="X2008" s="28"/>
      <c r="Y2008" s="255" t="str">
        <f>IF(W2008="","",(_xlfn.XLOOKUP(W2008,Cadastros!$D$6:$D$90,Cadastros!$E$6:$E$90))*(1-_xlfn.XLOOKUP(_xlfn.XLOOKUP($F2008,Clientes!$B$4:$B$39,Clientes!$C$4:$C$39),Cadastros!$L$6:$L$12,Cadastros!$N$6:$N$12)))</f>
        <v/>
      </c>
      <c r="Z2008" s="168" t="str">
        <f t="shared" si="407"/>
        <v/>
      </c>
      <c r="AA2008" s="168" t="str">
        <f>IFERROR(Z2008/_xlfn.XLOOKUP(_xlfn.XLOOKUP($F2008,Clientes!$B$4:$B$39,Clientes!$C$4:$C$39),Cadastros!$L$6:$L$12,Cadastros!$M$6:$M$12)," ")</f>
        <v xml:space="preserve"> </v>
      </c>
      <c r="AB2008" s="28"/>
      <c r="AC2008" s="28"/>
      <c r="AD2008" s="20" t="str">
        <f>IF(AB2008="","",IF($F2008="Bernardino Furlan",_xlfn.XLOOKUP(AB2008,Cadastros!$G$6:$G$90,Cadastros!$H$6:$H$90)*(1-0.18),IF($F2008="Mauro José Salanti",_xlfn.XLOOKUP(AB2008,Cadastros!$G$6:$G$90,Cadastros!$H$6:$H$90)*(1-0.18),_xlfn.XLOOKUP(AB2008,Cadastros!$G$6:$G$90,Cadastros!$H$6:$H$90))))</f>
        <v/>
      </c>
      <c r="AE2008" s="168" t="str">
        <f t="shared" si="408"/>
        <v/>
      </c>
      <c r="AF2008" s="168" t="str">
        <f t="shared" si="409"/>
        <v/>
      </c>
      <c r="AG2008" s="28"/>
      <c r="AH2008" s="28"/>
      <c r="AI2008" s="20" t="str">
        <f>IF(AG2008="","",IF($F2008="Bernardino Furlan",_xlfn.XLOOKUP(AG2008,Cadastros!$G$6:$G$90,Cadastros!$H$6:$H$90)*(1-0.18),IF($F2008="Mauro José Salanti",_xlfn.XLOOKUP(AG2008,Cadastros!$G$6:$G$90,Cadastros!$H$6:$H$90)*(1-0.18),_xlfn.XLOOKUP(AG2008,Cadastros!$G$6:$G$90,Cadastros!$H$6:$H$90))))</f>
        <v/>
      </c>
      <c r="AJ2008" s="168" t="str">
        <f t="shared" si="410"/>
        <v/>
      </c>
      <c r="AK2008" s="168" t="str">
        <f t="shared" si="411"/>
        <v/>
      </c>
      <c r="AL2008" s="28"/>
      <c r="AM2008" s="28"/>
      <c r="AN2008" s="20" t="str">
        <f>IF(AL2008="","",IF($F2008="Bernardino Furlan",_xlfn.XLOOKUP(AL2008,Cadastros!$G$6:$G$90,Cadastros!$H$6:$H$90)*(1-0.18),IF($F2008="Mauro José Salanti",_xlfn.XLOOKUP(AL2008,Cadastros!$G$6:$G$90,Cadastros!$H$6:$H$90)*(1-0.18),_xlfn.XLOOKUP(AL2008,Cadastros!$G$6:$G$90,Cadastros!$H$6:$H$90))))</f>
        <v/>
      </c>
      <c r="AO2008" s="168" t="str">
        <f t="shared" si="412"/>
        <v/>
      </c>
      <c r="AP2008" s="168" t="str">
        <f t="shared" si="413"/>
        <v/>
      </c>
      <c r="AQ2008" s="28"/>
      <c r="AR2008" s="28"/>
      <c r="AS2008" s="20" t="str">
        <f>IF(AQ2008="","",IF($F2008="Bernardino Furlan",_xlfn.XLOOKUP(AQ2008,Cadastros!$G$6:$G$90,Cadastros!$H$6:$H$90)*(1-0.18),IF($F2008="Mauro José Salanti",_xlfn.XLOOKUP(AQ2008,Cadastros!$G$6:$G$90,Cadastros!$H$6:$H$90)*(1-0.18),_xlfn.XLOOKUP(AQ2008,Cadastros!$G$6:$G$90,Cadastros!$H$6:$H$90))))</f>
        <v/>
      </c>
      <c r="AT2008" s="168" t="str">
        <f t="shared" si="414"/>
        <v/>
      </c>
      <c r="AU2008" s="168" t="str">
        <f t="shared" si="415"/>
        <v/>
      </c>
      <c r="AV2008" s="227"/>
      <c r="AW2008" s="30"/>
      <c r="AX2008" s="267"/>
      <c r="AY2008" s="267"/>
      <c r="AZ2008" s="29"/>
      <c r="BA2008" s="30"/>
      <c r="BB2008" s="23" t="str" cm="1">
        <f t="array" ref="BB2008">_xlfn.IFS(AW2008="SIM",SUM(K2008,P2008,U2008,Z2008,AE2008,AJ2008,AO2008,AT2008,AX2008,AY2008),F2008&lt;&gt;"",SUM(K2008,P2008,U2008,Z2008,AE2008,AJ2008,,AO2008,AT2008),F2008="","")</f>
        <v/>
      </c>
      <c r="BC2008" s="211" t="str" cm="1">
        <f t="array" ref="BC2008">_xlfn.IFS(E2008="","",G2008&lt;=E2008,BB2008*(1-0.03),G2008&lt;(E2008+8),BB2008,AZ2008="Boleto",BB2008*(1+0.001)^DATEDIF(E2008,G2008,"D"),AZ2008="Cheque",BB2008,AZ2008="Dinheiro","Alterar forma pgto")</f>
        <v/>
      </c>
      <c r="BD2008" s="276" t="str" cm="1">
        <f t="array" ref="BD2008">IF(F2008=0," ",IF(BC2008&lt;BB2008,(_xlfn.IFS(AW2008="SIM",SUM(L2008,Q2008,V2008,AA2008,AF2008,AK2008,AP2008,AU2008)+AX2008/_xlfn.XLOOKUP(_xlfn.XLOOKUP($F2008,Clientes!$B$4:$B$39,Clientes!$C$4:$C$39),Cadastros!$L$6:$L$12,Cadastros!$M$6:$M$12)+IF($F2008="Bernardino Furlan",AY2008/2751.92,IF($F2008="Mauro José Salanti",AY2008/2751.92,AY2008/3356)),F2008&lt;&gt;0,SUM(L2008,Q2008,V2008,AA2008,AF2008,AK2008,AP2008,AU2008)))*(1-0.03),_xlfn.IFS(AW2008="SIM",SUM(L2008,Q2008,V2008,AA2008,AF2008,AK2008,AP2008,AU2008)+AX2008/_xlfn.XLOOKUP(_xlfn.XLOOKUP($F2008,Clientes!$B$4:$B$39,Clientes!$C$4:$C$39),Cadastros!$L$6:$L$12,Cadastros!$M$6:$M$12)+IF($F2008="Bernardino Furlan",AY2008/2751.92,IF($F2008="Mauro José Salanti",AY2008/2751.92,AY2008/3356)),F2008&lt;&gt;0,SUM(L2008,Q2008,V2008,AA2008,AF2008,AK2008,AP2008,AU2008))))</f>
        <v xml:space="preserve"> </v>
      </c>
      <c r="BE2008" s="120"/>
      <c r="BF2008" s="120"/>
      <c r="BG2008" s="120"/>
    </row>
    <row r="2009" spans="1:59" x14ac:dyDescent="0.3"/>
    <row r="2010" spans="1:59" x14ac:dyDescent="0.3"/>
    <row r="2011" spans="1:59" x14ac:dyDescent="0.3">
      <c r="A2011" s="285" t="s">
        <v>357</v>
      </c>
      <c r="B2011" s="285"/>
      <c r="C2011" s="285"/>
      <c r="D2011" s="285"/>
      <c r="E2011" s="285"/>
      <c r="F2011" s="285"/>
      <c r="G2011" s="285"/>
      <c r="H2011" s="285"/>
      <c r="I2011" s="285"/>
      <c r="J2011" s="285"/>
      <c r="K2011" s="285"/>
      <c r="L2011" s="285"/>
      <c r="M2011" s="285"/>
      <c r="N2011" s="285"/>
      <c r="O2011" s="285"/>
      <c r="P2011" s="285"/>
      <c r="Q2011" s="285"/>
      <c r="R2011" s="285"/>
      <c r="S2011" s="285"/>
      <c r="T2011" s="285"/>
      <c r="U2011" s="285"/>
      <c r="V2011" s="285"/>
      <c r="W2011" s="285"/>
      <c r="X2011" s="285"/>
      <c r="Y2011" s="285"/>
      <c r="Z2011" s="285"/>
      <c r="AA2011" s="285"/>
      <c r="AB2011" s="285"/>
      <c r="AC2011" s="285"/>
      <c r="AD2011" s="285"/>
      <c r="AE2011" s="285"/>
      <c r="AF2011" s="285"/>
      <c r="AG2011" s="285"/>
      <c r="AH2011" s="285"/>
      <c r="AI2011" s="285"/>
      <c r="AJ2011" s="285"/>
      <c r="AK2011" s="285"/>
      <c r="AL2011" s="285"/>
      <c r="AM2011" s="285"/>
      <c r="AN2011" s="285"/>
      <c r="AO2011" s="285"/>
      <c r="AP2011" s="285"/>
      <c r="AQ2011" s="285"/>
      <c r="AR2011" s="285"/>
      <c r="AS2011" s="285"/>
      <c r="AT2011" s="285"/>
      <c r="AU2011" s="285"/>
      <c r="AV2011" s="285"/>
      <c r="AW2011" s="285"/>
      <c r="AX2011" s="285"/>
      <c r="AY2011" s="285"/>
      <c r="AZ2011" s="285"/>
      <c r="BA2011" s="285"/>
      <c r="BB2011" s="285"/>
      <c r="BC2011" s="285"/>
      <c r="BD2011" s="285"/>
      <c r="BE2011" s="285"/>
    </row>
  </sheetData>
  <sheetProtection algorithmName="SHA-512" hashValue="PQ1jyEHSGOR154og1HLVe5rGR742Gjp+5/P7uLj3+FTwiHKn/cg1DGHK+b7weLw7kxtGztS0LfVn6emjtn401w==" saltValue="Ejiuq7kYGrqIjNc7xOw36w==" spinCount="100000" sheet="1" objects="1" scenarios="1"/>
  <protectedRanges>
    <protectedRange sqref="B8:I2008 M8:N2008 R8:S2008 W8:X2008 AB8:AC2008 AG8:AH2008 AL8:AM2008 AQ8:AR2008 AV8:AY2008 AZ8:BA2008" name="Intervalo1"/>
  </protectedRanges>
  <mergeCells count="10">
    <mergeCell ref="AV6:BD6"/>
    <mergeCell ref="A2011:BE2011"/>
    <mergeCell ref="AL6:AO6"/>
    <mergeCell ref="AQ6:AT6"/>
    <mergeCell ref="H6:L6"/>
    <mergeCell ref="M6:P6"/>
    <mergeCell ref="R6:U6"/>
    <mergeCell ref="W6:Z6"/>
    <mergeCell ref="AB6:AE6"/>
    <mergeCell ref="AG6:AJ6"/>
  </mergeCells>
  <conditionalFormatting sqref="B8:B2008">
    <cfRule type="duplicateValues" dxfId="101" priority="3"/>
  </conditionalFormatting>
  <conditionalFormatting sqref="BC8:BC2008">
    <cfRule type="containsText" dxfId="100" priority="2" operator="containsText" text="Alterar forma pgto">
      <formula>NOT(ISERROR(SEARCH("Alterar forma pgto",BC8)))</formula>
    </cfRule>
  </conditionalFormatting>
  <conditionalFormatting sqref="AW8:AW2008">
    <cfRule type="containsText" dxfId="99" priority="1" operator="containsText" text="Sim">
      <formula>NOT(ISERROR(SEARCH("Sim",AW8)))</formula>
    </cfRule>
  </conditionalFormatting>
  <dataValidations count="7">
    <dataValidation type="list" allowBlank="1" showInputMessage="1" showErrorMessage="1" sqref="F8:F2008" xr:uid="{EBE79EA0-64CD-4809-B88F-84DA067672CF}">
      <formula1>$BH$6:$BH$48</formula1>
    </dataValidation>
    <dataValidation type="list" allowBlank="1" showInputMessage="1" showErrorMessage="1" sqref="C8:C2008" xr:uid="{F2060A39-301A-4732-A987-92FF7CB5569F}">
      <formula1>$BP$6:$BP$12</formula1>
    </dataValidation>
    <dataValidation type="list" allowBlank="1" showInputMessage="1" showErrorMessage="1" sqref="AZ8:AZ2008" xr:uid="{9FC8BB7A-AF75-4B34-956E-9C5FA225FAA9}">
      <formula1>$BR$8:$BR$13</formula1>
    </dataValidation>
    <dataValidation type="list" allowBlank="1" showInputMessage="1" showErrorMessage="1" sqref="R7" xr:uid="{A0D6735B-13AC-4F41-987A-8790FC39B40B}">
      <formula1>$BL$9:$BL$84</formula1>
    </dataValidation>
    <dataValidation type="list" allowBlank="1" showInputMessage="1" showErrorMessage="1" sqref="W8:W2008 H8:H2008 R8:R2008 M8:M2008" xr:uid="{2BEF0E1D-2C9B-4813-AE3D-4EDB574AADA1}">
      <formula1>$BL$8:$BL$93</formula1>
    </dataValidation>
    <dataValidation type="list" allowBlank="1" showInputMessage="1" showErrorMessage="1" sqref="AB8:AB2008 AQ8:AQ2008 AL8:AL2008 AG8:AG2008" xr:uid="{74E5F14C-1EE5-4E05-9F40-D5A83AA47501}">
      <formula1>$BN$8:$BN$93</formula1>
    </dataValidation>
    <dataValidation type="list" allowBlank="1" showInputMessage="1" showErrorMessage="1" sqref="AW8:AW2008" xr:uid="{C49AFE6D-A9F7-423D-A72E-93BB5CF57902}">
      <formula1>"Sim"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4" id="{539D9194-C94C-4FC2-B92A-E809FDAA8B94}">
            <x14:iconSet iconSet="4TrafficLights" showValue="0" custom="1">
              <x14:cfvo type="percent">
                <xm:f>0</xm:f>
              </x14:cfvo>
              <x14:cfvo type="percent">
                <xm:f>1</xm:f>
              </x14:cfvo>
              <x14:cfvo type="percent">
                <xm:f>26</xm:f>
              </x14:cfvo>
              <x14:cfvo type="percent">
                <xm:f>100</xm:f>
              </x14:cfvo>
              <x14:cfIcon iconSet="4RedToBlack" iconId="0"/>
              <x14:cfIcon iconSet="5Quarters" iconId="0"/>
              <x14:cfIcon iconSet="3TrafficLights1" iconId="1"/>
              <x14:cfIcon iconSet="3TrafficLights1" iconId="2"/>
            </x14:iconSet>
          </x14:cfRule>
          <xm:sqref>A8:A2008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4C8E58-063D-4C55-997E-35D6E1952EAE}">
  <sheetPr codeName="Planilha2"/>
  <dimension ref="B1:XFC73"/>
  <sheetViews>
    <sheetView showGridLines="0" showRowColHeaders="0" zoomScaleNormal="100" workbookViewId="0"/>
  </sheetViews>
  <sheetFormatPr defaultColWidth="0" defaultRowHeight="14.25" customHeight="1" zeroHeight="1" x14ac:dyDescent="0.25"/>
  <cols>
    <col min="1" max="1" width="4.88671875" style="51" customWidth="1"/>
    <col min="2" max="2" width="13.44140625" style="51" customWidth="1"/>
    <col min="3" max="3" width="19.5546875" style="51" customWidth="1"/>
    <col min="4" max="4" width="17" style="51" customWidth="1"/>
    <col min="5" max="5" width="13" style="51" customWidth="1"/>
    <col min="6" max="6" width="14.33203125" style="51" customWidth="1"/>
    <col min="7" max="7" width="14.6640625" style="51" customWidth="1"/>
    <col min="8" max="8" width="4.88671875" style="51" customWidth="1"/>
    <col min="9" max="17" width="8.88671875" style="51" customWidth="1"/>
    <col min="18" max="18" width="11.77734375" style="51" customWidth="1"/>
    <col min="19" max="19" width="8.88671875" style="51" customWidth="1"/>
    <col min="20" max="21" width="0" style="51" hidden="1" customWidth="1"/>
    <col min="22" max="16383" width="8.88671875" style="51" hidden="1"/>
    <col min="16384" max="16384" width="7.109375" style="51" customWidth="1"/>
  </cols>
  <sheetData>
    <row r="1" spans="2:19" ht="69" customHeight="1" x14ac:dyDescent="0.25">
      <c r="G1" s="107"/>
      <c r="H1" s="107"/>
      <c r="I1" s="107"/>
      <c r="J1" s="107"/>
      <c r="K1" s="108"/>
      <c r="L1" s="108"/>
      <c r="M1" s="108"/>
      <c r="N1" s="108"/>
      <c r="O1" s="108"/>
      <c r="P1" s="108"/>
      <c r="Q1" s="108"/>
      <c r="R1" s="108"/>
      <c r="S1" s="108"/>
    </row>
    <row r="2" spans="2:19" s="108" customFormat="1" ht="13.8" x14ac:dyDescent="0.25">
      <c r="B2" s="110"/>
      <c r="C2" s="110"/>
      <c r="D2" s="110"/>
      <c r="E2" s="110"/>
      <c r="F2" s="110"/>
      <c r="G2" s="110"/>
    </row>
    <row r="3" spans="2:19" s="108" customFormat="1" ht="13.8" x14ac:dyDescent="0.25"/>
    <row r="4" spans="2:19" ht="13.8" x14ac:dyDescent="0.25">
      <c r="B4" s="141"/>
      <c r="C4" s="141"/>
      <c r="D4" s="141"/>
      <c r="E4" s="141"/>
      <c r="F4" s="141"/>
      <c r="G4" s="141"/>
    </row>
    <row r="5" spans="2:19" ht="13.8" x14ac:dyDescent="0.25">
      <c r="B5" s="141"/>
      <c r="C5" s="141"/>
      <c r="D5" s="141"/>
      <c r="E5" s="141"/>
      <c r="F5" s="141"/>
      <c r="G5" s="141"/>
    </row>
    <row r="6" spans="2:19" ht="25.95" customHeight="1" x14ac:dyDescent="0.25">
      <c r="B6" s="141"/>
      <c r="C6" s="141"/>
      <c r="D6" s="141"/>
      <c r="E6" s="141"/>
      <c r="F6" s="142" t="s">
        <v>69</v>
      </c>
      <c r="G6" s="203">
        <v>106</v>
      </c>
    </row>
    <row r="7" spans="2:19" ht="14.4" customHeight="1" x14ac:dyDescent="0.4">
      <c r="B7" s="141"/>
      <c r="C7" s="141"/>
      <c r="D7" s="141"/>
      <c r="E7" s="143"/>
      <c r="F7" s="144"/>
      <c r="G7" s="144"/>
    </row>
    <row r="8" spans="2:19" ht="22.2" customHeight="1" x14ac:dyDescent="0.4">
      <c r="B8" s="143"/>
      <c r="C8" s="143"/>
      <c r="D8" s="143"/>
      <c r="E8" s="143"/>
      <c r="F8" s="145"/>
      <c r="G8" s="145"/>
    </row>
    <row r="9" spans="2:19" ht="16.2" customHeight="1" x14ac:dyDescent="0.25">
      <c r="B9" s="204" t="str">
        <f>Tabela1[[#Headers],[Vendedor]]</f>
        <v>Vendedor</v>
      </c>
      <c r="C9" s="146" t="str">
        <f>IF(VLOOKUP(INDEX(Vendas!$B$7:$BB$2008,MATCH($G$6,Vendas!$B$7:$B$2008,0),MATCH($B$9,Vendas!$B$7:$BB$7,0)),Tabela1[[Vendedor]:[Estado]],MATCH(B9,Tabela1[[#Headers],[Vendedor]:[Estado]],0))=0,"",VLOOKUP(INDEX(Tabela2[#All],MATCH($G$6,Tabela2[[#All],[Nº PEDIDO]],0),MATCH($B$9,Vendas!$B$7:$BB$7,0)),Tabela1[[Vendedor]:[Estado]],MATCH(B9,Tabela1[[#Headers],[Vendedor]:[Estado]],0)))</f>
        <v>Valmir Carlos Moraes</v>
      </c>
      <c r="D9" s="147"/>
      <c r="E9" s="147"/>
      <c r="F9" s="148" t="str">
        <f>Vendas!E7</f>
        <v>DATA ENTREGA</v>
      </c>
      <c r="G9" s="205">
        <f>IF((INDEX(Vendas!$B$7:$BB$2008,MATCH($G$6,Vendas!$B$7:$B$2008,0),MATCH(F9,Vendas!$B$7:$BB$7,0)))="","-",INDEX(Vendas!$B$7:$BB$2008,MATCH($G$6,Vendas!$B$7:$B$2008,0),MATCH(F9,Vendas!$B$7:$BB$7,0)))</f>
        <v>43999</v>
      </c>
    </row>
    <row r="10" spans="2:19" ht="13.8" x14ac:dyDescent="0.25">
      <c r="B10" s="206" t="str">
        <f>Tabela1[[#Headers],[Nível]]</f>
        <v>Nível</v>
      </c>
      <c r="C10" s="147" t="str">
        <f>IF(VLOOKUP(INDEX(Vendas!$B$7:$BB$2008,MATCH($G$6,Vendas!$B$7:$B$2008,0),MATCH($B$9,Vendas!$B$7:$BB$7,0)),Tabela1[[Vendedor]:[Estado]],MATCH(B10,Tabela1[[#Headers],[Vendedor]:[Estado]],0))=0,"",VLOOKUP(INDEX(Vendas!$B$7:$BB$2008,MATCH($G$6,Vendas!$B$7:$B$2008,0),MATCH($B$9,Vendas!$B$7:$BB$7,0)),Tabela1[[Vendedor]:[Estado]],MATCH(B10,Tabela1[[#Headers],[Vendedor]:[Estado]],0)))</f>
        <v>Distribuidor</v>
      </c>
      <c r="D10" s="147"/>
      <c r="E10" s="149"/>
      <c r="F10" s="148" t="str">
        <f>Vendas!G7</f>
        <v>DATA PAGAMENTO</v>
      </c>
      <c r="G10" s="205">
        <f>IF((INDEX(Vendas!$B$7:$BB$2008,MATCH($G$6,Vendas!$B$7:$B$2008,0),MATCH(F10,Vendas!$B$7:$BB$7,0)))="","-",INDEX(Vendas!$B$7:$BB$2008,MATCH($G$6,Vendas!$B$7:$B$2008,0),MATCH(F10,Vendas!$B$7:$BB$7,0)))</f>
        <v>44006</v>
      </c>
    </row>
    <row r="11" spans="2:19" ht="13.8" x14ac:dyDescent="0.25">
      <c r="B11" s="206" t="str">
        <f>Tabela1[[#Headers],[Cidade]]</f>
        <v>Cidade</v>
      </c>
      <c r="C11" s="172" t="str">
        <f>IF(VLOOKUP(INDEX(Vendas!$B$7:$BB$2008,MATCH($G$6,Vendas!$B$7:$B$2008,0),MATCH($B$9,Vendas!$B$7:$BB$7,0)),Tabela1[[Vendedor]:[Estado]],MATCH(B11,Tabela1[[#Headers],[Vendedor]:[Estado]],0))=0,"",VLOOKUP(INDEX(Vendas!$B$7:$BB$2008,MATCH($G$6,Vendas!$B$7:$B$2008,0),MATCH($B$9,Vendas!$B$7:$BB$7,0)),Tabela1[[Vendedor]:[Estado]],MATCH(B11,Tabela1[[#Headers],[Vendedor]:[Estado]],0)))</f>
        <v>Santa Rosa</v>
      </c>
      <c r="D11" s="172"/>
      <c r="E11" s="149"/>
      <c r="F11" s="149"/>
      <c r="G11" s="149"/>
    </row>
    <row r="12" spans="2:19" ht="13.8" x14ac:dyDescent="0.25">
      <c r="B12" s="283" t="str">
        <f>Tabela1[[#Headers],[Endereço]]</f>
        <v>Endereço</v>
      </c>
      <c r="C12" s="172" t="str">
        <f>IF(VLOOKUP(INDEX(Vendas!$B$7:$BB$2008,MATCH($G$6,Vendas!$B$7:$B$2008,0),MATCH($B$9,Vendas!$B$7:$BB$7,0)),Tabela1[[Vendedor]:[Estado]],MATCH(B12,Tabela1[[#Headers],[Vendedor]:[Estado]],0))=0,"",VLOOKUP(INDEX(Vendas!$B$7:$BB$2008,MATCH($G$6,Vendas!$B$7:$B$2008,0),MATCH($B$9,Vendas!$B$7:$BB$7,0)),Tabela1[[Vendedor]:[Estado]],MATCH(B12,Tabela1[[#Headers],[Vendedor]:[Estado]],0)))</f>
        <v>Rua Dos Coqueiros, 529, B. Planalto</v>
      </c>
      <c r="D12" s="172"/>
      <c r="E12" s="149"/>
      <c r="F12" s="148" t="str">
        <f>Tabela2[[#Headers],[NOTA FISCAL]]</f>
        <v>NOTA FISCAL</v>
      </c>
      <c r="G12" s="149">
        <f>IF((INDEX(Vendas!$B$7:$BB$2008,MATCH($G$6,Vendas!$B$7:$B$2008,0),MATCH(F12,Vendas!$B$7:$BB$7,0)))="","-",INDEX(Vendas!$B$7:$BB$2008,MATCH($G$6,Vendas!$B$7:$B$2008,0),MATCH(F12,Vendas!$B$7:$BB$7,0)))</f>
        <v>462</v>
      </c>
      <c r="H12" s="149"/>
    </row>
    <row r="13" spans="2:19" ht="13.8" x14ac:dyDescent="0.25">
      <c r="B13" s="206" t="str">
        <f>Tabela1[[#Headers],[Telefone]]</f>
        <v>Telefone</v>
      </c>
      <c r="C13" s="295">
        <f>IF(VLOOKUP(INDEX(Vendas!$B$7:$BB$2008,MATCH($G$6,Vendas!$B$7:$B$2008,0),MATCH($B$9,Vendas!$B$7:$BB$7,0)),Tabela1[[Vendedor]:[Estado]],MATCH(B13,Tabela1[[#Headers],[Vendedor]:[Estado]],0))=0,"",VLOOKUP(INDEX(Vendas!$B$7:$BB$2008,MATCH($G$6,Vendas!$B$7:$B$2008,0),MATCH($B$9,Vendas!$B$7:$BB$7,0)),Tabela1[[Vendedor]:[Estado]],MATCH(B13,Tabela1[[#Headers],[Vendedor]:[Estado]],0)))</f>
        <v>55996817481</v>
      </c>
      <c r="D13" s="295"/>
      <c r="E13" s="149"/>
      <c r="F13" s="141"/>
      <c r="G13" s="141"/>
    </row>
    <row r="14" spans="2:19" ht="13.8" x14ac:dyDescent="0.25">
      <c r="B14" s="206" t="str">
        <f>Tabela1[[#Headers],[CNPJ / CPF]]</f>
        <v>CNPJ / CPF</v>
      </c>
      <c r="C14" s="296" t="str">
        <f>IF(VLOOKUP(INDEX(Vendas!$B$7:$BB$2008,MATCH($G$6,Vendas!$B$7:$B$2008,0),MATCH($B$9,Vendas!$B$7:$BB$7,0)),Tabela1[[Vendedor]:[Estado]],MATCH(B14,Tabela1[[#Headers],[Vendedor]:[Estado]],0))=0,"",VLOOKUP(INDEX(Vendas!$B$7:$BB$2008,MATCH($G$6,Vendas!$B$7:$B$2008,0),MATCH($B$9,Vendas!$B$7:$BB$7,0)),Tabela1[[Vendedor]:[Estado]],MATCH(B14,Tabela1[[#Headers],[Vendedor]:[Estado]],0)))</f>
        <v>773.240.130-15</v>
      </c>
      <c r="D14" s="296"/>
      <c r="E14" s="149"/>
      <c r="F14" s="149"/>
      <c r="G14" s="149"/>
    </row>
    <row r="15" spans="2:19" ht="13.8" x14ac:dyDescent="0.25">
      <c r="B15" s="143"/>
      <c r="C15" s="143"/>
      <c r="D15" s="143"/>
      <c r="E15" s="143"/>
      <c r="F15" s="143"/>
      <c r="G15" s="143"/>
    </row>
    <row r="16" spans="2:19" s="54" customFormat="1" ht="16.95" customHeight="1" x14ac:dyDescent="0.3">
      <c r="B16" s="297" t="s">
        <v>70</v>
      </c>
      <c r="C16" s="297"/>
      <c r="D16" s="297"/>
      <c r="E16" s="52" t="s">
        <v>71</v>
      </c>
      <c r="F16" s="53" t="s">
        <v>72</v>
      </c>
      <c r="G16" s="53" t="s">
        <v>73</v>
      </c>
    </row>
    <row r="17" spans="2:7" s="58" customFormat="1" ht="24" customHeight="1" x14ac:dyDescent="0.3">
      <c r="B17" s="298" t="str">
        <f>IF(INDEX(Vendas!$B$7:$BB$2008,MATCH($G$6,Vendas!$B$7:$B$2008,0),MATCH(Vendas!H7,Vendas!$B$7:$BB$7,0))=0,"",INDEX(Vendas!$B$7:$BB$2008,MATCH($G$6,Vendas!$B$7:$B$2008,0),MATCH(Vendas!H7,Vendas!$B$7:$BB$7,0)))</f>
        <v>10107 - Colchão Léctus 158 X 198 X 021 cm MVQ</v>
      </c>
      <c r="C17" s="298"/>
      <c r="D17" s="298"/>
      <c r="E17" s="55">
        <f>IF(INDEX(Vendas!$B$7:$BB$2008,MATCH($G$6,Vendas!$B$7:$B$2008,0),MATCH(Vendas!I7,Vendas!$B$7:$BB$7,0))=0,"",INDEX(Vendas!$B$7:$BB$2008,MATCH($G$6,Vendas!$B$7:$B$2008,0),MATCH(Vendas!I7,Vendas!$B$7:$BB$7,0)))</f>
        <v>1</v>
      </c>
      <c r="F17" s="56">
        <f>IF(INDEX(Vendas!$B$7:$BB$2008,MATCH($G$6,Vendas!$B$7:$B$2008,0),MATCH(Vendas!J7,Vendas!$B$7:$BB$7,0))=0,"",INDEX(Vendas!$B$7:$BB$2008,MATCH($G$6,Vendas!$B$7:$B$2008,0),MATCH(Vendas!J7,Vendas!$B$7:$BB$7,0)))</f>
        <v>3495</v>
      </c>
      <c r="G17" s="57">
        <f>IF(E17="","",E17*F17)</f>
        <v>3495</v>
      </c>
    </row>
    <row r="18" spans="2:7" s="58" customFormat="1" ht="24" customHeight="1" x14ac:dyDescent="0.3">
      <c r="B18" s="294" t="str">
        <f>IF(INDEX(Vendas!$B$7:$BB$2008,MATCH($G$6,Vendas!$B$7:$B$2008,0),MATCH(Vendas!M7,Vendas!$B$7:$BB$7,0))=0,"",INDEX(Vendas!$B$7:$BB$2008,MATCH($G$6,Vendas!$B$7:$B$2008,0),MATCH(Vendas!M7,Vendas!$B$7:$BB$7,0)))</f>
        <v>T001 - Travesseiro Multicamadas 035 X 060 cm</v>
      </c>
      <c r="C18" s="294"/>
      <c r="D18" s="294"/>
      <c r="E18" s="55">
        <f>IF(INDEX(Vendas!$B$7:$BB$2008,MATCH($G$6,Vendas!$B$7:$B$2008,0),MATCH(Vendas!N7,Vendas!$B$7:$BB$7,0))=0,"",INDEX(Vendas!$B$7:$BB$2008,MATCH($G$6,Vendas!$B$7:$B$2008,0),MATCH(Vendas!N7,Vendas!$B$7:$BB$7,0)))</f>
        <v>2</v>
      </c>
      <c r="F18" s="56">
        <f>IF(INDEX(Vendas!$B$7:$BB$2008,MATCH($G$6,Vendas!$B$7:$B$2008,0),MATCH(Vendas!O7,Vendas!$B$7:$BB$7,0))=0,"",INDEX(Vendas!$B$7:$BB$2008,MATCH($G$6,Vendas!$B$7:$B$2008,0),MATCH(Vendas!O7,Vendas!$B$7:$BB$7,0)))</f>
        <v>144</v>
      </c>
      <c r="G18" s="57">
        <f>IF(E18="","",E18*F18)</f>
        <v>288</v>
      </c>
    </row>
    <row r="19" spans="2:7" s="58" customFormat="1" ht="24" customHeight="1" x14ac:dyDescent="0.3">
      <c r="B19" s="294" t="str">
        <f>IF(INDEX(Vendas!$B$7:$BB$2008,MATCH($G$6,Vendas!$B$7:$B$2008,0),MATCH(Vendas!R7,Vendas!$B$7:$BB$7,0))=0,"",INDEX(Vendas!$B$7:$BB$2008,MATCH($G$6,Vendas!$B$7:$B$2008,0),MATCH(Vendas!R7,Vendas!$B$7:$BB$7,0)))</f>
        <v/>
      </c>
      <c r="C19" s="294"/>
      <c r="D19" s="294"/>
      <c r="E19" s="55" t="str">
        <f>IF(INDEX(Vendas!$B$7:$BB$2008,MATCH($G$6,Vendas!$B$7:$B$2008,0),MATCH(Vendas!S7,Vendas!$B$7:$BB$7,0))=0,"",INDEX(Vendas!$B$7:$BB$2008,MATCH($G$6,Vendas!$B$7:$B$2008,0),MATCH(Vendas!S7,Vendas!$B$7:$BB$7,0)))</f>
        <v/>
      </c>
      <c r="F19" s="56" t="str">
        <f>IF(INDEX(Vendas!$B$7:$BB$2008,MATCH($G$6,Vendas!$B$7:$B$2008,0),MATCH(Vendas!T7,Vendas!$B$7:$BB$7,0))=0,"",INDEX(Vendas!$B$7:$BB$2008,MATCH($G$6,Vendas!$B$7:$B$2008,0),MATCH(Vendas!T7,Vendas!$B$7:$BB$7,0)))</f>
        <v/>
      </c>
      <c r="G19" s="57" t="str">
        <f>IF(E19="","",E19*F19)</f>
        <v/>
      </c>
    </row>
    <row r="20" spans="2:7" s="58" customFormat="1" ht="24" customHeight="1" x14ac:dyDescent="0.3">
      <c r="B20" s="294" t="str">
        <f>IF(INDEX(Vendas!$B$7:$BB$2008,MATCH($G$6,Vendas!$B$7:$B$2008,0),MATCH(Vendas!W7,Vendas!$B$7:$BB$7,0))=0,"",INDEX(Vendas!$B$7:$BB$2008,MATCH($G$6,Vendas!$B$7:$B$2008,0),MATCH(Vendas!W7,Vendas!$B$7:$BB$7,0)))</f>
        <v/>
      </c>
      <c r="C20" s="294"/>
      <c r="D20" s="294"/>
      <c r="E20" s="55" t="str">
        <f>IF(INDEX(Vendas!$B$7:$BB$2008,MATCH($G$6,Vendas!$B$7:$B$2008,0),MATCH(Vendas!X7,Vendas!$B$7:$BB$7,0))=0,"",INDEX(Vendas!$B$7:$BB$2008,MATCH($G$6,Vendas!$B$7:$B$2008,0),MATCH(Vendas!X7,Vendas!$B$7:$BB$7,0)))</f>
        <v/>
      </c>
      <c r="F20" s="56" t="str">
        <f>IF(INDEX(Vendas!$B$7:$BB$2008,MATCH($G$6,Vendas!$B$7:$B$2008,0),MATCH(Vendas!Y7,Vendas!$B$7:$BB$7,0))=0,"",INDEX(Vendas!$B$7:$BB$2008,MATCH($G$6,Vendas!$B$7:$B$2008,0),MATCH(Vendas!Y7,Vendas!$B$7:$BB$7,0)))</f>
        <v/>
      </c>
      <c r="G20" s="57" t="str">
        <f>IF(E20="","",E20*F20)</f>
        <v/>
      </c>
    </row>
    <row r="21" spans="2:7" s="58" customFormat="1" ht="6" customHeight="1" x14ac:dyDescent="0.3">
      <c r="B21" s="170"/>
      <c r="C21" s="170"/>
      <c r="D21" s="170"/>
      <c r="E21" s="55"/>
      <c r="F21" s="56"/>
      <c r="G21" s="57"/>
    </row>
    <row r="22" spans="2:7" s="58" customFormat="1" ht="16.95" customHeight="1" x14ac:dyDescent="0.3">
      <c r="B22" s="297" t="s">
        <v>74</v>
      </c>
      <c r="C22" s="297"/>
      <c r="D22" s="297"/>
      <c r="E22" s="52" t="s">
        <v>71</v>
      </c>
      <c r="F22" s="53" t="s">
        <v>72</v>
      </c>
      <c r="G22" s="53" t="s">
        <v>73</v>
      </c>
    </row>
    <row r="23" spans="2:7" s="58" customFormat="1" ht="24" customHeight="1" x14ac:dyDescent="0.3">
      <c r="B23" s="294" t="str">
        <f>IF(INDEX(Vendas!$B$7:$BB$2008,MATCH($G$6,Vendas!$B$7:$B$2008,0),MATCH(Vendas!AB7,Vendas!$B$7:$BB$7,0))=0,"",INDEX(Vendas!$B$7:$BB$2008,MATCH($G$6,Vendas!$B$7:$B$2008,0),MATCH(Vendas!AB7,Vendas!$B$7:$BB$7,0)))</f>
        <v>240 - Base Box Casal 1,58 X 1,98 X 0,25 cm</v>
      </c>
      <c r="C23" s="294"/>
      <c r="D23" s="294"/>
      <c r="E23" s="55">
        <f>IF(INDEX(Vendas!$B$7:$BB$2008,MATCH($G$6,Vendas!$B$7:$B$2008,0),MATCH(Vendas!AC7,Vendas!$B$7:$BB$7,0))=0,"",INDEX(Vendas!$B$7:$BB$2008,MATCH($G$6,Vendas!$B$7:$B$2008,0),MATCH(Vendas!AC7,Vendas!$B$7:$BB$7,0)))</f>
        <v>1</v>
      </c>
      <c r="F23" s="57">
        <f>IF(INDEX(Vendas!$B$7:$BB$2008,MATCH($G$6,Vendas!$B$7:$B$2008,0),MATCH(Vendas!AD7,Vendas!$B$7:$BB$7,0))=0,"",INDEX(Vendas!$B$7:$BB$2008,MATCH($G$6,Vendas!$B$7:$B$2008,0),MATCH(Vendas!AD7,Vendas!$B$7:$BB$7,0)))</f>
        <v>894</v>
      </c>
      <c r="G23" s="57">
        <f>IF(E23="","",E23*F23)</f>
        <v>894</v>
      </c>
    </row>
    <row r="24" spans="2:7" s="58" customFormat="1" ht="24" customHeight="1" x14ac:dyDescent="0.3">
      <c r="B24" s="294" t="str">
        <f>IF(INDEX(Vendas!$B$7:$BB$2008,MATCH($G$6,Vendas!$B$7:$B$2008,0),MATCH(Vendas!AG7,Vendas!$B$7:$BB$7,0))=0,"",INDEX(Vendas!$B$7:$BB$2008,MATCH($G$6,Vendas!$B$7:$B$2008,0),MATCH(Vendas!AG7,Vendas!$B$7:$BB$7,0)))</f>
        <v/>
      </c>
      <c r="C24" s="294"/>
      <c r="D24" s="294"/>
      <c r="E24" s="55" t="str">
        <f>IF(INDEX(Vendas!$B$7:$BB$2008,MATCH($G$6,Vendas!$B$7:$B$2008,0),MATCH(Vendas!AH7,Vendas!$B$7:$BB$7,0))=0,"",INDEX(Vendas!$B$7:$BB$2008,MATCH($G$6,Vendas!$B$7:$B$2008,0),MATCH(Vendas!AH7,Vendas!$B$7:$BB$7,0)))</f>
        <v/>
      </c>
      <c r="F24" s="59" t="str">
        <f>IF(INDEX(Vendas!$B$7:$BB$2008,MATCH($G$6,Vendas!$B$7:$B$2008,0),MATCH(Vendas!AI7,Vendas!$B$7:$BB$7,0))=0,"",INDEX(Vendas!$B$7:$BB$2008,MATCH($G$6,Vendas!$B$7:$B$2008,0),MATCH(Vendas!AI7,Vendas!$B$7:$BB$7,0)))</f>
        <v/>
      </c>
      <c r="G24" s="57" t="str">
        <f>IF(E24="","",E24*F24)</f>
        <v/>
      </c>
    </row>
    <row r="25" spans="2:7" s="58" customFormat="1" ht="24" customHeight="1" x14ac:dyDescent="0.3">
      <c r="B25" s="294" t="str">
        <f>IF(INDEX(Vendas!$B$7:$BB$2008,MATCH($G$6,Vendas!$B$7:$B$2008,0),MATCH(Vendas!AL7,Vendas!$B$7:$BB$7,0))=0,"",INDEX(Vendas!$B$7:$BB$2008,MATCH($G$6,Vendas!$B$7:$B$2008,0),MATCH(Vendas!AL7,Vendas!$B$7:$BB$7,0)))</f>
        <v/>
      </c>
      <c r="C25" s="294"/>
      <c r="D25" s="294"/>
      <c r="E25" s="150" t="str">
        <f>IF(INDEX(Vendas!$B$7:$BB$2008,MATCH($G$6,Vendas!$B$7:$B$2008,0),MATCH(Vendas!AM7,Vendas!$B$7:$BB$7,0))=0,"",INDEX(Vendas!$B$7:$BB$2008,MATCH($G$6,Vendas!$B$7:$B$2008,0),MATCH(Vendas!AM7,Vendas!$B$7:$BB$7,0)))</f>
        <v/>
      </c>
      <c r="F25" s="151" t="str">
        <f>IF(INDEX(Vendas!$B$7:$BB$2008,MATCH($G$6,Vendas!$B$7:$B$2008,0),MATCH(Vendas!AN7,Vendas!$B$7:$BB$7,0))=0,"",INDEX(Vendas!$B$7:$BB$2008,MATCH($G$6,Vendas!$B$7:$B$2008,0),MATCH(Vendas!AN7,Vendas!$B$7:$BB$7,0)))</f>
        <v/>
      </c>
      <c r="G25" s="57" t="str">
        <f>IF(E25="","",E25*F25)</f>
        <v/>
      </c>
    </row>
    <row r="26" spans="2:7" s="58" customFormat="1" ht="24" customHeight="1" x14ac:dyDescent="0.3">
      <c r="B26" s="294" t="str">
        <f>IF(INDEX(Vendas!$B$7:$BB$2008,MATCH($G$6,Vendas!$B$7:$B$2008,0),MATCH(Vendas!AQ7,Vendas!$B$7:$BB$7,0))=0,"",INDEX(Vendas!$B$7:$BB$2008,MATCH($G$6,Vendas!$B$7:$B$2008,0),MATCH(Vendas!AQ7,Vendas!$B$7:$BB$7,0)))</f>
        <v/>
      </c>
      <c r="C26" s="294"/>
      <c r="D26" s="294"/>
      <c r="E26" s="60" t="str">
        <f>IF(INDEX(Vendas!$B$7:$BB$2008,MATCH($G$6,Vendas!$B$7:$B$2008,0),MATCH(Vendas!AR7,Vendas!$B$7:$BB$7,0))=0,"",INDEX(Vendas!$B$7:$BB$2008,MATCH($G$6,Vendas!$B$7:$B$2008,0),MATCH(Vendas!AR7,Vendas!$B$7:$BB$7,0)))</f>
        <v/>
      </c>
      <c r="F26" s="61" t="str">
        <f>IF(INDEX(Vendas!$B$7:$BB$2008,MATCH($G$6,Vendas!$B$7:$B$2008,0),MATCH(Vendas!AS7,Vendas!$B$7:$BB$7,0))=0,"",INDEX(Vendas!$B$7:$BB$2008,MATCH($G$6,Vendas!$B$7:$B$2008,0),MATCH(Vendas!AS7,Vendas!$B$7:$BB$7,0)))</f>
        <v/>
      </c>
      <c r="G26" s="57" t="str">
        <f>IF(E26="","",E26*F26)</f>
        <v/>
      </c>
    </row>
    <row r="27" spans="2:7" ht="13.8" x14ac:dyDescent="0.25">
      <c r="B27" s="62"/>
      <c r="C27" s="63"/>
      <c r="D27" s="63"/>
      <c r="E27" s="62"/>
      <c r="F27" s="64"/>
      <c r="G27" s="210"/>
    </row>
    <row r="28" spans="2:7" ht="13.8" x14ac:dyDescent="0.25">
      <c r="B28" s="207" t="str">
        <f>Tabela2[[#Headers],[FORMA PGTO]]</f>
        <v>FORMA PGTO</v>
      </c>
      <c r="C28" s="299" t="str">
        <f>INDEX(Vendas!$B$7:$BB$2008,MATCH($G$6,Vendas!$B$7:$B$2008,0),MATCH(B28,Vendas!$B$7:$BB$7,0))</f>
        <v>Dinheiro</v>
      </c>
      <c r="D28" s="299"/>
      <c r="E28" s="152"/>
      <c r="F28" s="216" t="s">
        <v>75</v>
      </c>
      <c r="G28" s="217">
        <f>SUM(G17:G27)</f>
        <v>4677</v>
      </c>
    </row>
    <row r="29" spans="2:7" ht="13.8" x14ac:dyDescent="0.25">
      <c r="B29" s="207"/>
      <c r="C29" s="215"/>
      <c r="D29" s="215"/>
      <c r="E29" s="152"/>
      <c r="F29" s="212"/>
      <c r="G29" s="213"/>
    </row>
    <row r="30" spans="2:7" ht="18.600000000000001" customHeight="1" thickBot="1" x14ac:dyDescent="0.3">
      <c r="B30" s="214" t="s">
        <v>223</v>
      </c>
      <c r="C30" s="218">
        <f>IF(INDEX(Vendas!$B$7:$BD$2008,MATCH($G$6,Vendas!$B$7:$B$2008,0),MATCH(Vendas!BD7,Vendas!$B$7:$BD$7,0))=0,"",INDEX(Vendas!$B$7:$BD$2008,MATCH($G$6,Vendas!$B$7:$B$2008,0),MATCH(Vendas!BD7,Vendas!$B$7:$BD$7,0)))</f>
        <v>1.3936233611442193</v>
      </c>
      <c r="D30" s="147"/>
      <c r="E30" s="141"/>
      <c r="F30" s="224" t="s">
        <v>222</v>
      </c>
      <c r="G30" s="225">
        <f>IF(INDEX(Vendas!$B$7:$BD$2008,MATCH($G$6,Vendas!$B$7:$B$2008,0),MATCH(Vendas!BC7,Vendas!$B$7:$BD$7,0))=0,"",INDEX(Vendas!$B$7:$BD$2008,MATCH($G$6,Vendas!$B$7:$B$2008,0),MATCH(Vendas!BC7,Vendas!$B$7:$BD$7,0)))</f>
        <v>4677</v>
      </c>
    </row>
    <row r="31" spans="2:7" ht="14.4" thickTop="1" x14ac:dyDescent="0.25">
      <c r="B31" s="141"/>
      <c r="C31" s="141"/>
      <c r="D31" s="147"/>
      <c r="E31" s="141"/>
    </row>
    <row r="32" spans="2:7" ht="17.399999999999999" customHeight="1" x14ac:dyDescent="0.25">
      <c r="B32" s="209" t="s">
        <v>365</v>
      </c>
      <c r="C32" s="152"/>
      <c r="D32" s="152"/>
      <c r="E32" s="153"/>
      <c r="F32" s="141"/>
      <c r="G32" s="208"/>
    </row>
    <row r="33" spans="2:7" ht="4.95" customHeight="1" x14ac:dyDescent="0.25">
      <c r="B33" s="219"/>
      <c r="C33" s="220"/>
      <c r="D33" s="220"/>
      <c r="E33" s="221"/>
      <c r="F33" s="222"/>
      <c r="G33" s="223"/>
    </row>
    <row r="34" spans="2:7" ht="60" customHeight="1" x14ac:dyDescent="0.25">
      <c r="B34" s="300" t="str">
        <f>IF(INDEX(Vendas!$B$7:$BB$2008,MATCH($G$6,Vendas!$B$7:$B$2008,0),MATCH(Vendas!AV7,Vendas!$B$7:$BB$7,0))=0,"",INDEX(Vendas!$B$7:$BB$2008,MATCH($G$6,Vendas!$B$7:$B$2008,0),MATCH(Vendas!AV7,Vendas!$B$7:$BB$7,0)))</f>
        <v>Darci Capelletti | Pgto à vista</v>
      </c>
      <c r="C34" s="300"/>
      <c r="D34" s="300"/>
      <c r="E34" s="300"/>
      <c r="F34" s="300"/>
      <c r="G34" s="300"/>
    </row>
    <row r="35" spans="2:7" ht="14.4" customHeight="1" x14ac:dyDescent="0.25">
      <c r="B35" s="141"/>
      <c r="C35" s="141"/>
      <c r="D35" s="141"/>
      <c r="E35" s="153"/>
      <c r="F35" s="141"/>
      <c r="G35" s="208"/>
    </row>
    <row r="36" spans="2:7" ht="14.25" customHeight="1" x14ac:dyDescent="0.25"/>
    <row r="37" spans="2:7" ht="14.25" customHeight="1" x14ac:dyDescent="0.25"/>
    <row r="38" spans="2:7" ht="14.25" customHeight="1" x14ac:dyDescent="0.25"/>
    <row r="39" spans="2:7" ht="14.25" customHeight="1" x14ac:dyDescent="0.25"/>
    <row r="40" spans="2:7" ht="14.25" customHeight="1" x14ac:dyDescent="0.25"/>
    <row r="41" spans="2:7" ht="14.25" customHeight="1" x14ac:dyDescent="0.25"/>
    <row r="42" spans="2:7" ht="14.25" customHeight="1" x14ac:dyDescent="0.25"/>
    <row r="43" spans="2:7" ht="14.25" customHeight="1" x14ac:dyDescent="0.25"/>
    <row r="44" spans="2:7" ht="14.25" customHeight="1" x14ac:dyDescent="0.25"/>
    <row r="45" spans="2:7" ht="14.25" hidden="1" customHeight="1" x14ac:dyDescent="0.25"/>
    <row r="46" spans="2:7" ht="14.25" hidden="1" customHeight="1" x14ac:dyDescent="0.25"/>
    <row r="47" spans="2:7" ht="14.25" hidden="1" customHeight="1" x14ac:dyDescent="0.25"/>
    <row r="48" spans="2:7" ht="14.25" hidden="1" customHeight="1" x14ac:dyDescent="0.25"/>
    <row r="49" ht="14.25" hidden="1" customHeight="1" x14ac:dyDescent="0.25"/>
    <row r="50" ht="14.25" hidden="1" customHeight="1" x14ac:dyDescent="0.25"/>
    <row r="51" ht="14.25" hidden="1" customHeight="1" x14ac:dyDescent="0.25"/>
    <row r="52" ht="14.25" hidden="1" customHeight="1" x14ac:dyDescent="0.25"/>
    <row r="53" ht="14.25" hidden="1" customHeight="1" x14ac:dyDescent="0.25"/>
    <row r="54" ht="14.25" hidden="1" customHeight="1" x14ac:dyDescent="0.25"/>
    <row r="55" ht="14.25" hidden="1" customHeight="1" x14ac:dyDescent="0.25"/>
    <row r="56" ht="14.25" hidden="1" customHeight="1" x14ac:dyDescent="0.25"/>
    <row r="57" ht="14.25" hidden="1" customHeight="1" x14ac:dyDescent="0.25"/>
    <row r="58" ht="14.25" hidden="1" customHeight="1" x14ac:dyDescent="0.25"/>
    <row r="59" ht="14.25" hidden="1" customHeight="1" x14ac:dyDescent="0.25"/>
    <row r="60" ht="14.25" hidden="1" customHeight="1" x14ac:dyDescent="0.25"/>
    <row r="61" ht="14.25" hidden="1" customHeight="1" x14ac:dyDescent="0.25"/>
    <row r="62" ht="14.25" hidden="1" customHeight="1" x14ac:dyDescent="0.25"/>
    <row r="63" ht="14.25" hidden="1" customHeight="1" x14ac:dyDescent="0.25"/>
    <row r="64" ht="14.25" hidden="1" customHeight="1" x14ac:dyDescent="0.25"/>
    <row r="65" ht="14.25" hidden="1" customHeight="1" x14ac:dyDescent="0.25"/>
    <row r="66" ht="14.25" hidden="1" customHeight="1" x14ac:dyDescent="0.25"/>
    <row r="67" ht="14.25" hidden="1" customHeight="1" x14ac:dyDescent="0.25"/>
    <row r="68" ht="14.25" hidden="1" customHeight="1" x14ac:dyDescent="0.25"/>
    <row r="69" ht="14.25" hidden="1" customHeight="1" x14ac:dyDescent="0.25"/>
    <row r="70" ht="14.25" hidden="1" customHeight="1" x14ac:dyDescent="0.25"/>
    <row r="71" ht="14.25" hidden="1" customHeight="1" x14ac:dyDescent="0.25"/>
    <row r="72" ht="14.25" hidden="1" customHeight="1" x14ac:dyDescent="0.25"/>
    <row r="73" ht="14.25" hidden="1" customHeight="1" x14ac:dyDescent="0.25"/>
  </sheetData>
  <sheetProtection algorithmName="SHA-512" hashValue="/45O7657XMC7vuOB2Iui9ympAsnSUt3Z2xqocnPGPhFSwoSfdBLs1nk4JHjkMHC7w5N9bc+4i03KKSWNv0l8Rg==" saltValue="pro20LkH41H7wV5V+HPcug==" spinCount="100000" sheet="1" objects="1" scenarios="1"/>
  <protectedRanges>
    <protectedRange sqref="G6" name="Número do Pedido"/>
  </protectedRanges>
  <mergeCells count="14">
    <mergeCell ref="C28:D28"/>
    <mergeCell ref="B34:G34"/>
    <mergeCell ref="B20:D20"/>
    <mergeCell ref="B22:D22"/>
    <mergeCell ref="B23:D23"/>
    <mergeCell ref="B24:D24"/>
    <mergeCell ref="B25:D25"/>
    <mergeCell ref="B26:D26"/>
    <mergeCell ref="B19:D19"/>
    <mergeCell ref="C13:D13"/>
    <mergeCell ref="C14:D14"/>
    <mergeCell ref="B16:D16"/>
    <mergeCell ref="B17:D17"/>
    <mergeCell ref="B18:D18"/>
  </mergeCells>
  <printOptions horizontalCentered="1"/>
  <pageMargins left="0.23622047244094491" right="0.23622047244094491" top="1.1811023622047245" bottom="1.1811023622047245" header="0.31496062992125984" footer="0.31496062992125984"/>
  <pageSetup paperSize="9" orientation="portrait" r:id="rId1"/>
  <headerFooter>
    <oddHeader>&amp;C&amp;G</oddHeader>
    <oddFooter>&amp;C&amp;G</oddFooter>
  </headerFooter>
  <drawing r:id="rId2"/>
  <legacyDrawingHF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6BE7DD-0B59-45CB-B073-66CB77963084}">
  <sheetPr codeName="Planilha3"/>
  <dimension ref="A1:Q204"/>
  <sheetViews>
    <sheetView showGridLines="0" showRowColHeaders="0" workbookViewId="0">
      <pane xSplit="2" ySplit="3" topLeftCell="C4" activePane="bottomRight" state="frozen"/>
      <selection activeCell="AC14" sqref="AC14"/>
      <selection pane="topRight" activeCell="AC14" sqref="AC14"/>
      <selection pane="bottomLeft" activeCell="AC14" sqref="AC14"/>
      <selection pane="bottomRight"/>
    </sheetView>
  </sheetViews>
  <sheetFormatPr defaultColWidth="0" defaultRowHeight="15" customHeight="1" zeroHeight="1" x14ac:dyDescent="0.3"/>
  <cols>
    <col min="1" max="1" width="4.88671875" customWidth="1"/>
    <col min="2" max="2" width="38.88671875" customWidth="1"/>
    <col min="3" max="3" width="20.33203125" bestFit="1" customWidth="1"/>
    <col min="4" max="4" width="45.5546875" customWidth="1"/>
    <col min="5" max="6" width="18.88671875" customWidth="1"/>
    <col min="7" max="7" width="32.6640625" bestFit="1" customWidth="1"/>
    <col min="8" max="9" width="17.88671875" customWidth="1"/>
    <col min="10" max="10" width="11.109375" bestFit="1" customWidth="1"/>
    <col min="11" max="12" width="17.88671875" customWidth="1"/>
    <col min="13" max="13" width="17" bestFit="1" customWidth="1"/>
    <col min="14" max="14" width="11.88671875" customWidth="1"/>
    <col min="15" max="16" width="11.88671875" hidden="1" customWidth="1"/>
    <col min="17" max="17" width="20.77734375" hidden="1" customWidth="1"/>
    <col min="18" max="16384" width="11.88671875" hidden="1"/>
  </cols>
  <sheetData>
    <row r="1" spans="2:17" ht="69" customHeight="1" x14ac:dyDescent="0.3">
      <c r="D1" s="106"/>
      <c r="E1" s="301"/>
      <c r="F1" s="301"/>
      <c r="G1" s="301"/>
      <c r="H1" s="106"/>
      <c r="I1" s="106"/>
      <c r="J1" s="106"/>
      <c r="K1" s="106"/>
      <c r="L1" s="106"/>
      <c r="M1" s="106"/>
    </row>
    <row r="2" spans="2:17" s="120" customFormat="1" ht="14.4" x14ac:dyDescent="0.3">
      <c r="B2" s="121"/>
      <c r="C2" s="171" t="s">
        <v>135</v>
      </c>
      <c r="D2" s="121"/>
      <c r="E2" s="122"/>
      <c r="F2" s="123"/>
      <c r="G2" s="123"/>
      <c r="H2" s="121"/>
      <c r="I2" s="121"/>
      <c r="J2" s="121"/>
      <c r="K2" s="121"/>
      <c r="L2" s="121"/>
      <c r="M2" s="121"/>
      <c r="Q2" s="302" t="s">
        <v>224</v>
      </c>
    </row>
    <row r="3" spans="2:17" ht="14.4" x14ac:dyDescent="0.3">
      <c r="B3" s="128" t="s">
        <v>137</v>
      </c>
      <c r="C3" s="128" t="s">
        <v>77</v>
      </c>
      <c r="D3" s="128" t="s">
        <v>78</v>
      </c>
      <c r="E3" s="128" t="s">
        <v>140</v>
      </c>
      <c r="F3" s="128" t="s">
        <v>79</v>
      </c>
      <c r="G3" s="128" t="s">
        <v>80</v>
      </c>
      <c r="H3" s="128" t="s">
        <v>81</v>
      </c>
      <c r="I3" s="128" t="s">
        <v>82</v>
      </c>
      <c r="J3" s="128" t="s">
        <v>83</v>
      </c>
      <c r="K3" s="129" t="s">
        <v>84</v>
      </c>
      <c r="L3" s="129" t="s">
        <v>134</v>
      </c>
      <c r="M3" s="129" t="s">
        <v>85</v>
      </c>
      <c r="Q3" s="302"/>
    </row>
    <row r="4" spans="2:17" ht="14.4" x14ac:dyDescent="0.3">
      <c r="B4" s="184" t="s">
        <v>141</v>
      </c>
      <c r="C4" s="184" t="s">
        <v>88</v>
      </c>
      <c r="D4" s="185" t="s">
        <v>154</v>
      </c>
      <c r="E4" s="186" t="s">
        <v>170</v>
      </c>
      <c r="F4" s="187" t="s">
        <v>180</v>
      </c>
      <c r="G4" s="176" t="s">
        <v>193</v>
      </c>
      <c r="H4" s="173">
        <v>51999597529</v>
      </c>
      <c r="I4" s="188" t="s">
        <v>206</v>
      </c>
      <c r="J4" s="188" t="s">
        <v>87</v>
      </c>
      <c r="K4" s="202">
        <f>SUMIFS(Vendas!BB:BB,Vendas!$C:$C,"entregue",Vendas!$F:$F,Tabela1[[#This Row],[Vendedor]])+SUMIFS(Vendas!BB:BB,Vendas!$C:$C,"aprovado",Vendas!$F:$F,Tabela1[[#This Row],[Vendedor]])</f>
        <v>0</v>
      </c>
      <c r="L4" s="189">
        <f>SUMIFS(Vendas!BD:BD,Vendas!$C:$C,"entregue",Vendas!$F:$F,Tabela1[[#This Row],[Vendedor]])+SUMIFS(Vendas!BD:BD,Vendas!$C:$C,"aprovado",Vendas!$F:$F,Tabela1[[#This Row],[Vendedor]])</f>
        <v>0</v>
      </c>
      <c r="M4" s="190">
        <f>COUNTIFS(Vendas!C:C,"entregue",Vendas!F:F,Tabela1[[#This Row],[Vendedor]])+COUNTIFS(Vendas!C:C,"aprovado",Vendas!F:F,Tabela1[[#This Row],[Vendedor]])</f>
        <v>0</v>
      </c>
      <c r="Q4" s="24" t="str">
        <f>IF(Cadastros!L6="","",Cadastros!L6)</f>
        <v>Distribuidor</v>
      </c>
    </row>
    <row r="5" spans="2:17" ht="14.4" x14ac:dyDescent="0.3">
      <c r="B5" s="184" t="s">
        <v>63</v>
      </c>
      <c r="C5" s="184" t="s">
        <v>86</v>
      </c>
      <c r="D5" s="185" t="s">
        <v>155</v>
      </c>
      <c r="E5" s="186" t="s">
        <v>181</v>
      </c>
      <c r="F5" s="187"/>
      <c r="G5" s="176" t="s">
        <v>133</v>
      </c>
      <c r="H5" s="173">
        <v>54991831331</v>
      </c>
      <c r="I5" s="188" t="s">
        <v>207</v>
      </c>
      <c r="J5" s="188" t="s">
        <v>87</v>
      </c>
      <c r="K5" s="202">
        <f>SUMIFS(Vendas!BB:BB,Vendas!$C:$C,"entregue",Vendas!$F:$F,Tabela1[[#This Row],[Vendedor]])+SUMIFS(Vendas!BB:BB,Vendas!$C:$C,"aprovado",Vendas!$F:$F,Tabela1[[#This Row],[Vendedor]])</f>
        <v>0</v>
      </c>
      <c r="L5" s="189">
        <f>SUMIFS(Vendas!BD:BD,Vendas!$C:$C,"entregue",Vendas!$F:$F,Tabela1[[#This Row],[Vendedor]])+SUMIFS(Vendas!BD:BD,Vendas!$C:$C,"aprovado",Vendas!$F:$F,Tabela1[[#This Row],[Vendedor]])</f>
        <v>0</v>
      </c>
      <c r="M5" s="190">
        <f>COUNTIFS(Vendas!C:C,"entregue",Vendas!F:F,Tabela1[[#This Row],[Vendedor]])+COUNTIFS(Vendas!C:C,"aprovado",Vendas!F:F,Tabela1[[#This Row],[Vendedor]])</f>
        <v>0</v>
      </c>
      <c r="O5" s="155"/>
      <c r="Q5" s="24" t="str">
        <f>IF(Cadastros!L7="","",Cadastros!L7)</f>
        <v>Distribuidor Líder</v>
      </c>
    </row>
    <row r="6" spans="2:17" ht="14.4" x14ac:dyDescent="0.3">
      <c r="B6" s="191" t="s">
        <v>65</v>
      </c>
      <c r="C6" s="184" t="s">
        <v>88</v>
      </c>
      <c r="D6" s="191" t="s">
        <v>156</v>
      </c>
      <c r="E6" s="192" t="s">
        <v>171</v>
      </c>
      <c r="F6" s="193" t="s">
        <v>182</v>
      </c>
      <c r="G6" s="177" t="s">
        <v>194</v>
      </c>
      <c r="H6" s="174">
        <v>54999595462</v>
      </c>
      <c r="I6" s="191" t="s">
        <v>207</v>
      </c>
      <c r="J6" s="191" t="s">
        <v>87</v>
      </c>
      <c r="K6" s="202">
        <f>SUMIFS(Vendas!BB:BB,Vendas!$C:$C,"entregue",Vendas!$F:$F,Tabela1[[#This Row],[Vendedor]])+SUMIFS(Vendas!BB:BB,Vendas!$C:$C,"aprovado",Vendas!$F:$F,Tabela1[[#This Row],[Vendedor]])</f>
        <v>0</v>
      </c>
      <c r="L6" s="189">
        <f>SUMIFS(Vendas!BD:BD,Vendas!$C:$C,"entregue",Vendas!$F:$F,Tabela1[[#This Row],[Vendedor]])+SUMIFS(Vendas!BD:BD,Vendas!$C:$C,"aprovado",Vendas!$F:$F,Tabela1[[#This Row],[Vendedor]])</f>
        <v>0</v>
      </c>
      <c r="M6" s="190">
        <f>COUNTIFS(Vendas!C:C,"entregue",Vendas!F:F,Tabela1[[#This Row],[Vendedor]])+COUNTIFS(Vendas!C:C,"aprovado",Vendas!F:F,Tabela1[[#This Row],[Vendedor]])</f>
        <v>0</v>
      </c>
      <c r="O6" s="154"/>
      <c r="Q6" s="24" t="str">
        <f>IF(Cadastros!L8="","",Cadastros!L8)</f>
        <v>Distribuidor Sênior</v>
      </c>
    </row>
    <row r="7" spans="2:17" ht="14.4" x14ac:dyDescent="0.3">
      <c r="B7" s="191" t="s">
        <v>142</v>
      </c>
      <c r="C7" s="184" t="s">
        <v>89</v>
      </c>
      <c r="D7" s="191" t="s">
        <v>157</v>
      </c>
      <c r="E7" s="193" t="s">
        <v>183</v>
      </c>
      <c r="F7" s="193"/>
      <c r="G7" s="178" t="s">
        <v>195</v>
      </c>
      <c r="H7" s="174">
        <v>51999651957</v>
      </c>
      <c r="I7" s="191" t="s">
        <v>208</v>
      </c>
      <c r="J7" s="191" t="s">
        <v>87</v>
      </c>
      <c r="K7" s="202">
        <f>SUMIFS(Vendas!BB:BB,Vendas!$C:$C,"entregue",Vendas!$F:$F,Tabela1[[#This Row],[Vendedor]])+SUMIFS(Vendas!BB:BB,Vendas!$C:$C,"aprovado",Vendas!$F:$F,Tabela1[[#This Row],[Vendedor]])</f>
        <v>0</v>
      </c>
      <c r="L7" s="189">
        <f>SUMIFS(Vendas!BD:BD,Vendas!$C:$C,"entregue",Vendas!$F:$F,Tabela1[[#This Row],[Vendedor]])+SUMIFS(Vendas!BD:BD,Vendas!$C:$C,"aprovado",Vendas!$F:$F,Tabela1[[#This Row],[Vendedor]])</f>
        <v>0</v>
      </c>
      <c r="M7" s="190">
        <f>COUNTIFS(Vendas!C:C,"entregue",Vendas!F:F,Tabela1[[#This Row],[Vendedor]])+COUNTIFS(Vendas!C:C,"aprovado",Vendas!F:F,Tabela1[[#This Row],[Vendedor]])</f>
        <v>0</v>
      </c>
      <c r="Q7" s="24" t="str">
        <f>IF(Cadastros!L9="","",Cadastros!L9)</f>
        <v>Distribuidor De Carreira</v>
      </c>
    </row>
    <row r="8" spans="2:17" ht="14.4" x14ac:dyDescent="0.3">
      <c r="B8" s="191" t="s">
        <v>143</v>
      </c>
      <c r="C8" s="184" t="s">
        <v>88</v>
      </c>
      <c r="D8" s="191" t="s">
        <v>158</v>
      </c>
      <c r="E8" s="192" t="s">
        <v>172</v>
      </c>
      <c r="F8" s="193" t="s">
        <v>184</v>
      </c>
      <c r="G8" s="177" t="s">
        <v>196</v>
      </c>
      <c r="H8" s="174">
        <v>55999998692</v>
      </c>
      <c r="I8" s="191" t="s">
        <v>209</v>
      </c>
      <c r="J8" s="191" t="s">
        <v>87</v>
      </c>
      <c r="K8" s="202">
        <f>SUMIFS(Vendas!BB:BB,Vendas!$C:$C,"entregue",Vendas!$F:$F,Tabela1[[#This Row],[Vendedor]])+SUMIFS(Vendas!BB:BB,Vendas!$C:$C,"aprovado",Vendas!$F:$F,Tabela1[[#This Row],[Vendedor]])</f>
        <v>0</v>
      </c>
      <c r="L8" s="189">
        <f>SUMIFS(Vendas!BD:BD,Vendas!$C:$C,"entregue",Vendas!$F:$F,Tabela1[[#This Row],[Vendedor]])+SUMIFS(Vendas!BD:BD,Vendas!$C:$C,"aprovado",Vendas!$F:$F,Tabela1[[#This Row],[Vendedor]])</f>
        <v>0</v>
      </c>
      <c r="M8" s="190">
        <f>COUNTIFS(Vendas!C:C,"entregue",Vendas!F:F,Tabela1[[#This Row],[Vendedor]])+COUNTIFS(Vendas!C:C,"aprovado",Vendas!F:F,Tabela1[[#This Row],[Vendedor]])</f>
        <v>0</v>
      </c>
      <c r="Q8" s="24" t="str">
        <f>IF(Cadastros!L10="","",Cadastros!L10)</f>
        <v>Distribuidor Nato</v>
      </c>
    </row>
    <row r="9" spans="2:17" ht="14.4" x14ac:dyDescent="0.3">
      <c r="B9" s="191" t="s">
        <v>144</v>
      </c>
      <c r="C9" s="184" t="s">
        <v>86</v>
      </c>
      <c r="D9" s="191" t="s">
        <v>159</v>
      </c>
      <c r="E9" s="194" t="s">
        <v>173</v>
      </c>
      <c r="F9" s="195" t="s">
        <v>185</v>
      </c>
      <c r="G9" s="179" t="s">
        <v>197</v>
      </c>
      <c r="H9" s="174">
        <v>49991023171</v>
      </c>
      <c r="I9" s="191" t="s">
        <v>210</v>
      </c>
      <c r="J9" s="191" t="s">
        <v>219</v>
      </c>
      <c r="K9" s="202">
        <f>SUMIFS(Vendas!BB:BB,Vendas!$C:$C,"entregue",Vendas!$F:$F,Tabela1[[#This Row],[Vendedor]])+SUMIFS(Vendas!BB:BB,Vendas!$C:$C,"aprovado",Vendas!$F:$F,Tabela1[[#This Row],[Vendedor]])</f>
        <v>0</v>
      </c>
      <c r="L9" s="189">
        <f>SUMIFS(Vendas!BD:BD,Vendas!$C:$C,"entregue",Vendas!$F:$F,Tabela1[[#This Row],[Vendedor]])+SUMIFS(Vendas!BD:BD,Vendas!$C:$C,"aprovado",Vendas!$F:$F,Tabela1[[#This Row],[Vendedor]])</f>
        <v>0</v>
      </c>
      <c r="M9" s="190">
        <f>COUNTIFS(Vendas!C:C,"entregue",Vendas!F:F,Tabela1[[#This Row],[Vendedor]])+COUNTIFS(Vendas!C:C,"aprovado",Vendas!F:F,Tabela1[[#This Row],[Vendedor]])</f>
        <v>0</v>
      </c>
      <c r="Q9" s="24" t="str">
        <f>IF(Cadastros!L11="","",Cadastros!L11)</f>
        <v>Promotor de Vendas</v>
      </c>
    </row>
    <row r="10" spans="2:17" ht="14.4" x14ac:dyDescent="0.3">
      <c r="B10" s="191" t="s">
        <v>145</v>
      </c>
      <c r="C10" s="184" t="s">
        <v>89</v>
      </c>
      <c r="D10" s="191" t="s">
        <v>160</v>
      </c>
      <c r="E10" s="195" t="s">
        <v>186</v>
      </c>
      <c r="F10" s="195"/>
      <c r="G10" s="179" t="s">
        <v>133</v>
      </c>
      <c r="H10" s="174">
        <v>54991601262</v>
      </c>
      <c r="I10" s="191" t="s">
        <v>211</v>
      </c>
      <c r="J10" s="191" t="s">
        <v>87</v>
      </c>
      <c r="K10" s="202">
        <f>SUMIFS(Vendas!BB:BB,Vendas!$C:$C,"entregue",Vendas!$F:$F,Tabela1[[#This Row],[Vendedor]])+SUMIFS(Vendas!BB:BB,Vendas!$C:$C,"aprovado",Vendas!$F:$F,Tabela1[[#This Row],[Vendedor]])</f>
        <v>0</v>
      </c>
      <c r="L10" s="189">
        <f>SUMIFS(Vendas!BD:BD,Vendas!$C:$C,"entregue",Vendas!$F:$F,Tabela1[[#This Row],[Vendedor]])+SUMIFS(Vendas!BD:BD,Vendas!$C:$C,"aprovado",Vendas!$F:$F,Tabela1[[#This Row],[Vendedor]])</f>
        <v>0</v>
      </c>
      <c r="M10" s="190">
        <f>COUNTIFS(Vendas!C:C,"entregue",Vendas!F:F,Tabela1[[#This Row],[Vendedor]])+COUNTIFS(Vendas!C:C,"aprovado",Vendas!F:F,Tabela1[[#This Row],[Vendedor]])</f>
        <v>0</v>
      </c>
      <c r="Q10" s="24" t="str">
        <f>IF(Cadastros!L12="","",Cadastros!L12)</f>
        <v/>
      </c>
    </row>
    <row r="11" spans="2:17" ht="14.4" x14ac:dyDescent="0.3">
      <c r="B11" s="191" t="s">
        <v>146</v>
      </c>
      <c r="C11" s="184" t="s">
        <v>89</v>
      </c>
      <c r="D11" s="191" t="s">
        <v>161</v>
      </c>
      <c r="E11" s="194" t="s">
        <v>174</v>
      </c>
      <c r="F11" s="195"/>
      <c r="G11" s="179" t="s">
        <v>90</v>
      </c>
      <c r="H11" s="174">
        <v>51998887710</v>
      </c>
      <c r="I11" s="191" t="s">
        <v>209</v>
      </c>
      <c r="J11" s="191" t="s">
        <v>87</v>
      </c>
      <c r="K11" s="202">
        <f>SUMIFS(Vendas!BB:BB,Vendas!$C:$C,"entregue",Vendas!$F:$F,Tabela1[[#This Row],[Vendedor]])+SUMIFS(Vendas!BB:BB,Vendas!$C:$C,"aprovado",Vendas!$F:$F,Tabela1[[#This Row],[Vendedor]])</f>
        <v>0</v>
      </c>
      <c r="L11" s="189">
        <f>SUMIFS(Vendas!BD:BD,Vendas!$C:$C,"entregue",Vendas!$F:$F,Tabela1[[#This Row],[Vendedor]])+SUMIFS(Vendas!BD:BD,Vendas!$C:$C,"aprovado",Vendas!$F:$F,Tabela1[[#This Row],[Vendedor]])</f>
        <v>0</v>
      </c>
      <c r="M11" s="190">
        <f>COUNTIFS(Vendas!C:C,"entregue",Vendas!F:F,Tabela1[[#This Row],[Vendedor]])+COUNTIFS(Vendas!C:C,"aprovado",Vendas!F:F,Tabela1[[#This Row],[Vendedor]])</f>
        <v>0</v>
      </c>
      <c r="Q11" s="24" t="str">
        <f>IF(Cadastros!L13="","",Cadastros!L13)</f>
        <v>Acessórios</v>
      </c>
    </row>
    <row r="12" spans="2:17" ht="14.4" x14ac:dyDescent="0.3">
      <c r="B12" s="191" t="s">
        <v>66</v>
      </c>
      <c r="C12" s="184" t="s">
        <v>86</v>
      </c>
      <c r="D12" s="196" t="s">
        <v>162</v>
      </c>
      <c r="E12" s="192" t="s">
        <v>175</v>
      </c>
      <c r="F12" s="193" t="s">
        <v>187</v>
      </c>
      <c r="G12" s="180" t="s">
        <v>198</v>
      </c>
      <c r="H12" s="174">
        <v>54999728270</v>
      </c>
      <c r="I12" s="197" t="s">
        <v>212</v>
      </c>
      <c r="J12" s="197" t="s">
        <v>87</v>
      </c>
      <c r="K12" s="202">
        <f>SUMIFS(Vendas!BB:BB,Vendas!$C:$C,"entregue",Vendas!$F:$F,Tabela1[[#This Row],[Vendedor]])+SUMIFS(Vendas!BB:BB,Vendas!$C:$C,"aprovado",Vendas!$F:$F,Tabela1[[#This Row],[Vendedor]])</f>
        <v>11996.43</v>
      </c>
      <c r="L12" s="189">
        <f>SUMIFS(Vendas!BD:BD,Vendas!$C:$C,"entregue",Vendas!$F:$F,Tabela1[[#This Row],[Vendedor]])+SUMIFS(Vendas!BD:BD,Vendas!$C:$C,"aprovado",Vendas!$F:$F,Tabela1[[#This Row],[Vendedor]])</f>
        <v>5.263230734132895</v>
      </c>
      <c r="M12" s="190">
        <f>COUNTIFS(Vendas!C:C,"entregue",Vendas!F:F,Tabela1[[#This Row],[Vendedor]])+COUNTIFS(Vendas!C:C,"aprovado",Vendas!F:F,Tabela1[[#This Row],[Vendedor]])</f>
        <v>4</v>
      </c>
      <c r="Q12" s="24" t="str">
        <f>IF(Cadastros!L14="","",Cadastros!L14)</f>
        <v/>
      </c>
    </row>
    <row r="13" spans="2:17" ht="14.4" x14ac:dyDescent="0.3">
      <c r="B13" s="191" t="s">
        <v>147</v>
      </c>
      <c r="C13" s="184" t="s">
        <v>89</v>
      </c>
      <c r="D13" s="191" t="s">
        <v>163</v>
      </c>
      <c r="E13" s="195" t="s">
        <v>188</v>
      </c>
      <c r="F13" s="195"/>
      <c r="G13" s="179" t="s">
        <v>199</v>
      </c>
      <c r="H13" s="174">
        <v>55997154798</v>
      </c>
      <c r="I13" s="191" t="s">
        <v>213</v>
      </c>
      <c r="J13" s="191" t="s">
        <v>87</v>
      </c>
      <c r="K13" s="202">
        <f>SUMIFS(Vendas!BB:BB,Vendas!$C:$C,"entregue",Vendas!$F:$F,Tabela1[[#This Row],[Vendedor]])+SUMIFS(Vendas!BB:BB,Vendas!$C:$C,"aprovado",Vendas!$F:$F,Tabela1[[#This Row],[Vendedor]])</f>
        <v>0</v>
      </c>
      <c r="L13" s="189">
        <f>SUMIFS(Vendas!BD:BD,Vendas!$C:$C,"entregue",Vendas!$F:$F,Tabela1[[#This Row],[Vendedor]])+SUMIFS(Vendas!BD:BD,Vendas!$C:$C,"aprovado",Vendas!$F:$F,Tabela1[[#This Row],[Vendedor]])</f>
        <v>0</v>
      </c>
      <c r="M13" s="190">
        <f>COUNTIFS(Vendas!C:C,"entregue",Vendas!F:F,Tabela1[[#This Row],[Vendedor]])+COUNTIFS(Vendas!C:C,"aprovado",Vendas!F:F,Tabela1[[#This Row],[Vendedor]])</f>
        <v>0</v>
      </c>
      <c r="Q13" s="24" t="str">
        <f>IF(Cadastros!L15="","",Cadastros!L15)</f>
        <v/>
      </c>
    </row>
    <row r="14" spans="2:17" ht="14.4" x14ac:dyDescent="0.3">
      <c r="B14" s="191" t="s">
        <v>148</v>
      </c>
      <c r="C14" s="184" t="s">
        <v>89</v>
      </c>
      <c r="D14" s="191" t="s">
        <v>164</v>
      </c>
      <c r="E14" s="194" t="s">
        <v>176</v>
      </c>
      <c r="F14" s="195" t="s">
        <v>189</v>
      </c>
      <c r="G14" s="179" t="s">
        <v>200</v>
      </c>
      <c r="H14" s="174">
        <v>55981299106</v>
      </c>
      <c r="I14" s="191" t="s">
        <v>214</v>
      </c>
      <c r="J14" s="191" t="s">
        <v>87</v>
      </c>
      <c r="K14" s="202">
        <f>SUMIFS(Vendas!BB:BB,Vendas!$C:$C,"entregue",Vendas!$F:$F,Tabela1[[#This Row],[Vendedor]])+SUMIFS(Vendas!BB:BB,Vendas!$C:$C,"aprovado",Vendas!$F:$F,Tabela1[[#This Row],[Vendedor]])</f>
        <v>5125.9799999999996</v>
      </c>
      <c r="L14" s="189">
        <f>SUMIFS(Vendas!BD:BD,Vendas!$C:$C,"entregue",Vendas!$F:$F,Tabela1[[#This Row],[Vendedor]])+SUMIFS(Vendas!BD:BD,Vendas!$C:$C,"aprovado",Vendas!$F:$F,Tabela1[[#This Row],[Vendedor]])</f>
        <v>2.0640643623361146</v>
      </c>
      <c r="M14" s="190">
        <f>COUNTIFS(Vendas!C:C,"entregue",Vendas!F:F,Tabela1[[#This Row],[Vendedor]])+COUNTIFS(Vendas!C:C,"aprovado",Vendas!F:F,Tabela1[[#This Row],[Vendedor]])</f>
        <v>2</v>
      </c>
      <c r="Q14" s="24" t="str">
        <f>IF(Cadastros!L16="","",Cadastros!L16)</f>
        <v/>
      </c>
    </row>
    <row r="15" spans="2:17" ht="14.4" x14ac:dyDescent="0.3">
      <c r="B15" s="191" t="s">
        <v>149</v>
      </c>
      <c r="C15" s="184" t="s">
        <v>89</v>
      </c>
      <c r="D15" s="191" t="s">
        <v>165</v>
      </c>
      <c r="E15" s="194" t="s">
        <v>177</v>
      </c>
      <c r="F15" s="195"/>
      <c r="G15" s="177" t="s">
        <v>201</v>
      </c>
      <c r="H15" s="174">
        <v>54999836307</v>
      </c>
      <c r="I15" s="191" t="s">
        <v>215</v>
      </c>
      <c r="J15" s="191" t="s">
        <v>87</v>
      </c>
      <c r="K15" s="202">
        <f>SUMIFS(Vendas!BB:BB,Vendas!$C:$C,"entregue",Vendas!$F:$F,Tabela1[[#This Row],[Vendedor]])+SUMIFS(Vendas!BB:BB,Vendas!$C:$C,"aprovado",Vendas!$F:$F,Tabela1[[#This Row],[Vendedor]])</f>
        <v>0</v>
      </c>
      <c r="L15" s="189">
        <f>SUMIFS(Vendas!BD:BD,Vendas!$C:$C,"entregue",Vendas!$F:$F,Tabela1[[#This Row],[Vendedor]])+SUMIFS(Vendas!BD:BD,Vendas!$C:$C,"aprovado",Vendas!$F:$F,Tabela1[[#This Row],[Vendedor]])</f>
        <v>0</v>
      </c>
      <c r="M15" s="190">
        <f>COUNTIFS(Vendas!C:C,"entregue",Vendas!F:F,Tabela1[[#This Row],[Vendedor]])+COUNTIFS(Vendas!C:C,"aprovado",Vendas!F:F,Tabela1[[#This Row],[Vendedor]])</f>
        <v>0</v>
      </c>
      <c r="Q15" s="24" t="str">
        <f>IF(Cadastros!L17="","",Cadastros!L17)</f>
        <v/>
      </c>
    </row>
    <row r="16" spans="2:17" ht="14.4" x14ac:dyDescent="0.3">
      <c r="B16" s="191" t="s">
        <v>150</v>
      </c>
      <c r="C16" s="184" t="s">
        <v>89</v>
      </c>
      <c r="D16" s="191" t="s">
        <v>166</v>
      </c>
      <c r="E16" s="194" t="s">
        <v>178</v>
      </c>
      <c r="F16" s="195"/>
      <c r="G16" s="179" t="s">
        <v>202</v>
      </c>
      <c r="H16" s="175">
        <v>54996215825</v>
      </c>
      <c r="I16" s="191" t="s">
        <v>216</v>
      </c>
      <c r="J16" s="191" t="s">
        <v>87</v>
      </c>
      <c r="K16" s="202">
        <f>SUMIFS(Vendas!BB:BB,Vendas!$C:$C,"entregue",Vendas!$F:$F,Tabela1[[#This Row],[Vendedor]])+SUMIFS(Vendas!BB:BB,Vendas!$C:$C,"aprovado",Vendas!$F:$F,Tabela1[[#This Row],[Vendedor]])</f>
        <v>0</v>
      </c>
      <c r="L16" s="189">
        <f>SUMIFS(Vendas!BD:BD,Vendas!$C:$C,"entregue",Vendas!$F:$F,Tabela1[[#This Row],[Vendedor]])+SUMIFS(Vendas!BD:BD,Vendas!$C:$C,"aprovado",Vendas!$F:$F,Tabela1[[#This Row],[Vendedor]])</f>
        <v>0</v>
      </c>
      <c r="M16" s="190">
        <f>COUNTIFS(Vendas!C:C,"entregue",Vendas!F:F,Tabela1[[#This Row],[Vendedor]])+COUNTIFS(Vendas!C:C,"aprovado",Vendas!F:F,Tabela1[[#This Row],[Vendedor]])</f>
        <v>0</v>
      </c>
      <c r="Q16" s="24" t="str">
        <f>IF(Cadastros!L18="","",Cadastros!L18)</f>
        <v/>
      </c>
    </row>
    <row r="17" spans="2:17" ht="14.4" x14ac:dyDescent="0.3">
      <c r="B17" s="191" t="s">
        <v>151</v>
      </c>
      <c r="C17" s="184" t="s">
        <v>88</v>
      </c>
      <c r="D17" s="196" t="s">
        <v>167</v>
      </c>
      <c r="E17" s="193" t="s">
        <v>190</v>
      </c>
      <c r="F17" s="193"/>
      <c r="G17" s="180" t="s">
        <v>203</v>
      </c>
      <c r="H17" s="174">
        <v>55996817481</v>
      </c>
      <c r="I17" s="197" t="s">
        <v>217</v>
      </c>
      <c r="J17" s="197" t="s">
        <v>87</v>
      </c>
      <c r="K17" s="202">
        <f>SUMIFS(Vendas!BB:BB,Vendas!$C:$C,"entregue",Vendas!$F:$F,Tabela1[[#This Row],[Vendedor]])+SUMIFS(Vendas!BB:BB,Vendas!$C:$C,"aprovado",Vendas!$F:$F,Tabela1[[#This Row],[Vendedor]])</f>
        <v>4677</v>
      </c>
      <c r="L17" s="189">
        <f>SUMIFS(Vendas!BD:BD,Vendas!$C:$C,"entregue",Vendas!$F:$F,Tabela1[[#This Row],[Vendedor]])+SUMIFS(Vendas!BD:BD,Vendas!$C:$C,"aprovado",Vendas!$F:$F,Tabela1[[#This Row],[Vendedor]])</f>
        <v>1.3936233611442193</v>
      </c>
      <c r="M17" s="190">
        <f>COUNTIFS(Vendas!C:C,"entregue",Vendas!F:F,Tabela1[[#This Row],[Vendedor]])+COUNTIFS(Vendas!C:C,"aprovado",Vendas!F:F,Tabela1[[#This Row],[Vendedor]])</f>
        <v>1</v>
      </c>
      <c r="Q17" s="24" t="str">
        <f>IF(Cadastros!L19="","",Cadastros!L19)</f>
        <v/>
      </c>
    </row>
    <row r="18" spans="2:17" ht="14.4" x14ac:dyDescent="0.3">
      <c r="B18" s="178" t="s">
        <v>152</v>
      </c>
      <c r="C18" s="184" t="s">
        <v>88</v>
      </c>
      <c r="D18" s="178" t="s">
        <v>168</v>
      </c>
      <c r="E18" s="192" t="s">
        <v>179</v>
      </c>
      <c r="F18" s="193" t="s">
        <v>191</v>
      </c>
      <c r="G18" s="177" t="s">
        <v>204</v>
      </c>
      <c r="H18" s="174">
        <v>55984362178</v>
      </c>
      <c r="I18" s="178" t="s">
        <v>218</v>
      </c>
      <c r="J18" s="178" t="s">
        <v>87</v>
      </c>
      <c r="K18" s="202">
        <f>SUMIFS(Vendas!BB:BB,Vendas!$C:$C,"entregue",Vendas!$F:$F,Tabela1[[#This Row],[Vendedor]])+SUMIFS(Vendas!BB:BB,Vendas!$C:$C,"aprovado",Vendas!$F:$F,Tabela1[[#This Row],[Vendedor]])</f>
        <v>0</v>
      </c>
      <c r="L18" s="189">
        <f>SUMIFS(Vendas!BD:BD,Vendas!$C:$C,"entregue",Vendas!$F:$F,Tabela1[[#This Row],[Vendedor]])+SUMIFS(Vendas!BD:BD,Vendas!$C:$C,"aprovado",Vendas!$F:$F,Tabela1[[#This Row],[Vendedor]])</f>
        <v>0</v>
      </c>
      <c r="M18" s="190">
        <f>COUNTIFS(Vendas!C:C,"entregue",Vendas!F:F,Tabela1[[#This Row],[Vendedor]])+COUNTIFS(Vendas!C:C,"aprovado",Vendas!F:F,Tabela1[[#This Row],[Vendedor]])</f>
        <v>0</v>
      </c>
    </row>
    <row r="19" spans="2:17" ht="14.4" x14ac:dyDescent="0.3">
      <c r="B19" s="191" t="s">
        <v>153</v>
      </c>
      <c r="C19" s="184" t="s">
        <v>88</v>
      </c>
      <c r="D19" s="191" t="s">
        <v>169</v>
      </c>
      <c r="E19" s="195" t="s">
        <v>192</v>
      </c>
      <c r="F19" s="195" t="s">
        <v>192</v>
      </c>
      <c r="G19" s="177" t="s">
        <v>205</v>
      </c>
      <c r="H19" s="174">
        <v>54999821932</v>
      </c>
      <c r="I19" s="191" t="s">
        <v>211</v>
      </c>
      <c r="J19" s="191" t="s">
        <v>87</v>
      </c>
      <c r="K19" s="202">
        <f>SUMIFS(Vendas!BB:BB,Vendas!$C:$C,"entregue",Vendas!$F:$F,Tabela1[[#This Row],[Vendedor]])+SUMIFS(Vendas!BB:BB,Vendas!$C:$C,"aprovado",Vendas!$F:$F,Tabela1[[#This Row],[Vendedor]])</f>
        <v>0</v>
      </c>
      <c r="L19" s="189">
        <f>SUMIFS(Vendas!BD:BD,Vendas!$C:$C,"entregue",Vendas!$F:$F,Tabela1[[#This Row],[Vendedor]])+SUMIFS(Vendas!BD:BD,Vendas!$C:$C,"aprovado",Vendas!$F:$F,Tabela1[[#This Row],[Vendedor]])</f>
        <v>0</v>
      </c>
      <c r="M19" s="190">
        <f>COUNTIFS(Vendas!C:C,"entregue",Vendas!F:F,Tabela1[[#This Row],[Vendedor]])+COUNTIFS(Vendas!C:C,"aprovado",Vendas!F:F,Tabela1[[#This Row],[Vendedor]])</f>
        <v>0</v>
      </c>
    </row>
    <row r="20" spans="2:17" ht="14.4" x14ac:dyDescent="0.3">
      <c r="B20" s="191"/>
      <c r="C20" s="184"/>
      <c r="D20" s="178"/>
      <c r="E20" s="192"/>
      <c r="F20" s="193"/>
      <c r="G20" s="178"/>
      <c r="H20" s="174"/>
      <c r="I20" s="178"/>
      <c r="J20" s="178"/>
      <c r="K20" s="202">
        <f>SUMIFS(Vendas!BB:BB,Vendas!$C:$C,"entregue",Vendas!$F:$F,Tabela1[[#This Row],[Vendedor]])+SUMIFS(Vendas!BB:BB,Vendas!$C:$C,"aprovado",Vendas!$F:$F,Tabela1[[#This Row],[Vendedor]])</f>
        <v>0</v>
      </c>
      <c r="L20" s="189">
        <f>SUMIFS(Vendas!BD:BD,Vendas!$C:$C,"entregue",Vendas!$F:$F,Tabela1[[#This Row],[Vendedor]])+SUMIFS(Vendas!BD:BD,Vendas!$C:$C,"aprovado",Vendas!$F:$F,Tabela1[[#This Row],[Vendedor]])</f>
        <v>0</v>
      </c>
      <c r="M20" s="190">
        <f>COUNTIFS(Vendas!C:C,"entregue",Vendas!F:F,Tabela1[[#This Row],[Vendedor]])+COUNTIFS(Vendas!C:C,"aprovado",Vendas!F:F,Tabela1[[#This Row],[Vendedor]])</f>
        <v>0</v>
      </c>
    </row>
    <row r="21" spans="2:17" ht="14.4" x14ac:dyDescent="0.3">
      <c r="B21" s="191"/>
      <c r="C21" s="184"/>
      <c r="D21" s="191"/>
      <c r="E21" s="194"/>
      <c r="F21" s="195"/>
      <c r="G21" s="181"/>
      <c r="H21" s="174"/>
      <c r="I21" s="191"/>
      <c r="J21" s="191"/>
      <c r="K21" s="202">
        <f>SUMIFS(Vendas!BB:BB,Vendas!$C:$C,"entregue",Vendas!$F:$F,Tabela1[[#This Row],[Vendedor]])+SUMIFS(Vendas!BB:BB,Vendas!$C:$C,"aprovado",Vendas!$F:$F,Tabela1[[#This Row],[Vendedor]])</f>
        <v>0</v>
      </c>
      <c r="L21" s="189">
        <f>SUMIFS(Vendas!BD:BD,Vendas!$C:$C,"entregue",Vendas!$F:$F,Tabela1[[#This Row],[Vendedor]])+SUMIFS(Vendas!BD:BD,Vendas!$C:$C,"aprovado",Vendas!$F:$F,Tabela1[[#This Row],[Vendedor]])</f>
        <v>0</v>
      </c>
      <c r="M21" s="190">
        <f>COUNTIFS(Vendas!C:C,"entregue",Vendas!F:F,Tabela1[[#This Row],[Vendedor]])+COUNTIFS(Vendas!C:C,"aprovado",Vendas!F:F,Tabela1[[#This Row],[Vendedor]])</f>
        <v>0</v>
      </c>
    </row>
    <row r="22" spans="2:17" ht="14.4" x14ac:dyDescent="0.3">
      <c r="B22" s="191"/>
      <c r="C22" s="184"/>
      <c r="D22" s="196"/>
      <c r="E22" s="192"/>
      <c r="F22" s="193"/>
      <c r="G22" s="182"/>
      <c r="H22" s="174"/>
      <c r="I22" s="197"/>
      <c r="J22" s="197"/>
      <c r="K22" s="202">
        <f>SUMIFS(Vendas!BB:BB,Vendas!$C:$C,"entregue",Vendas!$F:$F,Tabela1[[#This Row],[Vendedor]])+SUMIFS(Vendas!BB:BB,Vendas!$C:$C,"aprovado",Vendas!$F:$F,Tabela1[[#This Row],[Vendedor]])</f>
        <v>0</v>
      </c>
      <c r="L22" s="189">
        <f>SUMIFS(Vendas!BD:BD,Vendas!$C:$C,"entregue",Vendas!$F:$F,Tabela1[[#This Row],[Vendedor]])+SUMIFS(Vendas!BD:BD,Vendas!$C:$C,"aprovado",Vendas!$F:$F,Tabela1[[#This Row],[Vendedor]])</f>
        <v>0</v>
      </c>
      <c r="M22" s="190">
        <f>COUNTIFS(Vendas!C:C,"entregue",Vendas!F:F,Tabela1[[#This Row],[Vendedor]])+COUNTIFS(Vendas!C:C,"aprovado",Vendas!F:F,Tabela1[[#This Row],[Vendedor]])</f>
        <v>0</v>
      </c>
    </row>
    <row r="23" spans="2:17" ht="14.4" x14ac:dyDescent="0.3">
      <c r="B23" s="191"/>
      <c r="C23" s="184"/>
      <c r="D23" s="196"/>
      <c r="E23" s="192"/>
      <c r="F23" s="193"/>
      <c r="G23" s="182"/>
      <c r="H23" s="174"/>
      <c r="I23" s="197"/>
      <c r="J23" s="197"/>
      <c r="K23" s="202">
        <f>SUMIFS(Vendas!BB:BB,Vendas!$C:$C,"entregue",Vendas!$F:$F,Tabela1[[#This Row],[Vendedor]])+SUMIFS(Vendas!BB:BB,Vendas!$C:$C,"aprovado",Vendas!$F:$F,Tabela1[[#This Row],[Vendedor]])</f>
        <v>0</v>
      </c>
      <c r="L23" s="189">
        <f>SUMIFS(Vendas!BD:BD,Vendas!$C:$C,"entregue",Vendas!$F:$F,Tabela1[[#This Row],[Vendedor]])+SUMIFS(Vendas!BD:BD,Vendas!$C:$C,"aprovado",Vendas!$F:$F,Tabela1[[#This Row],[Vendedor]])</f>
        <v>0</v>
      </c>
      <c r="M23" s="190">
        <f>COUNTIFS(Vendas!C:C,"entregue",Vendas!F:F,Tabela1[[#This Row],[Vendedor]])+COUNTIFS(Vendas!C:C,"aprovado",Vendas!F:F,Tabela1[[#This Row],[Vendedor]])</f>
        <v>0</v>
      </c>
    </row>
    <row r="24" spans="2:17" ht="14.4" x14ac:dyDescent="0.3">
      <c r="B24" s="191"/>
      <c r="C24" s="184"/>
      <c r="D24" s="191"/>
      <c r="E24" s="194"/>
      <c r="F24" s="195"/>
      <c r="G24" s="181"/>
      <c r="H24" s="174"/>
      <c r="I24" s="191"/>
      <c r="J24" s="191"/>
      <c r="K24" s="202">
        <f>SUMIFS(Vendas!BB:BB,Vendas!$C:$C,"entregue",Vendas!$F:$F,Tabela1[[#This Row],[Vendedor]])+SUMIFS(Vendas!BB:BB,Vendas!$C:$C,"aprovado",Vendas!$F:$F,Tabela1[[#This Row],[Vendedor]])</f>
        <v>0</v>
      </c>
      <c r="L24" s="189">
        <f>SUMIFS(Vendas!BD:BD,Vendas!$C:$C,"entregue",Vendas!$F:$F,Tabela1[[#This Row],[Vendedor]])+SUMIFS(Vendas!BD:BD,Vendas!$C:$C,"aprovado",Vendas!$F:$F,Tabela1[[#This Row],[Vendedor]])</f>
        <v>0</v>
      </c>
      <c r="M24" s="190">
        <f>COUNTIFS(Vendas!C:C,"entregue",Vendas!F:F,Tabela1[[#This Row],[Vendedor]])+COUNTIFS(Vendas!C:C,"aprovado",Vendas!F:F,Tabela1[[#This Row],[Vendedor]])</f>
        <v>0</v>
      </c>
    </row>
    <row r="25" spans="2:17" ht="14.4" x14ac:dyDescent="0.3">
      <c r="B25" s="191"/>
      <c r="C25" s="184"/>
      <c r="D25" s="198"/>
      <c r="E25" s="199"/>
      <c r="F25" s="200"/>
      <c r="G25" s="181"/>
      <c r="H25" s="174"/>
      <c r="I25" s="198"/>
      <c r="J25" s="178"/>
      <c r="K25" s="202">
        <f>SUMIFS(Vendas!BB:BB,Vendas!$C:$C,"entregue",Vendas!$F:$F,Tabela1[[#This Row],[Vendedor]])+SUMIFS(Vendas!BB:BB,Vendas!$C:$C,"aprovado",Vendas!$F:$F,Tabela1[[#This Row],[Vendedor]])</f>
        <v>0</v>
      </c>
      <c r="L25" s="189">
        <f>SUMIFS(Vendas!BD:BD,Vendas!$C:$C,"entregue",Vendas!$F:$F,Tabela1[[#This Row],[Vendedor]])+SUMIFS(Vendas!BD:BD,Vendas!$C:$C,"aprovado",Vendas!$F:$F,Tabela1[[#This Row],[Vendedor]])</f>
        <v>0</v>
      </c>
      <c r="M25" s="190">
        <f>COUNTIFS(Vendas!C:C,"entregue",Vendas!F:F,Tabela1[[#This Row],[Vendedor]])+COUNTIFS(Vendas!C:C,"aprovado",Vendas!F:F,Tabela1[[#This Row],[Vendedor]])</f>
        <v>0</v>
      </c>
    </row>
    <row r="26" spans="2:17" ht="14.4" x14ac:dyDescent="0.3">
      <c r="B26" s="191"/>
      <c r="C26" s="184"/>
      <c r="D26" s="178"/>
      <c r="E26" s="192"/>
      <c r="F26" s="193"/>
      <c r="G26" s="183"/>
      <c r="H26" s="174"/>
      <c r="I26" s="197"/>
      <c r="J26" s="197"/>
      <c r="K26" s="202">
        <f>SUMIFS(Vendas!BB:BB,Vendas!$C:$C,"entregue",Vendas!$F:$F,Tabela1[[#This Row],[Vendedor]])+SUMIFS(Vendas!BB:BB,Vendas!$C:$C,"aprovado",Vendas!$F:$F,Tabela1[[#This Row],[Vendedor]])</f>
        <v>0</v>
      </c>
      <c r="L26" s="189">
        <f>SUMIFS(Vendas!BD:BD,Vendas!$C:$C,"entregue",Vendas!$F:$F,Tabela1[[#This Row],[Vendedor]])+SUMIFS(Vendas!BD:BD,Vendas!$C:$C,"aprovado",Vendas!$F:$F,Tabela1[[#This Row],[Vendedor]])</f>
        <v>0</v>
      </c>
      <c r="M26" s="190">
        <f>COUNTIFS(Vendas!C:C,"entregue",Vendas!F:F,Tabela1[[#This Row],[Vendedor]])+COUNTIFS(Vendas!C:C,"aprovado",Vendas!F:F,Tabela1[[#This Row],[Vendedor]])</f>
        <v>0</v>
      </c>
    </row>
    <row r="27" spans="2:17" ht="14.4" x14ac:dyDescent="0.3">
      <c r="B27" s="191"/>
      <c r="C27" s="184"/>
      <c r="D27" s="191"/>
      <c r="E27" s="194"/>
      <c r="F27" s="195"/>
      <c r="G27" s="181"/>
      <c r="H27" s="174"/>
      <c r="I27" s="191"/>
      <c r="J27" s="191"/>
      <c r="K27" s="202">
        <f>SUMIFS(Vendas!BB:BB,Vendas!$C:$C,"entregue",Vendas!$F:$F,Tabela1[[#This Row],[Vendedor]])+SUMIFS(Vendas!BB:BB,Vendas!$C:$C,"aprovado",Vendas!$F:$F,Tabela1[[#This Row],[Vendedor]])</f>
        <v>0</v>
      </c>
      <c r="L27" s="189">
        <f>SUMIFS(Vendas!BD:BD,Vendas!$C:$C,"entregue",Vendas!$F:$F,Tabela1[[#This Row],[Vendedor]])+SUMIFS(Vendas!BD:BD,Vendas!$C:$C,"aprovado",Vendas!$F:$F,Tabela1[[#This Row],[Vendedor]])</f>
        <v>0</v>
      </c>
      <c r="M27" s="190">
        <f>COUNTIFS(Vendas!C:C,"entregue",Vendas!F:F,Tabela1[[#This Row],[Vendedor]])+COUNTIFS(Vendas!C:C,"aprovado",Vendas!F:F,Tabela1[[#This Row],[Vendedor]])</f>
        <v>0</v>
      </c>
    </row>
    <row r="28" spans="2:17" ht="14.4" x14ac:dyDescent="0.3">
      <c r="B28" s="191"/>
      <c r="C28" s="184"/>
      <c r="D28" s="191"/>
      <c r="E28" s="194"/>
      <c r="F28" s="195"/>
      <c r="G28" s="181"/>
      <c r="H28" s="174"/>
      <c r="I28" s="191"/>
      <c r="J28" s="191"/>
      <c r="K28" s="202">
        <f>SUMIFS(Vendas!BB:BB,Vendas!$C:$C,"entregue",Vendas!$F:$F,Tabela1[[#This Row],[Vendedor]])+SUMIFS(Vendas!BB:BB,Vendas!$C:$C,"aprovado",Vendas!$F:$F,Tabela1[[#This Row],[Vendedor]])</f>
        <v>0</v>
      </c>
      <c r="L28" s="189">
        <f>SUMIFS(Vendas!BD:BD,Vendas!$C:$C,"entregue",Vendas!$F:$F,Tabela1[[#This Row],[Vendedor]])+SUMIFS(Vendas!BD:BD,Vendas!$C:$C,"aprovado",Vendas!$F:$F,Tabela1[[#This Row],[Vendedor]])</f>
        <v>0</v>
      </c>
      <c r="M28" s="190">
        <f>COUNTIFS(Vendas!C:C,"entregue",Vendas!F:F,Tabela1[[#This Row],[Vendedor]])+COUNTIFS(Vendas!C:C,"aprovado",Vendas!F:F,Tabela1[[#This Row],[Vendedor]])</f>
        <v>0</v>
      </c>
    </row>
    <row r="29" spans="2:17" ht="14.4" x14ac:dyDescent="0.3">
      <c r="B29" s="191"/>
      <c r="C29" s="184"/>
      <c r="D29" s="196"/>
      <c r="E29" s="192"/>
      <c r="F29" s="193"/>
      <c r="G29" s="182"/>
      <c r="H29" s="174"/>
      <c r="I29" s="197"/>
      <c r="J29" s="197"/>
      <c r="K29" s="202">
        <f>SUMIFS(Vendas!BB:BB,Vendas!$C:$C,"entregue",Vendas!$F:$F,Tabela1[[#This Row],[Vendedor]])+SUMIFS(Vendas!BB:BB,Vendas!$C:$C,"aprovado",Vendas!$F:$F,Tabela1[[#This Row],[Vendedor]])</f>
        <v>0</v>
      </c>
      <c r="L29" s="189">
        <f>SUMIFS(Vendas!BD:BD,Vendas!$C:$C,"entregue",Vendas!$F:$F,Tabela1[[#This Row],[Vendedor]])+SUMIFS(Vendas!BD:BD,Vendas!$C:$C,"aprovado",Vendas!$F:$F,Tabela1[[#This Row],[Vendedor]])</f>
        <v>0</v>
      </c>
      <c r="M29" s="190">
        <f>COUNTIFS(Vendas!C:C,"entregue",Vendas!F:F,Tabela1[[#This Row],[Vendedor]])+COUNTIFS(Vendas!C:C,"aprovado",Vendas!F:F,Tabela1[[#This Row],[Vendedor]])</f>
        <v>0</v>
      </c>
    </row>
    <row r="30" spans="2:17" ht="14.4" x14ac:dyDescent="0.3">
      <c r="B30" s="191"/>
      <c r="C30" s="184"/>
      <c r="D30" s="191"/>
      <c r="E30" s="194"/>
      <c r="F30" s="195"/>
      <c r="G30" s="178"/>
      <c r="H30" s="174"/>
      <c r="I30" s="191"/>
      <c r="J30" s="191"/>
      <c r="K30" s="202">
        <f>SUMIFS(Vendas!BB:BB,Vendas!$C:$C,"entregue",Vendas!$F:$F,Tabela1[[#This Row],[Vendedor]])+SUMIFS(Vendas!BB:BB,Vendas!$C:$C,"aprovado",Vendas!$F:$F,Tabela1[[#This Row],[Vendedor]])</f>
        <v>0</v>
      </c>
      <c r="L30" s="189">
        <f>SUMIFS(Vendas!BD:BD,Vendas!$C:$C,"entregue",Vendas!$F:$F,Tabela1[[#This Row],[Vendedor]])+SUMIFS(Vendas!BD:BD,Vendas!$C:$C,"aprovado",Vendas!$F:$F,Tabela1[[#This Row],[Vendedor]])</f>
        <v>0</v>
      </c>
      <c r="M30" s="190">
        <f>COUNTIFS(Vendas!C:C,"entregue",Vendas!F:F,Tabela1[[#This Row],[Vendedor]])+COUNTIFS(Vendas!C:C,"aprovado",Vendas!F:F,Tabela1[[#This Row],[Vendedor]])</f>
        <v>0</v>
      </c>
    </row>
    <row r="31" spans="2:17" ht="14.4" x14ac:dyDescent="0.3">
      <c r="B31" s="191"/>
      <c r="C31" s="184"/>
      <c r="D31" s="196"/>
      <c r="E31" s="192"/>
      <c r="F31" s="193"/>
      <c r="G31" s="182"/>
      <c r="H31" s="174"/>
      <c r="I31" s="197"/>
      <c r="J31" s="197"/>
      <c r="K31" s="202">
        <f>SUMIFS(Vendas!BB:BB,Vendas!$C:$C,"entregue",Vendas!$F:$F,Tabela1[[#This Row],[Vendedor]])+SUMIFS(Vendas!BB:BB,Vendas!$C:$C,"aprovado",Vendas!$F:$F,Tabela1[[#This Row],[Vendedor]])</f>
        <v>0</v>
      </c>
      <c r="L31" s="189">
        <f>SUMIFS(Vendas!BD:BD,Vendas!$C:$C,"entregue",Vendas!$F:$F,Tabela1[[#This Row],[Vendedor]])+SUMIFS(Vendas!BD:BD,Vendas!$C:$C,"aprovado",Vendas!$F:$F,Tabela1[[#This Row],[Vendedor]])</f>
        <v>0</v>
      </c>
      <c r="M31" s="190">
        <f>COUNTIFS(Vendas!C:C,"entregue",Vendas!F:F,Tabela1[[#This Row],[Vendedor]])+COUNTIFS(Vendas!C:C,"aprovado",Vendas!F:F,Tabela1[[#This Row],[Vendedor]])</f>
        <v>0</v>
      </c>
    </row>
    <row r="32" spans="2:17" ht="14.4" x14ac:dyDescent="0.3">
      <c r="B32" s="201"/>
      <c r="C32" s="184"/>
      <c r="D32" s="191"/>
      <c r="E32" s="194"/>
      <c r="F32" s="195"/>
      <c r="G32" s="181"/>
      <c r="H32" s="174"/>
      <c r="I32" s="191"/>
      <c r="J32" s="191"/>
      <c r="K32" s="202">
        <f>SUMIFS(Vendas!BB:BB,Vendas!$C:$C,"entregue",Vendas!$F:$F,Tabela1[[#This Row],[Vendedor]])+SUMIFS(Vendas!BB:BB,Vendas!$C:$C,"aprovado",Vendas!$F:$F,Tabela1[[#This Row],[Vendedor]])</f>
        <v>0</v>
      </c>
      <c r="L32" s="189">
        <f>SUMIFS(Vendas!BD:BD,Vendas!$C:$C,"entregue",Vendas!$F:$F,Tabela1[[#This Row],[Vendedor]])+SUMIFS(Vendas!BD:BD,Vendas!$C:$C,"aprovado",Vendas!$F:$F,Tabela1[[#This Row],[Vendedor]])</f>
        <v>0</v>
      </c>
      <c r="M32" s="190">
        <f>COUNTIFS(Vendas!C:C,"entregue",Vendas!F:F,Tabela1[[#This Row],[Vendedor]])+COUNTIFS(Vendas!C:C,"aprovado",Vendas!F:F,Tabela1[[#This Row],[Vendedor]])</f>
        <v>0</v>
      </c>
    </row>
    <row r="33" spans="2:13" ht="14.4" x14ac:dyDescent="0.3">
      <c r="B33" s="191"/>
      <c r="C33" s="184"/>
      <c r="D33" s="191"/>
      <c r="E33" s="194"/>
      <c r="F33" s="195"/>
      <c r="G33" s="181"/>
      <c r="H33" s="174"/>
      <c r="I33" s="191"/>
      <c r="J33" s="191"/>
      <c r="K33" s="202">
        <f>SUMIFS(Vendas!BB:BB,Vendas!$C:$C,"entregue",Vendas!$F:$F,Tabela1[[#This Row],[Vendedor]])+SUMIFS(Vendas!BB:BB,Vendas!$C:$C,"aprovado",Vendas!$F:$F,Tabela1[[#This Row],[Vendedor]])</f>
        <v>0</v>
      </c>
      <c r="L33" s="189">
        <f>SUMIFS(Vendas!BD:BD,Vendas!$C:$C,"entregue",Vendas!$F:$F,Tabela1[[#This Row],[Vendedor]])+SUMIFS(Vendas!BD:BD,Vendas!$C:$C,"aprovado",Vendas!$F:$F,Tabela1[[#This Row],[Vendedor]])</f>
        <v>0</v>
      </c>
      <c r="M33" s="190">
        <f>COUNTIFS(Vendas!C:C,"entregue",Vendas!F:F,Tabela1[[#This Row],[Vendedor]])+COUNTIFS(Vendas!C:C,"aprovado",Vendas!F:F,Tabela1[[#This Row],[Vendedor]])</f>
        <v>0</v>
      </c>
    </row>
    <row r="34" spans="2:13" ht="14.4" x14ac:dyDescent="0.3">
      <c r="B34" s="191"/>
      <c r="C34" s="184"/>
      <c r="D34" s="191"/>
      <c r="E34" s="194"/>
      <c r="F34" s="195"/>
      <c r="G34" s="181"/>
      <c r="H34" s="174"/>
      <c r="I34" s="191"/>
      <c r="J34" s="191"/>
      <c r="K34" s="202">
        <f>SUMIFS(Vendas!BB:BB,Vendas!$C:$C,"entregue",Vendas!$F:$F,Tabela1[[#This Row],[Vendedor]])+SUMIFS(Vendas!BB:BB,Vendas!$C:$C,"aprovado",Vendas!$F:$F,Tabela1[[#This Row],[Vendedor]])</f>
        <v>0</v>
      </c>
      <c r="L34" s="189">
        <f>SUMIFS(Vendas!BD:BD,Vendas!$C:$C,"entregue",Vendas!$F:$F,Tabela1[[#This Row],[Vendedor]])+SUMIFS(Vendas!BD:BD,Vendas!$C:$C,"aprovado",Vendas!$F:$F,Tabela1[[#This Row],[Vendedor]])</f>
        <v>0</v>
      </c>
      <c r="M34" s="190">
        <f>COUNTIFS(Vendas!C:C,"entregue",Vendas!F:F,Tabela1[[#This Row],[Vendedor]])+COUNTIFS(Vendas!C:C,"aprovado",Vendas!F:F,Tabela1[[#This Row],[Vendedor]])</f>
        <v>0</v>
      </c>
    </row>
    <row r="35" spans="2:13" ht="14.4" x14ac:dyDescent="0.3">
      <c r="B35" s="191"/>
      <c r="C35" s="184"/>
      <c r="D35" s="178"/>
      <c r="E35" s="192"/>
      <c r="F35" s="193"/>
      <c r="G35" s="181"/>
      <c r="H35" s="174"/>
      <c r="I35" s="178"/>
      <c r="J35" s="178"/>
      <c r="K35" s="202">
        <f>SUMIFS(Vendas!BB:BB,Vendas!$C:$C,"entregue",Vendas!$F:$F,Tabela1[[#This Row],[Vendedor]])+SUMIFS(Vendas!BB:BB,Vendas!$C:$C,"aprovado",Vendas!$F:$F,Tabela1[[#This Row],[Vendedor]])</f>
        <v>0</v>
      </c>
      <c r="L35" s="189">
        <f>SUMIFS(Vendas!BD:BD,Vendas!$C:$C,"entregue",Vendas!$F:$F,Tabela1[[#This Row],[Vendedor]])+SUMIFS(Vendas!BD:BD,Vendas!$C:$C,"aprovado",Vendas!$F:$F,Tabela1[[#This Row],[Vendedor]])</f>
        <v>0</v>
      </c>
      <c r="M35" s="190">
        <f>COUNTIFS(Vendas!C:C,"entregue",Vendas!F:F,Tabela1[[#This Row],[Vendedor]])+COUNTIFS(Vendas!C:C,"aprovado",Vendas!F:F,Tabela1[[#This Row],[Vendedor]])</f>
        <v>0</v>
      </c>
    </row>
    <row r="36" spans="2:13" ht="14.4" x14ac:dyDescent="0.3">
      <c r="B36" s="191"/>
      <c r="C36" s="184"/>
      <c r="D36" s="191"/>
      <c r="E36" s="194"/>
      <c r="F36" s="195"/>
      <c r="G36" s="181"/>
      <c r="H36" s="174"/>
      <c r="I36" s="191"/>
      <c r="J36" s="191"/>
      <c r="K36" s="202">
        <f>SUMIFS(Vendas!BB:BB,Vendas!$C:$C,"entregue",Vendas!$F:$F,Tabela1[[#This Row],[Vendedor]])+SUMIFS(Vendas!BB:BB,Vendas!$C:$C,"aprovado",Vendas!$F:$F,Tabela1[[#This Row],[Vendedor]])</f>
        <v>0</v>
      </c>
      <c r="L36" s="189">
        <f>SUMIFS(Vendas!BD:BD,Vendas!$C:$C,"entregue",Vendas!$F:$F,Tabela1[[#This Row],[Vendedor]])+SUMIFS(Vendas!BD:BD,Vendas!$C:$C,"aprovado",Vendas!$F:$F,Tabela1[[#This Row],[Vendedor]])</f>
        <v>0</v>
      </c>
      <c r="M36" s="190">
        <f>COUNTIFS(Vendas!C:C,"entregue",Vendas!F:F,Tabela1[[#This Row],[Vendedor]])+COUNTIFS(Vendas!C:C,"aprovado",Vendas!F:F,Tabela1[[#This Row],[Vendedor]])</f>
        <v>0</v>
      </c>
    </row>
    <row r="37" spans="2:13" ht="14.4" x14ac:dyDescent="0.3">
      <c r="B37" s="191"/>
      <c r="C37" s="184"/>
      <c r="D37" s="178"/>
      <c r="E37" s="192"/>
      <c r="F37" s="193"/>
      <c r="G37" s="181"/>
      <c r="H37" s="174"/>
      <c r="I37" s="178"/>
      <c r="J37" s="178"/>
      <c r="K37" s="202">
        <f>SUMIFS(Vendas!BB:BB,Vendas!$C:$C,"entregue",Vendas!$F:$F,Tabela1[[#This Row],[Vendedor]])+SUMIFS(Vendas!BB:BB,Vendas!$C:$C,"aprovado",Vendas!$F:$F,Tabela1[[#This Row],[Vendedor]])</f>
        <v>0</v>
      </c>
      <c r="L37" s="189">
        <f>SUMIFS(Vendas!BD:BD,Vendas!$C:$C,"entregue",Vendas!$F:$F,Tabela1[[#This Row],[Vendedor]])+SUMIFS(Vendas!BD:BD,Vendas!$C:$C,"aprovado",Vendas!$F:$F,Tabela1[[#This Row],[Vendedor]])</f>
        <v>0</v>
      </c>
      <c r="M37" s="190">
        <f>COUNTIFS(Vendas!C:C,"entregue",Vendas!F:F,Tabela1[[#This Row],[Vendedor]])+COUNTIFS(Vendas!C:C,"aprovado",Vendas!F:F,Tabela1[[#This Row],[Vendedor]])</f>
        <v>0</v>
      </c>
    </row>
    <row r="38" spans="2:13" ht="14.4" x14ac:dyDescent="0.3">
      <c r="B38" s="191"/>
      <c r="C38" s="184"/>
      <c r="D38" s="191"/>
      <c r="E38" s="194"/>
      <c r="F38" s="195"/>
      <c r="G38" s="181"/>
      <c r="H38" s="174"/>
      <c r="I38" s="191"/>
      <c r="J38" s="191"/>
      <c r="K38" s="202">
        <f>SUMIFS(Vendas!BB:BB,Vendas!$C:$C,"entregue",Vendas!$F:$F,Tabela1[[#This Row],[Vendedor]])+SUMIFS(Vendas!BB:BB,Vendas!$C:$C,"aprovado",Vendas!$F:$F,Tabela1[[#This Row],[Vendedor]])</f>
        <v>0</v>
      </c>
      <c r="L38" s="189">
        <f>SUMIFS(Vendas!BD:BD,Vendas!$C:$C,"entregue",Vendas!$F:$F,Tabela1[[#This Row],[Vendedor]])+SUMIFS(Vendas!BD:BD,Vendas!$C:$C,"aprovado",Vendas!$F:$F,Tabela1[[#This Row],[Vendedor]])</f>
        <v>0</v>
      </c>
      <c r="M38" s="190">
        <f>COUNTIFS(Vendas!C:C,"entregue",Vendas!F:F,Tabela1[[#This Row],[Vendedor]])+COUNTIFS(Vendas!C:C,"aprovado",Vendas!F:F,Tabela1[[#This Row],[Vendedor]])</f>
        <v>0</v>
      </c>
    </row>
    <row r="39" spans="2:13" ht="14.4" x14ac:dyDescent="0.3">
      <c r="B39" s="191"/>
      <c r="C39" s="184"/>
      <c r="D39" s="191"/>
      <c r="E39" s="194"/>
      <c r="F39" s="195"/>
      <c r="G39" s="178"/>
      <c r="H39" s="174"/>
      <c r="I39" s="191"/>
      <c r="J39" s="191"/>
      <c r="K39" s="202">
        <f>SUMIFS(Vendas!BB:BB,Vendas!$C:$C,"entregue",Vendas!$F:$F,Tabela1[[#This Row],[Vendedor]])+SUMIFS(Vendas!BB:BB,Vendas!$C:$C,"aprovado",Vendas!$F:$F,Tabela1[[#This Row],[Vendedor]])</f>
        <v>0</v>
      </c>
      <c r="L39" s="189">
        <f>SUMIFS(Vendas!BD:BD,Vendas!$C:$C,"entregue",Vendas!$F:$F,Tabela1[[#This Row],[Vendedor]])+SUMIFS(Vendas!BD:BD,Vendas!$C:$C,"aprovado",Vendas!$F:$F,Tabela1[[#This Row],[Vendedor]])</f>
        <v>0</v>
      </c>
      <c r="M39" s="190">
        <f>COUNTIFS(Vendas!C:C,"entregue",Vendas!F:F,Tabela1[[#This Row],[Vendedor]])+COUNTIFS(Vendas!C:C,"aprovado",Vendas!F:F,Tabela1[[#This Row],[Vendedor]])</f>
        <v>0</v>
      </c>
    </row>
    <row r="40" spans="2:13" ht="14.4" x14ac:dyDescent="0.3"/>
    <row r="41" spans="2:13" ht="14.4" x14ac:dyDescent="0.3"/>
    <row r="42" spans="2:13" ht="14.4" x14ac:dyDescent="0.3"/>
    <row r="43" spans="2:13" ht="14.4" x14ac:dyDescent="0.3"/>
    <row r="44" spans="2:13" ht="14.4" x14ac:dyDescent="0.3"/>
    <row r="45" spans="2:13" ht="14.4" x14ac:dyDescent="0.3"/>
    <row r="46" spans="2:13" ht="14.4" x14ac:dyDescent="0.3"/>
    <row r="47" spans="2:13" ht="14.4" x14ac:dyDescent="0.3"/>
    <row r="48" spans="2:13" ht="14.4" x14ac:dyDescent="0.3"/>
    <row r="49" ht="14.4" x14ac:dyDescent="0.3"/>
    <row r="50" ht="14.4" hidden="1" x14ac:dyDescent="0.3"/>
    <row r="51" ht="14.4" hidden="1" x14ac:dyDescent="0.3"/>
    <row r="52" ht="14.4" hidden="1" x14ac:dyDescent="0.3"/>
    <row r="53" ht="14.4" hidden="1" x14ac:dyDescent="0.3"/>
    <row r="54" ht="14.4" hidden="1" x14ac:dyDescent="0.3"/>
    <row r="55" ht="14.4" hidden="1" x14ac:dyDescent="0.3"/>
    <row r="56" ht="14.4" hidden="1" x14ac:dyDescent="0.3"/>
    <row r="57" ht="14.4" hidden="1" x14ac:dyDescent="0.3"/>
    <row r="58" ht="14.4" hidden="1" x14ac:dyDescent="0.3"/>
    <row r="59" ht="14.4" hidden="1" x14ac:dyDescent="0.3"/>
    <row r="60" ht="14.4" hidden="1" x14ac:dyDescent="0.3"/>
    <row r="61" ht="14.4" hidden="1" x14ac:dyDescent="0.3"/>
    <row r="62" ht="14.4" hidden="1" x14ac:dyDescent="0.3"/>
    <row r="63" ht="14.4" hidden="1" x14ac:dyDescent="0.3"/>
    <row r="64" ht="14.4" hidden="1" x14ac:dyDescent="0.3"/>
    <row r="65" ht="14.4" hidden="1" x14ac:dyDescent="0.3"/>
    <row r="66" ht="14.4" hidden="1" x14ac:dyDescent="0.3"/>
    <row r="67" ht="14.4" hidden="1" x14ac:dyDescent="0.3"/>
    <row r="68" ht="14.4" hidden="1" x14ac:dyDescent="0.3"/>
    <row r="69" ht="14.4" hidden="1" x14ac:dyDescent="0.3"/>
    <row r="70" ht="14.4" hidden="1" x14ac:dyDescent="0.3"/>
    <row r="71" ht="14.4" hidden="1" x14ac:dyDescent="0.3"/>
    <row r="72" ht="14.4" hidden="1" x14ac:dyDescent="0.3"/>
    <row r="73" ht="14.4" hidden="1" x14ac:dyDescent="0.3"/>
    <row r="74" ht="14.4" hidden="1" x14ac:dyDescent="0.3"/>
    <row r="75" ht="14.4" hidden="1" x14ac:dyDescent="0.3"/>
    <row r="76" ht="14.4" hidden="1" x14ac:dyDescent="0.3"/>
    <row r="77" ht="14.4" hidden="1" x14ac:dyDescent="0.3"/>
    <row r="78" ht="14.4" hidden="1" x14ac:dyDescent="0.3"/>
    <row r="79" ht="14.4" hidden="1" x14ac:dyDescent="0.3"/>
    <row r="80" ht="14.4" hidden="1" x14ac:dyDescent="0.3"/>
    <row r="81" ht="14.4" hidden="1" x14ac:dyDescent="0.3"/>
    <row r="82" ht="14.4" hidden="1" x14ac:dyDescent="0.3"/>
    <row r="83" ht="14.4" hidden="1" x14ac:dyDescent="0.3"/>
    <row r="84" ht="14.4" hidden="1" x14ac:dyDescent="0.3"/>
    <row r="85" ht="14.4" hidden="1" x14ac:dyDescent="0.3"/>
    <row r="86" ht="14.4" hidden="1" x14ac:dyDescent="0.3"/>
    <row r="87" ht="14.4" hidden="1" x14ac:dyDescent="0.3"/>
    <row r="88" ht="14.4" hidden="1" x14ac:dyDescent="0.3"/>
    <row r="89" ht="14.4" hidden="1" x14ac:dyDescent="0.3"/>
    <row r="90" ht="14.4" hidden="1" x14ac:dyDescent="0.3"/>
    <row r="91" ht="14.4" hidden="1" x14ac:dyDescent="0.3"/>
    <row r="92" ht="14.4" hidden="1" x14ac:dyDescent="0.3"/>
    <row r="93" ht="14.4" hidden="1" x14ac:dyDescent="0.3"/>
    <row r="94" ht="14.4" hidden="1" x14ac:dyDescent="0.3"/>
    <row r="95" ht="14.4" hidden="1" x14ac:dyDescent="0.3"/>
    <row r="96" ht="14.4" hidden="1" x14ac:dyDescent="0.3"/>
    <row r="97" ht="14.4" hidden="1" x14ac:dyDescent="0.3"/>
    <row r="98" ht="14.4" hidden="1" x14ac:dyDescent="0.3"/>
    <row r="99" ht="14.4" hidden="1" x14ac:dyDescent="0.3"/>
    <row r="100" ht="14.4" hidden="1" x14ac:dyDescent="0.3"/>
    <row r="101" ht="14.4" hidden="1" x14ac:dyDescent="0.3"/>
    <row r="102" ht="14.4" hidden="1" x14ac:dyDescent="0.3"/>
    <row r="103" ht="14.4" hidden="1" x14ac:dyDescent="0.3"/>
    <row r="104" ht="14.4" hidden="1" x14ac:dyDescent="0.3"/>
    <row r="105" ht="14.4" hidden="1" x14ac:dyDescent="0.3"/>
    <row r="106" ht="14.4" hidden="1" x14ac:dyDescent="0.3"/>
    <row r="107" ht="14.4" hidden="1" x14ac:dyDescent="0.3"/>
    <row r="108" ht="14.4" hidden="1" x14ac:dyDescent="0.3"/>
    <row r="109" ht="14.4" hidden="1" x14ac:dyDescent="0.3"/>
    <row r="110" ht="14.4" hidden="1" x14ac:dyDescent="0.3"/>
    <row r="111" ht="14.4" hidden="1" x14ac:dyDescent="0.3"/>
    <row r="112" ht="14.4" hidden="1" x14ac:dyDescent="0.3"/>
    <row r="113" ht="14.4" hidden="1" x14ac:dyDescent="0.3"/>
    <row r="114" ht="14.4" hidden="1" x14ac:dyDescent="0.3"/>
    <row r="115" ht="14.4" hidden="1" x14ac:dyDescent="0.3"/>
    <row r="116" ht="14.4" hidden="1" x14ac:dyDescent="0.3"/>
    <row r="117" ht="14.4" hidden="1" x14ac:dyDescent="0.3"/>
    <row r="118" ht="14.4" hidden="1" x14ac:dyDescent="0.3"/>
    <row r="119" ht="14.4" hidden="1" x14ac:dyDescent="0.3"/>
    <row r="120" ht="14.4" hidden="1" x14ac:dyDescent="0.3"/>
    <row r="121" ht="14.4" hidden="1" x14ac:dyDescent="0.3"/>
    <row r="122" ht="14.4" hidden="1" x14ac:dyDescent="0.3"/>
    <row r="123" ht="14.4" hidden="1" x14ac:dyDescent="0.3"/>
    <row r="124" ht="14.4" hidden="1" x14ac:dyDescent="0.3"/>
    <row r="125" ht="14.4" hidden="1" x14ac:dyDescent="0.3"/>
    <row r="126" ht="14.4" hidden="1" x14ac:dyDescent="0.3"/>
    <row r="127" ht="14.4" hidden="1" x14ac:dyDescent="0.3"/>
    <row r="128" ht="14.4" hidden="1" x14ac:dyDescent="0.3"/>
    <row r="129" ht="14.4" hidden="1" x14ac:dyDescent="0.3"/>
    <row r="130" ht="14.4" hidden="1" x14ac:dyDescent="0.3"/>
    <row r="131" ht="14.4" hidden="1" x14ac:dyDescent="0.3"/>
    <row r="132" ht="14.4" hidden="1" x14ac:dyDescent="0.3"/>
    <row r="133" ht="14.4" hidden="1" x14ac:dyDescent="0.3"/>
    <row r="134" ht="14.4" hidden="1" x14ac:dyDescent="0.3"/>
    <row r="135" ht="14.4" hidden="1" x14ac:dyDescent="0.3"/>
    <row r="136" ht="14.4" hidden="1" x14ac:dyDescent="0.3"/>
    <row r="137" ht="14.4" hidden="1" x14ac:dyDescent="0.3"/>
    <row r="138" ht="14.4" hidden="1" x14ac:dyDescent="0.3"/>
    <row r="139" ht="14.4" hidden="1" x14ac:dyDescent="0.3"/>
    <row r="140" ht="14.4" hidden="1" x14ac:dyDescent="0.3"/>
    <row r="141" ht="14.4" hidden="1" x14ac:dyDescent="0.3"/>
    <row r="142" ht="14.4" hidden="1" x14ac:dyDescent="0.3"/>
    <row r="143" ht="14.4" hidden="1" x14ac:dyDescent="0.3"/>
    <row r="144" ht="14.4" hidden="1" x14ac:dyDescent="0.3"/>
    <row r="145" ht="14.4" hidden="1" x14ac:dyDescent="0.3"/>
    <row r="146" ht="14.4" hidden="1" x14ac:dyDescent="0.3"/>
    <row r="147" ht="14.4" hidden="1" x14ac:dyDescent="0.3"/>
    <row r="148" ht="14.4" hidden="1" x14ac:dyDescent="0.3"/>
    <row r="149" ht="14.4" hidden="1" x14ac:dyDescent="0.3"/>
    <row r="150" ht="14.4" hidden="1" x14ac:dyDescent="0.3"/>
    <row r="151" ht="14.4" hidden="1" x14ac:dyDescent="0.3"/>
    <row r="152" ht="14.4" hidden="1" x14ac:dyDescent="0.3"/>
    <row r="153" ht="14.4" hidden="1" x14ac:dyDescent="0.3"/>
    <row r="154" ht="14.4" hidden="1" x14ac:dyDescent="0.3"/>
    <row r="155" ht="14.4" hidden="1" x14ac:dyDescent="0.3"/>
    <row r="156" ht="14.4" hidden="1" x14ac:dyDescent="0.3"/>
    <row r="157" ht="14.4" hidden="1" x14ac:dyDescent="0.3"/>
    <row r="158" ht="14.4" hidden="1" x14ac:dyDescent="0.3"/>
    <row r="159" ht="14.4" hidden="1" x14ac:dyDescent="0.3"/>
    <row r="160" ht="14.4" hidden="1" x14ac:dyDescent="0.3"/>
    <row r="161" ht="14.4" hidden="1" x14ac:dyDescent="0.3"/>
    <row r="162" ht="14.4" hidden="1" x14ac:dyDescent="0.3"/>
    <row r="163" ht="14.4" hidden="1" x14ac:dyDescent="0.3"/>
    <row r="164" ht="14.4" hidden="1" x14ac:dyDescent="0.3"/>
    <row r="165" ht="14.4" hidden="1" x14ac:dyDescent="0.3"/>
    <row r="166" ht="14.4" hidden="1" x14ac:dyDescent="0.3"/>
    <row r="167" ht="14.4" hidden="1" x14ac:dyDescent="0.3"/>
    <row r="168" ht="14.4" hidden="1" x14ac:dyDescent="0.3"/>
    <row r="169" ht="14.4" hidden="1" x14ac:dyDescent="0.3"/>
    <row r="170" ht="14.4" hidden="1" x14ac:dyDescent="0.3"/>
    <row r="171" ht="14.4" hidden="1" x14ac:dyDescent="0.3"/>
    <row r="172" ht="14.4" hidden="1" x14ac:dyDescent="0.3"/>
    <row r="173" ht="14.4" hidden="1" x14ac:dyDescent="0.3"/>
    <row r="174" ht="14.4" hidden="1" x14ac:dyDescent="0.3"/>
    <row r="175" ht="14.4" hidden="1" x14ac:dyDescent="0.3"/>
    <row r="176" ht="14.4" hidden="1" x14ac:dyDescent="0.3"/>
    <row r="177" ht="14.4" hidden="1" x14ac:dyDescent="0.3"/>
    <row r="178" ht="14.4" hidden="1" x14ac:dyDescent="0.3"/>
    <row r="179" ht="14.4" hidden="1" x14ac:dyDescent="0.3"/>
    <row r="180" ht="14.4" hidden="1" x14ac:dyDescent="0.3"/>
    <row r="181" ht="14.4" hidden="1" x14ac:dyDescent="0.3"/>
    <row r="182" ht="14.4" hidden="1" x14ac:dyDescent="0.3"/>
    <row r="183" ht="14.4" hidden="1" x14ac:dyDescent="0.3"/>
    <row r="184" ht="14.4" hidden="1" x14ac:dyDescent="0.3"/>
    <row r="185" ht="14.4" hidden="1" x14ac:dyDescent="0.3"/>
    <row r="186" ht="14.4" hidden="1" x14ac:dyDescent="0.3"/>
    <row r="187" ht="14.4" hidden="1" x14ac:dyDescent="0.3"/>
    <row r="188" ht="14.4" hidden="1" x14ac:dyDescent="0.3"/>
    <row r="189" ht="14.4" hidden="1" x14ac:dyDescent="0.3"/>
    <row r="190" ht="14.4" hidden="1" x14ac:dyDescent="0.3"/>
    <row r="191" ht="14.4" hidden="1" x14ac:dyDescent="0.3"/>
    <row r="192" ht="14.4" hidden="1" x14ac:dyDescent="0.3"/>
    <row r="193" ht="14.4" hidden="1" x14ac:dyDescent="0.3"/>
    <row r="194" ht="14.4" hidden="1" x14ac:dyDescent="0.3"/>
    <row r="195" ht="14.4" hidden="1" x14ac:dyDescent="0.3"/>
    <row r="196" ht="14.4" hidden="1" x14ac:dyDescent="0.3"/>
    <row r="197" ht="14.4" hidden="1" x14ac:dyDescent="0.3"/>
    <row r="198" ht="14.4" hidden="1" x14ac:dyDescent="0.3"/>
    <row r="199" ht="14.4" hidden="1" x14ac:dyDescent="0.3"/>
    <row r="200" ht="14.4" hidden="1" x14ac:dyDescent="0.3"/>
    <row r="201" ht="14.4" hidden="1" x14ac:dyDescent="0.3"/>
    <row r="202" ht="15" customHeight="1" x14ac:dyDescent="0.3"/>
    <row r="203" ht="15" customHeight="1" x14ac:dyDescent="0.3"/>
    <row r="204" ht="15" customHeight="1" x14ac:dyDescent="0.3"/>
  </sheetData>
  <sheetProtection algorithmName="SHA-512" hashValue="T2jt+mRYypyvlOZWpxdlR6+Kv3uk6WxOYrwJ9uvBLvaxfkjrZc11kUQ7LBrW9nn8gEywgd9IvgNSae9gtOybNQ==" saltValue="f9TNfLdw2F0HDaCwOwT0Dg==" spinCount="100000" sheet="1" objects="1" scenarios="1"/>
  <protectedRanges>
    <protectedRange sqref="B4:J39" name="Vendedores"/>
  </protectedRanges>
  <mergeCells count="2">
    <mergeCell ref="E1:G1"/>
    <mergeCell ref="Q2:Q3"/>
  </mergeCells>
  <phoneticPr fontId="39" type="noConversion"/>
  <dataValidations count="1">
    <dataValidation type="list" allowBlank="1" showInputMessage="1" showErrorMessage="1" sqref="C4:C39" xr:uid="{68703DB7-972D-4766-8198-7A38DBB3E6E5}">
      <formula1>$Q$4:$Q$9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51699-4BEE-4E94-B444-295DC1B7195A}">
  <sheetPr codeName="Planilha4"/>
  <dimension ref="A1:AX201"/>
  <sheetViews>
    <sheetView showGridLines="0" showRowColHeaders="0" zoomScaleNormal="100" workbookViewId="0">
      <pane xSplit="2" topLeftCell="C1" activePane="topRight" state="frozen"/>
      <selection activeCell="F15" sqref="F15"/>
      <selection pane="topRight"/>
    </sheetView>
  </sheetViews>
  <sheetFormatPr defaultColWidth="0" defaultRowHeight="15" customHeight="1" zeroHeight="1" x14ac:dyDescent="0.3"/>
  <cols>
    <col min="1" max="1" width="4.88671875" style="65" customWidth="1"/>
    <col min="2" max="2" width="39" style="65" customWidth="1"/>
    <col min="3" max="5" width="12.109375" style="65" customWidth="1"/>
    <col min="6" max="6" width="12.33203125" style="65" customWidth="1"/>
    <col min="7" max="7" width="12.109375" style="65" customWidth="1"/>
    <col min="8" max="8" width="12.33203125" style="65" customWidth="1"/>
    <col min="9" max="9" width="12.109375" style="65" customWidth="1"/>
    <col min="10" max="10" width="12.33203125" style="65" customWidth="1"/>
    <col min="11" max="11" width="12.109375" style="65" customWidth="1"/>
    <col min="12" max="12" width="12.33203125" style="65" customWidth="1"/>
    <col min="13" max="13" width="12.109375" style="65" customWidth="1"/>
    <col min="14" max="14" width="13.33203125" style="65" customWidth="1"/>
    <col min="15" max="15" width="12.109375" style="65" customWidth="1"/>
    <col min="16" max="16" width="13.33203125" style="65" customWidth="1"/>
    <col min="17" max="17" width="12.109375" style="65" customWidth="1"/>
    <col min="18" max="18" width="13.33203125" style="65" customWidth="1"/>
    <col min="19" max="19" width="12.109375" style="65" customWidth="1"/>
    <col min="20" max="20" width="13.33203125" style="65" customWidth="1"/>
    <col min="21" max="21" width="12.109375" style="65" customWidth="1"/>
    <col min="22" max="22" width="13.33203125" style="65" customWidth="1"/>
    <col min="23" max="23" width="12.109375" style="65" customWidth="1"/>
    <col min="24" max="24" width="13.33203125" style="65" customWidth="1"/>
    <col min="25" max="25" width="12.109375" style="65" customWidth="1"/>
    <col min="26" max="26" width="13.33203125" style="65" customWidth="1"/>
    <col min="27" max="28" width="12.109375" style="65" customWidth="1"/>
    <col min="29" max="29" width="10.5546875" style="65" customWidth="1"/>
    <col min="30" max="30" width="12.88671875" style="65" customWidth="1"/>
    <col min="31" max="38" width="10.5546875" style="65" hidden="1" customWidth="1"/>
    <col min="39" max="16384" width="9.109375" style="65" hidden="1"/>
  </cols>
  <sheetData>
    <row r="1" spans="1:50" ht="24.75" customHeight="1" x14ac:dyDescent="0.5">
      <c r="A1" s="66"/>
      <c r="F1" s="104"/>
      <c r="G1" s="104"/>
      <c r="H1" s="104"/>
      <c r="I1" s="104"/>
      <c r="J1" s="104"/>
      <c r="K1" s="104"/>
      <c r="L1" s="104"/>
      <c r="M1" s="104"/>
      <c r="N1" s="104"/>
      <c r="O1" s="104"/>
      <c r="P1" s="104"/>
      <c r="Q1" s="104"/>
      <c r="R1" s="104"/>
      <c r="S1" s="104"/>
      <c r="T1" s="104"/>
      <c r="U1" s="104"/>
      <c r="V1" s="104"/>
      <c r="W1" s="104"/>
      <c r="X1" s="104"/>
      <c r="Y1" s="104"/>
      <c r="Z1" s="104"/>
      <c r="AA1" s="104"/>
      <c r="AB1" s="104"/>
    </row>
    <row r="2" spans="1:50" ht="14.4" x14ac:dyDescent="0.3">
      <c r="B2" s="67"/>
      <c r="C2" s="67"/>
      <c r="D2" s="67"/>
      <c r="E2" s="67"/>
      <c r="F2" s="105"/>
      <c r="G2" s="105"/>
      <c r="H2" s="105"/>
      <c r="I2" s="105"/>
      <c r="J2" s="105"/>
      <c r="K2" s="105"/>
      <c r="L2" s="105"/>
      <c r="M2" s="105"/>
      <c r="N2" s="105"/>
      <c r="O2" s="105"/>
      <c r="P2" s="105"/>
      <c r="Q2" s="105"/>
      <c r="R2" s="105"/>
      <c r="S2" s="105"/>
      <c r="T2" s="105"/>
      <c r="U2" s="105"/>
      <c r="V2" s="105"/>
      <c r="W2" s="105"/>
      <c r="X2" s="105"/>
      <c r="Y2" s="105"/>
      <c r="Z2" s="105"/>
      <c r="AA2" s="105"/>
      <c r="AB2" s="105"/>
      <c r="AC2" s="67"/>
    </row>
    <row r="3" spans="1:50" ht="14.4" x14ac:dyDescent="0.3">
      <c r="B3" s="67"/>
      <c r="C3" s="67"/>
      <c r="D3" s="67"/>
      <c r="E3" s="67"/>
      <c r="F3" s="313" t="s">
        <v>91</v>
      </c>
      <c r="G3" s="314">
        <v>2020</v>
      </c>
      <c r="H3" s="105"/>
      <c r="I3" s="105"/>
      <c r="J3" s="105"/>
      <c r="K3" s="105"/>
      <c r="L3" s="105"/>
      <c r="M3" s="105"/>
      <c r="N3" s="105"/>
      <c r="O3" s="105"/>
      <c r="P3" s="105"/>
      <c r="Q3" s="105"/>
      <c r="R3" s="105"/>
      <c r="S3" s="105"/>
      <c r="T3" s="105"/>
      <c r="U3" s="105"/>
      <c r="V3" s="105"/>
      <c r="W3" s="105"/>
      <c r="X3" s="105"/>
      <c r="Y3" s="105"/>
      <c r="Z3" s="105"/>
      <c r="AA3" s="105"/>
      <c r="AB3" s="105"/>
      <c r="AC3" s="67"/>
      <c r="AX3" s="65">
        <v>2013</v>
      </c>
    </row>
    <row r="4" spans="1:50" ht="15.75" customHeight="1" x14ac:dyDescent="0.3">
      <c r="B4" s="67"/>
      <c r="C4" s="67"/>
      <c r="D4" s="67"/>
      <c r="E4" s="67"/>
      <c r="F4" s="313"/>
      <c r="G4" s="314"/>
      <c r="H4" s="105"/>
      <c r="I4" s="105"/>
      <c r="J4" s="105"/>
      <c r="K4" s="105"/>
      <c r="L4" s="105"/>
      <c r="M4" s="105"/>
      <c r="N4" s="105"/>
      <c r="O4" s="105"/>
      <c r="P4" s="105"/>
      <c r="Q4" s="105"/>
      <c r="R4" s="105"/>
      <c r="S4" s="105"/>
      <c r="T4" s="105"/>
      <c r="U4" s="105"/>
      <c r="V4" s="105"/>
      <c r="W4" s="105"/>
      <c r="X4" s="105"/>
      <c r="Y4" s="105"/>
      <c r="Z4" s="105"/>
      <c r="AA4" s="105"/>
      <c r="AB4" s="105"/>
      <c r="AC4" s="67"/>
    </row>
    <row r="5" spans="1:50" ht="18" x14ac:dyDescent="0.35">
      <c r="A5" s="138"/>
      <c r="B5" s="139" t="s">
        <v>92</v>
      </c>
      <c r="C5" s="109"/>
      <c r="D5" s="109"/>
      <c r="E5" s="109"/>
      <c r="F5" s="109"/>
      <c r="G5" s="109"/>
      <c r="H5" s="109"/>
      <c r="I5" s="109"/>
      <c r="J5" s="109"/>
      <c r="K5" s="109"/>
      <c r="L5" s="109"/>
      <c r="M5" s="109"/>
      <c r="N5" s="109"/>
      <c r="O5" s="109"/>
      <c r="P5" s="109"/>
      <c r="Q5" s="109"/>
      <c r="R5" s="109"/>
      <c r="S5" s="109"/>
      <c r="T5" s="109"/>
      <c r="U5" s="109"/>
      <c r="V5" s="109"/>
      <c r="W5" s="109"/>
      <c r="X5" s="109"/>
      <c r="Y5" s="109"/>
      <c r="Z5" s="109"/>
      <c r="AA5" s="109"/>
      <c r="AB5" s="109"/>
      <c r="AC5" s="67"/>
      <c r="AX5" s="65">
        <v>2014</v>
      </c>
    </row>
    <row r="6" spans="1:50" ht="14.4" x14ac:dyDescent="0.3">
      <c r="B6" s="140"/>
      <c r="C6" s="303" t="s">
        <v>93</v>
      </c>
      <c r="D6" s="304"/>
      <c r="E6" s="303" t="s">
        <v>94</v>
      </c>
      <c r="F6" s="304"/>
      <c r="G6" s="303" t="s">
        <v>95</v>
      </c>
      <c r="H6" s="304"/>
      <c r="I6" s="303" t="s">
        <v>96</v>
      </c>
      <c r="J6" s="304"/>
      <c r="K6" s="303" t="s">
        <v>97</v>
      </c>
      <c r="L6" s="304"/>
      <c r="M6" s="303" t="s">
        <v>98</v>
      </c>
      <c r="N6" s="304"/>
      <c r="O6" s="303" t="s">
        <v>99</v>
      </c>
      <c r="P6" s="304"/>
      <c r="Q6" s="303" t="s">
        <v>100</v>
      </c>
      <c r="R6" s="304"/>
      <c r="S6" s="303" t="s">
        <v>101</v>
      </c>
      <c r="T6" s="304"/>
      <c r="U6" s="303" t="s">
        <v>102</v>
      </c>
      <c r="V6" s="304"/>
      <c r="W6" s="303" t="s">
        <v>103</v>
      </c>
      <c r="X6" s="304"/>
      <c r="Y6" s="303" t="s">
        <v>104</v>
      </c>
      <c r="Z6" s="304"/>
      <c r="AA6" s="309" t="s">
        <v>139</v>
      </c>
      <c r="AB6" s="310"/>
      <c r="AC6" s="67"/>
      <c r="AX6" s="65">
        <v>2015</v>
      </c>
    </row>
    <row r="7" spans="1:50" ht="14.4" x14ac:dyDescent="0.3">
      <c r="B7" s="70" t="s">
        <v>106</v>
      </c>
      <c r="C7" s="157" t="s">
        <v>107</v>
      </c>
      <c r="D7" s="157" t="s">
        <v>108</v>
      </c>
      <c r="E7" s="157" t="s">
        <v>107</v>
      </c>
      <c r="F7" s="157" t="s">
        <v>108</v>
      </c>
      <c r="G7" s="157" t="s">
        <v>107</v>
      </c>
      <c r="H7" s="157" t="s">
        <v>108</v>
      </c>
      <c r="I7" s="157" t="s">
        <v>107</v>
      </c>
      <c r="J7" s="157" t="s">
        <v>108</v>
      </c>
      <c r="K7" s="157" t="s">
        <v>107</v>
      </c>
      <c r="L7" s="157" t="s">
        <v>108</v>
      </c>
      <c r="M7" s="157" t="s">
        <v>107</v>
      </c>
      <c r="N7" s="157" t="s">
        <v>108</v>
      </c>
      <c r="O7" s="157" t="s">
        <v>107</v>
      </c>
      <c r="P7" s="157" t="s">
        <v>108</v>
      </c>
      <c r="Q7" s="157" t="s">
        <v>107</v>
      </c>
      <c r="R7" s="157" t="s">
        <v>108</v>
      </c>
      <c r="S7" s="157" t="s">
        <v>107</v>
      </c>
      <c r="T7" s="157" t="s">
        <v>108</v>
      </c>
      <c r="U7" s="157" t="s">
        <v>107</v>
      </c>
      <c r="V7" s="157" t="s">
        <v>108</v>
      </c>
      <c r="W7" s="157" t="s">
        <v>107</v>
      </c>
      <c r="X7" s="157" t="s">
        <v>108</v>
      </c>
      <c r="Y7" s="157" t="s">
        <v>107</v>
      </c>
      <c r="Z7" s="157" t="s">
        <v>108</v>
      </c>
      <c r="AA7" s="130" t="s">
        <v>107</v>
      </c>
      <c r="AB7" s="131" t="s">
        <v>108</v>
      </c>
      <c r="AC7" s="72"/>
    </row>
    <row r="8" spans="1:50" ht="14.4" x14ac:dyDescent="0.3">
      <c r="B8" s="262" t="str">
        <f>IF(Cadastros!D7="","",Cadastros!D7)</f>
        <v>10101 - Colchão Léctus 088 X 188 X 021 cm MVQ</v>
      </c>
      <c r="C8" s="161">
        <f>SUMIFS(Vendas!$K$8:$K$2008,Vendas!$H$8:$H$2008,$B8,Vendas!$E$8:$E$2008,"&gt;=01/01/"&amp;$G$3,Vendas!$E$8:$E$2008,"&lt;=31/01/"&amp;$G$3)+SUMIFS(Vendas!$P$8:$P$2008,Vendas!$M$8:$M$2008,$B8,Vendas!$E$8:$E$2008,"&gt;=01/01/"&amp;$G$3,Vendas!$E$8:$E$2008,"&lt;=31/01/"&amp;$G$3)+SUMIFS(Vendas!$U$8:$U$2008,Vendas!$R$8:$R$2008,$B8,Vendas!$E$8:$E$2008,"&gt;=01/01/"&amp;$G$3,Vendas!$E$8:$E$2008,"&lt;=31/01/"&amp;$G$3)+SUMIFS(Vendas!$Z$8:$Z$2008,Vendas!$W$8:$W$2008,$B8,Vendas!$E$8:$E$2008,"&gt;=01/01/"&amp;$G$3,Vendas!$E$8:$E$2008,"&lt;=31/01/"&amp;$G$3)+SUMIFS(Vendas!$AE$8:$AE$2008,Vendas!$AB$8:$AB$2008,$B8,Vendas!$E$8:$E$2008,"&gt;=01/01/"&amp;$G$3,Vendas!$E$8:$E$2008,"&lt;=31/01/"&amp;$G$3)+SUMIFS(Vendas!$AJ$8:$AJ$2008,Vendas!$AG$8:$AG$2008,$B8,Vendas!$E$8:$E$2008,"&gt;=01/01/"&amp;$G$3,Vendas!$E$8:$E$2008,"&lt;=31/01/"&amp;$G$3)+SUMIFS(Vendas!$AO$8:$AO$2008,Vendas!$AL$8:$AL$2008,$B8,Vendas!$E$8:$E$2008,"&gt;=01/01/"&amp;$G$3,Vendas!$E$8:$E$2008,"&lt;=31/01/"&amp;$G$3)+SUMIFS(Vendas!$AT$8:$AT$2008,Vendas!$AQ$8:$AQ$2008,$B8,Vendas!$E$8:$E$2008,"&gt;=01/01/"&amp;$G$3,Vendas!$E$8:$E$2008,"&lt;=31/01/"&amp;$G$3)</f>
        <v>0</v>
      </c>
      <c r="D8" s="162">
        <f>SUMIFS(Vendas!$K$8:$K$2008,Vendas!$H$8:$H$2008,$B8,Vendas!$E$8:$E$2008,"&gt;=01/01/"&amp;$G$3,Vendas!$E$8:$E$2008,"&lt;=31/01/"&amp;$G$3,Vendas!$C$8:$C$2008,"Entregue")+SUMIFS(Vendas!$P$8:$P$2008,Vendas!$M$8:$M$2008,$B8,Vendas!$E$8:$E$2008,"&gt;=01/01/"&amp;$G$3,Vendas!$E$8:$E$2008,"&lt;=31/01/"&amp;$G$3,Vendas!$C$8:$C$2008,"Entregue")+SUMIFS(Vendas!$U$8:$U$2008,Vendas!$R$8:$R$2008,$B8,Vendas!$E$8:$E$2008,"&gt;=01/01/"&amp;$G$3,Vendas!$E$8:$E$2008,"&lt;=31/01/"&amp;$G$3,Vendas!$C$8:$C$2008,"Entregue")+SUMIFS(Vendas!$Z$8:$Z$2008,Vendas!$W$8:$W$2008,$B8,Vendas!$E$8:$E$2008,"&gt;=01/01/"&amp;$G$3,Vendas!$E$8:$E$2008,"&lt;=31/01/"&amp;$G$3,Vendas!$C$8:$C$2008,"Entregue")+SUMIFS(Vendas!$AE$8:$AE$2008,Vendas!$AB$8:$AB$2008,$B8,Vendas!$E$8:$E$2008,"&gt;=01/01/"&amp;$G$3,Vendas!$E$8:$E$2008,"&lt;=31/01/"&amp;$G$3,Vendas!$C$8:$C$2008,"Entregue")+SUMIFS(Vendas!$AJ$8:$AJ$2008,Vendas!$AG$8:$AG$2008,$B8,Vendas!$E$8:$E$2008,"&gt;=01/01/"&amp;$G$3,Vendas!$E$8:$E$2008,"&lt;=31/01/"&amp;$G$3,Vendas!$C$8:$C$2008,"Entregue")+SUMIFS(Vendas!$AO$8:$AO$2008,Vendas!$AL$8:$AL$2008,$B8,Vendas!$E$8:$E$2008,"&gt;=01/01/"&amp;$G$3,Vendas!$E$8:$E$2008,"&lt;=31/01/"&amp;$G$3,Vendas!$C$8:$C$2008,"Entregue")+SUMIFS(Vendas!$AT$8:$AT$2008,Vendas!$AQ$8:$AQ$2008,$B8,Vendas!$E$8:$E$2008,"&gt;=01/01/"&amp;$G$3,Vendas!$E$8:$E$2008,"&lt;=31/01/"&amp;$G$3,Vendas!$C$8:$C$2008,"Entregue")</f>
        <v>0</v>
      </c>
      <c r="E8" s="162">
        <f>SUMIFS(Vendas!$K$8:$K$2008,Vendas!$H$8:$H$2008,$B8,Vendas!$E$8:$E$2008,"&gt;=01/02/"&amp;$G$3,Vendas!$E$8:$E$2008,"&lt;=28/02/"&amp;$G$3)+SUMIFS(Vendas!$P$8:$P$2008,Vendas!$M$8:$M$2008,$B8,Vendas!$E$8:$E$2008,"&gt;=01/02/"&amp;$G$3,Vendas!$E$8:$E$2008,"&lt;=28/02/"&amp;$G$3)+SUMIFS(Vendas!$U$8:$U$2008,Vendas!$R$8:$R$2008,$B8,Vendas!$E$8:$E$2008,"&gt;=01/02/"&amp;$G$3,Vendas!$E$8:$E$2008,"&lt;=28/02/"&amp;$G$3)+SUMIFS(Vendas!$Z$8:$Z$2008,Vendas!$W$8:$W$2008,$B8,Vendas!$E$8:$E$2008,"&gt;=01/02/"&amp;$G$3,Vendas!$E$8:$E$2008,"&lt;=28/02/"&amp;$G$3)+SUMIFS(Vendas!$AE$8:$AE$2008,Vendas!$AB$8:$AB$2008,$B8,Vendas!$E$8:$E$2008,"&gt;=01/02/"&amp;$G$3,Vendas!$E$8:$E$2008,"&lt;=28/02/"&amp;$G$3)+SUMIFS(Vendas!$AJ$8:$AJ$2008,Vendas!$AG$8:$AG$2008,$B8,Vendas!$E$8:$E$2008,"&gt;=01/02/"&amp;$G$3,Vendas!$E$8:$E$2008,"&lt;=28/02/"&amp;$G$3)+SUMIFS(Vendas!$AO$8:$AO$2008,Vendas!$AL$8:$AL$2008,$B8,Vendas!$E$8:$E$2008,"&gt;=01/02/"&amp;$G$3,Vendas!$E$8:$E$2008,"&lt;=28/02/"&amp;$G$3)+SUMIFS(Vendas!$AT$8:$AT$2008,Vendas!$AQ$8:$AQ$2008,$B8,Vendas!$E$8:$E$2008,"&gt;=01/02/"&amp;$G$3,Vendas!$E$8:$E$2008,"&lt;=28/02/"&amp;$G$3)</f>
        <v>0</v>
      </c>
      <c r="F8" s="162">
        <f>SUMIFS(Vendas!$K$8:$K$2008,Vendas!$H$8:$H$2008,$B8,Vendas!$E$8:$E$2008,"&gt;=01/02/"&amp;$G$3,Vendas!$E$8:$E$2008,"&lt;=28/02/"&amp;$G$3,Vendas!$C$8:$C$2008,"Entregue")+SUMIFS(Vendas!$P$8:$P$2008,Vendas!$M$8:$M$2008,$B8,Vendas!$E$8:$E$2008,"&gt;=01/02/"&amp;$G$3,Vendas!$E$8:$E$2008,"&lt;=28/02/"&amp;$G$3,Vendas!$C$8:$C$2008,"Entregue")+SUMIFS(Vendas!$U$8:$U$2008,Vendas!$R$8:$R$2008,$B8,Vendas!$E$8:$E$2008,"&gt;=01/02/"&amp;$G$3,Vendas!$E$8:$E$2008,"&lt;=28/02/"&amp;$G$3,Vendas!$C$8:$C$2008,"Entregue")+SUMIFS(Vendas!$Z$8:$Z$2008,Vendas!$W$8:$W$2008,$B8,Vendas!$E$8:$E$2008,"&gt;=01/02/"&amp;$G$3,Vendas!$E$8:$E$2008,"&lt;=28/02/"&amp;$G$3,Vendas!$C$8:$C$2008,"Entregue")+SUMIFS(Vendas!$AE$8:$AE$2008,Vendas!$AB$8:$AB$2008,$B8,Vendas!$E$8:$E$2008,"&gt;=01/02/"&amp;$G$3,Vendas!$E$8:$E$2008,"&lt;=28/02/"&amp;$G$3,Vendas!$C$8:$C$2008,"Entregue")+SUMIFS(Vendas!$AJ$8:$AJ$2008,Vendas!$AG$8:$AG$2008,$B8,Vendas!$E$8:$E$2008,"&gt;=01/02/"&amp;$G$3,Vendas!$E$8:$E$2008,"&lt;=28/02/"&amp;$G$3,Vendas!$C$8:$C$2008,"Entregue")+SUMIFS(Vendas!$AO$8:$AO$2008,Vendas!$AL$8:$AL$2008,$B8,Vendas!$E$8:$E$2008,"&gt;=01/02/"&amp;$G$3,Vendas!$E$8:$E$2008,"&lt;=28/02/"&amp;$G$3,Vendas!$C$8:$C$2008,"Entregue")+SUMIFS(Vendas!$AT$8:$AT$2008,Vendas!$AQ$8:$AQ$2008,$B8,Vendas!$E$8:$E$2008,"&gt;=01/02/"&amp;$G$3,Vendas!$E$8:$E$2008,"&lt;=28/02/"&amp;$G$3,Vendas!$C$8:$C$2008,"Entregue")</f>
        <v>0</v>
      </c>
      <c r="G8" s="162">
        <f>SUMIFS(Vendas!$K$8:$K$2008,Vendas!$H$8:$H$2008,$B8,Vendas!$E$8:$E$2008,"&gt;=01/03/"&amp;$G$3,Vendas!$E$8:$E$2008,"&lt;=31/03/"&amp;$G$3)+SUMIFS(Vendas!$P$8:$P$2008,Vendas!$M$8:$M$2008,$B8,Vendas!$E$8:$E$2008,"&gt;=01/03/"&amp;$G$3,Vendas!$E$8:$E$2008,"&lt;=31/03/"&amp;$G$3)+SUMIFS(Vendas!$U$8:$U$2008,Vendas!$R$8:$R$2008,$B8,Vendas!$E$8:$E$2008,"&gt;=01/03/"&amp;$G$3,Vendas!$E$8:$E$2008,"&lt;=31/03/"&amp;$G$3)+SUMIFS(Vendas!$Z$8:$Z$2008,Vendas!$W$8:$W$2008,$B8,Vendas!$E$8:$E$2008,"&gt;=01/03/"&amp;$G$3,Vendas!$E$8:$E$2008,"&lt;=31/03/"&amp;$G$3)+SUMIFS(Vendas!$AE$8:$AE$2008,Vendas!$AB$8:$AB$2008,$B8,Vendas!$E$8:$E$2008,"&gt;=01/03/"&amp;$G$3,Vendas!$E$8:$E$2008,"&lt;=31/03/"&amp;$G$3)+SUMIFS(Vendas!$AJ$8:$AJ$2008,Vendas!$AG$8:$AG$2008,$B8,Vendas!$E$8:$E$2008,"&gt;=01/03/"&amp;$G$3,Vendas!$E$8:$E$2008,"&lt;=31/03/"&amp;$G$3)+SUMIFS(Vendas!$AO$8:$AO$2008,Vendas!$AL$8:$AL$2008,$B8,Vendas!$E$8:$E$2008,"&gt;=01/03/"&amp;$G$3,Vendas!$E$8:$E$2008,"&lt;=31/03/"&amp;$G$3)+SUMIFS(Vendas!$AT$8:$AT$2008,Vendas!$AQ$8:$AQ$2008,$B8,Vendas!$E$8:$E$2008,"&gt;=01/03/"&amp;$G$3,Vendas!$E$8:$E$2008,"&lt;=31/03/"&amp;$G$3)</f>
        <v>0</v>
      </c>
      <c r="H8" s="162">
        <f>SUMIFS(Vendas!$K$8:$K$2008,Vendas!$H$8:$H$2008,$B8,Vendas!$E$8:$E$2008,"&gt;=01/03/"&amp;$G$3,Vendas!$E$8:$E$2008,"&lt;=31/03/"&amp;$G$3,Vendas!$C$8:$C$2008,"Entregue")+SUMIFS(Vendas!$P$8:$P$2008,Vendas!$M$8:$M$2008,$B8,Vendas!$E$8:$E$2008,"&gt;=01/03/"&amp;$G$3,Vendas!$E$8:$E$2008,"&lt;=31/03/"&amp;$G$3,Vendas!$C$8:$C$2008,"Entregue")+SUMIFS(Vendas!$U$8:$U$2008,Vendas!$R$8:$R$2008,$B8,Vendas!$E$8:$E$2008,"&gt;=01/03/"&amp;$G$3,Vendas!$E$8:$E$2008,"&lt;=31/03/"&amp;$G$3,Vendas!$C$8:$C$2008,"Entregue")+SUMIFS(Vendas!$Z$8:$Z$2008,Vendas!$W$8:$W$2008,$B8,Vendas!$E$8:$E$2008,"&gt;=01/03/"&amp;$G$3,Vendas!$E$8:$E$2008,"&lt;=31/03/"&amp;$G$3,Vendas!$C$8:$C$2008,"Entregue")+SUMIFS(Vendas!$AE$8:$AE$2008,Vendas!$AB$8:$AB$2008,$B8,Vendas!$E$8:$E$2008,"&gt;=01/03/"&amp;$G$3,Vendas!$E$8:$E$2008,"&lt;=31/03/"&amp;$G$3,Vendas!$C$8:$C$2008,"Entregue")+SUMIFS(Vendas!$AJ$8:$AJ$2008,Vendas!$AG$8:$AG$2008,$B8,Vendas!$E$8:$E$2008,"&gt;=01/03/"&amp;$G$3,Vendas!$E$8:$E$2008,"&lt;=31/03/"&amp;$G$3,Vendas!$C$8:$C$2008,"Entregue")+SUMIFS(Vendas!$AO$8:$AO$2008,Vendas!$AL$8:$AL$2008,$B8,Vendas!$E$8:$E$2008,"&gt;=01/03/"&amp;$G$3,Vendas!$E$8:$E$2008,"&lt;=31/03/"&amp;$G$3,Vendas!$C$8:$C$2008,"Entregue")+SUMIFS(Vendas!$AT$8:$AT$2008,Vendas!$AQ$8:$AQ$2008,$B8,Vendas!$E$8:$E$2008,"&gt;=01/03/"&amp;$G$3,Vendas!$E$8:$E$2008,"&lt;=31/03/"&amp;$G$3,Vendas!$C$8:$C$2008,"Entregue")</f>
        <v>0</v>
      </c>
      <c r="I8" s="162">
        <f>SUMIFS(Vendas!$K$8:$K$2008,Vendas!$H$8:$H$2008,$B8,Vendas!$E$8:$E$2008,"&gt;=01/04/"&amp;$G$3,Vendas!$E$8:$E$2008,"&lt;=30/04/"&amp;$G$3)+SUMIFS(Vendas!$P$8:$P$2008,Vendas!$M$8:$M$2008,$B8,Vendas!$E$8:$E$2008,"&gt;=01/04/"&amp;$G$3,Vendas!$E$8:$E$2008,"&lt;=30/04/"&amp;$G$3)+SUMIFS(Vendas!$U$8:$U$2008,Vendas!$R$8:$R$2008,$B8,Vendas!$E$8:$E$2008,"&gt;=01/04/"&amp;$G$3,Vendas!$E$8:$E$2008,"&lt;=30/04/"&amp;$G$3)+SUMIFS(Vendas!$Z$8:$Z$2008,Vendas!$W$8:$W$2008,$B8,Vendas!$E$8:$E$2008,"&gt;=01/04/"&amp;$G$3,Vendas!$E$8:$E$2008,"&lt;=30/04/"&amp;$G$3)+SUMIFS(Vendas!$AE$8:$AE$2008,Vendas!$AB$8:$AB$2008,$B8,Vendas!$E$8:$E$2008,"&gt;=01/04/"&amp;$G$3,Vendas!$E$8:$E$2008,"&lt;=30/04/"&amp;$G$3)+SUMIFS(Vendas!$AJ$8:$AJ$2008,Vendas!$AG$8:$AG$2008,$B8,Vendas!$E$8:$E$2008,"&gt;=01/04/"&amp;$G$3,Vendas!$E$8:$E$2008,"&lt;=30/04/"&amp;$G$3)+SUMIFS(Vendas!$AO$8:$AO$2008,Vendas!$AL$8:$AL$2008,$B8,Vendas!$E$8:$E$2008,"&gt;=01/04/"&amp;$G$3,Vendas!$E$8:$E$2008,"&lt;=30/04/"&amp;$G$3)+SUMIFS(Vendas!$AT$8:$AT$2008,Vendas!$AQ$8:$AQ$2008,$B8,Vendas!$E$8:$E$2008,"&gt;=01/04/"&amp;$G$3,Vendas!$E$8:$E$2008,"&lt;=30/04/"&amp;$G$3)</f>
        <v>0</v>
      </c>
      <c r="J8" s="162">
        <f>SUMIFS(Vendas!$K$8:$K$2008,Vendas!$H$8:$H$2008,$B8,Vendas!$E$8:$E$2008,"&gt;=01/04/"&amp;$G$3,Vendas!$E$8:$E$2008,"&lt;=30/04/"&amp;$G$3,Vendas!$C$8:$C$2008,"Entregue")+SUMIFS(Vendas!$P$8:$P$2008,Vendas!$M$8:$M$2008,$B8,Vendas!$E$8:$E$2008,"&gt;=01/04/"&amp;$G$3,Vendas!$E$8:$E$2008,"&lt;=30/04/"&amp;$G$3,Vendas!$C$8:$C$2008,"Entregue")+SUMIFS(Vendas!$U$8:$U$2008,Vendas!$R$8:$R$2008,$B8,Vendas!$E$8:$E$2008,"&gt;=01/04/"&amp;$G$3,Vendas!$E$8:$E$2008,"&lt;=30/04/"&amp;$G$3,Vendas!$C$8:$C$2008,"Entregue")+SUMIFS(Vendas!$Z$8:$Z$2008,Vendas!$W$8:$W$2008,$B8,Vendas!$E$8:$E$2008,"&gt;=01/04/"&amp;$G$3,Vendas!$E$8:$E$2008,"&lt;=30/04/"&amp;$G$3,Vendas!$C$8:$C$2008,"Entregue")+SUMIFS(Vendas!$AE$8:$AE$2008,Vendas!$AB$8:$AB$2008,$B8,Vendas!$E$8:$E$2008,"&gt;=01/04/"&amp;$G$3,Vendas!$E$8:$E$2008,"&lt;=30/04/"&amp;$G$3,Vendas!$C$8:$C$2008,"Entregue")+SUMIFS(Vendas!$AJ$8:$AJ$2008,Vendas!$AG$8:$AG$2008,$B8,Vendas!$E$8:$E$2008,"&gt;=01/04/"&amp;$G$3,Vendas!$E$8:$E$2008,"&lt;=30/04/"&amp;$G$3,Vendas!$C$8:$C$2008,"Entregue")+SUMIFS(Vendas!$AO$8:$AO$2008,Vendas!$AL$8:$AL$2008,$B8,Vendas!$E$8:$E$2008,"&gt;=01/04/"&amp;$G$3,Vendas!$E$8:$E$2008,"&lt;=30/04/"&amp;$G$3,Vendas!$C$8:$C$2008,"Entregue")+SUMIFS(Vendas!$AT$8:$AT$2008,Vendas!$AQ$8:$AQ$2008,$B8,Vendas!$E$8:$E$2008,"&gt;=01/04/"&amp;$G$3,Vendas!$E$8:$E$2008,"&lt;=30/04/"&amp;$G$3,Vendas!$C$8:$C$2008,"Entregue")</f>
        <v>0</v>
      </c>
      <c r="K8" s="162">
        <f>SUMIFS(Vendas!$K$8:$K$2008,Vendas!$H$8:$H$2008,$B8,Vendas!$E$8:$E$2008,"&gt;=01/05/"&amp;$G$3,Vendas!$E$8:$E$2008,"&lt;=31/05/"&amp;$G$3)+SUMIFS(Vendas!$P$8:$P$2008,Vendas!$M$8:$M$2008,$B8,Vendas!$E$8:$E$2008,"&gt;=01/05/"&amp;$G$3,Vendas!$E$8:$E$2008,"&lt;=31/05/"&amp;$G$3)+SUMIFS(Vendas!$U$8:$U$2008,Vendas!$R$8:$R$2008,$B8,Vendas!$E$8:$E$2008,"&gt;=01/05/"&amp;$G$3,Vendas!$E$8:$E$2008,"&lt;=31/05/"&amp;$G$3)+SUMIFS(Vendas!$Z$8:$Z$2008,Vendas!$W$8:$W$2008,$B8,Vendas!$E$8:$E$2008,"&gt;=01/05/"&amp;$G$3,Vendas!$E$8:$E$2008,"&lt;=31/05/"&amp;$G$3)+SUMIFS(Vendas!$AE$8:$AE$2008,Vendas!$AB$8:$AB$2008,$B8,Vendas!$E$8:$E$2008,"&gt;=01/05/"&amp;$G$3,Vendas!$E$8:$E$2008,"&lt;=31/05/"&amp;$G$3)+SUMIFS(Vendas!$AJ$8:$AJ$2008,Vendas!$AG$8:$AG$2008,$B8,Vendas!$E$8:$E$2008,"&gt;=01/05/"&amp;$G$3,Vendas!$E$8:$E$2008,"&lt;=31/05/"&amp;$G$3)+SUMIFS(Vendas!$AO$8:$AO$2008,Vendas!$AL$8:$AL$2008,$B8,Vendas!$E$8:$E$2008,"&gt;=01/05/"&amp;$G$3,Vendas!$E$8:$E$2008,"&lt;=31/05/"&amp;$G$3)+SUMIFS(Vendas!$AT$8:$AT$2008,Vendas!$AQ$8:$AQ$2008,$B8,Vendas!$E$8:$E$2008,"&gt;=01/05/"&amp;$G$3,Vendas!$E$8:$E$2008,"&lt;=31/05/"&amp;$G$3)</f>
        <v>0</v>
      </c>
      <c r="L8" s="162">
        <f>SUMIFS(Vendas!$K$8:$K$2008,Vendas!$H$8:$H$2008,$B8,Vendas!$E$8:$E$2008,"&gt;=01/05/"&amp;$G$3,Vendas!$E$8:$E$2008,"&lt;=31/05/"&amp;$G$3,Vendas!$C$8:$C$2008,"Entregue")+SUMIFS(Vendas!$P$8:$P$2008,Vendas!$M$8:$M$2008,$B8,Vendas!$E$8:$E$2008,"&gt;=01/05/"&amp;$G$3,Vendas!$E$8:$E$2008,"&lt;=31/05/"&amp;$G$3,Vendas!$C$8:$C$2008,"Entregue")+SUMIFS(Vendas!$U$8:$U$2008,Vendas!$R$8:$R$2008,$B8,Vendas!$E$8:$E$2008,"&gt;=01/05/"&amp;$G$3,Vendas!$E$8:$E$2008,"&lt;=31/05/"&amp;$G$3,Vendas!$C$8:$C$2008,"Entregue")+SUMIFS(Vendas!$Z$8:$Z$2008,Vendas!$W$8:$W$2008,$B8,Vendas!$E$8:$E$2008,"&gt;=01/05/"&amp;$G$3,Vendas!$E$8:$E$2008,"&lt;=31/05/"&amp;$G$3,Vendas!$C$8:$C$2008,"Entregue")+SUMIFS(Vendas!$AE$8:$AE$2008,Vendas!$AB$8:$AB$2008,$B8,Vendas!$E$8:$E$2008,"&gt;=01/05/"&amp;$G$3,Vendas!$E$8:$E$2008,"&lt;=31/05/"&amp;$G$3,Vendas!$C$8:$C$2008,"Entregue")+SUMIFS(Vendas!$AJ$8:$AJ$2008,Vendas!$AG$8:$AG$2008,$B8,Vendas!$E$8:$E$2008,"&gt;=01/05/"&amp;$G$3,Vendas!$E$8:$E$2008,"&lt;=31/05/"&amp;$G$3,Vendas!$C$8:$C$2008,"Entregue")+SUMIFS(Vendas!$AO$8:$AO$2008,Vendas!$AL$8:$AL$2008,$B8,Vendas!$E$8:$E$2008,"&gt;=01/05/"&amp;$G$3,Vendas!$E$8:$E$2008,"&lt;=31/05/"&amp;$G$3,Vendas!$C$8:$C$2008,"Entregue")+SUMIFS(Vendas!$AT$8:$AT$2008,Vendas!$AQ$8:$AQ$2008,$B8,Vendas!$E$8:$E$2008,"&gt;=01/05/"&amp;$G$3,Vendas!$E$8:$E$2008,"&lt;=31/05/"&amp;$G$3,Vendas!$C$8:$C$2008,"Entregue")</f>
        <v>0</v>
      </c>
      <c r="M8" s="162">
        <f>SUMIFS(Vendas!$K$8:$K$2008,Vendas!$H$8:$H$2008,$B8,Vendas!$E$8:$E$2008,"&gt;=01/06/"&amp;$G$3,Vendas!$E$8:$E$2008,"&lt;=30/06/"&amp;$G$3)+SUMIFS(Vendas!$P$8:$P$2008,Vendas!$M$8:$M$2008,$B8,Vendas!$E$8:$E$2008,"&gt;=01/06/"&amp;$G$3,Vendas!$E$8:$E$2008,"&lt;=30/06/"&amp;$G$3)+SUMIFS(Vendas!$U$8:$U$2008,Vendas!$R$8:$R$2008,$B8,Vendas!$E$8:$E$2008,"&gt;=01/06/"&amp;$G$3,Vendas!$E$8:$E$2008,"&lt;=30/06/"&amp;$G$3)+SUMIFS(Vendas!$Z$8:$Z$2008,Vendas!$W$8:$W$2008,$B8,Vendas!$E$8:$E$2008,"&gt;=01/06/"&amp;$G$3,Vendas!$E$8:$E$2008,"&lt;=30/06/"&amp;$G$3)+SUMIFS(Vendas!$AE$8:$AE$2008,Vendas!$AB$8:$AB$2008,$B8,Vendas!$E$8:$E$2008,"&gt;=01/06/"&amp;$G$3,Vendas!$E$8:$E$2008,"&lt;=30/06/"&amp;$G$3)+SUMIFS(Vendas!$AJ$8:$AJ$2008,Vendas!$AG$8:$AG$2008,$B8,Vendas!$E$8:$E$2008,"&gt;=01/06/"&amp;$G$3,Vendas!$E$8:$E$2008,"&lt;=30/06/"&amp;$G$3)+SUMIFS(Vendas!$AO$8:$AO$2008,Vendas!$AL$8:$AL$2008,$B8,Vendas!$E$8:$E$2008,"&gt;=01/06/"&amp;$G$3,Vendas!$E$8:$E$2008,"&lt;=30/06/"&amp;$G$3)+SUMIFS(Vendas!$AT$8:$AT$2008,Vendas!$AQ$8:$AQ$2008,$B8,Vendas!$E$8:$E$2008,"&gt;=01/06/"&amp;$G$3,Vendas!$E$8:$E$2008,"&lt;=30/06/"&amp;$G$3)</f>
        <v>1447.68</v>
      </c>
      <c r="N8" s="162">
        <f>SUMIFS(Vendas!$K$8:$K$2008,Vendas!$H$8:$H$2008,$B8,Vendas!$E$8:$E$2008,"&gt;=01/06/"&amp;$G$3,Vendas!$E$8:$E$2008,"&lt;=30/06/"&amp;$G$3,Vendas!$C$8:$C$2008,"Entregue")+SUMIFS(Vendas!$P$8:$P$2008,Vendas!$M$8:$M$2008,$B8,Vendas!$E$8:$E$2008,"&gt;=01/06/"&amp;$G$3,Vendas!$E$8:$E$2008,"&lt;=30/06/"&amp;$G$3,Vendas!$C$8:$C$2008,"Entregue")+SUMIFS(Vendas!$U$8:$U$2008,Vendas!$R$8:$R$2008,$B8,Vendas!$E$8:$E$2008,"&gt;=01/06/"&amp;$G$3,Vendas!$E$8:$E$2008,"&lt;=30/06/"&amp;$G$3,Vendas!$C$8:$C$2008,"Entregue")+SUMIFS(Vendas!$Z$8:$Z$2008,Vendas!$W$8:$W$2008,$B8,Vendas!$E$8:$E$2008,"&gt;=01/06/"&amp;$G$3,Vendas!$E$8:$E$2008,"&lt;=30/06/"&amp;$G$3,Vendas!$C$8:$C$2008,"Entregue")+SUMIFS(Vendas!$AE$8:$AE$2008,Vendas!$AB$8:$AB$2008,$B8,Vendas!$E$8:$E$2008,"&gt;=01/06/"&amp;$G$3,Vendas!$E$8:$E$2008,"&lt;=30/06/"&amp;$G$3,Vendas!$C$8:$C$2008,"Entregue")+SUMIFS(Vendas!$AJ$8:$AJ$2008,Vendas!$AG$8:$AG$2008,$B8,Vendas!$E$8:$E$2008,"&gt;=01/06/"&amp;$G$3,Vendas!$E$8:$E$2008,"&lt;=30/06/"&amp;$G$3,Vendas!$C$8:$C$2008,"Entregue")+SUMIFS(Vendas!$AO$8:$AO$2008,Vendas!$AL$8:$AL$2008,$B8,Vendas!$E$8:$E$2008,"&gt;=01/06/"&amp;$G$3,Vendas!$E$8:$E$2008,"&lt;=30/06/"&amp;$G$3,Vendas!$C$8:$C$2008,"Entregue")+SUMIFS(Vendas!$AT$8:$AT$2008,Vendas!$AQ$8:$AQ$2008,$B8,Vendas!$E$8:$E$2008,"&gt;=01/06/"&amp;$G$3,Vendas!$E$8:$E$2008,"&lt;=30/06/"&amp;$G$3,Vendas!$C$8:$C$2008,"Entregue")</f>
        <v>1447.68</v>
      </c>
      <c r="O8" s="162">
        <f>SUMIFS(Vendas!$K$8:$K$2008,Vendas!$H$8:$H$2008,$B8,Vendas!$E$8:$E$2008,"&gt;=01/07/"&amp;$G$3,Vendas!$E$8:$E$2008,"&lt;=31/07/"&amp;$G$3)+SUMIFS(Vendas!$P$8:$P$2008,Vendas!$M$8:$M$2008,$B8,Vendas!$E$8:$E$2008,"&gt;=01/07/"&amp;$G$3,Vendas!$E$8:$E$2008,"&lt;=31/07/"&amp;$G$3)+SUMIFS(Vendas!$U$8:$U$2008,Vendas!$R$8:$R$2008,$B8,Vendas!$E$8:$E$2008,"&gt;=01/07/"&amp;$G$3,Vendas!$E$8:$E$2008,"&lt;=31/07/"&amp;$G$3)+SUMIFS(Vendas!$Z$8:$Z$2008,Vendas!$W$8:$W$2008,$B8,Vendas!$E$8:$E$2008,"&gt;=01/07/"&amp;$G$3,Vendas!$E$8:$E$2008,"&lt;=31/07/"&amp;$G$3)+SUMIFS(Vendas!$AE$8:$AE$2008,Vendas!$AB$8:$AB$2008,$B8,Vendas!$E$8:$E$2008,"&gt;=01/07/"&amp;$G$3,Vendas!$E$8:$E$2008,"&lt;=31/07/"&amp;$G$3)+SUMIFS(Vendas!$AJ$8:$AJ$2008,Vendas!$AG$8:$AG$2008,$B8,Vendas!$E$8:$E$2008,"&gt;=01/07/"&amp;$G$3,Vendas!$E$8:$E$2008,"&lt;=31/07/"&amp;$G$3)+SUMIFS(Vendas!$AO$8:$AO$2008,Vendas!$AL$8:$AL$2008,$B8,Vendas!$E$8:$E$2008,"&gt;=01/07/"&amp;$G$3,Vendas!$E$8:$E$2008,"&lt;=31/07/"&amp;$G$3)+SUMIFS(Vendas!$AT$8:$AT$2008,Vendas!$AQ$8:$AQ$2008,$B8,Vendas!$E$8:$E$2008,"&gt;=01/07/"&amp;$G$3,Vendas!$E$8:$E$2008,"&lt;=31/07/"&amp;$G$3)</f>
        <v>0</v>
      </c>
      <c r="P8" s="162">
        <f>SUMIFS(Vendas!$K$8:$K$2008,Vendas!$H$8:$H$2008,$B8,Vendas!$E$8:$E$2008,"&gt;=01/07/"&amp;$G$3,Vendas!$E$8:$E$2008,"&lt;=31/07/"&amp;$G$3,Vendas!$C$8:$C$2008,"Entregue")+SUMIFS(Vendas!$P$8:$P$2008,Vendas!$M$8:$M$2008,$B8,Vendas!$E$8:$E$2008,"&gt;=01/07/"&amp;$G$3,Vendas!$E$8:$E$2008,"&lt;=31/07/"&amp;$G$3,Vendas!$C$8:$C$2008,"Entregue")+SUMIFS(Vendas!$U$8:$U$2008,Vendas!$R$8:$R$2008,$B8,Vendas!$E$8:$E$2008,"&gt;=01/07/"&amp;$G$3,Vendas!$E$8:$E$2008,"&lt;=31/07/"&amp;$G$3,Vendas!$C$8:$C$2008,"Entregue")+SUMIFS(Vendas!$Z$8:$Z$2008,Vendas!$W$8:$W$2008,$B8,Vendas!$E$8:$E$2008,"&gt;=01/07/"&amp;$G$3,Vendas!$E$8:$E$2008,"&lt;=31/07/"&amp;$G$3,Vendas!$C$8:$C$2008,"Entregue")+SUMIFS(Vendas!$AE$8:$AE$2008,Vendas!$AB$8:$AB$2008,$B8,Vendas!$E$8:$E$2008,"&gt;=01/07/"&amp;$G$3,Vendas!$E$8:$E$2008,"&lt;=31/07/"&amp;$G$3,Vendas!$C$8:$C$2008,"Entregue")+SUMIFS(Vendas!$AJ$8:$AJ$2008,Vendas!$AG$8:$AG$2008,$B8,Vendas!$E$8:$E$2008,"&gt;=01/07/"&amp;$G$3,Vendas!$E$8:$E$2008,"&lt;=31/07/"&amp;$G$3,Vendas!$C$8:$C$2008,"Entregue")+SUMIFS(Vendas!$AO$8:$AO$2008,Vendas!$AL$8:$AL$2008,$B8,Vendas!$E$8:$E$2008,"&gt;=01/07/"&amp;$G$3,Vendas!$E$8:$E$2008,"&lt;=31/07/"&amp;$G$3,Vendas!$C$8:$C$2008,"Entregue")+SUMIFS(Vendas!$AT$8:$AT$2008,Vendas!$AQ$8:$AQ$2008,$B8,Vendas!$E$8:$E$2008,"&gt;=01/07/"&amp;$G$3,Vendas!$E$8:$E$2008,"&lt;=31/07/"&amp;$G$3,Vendas!$C$8:$C$2008,"Entregue")</f>
        <v>0</v>
      </c>
      <c r="Q8" s="162">
        <f>SUMIFS(Vendas!$K$8:$K$2008,Vendas!$H$8:$H$2008,$B8,Vendas!$E$8:$E$2008,"&gt;=01/08/"&amp;$G$3,Vendas!$E$8:$E$2008,"&lt;=31/08/"&amp;$G$3)+SUMIFS(Vendas!$P$8:$P$2008,Vendas!$M$8:$M$2008,$B8,Vendas!$E$8:$E$2008,"&gt;=01/08/"&amp;$G$3,Vendas!$E$8:$E$2008,"&lt;=31/08/"&amp;$G$3)+SUMIFS(Vendas!$U$8:$U$2008,Vendas!$R$8:$R$2008,$B8,Vendas!$E$8:$E$2008,"&gt;=01/08/"&amp;$G$3,Vendas!$E$8:$E$2008,"&lt;=31/08/"&amp;$G$3)+SUMIFS(Vendas!$Z$8:$Z$2008,Vendas!$W$8:$W$2008,$B8,Vendas!$E$8:$E$2008,"&gt;=01/08/"&amp;$G$3,Vendas!$E$8:$E$2008,"&lt;=31/08/"&amp;$G$3)+SUMIFS(Vendas!$AE$8:$AE$2008,Vendas!$AB$8:$AB$2008,$B8,Vendas!$E$8:$E$2008,"&gt;=01/08/"&amp;$G$3,Vendas!$E$8:$E$2008,"&lt;=31/08/"&amp;$G$3)+SUMIFS(Vendas!$AJ$8:$AJ$2008,Vendas!$AG$8:$AG$2008,$B8,Vendas!$E$8:$E$2008,"&gt;=01/08/"&amp;$G$3,Vendas!$E$8:$E$2008,"&lt;=31/08/"&amp;$G$3)+SUMIFS(Vendas!$AO$8:$AO$2008,Vendas!$AL$8:$AL$2008,$B8,Vendas!$E$8:$E$2008,"&gt;=01/08/"&amp;$G$3,Vendas!$E$8:$E$2008,"&lt;=31/08/"&amp;$G$3)+SUMIFS(Vendas!$AT$8:$AT$2008,Vendas!$AQ$8:$AQ$2008,$B8,Vendas!$E$8:$E$2008,"&gt;=01/08/"&amp;$G$3,Vendas!$E$8:$E$2008,"&lt;=31/08/"&amp;$G$3)</f>
        <v>0</v>
      </c>
      <c r="R8" s="162">
        <f>SUMIFS(Vendas!$K$8:$K$2008,Vendas!$H$8:$H$2008,$B8,Vendas!$E$8:$E$2008,"&gt;=01/08/"&amp;$G$3,Vendas!$E$8:$E$2008,"&lt;=31/08/"&amp;$G$3,Vendas!$C$8:$C$2008,"Entregue")+SUMIFS(Vendas!$P$8:$P$2008,Vendas!$M$8:$M$2008,$B8,Vendas!$E$8:$E$2008,"&gt;=01/08/"&amp;$G$3,Vendas!$E$8:$E$2008,"&lt;=31/08/"&amp;$G$3,Vendas!$C$8:$C$2008,"Entregue")+SUMIFS(Vendas!$U$8:$U$2008,Vendas!$R$8:$R$2008,$B8,Vendas!$E$8:$E$2008,"&gt;=01/08/"&amp;$G$3,Vendas!$E$8:$E$2008,"&lt;=31/08/"&amp;$G$3,Vendas!$C$8:$C$2008,"Entregue")+SUMIFS(Vendas!$Z$8:$Z$2008,Vendas!$W$8:$W$2008,$B8,Vendas!$E$8:$E$2008,"&gt;=01/08/"&amp;$G$3,Vendas!$E$8:$E$2008,"&lt;=31/08/"&amp;$G$3,Vendas!$C$8:$C$2008,"Entregue")+SUMIFS(Vendas!$AE$8:$AE$2008,Vendas!$AB$8:$AB$2008,$B8,Vendas!$E$8:$E$2008,"&gt;=01/08/"&amp;$G$3,Vendas!$E$8:$E$2008,"&lt;=31/08/"&amp;$G$3,Vendas!$C$8:$C$2008,"Entregue")+SUMIFS(Vendas!$AJ$8:$AJ$2008,Vendas!$AG$8:$AG$2008,$B8,Vendas!$E$8:$E$2008,"&gt;=01/08/"&amp;$G$3,Vendas!$E$8:$E$2008,"&lt;=31/08/"&amp;$G$3,Vendas!$C$8:$C$2008,"Entregue")+SUMIFS(Vendas!$AO$8:$AO$2008,Vendas!$AL$8:$AL$2008,$B8,Vendas!$E$8:$E$2008,"&gt;=01/08/"&amp;$G$3,Vendas!$E$8:$E$2008,"&lt;=31/08/"&amp;$G$3,Vendas!$C$8:$C$2008,"Entregue")+SUMIFS(Vendas!$AT$8:$AT$2008,Vendas!$AQ$8:$AQ$2008,$B8,Vendas!$E$8:$E$2008,"&gt;=01/08/"&amp;$G$3,Vendas!$E$8:$E$2008,"&lt;=31/08/"&amp;$G$3,Vendas!$C$8:$C$2008,"Entregue")</f>
        <v>0</v>
      </c>
      <c r="S8" s="162">
        <f>SUMIFS(Vendas!$K$8:$K$2008,Vendas!$H$8:$H$2008,$B8,Vendas!$E$8:$E$2008,"&gt;=01/09/"&amp;$G$3,Vendas!$E$8:$E$2008,"&lt;=30/09/"&amp;$G$3)+SUMIFS(Vendas!$P$8:$P$2008,Vendas!$M$8:$M$2008,$B8,Vendas!$E$8:$E$2008,"&gt;=01/09/"&amp;$G$3,Vendas!$E$8:$E$2008,"&lt;=30/09/"&amp;$G$3)+SUMIFS(Vendas!$U$8:$U$2008,Vendas!$R$8:$R$2008,$B8,Vendas!$E$8:$E$2008,"&gt;=01/09/"&amp;$G$3,Vendas!$E$8:$E$2008,"&lt;=30/09/"&amp;$G$3)+SUMIFS(Vendas!$Z$8:$Z$2008,Vendas!$W$8:$W$2008,$B8,Vendas!$E$8:$E$2008,"&gt;=01/09/"&amp;$G$3,Vendas!$E$8:$E$2008,"&lt;=30/09/"&amp;$G$3)+SUMIFS(Vendas!$AE$8:$AE$2008,Vendas!$AB$8:$AB$2008,$B8,Vendas!$E$8:$E$2008,"&gt;=01/09/"&amp;$G$3,Vendas!$E$8:$E$2008,"&lt;=30/09/"&amp;$G$3)+SUMIFS(Vendas!$AJ$8:$AJ$2008,Vendas!$AG$8:$AG$2008,$B8,Vendas!$E$8:$E$2008,"&gt;=01/09/"&amp;$G$3,Vendas!$E$8:$E$2008,"&lt;=30/09/"&amp;$G$3)+SUMIFS(Vendas!$AO$8:$AO$2008,Vendas!$AL$8:$AL$2008,$B8,Vendas!$E$8:$E$2008,"&gt;=01/09/"&amp;$G$3,Vendas!$E$8:$E$2008,"&lt;=30/09/"&amp;$G$3)+SUMIFS(Vendas!$AT$8:$AT$2008,Vendas!$AQ$8:$AQ$2008,$B8,Vendas!$E$8:$E$2008,"&gt;=01/09/"&amp;$G$3,Vendas!$E$8:$E$2008,"&lt;=30/09/"&amp;$G$3)</f>
        <v>0</v>
      </c>
      <c r="T8" s="162">
        <f>SUMIFS(Vendas!$K$8:$K$2008,Vendas!$H$8:$H$2008,$B8,Vendas!$E$8:$E$2008,"&gt;=01/09/"&amp;$G$3,Vendas!$E$8:$E$2008,"&lt;=30/09/"&amp;$G$3,Vendas!$C$8:$C$2008,"Entregue")+SUMIFS(Vendas!$P$8:$P$2008,Vendas!$M$8:$M$2008,$B8,Vendas!$E$8:$E$2008,"&gt;=01/09/"&amp;$G$3,Vendas!$E$8:$E$2008,"&lt;=30/09/"&amp;$G$3,Vendas!$C$8:$C$2008,"Entregue")+SUMIFS(Vendas!$U$8:$U$2008,Vendas!$R$8:$R$2008,$B8,Vendas!$E$8:$E$2008,"&gt;=01/09/"&amp;$G$3,Vendas!$E$8:$E$2008,"&lt;=30/09/"&amp;$G$3,Vendas!$C$8:$C$2008,"Entregue")+SUMIFS(Vendas!$Z$8:$Z$2008,Vendas!$W$8:$W$2008,$B8,Vendas!$E$8:$E$2008,"&gt;=01/09/"&amp;$G$3,Vendas!$E$8:$E$2008,"&lt;=30/09/"&amp;$G$3,Vendas!$C$8:$C$2008,"Entregue")+SUMIFS(Vendas!$AE$8:$AE$2008,Vendas!$AB$8:$AB$2008,$B8,Vendas!$E$8:$E$2008,"&gt;=01/09/"&amp;$G$3,Vendas!$E$8:$E$2008,"&lt;=30/09/"&amp;$G$3,Vendas!$C$8:$C$2008,"Entregue")+SUMIFS(Vendas!$AJ$8:$AJ$2008,Vendas!$AG$8:$AG$2008,$B8,Vendas!$E$8:$E$2008,"&gt;=01/09/"&amp;$G$3,Vendas!$E$8:$E$2008,"&lt;=30/09/"&amp;$G$3,Vendas!$C$8:$C$2008,"Entregue")+SUMIFS(Vendas!$AO$8:$AO$2008,Vendas!$AL$8:$AL$2008,$B8,Vendas!$E$8:$E$2008,"&gt;=01/09/"&amp;$G$3,Vendas!$E$8:$E$2008,"&lt;=30/09/"&amp;$G$3,Vendas!$C$8:$C$2008,"Entregue")+SUMIFS(Vendas!$AT$8:$AT$2008,Vendas!$AQ$8:$AQ$2008,$B8,Vendas!$E$8:$E$2008,"&gt;=01/09/"&amp;$G$3,Vendas!$E$8:$E$2008,"&lt;=30/09/"&amp;$G$3,Vendas!$C$8:$C$2008,"Entregue")</f>
        <v>0</v>
      </c>
      <c r="U8" s="162">
        <f>SUMIFS(Vendas!$K$8:$K$2008,Vendas!$H$8:$H$2008,$B8,Vendas!$E$8:$E$2008,"&gt;=01/10/"&amp;$G$3,Vendas!$E$8:$E$2008,"&lt;=31/10/"&amp;$G$3)+SUMIFS(Vendas!$P$8:$P$2008,Vendas!$M$8:$M$2008,$B8,Vendas!$E$8:$E$2008,"&gt;=01/10/"&amp;$G$3,Vendas!$E$8:$E$2008,"&lt;=31/10/"&amp;$G$3)+SUMIFS(Vendas!$U$8:$U$2008,Vendas!$R$8:$R$2008,$B8,Vendas!$E$8:$E$2008,"&gt;=01/10/"&amp;$G$3,Vendas!$E$8:$E$2008,"&lt;=31/10/"&amp;$G$3)+SUMIFS(Vendas!$Z$8:$Z$2008,Vendas!$W$8:$W$2008,$B8,Vendas!$E$8:$E$2008,"&gt;=01/10/"&amp;$G$3,Vendas!$E$8:$E$2008,"&lt;=31/10/"&amp;$G$3)+SUMIFS(Vendas!$AE$8:$AE$2008,Vendas!$AB$8:$AB$2008,$B8,Vendas!$E$8:$E$2008,"&gt;=01/10/"&amp;$G$3,Vendas!$E$8:$E$2008,"&lt;=31/10/"&amp;$G$3)+SUMIFS(Vendas!$AJ$8:$AJ$2008,Vendas!$AG$8:$AG$2008,$B8,Vendas!$E$8:$E$2008,"&gt;=01/10/"&amp;$G$3,Vendas!$E$8:$E$2008,"&lt;=31/10/"&amp;$G$3)+SUMIFS(Vendas!$AO$8:$AO$2008,Vendas!$AL$8:$AL$2008,$B8,Vendas!$E$8:$E$2008,"&gt;=01/10/"&amp;$G$3,Vendas!$E$8:$E$2008,"&lt;=31/10/"&amp;$G$3)+SUMIFS(Vendas!$AT$8:$AT$2008,Vendas!$AQ$8:$AQ$2008,$B8,Vendas!$E$8:$E$2008,"&gt;=01/10/"&amp;$G$3,Vendas!$E$8:$E$2008,"&lt;=31/10/"&amp;$G$3)</f>
        <v>0</v>
      </c>
      <c r="V8" s="162">
        <f>SUMIFS(Vendas!$K$8:$K$2008,Vendas!$H$8:$H$2008,$B8,Vendas!$E$8:$E$2008,"&gt;=01/10/"&amp;$G$3,Vendas!$E$8:$E$2008,"&lt;=31/10/"&amp;$G$3,Vendas!$C$8:$C$2008,"Entregue")+SUMIFS(Vendas!$P$8:$P$2008,Vendas!$M$8:$M$2008,$B8,Vendas!$E$8:$E$2008,"&gt;=01/10/"&amp;$G$3,Vendas!$E$8:$E$2008,"&lt;=31/10/"&amp;$G$3,Vendas!$C$8:$C$2008,"Entregue")+SUMIFS(Vendas!$U$8:$U$2008,Vendas!$R$8:$R$2008,$B8,Vendas!$E$8:$E$2008,"&gt;=01/10/"&amp;$G$3,Vendas!$E$8:$E$2008,"&lt;=31/10/"&amp;$G$3,Vendas!$C$8:$C$2008,"Entregue")+SUMIFS(Vendas!$Z$8:$Z$2008,Vendas!$W$8:$W$2008,$B8,Vendas!$E$8:$E$2008,"&gt;=01/10/"&amp;$G$3,Vendas!$E$8:$E$2008,"&lt;=31/10/"&amp;$G$3,Vendas!$C$8:$C$2008,"Entregue")+SUMIFS(Vendas!$AE$8:$AE$2008,Vendas!$AB$8:$AB$2008,$B8,Vendas!$E$8:$E$2008,"&gt;=01/10/"&amp;$G$3,Vendas!$E$8:$E$2008,"&lt;=31/10/"&amp;$G$3,Vendas!$C$8:$C$2008,"Entregue")+SUMIFS(Vendas!$AJ$8:$AJ$2008,Vendas!$AG$8:$AG$2008,$B8,Vendas!$E$8:$E$2008,"&gt;=01/10/"&amp;$G$3,Vendas!$E$8:$E$2008,"&lt;=31/10/"&amp;$G$3,Vendas!$C$8:$C$2008,"Entregue")+SUMIFS(Vendas!$AO$8:$AO$2008,Vendas!$AL$8:$AL$2008,$B8,Vendas!$E$8:$E$2008,"&gt;=01/10/"&amp;$G$3,Vendas!$E$8:$E$2008,"&lt;=31/10/"&amp;$G$3,Vendas!$C$8:$C$2008,"Entregue")+SUMIFS(Vendas!$AT$8:$AT$2008,Vendas!$AQ$8:$AQ$2008,$B8,Vendas!$E$8:$E$2008,"&gt;=01/10/"&amp;$G$3,Vendas!$E$8:$E$2008,"&lt;=31/10/"&amp;$G$3,Vendas!$C$8:$C$2008,"Entregue")</f>
        <v>0</v>
      </c>
      <c r="W8" s="162">
        <f>SUMIFS(Vendas!$K$8:$K$2008,Vendas!$H$8:$H$2008,$B8,Vendas!$E$8:$E$2008,"&gt;=01/11/"&amp;$G$3,Vendas!$E$8:$E$2008,"&lt;=30/11/"&amp;$G$3)+SUMIFS(Vendas!$P$8:$P$2008,Vendas!$M$8:$M$2008,$B8,Vendas!$E$8:$E$2008,"&gt;=01/11/"&amp;$G$3,Vendas!$E$8:$E$2008,"&lt;=30/11/"&amp;$G$3)+SUMIFS(Vendas!$U$8:$U$2008,Vendas!$R$8:$R$2008,$B8,Vendas!$E$8:$E$2008,"&gt;=01/11/"&amp;$G$3,Vendas!$E$8:$E$2008,"&lt;=30/11/"&amp;$G$3)+SUMIFS(Vendas!$Z$8:$Z$2008,Vendas!$W$8:$W$2008,$B8,Vendas!$E$8:$E$2008,"&gt;=01/11/"&amp;$G$3,Vendas!$E$8:$E$2008,"&lt;=30/11/"&amp;$G$3)+SUMIFS(Vendas!$AE$8:$AE$2008,Vendas!$AB$8:$AB$2008,$B8,Vendas!$E$8:$E$2008,"&gt;=01/11/"&amp;$G$3,Vendas!$E$8:$E$2008,"&lt;=30/11/"&amp;$G$3)+SUMIFS(Vendas!$AJ$8:$AJ$2008,Vendas!$AG$8:$AG$2008,$B8,Vendas!$E$8:$E$2008,"&gt;=01/11/"&amp;$G$3,Vendas!$E$8:$E$2008,"&lt;=30/11/"&amp;$G$3)+SUMIFS(Vendas!$AO$8:$AO$2008,Vendas!$AL$8:$AL$2008,$B8,Vendas!$E$8:$E$2008,"&gt;=01/11/"&amp;$G$3,Vendas!$E$8:$E$2008,"&lt;=30/11/"&amp;$G$3)+SUMIFS(Vendas!$AT$8:$AT$2008,Vendas!$AQ$8:$AQ$2008,$B8,Vendas!$E$8:$E$2008,"&gt;=01/11/"&amp;$G$3,Vendas!$E$8:$E$2008,"&lt;=30/11/"&amp;$G$3)</f>
        <v>0</v>
      </c>
      <c r="X8" s="162">
        <f>SUMIFS(Vendas!$K$8:$K$2008,Vendas!$H$8:$H$2008,$B8,Vendas!$E$8:$E$2008,"&gt;=01/11/"&amp;$G$3,Vendas!$E$8:$E$2008,"&lt;=30/11/"&amp;$G$3,Vendas!$C$8:$C$2008,"Entregue")+SUMIFS(Vendas!$P$8:$P$2008,Vendas!$M$8:$M$2008,$B8,Vendas!$E$8:$E$2008,"&gt;=01/11/"&amp;$G$3,Vendas!$E$8:$E$2008,"&lt;=30/11/"&amp;$G$3,Vendas!$C$8:$C$2008,"Entregue")+SUMIFS(Vendas!$U$8:$U$2008,Vendas!$R$8:$R$2008,$B8,Vendas!$E$8:$E$2008,"&gt;=01/11/"&amp;$G$3,Vendas!$E$8:$E$2008,"&lt;=30/11/"&amp;$G$3,Vendas!$C$8:$C$2008,"Entregue")+SUMIFS(Vendas!$Z$8:$Z$2008,Vendas!$W$8:$W$2008,$B8,Vendas!$E$8:$E$2008,"&gt;=01/11/"&amp;$G$3,Vendas!$E$8:$E$2008,"&lt;=30/11/"&amp;$G$3,Vendas!$C$8:$C$2008,"Entregue")+SUMIFS(Vendas!$AE$8:$AE$2008,Vendas!$AB$8:$AB$2008,$B8,Vendas!$E$8:$E$2008,"&gt;=01/11/"&amp;$G$3,Vendas!$E$8:$E$2008,"&lt;=30/11/"&amp;$G$3,Vendas!$C$8:$C$2008,"Entregue")+SUMIFS(Vendas!$AJ$8:$AJ$2008,Vendas!$AG$8:$AG$2008,$B8,Vendas!$E$8:$E$2008,"&gt;=01/11/"&amp;$G$3,Vendas!$E$8:$E$2008,"&lt;=30/11/"&amp;$G$3,Vendas!$C$8:$C$2008,"Entregue")+SUMIFS(Vendas!$AO$8:$AO$2008,Vendas!$AL$8:$AL$2008,$B8,Vendas!$E$8:$E$2008,"&gt;=01/11/"&amp;$G$3,Vendas!$E$8:$E$2008,"&lt;=30/11/"&amp;$G$3,Vendas!$C$8:$C$2008,"Entregue")+SUMIFS(Vendas!$AT$8:$AT$2008,Vendas!$AQ$8:$AQ$2008,$B8,Vendas!$E$8:$E$2008,"&gt;=01/11/"&amp;$G$3,Vendas!$E$8:$E$2008,"&lt;=30/11/"&amp;$G$3,Vendas!$C$8:$C$2008,"Entregue")</f>
        <v>0</v>
      </c>
      <c r="Y8" s="162">
        <f>SUMIFS(Vendas!$K$8:$K$2008,Vendas!$H$8:$H$2008,$B8,Vendas!$E$8:$E$2008,"&gt;=01/12/"&amp;$G$3,Vendas!$E$8:$E$2008,"&lt;=31/12/"&amp;$G$3)+SUMIFS(Vendas!$P$8:$P$2008,Vendas!$M$8:$M$2008,$B8,Vendas!$E$8:$E$2008,"&gt;=01/12/"&amp;$G$3,Vendas!$E$8:$E$2008,"&lt;=31/12/"&amp;$G$3)+SUMIFS(Vendas!$U$8:$U$2008,Vendas!$R$8:$R$2008,$B8,Vendas!$E$8:$E$2008,"&gt;=01/12/"&amp;$G$3,Vendas!$E$8:$E$2008,"&lt;=31/12/"&amp;$G$3)+SUMIFS(Vendas!$Z$8:$Z$2008,Vendas!$W$8:$W$2008,$B8,Vendas!$E$8:$E$2008,"&gt;=01/12/"&amp;$G$3,Vendas!$E$8:$E$2008,"&lt;=31/12/"&amp;$G$3)+SUMIFS(Vendas!$AE$8:$AE$2008,Vendas!$AB$8:$AB$2008,$B8,Vendas!$E$8:$E$2008,"&gt;=01/12/"&amp;$G$3,Vendas!$E$8:$E$2008,"&lt;=31/12/"&amp;$G$3)+SUMIFS(Vendas!$AJ$8:$AJ$2008,Vendas!$AG$8:$AG$2008,$B8,Vendas!$E$8:$E$2008,"&gt;=01/12/"&amp;$G$3,Vendas!$E$8:$E$2008,"&lt;=31/12/"&amp;$G$3)+SUMIFS(Vendas!$AO$8:$AO$2008,Vendas!$AL$8:$AL$2008,$B8,Vendas!$E$8:$E$2008,"&gt;=01/12/"&amp;$G$3,Vendas!$E$8:$E$2008,"&lt;=31/12/"&amp;$G$3)+SUMIFS(Vendas!$AT$8:$AT$2008,Vendas!$AQ$8:$AQ$2008,$B8,Vendas!$E$8:$E$2008,"&gt;=01/12/"&amp;$G$3,Vendas!$E$8:$E$2008,"&lt;=31/12/"&amp;$G$3)</f>
        <v>0</v>
      </c>
      <c r="Z8" s="163">
        <f>SUMIFS(Vendas!$K$8:$K$2008,Vendas!$H$8:$H$2008,$B8,Vendas!$E$8:$E$2008,"&gt;=01/12/"&amp;$G$3,Vendas!$E$8:$E$2008,"&lt;=31/12/"&amp;$G$3,Vendas!$C$8:$C$2008,"Entregue")+SUMIFS(Vendas!$P$8:$P$2008,Vendas!$M$8:$M$2008,$B8,Vendas!$E$8:$E$2008,"&gt;=01/12/"&amp;$G$3,Vendas!$E$8:$E$2008,"&lt;=31/12/"&amp;$G$3,Vendas!$C$8:$C$2008,"Entregue")+SUMIFS(Vendas!$U$8:$U$2008,Vendas!$R$8:$R$2008,$B8,Vendas!$E$8:$E$2008,"&gt;=01/12/"&amp;$G$3,Vendas!$E$8:$E$2008,"&lt;=31/12/"&amp;$G$3,Vendas!$C$8:$C$2008,"Entregue")+SUMIFS(Vendas!$Z$8:$Z$2008,Vendas!$W$8:$W$2008,$B8,Vendas!$E$8:$E$2008,"&gt;=01/12/"&amp;$G$3,Vendas!$E$8:$E$2008,"&lt;=31/12/"&amp;$G$3,Vendas!$C$8:$C$2008,"Entregue")+SUMIFS(Vendas!$AE$8:$AE$2008,Vendas!$AB$8:$AB$2008,$B8,Vendas!$E$8:$E$2008,"&gt;=01/12/"&amp;$G$3,Vendas!$E$8:$E$2008,"&lt;=31/12/"&amp;$G$3,Vendas!$C$8:$C$2008,"Entregue")+SUMIFS(Vendas!$AJ$8:$AJ$2008,Vendas!$AG$8:$AG$2008,$B8,Vendas!$E$8:$E$2008,"&gt;=01/12/"&amp;$G$3,Vendas!$E$8:$E$2008,"&lt;=31/12/"&amp;$G$3,Vendas!$C$8:$C$2008,"Entregue")+SUMIFS(Vendas!$AO$8:$AO$2008,Vendas!$AL$8:$AL$2008,$B8,Vendas!$E$8:$E$2008,"&gt;=01/12/"&amp;$G$3,Vendas!$E$8:$E$2008,"&lt;=31/12/"&amp;$G$3,Vendas!$C$8:$C$2008,"Entregue")+SUMIFS(Vendas!$AT$8:$AT$2008,Vendas!$AQ$8:$AQ$2008,$B8,Vendas!$E$8:$E$2008,"&gt;=01/12/"&amp;$G$3,Vendas!$E$8:$E$2008,"&lt;=31/12/"&amp;$G$3,Vendas!$C$8:$C$2008,"Entregue")</f>
        <v>0</v>
      </c>
      <c r="AA8" s="132">
        <f t="shared" ref="AA8:AB48" si="0">SUM(C8,E8,G8,I8,K8,M8,O8,Q8,S8,U8,W8,Y8)</f>
        <v>1447.68</v>
      </c>
      <c r="AB8" s="132">
        <f t="shared" si="0"/>
        <v>1447.68</v>
      </c>
      <c r="AC8" s="67"/>
    </row>
    <row r="9" spans="1:50" ht="14.4" x14ac:dyDescent="0.3">
      <c r="B9" s="262" t="str">
        <f>IF(Cadastros!D8="","",Cadastros!D8)</f>
        <v>10102 - Colchão Vivace 088 X 188 X 024 cm MVQ</v>
      </c>
      <c r="C9" s="158">
        <f>SUMIFS(Vendas!$K$8:$K$2008,Vendas!$H$8:$H$2008,$B9,Vendas!$E$8:$E$2008,"&gt;=01/01/"&amp;$G$3,Vendas!$E$8:$E$2008,"&lt;=31/01/"&amp;$G$3)+SUMIFS(Vendas!$P$8:$P$2008,Vendas!$M$8:$M$2008,$B9,Vendas!$E$8:$E$2008,"&gt;=01/01/"&amp;$G$3,Vendas!$E$8:$E$2008,"&lt;=31/01/"&amp;$G$3)+SUMIFS(Vendas!$U$8:$U$2008,Vendas!$R$8:$R$2008,$B9,Vendas!$E$8:$E$2008,"&gt;=01/01/"&amp;$G$3,Vendas!$E$8:$E$2008,"&lt;=31/01/"&amp;$G$3)+SUMIFS(Vendas!$Z$8:$Z$2008,Vendas!$W$8:$W$2008,$B9,Vendas!$E$8:$E$2008,"&gt;=01/01/"&amp;$G$3,Vendas!$E$8:$E$2008,"&lt;=31/01/"&amp;$G$3)+SUMIFS(Vendas!$AE$8:$AE$2008,Vendas!$AB$8:$AB$2008,$B9,Vendas!$E$8:$E$2008,"&gt;=01/01/"&amp;$G$3,Vendas!$E$8:$E$2008,"&lt;=31/01/"&amp;$G$3)+SUMIFS(Vendas!$AJ$8:$AJ$2008,Vendas!$AG$8:$AG$2008,$B9,Vendas!$E$8:$E$2008,"&gt;=01/01/"&amp;$G$3,Vendas!$E$8:$E$2008,"&lt;=31/01/"&amp;$G$3)+SUMIFS(Vendas!$AO$8:$AO$2008,Vendas!$AL$8:$AL$2008,$B9,Vendas!$E$8:$E$2008,"&gt;=01/01/"&amp;$G$3,Vendas!$E$8:$E$2008,"&lt;=31/01/"&amp;$G$3)+SUMIFS(Vendas!$AT$8:$AT$2008,Vendas!$AQ$8:$AQ$2008,$B9,Vendas!$E$8:$E$2008,"&gt;=01/01/"&amp;$G$3,Vendas!$E$8:$E$2008,"&lt;=31/01/"&amp;$G$3)</f>
        <v>0</v>
      </c>
      <c r="D9" s="159">
        <f>SUMIFS(Vendas!$K$8:$K$2008,Vendas!$H$8:$H$2008,$B9,Vendas!$E$8:$E$2008,"&gt;=01/01/"&amp;$G$3,Vendas!$E$8:$E$2008,"&lt;=31/01/"&amp;$G$3,Vendas!$C$8:$C$2008,"Entregue")+SUMIFS(Vendas!$P$8:$P$2008,Vendas!$M$8:$M$2008,$B9,Vendas!$E$8:$E$2008,"&gt;=01/01/"&amp;$G$3,Vendas!$E$8:$E$2008,"&lt;=31/01/"&amp;$G$3,Vendas!$C$8:$C$2008,"Entregue")+SUMIFS(Vendas!$U$8:$U$2008,Vendas!$R$8:$R$2008,$B9,Vendas!$E$8:$E$2008,"&gt;=01/01/"&amp;$G$3,Vendas!$E$8:$E$2008,"&lt;=31/01/"&amp;$G$3,Vendas!$C$8:$C$2008,"Entregue")+SUMIFS(Vendas!$Z$8:$Z$2008,Vendas!$W$8:$W$2008,$B9,Vendas!$E$8:$E$2008,"&gt;=01/01/"&amp;$G$3,Vendas!$E$8:$E$2008,"&lt;=31/01/"&amp;$G$3,Vendas!$C$8:$C$2008,"Entregue")+SUMIFS(Vendas!$AE$8:$AE$2008,Vendas!$AB$8:$AB$2008,$B9,Vendas!$E$8:$E$2008,"&gt;=01/01/"&amp;$G$3,Vendas!$E$8:$E$2008,"&lt;=31/01/"&amp;$G$3,Vendas!$C$8:$C$2008,"Entregue")+SUMIFS(Vendas!$AJ$8:$AJ$2008,Vendas!$AG$8:$AG$2008,$B9,Vendas!$E$8:$E$2008,"&gt;=01/01/"&amp;$G$3,Vendas!$E$8:$E$2008,"&lt;=31/01/"&amp;$G$3,Vendas!$C$8:$C$2008,"Entregue")+SUMIFS(Vendas!$AO$8:$AO$2008,Vendas!$AL$8:$AL$2008,$B9,Vendas!$E$8:$E$2008,"&gt;=01/01/"&amp;$G$3,Vendas!$E$8:$E$2008,"&lt;=31/01/"&amp;$G$3,Vendas!$C$8:$C$2008,"Entregue")+SUMIFS(Vendas!$AT$8:$AT$2008,Vendas!$AQ$8:$AQ$2008,$B9,Vendas!$E$8:$E$2008,"&gt;=01/01/"&amp;$G$3,Vendas!$E$8:$E$2008,"&lt;=31/01/"&amp;$G$3,Vendas!$C$8:$C$2008,"Entregue")</f>
        <v>0</v>
      </c>
      <c r="E9" s="159">
        <f>SUMIFS(Vendas!$K$8:$K$2008,Vendas!$H$8:$H$2008,$B9,Vendas!$E$8:$E$2008,"&gt;=01/02/"&amp;$G$3,Vendas!$E$8:$E$2008,"&lt;=28/02/"&amp;$G$3)+SUMIFS(Vendas!$P$8:$P$2008,Vendas!$M$8:$M$2008,$B9,Vendas!$E$8:$E$2008,"&gt;=01/02/"&amp;$G$3,Vendas!$E$8:$E$2008,"&lt;=28/02/"&amp;$G$3)+SUMIFS(Vendas!$U$8:$U$2008,Vendas!$R$8:$R$2008,$B9,Vendas!$E$8:$E$2008,"&gt;=01/02/"&amp;$G$3,Vendas!$E$8:$E$2008,"&lt;=28/02/"&amp;$G$3)+SUMIFS(Vendas!$Z$8:$Z$2008,Vendas!$W$8:$W$2008,$B9,Vendas!$E$8:$E$2008,"&gt;=01/02/"&amp;$G$3,Vendas!$E$8:$E$2008,"&lt;=28/02/"&amp;$G$3)+SUMIFS(Vendas!$AE$8:$AE$2008,Vendas!$AB$8:$AB$2008,$B9,Vendas!$E$8:$E$2008,"&gt;=01/02/"&amp;$G$3,Vendas!$E$8:$E$2008,"&lt;=28/02/"&amp;$G$3)+SUMIFS(Vendas!$AJ$8:$AJ$2008,Vendas!$AG$8:$AG$2008,$B9,Vendas!$E$8:$E$2008,"&gt;=01/02/"&amp;$G$3,Vendas!$E$8:$E$2008,"&lt;=28/02/"&amp;$G$3)+SUMIFS(Vendas!$AO$8:$AO$2008,Vendas!$AL$8:$AL$2008,$B9,Vendas!$E$8:$E$2008,"&gt;=01/02/"&amp;$G$3,Vendas!$E$8:$E$2008,"&lt;=28/02/"&amp;$G$3)+SUMIFS(Vendas!$AT$8:$AT$2008,Vendas!$AQ$8:$AQ$2008,$B9,Vendas!$E$8:$E$2008,"&gt;=01/02/"&amp;$G$3,Vendas!$E$8:$E$2008,"&lt;=28/02/"&amp;$G$3)</f>
        <v>0</v>
      </c>
      <c r="F9" s="159">
        <f>SUMIFS(Vendas!$K$8:$K$2008,Vendas!$H$8:$H$2008,$B9,Vendas!$E$8:$E$2008,"&gt;=01/02/"&amp;$G$3,Vendas!$E$8:$E$2008,"&lt;=28/02/"&amp;$G$3,Vendas!$C$8:$C$2008,"Entregue")+SUMIFS(Vendas!$P$8:$P$2008,Vendas!$M$8:$M$2008,$B9,Vendas!$E$8:$E$2008,"&gt;=01/02/"&amp;$G$3,Vendas!$E$8:$E$2008,"&lt;=28/02/"&amp;$G$3,Vendas!$C$8:$C$2008,"Entregue")+SUMIFS(Vendas!$U$8:$U$2008,Vendas!$R$8:$R$2008,$B9,Vendas!$E$8:$E$2008,"&gt;=01/02/"&amp;$G$3,Vendas!$E$8:$E$2008,"&lt;=28/02/"&amp;$G$3,Vendas!$C$8:$C$2008,"Entregue")+SUMIFS(Vendas!$Z$8:$Z$2008,Vendas!$W$8:$W$2008,$B9,Vendas!$E$8:$E$2008,"&gt;=01/02/"&amp;$G$3,Vendas!$E$8:$E$2008,"&lt;=28/02/"&amp;$G$3,Vendas!$C$8:$C$2008,"Entregue")+SUMIFS(Vendas!$AE$8:$AE$2008,Vendas!$AB$8:$AB$2008,$B9,Vendas!$E$8:$E$2008,"&gt;=01/02/"&amp;$G$3,Vendas!$E$8:$E$2008,"&lt;=28/02/"&amp;$G$3,Vendas!$C$8:$C$2008,"Entregue")+SUMIFS(Vendas!$AJ$8:$AJ$2008,Vendas!$AG$8:$AG$2008,$B9,Vendas!$E$8:$E$2008,"&gt;=01/02/"&amp;$G$3,Vendas!$E$8:$E$2008,"&lt;=28/02/"&amp;$G$3,Vendas!$C$8:$C$2008,"Entregue")+SUMIFS(Vendas!$AO$8:$AO$2008,Vendas!$AL$8:$AL$2008,$B9,Vendas!$E$8:$E$2008,"&gt;=01/02/"&amp;$G$3,Vendas!$E$8:$E$2008,"&lt;=28/02/"&amp;$G$3,Vendas!$C$8:$C$2008,"Entregue")+SUMIFS(Vendas!$AT$8:$AT$2008,Vendas!$AQ$8:$AQ$2008,$B9,Vendas!$E$8:$E$2008,"&gt;=01/02/"&amp;$G$3,Vendas!$E$8:$E$2008,"&lt;=28/02/"&amp;$G$3,Vendas!$C$8:$C$2008,"Entregue")</f>
        <v>0</v>
      </c>
      <c r="G9" s="159">
        <f>SUMIFS(Vendas!$K$8:$K$2008,Vendas!$H$8:$H$2008,$B9,Vendas!$E$8:$E$2008,"&gt;=01/03/"&amp;$G$3,Vendas!$E$8:$E$2008,"&lt;=31/03/"&amp;$G$3)+SUMIFS(Vendas!$P$8:$P$2008,Vendas!$M$8:$M$2008,$B9,Vendas!$E$8:$E$2008,"&gt;=01/03/"&amp;$G$3,Vendas!$E$8:$E$2008,"&lt;=31/03/"&amp;$G$3)+SUMIFS(Vendas!$U$8:$U$2008,Vendas!$R$8:$R$2008,$B9,Vendas!$E$8:$E$2008,"&gt;=01/03/"&amp;$G$3,Vendas!$E$8:$E$2008,"&lt;=31/03/"&amp;$G$3)+SUMIFS(Vendas!$Z$8:$Z$2008,Vendas!$W$8:$W$2008,$B9,Vendas!$E$8:$E$2008,"&gt;=01/03/"&amp;$G$3,Vendas!$E$8:$E$2008,"&lt;=31/03/"&amp;$G$3)+SUMIFS(Vendas!$AE$8:$AE$2008,Vendas!$AB$8:$AB$2008,$B9,Vendas!$E$8:$E$2008,"&gt;=01/03/"&amp;$G$3,Vendas!$E$8:$E$2008,"&lt;=31/03/"&amp;$G$3)+SUMIFS(Vendas!$AJ$8:$AJ$2008,Vendas!$AG$8:$AG$2008,$B9,Vendas!$E$8:$E$2008,"&gt;=01/03/"&amp;$G$3,Vendas!$E$8:$E$2008,"&lt;=31/03/"&amp;$G$3)+SUMIFS(Vendas!$AO$8:$AO$2008,Vendas!$AL$8:$AL$2008,$B9,Vendas!$E$8:$E$2008,"&gt;=01/03/"&amp;$G$3,Vendas!$E$8:$E$2008,"&lt;=31/03/"&amp;$G$3)+SUMIFS(Vendas!$AT$8:$AT$2008,Vendas!$AQ$8:$AQ$2008,$B9,Vendas!$E$8:$E$2008,"&gt;=01/03/"&amp;$G$3,Vendas!$E$8:$E$2008,"&lt;=31/03/"&amp;$G$3)</f>
        <v>0</v>
      </c>
      <c r="H9" s="159">
        <f>SUMIFS(Vendas!$K$8:$K$2008,Vendas!$H$8:$H$2008,$B9,Vendas!$E$8:$E$2008,"&gt;=01/03/"&amp;$G$3,Vendas!$E$8:$E$2008,"&lt;=31/03/"&amp;$G$3,Vendas!$C$8:$C$2008,"Entregue")+SUMIFS(Vendas!$P$8:$P$2008,Vendas!$M$8:$M$2008,$B9,Vendas!$E$8:$E$2008,"&gt;=01/03/"&amp;$G$3,Vendas!$E$8:$E$2008,"&lt;=31/03/"&amp;$G$3,Vendas!$C$8:$C$2008,"Entregue")+SUMIFS(Vendas!$U$8:$U$2008,Vendas!$R$8:$R$2008,$B9,Vendas!$E$8:$E$2008,"&gt;=01/03/"&amp;$G$3,Vendas!$E$8:$E$2008,"&lt;=31/03/"&amp;$G$3,Vendas!$C$8:$C$2008,"Entregue")+SUMIFS(Vendas!$Z$8:$Z$2008,Vendas!$W$8:$W$2008,$B9,Vendas!$E$8:$E$2008,"&gt;=01/03/"&amp;$G$3,Vendas!$E$8:$E$2008,"&lt;=31/03/"&amp;$G$3,Vendas!$C$8:$C$2008,"Entregue")+SUMIFS(Vendas!$AE$8:$AE$2008,Vendas!$AB$8:$AB$2008,$B9,Vendas!$E$8:$E$2008,"&gt;=01/03/"&amp;$G$3,Vendas!$E$8:$E$2008,"&lt;=31/03/"&amp;$G$3,Vendas!$C$8:$C$2008,"Entregue")+SUMIFS(Vendas!$AJ$8:$AJ$2008,Vendas!$AG$8:$AG$2008,$B9,Vendas!$E$8:$E$2008,"&gt;=01/03/"&amp;$G$3,Vendas!$E$8:$E$2008,"&lt;=31/03/"&amp;$G$3,Vendas!$C$8:$C$2008,"Entregue")+SUMIFS(Vendas!$AO$8:$AO$2008,Vendas!$AL$8:$AL$2008,$B9,Vendas!$E$8:$E$2008,"&gt;=01/03/"&amp;$G$3,Vendas!$E$8:$E$2008,"&lt;=31/03/"&amp;$G$3,Vendas!$C$8:$C$2008,"Entregue")+SUMIFS(Vendas!$AT$8:$AT$2008,Vendas!$AQ$8:$AQ$2008,$B9,Vendas!$E$8:$E$2008,"&gt;=01/03/"&amp;$G$3,Vendas!$E$8:$E$2008,"&lt;=31/03/"&amp;$G$3,Vendas!$C$8:$C$2008,"Entregue")</f>
        <v>0</v>
      </c>
      <c r="I9" s="159">
        <f>SUMIFS(Vendas!$K$8:$K$2008,Vendas!$H$8:$H$2008,$B9,Vendas!$E$8:$E$2008,"&gt;=01/04/"&amp;$G$3,Vendas!$E$8:$E$2008,"&lt;=30/04/"&amp;$G$3)+SUMIFS(Vendas!$P$8:$P$2008,Vendas!$M$8:$M$2008,$B9,Vendas!$E$8:$E$2008,"&gt;=01/04/"&amp;$G$3,Vendas!$E$8:$E$2008,"&lt;=30/04/"&amp;$G$3)+SUMIFS(Vendas!$U$8:$U$2008,Vendas!$R$8:$R$2008,$B9,Vendas!$E$8:$E$2008,"&gt;=01/04/"&amp;$G$3,Vendas!$E$8:$E$2008,"&lt;=30/04/"&amp;$G$3)+SUMIFS(Vendas!$Z$8:$Z$2008,Vendas!$W$8:$W$2008,$B9,Vendas!$E$8:$E$2008,"&gt;=01/04/"&amp;$G$3,Vendas!$E$8:$E$2008,"&lt;=30/04/"&amp;$G$3)+SUMIFS(Vendas!$AE$8:$AE$2008,Vendas!$AB$8:$AB$2008,$B9,Vendas!$E$8:$E$2008,"&gt;=01/04/"&amp;$G$3,Vendas!$E$8:$E$2008,"&lt;=30/04/"&amp;$G$3)+SUMIFS(Vendas!$AJ$8:$AJ$2008,Vendas!$AG$8:$AG$2008,$B9,Vendas!$E$8:$E$2008,"&gt;=01/04/"&amp;$G$3,Vendas!$E$8:$E$2008,"&lt;=30/04/"&amp;$G$3)+SUMIFS(Vendas!$AO$8:$AO$2008,Vendas!$AL$8:$AL$2008,$B9,Vendas!$E$8:$E$2008,"&gt;=01/04/"&amp;$G$3,Vendas!$E$8:$E$2008,"&lt;=30/04/"&amp;$G$3)+SUMIFS(Vendas!$AT$8:$AT$2008,Vendas!$AQ$8:$AQ$2008,$B9,Vendas!$E$8:$E$2008,"&gt;=01/04/"&amp;$G$3,Vendas!$E$8:$E$2008,"&lt;=30/04/"&amp;$G$3)</f>
        <v>0</v>
      </c>
      <c r="J9" s="159">
        <f>SUMIFS(Vendas!$K$8:$K$2008,Vendas!$H$8:$H$2008,$B9,Vendas!$E$8:$E$2008,"&gt;=01/04/"&amp;$G$3,Vendas!$E$8:$E$2008,"&lt;=30/04/"&amp;$G$3,Vendas!$C$8:$C$2008,"Entregue")+SUMIFS(Vendas!$P$8:$P$2008,Vendas!$M$8:$M$2008,$B9,Vendas!$E$8:$E$2008,"&gt;=01/04/"&amp;$G$3,Vendas!$E$8:$E$2008,"&lt;=30/04/"&amp;$G$3,Vendas!$C$8:$C$2008,"Entregue")+SUMIFS(Vendas!$U$8:$U$2008,Vendas!$R$8:$R$2008,$B9,Vendas!$E$8:$E$2008,"&gt;=01/04/"&amp;$G$3,Vendas!$E$8:$E$2008,"&lt;=30/04/"&amp;$G$3,Vendas!$C$8:$C$2008,"Entregue")+SUMIFS(Vendas!$Z$8:$Z$2008,Vendas!$W$8:$W$2008,$B9,Vendas!$E$8:$E$2008,"&gt;=01/04/"&amp;$G$3,Vendas!$E$8:$E$2008,"&lt;=30/04/"&amp;$G$3,Vendas!$C$8:$C$2008,"Entregue")+SUMIFS(Vendas!$AE$8:$AE$2008,Vendas!$AB$8:$AB$2008,$B9,Vendas!$E$8:$E$2008,"&gt;=01/04/"&amp;$G$3,Vendas!$E$8:$E$2008,"&lt;=30/04/"&amp;$G$3,Vendas!$C$8:$C$2008,"Entregue")+SUMIFS(Vendas!$AJ$8:$AJ$2008,Vendas!$AG$8:$AG$2008,$B9,Vendas!$E$8:$E$2008,"&gt;=01/04/"&amp;$G$3,Vendas!$E$8:$E$2008,"&lt;=30/04/"&amp;$G$3,Vendas!$C$8:$C$2008,"Entregue")+SUMIFS(Vendas!$AO$8:$AO$2008,Vendas!$AL$8:$AL$2008,$B9,Vendas!$E$8:$E$2008,"&gt;=01/04/"&amp;$G$3,Vendas!$E$8:$E$2008,"&lt;=30/04/"&amp;$G$3,Vendas!$C$8:$C$2008,"Entregue")+SUMIFS(Vendas!$AT$8:$AT$2008,Vendas!$AQ$8:$AQ$2008,$B9,Vendas!$E$8:$E$2008,"&gt;=01/04/"&amp;$G$3,Vendas!$E$8:$E$2008,"&lt;=30/04/"&amp;$G$3,Vendas!$C$8:$C$2008,"Entregue")</f>
        <v>0</v>
      </c>
      <c r="K9" s="159">
        <f>SUMIFS(Vendas!$K$8:$K$2008,Vendas!$H$8:$H$2008,$B9,Vendas!$E$8:$E$2008,"&gt;=01/05/"&amp;$G$3,Vendas!$E$8:$E$2008,"&lt;=31/05/"&amp;$G$3)+SUMIFS(Vendas!$P$8:$P$2008,Vendas!$M$8:$M$2008,$B9,Vendas!$E$8:$E$2008,"&gt;=01/05/"&amp;$G$3,Vendas!$E$8:$E$2008,"&lt;=31/05/"&amp;$G$3)+SUMIFS(Vendas!$U$8:$U$2008,Vendas!$R$8:$R$2008,$B9,Vendas!$E$8:$E$2008,"&gt;=01/05/"&amp;$G$3,Vendas!$E$8:$E$2008,"&lt;=31/05/"&amp;$G$3)+SUMIFS(Vendas!$Z$8:$Z$2008,Vendas!$W$8:$W$2008,$B9,Vendas!$E$8:$E$2008,"&gt;=01/05/"&amp;$G$3,Vendas!$E$8:$E$2008,"&lt;=31/05/"&amp;$G$3)+SUMIFS(Vendas!$AE$8:$AE$2008,Vendas!$AB$8:$AB$2008,$B9,Vendas!$E$8:$E$2008,"&gt;=01/05/"&amp;$G$3,Vendas!$E$8:$E$2008,"&lt;=31/05/"&amp;$G$3)+SUMIFS(Vendas!$AJ$8:$AJ$2008,Vendas!$AG$8:$AG$2008,$B9,Vendas!$E$8:$E$2008,"&gt;=01/05/"&amp;$G$3,Vendas!$E$8:$E$2008,"&lt;=31/05/"&amp;$G$3)+SUMIFS(Vendas!$AO$8:$AO$2008,Vendas!$AL$8:$AL$2008,$B9,Vendas!$E$8:$E$2008,"&gt;=01/05/"&amp;$G$3,Vendas!$E$8:$E$2008,"&lt;=31/05/"&amp;$G$3)+SUMIFS(Vendas!$AT$8:$AT$2008,Vendas!$AQ$8:$AQ$2008,$B9,Vendas!$E$8:$E$2008,"&gt;=01/05/"&amp;$G$3,Vendas!$E$8:$E$2008,"&lt;=31/05/"&amp;$G$3)</f>
        <v>0</v>
      </c>
      <c r="L9" s="159">
        <f>SUMIFS(Vendas!$K$8:$K$2008,Vendas!$H$8:$H$2008,$B9,Vendas!$E$8:$E$2008,"&gt;=01/05/"&amp;$G$3,Vendas!$E$8:$E$2008,"&lt;=31/05/"&amp;$G$3,Vendas!$C$8:$C$2008,"Entregue")+SUMIFS(Vendas!$P$8:$P$2008,Vendas!$M$8:$M$2008,$B9,Vendas!$E$8:$E$2008,"&gt;=01/05/"&amp;$G$3,Vendas!$E$8:$E$2008,"&lt;=31/05/"&amp;$G$3,Vendas!$C$8:$C$2008,"Entregue")+SUMIFS(Vendas!$U$8:$U$2008,Vendas!$R$8:$R$2008,$B9,Vendas!$E$8:$E$2008,"&gt;=01/05/"&amp;$G$3,Vendas!$E$8:$E$2008,"&lt;=31/05/"&amp;$G$3,Vendas!$C$8:$C$2008,"Entregue")+SUMIFS(Vendas!$Z$8:$Z$2008,Vendas!$W$8:$W$2008,$B9,Vendas!$E$8:$E$2008,"&gt;=01/05/"&amp;$G$3,Vendas!$E$8:$E$2008,"&lt;=31/05/"&amp;$G$3,Vendas!$C$8:$C$2008,"Entregue")+SUMIFS(Vendas!$AE$8:$AE$2008,Vendas!$AB$8:$AB$2008,$B9,Vendas!$E$8:$E$2008,"&gt;=01/05/"&amp;$G$3,Vendas!$E$8:$E$2008,"&lt;=31/05/"&amp;$G$3,Vendas!$C$8:$C$2008,"Entregue")+SUMIFS(Vendas!$AJ$8:$AJ$2008,Vendas!$AG$8:$AG$2008,$B9,Vendas!$E$8:$E$2008,"&gt;=01/05/"&amp;$G$3,Vendas!$E$8:$E$2008,"&lt;=31/05/"&amp;$G$3,Vendas!$C$8:$C$2008,"Entregue")+SUMIFS(Vendas!$AO$8:$AO$2008,Vendas!$AL$8:$AL$2008,$B9,Vendas!$E$8:$E$2008,"&gt;=01/05/"&amp;$G$3,Vendas!$E$8:$E$2008,"&lt;=31/05/"&amp;$G$3,Vendas!$C$8:$C$2008,"Entregue")+SUMIFS(Vendas!$AT$8:$AT$2008,Vendas!$AQ$8:$AQ$2008,$B9,Vendas!$E$8:$E$2008,"&gt;=01/05/"&amp;$G$3,Vendas!$E$8:$E$2008,"&lt;=31/05/"&amp;$G$3,Vendas!$C$8:$C$2008,"Entregue")</f>
        <v>0</v>
      </c>
      <c r="M9" s="159">
        <f>SUMIFS(Vendas!$K$8:$K$2008,Vendas!$H$8:$H$2008,$B9,Vendas!$E$8:$E$2008,"&gt;=01/06/"&amp;$G$3,Vendas!$E$8:$E$2008,"&lt;=30/06/"&amp;$G$3)+SUMIFS(Vendas!$P$8:$P$2008,Vendas!$M$8:$M$2008,$B9,Vendas!$E$8:$E$2008,"&gt;=01/06/"&amp;$G$3,Vendas!$E$8:$E$2008,"&lt;=30/06/"&amp;$G$3)+SUMIFS(Vendas!$U$8:$U$2008,Vendas!$R$8:$R$2008,$B9,Vendas!$E$8:$E$2008,"&gt;=01/06/"&amp;$G$3,Vendas!$E$8:$E$2008,"&lt;=30/06/"&amp;$G$3)+SUMIFS(Vendas!$Z$8:$Z$2008,Vendas!$W$8:$W$2008,$B9,Vendas!$E$8:$E$2008,"&gt;=01/06/"&amp;$G$3,Vendas!$E$8:$E$2008,"&lt;=30/06/"&amp;$G$3)+SUMIFS(Vendas!$AE$8:$AE$2008,Vendas!$AB$8:$AB$2008,$B9,Vendas!$E$8:$E$2008,"&gt;=01/06/"&amp;$G$3,Vendas!$E$8:$E$2008,"&lt;=30/06/"&amp;$G$3)+SUMIFS(Vendas!$AJ$8:$AJ$2008,Vendas!$AG$8:$AG$2008,$B9,Vendas!$E$8:$E$2008,"&gt;=01/06/"&amp;$G$3,Vendas!$E$8:$E$2008,"&lt;=30/06/"&amp;$G$3)+SUMIFS(Vendas!$AO$8:$AO$2008,Vendas!$AL$8:$AL$2008,$B9,Vendas!$E$8:$E$2008,"&gt;=01/06/"&amp;$G$3,Vendas!$E$8:$E$2008,"&lt;=30/06/"&amp;$G$3)+SUMIFS(Vendas!$AT$8:$AT$2008,Vendas!$AQ$8:$AQ$2008,$B9,Vendas!$E$8:$E$2008,"&gt;=01/06/"&amp;$G$3,Vendas!$E$8:$E$2008,"&lt;=30/06/"&amp;$G$3)</f>
        <v>0</v>
      </c>
      <c r="N9" s="159">
        <f>SUMIFS(Vendas!$K$8:$K$2008,Vendas!$H$8:$H$2008,$B9,Vendas!$E$8:$E$2008,"&gt;=01/06/"&amp;$G$3,Vendas!$E$8:$E$2008,"&lt;=30/06/"&amp;$G$3,Vendas!$C$8:$C$2008,"Entregue")+SUMIFS(Vendas!$P$8:$P$2008,Vendas!$M$8:$M$2008,$B9,Vendas!$E$8:$E$2008,"&gt;=01/06/"&amp;$G$3,Vendas!$E$8:$E$2008,"&lt;=30/06/"&amp;$G$3,Vendas!$C$8:$C$2008,"Entregue")+SUMIFS(Vendas!$U$8:$U$2008,Vendas!$R$8:$R$2008,$B9,Vendas!$E$8:$E$2008,"&gt;=01/06/"&amp;$G$3,Vendas!$E$8:$E$2008,"&lt;=30/06/"&amp;$G$3,Vendas!$C$8:$C$2008,"Entregue")+SUMIFS(Vendas!$Z$8:$Z$2008,Vendas!$W$8:$W$2008,$B9,Vendas!$E$8:$E$2008,"&gt;=01/06/"&amp;$G$3,Vendas!$E$8:$E$2008,"&lt;=30/06/"&amp;$G$3,Vendas!$C$8:$C$2008,"Entregue")+SUMIFS(Vendas!$AE$8:$AE$2008,Vendas!$AB$8:$AB$2008,$B9,Vendas!$E$8:$E$2008,"&gt;=01/06/"&amp;$G$3,Vendas!$E$8:$E$2008,"&lt;=30/06/"&amp;$G$3,Vendas!$C$8:$C$2008,"Entregue")+SUMIFS(Vendas!$AJ$8:$AJ$2008,Vendas!$AG$8:$AG$2008,$B9,Vendas!$E$8:$E$2008,"&gt;=01/06/"&amp;$G$3,Vendas!$E$8:$E$2008,"&lt;=30/06/"&amp;$G$3,Vendas!$C$8:$C$2008,"Entregue")+SUMIFS(Vendas!$AO$8:$AO$2008,Vendas!$AL$8:$AL$2008,$B9,Vendas!$E$8:$E$2008,"&gt;=01/06/"&amp;$G$3,Vendas!$E$8:$E$2008,"&lt;=30/06/"&amp;$G$3,Vendas!$C$8:$C$2008,"Entregue")+SUMIFS(Vendas!$AT$8:$AT$2008,Vendas!$AQ$8:$AQ$2008,$B9,Vendas!$E$8:$E$2008,"&gt;=01/06/"&amp;$G$3,Vendas!$E$8:$E$2008,"&lt;=30/06/"&amp;$G$3,Vendas!$C$8:$C$2008,"Entregue")</f>
        <v>0</v>
      </c>
      <c r="O9" s="159">
        <f>SUMIFS(Vendas!$K$8:$K$2008,Vendas!$H$8:$H$2008,$B9,Vendas!$E$8:$E$2008,"&gt;=01/07/"&amp;$G$3,Vendas!$E$8:$E$2008,"&lt;=31/07/"&amp;$G$3)+SUMIFS(Vendas!$P$8:$P$2008,Vendas!$M$8:$M$2008,$B9,Vendas!$E$8:$E$2008,"&gt;=01/07/"&amp;$G$3,Vendas!$E$8:$E$2008,"&lt;=31/07/"&amp;$G$3)+SUMIFS(Vendas!$U$8:$U$2008,Vendas!$R$8:$R$2008,$B9,Vendas!$E$8:$E$2008,"&gt;=01/07/"&amp;$G$3,Vendas!$E$8:$E$2008,"&lt;=31/07/"&amp;$G$3)+SUMIFS(Vendas!$Z$8:$Z$2008,Vendas!$W$8:$W$2008,$B9,Vendas!$E$8:$E$2008,"&gt;=01/07/"&amp;$G$3,Vendas!$E$8:$E$2008,"&lt;=31/07/"&amp;$G$3)+SUMIFS(Vendas!$AE$8:$AE$2008,Vendas!$AB$8:$AB$2008,$B9,Vendas!$E$8:$E$2008,"&gt;=01/07/"&amp;$G$3,Vendas!$E$8:$E$2008,"&lt;=31/07/"&amp;$G$3)+SUMIFS(Vendas!$AJ$8:$AJ$2008,Vendas!$AG$8:$AG$2008,$B9,Vendas!$E$8:$E$2008,"&gt;=01/07/"&amp;$G$3,Vendas!$E$8:$E$2008,"&lt;=31/07/"&amp;$G$3)+SUMIFS(Vendas!$AO$8:$AO$2008,Vendas!$AL$8:$AL$2008,$B9,Vendas!$E$8:$E$2008,"&gt;=01/07/"&amp;$G$3,Vendas!$E$8:$E$2008,"&lt;=31/07/"&amp;$G$3)+SUMIFS(Vendas!$AT$8:$AT$2008,Vendas!$AQ$8:$AQ$2008,$B9,Vendas!$E$8:$E$2008,"&gt;=01/07/"&amp;$G$3,Vendas!$E$8:$E$2008,"&lt;=31/07/"&amp;$G$3)</f>
        <v>0</v>
      </c>
      <c r="P9" s="159">
        <f>SUMIFS(Vendas!$K$8:$K$2008,Vendas!$H$8:$H$2008,$B9,Vendas!$E$8:$E$2008,"&gt;=01/07/"&amp;$G$3,Vendas!$E$8:$E$2008,"&lt;=31/07/"&amp;$G$3,Vendas!$C$8:$C$2008,"Entregue")+SUMIFS(Vendas!$P$8:$P$2008,Vendas!$M$8:$M$2008,$B9,Vendas!$E$8:$E$2008,"&gt;=01/07/"&amp;$G$3,Vendas!$E$8:$E$2008,"&lt;=31/07/"&amp;$G$3,Vendas!$C$8:$C$2008,"Entregue")+SUMIFS(Vendas!$U$8:$U$2008,Vendas!$R$8:$R$2008,$B9,Vendas!$E$8:$E$2008,"&gt;=01/07/"&amp;$G$3,Vendas!$E$8:$E$2008,"&lt;=31/07/"&amp;$G$3,Vendas!$C$8:$C$2008,"Entregue")+SUMIFS(Vendas!$Z$8:$Z$2008,Vendas!$W$8:$W$2008,$B9,Vendas!$E$8:$E$2008,"&gt;=01/07/"&amp;$G$3,Vendas!$E$8:$E$2008,"&lt;=31/07/"&amp;$G$3,Vendas!$C$8:$C$2008,"Entregue")+SUMIFS(Vendas!$AE$8:$AE$2008,Vendas!$AB$8:$AB$2008,$B9,Vendas!$E$8:$E$2008,"&gt;=01/07/"&amp;$G$3,Vendas!$E$8:$E$2008,"&lt;=31/07/"&amp;$G$3,Vendas!$C$8:$C$2008,"Entregue")+SUMIFS(Vendas!$AJ$8:$AJ$2008,Vendas!$AG$8:$AG$2008,$B9,Vendas!$E$8:$E$2008,"&gt;=01/07/"&amp;$G$3,Vendas!$E$8:$E$2008,"&lt;=31/07/"&amp;$G$3,Vendas!$C$8:$C$2008,"Entregue")+SUMIFS(Vendas!$AO$8:$AO$2008,Vendas!$AL$8:$AL$2008,$B9,Vendas!$E$8:$E$2008,"&gt;=01/07/"&amp;$G$3,Vendas!$E$8:$E$2008,"&lt;=31/07/"&amp;$G$3,Vendas!$C$8:$C$2008,"Entregue")+SUMIFS(Vendas!$AT$8:$AT$2008,Vendas!$AQ$8:$AQ$2008,$B9,Vendas!$E$8:$E$2008,"&gt;=01/07/"&amp;$G$3,Vendas!$E$8:$E$2008,"&lt;=31/07/"&amp;$G$3,Vendas!$C$8:$C$2008,"Entregue")</f>
        <v>0</v>
      </c>
      <c r="Q9" s="159">
        <f>SUMIFS(Vendas!$K$8:$K$2008,Vendas!$H$8:$H$2008,$B9,Vendas!$E$8:$E$2008,"&gt;=01/08/"&amp;$G$3,Vendas!$E$8:$E$2008,"&lt;=31/08/"&amp;$G$3)+SUMIFS(Vendas!$P$8:$P$2008,Vendas!$M$8:$M$2008,$B9,Vendas!$E$8:$E$2008,"&gt;=01/08/"&amp;$G$3,Vendas!$E$8:$E$2008,"&lt;=31/08/"&amp;$G$3)+SUMIFS(Vendas!$U$8:$U$2008,Vendas!$R$8:$R$2008,$B9,Vendas!$E$8:$E$2008,"&gt;=01/08/"&amp;$G$3,Vendas!$E$8:$E$2008,"&lt;=31/08/"&amp;$G$3)+SUMIFS(Vendas!$Z$8:$Z$2008,Vendas!$W$8:$W$2008,$B9,Vendas!$E$8:$E$2008,"&gt;=01/08/"&amp;$G$3,Vendas!$E$8:$E$2008,"&lt;=31/08/"&amp;$G$3)+SUMIFS(Vendas!$AE$8:$AE$2008,Vendas!$AB$8:$AB$2008,$B9,Vendas!$E$8:$E$2008,"&gt;=01/08/"&amp;$G$3,Vendas!$E$8:$E$2008,"&lt;=31/08/"&amp;$G$3)+SUMIFS(Vendas!$AJ$8:$AJ$2008,Vendas!$AG$8:$AG$2008,$B9,Vendas!$E$8:$E$2008,"&gt;=01/08/"&amp;$G$3,Vendas!$E$8:$E$2008,"&lt;=31/08/"&amp;$G$3)+SUMIFS(Vendas!$AO$8:$AO$2008,Vendas!$AL$8:$AL$2008,$B9,Vendas!$E$8:$E$2008,"&gt;=01/08/"&amp;$G$3,Vendas!$E$8:$E$2008,"&lt;=31/08/"&amp;$G$3)+SUMIFS(Vendas!$AT$8:$AT$2008,Vendas!$AQ$8:$AQ$2008,$B9,Vendas!$E$8:$E$2008,"&gt;=01/08/"&amp;$G$3,Vendas!$E$8:$E$2008,"&lt;=31/08/"&amp;$G$3)</f>
        <v>0</v>
      </c>
      <c r="R9" s="159">
        <f>SUMIFS(Vendas!$K$8:$K$2008,Vendas!$H$8:$H$2008,$B9,Vendas!$E$8:$E$2008,"&gt;=01/08/"&amp;$G$3,Vendas!$E$8:$E$2008,"&lt;=31/08/"&amp;$G$3,Vendas!$C$8:$C$2008,"Entregue")+SUMIFS(Vendas!$P$8:$P$2008,Vendas!$M$8:$M$2008,$B9,Vendas!$E$8:$E$2008,"&gt;=01/08/"&amp;$G$3,Vendas!$E$8:$E$2008,"&lt;=31/08/"&amp;$G$3,Vendas!$C$8:$C$2008,"Entregue")+SUMIFS(Vendas!$U$8:$U$2008,Vendas!$R$8:$R$2008,$B9,Vendas!$E$8:$E$2008,"&gt;=01/08/"&amp;$G$3,Vendas!$E$8:$E$2008,"&lt;=31/08/"&amp;$G$3,Vendas!$C$8:$C$2008,"Entregue")+SUMIFS(Vendas!$Z$8:$Z$2008,Vendas!$W$8:$W$2008,$B9,Vendas!$E$8:$E$2008,"&gt;=01/08/"&amp;$G$3,Vendas!$E$8:$E$2008,"&lt;=31/08/"&amp;$G$3,Vendas!$C$8:$C$2008,"Entregue")+SUMIFS(Vendas!$AE$8:$AE$2008,Vendas!$AB$8:$AB$2008,$B9,Vendas!$E$8:$E$2008,"&gt;=01/08/"&amp;$G$3,Vendas!$E$8:$E$2008,"&lt;=31/08/"&amp;$G$3,Vendas!$C$8:$C$2008,"Entregue")+SUMIFS(Vendas!$AJ$8:$AJ$2008,Vendas!$AG$8:$AG$2008,$B9,Vendas!$E$8:$E$2008,"&gt;=01/08/"&amp;$G$3,Vendas!$E$8:$E$2008,"&lt;=31/08/"&amp;$G$3,Vendas!$C$8:$C$2008,"Entregue")+SUMIFS(Vendas!$AO$8:$AO$2008,Vendas!$AL$8:$AL$2008,$B9,Vendas!$E$8:$E$2008,"&gt;=01/08/"&amp;$G$3,Vendas!$E$8:$E$2008,"&lt;=31/08/"&amp;$G$3,Vendas!$C$8:$C$2008,"Entregue")+SUMIFS(Vendas!$AT$8:$AT$2008,Vendas!$AQ$8:$AQ$2008,$B9,Vendas!$E$8:$E$2008,"&gt;=01/08/"&amp;$G$3,Vendas!$E$8:$E$2008,"&lt;=31/08/"&amp;$G$3,Vendas!$C$8:$C$2008,"Entregue")</f>
        <v>0</v>
      </c>
      <c r="S9" s="159">
        <f>SUMIFS(Vendas!$K$8:$K$2008,Vendas!$H$8:$H$2008,$B9,Vendas!$E$8:$E$2008,"&gt;=01/09/"&amp;$G$3,Vendas!$E$8:$E$2008,"&lt;=30/09/"&amp;$G$3)+SUMIFS(Vendas!$P$8:$P$2008,Vendas!$M$8:$M$2008,$B9,Vendas!$E$8:$E$2008,"&gt;=01/09/"&amp;$G$3,Vendas!$E$8:$E$2008,"&lt;=30/09/"&amp;$G$3)+SUMIFS(Vendas!$U$8:$U$2008,Vendas!$R$8:$R$2008,$B9,Vendas!$E$8:$E$2008,"&gt;=01/09/"&amp;$G$3,Vendas!$E$8:$E$2008,"&lt;=30/09/"&amp;$G$3)+SUMIFS(Vendas!$Z$8:$Z$2008,Vendas!$W$8:$W$2008,$B9,Vendas!$E$8:$E$2008,"&gt;=01/09/"&amp;$G$3,Vendas!$E$8:$E$2008,"&lt;=30/09/"&amp;$G$3)+SUMIFS(Vendas!$AE$8:$AE$2008,Vendas!$AB$8:$AB$2008,$B9,Vendas!$E$8:$E$2008,"&gt;=01/09/"&amp;$G$3,Vendas!$E$8:$E$2008,"&lt;=30/09/"&amp;$G$3)+SUMIFS(Vendas!$AJ$8:$AJ$2008,Vendas!$AG$8:$AG$2008,$B9,Vendas!$E$8:$E$2008,"&gt;=01/09/"&amp;$G$3,Vendas!$E$8:$E$2008,"&lt;=30/09/"&amp;$G$3)+SUMIFS(Vendas!$AO$8:$AO$2008,Vendas!$AL$8:$AL$2008,$B9,Vendas!$E$8:$E$2008,"&gt;=01/09/"&amp;$G$3,Vendas!$E$8:$E$2008,"&lt;=30/09/"&amp;$G$3)+SUMIFS(Vendas!$AT$8:$AT$2008,Vendas!$AQ$8:$AQ$2008,$B9,Vendas!$E$8:$E$2008,"&gt;=01/09/"&amp;$G$3,Vendas!$E$8:$E$2008,"&lt;=30/09/"&amp;$G$3)</f>
        <v>0</v>
      </c>
      <c r="T9" s="159">
        <f>SUMIFS(Vendas!$K$8:$K$2008,Vendas!$H$8:$H$2008,$B9,Vendas!$E$8:$E$2008,"&gt;=01/09/"&amp;$G$3,Vendas!$E$8:$E$2008,"&lt;=30/09/"&amp;$G$3,Vendas!$C$8:$C$2008,"Entregue")+SUMIFS(Vendas!$P$8:$P$2008,Vendas!$M$8:$M$2008,$B9,Vendas!$E$8:$E$2008,"&gt;=01/09/"&amp;$G$3,Vendas!$E$8:$E$2008,"&lt;=30/09/"&amp;$G$3,Vendas!$C$8:$C$2008,"Entregue")+SUMIFS(Vendas!$U$8:$U$2008,Vendas!$R$8:$R$2008,$B9,Vendas!$E$8:$E$2008,"&gt;=01/09/"&amp;$G$3,Vendas!$E$8:$E$2008,"&lt;=30/09/"&amp;$G$3,Vendas!$C$8:$C$2008,"Entregue")+SUMIFS(Vendas!$Z$8:$Z$2008,Vendas!$W$8:$W$2008,$B9,Vendas!$E$8:$E$2008,"&gt;=01/09/"&amp;$G$3,Vendas!$E$8:$E$2008,"&lt;=30/09/"&amp;$G$3,Vendas!$C$8:$C$2008,"Entregue")+SUMIFS(Vendas!$AE$8:$AE$2008,Vendas!$AB$8:$AB$2008,$B9,Vendas!$E$8:$E$2008,"&gt;=01/09/"&amp;$G$3,Vendas!$E$8:$E$2008,"&lt;=30/09/"&amp;$G$3,Vendas!$C$8:$C$2008,"Entregue")+SUMIFS(Vendas!$AJ$8:$AJ$2008,Vendas!$AG$8:$AG$2008,$B9,Vendas!$E$8:$E$2008,"&gt;=01/09/"&amp;$G$3,Vendas!$E$8:$E$2008,"&lt;=30/09/"&amp;$G$3,Vendas!$C$8:$C$2008,"Entregue")+SUMIFS(Vendas!$AO$8:$AO$2008,Vendas!$AL$8:$AL$2008,$B9,Vendas!$E$8:$E$2008,"&gt;=01/09/"&amp;$G$3,Vendas!$E$8:$E$2008,"&lt;=30/09/"&amp;$G$3,Vendas!$C$8:$C$2008,"Entregue")+SUMIFS(Vendas!$AT$8:$AT$2008,Vendas!$AQ$8:$AQ$2008,$B9,Vendas!$E$8:$E$2008,"&gt;=01/09/"&amp;$G$3,Vendas!$E$8:$E$2008,"&lt;=30/09/"&amp;$G$3,Vendas!$C$8:$C$2008,"Entregue")</f>
        <v>0</v>
      </c>
      <c r="U9" s="159">
        <f>SUMIFS(Vendas!$K$8:$K$2008,Vendas!$H$8:$H$2008,$B9,Vendas!$E$8:$E$2008,"&gt;=01/10/"&amp;$G$3,Vendas!$E$8:$E$2008,"&lt;=31/10/"&amp;$G$3)+SUMIFS(Vendas!$P$8:$P$2008,Vendas!$M$8:$M$2008,$B9,Vendas!$E$8:$E$2008,"&gt;=01/10/"&amp;$G$3,Vendas!$E$8:$E$2008,"&lt;=31/10/"&amp;$G$3)+SUMIFS(Vendas!$U$8:$U$2008,Vendas!$R$8:$R$2008,$B9,Vendas!$E$8:$E$2008,"&gt;=01/10/"&amp;$G$3,Vendas!$E$8:$E$2008,"&lt;=31/10/"&amp;$G$3)+SUMIFS(Vendas!$Z$8:$Z$2008,Vendas!$W$8:$W$2008,$B9,Vendas!$E$8:$E$2008,"&gt;=01/10/"&amp;$G$3,Vendas!$E$8:$E$2008,"&lt;=31/10/"&amp;$G$3)+SUMIFS(Vendas!$AE$8:$AE$2008,Vendas!$AB$8:$AB$2008,$B9,Vendas!$E$8:$E$2008,"&gt;=01/10/"&amp;$G$3,Vendas!$E$8:$E$2008,"&lt;=31/10/"&amp;$G$3)+SUMIFS(Vendas!$AJ$8:$AJ$2008,Vendas!$AG$8:$AG$2008,$B9,Vendas!$E$8:$E$2008,"&gt;=01/10/"&amp;$G$3,Vendas!$E$8:$E$2008,"&lt;=31/10/"&amp;$G$3)+SUMIFS(Vendas!$AO$8:$AO$2008,Vendas!$AL$8:$AL$2008,$B9,Vendas!$E$8:$E$2008,"&gt;=01/10/"&amp;$G$3,Vendas!$E$8:$E$2008,"&lt;=31/10/"&amp;$G$3)+SUMIFS(Vendas!$AT$8:$AT$2008,Vendas!$AQ$8:$AQ$2008,$B9,Vendas!$E$8:$E$2008,"&gt;=01/10/"&amp;$G$3,Vendas!$E$8:$E$2008,"&lt;=31/10/"&amp;$G$3)</f>
        <v>0</v>
      </c>
      <c r="V9" s="159">
        <f>SUMIFS(Vendas!$K$8:$K$2008,Vendas!$H$8:$H$2008,$B9,Vendas!$E$8:$E$2008,"&gt;=01/10/"&amp;$G$3,Vendas!$E$8:$E$2008,"&lt;=31/10/"&amp;$G$3,Vendas!$C$8:$C$2008,"Entregue")+SUMIFS(Vendas!$P$8:$P$2008,Vendas!$M$8:$M$2008,$B9,Vendas!$E$8:$E$2008,"&gt;=01/10/"&amp;$G$3,Vendas!$E$8:$E$2008,"&lt;=31/10/"&amp;$G$3,Vendas!$C$8:$C$2008,"Entregue")+SUMIFS(Vendas!$U$8:$U$2008,Vendas!$R$8:$R$2008,$B9,Vendas!$E$8:$E$2008,"&gt;=01/10/"&amp;$G$3,Vendas!$E$8:$E$2008,"&lt;=31/10/"&amp;$G$3,Vendas!$C$8:$C$2008,"Entregue")+SUMIFS(Vendas!$Z$8:$Z$2008,Vendas!$W$8:$W$2008,$B9,Vendas!$E$8:$E$2008,"&gt;=01/10/"&amp;$G$3,Vendas!$E$8:$E$2008,"&lt;=31/10/"&amp;$G$3,Vendas!$C$8:$C$2008,"Entregue")+SUMIFS(Vendas!$AE$8:$AE$2008,Vendas!$AB$8:$AB$2008,$B9,Vendas!$E$8:$E$2008,"&gt;=01/10/"&amp;$G$3,Vendas!$E$8:$E$2008,"&lt;=31/10/"&amp;$G$3,Vendas!$C$8:$C$2008,"Entregue")+SUMIFS(Vendas!$AJ$8:$AJ$2008,Vendas!$AG$8:$AG$2008,$B9,Vendas!$E$8:$E$2008,"&gt;=01/10/"&amp;$G$3,Vendas!$E$8:$E$2008,"&lt;=31/10/"&amp;$G$3,Vendas!$C$8:$C$2008,"Entregue")+SUMIFS(Vendas!$AO$8:$AO$2008,Vendas!$AL$8:$AL$2008,$B9,Vendas!$E$8:$E$2008,"&gt;=01/10/"&amp;$G$3,Vendas!$E$8:$E$2008,"&lt;=31/10/"&amp;$G$3,Vendas!$C$8:$C$2008,"Entregue")+SUMIFS(Vendas!$AT$8:$AT$2008,Vendas!$AQ$8:$AQ$2008,$B9,Vendas!$E$8:$E$2008,"&gt;=01/10/"&amp;$G$3,Vendas!$E$8:$E$2008,"&lt;=31/10/"&amp;$G$3,Vendas!$C$8:$C$2008,"Entregue")</f>
        <v>0</v>
      </c>
      <c r="W9" s="159">
        <f>SUMIFS(Vendas!$K$8:$K$2008,Vendas!$H$8:$H$2008,$B9,Vendas!$E$8:$E$2008,"&gt;=01/11/"&amp;$G$3,Vendas!$E$8:$E$2008,"&lt;=30/11/"&amp;$G$3)+SUMIFS(Vendas!$P$8:$P$2008,Vendas!$M$8:$M$2008,$B9,Vendas!$E$8:$E$2008,"&gt;=01/11/"&amp;$G$3,Vendas!$E$8:$E$2008,"&lt;=30/11/"&amp;$G$3)+SUMIFS(Vendas!$U$8:$U$2008,Vendas!$R$8:$R$2008,$B9,Vendas!$E$8:$E$2008,"&gt;=01/11/"&amp;$G$3,Vendas!$E$8:$E$2008,"&lt;=30/11/"&amp;$G$3)+SUMIFS(Vendas!$Z$8:$Z$2008,Vendas!$W$8:$W$2008,$B9,Vendas!$E$8:$E$2008,"&gt;=01/11/"&amp;$G$3,Vendas!$E$8:$E$2008,"&lt;=30/11/"&amp;$G$3)+SUMIFS(Vendas!$AE$8:$AE$2008,Vendas!$AB$8:$AB$2008,$B9,Vendas!$E$8:$E$2008,"&gt;=01/11/"&amp;$G$3,Vendas!$E$8:$E$2008,"&lt;=30/11/"&amp;$G$3)+SUMIFS(Vendas!$AJ$8:$AJ$2008,Vendas!$AG$8:$AG$2008,$B9,Vendas!$E$8:$E$2008,"&gt;=01/11/"&amp;$G$3,Vendas!$E$8:$E$2008,"&lt;=30/11/"&amp;$G$3)+SUMIFS(Vendas!$AO$8:$AO$2008,Vendas!$AL$8:$AL$2008,$B9,Vendas!$E$8:$E$2008,"&gt;=01/11/"&amp;$G$3,Vendas!$E$8:$E$2008,"&lt;=30/11/"&amp;$G$3)+SUMIFS(Vendas!$AT$8:$AT$2008,Vendas!$AQ$8:$AQ$2008,$B9,Vendas!$E$8:$E$2008,"&gt;=01/11/"&amp;$G$3,Vendas!$E$8:$E$2008,"&lt;=30/11/"&amp;$G$3)</f>
        <v>0</v>
      </c>
      <c r="X9" s="159">
        <f>SUMIFS(Vendas!$K$8:$K$2008,Vendas!$H$8:$H$2008,$B9,Vendas!$E$8:$E$2008,"&gt;=01/11/"&amp;$G$3,Vendas!$E$8:$E$2008,"&lt;=30/11/"&amp;$G$3,Vendas!$C$8:$C$2008,"Entregue")+SUMIFS(Vendas!$P$8:$P$2008,Vendas!$M$8:$M$2008,$B9,Vendas!$E$8:$E$2008,"&gt;=01/11/"&amp;$G$3,Vendas!$E$8:$E$2008,"&lt;=30/11/"&amp;$G$3,Vendas!$C$8:$C$2008,"Entregue")+SUMIFS(Vendas!$U$8:$U$2008,Vendas!$R$8:$R$2008,$B9,Vendas!$E$8:$E$2008,"&gt;=01/11/"&amp;$G$3,Vendas!$E$8:$E$2008,"&lt;=30/11/"&amp;$G$3,Vendas!$C$8:$C$2008,"Entregue")+SUMIFS(Vendas!$Z$8:$Z$2008,Vendas!$W$8:$W$2008,$B9,Vendas!$E$8:$E$2008,"&gt;=01/11/"&amp;$G$3,Vendas!$E$8:$E$2008,"&lt;=30/11/"&amp;$G$3,Vendas!$C$8:$C$2008,"Entregue")+SUMIFS(Vendas!$AE$8:$AE$2008,Vendas!$AB$8:$AB$2008,$B9,Vendas!$E$8:$E$2008,"&gt;=01/11/"&amp;$G$3,Vendas!$E$8:$E$2008,"&lt;=30/11/"&amp;$G$3,Vendas!$C$8:$C$2008,"Entregue")+SUMIFS(Vendas!$AJ$8:$AJ$2008,Vendas!$AG$8:$AG$2008,$B9,Vendas!$E$8:$E$2008,"&gt;=01/11/"&amp;$G$3,Vendas!$E$8:$E$2008,"&lt;=30/11/"&amp;$G$3,Vendas!$C$8:$C$2008,"Entregue")+SUMIFS(Vendas!$AO$8:$AO$2008,Vendas!$AL$8:$AL$2008,$B9,Vendas!$E$8:$E$2008,"&gt;=01/11/"&amp;$G$3,Vendas!$E$8:$E$2008,"&lt;=30/11/"&amp;$G$3,Vendas!$C$8:$C$2008,"Entregue")+SUMIFS(Vendas!$AT$8:$AT$2008,Vendas!$AQ$8:$AQ$2008,$B9,Vendas!$E$8:$E$2008,"&gt;=01/11/"&amp;$G$3,Vendas!$E$8:$E$2008,"&lt;=30/11/"&amp;$G$3,Vendas!$C$8:$C$2008,"Entregue")</f>
        <v>0</v>
      </c>
      <c r="Y9" s="159">
        <f>SUMIFS(Vendas!$K$8:$K$2008,Vendas!$H$8:$H$2008,$B9,Vendas!$E$8:$E$2008,"&gt;=01/12/"&amp;$G$3,Vendas!$E$8:$E$2008,"&lt;=31/12/"&amp;$G$3)+SUMIFS(Vendas!$P$8:$P$2008,Vendas!$M$8:$M$2008,$B9,Vendas!$E$8:$E$2008,"&gt;=01/12/"&amp;$G$3,Vendas!$E$8:$E$2008,"&lt;=31/12/"&amp;$G$3)+SUMIFS(Vendas!$U$8:$U$2008,Vendas!$R$8:$R$2008,$B9,Vendas!$E$8:$E$2008,"&gt;=01/12/"&amp;$G$3,Vendas!$E$8:$E$2008,"&lt;=31/12/"&amp;$G$3)+SUMIFS(Vendas!$Z$8:$Z$2008,Vendas!$W$8:$W$2008,$B9,Vendas!$E$8:$E$2008,"&gt;=01/12/"&amp;$G$3,Vendas!$E$8:$E$2008,"&lt;=31/12/"&amp;$G$3)+SUMIFS(Vendas!$AE$8:$AE$2008,Vendas!$AB$8:$AB$2008,$B9,Vendas!$E$8:$E$2008,"&gt;=01/12/"&amp;$G$3,Vendas!$E$8:$E$2008,"&lt;=31/12/"&amp;$G$3)+SUMIFS(Vendas!$AJ$8:$AJ$2008,Vendas!$AG$8:$AG$2008,$B9,Vendas!$E$8:$E$2008,"&gt;=01/12/"&amp;$G$3,Vendas!$E$8:$E$2008,"&lt;=31/12/"&amp;$G$3)+SUMIFS(Vendas!$AO$8:$AO$2008,Vendas!$AL$8:$AL$2008,$B9,Vendas!$E$8:$E$2008,"&gt;=01/12/"&amp;$G$3,Vendas!$E$8:$E$2008,"&lt;=31/12/"&amp;$G$3)+SUMIFS(Vendas!$AT$8:$AT$2008,Vendas!$AQ$8:$AQ$2008,$B9,Vendas!$E$8:$E$2008,"&gt;=01/12/"&amp;$G$3,Vendas!$E$8:$E$2008,"&lt;=31/12/"&amp;$G$3)</f>
        <v>0</v>
      </c>
      <c r="Z9" s="160">
        <f>SUMIFS(Vendas!$K$8:$K$2008,Vendas!$H$8:$H$2008,$B9,Vendas!$E$8:$E$2008,"&gt;=01/12/"&amp;$G$3,Vendas!$E$8:$E$2008,"&lt;=31/12/"&amp;$G$3,Vendas!$C$8:$C$2008,"Entregue")+SUMIFS(Vendas!$P$8:$P$2008,Vendas!$M$8:$M$2008,$B9,Vendas!$E$8:$E$2008,"&gt;=01/12/"&amp;$G$3,Vendas!$E$8:$E$2008,"&lt;=31/12/"&amp;$G$3,Vendas!$C$8:$C$2008,"Entregue")+SUMIFS(Vendas!$U$8:$U$2008,Vendas!$R$8:$R$2008,$B9,Vendas!$E$8:$E$2008,"&gt;=01/12/"&amp;$G$3,Vendas!$E$8:$E$2008,"&lt;=31/12/"&amp;$G$3,Vendas!$C$8:$C$2008,"Entregue")+SUMIFS(Vendas!$Z$8:$Z$2008,Vendas!$W$8:$W$2008,$B9,Vendas!$E$8:$E$2008,"&gt;=01/12/"&amp;$G$3,Vendas!$E$8:$E$2008,"&lt;=31/12/"&amp;$G$3,Vendas!$C$8:$C$2008,"Entregue")+SUMIFS(Vendas!$AE$8:$AE$2008,Vendas!$AB$8:$AB$2008,$B9,Vendas!$E$8:$E$2008,"&gt;=01/12/"&amp;$G$3,Vendas!$E$8:$E$2008,"&lt;=31/12/"&amp;$G$3,Vendas!$C$8:$C$2008,"Entregue")+SUMIFS(Vendas!$AJ$8:$AJ$2008,Vendas!$AG$8:$AG$2008,$B9,Vendas!$E$8:$E$2008,"&gt;=01/12/"&amp;$G$3,Vendas!$E$8:$E$2008,"&lt;=31/12/"&amp;$G$3,Vendas!$C$8:$C$2008,"Entregue")+SUMIFS(Vendas!$AO$8:$AO$2008,Vendas!$AL$8:$AL$2008,$B9,Vendas!$E$8:$E$2008,"&gt;=01/12/"&amp;$G$3,Vendas!$E$8:$E$2008,"&lt;=31/12/"&amp;$G$3,Vendas!$C$8:$C$2008,"Entregue")+SUMIFS(Vendas!$AT$8:$AT$2008,Vendas!$AQ$8:$AQ$2008,$B9,Vendas!$E$8:$E$2008,"&gt;=01/12/"&amp;$G$3,Vendas!$E$8:$E$2008,"&lt;=31/12/"&amp;$G$3,Vendas!$C$8:$C$2008,"Entregue")</f>
        <v>0</v>
      </c>
      <c r="AA9" s="132">
        <f t="shared" si="0"/>
        <v>0</v>
      </c>
      <c r="AB9" s="132">
        <f t="shared" si="0"/>
        <v>0</v>
      </c>
      <c r="AC9" s="67"/>
    </row>
    <row r="10" spans="1:50" ht="14.4" x14ac:dyDescent="0.3">
      <c r="B10" s="262" t="str">
        <f>IF(Cadastros!D9="","",Cadastros!D9)</f>
        <v>10103 - Colchão Supremo 088 X 188 X 027 cm MVQ</v>
      </c>
      <c r="C10" s="161">
        <f>SUMIFS(Vendas!$K$8:$K$2008,Vendas!$H$8:$H$2008,$B10,Vendas!$E$8:$E$2008,"&gt;=01/01/"&amp;$G$3,Vendas!$E$8:$E$2008,"&lt;=31/01/"&amp;$G$3)+SUMIFS(Vendas!$P$8:$P$2008,Vendas!$M$8:$M$2008,$B10,Vendas!$E$8:$E$2008,"&gt;=01/01/"&amp;$G$3,Vendas!$E$8:$E$2008,"&lt;=31/01/"&amp;$G$3)+SUMIFS(Vendas!$U$8:$U$2008,Vendas!$R$8:$R$2008,$B10,Vendas!$E$8:$E$2008,"&gt;=01/01/"&amp;$G$3,Vendas!$E$8:$E$2008,"&lt;=31/01/"&amp;$G$3)+SUMIFS(Vendas!$Z$8:$Z$2008,Vendas!$W$8:$W$2008,$B10,Vendas!$E$8:$E$2008,"&gt;=01/01/"&amp;$G$3,Vendas!$E$8:$E$2008,"&lt;=31/01/"&amp;$G$3)+SUMIFS(Vendas!$AE$8:$AE$2008,Vendas!$AB$8:$AB$2008,$B10,Vendas!$E$8:$E$2008,"&gt;=01/01/"&amp;$G$3,Vendas!$E$8:$E$2008,"&lt;=31/01/"&amp;$G$3)+SUMIFS(Vendas!$AJ$8:$AJ$2008,Vendas!$AG$8:$AG$2008,$B10,Vendas!$E$8:$E$2008,"&gt;=01/01/"&amp;$G$3,Vendas!$E$8:$E$2008,"&lt;=31/01/"&amp;$G$3)+SUMIFS(Vendas!$AO$8:$AO$2008,Vendas!$AL$8:$AL$2008,$B10,Vendas!$E$8:$E$2008,"&gt;=01/01/"&amp;$G$3,Vendas!$E$8:$E$2008,"&lt;=31/01/"&amp;$G$3)+SUMIFS(Vendas!$AT$8:$AT$2008,Vendas!$AQ$8:$AQ$2008,$B10,Vendas!$E$8:$E$2008,"&gt;=01/01/"&amp;$G$3,Vendas!$E$8:$E$2008,"&lt;=31/01/"&amp;$G$3)</f>
        <v>0</v>
      </c>
      <c r="D10" s="162">
        <f>SUMIFS(Vendas!$K$8:$K$2008,Vendas!$H$8:$H$2008,$B10,Vendas!$E$8:$E$2008,"&gt;=01/01/"&amp;$G$3,Vendas!$E$8:$E$2008,"&lt;=31/01/"&amp;$G$3,Vendas!$C$8:$C$2008,"Entregue")+SUMIFS(Vendas!$P$8:$P$2008,Vendas!$M$8:$M$2008,$B10,Vendas!$E$8:$E$2008,"&gt;=01/01/"&amp;$G$3,Vendas!$E$8:$E$2008,"&lt;=31/01/"&amp;$G$3,Vendas!$C$8:$C$2008,"Entregue")+SUMIFS(Vendas!$U$8:$U$2008,Vendas!$R$8:$R$2008,$B10,Vendas!$E$8:$E$2008,"&gt;=01/01/"&amp;$G$3,Vendas!$E$8:$E$2008,"&lt;=31/01/"&amp;$G$3,Vendas!$C$8:$C$2008,"Entregue")+SUMIFS(Vendas!$Z$8:$Z$2008,Vendas!$W$8:$W$2008,$B10,Vendas!$E$8:$E$2008,"&gt;=01/01/"&amp;$G$3,Vendas!$E$8:$E$2008,"&lt;=31/01/"&amp;$G$3,Vendas!$C$8:$C$2008,"Entregue")+SUMIFS(Vendas!$AE$8:$AE$2008,Vendas!$AB$8:$AB$2008,$B10,Vendas!$E$8:$E$2008,"&gt;=01/01/"&amp;$G$3,Vendas!$E$8:$E$2008,"&lt;=31/01/"&amp;$G$3,Vendas!$C$8:$C$2008,"Entregue")+SUMIFS(Vendas!$AJ$8:$AJ$2008,Vendas!$AG$8:$AG$2008,$B10,Vendas!$E$8:$E$2008,"&gt;=01/01/"&amp;$G$3,Vendas!$E$8:$E$2008,"&lt;=31/01/"&amp;$G$3,Vendas!$C$8:$C$2008,"Entregue")+SUMIFS(Vendas!$AO$8:$AO$2008,Vendas!$AL$8:$AL$2008,$B10,Vendas!$E$8:$E$2008,"&gt;=01/01/"&amp;$G$3,Vendas!$E$8:$E$2008,"&lt;=31/01/"&amp;$G$3,Vendas!$C$8:$C$2008,"Entregue")+SUMIFS(Vendas!$AT$8:$AT$2008,Vendas!$AQ$8:$AQ$2008,$B10,Vendas!$E$8:$E$2008,"&gt;=01/01/"&amp;$G$3,Vendas!$E$8:$E$2008,"&lt;=31/01/"&amp;$G$3,Vendas!$C$8:$C$2008,"Entregue")</f>
        <v>0</v>
      </c>
      <c r="E10" s="162">
        <f>SUMIFS(Vendas!$K$8:$K$2008,Vendas!$H$8:$H$2008,$B10,Vendas!$E$8:$E$2008,"&gt;=01/02/"&amp;$G$3,Vendas!$E$8:$E$2008,"&lt;=28/02/"&amp;$G$3)+SUMIFS(Vendas!$P$8:$P$2008,Vendas!$M$8:$M$2008,$B10,Vendas!$E$8:$E$2008,"&gt;=01/02/"&amp;$G$3,Vendas!$E$8:$E$2008,"&lt;=28/02/"&amp;$G$3)+SUMIFS(Vendas!$U$8:$U$2008,Vendas!$R$8:$R$2008,$B10,Vendas!$E$8:$E$2008,"&gt;=01/02/"&amp;$G$3,Vendas!$E$8:$E$2008,"&lt;=28/02/"&amp;$G$3)+SUMIFS(Vendas!$Z$8:$Z$2008,Vendas!$W$8:$W$2008,$B10,Vendas!$E$8:$E$2008,"&gt;=01/02/"&amp;$G$3,Vendas!$E$8:$E$2008,"&lt;=28/02/"&amp;$G$3)+SUMIFS(Vendas!$AE$8:$AE$2008,Vendas!$AB$8:$AB$2008,$B10,Vendas!$E$8:$E$2008,"&gt;=01/02/"&amp;$G$3,Vendas!$E$8:$E$2008,"&lt;=28/02/"&amp;$G$3)+SUMIFS(Vendas!$AJ$8:$AJ$2008,Vendas!$AG$8:$AG$2008,$B10,Vendas!$E$8:$E$2008,"&gt;=01/02/"&amp;$G$3,Vendas!$E$8:$E$2008,"&lt;=28/02/"&amp;$G$3)+SUMIFS(Vendas!$AO$8:$AO$2008,Vendas!$AL$8:$AL$2008,$B10,Vendas!$E$8:$E$2008,"&gt;=01/02/"&amp;$G$3,Vendas!$E$8:$E$2008,"&lt;=28/02/"&amp;$G$3)+SUMIFS(Vendas!$AT$8:$AT$2008,Vendas!$AQ$8:$AQ$2008,$B10,Vendas!$E$8:$E$2008,"&gt;=01/02/"&amp;$G$3,Vendas!$E$8:$E$2008,"&lt;=28/02/"&amp;$G$3)</f>
        <v>0</v>
      </c>
      <c r="F10" s="162">
        <f>SUMIFS(Vendas!$K$8:$K$2008,Vendas!$H$8:$H$2008,$B10,Vendas!$E$8:$E$2008,"&gt;=01/02/"&amp;$G$3,Vendas!$E$8:$E$2008,"&lt;=28/02/"&amp;$G$3,Vendas!$C$8:$C$2008,"Entregue")+SUMIFS(Vendas!$P$8:$P$2008,Vendas!$M$8:$M$2008,$B10,Vendas!$E$8:$E$2008,"&gt;=01/02/"&amp;$G$3,Vendas!$E$8:$E$2008,"&lt;=28/02/"&amp;$G$3,Vendas!$C$8:$C$2008,"Entregue")+SUMIFS(Vendas!$U$8:$U$2008,Vendas!$R$8:$R$2008,$B10,Vendas!$E$8:$E$2008,"&gt;=01/02/"&amp;$G$3,Vendas!$E$8:$E$2008,"&lt;=28/02/"&amp;$G$3,Vendas!$C$8:$C$2008,"Entregue")+SUMIFS(Vendas!$Z$8:$Z$2008,Vendas!$W$8:$W$2008,$B10,Vendas!$E$8:$E$2008,"&gt;=01/02/"&amp;$G$3,Vendas!$E$8:$E$2008,"&lt;=28/02/"&amp;$G$3,Vendas!$C$8:$C$2008,"Entregue")+SUMIFS(Vendas!$AE$8:$AE$2008,Vendas!$AB$8:$AB$2008,$B10,Vendas!$E$8:$E$2008,"&gt;=01/02/"&amp;$G$3,Vendas!$E$8:$E$2008,"&lt;=28/02/"&amp;$G$3,Vendas!$C$8:$C$2008,"Entregue")+SUMIFS(Vendas!$AJ$8:$AJ$2008,Vendas!$AG$8:$AG$2008,$B10,Vendas!$E$8:$E$2008,"&gt;=01/02/"&amp;$G$3,Vendas!$E$8:$E$2008,"&lt;=28/02/"&amp;$G$3,Vendas!$C$8:$C$2008,"Entregue")+SUMIFS(Vendas!$AO$8:$AO$2008,Vendas!$AL$8:$AL$2008,$B10,Vendas!$E$8:$E$2008,"&gt;=01/02/"&amp;$G$3,Vendas!$E$8:$E$2008,"&lt;=28/02/"&amp;$G$3,Vendas!$C$8:$C$2008,"Entregue")+SUMIFS(Vendas!$AT$8:$AT$2008,Vendas!$AQ$8:$AQ$2008,$B10,Vendas!$E$8:$E$2008,"&gt;=01/02/"&amp;$G$3,Vendas!$E$8:$E$2008,"&lt;=28/02/"&amp;$G$3,Vendas!$C$8:$C$2008,"Entregue")</f>
        <v>0</v>
      </c>
      <c r="G10" s="162">
        <f>SUMIFS(Vendas!$K$8:$K$2008,Vendas!$H$8:$H$2008,$B10,Vendas!$E$8:$E$2008,"&gt;=01/03/"&amp;$G$3,Vendas!$E$8:$E$2008,"&lt;=31/03/"&amp;$G$3)+SUMIFS(Vendas!$P$8:$P$2008,Vendas!$M$8:$M$2008,$B10,Vendas!$E$8:$E$2008,"&gt;=01/03/"&amp;$G$3,Vendas!$E$8:$E$2008,"&lt;=31/03/"&amp;$G$3)+SUMIFS(Vendas!$U$8:$U$2008,Vendas!$R$8:$R$2008,$B10,Vendas!$E$8:$E$2008,"&gt;=01/03/"&amp;$G$3,Vendas!$E$8:$E$2008,"&lt;=31/03/"&amp;$G$3)+SUMIFS(Vendas!$Z$8:$Z$2008,Vendas!$W$8:$W$2008,$B10,Vendas!$E$8:$E$2008,"&gt;=01/03/"&amp;$G$3,Vendas!$E$8:$E$2008,"&lt;=31/03/"&amp;$G$3)+SUMIFS(Vendas!$AE$8:$AE$2008,Vendas!$AB$8:$AB$2008,$B10,Vendas!$E$8:$E$2008,"&gt;=01/03/"&amp;$G$3,Vendas!$E$8:$E$2008,"&lt;=31/03/"&amp;$G$3)+SUMIFS(Vendas!$AJ$8:$AJ$2008,Vendas!$AG$8:$AG$2008,$B10,Vendas!$E$8:$E$2008,"&gt;=01/03/"&amp;$G$3,Vendas!$E$8:$E$2008,"&lt;=31/03/"&amp;$G$3)+SUMIFS(Vendas!$AO$8:$AO$2008,Vendas!$AL$8:$AL$2008,$B10,Vendas!$E$8:$E$2008,"&gt;=01/03/"&amp;$G$3,Vendas!$E$8:$E$2008,"&lt;=31/03/"&amp;$G$3)+SUMIFS(Vendas!$AT$8:$AT$2008,Vendas!$AQ$8:$AQ$2008,$B10,Vendas!$E$8:$E$2008,"&gt;=01/03/"&amp;$G$3,Vendas!$E$8:$E$2008,"&lt;=31/03/"&amp;$G$3)</f>
        <v>0</v>
      </c>
      <c r="H10" s="162">
        <f>SUMIFS(Vendas!$K$8:$K$2008,Vendas!$H$8:$H$2008,$B10,Vendas!$E$8:$E$2008,"&gt;=01/03/"&amp;$G$3,Vendas!$E$8:$E$2008,"&lt;=31/03/"&amp;$G$3,Vendas!$C$8:$C$2008,"Entregue")+SUMIFS(Vendas!$P$8:$P$2008,Vendas!$M$8:$M$2008,$B10,Vendas!$E$8:$E$2008,"&gt;=01/03/"&amp;$G$3,Vendas!$E$8:$E$2008,"&lt;=31/03/"&amp;$G$3,Vendas!$C$8:$C$2008,"Entregue")+SUMIFS(Vendas!$U$8:$U$2008,Vendas!$R$8:$R$2008,$B10,Vendas!$E$8:$E$2008,"&gt;=01/03/"&amp;$G$3,Vendas!$E$8:$E$2008,"&lt;=31/03/"&amp;$G$3,Vendas!$C$8:$C$2008,"Entregue")+SUMIFS(Vendas!$Z$8:$Z$2008,Vendas!$W$8:$W$2008,$B10,Vendas!$E$8:$E$2008,"&gt;=01/03/"&amp;$G$3,Vendas!$E$8:$E$2008,"&lt;=31/03/"&amp;$G$3,Vendas!$C$8:$C$2008,"Entregue")+SUMIFS(Vendas!$AE$8:$AE$2008,Vendas!$AB$8:$AB$2008,$B10,Vendas!$E$8:$E$2008,"&gt;=01/03/"&amp;$G$3,Vendas!$E$8:$E$2008,"&lt;=31/03/"&amp;$G$3,Vendas!$C$8:$C$2008,"Entregue")+SUMIFS(Vendas!$AJ$8:$AJ$2008,Vendas!$AG$8:$AG$2008,$B10,Vendas!$E$8:$E$2008,"&gt;=01/03/"&amp;$G$3,Vendas!$E$8:$E$2008,"&lt;=31/03/"&amp;$G$3,Vendas!$C$8:$C$2008,"Entregue")+SUMIFS(Vendas!$AO$8:$AO$2008,Vendas!$AL$8:$AL$2008,$B10,Vendas!$E$8:$E$2008,"&gt;=01/03/"&amp;$G$3,Vendas!$E$8:$E$2008,"&lt;=31/03/"&amp;$G$3,Vendas!$C$8:$C$2008,"Entregue")+SUMIFS(Vendas!$AT$8:$AT$2008,Vendas!$AQ$8:$AQ$2008,$B10,Vendas!$E$8:$E$2008,"&gt;=01/03/"&amp;$G$3,Vendas!$E$8:$E$2008,"&lt;=31/03/"&amp;$G$3,Vendas!$C$8:$C$2008,"Entregue")</f>
        <v>0</v>
      </c>
      <c r="I10" s="162">
        <f>SUMIFS(Vendas!$K$8:$K$2008,Vendas!$H$8:$H$2008,$B10,Vendas!$E$8:$E$2008,"&gt;=01/04/"&amp;$G$3,Vendas!$E$8:$E$2008,"&lt;=30/04/"&amp;$G$3)+SUMIFS(Vendas!$P$8:$P$2008,Vendas!$M$8:$M$2008,$B10,Vendas!$E$8:$E$2008,"&gt;=01/04/"&amp;$G$3,Vendas!$E$8:$E$2008,"&lt;=30/04/"&amp;$G$3)+SUMIFS(Vendas!$U$8:$U$2008,Vendas!$R$8:$R$2008,$B10,Vendas!$E$8:$E$2008,"&gt;=01/04/"&amp;$G$3,Vendas!$E$8:$E$2008,"&lt;=30/04/"&amp;$G$3)+SUMIFS(Vendas!$Z$8:$Z$2008,Vendas!$W$8:$W$2008,$B10,Vendas!$E$8:$E$2008,"&gt;=01/04/"&amp;$G$3,Vendas!$E$8:$E$2008,"&lt;=30/04/"&amp;$G$3)+SUMIFS(Vendas!$AE$8:$AE$2008,Vendas!$AB$8:$AB$2008,$B10,Vendas!$E$8:$E$2008,"&gt;=01/04/"&amp;$G$3,Vendas!$E$8:$E$2008,"&lt;=30/04/"&amp;$G$3)+SUMIFS(Vendas!$AJ$8:$AJ$2008,Vendas!$AG$8:$AG$2008,$B10,Vendas!$E$8:$E$2008,"&gt;=01/04/"&amp;$G$3,Vendas!$E$8:$E$2008,"&lt;=30/04/"&amp;$G$3)+SUMIFS(Vendas!$AO$8:$AO$2008,Vendas!$AL$8:$AL$2008,$B10,Vendas!$E$8:$E$2008,"&gt;=01/04/"&amp;$G$3,Vendas!$E$8:$E$2008,"&lt;=30/04/"&amp;$G$3)+SUMIFS(Vendas!$AT$8:$AT$2008,Vendas!$AQ$8:$AQ$2008,$B10,Vendas!$E$8:$E$2008,"&gt;=01/04/"&amp;$G$3,Vendas!$E$8:$E$2008,"&lt;=30/04/"&amp;$G$3)</f>
        <v>0</v>
      </c>
      <c r="J10" s="162">
        <f>SUMIFS(Vendas!$K$8:$K$2008,Vendas!$H$8:$H$2008,$B10,Vendas!$E$8:$E$2008,"&gt;=01/04/"&amp;$G$3,Vendas!$E$8:$E$2008,"&lt;=30/04/"&amp;$G$3,Vendas!$C$8:$C$2008,"Entregue")+SUMIFS(Vendas!$P$8:$P$2008,Vendas!$M$8:$M$2008,$B10,Vendas!$E$8:$E$2008,"&gt;=01/04/"&amp;$G$3,Vendas!$E$8:$E$2008,"&lt;=30/04/"&amp;$G$3,Vendas!$C$8:$C$2008,"Entregue")+SUMIFS(Vendas!$U$8:$U$2008,Vendas!$R$8:$R$2008,$B10,Vendas!$E$8:$E$2008,"&gt;=01/04/"&amp;$G$3,Vendas!$E$8:$E$2008,"&lt;=30/04/"&amp;$G$3,Vendas!$C$8:$C$2008,"Entregue")+SUMIFS(Vendas!$Z$8:$Z$2008,Vendas!$W$8:$W$2008,$B10,Vendas!$E$8:$E$2008,"&gt;=01/04/"&amp;$G$3,Vendas!$E$8:$E$2008,"&lt;=30/04/"&amp;$G$3,Vendas!$C$8:$C$2008,"Entregue")+SUMIFS(Vendas!$AE$8:$AE$2008,Vendas!$AB$8:$AB$2008,$B10,Vendas!$E$8:$E$2008,"&gt;=01/04/"&amp;$G$3,Vendas!$E$8:$E$2008,"&lt;=30/04/"&amp;$G$3,Vendas!$C$8:$C$2008,"Entregue")+SUMIFS(Vendas!$AJ$8:$AJ$2008,Vendas!$AG$8:$AG$2008,$B10,Vendas!$E$8:$E$2008,"&gt;=01/04/"&amp;$G$3,Vendas!$E$8:$E$2008,"&lt;=30/04/"&amp;$G$3,Vendas!$C$8:$C$2008,"Entregue")+SUMIFS(Vendas!$AO$8:$AO$2008,Vendas!$AL$8:$AL$2008,$B10,Vendas!$E$8:$E$2008,"&gt;=01/04/"&amp;$G$3,Vendas!$E$8:$E$2008,"&lt;=30/04/"&amp;$G$3,Vendas!$C$8:$C$2008,"Entregue")+SUMIFS(Vendas!$AT$8:$AT$2008,Vendas!$AQ$8:$AQ$2008,$B10,Vendas!$E$8:$E$2008,"&gt;=01/04/"&amp;$G$3,Vendas!$E$8:$E$2008,"&lt;=30/04/"&amp;$G$3,Vendas!$C$8:$C$2008,"Entregue")</f>
        <v>0</v>
      </c>
      <c r="K10" s="162">
        <f>SUMIFS(Vendas!$K$8:$K$2008,Vendas!$H$8:$H$2008,$B10,Vendas!$E$8:$E$2008,"&gt;=01/05/"&amp;$G$3,Vendas!$E$8:$E$2008,"&lt;=31/05/"&amp;$G$3)+SUMIFS(Vendas!$P$8:$P$2008,Vendas!$M$8:$M$2008,$B10,Vendas!$E$8:$E$2008,"&gt;=01/05/"&amp;$G$3,Vendas!$E$8:$E$2008,"&lt;=31/05/"&amp;$G$3)+SUMIFS(Vendas!$U$8:$U$2008,Vendas!$R$8:$R$2008,$B10,Vendas!$E$8:$E$2008,"&gt;=01/05/"&amp;$G$3,Vendas!$E$8:$E$2008,"&lt;=31/05/"&amp;$G$3)+SUMIFS(Vendas!$Z$8:$Z$2008,Vendas!$W$8:$W$2008,$B10,Vendas!$E$8:$E$2008,"&gt;=01/05/"&amp;$G$3,Vendas!$E$8:$E$2008,"&lt;=31/05/"&amp;$G$3)+SUMIFS(Vendas!$AE$8:$AE$2008,Vendas!$AB$8:$AB$2008,$B10,Vendas!$E$8:$E$2008,"&gt;=01/05/"&amp;$G$3,Vendas!$E$8:$E$2008,"&lt;=31/05/"&amp;$G$3)+SUMIFS(Vendas!$AJ$8:$AJ$2008,Vendas!$AG$8:$AG$2008,$B10,Vendas!$E$8:$E$2008,"&gt;=01/05/"&amp;$G$3,Vendas!$E$8:$E$2008,"&lt;=31/05/"&amp;$G$3)+SUMIFS(Vendas!$AO$8:$AO$2008,Vendas!$AL$8:$AL$2008,$B10,Vendas!$E$8:$E$2008,"&gt;=01/05/"&amp;$G$3,Vendas!$E$8:$E$2008,"&lt;=31/05/"&amp;$G$3)+SUMIFS(Vendas!$AT$8:$AT$2008,Vendas!$AQ$8:$AQ$2008,$B10,Vendas!$E$8:$E$2008,"&gt;=01/05/"&amp;$G$3,Vendas!$E$8:$E$2008,"&lt;=31/05/"&amp;$G$3)</f>
        <v>0</v>
      </c>
      <c r="L10" s="162">
        <f>SUMIFS(Vendas!$K$8:$K$2008,Vendas!$H$8:$H$2008,$B10,Vendas!$E$8:$E$2008,"&gt;=01/05/"&amp;$G$3,Vendas!$E$8:$E$2008,"&lt;=31/05/"&amp;$G$3,Vendas!$C$8:$C$2008,"Entregue")+SUMIFS(Vendas!$P$8:$P$2008,Vendas!$M$8:$M$2008,$B10,Vendas!$E$8:$E$2008,"&gt;=01/05/"&amp;$G$3,Vendas!$E$8:$E$2008,"&lt;=31/05/"&amp;$G$3,Vendas!$C$8:$C$2008,"Entregue")+SUMIFS(Vendas!$U$8:$U$2008,Vendas!$R$8:$R$2008,$B10,Vendas!$E$8:$E$2008,"&gt;=01/05/"&amp;$G$3,Vendas!$E$8:$E$2008,"&lt;=31/05/"&amp;$G$3,Vendas!$C$8:$C$2008,"Entregue")+SUMIFS(Vendas!$Z$8:$Z$2008,Vendas!$W$8:$W$2008,$B10,Vendas!$E$8:$E$2008,"&gt;=01/05/"&amp;$G$3,Vendas!$E$8:$E$2008,"&lt;=31/05/"&amp;$G$3,Vendas!$C$8:$C$2008,"Entregue")+SUMIFS(Vendas!$AE$8:$AE$2008,Vendas!$AB$8:$AB$2008,$B10,Vendas!$E$8:$E$2008,"&gt;=01/05/"&amp;$G$3,Vendas!$E$8:$E$2008,"&lt;=31/05/"&amp;$G$3,Vendas!$C$8:$C$2008,"Entregue")+SUMIFS(Vendas!$AJ$8:$AJ$2008,Vendas!$AG$8:$AG$2008,$B10,Vendas!$E$8:$E$2008,"&gt;=01/05/"&amp;$G$3,Vendas!$E$8:$E$2008,"&lt;=31/05/"&amp;$G$3,Vendas!$C$8:$C$2008,"Entregue")+SUMIFS(Vendas!$AO$8:$AO$2008,Vendas!$AL$8:$AL$2008,$B10,Vendas!$E$8:$E$2008,"&gt;=01/05/"&amp;$G$3,Vendas!$E$8:$E$2008,"&lt;=31/05/"&amp;$G$3,Vendas!$C$8:$C$2008,"Entregue")+SUMIFS(Vendas!$AT$8:$AT$2008,Vendas!$AQ$8:$AQ$2008,$B10,Vendas!$E$8:$E$2008,"&gt;=01/05/"&amp;$G$3,Vendas!$E$8:$E$2008,"&lt;=31/05/"&amp;$G$3,Vendas!$C$8:$C$2008,"Entregue")</f>
        <v>0</v>
      </c>
      <c r="M10" s="162">
        <f>SUMIFS(Vendas!$K$8:$K$2008,Vendas!$H$8:$H$2008,$B10,Vendas!$E$8:$E$2008,"&gt;=01/06/"&amp;$G$3,Vendas!$E$8:$E$2008,"&lt;=30/06/"&amp;$G$3)+SUMIFS(Vendas!$P$8:$P$2008,Vendas!$M$8:$M$2008,$B10,Vendas!$E$8:$E$2008,"&gt;=01/06/"&amp;$G$3,Vendas!$E$8:$E$2008,"&lt;=30/06/"&amp;$G$3)+SUMIFS(Vendas!$U$8:$U$2008,Vendas!$R$8:$R$2008,$B10,Vendas!$E$8:$E$2008,"&gt;=01/06/"&amp;$G$3,Vendas!$E$8:$E$2008,"&lt;=30/06/"&amp;$G$3)+SUMIFS(Vendas!$Z$8:$Z$2008,Vendas!$W$8:$W$2008,$B10,Vendas!$E$8:$E$2008,"&gt;=01/06/"&amp;$G$3,Vendas!$E$8:$E$2008,"&lt;=30/06/"&amp;$G$3)+SUMIFS(Vendas!$AE$8:$AE$2008,Vendas!$AB$8:$AB$2008,$B10,Vendas!$E$8:$E$2008,"&gt;=01/06/"&amp;$G$3,Vendas!$E$8:$E$2008,"&lt;=30/06/"&amp;$G$3)+SUMIFS(Vendas!$AJ$8:$AJ$2008,Vendas!$AG$8:$AG$2008,$B10,Vendas!$E$8:$E$2008,"&gt;=01/06/"&amp;$G$3,Vendas!$E$8:$E$2008,"&lt;=30/06/"&amp;$G$3)+SUMIFS(Vendas!$AO$8:$AO$2008,Vendas!$AL$8:$AL$2008,$B10,Vendas!$E$8:$E$2008,"&gt;=01/06/"&amp;$G$3,Vendas!$E$8:$E$2008,"&lt;=30/06/"&amp;$G$3)+SUMIFS(Vendas!$AT$8:$AT$2008,Vendas!$AQ$8:$AQ$2008,$B10,Vendas!$E$8:$E$2008,"&gt;=01/06/"&amp;$G$3,Vendas!$E$8:$E$2008,"&lt;=30/06/"&amp;$G$3)</f>
        <v>0</v>
      </c>
      <c r="N10" s="162">
        <f>SUMIFS(Vendas!$K$8:$K$2008,Vendas!$H$8:$H$2008,$B10,Vendas!$E$8:$E$2008,"&gt;=01/06/"&amp;$G$3,Vendas!$E$8:$E$2008,"&lt;=30/06/"&amp;$G$3,Vendas!$C$8:$C$2008,"Entregue")+SUMIFS(Vendas!$P$8:$P$2008,Vendas!$M$8:$M$2008,$B10,Vendas!$E$8:$E$2008,"&gt;=01/06/"&amp;$G$3,Vendas!$E$8:$E$2008,"&lt;=30/06/"&amp;$G$3,Vendas!$C$8:$C$2008,"Entregue")+SUMIFS(Vendas!$U$8:$U$2008,Vendas!$R$8:$R$2008,$B10,Vendas!$E$8:$E$2008,"&gt;=01/06/"&amp;$G$3,Vendas!$E$8:$E$2008,"&lt;=30/06/"&amp;$G$3,Vendas!$C$8:$C$2008,"Entregue")+SUMIFS(Vendas!$Z$8:$Z$2008,Vendas!$W$8:$W$2008,$B10,Vendas!$E$8:$E$2008,"&gt;=01/06/"&amp;$G$3,Vendas!$E$8:$E$2008,"&lt;=30/06/"&amp;$G$3,Vendas!$C$8:$C$2008,"Entregue")+SUMIFS(Vendas!$AE$8:$AE$2008,Vendas!$AB$8:$AB$2008,$B10,Vendas!$E$8:$E$2008,"&gt;=01/06/"&amp;$G$3,Vendas!$E$8:$E$2008,"&lt;=30/06/"&amp;$G$3,Vendas!$C$8:$C$2008,"Entregue")+SUMIFS(Vendas!$AJ$8:$AJ$2008,Vendas!$AG$8:$AG$2008,$B10,Vendas!$E$8:$E$2008,"&gt;=01/06/"&amp;$G$3,Vendas!$E$8:$E$2008,"&lt;=30/06/"&amp;$G$3,Vendas!$C$8:$C$2008,"Entregue")+SUMIFS(Vendas!$AO$8:$AO$2008,Vendas!$AL$8:$AL$2008,$B10,Vendas!$E$8:$E$2008,"&gt;=01/06/"&amp;$G$3,Vendas!$E$8:$E$2008,"&lt;=30/06/"&amp;$G$3,Vendas!$C$8:$C$2008,"Entregue")+SUMIFS(Vendas!$AT$8:$AT$2008,Vendas!$AQ$8:$AQ$2008,$B10,Vendas!$E$8:$E$2008,"&gt;=01/06/"&amp;$G$3,Vendas!$E$8:$E$2008,"&lt;=30/06/"&amp;$G$3,Vendas!$C$8:$C$2008,"Entregue")</f>
        <v>0</v>
      </c>
      <c r="O10" s="162">
        <f>SUMIFS(Vendas!$K$8:$K$2008,Vendas!$H$8:$H$2008,$B10,Vendas!$E$8:$E$2008,"&gt;=01/07/"&amp;$G$3,Vendas!$E$8:$E$2008,"&lt;=31/07/"&amp;$G$3)+SUMIFS(Vendas!$P$8:$P$2008,Vendas!$M$8:$M$2008,$B10,Vendas!$E$8:$E$2008,"&gt;=01/07/"&amp;$G$3,Vendas!$E$8:$E$2008,"&lt;=31/07/"&amp;$G$3)+SUMIFS(Vendas!$U$8:$U$2008,Vendas!$R$8:$R$2008,$B10,Vendas!$E$8:$E$2008,"&gt;=01/07/"&amp;$G$3,Vendas!$E$8:$E$2008,"&lt;=31/07/"&amp;$G$3)+SUMIFS(Vendas!$Z$8:$Z$2008,Vendas!$W$8:$W$2008,$B10,Vendas!$E$8:$E$2008,"&gt;=01/07/"&amp;$G$3,Vendas!$E$8:$E$2008,"&lt;=31/07/"&amp;$G$3)+SUMIFS(Vendas!$AE$8:$AE$2008,Vendas!$AB$8:$AB$2008,$B10,Vendas!$E$8:$E$2008,"&gt;=01/07/"&amp;$G$3,Vendas!$E$8:$E$2008,"&lt;=31/07/"&amp;$G$3)+SUMIFS(Vendas!$AJ$8:$AJ$2008,Vendas!$AG$8:$AG$2008,$B10,Vendas!$E$8:$E$2008,"&gt;=01/07/"&amp;$G$3,Vendas!$E$8:$E$2008,"&lt;=31/07/"&amp;$G$3)+SUMIFS(Vendas!$AO$8:$AO$2008,Vendas!$AL$8:$AL$2008,$B10,Vendas!$E$8:$E$2008,"&gt;=01/07/"&amp;$G$3,Vendas!$E$8:$E$2008,"&lt;=31/07/"&amp;$G$3)+SUMIFS(Vendas!$AT$8:$AT$2008,Vendas!$AQ$8:$AQ$2008,$B10,Vendas!$E$8:$E$2008,"&gt;=01/07/"&amp;$G$3,Vendas!$E$8:$E$2008,"&lt;=31/07/"&amp;$G$3)</f>
        <v>0</v>
      </c>
      <c r="P10" s="162">
        <f>SUMIFS(Vendas!$K$8:$K$2008,Vendas!$H$8:$H$2008,$B10,Vendas!$E$8:$E$2008,"&gt;=01/07/"&amp;$G$3,Vendas!$E$8:$E$2008,"&lt;=31/07/"&amp;$G$3,Vendas!$C$8:$C$2008,"Entregue")+SUMIFS(Vendas!$P$8:$P$2008,Vendas!$M$8:$M$2008,$B10,Vendas!$E$8:$E$2008,"&gt;=01/07/"&amp;$G$3,Vendas!$E$8:$E$2008,"&lt;=31/07/"&amp;$G$3,Vendas!$C$8:$C$2008,"Entregue")+SUMIFS(Vendas!$U$8:$U$2008,Vendas!$R$8:$R$2008,$B10,Vendas!$E$8:$E$2008,"&gt;=01/07/"&amp;$G$3,Vendas!$E$8:$E$2008,"&lt;=31/07/"&amp;$G$3,Vendas!$C$8:$C$2008,"Entregue")+SUMIFS(Vendas!$Z$8:$Z$2008,Vendas!$W$8:$W$2008,$B10,Vendas!$E$8:$E$2008,"&gt;=01/07/"&amp;$G$3,Vendas!$E$8:$E$2008,"&lt;=31/07/"&amp;$G$3,Vendas!$C$8:$C$2008,"Entregue")+SUMIFS(Vendas!$AE$8:$AE$2008,Vendas!$AB$8:$AB$2008,$B10,Vendas!$E$8:$E$2008,"&gt;=01/07/"&amp;$G$3,Vendas!$E$8:$E$2008,"&lt;=31/07/"&amp;$G$3,Vendas!$C$8:$C$2008,"Entregue")+SUMIFS(Vendas!$AJ$8:$AJ$2008,Vendas!$AG$8:$AG$2008,$B10,Vendas!$E$8:$E$2008,"&gt;=01/07/"&amp;$G$3,Vendas!$E$8:$E$2008,"&lt;=31/07/"&amp;$G$3,Vendas!$C$8:$C$2008,"Entregue")+SUMIFS(Vendas!$AO$8:$AO$2008,Vendas!$AL$8:$AL$2008,$B10,Vendas!$E$8:$E$2008,"&gt;=01/07/"&amp;$G$3,Vendas!$E$8:$E$2008,"&lt;=31/07/"&amp;$G$3,Vendas!$C$8:$C$2008,"Entregue")+SUMIFS(Vendas!$AT$8:$AT$2008,Vendas!$AQ$8:$AQ$2008,$B10,Vendas!$E$8:$E$2008,"&gt;=01/07/"&amp;$G$3,Vendas!$E$8:$E$2008,"&lt;=31/07/"&amp;$G$3,Vendas!$C$8:$C$2008,"Entregue")</f>
        <v>0</v>
      </c>
      <c r="Q10" s="162">
        <f>SUMIFS(Vendas!$K$8:$K$2008,Vendas!$H$8:$H$2008,$B10,Vendas!$E$8:$E$2008,"&gt;=01/08/"&amp;$G$3,Vendas!$E$8:$E$2008,"&lt;=31/08/"&amp;$G$3)+SUMIFS(Vendas!$P$8:$P$2008,Vendas!$M$8:$M$2008,$B10,Vendas!$E$8:$E$2008,"&gt;=01/08/"&amp;$G$3,Vendas!$E$8:$E$2008,"&lt;=31/08/"&amp;$G$3)+SUMIFS(Vendas!$U$8:$U$2008,Vendas!$R$8:$R$2008,$B10,Vendas!$E$8:$E$2008,"&gt;=01/08/"&amp;$G$3,Vendas!$E$8:$E$2008,"&lt;=31/08/"&amp;$G$3)+SUMIFS(Vendas!$Z$8:$Z$2008,Vendas!$W$8:$W$2008,$B10,Vendas!$E$8:$E$2008,"&gt;=01/08/"&amp;$G$3,Vendas!$E$8:$E$2008,"&lt;=31/08/"&amp;$G$3)+SUMIFS(Vendas!$AE$8:$AE$2008,Vendas!$AB$8:$AB$2008,$B10,Vendas!$E$8:$E$2008,"&gt;=01/08/"&amp;$G$3,Vendas!$E$8:$E$2008,"&lt;=31/08/"&amp;$G$3)+SUMIFS(Vendas!$AJ$8:$AJ$2008,Vendas!$AG$8:$AG$2008,$B10,Vendas!$E$8:$E$2008,"&gt;=01/08/"&amp;$G$3,Vendas!$E$8:$E$2008,"&lt;=31/08/"&amp;$G$3)+SUMIFS(Vendas!$AO$8:$AO$2008,Vendas!$AL$8:$AL$2008,$B10,Vendas!$E$8:$E$2008,"&gt;=01/08/"&amp;$G$3,Vendas!$E$8:$E$2008,"&lt;=31/08/"&amp;$G$3)+SUMIFS(Vendas!$AT$8:$AT$2008,Vendas!$AQ$8:$AQ$2008,$B10,Vendas!$E$8:$E$2008,"&gt;=01/08/"&amp;$G$3,Vendas!$E$8:$E$2008,"&lt;=31/08/"&amp;$G$3)</f>
        <v>0</v>
      </c>
      <c r="R10" s="162">
        <f>SUMIFS(Vendas!$K$8:$K$2008,Vendas!$H$8:$H$2008,$B10,Vendas!$E$8:$E$2008,"&gt;=01/08/"&amp;$G$3,Vendas!$E$8:$E$2008,"&lt;=31/08/"&amp;$G$3,Vendas!$C$8:$C$2008,"Entregue")+SUMIFS(Vendas!$P$8:$P$2008,Vendas!$M$8:$M$2008,$B10,Vendas!$E$8:$E$2008,"&gt;=01/08/"&amp;$G$3,Vendas!$E$8:$E$2008,"&lt;=31/08/"&amp;$G$3,Vendas!$C$8:$C$2008,"Entregue")+SUMIFS(Vendas!$U$8:$U$2008,Vendas!$R$8:$R$2008,$B10,Vendas!$E$8:$E$2008,"&gt;=01/08/"&amp;$G$3,Vendas!$E$8:$E$2008,"&lt;=31/08/"&amp;$G$3,Vendas!$C$8:$C$2008,"Entregue")+SUMIFS(Vendas!$Z$8:$Z$2008,Vendas!$W$8:$W$2008,$B10,Vendas!$E$8:$E$2008,"&gt;=01/08/"&amp;$G$3,Vendas!$E$8:$E$2008,"&lt;=31/08/"&amp;$G$3,Vendas!$C$8:$C$2008,"Entregue")+SUMIFS(Vendas!$AE$8:$AE$2008,Vendas!$AB$8:$AB$2008,$B10,Vendas!$E$8:$E$2008,"&gt;=01/08/"&amp;$G$3,Vendas!$E$8:$E$2008,"&lt;=31/08/"&amp;$G$3,Vendas!$C$8:$C$2008,"Entregue")+SUMIFS(Vendas!$AJ$8:$AJ$2008,Vendas!$AG$8:$AG$2008,$B10,Vendas!$E$8:$E$2008,"&gt;=01/08/"&amp;$G$3,Vendas!$E$8:$E$2008,"&lt;=31/08/"&amp;$G$3,Vendas!$C$8:$C$2008,"Entregue")+SUMIFS(Vendas!$AO$8:$AO$2008,Vendas!$AL$8:$AL$2008,$B10,Vendas!$E$8:$E$2008,"&gt;=01/08/"&amp;$G$3,Vendas!$E$8:$E$2008,"&lt;=31/08/"&amp;$G$3,Vendas!$C$8:$C$2008,"Entregue")+SUMIFS(Vendas!$AT$8:$AT$2008,Vendas!$AQ$8:$AQ$2008,$B10,Vendas!$E$8:$E$2008,"&gt;=01/08/"&amp;$G$3,Vendas!$E$8:$E$2008,"&lt;=31/08/"&amp;$G$3,Vendas!$C$8:$C$2008,"Entregue")</f>
        <v>0</v>
      </c>
      <c r="S10" s="162">
        <f>SUMIFS(Vendas!$K$8:$K$2008,Vendas!$H$8:$H$2008,$B10,Vendas!$E$8:$E$2008,"&gt;=01/09/"&amp;$G$3,Vendas!$E$8:$E$2008,"&lt;=30/09/"&amp;$G$3)+SUMIFS(Vendas!$P$8:$P$2008,Vendas!$M$8:$M$2008,$B10,Vendas!$E$8:$E$2008,"&gt;=01/09/"&amp;$G$3,Vendas!$E$8:$E$2008,"&lt;=30/09/"&amp;$G$3)+SUMIFS(Vendas!$U$8:$U$2008,Vendas!$R$8:$R$2008,$B10,Vendas!$E$8:$E$2008,"&gt;=01/09/"&amp;$G$3,Vendas!$E$8:$E$2008,"&lt;=30/09/"&amp;$G$3)+SUMIFS(Vendas!$Z$8:$Z$2008,Vendas!$W$8:$W$2008,$B10,Vendas!$E$8:$E$2008,"&gt;=01/09/"&amp;$G$3,Vendas!$E$8:$E$2008,"&lt;=30/09/"&amp;$G$3)+SUMIFS(Vendas!$AE$8:$AE$2008,Vendas!$AB$8:$AB$2008,$B10,Vendas!$E$8:$E$2008,"&gt;=01/09/"&amp;$G$3,Vendas!$E$8:$E$2008,"&lt;=30/09/"&amp;$G$3)+SUMIFS(Vendas!$AJ$8:$AJ$2008,Vendas!$AG$8:$AG$2008,$B10,Vendas!$E$8:$E$2008,"&gt;=01/09/"&amp;$G$3,Vendas!$E$8:$E$2008,"&lt;=30/09/"&amp;$G$3)+SUMIFS(Vendas!$AO$8:$AO$2008,Vendas!$AL$8:$AL$2008,$B10,Vendas!$E$8:$E$2008,"&gt;=01/09/"&amp;$G$3,Vendas!$E$8:$E$2008,"&lt;=30/09/"&amp;$G$3)+SUMIFS(Vendas!$AT$8:$AT$2008,Vendas!$AQ$8:$AQ$2008,$B10,Vendas!$E$8:$E$2008,"&gt;=01/09/"&amp;$G$3,Vendas!$E$8:$E$2008,"&lt;=30/09/"&amp;$G$3)</f>
        <v>0</v>
      </c>
      <c r="T10" s="162">
        <f>SUMIFS(Vendas!$K$8:$K$2008,Vendas!$H$8:$H$2008,$B10,Vendas!$E$8:$E$2008,"&gt;=01/09/"&amp;$G$3,Vendas!$E$8:$E$2008,"&lt;=30/09/"&amp;$G$3,Vendas!$C$8:$C$2008,"Entregue")+SUMIFS(Vendas!$P$8:$P$2008,Vendas!$M$8:$M$2008,$B10,Vendas!$E$8:$E$2008,"&gt;=01/09/"&amp;$G$3,Vendas!$E$8:$E$2008,"&lt;=30/09/"&amp;$G$3,Vendas!$C$8:$C$2008,"Entregue")+SUMIFS(Vendas!$U$8:$U$2008,Vendas!$R$8:$R$2008,$B10,Vendas!$E$8:$E$2008,"&gt;=01/09/"&amp;$G$3,Vendas!$E$8:$E$2008,"&lt;=30/09/"&amp;$G$3,Vendas!$C$8:$C$2008,"Entregue")+SUMIFS(Vendas!$Z$8:$Z$2008,Vendas!$W$8:$W$2008,$B10,Vendas!$E$8:$E$2008,"&gt;=01/09/"&amp;$G$3,Vendas!$E$8:$E$2008,"&lt;=30/09/"&amp;$G$3,Vendas!$C$8:$C$2008,"Entregue")+SUMIFS(Vendas!$AE$8:$AE$2008,Vendas!$AB$8:$AB$2008,$B10,Vendas!$E$8:$E$2008,"&gt;=01/09/"&amp;$G$3,Vendas!$E$8:$E$2008,"&lt;=30/09/"&amp;$G$3,Vendas!$C$8:$C$2008,"Entregue")+SUMIFS(Vendas!$AJ$8:$AJ$2008,Vendas!$AG$8:$AG$2008,$B10,Vendas!$E$8:$E$2008,"&gt;=01/09/"&amp;$G$3,Vendas!$E$8:$E$2008,"&lt;=30/09/"&amp;$G$3,Vendas!$C$8:$C$2008,"Entregue")+SUMIFS(Vendas!$AO$8:$AO$2008,Vendas!$AL$8:$AL$2008,$B10,Vendas!$E$8:$E$2008,"&gt;=01/09/"&amp;$G$3,Vendas!$E$8:$E$2008,"&lt;=30/09/"&amp;$G$3,Vendas!$C$8:$C$2008,"Entregue")+SUMIFS(Vendas!$AT$8:$AT$2008,Vendas!$AQ$8:$AQ$2008,$B10,Vendas!$E$8:$E$2008,"&gt;=01/09/"&amp;$G$3,Vendas!$E$8:$E$2008,"&lt;=30/09/"&amp;$G$3,Vendas!$C$8:$C$2008,"Entregue")</f>
        <v>0</v>
      </c>
      <c r="U10" s="162">
        <f>SUMIFS(Vendas!$K$8:$K$2008,Vendas!$H$8:$H$2008,$B10,Vendas!$E$8:$E$2008,"&gt;=01/10/"&amp;$G$3,Vendas!$E$8:$E$2008,"&lt;=31/10/"&amp;$G$3)+SUMIFS(Vendas!$P$8:$P$2008,Vendas!$M$8:$M$2008,$B10,Vendas!$E$8:$E$2008,"&gt;=01/10/"&amp;$G$3,Vendas!$E$8:$E$2008,"&lt;=31/10/"&amp;$G$3)+SUMIFS(Vendas!$U$8:$U$2008,Vendas!$R$8:$R$2008,$B10,Vendas!$E$8:$E$2008,"&gt;=01/10/"&amp;$G$3,Vendas!$E$8:$E$2008,"&lt;=31/10/"&amp;$G$3)+SUMIFS(Vendas!$Z$8:$Z$2008,Vendas!$W$8:$W$2008,$B10,Vendas!$E$8:$E$2008,"&gt;=01/10/"&amp;$G$3,Vendas!$E$8:$E$2008,"&lt;=31/10/"&amp;$G$3)+SUMIFS(Vendas!$AE$8:$AE$2008,Vendas!$AB$8:$AB$2008,$B10,Vendas!$E$8:$E$2008,"&gt;=01/10/"&amp;$G$3,Vendas!$E$8:$E$2008,"&lt;=31/10/"&amp;$G$3)+SUMIFS(Vendas!$AJ$8:$AJ$2008,Vendas!$AG$8:$AG$2008,$B10,Vendas!$E$8:$E$2008,"&gt;=01/10/"&amp;$G$3,Vendas!$E$8:$E$2008,"&lt;=31/10/"&amp;$G$3)+SUMIFS(Vendas!$AO$8:$AO$2008,Vendas!$AL$8:$AL$2008,$B10,Vendas!$E$8:$E$2008,"&gt;=01/10/"&amp;$G$3,Vendas!$E$8:$E$2008,"&lt;=31/10/"&amp;$G$3)+SUMIFS(Vendas!$AT$8:$AT$2008,Vendas!$AQ$8:$AQ$2008,$B10,Vendas!$E$8:$E$2008,"&gt;=01/10/"&amp;$G$3,Vendas!$E$8:$E$2008,"&lt;=31/10/"&amp;$G$3)</f>
        <v>0</v>
      </c>
      <c r="V10" s="162">
        <f>SUMIFS(Vendas!$K$8:$K$2008,Vendas!$H$8:$H$2008,$B10,Vendas!$E$8:$E$2008,"&gt;=01/10/"&amp;$G$3,Vendas!$E$8:$E$2008,"&lt;=31/10/"&amp;$G$3,Vendas!$C$8:$C$2008,"Entregue")+SUMIFS(Vendas!$P$8:$P$2008,Vendas!$M$8:$M$2008,$B10,Vendas!$E$8:$E$2008,"&gt;=01/10/"&amp;$G$3,Vendas!$E$8:$E$2008,"&lt;=31/10/"&amp;$G$3,Vendas!$C$8:$C$2008,"Entregue")+SUMIFS(Vendas!$U$8:$U$2008,Vendas!$R$8:$R$2008,$B10,Vendas!$E$8:$E$2008,"&gt;=01/10/"&amp;$G$3,Vendas!$E$8:$E$2008,"&lt;=31/10/"&amp;$G$3,Vendas!$C$8:$C$2008,"Entregue")+SUMIFS(Vendas!$Z$8:$Z$2008,Vendas!$W$8:$W$2008,$B10,Vendas!$E$8:$E$2008,"&gt;=01/10/"&amp;$G$3,Vendas!$E$8:$E$2008,"&lt;=31/10/"&amp;$G$3,Vendas!$C$8:$C$2008,"Entregue")+SUMIFS(Vendas!$AE$8:$AE$2008,Vendas!$AB$8:$AB$2008,$B10,Vendas!$E$8:$E$2008,"&gt;=01/10/"&amp;$G$3,Vendas!$E$8:$E$2008,"&lt;=31/10/"&amp;$G$3,Vendas!$C$8:$C$2008,"Entregue")+SUMIFS(Vendas!$AJ$8:$AJ$2008,Vendas!$AG$8:$AG$2008,$B10,Vendas!$E$8:$E$2008,"&gt;=01/10/"&amp;$G$3,Vendas!$E$8:$E$2008,"&lt;=31/10/"&amp;$G$3,Vendas!$C$8:$C$2008,"Entregue")+SUMIFS(Vendas!$AO$8:$AO$2008,Vendas!$AL$8:$AL$2008,$B10,Vendas!$E$8:$E$2008,"&gt;=01/10/"&amp;$G$3,Vendas!$E$8:$E$2008,"&lt;=31/10/"&amp;$G$3,Vendas!$C$8:$C$2008,"Entregue")+SUMIFS(Vendas!$AT$8:$AT$2008,Vendas!$AQ$8:$AQ$2008,$B10,Vendas!$E$8:$E$2008,"&gt;=01/10/"&amp;$G$3,Vendas!$E$8:$E$2008,"&lt;=31/10/"&amp;$G$3,Vendas!$C$8:$C$2008,"Entregue")</f>
        <v>0</v>
      </c>
      <c r="W10" s="162">
        <f>SUMIFS(Vendas!$K$8:$K$2008,Vendas!$H$8:$H$2008,$B10,Vendas!$E$8:$E$2008,"&gt;=01/11/"&amp;$G$3,Vendas!$E$8:$E$2008,"&lt;=30/11/"&amp;$G$3)+SUMIFS(Vendas!$P$8:$P$2008,Vendas!$M$8:$M$2008,$B10,Vendas!$E$8:$E$2008,"&gt;=01/11/"&amp;$G$3,Vendas!$E$8:$E$2008,"&lt;=30/11/"&amp;$G$3)+SUMIFS(Vendas!$U$8:$U$2008,Vendas!$R$8:$R$2008,$B10,Vendas!$E$8:$E$2008,"&gt;=01/11/"&amp;$G$3,Vendas!$E$8:$E$2008,"&lt;=30/11/"&amp;$G$3)+SUMIFS(Vendas!$Z$8:$Z$2008,Vendas!$W$8:$W$2008,$B10,Vendas!$E$8:$E$2008,"&gt;=01/11/"&amp;$G$3,Vendas!$E$8:$E$2008,"&lt;=30/11/"&amp;$G$3)+SUMIFS(Vendas!$AE$8:$AE$2008,Vendas!$AB$8:$AB$2008,$B10,Vendas!$E$8:$E$2008,"&gt;=01/11/"&amp;$G$3,Vendas!$E$8:$E$2008,"&lt;=30/11/"&amp;$G$3)+SUMIFS(Vendas!$AJ$8:$AJ$2008,Vendas!$AG$8:$AG$2008,$B10,Vendas!$E$8:$E$2008,"&gt;=01/11/"&amp;$G$3,Vendas!$E$8:$E$2008,"&lt;=30/11/"&amp;$G$3)+SUMIFS(Vendas!$AO$8:$AO$2008,Vendas!$AL$8:$AL$2008,$B10,Vendas!$E$8:$E$2008,"&gt;=01/11/"&amp;$G$3,Vendas!$E$8:$E$2008,"&lt;=30/11/"&amp;$G$3)+SUMIFS(Vendas!$AT$8:$AT$2008,Vendas!$AQ$8:$AQ$2008,$B10,Vendas!$E$8:$E$2008,"&gt;=01/11/"&amp;$G$3,Vendas!$E$8:$E$2008,"&lt;=30/11/"&amp;$G$3)</f>
        <v>0</v>
      </c>
      <c r="X10" s="162">
        <f>SUMIFS(Vendas!$K$8:$K$2008,Vendas!$H$8:$H$2008,$B10,Vendas!$E$8:$E$2008,"&gt;=01/11/"&amp;$G$3,Vendas!$E$8:$E$2008,"&lt;=30/11/"&amp;$G$3,Vendas!$C$8:$C$2008,"Entregue")+SUMIFS(Vendas!$P$8:$P$2008,Vendas!$M$8:$M$2008,$B10,Vendas!$E$8:$E$2008,"&gt;=01/11/"&amp;$G$3,Vendas!$E$8:$E$2008,"&lt;=30/11/"&amp;$G$3,Vendas!$C$8:$C$2008,"Entregue")+SUMIFS(Vendas!$U$8:$U$2008,Vendas!$R$8:$R$2008,$B10,Vendas!$E$8:$E$2008,"&gt;=01/11/"&amp;$G$3,Vendas!$E$8:$E$2008,"&lt;=30/11/"&amp;$G$3,Vendas!$C$8:$C$2008,"Entregue")+SUMIFS(Vendas!$Z$8:$Z$2008,Vendas!$W$8:$W$2008,$B10,Vendas!$E$8:$E$2008,"&gt;=01/11/"&amp;$G$3,Vendas!$E$8:$E$2008,"&lt;=30/11/"&amp;$G$3,Vendas!$C$8:$C$2008,"Entregue")+SUMIFS(Vendas!$AE$8:$AE$2008,Vendas!$AB$8:$AB$2008,$B10,Vendas!$E$8:$E$2008,"&gt;=01/11/"&amp;$G$3,Vendas!$E$8:$E$2008,"&lt;=30/11/"&amp;$G$3,Vendas!$C$8:$C$2008,"Entregue")+SUMIFS(Vendas!$AJ$8:$AJ$2008,Vendas!$AG$8:$AG$2008,$B10,Vendas!$E$8:$E$2008,"&gt;=01/11/"&amp;$G$3,Vendas!$E$8:$E$2008,"&lt;=30/11/"&amp;$G$3,Vendas!$C$8:$C$2008,"Entregue")+SUMIFS(Vendas!$AO$8:$AO$2008,Vendas!$AL$8:$AL$2008,$B10,Vendas!$E$8:$E$2008,"&gt;=01/11/"&amp;$G$3,Vendas!$E$8:$E$2008,"&lt;=30/11/"&amp;$G$3,Vendas!$C$8:$C$2008,"Entregue")+SUMIFS(Vendas!$AT$8:$AT$2008,Vendas!$AQ$8:$AQ$2008,$B10,Vendas!$E$8:$E$2008,"&gt;=01/11/"&amp;$G$3,Vendas!$E$8:$E$2008,"&lt;=30/11/"&amp;$G$3,Vendas!$C$8:$C$2008,"Entregue")</f>
        <v>0</v>
      </c>
      <c r="Y10" s="162">
        <f>SUMIFS(Vendas!$K$8:$K$2008,Vendas!$H$8:$H$2008,$B10,Vendas!$E$8:$E$2008,"&gt;=01/12/"&amp;$G$3,Vendas!$E$8:$E$2008,"&lt;=31/12/"&amp;$G$3)+SUMIFS(Vendas!$P$8:$P$2008,Vendas!$M$8:$M$2008,$B10,Vendas!$E$8:$E$2008,"&gt;=01/12/"&amp;$G$3,Vendas!$E$8:$E$2008,"&lt;=31/12/"&amp;$G$3)+SUMIFS(Vendas!$U$8:$U$2008,Vendas!$R$8:$R$2008,$B10,Vendas!$E$8:$E$2008,"&gt;=01/12/"&amp;$G$3,Vendas!$E$8:$E$2008,"&lt;=31/12/"&amp;$G$3)+SUMIFS(Vendas!$Z$8:$Z$2008,Vendas!$W$8:$W$2008,$B10,Vendas!$E$8:$E$2008,"&gt;=01/12/"&amp;$G$3,Vendas!$E$8:$E$2008,"&lt;=31/12/"&amp;$G$3)+SUMIFS(Vendas!$AE$8:$AE$2008,Vendas!$AB$8:$AB$2008,$B10,Vendas!$E$8:$E$2008,"&gt;=01/12/"&amp;$G$3,Vendas!$E$8:$E$2008,"&lt;=31/12/"&amp;$G$3)+SUMIFS(Vendas!$AJ$8:$AJ$2008,Vendas!$AG$8:$AG$2008,$B10,Vendas!$E$8:$E$2008,"&gt;=01/12/"&amp;$G$3,Vendas!$E$8:$E$2008,"&lt;=31/12/"&amp;$G$3)+SUMIFS(Vendas!$AO$8:$AO$2008,Vendas!$AL$8:$AL$2008,$B10,Vendas!$E$8:$E$2008,"&gt;=01/12/"&amp;$G$3,Vendas!$E$8:$E$2008,"&lt;=31/12/"&amp;$G$3)+SUMIFS(Vendas!$AT$8:$AT$2008,Vendas!$AQ$8:$AQ$2008,$B10,Vendas!$E$8:$E$2008,"&gt;=01/12/"&amp;$G$3,Vendas!$E$8:$E$2008,"&lt;=31/12/"&amp;$G$3)</f>
        <v>0</v>
      </c>
      <c r="Z10" s="163">
        <f>SUMIFS(Vendas!$K$8:$K$2008,Vendas!$H$8:$H$2008,$B10,Vendas!$E$8:$E$2008,"&gt;=01/12/"&amp;$G$3,Vendas!$E$8:$E$2008,"&lt;=31/12/"&amp;$G$3,Vendas!$C$8:$C$2008,"Entregue")+SUMIFS(Vendas!$P$8:$P$2008,Vendas!$M$8:$M$2008,$B10,Vendas!$E$8:$E$2008,"&gt;=01/12/"&amp;$G$3,Vendas!$E$8:$E$2008,"&lt;=31/12/"&amp;$G$3,Vendas!$C$8:$C$2008,"Entregue")+SUMIFS(Vendas!$U$8:$U$2008,Vendas!$R$8:$R$2008,$B10,Vendas!$E$8:$E$2008,"&gt;=01/12/"&amp;$G$3,Vendas!$E$8:$E$2008,"&lt;=31/12/"&amp;$G$3,Vendas!$C$8:$C$2008,"Entregue")+SUMIFS(Vendas!$Z$8:$Z$2008,Vendas!$W$8:$W$2008,$B10,Vendas!$E$8:$E$2008,"&gt;=01/12/"&amp;$G$3,Vendas!$E$8:$E$2008,"&lt;=31/12/"&amp;$G$3,Vendas!$C$8:$C$2008,"Entregue")+SUMIFS(Vendas!$AE$8:$AE$2008,Vendas!$AB$8:$AB$2008,$B10,Vendas!$E$8:$E$2008,"&gt;=01/12/"&amp;$G$3,Vendas!$E$8:$E$2008,"&lt;=31/12/"&amp;$G$3,Vendas!$C$8:$C$2008,"Entregue")+SUMIFS(Vendas!$AJ$8:$AJ$2008,Vendas!$AG$8:$AG$2008,$B10,Vendas!$E$8:$E$2008,"&gt;=01/12/"&amp;$G$3,Vendas!$E$8:$E$2008,"&lt;=31/12/"&amp;$G$3,Vendas!$C$8:$C$2008,"Entregue")+SUMIFS(Vendas!$AO$8:$AO$2008,Vendas!$AL$8:$AL$2008,$B10,Vendas!$E$8:$E$2008,"&gt;=01/12/"&amp;$G$3,Vendas!$E$8:$E$2008,"&lt;=31/12/"&amp;$G$3,Vendas!$C$8:$C$2008,"Entregue")+SUMIFS(Vendas!$AT$8:$AT$2008,Vendas!$AQ$8:$AQ$2008,$B10,Vendas!$E$8:$E$2008,"&gt;=01/12/"&amp;$G$3,Vendas!$E$8:$E$2008,"&lt;=31/12/"&amp;$G$3,Vendas!$C$8:$C$2008,"Entregue")</f>
        <v>0</v>
      </c>
      <c r="AA10" s="132">
        <f t="shared" si="0"/>
        <v>0</v>
      </c>
      <c r="AB10" s="132">
        <f t="shared" si="0"/>
        <v>0</v>
      </c>
      <c r="AC10" s="67"/>
    </row>
    <row r="11" spans="1:50" ht="14.4" x14ac:dyDescent="0.3">
      <c r="B11" s="262" t="str">
        <f>IF(Cadastros!D10="","",Cadastros!D10)</f>
        <v>10104 - Colchão Léctus 138 X 188 X 021 cm MVQ</v>
      </c>
      <c r="C11" s="158">
        <f>SUMIFS(Vendas!$K$8:$K$2008,Vendas!$H$8:$H$2008,$B11,Vendas!$E$8:$E$2008,"&gt;=01/01/"&amp;$G$3,Vendas!$E$8:$E$2008,"&lt;=31/01/"&amp;$G$3)+SUMIFS(Vendas!$P$8:$P$2008,Vendas!$M$8:$M$2008,$B11,Vendas!$E$8:$E$2008,"&gt;=01/01/"&amp;$G$3,Vendas!$E$8:$E$2008,"&lt;=31/01/"&amp;$G$3)+SUMIFS(Vendas!$U$8:$U$2008,Vendas!$R$8:$R$2008,$B11,Vendas!$E$8:$E$2008,"&gt;=01/01/"&amp;$G$3,Vendas!$E$8:$E$2008,"&lt;=31/01/"&amp;$G$3)+SUMIFS(Vendas!$Z$8:$Z$2008,Vendas!$W$8:$W$2008,$B11,Vendas!$E$8:$E$2008,"&gt;=01/01/"&amp;$G$3,Vendas!$E$8:$E$2008,"&lt;=31/01/"&amp;$G$3)+SUMIFS(Vendas!$AE$8:$AE$2008,Vendas!$AB$8:$AB$2008,$B11,Vendas!$E$8:$E$2008,"&gt;=01/01/"&amp;$G$3,Vendas!$E$8:$E$2008,"&lt;=31/01/"&amp;$G$3)+SUMIFS(Vendas!$AJ$8:$AJ$2008,Vendas!$AG$8:$AG$2008,$B11,Vendas!$E$8:$E$2008,"&gt;=01/01/"&amp;$G$3,Vendas!$E$8:$E$2008,"&lt;=31/01/"&amp;$G$3)+SUMIFS(Vendas!$AO$8:$AO$2008,Vendas!$AL$8:$AL$2008,$B11,Vendas!$E$8:$E$2008,"&gt;=01/01/"&amp;$G$3,Vendas!$E$8:$E$2008,"&lt;=31/01/"&amp;$G$3)+SUMIFS(Vendas!$AT$8:$AT$2008,Vendas!$AQ$8:$AQ$2008,$B11,Vendas!$E$8:$E$2008,"&gt;=01/01/"&amp;$G$3,Vendas!$E$8:$E$2008,"&lt;=31/01/"&amp;$G$3)</f>
        <v>0</v>
      </c>
      <c r="D11" s="159">
        <f>SUMIFS(Vendas!$K$8:$K$2008,Vendas!$H$8:$H$2008,$B11,Vendas!$E$8:$E$2008,"&gt;=01/01/"&amp;$G$3,Vendas!$E$8:$E$2008,"&lt;=31/01/"&amp;$G$3,Vendas!$C$8:$C$2008,"Entregue")+SUMIFS(Vendas!$P$8:$P$2008,Vendas!$M$8:$M$2008,$B11,Vendas!$E$8:$E$2008,"&gt;=01/01/"&amp;$G$3,Vendas!$E$8:$E$2008,"&lt;=31/01/"&amp;$G$3,Vendas!$C$8:$C$2008,"Entregue")+SUMIFS(Vendas!$U$8:$U$2008,Vendas!$R$8:$R$2008,$B11,Vendas!$E$8:$E$2008,"&gt;=01/01/"&amp;$G$3,Vendas!$E$8:$E$2008,"&lt;=31/01/"&amp;$G$3,Vendas!$C$8:$C$2008,"Entregue")+SUMIFS(Vendas!$Z$8:$Z$2008,Vendas!$W$8:$W$2008,$B11,Vendas!$E$8:$E$2008,"&gt;=01/01/"&amp;$G$3,Vendas!$E$8:$E$2008,"&lt;=31/01/"&amp;$G$3,Vendas!$C$8:$C$2008,"Entregue")+SUMIFS(Vendas!$AE$8:$AE$2008,Vendas!$AB$8:$AB$2008,$B11,Vendas!$E$8:$E$2008,"&gt;=01/01/"&amp;$G$3,Vendas!$E$8:$E$2008,"&lt;=31/01/"&amp;$G$3,Vendas!$C$8:$C$2008,"Entregue")+SUMIFS(Vendas!$AJ$8:$AJ$2008,Vendas!$AG$8:$AG$2008,$B11,Vendas!$E$8:$E$2008,"&gt;=01/01/"&amp;$G$3,Vendas!$E$8:$E$2008,"&lt;=31/01/"&amp;$G$3,Vendas!$C$8:$C$2008,"Entregue")+SUMIFS(Vendas!$AO$8:$AO$2008,Vendas!$AL$8:$AL$2008,$B11,Vendas!$E$8:$E$2008,"&gt;=01/01/"&amp;$G$3,Vendas!$E$8:$E$2008,"&lt;=31/01/"&amp;$G$3,Vendas!$C$8:$C$2008,"Entregue")+SUMIFS(Vendas!$AT$8:$AT$2008,Vendas!$AQ$8:$AQ$2008,$B11,Vendas!$E$8:$E$2008,"&gt;=01/01/"&amp;$G$3,Vendas!$E$8:$E$2008,"&lt;=31/01/"&amp;$G$3,Vendas!$C$8:$C$2008,"Entregue")</f>
        <v>0</v>
      </c>
      <c r="E11" s="159">
        <f>SUMIFS(Vendas!$K$8:$K$2008,Vendas!$H$8:$H$2008,$B11,Vendas!$E$8:$E$2008,"&gt;=01/02/"&amp;$G$3,Vendas!$E$8:$E$2008,"&lt;=28/02/"&amp;$G$3)+SUMIFS(Vendas!$P$8:$P$2008,Vendas!$M$8:$M$2008,$B11,Vendas!$E$8:$E$2008,"&gt;=01/02/"&amp;$G$3,Vendas!$E$8:$E$2008,"&lt;=28/02/"&amp;$G$3)+SUMIFS(Vendas!$U$8:$U$2008,Vendas!$R$8:$R$2008,$B11,Vendas!$E$8:$E$2008,"&gt;=01/02/"&amp;$G$3,Vendas!$E$8:$E$2008,"&lt;=28/02/"&amp;$G$3)+SUMIFS(Vendas!$Z$8:$Z$2008,Vendas!$W$8:$W$2008,$B11,Vendas!$E$8:$E$2008,"&gt;=01/02/"&amp;$G$3,Vendas!$E$8:$E$2008,"&lt;=28/02/"&amp;$G$3)+SUMIFS(Vendas!$AE$8:$AE$2008,Vendas!$AB$8:$AB$2008,$B11,Vendas!$E$8:$E$2008,"&gt;=01/02/"&amp;$G$3,Vendas!$E$8:$E$2008,"&lt;=28/02/"&amp;$G$3)+SUMIFS(Vendas!$AJ$8:$AJ$2008,Vendas!$AG$8:$AG$2008,$B11,Vendas!$E$8:$E$2008,"&gt;=01/02/"&amp;$G$3,Vendas!$E$8:$E$2008,"&lt;=28/02/"&amp;$G$3)+SUMIFS(Vendas!$AO$8:$AO$2008,Vendas!$AL$8:$AL$2008,$B11,Vendas!$E$8:$E$2008,"&gt;=01/02/"&amp;$G$3,Vendas!$E$8:$E$2008,"&lt;=28/02/"&amp;$G$3)+SUMIFS(Vendas!$AT$8:$AT$2008,Vendas!$AQ$8:$AQ$2008,$B11,Vendas!$E$8:$E$2008,"&gt;=01/02/"&amp;$G$3,Vendas!$E$8:$E$2008,"&lt;=28/02/"&amp;$G$3)</f>
        <v>0</v>
      </c>
      <c r="F11" s="159">
        <f>SUMIFS(Vendas!$K$8:$K$2008,Vendas!$H$8:$H$2008,$B11,Vendas!$E$8:$E$2008,"&gt;=01/02/"&amp;$G$3,Vendas!$E$8:$E$2008,"&lt;=28/02/"&amp;$G$3,Vendas!$C$8:$C$2008,"Entregue")+SUMIFS(Vendas!$P$8:$P$2008,Vendas!$M$8:$M$2008,$B11,Vendas!$E$8:$E$2008,"&gt;=01/02/"&amp;$G$3,Vendas!$E$8:$E$2008,"&lt;=28/02/"&amp;$G$3,Vendas!$C$8:$C$2008,"Entregue")+SUMIFS(Vendas!$U$8:$U$2008,Vendas!$R$8:$R$2008,$B11,Vendas!$E$8:$E$2008,"&gt;=01/02/"&amp;$G$3,Vendas!$E$8:$E$2008,"&lt;=28/02/"&amp;$G$3,Vendas!$C$8:$C$2008,"Entregue")+SUMIFS(Vendas!$Z$8:$Z$2008,Vendas!$W$8:$W$2008,$B11,Vendas!$E$8:$E$2008,"&gt;=01/02/"&amp;$G$3,Vendas!$E$8:$E$2008,"&lt;=28/02/"&amp;$G$3,Vendas!$C$8:$C$2008,"Entregue")+SUMIFS(Vendas!$AE$8:$AE$2008,Vendas!$AB$8:$AB$2008,$B11,Vendas!$E$8:$E$2008,"&gt;=01/02/"&amp;$G$3,Vendas!$E$8:$E$2008,"&lt;=28/02/"&amp;$G$3,Vendas!$C$8:$C$2008,"Entregue")+SUMIFS(Vendas!$AJ$8:$AJ$2008,Vendas!$AG$8:$AG$2008,$B11,Vendas!$E$8:$E$2008,"&gt;=01/02/"&amp;$G$3,Vendas!$E$8:$E$2008,"&lt;=28/02/"&amp;$G$3,Vendas!$C$8:$C$2008,"Entregue")+SUMIFS(Vendas!$AO$8:$AO$2008,Vendas!$AL$8:$AL$2008,$B11,Vendas!$E$8:$E$2008,"&gt;=01/02/"&amp;$G$3,Vendas!$E$8:$E$2008,"&lt;=28/02/"&amp;$G$3,Vendas!$C$8:$C$2008,"Entregue")+SUMIFS(Vendas!$AT$8:$AT$2008,Vendas!$AQ$8:$AQ$2008,$B11,Vendas!$E$8:$E$2008,"&gt;=01/02/"&amp;$G$3,Vendas!$E$8:$E$2008,"&lt;=28/02/"&amp;$G$3,Vendas!$C$8:$C$2008,"Entregue")</f>
        <v>0</v>
      </c>
      <c r="G11" s="159">
        <f>SUMIFS(Vendas!$K$8:$K$2008,Vendas!$H$8:$H$2008,$B11,Vendas!$E$8:$E$2008,"&gt;=01/03/"&amp;$G$3,Vendas!$E$8:$E$2008,"&lt;=31/03/"&amp;$G$3)+SUMIFS(Vendas!$P$8:$P$2008,Vendas!$M$8:$M$2008,$B11,Vendas!$E$8:$E$2008,"&gt;=01/03/"&amp;$G$3,Vendas!$E$8:$E$2008,"&lt;=31/03/"&amp;$G$3)+SUMIFS(Vendas!$U$8:$U$2008,Vendas!$R$8:$R$2008,$B11,Vendas!$E$8:$E$2008,"&gt;=01/03/"&amp;$G$3,Vendas!$E$8:$E$2008,"&lt;=31/03/"&amp;$G$3)+SUMIFS(Vendas!$Z$8:$Z$2008,Vendas!$W$8:$W$2008,$B11,Vendas!$E$8:$E$2008,"&gt;=01/03/"&amp;$G$3,Vendas!$E$8:$E$2008,"&lt;=31/03/"&amp;$G$3)+SUMIFS(Vendas!$AE$8:$AE$2008,Vendas!$AB$8:$AB$2008,$B11,Vendas!$E$8:$E$2008,"&gt;=01/03/"&amp;$G$3,Vendas!$E$8:$E$2008,"&lt;=31/03/"&amp;$G$3)+SUMIFS(Vendas!$AJ$8:$AJ$2008,Vendas!$AG$8:$AG$2008,$B11,Vendas!$E$8:$E$2008,"&gt;=01/03/"&amp;$G$3,Vendas!$E$8:$E$2008,"&lt;=31/03/"&amp;$G$3)+SUMIFS(Vendas!$AO$8:$AO$2008,Vendas!$AL$8:$AL$2008,$B11,Vendas!$E$8:$E$2008,"&gt;=01/03/"&amp;$G$3,Vendas!$E$8:$E$2008,"&lt;=31/03/"&amp;$G$3)+SUMIFS(Vendas!$AT$8:$AT$2008,Vendas!$AQ$8:$AQ$2008,$B11,Vendas!$E$8:$E$2008,"&gt;=01/03/"&amp;$G$3,Vendas!$E$8:$E$2008,"&lt;=31/03/"&amp;$G$3)</f>
        <v>0</v>
      </c>
      <c r="H11" s="159">
        <f>SUMIFS(Vendas!$K$8:$K$2008,Vendas!$H$8:$H$2008,$B11,Vendas!$E$8:$E$2008,"&gt;=01/03/"&amp;$G$3,Vendas!$E$8:$E$2008,"&lt;=31/03/"&amp;$G$3,Vendas!$C$8:$C$2008,"Entregue")+SUMIFS(Vendas!$P$8:$P$2008,Vendas!$M$8:$M$2008,$B11,Vendas!$E$8:$E$2008,"&gt;=01/03/"&amp;$G$3,Vendas!$E$8:$E$2008,"&lt;=31/03/"&amp;$G$3,Vendas!$C$8:$C$2008,"Entregue")+SUMIFS(Vendas!$U$8:$U$2008,Vendas!$R$8:$R$2008,$B11,Vendas!$E$8:$E$2008,"&gt;=01/03/"&amp;$G$3,Vendas!$E$8:$E$2008,"&lt;=31/03/"&amp;$G$3,Vendas!$C$8:$C$2008,"Entregue")+SUMIFS(Vendas!$Z$8:$Z$2008,Vendas!$W$8:$W$2008,$B11,Vendas!$E$8:$E$2008,"&gt;=01/03/"&amp;$G$3,Vendas!$E$8:$E$2008,"&lt;=31/03/"&amp;$G$3,Vendas!$C$8:$C$2008,"Entregue")+SUMIFS(Vendas!$AE$8:$AE$2008,Vendas!$AB$8:$AB$2008,$B11,Vendas!$E$8:$E$2008,"&gt;=01/03/"&amp;$G$3,Vendas!$E$8:$E$2008,"&lt;=31/03/"&amp;$G$3,Vendas!$C$8:$C$2008,"Entregue")+SUMIFS(Vendas!$AJ$8:$AJ$2008,Vendas!$AG$8:$AG$2008,$B11,Vendas!$E$8:$E$2008,"&gt;=01/03/"&amp;$G$3,Vendas!$E$8:$E$2008,"&lt;=31/03/"&amp;$G$3,Vendas!$C$8:$C$2008,"Entregue")+SUMIFS(Vendas!$AO$8:$AO$2008,Vendas!$AL$8:$AL$2008,$B11,Vendas!$E$8:$E$2008,"&gt;=01/03/"&amp;$G$3,Vendas!$E$8:$E$2008,"&lt;=31/03/"&amp;$G$3,Vendas!$C$8:$C$2008,"Entregue")+SUMIFS(Vendas!$AT$8:$AT$2008,Vendas!$AQ$8:$AQ$2008,$B11,Vendas!$E$8:$E$2008,"&gt;=01/03/"&amp;$G$3,Vendas!$E$8:$E$2008,"&lt;=31/03/"&amp;$G$3,Vendas!$C$8:$C$2008,"Entregue")</f>
        <v>0</v>
      </c>
      <c r="I11" s="159">
        <f>SUMIFS(Vendas!$K$8:$K$2008,Vendas!$H$8:$H$2008,$B11,Vendas!$E$8:$E$2008,"&gt;=01/04/"&amp;$G$3,Vendas!$E$8:$E$2008,"&lt;=30/04/"&amp;$G$3)+SUMIFS(Vendas!$P$8:$P$2008,Vendas!$M$8:$M$2008,$B11,Vendas!$E$8:$E$2008,"&gt;=01/04/"&amp;$G$3,Vendas!$E$8:$E$2008,"&lt;=30/04/"&amp;$G$3)+SUMIFS(Vendas!$U$8:$U$2008,Vendas!$R$8:$R$2008,$B11,Vendas!$E$8:$E$2008,"&gt;=01/04/"&amp;$G$3,Vendas!$E$8:$E$2008,"&lt;=30/04/"&amp;$G$3)+SUMIFS(Vendas!$Z$8:$Z$2008,Vendas!$W$8:$W$2008,$B11,Vendas!$E$8:$E$2008,"&gt;=01/04/"&amp;$G$3,Vendas!$E$8:$E$2008,"&lt;=30/04/"&amp;$G$3)+SUMIFS(Vendas!$AE$8:$AE$2008,Vendas!$AB$8:$AB$2008,$B11,Vendas!$E$8:$E$2008,"&gt;=01/04/"&amp;$G$3,Vendas!$E$8:$E$2008,"&lt;=30/04/"&amp;$G$3)+SUMIFS(Vendas!$AJ$8:$AJ$2008,Vendas!$AG$8:$AG$2008,$B11,Vendas!$E$8:$E$2008,"&gt;=01/04/"&amp;$G$3,Vendas!$E$8:$E$2008,"&lt;=30/04/"&amp;$G$3)+SUMIFS(Vendas!$AO$8:$AO$2008,Vendas!$AL$8:$AL$2008,$B11,Vendas!$E$8:$E$2008,"&gt;=01/04/"&amp;$G$3,Vendas!$E$8:$E$2008,"&lt;=30/04/"&amp;$G$3)+SUMIFS(Vendas!$AT$8:$AT$2008,Vendas!$AQ$8:$AQ$2008,$B11,Vendas!$E$8:$E$2008,"&gt;=01/04/"&amp;$G$3,Vendas!$E$8:$E$2008,"&lt;=30/04/"&amp;$G$3)</f>
        <v>0</v>
      </c>
      <c r="J11" s="159">
        <f>SUMIFS(Vendas!$K$8:$K$2008,Vendas!$H$8:$H$2008,$B11,Vendas!$E$8:$E$2008,"&gt;=01/04/"&amp;$G$3,Vendas!$E$8:$E$2008,"&lt;=30/04/"&amp;$G$3,Vendas!$C$8:$C$2008,"Entregue")+SUMIFS(Vendas!$P$8:$P$2008,Vendas!$M$8:$M$2008,$B11,Vendas!$E$8:$E$2008,"&gt;=01/04/"&amp;$G$3,Vendas!$E$8:$E$2008,"&lt;=30/04/"&amp;$G$3,Vendas!$C$8:$C$2008,"Entregue")+SUMIFS(Vendas!$U$8:$U$2008,Vendas!$R$8:$R$2008,$B11,Vendas!$E$8:$E$2008,"&gt;=01/04/"&amp;$G$3,Vendas!$E$8:$E$2008,"&lt;=30/04/"&amp;$G$3,Vendas!$C$8:$C$2008,"Entregue")+SUMIFS(Vendas!$Z$8:$Z$2008,Vendas!$W$8:$W$2008,$B11,Vendas!$E$8:$E$2008,"&gt;=01/04/"&amp;$G$3,Vendas!$E$8:$E$2008,"&lt;=30/04/"&amp;$G$3,Vendas!$C$8:$C$2008,"Entregue")+SUMIFS(Vendas!$AE$8:$AE$2008,Vendas!$AB$8:$AB$2008,$B11,Vendas!$E$8:$E$2008,"&gt;=01/04/"&amp;$G$3,Vendas!$E$8:$E$2008,"&lt;=30/04/"&amp;$G$3,Vendas!$C$8:$C$2008,"Entregue")+SUMIFS(Vendas!$AJ$8:$AJ$2008,Vendas!$AG$8:$AG$2008,$B11,Vendas!$E$8:$E$2008,"&gt;=01/04/"&amp;$G$3,Vendas!$E$8:$E$2008,"&lt;=30/04/"&amp;$G$3,Vendas!$C$8:$C$2008,"Entregue")+SUMIFS(Vendas!$AO$8:$AO$2008,Vendas!$AL$8:$AL$2008,$B11,Vendas!$E$8:$E$2008,"&gt;=01/04/"&amp;$G$3,Vendas!$E$8:$E$2008,"&lt;=30/04/"&amp;$G$3,Vendas!$C$8:$C$2008,"Entregue")+SUMIFS(Vendas!$AT$8:$AT$2008,Vendas!$AQ$8:$AQ$2008,$B11,Vendas!$E$8:$E$2008,"&gt;=01/04/"&amp;$G$3,Vendas!$E$8:$E$2008,"&lt;=30/04/"&amp;$G$3,Vendas!$C$8:$C$2008,"Entregue")</f>
        <v>0</v>
      </c>
      <c r="K11" s="159">
        <f>SUMIFS(Vendas!$K$8:$K$2008,Vendas!$H$8:$H$2008,$B11,Vendas!$E$8:$E$2008,"&gt;=01/05/"&amp;$G$3,Vendas!$E$8:$E$2008,"&lt;=31/05/"&amp;$G$3)+SUMIFS(Vendas!$P$8:$P$2008,Vendas!$M$8:$M$2008,$B11,Vendas!$E$8:$E$2008,"&gt;=01/05/"&amp;$G$3,Vendas!$E$8:$E$2008,"&lt;=31/05/"&amp;$G$3)+SUMIFS(Vendas!$U$8:$U$2008,Vendas!$R$8:$R$2008,$B11,Vendas!$E$8:$E$2008,"&gt;=01/05/"&amp;$G$3,Vendas!$E$8:$E$2008,"&lt;=31/05/"&amp;$G$3)+SUMIFS(Vendas!$Z$8:$Z$2008,Vendas!$W$8:$W$2008,$B11,Vendas!$E$8:$E$2008,"&gt;=01/05/"&amp;$G$3,Vendas!$E$8:$E$2008,"&lt;=31/05/"&amp;$G$3)+SUMIFS(Vendas!$AE$8:$AE$2008,Vendas!$AB$8:$AB$2008,$B11,Vendas!$E$8:$E$2008,"&gt;=01/05/"&amp;$G$3,Vendas!$E$8:$E$2008,"&lt;=31/05/"&amp;$G$3)+SUMIFS(Vendas!$AJ$8:$AJ$2008,Vendas!$AG$8:$AG$2008,$B11,Vendas!$E$8:$E$2008,"&gt;=01/05/"&amp;$G$3,Vendas!$E$8:$E$2008,"&lt;=31/05/"&amp;$G$3)+SUMIFS(Vendas!$AO$8:$AO$2008,Vendas!$AL$8:$AL$2008,$B11,Vendas!$E$8:$E$2008,"&gt;=01/05/"&amp;$G$3,Vendas!$E$8:$E$2008,"&lt;=31/05/"&amp;$G$3)+SUMIFS(Vendas!$AT$8:$AT$2008,Vendas!$AQ$8:$AQ$2008,$B11,Vendas!$E$8:$E$2008,"&gt;=01/05/"&amp;$G$3,Vendas!$E$8:$E$2008,"&lt;=31/05/"&amp;$G$3)</f>
        <v>0</v>
      </c>
      <c r="L11" s="159">
        <f>SUMIFS(Vendas!$K$8:$K$2008,Vendas!$H$8:$H$2008,$B11,Vendas!$E$8:$E$2008,"&gt;=01/05/"&amp;$G$3,Vendas!$E$8:$E$2008,"&lt;=31/05/"&amp;$G$3,Vendas!$C$8:$C$2008,"Entregue")+SUMIFS(Vendas!$P$8:$P$2008,Vendas!$M$8:$M$2008,$B11,Vendas!$E$8:$E$2008,"&gt;=01/05/"&amp;$G$3,Vendas!$E$8:$E$2008,"&lt;=31/05/"&amp;$G$3,Vendas!$C$8:$C$2008,"Entregue")+SUMIFS(Vendas!$U$8:$U$2008,Vendas!$R$8:$R$2008,$B11,Vendas!$E$8:$E$2008,"&gt;=01/05/"&amp;$G$3,Vendas!$E$8:$E$2008,"&lt;=31/05/"&amp;$G$3,Vendas!$C$8:$C$2008,"Entregue")+SUMIFS(Vendas!$Z$8:$Z$2008,Vendas!$W$8:$W$2008,$B11,Vendas!$E$8:$E$2008,"&gt;=01/05/"&amp;$G$3,Vendas!$E$8:$E$2008,"&lt;=31/05/"&amp;$G$3,Vendas!$C$8:$C$2008,"Entregue")+SUMIFS(Vendas!$AE$8:$AE$2008,Vendas!$AB$8:$AB$2008,$B11,Vendas!$E$8:$E$2008,"&gt;=01/05/"&amp;$G$3,Vendas!$E$8:$E$2008,"&lt;=31/05/"&amp;$G$3,Vendas!$C$8:$C$2008,"Entregue")+SUMIFS(Vendas!$AJ$8:$AJ$2008,Vendas!$AG$8:$AG$2008,$B11,Vendas!$E$8:$E$2008,"&gt;=01/05/"&amp;$G$3,Vendas!$E$8:$E$2008,"&lt;=31/05/"&amp;$G$3,Vendas!$C$8:$C$2008,"Entregue")+SUMIFS(Vendas!$AO$8:$AO$2008,Vendas!$AL$8:$AL$2008,$B11,Vendas!$E$8:$E$2008,"&gt;=01/05/"&amp;$G$3,Vendas!$E$8:$E$2008,"&lt;=31/05/"&amp;$G$3,Vendas!$C$8:$C$2008,"Entregue")+SUMIFS(Vendas!$AT$8:$AT$2008,Vendas!$AQ$8:$AQ$2008,$B11,Vendas!$E$8:$E$2008,"&gt;=01/05/"&amp;$G$3,Vendas!$E$8:$E$2008,"&lt;=31/05/"&amp;$G$3,Vendas!$C$8:$C$2008,"Entregue")</f>
        <v>0</v>
      </c>
      <c r="M11" s="159">
        <f>SUMIFS(Vendas!$K$8:$K$2008,Vendas!$H$8:$H$2008,$B11,Vendas!$E$8:$E$2008,"&gt;=01/06/"&amp;$G$3,Vendas!$E$8:$E$2008,"&lt;=30/06/"&amp;$G$3)+SUMIFS(Vendas!$P$8:$P$2008,Vendas!$M$8:$M$2008,$B11,Vendas!$E$8:$E$2008,"&gt;=01/06/"&amp;$G$3,Vendas!$E$8:$E$2008,"&lt;=30/06/"&amp;$G$3)+SUMIFS(Vendas!$U$8:$U$2008,Vendas!$R$8:$R$2008,$B11,Vendas!$E$8:$E$2008,"&gt;=01/06/"&amp;$G$3,Vendas!$E$8:$E$2008,"&lt;=30/06/"&amp;$G$3)+SUMIFS(Vendas!$Z$8:$Z$2008,Vendas!$W$8:$W$2008,$B11,Vendas!$E$8:$E$2008,"&gt;=01/06/"&amp;$G$3,Vendas!$E$8:$E$2008,"&lt;=30/06/"&amp;$G$3)+SUMIFS(Vendas!$AE$8:$AE$2008,Vendas!$AB$8:$AB$2008,$B11,Vendas!$E$8:$E$2008,"&gt;=01/06/"&amp;$G$3,Vendas!$E$8:$E$2008,"&lt;=30/06/"&amp;$G$3)+SUMIFS(Vendas!$AJ$8:$AJ$2008,Vendas!$AG$8:$AG$2008,$B11,Vendas!$E$8:$E$2008,"&gt;=01/06/"&amp;$G$3,Vendas!$E$8:$E$2008,"&lt;=30/06/"&amp;$G$3)+SUMIFS(Vendas!$AO$8:$AO$2008,Vendas!$AL$8:$AL$2008,$B11,Vendas!$E$8:$E$2008,"&gt;=01/06/"&amp;$G$3,Vendas!$E$8:$E$2008,"&lt;=30/06/"&amp;$G$3)+SUMIFS(Vendas!$AT$8:$AT$2008,Vendas!$AQ$8:$AQ$2008,$B11,Vendas!$E$8:$E$2008,"&gt;=01/06/"&amp;$G$3,Vendas!$E$8:$E$2008,"&lt;=30/06/"&amp;$G$3)</f>
        <v>2216.3000000000002</v>
      </c>
      <c r="N11" s="159">
        <f>SUMIFS(Vendas!$K$8:$K$2008,Vendas!$H$8:$H$2008,$B11,Vendas!$E$8:$E$2008,"&gt;=01/06/"&amp;$G$3,Vendas!$E$8:$E$2008,"&lt;=30/06/"&amp;$G$3,Vendas!$C$8:$C$2008,"Entregue")+SUMIFS(Vendas!$P$8:$P$2008,Vendas!$M$8:$M$2008,$B11,Vendas!$E$8:$E$2008,"&gt;=01/06/"&amp;$G$3,Vendas!$E$8:$E$2008,"&lt;=30/06/"&amp;$G$3,Vendas!$C$8:$C$2008,"Entregue")+SUMIFS(Vendas!$U$8:$U$2008,Vendas!$R$8:$R$2008,$B11,Vendas!$E$8:$E$2008,"&gt;=01/06/"&amp;$G$3,Vendas!$E$8:$E$2008,"&lt;=30/06/"&amp;$G$3,Vendas!$C$8:$C$2008,"Entregue")+SUMIFS(Vendas!$Z$8:$Z$2008,Vendas!$W$8:$W$2008,$B11,Vendas!$E$8:$E$2008,"&gt;=01/06/"&amp;$G$3,Vendas!$E$8:$E$2008,"&lt;=30/06/"&amp;$G$3,Vendas!$C$8:$C$2008,"Entregue")+SUMIFS(Vendas!$AE$8:$AE$2008,Vendas!$AB$8:$AB$2008,$B11,Vendas!$E$8:$E$2008,"&gt;=01/06/"&amp;$G$3,Vendas!$E$8:$E$2008,"&lt;=30/06/"&amp;$G$3,Vendas!$C$8:$C$2008,"Entregue")+SUMIFS(Vendas!$AJ$8:$AJ$2008,Vendas!$AG$8:$AG$2008,$B11,Vendas!$E$8:$E$2008,"&gt;=01/06/"&amp;$G$3,Vendas!$E$8:$E$2008,"&lt;=30/06/"&amp;$G$3,Vendas!$C$8:$C$2008,"Entregue")+SUMIFS(Vendas!$AO$8:$AO$2008,Vendas!$AL$8:$AL$2008,$B11,Vendas!$E$8:$E$2008,"&gt;=01/06/"&amp;$G$3,Vendas!$E$8:$E$2008,"&lt;=30/06/"&amp;$G$3,Vendas!$C$8:$C$2008,"Entregue")+SUMIFS(Vendas!$AT$8:$AT$2008,Vendas!$AQ$8:$AQ$2008,$B11,Vendas!$E$8:$E$2008,"&gt;=01/06/"&amp;$G$3,Vendas!$E$8:$E$2008,"&lt;=30/06/"&amp;$G$3,Vendas!$C$8:$C$2008,"Entregue")</f>
        <v>2216.3000000000002</v>
      </c>
      <c r="O11" s="159">
        <f>SUMIFS(Vendas!$K$8:$K$2008,Vendas!$H$8:$H$2008,$B11,Vendas!$E$8:$E$2008,"&gt;=01/07/"&amp;$G$3,Vendas!$E$8:$E$2008,"&lt;=31/07/"&amp;$G$3)+SUMIFS(Vendas!$P$8:$P$2008,Vendas!$M$8:$M$2008,$B11,Vendas!$E$8:$E$2008,"&gt;=01/07/"&amp;$G$3,Vendas!$E$8:$E$2008,"&lt;=31/07/"&amp;$G$3)+SUMIFS(Vendas!$U$8:$U$2008,Vendas!$R$8:$R$2008,$B11,Vendas!$E$8:$E$2008,"&gt;=01/07/"&amp;$G$3,Vendas!$E$8:$E$2008,"&lt;=31/07/"&amp;$G$3)+SUMIFS(Vendas!$Z$8:$Z$2008,Vendas!$W$8:$W$2008,$B11,Vendas!$E$8:$E$2008,"&gt;=01/07/"&amp;$G$3,Vendas!$E$8:$E$2008,"&lt;=31/07/"&amp;$G$3)+SUMIFS(Vendas!$AE$8:$AE$2008,Vendas!$AB$8:$AB$2008,$B11,Vendas!$E$8:$E$2008,"&gt;=01/07/"&amp;$G$3,Vendas!$E$8:$E$2008,"&lt;=31/07/"&amp;$G$3)+SUMIFS(Vendas!$AJ$8:$AJ$2008,Vendas!$AG$8:$AG$2008,$B11,Vendas!$E$8:$E$2008,"&gt;=01/07/"&amp;$G$3,Vendas!$E$8:$E$2008,"&lt;=31/07/"&amp;$G$3)+SUMIFS(Vendas!$AO$8:$AO$2008,Vendas!$AL$8:$AL$2008,$B11,Vendas!$E$8:$E$2008,"&gt;=01/07/"&amp;$G$3,Vendas!$E$8:$E$2008,"&lt;=31/07/"&amp;$G$3)+SUMIFS(Vendas!$AT$8:$AT$2008,Vendas!$AQ$8:$AQ$2008,$B11,Vendas!$E$8:$E$2008,"&gt;=01/07/"&amp;$G$3,Vendas!$E$8:$E$2008,"&lt;=31/07/"&amp;$G$3)</f>
        <v>0</v>
      </c>
      <c r="P11" s="159">
        <f>SUMIFS(Vendas!$K$8:$K$2008,Vendas!$H$8:$H$2008,$B11,Vendas!$E$8:$E$2008,"&gt;=01/07/"&amp;$G$3,Vendas!$E$8:$E$2008,"&lt;=31/07/"&amp;$G$3,Vendas!$C$8:$C$2008,"Entregue")+SUMIFS(Vendas!$P$8:$P$2008,Vendas!$M$8:$M$2008,$B11,Vendas!$E$8:$E$2008,"&gt;=01/07/"&amp;$G$3,Vendas!$E$8:$E$2008,"&lt;=31/07/"&amp;$G$3,Vendas!$C$8:$C$2008,"Entregue")+SUMIFS(Vendas!$U$8:$U$2008,Vendas!$R$8:$R$2008,$B11,Vendas!$E$8:$E$2008,"&gt;=01/07/"&amp;$G$3,Vendas!$E$8:$E$2008,"&lt;=31/07/"&amp;$G$3,Vendas!$C$8:$C$2008,"Entregue")+SUMIFS(Vendas!$Z$8:$Z$2008,Vendas!$W$8:$W$2008,$B11,Vendas!$E$8:$E$2008,"&gt;=01/07/"&amp;$G$3,Vendas!$E$8:$E$2008,"&lt;=31/07/"&amp;$G$3,Vendas!$C$8:$C$2008,"Entregue")+SUMIFS(Vendas!$AE$8:$AE$2008,Vendas!$AB$8:$AB$2008,$B11,Vendas!$E$8:$E$2008,"&gt;=01/07/"&amp;$G$3,Vendas!$E$8:$E$2008,"&lt;=31/07/"&amp;$G$3,Vendas!$C$8:$C$2008,"Entregue")+SUMIFS(Vendas!$AJ$8:$AJ$2008,Vendas!$AG$8:$AG$2008,$B11,Vendas!$E$8:$E$2008,"&gt;=01/07/"&amp;$G$3,Vendas!$E$8:$E$2008,"&lt;=31/07/"&amp;$G$3,Vendas!$C$8:$C$2008,"Entregue")+SUMIFS(Vendas!$AO$8:$AO$2008,Vendas!$AL$8:$AL$2008,$B11,Vendas!$E$8:$E$2008,"&gt;=01/07/"&amp;$G$3,Vendas!$E$8:$E$2008,"&lt;=31/07/"&amp;$G$3,Vendas!$C$8:$C$2008,"Entregue")+SUMIFS(Vendas!$AT$8:$AT$2008,Vendas!$AQ$8:$AQ$2008,$B11,Vendas!$E$8:$E$2008,"&gt;=01/07/"&amp;$G$3,Vendas!$E$8:$E$2008,"&lt;=31/07/"&amp;$G$3,Vendas!$C$8:$C$2008,"Entregue")</f>
        <v>0</v>
      </c>
      <c r="Q11" s="159">
        <f>SUMIFS(Vendas!$K$8:$K$2008,Vendas!$H$8:$H$2008,$B11,Vendas!$E$8:$E$2008,"&gt;=01/08/"&amp;$G$3,Vendas!$E$8:$E$2008,"&lt;=31/08/"&amp;$G$3)+SUMIFS(Vendas!$P$8:$P$2008,Vendas!$M$8:$M$2008,$B11,Vendas!$E$8:$E$2008,"&gt;=01/08/"&amp;$G$3,Vendas!$E$8:$E$2008,"&lt;=31/08/"&amp;$G$3)+SUMIFS(Vendas!$U$8:$U$2008,Vendas!$R$8:$R$2008,$B11,Vendas!$E$8:$E$2008,"&gt;=01/08/"&amp;$G$3,Vendas!$E$8:$E$2008,"&lt;=31/08/"&amp;$G$3)+SUMIFS(Vendas!$Z$8:$Z$2008,Vendas!$W$8:$W$2008,$B11,Vendas!$E$8:$E$2008,"&gt;=01/08/"&amp;$G$3,Vendas!$E$8:$E$2008,"&lt;=31/08/"&amp;$G$3)+SUMIFS(Vendas!$AE$8:$AE$2008,Vendas!$AB$8:$AB$2008,$B11,Vendas!$E$8:$E$2008,"&gt;=01/08/"&amp;$G$3,Vendas!$E$8:$E$2008,"&lt;=31/08/"&amp;$G$3)+SUMIFS(Vendas!$AJ$8:$AJ$2008,Vendas!$AG$8:$AG$2008,$B11,Vendas!$E$8:$E$2008,"&gt;=01/08/"&amp;$G$3,Vendas!$E$8:$E$2008,"&lt;=31/08/"&amp;$G$3)+SUMIFS(Vendas!$AO$8:$AO$2008,Vendas!$AL$8:$AL$2008,$B11,Vendas!$E$8:$E$2008,"&gt;=01/08/"&amp;$G$3,Vendas!$E$8:$E$2008,"&lt;=31/08/"&amp;$G$3)+SUMIFS(Vendas!$AT$8:$AT$2008,Vendas!$AQ$8:$AQ$2008,$B11,Vendas!$E$8:$E$2008,"&gt;=01/08/"&amp;$G$3,Vendas!$E$8:$E$2008,"&lt;=31/08/"&amp;$G$3)</f>
        <v>0</v>
      </c>
      <c r="R11" s="159">
        <f>SUMIFS(Vendas!$K$8:$K$2008,Vendas!$H$8:$H$2008,$B11,Vendas!$E$8:$E$2008,"&gt;=01/08/"&amp;$G$3,Vendas!$E$8:$E$2008,"&lt;=31/08/"&amp;$G$3,Vendas!$C$8:$C$2008,"Entregue")+SUMIFS(Vendas!$P$8:$P$2008,Vendas!$M$8:$M$2008,$B11,Vendas!$E$8:$E$2008,"&gt;=01/08/"&amp;$G$3,Vendas!$E$8:$E$2008,"&lt;=31/08/"&amp;$G$3,Vendas!$C$8:$C$2008,"Entregue")+SUMIFS(Vendas!$U$8:$U$2008,Vendas!$R$8:$R$2008,$B11,Vendas!$E$8:$E$2008,"&gt;=01/08/"&amp;$G$3,Vendas!$E$8:$E$2008,"&lt;=31/08/"&amp;$G$3,Vendas!$C$8:$C$2008,"Entregue")+SUMIFS(Vendas!$Z$8:$Z$2008,Vendas!$W$8:$W$2008,$B11,Vendas!$E$8:$E$2008,"&gt;=01/08/"&amp;$G$3,Vendas!$E$8:$E$2008,"&lt;=31/08/"&amp;$G$3,Vendas!$C$8:$C$2008,"Entregue")+SUMIFS(Vendas!$AE$8:$AE$2008,Vendas!$AB$8:$AB$2008,$B11,Vendas!$E$8:$E$2008,"&gt;=01/08/"&amp;$G$3,Vendas!$E$8:$E$2008,"&lt;=31/08/"&amp;$G$3,Vendas!$C$8:$C$2008,"Entregue")+SUMIFS(Vendas!$AJ$8:$AJ$2008,Vendas!$AG$8:$AG$2008,$B11,Vendas!$E$8:$E$2008,"&gt;=01/08/"&amp;$G$3,Vendas!$E$8:$E$2008,"&lt;=31/08/"&amp;$G$3,Vendas!$C$8:$C$2008,"Entregue")+SUMIFS(Vendas!$AO$8:$AO$2008,Vendas!$AL$8:$AL$2008,$B11,Vendas!$E$8:$E$2008,"&gt;=01/08/"&amp;$G$3,Vendas!$E$8:$E$2008,"&lt;=31/08/"&amp;$G$3,Vendas!$C$8:$C$2008,"Entregue")+SUMIFS(Vendas!$AT$8:$AT$2008,Vendas!$AQ$8:$AQ$2008,$B11,Vendas!$E$8:$E$2008,"&gt;=01/08/"&amp;$G$3,Vendas!$E$8:$E$2008,"&lt;=31/08/"&amp;$G$3,Vendas!$C$8:$C$2008,"Entregue")</f>
        <v>0</v>
      </c>
      <c r="S11" s="159">
        <f>SUMIFS(Vendas!$K$8:$K$2008,Vendas!$H$8:$H$2008,$B11,Vendas!$E$8:$E$2008,"&gt;=01/09/"&amp;$G$3,Vendas!$E$8:$E$2008,"&lt;=30/09/"&amp;$G$3)+SUMIFS(Vendas!$P$8:$P$2008,Vendas!$M$8:$M$2008,$B11,Vendas!$E$8:$E$2008,"&gt;=01/09/"&amp;$G$3,Vendas!$E$8:$E$2008,"&lt;=30/09/"&amp;$G$3)+SUMIFS(Vendas!$U$8:$U$2008,Vendas!$R$8:$R$2008,$B11,Vendas!$E$8:$E$2008,"&gt;=01/09/"&amp;$G$3,Vendas!$E$8:$E$2008,"&lt;=30/09/"&amp;$G$3)+SUMIFS(Vendas!$Z$8:$Z$2008,Vendas!$W$8:$W$2008,$B11,Vendas!$E$8:$E$2008,"&gt;=01/09/"&amp;$G$3,Vendas!$E$8:$E$2008,"&lt;=30/09/"&amp;$G$3)+SUMIFS(Vendas!$AE$8:$AE$2008,Vendas!$AB$8:$AB$2008,$B11,Vendas!$E$8:$E$2008,"&gt;=01/09/"&amp;$G$3,Vendas!$E$8:$E$2008,"&lt;=30/09/"&amp;$G$3)+SUMIFS(Vendas!$AJ$8:$AJ$2008,Vendas!$AG$8:$AG$2008,$B11,Vendas!$E$8:$E$2008,"&gt;=01/09/"&amp;$G$3,Vendas!$E$8:$E$2008,"&lt;=30/09/"&amp;$G$3)+SUMIFS(Vendas!$AO$8:$AO$2008,Vendas!$AL$8:$AL$2008,$B11,Vendas!$E$8:$E$2008,"&gt;=01/09/"&amp;$G$3,Vendas!$E$8:$E$2008,"&lt;=30/09/"&amp;$G$3)+SUMIFS(Vendas!$AT$8:$AT$2008,Vendas!$AQ$8:$AQ$2008,$B11,Vendas!$E$8:$E$2008,"&gt;=01/09/"&amp;$G$3,Vendas!$E$8:$E$2008,"&lt;=30/09/"&amp;$G$3)</f>
        <v>0</v>
      </c>
      <c r="T11" s="159">
        <f>SUMIFS(Vendas!$K$8:$K$2008,Vendas!$H$8:$H$2008,$B11,Vendas!$E$8:$E$2008,"&gt;=01/09/"&amp;$G$3,Vendas!$E$8:$E$2008,"&lt;=30/09/"&amp;$G$3,Vendas!$C$8:$C$2008,"Entregue")+SUMIFS(Vendas!$P$8:$P$2008,Vendas!$M$8:$M$2008,$B11,Vendas!$E$8:$E$2008,"&gt;=01/09/"&amp;$G$3,Vendas!$E$8:$E$2008,"&lt;=30/09/"&amp;$G$3,Vendas!$C$8:$C$2008,"Entregue")+SUMIFS(Vendas!$U$8:$U$2008,Vendas!$R$8:$R$2008,$B11,Vendas!$E$8:$E$2008,"&gt;=01/09/"&amp;$G$3,Vendas!$E$8:$E$2008,"&lt;=30/09/"&amp;$G$3,Vendas!$C$8:$C$2008,"Entregue")+SUMIFS(Vendas!$Z$8:$Z$2008,Vendas!$W$8:$W$2008,$B11,Vendas!$E$8:$E$2008,"&gt;=01/09/"&amp;$G$3,Vendas!$E$8:$E$2008,"&lt;=30/09/"&amp;$G$3,Vendas!$C$8:$C$2008,"Entregue")+SUMIFS(Vendas!$AE$8:$AE$2008,Vendas!$AB$8:$AB$2008,$B11,Vendas!$E$8:$E$2008,"&gt;=01/09/"&amp;$G$3,Vendas!$E$8:$E$2008,"&lt;=30/09/"&amp;$G$3,Vendas!$C$8:$C$2008,"Entregue")+SUMIFS(Vendas!$AJ$8:$AJ$2008,Vendas!$AG$8:$AG$2008,$B11,Vendas!$E$8:$E$2008,"&gt;=01/09/"&amp;$G$3,Vendas!$E$8:$E$2008,"&lt;=30/09/"&amp;$G$3,Vendas!$C$8:$C$2008,"Entregue")+SUMIFS(Vendas!$AO$8:$AO$2008,Vendas!$AL$8:$AL$2008,$B11,Vendas!$E$8:$E$2008,"&gt;=01/09/"&amp;$G$3,Vendas!$E$8:$E$2008,"&lt;=30/09/"&amp;$G$3,Vendas!$C$8:$C$2008,"Entregue")+SUMIFS(Vendas!$AT$8:$AT$2008,Vendas!$AQ$8:$AQ$2008,$B11,Vendas!$E$8:$E$2008,"&gt;=01/09/"&amp;$G$3,Vendas!$E$8:$E$2008,"&lt;=30/09/"&amp;$G$3,Vendas!$C$8:$C$2008,"Entregue")</f>
        <v>0</v>
      </c>
      <c r="U11" s="159">
        <f>SUMIFS(Vendas!$K$8:$K$2008,Vendas!$H$8:$H$2008,$B11,Vendas!$E$8:$E$2008,"&gt;=01/10/"&amp;$G$3,Vendas!$E$8:$E$2008,"&lt;=31/10/"&amp;$G$3)+SUMIFS(Vendas!$P$8:$P$2008,Vendas!$M$8:$M$2008,$B11,Vendas!$E$8:$E$2008,"&gt;=01/10/"&amp;$G$3,Vendas!$E$8:$E$2008,"&lt;=31/10/"&amp;$G$3)+SUMIFS(Vendas!$U$8:$U$2008,Vendas!$R$8:$R$2008,$B11,Vendas!$E$8:$E$2008,"&gt;=01/10/"&amp;$G$3,Vendas!$E$8:$E$2008,"&lt;=31/10/"&amp;$G$3)+SUMIFS(Vendas!$Z$8:$Z$2008,Vendas!$W$8:$W$2008,$B11,Vendas!$E$8:$E$2008,"&gt;=01/10/"&amp;$G$3,Vendas!$E$8:$E$2008,"&lt;=31/10/"&amp;$G$3)+SUMIFS(Vendas!$AE$8:$AE$2008,Vendas!$AB$8:$AB$2008,$B11,Vendas!$E$8:$E$2008,"&gt;=01/10/"&amp;$G$3,Vendas!$E$8:$E$2008,"&lt;=31/10/"&amp;$G$3)+SUMIFS(Vendas!$AJ$8:$AJ$2008,Vendas!$AG$8:$AG$2008,$B11,Vendas!$E$8:$E$2008,"&gt;=01/10/"&amp;$G$3,Vendas!$E$8:$E$2008,"&lt;=31/10/"&amp;$G$3)+SUMIFS(Vendas!$AO$8:$AO$2008,Vendas!$AL$8:$AL$2008,$B11,Vendas!$E$8:$E$2008,"&gt;=01/10/"&amp;$G$3,Vendas!$E$8:$E$2008,"&lt;=31/10/"&amp;$G$3)+SUMIFS(Vendas!$AT$8:$AT$2008,Vendas!$AQ$8:$AQ$2008,$B11,Vendas!$E$8:$E$2008,"&gt;=01/10/"&amp;$G$3,Vendas!$E$8:$E$2008,"&lt;=31/10/"&amp;$G$3)</f>
        <v>0</v>
      </c>
      <c r="V11" s="159">
        <f>SUMIFS(Vendas!$K$8:$K$2008,Vendas!$H$8:$H$2008,$B11,Vendas!$E$8:$E$2008,"&gt;=01/10/"&amp;$G$3,Vendas!$E$8:$E$2008,"&lt;=31/10/"&amp;$G$3,Vendas!$C$8:$C$2008,"Entregue")+SUMIFS(Vendas!$P$8:$P$2008,Vendas!$M$8:$M$2008,$B11,Vendas!$E$8:$E$2008,"&gt;=01/10/"&amp;$G$3,Vendas!$E$8:$E$2008,"&lt;=31/10/"&amp;$G$3,Vendas!$C$8:$C$2008,"Entregue")+SUMIFS(Vendas!$U$8:$U$2008,Vendas!$R$8:$R$2008,$B11,Vendas!$E$8:$E$2008,"&gt;=01/10/"&amp;$G$3,Vendas!$E$8:$E$2008,"&lt;=31/10/"&amp;$G$3,Vendas!$C$8:$C$2008,"Entregue")+SUMIFS(Vendas!$Z$8:$Z$2008,Vendas!$W$8:$W$2008,$B11,Vendas!$E$8:$E$2008,"&gt;=01/10/"&amp;$G$3,Vendas!$E$8:$E$2008,"&lt;=31/10/"&amp;$G$3,Vendas!$C$8:$C$2008,"Entregue")+SUMIFS(Vendas!$AE$8:$AE$2008,Vendas!$AB$8:$AB$2008,$B11,Vendas!$E$8:$E$2008,"&gt;=01/10/"&amp;$G$3,Vendas!$E$8:$E$2008,"&lt;=31/10/"&amp;$G$3,Vendas!$C$8:$C$2008,"Entregue")+SUMIFS(Vendas!$AJ$8:$AJ$2008,Vendas!$AG$8:$AG$2008,$B11,Vendas!$E$8:$E$2008,"&gt;=01/10/"&amp;$G$3,Vendas!$E$8:$E$2008,"&lt;=31/10/"&amp;$G$3,Vendas!$C$8:$C$2008,"Entregue")+SUMIFS(Vendas!$AO$8:$AO$2008,Vendas!$AL$8:$AL$2008,$B11,Vendas!$E$8:$E$2008,"&gt;=01/10/"&amp;$G$3,Vendas!$E$8:$E$2008,"&lt;=31/10/"&amp;$G$3,Vendas!$C$8:$C$2008,"Entregue")+SUMIFS(Vendas!$AT$8:$AT$2008,Vendas!$AQ$8:$AQ$2008,$B11,Vendas!$E$8:$E$2008,"&gt;=01/10/"&amp;$G$3,Vendas!$E$8:$E$2008,"&lt;=31/10/"&amp;$G$3,Vendas!$C$8:$C$2008,"Entregue")</f>
        <v>0</v>
      </c>
      <c r="W11" s="159">
        <f>SUMIFS(Vendas!$K$8:$K$2008,Vendas!$H$8:$H$2008,$B11,Vendas!$E$8:$E$2008,"&gt;=01/11/"&amp;$G$3,Vendas!$E$8:$E$2008,"&lt;=30/11/"&amp;$G$3)+SUMIFS(Vendas!$P$8:$P$2008,Vendas!$M$8:$M$2008,$B11,Vendas!$E$8:$E$2008,"&gt;=01/11/"&amp;$G$3,Vendas!$E$8:$E$2008,"&lt;=30/11/"&amp;$G$3)+SUMIFS(Vendas!$U$8:$U$2008,Vendas!$R$8:$R$2008,$B11,Vendas!$E$8:$E$2008,"&gt;=01/11/"&amp;$G$3,Vendas!$E$8:$E$2008,"&lt;=30/11/"&amp;$G$3)+SUMIFS(Vendas!$Z$8:$Z$2008,Vendas!$W$8:$W$2008,$B11,Vendas!$E$8:$E$2008,"&gt;=01/11/"&amp;$G$3,Vendas!$E$8:$E$2008,"&lt;=30/11/"&amp;$G$3)+SUMIFS(Vendas!$AE$8:$AE$2008,Vendas!$AB$8:$AB$2008,$B11,Vendas!$E$8:$E$2008,"&gt;=01/11/"&amp;$G$3,Vendas!$E$8:$E$2008,"&lt;=30/11/"&amp;$G$3)+SUMIFS(Vendas!$AJ$8:$AJ$2008,Vendas!$AG$8:$AG$2008,$B11,Vendas!$E$8:$E$2008,"&gt;=01/11/"&amp;$G$3,Vendas!$E$8:$E$2008,"&lt;=30/11/"&amp;$G$3)+SUMIFS(Vendas!$AO$8:$AO$2008,Vendas!$AL$8:$AL$2008,$B11,Vendas!$E$8:$E$2008,"&gt;=01/11/"&amp;$G$3,Vendas!$E$8:$E$2008,"&lt;=30/11/"&amp;$G$3)+SUMIFS(Vendas!$AT$8:$AT$2008,Vendas!$AQ$8:$AQ$2008,$B11,Vendas!$E$8:$E$2008,"&gt;=01/11/"&amp;$G$3,Vendas!$E$8:$E$2008,"&lt;=30/11/"&amp;$G$3)</f>
        <v>0</v>
      </c>
      <c r="X11" s="159">
        <f>SUMIFS(Vendas!$K$8:$K$2008,Vendas!$H$8:$H$2008,$B11,Vendas!$E$8:$E$2008,"&gt;=01/11/"&amp;$G$3,Vendas!$E$8:$E$2008,"&lt;=30/11/"&amp;$G$3,Vendas!$C$8:$C$2008,"Entregue")+SUMIFS(Vendas!$P$8:$P$2008,Vendas!$M$8:$M$2008,$B11,Vendas!$E$8:$E$2008,"&gt;=01/11/"&amp;$G$3,Vendas!$E$8:$E$2008,"&lt;=30/11/"&amp;$G$3,Vendas!$C$8:$C$2008,"Entregue")+SUMIFS(Vendas!$U$8:$U$2008,Vendas!$R$8:$R$2008,$B11,Vendas!$E$8:$E$2008,"&gt;=01/11/"&amp;$G$3,Vendas!$E$8:$E$2008,"&lt;=30/11/"&amp;$G$3,Vendas!$C$8:$C$2008,"Entregue")+SUMIFS(Vendas!$Z$8:$Z$2008,Vendas!$W$8:$W$2008,$B11,Vendas!$E$8:$E$2008,"&gt;=01/11/"&amp;$G$3,Vendas!$E$8:$E$2008,"&lt;=30/11/"&amp;$G$3,Vendas!$C$8:$C$2008,"Entregue")+SUMIFS(Vendas!$AE$8:$AE$2008,Vendas!$AB$8:$AB$2008,$B11,Vendas!$E$8:$E$2008,"&gt;=01/11/"&amp;$G$3,Vendas!$E$8:$E$2008,"&lt;=30/11/"&amp;$G$3,Vendas!$C$8:$C$2008,"Entregue")+SUMIFS(Vendas!$AJ$8:$AJ$2008,Vendas!$AG$8:$AG$2008,$B11,Vendas!$E$8:$E$2008,"&gt;=01/11/"&amp;$G$3,Vendas!$E$8:$E$2008,"&lt;=30/11/"&amp;$G$3,Vendas!$C$8:$C$2008,"Entregue")+SUMIFS(Vendas!$AO$8:$AO$2008,Vendas!$AL$8:$AL$2008,$B11,Vendas!$E$8:$E$2008,"&gt;=01/11/"&amp;$G$3,Vendas!$E$8:$E$2008,"&lt;=30/11/"&amp;$G$3,Vendas!$C$8:$C$2008,"Entregue")+SUMIFS(Vendas!$AT$8:$AT$2008,Vendas!$AQ$8:$AQ$2008,$B11,Vendas!$E$8:$E$2008,"&gt;=01/11/"&amp;$G$3,Vendas!$E$8:$E$2008,"&lt;=30/11/"&amp;$G$3,Vendas!$C$8:$C$2008,"Entregue")</f>
        <v>0</v>
      </c>
      <c r="Y11" s="159">
        <f>SUMIFS(Vendas!$K$8:$K$2008,Vendas!$H$8:$H$2008,$B11,Vendas!$E$8:$E$2008,"&gt;=01/12/"&amp;$G$3,Vendas!$E$8:$E$2008,"&lt;=31/12/"&amp;$G$3)+SUMIFS(Vendas!$P$8:$P$2008,Vendas!$M$8:$M$2008,$B11,Vendas!$E$8:$E$2008,"&gt;=01/12/"&amp;$G$3,Vendas!$E$8:$E$2008,"&lt;=31/12/"&amp;$G$3)+SUMIFS(Vendas!$U$8:$U$2008,Vendas!$R$8:$R$2008,$B11,Vendas!$E$8:$E$2008,"&gt;=01/12/"&amp;$G$3,Vendas!$E$8:$E$2008,"&lt;=31/12/"&amp;$G$3)+SUMIFS(Vendas!$Z$8:$Z$2008,Vendas!$W$8:$W$2008,$B11,Vendas!$E$8:$E$2008,"&gt;=01/12/"&amp;$G$3,Vendas!$E$8:$E$2008,"&lt;=31/12/"&amp;$G$3)+SUMIFS(Vendas!$AE$8:$AE$2008,Vendas!$AB$8:$AB$2008,$B11,Vendas!$E$8:$E$2008,"&gt;=01/12/"&amp;$G$3,Vendas!$E$8:$E$2008,"&lt;=31/12/"&amp;$G$3)+SUMIFS(Vendas!$AJ$8:$AJ$2008,Vendas!$AG$8:$AG$2008,$B11,Vendas!$E$8:$E$2008,"&gt;=01/12/"&amp;$G$3,Vendas!$E$8:$E$2008,"&lt;=31/12/"&amp;$G$3)+SUMIFS(Vendas!$AO$8:$AO$2008,Vendas!$AL$8:$AL$2008,$B11,Vendas!$E$8:$E$2008,"&gt;=01/12/"&amp;$G$3,Vendas!$E$8:$E$2008,"&lt;=31/12/"&amp;$G$3)+SUMIFS(Vendas!$AT$8:$AT$2008,Vendas!$AQ$8:$AQ$2008,$B11,Vendas!$E$8:$E$2008,"&gt;=01/12/"&amp;$G$3,Vendas!$E$8:$E$2008,"&lt;=31/12/"&amp;$G$3)</f>
        <v>0</v>
      </c>
      <c r="Z11" s="160">
        <f>SUMIFS(Vendas!$K$8:$K$2008,Vendas!$H$8:$H$2008,$B11,Vendas!$E$8:$E$2008,"&gt;=01/12/"&amp;$G$3,Vendas!$E$8:$E$2008,"&lt;=31/12/"&amp;$G$3,Vendas!$C$8:$C$2008,"Entregue")+SUMIFS(Vendas!$P$8:$P$2008,Vendas!$M$8:$M$2008,$B11,Vendas!$E$8:$E$2008,"&gt;=01/12/"&amp;$G$3,Vendas!$E$8:$E$2008,"&lt;=31/12/"&amp;$G$3,Vendas!$C$8:$C$2008,"Entregue")+SUMIFS(Vendas!$U$8:$U$2008,Vendas!$R$8:$R$2008,$B11,Vendas!$E$8:$E$2008,"&gt;=01/12/"&amp;$G$3,Vendas!$E$8:$E$2008,"&lt;=31/12/"&amp;$G$3,Vendas!$C$8:$C$2008,"Entregue")+SUMIFS(Vendas!$Z$8:$Z$2008,Vendas!$W$8:$W$2008,$B11,Vendas!$E$8:$E$2008,"&gt;=01/12/"&amp;$G$3,Vendas!$E$8:$E$2008,"&lt;=31/12/"&amp;$G$3,Vendas!$C$8:$C$2008,"Entregue")+SUMIFS(Vendas!$AE$8:$AE$2008,Vendas!$AB$8:$AB$2008,$B11,Vendas!$E$8:$E$2008,"&gt;=01/12/"&amp;$G$3,Vendas!$E$8:$E$2008,"&lt;=31/12/"&amp;$G$3,Vendas!$C$8:$C$2008,"Entregue")+SUMIFS(Vendas!$AJ$8:$AJ$2008,Vendas!$AG$8:$AG$2008,$B11,Vendas!$E$8:$E$2008,"&gt;=01/12/"&amp;$G$3,Vendas!$E$8:$E$2008,"&lt;=31/12/"&amp;$G$3,Vendas!$C$8:$C$2008,"Entregue")+SUMIFS(Vendas!$AO$8:$AO$2008,Vendas!$AL$8:$AL$2008,$B11,Vendas!$E$8:$E$2008,"&gt;=01/12/"&amp;$G$3,Vendas!$E$8:$E$2008,"&lt;=31/12/"&amp;$G$3,Vendas!$C$8:$C$2008,"Entregue")+SUMIFS(Vendas!$AT$8:$AT$2008,Vendas!$AQ$8:$AQ$2008,$B11,Vendas!$E$8:$E$2008,"&gt;=01/12/"&amp;$G$3,Vendas!$E$8:$E$2008,"&lt;=31/12/"&amp;$G$3,Vendas!$C$8:$C$2008,"Entregue")</f>
        <v>0</v>
      </c>
      <c r="AA11" s="132">
        <f t="shared" si="0"/>
        <v>2216.3000000000002</v>
      </c>
      <c r="AB11" s="132">
        <f t="shared" si="0"/>
        <v>2216.3000000000002</v>
      </c>
      <c r="AC11" s="67"/>
    </row>
    <row r="12" spans="1:50" ht="14.4" x14ac:dyDescent="0.3">
      <c r="B12" s="262" t="str">
        <f>IF(Cadastros!D11="","",Cadastros!D11)</f>
        <v>10105 - Colchão Vivace 138 X 188 X 024 cm MVQ</v>
      </c>
      <c r="C12" s="161">
        <f>SUMIFS(Vendas!$K$8:$K$2008,Vendas!$H$8:$H$2008,$B12,Vendas!$E$8:$E$2008,"&gt;=01/01/"&amp;$G$3,Vendas!$E$8:$E$2008,"&lt;=31/01/"&amp;$G$3)+SUMIFS(Vendas!$P$8:$P$2008,Vendas!$M$8:$M$2008,$B12,Vendas!$E$8:$E$2008,"&gt;=01/01/"&amp;$G$3,Vendas!$E$8:$E$2008,"&lt;=31/01/"&amp;$G$3)+SUMIFS(Vendas!$U$8:$U$2008,Vendas!$R$8:$R$2008,$B12,Vendas!$E$8:$E$2008,"&gt;=01/01/"&amp;$G$3,Vendas!$E$8:$E$2008,"&lt;=31/01/"&amp;$G$3)+SUMIFS(Vendas!$Z$8:$Z$2008,Vendas!$W$8:$W$2008,$B12,Vendas!$E$8:$E$2008,"&gt;=01/01/"&amp;$G$3,Vendas!$E$8:$E$2008,"&lt;=31/01/"&amp;$G$3)+SUMIFS(Vendas!$AE$8:$AE$2008,Vendas!$AB$8:$AB$2008,$B12,Vendas!$E$8:$E$2008,"&gt;=01/01/"&amp;$G$3,Vendas!$E$8:$E$2008,"&lt;=31/01/"&amp;$G$3)+SUMIFS(Vendas!$AJ$8:$AJ$2008,Vendas!$AG$8:$AG$2008,$B12,Vendas!$E$8:$E$2008,"&gt;=01/01/"&amp;$G$3,Vendas!$E$8:$E$2008,"&lt;=31/01/"&amp;$G$3)+SUMIFS(Vendas!$AO$8:$AO$2008,Vendas!$AL$8:$AL$2008,$B12,Vendas!$E$8:$E$2008,"&gt;=01/01/"&amp;$G$3,Vendas!$E$8:$E$2008,"&lt;=31/01/"&amp;$G$3)+SUMIFS(Vendas!$AT$8:$AT$2008,Vendas!$AQ$8:$AQ$2008,$B12,Vendas!$E$8:$E$2008,"&gt;=01/01/"&amp;$G$3,Vendas!$E$8:$E$2008,"&lt;=31/01/"&amp;$G$3)</f>
        <v>0</v>
      </c>
      <c r="D12" s="162">
        <f>SUMIFS(Vendas!$K$8:$K$2008,Vendas!$H$8:$H$2008,$B12,Vendas!$E$8:$E$2008,"&gt;=01/01/"&amp;$G$3,Vendas!$E$8:$E$2008,"&lt;=31/01/"&amp;$G$3,Vendas!$C$8:$C$2008,"Entregue")+SUMIFS(Vendas!$P$8:$P$2008,Vendas!$M$8:$M$2008,$B12,Vendas!$E$8:$E$2008,"&gt;=01/01/"&amp;$G$3,Vendas!$E$8:$E$2008,"&lt;=31/01/"&amp;$G$3,Vendas!$C$8:$C$2008,"Entregue")+SUMIFS(Vendas!$U$8:$U$2008,Vendas!$R$8:$R$2008,$B12,Vendas!$E$8:$E$2008,"&gt;=01/01/"&amp;$G$3,Vendas!$E$8:$E$2008,"&lt;=31/01/"&amp;$G$3,Vendas!$C$8:$C$2008,"Entregue")+SUMIFS(Vendas!$Z$8:$Z$2008,Vendas!$W$8:$W$2008,$B12,Vendas!$E$8:$E$2008,"&gt;=01/01/"&amp;$G$3,Vendas!$E$8:$E$2008,"&lt;=31/01/"&amp;$G$3,Vendas!$C$8:$C$2008,"Entregue")+SUMIFS(Vendas!$AE$8:$AE$2008,Vendas!$AB$8:$AB$2008,$B12,Vendas!$E$8:$E$2008,"&gt;=01/01/"&amp;$G$3,Vendas!$E$8:$E$2008,"&lt;=31/01/"&amp;$G$3,Vendas!$C$8:$C$2008,"Entregue")+SUMIFS(Vendas!$AJ$8:$AJ$2008,Vendas!$AG$8:$AG$2008,$B12,Vendas!$E$8:$E$2008,"&gt;=01/01/"&amp;$G$3,Vendas!$E$8:$E$2008,"&lt;=31/01/"&amp;$G$3,Vendas!$C$8:$C$2008,"Entregue")+SUMIFS(Vendas!$AO$8:$AO$2008,Vendas!$AL$8:$AL$2008,$B12,Vendas!$E$8:$E$2008,"&gt;=01/01/"&amp;$G$3,Vendas!$E$8:$E$2008,"&lt;=31/01/"&amp;$G$3,Vendas!$C$8:$C$2008,"Entregue")+SUMIFS(Vendas!$AT$8:$AT$2008,Vendas!$AQ$8:$AQ$2008,$B12,Vendas!$E$8:$E$2008,"&gt;=01/01/"&amp;$G$3,Vendas!$E$8:$E$2008,"&lt;=31/01/"&amp;$G$3,Vendas!$C$8:$C$2008,"Entregue")</f>
        <v>0</v>
      </c>
      <c r="E12" s="162">
        <f>SUMIFS(Vendas!$K$8:$K$2008,Vendas!$H$8:$H$2008,$B12,Vendas!$E$8:$E$2008,"&gt;=01/02/"&amp;$G$3,Vendas!$E$8:$E$2008,"&lt;=28/02/"&amp;$G$3)+SUMIFS(Vendas!$P$8:$P$2008,Vendas!$M$8:$M$2008,$B12,Vendas!$E$8:$E$2008,"&gt;=01/02/"&amp;$G$3,Vendas!$E$8:$E$2008,"&lt;=28/02/"&amp;$G$3)+SUMIFS(Vendas!$U$8:$U$2008,Vendas!$R$8:$R$2008,$B12,Vendas!$E$8:$E$2008,"&gt;=01/02/"&amp;$G$3,Vendas!$E$8:$E$2008,"&lt;=28/02/"&amp;$G$3)+SUMIFS(Vendas!$Z$8:$Z$2008,Vendas!$W$8:$W$2008,$B12,Vendas!$E$8:$E$2008,"&gt;=01/02/"&amp;$G$3,Vendas!$E$8:$E$2008,"&lt;=28/02/"&amp;$G$3)+SUMIFS(Vendas!$AE$8:$AE$2008,Vendas!$AB$8:$AB$2008,$B12,Vendas!$E$8:$E$2008,"&gt;=01/02/"&amp;$G$3,Vendas!$E$8:$E$2008,"&lt;=28/02/"&amp;$G$3)+SUMIFS(Vendas!$AJ$8:$AJ$2008,Vendas!$AG$8:$AG$2008,$B12,Vendas!$E$8:$E$2008,"&gt;=01/02/"&amp;$G$3,Vendas!$E$8:$E$2008,"&lt;=28/02/"&amp;$G$3)+SUMIFS(Vendas!$AO$8:$AO$2008,Vendas!$AL$8:$AL$2008,$B12,Vendas!$E$8:$E$2008,"&gt;=01/02/"&amp;$G$3,Vendas!$E$8:$E$2008,"&lt;=28/02/"&amp;$G$3)+SUMIFS(Vendas!$AT$8:$AT$2008,Vendas!$AQ$8:$AQ$2008,$B12,Vendas!$E$8:$E$2008,"&gt;=01/02/"&amp;$G$3,Vendas!$E$8:$E$2008,"&lt;=28/02/"&amp;$G$3)</f>
        <v>0</v>
      </c>
      <c r="F12" s="162">
        <f>SUMIFS(Vendas!$K$8:$K$2008,Vendas!$H$8:$H$2008,$B12,Vendas!$E$8:$E$2008,"&gt;=01/02/"&amp;$G$3,Vendas!$E$8:$E$2008,"&lt;=28/02/"&amp;$G$3,Vendas!$C$8:$C$2008,"Entregue")+SUMIFS(Vendas!$P$8:$P$2008,Vendas!$M$8:$M$2008,$B12,Vendas!$E$8:$E$2008,"&gt;=01/02/"&amp;$G$3,Vendas!$E$8:$E$2008,"&lt;=28/02/"&amp;$G$3,Vendas!$C$8:$C$2008,"Entregue")+SUMIFS(Vendas!$U$8:$U$2008,Vendas!$R$8:$R$2008,$B12,Vendas!$E$8:$E$2008,"&gt;=01/02/"&amp;$G$3,Vendas!$E$8:$E$2008,"&lt;=28/02/"&amp;$G$3,Vendas!$C$8:$C$2008,"Entregue")+SUMIFS(Vendas!$Z$8:$Z$2008,Vendas!$W$8:$W$2008,$B12,Vendas!$E$8:$E$2008,"&gt;=01/02/"&amp;$G$3,Vendas!$E$8:$E$2008,"&lt;=28/02/"&amp;$G$3,Vendas!$C$8:$C$2008,"Entregue")+SUMIFS(Vendas!$AE$8:$AE$2008,Vendas!$AB$8:$AB$2008,$B12,Vendas!$E$8:$E$2008,"&gt;=01/02/"&amp;$G$3,Vendas!$E$8:$E$2008,"&lt;=28/02/"&amp;$G$3,Vendas!$C$8:$C$2008,"Entregue")+SUMIFS(Vendas!$AJ$8:$AJ$2008,Vendas!$AG$8:$AG$2008,$B12,Vendas!$E$8:$E$2008,"&gt;=01/02/"&amp;$G$3,Vendas!$E$8:$E$2008,"&lt;=28/02/"&amp;$G$3,Vendas!$C$8:$C$2008,"Entregue")+SUMIFS(Vendas!$AO$8:$AO$2008,Vendas!$AL$8:$AL$2008,$B12,Vendas!$E$8:$E$2008,"&gt;=01/02/"&amp;$G$3,Vendas!$E$8:$E$2008,"&lt;=28/02/"&amp;$G$3,Vendas!$C$8:$C$2008,"Entregue")+SUMIFS(Vendas!$AT$8:$AT$2008,Vendas!$AQ$8:$AQ$2008,$B12,Vendas!$E$8:$E$2008,"&gt;=01/02/"&amp;$G$3,Vendas!$E$8:$E$2008,"&lt;=28/02/"&amp;$G$3,Vendas!$C$8:$C$2008,"Entregue")</f>
        <v>0</v>
      </c>
      <c r="G12" s="162">
        <f>SUMIFS(Vendas!$K$8:$K$2008,Vendas!$H$8:$H$2008,$B12,Vendas!$E$8:$E$2008,"&gt;=01/03/"&amp;$G$3,Vendas!$E$8:$E$2008,"&lt;=31/03/"&amp;$G$3)+SUMIFS(Vendas!$P$8:$P$2008,Vendas!$M$8:$M$2008,$B12,Vendas!$E$8:$E$2008,"&gt;=01/03/"&amp;$G$3,Vendas!$E$8:$E$2008,"&lt;=31/03/"&amp;$G$3)+SUMIFS(Vendas!$U$8:$U$2008,Vendas!$R$8:$R$2008,$B12,Vendas!$E$8:$E$2008,"&gt;=01/03/"&amp;$G$3,Vendas!$E$8:$E$2008,"&lt;=31/03/"&amp;$G$3)+SUMIFS(Vendas!$Z$8:$Z$2008,Vendas!$W$8:$W$2008,$B12,Vendas!$E$8:$E$2008,"&gt;=01/03/"&amp;$G$3,Vendas!$E$8:$E$2008,"&lt;=31/03/"&amp;$G$3)+SUMIFS(Vendas!$AE$8:$AE$2008,Vendas!$AB$8:$AB$2008,$B12,Vendas!$E$8:$E$2008,"&gt;=01/03/"&amp;$G$3,Vendas!$E$8:$E$2008,"&lt;=31/03/"&amp;$G$3)+SUMIFS(Vendas!$AJ$8:$AJ$2008,Vendas!$AG$8:$AG$2008,$B12,Vendas!$E$8:$E$2008,"&gt;=01/03/"&amp;$G$3,Vendas!$E$8:$E$2008,"&lt;=31/03/"&amp;$G$3)+SUMIFS(Vendas!$AO$8:$AO$2008,Vendas!$AL$8:$AL$2008,$B12,Vendas!$E$8:$E$2008,"&gt;=01/03/"&amp;$G$3,Vendas!$E$8:$E$2008,"&lt;=31/03/"&amp;$G$3)+SUMIFS(Vendas!$AT$8:$AT$2008,Vendas!$AQ$8:$AQ$2008,$B12,Vendas!$E$8:$E$2008,"&gt;=01/03/"&amp;$G$3,Vendas!$E$8:$E$2008,"&lt;=31/03/"&amp;$G$3)</f>
        <v>0</v>
      </c>
      <c r="H12" s="162">
        <f>SUMIFS(Vendas!$K$8:$K$2008,Vendas!$H$8:$H$2008,$B12,Vendas!$E$8:$E$2008,"&gt;=01/03/"&amp;$G$3,Vendas!$E$8:$E$2008,"&lt;=31/03/"&amp;$G$3,Vendas!$C$8:$C$2008,"Entregue")+SUMIFS(Vendas!$P$8:$P$2008,Vendas!$M$8:$M$2008,$B12,Vendas!$E$8:$E$2008,"&gt;=01/03/"&amp;$G$3,Vendas!$E$8:$E$2008,"&lt;=31/03/"&amp;$G$3,Vendas!$C$8:$C$2008,"Entregue")+SUMIFS(Vendas!$U$8:$U$2008,Vendas!$R$8:$R$2008,$B12,Vendas!$E$8:$E$2008,"&gt;=01/03/"&amp;$G$3,Vendas!$E$8:$E$2008,"&lt;=31/03/"&amp;$G$3,Vendas!$C$8:$C$2008,"Entregue")+SUMIFS(Vendas!$Z$8:$Z$2008,Vendas!$W$8:$W$2008,$B12,Vendas!$E$8:$E$2008,"&gt;=01/03/"&amp;$G$3,Vendas!$E$8:$E$2008,"&lt;=31/03/"&amp;$G$3,Vendas!$C$8:$C$2008,"Entregue")+SUMIFS(Vendas!$AE$8:$AE$2008,Vendas!$AB$8:$AB$2008,$B12,Vendas!$E$8:$E$2008,"&gt;=01/03/"&amp;$G$3,Vendas!$E$8:$E$2008,"&lt;=31/03/"&amp;$G$3,Vendas!$C$8:$C$2008,"Entregue")+SUMIFS(Vendas!$AJ$8:$AJ$2008,Vendas!$AG$8:$AG$2008,$B12,Vendas!$E$8:$E$2008,"&gt;=01/03/"&amp;$G$3,Vendas!$E$8:$E$2008,"&lt;=31/03/"&amp;$G$3,Vendas!$C$8:$C$2008,"Entregue")+SUMIFS(Vendas!$AO$8:$AO$2008,Vendas!$AL$8:$AL$2008,$B12,Vendas!$E$8:$E$2008,"&gt;=01/03/"&amp;$G$3,Vendas!$E$8:$E$2008,"&lt;=31/03/"&amp;$G$3,Vendas!$C$8:$C$2008,"Entregue")+SUMIFS(Vendas!$AT$8:$AT$2008,Vendas!$AQ$8:$AQ$2008,$B12,Vendas!$E$8:$E$2008,"&gt;=01/03/"&amp;$G$3,Vendas!$E$8:$E$2008,"&lt;=31/03/"&amp;$G$3,Vendas!$C$8:$C$2008,"Entregue")</f>
        <v>0</v>
      </c>
      <c r="I12" s="162">
        <f>SUMIFS(Vendas!$K$8:$K$2008,Vendas!$H$8:$H$2008,$B12,Vendas!$E$8:$E$2008,"&gt;=01/04/"&amp;$G$3,Vendas!$E$8:$E$2008,"&lt;=30/04/"&amp;$G$3)+SUMIFS(Vendas!$P$8:$P$2008,Vendas!$M$8:$M$2008,$B12,Vendas!$E$8:$E$2008,"&gt;=01/04/"&amp;$G$3,Vendas!$E$8:$E$2008,"&lt;=30/04/"&amp;$G$3)+SUMIFS(Vendas!$U$8:$U$2008,Vendas!$R$8:$R$2008,$B12,Vendas!$E$8:$E$2008,"&gt;=01/04/"&amp;$G$3,Vendas!$E$8:$E$2008,"&lt;=30/04/"&amp;$G$3)+SUMIFS(Vendas!$Z$8:$Z$2008,Vendas!$W$8:$W$2008,$B12,Vendas!$E$8:$E$2008,"&gt;=01/04/"&amp;$G$3,Vendas!$E$8:$E$2008,"&lt;=30/04/"&amp;$G$3)+SUMIFS(Vendas!$AE$8:$AE$2008,Vendas!$AB$8:$AB$2008,$B12,Vendas!$E$8:$E$2008,"&gt;=01/04/"&amp;$G$3,Vendas!$E$8:$E$2008,"&lt;=30/04/"&amp;$G$3)+SUMIFS(Vendas!$AJ$8:$AJ$2008,Vendas!$AG$8:$AG$2008,$B12,Vendas!$E$8:$E$2008,"&gt;=01/04/"&amp;$G$3,Vendas!$E$8:$E$2008,"&lt;=30/04/"&amp;$G$3)+SUMIFS(Vendas!$AO$8:$AO$2008,Vendas!$AL$8:$AL$2008,$B12,Vendas!$E$8:$E$2008,"&gt;=01/04/"&amp;$G$3,Vendas!$E$8:$E$2008,"&lt;=30/04/"&amp;$G$3)+SUMIFS(Vendas!$AT$8:$AT$2008,Vendas!$AQ$8:$AQ$2008,$B12,Vendas!$E$8:$E$2008,"&gt;=01/04/"&amp;$G$3,Vendas!$E$8:$E$2008,"&lt;=30/04/"&amp;$G$3)</f>
        <v>0</v>
      </c>
      <c r="J12" s="162">
        <f>SUMIFS(Vendas!$K$8:$K$2008,Vendas!$H$8:$H$2008,$B12,Vendas!$E$8:$E$2008,"&gt;=01/04/"&amp;$G$3,Vendas!$E$8:$E$2008,"&lt;=30/04/"&amp;$G$3,Vendas!$C$8:$C$2008,"Entregue")+SUMIFS(Vendas!$P$8:$P$2008,Vendas!$M$8:$M$2008,$B12,Vendas!$E$8:$E$2008,"&gt;=01/04/"&amp;$G$3,Vendas!$E$8:$E$2008,"&lt;=30/04/"&amp;$G$3,Vendas!$C$8:$C$2008,"Entregue")+SUMIFS(Vendas!$U$8:$U$2008,Vendas!$R$8:$R$2008,$B12,Vendas!$E$8:$E$2008,"&gt;=01/04/"&amp;$G$3,Vendas!$E$8:$E$2008,"&lt;=30/04/"&amp;$G$3,Vendas!$C$8:$C$2008,"Entregue")+SUMIFS(Vendas!$Z$8:$Z$2008,Vendas!$W$8:$W$2008,$B12,Vendas!$E$8:$E$2008,"&gt;=01/04/"&amp;$G$3,Vendas!$E$8:$E$2008,"&lt;=30/04/"&amp;$G$3,Vendas!$C$8:$C$2008,"Entregue")+SUMIFS(Vendas!$AE$8:$AE$2008,Vendas!$AB$8:$AB$2008,$B12,Vendas!$E$8:$E$2008,"&gt;=01/04/"&amp;$G$3,Vendas!$E$8:$E$2008,"&lt;=30/04/"&amp;$G$3,Vendas!$C$8:$C$2008,"Entregue")+SUMIFS(Vendas!$AJ$8:$AJ$2008,Vendas!$AG$8:$AG$2008,$B12,Vendas!$E$8:$E$2008,"&gt;=01/04/"&amp;$G$3,Vendas!$E$8:$E$2008,"&lt;=30/04/"&amp;$G$3,Vendas!$C$8:$C$2008,"Entregue")+SUMIFS(Vendas!$AO$8:$AO$2008,Vendas!$AL$8:$AL$2008,$B12,Vendas!$E$8:$E$2008,"&gt;=01/04/"&amp;$G$3,Vendas!$E$8:$E$2008,"&lt;=30/04/"&amp;$G$3,Vendas!$C$8:$C$2008,"Entregue")+SUMIFS(Vendas!$AT$8:$AT$2008,Vendas!$AQ$8:$AQ$2008,$B12,Vendas!$E$8:$E$2008,"&gt;=01/04/"&amp;$G$3,Vendas!$E$8:$E$2008,"&lt;=30/04/"&amp;$G$3,Vendas!$C$8:$C$2008,"Entregue")</f>
        <v>0</v>
      </c>
      <c r="K12" s="162">
        <f>SUMIFS(Vendas!$K$8:$K$2008,Vendas!$H$8:$H$2008,$B12,Vendas!$E$8:$E$2008,"&gt;=01/05/"&amp;$G$3,Vendas!$E$8:$E$2008,"&lt;=31/05/"&amp;$G$3)+SUMIFS(Vendas!$P$8:$P$2008,Vendas!$M$8:$M$2008,$B12,Vendas!$E$8:$E$2008,"&gt;=01/05/"&amp;$G$3,Vendas!$E$8:$E$2008,"&lt;=31/05/"&amp;$G$3)+SUMIFS(Vendas!$U$8:$U$2008,Vendas!$R$8:$R$2008,$B12,Vendas!$E$8:$E$2008,"&gt;=01/05/"&amp;$G$3,Vendas!$E$8:$E$2008,"&lt;=31/05/"&amp;$G$3)+SUMIFS(Vendas!$Z$8:$Z$2008,Vendas!$W$8:$W$2008,$B12,Vendas!$E$8:$E$2008,"&gt;=01/05/"&amp;$G$3,Vendas!$E$8:$E$2008,"&lt;=31/05/"&amp;$G$3)+SUMIFS(Vendas!$AE$8:$AE$2008,Vendas!$AB$8:$AB$2008,$B12,Vendas!$E$8:$E$2008,"&gt;=01/05/"&amp;$G$3,Vendas!$E$8:$E$2008,"&lt;=31/05/"&amp;$G$3)+SUMIFS(Vendas!$AJ$8:$AJ$2008,Vendas!$AG$8:$AG$2008,$B12,Vendas!$E$8:$E$2008,"&gt;=01/05/"&amp;$G$3,Vendas!$E$8:$E$2008,"&lt;=31/05/"&amp;$G$3)+SUMIFS(Vendas!$AO$8:$AO$2008,Vendas!$AL$8:$AL$2008,$B12,Vendas!$E$8:$E$2008,"&gt;=01/05/"&amp;$G$3,Vendas!$E$8:$E$2008,"&lt;=31/05/"&amp;$G$3)+SUMIFS(Vendas!$AT$8:$AT$2008,Vendas!$AQ$8:$AQ$2008,$B12,Vendas!$E$8:$E$2008,"&gt;=01/05/"&amp;$G$3,Vendas!$E$8:$E$2008,"&lt;=31/05/"&amp;$G$3)</f>
        <v>0</v>
      </c>
      <c r="L12" s="162">
        <f>SUMIFS(Vendas!$K$8:$K$2008,Vendas!$H$8:$H$2008,$B12,Vendas!$E$8:$E$2008,"&gt;=01/05/"&amp;$G$3,Vendas!$E$8:$E$2008,"&lt;=31/05/"&amp;$G$3,Vendas!$C$8:$C$2008,"Entregue")+SUMIFS(Vendas!$P$8:$P$2008,Vendas!$M$8:$M$2008,$B12,Vendas!$E$8:$E$2008,"&gt;=01/05/"&amp;$G$3,Vendas!$E$8:$E$2008,"&lt;=31/05/"&amp;$G$3,Vendas!$C$8:$C$2008,"Entregue")+SUMIFS(Vendas!$U$8:$U$2008,Vendas!$R$8:$R$2008,$B12,Vendas!$E$8:$E$2008,"&gt;=01/05/"&amp;$G$3,Vendas!$E$8:$E$2008,"&lt;=31/05/"&amp;$G$3,Vendas!$C$8:$C$2008,"Entregue")+SUMIFS(Vendas!$Z$8:$Z$2008,Vendas!$W$8:$W$2008,$B12,Vendas!$E$8:$E$2008,"&gt;=01/05/"&amp;$G$3,Vendas!$E$8:$E$2008,"&lt;=31/05/"&amp;$G$3,Vendas!$C$8:$C$2008,"Entregue")+SUMIFS(Vendas!$AE$8:$AE$2008,Vendas!$AB$8:$AB$2008,$B12,Vendas!$E$8:$E$2008,"&gt;=01/05/"&amp;$G$3,Vendas!$E$8:$E$2008,"&lt;=31/05/"&amp;$G$3,Vendas!$C$8:$C$2008,"Entregue")+SUMIFS(Vendas!$AJ$8:$AJ$2008,Vendas!$AG$8:$AG$2008,$B12,Vendas!$E$8:$E$2008,"&gt;=01/05/"&amp;$G$3,Vendas!$E$8:$E$2008,"&lt;=31/05/"&amp;$G$3,Vendas!$C$8:$C$2008,"Entregue")+SUMIFS(Vendas!$AO$8:$AO$2008,Vendas!$AL$8:$AL$2008,$B12,Vendas!$E$8:$E$2008,"&gt;=01/05/"&amp;$G$3,Vendas!$E$8:$E$2008,"&lt;=31/05/"&amp;$G$3,Vendas!$C$8:$C$2008,"Entregue")+SUMIFS(Vendas!$AT$8:$AT$2008,Vendas!$AQ$8:$AQ$2008,$B12,Vendas!$E$8:$E$2008,"&gt;=01/05/"&amp;$G$3,Vendas!$E$8:$E$2008,"&lt;=31/05/"&amp;$G$3,Vendas!$C$8:$C$2008,"Entregue")</f>
        <v>0</v>
      </c>
      <c r="M12" s="162">
        <f>SUMIFS(Vendas!$K$8:$K$2008,Vendas!$H$8:$H$2008,$B12,Vendas!$E$8:$E$2008,"&gt;=01/06/"&amp;$G$3,Vendas!$E$8:$E$2008,"&lt;=30/06/"&amp;$G$3)+SUMIFS(Vendas!$P$8:$P$2008,Vendas!$M$8:$M$2008,$B12,Vendas!$E$8:$E$2008,"&gt;=01/06/"&amp;$G$3,Vendas!$E$8:$E$2008,"&lt;=30/06/"&amp;$G$3)+SUMIFS(Vendas!$U$8:$U$2008,Vendas!$R$8:$R$2008,$B12,Vendas!$E$8:$E$2008,"&gt;=01/06/"&amp;$G$3,Vendas!$E$8:$E$2008,"&lt;=30/06/"&amp;$G$3)+SUMIFS(Vendas!$Z$8:$Z$2008,Vendas!$W$8:$W$2008,$B12,Vendas!$E$8:$E$2008,"&gt;=01/06/"&amp;$G$3,Vendas!$E$8:$E$2008,"&lt;=30/06/"&amp;$G$3)+SUMIFS(Vendas!$AE$8:$AE$2008,Vendas!$AB$8:$AB$2008,$B12,Vendas!$E$8:$E$2008,"&gt;=01/06/"&amp;$G$3,Vendas!$E$8:$E$2008,"&lt;=30/06/"&amp;$G$3)+SUMIFS(Vendas!$AJ$8:$AJ$2008,Vendas!$AG$8:$AG$2008,$B12,Vendas!$E$8:$E$2008,"&gt;=01/06/"&amp;$G$3,Vendas!$E$8:$E$2008,"&lt;=30/06/"&amp;$G$3)+SUMIFS(Vendas!$AO$8:$AO$2008,Vendas!$AL$8:$AL$2008,$B12,Vendas!$E$8:$E$2008,"&gt;=01/06/"&amp;$G$3,Vendas!$E$8:$E$2008,"&lt;=30/06/"&amp;$G$3)+SUMIFS(Vendas!$AT$8:$AT$2008,Vendas!$AQ$8:$AQ$2008,$B12,Vendas!$E$8:$E$2008,"&gt;=01/06/"&amp;$G$3,Vendas!$E$8:$E$2008,"&lt;=30/06/"&amp;$G$3)</f>
        <v>2483.44</v>
      </c>
      <c r="N12" s="162">
        <f>SUMIFS(Vendas!$K$8:$K$2008,Vendas!$H$8:$H$2008,$B12,Vendas!$E$8:$E$2008,"&gt;=01/06/"&amp;$G$3,Vendas!$E$8:$E$2008,"&lt;=30/06/"&amp;$G$3,Vendas!$C$8:$C$2008,"Entregue")+SUMIFS(Vendas!$P$8:$P$2008,Vendas!$M$8:$M$2008,$B12,Vendas!$E$8:$E$2008,"&gt;=01/06/"&amp;$G$3,Vendas!$E$8:$E$2008,"&lt;=30/06/"&amp;$G$3,Vendas!$C$8:$C$2008,"Entregue")+SUMIFS(Vendas!$U$8:$U$2008,Vendas!$R$8:$R$2008,$B12,Vendas!$E$8:$E$2008,"&gt;=01/06/"&amp;$G$3,Vendas!$E$8:$E$2008,"&lt;=30/06/"&amp;$G$3,Vendas!$C$8:$C$2008,"Entregue")+SUMIFS(Vendas!$Z$8:$Z$2008,Vendas!$W$8:$W$2008,$B12,Vendas!$E$8:$E$2008,"&gt;=01/06/"&amp;$G$3,Vendas!$E$8:$E$2008,"&lt;=30/06/"&amp;$G$3,Vendas!$C$8:$C$2008,"Entregue")+SUMIFS(Vendas!$AE$8:$AE$2008,Vendas!$AB$8:$AB$2008,$B12,Vendas!$E$8:$E$2008,"&gt;=01/06/"&amp;$G$3,Vendas!$E$8:$E$2008,"&lt;=30/06/"&amp;$G$3,Vendas!$C$8:$C$2008,"Entregue")+SUMIFS(Vendas!$AJ$8:$AJ$2008,Vendas!$AG$8:$AG$2008,$B12,Vendas!$E$8:$E$2008,"&gt;=01/06/"&amp;$G$3,Vendas!$E$8:$E$2008,"&lt;=30/06/"&amp;$G$3,Vendas!$C$8:$C$2008,"Entregue")+SUMIFS(Vendas!$AO$8:$AO$2008,Vendas!$AL$8:$AL$2008,$B12,Vendas!$E$8:$E$2008,"&gt;=01/06/"&amp;$G$3,Vendas!$E$8:$E$2008,"&lt;=30/06/"&amp;$G$3,Vendas!$C$8:$C$2008,"Entregue")+SUMIFS(Vendas!$AT$8:$AT$2008,Vendas!$AQ$8:$AQ$2008,$B12,Vendas!$E$8:$E$2008,"&gt;=01/06/"&amp;$G$3,Vendas!$E$8:$E$2008,"&lt;=30/06/"&amp;$G$3,Vendas!$C$8:$C$2008,"Entregue")</f>
        <v>2483.44</v>
      </c>
      <c r="O12" s="162">
        <f>SUMIFS(Vendas!$K$8:$K$2008,Vendas!$H$8:$H$2008,$B12,Vendas!$E$8:$E$2008,"&gt;=01/07/"&amp;$G$3,Vendas!$E$8:$E$2008,"&lt;=31/07/"&amp;$G$3)+SUMIFS(Vendas!$P$8:$P$2008,Vendas!$M$8:$M$2008,$B12,Vendas!$E$8:$E$2008,"&gt;=01/07/"&amp;$G$3,Vendas!$E$8:$E$2008,"&lt;=31/07/"&amp;$G$3)+SUMIFS(Vendas!$U$8:$U$2008,Vendas!$R$8:$R$2008,$B12,Vendas!$E$8:$E$2008,"&gt;=01/07/"&amp;$G$3,Vendas!$E$8:$E$2008,"&lt;=31/07/"&amp;$G$3)+SUMIFS(Vendas!$Z$8:$Z$2008,Vendas!$W$8:$W$2008,$B12,Vendas!$E$8:$E$2008,"&gt;=01/07/"&amp;$G$3,Vendas!$E$8:$E$2008,"&lt;=31/07/"&amp;$G$3)+SUMIFS(Vendas!$AE$8:$AE$2008,Vendas!$AB$8:$AB$2008,$B12,Vendas!$E$8:$E$2008,"&gt;=01/07/"&amp;$G$3,Vendas!$E$8:$E$2008,"&lt;=31/07/"&amp;$G$3)+SUMIFS(Vendas!$AJ$8:$AJ$2008,Vendas!$AG$8:$AG$2008,$B12,Vendas!$E$8:$E$2008,"&gt;=01/07/"&amp;$G$3,Vendas!$E$8:$E$2008,"&lt;=31/07/"&amp;$G$3)+SUMIFS(Vendas!$AO$8:$AO$2008,Vendas!$AL$8:$AL$2008,$B12,Vendas!$E$8:$E$2008,"&gt;=01/07/"&amp;$G$3,Vendas!$E$8:$E$2008,"&lt;=31/07/"&amp;$G$3)+SUMIFS(Vendas!$AT$8:$AT$2008,Vendas!$AQ$8:$AQ$2008,$B12,Vendas!$E$8:$E$2008,"&gt;=01/07/"&amp;$G$3,Vendas!$E$8:$E$2008,"&lt;=31/07/"&amp;$G$3)</f>
        <v>0</v>
      </c>
      <c r="P12" s="162">
        <f>SUMIFS(Vendas!$K$8:$K$2008,Vendas!$H$8:$H$2008,$B12,Vendas!$E$8:$E$2008,"&gt;=01/07/"&amp;$G$3,Vendas!$E$8:$E$2008,"&lt;=31/07/"&amp;$G$3,Vendas!$C$8:$C$2008,"Entregue")+SUMIFS(Vendas!$P$8:$P$2008,Vendas!$M$8:$M$2008,$B12,Vendas!$E$8:$E$2008,"&gt;=01/07/"&amp;$G$3,Vendas!$E$8:$E$2008,"&lt;=31/07/"&amp;$G$3,Vendas!$C$8:$C$2008,"Entregue")+SUMIFS(Vendas!$U$8:$U$2008,Vendas!$R$8:$R$2008,$B12,Vendas!$E$8:$E$2008,"&gt;=01/07/"&amp;$G$3,Vendas!$E$8:$E$2008,"&lt;=31/07/"&amp;$G$3,Vendas!$C$8:$C$2008,"Entregue")+SUMIFS(Vendas!$Z$8:$Z$2008,Vendas!$W$8:$W$2008,$B12,Vendas!$E$8:$E$2008,"&gt;=01/07/"&amp;$G$3,Vendas!$E$8:$E$2008,"&lt;=31/07/"&amp;$G$3,Vendas!$C$8:$C$2008,"Entregue")+SUMIFS(Vendas!$AE$8:$AE$2008,Vendas!$AB$8:$AB$2008,$B12,Vendas!$E$8:$E$2008,"&gt;=01/07/"&amp;$G$3,Vendas!$E$8:$E$2008,"&lt;=31/07/"&amp;$G$3,Vendas!$C$8:$C$2008,"Entregue")+SUMIFS(Vendas!$AJ$8:$AJ$2008,Vendas!$AG$8:$AG$2008,$B12,Vendas!$E$8:$E$2008,"&gt;=01/07/"&amp;$G$3,Vendas!$E$8:$E$2008,"&lt;=31/07/"&amp;$G$3,Vendas!$C$8:$C$2008,"Entregue")+SUMIFS(Vendas!$AO$8:$AO$2008,Vendas!$AL$8:$AL$2008,$B12,Vendas!$E$8:$E$2008,"&gt;=01/07/"&amp;$G$3,Vendas!$E$8:$E$2008,"&lt;=31/07/"&amp;$G$3,Vendas!$C$8:$C$2008,"Entregue")+SUMIFS(Vendas!$AT$8:$AT$2008,Vendas!$AQ$8:$AQ$2008,$B12,Vendas!$E$8:$E$2008,"&gt;=01/07/"&amp;$G$3,Vendas!$E$8:$E$2008,"&lt;=31/07/"&amp;$G$3,Vendas!$C$8:$C$2008,"Entregue")</f>
        <v>0</v>
      </c>
      <c r="Q12" s="162">
        <f>SUMIFS(Vendas!$K$8:$K$2008,Vendas!$H$8:$H$2008,$B12,Vendas!$E$8:$E$2008,"&gt;=01/08/"&amp;$G$3,Vendas!$E$8:$E$2008,"&lt;=31/08/"&amp;$G$3)+SUMIFS(Vendas!$P$8:$P$2008,Vendas!$M$8:$M$2008,$B12,Vendas!$E$8:$E$2008,"&gt;=01/08/"&amp;$G$3,Vendas!$E$8:$E$2008,"&lt;=31/08/"&amp;$G$3)+SUMIFS(Vendas!$U$8:$U$2008,Vendas!$R$8:$R$2008,$B12,Vendas!$E$8:$E$2008,"&gt;=01/08/"&amp;$G$3,Vendas!$E$8:$E$2008,"&lt;=31/08/"&amp;$G$3)+SUMIFS(Vendas!$Z$8:$Z$2008,Vendas!$W$8:$W$2008,$B12,Vendas!$E$8:$E$2008,"&gt;=01/08/"&amp;$G$3,Vendas!$E$8:$E$2008,"&lt;=31/08/"&amp;$G$3)+SUMIFS(Vendas!$AE$8:$AE$2008,Vendas!$AB$8:$AB$2008,$B12,Vendas!$E$8:$E$2008,"&gt;=01/08/"&amp;$G$3,Vendas!$E$8:$E$2008,"&lt;=31/08/"&amp;$G$3)+SUMIFS(Vendas!$AJ$8:$AJ$2008,Vendas!$AG$8:$AG$2008,$B12,Vendas!$E$8:$E$2008,"&gt;=01/08/"&amp;$G$3,Vendas!$E$8:$E$2008,"&lt;=31/08/"&amp;$G$3)+SUMIFS(Vendas!$AO$8:$AO$2008,Vendas!$AL$8:$AL$2008,$B12,Vendas!$E$8:$E$2008,"&gt;=01/08/"&amp;$G$3,Vendas!$E$8:$E$2008,"&lt;=31/08/"&amp;$G$3)+SUMIFS(Vendas!$AT$8:$AT$2008,Vendas!$AQ$8:$AQ$2008,$B12,Vendas!$E$8:$E$2008,"&gt;=01/08/"&amp;$G$3,Vendas!$E$8:$E$2008,"&lt;=31/08/"&amp;$G$3)</f>
        <v>0</v>
      </c>
      <c r="R12" s="162">
        <f>SUMIFS(Vendas!$K$8:$K$2008,Vendas!$H$8:$H$2008,$B12,Vendas!$E$8:$E$2008,"&gt;=01/08/"&amp;$G$3,Vendas!$E$8:$E$2008,"&lt;=31/08/"&amp;$G$3,Vendas!$C$8:$C$2008,"Entregue")+SUMIFS(Vendas!$P$8:$P$2008,Vendas!$M$8:$M$2008,$B12,Vendas!$E$8:$E$2008,"&gt;=01/08/"&amp;$G$3,Vendas!$E$8:$E$2008,"&lt;=31/08/"&amp;$G$3,Vendas!$C$8:$C$2008,"Entregue")+SUMIFS(Vendas!$U$8:$U$2008,Vendas!$R$8:$R$2008,$B12,Vendas!$E$8:$E$2008,"&gt;=01/08/"&amp;$G$3,Vendas!$E$8:$E$2008,"&lt;=31/08/"&amp;$G$3,Vendas!$C$8:$C$2008,"Entregue")+SUMIFS(Vendas!$Z$8:$Z$2008,Vendas!$W$8:$W$2008,$B12,Vendas!$E$8:$E$2008,"&gt;=01/08/"&amp;$G$3,Vendas!$E$8:$E$2008,"&lt;=31/08/"&amp;$G$3,Vendas!$C$8:$C$2008,"Entregue")+SUMIFS(Vendas!$AE$8:$AE$2008,Vendas!$AB$8:$AB$2008,$B12,Vendas!$E$8:$E$2008,"&gt;=01/08/"&amp;$G$3,Vendas!$E$8:$E$2008,"&lt;=31/08/"&amp;$G$3,Vendas!$C$8:$C$2008,"Entregue")+SUMIFS(Vendas!$AJ$8:$AJ$2008,Vendas!$AG$8:$AG$2008,$B12,Vendas!$E$8:$E$2008,"&gt;=01/08/"&amp;$G$3,Vendas!$E$8:$E$2008,"&lt;=31/08/"&amp;$G$3,Vendas!$C$8:$C$2008,"Entregue")+SUMIFS(Vendas!$AO$8:$AO$2008,Vendas!$AL$8:$AL$2008,$B12,Vendas!$E$8:$E$2008,"&gt;=01/08/"&amp;$G$3,Vendas!$E$8:$E$2008,"&lt;=31/08/"&amp;$G$3,Vendas!$C$8:$C$2008,"Entregue")+SUMIFS(Vendas!$AT$8:$AT$2008,Vendas!$AQ$8:$AQ$2008,$B12,Vendas!$E$8:$E$2008,"&gt;=01/08/"&amp;$G$3,Vendas!$E$8:$E$2008,"&lt;=31/08/"&amp;$G$3,Vendas!$C$8:$C$2008,"Entregue")</f>
        <v>0</v>
      </c>
      <c r="S12" s="162">
        <f>SUMIFS(Vendas!$K$8:$K$2008,Vendas!$H$8:$H$2008,$B12,Vendas!$E$8:$E$2008,"&gt;=01/09/"&amp;$G$3,Vendas!$E$8:$E$2008,"&lt;=30/09/"&amp;$G$3)+SUMIFS(Vendas!$P$8:$P$2008,Vendas!$M$8:$M$2008,$B12,Vendas!$E$8:$E$2008,"&gt;=01/09/"&amp;$G$3,Vendas!$E$8:$E$2008,"&lt;=30/09/"&amp;$G$3)+SUMIFS(Vendas!$U$8:$U$2008,Vendas!$R$8:$R$2008,$B12,Vendas!$E$8:$E$2008,"&gt;=01/09/"&amp;$G$3,Vendas!$E$8:$E$2008,"&lt;=30/09/"&amp;$G$3)+SUMIFS(Vendas!$Z$8:$Z$2008,Vendas!$W$8:$W$2008,$B12,Vendas!$E$8:$E$2008,"&gt;=01/09/"&amp;$G$3,Vendas!$E$8:$E$2008,"&lt;=30/09/"&amp;$G$3)+SUMIFS(Vendas!$AE$8:$AE$2008,Vendas!$AB$8:$AB$2008,$B12,Vendas!$E$8:$E$2008,"&gt;=01/09/"&amp;$G$3,Vendas!$E$8:$E$2008,"&lt;=30/09/"&amp;$G$3)+SUMIFS(Vendas!$AJ$8:$AJ$2008,Vendas!$AG$8:$AG$2008,$B12,Vendas!$E$8:$E$2008,"&gt;=01/09/"&amp;$G$3,Vendas!$E$8:$E$2008,"&lt;=30/09/"&amp;$G$3)+SUMIFS(Vendas!$AO$8:$AO$2008,Vendas!$AL$8:$AL$2008,$B12,Vendas!$E$8:$E$2008,"&gt;=01/09/"&amp;$G$3,Vendas!$E$8:$E$2008,"&lt;=30/09/"&amp;$G$3)+SUMIFS(Vendas!$AT$8:$AT$2008,Vendas!$AQ$8:$AQ$2008,$B12,Vendas!$E$8:$E$2008,"&gt;=01/09/"&amp;$G$3,Vendas!$E$8:$E$2008,"&lt;=30/09/"&amp;$G$3)</f>
        <v>0</v>
      </c>
      <c r="T12" s="162">
        <f>SUMIFS(Vendas!$K$8:$K$2008,Vendas!$H$8:$H$2008,$B12,Vendas!$E$8:$E$2008,"&gt;=01/09/"&amp;$G$3,Vendas!$E$8:$E$2008,"&lt;=30/09/"&amp;$G$3,Vendas!$C$8:$C$2008,"Entregue")+SUMIFS(Vendas!$P$8:$P$2008,Vendas!$M$8:$M$2008,$B12,Vendas!$E$8:$E$2008,"&gt;=01/09/"&amp;$G$3,Vendas!$E$8:$E$2008,"&lt;=30/09/"&amp;$G$3,Vendas!$C$8:$C$2008,"Entregue")+SUMIFS(Vendas!$U$8:$U$2008,Vendas!$R$8:$R$2008,$B12,Vendas!$E$8:$E$2008,"&gt;=01/09/"&amp;$G$3,Vendas!$E$8:$E$2008,"&lt;=30/09/"&amp;$G$3,Vendas!$C$8:$C$2008,"Entregue")+SUMIFS(Vendas!$Z$8:$Z$2008,Vendas!$W$8:$W$2008,$B12,Vendas!$E$8:$E$2008,"&gt;=01/09/"&amp;$G$3,Vendas!$E$8:$E$2008,"&lt;=30/09/"&amp;$G$3,Vendas!$C$8:$C$2008,"Entregue")+SUMIFS(Vendas!$AE$8:$AE$2008,Vendas!$AB$8:$AB$2008,$B12,Vendas!$E$8:$E$2008,"&gt;=01/09/"&amp;$G$3,Vendas!$E$8:$E$2008,"&lt;=30/09/"&amp;$G$3,Vendas!$C$8:$C$2008,"Entregue")+SUMIFS(Vendas!$AJ$8:$AJ$2008,Vendas!$AG$8:$AG$2008,$B12,Vendas!$E$8:$E$2008,"&gt;=01/09/"&amp;$G$3,Vendas!$E$8:$E$2008,"&lt;=30/09/"&amp;$G$3,Vendas!$C$8:$C$2008,"Entregue")+SUMIFS(Vendas!$AO$8:$AO$2008,Vendas!$AL$8:$AL$2008,$B12,Vendas!$E$8:$E$2008,"&gt;=01/09/"&amp;$G$3,Vendas!$E$8:$E$2008,"&lt;=30/09/"&amp;$G$3,Vendas!$C$8:$C$2008,"Entregue")+SUMIFS(Vendas!$AT$8:$AT$2008,Vendas!$AQ$8:$AQ$2008,$B12,Vendas!$E$8:$E$2008,"&gt;=01/09/"&amp;$G$3,Vendas!$E$8:$E$2008,"&lt;=30/09/"&amp;$G$3,Vendas!$C$8:$C$2008,"Entregue")</f>
        <v>0</v>
      </c>
      <c r="U12" s="162">
        <f>SUMIFS(Vendas!$K$8:$K$2008,Vendas!$H$8:$H$2008,$B12,Vendas!$E$8:$E$2008,"&gt;=01/10/"&amp;$G$3,Vendas!$E$8:$E$2008,"&lt;=31/10/"&amp;$G$3)+SUMIFS(Vendas!$P$8:$P$2008,Vendas!$M$8:$M$2008,$B12,Vendas!$E$8:$E$2008,"&gt;=01/10/"&amp;$G$3,Vendas!$E$8:$E$2008,"&lt;=31/10/"&amp;$G$3)+SUMIFS(Vendas!$U$8:$U$2008,Vendas!$R$8:$R$2008,$B12,Vendas!$E$8:$E$2008,"&gt;=01/10/"&amp;$G$3,Vendas!$E$8:$E$2008,"&lt;=31/10/"&amp;$G$3)+SUMIFS(Vendas!$Z$8:$Z$2008,Vendas!$W$8:$W$2008,$B12,Vendas!$E$8:$E$2008,"&gt;=01/10/"&amp;$G$3,Vendas!$E$8:$E$2008,"&lt;=31/10/"&amp;$G$3)+SUMIFS(Vendas!$AE$8:$AE$2008,Vendas!$AB$8:$AB$2008,$B12,Vendas!$E$8:$E$2008,"&gt;=01/10/"&amp;$G$3,Vendas!$E$8:$E$2008,"&lt;=31/10/"&amp;$G$3)+SUMIFS(Vendas!$AJ$8:$AJ$2008,Vendas!$AG$8:$AG$2008,$B12,Vendas!$E$8:$E$2008,"&gt;=01/10/"&amp;$G$3,Vendas!$E$8:$E$2008,"&lt;=31/10/"&amp;$G$3)+SUMIFS(Vendas!$AO$8:$AO$2008,Vendas!$AL$8:$AL$2008,$B12,Vendas!$E$8:$E$2008,"&gt;=01/10/"&amp;$G$3,Vendas!$E$8:$E$2008,"&lt;=31/10/"&amp;$G$3)+SUMIFS(Vendas!$AT$8:$AT$2008,Vendas!$AQ$8:$AQ$2008,$B12,Vendas!$E$8:$E$2008,"&gt;=01/10/"&amp;$G$3,Vendas!$E$8:$E$2008,"&lt;=31/10/"&amp;$G$3)</f>
        <v>0</v>
      </c>
      <c r="V12" s="162">
        <f>SUMIFS(Vendas!$K$8:$K$2008,Vendas!$H$8:$H$2008,$B12,Vendas!$E$8:$E$2008,"&gt;=01/10/"&amp;$G$3,Vendas!$E$8:$E$2008,"&lt;=31/10/"&amp;$G$3,Vendas!$C$8:$C$2008,"Entregue")+SUMIFS(Vendas!$P$8:$P$2008,Vendas!$M$8:$M$2008,$B12,Vendas!$E$8:$E$2008,"&gt;=01/10/"&amp;$G$3,Vendas!$E$8:$E$2008,"&lt;=31/10/"&amp;$G$3,Vendas!$C$8:$C$2008,"Entregue")+SUMIFS(Vendas!$U$8:$U$2008,Vendas!$R$8:$R$2008,$B12,Vendas!$E$8:$E$2008,"&gt;=01/10/"&amp;$G$3,Vendas!$E$8:$E$2008,"&lt;=31/10/"&amp;$G$3,Vendas!$C$8:$C$2008,"Entregue")+SUMIFS(Vendas!$Z$8:$Z$2008,Vendas!$W$8:$W$2008,$B12,Vendas!$E$8:$E$2008,"&gt;=01/10/"&amp;$G$3,Vendas!$E$8:$E$2008,"&lt;=31/10/"&amp;$G$3,Vendas!$C$8:$C$2008,"Entregue")+SUMIFS(Vendas!$AE$8:$AE$2008,Vendas!$AB$8:$AB$2008,$B12,Vendas!$E$8:$E$2008,"&gt;=01/10/"&amp;$G$3,Vendas!$E$8:$E$2008,"&lt;=31/10/"&amp;$G$3,Vendas!$C$8:$C$2008,"Entregue")+SUMIFS(Vendas!$AJ$8:$AJ$2008,Vendas!$AG$8:$AG$2008,$B12,Vendas!$E$8:$E$2008,"&gt;=01/10/"&amp;$G$3,Vendas!$E$8:$E$2008,"&lt;=31/10/"&amp;$G$3,Vendas!$C$8:$C$2008,"Entregue")+SUMIFS(Vendas!$AO$8:$AO$2008,Vendas!$AL$8:$AL$2008,$B12,Vendas!$E$8:$E$2008,"&gt;=01/10/"&amp;$G$3,Vendas!$E$8:$E$2008,"&lt;=31/10/"&amp;$G$3,Vendas!$C$8:$C$2008,"Entregue")+SUMIFS(Vendas!$AT$8:$AT$2008,Vendas!$AQ$8:$AQ$2008,$B12,Vendas!$E$8:$E$2008,"&gt;=01/10/"&amp;$G$3,Vendas!$E$8:$E$2008,"&lt;=31/10/"&amp;$G$3,Vendas!$C$8:$C$2008,"Entregue")</f>
        <v>0</v>
      </c>
      <c r="W12" s="162">
        <f>SUMIFS(Vendas!$K$8:$K$2008,Vendas!$H$8:$H$2008,$B12,Vendas!$E$8:$E$2008,"&gt;=01/11/"&amp;$G$3,Vendas!$E$8:$E$2008,"&lt;=30/11/"&amp;$G$3)+SUMIFS(Vendas!$P$8:$P$2008,Vendas!$M$8:$M$2008,$B12,Vendas!$E$8:$E$2008,"&gt;=01/11/"&amp;$G$3,Vendas!$E$8:$E$2008,"&lt;=30/11/"&amp;$G$3)+SUMIFS(Vendas!$U$8:$U$2008,Vendas!$R$8:$R$2008,$B12,Vendas!$E$8:$E$2008,"&gt;=01/11/"&amp;$G$3,Vendas!$E$8:$E$2008,"&lt;=30/11/"&amp;$G$3)+SUMIFS(Vendas!$Z$8:$Z$2008,Vendas!$W$8:$W$2008,$B12,Vendas!$E$8:$E$2008,"&gt;=01/11/"&amp;$G$3,Vendas!$E$8:$E$2008,"&lt;=30/11/"&amp;$G$3)+SUMIFS(Vendas!$AE$8:$AE$2008,Vendas!$AB$8:$AB$2008,$B12,Vendas!$E$8:$E$2008,"&gt;=01/11/"&amp;$G$3,Vendas!$E$8:$E$2008,"&lt;=30/11/"&amp;$G$3)+SUMIFS(Vendas!$AJ$8:$AJ$2008,Vendas!$AG$8:$AG$2008,$B12,Vendas!$E$8:$E$2008,"&gt;=01/11/"&amp;$G$3,Vendas!$E$8:$E$2008,"&lt;=30/11/"&amp;$G$3)+SUMIFS(Vendas!$AO$8:$AO$2008,Vendas!$AL$8:$AL$2008,$B12,Vendas!$E$8:$E$2008,"&gt;=01/11/"&amp;$G$3,Vendas!$E$8:$E$2008,"&lt;=30/11/"&amp;$G$3)+SUMIFS(Vendas!$AT$8:$AT$2008,Vendas!$AQ$8:$AQ$2008,$B12,Vendas!$E$8:$E$2008,"&gt;=01/11/"&amp;$G$3,Vendas!$E$8:$E$2008,"&lt;=30/11/"&amp;$G$3)</f>
        <v>0</v>
      </c>
      <c r="X12" s="162">
        <f>SUMIFS(Vendas!$K$8:$K$2008,Vendas!$H$8:$H$2008,$B12,Vendas!$E$8:$E$2008,"&gt;=01/11/"&amp;$G$3,Vendas!$E$8:$E$2008,"&lt;=30/11/"&amp;$G$3,Vendas!$C$8:$C$2008,"Entregue")+SUMIFS(Vendas!$P$8:$P$2008,Vendas!$M$8:$M$2008,$B12,Vendas!$E$8:$E$2008,"&gt;=01/11/"&amp;$G$3,Vendas!$E$8:$E$2008,"&lt;=30/11/"&amp;$G$3,Vendas!$C$8:$C$2008,"Entregue")+SUMIFS(Vendas!$U$8:$U$2008,Vendas!$R$8:$R$2008,$B12,Vendas!$E$8:$E$2008,"&gt;=01/11/"&amp;$G$3,Vendas!$E$8:$E$2008,"&lt;=30/11/"&amp;$G$3,Vendas!$C$8:$C$2008,"Entregue")+SUMIFS(Vendas!$Z$8:$Z$2008,Vendas!$W$8:$W$2008,$B12,Vendas!$E$8:$E$2008,"&gt;=01/11/"&amp;$G$3,Vendas!$E$8:$E$2008,"&lt;=30/11/"&amp;$G$3,Vendas!$C$8:$C$2008,"Entregue")+SUMIFS(Vendas!$AE$8:$AE$2008,Vendas!$AB$8:$AB$2008,$B12,Vendas!$E$8:$E$2008,"&gt;=01/11/"&amp;$G$3,Vendas!$E$8:$E$2008,"&lt;=30/11/"&amp;$G$3,Vendas!$C$8:$C$2008,"Entregue")+SUMIFS(Vendas!$AJ$8:$AJ$2008,Vendas!$AG$8:$AG$2008,$B12,Vendas!$E$8:$E$2008,"&gt;=01/11/"&amp;$G$3,Vendas!$E$8:$E$2008,"&lt;=30/11/"&amp;$G$3,Vendas!$C$8:$C$2008,"Entregue")+SUMIFS(Vendas!$AO$8:$AO$2008,Vendas!$AL$8:$AL$2008,$B12,Vendas!$E$8:$E$2008,"&gt;=01/11/"&amp;$G$3,Vendas!$E$8:$E$2008,"&lt;=30/11/"&amp;$G$3,Vendas!$C$8:$C$2008,"Entregue")+SUMIFS(Vendas!$AT$8:$AT$2008,Vendas!$AQ$8:$AQ$2008,$B12,Vendas!$E$8:$E$2008,"&gt;=01/11/"&amp;$G$3,Vendas!$E$8:$E$2008,"&lt;=30/11/"&amp;$G$3,Vendas!$C$8:$C$2008,"Entregue")</f>
        <v>0</v>
      </c>
      <c r="Y12" s="162">
        <f>SUMIFS(Vendas!$K$8:$K$2008,Vendas!$H$8:$H$2008,$B12,Vendas!$E$8:$E$2008,"&gt;=01/12/"&amp;$G$3,Vendas!$E$8:$E$2008,"&lt;=31/12/"&amp;$G$3)+SUMIFS(Vendas!$P$8:$P$2008,Vendas!$M$8:$M$2008,$B12,Vendas!$E$8:$E$2008,"&gt;=01/12/"&amp;$G$3,Vendas!$E$8:$E$2008,"&lt;=31/12/"&amp;$G$3)+SUMIFS(Vendas!$U$8:$U$2008,Vendas!$R$8:$R$2008,$B12,Vendas!$E$8:$E$2008,"&gt;=01/12/"&amp;$G$3,Vendas!$E$8:$E$2008,"&lt;=31/12/"&amp;$G$3)+SUMIFS(Vendas!$Z$8:$Z$2008,Vendas!$W$8:$W$2008,$B12,Vendas!$E$8:$E$2008,"&gt;=01/12/"&amp;$G$3,Vendas!$E$8:$E$2008,"&lt;=31/12/"&amp;$G$3)+SUMIFS(Vendas!$AE$8:$AE$2008,Vendas!$AB$8:$AB$2008,$B12,Vendas!$E$8:$E$2008,"&gt;=01/12/"&amp;$G$3,Vendas!$E$8:$E$2008,"&lt;=31/12/"&amp;$G$3)+SUMIFS(Vendas!$AJ$8:$AJ$2008,Vendas!$AG$8:$AG$2008,$B12,Vendas!$E$8:$E$2008,"&gt;=01/12/"&amp;$G$3,Vendas!$E$8:$E$2008,"&lt;=31/12/"&amp;$G$3)+SUMIFS(Vendas!$AO$8:$AO$2008,Vendas!$AL$8:$AL$2008,$B12,Vendas!$E$8:$E$2008,"&gt;=01/12/"&amp;$G$3,Vendas!$E$8:$E$2008,"&lt;=31/12/"&amp;$G$3)+SUMIFS(Vendas!$AT$8:$AT$2008,Vendas!$AQ$8:$AQ$2008,$B12,Vendas!$E$8:$E$2008,"&gt;=01/12/"&amp;$G$3,Vendas!$E$8:$E$2008,"&lt;=31/12/"&amp;$G$3)</f>
        <v>0</v>
      </c>
      <c r="Z12" s="163">
        <f>SUMIFS(Vendas!$K$8:$K$2008,Vendas!$H$8:$H$2008,$B12,Vendas!$E$8:$E$2008,"&gt;=01/12/"&amp;$G$3,Vendas!$E$8:$E$2008,"&lt;=31/12/"&amp;$G$3,Vendas!$C$8:$C$2008,"Entregue")+SUMIFS(Vendas!$P$8:$P$2008,Vendas!$M$8:$M$2008,$B12,Vendas!$E$8:$E$2008,"&gt;=01/12/"&amp;$G$3,Vendas!$E$8:$E$2008,"&lt;=31/12/"&amp;$G$3,Vendas!$C$8:$C$2008,"Entregue")+SUMIFS(Vendas!$U$8:$U$2008,Vendas!$R$8:$R$2008,$B12,Vendas!$E$8:$E$2008,"&gt;=01/12/"&amp;$G$3,Vendas!$E$8:$E$2008,"&lt;=31/12/"&amp;$G$3,Vendas!$C$8:$C$2008,"Entregue")+SUMIFS(Vendas!$Z$8:$Z$2008,Vendas!$W$8:$W$2008,$B12,Vendas!$E$8:$E$2008,"&gt;=01/12/"&amp;$G$3,Vendas!$E$8:$E$2008,"&lt;=31/12/"&amp;$G$3,Vendas!$C$8:$C$2008,"Entregue")+SUMIFS(Vendas!$AE$8:$AE$2008,Vendas!$AB$8:$AB$2008,$B12,Vendas!$E$8:$E$2008,"&gt;=01/12/"&amp;$G$3,Vendas!$E$8:$E$2008,"&lt;=31/12/"&amp;$G$3,Vendas!$C$8:$C$2008,"Entregue")+SUMIFS(Vendas!$AJ$8:$AJ$2008,Vendas!$AG$8:$AG$2008,$B12,Vendas!$E$8:$E$2008,"&gt;=01/12/"&amp;$G$3,Vendas!$E$8:$E$2008,"&lt;=31/12/"&amp;$G$3,Vendas!$C$8:$C$2008,"Entregue")+SUMIFS(Vendas!$AO$8:$AO$2008,Vendas!$AL$8:$AL$2008,$B12,Vendas!$E$8:$E$2008,"&gt;=01/12/"&amp;$G$3,Vendas!$E$8:$E$2008,"&lt;=31/12/"&amp;$G$3,Vendas!$C$8:$C$2008,"Entregue")+SUMIFS(Vendas!$AT$8:$AT$2008,Vendas!$AQ$8:$AQ$2008,$B12,Vendas!$E$8:$E$2008,"&gt;=01/12/"&amp;$G$3,Vendas!$E$8:$E$2008,"&lt;=31/12/"&amp;$G$3,Vendas!$C$8:$C$2008,"Entregue")</f>
        <v>0</v>
      </c>
      <c r="AA12" s="132">
        <f t="shared" si="0"/>
        <v>2483.44</v>
      </c>
      <c r="AB12" s="132">
        <f t="shared" si="0"/>
        <v>2483.44</v>
      </c>
      <c r="AC12" s="67"/>
    </row>
    <row r="13" spans="1:50" ht="14.4" x14ac:dyDescent="0.3">
      <c r="B13" s="262" t="str">
        <f>IF(Cadastros!D12="","",Cadastros!D12)</f>
        <v>10106 - Colchão Supremo 138 X 188 X 027 cm MVQ</v>
      </c>
      <c r="C13" s="158">
        <f>SUMIFS(Vendas!$K$8:$K$2008,Vendas!$H$8:$H$2008,$B13,Vendas!$E$8:$E$2008,"&gt;=01/01/"&amp;$G$3,Vendas!$E$8:$E$2008,"&lt;=31/01/"&amp;$G$3)+SUMIFS(Vendas!$P$8:$P$2008,Vendas!$M$8:$M$2008,$B13,Vendas!$E$8:$E$2008,"&gt;=01/01/"&amp;$G$3,Vendas!$E$8:$E$2008,"&lt;=31/01/"&amp;$G$3)+SUMIFS(Vendas!$U$8:$U$2008,Vendas!$R$8:$R$2008,$B13,Vendas!$E$8:$E$2008,"&gt;=01/01/"&amp;$G$3,Vendas!$E$8:$E$2008,"&lt;=31/01/"&amp;$G$3)+SUMIFS(Vendas!$Z$8:$Z$2008,Vendas!$W$8:$W$2008,$B13,Vendas!$E$8:$E$2008,"&gt;=01/01/"&amp;$G$3,Vendas!$E$8:$E$2008,"&lt;=31/01/"&amp;$G$3)+SUMIFS(Vendas!$AE$8:$AE$2008,Vendas!$AB$8:$AB$2008,$B13,Vendas!$E$8:$E$2008,"&gt;=01/01/"&amp;$G$3,Vendas!$E$8:$E$2008,"&lt;=31/01/"&amp;$G$3)+SUMIFS(Vendas!$AJ$8:$AJ$2008,Vendas!$AG$8:$AG$2008,$B13,Vendas!$E$8:$E$2008,"&gt;=01/01/"&amp;$G$3,Vendas!$E$8:$E$2008,"&lt;=31/01/"&amp;$G$3)+SUMIFS(Vendas!$AO$8:$AO$2008,Vendas!$AL$8:$AL$2008,$B13,Vendas!$E$8:$E$2008,"&gt;=01/01/"&amp;$G$3,Vendas!$E$8:$E$2008,"&lt;=31/01/"&amp;$G$3)+SUMIFS(Vendas!$AT$8:$AT$2008,Vendas!$AQ$8:$AQ$2008,$B13,Vendas!$E$8:$E$2008,"&gt;=01/01/"&amp;$G$3,Vendas!$E$8:$E$2008,"&lt;=31/01/"&amp;$G$3)</f>
        <v>0</v>
      </c>
      <c r="D13" s="159">
        <f>SUMIFS(Vendas!$K$8:$K$2008,Vendas!$H$8:$H$2008,$B13,Vendas!$E$8:$E$2008,"&gt;=01/01/"&amp;$G$3,Vendas!$E$8:$E$2008,"&lt;=31/01/"&amp;$G$3,Vendas!$C$8:$C$2008,"Entregue")+SUMIFS(Vendas!$P$8:$P$2008,Vendas!$M$8:$M$2008,$B13,Vendas!$E$8:$E$2008,"&gt;=01/01/"&amp;$G$3,Vendas!$E$8:$E$2008,"&lt;=31/01/"&amp;$G$3,Vendas!$C$8:$C$2008,"Entregue")+SUMIFS(Vendas!$U$8:$U$2008,Vendas!$R$8:$R$2008,$B13,Vendas!$E$8:$E$2008,"&gt;=01/01/"&amp;$G$3,Vendas!$E$8:$E$2008,"&lt;=31/01/"&amp;$G$3,Vendas!$C$8:$C$2008,"Entregue")+SUMIFS(Vendas!$Z$8:$Z$2008,Vendas!$W$8:$W$2008,$B13,Vendas!$E$8:$E$2008,"&gt;=01/01/"&amp;$G$3,Vendas!$E$8:$E$2008,"&lt;=31/01/"&amp;$G$3,Vendas!$C$8:$C$2008,"Entregue")+SUMIFS(Vendas!$AE$8:$AE$2008,Vendas!$AB$8:$AB$2008,$B13,Vendas!$E$8:$E$2008,"&gt;=01/01/"&amp;$G$3,Vendas!$E$8:$E$2008,"&lt;=31/01/"&amp;$G$3,Vendas!$C$8:$C$2008,"Entregue")+SUMIFS(Vendas!$AJ$8:$AJ$2008,Vendas!$AG$8:$AG$2008,$B13,Vendas!$E$8:$E$2008,"&gt;=01/01/"&amp;$G$3,Vendas!$E$8:$E$2008,"&lt;=31/01/"&amp;$G$3,Vendas!$C$8:$C$2008,"Entregue")+SUMIFS(Vendas!$AO$8:$AO$2008,Vendas!$AL$8:$AL$2008,$B13,Vendas!$E$8:$E$2008,"&gt;=01/01/"&amp;$G$3,Vendas!$E$8:$E$2008,"&lt;=31/01/"&amp;$G$3,Vendas!$C$8:$C$2008,"Entregue")+SUMIFS(Vendas!$AT$8:$AT$2008,Vendas!$AQ$8:$AQ$2008,$B13,Vendas!$E$8:$E$2008,"&gt;=01/01/"&amp;$G$3,Vendas!$E$8:$E$2008,"&lt;=31/01/"&amp;$G$3,Vendas!$C$8:$C$2008,"Entregue")</f>
        <v>0</v>
      </c>
      <c r="E13" s="159">
        <f>SUMIFS(Vendas!$K$8:$K$2008,Vendas!$H$8:$H$2008,$B13,Vendas!$E$8:$E$2008,"&gt;=01/02/"&amp;$G$3,Vendas!$E$8:$E$2008,"&lt;=28/02/"&amp;$G$3)+SUMIFS(Vendas!$P$8:$P$2008,Vendas!$M$8:$M$2008,$B13,Vendas!$E$8:$E$2008,"&gt;=01/02/"&amp;$G$3,Vendas!$E$8:$E$2008,"&lt;=28/02/"&amp;$G$3)+SUMIFS(Vendas!$U$8:$U$2008,Vendas!$R$8:$R$2008,$B13,Vendas!$E$8:$E$2008,"&gt;=01/02/"&amp;$G$3,Vendas!$E$8:$E$2008,"&lt;=28/02/"&amp;$G$3)+SUMIFS(Vendas!$Z$8:$Z$2008,Vendas!$W$8:$W$2008,$B13,Vendas!$E$8:$E$2008,"&gt;=01/02/"&amp;$G$3,Vendas!$E$8:$E$2008,"&lt;=28/02/"&amp;$G$3)+SUMIFS(Vendas!$AE$8:$AE$2008,Vendas!$AB$8:$AB$2008,$B13,Vendas!$E$8:$E$2008,"&gt;=01/02/"&amp;$G$3,Vendas!$E$8:$E$2008,"&lt;=28/02/"&amp;$G$3)+SUMIFS(Vendas!$AJ$8:$AJ$2008,Vendas!$AG$8:$AG$2008,$B13,Vendas!$E$8:$E$2008,"&gt;=01/02/"&amp;$G$3,Vendas!$E$8:$E$2008,"&lt;=28/02/"&amp;$G$3)+SUMIFS(Vendas!$AO$8:$AO$2008,Vendas!$AL$8:$AL$2008,$B13,Vendas!$E$8:$E$2008,"&gt;=01/02/"&amp;$G$3,Vendas!$E$8:$E$2008,"&lt;=28/02/"&amp;$G$3)+SUMIFS(Vendas!$AT$8:$AT$2008,Vendas!$AQ$8:$AQ$2008,$B13,Vendas!$E$8:$E$2008,"&gt;=01/02/"&amp;$G$3,Vendas!$E$8:$E$2008,"&lt;=28/02/"&amp;$G$3)</f>
        <v>0</v>
      </c>
      <c r="F13" s="159">
        <f>SUMIFS(Vendas!$K$8:$K$2008,Vendas!$H$8:$H$2008,$B13,Vendas!$E$8:$E$2008,"&gt;=01/02/"&amp;$G$3,Vendas!$E$8:$E$2008,"&lt;=28/02/"&amp;$G$3,Vendas!$C$8:$C$2008,"Entregue")+SUMIFS(Vendas!$P$8:$P$2008,Vendas!$M$8:$M$2008,$B13,Vendas!$E$8:$E$2008,"&gt;=01/02/"&amp;$G$3,Vendas!$E$8:$E$2008,"&lt;=28/02/"&amp;$G$3,Vendas!$C$8:$C$2008,"Entregue")+SUMIFS(Vendas!$U$8:$U$2008,Vendas!$R$8:$R$2008,$B13,Vendas!$E$8:$E$2008,"&gt;=01/02/"&amp;$G$3,Vendas!$E$8:$E$2008,"&lt;=28/02/"&amp;$G$3,Vendas!$C$8:$C$2008,"Entregue")+SUMIFS(Vendas!$Z$8:$Z$2008,Vendas!$W$8:$W$2008,$B13,Vendas!$E$8:$E$2008,"&gt;=01/02/"&amp;$G$3,Vendas!$E$8:$E$2008,"&lt;=28/02/"&amp;$G$3,Vendas!$C$8:$C$2008,"Entregue")+SUMIFS(Vendas!$AE$8:$AE$2008,Vendas!$AB$8:$AB$2008,$B13,Vendas!$E$8:$E$2008,"&gt;=01/02/"&amp;$G$3,Vendas!$E$8:$E$2008,"&lt;=28/02/"&amp;$G$3,Vendas!$C$8:$C$2008,"Entregue")+SUMIFS(Vendas!$AJ$8:$AJ$2008,Vendas!$AG$8:$AG$2008,$B13,Vendas!$E$8:$E$2008,"&gt;=01/02/"&amp;$G$3,Vendas!$E$8:$E$2008,"&lt;=28/02/"&amp;$G$3,Vendas!$C$8:$C$2008,"Entregue")+SUMIFS(Vendas!$AO$8:$AO$2008,Vendas!$AL$8:$AL$2008,$B13,Vendas!$E$8:$E$2008,"&gt;=01/02/"&amp;$G$3,Vendas!$E$8:$E$2008,"&lt;=28/02/"&amp;$G$3,Vendas!$C$8:$C$2008,"Entregue")+SUMIFS(Vendas!$AT$8:$AT$2008,Vendas!$AQ$8:$AQ$2008,$B13,Vendas!$E$8:$E$2008,"&gt;=01/02/"&amp;$G$3,Vendas!$E$8:$E$2008,"&lt;=28/02/"&amp;$G$3,Vendas!$C$8:$C$2008,"Entregue")</f>
        <v>0</v>
      </c>
      <c r="G13" s="159">
        <f>SUMIFS(Vendas!$K$8:$K$2008,Vendas!$H$8:$H$2008,$B13,Vendas!$E$8:$E$2008,"&gt;=01/03/"&amp;$G$3,Vendas!$E$8:$E$2008,"&lt;=31/03/"&amp;$G$3)+SUMIFS(Vendas!$P$8:$P$2008,Vendas!$M$8:$M$2008,$B13,Vendas!$E$8:$E$2008,"&gt;=01/03/"&amp;$G$3,Vendas!$E$8:$E$2008,"&lt;=31/03/"&amp;$G$3)+SUMIFS(Vendas!$U$8:$U$2008,Vendas!$R$8:$R$2008,$B13,Vendas!$E$8:$E$2008,"&gt;=01/03/"&amp;$G$3,Vendas!$E$8:$E$2008,"&lt;=31/03/"&amp;$G$3)+SUMIFS(Vendas!$Z$8:$Z$2008,Vendas!$W$8:$W$2008,$B13,Vendas!$E$8:$E$2008,"&gt;=01/03/"&amp;$G$3,Vendas!$E$8:$E$2008,"&lt;=31/03/"&amp;$G$3)+SUMIFS(Vendas!$AE$8:$AE$2008,Vendas!$AB$8:$AB$2008,$B13,Vendas!$E$8:$E$2008,"&gt;=01/03/"&amp;$G$3,Vendas!$E$8:$E$2008,"&lt;=31/03/"&amp;$G$3)+SUMIFS(Vendas!$AJ$8:$AJ$2008,Vendas!$AG$8:$AG$2008,$B13,Vendas!$E$8:$E$2008,"&gt;=01/03/"&amp;$G$3,Vendas!$E$8:$E$2008,"&lt;=31/03/"&amp;$G$3)+SUMIFS(Vendas!$AO$8:$AO$2008,Vendas!$AL$8:$AL$2008,$B13,Vendas!$E$8:$E$2008,"&gt;=01/03/"&amp;$G$3,Vendas!$E$8:$E$2008,"&lt;=31/03/"&amp;$G$3)+SUMIFS(Vendas!$AT$8:$AT$2008,Vendas!$AQ$8:$AQ$2008,$B13,Vendas!$E$8:$E$2008,"&gt;=01/03/"&amp;$G$3,Vendas!$E$8:$E$2008,"&lt;=31/03/"&amp;$G$3)</f>
        <v>0</v>
      </c>
      <c r="H13" s="159">
        <f>SUMIFS(Vendas!$K$8:$K$2008,Vendas!$H$8:$H$2008,$B13,Vendas!$E$8:$E$2008,"&gt;=01/03/"&amp;$G$3,Vendas!$E$8:$E$2008,"&lt;=31/03/"&amp;$G$3,Vendas!$C$8:$C$2008,"Entregue")+SUMIFS(Vendas!$P$8:$P$2008,Vendas!$M$8:$M$2008,$B13,Vendas!$E$8:$E$2008,"&gt;=01/03/"&amp;$G$3,Vendas!$E$8:$E$2008,"&lt;=31/03/"&amp;$G$3,Vendas!$C$8:$C$2008,"Entregue")+SUMIFS(Vendas!$U$8:$U$2008,Vendas!$R$8:$R$2008,$B13,Vendas!$E$8:$E$2008,"&gt;=01/03/"&amp;$G$3,Vendas!$E$8:$E$2008,"&lt;=31/03/"&amp;$G$3,Vendas!$C$8:$C$2008,"Entregue")+SUMIFS(Vendas!$Z$8:$Z$2008,Vendas!$W$8:$W$2008,$B13,Vendas!$E$8:$E$2008,"&gt;=01/03/"&amp;$G$3,Vendas!$E$8:$E$2008,"&lt;=31/03/"&amp;$G$3,Vendas!$C$8:$C$2008,"Entregue")+SUMIFS(Vendas!$AE$8:$AE$2008,Vendas!$AB$8:$AB$2008,$B13,Vendas!$E$8:$E$2008,"&gt;=01/03/"&amp;$G$3,Vendas!$E$8:$E$2008,"&lt;=31/03/"&amp;$G$3,Vendas!$C$8:$C$2008,"Entregue")+SUMIFS(Vendas!$AJ$8:$AJ$2008,Vendas!$AG$8:$AG$2008,$B13,Vendas!$E$8:$E$2008,"&gt;=01/03/"&amp;$G$3,Vendas!$E$8:$E$2008,"&lt;=31/03/"&amp;$G$3,Vendas!$C$8:$C$2008,"Entregue")+SUMIFS(Vendas!$AO$8:$AO$2008,Vendas!$AL$8:$AL$2008,$B13,Vendas!$E$8:$E$2008,"&gt;=01/03/"&amp;$G$3,Vendas!$E$8:$E$2008,"&lt;=31/03/"&amp;$G$3,Vendas!$C$8:$C$2008,"Entregue")+SUMIFS(Vendas!$AT$8:$AT$2008,Vendas!$AQ$8:$AQ$2008,$B13,Vendas!$E$8:$E$2008,"&gt;=01/03/"&amp;$G$3,Vendas!$E$8:$E$2008,"&lt;=31/03/"&amp;$G$3,Vendas!$C$8:$C$2008,"Entregue")</f>
        <v>0</v>
      </c>
      <c r="I13" s="159">
        <f>SUMIFS(Vendas!$K$8:$K$2008,Vendas!$H$8:$H$2008,$B13,Vendas!$E$8:$E$2008,"&gt;=01/04/"&amp;$G$3,Vendas!$E$8:$E$2008,"&lt;=30/04/"&amp;$G$3)+SUMIFS(Vendas!$P$8:$P$2008,Vendas!$M$8:$M$2008,$B13,Vendas!$E$8:$E$2008,"&gt;=01/04/"&amp;$G$3,Vendas!$E$8:$E$2008,"&lt;=30/04/"&amp;$G$3)+SUMIFS(Vendas!$U$8:$U$2008,Vendas!$R$8:$R$2008,$B13,Vendas!$E$8:$E$2008,"&gt;=01/04/"&amp;$G$3,Vendas!$E$8:$E$2008,"&lt;=30/04/"&amp;$G$3)+SUMIFS(Vendas!$Z$8:$Z$2008,Vendas!$W$8:$W$2008,$B13,Vendas!$E$8:$E$2008,"&gt;=01/04/"&amp;$G$3,Vendas!$E$8:$E$2008,"&lt;=30/04/"&amp;$G$3)+SUMIFS(Vendas!$AE$8:$AE$2008,Vendas!$AB$8:$AB$2008,$B13,Vendas!$E$8:$E$2008,"&gt;=01/04/"&amp;$G$3,Vendas!$E$8:$E$2008,"&lt;=30/04/"&amp;$G$3)+SUMIFS(Vendas!$AJ$8:$AJ$2008,Vendas!$AG$8:$AG$2008,$B13,Vendas!$E$8:$E$2008,"&gt;=01/04/"&amp;$G$3,Vendas!$E$8:$E$2008,"&lt;=30/04/"&amp;$G$3)+SUMIFS(Vendas!$AO$8:$AO$2008,Vendas!$AL$8:$AL$2008,$B13,Vendas!$E$8:$E$2008,"&gt;=01/04/"&amp;$G$3,Vendas!$E$8:$E$2008,"&lt;=30/04/"&amp;$G$3)+SUMIFS(Vendas!$AT$8:$AT$2008,Vendas!$AQ$8:$AQ$2008,$B13,Vendas!$E$8:$E$2008,"&gt;=01/04/"&amp;$G$3,Vendas!$E$8:$E$2008,"&lt;=30/04/"&amp;$G$3)</f>
        <v>0</v>
      </c>
      <c r="J13" s="159">
        <f>SUMIFS(Vendas!$K$8:$K$2008,Vendas!$H$8:$H$2008,$B13,Vendas!$E$8:$E$2008,"&gt;=01/04/"&amp;$G$3,Vendas!$E$8:$E$2008,"&lt;=30/04/"&amp;$G$3,Vendas!$C$8:$C$2008,"Entregue")+SUMIFS(Vendas!$P$8:$P$2008,Vendas!$M$8:$M$2008,$B13,Vendas!$E$8:$E$2008,"&gt;=01/04/"&amp;$G$3,Vendas!$E$8:$E$2008,"&lt;=30/04/"&amp;$G$3,Vendas!$C$8:$C$2008,"Entregue")+SUMIFS(Vendas!$U$8:$U$2008,Vendas!$R$8:$R$2008,$B13,Vendas!$E$8:$E$2008,"&gt;=01/04/"&amp;$G$3,Vendas!$E$8:$E$2008,"&lt;=30/04/"&amp;$G$3,Vendas!$C$8:$C$2008,"Entregue")+SUMIFS(Vendas!$Z$8:$Z$2008,Vendas!$W$8:$W$2008,$B13,Vendas!$E$8:$E$2008,"&gt;=01/04/"&amp;$G$3,Vendas!$E$8:$E$2008,"&lt;=30/04/"&amp;$G$3,Vendas!$C$8:$C$2008,"Entregue")+SUMIFS(Vendas!$AE$8:$AE$2008,Vendas!$AB$8:$AB$2008,$B13,Vendas!$E$8:$E$2008,"&gt;=01/04/"&amp;$G$3,Vendas!$E$8:$E$2008,"&lt;=30/04/"&amp;$G$3,Vendas!$C$8:$C$2008,"Entregue")+SUMIFS(Vendas!$AJ$8:$AJ$2008,Vendas!$AG$8:$AG$2008,$B13,Vendas!$E$8:$E$2008,"&gt;=01/04/"&amp;$G$3,Vendas!$E$8:$E$2008,"&lt;=30/04/"&amp;$G$3,Vendas!$C$8:$C$2008,"Entregue")+SUMIFS(Vendas!$AO$8:$AO$2008,Vendas!$AL$8:$AL$2008,$B13,Vendas!$E$8:$E$2008,"&gt;=01/04/"&amp;$G$3,Vendas!$E$8:$E$2008,"&lt;=30/04/"&amp;$G$3,Vendas!$C$8:$C$2008,"Entregue")+SUMIFS(Vendas!$AT$8:$AT$2008,Vendas!$AQ$8:$AQ$2008,$B13,Vendas!$E$8:$E$2008,"&gt;=01/04/"&amp;$G$3,Vendas!$E$8:$E$2008,"&lt;=30/04/"&amp;$G$3,Vendas!$C$8:$C$2008,"Entregue")</f>
        <v>0</v>
      </c>
      <c r="K13" s="159">
        <f>SUMIFS(Vendas!$K$8:$K$2008,Vendas!$H$8:$H$2008,$B13,Vendas!$E$8:$E$2008,"&gt;=01/05/"&amp;$G$3,Vendas!$E$8:$E$2008,"&lt;=31/05/"&amp;$G$3)+SUMIFS(Vendas!$P$8:$P$2008,Vendas!$M$8:$M$2008,$B13,Vendas!$E$8:$E$2008,"&gt;=01/05/"&amp;$G$3,Vendas!$E$8:$E$2008,"&lt;=31/05/"&amp;$G$3)+SUMIFS(Vendas!$U$8:$U$2008,Vendas!$R$8:$R$2008,$B13,Vendas!$E$8:$E$2008,"&gt;=01/05/"&amp;$G$3,Vendas!$E$8:$E$2008,"&lt;=31/05/"&amp;$G$3)+SUMIFS(Vendas!$Z$8:$Z$2008,Vendas!$W$8:$W$2008,$B13,Vendas!$E$8:$E$2008,"&gt;=01/05/"&amp;$G$3,Vendas!$E$8:$E$2008,"&lt;=31/05/"&amp;$G$3)+SUMIFS(Vendas!$AE$8:$AE$2008,Vendas!$AB$8:$AB$2008,$B13,Vendas!$E$8:$E$2008,"&gt;=01/05/"&amp;$G$3,Vendas!$E$8:$E$2008,"&lt;=31/05/"&amp;$G$3)+SUMIFS(Vendas!$AJ$8:$AJ$2008,Vendas!$AG$8:$AG$2008,$B13,Vendas!$E$8:$E$2008,"&gt;=01/05/"&amp;$G$3,Vendas!$E$8:$E$2008,"&lt;=31/05/"&amp;$G$3)+SUMIFS(Vendas!$AO$8:$AO$2008,Vendas!$AL$8:$AL$2008,$B13,Vendas!$E$8:$E$2008,"&gt;=01/05/"&amp;$G$3,Vendas!$E$8:$E$2008,"&lt;=31/05/"&amp;$G$3)+SUMIFS(Vendas!$AT$8:$AT$2008,Vendas!$AQ$8:$AQ$2008,$B13,Vendas!$E$8:$E$2008,"&gt;=01/05/"&amp;$G$3,Vendas!$E$8:$E$2008,"&lt;=31/05/"&amp;$G$3)</f>
        <v>0</v>
      </c>
      <c r="L13" s="159">
        <f>SUMIFS(Vendas!$K$8:$K$2008,Vendas!$H$8:$H$2008,$B13,Vendas!$E$8:$E$2008,"&gt;=01/05/"&amp;$G$3,Vendas!$E$8:$E$2008,"&lt;=31/05/"&amp;$G$3,Vendas!$C$8:$C$2008,"Entregue")+SUMIFS(Vendas!$P$8:$P$2008,Vendas!$M$8:$M$2008,$B13,Vendas!$E$8:$E$2008,"&gt;=01/05/"&amp;$G$3,Vendas!$E$8:$E$2008,"&lt;=31/05/"&amp;$G$3,Vendas!$C$8:$C$2008,"Entregue")+SUMIFS(Vendas!$U$8:$U$2008,Vendas!$R$8:$R$2008,$B13,Vendas!$E$8:$E$2008,"&gt;=01/05/"&amp;$G$3,Vendas!$E$8:$E$2008,"&lt;=31/05/"&amp;$G$3,Vendas!$C$8:$C$2008,"Entregue")+SUMIFS(Vendas!$Z$8:$Z$2008,Vendas!$W$8:$W$2008,$B13,Vendas!$E$8:$E$2008,"&gt;=01/05/"&amp;$G$3,Vendas!$E$8:$E$2008,"&lt;=31/05/"&amp;$G$3,Vendas!$C$8:$C$2008,"Entregue")+SUMIFS(Vendas!$AE$8:$AE$2008,Vendas!$AB$8:$AB$2008,$B13,Vendas!$E$8:$E$2008,"&gt;=01/05/"&amp;$G$3,Vendas!$E$8:$E$2008,"&lt;=31/05/"&amp;$G$3,Vendas!$C$8:$C$2008,"Entregue")+SUMIFS(Vendas!$AJ$8:$AJ$2008,Vendas!$AG$8:$AG$2008,$B13,Vendas!$E$8:$E$2008,"&gt;=01/05/"&amp;$G$3,Vendas!$E$8:$E$2008,"&lt;=31/05/"&amp;$G$3,Vendas!$C$8:$C$2008,"Entregue")+SUMIFS(Vendas!$AO$8:$AO$2008,Vendas!$AL$8:$AL$2008,$B13,Vendas!$E$8:$E$2008,"&gt;=01/05/"&amp;$G$3,Vendas!$E$8:$E$2008,"&lt;=31/05/"&amp;$G$3,Vendas!$C$8:$C$2008,"Entregue")+SUMIFS(Vendas!$AT$8:$AT$2008,Vendas!$AQ$8:$AQ$2008,$B13,Vendas!$E$8:$E$2008,"&gt;=01/05/"&amp;$G$3,Vendas!$E$8:$E$2008,"&lt;=31/05/"&amp;$G$3,Vendas!$C$8:$C$2008,"Entregue")</f>
        <v>0</v>
      </c>
      <c r="M13" s="159">
        <f>SUMIFS(Vendas!$K$8:$K$2008,Vendas!$H$8:$H$2008,$B13,Vendas!$E$8:$E$2008,"&gt;=01/06/"&amp;$G$3,Vendas!$E$8:$E$2008,"&lt;=30/06/"&amp;$G$3)+SUMIFS(Vendas!$P$8:$P$2008,Vendas!$M$8:$M$2008,$B13,Vendas!$E$8:$E$2008,"&gt;=01/06/"&amp;$G$3,Vendas!$E$8:$E$2008,"&lt;=30/06/"&amp;$G$3)+SUMIFS(Vendas!$U$8:$U$2008,Vendas!$R$8:$R$2008,$B13,Vendas!$E$8:$E$2008,"&gt;=01/06/"&amp;$G$3,Vendas!$E$8:$E$2008,"&lt;=30/06/"&amp;$G$3)+SUMIFS(Vendas!$Z$8:$Z$2008,Vendas!$W$8:$W$2008,$B13,Vendas!$E$8:$E$2008,"&gt;=01/06/"&amp;$G$3,Vendas!$E$8:$E$2008,"&lt;=30/06/"&amp;$G$3)+SUMIFS(Vendas!$AE$8:$AE$2008,Vendas!$AB$8:$AB$2008,$B13,Vendas!$E$8:$E$2008,"&gt;=01/06/"&amp;$G$3,Vendas!$E$8:$E$2008,"&lt;=30/06/"&amp;$G$3)+SUMIFS(Vendas!$AJ$8:$AJ$2008,Vendas!$AG$8:$AG$2008,$B13,Vendas!$E$8:$E$2008,"&gt;=01/06/"&amp;$G$3,Vendas!$E$8:$E$2008,"&lt;=30/06/"&amp;$G$3)+SUMIFS(Vendas!$AO$8:$AO$2008,Vendas!$AL$8:$AL$2008,$B13,Vendas!$E$8:$E$2008,"&gt;=01/06/"&amp;$G$3,Vendas!$E$8:$E$2008,"&lt;=30/06/"&amp;$G$3)+SUMIFS(Vendas!$AT$8:$AT$2008,Vendas!$AQ$8:$AQ$2008,$B13,Vendas!$E$8:$E$2008,"&gt;=01/06/"&amp;$G$3,Vendas!$E$8:$E$2008,"&lt;=30/06/"&amp;$G$3)</f>
        <v>0</v>
      </c>
      <c r="N13" s="159">
        <f>SUMIFS(Vendas!$K$8:$K$2008,Vendas!$H$8:$H$2008,$B13,Vendas!$E$8:$E$2008,"&gt;=01/06/"&amp;$G$3,Vendas!$E$8:$E$2008,"&lt;=30/06/"&amp;$G$3,Vendas!$C$8:$C$2008,"Entregue")+SUMIFS(Vendas!$P$8:$P$2008,Vendas!$M$8:$M$2008,$B13,Vendas!$E$8:$E$2008,"&gt;=01/06/"&amp;$G$3,Vendas!$E$8:$E$2008,"&lt;=30/06/"&amp;$G$3,Vendas!$C$8:$C$2008,"Entregue")+SUMIFS(Vendas!$U$8:$U$2008,Vendas!$R$8:$R$2008,$B13,Vendas!$E$8:$E$2008,"&gt;=01/06/"&amp;$G$3,Vendas!$E$8:$E$2008,"&lt;=30/06/"&amp;$G$3,Vendas!$C$8:$C$2008,"Entregue")+SUMIFS(Vendas!$Z$8:$Z$2008,Vendas!$W$8:$W$2008,$B13,Vendas!$E$8:$E$2008,"&gt;=01/06/"&amp;$G$3,Vendas!$E$8:$E$2008,"&lt;=30/06/"&amp;$G$3,Vendas!$C$8:$C$2008,"Entregue")+SUMIFS(Vendas!$AE$8:$AE$2008,Vendas!$AB$8:$AB$2008,$B13,Vendas!$E$8:$E$2008,"&gt;=01/06/"&amp;$G$3,Vendas!$E$8:$E$2008,"&lt;=30/06/"&amp;$G$3,Vendas!$C$8:$C$2008,"Entregue")+SUMIFS(Vendas!$AJ$8:$AJ$2008,Vendas!$AG$8:$AG$2008,$B13,Vendas!$E$8:$E$2008,"&gt;=01/06/"&amp;$G$3,Vendas!$E$8:$E$2008,"&lt;=30/06/"&amp;$G$3,Vendas!$C$8:$C$2008,"Entregue")+SUMIFS(Vendas!$AO$8:$AO$2008,Vendas!$AL$8:$AL$2008,$B13,Vendas!$E$8:$E$2008,"&gt;=01/06/"&amp;$G$3,Vendas!$E$8:$E$2008,"&lt;=30/06/"&amp;$G$3,Vendas!$C$8:$C$2008,"Entregue")+SUMIFS(Vendas!$AT$8:$AT$2008,Vendas!$AQ$8:$AQ$2008,$B13,Vendas!$E$8:$E$2008,"&gt;=01/06/"&amp;$G$3,Vendas!$E$8:$E$2008,"&lt;=30/06/"&amp;$G$3,Vendas!$C$8:$C$2008,"Entregue")</f>
        <v>0</v>
      </c>
      <c r="O13" s="159">
        <f>SUMIFS(Vendas!$K$8:$K$2008,Vendas!$H$8:$H$2008,$B13,Vendas!$E$8:$E$2008,"&gt;=01/07/"&amp;$G$3,Vendas!$E$8:$E$2008,"&lt;=31/07/"&amp;$G$3)+SUMIFS(Vendas!$P$8:$P$2008,Vendas!$M$8:$M$2008,$B13,Vendas!$E$8:$E$2008,"&gt;=01/07/"&amp;$G$3,Vendas!$E$8:$E$2008,"&lt;=31/07/"&amp;$G$3)+SUMIFS(Vendas!$U$8:$U$2008,Vendas!$R$8:$R$2008,$B13,Vendas!$E$8:$E$2008,"&gt;=01/07/"&amp;$G$3,Vendas!$E$8:$E$2008,"&lt;=31/07/"&amp;$G$3)+SUMIFS(Vendas!$Z$8:$Z$2008,Vendas!$W$8:$W$2008,$B13,Vendas!$E$8:$E$2008,"&gt;=01/07/"&amp;$G$3,Vendas!$E$8:$E$2008,"&lt;=31/07/"&amp;$G$3)+SUMIFS(Vendas!$AE$8:$AE$2008,Vendas!$AB$8:$AB$2008,$B13,Vendas!$E$8:$E$2008,"&gt;=01/07/"&amp;$G$3,Vendas!$E$8:$E$2008,"&lt;=31/07/"&amp;$G$3)+SUMIFS(Vendas!$AJ$8:$AJ$2008,Vendas!$AG$8:$AG$2008,$B13,Vendas!$E$8:$E$2008,"&gt;=01/07/"&amp;$G$3,Vendas!$E$8:$E$2008,"&lt;=31/07/"&amp;$G$3)+SUMIFS(Vendas!$AO$8:$AO$2008,Vendas!$AL$8:$AL$2008,$B13,Vendas!$E$8:$E$2008,"&gt;=01/07/"&amp;$G$3,Vendas!$E$8:$E$2008,"&lt;=31/07/"&amp;$G$3)+SUMIFS(Vendas!$AT$8:$AT$2008,Vendas!$AQ$8:$AQ$2008,$B13,Vendas!$E$8:$E$2008,"&gt;=01/07/"&amp;$G$3,Vendas!$E$8:$E$2008,"&lt;=31/07/"&amp;$G$3)</f>
        <v>0</v>
      </c>
      <c r="P13" s="159">
        <f>SUMIFS(Vendas!$K$8:$K$2008,Vendas!$H$8:$H$2008,$B13,Vendas!$E$8:$E$2008,"&gt;=01/07/"&amp;$G$3,Vendas!$E$8:$E$2008,"&lt;=31/07/"&amp;$G$3,Vendas!$C$8:$C$2008,"Entregue")+SUMIFS(Vendas!$P$8:$P$2008,Vendas!$M$8:$M$2008,$B13,Vendas!$E$8:$E$2008,"&gt;=01/07/"&amp;$G$3,Vendas!$E$8:$E$2008,"&lt;=31/07/"&amp;$G$3,Vendas!$C$8:$C$2008,"Entregue")+SUMIFS(Vendas!$U$8:$U$2008,Vendas!$R$8:$R$2008,$B13,Vendas!$E$8:$E$2008,"&gt;=01/07/"&amp;$G$3,Vendas!$E$8:$E$2008,"&lt;=31/07/"&amp;$G$3,Vendas!$C$8:$C$2008,"Entregue")+SUMIFS(Vendas!$Z$8:$Z$2008,Vendas!$W$8:$W$2008,$B13,Vendas!$E$8:$E$2008,"&gt;=01/07/"&amp;$G$3,Vendas!$E$8:$E$2008,"&lt;=31/07/"&amp;$G$3,Vendas!$C$8:$C$2008,"Entregue")+SUMIFS(Vendas!$AE$8:$AE$2008,Vendas!$AB$8:$AB$2008,$B13,Vendas!$E$8:$E$2008,"&gt;=01/07/"&amp;$G$3,Vendas!$E$8:$E$2008,"&lt;=31/07/"&amp;$G$3,Vendas!$C$8:$C$2008,"Entregue")+SUMIFS(Vendas!$AJ$8:$AJ$2008,Vendas!$AG$8:$AG$2008,$B13,Vendas!$E$8:$E$2008,"&gt;=01/07/"&amp;$G$3,Vendas!$E$8:$E$2008,"&lt;=31/07/"&amp;$G$3,Vendas!$C$8:$C$2008,"Entregue")+SUMIFS(Vendas!$AO$8:$AO$2008,Vendas!$AL$8:$AL$2008,$B13,Vendas!$E$8:$E$2008,"&gt;=01/07/"&amp;$G$3,Vendas!$E$8:$E$2008,"&lt;=31/07/"&amp;$G$3,Vendas!$C$8:$C$2008,"Entregue")+SUMIFS(Vendas!$AT$8:$AT$2008,Vendas!$AQ$8:$AQ$2008,$B13,Vendas!$E$8:$E$2008,"&gt;=01/07/"&amp;$G$3,Vendas!$E$8:$E$2008,"&lt;=31/07/"&amp;$G$3,Vendas!$C$8:$C$2008,"Entregue")</f>
        <v>0</v>
      </c>
      <c r="Q13" s="159">
        <f>SUMIFS(Vendas!$K$8:$K$2008,Vendas!$H$8:$H$2008,$B13,Vendas!$E$8:$E$2008,"&gt;=01/08/"&amp;$G$3,Vendas!$E$8:$E$2008,"&lt;=31/08/"&amp;$G$3)+SUMIFS(Vendas!$P$8:$P$2008,Vendas!$M$8:$M$2008,$B13,Vendas!$E$8:$E$2008,"&gt;=01/08/"&amp;$G$3,Vendas!$E$8:$E$2008,"&lt;=31/08/"&amp;$G$3)+SUMIFS(Vendas!$U$8:$U$2008,Vendas!$R$8:$R$2008,$B13,Vendas!$E$8:$E$2008,"&gt;=01/08/"&amp;$G$3,Vendas!$E$8:$E$2008,"&lt;=31/08/"&amp;$G$3)+SUMIFS(Vendas!$Z$8:$Z$2008,Vendas!$W$8:$W$2008,$B13,Vendas!$E$8:$E$2008,"&gt;=01/08/"&amp;$G$3,Vendas!$E$8:$E$2008,"&lt;=31/08/"&amp;$G$3)+SUMIFS(Vendas!$AE$8:$AE$2008,Vendas!$AB$8:$AB$2008,$B13,Vendas!$E$8:$E$2008,"&gt;=01/08/"&amp;$G$3,Vendas!$E$8:$E$2008,"&lt;=31/08/"&amp;$G$3)+SUMIFS(Vendas!$AJ$8:$AJ$2008,Vendas!$AG$8:$AG$2008,$B13,Vendas!$E$8:$E$2008,"&gt;=01/08/"&amp;$G$3,Vendas!$E$8:$E$2008,"&lt;=31/08/"&amp;$G$3)+SUMIFS(Vendas!$AO$8:$AO$2008,Vendas!$AL$8:$AL$2008,$B13,Vendas!$E$8:$E$2008,"&gt;=01/08/"&amp;$G$3,Vendas!$E$8:$E$2008,"&lt;=31/08/"&amp;$G$3)+SUMIFS(Vendas!$AT$8:$AT$2008,Vendas!$AQ$8:$AQ$2008,$B13,Vendas!$E$8:$E$2008,"&gt;=01/08/"&amp;$G$3,Vendas!$E$8:$E$2008,"&lt;=31/08/"&amp;$G$3)</f>
        <v>0</v>
      </c>
      <c r="R13" s="159">
        <f>SUMIFS(Vendas!$K$8:$K$2008,Vendas!$H$8:$H$2008,$B13,Vendas!$E$8:$E$2008,"&gt;=01/08/"&amp;$G$3,Vendas!$E$8:$E$2008,"&lt;=31/08/"&amp;$G$3,Vendas!$C$8:$C$2008,"Entregue")+SUMIFS(Vendas!$P$8:$P$2008,Vendas!$M$8:$M$2008,$B13,Vendas!$E$8:$E$2008,"&gt;=01/08/"&amp;$G$3,Vendas!$E$8:$E$2008,"&lt;=31/08/"&amp;$G$3,Vendas!$C$8:$C$2008,"Entregue")+SUMIFS(Vendas!$U$8:$U$2008,Vendas!$R$8:$R$2008,$B13,Vendas!$E$8:$E$2008,"&gt;=01/08/"&amp;$G$3,Vendas!$E$8:$E$2008,"&lt;=31/08/"&amp;$G$3,Vendas!$C$8:$C$2008,"Entregue")+SUMIFS(Vendas!$Z$8:$Z$2008,Vendas!$W$8:$W$2008,$B13,Vendas!$E$8:$E$2008,"&gt;=01/08/"&amp;$G$3,Vendas!$E$8:$E$2008,"&lt;=31/08/"&amp;$G$3,Vendas!$C$8:$C$2008,"Entregue")+SUMIFS(Vendas!$AE$8:$AE$2008,Vendas!$AB$8:$AB$2008,$B13,Vendas!$E$8:$E$2008,"&gt;=01/08/"&amp;$G$3,Vendas!$E$8:$E$2008,"&lt;=31/08/"&amp;$G$3,Vendas!$C$8:$C$2008,"Entregue")+SUMIFS(Vendas!$AJ$8:$AJ$2008,Vendas!$AG$8:$AG$2008,$B13,Vendas!$E$8:$E$2008,"&gt;=01/08/"&amp;$G$3,Vendas!$E$8:$E$2008,"&lt;=31/08/"&amp;$G$3,Vendas!$C$8:$C$2008,"Entregue")+SUMIFS(Vendas!$AO$8:$AO$2008,Vendas!$AL$8:$AL$2008,$B13,Vendas!$E$8:$E$2008,"&gt;=01/08/"&amp;$G$3,Vendas!$E$8:$E$2008,"&lt;=31/08/"&amp;$G$3,Vendas!$C$8:$C$2008,"Entregue")+SUMIFS(Vendas!$AT$8:$AT$2008,Vendas!$AQ$8:$AQ$2008,$B13,Vendas!$E$8:$E$2008,"&gt;=01/08/"&amp;$G$3,Vendas!$E$8:$E$2008,"&lt;=31/08/"&amp;$G$3,Vendas!$C$8:$C$2008,"Entregue")</f>
        <v>0</v>
      </c>
      <c r="S13" s="159">
        <f>SUMIFS(Vendas!$K$8:$K$2008,Vendas!$H$8:$H$2008,$B13,Vendas!$E$8:$E$2008,"&gt;=01/09/"&amp;$G$3,Vendas!$E$8:$E$2008,"&lt;=30/09/"&amp;$G$3)+SUMIFS(Vendas!$P$8:$P$2008,Vendas!$M$8:$M$2008,$B13,Vendas!$E$8:$E$2008,"&gt;=01/09/"&amp;$G$3,Vendas!$E$8:$E$2008,"&lt;=30/09/"&amp;$G$3)+SUMIFS(Vendas!$U$8:$U$2008,Vendas!$R$8:$R$2008,$B13,Vendas!$E$8:$E$2008,"&gt;=01/09/"&amp;$G$3,Vendas!$E$8:$E$2008,"&lt;=30/09/"&amp;$G$3)+SUMIFS(Vendas!$Z$8:$Z$2008,Vendas!$W$8:$W$2008,$B13,Vendas!$E$8:$E$2008,"&gt;=01/09/"&amp;$G$3,Vendas!$E$8:$E$2008,"&lt;=30/09/"&amp;$G$3)+SUMIFS(Vendas!$AE$8:$AE$2008,Vendas!$AB$8:$AB$2008,$B13,Vendas!$E$8:$E$2008,"&gt;=01/09/"&amp;$G$3,Vendas!$E$8:$E$2008,"&lt;=30/09/"&amp;$G$3)+SUMIFS(Vendas!$AJ$8:$AJ$2008,Vendas!$AG$8:$AG$2008,$B13,Vendas!$E$8:$E$2008,"&gt;=01/09/"&amp;$G$3,Vendas!$E$8:$E$2008,"&lt;=30/09/"&amp;$G$3)+SUMIFS(Vendas!$AO$8:$AO$2008,Vendas!$AL$8:$AL$2008,$B13,Vendas!$E$8:$E$2008,"&gt;=01/09/"&amp;$G$3,Vendas!$E$8:$E$2008,"&lt;=30/09/"&amp;$G$3)+SUMIFS(Vendas!$AT$8:$AT$2008,Vendas!$AQ$8:$AQ$2008,$B13,Vendas!$E$8:$E$2008,"&gt;=01/09/"&amp;$G$3,Vendas!$E$8:$E$2008,"&lt;=30/09/"&amp;$G$3)</f>
        <v>0</v>
      </c>
      <c r="T13" s="159">
        <f>SUMIFS(Vendas!$K$8:$K$2008,Vendas!$H$8:$H$2008,$B13,Vendas!$E$8:$E$2008,"&gt;=01/09/"&amp;$G$3,Vendas!$E$8:$E$2008,"&lt;=30/09/"&amp;$G$3,Vendas!$C$8:$C$2008,"Entregue")+SUMIFS(Vendas!$P$8:$P$2008,Vendas!$M$8:$M$2008,$B13,Vendas!$E$8:$E$2008,"&gt;=01/09/"&amp;$G$3,Vendas!$E$8:$E$2008,"&lt;=30/09/"&amp;$G$3,Vendas!$C$8:$C$2008,"Entregue")+SUMIFS(Vendas!$U$8:$U$2008,Vendas!$R$8:$R$2008,$B13,Vendas!$E$8:$E$2008,"&gt;=01/09/"&amp;$G$3,Vendas!$E$8:$E$2008,"&lt;=30/09/"&amp;$G$3,Vendas!$C$8:$C$2008,"Entregue")+SUMIFS(Vendas!$Z$8:$Z$2008,Vendas!$W$8:$W$2008,$B13,Vendas!$E$8:$E$2008,"&gt;=01/09/"&amp;$G$3,Vendas!$E$8:$E$2008,"&lt;=30/09/"&amp;$G$3,Vendas!$C$8:$C$2008,"Entregue")+SUMIFS(Vendas!$AE$8:$AE$2008,Vendas!$AB$8:$AB$2008,$B13,Vendas!$E$8:$E$2008,"&gt;=01/09/"&amp;$G$3,Vendas!$E$8:$E$2008,"&lt;=30/09/"&amp;$G$3,Vendas!$C$8:$C$2008,"Entregue")+SUMIFS(Vendas!$AJ$8:$AJ$2008,Vendas!$AG$8:$AG$2008,$B13,Vendas!$E$8:$E$2008,"&gt;=01/09/"&amp;$G$3,Vendas!$E$8:$E$2008,"&lt;=30/09/"&amp;$G$3,Vendas!$C$8:$C$2008,"Entregue")+SUMIFS(Vendas!$AO$8:$AO$2008,Vendas!$AL$8:$AL$2008,$B13,Vendas!$E$8:$E$2008,"&gt;=01/09/"&amp;$G$3,Vendas!$E$8:$E$2008,"&lt;=30/09/"&amp;$G$3,Vendas!$C$8:$C$2008,"Entregue")+SUMIFS(Vendas!$AT$8:$AT$2008,Vendas!$AQ$8:$AQ$2008,$B13,Vendas!$E$8:$E$2008,"&gt;=01/09/"&amp;$G$3,Vendas!$E$8:$E$2008,"&lt;=30/09/"&amp;$G$3,Vendas!$C$8:$C$2008,"Entregue")</f>
        <v>0</v>
      </c>
      <c r="U13" s="159">
        <f>SUMIFS(Vendas!$K$8:$K$2008,Vendas!$H$8:$H$2008,$B13,Vendas!$E$8:$E$2008,"&gt;=01/10/"&amp;$G$3,Vendas!$E$8:$E$2008,"&lt;=31/10/"&amp;$G$3)+SUMIFS(Vendas!$P$8:$P$2008,Vendas!$M$8:$M$2008,$B13,Vendas!$E$8:$E$2008,"&gt;=01/10/"&amp;$G$3,Vendas!$E$8:$E$2008,"&lt;=31/10/"&amp;$G$3)+SUMIFS(Vendas!$U$8:$U$2008,Vendas!$R$8:$R$2008,$B13,Vendas!$E$8:$E$2008,"&gt;=01/10/"&amp;$G$3,Vendas!$E$8:$E$2008,"&lt;=31/10/"&amp;$G$3)+SUMIFS(Vendas!$Z$8:$Z$2008,Vendas!$W$8:$W$2008,$B13,Vendas!$E$8:$E$2008,"&gt;=01/10/"&amp;$G$3,Vendas!$E$8:$E$2008,"&lt;=31/10/"&amp;$G$3)+SUMIFS(Vendas!$AE$8:$AE$2008,Vendas!$AB$8:$AB$2008,$B13,Vendas!$E$8:$E$2008,"&gt;=01/10/"&amp;$G$3,Vendas!$E$8:$E$2008,"&lt;=31/10/"&amp;$G$3)+SUMIFS(Vendas!$AJ$8:$AJ$2008,Vendas!$AG$8:$AG$2008,$B13,Vendas!$E$8:$E$2008,"&gt;=01/10/"&amp;$G$3,Vendas!$E$8:$E$2008,"&lt;=31/10/"&amp;$G$3)+SUMIFS(Vendas!$AO$8:$AO$2008,Vendas!$AL$8:$AL$2008,$B13,Vendas!$E$8:$E$2008,"&gt;=01/10/"&amp;$G$3,Vendas!$E$8:$E$2008,"&lt;=31/10/"&amp;$G$3)+SUMIFS(Vendas!$AT$8:$AT$2008,Vendas!$AQ$8:$AQ$2008,$B13,Vendas!$E$8:$E$2008,"&gt;=01/10/"&amp;$G$3,Vendas!$E$8:$E$2008,"&lt;=31/10/"&amp;$G$3)</f>
        <v>0</v>
      </c>
      <c r="V13" s="159">
        <f>SUMIFS(Vendas!$K$8:$K$2008,Vendas!$H$8:$H$2008,$B13,Vendas!$E$8:$E$2008,"&gt;=01/10/"&amp;$G$3,Vendas!$E$8:$E$2008,"&lt;=31/10/"&amp;$G$3,Vendas!$C$8:$C$2008,"Entregue")+SUMIFS(Vendas!$P$8:$P$2008,Vendas!$M$8:$M$2008,$B13,Vendas!$E$8:$E$2008,"&gt;=01/10/"&amp;$G$3,Vendas!$E$8:$E$2008,"&lt;=31/10/"&amp;$G$3,Vendas!$C$8:$C$2008,"Entregue")+SUMIFS(Vendas!$U$8:$U$2008,Vendas!$R$8:$R$2008,$B13,Vendas!$E$8:$E$2008,"&gt;=01/10/"&amp;$G$3,Vendas!$E$8:$E$2008,"&lt;=31/10/"&amp;$G$3,Vendas!$C$8:$C$2008,"Entregue")+SUMIFS(Vendas!$Z$8:$Z$2008,Vendas!$W$8:$W$2008,$B13,Vendas!$E$8:$E$2008,"&gt;=01/10/"&amp;$G$3,Vendas!$E$8:$E$2008,"&lt;=31/10/"&amp;$G$3,Vendas!$C$8:$C$2008,"Entregue")+SUMIFS(Vendas!$AE$8:$AE$2008,Vendas!$AB$8:$AB$2008,$B13,Vendas!$E$8:$E$2008,"&gt;=01/10/"&amp;$G$3,Vendas!$E$8:$E$2008,"&lt;=31/10/"&amp;$G$3,Vendas!$C$8:$C$2008,"Entregue")+SUMIFS(Vendas!$AJ$8:$AJ$2008,Vendas!$AG$8:$AG$2008,$B13,Vendas!$E$8:$E$2008,"&gt;=01/10/"&amp;$G$3,Vendas!$E$8:$E$2008,"&lt;=31/10/"&amp;$G$3,Vendas!$C$8:$C$2008,"Entregue")+SUMIFS(Vendas!$AO$8:$AO$2008,Vendas!$AL$8:$AL$2008,$B13,Vendas!$E$8:$E$2008,"&gt;=01/10/"&amp;$G$3,Vendas!$E$8:$E$2008,"&lt;=31/10/"&amp;$G$3,Vendas!$C$8:$C$2008,"Entregue")+SUMIFS(Vendas!$AT$8:$AT$2008,Vendas!$AQ$8:$AQ$2008,$B13,Vendas!$E$8:$E$2008,"&gt;=01/10/"&amp;$G$3,Vendas!$E$8:$E$2008,"&lt;=31/10/"&amp;$G$3,Vendas!$C$8:$C$2008,"Entregue")</f>
        <v>0</v>
      </c>
      <c r="W13" s="159">
        <f>SUMIFS(Vendas!$K$8:$K$2008,Vendas!$H$8:$H$2008,$B13,Vendas!$E$8:$E$2008,"&gt;=01/11/"&amp;$G$3,Vendas!$E$8:$E$2008,"&lt;=30/11/"&amp;$G$3)+SUMIFS(Vendas!$P$8:$P$2008,Vendas!$M$8:$M$2008,$B13,Vendas!$E$8:$E$2008,"&gt;=01/11/"&amp;$G$3,Vendas!$E$8:$E$2008,"&lt;=30/11/"&amp;$G$3)+SUMIFS(Vendas!$U$8:$U$2008,Vendas!$R$8:$R$2008,$B13,Vendas!$E$8:$E$2008,"&gt;=01/11/"&amp;$G$3,Vendas!$E$8:$E$2008,"&lt;=30/11/"&amp;$G$3)+SUMIFS(Vendas!$Z$8:$Z$2008,Vendas!$W$8:$W$2008,$B13,Vendas!$E$8:$E$2008,"&gt;=01/11/"&amp;$G$3,Vendas!$E$8:$E$2008,"&lt;=30/11/"&amp;$G$3)+SUMIFS(Vendas!$AE$8:$AE$2008,Vendas!$AB$8:$AB$2008,$B13,Vendas!$E$8:$E$2008,"&gt;=01/11/"&amp;$G$3,Vendas!$E$8:$E$2008,"&lt;=30/11/"&amp;$G$3)+SUMIFS(Vendas!$AJ$8:$AJ$2008,Vendas!$AG$8:$AG$2008,$B13,Vendas!$E$8:$E$2008,"&gt;=01/11/"&amp;$G$3,Vendas!$E$8:$E$2008,"&lt;=30/11/"&amp;$G$3)+SUMIFS(Vendas!$AO$8:$AO$2008,Vendas!$AL$8:$AL$2008,$B13,Vendas!$E$8:$E$2008,"&gt;=01/11/"&amp;$G$3,Vendas!$E$8:$E$2008,"&lt;=30/11/"&amp;$G$3)+SUMIFS(Vendas!$AT$8:$AT$2008,Vendas!$AQ$8:$AQ$2008,$B13,Vendas!$E$8:$E$2008,"&gt;=01/11/"&amp;$G$3,Vendas!$E$8:$E$2008,"&lt;=30/11/"&amp;$G$3)</f>
        <v>0</v>
      </c>
      <c r="X13" s="159">
        <f>SUMIFS(Vendas!$K$8:$K$2008,Vendas!$H$8:$H$2008,$B13,Vendas!$E$8:$E$2008,"&gt;=01/11/"&amp;$G$3,Vendas!$E$8:$E$2008,"&lt;=30/11/"&amp;$G$3,Vendas!$C$8:$C$2008,"Entregue")+SUMIFS(Vendas!$P$8:$P$2008,Vendas!$M$8:$M$2008,$B13,Vendas!$E$8:$E$2008,"&gt;=01/11/"&amp;$G$3,Vendas!$E$8:$E$2008,"&lt;=30/11/"&amp;$G$3,Vendas!$C$8:$C$2008,"Entregue")+SUMIFS(Vendas!$U$8:$U$2008,Vendas!$R$8:$R$2008,$B13,Vendas!$E$8:$E$2008,"&gt;=01/11/"&amp;$G$3,Vendas!$E$8:$E$2008,"&lt;=30/11/"&amp;$G$3,Vendas!$C$8:$C$2008,"Entregue")+SUMIFS(Vendas!$Z$8:$Z$2008,Vendas!$W$8:$W$2008,$B13,Vendas!$E$8:$E$2008,"&gt;=01/11/"&amp;$G$3,Vendas!$E$8:$E$2008,"&lt;=30/11/"&amp;$G$3,Vendas!$C$8:$C$2008,"Entregue")+SUMIFS(Vendas!$AE$8:$AE$2008,Vendas!$AB$8:$AB$2008,$B13,Vendas!$E$8:$E$2008,"&gt;=01/11/"&amp;$G$3,Vendas!$E$8:$E$2008,"&lt;=30/11/"&amp;$G$3,Vendas!$C$8:$C$2008,"Entregue")+SUMIFS(Vendas!$AJ$8:$AJ$2008,Vendas!$AG$8:$AG$2008,$B13,Vendas!$E$8:$E$2008,"&gt;=01/11/"&amp;$G$3,Vendas!$E$8:$E$2008,"&lt;=30/11/"&amp;$G$3,Vendas!$C$8:$C$2008,"Entregue")+SUMIFS(Vendas!$AO$8:$AO$2008,Vendas!$AL$8:$AL$2008,$B13,Vendas!$E$8:$E$2008,"&gt;=01/11/"&amp;$G$3,Vendas!$E$8:$E$2008,"&lt;=30/11/"&amp;$G$3,Vendas!$C$8:$C$2008,"Entregue")+SUMIFS(Vendas!$AT$8:$AT$2008,Vendas!$AQ$8:$AQ$2008,$B13,Vendas!$E$8:$E$2008,"&gt;=01/11/"&amp;$G$3,Vendas!$E$8:$E$2008,"&lt;=30/11/"&amp;$G$3,Vendas!$C$8:$C$2008,"Entregue")</f>
        <v>0</v>
      </c>
      <c r="Y13" s="159">
        <f>SUMIFS(Vendas!$K$8:$K$2008,Vendas!$H$8:$H$2008,$B13,Vendas!$E$8:$E$2008,"&gt;=01/12/"&amp;$G$3,Vendas!$E$8:$E$2008,"&lt;=31/12/"&amp;$G$3)+SUMIFS(Vendas!$P$8:$P$2008,Vendas!$M$8:$M$2008,$B13,Vendas!$E$8:$E$2008,"&gt;=01/12/"&amp;$G$3,Vendas!$E$8:$E$2008,"&lt;=31/12/"&amp;$G$3)+SUMIFS(Vendas!$U$8:$U$2008,Vendas!$R$8:$R$2008,$B13,Vendas!$E$8:$E$2008,"&gt;=01/12/"&amp;$G$3,Vendas!$E$8:$E$2008,"&lt;=31/12/"&amp;$G$3)+SUMIFS(Vendas!$Z$8:$Z$2008,Vendas!$W$8:$W$2008,$B13,Vendas!$E$8:$E$2008,"&gt;=01/12/"&amp;$G$3,Vendas!$E$8:$E$2008,"&lt;=31/12/"&amp;$G$3)+SUMIFS(Vendas!$AE$8:$AE$2008,Vendas!$AB$8:$AB$2008,$B13,Vendas!$E$8:$E$2008,"&gt;=01/12/"&amp;$G$3,Vendas!$E$8:$E$2008,"&lt;=31/12/"&amp;$G$3)+SUMIFS(Vendas!$AJ$8:$AJ$2008,Vendas!$AG$8:$AG$2008,$B13,Vendas!$E$8:$E$2008,"&gt;=01/12/"&amp;$G$3,Vendas!$E$8:$E$2008,"&lt;=31/12/"&amp;$G$3)+SUMIFS(Vendas!$AO$8:$AO$2008,Vendas!$AL$8:$AL$2008,$B13,Vendas!$E$8:$E$2008,"&gt;=01/12/"&amp;$G$3,Vendas!$E$8:$E$2008,"&lt;=31/12/"&amp;$G$3)+SUMIFS(Vendas!$AT$8:$AT$2008,Vendas!$AQ$8:$AQ$2008,$B13,Vendas!$E$8:$E$2008,"&gt;=01/12/"&amp;$G$3,Vendas!$E$8:$E$2008,"&lt;=31/12/"&amp;$G$3)</f>
        <v>0</v>
      </c>
      <c r="Z13" s="160">
        <f>SUMIFS(Vendas!$K$8:$K$2008,Vendas!$H$8:$H$2008,$B13,Vendas!$E$8:$E$2008,"&gt;=01/12/"&amp;$G$3,Vendas!$E$8:$E$2008,"&lt;=31/12/"&amp;$G$3,Vendas!$C$8:$C$2008,"Entregue")+SUMIFS(Vendas!$P$8:$P$2008,Vendas!$M$8:$M$2008,$B13,Vendas!$E$8:$E$2008,"&gt;=01/12/"&amp;$G$3,Vendas!$E$8:$E$2008,"&lt;=31/12/"&amp;$G$3,Vendas!$C$8:$C$2008,"Entregue")+SUMIFS(Vendas!$U$8:$U$2008,Vendas!$R$8:$R$2008,$B13,Vendas!$E$8:$E$2008,"&gt;=01/12/"&amp;$G$3,Vendas!$E$8:$E$2008,"&lt;=31/12/"&amp;$G$3,Vendas!$C$8:$C$2008,"Entregue")+SUMIFS(Vendas!$Z$8:$Z$2008,Vendas!$W$8:$W$2008,$B13,Vendas!$E$8:$E$2008,"&gt;=01/12/"&amp;$G$3,Vendas!$E$8:$E$2008,"&lt;=31/12/"&amp;$G$3,Vendas!$C$8:$C$2008,"Entregue")+SUMIFS(Vendas!$AE$8:$AE$2008,Vendas!$AB$8:$AB$2008,$B13,Vendas!$E$8:$E$2008,"&gt;=01/12/"&amp;$G$3,Vendas!$E$8:$E$2008,"&lt;=31/12/"&amp;$G$3,Vendas!$C$8:$C$2008,"Entregue")+SUMIFS(Vendas!$AJ$8:$AJ$2008,Vendas!$AG$8:$AG$2008,$B13,Vendas!$E$8:$E$2008,"&gt;=01/12/"&amp;$G$3,Vendas!$E$8:$E$2008,"&lt;=31/12/"&amp;$G$3,Vendas!$C$8:$C$2008,"Entregue")+SUMIFS(Vendas!$AO$8:$AO$2008,Vendas!$AL$8:$AL$2008,$B13,Vendas!$E$8:$E$2008,"&gt;=01/12/"&amp;$G$3,Vendas!$E$8:$E$2008,"&lt;=31/12/"&amp;$G$3,Vendas!$C$8:$C$2008,"Entregue")+SUMIFS(Vendas!$AT$8:$AT$2008,Vendas!$AQ$8:$AQ$2008,$B13,Vendas!$E$8:$E$2008,"&gt;=01/12/"&amp;$G$3,Vendas!$E$8:$E$2008,"&lt;=31/12/"&amp;$G$3,Vendas!$C$8:$C$2008,"Entregue")</f>
        <v>0</v>
      </c>
      <c r="AA13" s="132">
        <f t="shared" si="0"/>
        <v>0</v>
      </c>
      <c r="AB13" s="132">
        <f t="shared" si="0"/>
        <v>0</v>
      </c>
      <c r="AC13" s="67"/>
    </row>
    <row r="14" spans="1:50" ht="14.4" x14ac:dyDescent="0.3">
      <c r="B14" s="262" t="str">
        <f>IF(Cadastros!D13="","",Cadastros!D13)</f>
        <v>10107 - Colchão Léctus 158 X 198 X 021 cm MVQ</v>
      </c>
      <c r="C14" s="161">
        <f>SUMIFS(Vendas!$K$8:$K$2008,Vendas!$H$8:$H$2008,$B14,Vendas!$E$8:$E$2008,"&gt;=01/01/"&amp;$G$3,Vendas!$E$8:$E$2008,"&lt;=31/01/"&amp;$G$3)+SUMIFS(Vendas!$P$8:$P$2008,Vendas!$M$8:$M$2008,$B14,Vendas!$E$8:$E$2008,"&gt;=01/01/"&amp;$G$3,Vendas!$E$8:$E$2008,"&lt;=31/01/"&amp;$G$3)+SUMIFS(Vendas!$U$8:$U$2008,Vendas!$R$8:$R$2008,$B14,Vendas!$E$8:$E$2008,"&gt;=01/01/"&amp;$G$3,Vendas!$E$8:$E$2008,"&lt;=31/01/"&amp;$G$3)+SUMIFS(Vendas!$Z$8:$Z$2008,Vendas!$W$8:$W$2008,$B14,Vendas!$E$8:$E$2008,"&gt;=01/01/"&amp;$G$3,Vendas!$E$8:$E$2008,"&lt;=31/01/"&amp;$G$3)+SUMIFS(Vendas!$AE$8:$AE$2008,Vendas!$AB$8:$AB$2008,$B14,Vendas!$E$8:$E$2008,"&gt;=01/01/"&amp;$G$3,Vendas!$E$8:$E$2008,"&lt;=31/01/"&amp;$G$3)+SUMIFS(Vendas!$AJ$8:$AJ$2008,Vendas!$AG$8:$AG$2008,$B14,Vendas!$E$8:$E$2008,"&gt;=01/01/"&amp;$G$3,Vendas!$E$8:$E$2008,"&lt;=31/01/"&amp;$G$3)+SUMIFS(Vendas!$AO$8:$AO$2008,Vendas!$AL$8:$AL$2008,$B14,Vendas!$E$8:$E$2008,"&gt;=01/01/"&amp;$G$3,Vendas!$E$8:$E$2008,"&lt;=31/01/"&amp;$G$3)+SUMIFS(Vendas!$AT$8:$AT$2008,Vendas!$AQ$8:$AQ$2008,$B14,Vendas!$E$8:$E$2008,"&gt;=01/01/"&amp;$G$3,Vendas!$E$8:$E$2008,"&lt;=31/01/"&amp;$G$3)</f>
        <v>0</v>
      </c>
      <c r="D14" s="162">
        <f>SUMIFS(Vendas!$K$8:$K$2008,Vendas!$H$8:$H$2008,$B14,Vendas!$E$8:$E$2008,"&gt;=01/01/"&amp;$G$3,Vendas!$E$8:$E$2008,"&lt;=31/01/"&amp;$G$3,Vendas!$C$8:$C$2008,"Entregue")+SUMIFS(Vendas!$P$8:$P$2008,Vendas!$M$8:$M$2008,$B14,Vendas!$E$8:$E$2008,"&gt;=01/01/"&amp;$G$3,Vendas!$E$8:$E$2008,"&lt;=31/01/"&amp;$G$3,Vendas!$C$8:$C$2008,"Entregue")+SUMIFS(Vendas!$U$8:$U$2008,Vendas!$R$8:$R$2008,$B14,Vendas!$E$8:$E$2008,"&gt;=01/01/"&amp;$G$3,Vendas!$E$8:$E$2008,"&lt;=31/01/"&amp;$G$3,Vendas!$C$8:$C$2008,"Entregue")+SUMIFS(Vendas!$Z$8:$Z$2008,Vendas!$W$8:$W$2008,$B14,Vendas!$E$8:$E$2008,"&gt;=01/01/"&amp;$G$3,Vendas!$E$8:$E$2008,"&lt;=31/01/"&amp;$G$3,Vendas!$C$8:$C$2008,"Entregue")+SUMIFS(Vendas!$AE$8:$AE$2008,Vendas!$AB$8:$AB$2008,$B14,Vendas!$E$8:$E$2008,"&gt;=01/01/"&amp;$G$3,Vendas!$E$8:$E$2008,"&lt;=31/01/"&amp;$G$3,Vendas!$C$8:$C$2008,"Entregue")+SUMIFS(Vendas!$AJ$8:$AJ$2008,Vendas!$AG$8:$AG$2008,$B14,Vendas!$E$8:$E$2008,"&gt;=01/01/"&amp;$G$3,Vendas!$E$8:$E$2008,"&lt;=31/01/"&amp;$G$3,Vendas!$C$8:$C$2008,"Entregue")+SUMIFS(Vendas!$AO$8:$AO$2008,Vendas!$AL$8:$AL$2008,$B14,Vendas!$E$8:$E$2008,"&gt;=01/01/"&amp;$G$3,Vendas!$E$8:$E$2008,"&lt;=31/01/"&amp;$G$3,Vendas!$C$8:$C$2008,"Entregue")+SUMIFS(Vendas!$AT$8:$AT$2008,Vendas!$AQ$8:$AQ$2008,$B14,Vendas!$E$8:$E$2008,"&gt;=01/01/"&amp;$G$3,Vendas!$E$8:$E$2008,"&lt;=31/01/"&amp;$G$3,Vendas!$C$8:$C$2008,"Entregue")</f>
        <v>0</v>
      </c>
      <c r="E14" s="162">
        <f>SUMIFS(Vendas!$K$8:$K$2008,Vendas!$H$8:$H$2008,$B14,Vendas!$E$8:$E$2008,"&gt;=01/02/"&amp;$G$3,Vendas!$E$8:$E$2008,"&lt;=28/02/"&amp;$G$3)+SUMIFS(Vendas!$P$8:$P$2008,Vendas!$M$8:$M$2008,$B14,Vendas!$E$8:$E$2008,"&gt;=01/02/"&amp;$G$3,Vendas!$E$8:$E$2008,"&lt;=28/02/"&amp;$G$3)+SUMIFS(Vendas!$U$8:$U$2008,Vendas!$R$8:$R$2008,$B14,Vendas!$E$8:$E$2008,"&gt;=01/02/"&amp;$G$3,Vendas!$E$8:$E$2008,"&lt;=28/02/"&amp;$G$3)+SUMIFS(Vendas!$Z$8:$Z$2008,Vendas!$W$8:$W$2008,$B14,Vendas!$E$8:$E$2008,"&gt;=01/02/"&amp;$G$3,Vendas!$E$8:$E$2008,"&lt;=28/02/"&amp;$G$3)+SUMIFS(Vendas!$AE$8:$AE$2008,Vendas!$AB$8:$AB$2008,$B14,Vendas!$E$8:$E$2008,"&gt;=01/02/"&amp;$G$3,Vendas!$E$8:$E$2008,"&lt;=28/02/"&amp;$G$3)+SUMIFS(Vendas!$AJ$8:$AJ$2008,Vendas!$AG$8:$AG$2008,$B14,Vendas!$E$8:$E$2008,"&gt;=01/02/"&amp;$G$3,Vendas!$E$8:$E$2008,"&lt;=28/02/"&amp;$G$3)+SUMIFS(Vendas!$AO$8:$AO$2008,Vendas!$AL$8:$AL$2008,$B14,Vendas!$E$8:$E$2008,"&gt;=01/02/"&amp;$G$3,Vendas!$E$8:$E$2008,"&lt;=28/02/"&amp;$G$3)+SUMIFS(Vendas!$AT$8:$AT$2008,Vendas!$AQ$8:$AQ$2008,$B14,Vendas!$E$8:$E$2008,"&gt;=01/02/"&amp;$G$3,Vendas!$E$8:$E$2008,"&lt;=28/02/"&amp;$G$3)</f>
        <v>0</v>
      </c>
      <c r="F14" s="162">
        <f>SUMIFS(Vendas!$K$8:$K$2008,Vendas!$H$8:$H$2008,$B14,Vendas!$E$8:$E$2008,"&gt;=01/02/"&amp;$G$3,Vendas!$E$8:$E$2008,"&lt;=28/02/"&amp;$G$3,Vendas!$C$8:$C$2008,"Entregue")+SUMIFS(Vendas!$P$8:$P$2008,Vendas!$M$8:$M$2008,$B14,Vendas!$E$8:$E$2008,"&gt;=01/02/"&amp;$G$3,Vendas!$E$8:$E$2008,"&lt;=28/02/"&amp;$G$3,Vendas!$C$8:$C$2008,"Entregue")+SUMIFS(Vendas!$U$8:$U$2008,Vendas!$R$8:$R$2008,$B14,Vendas!$E$8:$E$2008,"&gt;=01/02/"&amp;$G$3,Vendas!$E$8:$E$2008,"&lt;=28/02/"&amp;$G$3,Vendas!$C$8:$C$2008,"Entregue")+SUMIFS(Vendas!$Z$8:$Z$2008,Vendas!$W$8:$W$2008,$B14,Vendas!$E$8:$E$2008,"&gt;=01/02/"&amp;$G$3,Vendas!$E$8:$E$2008,"&lt;=28/02/"&amp;$G$3,Vendas!$C$8:$C$2008,"Entregue")+SUMIFS(Vendas!$AE$8:$AE$2008,Vendas!$AB$8:$AB$2008,$B14,Vendas!$E$8:$E$2008,"&gt;=01/02/"&amp;$G$3,Vendas!$E$8:$E$2008,"&lt;=28/02/"&amp;$G$3,Vendas!$C$8:$C$2008,"Entregue")+SUMIFS(Vendas!$AJ$8:$AJ$2008,Vendas!$AG$8:$AG$2008,$B14,Vendas!$E$8:$E$2008,"&gt;=01/02/"&amp;$G$3,Vendas!$E$8:$E$2008,"&lt;=28/02/"&amp;$G$3,Vendas!$C$8:$C$2008,"Entregue")+SUMIFS(Vendas!$AO$8:$AO$2008,Vendas!$AL$8:$AL$2008,$B14,Vendas!$E$8:$E$2008,"&gt;=01/02/"&amp;$G$3,Vendas!$E$8:$E$2008,"&lt;=28/02/"&amp;$G$3,Vendas!$C$8:$C$2008,"Entregue")+SUMIFS(Vendas!$AT$8:$AT$2008,Vendas!$AQ$8:$AQ$2008,$B14,Vendas!$E$8:$E$2008,"&gt;=01/02/"&amp;$G$3,Vendas!$E$8:$E$2008,"&lt;=28/02/"&amp;$G$3,Vendas!$C$8:$C$2008,"Entregue")</f>
        <v>0</v>
      </c>
      <c r="G14" s="162">
        <f>SUMIFS(Vendas!$K$8:$K$2008,Vendas!$H$8:$H$2008,$B14,Vendas!$E$8:$E$2008,"&gt;=01/03/"&amp;$G$3,Vendas!$E$8:$E$2008,"&lt;=31/03/"&amp;$G$3)+SUMIFS(Vendas!$P$8:$P$2008,Vendas!$M$8:$M$2008,$B14,Vendas!$E$8:$E$2008,"&gt;=01/03/"&amp;$G$3,Vendas!$E$8:$E$2008,"&lt;=31/03/"&amp;$G$3)+SUMIFS(Vendas!$U$8:$U$2008,Vendas!$R$8:$R$2008,$B14,Vendas!$E$8:$E$2008,"&gt;=01/03/"&amp;$G$3,Vendas!$E$8:$E$2008,"&lt;=31/03/"&amp;$G$3)+SUMIFS(Vendas!$Z$8:$Z$2008,Vendas!$W$8:$W$2008,$B14,Vendas!$E$8:$E$2008,"&gt;=01/03/"&amp;$G$3,Vendas!$E$8:$E$2008,"&lt;=31/03/"&amp;$G$3)+SUMIFS(Vendas!$AE$8:$AE$2008,Vendas!$AB$8:$AB$2008,$B14,Vendas!$E$8:$E$2008,"&gt;=01/03/"&amp;$G$3,Vendas!$E$8:$E$2008,"&lt;=31/03/"&amp;$G$3)+SUMIFS(Vendas!$AJ$8:$AJ$2008,Vendas!$AG$8:$AG$2008,$B14,Vendas!$E$8:$E$2008,"&gt;=01/03/"&amp;$G$3,Vendas!$E$8:$E$2008,"&lt;=31/03/"&amp;$G$3)+SUMIFS(Vendas!$AO$8:$AO$2008,Vendas!$AL$8:$AL$2008,$B14,Vendas!$E$8:$E$2008,"&gt;=01/03/"&amp;$G$3,Vendas!$E$8:$E$2008,"&lt;=31/03/"&amp;$G$3)+SUMIFS(Vendas!$AT$8:$AT$2008,Vendas!$AQ$8:$AQ$2008,$B14,Vendas!$E$8:$E$2008,"&gt;=01/03/"&amp;$G$3,Vendas!$E$8:$E$2008,"&lt;=31/03/"&amp;$G$3)</f>
        <v>0</v>
      </c>
      <c r="H14" s="162">
        <f>SUMIFS(Vendas!$K$8:$K$2008,Vendas!$H$8:$H$2008,$B14,Vendas!$E$8:$E$2008,"&gt;=01/03/"&amp;$G$3,Vendas!$E$8:$E$2008,"&lt;=31/03/"&amp;$G$3,Vendas!$C$8:$C$2008,"Entregue")+SUMIFS(Vendas!$P$8:$P$2008,Vendas!$M$8:$M$2008,$B14,Vendas!$E$8:$E$2008,"&gt;=01/03/"&amp;$G$3,Vendas!$E$8:$E$2008,"&lt;=31/03/"&amp;$G$3,Vendas!$C$8:$C$2008,"Entregue")+SUMIFS(Vendas!$U$8:$U$2008,Vendas!$R$8:$R$2008,$B14,Vendas!$E$8:$E$2008,"&gt;=01/03/"&amp;$G$3,Vendas!$E$8:$E$2008,"&lt;=31/03/"&amp;$G$3,Vendas!$C$8:$C$2008,"Entregue")+SUMIFS(Vendas!$Z$8:$Z$2008,Vendas!$W$8:$W$2008,$B14,Vendas!$E$8:$E$2008,"&gt;=01/03/"&amp;$G$3,Vendas!$E$8:$E$2008,"&lt;=31/03/"&amp;$G$3,Vendas!$C$8:$C$2008,"Entregue")+SUMIFS(Vendas!$AE$8:$AE$2008,Vendas!$AB$8:$AB$2008,$B14,Vendas!$E$8:$E$2008,"&gt;=01/03/"&amp;$G$3,Vendas!$E$8:$E$2008,"&lt;=31/03/"&amp;$G$3,Vendas!$C$8:$C$2008,"Entregue")+SUMIFS(Vendas!$AJ$8:$AJ$2008,Vendas!$AG$8:$AG$2008,$B14,Vendas!$E$8:$E$2008,"&gt;=01/03/"&amp;$G$3,Vendas!$E$8:$E$2008,"&lt;=31/03/"&amp;$G$3,Vendas!$C$8:$C$2008,"Entregue")+SUMIFS(Vendas!$AO$8:$AO$2008,Vendas!$AL$8:$AL$2008,$B14,Vendas!$E$8:$E$2008,"&gt;=01/03/"&amp;$G$3,Vendas!$E$8:$E$2008,"&lt;=31/03/"&amp;$G$3,Vendas!$C$8:$C$2008,"Entregue")+SUMIFS(Vendas!$AT$8:$AT$2008,Vendas!$AQ$8:$AQ$2008,$B14,Vendas!$E$8:$E$2008,"&gt;=01/03/"&amp;$G$3,Vendas!$E$8:$E$2008,"&lt;=31/03/"&amp;$G$3,Vendas!$C$8:$C$2008,"Entregue")</f>
        <v>0</v>
      </c>
      <c r="I14" s="162">
        <f>SUMIFS(Vendas!$K$8:$K$2008,Vendas!$H$8:$H$2008,$B14,Vendas!$E$8:$E$2008,"&gt;=01/04/"&amp;$G$3,Vendas!$E$8:$E$2008,"&lt;=30/04/"&amp;$G$3)+SUMIFS(Vendas!$P$8:$P$2008,Vendas!$M$8:$M$2008,$B14,Vendas!$E$8:$E$2008,"&gt;=01/04/"&amp;$G$3,Vendas!$E$8:$E$2008,"&lt;=30/04/"&amp;$G$3)+SUMIFS(Vendas!$U$8:$U$2008,Vendas!$R$8:$R$2008,$B14,Vendas!$E$8:$E$2008,"&gt;=01/04/"&amp;$G$3,Vendas!$E$8:$E$2008,"&lt;=30/04/"&amp;$G$3)+SUMIFS(Vendas!$Z$8:$Z$2008,Vendas!$W$8:$W$2008,$B14,Vendas!$E$8:$E$2008,"&gt;=01/04/"&amp;$G$3,Vendas!$E$8:$E$2008,"&lt;=30/04/"&amp;$G$3)+SUMIFS(Vendas!$AE$8:$AE$2008,Vendas!$AB$8:$AB$2008,$B14,Vendas!$E$8:$E$2008,"&gt;=01/04/"&amp;$G$3,Vendas!$E$8:$E$2008,"&lt;=30/04/"&amp;$G$3)+SUMIFS(Vendas!$AJ$8:$AJ$2008,Vendas!$AG$8:$AG$2008,$B14,Vendas!$E$8:$E$2008,"&gt;=01/04/"&amp;$G$3,Vendas!$E$8:$E$2008,"&lt;=30/04/"&amp;$G$3)+SUMIFS(Vendas!$AO$8:$AO$2008,Vendas!$AL$8:$AL$2008,$B14,Vendas!$E$8:$E$2008,"&gt;=01/04/"&amp;$G$3,Vendas!$E$8:$E$2008,"&lt;=30/04/"&amp;$G$3)+SUMIFS(Vendas!$AT$8:$AT$2008,Vendas!$AQ$8:$AQ$2008,$B14,Vendas!$E$8:$E$2008,"&gt;=01/04/"&amp;$G$3,Vendas!$E$8:$E$2008,"&lt;=30/04/"&amp;$G$3)</f>
        <v>0</v>
      </c>
      <c r="J14" s="162">
        <f>SUMIFS(Vendas!$K$8:$K$2008,Vendas!$H$8:$H$2008,$B14,Vendas!$E$8:$E$2008,"&gt;=01/04/"&amp;$G$3,Vendas!$E$8:$E$2008,"&lt;=30/04/"&amp;$G$3,Vendas!$C$8:$C$2008,"Entregue")+SUMIFS(Vendas!$P$8:$P$2008,Vendas!$M$8:$M$2008,$B14,Vendas!$E$8:$E$2008,"&gt;=01/04/"&amp;$G$3,Vendas!$E$8:$E$2008,"&lt;=30/04/"&amp;$G$3,Vendas!$C$8:$C$2008,"Entregue")+SUMIFS(Vendas!$U$8:$U$2008,Vendas!$R$8:$R$2008,$B14,Vendas!$E$8:$E$2008,"&gt;=01/04/"&amp;$G$3,Vendas!$E$8:$E$2008,"&lt;=30/04/"&amp;$G$3,Vendas!$C$8:$C$2008,"Entregue")+SUMIFS(Vendas!$Z$8:$Z$2008,Vendas!$W$8:$W$2008,$B14,Vendas!$E$8:$E$2008,"&gt;=01/04/"&amp;$G$3,Vendas!$E$8:$E$2008,"&lt;=30/04/"&amp;$G$3,Vendas!$C$8:$C$2008,"Entregue")+SUMIFS(Vendas!$AE$8:$AE$2008,Vendas!$AB$8:$AB$2008,$B14,Vendas!$E$8:$E$2008,"&gt;=01/04/"&amp;$G$3,Vendas!$E$8:$E$2008,"&lt;=30/04/"&amp;$G$3,Vendas!$C$8:$C$2008,"Entregue")+SUMIFS(Vendas!$AJ$8:$AJ$2008,Vendas!$AG$8:$AG$2008,$B14,Vendas!$E$8:$E$2008,"&gt;=01/04/"&amp;$G$3,Vendas!$E$8:$E$2008,"&lt;=30/04/"&amp;$G$3,Vendas!$C$8:$C$2008,"Entregue")+SUMIFS(Vendas!$AO$8:$AO$2008,Vendas!$AL$8:$AL$2008,$B14,Vendas!$E$8:$E$2008,"&gt;=01/04/"&amp;$G$3,Vendas!$E$8:$E$2008,"&lt;=30/04/"&amp;$G$3,Vendas!$C$8:$C$2008,"Entregue")+SUMIFS(Vendas!$AT$8:$AT$2008,Vendas!$AQ$8:$AQ$2008,$B14,Vendas!$E$8:$E$2008,"&gt;=01/04/"&amp;$G$3,Vendas!$E$8:$E$2008,"&lt;=30/04/"&amp;$G$3,Vendas!$C$8:$C$2008,"Entregue")</f>
        <v>0</v>
      </c>
      <c r="K14" s="162">
        <f>SUMIFS(Vendas!$K$8:$K$2008,Vendas!$H$8:$H$2008,$B14,Vendas!$E$8:$E$2008,"&gt;=01/05/"&amp;$G$3,Vendas!$E$8:$E$2008,"&lt;=31/05/"&amp;$G$3)+SUMIFS(Vendas!$P$8:$P$2008,Vendas!$M$8:$M$2008,$B14,Vendas!$E$8:$E$2008,"&gt;=01/05/"&amp;$G$3,Vendas!$E$8:$E$2008,"&lt;=31/05/"&amp;$G$3)+SUMIFS(Vendas!$U$8:$U$2008,Vendas!$R$8:$R$2008,$B14,Vendas!$E$8:$E$2008,"&gt;=01/05/"&amp;$G$3,Vendas!$E$8:$E$2008,"&lt;=31/05/"&amp;$G$3)+SUMIFS(Vendas!$Z$8:$Z$2008,Vendas!$W$8:$W$2008,$B14,Vendas!$E$8:$E$2008,"&gt;=01/05/"&amp;$G$3,Vendas!$E$8:$E$2008,"&lt;=31/05/"&amp;$G$3)+SUMIFS(Vendas!$AE$8:$AE$2008,Vendas!$AB$8:$AB$2008,$B14,Vendas!$E$8:$E$2008,"&gt;=01/05/"&amp;$G$3,Vendas!$E$8:$E$2008,"&lt;=31/05/"&amp;$G$3)+SUMIFS(Vendas!$AJ$8:$AJ$2008,Vendas!$AG$8:$AG$2008,$B14,Vendas!$E$8:$E$2008,"&gt;=01/05/"&amp;$G$3,Vendas!$E$8:$E$2008,"&lt;=31/05/"&amp;$G$3)+SUMIFS(Vendas!$AO$8:$AO$2008,Vendas!$AL$8:$AL$2008,$B14,Vendas!$E$8:$E$2008,"&gt;=01/05/"&amp;$G$3,Vendas!$E$8:$E$2008,"&lt;=31/05/"&amp;$G$3)+SUMIFS(Vendas!$AT$8:$AT$2008,Vendas!$AQ$8:$AQ$2008,$B14,Vendas!$E$8:$E$2008,"&gt;=01/05/"&amp;$G$3,Vendas!$E$8:$E$2008,"&lt;=31/05/"&amp;$G$3)</f>
        <v>0</v>
      </c>
      <c r="L14" s="162">
        <f>SUMIFS(Vendas!$K$8:$K$2008,Vendas!$H$8:$H$2008,$B14,Vendas!$E$8:$E$2008,"&gt;=01/05/"&amp;$G$3,Vendas!$E$8:$E$2008,"&lt;=31/05/"&amp;$G$3,Vendas!$C$8:$C$2008,"Entregue")+SUMIFS(Vendas!$P$8:$P$2008,Vendas!$M$8:$M$2008,$B14,Vendas!$E$8:$E$2008,"&gt;=01/05/"&amp;$G$3,Vendas!$E$8:$E$2008,"&lt;=31/05/"&amp;$G$3,Vendas!$C$8:$C$2008,"Entregue")+SUMIFS(Vendas!$U$8:$U$2008,Vendas!$R$8:$R$2008,$B14,Vendas!$E$8:$E$2008,"&gt;=01/05/"&amp;$G$3,Vendas!$E$8:$E$2008,"&lt;=31/05/"&amp;$G$3,Vendas!$C$8:$C$2008,"Entregue")+SUMIFS(Vendas!$Z$8:$Z$2008,Vendas!$W$8:$W$2008,$B14,Vendas!$E$8:$E$2008,"&gt;=01/05/"&amp;$G$3,Vendas!$E$8:$E$2008,"&lt;=31/05/"&amp;$G$3,Vendas!$C$8:$C$2008,"Entregue")+SUMIFS(Vendas!$AE$8:$AE$2008,Vendas!$AB$8:$AB$2008,$B14,Vendas!$E$8:$E$2008,"&gt;=01/05/"&amp;$G$3,Vendas!$E$8:$E$2008,"&lt;=31/05/"&amp;$G$3,Vendas!$C$8:$C$2008,"Entregue")+SUMIFS(Vendas!$AJ$8:$AJ$2008,Vendas!$AG$8:$AG$2008,$B14,Vendas!$E$8:$E$2008,"&gt;=01/05/"&amp;$G$3,Vendas!$E$8:$E$2008,"&lt;=31/05/"&amp;$G$3,Vendas!$C$8:$C$2008,"Entregue")+SUMIFS(Vendas!$AO$8:$AO$2008,Vendas!$AL$8:$AL$2008,$B14,Vendas!$E$8:$E$2008,"&gt;=01/05/"&amp;$G$3,Vendas!$E$8:$E$2008,"&lt;=31/05/"&amp;$G$3,Vendas!$C$8:$C$2008,"Entregue")+SUMIFS(Vendas!$AT$8:$AT$2008,Vendas!$AQ$8:$AQ$2008,$B14,Vendas!$E$8:$E$2008,"&gt;=01/05/"&amp;$G$3,Vendas!$E$8:$E$2008,"&lt;=31/05/"&amp;$G$3,Vendas!$C$8:$C$2008,"Entregue")</f>
        <v>0</v>
      </c>
      <c r="M14" s="162">
        <f>SUMIFS(Vendas!$K$8:$K$2008,Vendas!$H$8:$H$2008,$B14,Vendas!$E$8:$E$2008,"&gt;=01/06/"&amp;$G$3,Vendas!$E$8:$E$2008,"&lt;=30/06/"&amp;$G$3)+SUMIFS(Vendas!$P$8:$P$2008,Vendas!$M$8:$M$2008,$B14,Vendas!$E$8:$E$2008,"&gt;=01/06/"&amp;$G$3,Vendas!$E$8:$E$2008,"&lt;=30/06/"&amp;$G$3)+SUMIFS(Vendas!$U$8:$U$2008,Vendas!$R$8:$R$2008,$B14,Vendas!$E$8:$E$2008,"&gt;=01/06/"&amp;$G$3,Vendas!$E$8:$E$2008,"&lt;=30/06/"&amp;$G$3)+SUMIFS(Vendas!$Z$8:$Z$2008,Vendas!$W$8:$W$2008,$B14,Vendas!$E$8:$E$2008,"&gt;=01/06/"&amp;$G$3,Vendas!$E$8:$E$2008,"&lt;=30/06/"&amp;$G$3)+SUMIFS(Vendas!$AE$8:$AE$2008,Vendas!$AB$8:$AB$2008,$B14,Vendas!$E$8:$E$2008,"&gt;=01/06/"&amp;$G$3,Vendas!$E$8:$E$2008,"&lt;=30/06/"&amp;$G$3)+SUMIFS(Vendas!$AJ$8:$AJ$2008,Vendas!$AG$8:$AG$2008,$B14,Vendas!$E$8:$E$2008,"&gt;=01/06/"&amp;$G$3,Vendas!$E$8:$E$2008,"&lt;=30/06/"&amp;$G$3)+SUMIFS(Vendas!$AO$8:$AO$2008,Vendas!$AL$8:$AL$2008,$B14,Vendas!$E$8:$E$2008,"&gt;=01/06/"&amp;$G$3,Vendas!$E$8:$E$2008,"&lt;=30/06/"&amp;$G$3)+SUMIFS(Vendas!$AT$8:$AT$2008,Vendas!$AQ$8:$AQ$2008,$B14,Vendas!$E$8:$E$2008,"&gt;=01/06/"&amp;$G$3,Vendas!$E$8:$E$2008,"&lt;=30/06/"&amp;$G$3)</f>
        <v>3495</v>
      </c>
      <c r="N14" s="162">
        <f>SUMIFS(Vendas!$K$8:$K$2008,Vendas!$H$8:$H$2008,$B14,Vendas!$E$8:$E$2008,"&gt;=01/06/"&amp;$G$3,Vendas!$E$8:$E$2008,"&lt;=30/06/"&amp;$G$3,Vendas!$C$8:$C$2008,"Entregue")+SUMIFS(Vendas!$P$8:$P$2008,Vendas!$M$8:$M$2008,$B14,Vendas!$E$8:$E$2008,"&gt;=01/06/"&amp;$G$3,Vendas!$E$8:$E$2008,"&lt;=30/06/"&amp;$G$3,Vendas!$C$8:$C$2008,"Entregue")+SUMIFS(Vendas!$U$8:$U$2008,Vendas!$R$8:$R$2008,$B14,Vendas!$E$8:$E$2008,"&gt;=01/06/"&amp;$G$3,Vendas!$E$8:$E$2008,"&lt;=30/06/"&amp;$G$3,Vendas!$C$8:$C$2008,"Entregue")+SUMIFS(Vendas!$Z$8:$Z$2008,Vendas!$W$8:$W$2008,$B14,Vendas!$E$8:$E$2008,"&gt;=01/06/"&amp;$G$3,Vendas!$E$8:$E$2008,"&lt;=30/06/"&amp;$G$3,Vendas!$C$8:$C$2008,"Entregue")+SUMIFS(Vendas!$AE$8:$AE$2008,Vendas!$AB$8:$AB$2008,$B14,Vendas!$E$8:$E$2008,"&gt;=01/06/"&amp;$G$3,Vendas!$E$8:$E$2008,"&lt;=30/06/"&amp;$G$3,Vendas!$C$8:$C$2008,"Entregue")+SUMIFS(Vendas!$AJ$8:$AJ$2008,Vendas!$AG$8:$AG$2008,$B14,Vendas!$E$8:$E$2008,"&gt;=01/06/"&amp;$G$3,Vendas!$E$8:$E$2008,"&lt;=30/06/"&amp;$G$3,Vendas!$C$8:$C$2008,"Entregue")+SUMIFS(Vendas!$AO$8:$AO$2008,Vendas!$AL$8:$AL$2008,$B14,Vendas!$E$8:$E$2008,"&gt;=01/06/"&amp;$G$3,Vendas!$E$8:$E$2008,"&lt;=30/06/"&amp;$G$3,Vendas!$C$8:$C$2008,"Entregue")+SUMIFS(Vendas!$AT$8:$AT$2008,Vendas!$AQ$8:$AQ$2008,$B14,Vendas!$E$8:$E$2008,"&gt;=01/06/"&amp;$G$3,Vendas!$E$8:$E$2008,"&lt;=30/06/"&amp;$G$3,Vendas!$C$8:$C$2008,"Entregue")</f>
        <v>3495</v>
      </c>
      <c r="O14" s="162">
        <f>SUMIFS(Vendas!$K$8:$K$2008,Vendas!$H$8:$H$2008,$B14,Vendas!$E$8:$E$2008,"&gt;=01/07/"&amp;$G$3,Vendas!$E$8:$E$2008,"&lt;=31/07/"&amp;$G$3)+SUMIFS(Vendas!$P$8:$P$2008,Vendas!$M$8:$M$2008,$B14,Vendas!$E$8:$E$2008,"&gt;=01/07/"&amp;$G$3,Vendas!$E$8:$E$2008,"&lt;=31/07/"&amp;$G$3)+SUMIFS(Vendas!$U$8:$U$2008,Vendas!$R$8:$R$2008,$B14,Vendas!$E$8:$E$2008,"&gt;=01/07/"&amp;$G$3,Vendas!$E$8:$E$2008,"&lt;=31/07/"&amp;$G$3)+SUMIFS(Vendas!$Z$8:$Z$2008,Vendas!$W$8:$W$2008,$B14,Vendas!$E$8:$E$2008,"&gt;=01/07/"&amp;$G$3,Vendas!$E$8:$E$2008,"&lt;=31/07/"&amp;$G$3)+SUMIFS(Vendas!$AE$8:$AE$2008,Vendas!$AB$8:$AB$2008,$B14,Vendas!$E$8:$E$2008,"&gt;=01/07/"&amp;$G$3,Vendas!$E$8:$E$2008,"&lt;=31/07/"&amp;$G$3)+SUMIFS(Vendas!$AJ$8:$AJ$2008,Vendas!$AG$8:$AG$2008,$B14,Vendas!$E$8:$E$2008,"&gt;=01/07/"&amp;$G$3,Vendas!$E$8:$E$2008,"&lt;=31/07/"&amp;$G$3)+SUMIFS(Vendas!$AO$8:$AO$2008,Vendas!$AL$8:$AL$2008,$B14,Vendas!$E$8:$E$2008,"&gt;=01/07/"&amp;$G$3,Vendas!$E$8:$E$2008,"&lt;=31/07/"&amp;$G$3)+SUMIFS(Vendas!$AT$8:$AT$2008,Vendas!$AQ$8:$AQ$2008,$B14,Vendas!$E$8:$E$2008,"&gt;=01/07/"&amp;$G$3,Vendas!$E$8:$E$2008,"&lt;=31/07/"&amp;$G$3)</f>
        <v>0</v>
      </c>
      <c r="P14" s="162">
        <f>SUMIFS(Vendas!$K$8:$K$2008,Vendas!$H$8:$H$2008,$B14,Vendas!$E$8:$E$2008,"&gt;=01/07/"&amp;$G$3,Vendas!$E$8:$E$2008,"&lt;=31/07/"&amp;$G$3,Vendas!$C$8:$C$2008,"Entregue")+SUMIFS(Vendas!$P$8:$P$2008,Vendas!$M$8:$M$2008,$B14,Vendas!$E$8:$E$2008,"&gt;=01/07/"&amp;$G$3,Vendas!$E$8:$E$2008,"&lt;=31/07/"&amp;$G$3,Vendas!$C$8:$C$2008,"Entregue")+SUMIFS(Vendas!$U$8:$U$2008,Vendas!$R$8:$R$2008,$B14,Vendas!$E$8:$E$2008,"&gt;=01/07/"&amp;$G$3,Vendas!$E$8:$E$2008,"&lt;=31/07/"&amp;$G$3,Vendas!$C$8:$C$2008,"Entregue")+SUMIFS(Vendas!$Z$8:$Z$2008,Vendas!$W$8:$W$2008,$B14,Vendas!$E$8:$E$2008,"&gt;=01/07/"&amp;$G$3,Vendas!$E$8:$E$2008,"&lt;=31/07/"&amp;$G$3,Vendas!$C$8:$C$2008,"Entregue")+SUMIFS(Vendas!$AE$8:$AE$2008,Vendas!$AB$8:$AB$2008,$B14,Vendas!$E$8:$E$2008,"&gt;=01/07/"&amp;$G$3,Vendas!$E$8:$E$2008,"&lt;=31/07/"&amp;$G$3,Vendas!$C$8:$C$2008,"Entregue")+SUMIFS(Vendas!$AJ$8:$AJ$2008,Vendas!$AG$8:$AG$2008,$B14,Vendas!$E$8:$E$2008,"&gt;=01/07/"&amp;$G$3,Vendas!$E$8:$E$2008,"&lt;=31/07/"&amp;$G$3,Vendas!$C$8:$C$2008,"Entregue")+SUMIFS(Vendas!$AO$8:$AO$2008,Vendas!$AL$8:$AL$2008,$B14,Vendas!$E$8:$E$2008,"&gt;=01/07/"&amp;$G$3,Vendas!$E$8:$E$2008,"&lt;=31/07/"&amp;$G$3,Vendas!$C$8:$C$2008,"Entregue")+SUMIFS(Vendas!$AT$8:$AT$2008,Vendas!$AQ$8:$AQ$2008,$B14,Vendas!$E$8:$E$2008,"&gt;=01/07/"&amp;$G$3,Vendas!$E$8:$E$2008,"&lt;=31/07/"&amp;$G$3,Vendas!$C$8:$C$2008,"Entregue")</f>
        <v>0</v>
      </c>
      <c r="Q14" s="162">
        <f>SUMIFS(Vendas!$K$8:$K$2008,Vendas!$H$8:$H$2008,$B14,Vendas!$E$8:$E$2008,"&gt;=01/08/"&amp;$G$3,Vendas!$E$8:$E$2008,"&lt;=31/08/"&amp;$G$3)+SUMIFS(Vendas!$P$8:$P$2008,Vendas!$M$8:$M$2008,$B14,Vendas!$E$8:$E$2008,"&gt;=01/08/"&amp;$G$3,Vendas!$E$8:$E$2008,"&lt;=31/08/"&amp;$G$3)+SUMIFS(Vendas!$U$8:$U$2008,Vendas!$R$8:$R$2008,$B14,Vendas!$E$8:$E$2008,"&gt;=01/08/"&amp;$G$3,Vendas!$E$8:$E$2008,"&lt;=31/08/"&amp;$G$3)+SUMIFS(Vendas!$Z$8:$Z$2008,Vendas!$W$8:$W$2008,$B14,Vendas!$E$8:$E$2008,"&gt;=01/08/"&amp;$G$3,Vendas!$E$8:$E$2008,"&lt;=31/08/"&amp;$G$3)+SUMIFS(Vendas!$AE$8:$AE$2008,Vendas!$AB$8:$AB$2008,$B14,Vendas!$E$8:$E$2008,"&gt;=01/08/"&amp;$G$3,Vendas!$E$8:$E$2008,"&lt;=31/08/"&amp;$G$3)+SUMIFS(Vendas!$AJ$8:$AJ$2008,Vendas!$AG$8:$AG$2008,$B14,Vendas!$E$8:$E$2008,"&gt;=01/08/"&amp;$G$3,Vendas!$E$8:$E$2008,"&lt;=31/08/"&amp;$G$3)+SUMIFS(Vendas!$AO$8:$AO$2008,Vendas!$AL$8:$AL$2008,$B14,Vendas!$E$8:$E$2008,"&gt;=01/08/"&amp;$G$3,Vendas!$E$8:$E$2008,"&lt;=31/08/"&amp;$G$3)+SUMIFS(Vendas!$AT$8:$AT$2008,Vendas!$AQ$8:$AQ$2008,$B14,Vendas!$E$8:$E$2008,"&gt;=01/08/"&amp;$G$3,Vendas!$E$8:$E$2008,"&lt;=31/08/"&amp;$G$3)</f>
        <v>0</v>
      </c>
      <c r="R14" s="162">
        <f>SUMIFS(Vendas!$K$8:$K$2008,Vendas!$H$8:$H$2008,$B14,Vendas!$E$8:$E$2008,"&gt;=01/08/"&amp;$G$3,Vendas!$E$8:$E$2008,"&lt;=31/08/"&amp;$G$3,Vendas!$C$8:$C$2008,"Entregue")+SUMIFS(Vendas!$P$8:$P$2008,Vendas!$M$8:$M$2008,$B14,Vendas!$E$8:$E$2008,"&gt;=01/08/"&amp;$G$3,Vendas!$E$8:$E$2008,"&lt;=31/08/"&amp;$G$3,Vendas!$C$8:$C$2008,"Entregue")+SUMIFS(Vendas!$U$8:$U$2008,Vendas!$R$8:$R$2008,$B14,Vendas!$E$8:$E$2008,"&gt;=01/08/"&amp;$G$3,Vendas!$E$8:$E$2008,"&lt;=31/08/"&amp;$G$3,Vendas!$C$8:$C$2008,"Entregue")+SUMIFS(Vendas!$Z$8:$Z$2008,Vendas!$W$8:$W$2008,$B14,Vendas!$E$8:$E$2008,"&gt;=01/08/"&amp;$G$3,Vendas!$E$8:$E$2008,"&lt;=31/08/"&amp;$G$3,Vendas!$C$8:$C$2008,"Entregue")+SUMIFS(Vendas!$AE$8:$AE$2008,Vendas!$AB$8:$AB$2008,$B14,Vendas!$E$8:$E$2008,"&gt;=01/08/"&amp;$G$3,Vendas!$E$8:$E$2008,"&lt;=31/08/"&amp;$G$3,Vendas!$C$8:$C$2008,"Entregue")+SUMIFS(Vendas!$AJ$8:$AJ$2008,Vendas!$AG$8:$AG$2008,$B14,Vendas!$E$8:$E$2008,"&gt;=01/08/"&amp;$G$3,Vendas!$E$8:$E$2008,"&lt;=31/08/"&amp;$G$3,Vendas!$C$8:$C$2008,"Entregue")+SUMIFS(Vendas!$AO$8:$AO$2008,Vendas!$AL$8:$AL$2008,$B14,Vendas!$E$8:$E$2008,"&gt;=01/08/"&amp;$G$3,Vendas!$E$8:$E$2008,"&lt;=31/08/"&amp;$G$3,Vendas!$C$8:$C$2008,"Entregue")+SUMIFS(Vendas!$AT$8:$AT$2008,Vendas!$AQ$8:$AQ$2008,$B14,Vendas!$E$8:$E$2008,"&gt;=01/08/"&amp;$G$3,Vendas!$E$8:$E$2008,"&lt;=31/08/"&amp;$G$3,Vendas!$C$8:$C$2008,"Entregue")</f>
        <v>0</v>
      </c>
      <c r="S14" s="162">
        <f>SUMIFS(Vendas!$K$8:$K$2008,Vendas!$H$8:$H$2008,$B14,Vendas!$E$8:$E$2008,"&gt;=01/09/"&amp;$G$3,Vendas!$E$8:$E$2008,"&lt;=30/09/"&amp;$G$3)+SUMIFS(Vendas!$P$8:$P$2008,Vendas!$M$8:$M$2008,$B14,Vendas!$E$8:$E$2008,"&gt;=01/09/"&amp;$G$3,Vendas!$E$8:$E$2008,"&lt;=30/09/"&amp;$G$3)+SUMIFS(Vendas!$U$8:$U$2008,Vendas!$R$8:$R$2008,$B14,Vendas!$E$8:$E$2008,"&gt;=01/09/"&amp;$G$3,Vendas!$E$8:$E$2008,"&lt;=30/09/"&amp;$G$3)+SUMIFS(Vendas!$Z$8:$Z$2008,Vendas!$W$8:$W$2008,$B14,Vendas!$E$8:$E$2008,"&gt;=01/09/"&amp;$G$3,Vendas!$E$8:$E$2008,"&lt;=30/09/"&amp;$G$3)+SUMIFS(Vendas!$AE$8:$AE$2008,Vendas!$AB$8:$AB$2008,$B14,Vendas!$E$8:$E$2008,"&gt;=01/09/"&amp;$G$3,Vendas!$E$8:$E$2008,"&lt;=30/09/"&amp;$G$3)+SUMIFS(Vendas!$AJ$8:$AJ$2008,Vendas!$AG$8:$AG$2008,$B14,Vendas!$E$8:$E$2008,"&gt;=01/09/"&amp;$G$3,Vendas!$E$8:$E$2008,"&lt;=30/09/"&amp;$G$3)+SUMIFS(Vendas!$AO$8:$AO$2008,Vendas!$AL$8:$AL$2008,$B14,Vendas!$E$8:$E$2008,"&gt;=01/09/"&amp;$G$3,Vendas!$E$8:$E$2008,"&lt;=30/09/"&amp;$G$3)+SUMIFS(Vendas!$AT$8:$AT$2008,Vendas!$AQ$8:$AQ$2008,$B14,Vendas!$E$8:$E$2008,"&gt;=01/09/"&amp;$G$3,Vendas!$E$8:$E$2008,"&lt;=30/09/"&amp;$G$3)</f>
        <v>0</v>
      </c>
      <c r="T14" s="162">
        <f>SUMIFS(Vendas!$K$8:$K$2008,Vendas!$H$8:$H$2008,$B14,Vendas!$E$8:$E$2008,"&gt;=01/09/"&amp;$G$3,Vendas!$E$8:$E$2008,"&lt;=30/09/"&amp;$G$3,Vendas!$C$8:$C$2008,"Entregue")+SUMIFS(Vendas!$P$8:$P$2008,Vendas!$M$8:$M$2008,$B14,Vendas!$E$8:$E$2008,"&gt;=01/09/"&amp;$G$3,Vendas!$E$8:$E$2008,"&lt;=30/09/"&amp;$G$3,Vendas!$C$8:$C$2008,"Entregue")+SUMIFS(Vendas!$U$8:$U$2008,Vendas!$R$8:$R$2008,$B14,Vendas!$E$8:$E$2008,"&gt;=01/09/"&amp;$G$3,Vendas!$E$8:$E$2008,"&lt;=30/09/"&amp;$G$3,Vendas!$C$8:$C$2008,"Entregue")+SUMIFS(Vendas!$Z$8:$Z$2008,Vendas!$W$8:$W$2008,$B14,Vendas!$E$8:$E$2008,"&gt;=01/09/"&amp;$G$3,Vendas!$E$8:$E$2008,"&lt;=30/09/"&amp;$G$3,Vendas!$C$8:$C$2008,"Entregue")+SUMIFS(Vendas!$AE$8:$AE$2008,Vendas!$AB$8:$AB$2008,$B14,Vendas!$E$8:$E$2008,"&gt;=01/09/"&amp;$G$3,Vendas!$E$8:$E$2008,"&lt;=30/09/"&amp;$G$3,Vendas!$C$8:$C$2008,"Entregue")+SUMIFS(Vendas!$AJ$8:$AJ$2008,Vendas!$AG$8:$AG$2008,$B14,Vendas!$E$8:$E$2008,"&gt;=01/09/"&amp;$G$3,Vendas!$E$8:$E$2008,"&lt;=30/09/"&amp;$G$3,Vendas!$C$8:$C$2008,"Entregue")+SUMIFS(Vendas!$AO$8:$AO$2008,Vendas!$AL$8:$AL$2008,$B14,Vendas!$E$8:$E$2008,"&gt;=01/09/"&amp;$G$3,Vendas!$E$8:$E$2008,"&lt;=30/09/"&amp;$G$3,Vendas!$C$8:$C$2008,"Entregue")+SUMIFS(Vendas!$AT$8:$AT$2008,Vendas!$AQ$8:$AQ$2008,$B14,Vendas!$E$8:$E$2008,"&gt;=01/09/"&amp;$G$3,Vendas!$E$8:$E$2008,"&lt;=30/09/"&amp;$G$3,Vendas!$C$8:$C$2008,"Entregue")</f>
        <v>0</v>
      </c>
      <c r="U14" s="162">
        <f>SUMIFS(Vendas!$K$8:$K$2008,Vendas!$H$8:$H$2008,$B14,Vendas!$E$8:$E$2008,"&gt;=01/10/"&amp;$G$3,Vendas!$E$8:$E$2008,"&lt;=31/10/"&amp;$G$3)+SUMIFS(Vendas!$P$8:$P$2008,Vendas!$M$8:$M$2008,$B14,Vendas!$E$8:$E$2008,"&gt;=01/10/"&amp;$G$3,Vendas!$E$8:$E$2008,"&lt;=31/10/"&amp;$G$3)+SUMIFS(Vendas!$U$8:$U$2008,Vendas!$R$8:$R$2008,$B14,Vendas!$E$8:$E$2008,"&gt;=01/10/"&amp;$G$3,Vendas!$E$8:$E$2008,"&lt;=31/10/"&amp;$G$3)+SUMIFS(Vendas!$Z$8:$Z$2008,Vendas!$W$8:$W$2008,$B14,Vendas!$E$8:$E$2008,"&gt;=01/10/"&amp;$G$3,Vendas!$E$8:$E$2008,"&lt;=31/10/"&amp;$G$3)+SUMIFS(Vendas!$AE$8:$AE$2008,Vendas!$AB$8:$AB$2008,$B14,Vendas!$E$8:$E$2008,"&gt;=01/10/"&amp;$G$3,Vendas!$E$8:$E$2008,"&lt;=31/10/"&amp;$G$3)+SUMIFS(Vendas!$AJ$8:$AJ$2008,Vendas!$AG$8:$AG$2008,$B14,Vendas!$E$8:$E$2008,"&gt;=01/10/"&amp;$G$3,Vendas!$E$8:$E$2008,"&lt;=31/10/"&amp;$G$3)+SUMIFS(Vendas!$AO$8:$AO$2008,Vendas!$AL$8:$AL$2008,$B14,Vendas!$E$8:$E$2008,"&gt;=01/10/"&amp;$G$3,Vendas!$E$8:$E$2008,"&lt;=31/10/"&amp;$G$3)+SUMIFS(Vendas!$AT$8:$AT$2008,Vendas!$AQ$8:$AQ$2008,$B14,Vendas!$E$8:$E$2008,"&gt;=01/10/"&amp;$G$3,Vendas!$E$8:$E$2008,"&lt;=31/10/"&amp;$G$3)</f>
        <v>0</v>
      </c>
      <c r="V14" s="162">
        <f>SUMIFS(Vendas!$K$8:$K$2008,Vendas!$H$8:$H$2008,$B14,Vendas!$E$8:$E$2008,"&gt;=01/10/"&amp;$G$3,Vendas!$E$8:$E$2008,"&lt;=31/10/"&amp;$G$3,Vendas!$C$8:$C$2008,"Entregue")+SUMIFS(Vendas!$P$8:$P$2008,Vendas!$M$8:$M$2008,$B14,Vendas!$E$8:$E$2008,"&gt;=01/10/"&amp;$G$3,Vendas!$E$8:$E$2008,"&lt;=31/10/"&amp;$G$3,Vendas!$C$8:$C$2008,"Entregue")+SUMIFS(Vendas!$U$8:$U$2008,Vendas!$R$8:$R$2008,$B14,Vendas!$E$8:$E$2008,"&gt;=01/10/"&amp;$G$3,Vendas!$E$8:$E$2008,"&lt;=31/10/"&amp;$G$3,Vendas!$C$8:$C$2008,"Entregue")+SUMIFS(Vendas!$Z$8:$Z$2008,Vendas!$W$8:$W$2008,$B14,Vendas!$E$8:$E$2008,"&gt;=01/10/"&amp;$G$3,Vendas!$E$8:$E$2008,"&lt;=31/10/"&amp;$G$3,Vendas!$C$8:$C$2008,"Entregue")+SUMIFS(Vendas!$AE$8:$AE$2008,Vendas!$AB$8:$AB$2008,$B14,Vendas!$E$8:$E$2008,"&gt;=01/10/"&amp;$G$3,Vendas!$E$8:$E$2008,"&lt;=31/10/"&amp;$G$3,Vendas!$C$8:$C$2008,"Entregue")+SUMIFS(Vendas!$AJ$8:$AJ$2008,Vendas!$AG$8:$AG$2008,$B14,Vendas!$E$8:$E$2008,"&gt;=01/10/"&amp;$G$3,Vendas!$E$8:$E$2008,"&lt;=31/10/"&amp;$G$3,Vendas!$C$8:$C$2008,"Entregue")+SUMIFS(Vendas!$AO$8:$AO$2008,Vendas!$AL$8:$AL$2008,$B14,Vendas!$E$8:$E$2008,"&gt;=01/10/"&amp;$G$3,Vendas!$E$8:$E$2008,"&lt;=31/10/"&amp;$G$3,Vendas!$C$8:$C$2008,"Entregue")+SUMIFS(Vendas!$AT$8:$AT$2008,Vendas!$AQ$8:$AQ$2008,$B14,Vendas!$E$8:$E$2008,"&gt;=01/10/"&amp;$G$3,Vendas!$E$8:$E$2008,"&lt;=31/10/"&amp;$G$3,Vendas!$C$8:$C$2008,"Entregue")</f>
        <v>0</v>
      </c>
      <c r="W14" s="162">
        <f>SUMIFS(Vendas!$K$8:$K$2008,Vendas!$H$8:$H$2008,$B14,Vendas!$E$8:$E$2008,"&gt;=01/11/"&amp;$G$3,Vendas!$E$8:$E$2008,"&lt;=30/11/"&amp;$G$3)+SUMIFS(Vendas!$P$8:$P$2008,Vendas!$M$8:$M$2008,$B14,Vendas!$E$8:$E$2008,"&gt;=01/11/"&amp;$G$3,Vendas!$E$8:$E$2008,"&lt;=30/11/"&amp;$G$3)+SUMIFS(Vendas!$U$8:$U$2008,Vendas!$R$8:$R$2008,$B14,Vendas!$E$8:$E$2008,"&gt;=01/11/"&amp;$G$3,Vendas!$E$8:$E$2008,"&lt;=30/11/"&amp;$G$3)+SUMIFS(Vendas!$Z$8:$Z$2008,Vendas!$W$8:$W$2008,$B14,Vendas!$E$8:$E$2008,"&gt;=01/11/"&amp;$G$3,Vendas!$E$8:$E$2008,"&lt;=30/11/"&amp;$G$3)+SUMIFS(Vendas!$AE$8:$AE$2008,Vendas!$AB$8:$AB$2008,$B14,Vendas!$E$8:$E$2008,"&gt;=01/11/"&amp;$G$3,Vendas!$E$8:$E$2008,"&lt;=30/11/"&amp;$G$3)+SUMIFS(Vendas!$AJ$8:$AJ$2008,Vendas!$AG$8:$AG$2008,$B14,Vendas!$E$8:$E$2008,"&gt;=01/11/"&amp;$G$3,Vendas!$E$8:$E$2008,"&lt;=30/11/"&amp;$G$3)+SUMIFS(Vendas!$AO$8:$AO$2008,Vendas!$AL$8:$AL$2008,$B14,Vendas!$E$8:$E$2008,"&gt;=01/11/"&amp;$G$3,Vendas!$E$8:$E$2008,"&lt;=30/11/"&amp;$G$3)+SUMIFS(Vendas!$AT$8:$AT$2008,Vendas!$AQ$8:$AQ$2008,$B14,Vendas!$E$8:$E$2008,"&gt;=01/11/"&amp;$G$3,Vendas!$E$8:$E$2008,"&lt;=30/11/"&amp;$G$3)</f>
        <v>0</v>
      </c>
      <c r="X14" s="162">
        <f>SUMIFS(Vendas!$K$8:$K$2008,Vendas!$H$8:$H$2008,$B14,Vendas!$E$8:$E$2008,"&gt;=01/11/"&amp;$G$3,Vendas!$E$8:$E$2008,"&lt;=30/11/"&amp;$G$3,Vendas!$C$8:$C$2008,"Entregue")+SUMIFS(Vendas!$P$8:$P$2008,Vendas!$M$8:$M$2008,$B14,Vendas!$E$8:$E$2008,"&gt;=01/11/"&amp;$G$3,Vendas!$E$8:$E$2008,"&lt;=30/11/"&amp;$G$3,Vendas!$C$8:$C$2008,"Entregue")+SUMIFS(Vendas!$U$8:$U$2008,Vendas!$R$8:$R$2008,$B14,Vendas!$E$8:$E$2008,"&gt;=01/11/"&amp;$G$3,Vendas!$E$8:$E$2008,"&lt;=30/11/"&amp;$G$3,Vendas!$C$8:$C$2008,"Entregue")+SUMIFS(Vendas!$Z$8:$Z$2008,Vendas!$W$8:$W$2008,$B14,Vendas!$E$8:$E$2008,"&gt;=01/11/"&amp;$G$3,Vendas!$E$8:$E$2008,"&lt;=30/11/"&amp;$G$3,Vendas!$C$8:$C$2008,"Entregue")+SUMIFS(Vendas!$AE$8:$AE$2008,Vendas!$AB$8:$AB$2008,$B14,Vendas!$E$8:$E$2008,"&gt;=01/11/"&amp;$G$3,Vendas!$E$8:$E$2008,"&lt;=30/11/"&amp;$G$3,Vendas!$C$8:$C$2008,"Entregue")+SUMIFS(Vendas!$AJ$8:$AJ$2008,Vendas!$AG$8:$AG$2008,$B14,Vendas!$E$8:$E$2008,"&gt;=01/11/"&amp;$G$3,Vendas!$E$8:$E$2008,"&lt;=30/11/"&amp;$G$3,Vendas!$C$8:$C$2008,"Entregue")+SUMIFS(Vendas!$AO$8:$AO$2008,Vendas!$AL$8:$AL$2008,$B14,Vendas!$E$8:$E$2008,"&gt;=01/11/"&amp;$G$3,Vendas!$E$8:$E$2008,"&lt;=30/11/"&amp;$G$3,Vendas!$C$8:$C$2008,"Entregue")+SUMIFS(Vendas!$AT$8:$AT$2008,Vendas!$AQ$8:$AQ$2008,$B14,Vendas!$E$8:$E$2008,"&gt;=01/11/"&amp;$G$3,Vendas!$E$8:$E$2008,"&lt;=30/11/"&amp;$G$3,Vendas!$C$8:$C$2008,"Entregue")</f>
        <v>0</v>
      </c>
      <c r="Y14" s="162">
        <f>SUMIFS(Vendas!$K$8:$K$2008,Vendas!$H$8:$H$2008,$B14,Vendas!$E$8:$E$2008,"&gt;=01/12/"&amp;$G$3,Vendas!$E$8:$E$2008,"&lt;=31/12/"&amp;$G$3)+SUMIFS(Vendas!$P$8:$P$2008,Vendas!$M$8:$M$2008,$B14,Vendas!$E$8:$E$2008,"&gt;=01/12/"&amp;$G$3,Vendas!$E$8:$E$2008,"&lt;=31/12/"&amp;$G$3)+SUMIFS(Vendas!$U$8:$U$2008,Vendas!$R$8:$R$2008,$B14,Vendas!$E$8:$E$2008,"&gt;=01/12/"&amp;$G$3,Vendas!$E$8:$E$2008,"&lt;=31/12/"&amp;$G$3)+SUMIFS(Vendas!$Z$8:$Z$2008,Vendas!$W$8:$W$2008,$B14,Vendas!$E$8:$E$2008,"&gt;=01/12/"&amp;$G$3,Vendas!$E$8:$E$2008,"&lt;=31/12/"&amp;$G$3)+SUMIFS(Vendas!$AE$8:$AE$2008,Vendas!$AB$8:$AB$2008,$B14,Vendas!$E$8:$E$2008,"&gt;=01/12/"&amp;$G$3,Vendas!$E$8:$E$2008,"&lt;=31/12/"&amp;$G$3)+SUMIFS(Vendas!$AJ$8:$AJ$2008,Vendas!$AG$8:$AG$2008,$B14,Vendas!$E$8:$E$2008,"&gt;=01/12/"&amp;$G$3,Vendas!$E$8:$E$2008,"&lt;=31/12/"&amp;$G$3)+SUMIFS(Vendas!$AO$8:$AO$2008,Vendas!$AL$8:$AL$2008,$B14,Vendas!$E$8:$E$2008,"&gt;=01/12/"&amp;$G$3,Vendas!$E$8:$E$2008,"&lt;=31/12/"&amp;$G$3)+SUMIFS(Vendas!$AT$8:$AT$2008,Vendas!$AQ$8:$AQ$2008,$B14,Vendas!$E$8:$E$2008,"&gt;=01/12/"&amp;$G$3,Vendas!$E$8:$E$2008,"&lt;=31/12/"&amp;$G$3)</f>
        <v>0</v>
      </c>
      <c r="Z14" s="163">
        <f>SUMIFS(Vendas!$K$8:$K$2008,Vendas!$H$8:$H$2008,$B14,Vendas!$E$8:$E$2008,"&gt;=01/12/"&amp;$G$3,Vendas!$E$8:$E$2008,"&lt;=31/12/"&amp;$G$3,Vendas!$C$8:$C$2008,"Entregue")+SUMIFS(Vendas!$P$8:$P$2008,Vendas!$M$8:$M$2008,$B14,Vendas!$E$8:$E$2008,"&gt;=01/12/"&amp;$G$3,Vendas!$E$8:$E$2008,"&lt;=31/12/"&amp;$G$3,Vendas!$C$8:$C$2008,"Entregue")+SUMIFS(Vendas!$U$8:$U$2008,Vendas!$R$8:$R$2008,$B14,Vendas!$E$8:$E$2008,"&gt;=01/12/"&amp;$G$3,Vendas!$E$8:$E$2008,"&lt;=31/12/"&amp;$G$3,Vendas!$C$8:$C$2008,"Entregue")+SUMIFS(Vendas!$Z$8:$Z$2008,Vendas!$W$8:$W$2008,$B14,Vendas!$E$8:$E$2008,"&gt;=01/12/"&amp;$G$3,Vendas!$E$8:$E$2008,"&lt;=31/12/"&amp;$G$3,Vendas!$C$8:$C$2008,"Entregue")+SUMIFS(Vendas!$AE$8:$AE$2008,Vendas!$AB$8:$AB$2008,$B14,Vendas!$E$8:$E$2008,"&gt;=01/12/"&amp;$G$3,Vendas!$E$8:$E$2008,"&lt;=31/12/"&amp;$G$3,Vendas!$C$8:$C$2008,"Entregue")+SUMIFS(Vendas!$AJ$8:$AJ$2008,Vendas!$AG$8:$AG$2008,$B14,Vendas!$E$8:$E$2008,"&gt;=01/12/"&amp;$G$3,Vendas!$E$8:$E$2008,"&lt;=31/12/"&amp;$G$3,Vendas!$C$8:$C$2008,"Entregue")+SUMIFS(Vendas!$AO$8:$AO$2008,Vendas!$AL$8:$AL$2008,$B14,Vendas!$E$8:$E$2008,"&gt;=01/12/"&amp;$G$3,Vendas!$E$8:$E$2008,"&lt;=31/12/"&amp;$G$3,Vendas!$C$8:$C$2008,"Entregue")+SUMIFS(Vendas!$AT$8:$AT$2008,Vendas!$AQ$8:$AQ$2008,$B14,Vendas!$E$8:$E$2008,"&gt;=01/12/"&amp;$G$3,Vendas!$E$8:$E$2008,"&lt;=31/12/"&amp;$G$3,Vendas!$C$8:$C$2008,"Entregue")</f>
        <v>0</v>
      </c>
      <c r="AA14" s="132">
        <f t="shared" si="0"/>
        <v>3495</v>
      </c>
      <c r="AB14" s="132">
        <f t="shared" si="0"/>
        <v>3495</v>
      </c>
      <c r="AC14" s="67"/>
    </row>
    <row r="15" spans="1:50" ht="14.4" x14ac:dyDescent="0.3">
      <c r="B15" s="262" t="str">
        <f>IF(Cadastros!D14="","",Cadastros!D14)</f>
        <v>10108 - Colchão Vivace 158 X 198 X 024 cm MVQ</v>
      </c>
      <c r="C15" s="158">
        <f>SUMIFS(Vendas!$K$8:$K$2008,Vendas!$H$8:$H$2008,$B15,Vendas!$E$8:$E$2008,"&gt;=01/01/"&amp;$G$3,Vendas!$E$8:$E$2008,"&lt;=31/01/"&amp;$G$3)+SUMIFS(Vendas!$P$8:$P$2008,Vendas!$M$8:$M$2008,$B15,Vendas!$E$8:$E$2008,"&gt;=01/01/"&amp;$G$3,Vendas!$E$8:$E$2008,"&lt;=31/01/"&amp;$G$3)+SUMIFS(Vendas!$U$8:$U$2008,Vendas!$R$8:$R$2008,$B15,Vendas!$E$8:$E$2008,"&gt;=01/01/"&amp;$G$3,Vendas!$E$8:$E$2008,"&lt;=31/01/"&amp;$G$3)+SUMIFS(Vendas!$Z$8:$Z$2008,Vendas!$W$8:$W$2008,$B15,Vendas!$E$8:$E$2008,"&gt;=01/01/"&amp;$G$3,Vendas!$E$8:$E$2008,"&lt;=31/01/"&amp;$G$3)+SUMIFS(Vendas!$AE$8:$AE$2008,Vendas!$AB$8:$AB$2008,$B15,Vendas!$E$8:$E$2008,"&gt;=01/01/"&amp;$G$3,Vendas!$E$8:$E$2008,"&lt;=31/01/"&amp;$G$3)+SUMIFS(Vendas!$AJ$8:$AJ$2008,Vendas!$AG$8:$AG$2008,$B15,Vendas!$E$8:$E$2008,"&gt;=01/01/"&amp;$G$3,Vendas!$E$8:$E$2008,"&lt;=31/01/"&amp;$G$3)+SUMIFS(Vendas!$AO$8:$AO$2008,Vendas!$AL$8:$AL$2008,$B15,Vendas!$E$8:$E$2008,"&gt;=01/01/"&amp;$G$3,Vendas!$E$8:$E$2008,"&lt;=31/01/"&amp;$G$3)+SUMIFS(Vendas!$AT$8:$AT$2008,Vendas!$AQ$8:$AQ$2008,$B15,Vendas!$E$8:$E$2008,"&gt;=01/01/"&amp;$G$3,Vendas!$E$8:$E$2008,"&lt;=31/01/"&amp;$G$3)</f>
        <v>0</v>
      </c>
      <c r="D15" s="159">
        <f>SUMIFS(Vendas!$K$8:$K$2008,Vendas!$H$8:$H$2008,$B15,Vendas!$E$8:$E$2008,"&gt;=01/01/"&amp;$G$3,Vendas!$E$8:$E$2008,"&lt;=31/01/"&amp;$G$3,Vendas!$C$8:$C$2008,"Entregue")+SUMIFS(Vendas!$P$8:$P$2008,Vendas!$M$8:$M$2008,$B15,Vendas!$E$8:$E$2008,"&gt;=01/01/"&amp;$G$3,Vendas!$E$8:$E$2008,"&lt;=31/01/"&amp;$G$3,Vendas!$C$8:$C$2008,"Entregue")+SUMIFS(Vendas!$U$8:$U$2008,Vendas!$R$8:$R$2008,$B15,Vendas!$E$8:$E$2008,"&gt;=01/01/"&amp;$G$3,Vendas!$E$8:$E$2008,"&lt;=31/01/"&amp;$G$3,Vendas!$C$8:$C$2008,"Entregue")+SUMIFS(Vendas!$Z$8:$Z$2008,Vendas!$W$8:$W$2008,$B15,Vendas!$E$8:$E$2008,"&gt;=01/01/"&amp;$G$3,Vendas!$E$8:$E$2008,"&lt;=31/01/"&amp;$G$3,Vendas!$C$8:$C$2008,"Entregue")+SUMIFS(Vendas!$AE$8:$AE$2008,Vendas!$AB$8:$AB$2008,$B15,Vendas!$E$8:$E$2008,"&gt;=01/01/"&amp;$G$3,Vendas!$E$8:$E$2008,"&lt;=31/01/"&amp;$G$3,Vendas!$C$8:$C$2008,"Entregue")+SUMIFS(Vendas!$AJ$8:$AJ$2008,Vendas!$AG$8:$AG$2008,$B15,Vendas!$E$8:$E$2008,"&gt;=01/01/"&amp;$G$3,Vendas!$E$8:$E$2008,"&lt;=31/01/"&amp;$G$3,Vendas!$C$8:$C$2008,"Entregue")+SUMIFS(Vendas!$AO$8:$AO$2008,Vendas!$AL$8:$AL$2008,$B15,Vendas!$E$8:$E$2008,"&gt;=01/01/"&amp;$G$3,Vendas!$E$8:$E$2008,"&lt;=31/01/"&amp;$G$3,Vendas!$C$8:$C$2008,"Entregue")+SUMIFS(Vendas!$AT$8:$AT$2008,Vendas!$AQ$8:$AQ$2008,$B15,Vendas!$E$8:$E$2008,"&gt;=01/01/"&amp;$G$3,Vendas!$E$8:$E$2008,"&lt;=31/01/"&amp;$G$3,Vendas!$C$8:$C$2008,"Entregue")</f>
        <v>0</v>
      </c>
      <c r="E15" s="159">
        <f>SUMIFS(Vendas!$K$8:$K$2008,Vendas!$H$8:$H$2008,$B15,Vendas!$E$8:$E$2008,"&gt;=01/02/"&amp;$G$3,Vendas!$E$8:$E$2008,"&lt;=28/02/"&amp;$G$3)+SUMIFS(Vendas!$P$8:$P$2008,Vendas!$M$8:$M$2008,$B15,Vendas!$E$8:$E$2008,"&gt;=01/02/"&amp;$G$3,Vendas!$E$8:$E$2008,"&lt;=28/02/"&amp;$G$3)+SUMIFS(Vendas!$U$8:$U$2008,Vendas!$R$8:$R$2008,$B15,Vendas!$E$8:$E$2008,"&gt;=01/02/"&amp;$G$3,Vendas!$E$8:$E$2008,"&lt;=28/02/"&amp;$G$3)+SUMIFS(Vendas!$Z$8:$Z$2008,Vendas!$W$8:$W$2008,$B15,Vendas!$E$8:$E$2008,"&gt;=01/02/"&amp;$G$3,Vendas!$E$8:$E$2008,"&lt;=28/02/"&amp;$G$3)+SUMIFS(Vendas!$AE$8:$AE$2008,Vendas!$AB$8:$AB$2008,$B15,Vendas!$E$8:$E$2008,"&gt;=01/02/"&amp;$G$3,Vendas!$E$8:$E$2008,"&lt;=28/02/"&amp;$G$3)+SUMIFS(Vendas!$AJ$8:$AJ$2008,Vendas!$AG$8:$AG$2008,$B15,Vendas!$E$8:$E$2008,"&gt;=01/02/"&amp;$G$3,Vendas!$E$8:$E$2008,"&lt;=28/02/"&amp;$G$3)+SUMIFS(Vendas!$AO$8:$AO$2008,Vendas!$AL$8:$AL$2008,$B15,Vendas!$E$8:$E$2008,"&gt;=01/02/"&amp;$G$3,Vendas!$E$8:$E$2008,"&lt;=28/02/"&amp;$G$3)+SUMIFS(Vendas!$AT$8:$AT$2008,Vendas!$AQ$8:$AQ$2008,$B15,Vendas!$E$8:$E$2008,"&gt;=01/02/"&amp;$G$3,Vendas!$E$8:$E$2008,"&lt;=28/02/"&amp;$G$3)</f>
        <v>0</v>
      </c>
      <c r="F15" s="159">
        <f>SUMIFS(Vendas!$K$8:$K$2008,Vendas!$H$8:$H$2008,$B15,Vendas!$E$8:$E$2008,"&gt;=01/02/"&amp;$G$3,Vendas!$E$8:$E$2008,"&lt;=28/02/"&amp;$G$3,Vendas!$C$8:$C$2008,"Entregue")+SUMIFS(Vendas!$P$8:$P$2008,Vendas!$M$8:$M$2008,$B15,Vendas!$E$8:$E$2008,"&gt;=01/02/"&amp;$G$3,Vendas!$E$8:$E$2008,"&lt;=28/02/"&amp;$G$3,Vendas!$C$8:$C$2008,"Entregue")+SUMIFS(Vendas!$U$8:$U$2008,Vendas!$R$8:$R$2008,$B15,Vendas!$E$8:$E$2008,"&gt;=01/02/"&amp;$G$3,Vendas!$E$8:$E$2008,"&lt;=28/02/"&amp;$G$3,Vendas!$C$8:$C$2008,"Entregue")+SUMIFS(Vendas!$Z$8:$Z$2008,Vendas!$W$8:$W$2008,$B15,Vendas!$E$8:$E$2008,"&gt;=01/02/"&amp;$G$3,Vendas!$E$8:$E$2008,"&lt;=28/02/"&amp;$G$3,Vendas!$C$8:$C$2008,"Entregue")+SUMIFS(Vendas!$AE$8:$AE$2008,Vendas!$AB$8:$AB$2008,$B15,Vendas!$E$8:$E$2008,"&gt;=01/02/"&amp;$G$3,Vendas!$E$8:$E$2008,"&lt;=28/02/"&amp;$G$3,Vendas!$C$8:$C$2008,"Entregue")+SUMIFS(Vendas!$AJ$8:$AJ$2008,Vendas!$AG$8:$AG$2008,$B15,Vendas!$E$8:$E$2008,"&gt;=01/02/"&amp;$G$3,Vendas!$E$8:$E$2008,"&lt;=28/02/"&amp;$G$3,Vendas!$C$8:$C$2008,"Entregue")+SUMIFS(Vendas!$AO$8:$AO$2008,Vendas!$AL$8:$AL$2008,$B15,Vendas!$E$8:$E$2008,"&gt;=01/02/"&amp;$G$3,Vendas!$E$8:$E$2008,"&lt;=28/02/"&amp;$G$3,Vendas!$C$8:$C$2008,"Entregue")+SUMIFS(Vendas!$AT$8:$AT$2008,Vendas!$AQ$8:$AQ$2008,$B15,Vendas!$E$8:$E$2008,"&gt;=01/02/"&amp;$G$3,Vendas!$E$8:$E$2008,"&lt;=28/02/"&amp;$G$3,Vendas!$C$8:$C$2008,"Entregue")</f>
        <v>0</v>
      </c>
      <c r="G15" s="159">
        <f>SUMIFS(Vendas!$K$8:$K$2008,Vendas!$H$8:$H$2008,$B15,Vendas!$E$8:$E$2008,"&gt;=01/03/"&amp;$G$3,Vendas!$E$8:$E$2008,"&lt;=31/03/"&amp;$G$3)+SUMIFS(Vendas!$P$8:$P$2008,Vendas!$M$8:$M$2008,$B15,Vendas!$E$8:$E$2008,"&gt;=01/03/"&amp;$G$3,Vendas!$E$8:$E$2008,"&lt;=31/03/"&amp;$G$3)+SUMIFS(Vendas!$U$8:$U$2008,Vendas!$R$8:$R$2008,$B15,Vendas!$E$8:$E$2008,"&gt;=01/03/"&amp;$G$3,Vendas!$E$8:$E$2008,"&lt;=31/03/"&amp;$G$3)+SUMIFS(Vendas!$Z$8:$Z$2008,Vendas!$W$8:$W$2008,$B15,Vendas!$E$8:$E$2008,"&gt;=01/03/"&amp;$G$3,Vendas!$E$8:$E$2008,"&lt;=31/03/"&amp;$G$3)+SUMIFS(Vendas!$AE$8:$AE$2008,Vendas!$AB$8:$AB$2008,$B15,Vendas!$E$8:$E$2008,"&gt;=01/03/"&amp;$G$3,Vendas!$E$8:$E$2008,"&lt;=31/03/"&amp;$G$3)+SUMIFS(Vendas!$AJ$8:$AJ$2008,Vendas!$AG$8:$AG$2008,$B15,Vendas!$E$8:$E$2008,"&gt;=01/03/"&amp;$G$3,Vendas!$E$8:$E$2008,"&lt;=31/03/"&amp;$G$3)+SUMIFS(Vendas!$AO$8:$AO$2008,Vendas!$AL$8:$AL$2008,$B15,Vendas!$E$8:$E$2008,"&gt;=01/03/"&amp;$G$3,Vendas!$E$8:$E$2008,"&lt;=31/03/"&amp;$G$3)+SUMIFS(Vendas!$AT$8:$AT$2008,Vendas!$AQ$8:$AQ$2008,$B15,Vendas!$E$8:$E$2008,"&gt;=01/03/"&amp;$G$3,Vendas!$E$8:$E$2008,"&lt;=31/03/"&amp;$G$3)</f>
        <v>0</v>
      </c>
      <c r="H15" s="159">
        <f>SUMIFS(Vendas!$K$8:$K$2008,Vendas!$H$8:$H$2008,$B15,Vendas!$E$8:$E$2008,"&gt;=01/03/"&amp;$G$3,Vendas!$E$8:$E$2008,"&lt;=31/03/"&amp;$G$3,Vendas!$C$8:$C$2008,"Entregue")+SUMIFS(Vendas!$P$8:$P$2008,Vendas!$M$8:$M$2008,$B15,Vendas!$E$8:$E$2008,"&gt;=01/03/"&amp;$G$3,Vendas!$E$8:$E$2008,"&lt;=31/03/"&amp;$G$3,Vendas!$C$8:$C$2008,"Entregue")+SUMIFS(Vendas!$U$8:$U$2008,Vendas!$R$8:$R$2008,$B15,Vendas!$E$8:$E$2008,"&gt;=01/03/"&amp;$G$3,Vendas!$E$8:$E$2008,"&lt;=31/03/"&amp;$G$3,Vendas!$C$8:$C$2008,"Entregue")+SUMIFS(Vendas!$Z$8:$Z$2008,Vendas!$W$8:$W$2008,$B15,Vendas!$E$8:$E$2008,"&gt;=01/03/"&amp;$G$3,Vendas!$E$8:$E$2008,"&lt;=31/03/"&amp;$G$3,Vendas!$C$8:$C$2008,"Entregue")+SUMIFS(Vendas!$AE$8:$AE$2008,Vendas!$AB$8:$AB$2008,$B15,Vendas!$E$8:$E$2008,"&gt;=01/03/"&amp;$G$3,Vendas!$E$8:$E$2008,"&lt;=31/03/"&amp;$G$3,Vendas!$C$8:$C$2008,"Entregue")+SUMIFS(Vendas!$AJ$8:$AJ$2008,Vendas!$AG$8:$AG$2008,$B15,Vendas!$E$8:$E$2008,"&gt;=01/03/"&amp;$G$3,Vendas!$E$8:$E$2008,"&lt;=31/03/"&amp;$G$3,Vendas!$C$8:$C$2008,"Entregue")+SUMIFS(Vendas!$AO$8:$AO$2008,Vendas!$AL$8:$AL$2008,$B15,Vendas!$E$8:$E$2008,"&gt;=01/03/"&amp;$G$3,Vendas!$E$8:$E$2008,"&lt;=31/03/"&amp;$G$3,Vendas!$C$8:$C$2008,"Entregue")+SUMIFS(Vendas!$AT$8:$AT$2008,Vendas!$AQ$8:$AQ$2008,$B15,Vendas!$E$8:$E$2008,"&gt;=01/03/"&amp;$G$3,Vendas!$E$8:$E$2008,"&lt;=31/03/"&amp;$G$3,Vendas!$C$8:$C$2008,"Entregue")</f>
        <v>0</v>
      </c>
      <c r="I15" s="159">
        <f>SUMIFS(Vendas!$K$8:$K$2008,Vendas!$H$8:$H$2008,$B15,Vendas!$E$8:$E$2008,"&gt;=01/04/"&amp;$G$3,Vendas!$E$8:$E$2008,"&lt;=30/04/"&amp;$G$3)+SUMIFS(Vendas!$P$8:$P$2008,Vendas!$M$8:$M$2008,$B15,Vendas!$E$8:$E$2008,"&gt;=01/04/"&amp;$G$3,Vendas!$E$8:$E$2008,"&lt;=30/04/"&amp;$G$3)+SUMIFS(Vendas!$U$8:$U$2008,Vendas!$R$8:$R$2008,$B15,Vendas!$E$8:$E$2008,"&gt;=01/04/"&amp;$G$3,Vendas!$E$8:$E$2008,"&lt;=30/04/"&amp;$G$3)+SUMIFS(Vendas!$Z$8:$Z$2008,Vendas!$W$8:$W$2008,$B15,Vendas!$E$8:$E$2008,"&gt;=01/04/"&amp;$G$3,Vendas!$E$8:$E$2008,"&lt;=30/04/"&amp;$G$3)+SUMIFS(Vendas!$AE$8:$AE$2008,Vendas!$AB$8:$AB$2008,$B15,Vendas!$E$8:$E$2008,"&gt;=01/04/"&amp;$G$3,Vendas!$E$8:$E$2008,"&lt;=30/04/"&amp;$G$3)+SUMIFS(Vendas!$AJ$8:$AJ$2008,Vendas!$AG$8:$AG$2008,$B15,Vendas!$E$8:$E$2008,"&gt;=01/04/"&amp;$G$3,Vendas!$E$8:$E$2008,"&lt;=30/04/"&amp;$G$3)+SUMIFS(Vendas!$AO$8:$AO$2008,Vendas!$AL$8:$AL$2008,$B15,Vendas!$E$8:$E$2008,"&gt;=01/04/"&amp;$G$3,Vendas!$E$8:$E$2008,"&lt;=30/04/"&amp;$G$3)+SUMIFS(Vendas!$AT$8:$AT$2008,Vendas!$AQ$8:$AQ$2008,$B15,Vendas!$E$8:$E$2008,"&gt;=01/04/"&amp;$G$3,Vendas!$E$8:$E$2008,"&lt;=30/04/"&amp;$G$3)</f>
        <v>0</v>
      </c>
      <c r="J15" s="159">
        <f>SUMIFS(Vendas!$K$8:$K$2008,Vendas!$H$8:$H$2008,$B15,Vendas!$E$8:$E$2008,"&gt;=01/04/"&amp;$G$3,Vendas!$E$8:$E$2008,"&lt;=30/04/"&amp;$G$3,Vendas!$C$8:$C$2008,"Entregue")+SUMIFS(Vendas!$P$8:$P$2008,Vendas!$M$8:$M$2008,$B15,Vendas!$E$8:$E$2008,"&gt;=01/04/"&amp;$G$3,Vendas!$E$8:$E$2008,"&lt;=30/04/"&amp;$G$3,Vendas!$C$8:$C$2008,"Entregue")+SUMIFS(Vendas!$U$8:$U$2008,Vendas!$R$8:$R$2008,$B15,Vendas!$E$8:$E$2008,"&gt;=01/04/"&amp;$G$3,Vendas!$E$8:$E$2008,"&lt;=30/04/"&amp;$G$3,Vendas!$C$8:$C$2008,"Entregue")+SUMIFS(Vendas!$Z$8:$Z$2008,Vendas!$W$8:$W$2008,$B15,Vendas!$E$8:$E$2008,"&gt;=01/04/"&amp;$G$3,Vendas!$E$8:$E$2008,"&lt;=30/04/"&amp;$G$3,Vendas!$C$8:$C$2008,"Entregue")+SUMIFS(Vendas!$AE$8:$AE$2008,Vendas!$AB$8:$AB$2008,$B15,Vendas!$E$8:$E$2008,"&gt;=01/04/"&amp;$G$3,Vendas!$E$8:$E$2008,"&lt;=30/04/"&amp;$G$3,Vendas!$C$8:$C$2008,"Entregue")+SUMIFS(Vendas!$AJ$8:$AJ$2008,Vendas!$AG$8:$AG$2008,$B15,Vendas!$E$8:$E$2008,"&gt;=01/04/"&amp;$G$3,Vendas!$E$8:$E$2008,"&lt;=30/04/"&amp;$G$3,Vendas!$C$8:$C$2008,"Entregue")+SUMIFS(Vendas!$AO$8:$AO$2008,Vendas!$AL$8:$AL$2008,$B15,Vendas!$E$8:$E$2008,"&gt;=01/04/"&amp;$G$3,Vendas!$E$8:$E$2008,"&lt;=30/04/"&amp;$G$3,Vendas!$C$8:$C$2008,"Entregue")+SUMIFS(Vendas!$AT$8:$AT$2008,Vendas!$AQ$8:$AQ$2008,$B15,Vendas!$E$8:$E$2008,"&gt;=01/04/"&amp;$G$3,Vendas!$E$8:$E$2008,"&lt;=30/04/"&amp;$G$3,Vendas!$C$8:$C$2008,"Entregue")</f>
        <v>0</v>
      </c>
      <c r="K15" s="159">
        <f>SUMIFS(Vendas!$K$8:$K$2008,Vendas!$H$8:$H$2008,$B15,Vendas!$E$8:$E$2008,"&gt;=01/05/"&amp;$G$3,Vendas!$E$8:$E$2008,"&lt;=31/05/"&amp;$G$3)+SUMIFS(Vendas!$P$8:$P$2008,Vendas!$M$8:$M$2008,$B15,Vendas!$E$8:$E$2008,"&gt;=01/05/"&amp;$G$3,Vendas!$E$8:$E$2008,"&lt;=31/05/"&amp;$G$3)+SUMIFS(Vendas!$U$8:$U$2008,Vendas!$R$8:$R$2008,$B15,Vendas!$E$8:$E$2008,"&gt;=01/05/"&amp;$G$3,Vendas!$E$8:$E$2008,"&lt;=31/05/"&amp;$G$3)+SUMIFS(Vendas!$Z$8:$Z$2008,Vendas!$W$8:$W$2008,$B15,Vendas!$E$8:$E$2008,"&gt;=01/05/"&amp;$G$3,Vendas!$E$8:$E$2008,"&lt;=31/05/"&amp;$G$3)+SUMIFS(Vendas!$AE$8:$AE$2008,Vendas!$AB$8:$AB$2008,$B15,Vendas!$E$8:$E$2008,"&gt;=01/05/"&amp;$G$3,Vendas!$E$8:$E$2008,"&lt;=31/05/"&amp;$G$3)+SUMIFS(Vendas!$AJ$8:$AJ$2008,Vendas!$AG$8:$AG$2008,$B15,Vendas!$E$8:$E$2008,"&gt;=01/05/"&amp;$G$3,Vendas!$E$8:$E$2008,"&lt;=31/05/"&amp;$G$3)+SUMIFS(Vendas!$AO$8:$AO$2008,Vendas!$AL$8:$AL$2008,$B15,Vendas!$E$8:$E$2008,"&gt;=01/05/"&amp;$G$3,Vendas!$E$8:$E$2008,"&lt;=31/05/"&amp;$G$3)+SUMIFS(Vendas!$AT$8:$AT$2008,Vendas!$AQ$8:$AQ$2008,$B15,Vendas!$E$8:$E$2008,"&gt;=01/05/"&amp;$G$3,Vendas!$E$8:$E$2008,"&lt;=31/05/"&amp;$G$3)</f>
        <v>0</v>
      </c>
      <c r="L15" s="159">
        <f>SUMIFS(Vendas!$K$8:$K$2008,Vendas!$H$8:$H$2008,$B15,Vendas!$E$8:$E$2008,"&gt;=01/05/"&amp;$G$3,Vendas!$E$8:$E$2008,"&lt;=31/05/"&amp;$G$3,Vendas!$C$8:$C$2008,"Entregue")+SUMIFS(Vendas!$P$8:$P$2008,Vendas!$M$8:$M$2008,$B15,Vendas!$E$8:$E$2008,"&gt;=01/05/"&amp;$G$3,Vendas!$E$8:$E$2008,"&lt;=31/05/"&amp;$G$3,Vendas!$C$8:$C$2008,"Entregue")+SUMIFS(Vendas!$U$8:$U$2008,Vendas!$R$8:$R$2008,$B15,Vendas!$E$8:$E$2008,"&gt;=01/05/"&amp;$G$3,Vendas!$E$8:$E$2008,"&lt;=31/05/"&amp;$G$3,Vendas!$C$8:$C$2008,"Entregue")+SUMIFS(Vendas!$Z$8:$Z$2008,Vendas!$W$8:$W$2008,$B15,Vendas!$E$8:$E$2008,"&gt;=01/05/"&amp;$G$3,Vendas!$E$8:$E$2008,"&lt;=31/05/"&amp;$G$3,Vendas!$C$8:$C$2008,"Entregue")+SUMIFS(Vendas!$AE$8:$AE$2008,Vendas!$AB$8:$AB$2008,$B15,Vendas!$E$8:$E$2008,"&gt;=01/05/"&amp;$G$3,Vendas!$E$8:$E$2008,"&lt;=31/05/"&amp;$G$3,Vendas!$C$8:$C$2008,"Entregue")+SUMIFS(Vendas!$AJ$8:$AJ$2008,Vendas!$AG$8:$AG$2008,$B15,Vendas!$E$8:$E$2008,"&gt;=01/05/"&amp;$G$3,Vendas!$E$8:$E$2008,"&lt;=31/05/"&amp;$G$3,Vendas!$C$8:$C$2008,"Entregue")+SUMIFS(Vendas!$AO$8:$AO$2008,Vendas!$AL$8:$AL$2008,$B15,Vendas!$E$8:$E$2008,"&gt;=01/05/"&amp;$G$3,Vendas!$E$8:$E$2008,"&lt;=31/05/"&amp;$G$3,Vendas!$C$8:$C$2008,"Entregue")+SUMIFS(Vendas!$AT$8:$AT$2008,Vendas!$AQ$8:$AQ$2008,$B15,Vendas!$E$8:$E$2008,"&gt;=01/05/"&amp;$G$3,Vendas!$E$8:$E$2008,"&lt;=31/05/"&amp;$G$3,Vendas!$C$8:$C$2008,"Entregue")</f>
        <v>0</v>
      </c>
      <c r="M15" s="159">
        <f>SUMIFS(Vendas!$K$8:$K$2008,Vendas!$H$8:$H$2008,$B15,Vendas!$E$8:$E$2008,"&gt;=01/06/"&amp;$G$3,Vendas!$E$8:$E$2008,"&lt;=30/06/"&amp;$G$3)+SUMIFS(Vendas!$P$8:$P$2008,Vendas!$M$8:$M$2008,$B15,Vendas!$E$8:$E$2008,"&gt;=01/06/"&amp;$G$3,Vendas!$E$8:$E$2008,"&lt;=30/06/"&amp;$G$3)+SUMIFS(Vendas!$U$8:$U$2008,Vendas!$R$8:$R$2008,$B15,Vendas!$E$8:$E$2008,"&gt;=01/06/"&amp;$G$3,Vendas!$E$8:$E$2008,"&lt;=30/06/"&amp;$G$3)+SUMIFS(Vendas!$Z$8:$Z$2008,Vendas!$W$8:$W$2008,$B15,Vendas!$E$8:$E$2008,"&gt;=01/06/"&amp;$G$3,Vendas!$E$8:$E$2008,"&lt;=30/06/"&amp;$G$3)+SUMIFS(Vendas!$AE$8:$AE$2008,Vendas!$AB$8:$AB$2008,$B15,Vendas!$E$8:$E$2008,"&gt;=01/06/"&amp;$G$3,Vendas!$E$8:$E$2008,"&lt;=30/06/"&amp;$G$3)+SUMIFS(Vendas!$AJ$8:$AJ$2008,Vendas!$AG$8:$AG$2008,$B15,Vendas!$E$8:$E$2008,"&gt;=01/06/"&amp;$G$3,Vendas!$E$8:$E$2008,"&lt;=30/06/"&amp;$G$3)+SUMIFS(Vendas!$AO$8:$AO$2008,Vendas!$AL$8:$AL$2008,$B15,Vendas!$E$8:$E$2008,"&gt;=01/06/"&amp;$G$3,Vendas!$E$8:$E$2008,"&lt;=30/06/"&amp;$G$3)+SUMIFS(Vendas!$AT$8:$AT$2008,Vendas!$AQ$8:$AQ$2008,$B15,Vendas!$E$8:$E$2008,"&gt;=01/06/"&amp;$G$3,Vendas!$E$8:$E$2008,"&lt;=30/06/"&amp;$G$3)</f>
        <v>2480.64</v>
      </c>
      <c r="N15" s="159">
        <f>SUMIFS(Vendas!$K$8:$K$2008,Vendas!$H$8:$H$2008,$B15,Vendas!$E$8:$E$2008,"&gt;=01/06/"&amp;$G$3,Vendas!$E$8:$E$2008,"&lt;=30/06/"&amp;$G$3,Vendas!$C$8:$C$2008,"Entregue")+SUMIFS(Vendas!$P$8:$P$2008,Vendas!$M$8:$M$2008,$B15,Vendas!$E$8:$E$2008,"&gt;=01/06/"&amp;$G$3,Vendas!$E$8:$E$2008,"&lt;=30/06/"&amp;$G$3,Vendas!$C$8:$C$2008,"Entregue")+SUMIFS(Vendas!$U$8:$U$2008,Vendas!$R$8:$R$2008,$B15,Vendas!$E$8:$E$2008,"&gt;=01/06/"&amp;$G$3,Vendas!$E$8:$E$2008,"&lt;=30/06/"&amp;$G$3,Vendas!$C$8:$C$2008,"Entregue")+SUMIFS(Vendas!$Z$8:$Z$2008,Vendas!$W$8:$W$2008,$B15,Vendas!$E$8:$E$2008,"&gt;=01/06/"&amp;$G$3,Vendas!$E$8:$E$2008,"&lt;=30/06/"&amp;$G$3,Vendas!$C$8:$C$2008,"Entregue")+SUMIFS(Vendas!$AE$8:$AE$2008,Vendas!$AB$8:$AB$2008,$B15,Vendas!$E$8:$E$2008,"&gt;=01/06/"&amp;$G$3,Vendas!$E$8:$E$2008,"&lt;=30/06/"&amp;$G$3,Vendas!$C$8:$C$2008,"Entregue")+SUMIFS(Vendas!$AJ$8:$AJ$2008,Vendas!$AG$8:$AG$2008,$B15,Vendas!$E$8:$E$2008,"&gt;=01/06/"&amp;$G$3,Vendas!$E$8:$E$2008,"&lt;=30/06/"&amp;$G$3,Vendas!$C$8:$C$2008,"Entregue")+SUMIFS(Vendas!$AO$8:$AO$2008,Vendas!$AL$8:$AL$2008,$B15,Vendas!$E$8:$E$2008,"&gt;=01/06/"&amp;$G$3,Vendas!$E$8:$E$2008,"&lt;=30/06/"&amp;$G$3,Vendas!$C$8:$C$2008,"Entregue")+SUMIFS(Vendas!$AT$8:$AT$2008,Vendas!$AQ$8:$AQ$2008,$B15,Vendas!$E$8:$E$2008,"&gt;=01/06/"&amp;$G$3,Vendas!$E$8:$E$2008,"&lt;=30/06/"&amp;$G$3,Vendas!$C$8:$C$2008,"Entregue")</f>
        <v>2480.64</v>
      </c>
      <c r="O15" s="159">
        <f>SUMIFS(Vendas!$K$8:$K$2008,Vendas!$H$8:$H$2008,$B15,Vendas!$E$8:$E$2008,"&gt;=01/07/"&amp;$G$3,Vendas!$E$8:$E$2008,"&lt;=31/07/"&amp;$G$3)+SUMIFS(Vendas!$P$8:$P$2008,Vendas!$M$8:$M$2008,$B15,Vendas!$E$8:$E$2008,"&gt;=01/07/"&amp;$G$3,Vendas!$E$8:$E$2008,"&lt;=31/07/"&amp;$G$3)+SUMIFS(Vendas!$U$8:$U$2008,Vendas!$R$8:$R$2008,$B15,Vendas!$E$8:$E$2008,"&gt;=01/07/"&amp;$G$3,Vendas!$E$8:$E$2008,"&lt;=31/07/"&amp;$G$3)+SUMIFS(Vendas!$Z$8:$Z$2008,Vendas!$W$8:$W$2008,$B15,Vendas!$E$8:$E$2008,"&gt;=01/07/"&amp;$G$3,Vendas!$E$8:$E$2008,"&lt;=31/07/"&amp;$G$3)+SUMIFS(Vendas!$AE$8:$AE$2008,Vendas!$AB$8:$AB$2008,$B15,Vendas!$E$8:$E$2008,"&gt;=01/07/"&amp;$G$3,Vendas!$E$8:$E$2008,"&lt;=31/07/"&amp;$G$3)+SUMIFS(Vendas!$AJ$8:$AJ$2008,Vendas!$AG$8:$AG$2008,$B15,Vendas!$E$8:$E$2008,"&gt;=01/07/"&amp;$G$3,Vendas!$E$8:$E$2008,"&lt;=31/07/"&amp;$G$3)+SUMIFS(Vendas!$AO$8:$AO$2008,Vendas!$AL$8:$AL$2008,$B15,Vendas!$E$8:$E$2008,"&gt;=01/07/"&amp;$G$3,Vendas!$E$8:$E$2008,"&lt;=31/07/"&amp;$G$3)+SUMIFS(Vendas!$AT$8:$AT$2008,Vendas!$AQ$8:$AQ$2008,$B15,Vendas!$E$8:$E$2008,"&gt;=01/07/"&amp;$G$3,Vendas!$E$8:$E$2008,"&lt;=31/07/"&amp;$G$3)</f>
        <v>0</v>
      </c>
      <c r="P15" s="159">
        <f>SUMIFS(Vendas!$K$8:$K$2008,Vendas!$H$8:$H$2008,$B15,Vendas!$E$8:$E$2008,"&gt;=01/07/"&amp;$G$3,Vendas!$E$8:$E$2008,"&lt;=31/07/"&amp;$G$3,Vendas!$C$8:$C$2008,"Entregue")+SUMIFS(Vendas!$P$8:$P$2008,Vendas!$M$8:$M$2008,$B15,Vendas!$E$8:$E$2008,"&gt;=01/07/"&amp;$G$3,Vendas!$E$8:$E$2008,"&lt;=31/07/"&amp;$G$3,Vendas!$C$8:$C$2008,"Entregue")+SUMIFS(Vendas!$U$8:$U$2008,Vendas!$R$8:$R$2008,$B15,Vendas!$E$8:$E$2008,"&gt;=01/07/"&amp;$G$3,Vendas!$E$8:$E$2008,"&lt;=31/07/"&amp;$G$3,Vendas!$C$8:$C$2008,"Entregue")+SUMIFS(Vendas!$Z$8:$Z$2008,Vendas!$W$8:$W$2008,$B15,Vendas!$E$8:$E$2008,"&gt;=01/07/"&amp;$G$3,Vendas!$E$8:$E$2008,"&lt;=31/07/"&amp;$G$3,Vendas!$C$8:$C$2008,"Entregue")+SUMIFS(Vendas!$AE$8:$AE$2008,Vendas!$AB$8:$AB$2008,$B15,Vendas!$E$8:$E$2008,"&gt;=01/07/"&amp;$G$3,Vendas!$E$8:$E$2008,"&lt;=31/07/"&amp;$G$3,Vendas!$C$8:$C$2008,"Entregue")+SUMIFS(Vendas!$AJ$8:$AJ$2008,Vendas!$AG$8:$AG$2008,$B15,Vendas!$E$8:$E$2008,"&gt;=01/07/"&amp;$G$3,Vendas!$E$8:$E$2008,"&lt;=31/07/"&amp;$G$3,Vendas!$C$8:$C$2008,"Entregue")+SUMIFS(Vendas!$AO$8:$AO$2008,Vendas!$AL$8:$AL$2008,$B15,Vendas!$E$8:$E$2008,"&gt;=01/07/"&amp;$G$3,Vendas!$E$8:$E$2008,"&lt;=31/07/"&amp;$G$3,Vendas!$C$8:$C$2008,"Entregue")+SUMIFS(Vendas!$AT$8:$AT$2008,Vendas!$AQ$8:$AQ$2008,$B15,Vendas!$E$8:$E$2008,"&gt;=01/07/"&amp;$G$3,Vendas!$E$8:$E$2008,"&lt;=31/07/"&amp;$G$3,Vendas!$C$8:$C$2008,"Entregue")</f>
        <v>0</v>
      </c>
      <c r="Q15" s="159">
        <f>SUMIFS(Vendas!$K$8:$K$2008,Vendas!$H$8:$H$2008,$B15,Vendas!$E$8:$E$2008,"&gt;=01/08/"&amp;$G$3,Vendas!$E$8:$E$2008,"&lt;=31/08/"&amp;$G$3)+SUMIFS(Vendas!$P$8:$P$2008,Vendas!$M$8:$M$2008,$B15,Vendas!$E$8:$E$2008,"&gt;=01/08/"&amp;$G$3,Vendas!$E$8:$E$2008,"&lt;=31/08/"&amp;$G$3)+SUMIFS(Vendas!$U$8:$U$2008,Vendas!$R$8:$R$2008,$B15,Vendas!$E$8:$E$2008,"&gt;=01/08/"&amp;$G$3,Vendas!$E$8:$E$2008,"&lt;=31/08/"&amp;$G$3)+SUMIFS(Vendas!$Z$8:$Z$2008,Vendas!$W$8:$W$2008,$B15,Vendas!$E$8:$E$2008,"&gt;=01/08/"&amp;$G$3,Vendas!$E$8:$E$2008,"&lt;=31/08/"&amp;$G$3)+SUMIFS(Vendas!$AE$8:$AE$2008,Vendas!$AB$8:$AB$2008,$B15,Vendas!$E$8:$E$2008,"&gt;=01/08/"&amp;$G$3,Vendas!$E$8:$E$2008,"&lt;=31/08/"&amp;$G$3)+SUMIFS(Vendas!$AJ$8:$AJ$2008,Vendas!$AG$8:$AG$2008,$B15,Vendas!$E$8:$E$2008,"&gt;=01/08/"&amp;$G$3,Vendas!$E$8:$E$2008,"&lt;=31/08/"&amp;$G$3)+SUMIFS(Vendas!$AO$8:$AO$2008,Vendas!$AL$8:$AL$2008,$B15,Vendas!$E$8:$E$2008,"&gt;=01/08/"&amp;$G$3,Vendas!$E$8:$E$2008,"&lt;=31/08/"&amp;$G$3)+SUMIFS(Vendas!$AT$8:$AT$2008,Vendas!$AQ$8:$AQ$2008,$B15,Vendas!$E$8:$E$2008,"&gt;=01/08/"&amp;$G$3,Vendas!$E$8:$E$2008,"&lt;=31/08/"&amp;$G$3)</f>
        <v>0</v>
      </c>
      <c r="R15" s="159">
        <f>SUMIFS(Vendas!$K$8:$K$2008,Vendas!$H$8:$H$2008,$B15,Vendas!$E$8:$E$2008,"&gt;=01/08/"&amp;$G$3,Vendas!$E$8:$E$2008,"&lt;=31/08/"&amp;$G$3,Vendas!$C$8:$C$2008,"Entregue")+SUMIFS(Vendas!$P$8:$P$2008,Vendas!$M$8:$M$2008,$B15,Vendas!$E$8:$E$2008,"&gt;=01/08/"&amp;$G$3,Vendas!$E$8:$E$2008,"&lt;=31/08/"&amp;$G$3,Vendas!$C$8:$C$2008,"Entregue")+SUMIFS(Vendas!$U$8:$U$2008,Vendas!$R$8:$R$2008,$B15,Vendas!$E$8:$E$2008,"&gt;=01/08/"&amp;$G$3,Vendas!$E$8:$E$2008,"&lt;=31/08/"&amp;$G$3,Vendas!$C$8:$C$2008,"Entregue")+SUMIFS(Vendas!$Z$8:$Z$2008,Vendas!$W$8:$W$2008,$B15,Vendas!$E$8:$E$2008,"&gt;=01/08/"&amp;$G$3,Vendas!$E$8:$E$2008,"&lt;=31/08/"&amp;$G$3,Vendas!$C$8:$C$2008,"Entregue")+SUMIFS(Vendas!$AE$8:$AE$2008,Vendas!$AB$8:$AB$2008,$B15,Vendas!$E$8:$E$2008,"&gt;=01/08/"&amp;$G$3,Vendas!$E$8:$E$2008,"&lt;=31/08/"&amp;$G$3,Vendas!$C$8:$C$2008,"Entregue")+SUMIFS(Vendas!$AJ$8:$AJ$2008,Vendas!$AG$8:$AG$2008,$B15,Vendas!$E$8:$E$2008,"&gt;=01/08/"&amp;$G$3,Vendas!$E$8:$E$2008,"&lt;=31/08/"&amp;$G$3,Vendas!$C$8:$C$2008,"Entregue")+SUMIFS(Vendas!$AO$8:$AO$2008,Vendas!$AL$8:$AL$2008,$B15,Vendas!$E$8:$E$2008,"&gt;=01/08/"&amp;$G$3,Vendas!$E$8:$E$2008,"&lt;=31/08/"&amp;$G$3,Vendas!$C$8:$C$2008,"Entregue")+SUMIFS(Vendas!$AT$8:$AT$2008,Vendas!$AQ$8:$AQ$2008,$B15,Vendas!$E$8:$E$2008,"&gt;=01/08/"&amp;$G$3,Vendas!$E$8:$E$2008,"&lt;=31/08/"&amp;$G$3,Vendas!$C$8:$C$2008,"Entregue")</f>
        <v>0</v>
      </c>
      <c r="S15" s="159">
        <f>SUMIFS(Vendas!$K$8:$K$2008,Vendas!$H$8:$H$2008,$B15,Vendas!$E$8:$E$2008,"&gt;=01/09/"&amp;$G$3,Vendas!$E$8:$E$2008,"&lt;=30/09/"&amp;$G$3)+SUMIFS(Vendas!$P$8:$P$2008,Vendas!$M$8:$M$2008,$B15,Vendas!$E$8:$E$2008,"&gt;=01/09/"&amp;$G$3,Vendas!$E$8:$E$2008,"&lt;=30/09/"&amp;$G$3)+SUMIFS(Vendas!$U$8:$U$2008,Vendas!$R$8:$R$2008,$B15,Vendas!$E$8:$E$2008,"&gt;=01/09/"&amp;$G$3,Vendas!$E$8:$E$2008,"&lt;=30/09/"&amp;$G$3)+SUMIFS(Vendas!$Z$8:$Z$2008,Vendas!$W$8:$W$2008,$B15,Vendas!$E$8:$E$2008,"&gt;=01/09/"&amp;$G$3,Vendas!$E$8:$E$2008,"&lt;=30/09/"&amp;$G$3)+SUMIFS(Vendas!$AE$8:$AE$2008,Vendas!$AB$8:$AB$2008,$B15,Vendas!$E$8:$E$2008,"&gt;=01/09/"&amp;$G$3,Vendas!$E$8:$E$2008,"&lt;=30/09/"&amp;$G$3)+SUMIFS(Vendas!$AJ$8:$AJ$2008,Vendas!$AG$8:$AG$2008,$B15,Vendas!$E$8:$E$2008,"&gt;=01/09/"&amp;$G$3,Vendas!$E$8:$E$2008,"&lt;=30/09/"&amp;$G$3)+SUMIFS(Vendas!$AO$8:$AO$2008,Vendas!$AL$8:$AL$2008,$B15,Vendas!$E$8:$E$2008,"&gt;=01/09/"&amp;$G$3,Vendas!$E$8:$E$2008,"&lt;=30/09/"&amp;$G$3)+SUMIFS(Vendas!$AT$8:$AT$2008,Vendas!$AQ$8:$AQ$2008,$B15,Vendas!$E$8:$E$2008,"&gt;=01/09/"&amp;$G$3,Vendas!$E$8:$E$2008,"&lt;=30/09/"&amp;$G$3)</f>
        <v>0</v>
      </c>
      <c r="T15" s="159">
        <f>SUMIFS(Vendas!$K$8:$K$2008,Vendas!$H$8:$H$2008,$B15,Vendas!$E$8:$E$2008,"&gt;=01/09/"&amp;$G$3,Vendas!$E$8:$E$2008,"&lt;=30/09/"&amp;$G$3,Vendas!$C$8:$C$2008,"Entregue")+SUMIFS(Vendas!$P$8:$P$2008,Vendas!$M$8:$M$2008,$B15,Vendas!$E$8:$E$2008,"&gt;=01/09/"&amp;$G$3,Vendas!$E$8:$E$2008,"&lt;=30/09/"&amp;$G$3,Vendas!$C$8:$C$2008,"Entregue")+SUMIFS(Vendas!$U$8:$U$2008,Vendas!$R$8:$R$2008,$B15,Vendas!$E$8:$E$2008,"&gt;=01/09/"&amp;$G$3,Vendas!$E$8:$E$2008,"&lt;=30/09/"&amp;$G$3,Vendas!$C$8:$C$2008,"Entregue")+SUMIFS(Vendas!$Z$8:$Z$2008,Vendas!$W$8:$W$2008,$B15,Vendas!$E$8:$E$2008,"&gt;=01/09/"&amp;$G$3,Vendas!$E$8:$E$2008,"&lt;=30/09/"&amp;$G$3,Vendas!$C$8:$C$2008,"Entregue")+SUMIFS(Vendas!$AE$8:$AE$2008,Vendas!$AB$8:$AB$2008,$B15,Vendas!$E$8:$E$2008,"&gt;=01/09/"&amp;$G$3,Vendas!$E$8:$E$2008,"&lt;=30/09/"&amp;$G$3,Vendas!$C$8:$C$2008,"Entregue")+SUMIFS(Vendas!$AJ$8:$AJ$2008,Vendas!$AG$8:$AG$2008,$B15,Vendas!$E$8:$E$2008,"&gt;=01/09/"&amp;$G$3,Vendas!$E$8:$E$2008,"&lt;=30/09/"&amp;$G$3,Vendas!$C$8:$C$2008,"Entregue")+SUMIFS(Vendas!$AO$8:$AO$2008,Vendas!$AL$8:$AL$2008,$B15,Vendas!$E$8:$E$2008,"&gt;=01/09/"&amp;$G$3,Vendas!$E$8:$E$2008,"&lt;=30/09/"&amp;$G$3,Vendas!$C$8:$C$2008,"Entregue")+SUMIFS(Vendas!$AT$8:$AT$2008,Vendas!$AQ$8:$AQ$2008,$B15,Vendas!$E$8:$E$2008,"&gt;=01/09/"&amp;$G$3,Vendas!$E$8:$E$2008,"&lt;=30/09/"&amp;$G$3,Vendas!$C$8:$C$2008,"Entregue")</f>
        <v>0</v>
      </c>
      <c r="U15" s="159">
        <f>SUMIFS(Vendas!$K$8:$K$2008,Vendas!$H$8:$H$2008,$B15,Vendas!$E$8:$E$2008,"&gt;=01/10/"&amp;$G$3,Vendas!$E$8:$E$2008,"&lt;=31/10/"&amp;$G$3)+SUMIFS(Vendas!$P$8:$P$2008,Vendas!$M$8:$M$2008,$B15,Vendas!$E$8:$E$2008,"&gt;=01/10/"&amp;$G$3,Vendas!$E$8:$E$2008,"&lt;=31/10/"&amp;$G$3)+SUMIFS(Vendas!$U$8:$U$2008,Vendas!$R$8:$R$2008,$B15,Vendas!$E$8:$E$2008,"&gt;=01/10/"&amp;$G$3,Vendas!$E$8:$E$2008,"&lt;=31/10/"&amp;$G$3)+SUMIFS(Vendas!$Z$8:$Z$2008,Vendas!$W$8:$W$2008,$B15,Vendas!$E$8:$E$2008,"&gt;=01/10/"&amp;$G$3,Vendas!$E$8:$E$2008,"&lt;=31/10/"&amp;$G$3)+SUMIFS(Vendas!$AE$8:$AE$2008,Vendas!$AB$8:$AB$2008,$B15,Vendas!$E$8:$E$2008,"&gt;=01/10/"&amp;$G$3,Vendas!$E$8:$E$2008,"&lt;=31/10/"&amp;$G$3)+SUMIFS(Vendas!$AJ$8:$AJ$2008,Vendas!$AG$8:$AG$2008,$B15,Vendas!$E$8:$E$2008,"&gt;=01/10/"&amp;$G$3,Vendas!$E$8:$E$2008,"&lt;=31/10/"&amp;$G$3)+SUMIFS(Vendas!$AO$8:$AO$2008,Vendas!$AL$8:$AL$2008,$B15,Vendas!$E$8:$E$2008,"&gt;=01/10/"&amp;$G$3,Vendas!$E$8:$E$2008,"&lt;=31/10/"&amp;$G$3)+SUMIFS(Vendas!$AT$8:$AT$2008,Vendas!$AQ$8:$AQ$2008,$B15,Vendas!$E$8:$E$2008,"&gt;=01/10/"&amp;$G$3,Vendas!$E$8:$E$2008,"&lt;=31/10/"&amp;$G$3)</f>
        <v>0</v>
      </c>
      <c r="V15" s="159">
        <f>SUMIFS(Vendas!$K$8:$K$2008,Vendas!$H$8:$H$2008,$B15,Vendas!$E$8:$E$2008,"&gt;=01/10/"&amp;$G$3,Vendas!$E$8:$E$2008,"&lt;=31/10/"&amp;$G$3,Vendas!$C$8:$C$2008,"Entregue")+SUMIFS(Vendas!$P$8:$P$2008,Vendas!$M$8:$M$2008,$B15,Vendas!$E$8:$E$2008,"&gt;=01/10/"&amp;$G$3,Vendas!$E$8:$E$2008,"&lt;=31/10/"&amp;$G$3,Vendas!$C$8:$C$2008,"Entregue")+SUMIFS(Vendas!$U$8:$U$2008,Vendas!$R$8:$R$2008,$B15,Vendas!$E$8:$E$2008,"&gt;=01/10/"&amp;$G$3,Vendas!$E$8:$E$2008,"&lt;=31/10/"&amp;$G$3,Vendas!$C$8:$C$2008,"Entregue")+SUMIFS(Vendas!$Z$8:$Z$2008,Vendas!$W$8:$W$2008,$B15,Vendas!$E$8:$E$2008,"&gt;=01/10/"&amp;$G$3,Vendas!$E$8:$E$2008,"&lt;=31/10/"&amp;$G$3,Vendas!$C$8:$C$2008,"Entregue")+SUMIFS(Vendas!$AE$8:$AE$2008,Vendas!$AB$8:$AB$2008,$B15,Vendas!$E$8:$E$2008,"&gt;=01/10/"&amp;$G$3,Vendas!$E$8:$E$2008,"&lt;=31/10/"&amp;$G$3,Vendas!$C$8:$C$2008,"Entregue")+SUMIFS(Vendas!$AJ$8:$AJ$2008,Vendas!$AG$8:$AG$2008,$B15,Vendas!$E$8:$E$2008,"&gt;=01/10/"&amp;$G$3,Vendas!$E$8:$E$2008,"&lt;=31/10/"&amp;$G$3,Vendas!$C$8:$C$2008,"Entregue")+SUMIFS(Vendas!$AO$8:$AO$2008,Vendas!$AL$8:$AL$2008,$B15,Vendas!$E$8:$E$2008,"&gt;=01/10/"&amp;$G$3,Vendas!$E$8:$E$2008,"&lt;=31/10/"&amp;$G$3,Vendas!$C$8:$C$2008,"Entregue")+SUMIFS(Vendas!$AT$8:$AT$2008,Vendas!$AQ$8:$AQ$2008,$B15,Vendas!$E$8:$E$2008,"&gt;=01/10/"&amp;$G$3,Vendas!$E$8:$E$2008,"&lt;=31/10/"&amp;$G$3,Vendas!$C$8:$C$2008,"Entregue")</f>
        <v>0</v>
      </c>
      <c r="W15" s="159">
        <f>SUMIFS(Vendas!$K$8:$K$2008,Vendas!$H$8:$H$2008,$B15,Vendas!$E$8:$E$2008,"&gt;=01/11/"&amp;$G$3,Vendas!$E$8:$E$2008,"&lt;=30/11/"&amp;$G$3)+SUMIFS(Vendas!$P$8:$P$2008,Vendas!$M$8:$M$2008,$B15,Vendas!$E$8:$E$2008,"&gt;=01/11/"&amp;$G$3,Vendas!$E$8:$E$2008,"&lt;=30/11/"&amp;$G$3)+SUMIFS(Vendas!$U$8:$U$2008,Vendas!$R$8:$R$2008,$B15,Vendas!$E$8:$E$2008,"&gt;=01/11/"&amp;$G$3,Vendas!$E$8:$E$2008,"&lt;=30/11/"&amp;$G$3)+SUMIFS(Vendas!$Z$8:$Z$2008,Vendas!$W$8:$W$2008,$B15,Vendas!$E$8:$E$2008,"&gt;=01/11/"&amp;$G$3,Vendas!$E$8:$E$2008,"&lt;=30/11/"&amp;$G$3)+SUMIFS(Vendas!$AE$8:$AE$2008,Vendas!$AB$8:$AB$2008,$B15,Vendas!$E$8:$E$2008,"&gt;=01/11/"&amp;$G$3,Vendas!$E$8:$E$2008,"&lt;=30/11/"&amp;$G$3)+SUMIFS(Vendas!$AJ$8:$AJ$2008,Vendas!$AG$8:$AG$2008,$B15,Vendas!$E$8:$E$2008,"&gt;=01/11/"&amp;$G$3,Vendas!$E$8:$E$2008,"&lt;=30/11/"&amp;$G$3)+SUMIFS(Vendas!$AO$8:$AO$2008,Vendas!$AL$8:$AL$2008,$B15,Vendas!$E$8:$E$2008,"&gt;=01/11/"&amp;$G$3,Vendas!$E$8:$E$2008,"&lt;=30/11/"&amp;$G$3)+SUMIFS(Vendas!$AT$8:$AT$2008,Vendas!$AQ$8:$AQ$2008,$B15,Vendas!$E$8:$E$2008,"&gt;=01/11/"&amp;$G$3,Vendas!$E$8:$E$2008,"&lt;=30/11/"&amp;$G$3)</f>
        <v>0</v>
      </c>
      <c r="X15" s="159">
        <f>SUMIFS(Vendas!$K$8:$K$2008,Vendas!$H$8:$H$2008,$B15,Vendas!$E$8:$E$2008,"&gt;=01/11/"&amp;$G$3,Vendas!$E$8:$E$2008,"&lt;=30/11/"&amp;$G$3,Vendas!$C$8:$C$2008,"Entregue")+SUMIFS(Vendas!$P$8:$P$2008,Vendas!$M$8:$M$2008,$B15,Vendas!$E$8:$E$2008,"&gt;=01/11/"&amp;$G$3,Vendas!$E$8:$E$2008,"&lt;=30/11/"&amp;$G$3,Vendas!$C$8:$C$2008,"Entregue")+SUMIFS(Vendas!$U$8:$U$2008,Vendas!$R$8:$R$2008,$B15,Vendas!$E$8:$E$2008,"&gt;=01/11/"&amp;$G$3,Vendas!$E$8:$E$2008,"&lt;=30/11/"&amp;$G$3,Vendas!$C$8:$C$2008,"Entregue")+SUMIFS(Vendas!$Z$8:$Z$2008,Vendas!$W$8:$W$2008,$B15,Vendas!$E$8:$E$2008,"&gt;=01/11/"&amp;$G$3,Vendas!$E$8:$E$2008,"&lt;=30/11/"&amp;$G$3,Vendas!$C$8:$C$2008,"Entregue")+SUMIFS(Vendas!$AE$8:$AE$2008,Vendas!$AB$8:$AB$2008,$B15,Vendas!$E$8:$E$2008,"&gt;=01/11/"&amp;$G$3,Vendas!$E$8:$E$2008,"&lt;=30/11/"&amp;$G$3,Vendas!$C$8:$C$2008,"Entregue")+SUMIFS(Vendas!$AJ$8:$AJ$2008,Vendas!$AG$8:$AG$2008,$B15,Vendas!$E$8:$E$2008,"&gt;=01/11/"&amp;$G$3,Vendas!$E$8:$E$2008,"&lt;=30/11/"&amp;$G$3,Vendas!$C$8:$C$2008,"Entregue")+SUMIFS(Vendas!$AO$8:$AO$2008,Vendas!$AL$8:$AL$2008,$B15,Vendas!$E$8:$E$2008,"&gt;=01/11/"&amp;$G$3,Vendas!$E$8:$E$2008,"&lt;=30/11/"&amp;$G$3,Vendas!$C$8:$C$2008,"Entregue")+SUMIFS(Vendas!$AT$8:$AT$2008,Vendas!$AQ$8:$AQ$2008,$B15,Vendas!$E$8:$E$2008,"&gt;=01/11/"&amp;$G$3,Vendas!$E$8:$E$2008,"&lt;=30/11/"&amp;$G$3,Vendas!$C$8:$C$2008,"Entregue")</f>
        <v>0</v>
      </c>
      <c r="Y15" s="159">
        <f>SUMIFS(Vendas!$K$8:$K$2008,Vendas!$H$8:$H$2008,$B15,Vendas!$E$8:$E$2008,"&gt;=01/12/"&amp;$G$3,Vendas!$E$8:$E$2008,"&lt;=31/12/"&amp;$G$3)+SUMIFS(Vendas!$P$8:$P$2008,Vendas!$M$8:$M$2008,$B15,Vendas!$E$8:$E$2008,"&gt;=01/12/"&amp;$G$3,Vendas!$E$8:$E$2008,"&lt;=31/12/"&amp;$G$3)+SUMIFS(Vendas!$U$8:$U$2008,Vendas!$R$8:$R$2008,$B15,Vendas!$E$8:$E$2008,"&gt;=01/12/"&amp;$G$3,Vendas!$E$8:$E$2008,"&lt;=31/12/"&amp;$G$3)+SUMIFS(Vendas!$Z$8:$Z$2008,Vendas!$W$8:$W$2008,$B15,Vendas!$E$8:$E$2008,"&gt;=01/12/"&amp;$G$3,Vendas!$E$8:$E$2008,"&lt;=31/12/"&amp;$G$3)+SUMIFS(Vendas!$AE$8:$AE$2008,Vendas!$AB$8:$AB$2008,$B15,Vendas!$E$8:$E$2008,"&gt;=01/12/"&amp;$G$3,Vendas!$E$8:$E$2008,"&lt;=31/12/"&amp;$G$3)+SUMIFS(Vendas!$AJ$8:$AJ$2008,Vendas!$AG$8:$AG$2008,$B15,Vendas!$E$8:$E$2008,"&gt;=01/12/"&amp;$G$3,Vendas!$E$8:$E$2008,"&lt;=31/12/"&amp;$G$3)+SUMIFS(Vendas!$AO$8:$AO$2008,Vendas!$AL$8:$AL$2008,$B15,Vendas!$E$8:$E$2008,"&gt;=01/12/"&amp;$G$3,Vendas!$E$8:$E$2008,"&lt;=31/12/"&amp;$G$3)+SUMIFS(Vendas!$AT$8:$AT$2008,Vendas!$AQ$8:$AQ$2008,$B15,Vendas!$E$8:$E$2008,"&gt;=01/12/"&amp;$G$3,Vendas!$E$8:$E$2008,"&lt;=31/12/"&amp;$G$3)</f>
        <v>0</v>
      </c>
      <c r="Z15" s="160">
        <f>SUMIFS(Vendas!$K$8:$K$2008,Vendas!$H$8:$H$2008,$B15,Vendas!$E$8:$E$2008,"&gt;=01/12/"&amp;$G$3,Vendas!$E$8:$E$2008,"&lt;=31/12/"&amp;$G$3,Vendas!$C$8:$C$2008,"Entregue")+SUMIFS(Vendas!$P$8:$P$2008,Vendas!$M$8:$M$2008,$B15,Vendas!$E$8:$E$2008,"&gt;=01/12/"&amp;$G$3,Vendas!$E$8:$E$2008,"&lt;=31/12/"&amp;$G$3,Vendas!$C$8:$C$2008,"Entregue")+SUMIFS(Vendas!$U$8:$U$2008,Vendas!$R$8:$R$2008,$B15,Vendas!$E$8:$E$2008,"&gt;=01/12/"&amp;$G$3,Vendas!$E$8:$E$2008,"&lt;=31/12/"&amp;$G$3,Vendas!$C$8:$C$2008,"Entregue")+SUMIFS(Vendas!$Z$8:$Z$2008,Vendas!$W$8:$W$2008,$B15,Vendas!$E$8:$E$2008,"&gt;=01/12/"&amp;$G$3,Vendas!$E$8:$E$2008,"&lt;=31/12/"&amp;$G$3,Vendas!$C$8:$C$2008,"Entregue")+SUMIFS(Vendas!$AE$8:$AE$2008,Vendas!$AB$8:$AB$2008,$B15,Vendas!$E$8:$E$2008,"&gt;=01/12/"&amp;$G$3,Vendas!$E$8:$E$2008,"&lt;=31/12/"&amp;$G$3,Vendas!$C$8:$C$2008,"Entregue")+SUMIFS(Vendas!$AJ$8:$AJ$2008,Vendas!$AG$8:$AG$2008,$B15,Vendas!$E$8:$E$2008,"&gt;=01/12/"&amp;$G$3,Vendas!$E$8:$E$2008,"&lt;=31/12/"&amp;$G$3,Vendas!$C$8:$C$2008,"Entregue")+SUMIFS(Vendas!$AO$8:$AO$2008,Vendas!$AL$8:$AL$2008,$B15,Vendas!$E$8:$E$2008,"&gt;=01/12/"&amp;$G$3,Vendas!$E$8:$E$2008,"&lt;=31/12/"&amp;$G$3,Vendas!$C$8:$C$2008,"Entregue")+SUMIFS(Vendas!$AT$8:$AT$2008,Vendas!$AQ$8:$AQ$2008,$B15,Vendas!$E$8:$E$2008,"&gt;=01/12/"&amp;$G$3,Vendas!$E$8:$E$2008,"&lt;=31/12/"&amp;$G$3,Vendas!$C$8:$C$2008,"Entregue")</f>
        <v>0</v>
      </c>
      <c r="AA15" s="132">
        <f t="shared" si="0"/>
        <v>2480.64</v>
      </c>
      <c r="AB15" s="132">
        <f t="shared" si="0"/>
        <v>2480.64</v>
      </c>
      <c r="AC15" s="67"/>
    </row>
    <row r="16" spans="1:50" ht="14.4" x14ac:dyDescent="0.3">
      <c r="B16" s="262" t="str">
        <f>IF(Cadastros!D15="","",Cadastros!D15)</f>
        <v>10109 - Colchão Supremo 158 X 198 X 027 cm MVQ</v>
      </c>
      <c r="C16" s="161">
        <f>SUMIFS(Vendas!$K$8:$K$2008,Vendas!$H$8:$H$2008,$B16,Vendas!$E$8:$E$2008,"&gt;=01/01/"&amp;$G$3,Vendas!$E$8:$E$2008,"&lt;=31/01/"&amp;$G$3)+SUMIFS(Vendas!$P$8:$P$2008,Vendas!$M$8:$M$2008,$B16,Vendas!$E$8:$E$2008,"&gt;=01/01/"&amp;$G$3,Vendas!$E$8:$E$2008,"&lt;=31/01/"&amp;$G$3)+SUMIFS(Vendas!$U$8:$U$2008,Vendas!$R$8:$R$2008,$B16,Vendas!$E$8:$E$2008,"&gt;=01/01/"&amp;$G$3,Vendas!$E$8:$E$2008,"&lt;=31/01/"&amp;$G$3)+SUMIFS(Vendas!$Z$8:$Z$2008,Vendas!$W$8:$W$2008,$B16,Vendas!$E$8:$E$2008,"&gt;=01/01/"&amp;$G$3,Vendas!$E$8:$E$2008,"&lt;=31/01/"&amp;$G$3)+SUMIFS(Vendas!$AE$8:$AE$2008,Vendas!$AB$8:$AB$2008,$B16,Vendas!$E$8:$E$2008,"&gt;=01/01/"&amp;$G$3,Vendas!$E$8:$E$2008,"&lt;=31/01/"&amp;$G$3)+SUMIFS(Vendas!$AJ$8:$AJ$2008,Vendas!$AG$8:$AG$2008,$B16,Vendas!$E$8:$E$2008,"&gt;=01/01/"&amp;$G$3,Vendas!$E$8:$E$2008,"&lt;=31/01/"&amp;$G$3)+SUMIFS(Vendas!$AO$8:$AO$2008,Vendas!$AL$8:$AL$2008,$B16,Vendas!$E$8:$E$2008,"&gt;=01/01/"&amp;$G$3,Vendas!$E$8:$E$2008,"&lt;=31/01/"&amp;$G$3)+SUMIFS(Vendas!$AT$8:$AT$2008,Vendas!$AQ$8:$AQ$2008,$B16,Vendas!$E$8:$E$2008,"&gt;=01/01/"&amp;$G$3,Vendas!$E$8:$E$2008,"&lt;=31/01/"&amp;$G$3)</f>
        <v>0</v>
      </c>
      <c r="D16" s="162">
        <f>SUMIFS(Vendas!$K$8:$K$2008,Vendas!$H$8:$H$2008,$B16,Vendas!$E$8:$E$2008,"&gt;=01/01/"&amp;$G$3,Vendas!$E$8:$E$2008,"&lt;=31/01/"&amp;$G$3,Vendas!$C$8:$C$2008,"Entregue")+SUMIFS(Vendas!$P$8:$P$2008,Vendas!$M$8:$M$2008,$B16,Vendas!$E$8:$E$2008,"&gt;=01/01/"&amp;$G$3,Vendas!$E$8:$E$2008,"&lt;=31/01/"&amp;$G$3,Vendas!$C$8:$C$2008,"Entregue")+SUMIFS(Vendas!$U$8:$U$2008,Vendas!$R$8:$R$2008,$B16,Vendas!$E$8:$E$2008,"&gt;=01/01/"&amp;$G$3,Vendas!$E$8:$E$2008,"&lt;=31/01/"&amp;$G$3,Vendas!$C$8:$C$2008,"Entregue")+SUMIFS(Vendas!$Z$8:$Z$2008,Vendas!$W$8:$W$2008,$B16,Vendas!$E$8:$E$2008,"&gt;=01/01/"&amp;$G$3,Vendas!$E$8:$E$2008,"&lt;=31/01/"&amp;$G$3,Vendas!$C$8:$C$2008,"Entregue")+SUMIFS(Vendas!$AE$8:$AE$2008,Vendas!$AB$8:$AB$2008,$B16,Vendas!$E$8:$E$2008,"&gt;=01/01/"&amp;$G$3,Vendas!$E$8:$E$2008,"&lt;=31/01/"&amp;$G$3,Vendas!$C$8:$C$2008,"Entregue")+SUMIFS(Vendas!$AJ$8:$AJ$2008,Vendas!$AG$8:$AG$2008,$B16,Vendas!$E$8:$E$2008,"&gt;=01/01/"&amp;$G$3,Vendas!$E$8:$E$2008,"&lt;=31/01/"&amp;$G$3,Vendas!$C$8:$C$2008,"Entregue")+SUMIFS(Vendas!$AO$8:$AO$2008,Vendas!$AL$8:$AL$2008,$B16,Vendas!$E$8:$E$2008,"&gt;=01/01/"&amp;$G$3,Vendas!$E$8:$E$2008,"&lt;=31/01/"&amp;$G$3,Vendas!$C$8:$C$2008,"Entregue")+SUMIFS(Vendas!$AT$8:$AT$2008,Vendas!$AQ$8:$AQ$2008,$B16,Vendas!$E$8:$E$2008,"&gt;=01/01/"&amp;$G$3,Vendas!$E$8:$E$2008,"&lt;=31/01/"&amp;$G$3,Vendas!$C$8:$C$2008,"Entregue")</f>
        <v>0</v>
      </c>
      <c r="E16" s="162">
        <f>SUMIFS(Vendas!$K$8:$K$2008,Vendas!$H$8:$H$2008,$B16,Vendas!$E$8:$E$2008,"&gt;=01/02/"&amp;$G$3,Vendas!$E$8:$E$2008,"&lt;=28/02/"&amp;$G$3)+SUMIFS(Vendas!$P$8:$P$2008,Vendas!$M$8:$M$2008,$B16,Vendas!$E$8:$E$2008,"&gt;=01/02/"&amp;$G$3,Vendas!$E$8:$E$2008,"&lt;=28/02/"&amp;$G$3)+SUMIFS(Vendas!$U$8:$U$2008,Vendas!$R$8:$R$2008,$B16,Vendas!$E$8:$E$2008,"&gt;=01/02/"&amp;$G$3,Vendas!$E$8:$E$2008,"&lt;=28/02/"&amp;$G$3)+SUMIFS(Vendas!$Z$8:$Z$2008,Vendas!$W$8:$W$2008,$B16,Vendas!$E$8:$E$2008,"&gt;=01/02/"&amp;$G$3,Vendas!$E$8:$E$2008,"&lt;=28/02/"&amp;$G$3)+SUMIFS(Vendas!$AE$8:$AE$2008,Vendas!$AB$8:$AB$2008,$B16,Vendas!$E$8:$E$2008,"&gt;=01/02/"&amp;$G$3,Vendas!$E$8:$E$2008,"&lt;=28/02/"&amp;$G$3)+SUMIFS(Vendas!$AJ$8:$AJ$2008,Vendas!$AG$8:$AG$2008,$B16,Vendas!$E$8:$E$2008,"&gt;=01/02/"&amp;$G$3,Vendas!$E$8:$E$2008,"&lt;=28/02/"&amp;$G$3)+SUMIFS(Vendas!$AO$8:$AO$2008,Vendas!$AL$8:$AL$2008,$B16,Vendas!$E$8:$E$2008,"&gt;=01/02/"&amp;$G$3,Vendas!$E$8:$E$2008,"&lt;=28/02/"&amp;$G$3)+SUMIFS(Vendas!$AT$8:$AT$2008,Vendas!$AQ$8:$AQ$2008,$B16,Vendas!$E$8:$E$2008,"&gt;=01/02/"&amp;$G$3,Vendas!$E$8:$E$2008,"&lt;=28/02/"&amp;$G$3)</f>
        <v>0</v>
      </c>
      <c r="F16" s="162">
        <f>SUMIFS(Vendas!$K$8:$K$2008,Vendas!$H$8:$H$2008,$B16,Vendas!$E$8:$E$2008,"&gt;=01/02/"&amp;$G$3,Vendas!$E$8:$E$2008,"&lt;=28/02/"&amp;$G$3,Vendas!$C$8:$C$2008,"Entregue")+SUMIFS(Vendas!$P$8:$P$2008,Vendas!$M$8:$M$2008,$B16,Vendas!$E$8:$E$2008,"&gt;=01/02/"&amp;$G$3,Vendas!$E$8:$E$2008,"&lt;=28/02/"&amp;$G$3,Vendas!$C$8:$C$2008,"Entregue")+SUMIFS(Vendas!$U$8:$U$2008,Vendas!$R$8:$R$2008,$B16,Vendas!$E$8:$E$2008,"&gt;=01/02/"&amp;$G$3,Vendas!$E$8:$E$2008,"&lt;=28/02/"&amp;$G$3,Vendas!$C$8:$C$2008,"Entregue")+SUMIFS(Vendas!$Z$8:$Z$2008,Vendas!$W$8:$W$2008,$B16,Vendas!$E$8:$E$2008,"&gt;=01/02/"&amp;$G$3,Vendas!$E$8:$E$2008,"&lt;=28/02/"&amp;$G$3,Vendas!$C$8:$C$2008,"Entregue")+SUMIFS(Vendas!$AE$8:$AE$2008,Vendas!$AB$8:$AB$2008,$B16,Vendas!$E$8:$E$2008,"&gt;=01/02/"&amp;$G$3,Vendas!$E$8:$E$2008,"&lt;=28/02/"&amp;$G$3,Vendas!$C$8:$C$2008,"Entregue")+SUMIFS(Vendas!$AJ$8:$AJ$2008,Vendas!$AG$8:$AG$2008,$B16,Vendas!$E$8:$E$2008,"&gt;=01/02/"&amp;$G$3,Vendas!$E$8:$E$2008,"&lt;=28/02/"&amp;$G$3,Vendas!$C$8:$C$2008,"Entregue")+SUMIFS(Vendas!$AO$8:$AO$2008,Vendas!$AL$8:$AL$2008,$B16,Vendas!$E$8:$E$2008,"&gt;=01/02/"&amp;$G$3,Vendas!$E$8:$E$2008,"&lt;=28/02/"&amp;$G$3,Vendas!$C$8:$C$2008,"Entregue")+SUMIFS(Vendas!$AT$8:$AT$2008,Vendas!$AQ$8:$AQ$2008,$B16,Vendas!$E$8:$E$2008,"&gt;=01/02/"&amp;$G$3,Vendas!$E$8:$E$2008,"&lt;=28/02/"&amp;$G$3,Vendas!$C$8:$C$2008,"Entregue")</f>
        <v>0</v>
      </c>
      <c r="G16" s="162">
        <f>SUMIFS(Vendas!$K$8:$K$2008,Vendas!$H$8:$H$2008,$B16,Vendas!$E$8:$E$2008,"&gt;=01/03/"&amp;$G$3,Vendas!$E$8:$E$2008,"&lt;=31/03/"&amp;$G$3)+SUMIFS(Vendas!$P$8:$P$2008,Vendas!$M$8:$M$2008,$B16,Vendas!$E$8:$E$2008,"&gt;=01/03/"&amp;$G$3,Vendas!$E$8:$E$2008,"&lt;=31/03/"&amp;$G$3)+SUMIFS(Vendas!$U$8:$U$2008,Vendas!$R$8:$R$2008,$B16,Vendas!$E$8:$E$2008,"&gt;=01/03/"&amp;$G$3,Vendas!$E$8:$E$2008,"&lt;=31/03/"&amp;$G$3)+SUMIFS(Vendas!$Z$8:$Z$2008,Vendas!$W$8:$W$2008,$B16,Vendas!$E$8:$E$2008,"&gt;=01/03/"&amp;$G$3,Vendas!$E$8:$E$2008,"&lt;=31/03/"&amp;$G$3)+SUMIFS(Vendas!$AE$8:$AE$2008,Vendas!$AB$8:$AB$2008,$B16,Vendas!$E$8:$E$2008,"&gt;=01/03/"&amp;$G$3,Vendas!$E$8:$E$2008,"&lt;=31/03/"&amp;$G$3)+SUMIFS(Vendas!$AJ$8:$AJ$2008,Vendas!$AG$8:$AG$2008,$B16,Vendas!$E$8:$E$2008,"&gt;=01/03/"&amp;$G$3,Vendas!$E$8:$E$2008,"&lt;=31/03/"&amp;$G$3)+SUMIFS(Vendas!$AO$8:$AO$2008,Vendas!$AL$8:$AL$2008,$B16,Vendas!$E$8:$E$2008,"&gt;=01/03/"&amp;$G$3,Vendas!$E$8:$E$2008,"&lt;=31/03/"&amp;$G$3)+SUMIFS(Vendas!$AT$8:$AT$2008,Vendas!$AQ$8:$AQ$2008,$B16,Vendas!$E$8:$E$2008,"&gt;=01/03/"&amp;$G$3,Vendas!$E$8:$E$2008,"&lt;=31/03/"&amp;$G$3)</f>
        <v>0</v>
      </c>
      <c r="H16" s="162">
        <f>SUMIFS(Vendas!$K$8:$K$2008,Vendas!$H$8:$H$2008,$B16,Vendas!$E$8:$E$2008,"&gt;=01/03/"&amp;$G$3,Vendas!$E$8:$E$2008,"&lt;=31/03/"&amp;$G$3,Vendas!$C$8:$C$2008,"Entregue")+SUMIFS(Vendas!$P$8:$P$2008,Vendas!$M$8:$M$2008,$B16,Vendas!$E$8:$E$2008,"&gt;=01/03/"&amp;$G$3,Vendas!$E$8:$E$2008,"&lt;=31/03/"&amp;$G$3,Vendas!$C$8:$C$2008,"Entregue")+SUMIFS(Vendas!$U$8:$U$2008,Vendas!$R$8:$R$2008,$B16,Vendas!$E$8:$E$2008,"&gt;=01/03/"&amp;$G$3,Vendas!$E$8:$E$2008,"&lt;=31/03/"&amp;$G$3,Vendas!$C$8:$C$2008,"Entregue")+SUMIFS(Vendas!$Z$8:$Z$2008,Vendas!$W$8:$W$2008,$B16,Vendas!$E$8:$E$2008,"&gt;=01/03/"&amp;$G$3,Vendas!$E$8:$E$2008,"&lt;=31/03/"&amp;$G$3,Vendas!$C$8:$C$2008,"Entregue")+SUMIFS(Vendas!$AE$8:$AE$2008,Vendas!$AB$8:$AB$2008,$B16,Vendas!$E$8:$E$2008,"&gt;=01/03/"&amp;$G$3,Vendas!$E$8:$E$2008,"&lt;=31/03/"&amp;$G$3,Vendas!$C$8:$C$2008,"Entregue")+SUMIFS(Vendas!$AJ$8:$AJ$2008,Vendas!$AG$8:$AG$2008,$B16,Vendas!$E$8:$E$2008,"&gt;=01/03/"&amp;$G$3,Vendas!$E$8:$E$2008,"&lt;=31/03/"&amp;$G$3,Vendas!$C$8:$C$2008,"Entregue")+SUMIFS(Vendas!$AO$8:$AO$2008,Vendas!$AL$8:$AL$2008,$B16,Vendas!$E$8:$E$2008,"&gt;=01/03/"&amp;$G$3,Vendas!$E$8:$E$2008,"&lt;=31/03/"&amp;$G$3,Vendas!$C$8:$C$2008,"Entregue")+SUMIFS(Vendas!$AT$8:$AT$2008,Vendas!$AQ$8:$AQ$2008,$B16,Vendas!$E$8:$E$2008,"&gt;=01/03/"&amp;$G$3,Vendas!$E$8:$E$2008,"&lt;=31/03/"&amp;$G$3,Vendas!$C$8:$C$2008,"Entregue")</f>
        <v>0</v>
      </c>
      <c r="I16" s="162">
        <f>SUMIFS(Vendas!$K$8:$K$2008,Vendas!$H$8:$H$2008,$B16,Vendas!$E$8:$E$2008,"&gt;=01/04/"&amp;$G$3,Vendas!$E$8:$E$2008,"&lt;=30/04/"&amp;$G$3)+SUMIFS(Vendas!$P$8:$P$2008,Vendas!$M$8:$M$2008,$B16,Vendas!$E$8:$E$2008,"&gt;=01/04/"&amp;$G$3,Vendas!$E$8:$E$2008,"&lt;=30/04/"&amp;$G$3)+SUMIFS(Vendas!$U$8:$U$2008,Vendas!$R$8:$R$2008,$B16,Vendas!$E$8:$E$2008,"&gt;=01/04/"&amp;$G$3,Vendas!$E$8:$E$2008,"&lt;=30/04/"&amp;$G$3)+SUMIFS(Vendas!$Z$8:$Z$2008,Vendas!$W$8:$W$2008,$B16,Vendas!$E$8:$E$2008,"&gt;=01/04/"&amp;$G$3,Vendas!$E$8:$E$2008,"&lt;=30/04/"&amp;$G$3)+SUMIFS(Vendas!$AE$8:$AE$2008,Vendas!$AB$8:$AB$2008,$B16,Vendas!$E$8:$E$2008,"&gt;=01/04/"&amp;$G$3,Vendas!$E$8:$E$2008,"&lt;=30/04/"&amp;$G$3)+SUMIFS(Vendas!$AJ$8:$AJ$2008,Vendas!$AG$8:$AG$2008,$B16,Vendas!$E$8:$E$2008,"&gt;=01/04/"&amp;$G$3,Vendas!$E$8:$E$2008,"&lt;=30/04/"&amp;$G$3)+SUMIFS(Vendas!$AO$8:$AO$2008,Vendas!$AL$8:$AL$2008,$B16,Vendas!$E$8:$E$2008,"&gt;=01/04/"&amp;$G$3,Vendas!$E$8:$E$2008,"&lt;=30/04/"&amp;$G$3)+SUMIFS(Vendas!$AT$8:$AT$2008,Vendas!$AQ$8:$AQ$2008,$B16,Vendas!$E$8:$E$2008,"&gt;=01/04/"&amp;$G$3,Vendas!$E$8:$E$2008,"&lt;=30/04/"&amp;$G$3)</f>
        <v>0</v>
      </c>
      <c r="J16" s="162">
        <f>SUMIFS(Vendas!$K$8:$K$2008,Vendas!$H$8:$H$2008,$B16,Vendas!$E$8:$E$2008,"&gt;=01/04/"&amp;$G$3,Vendas!$E$8:$E$2008,"&lt;=30/04/"&amp;$G$3,Vendas!$C$8:$C$2008,"Entregue")+SUMIFS(Vendas!$P$8:$P$2008,Vendas!$M$8:$M$2008,$B16,Vendas!$E$8:$E$2008,"&gt;=01/04/"&amp;$G$3,Vendas!$E$8:$E$2008,"&lt;=30/04/"&amp;$G$3,Vendas!$C$8:$C$2008,"Entregue")+SUMIFS(Vendas!$U$8:$U$2008,Vendas!$R$8:$R$2008,$B16,Vendas!$E$8:$E$2008,"&gt;=01/04/"&amp;$G$3,Vendas!$E$8:$E$2008,"&lt;=30/04/"&amp;$G$3,Vendas!$C$8:$C$2008,"Entregue")+SUMIFS(Vendas!$Z$8:$Z$2008,Vendas!$W$8:$W$2008,$B16,Vendas!$E$8:$E$2008,"&gt;=01/04/"&amp;$G$3,Vendas!$E$8:$E$2008,"&lt;=30/04/"&amp;$G$3,Vendas!$C$8:$C$2008,"Entregue")+SUMIFS(Vendas!$AE$8:$AE$2008,Vendas!$AB$8:$AB$2008,$B16,Vendas!$E$8:$E$2008,"&gt;=01/04/"&amp;$G$3,Vendas!$E$8:$E$2008,"&lt;=30/04/"&amp;$G$3,Vendas!$C$8:$C$2008,"Entregue")+SUMIFS(Vendas!$AJ$8:$AJ$2008,Vendas!$AG$8:$AG$2008,$B16,Vendas!$E$8:$E$2008,"&gt;=01/04/"&amp;$G$3,Vendas!$E$8:$E$2008,"&lt;=30/04/"&amp;$G$3,Vendas!$C$8:$C$2008,"Entregue")+SUMIFS(Vendas!$AO$8:$AO$2008,Vendas!$AL$8:$AL$2008,$B16,Vendas!$E$8:$E$2008,"&gt;=01/04/"&amp;$G$3,Vendas!$E$8:$E$2008,"&lt;=30/04/"&amp;$G$3,Vendas!$C$8:$C$2008,"Entregue")+SUMIFS(Vendas!$AT$8:$AT$2008,Vendas!$AQ$8:$AQ$2008,$B16,Vendas!$E$8:$E$2008,"&gt;=01/04/"&amp;$G$3,Vendas!$E$8:$E$2008,"&lt;=30/04/"&amp;$G$3,Vendas!$C$8:$C$2008,"Entregue")</f>
        <v>0</v>
      </c>
      <c r="K16" s="162">
        <f>SUMIFS(Vendas!$K$8:$K$2008,Vendas!$H$8:$H$2008,$B16,Vendas!$E$8:$E$2008,"&gt;=01/05/"&amp;$G$3,Vendas!$E$8:$E$2008,"&lt;=31/05/"&amp;$G$3)+SUMIFS(Vendas!$P$8:$P$2008,Vendas!$M$8:$M$2008,$B16,Vendas!$E$8:$E$2008,"&gt;=01/05/"&amp;$G$3,Vendas!$E$8:$E$2008,"&lt;=31/05/"&amp;$G$3)+SUMIFS(Vendas!$U$8:$U$2008,Vendas!$R$8:$R$2008,$B16,Vendas!$E$8:$E$2008,"&gt;=01/05/"&amp;$G$3,Vendas!$E$8:$E$2008,"&lt;=31/05/"&amp;$G$3)+SUMIFS(Vendas!$Z$8:$Z$2008,Vendas!$W$8:$W$2008,$B16,Vendas!$E$8:$E$2008,"&gt;=01/05/"&amp;$G$3,Vendas!$E$8:$E$2008,"&lt;=31/05/"&amp;$G$3)+SUMIFS(Vendas!$AE$8:$AE$2008,Vendas!$AB$8:$AB$2008,$B16,Vendas!$E$8:$E$2008,"&gt;=01/05/"&amp;$G$3,Vendas!$E$8:$E$2008,"&lt;=31/05/"&amp;$G$3)+SUMIFS(Vendas!$AJ$8:$AJ$2008,Vendas!$AG$8:$AG$2008,$B16,Vendas!$E$8:$E$2008,"&gt;=01/05/"&amp;$G$3,Vendas!$E$8:$E$2008,"&lt;=31/05/"&amp;$G$3)+SUMIFS(Vendas!$AO$8:$AO$2008,Vendas!$AL$8:$AL$2008,$B16,Vendas!$E$8:$E$2008,"&gt;=01/05/"&amp;$G$3,Vendas!$E$8:$E$2008,"&lt;=31/05/"&amp;$G$3)+SUMIFS(Vendas!$AT$8:$AT$2008,Vendas!$AQ$8:$AQ$2008,$B16,Vendas!$E$8:$E$2008,"&gt;=01/05/"&amp;$G$3,Vendas!$E$8:$E$2008,"&lt;=31/05/"&amp;$G$3)</f>
        <v>0</v>
      </c>
      <c r="L16" s="162">
        <f>SUMIFS(Vendas!$K$8:$K$2008,Vendas!$H$8:$H$2008,$B16,Vendas!$E$8:$E$2008,"&gt;=01/05/"&amp;$G$3,Vendas!$E$8:$E$2008,"&lt;=31/05/"&amp;$G$3,Vendas!$C$8:$C$2008,"Entregue")+SUMIFS(Vendas!$P$8:$P$2008,Vendas!$M$8:$M$2008,$B16,Vendas!$E$8:$E$2008,"&gt;=01/05/"&amp;$G$3,Vendas!$E$8:$E$2008,"&lt;=31/05/"&amp;$G$3,Vendas!$C$8:$C$2008,"Entregue")+SUMIFS(Vendas!$U$8:$U$2008,Vendas!$R$8:$R$2008,$B16,Vendas!$E$8:$E$2008,"&gt;=01/05/"&amp;$G$3,Vendas!$E$8:$E$2008,"&lt;=31/05/"&amp;$G$3,Vendas!$C$8:$C$2008,"Entregue")+SUMIFS(Vendas!$Z$8:$Z$2008,Vendas!$W$8:$W$2008,$B16,Vendas!$E$8:$E$2008,"&gt;=01/05/"&amp;$G$3,Vendas!$E$8:$E$2008,"&lt;=31/05/"&amp;$G$3,Vendas!$C$8:$C$2008,"Entregue")+SUMIFS(Vendas!$AE$8:$AE$2008,Vendas!$AB$8:$AB$2008,$B16,Vendas!$E$8:$E$2008,"&gt;=01/05/"&amp;$G$3,Vendas!$E$8:$E$2008,"&lt;=31/05/"&amp;$G$3,Vendas!$C$8:$C$2008,"Entregue")+SUMIFS(Vendas!$AJ$8:$AJ$2008,Vendas!$AG$8:$AG$2008,$B16,Vendas!$E$8:$E$2008,"&gt;=01/05/"&amp;$G$3,Vendas!$E$8:$E$2008,"&lt;=31/05/"&amp;$G$3,Vendas!$C$8:$C$2008,"Entregue")+SUMIFS(Vendas!$AO$8:$AO$2008,Vendas!$AL$8:$AL$2008,$B16,Vendas!$E$8:$E$2008,"&gt;=01/05/"&amp;$G$3,Vendas!$E$8:$E$2008,"&lt;=31/05/"&amp;$G$3,Vendas!$C$8:$C$2008,"Entregue")+SUMIFS(Vendas!$AT$8:$AT$2008,Vendas!$AQ$8:$AQ$2008,$B16,Vendas!$E$8:$E$2008,"&gt;=01/05/"&amp;$G$3,Vendas!$E$8:$E$2008,"&lt;=31/05/"&amp;$G$3,Vendas!$C$8:$C$2008,"Entregue")</f>
        <v>0</v>
      </c>
      <c r="M16" s="162">
        <f>SUMIFS(Vendas!$K$8:$K$2008,Vendas!$H$8:$H$2008,$B16,Vendas!$E$8:$E$2008,"&gt;=01/06/"&amp;$G$3,Vendas!$E$8:$E$2008,"&lt;=30/06/"&amp;$G$3)+SUMIFS(Vendas!$P$8:$P$2008,Vendas!$M$8:$M$2008,$B16,Vendas!$E$8:$E$2008,"&gt;=01/06/"&amp;$G$3,Vendas!$E$8:$E$2008,"&lt;=30/06/"&amp;$G$3)+SUMIFS(Vendas!$U$8:$U$2008,Vendas!$R$8:$R$2008,$B16,Vendas!$E$8:$E$2008,"&gt;=01/06/"&amp;$G$3,Vendas!$E$8:$E$2008,"&lt;=30/06/"&amp;$G$3)+SUMIFS(Vendas!$Z$8:$Z$2008,Vendas!$W$8:$W$2008,$B16,Vendas!$E$8:$E$2008,"&gt;=01/06/"&amp;$G$3,Vendas!$E$8:$E$2008,"&lt;=30/06/"&amp;$G$3)+SUMIFS(Vendas!$AE$8:$AE$2008,Vendas!$AB$8:$AB$2008,$B16,Vendas!$E$8:$E$2008,"&gt;=01/06/"&amp;$G$3,Vendas!$E$8:$E$2008,"&lt;=30/06/"&amp;$G$3)+SUMIFS(Vendas!$AJ$8:$AJ$2008,Vendas!$AG$8:$AG$2008,$B16,Vendas!$E$8:$E$2008,"&gt;=01/06/"&amp;$G$3,Vendas!$E$8:$E$2008,"&lt;=30/06/"&amp;$G$3)+SUMIFS(Vendas!$AO$8:$AO$2008,Vendas!$AL$8:$AL$2008,$B16,Vendas!$E$8:$E$2008,"&gt;=01/06/"&amp;$G$3,Vendas!$E$8:$E$2008,"&lt;=30/06/"&amp;$G$3)+SUMIFS(Vendas!$AT$8:$AT$2008,Vendas!$AQ$8:$AQ$2008,$B16,Vendas!$E$8:$E$2008,"&gt;=01/06/"&amp;$G$3,Vendas!$E$8:$E$2008,"&lt;=30/06/"&amp;$G$3)</f>
        <v>0</v>
      </c>
      <c r="N16" s="162">
        <f>SUMIFS(Vendas!$K$8:$K$2008,Vendas!$H$8:$H$2008,$B16,Vendas!$E$8:$E$2008,"&gt;=01/06/"&amp;$G$3,Vendas!$E$8:$E$2008,"&lt;=30/06/"&amp;$G$3,Vendas!$C$8:$C$2008,"Entregue")+SUMIFS(Vendas!$P$8:$P$2008,Vendas!$M$8:$M$2008,$B16,Vendas!$E$8:$E$2008,"&gt;=01/06/"&amp;$G$3,Vendas!$E$8:$E$2008,"&lt;=30/06/"&amp;$G$3,Vendas!$C$8:$C$2008,"Entregue")+SUMIFS(Vendas!$U$8:$U$2008,Vendas!$R$8:$R$2008,$B16,Vendas!$E$8:$E$2008,"&gt;=01/06/"&amp;$G$3,Vendas!$E$8:$E$2008,"&lt;=30/06/"&amp;$G$3,Vendas!$C$8:$C$2008,"Entregue")+SUMIFS(Vendas!$Z$8:$Z$2008,Vendas!$W$8:$W$2008,$B16,Vendas!$E$8:$E$2008,"&gt;=01/06/"&amp;$G$3,Vendas!$E$8:$E$2008,"&lt;=30/06/"&amp;$G$3,Vendas!$C$8:$C$2008,"Entregue")+SUMIFS(Vendas!$AE$8:$AE$2008,Vendas!$AB$8:$AB$2008,$B16,Vendas!$E$8:$E$2008,"&gt;=01/06/"&amp;$G$3,Vendas!$E$8:$E$2008,"&lt;=30/06/"&amp;$G$3,Vendas!$C$8:$C$2008,"Entregue")+SUMIFS(Vendas!$AJ$8:$AJ$2008,Vendas!$AG$8:$AG$2008,$B16,Vendas!$E$8:$E$2008,"&gt;=01/06/"&amp;$G$3,Vendas!$E$8:$E$2008,"&lt;=30/06/"&amp;$G$3,Vendas!$C$8:$C$2008,"Entregue")+SUMIFS(Vendas!$AO$8:$AO$2008,Vendas!$AL$8:$AL$2008,$B16,Vendas!$E$8:$E$2008,"&gt;=01/06/"&amp;$G$3,Vendas!$E$8:$E$2008,"&lt;=30/06/"&amp;$G$3,Vendas!$C$8:$C$2008,"Entregue")+SUMIFS(Vendas!$AT$8:$AT$2008,Vendas!$AQ$8:$AQ$2008,$B16,Vendas!$E$8:$E$2008,"&gt;=01/06/"&amp;$G$3,Vendas!$E$8:$E$2008,"&lt;=30/06/"&amp;$G$3,Vendas!$C$8:$C$2008,"Entregue")</f>
        <v>0</v>
      </c>
      <c r="O16" s="162">
        <f>SUMIFS(Vendas!$K$8:$K$2008,Vendas!$H$8:$H$2008,$B16,Vendas!$E$8:$E$2008,"&gt;=01/07/"&amp;$G$3,Vendas!$E$8:$E$2008,"&lt;=31/07/"&amp;$G$3)+SUMIFS(Vendas!$P$8:$P$2008,Vendas!$M$8:$M$2008,$B16,Vendas!$E$8:$E$2008,"&gt;=01/07/"&amp;$G$3,Vendas!$E$8:$E$2008,"&lt;=31/07/"&amp;$G$3)+SUMIFS(Vendas!$U$8:$U$2008,Vendas!$R$8:$R$2008,$B16,Vendas!$E$8:$E$2008,"&gt;=01/07/"&amp;$G$3,Vendas!$E$8:$E$2008,"&lt;=31/07/"&amp;$G$3)+SUMIFS(Vendas!$Z$8:$Z$2008,Vendas!$W$8:$W$2008,$B16,Vendas!$E$8:$E$2008,"&gt;=01/07/"&amp;$G$3,Vendas!$E$8:$E$2008,"&lt;=31/07/"&amp;$G$3)+SUMIFS(Vendas!$AE$8:$AE$2008,Vendas!$AB$8:$AB$2008,$B16,Vendas!$E$8:$E$2008,"&gt;=01/07/"&amp;$G$3,Vendas!$E$8:$E$2008,"&lt;=31/07/"&amp;$G$3)+SUMIFS(Vendas!$AJ$8:$AJ$2008,Vendas!$AG$8:$AG$2008,$B16,Vendas!$E$8:$E$2008,"&gt;=01/07/"&amp;$G$3,Vendas!$E$8:$E$2008,"&lt;=31/07/"&amp;$G$3)+SUMIFS(Vendas!$AO$8:$AO$2008,Vendas!$AL$8:$AL$2008,$B16,Vendas!$E$8:$E$2008,"&gt;=01/07/"&amp;$G$3,Vendas!$E$8:$E$2008,"&lt;=31/07/"&amp;$G$3)+SUMIFS(Vendas!$AT$8:$AT$2008,Vendas!$AQ$8:$AQ$2008,$B16,Vendas!$E$8:$E$2008,"&gt;=01/07/"&amp;$G$3,Vendas!$E$8:$E$2008,"&lt;=31/07/"&amp;$G$3)</f>
        <v>0</v>
      </c>
      <c r="P16" s="162">
        <f>SUMIFS(Vendas!$K$8:$K$2008,Vendas!$H$8:$H$2008,$B16,Vendas!$E$8:$E$2008,"&gt;=01/07/"&amp;$G$3,Vendas!$E$8:$E$2008,"&lt;=31/07/"&amp;$G$3,Vendas!$C$8:$C$2008,"Entregue")+SUMIFS(Vendas!$P$8:$P$2008,Vendas!$M$8:$M$2008,$B16,Vendas!$E$8:$E$2008,"&gt;=01/07/"&amp;$G$3,Vendas!$E$8:$E$2008,"&lt;=31/07/"&amp;$G$3,Vendas!$C$8:$C$2008,"Entregue")+SUMIFS(Vendas!$U$8:$U$2008,Vendas!$R$8:$R$2008,$B16,Vendas!$E$8:$E$2008,"&gt;=01/07/"&amp;$G$3,Vendas!$E$8:$E$2008,"&lt;=31/07/"&amp;$G$3,Vendas!$C$8:$C$2008,"Entregue")+SUMIFS(Vendas!$Z$8:$Z$2008,Vendas!$W$8:$W$2008,$B16,Vendas!$E$8:$E$2008,"&gt;=01/07/"&amp;$G$3,Vendas!$E$8:$E$2008,"&lt;=31/07/"&amp;$G$3,Vendas!$C$8:$C$2008,"Entregue")+SUMIFS(Vendas!$AE$8:$AE$2008,Vendas!$AB$8:$AB$2008,$B16,Vendas!$E$8:$E$2008,"&gt;=01/07/"&amp;$G$3,Vendas!$E$8:$E$2008,"&lt;=31/07/"&amp;$G$3,Vendas!$C$8:$C$2008,"Entregue")+SUMIFS(Vendas!$AJ$8:$AJ$2008,Vendas!$AG$8:$AG$2008,$B16,Vendas!$E$8:$E$2008,"&gt;=01/07/"&amp;$G$3,Vendas!$E$8:$E$2008,"&lt;=31/07/"&amp;$G$3,Vendas!$C$8:$C$2008,"Entregue")+SUMIFS(Vendas!$AO$8:$AO$2008,Vendas!$AL$8:$AL$2008,$B16,Vendas!$E$8:$E$2008,"&gt;=01/07/"&amp;$G$3,Vendas!$E$8:$E$2008,"&lt;=31/07/"&amp;$G$3,Vendas!$C$8:$C$2008,"Entregue")+SUMIFS(Vendas!$AT$8:$AT$2008,Vendas!$AQ$8:$AQ$2008,$B16,Vendas!$E$8:$E$2008,"&gt;=01/07/"&amp;$G$3,Vendas!$E$8:$E$2008,"&lt;=31/07/"&amp;$G$3,Vendas!$C$8:$C$2008,"Entregue")</f>
        <v>0</v>
      </c>
      <c r="Q16" s="162">
        <f>SUMIFS(Vendas!$K$8:$K$2008,Vendas!$H$8:$H$2008,$B16,Vendas!$E$8:$E$2008,"&gt;=01/08/"&amp;$G$3,Vendas!$E$8:$E$2008,"&lt;=31/08/"&amp;$G$3)+SUMIFS(Vendas!$P$8:$P$2008,Vendas!$M$8:$M$2008,$B16,Vendas!$E$8:$E$2008,"&gt;=01/08/"&amp;$G$3,Vendas!$E$8:$E$2008,"&lt;=31/08/"&amp;$G$3)+SUMIFS(Vendas!$U$8:$U$2008,Vendas!$R$8:$R$2008,$B16,Vendas!$E$8:$E$2008,"&gt;=01/08/"&amp;$G$3,Vendas!$E$8:$E$2008,"&lt;=31/08/"&amp;$G$3)+SUMIFS(Vendas!$Z$8:$Z$2008,Vendas!$W$8:$W$2008,$B16,Vendas!$E$8:$E$2008,"&gt;=01/08/"&amp;$G$3,Vendas!$E$8:$E$2008,"&lt;=31/08/"&amp;$G$3)+SUMIFS(Vendas!$AE$8:$AE$2008,Vendas!$AB$8:$AB$2008,$B16,Vendas!$E$8:$E$2008,"&gt;=01/08/"&amp;$G$3,Vendas!$E$8:$E$2008,"&lt;=31/08/"&amp;$G$3)+SUMIFS(Vendas!$AJ$8:$AJ$2008,Vendas!$AG$8:$AG$2008,$B16,Vendas!$E$8:$E$2008,"&gt;=01/08/"&amp;$G$3,Vendas!$E$8:$E$2008,"&lt;=31/08/"&amp;$G$3)+SUMIFS(Vendas!$AO$8:$AO$2008,Vendas!$AL$8:$AL$2008,$B16,Vendas!$E$8:$E$2008,"&gt;=01/08/"&amp;$G$3,Vendas!$E$8:$E$2008,"&lt;=31/08/"&amp;$G$3)+SUMIFS(Vendas!$AT$8:$AT$2008,Vendas!$AQ$8:$AQ$2008,$B16,Vendas!$E$8:$E$2008,"&gt;=01/08/"&amp;$G$3,Vendas!$E$8:$E$2008,"&lt;=31/08/"&amp;$G$3)</f>
        <v>0</v>
      </c>
      <c r="R16" s="162">
        <f>SUMIFS(Vendas!$K$8:$K$2008,Vendas!$H$8:$H$2008,$B16,Vendas!$E$8:$E$2008,"&gt;=01/08/"&amp;$G$3,Vendas!$E$8:$E$2008,"&lt;=31/08/"&amp;$G$3,Vendas!$C$8:$C$2008,"Entregue")+SUMIFS(Vendas!$P$8:$P$2008,Vendas!$M$8:$M$2008,$B16,Vendas!$E$8:$E$2008,"&gt;=01/08/"&amp;$G$3,Vendas!$E$8:$E$2008,"&lt;=31/08/"&amp;$G$3,Vendas!$C$8:$C$2008,"Entregue")+SUMIFS(Vendas!$U$8:$U$2008,Vendas!$R$8:$R$2008,$B16,Vendas!$E$8:$E$2008,"&gt;=01/08/"&amp;$G$3,Vendas!$E$8:$E$2008,"&lt;=31/08/"&amp;$G$3,Vendas!$C$8:$C$2008,"Entregue")+SUMIFS(Vendas!$Z$8:$Z$2008,Vendas!$W$8:$W$2008,$B16,Vendas!$E$8:$E$2008,"&gt;=01/08/"&amp;$G$3,Vendas!$E$8:$E$2008,"&lt;=31/08/"&amp;$G$3,Vendas!$C$8:$C$2008,"Entregue")+SUMIFS(Vendas!$AE$8:$AE$2008,Vendas!$AB$8:$AB$2008,$B16,Vendas!$E$8:$E$2008,"&gt;=01/08/"&amp;$G$3,Vendas!$E$8:$E$2008,"&lt;=31/08/"&amp;$G$3,Vendas!$C$8:$C$2008,"Entregue")+SUMIFS(Vendas!$AJ$8:$AJ$2008,Vendas!$AG$8:$AG$2008,$B16,Vendas!$E$8:$E$2008,"&gt;=01/08/"&amp;$G$3,Vendas!$E$8:$E$2008,"&lt;=31/08/"&amp;$G$3,Vendas!$C$8:$C$2008,"Entregue")+SUMIFS(Vendas!$AO$8:$AO$2008,Vendas!$AL$8:$AL$2008,$B16,Vendas!$E$8:$E$2008,"&gt;=01/08/"&amp;$G$3,Vendas!$E$8:$E$2008,"&lt;=31/08/"&amp;$G$3,Vendas!$C$8:$C$2008,"Entregue")+SUMIFS(Vendas!$AT$8:$AT$2008,Vendas!$AQ$8:$AQ$2008,$B16,Vendas!$E$8:$E$2008,"&gt;=01/08/"&amp;$G$3,Vendas!$E$8:$E$2008,"&lt;=31/08/"&amp;$G$3,Vendas!$C$8:$C$2008,"Entregue")</f>
        <v>0</v>
      </c>
      <c r="S16" s="162">
        <f>SUMIFS(Vendas!$K$8:$K$2008,Vendas!$H$8:$H$2008,$B16,Vendas!$E$8:$E$2008,"&gt;=01/09/"&amp;$G$3,Vendas!$E$8:$E$2008,"&lt;=30/09/"&amp;$G$3)+SUMIFS(Vendas!$P$8:$P$2008,Vendas!$M$8:$M$2008,$B16,Vendas!$E$8:$E$2008,"&gt;=01/09/"&amp;$G$3,Vendas!$E$8:$E$2008,"&lt;=30/09/"&amp;$G$3)+SUMIFS(Vendas!$U$8:$U$2008,Vendas!$R$8:$R$2008,$B16,Vendas!$E$8:$E$2008,"&gt;=01/09/"&amp;$G$3,Vendas!$E$8:$E$2008,"&lt;=30/09/"&amp;$G$3)+SUMIFS(Vendas!$Z$8:$Z$2008,Vendas!$W$8:$W$2008,$B16,Vendas!$E$8:$E$2008,"&gt;=01/09/"&amp;$G$3,Vendas!$E$8:$E$2008,"&lt;=30/09/"&amp;$G$3)+SUMIFS(Vendas!$AE$8:$AE$2008,Vendas!$AB$8:$AB$2008,$B16,Vendas!$E$8:$E$2008,"&gt;=01/09/"&amp;$G$3,Vendas!$E$8:$E$2008,"&lt;=30/09/"&amp;$G$3)+SUMIFS(Vendas!$AJ$8:$AJ$2008,Vendas!$AG$8:$AG$2008,$B16,Vendas!$E$8:$E$2008,"&gt;=01/09/"&amp;$G$3,Vendas!$E$8:$E$2008,"&lt;=30/09/"&amp;$G$3)+SUMIFS(Vendas!$AO$8:$AO$2008,Vendas!$AL$8:$AL$2008,$B16,Vendas!$E$8:$E$2008,"&gt;=01/09/"&amp;$G$3,Vendas!$E$8:$E$2008,"&lt;=30/09/"&amp;$G$3)+SUMIFS(Vendas!$AT$8:$AT$2008,Vendas!$AQ$8:$AQ$2008,$B16,Vendas!$E$8:$E$2008,"&gt;=01/09/"&amp;$G$3,Vendas!$E$8:$E$2008,"&lt;=30/09/"&amp;$G$3)</f>
        <v>0</v>
      </c>
      <c r="T16" s="162">
        <f>SUMIFS(Vendas!$K$8:$K$2008,Vendas!$H$8:$H$2008,$B16,Vendas!$E$8:$E$2008,"&gt;=01/09/"&amp;$G$3,Vendas!$E$8:$E$2008,"&lt;=30/09/"&amp;$G$3,Vendas!$C$8:$C$2008,"Entregue")+SUMIFS(Vendas!$P$8:$P$2008,Vendas!$M$8:$M$2008,$B16,Vendas!$E$8:$E$2008,"&gt;=01/09/"&amp;$G$3,Vendas!$E$8:$E$2008,"&lt;=30/09/"&amp;$G$3,Vendas!$C$8:$C$2008,"Entregue")+SUMIFS(Vendas!$U$8:$U$2008,Vendas!$R$8:$R$2008,$B16,Vendas!$E$8:$E$2008,"&gt;=01/09/"&amp;$G$3,Vendas!$E$8:$E$2008,"&lt;=30/09/"&amp;$G$3,Vendas!$C$8:$C$2008,"Entregue")+SUMIFS(Vendas!$Z$8:$Z$2008,Vendas!$W$8:$W$2008,$B16,Vendas!$E$8:$E$2008,"&gt;=01/09/"&amp;$G$3,Vendas!$E$8:$E$2008,"&lt;=30/09/"&amp;$G$3,Vendas!$C$8:$C$2008,"Entregue")+SUMIFS(Vendas!$AE$8:$AE$2008,Vendas!$AB$8:$AB$2008,$B16,Vendas!$E$8:$E$2008,"&gt;=01/09/"&amp;$G$3,Vendas!$E$8:$E$2008,"&lt;=30/09/"&amp;$G$3,Vendas!$C$8:$C$2008,"Entregue")+SUMIFS(Vendas!$AJ$8:$AJ$2008,Vendas!$AG$8:$AG$2008,$B16,Vendas!$E$8:$E$2008,"&gt;=01/09/"&amp;$G$3,Vendas!$E$8:$E$2008,"&lt;=30/09/"&amp;$G$3,Vendas!$C$8:$C$2008,"Entregue")+SUMIFS(Vendas!$AO$8:$AO$2008,Vendas!$AL$8:$AL$2008,$B16,Vendas!$E$8:$E$2008,"&gt;=01/09/"&amp;$G$3,Vendas!$E$8:$E$2008,"&lt;=30/09/"&amp;$G$3,Vendas!$C$8:$C$2008,"Entregue")+SUMIFS(Vendas!$AT$8:$AT$2008,Vendas!$AQ$8:$AQ$2008,$B16,Vendas!$E$8:$E$2008,"&gt;=01/09/"&amp;$G$3,Vendas!$E$8:$E$2008,"&lt;=30/09/"&amp;$G$3,Vendas!$C$8:$C$2008,"Entregue")</f>
        <v>0</v>
      </c>
      <c r="U16" s="162">
        <f>SUMIFS(Vendas!$K$8:$K$2008,Vendas!$H$8:$H$2008,$B16,Vendas!$E$8:$E$2008,"&gt;=01/10/"&amp;$G$3,Vendas!$E$8:$E$2008,"&lt;=31/10/"&amp;$G$3)+SUMIFS(Vendas!$P$8:$P$2008,Vendas!$M$8:$M$2008,$B16,Vendas!$E$8:$E$2008,"&gt;=01/10/"&amp;$G$3,Vendas!$E$8:$E$2008,"&lt;=31/10/"&amp;$G$3)+SUMIFS(Vendas!$U$8:$U$2008,Vendas!$R$8:$R$2008,$B16,Vendas!$E$8:$E$2008,"&gt;=01/10/"&amp;$G$3,Vendas!$E$8:$E$2008,"&lt;=31/10/"&amp;$G$3)+SUMIFS(Vendas!$Z$8:$Z$2008,Vendas!$W$8:$W$2008,$B16,Vendas!$E$8:$E$2008,"&gt;=01/10/"&amp;$G$3,Vendas!$E$8:$E$2008,"&lt;=31/10/"&amp;$G$3)+SUMIFS(Vendas!$AE$8:$AE$2008,Vendas!$AB$8:$AB$2008,$B16,Vendas!$E$8:$E$2008,"&gt;=01/10/"&amp;$G$3,Vendas!$E$8:$E$2008,"&lt;=31/10/"&amp;$G$3)+SUMIFS(Vendas!$AJ$8:$AJ$2008,Vendas!$AG$8:$AG$2008,$B16,Vendas!$E$8:$E$2008,"&gt;=01/10/"&amp;$G$3,Vendas!$E$8:$E$2008,"&lt;=31/10/"&amp;$G$3)+SUMIFS(Vendas!$AO$8:$AO$2008,Vendas!$AL$8:$AL$2008,$B16,Vendas!$E$8:$E$2008,"&gt;=01/10/"&amp;$G$3,Vendas!$E$8:$E$2008,"&lt;=31/10/"&amp;$G$3)+SUMIFS(Vendas!$AT$8:$AT$2008,Vendas!$AQ$8:$AQ$2008,$B16,Vendas!$E$8:$E$2008,"&gt;=01/10/"&amp;$G$3,Vendas!$E$8:$E$2008,"&lt;=31/10/"&amp;$G$3)</f>
        <v>0</v>
      </c>
      <c r="V16" s="162">
        <f>SUMIFS(Vendas!$K$8:$K$2008,Vendas!$H$8:$H$2008,$B16,Vendas!$E$8:$E$2008,"&gt;=01/10/"&amp;$G$3,Vendas!$E$8:$E$2008,"&lt;=31/10/"&amp;$G$3,Vendas!$C$8:$C$2008,"Entregue")+SUMIFS(Vendas!$P$8:$P$2008,Vendas!$M$8:$M$2008,$B16,Vendas!$E$8:$E$2008,"&gt;=01/10/"&amp;$G$3,Vendas!$E$8:$E$2008,"&lt;=31/10/"&amp;$G$3,Vendas!$C$8:$C$2008,"Entregue")+SUMIFS(Vendas!$U$8:$U$2008,Vendas!$R$8:$R$2008,$B16,Vendas!$E$8:$E$2008,"&gt;=01/10/"&amp;$G$3,Vendas!$E$8:$E$2008,"&lt;=31/10/"&amp;$G$3,Vendas!$C$8:$C$2008,"Entregue")+SUMIFS(Vendas!$Z$8:$Z$2008,Vendas!$W$8:$W$2008,$B16,Vendas!$E$8:$E$2008,"&gt;=01/10/"&amp;$G$3,Vendas!$E$8:$E$2008,"&lt;=31/10/"&amp;$G$3,Vendas!$C$8:$C$2008,"Entregue")+SUMIFS(Vendas!$AE$8:$AE$2008,Vendas!$AB$8:$AB$2008,$B16,Vendas!$E$8:$E$2008,"&gt;=01/10/"&amp;$G$3,Vendas!$E$8:$E$2008,"&lt;=31/10/"&amp;$G$3,Vendas!$C$8:$C$2008,"Entregue")+SUMIFS(Vendas!$AJ$8:$AJ$2008,Vendas!$AG$8:$AG$2008,$B16,Vendas!$E$8:$E$2008,"&gt;=01/10/"&amp;$G$3,Vendas!$E$8:$E$2008,"&lt;=31/10/"&amp;$G$3,Vendas!$C$8:$C$2008,"Entregue")+SUMIFS(Vendas!$AO$8:$AO$2008,Vendas!$AL$8:$AL$2008,$B16,Vendas!$E$8:$E$2008,"&gt;=01/10/"&amp;$G$3,Vendas!$E$8:$E$2008,"&lt;=31/10/"&amp;$G$3,Vendas!$C$8:$C$2008,"Entregue")+SUMIFS(Vendas!$AT$8:$AT$2008,Vendas!$AQ$8:$AQ$2008,$B16,Vendas!$E$8:$E$2008,"&gt;=01/10/"&amp;$G$3,Vendas!$E$8:$E$2008,"&lt;=31/10/"&amp;$G$3,Vendas!$C$8:$C$2008,"Entregue")</f>
        <v>0</v>
      </c>
      <c r="W16" s="162">
        <f>SUMIFS(Vendas!$K$8:$K$2008,Vendas!$H$8:$H$2008,$B16,Vendas!$E$8:$E$2008,"&gt;=01/11/"&amp;$G$3,Vendas!$E$8:$E$2008,"&lt;=30/11/"&amp;$G$3)+SUMIFS(Vendas!$P$8:$P$2008,Vendas!$M$8:$M$2008,$B16,Vendas!$E$8:$E$2008,"&gt;=01/11/"&amp;$G$3,Vendas!$E$8:$E$2008,"&lt;=30/11/"&amp;$G$3)+SUMIFS(Vendas!$U$8:$U$2008,Vendas!$R$8:$R$2008,$B16,Vendas!$E$8:$E$2008,"&gt;=01/11/"&amp;$G$3,Vendas!$E$8:$E$2008,"&lt;=30/11/"&amp;$G$3)+SUMIFS(Vendas!$Z$8:$Z$2008,Vendas!$W$8:$W$2008,$B16,Vendas!$E$8:$E$2008,"&gt;=01/11/"&amp;$G$3,Vendas!$E$8:$E$2008,"&lt;=30/11/"&amp;$G$3)+SUMIFS(Vendas!$AE$8:$AE$2008,Vendas!$AB$8:$AB$2008,$B16,Vendas!$E$8:$E$2008,"&gt;=01/11/"&amp;$G$3,Vendas!$E$8:$E$2008,"&lt;=30/11/"&amp;$G$3)+SUMIFS(Vendas!$AJ$8:$AJ$2008,Vendas!$AG$8:$AG$2008,$B16,Vendas!$E$8:$E$2008,"&gt;=01/11/"&amp;$G$3,Vendas!$E$8:$E$2008,"&lt;=30/11/"&amp;$G$3)+SUMIFS(Vendas!$AO$8:$AO$2008,Vendas!$AL$8:$AL$2008,$B16,Vendas!$E$8:$E$2008,"&gt;=01/11/"&amp;$G$3,Vendas!$E$8:$E$2008,"&lt;=30/11/"&amp;$G$3)+SUMIFS(Vendas!$AT$8:$AT$2008,Vendas!$AQ$8:$AQ$2008,$B16,Vendas!$E$8:$E$2008,"&gt;=01/11/"&amp;$G$3,Vendas!$E$8:$E$2008,"&lt;=30/11/"&amp;$G$3)</f>
        <v>0</v>
      </c>
      <c r="X16" s="162">
        <f>SUMIFS(Vendas!$K$8:$K$2008,Vendas!$H$8:$H$2008,$B16,Vendas!$E$8:$E$2008,"&gt;=01/11/"&amp;$G$3,Vendas!$E$8:$E$2008,"&lt;=30/11/"&amp;$G$3,Vendas!$C$8:$C$2008,"Entregue")+SUMIFS(Vendas!$P$8:$P$2008,Vendas!$M$8:$M$2008,$B16,Vendas!$E$8:$E$2008,"&gt;=01/11/"&amp;$G$3,Vendas!$E$8:$E$2008,"&lt;=30/11/"&amp;$G$3,Vendas!$C$8:$C$2008,"Entregue")+SUMIFS(Vendas!$U$8:$U$2008,Vendas!$R$8:$R$2008,$B16,Vendas!$E$8:$E$2008,"&gt;=01/11/"&amp;$G$3,Vendas!$E$8:$E$2008,"&lt;=30/11/"&amp;$G$3,Vendas!$C$8:$C$2008,"Entregue")+SUMIFS(Vendas!$Z$8:$Z$2008,Vendas!$W$8:$W$2008,$B16,Vendas!$E$8:$E$2008,"&gt;=01/11/"&amp;$G$3,Vendas!$E$8:$E$2008,"&lt;=30/11/"&amp;$G$3,Vendas!$C$8:$C$2008,"Entregue")+SUMIFS(Vendas!$AE$8:$AE$2008,Vendas!$AB$8:$AB$2008,$B16,Vendas!$E$8:$E$2008,"&gt;=01/11/"&amp;$G$3,Vendas!$E$8:$E$2008,"&lt;=30/11/"&amp;$G$3,Vendas!$C$8:$C$2008,"Entregue")+SUMIFS(Vendas!$AJ$8:$AJ$2008,Vendas!$AG$8:$AG$2008,$B16,Vendas!$E$8:$E$2008,"&gt;=01/11/"&amp;$G$3,Vendas!$E$8:$E$2008,"&lt;=30/11/"&amp;$G$3,Vendas!$C$8:$C$2008,"Entregue")+SUMIFS(Vendas!$AO$8:$AO$2008,Vendas!$AL$8:$AL$2008,$B16,Vendas!$E$8:$E$2008,"&gt;=01/11/"&amp;$G$3,Vendas!$E$8:$E$2008,"&lt;=30/11/"&amp;$G$3,Vendas!$C$8:$C$2008,"Entregue")+SUMIFS(Vendas!$AT$8:$AT$2008,Vendas!$AQ$8:$AQ$2008,$B16,Vendas!$E$8:$E$2008,"&gt;=01/11/"&amp;$G$3,Vendas!$E$8:$E$2008,"&lt;=30/11/"&amp;$G$3,Vendas!$C$8:$C$2008,"Entregue")</f>
        <v>0</v>
      </c>
      <c r="Y16" s="162">
        <f>SUMIFS(Vendas!$K$8:$K$2008,Vendas!$H$8:$H$2008,$B16,Vendas!$E$8:$E$2008,"&gt;=01/12/"&amp;$G$3,Vendas!$E$8:$E$2008,"&lt;=31/12/"&amp;$G$3)+SUMIFS(Vendas!$P$8:$P$2008,Vendas!$M$8:$M$2008,$B16,Vendas!$E$8:$E$2008,"&gt;=01/12/"&amp;$G$3,Vendas!$E$8:$E$2008,"&lt;=31/12/"&amp;$G$3)+SUMIFS(Vendas!$U$8:$U$2008,Vendas!$R$8:$R$2008,$B16,Vendas!$E$8:$E$2008,"&gt;=01/12/"&amp;$G$3,Vendas!$E$8:$E$2008,"&lt;=31/12/"&amp;$G$3)+SUMIFS(Vendas!$Z$8:$Z$2008,Vendas!$W$8:$W$2008,$B16,Vendas!$E$8:$E$2008,"&gt;=01/12/"&amp;$G$3,Vendas!$E$8:$E$2008,"&lt;=31/12/"&amp;$G$3)+SUMIFS(Vendas!$AE$8:$AE$2008,Vendas!$AB$8:$AB$2008,$B16,Vendas!$E$8:$E$2008,"&gt;=01/12/"&amp;$G$3,Vendas!$E$8:$E$2008,"&lt;=31/12/"&amp;$G$3)+SUMIFS(Vendas!$AJ$8:$AJ$2008,Vendas!$AG$8:$AG$2008,$B16,Vendas!$E$8:$E$2008,"&gt;=01/12/"&amp;$G$3,Vendas!$E$8:$E$2008,"&lt;=31/12/"&amp;$G$3)+SUMIFS(Vendas!$AO$8:$AO$2008,Vendas!$AL$8:$AL$2008,$B16,Vendas!$E$8:$E$2008,"&gt;=01/12/"&amp;$G$3,Vendas!$E$8:$E$2008,"&lt;=31/12/"&amp;$G$3)+SUMIFS(Vendas!$AT$8:$AT$2008,Vendas!$AQ$8:$AQ$2008,$B16,Vendas!$E$8:$E$2008,"&gt;=01/12/"&amp;$G$3,Vendas!$E$8:$E$2008,"&lt;=31/12/"&amp;$G$3)</f>
        <v>0</v>
      </c>
      <c r="Z16" s="163">
        <f>SUMIFS(Vendas!$K$8:$K$2008,Vendas!$H$8:$H$2008,$B16,Vendas!$E$8:$E$2008,"&gt;=01/12/"&amp;$G$3,Vendas!$E$8:$E$2008,"&lt;=31/12/"&amp;$G$3,Vendas!$C$8:$C$2008,"Entregue")+SUMIFS(Vendas!$P$8:$P$2008,Vendas!$M$8:$M$2008,$B16,Vendas!$E$8:$E$2008,"&gt;=01/12/"&amp;$G$3,Vendas!$E$8:$E$2008,"&lt;=31/12/"&amp;$G$3,Vendas!$C$8:$C$2008,"Entregue")+SUMIFS(Vendas!$U$8:$U$2008,Vendas!$R$8:$R$2008,$B16,Vendas!$E$8:$E$2008,"&gt;=01/12/"&amp;$G$3,Vendas!$E$8:$E$2008,"&lt;=31/12/"&amp;$G$3,Vendas!$C$8:$C$2008,"Entregue")+SUMIFS(Vendas!$Z$8:$Z$2008,Vendas!$W$8:$W$2008,$B16,Vendas!$E$8:$E$2008,"&gt;=01/12/"&amp;$G$3,Vendas!$E$8:$E$2008,"&lt;=31/12/"&amp;$G$3,Vendas!$C$8:$C$2008,"Entregue")+SUMIFS(Vendas!$AE$8:$AE$2008,Vendas!$AB$8:$AB$2008,$B16,Vendas!$E$8:$E$2008,"&gt;=01/12/"&amp;$G$3,Vendas!$E$8:$E$2008,"&lt;=31/12/"&amp;$G$3,Vendas!$C$8:$C$2008,"Entregue")+SUMIFS(Vendas!$AJ$8:$AJ$2008,Vendas!$AG$8:$AG$2008,$B16,Vendas!$E$8:$E$2008,"&gt;=01/12/"&amp;$G$3,Vendas!$E$8:$E$2008,"&lt;=31/12/"&amp;$G$3,Vendas!$C$8:$C$2008,"Entregue")+SUMIFS(Vendas!$AO$8:$AO$2008,Vendas!$AL$8:$AL$2008,$B16,Vendas!$E$8:$E$2008,"&gt;=01/12/"&amp;$G$3,Vendas!$E$8:$E$2008,"&lt;=31/12/"&amp;$G$3,Vendas!$C$8:$C$2008,"Entregue")+SUMIFS(Vendas!$AT$8:$AT$2008,Vendas!$AQ$8:$AQ$2008,$B16,Vendas!$E$8:$E$2008,"&gt;=01/12/"&amp;$G$3,Vendas!$E$8:$E$2008,"&lt;=31/12/"&amp;$G$3,Vendas!$C$8:$C$2008,"Entregue")</f>
        <v>0</v>
      </c>
      <c r="AA16" s="132">
        <f t="shared" si="0"/>
        <v>0</v>
      </c>
      <c r="AB16" s="132">
        <f t="shared" si="0"/>
        <v>0</v>
      </c>
      <c r="AC16" s="67"/>
    </row>
    <row r="17" spans="2:29" ht="14.4" x14ac:dyDescent="0.3">
      <c r="B17" s="262" t="str">
        <f>IF(Cadastros!D16="","",Cadastros!D16)</f>
        <v>10110 - Colchão Léctus 193 X 203 X 021 cm MVQ</v>
      </c>
      <c r="C17" s="158">
        <f>SUMIFS(Vendas!$K$8:$K$2008,Vendas!$H$8:$H$2008,$B17,Vendas!$E$8:$E$2008,"&gt;=01/01/"&amp;$G$3,Vendas!$E$8:$E$2008,"&lt;=31/01/"&amp;$G$3)+SUMIFS(Vendas!$P$8:$P$2008,Vendas!$M$8:$M$2008,$B17,Vendas!$E$8:$E$2008,"&gt;=01/01/"&amp;$G$3,Vendas!$E$8:$E$2008,"&lt;=31/01/"&amp;$G$3)+SUMIFS(Vendas!$U$8:$U$2008,Vendas!$R$8:$R$2008,$B17,Vendas!$E$8:$E$2008,"&gt;=01/01/"&amp;$G$3,Vendas!$E$8:$E$2008,"&lt;=31/01/"&amp;$G$3)+SUMIFS(Vendas!$Z$8:$Z$2008,Vendas!$W$8:$W$2008,$B17,Vendas!$E$8:$E$2008,"&gt;=01/01/"&amp;$G$3,Vendas!$E$8:$E$2008,"&lt;=31/01/"&amp;$G$3)+SUMIFS(Vendas!$AE$8:$AE$2008,Vendas!$AB$8:$AB$2008,$B17,Vendas!$E$8:$E$2008,"&gt;=01/01/"&amp;$G$3,Vendas!$E$8:$E$2008,"&lt;=31/01/"&amp;$G$3)+SUMIFS(Vendas!$AJ$8:$AJ$2008,Vendas!$AG$8:$AG$2008,$B17,Vendas!$E$8:$E$2008,"&gt;=01/01/"&amp;$G$3,Vendas!$E$8:$E$2008,"&lt;=31/01/"&amp;$G$3)+SUMIFS(Vendas!$AO$8:$AO$2008,Vendas!$AL$8:$AL$2008,$B17,Vendas!$E$8:$E$2008,"&gt;=01/01/"&amp;$G$3,Vendas!$E$8:$E$2008,"&lt;=31/01/"&amp;$G$3)+SUMIFS(Vendas!$AT$8:$AT$2008,Vendas!$AQ$8:$AQ$2008,$B17,Vendas!$E$8:$E$2008,"&gt;=01/01/"&amp;$G$3,Vendas!$E$8:$E$2008,"&lt;=31/01/"&amp;$G$3)</f>
        <v>0</v>
      </c>
      <c r="D17" s="159">
        <f>SUMIFS(Vendas!$K$8:$K$2008,Vendas!$H$8:$H$2008,$B17,Vendas!$E$8:$E$2008,"&gt;=01/01/"&amp;$G$3,Vendas!$E$8:$E$2008,"&lt;=31/01/"&amp;$G$3,Vendas!$C$8:$C$2008,"Entregue")+SUMIFS(Vendas!$P$8:$P$2008,Vendas!$M$8:$M$2008,$B17,Vendas!$E$8:$E$2008,"&gt;=01/01/"&amp;$G$3,Vendas!$E$8:$E$2008,"&lt;=31/01/"&amp;$G$3,Vendas!$C$8:$C$2008,"Entregue")+SUMIFS(Vendas!$U$8:$U$2008,Vendas!$R$8:$R$2008,$B17,Vendas!$E$8:$E$2008,"&gt;=01/01/"&amp;$G$3,Vendas!$E$8:$E$2008,"&lt;=31/01/"&amp;$G$3,Vendas!$C$8:$C$2008,"Entregue")+SUMIFS(Vendas!$Z$8:$Z$2008,Vendas!$W$8:$W$2008,$B17,Vendas!$E$8:$E$2008,"&gt;=01/01/"&amp;$G$3,Vendas!$E$8:$E$2008,"&lt;=31/01/"&amp;$G$3,Vendas!$C$8:$C$2008,"Entregue")+SUMIFS(Vendas!$AE$8:$AE$2008,Vendas!$AB$8:$AB$2008,$B17,Vendas!$E$8:$E$2008,"&gt;=01/01/"&amp;$G$3,Vendas!$E$8:$E$2008,"&lt;=31/01/"&amp;$G$3,Vendas!$C$8:$C$2008,"Entregue")+SUMIFS(Vendas!$AJ$8:$AJ$2008,Vendas!$AG$8:$AG$2008,$B17,Vendas!$E$8:$E$2008,"&gt;=01/01/"&amp;$G$3,Vendas!$E$8:$E$2008,"&lt;=31/01/"&amp;$G$3,Vendas!$C$8:$C$2008,"Entregue")+SUMIFS(Vendas!$AO$8:$AO$2008,Vendas!$AL$8:$AL$2008,$B17,Vendas!$E$8:$E$2008,"&gt;=01/01/"&amp;$G$3,Vendas!$E$8:$E$2008,"&lt;=31/01/"&amp;$G$3,Vendas!$C$8:$C$2008,"Entregue")+SUMIFS(Vendas!$AT$8:$AT$2008,Vendas!$AQ$8:$AQ$2008,$B17,Vendas!$E$8:$E$2008,"&gt;=01/01/"&amp;$G$3,Vendas!$E$8:$E$2008,"&lt;=31/01/"&amp;$G$3,Vendas!$C$8:$C$2008,"Entregue")</f>
        <v>0</v>
      </c>
      <c r="E17" s="159">
        <f>SUMIFS(Vendas!$K$8:$K$2008,Vendas!$H$8:$H$2008,$B17,Vendas!$E$8:$E$2008,"&gt;=01/02/"&amp;$G$3,Vendas!$E$8:$E$2008,"&lt;=28/02/"&amp;$G$3)+SUMIFS(Vendas!$P$8:$P$2008,Vendas!$M$8:$M$2008,$B17,Vendas!$E$8:$E$2008,"&gt;=01/02/"&amp;$G$3,Vendas!$E$8:$E$2008,"&lt;=28/02/"&amp;$G$3)+SUMIFS(Vendas!$U$8:$U$2008,Vendas!$R$8:$R$2008,$B17,Vendas!$E$8:$E$2008,"&gt;=01/02/"&amp;$G$3,Vendas!$E$8:$E$2008,"&lt;=28/02/"&amp;$G$3)+SUMIFS(Vendas!$Z$8:$Z$2008,Vendas!$W$8:$W$2008,$B17,Vendas!$E$8:$E$2008,"&gt;=01/02/"&amp;$G$3,Vendas!$E$8:$E$2008,"&lt;=28/02/"&amp;$G$3)+SUMIFS(Vendas!$AE$8:$AE$2008,Vendas!$AB$8:$AB$2008,$B17,Vendas!$E$8:$E$2008,"&gt;=01/02/"&amp;$G$3,Vendas!$E$8:$E$2008,"&lt;=28/02/"&amp;$G$3)+SUMIFS(Vendas!$AJ$8:$AJ$2008,Vendas!$AG$8:$AG$2008,$B17,Vendas!$E$8:$E$2008,"&gt;=01/02/"&amp;$G$3,Vendas!$E$8:$E$2008,"&lt;=28/02/"&amp;$G$3)+SUMIFS(Vendas!$AO$8:$AO$2008,Vendas!$AL$8:$AL$2008,$B17,Vendas!$E$8:$E$2008,"&gt;=01/02/"&amp;$G$3,Vendas!$E$8:$E$2008,"&lt;=28/02/"&amp;$G$3)+SUMIFS(Vendas!$AT$8:$AT$2008,Vendas!$AQ$8:$AQ$2008,$B17,Vendas!$E$8:$E$2008,"&gt;=01/02/"&amp;$G$3,Vendas!$E$8:$E$2008,"&lt;=28/02/"&amp;$G$3)</f>
        <v>0</v>
      </c>
      <c r="F17" s="159">
        <f>SUMIFS(Vendas!$K$8:$K$2008,Vendas!$H$8:$H$2008,$B17,Vendas!$E$8:$E$2008,"&gt;=01/02/"&amp;$G$3,Vendas!$E$8:$E$2008,"&lt;=28/02/"&amp;$G$3,Vendas!$C$8:$C$2008,"Entregue")+SUMIFS(Vendas!$P$8:$P$2008,Vendas!$M$8:$M$2008,$B17,Vendas!$E$8:$E$2008,"&gt;=01/02/"&amp;$G$3,Vendas!$E$8:$E$2008,"&lt;=28/02/"&amp;$G$3,Vendas!$C$8:$C$2008,"Entregue")+SUMIFS(Vendas!$U$8:$U$2008,Vendas!$R$8:$R$2008,$B17,Vendas!$E$8:$E$2008,"&gt;=01/02/"&amp;$G$3,Vendas!$E$8:$E$2008,"&lt;=28/02/"&amp;$G$3,Vendas!$C$8:$C$2008,"Entregue")+SUMIFS(Vendas!$Z$8:$Z$2008,Vendas!$W$8:$W$2008,$B17,Vendas!$E$8:$E$2008,"&gt;=01/02/"&amp;$G$3,Vendas!$E$8:$E$2008,"&lt;=28/02/"&amp;$G$3,Vendas!$C$8:$C$2008,"Entregue")+SUMIFS(Vendas!$AE$8:$AE$2008,Vendas!$AB$8:$AB$2008,$B17,Vendas!$E$8:$E$2008,"&gt;=01/02/"&amp;$G$3,Vendas!$E$8:$E$2008,"&lt;=28/02/"&amp;$G$3,Vendas!$C$8:$C$2008,"Entregue")+SUMIFS(Vendas!$AJ$8:$AJ$2008,Vendas!$AG$8:$AG$2008,$B17,Vendas!$E$8:$E$2008,"&gt;=01/02/"&amp;$G$3,Vendas!$E$8:$E$2008,"&lt;=28/02/"&amp;$G$3,Vendas!$C$8:$C$2008,"Entregue")+SUMIFS(Vendas!$AO$8:$AO$2008,Vendas!$AL$8:$AL$2008,$B17,Vendas!$E$8:$E$2008,"&gt;=01/02/"&amp;$G$3,Vendas!$E$8:$E$2008,"&lt;=28/02/"&amp;$G$3,Vendas!$C$8:$C$2008,"Entregue")+SUMIFS(Vendas!$AT$8:$AT$2008,Vendas!$AQ$8:$AQ$2008,$B17,Vendas!$E$8:$E$2008,"&gt;=01/02/"&amp;$G$3,Vendas!$E$8:$E$2008,"&lt;=28/02/"&amp;$G$3,Vendas!$C$8:$C$2008,"Entregue")</f>
        <v>0</v>
      </c>
      <c r="G17" s="159">
        <f>SUMIFS(Vendas!$K$8:$K$2008,Vendas!$H$8:$H$2008,$B17,Vendas!$E$8:$E$2008,"&gt;=01/03/"&amp;$G$3,Vendas!$E$8:$E$2008,"&lt;=31/03/"&amp;$G$3)+SUMIFS(Vendas!$P$8:$P$2008,Vendas!$M$8:$M$2008,$B17,Vendas!$E$8:$E$2008,"&gt;=01/03/"&amp;$G$3,Vendas!$E$8:$E$2008,"&lt;=31/03/"&amp;$G$3)+SUMIFS(Vendas!$U$8:$U$2008,Vendas!$R$8:$R$2008,$B17,Vendas!$E$8:$E$2008,"&gt;=01/03/"&amp;$G$3,Vendas!$E$8:$E$2008,"&lt;=31/03/"&amp;$G$3)+SUMIFS(Vendas!$Z$8:$Z$2008,Vendas!$W$8:$W$2008,$B17,Vendas!$E$8:$E$2008,"&gt;=01/03/"&amp;$G$3,Vendas!$E$8:$E$2008,"&lt;=31/03/"&amp;$G$3)+SUMIFS(Vendas!$AE$8:$AE$2008,Vendas!$AB$8:$AB$2008,$B17,Vendas!$E$8:$E$2008,"&gt;=01/03/"&amp;$G$3,Vendas!$E$8:$E$2008,"&lt;=31/03/"&amp;$G$3)+SUMIFS(Vendas!$AJ$8:$AJ$2008,Vendas!$AG$8:$AG$2008,$B17,Vendas!$E$8:$E$2008,"&gt;=01/03/"&amp;$G$3,Vendas!$E$8:$E$2008,"&lt;=31/03/"&amp;$G$3)+SUMIFS(Vendas!$AO$8:$AO$2008,Vendas!$AL$8:$AL$2008,$B17,Vendas!$E$8:$E$2008,"&gt;=01/03/"&amp;$G$3,Vendas!$E$8:$E$2008,"&lt;=31/03/"&amp;$G$3)+SUMIFS(Vendas!$AT$8:$AT$2008,Vendas!$AQ$8:$AQ$2008,$B17,Vendas!$E$8:$E$2008,"&gt;=01/03/"&amp;$G$3,Vendas!$E$8:$E$2008,"&lt;=31/03/"&amp;$G$3)</f>
        <v>0</v>
      </c>
      <c r="H17" s="159">
        <f>SUMIFS(Vendas!$K$8:$K$2008,Vendas!$H$8:$H$2008,$B17,Vendas!$E$8:$E$2008,"&gt;=01/03/"&amp;$G$3,Vendas!$E$8:$E$2008,"&lt;=31/03/"&amp;$G$3,Vendas!$C$8:$C$2008,"Entregue")+SUMIFS(Vendas!$P$8:$P$2008,Vendas!$M$8:$M$2008,$B17,Vendas!$E$8:$E$2008,"&gt;=01/03/"&amp;$G$3,Vendas!$E$8:$E$2008,"&lt;=31/03/"&amp;$G$3,Vendas!$C$8:$C$2008,"Entregue")+SUMIFS(Vendas!$U$8:$U$2008,Vendas!$R$8:$R$2008,$B17,Vendas!$E$8:$E$2008,"&gt;=01/03/"&amp;$G$3,Vendas!$E$8:$E$2008,"&lt;=31/03/"&amp;$G$3,Vendas!$C$8:$C$2008,"Entregue")+SUMIFS(Vendas!$Z$8:$Z$2008,Vendas!$W$8:$W$2008,$B17,Vendas!$E$8:$E$2008,"&gt;=01/03/"&amp;$G$3,Vendas!$E$8:$E$2008,"&lt;=31/03/"&amp;$G$3,Vendas!$C$8:$C$2008,"Entregue")+SUMIFS(Vendas!$AE$8:$AE$2008,Vendas!$AB$8:$AB$2008,$B17,Vendas!$E$8:$E$2008,"&gt;=01/03/"&amp;$G$3,Vendas!$E$8:$E$2008,"&lt;=31/03/"&amp;$G$3,Vendas!$C$8:$C$2008,"Entregue")+SUMIFS(Vendas!$AJ$8:$AJ$2008,Vendas!$AG$8:$AG$2008,$B17,Vendas!$E$8:$E$2008,"&gt;=01/03/"&amp;$G$3,Vendas!$E$8:$E$2008,"&lt;=31/03/"&amp;$G$3,Vendas!$C$8:$C$2008,"Entregue")+SUMIFS(Vendas!$AO$8:$AO$2008,Vendas!$AL$8:$AL$2008,$B17,Vendas!$E$8:$E$2008,"&gt;=01/03/"&amp;$G$3,Vendas!$E$8:$E$2008,"&lt;=31/03/"&amp;$G$3,Vendas!$C$8:$C$2008,"Entregue")+SUMIFS(Vendas!$AT$8:$AT$2008,Vendas!$AQ$8:$AQ$2008,$B17,Vendas!$E$8:$E$2008,"&gt;=01/03/"&amp;$G$3,Vendas!$E$8:$E$2008,"&lt;=31/03/"&amp;$G$3,Vendas!$C$8:$C$2008,"Entregue")</f>
        <v>0</v>
      </c>
      <c r="I17" s="159">
        <f>SUMIFS(Vendas!$K$8:$K$2008,Vendas!$H$8:$H$2008,$B17,Vendas!$E$8:$E$2008,"&gt;=01/04/"&amp;$G$3,Vendas!$E$8:$E$2008,"&lt;=30/04/"&amp;$G$3)+SUMIFS(Vendas!$P$8:$P$2008,Vendas!$M$8:$M$2008,$B17,Vendas!$E$8:$E$2008,"&gt;=01/04/"&amp;$G$3,Vendas!$E$8:$E$2008,"&lt;=30/04/"&amp;$G$3)+SUMIFS(Vendas!$U$8:$U$2008,Vendas!$R$8:$R$2008,$B17,Vendas!$E$8:$E$2008,"&gt;=01/04/"&amp;$G$3,Vendas!$E$8:$E$2008,"&lt;=30/04/"&amp;$G$3)+SUMIFS(Vendas!$Z$8:$Z$2008,Vendas!$W$8:$W$2008,$B17,Vendas!$E$8:$E$2008,"&gt;=01/04/"&amp;$G$3,Vendas!$E$8:$E$2008,"&lt;=30/04/"&amp;$G$3)+SUMIFS(Vendas!$AE$8:$AE$2008,Vendas!$AB$8:$AB$2008,$B17,Vendas!$E$8:$E$2008,"&gt;=01/04/"&amp;$G$3,Vendas!$E$8:$E$2008,"&lt;=30/04/"&amp;$G$3)+SUMIFS(Vendas!$AJ$8:$AJ$2008,Vendas!$AG$8:$AG$2008,$B17,Vendas!$E$8:$E$2008,"&gt;=01/04/"&amp;$G$3,Vendas!$E$8:$E$2008,"&lt;=30/04/"&amp;$G$3)+SUMIFS(Vendas!$AO$8:$AO$2008,Vendas!$AL$8:$AL$2008,$B17,Vendas!$E$8:$E$2008,"&gt;=01/04/"&amp;$G$3,Vendas!$E$8:$E$2008,"&lt;=30/04/"&amp;$G$3)+SUMIFS(Vendas!$AT$8:$AT$2008,Vendas!$AQ$8:$AQ$2008,$B17,Vendas!$E$8:$E$2008,"&gt;=01/04/"&amp;$G$3,Vendas!$E$8:$E$2008,"&lt;=30/04/"&amp;$G$3)</f>
        <v>0</v>
      </c>
      <c r="J17" s="159">
        <f>SUMIFS(Vendas!$K$8:$K$2008,Vendas!$H$8:$H$2008,$B17,Vendas!$E$8:$E$2008,"&gt;=01/04/"&amp;$G$3,Vendas!$E$8:$E$2008,"&lt;=30/04/"&amp;$G$3,Vendas!$C$8:$C$2008,"Entregue")+SUMIFS(Vendas!$P$8:$P$2008,Vendas!$M$8:$M$2008,$B17,Vendas!$E$8:$E$2008,"&gt;=01/04/"&amp;$G$3,Vendas!$E$8:$E$2008,"&lt;=30/04/"&amp;$G$3,Vendas!$C$8:$C$2008,"Entregue")+SUMIFS(Vendas!$U$8:$U$2008,Vendas!$R$8:$R$2008,$B17,Vendas!$E$8:$E$2008,"&gt;=01/04/"&amp;$G$3,Vendas!$E$8:$E$2008,"&lt;=30/04/"&amp;$G$3,Vendas!$C$8:$C$2008,"Entregue")+SUMIFS(Vendas!$Z$8:$Z$2008,Vendas!$W$8:$W$2008,$B17,Vendas!$E$8:$E$2008,"&gt;=01/04/"&amp;$G$3,Vendas!$E$8:$E$2008,"&lt;=30/04/"&amp;$G$3,Vendas!$C$8:$C$2008,"Entregue")+SUMIFS(Vendas!$AE$8:$AE$2008,Vendas!$AB$8:$AB$2008,$B17,Vendas!$E$8:$E$2008,"&gt;=01/04/"&amp;$G$3,Vendas!$E$8:$E$2008,"&lt;=30/04/"&amp;$G$3,Vendas!$C$8:$C$2008,"Entregue")+SUMIFS(Vendas!$AJ$8:$AJ$2008,Vendas!$AG$8:$AG$2008,$B17,Vendas!$E$8:$E$2008,"&gt;=01/04/"&amp;$G$3,Vendas!$E$8:$E$2008,"&lt;=30/04/"&amp;$G$3,Vendas!$C$8:$C$2008,"Entregue")+SUMIFS(Vendas!$AO$8:$AO$2008,Vendas!$AL$8:$AL$2008,$B17,Vendas!$E$8:$E$2008,"&gt;=01/04/"&amp;$G$3,Vendas!$E$8:$E$2008,"&lt;=30/04/"&amp;$G$3,Vendas!$C$8:$C$2008,"Entregue")+SUMIFS(Vendas!$AT$8:$AT$2008,Vendas!$AQ$8:$AQ$2008,$B17,Vendas!$E$8:$E$2008,"&gt;=01/04/"&amp;$G$3,Vendas!$E$8:$E$2008,"&lt;=30/04/"&amp;$G$3,Vendas!$C$8:$C$2008,"Entregue")</f>
        <v>0</v>
      </c>
      <c r="K17" s="159">
        <f>SUMIFS(Vendas!$K$8:$K$2008,Vendas!$H$8:$H$2008,$B17,Vendas!$E$8:$E$2008,"&gt;=01/05/"&amp;$G$3,Vendas!$E$8:$E$2008,"&lt;=31/05/"&amp;$G$3)+SUMIFS(Vendas!$P$8:$P$2008,Vendas!$M$8:$M$2008,$B17,Vendas!$E$8:$E$2008,"&gt;=01/05/"&amp;$G$3,Vendas!$E$8:$E$2008,"&lt;=31/05/"&amp;$G$3)+SUMIFS(Vendas!$U$8:$U$2008,Vendas!$R$8:$R$2008,$B17,Vendas!$E$8:$E$2008,"&gt;=01/05/"&amp;$G$3,Vendas!$E$8:$E$2008,"&lt;=31/05/"&amp;$G$3)+SUMIFS(Vendas!$Z$8:$Z$2008,Vendas!$W$8:$W$2008,$B17,Vendas!$E$8:$E$2008,"&gt;=01/05/"&amp;$G$3,Vendas!$E$8:$E$2008,"&lt;=31/05/"&amp;$G$3)+SUMIFS(Vendas!$AE$8:$AE$2008,Vendas!$AB$8:$AB$2008,$B17,Vendas!$E$8:$E$2008,"&gt;=01/05/"&amp;$G$3,Vendas!$E$8:$E$2008,"&lt;=31/05/"&amp;$G$3)+SUMIFS(Vendas!$AJ$8:$AJ$2008,Vendas!$AG$8:$AG$2008,$B17,Vendas!$E$8:$E$2008,"&gt;=01/05/"&amp;$G$3,Vendas!$E$8:$E$2008,"&lt;=31/05/"&amp;$G$3)+SUMIFS(Vendas!$AO$8:$AO$2008,Vendas!$AL$8:$AL$2008,$B17,Vendas!$E$8:$E$2008,"&gt;=01/05/"&amp;$G$3,Vendas!$E$8:$E$2008,"&lt;=31/05/"&amp;$G$3)+SUMIFS(Vendas!$AT$8:$AT$2008,Vendas!$AQ$8:$AQ$2008,$B17,Vendas!$E$8:$E$2008,"&gt;=01/05/"&amp;$G$3,Vendas!$E$8:$E$2008,"&lt;=31/05/"&amp;$G$3)</f>
        <v>0</v>
      </c>
      <c r="L17" s="159">
        <f>SUMIFS(Vendas!$K$8:$K$2008,Vendas!$H$8:$H$2008,$B17,Vendas!$E$8:$E$2008,"&gt;=01/05/"&amp;$G$3,Vendas!$E$8:$E$2008,"&lt;=31/05/"&amp;$G$3,Vendas!$C$8:$C$2008,"Entregue")+SUMIFS(Vendas!$P$8:$P$2008,Vendas!$M$8:$M$2008,$B17,Vendas!$E$8:$E$2008,"&gt;=01/05/"&amp;$G$3,Vendas!$E$8:$E$2008,"&lt;=31/05/"&amp;$G$3,Vendas!$C$8:$C$2008,"Entregue")+SUMIFS(Vendas!$U$8:$U$2008,Vendas!$R$8:$R$2008,$B17,Vendas!$E$8:$E$2008,"&gt;=01/05/"&amp;$G$3,Vendas!$E$8:$E$2008,"&lt;=31/05/"&amp;$G$3,Vendas!$C$8:$C$2008,"Entregue")+SUMIFS(Vendas!$Z$8:$Z$2008,Vendas!$W$8:$W$2008,$B17,Vendas!$E$8:$E$2008,"&gt;=01/05/"&amp;$G$3,Vendas!$E$8:$E$2008,"&lt;=31/05/"&amp;$G$3,Vendas!$C$8:$C$2008,"Entregue")+SUMIFS(Vendas!$AE$8:$AE$2008,Vendas!$AB$8:$AB$2008,$B17,Vendas!$E$8:$E$2008,"&gt;=01/05/"&amp;$G$3,Vendas!$E$8:$E$2008,"&lt;=31/05/"&amp;$G$3,Vendas!$C$8:$C$2008,"Entregue")+SUMIFS(Vendas!$AJ$8:$AJ$2008,Vendas!$AG$8:$AG$2008,$B17,Vendas!$E$8:$E$2008,"&gt;=01/05/"&amp;$G$3,Vendas!$E$8:$E$2008,"&lt;=31/05/"&amp;$G$3,Vendas!$C$8:$C$2008,"Entregue")+SUMIFS(Vendas!$AO$8:$AO$2008,Vendas!$AL$8:$AL$2008,$B17,Vendas!$E$8:$E$2008,"&gt;=01/05/"&amp;$G$3,Vendas!$E$8:$E$2008,"&lt;=31/05/"&amp;$G$3,Vendas!$C$8:$C$2008,"Entregue")+SUMIFS(Vendas!$AT$8:$AT$2008,Vendas!$AQ$8:$AQ$2008,$B17,Vendas!$E$8:$E$2008,"&gt;=01/05/"&amp;$G$3,Vendas!$E$8:$E$2008,"&lt;=31/05/"&amp;$G$3,Vendas!$C$8:$C$2008,"Entregue")</f>
        <v>0</v>
      </c>
      <c r="M17" s="159">
        <f>SUMIFS(Vendas!$K$8:$K$2008,Vendas!$H$8:$H$2008,$B17,Vendas!$E$8:$E$2008,"&gt;=01/06/"&amp;$G$3,Vendas!$E$8:$E$2008,"&lt;=30/06/"&amp;$G$3)+SUMIFS(Vendas!$P$8:$P$2008,Vendas!$M$8:$M$2008,$B17,Vendas!$E$8:$E$2008,"&gt;=01/06/"&amp;$G$3,Vendas!$E$8:$E$2008,"&lt;=30/06/"&amp;$G$3)+SUMIFS(Vendas!$U$8:$U$2008,Vendas!$R$8:$R$2008,$B17,Vendas!$E$8:$E$2008,"&gt;=01/06/"&amp;$G$3,Vendas!$E$8:$E$2008,"&lt;=30/06/"&amp;$G$3)+SUMIFS(Vendas!$Z$8:$Z$2008,Vendas!$W$8:$W$2008,$B17,Vendas!$E$8:$E$2008,"&gt;=01/06/"&amp;$G$3,Vendas!$E$8:$E$2008,"&lt;=30/06/"&amp;$G$3)+SUMIFS(Vendas!$AE$8:$AE$2008,Vendas!$AB$8:$AB$2008,$B17,Vendas!$E$8:$E$2008,"&gt;=01/06/"&amp;$G$3,Vendas!$E$8:$E$2008,"&lt;=30/06/"&amp;$G$3)+SUMIFS(Vendas!$AJ$8:$AJ$2008,Vendas!$AG$8:$AG$2008,$B17,Vendas!$E$8:$E$2008,"&gt;=01/06/"&amp;$G$3,Vendas!$E$8:$E$2008,"&lt;=30/06/"&amp;$G$3)+SUMIFS(Vendas!$AO$8:$AO$2008,Vendas!$AL$8:$AL$2008,$B17,Vendas!$E$8:$E$2008,"&gt;=01/06/"&amp;$G$3,Vendas!$E$8:$E$2008,"&lt;=30/06/"&amp;$G$3)+SUMIFS(Vendas!$AT$8:$AT$2008,Vendas!$AQ$8:$AQ$2008,$B17,Vendas!$E$8:$E$2008,"&gt;=01/06/"&amp;$G$3,Vendas!$E$8:$E$2008,"&lt;=30/06/"&amp;$G$3)</f>
        <v>0</v>
      </c>
      <c r="N17" s="159">
        <f>SUMIFS(Vendas!$K$8:$K$2008,Vendas!$H$8:$H$2008,$B17,Vendas!$E$8:$E$2008,"&gt;=01/06/"&amp;$G$3,Vendas!$E$8:$E$2008,"&lt;=30/06/"&amp;$G$3,Vendas!$C$8:$C$2008,"Entregue")+SUMIFS(Vendas!$P$8:$P$2008,Vendas!$M$8:$M$2008,$B17,Vendas!$E$8:$E$2008,"&gt;=01/06/"&amp;$G$3,Vendas!$E$8:$E$2008,"&lt;=30/06/"&amp;$G$3,Vendas!$C$8:$C$2008,"Entregue")+SUMIFS(Vendas!$U$8:$U$2008,Vendas!$R$8:$R$2008,$B17,Vendas!$E$8:$E$2008,"&gt;=01/06/"&amp;$G$3,Vendas!$E$8:$E$2008,"&lt;=30/06/"&amp;$G$3,Vendas!$C$8:$C$2008,"Entregue")+SUMIFS(Vendas!$Z$8:$Z$2008,Vendas!$W$8:$W$2008,$B17,Vendas!$E$8:$E$2008,"&gt;=01/06/"&amp;$G$3,Vendas!$E$8:$E$2008,"&lt;=30/06/"&amp;$G$3,Vendas!$C$8:$C$2008,"Entregue")+SUMIFS(Vendas!$AE$8:$AE$2008,Vendas!$AB$8:$AB$2008,$B17,Vendas!$E$8:$E$2008,"&gt;=01/06/"&amp;$G$3,Vendas!$E$8:$E$2008,"&lt;=30/06/"&amp;$G$3,Vendas!$C$8:$C$2008,"Entregue")+SUMIFS(Vendas!$AJ$8:$AJ$2008,Vendas!$AG$8:$AG$2008,$B17,Vendas!$E$8:$E$2008,"&gt;=01/06/"&amp;$G$3,Vendas!$E$8:$E$2008,"&lt;=30/06/"&amp;$G$3,Vendas!$C$8:$C$2008,"Entregue")+SUMIFS(Vendas!$AO$8:$AO$2008,Vendas!$AL$8:$AL$2008,$B17,Vendas!$E$8:$E$2008,"&gt;=01/06/"&amp;$G$3,Vendas!$E$8:$E$2008,"&lt;=30/06/"&amp;$G$3,Vendas!$C$8:$C$2008,"Entregue")+SUMIFS(Vendas!$AT$8:$AT$2008,Vendas!$AQ$8:$AQ$2008,$B17,Vendas!$E$8:$E$2008,"&gt;=01/06/"&amp;$G$3,Vendas!$E$8:$E$2008,"&lt;=30/06/"&amp;$G$3,Vendas!$C$8:$C$2008,"Entregue")</f>
        <v>0</v>
      </c>
      <c r="O17" s="159">
        <f>SUMIFS(Vendas!$K$8:$K$2008,Vendas!$H$8:$H$2008,$B17,Vendas!$E$8:$E$2008,"&gt;=01/07/"&amp;$G$3,Vendas!$E$8:$E$2008,"&lt;=31/07/"&amp;$G$3)+SUMIFS(Vendas!$P$8:$P$2008,Vendas!$M$8:$M$2008,$B17,Vendas!$E$8:$E$2008,"&gt;=01/07/"&amp;$G$3,Vendas!$E$8:$E$2008,"&lt;=31/07/"&amp;$G$3)+SUMIFS(Vendas!$U$8:$U$2008,Vendas!$R$8:$R$2008,$B17,Vendas!$E$8:$E$2008,"&gt;=01/07/"&amp;$G$3,Vendas!$E$8:$E$2008,"&lt;=31/07/"&amp;$G$3)+SUMIFS(Vendas!$Z$8:$Z$2008,Vendas!$W$8:$W$2008,$B17,Vendas!$E$8:$E$2008,"&gt;=01/07/"&amp;$G$3,Vendas!$E$8:$E$2008,"&lt;=31/07/"&amp;$G$3)+SUMIFS(Vendas!$AE$8:$AE$2008,Vendas!$AB$8:$AB$2008,$B17,Vendas!$E$8:$E$2008,"&gt;=01/07/"&amp;$G$3,Vendas!$E$8:$E$2008,"&lt;=31/07/"&amp;$G$3)+SUMIFS(Vendas!$AJ$8:$AJ$2008,Vendas!$AG$8:$AG$2008,$B17,Vendas!$E$8:$E$2008,"&gt;=01/07/"&amp;$G$3,Vendas!$E$8:$E$2008,"&lt;=31/07/"&amp;$G$3)+SUMIFS(Vendas!$AO$8:$AO$2008,Vendas!$AL$8:$AL$2008,$B17,Vendas!$E$8:$E$2008,"&gt;=01/07/"&amp;$G$3,Vendas!$E$8:$E$2008,"&lt;=31/07/"&amp;$G$3)+SUMIFS(Vendas!$AT$8:$AT$2008,Vendas!$AQ$8:$AQ$2008,$B17,Vendas!$E$8:$E$2008,"&gt;=01/07/"&amp;$G$3,Vendas!$E$8:$E$2008,"&lt;=31/07/"&amp;$G$3)</f>
        <v>0</v>
      </c>
      <c r="P17" s="159">
        <f>SUMIFS(Vendas!$K$8:$K$2008,Vendas!$H$8:$H$2008,$B17,Vendas!$E$8:$E$2008,"&gt;=01/07/"&amp;$G$3,Vendas!$E$8:$E$2008,"&lt;=31/07/"&amp;$G$3,Vendas!$C$8:$C$2008,"Entregue")+SUMIFS(Vendas!$P$8:$P$2008,Vendas!$M$8:$M$2008,$B17,Vendas!$E$8:$E$2008,"&gt;=01/07/"&amp;$G$3,Vendas!$E$8:$E$2008,"&lt;=31/07/"&amp;$G$3,Vendas!$C$8:$C$2008,"Entregue")+SUMIFS(Vendas!$U$8:$U$2008,Vendas!$R$8:$R$2008,$B17,Vendas!$E$8:$E$2008,"&gt;=01/07/"&amp;$G$3,Vendas!$E$8:$E$2008,"&lt;=31/07/"&amp;$G$3,Vendas!$C$8:$C$2008,"Entregue")+SUMIFS(Vendas!$Z$8:$Z$2008,Vendas!$W$8:$W$2008,$B17,Vendas!$E$8:$E$2008,"&gt;=01/07/"&amp;$G$3,Vendas!$E$8:$E$2008,"&lt;=31/07/"&amp;$G$3,Vendas!$C$8:$C$2008,"Entregue")+SUMIFS(Vendas!$AE$8:$AE$2008,Vendas!$AB$8:$AB$2008,$B17,Vendas!$E$8:$E$2008,"&gt;=01/07/"&amp;$G$3,Vendas!$E$8:$E$2008,"&lt;=31/07/"&amp;$G$3,Vendas!$C$8:$C$2008,"Entregue")+SUMIFS(Vendas!$AJ$8:$AJ$2008,Vendas!$AG$8:$AG$2008,$B17,Vendas!$E$8:$E$2008,"&gt;=01/07/"&amp;$G$3,Vendas!$E$8:$E$2008,"&lt;=31/07/"&amp;$G$3,Vendas!$C$8:$C$2008,"Entregue")+SUMIFS(Vendas!$AO$8:$AO$2008,Vendas!$AL$8:$AL$2008,$B17,Vendas!$E$8:$E$2008,"&gt;=01/07/"&amp;$G$3,Vendas!$E$8:$E$2008,"&lt;=31/07/"&amp;$G$3,Vendas!$C$8:$C$2008,"Entregue")+SUMIFS(Vendas!$AT$8:$AT$2008,Vendas!$AQ$8:$AQ$2008,$B17,Vendas!$E$8:$E$2008,"&gt;=01/07/"&amp;$G$3,Vendas!$E$8:$E$2008,"&lt;=31/07/"&amp;$G$3,Vendas!$C$8:$C$2008,"Entregue")</f>
        <v>0</v>
      </c>
      <c r="Q17" s="159">
        <f>SUMIFS(Vendas!$K$8:$K$2008,Vendas!$H$8:$H$2008,$B17,Vendas!$E$8:$E$2008,"&gt;=01/08/"&amp;$G$3,Vendas!$E$8:$E$2008,"&lt;=31/08/"&amp;$G$3)+SUMIFS(Vendas!$P$8:$P$2008,Vendas!$M$8:$M$2008,$B17,Vendas!$E$8:$E$2008,"&gt;=01/08/"&amp;$G$3,Vendas!$E$8:$E$2008,"&lt;=31/08/"&amp;$G$3)+SUMIFS(Vendas!$U$8:$U$2008,Vendas!$R$8:$R$2008,$B17,Vendas!$E$8:$E$2008,"&gt;=01/08/"&amp;$G$3,Vendas!$E$8:$E$2008,"&lt;=31/08/"&amp;$G$3)+SUMIFS(Vendas!$Z$8:$Z$2008,Vendas!$W$8:$W$2008,$B17,Vendas!$E$8:$E$2008,"&gt;=01/08/"&amp;$G$3,Vendas!$E$8:$E$2008,"&lt;=31/08/"&amp;$G$3)+SUMIFS(Vendas!$AE$8:$AE$2008,Vendas!$AB$8:$AB$2008,$B17,Vendas!$E$8:$E$2008,"&gt;=01/08/"&amp;$G$3,Vendas!$E$8:$E$2008,"&lt;=31/08/"&amp;$G$3)+SUMIFS(Vendas!$AJ$8:$AJ$2008,Vendas!$AG$8:$AG$2008,$B17,Vendas!$E$8:$E$2008,"&gt;=01/08/"&amp;$G$3,Vendas!$E$8:$E$2008,"&lt;=31/08/"&amp;$G$3)+SUMIFS(Vendas!$AO$8:$AO$2008,Vendas!$AL$8:$AL$2008,$B17,Vendas!$E$8:$E$2008,"&gt;=01/08/"&amp;$G$3,Vendas!$E$8:$E$2008,"&lt;=31/08/"&amp;$G$3)+SUMIFS(Vendas!$AT$8:$AT$2008,Vendas!$AQ$8:$AQ$2008,$B17,Vendas!$E$8:$E$2008,"&gt;=01/08/"&amp;$G$3,Vendas!$E$8:$E$2008,"&lt;=31/08/"&amp;$G$3)</f>
        <v>0</v>
      </c>
      <c r="R17" s="159">
        <f>SUMIFS(Vendas!$K$8:$K$2008,Vendas!$H$8:$H$2008,$B17,Vendas!$E$8:$E$2008,"&gt;=01/08/"&amp;$G$3,Vendas!$E$8:$E$2008,"&lt;=31/08/"&amp;$G$3,Vendas!$C$8:$C$2008,"Entregue")+SUMIFS(Vendas!$P$8:$P$2008,Vendas!$M$8:$M$2008,$B17,Vendas!$E$8:$E$2008,"&gt;=01/08/"&amp;$G$3,Vendas!$E$8:$E$2008,"&lt;=31/08/"&amp;$G$3,Vendas!$C$8:$C$2008,"Entregue")+SUMIFS(Vendas!$U$8:$U$2008,Vendas!$R$8:$R$2008,$B17,Vendas!$E$8:$E$2008,"&gt;=01/08/"&amp;$G$3,Vendas!$E$8:$E$2008,"&lt;=31/08/"&amp;$G$3,Vendas!$C$8:$C$2008,"Entregue")+SUMIFS(Vendas!$Z$8:$Z$2008,Vendas!$W$8:$W$2008,$B17,Vendas!$E$8:$E$2008,"&gt;=01/08/"&amp;$G$3,Vendas!$E$8:$E$2008,"&lt;=31/08/"&amp;$G$3,Vendas!$C$8:$C$2008,"Entregue")+SUMIFS(Vendas!$AE$8:$AE$2008,Vendas!$AB$8:$AB$2008,$B17,Vendas!$E$8:$E$2008,"&gt;=01/08/"&amp;$G$3,Vendas!$E$8:$E$2008,"&lt;=31/08/"&amp;$G$3,Vendas!$C$8:$C$2008,"Entregue")+SUMIFS(Vendas!$AJ$8:$AJ$2008,Vendas!$AG$8:$AG$2008,$B17,Vendas!$E$8:$E$2008,"&gt;=01/08/"&amp;$G$3,Vendas!$E$8:$E$2008,"&lt;=31/08/"&amp;$G$3,Vendas!$C$8:$C$2008,"Entregue")+SUMIFS(Vendas!$AO$8:$AO$2008,Vendas!$AL$8:$AL$2008,$B17,Vendas!$E$8:$E$2008,"&gt;=01/08/"&amp;$G$3,Vendas!$E$8:$E$2008,"&lt;=31/08/"&amp;$G$3,Vendas!$C$8:$C$2008,"Entregue")+SUMIFS(Vendas!$AT$8:$AT$2008,Vendas!$AQ$8:$AQ$2008,$B17,Vendas!$E$8:$E$2008,"&gt;=01/08/"&amp;$G$3,Vendas!$E$8:$E$2008,"&lt;=31/08/"&amp;$G$3,Vendas!$C$8:$C$2008,"Entregue")</f>
        <v>0</v>
      </c>
      <c r="S17" s="159">
        <f>SUMIFS(Vendas!$K$8:$K$2008,Vendas!$H$8:$H$2008,$B17,Vendas!$E$8:$E$2008,"&gt;=01/09/"&amp;$G$3,Vendas!$E$8:$E$2008,"&lt;=30/09/"&amp;$G$3)+SUMIFS(Vendas!$P$8:$P$2008,Vendas!$M$8:$M$2008,$B17,Vendas!$E$8:$E$2008,"&gt;=01/09/"&amp;$G$3,Vendas!$E$8:$E$2008,"&lt;=30/09/"&amp;$G$3)+SUMIFS(Vendas!$U$8:$U$2008,Vendas!$R$8:$R$2008,$B17,Vendas!$E$8:$E$2008,"&gt;=01/09/"&amp;$G$3,Vendas!$E$8:$E$2008,"&lt;=30/09/"&amp;$G$3)+SUMIFS(Vendas!$Z$8:$Z$2008,Vendas!$W$8:$W$2008,$B17,Vendas!$E$8:$E$2008,"&gt;=01/09/"&amp;$G$3,Vendas!$E$8:$E$2008,"&lt;=30/09/"&amp;$G$3)+SUMIFS(Vendas!$AE$8:$AE$2008,Vendas!$AB$8:$AB$2008,$B17,Vendas!$E$8:$E$2008,"&gt;=01/09/"&amp;$G$3,Vendas!$E$8:$E$2008,"&lt;=30/09/"&amp;$G$3)+SUMIFS(Vendas!$AJ$8:$AJ$2008,Vendas!$AG$8:$AG$2008,$B17,Vendas!$E$8:$E$2008,"&gt;=01/09/"&amp;$G$3,Vendas!$E$8:$E$2008,"&lt;=30/09/"&amp;$G$3)+SUMIFS(Vendas!$AO$8:$AO$2008,Vendas!$AL$8:$AL$2008,$B17,Vendas!$E$8:$E$2008,"&gt;=01/09/"&amp;$G$3,Vendas!$E$8:$E$2008,"&lt;=30/09/"&amp;$G$3)+SUMIFS(Vendas!$AT$8:$AT$2008,Vendas!$AQ$8:$AQ$2008,$B17,Vendas!$E$8:$E$2008,"&gt;=01/09/"&amp;$G$3,Vendas!$E$8:$E$2008,"&lt;=30/09/"&amp;$G$3)</f>
        <v>0</v>
      </c>
      <c r="T17" s="159">
        <f>SUMIFS(Vendas!$K$8:$K$2008,Vendas!$H$8:$H$2008,$B17,Vendas!$E$8:$E$2008,"&gt;=01/09/"&amp;$G$3,Vendas!$E$8:$E$2008,"&lt;=30/09/"&amp;$G$3,Vendas!$C$8:$C$2008,"Entregue")+SUMIFS(Vendas!$P$8:$P$2008,Vendas!$M$8:$M$2008,$B17,Vendas!$E$8:$E$2008,"&gt;=01/09/"&amp;$G$3,Vendas!$E$8:$E$2008,"&lt;=30/09/"&amp;$G$3,Vendas!$C$8:$C$2008,"Entregue")+SUMIFS(Vendas!$U$8:$U$2008,Vendas!$R$8:$R$2008,$B17,Vendas!$E$8:$E$2008,"&gt;=01/09/"&amp;$G$3,Vendas!$E$8:$E$2008,"&lt;=30/09/"&amp;$G$3,Vendas!$C$8:$C$2008,"Entregue")+SUMIFS(Vendas!$Z$8:$Z$2008,Vendas!$W$8:$W$2008,$B17,Vendas!$E$8:$E$2008,"&gt;=01/09/"&amp;$G$3,Vendas!$E$8:$E$2008,"&lt;=30/09/"&amp;$G$3,Vendas!$C$8:$C$2008,"Entregue")+SUMIFS(Vendas!$AE$8:$AE$2008,Vendas!$AB$8:$AB$2008,$B17,Vendas!$E$8:$E$2008,"&gt;=01/09/"&amp;$G$3,Vendas!$E$8:$E$2008,"&lt;=30/09/"&amp;$G$3,Vendas!$C$8:$C$2008,"Entregue")+SUMIFS(Vendas!$AJ$8:$AJ$2008,Vendas!$AG$8:$AG$2008,$B17,Vendas!$E$8:$E$2008,"&gt;=01/09/"&amp;$G$3,Vendas!$E$8:$E$2008,"&lt;=30/09/"&amp;$G$3,Vendas!$C$8:$C$2008,"Entregue")+SUMIFS(Vendas!$AO$8:$AO$2008,Vendas!$AL$8:$AL$2008,$B17,Vendas!$E$8:$E$2008,"&gt;=01/09/"&amp;$G$3,Vendas!$E$8:$E$2008,"&lt;=30/09/"&amp;$G$3,Vendas!$C$8:$C$2008,"Entregue")+SUMIFS(Vendas!$AT$8:$AT$2008,Vendas!$AQ$8:$AQ$2008,$B17,Vendas!$E$8:$E$2008,"&gt;=01/09/"&amp;$G$3,Vendas!$E$8:$E$2008,"&lt;=30/09/"&amp;$G$3,Vendas!$C$8:$C$2008,"Entregue")</f>
        <v>0</v>
      </c>
      <c r="U17" s="159">
        <f>SUMIFS(Vendas!$K$8:$K$2008,Vendas!$H$8:$H$2008,$B17,Vendas!$E$8:$E$2008,"&gt;=01/10/"&amp;$G$3,Vendas!$E$8:$E$2008,"&lt;=31/10/"&amp;$G$3)+SUMIFS(Vendas!$P$8:$P$2008,Vendas!$M$8:$M$2008,$B17,Vendas!$E$8:$E$2008,"&gt;=01/10/"&amp;$G$3,Vendas!$E$8:$E$2008,"&lt;=31/10/"&amp;$G$3)+SUMIFS(Vendas!$U$8:$U$2008,Vendas!$R$8:$R$2008,$B17,Vendas!$E$8:$E$2008,"&gt;=01/10/"&amp;$G$3,Vendas!$E$8:$E$2008,"&lt;=31/10/"&amp;$G$3)+SUMIFS(Vendas!$Z$8:$Z$2008,Vendas!$W$8:$W$2008,$B17,Vendas!$E$8:$E$2008,"&gt;=01/10/"&amp;$G$3,Vendas!$E$8:$E$2008,"&lt;=31/10/"&amp;$G$3)+SUMIFS(Vendas!$AE$8:$AE$2008,Vendas!$AB$8:$AB$2008,$B17,Vendas!$E$8:$E$2008,"&gt;=01/10/"&amp;$G$3,Vendas!$E$8:$E$2008,"&lt;=31/10/"&amp;$G$3)+SUMIFS(Vendas!$AJ$8:$AJ$2008,Vendas!$AG$8:$AG$2008,$B17,Vendas!$E$8:$E$2008,"&gt;=01/10/"&amp;$G$3,Vendas!$E$8:$E$2008,"&lt;=31/10/"&amp;$G$3)+SUMIFS(Vendas!$AO$8:$AO$2008,Vendas!$AL$8:$AL$2008,$B17,Vendas!$E$8:$E$2008,"&gt;=01/10/"&amp;$G$3,Vendas!$E$8:$E$2008,"&lt;=31/10/"&amp;$G$3)+SUMIFS(Vendas!$AT$8:$AT$2008,Vendas!$AQ$8:$AQ$2008,$B17,Vendas!$E$8:$E$2008,"&gt;=01/10/"&amp;$G$3,Vendas!$E$8:$E$2008,"&lt;=31/10/"&amp;$G$3)</f>
        <v>0</v>
      </c>
      <c r="V17" s="159">
        <f>SUMIFS(Vendas!$K$8:$K$2008,Vendas!$H$8:$H$2008,$B17,Vendas!$E$8:$E$2008,"&gt;=01/10/"&amp;$G$3,Vendas!$E$8:$E$2008,"&lt;=31/10/"&amp;$G$3,Vendas!$C$8:$C$2008,"Entregue")+SUMIFS(Vendas!$P$8:$P$2008,Vendas!$M$8:$M$2008,$B17,Vendas!$E$8:$E$2008,"&gt;=01/10/"&amp;$G$3,Vendas!$E$8:$E$2008,"&lt;=31/10/"&amp;$G$3,Vendas!$C$8:$C$2008,"Entregue")+SUMIFS(Vendas!$U$8:$U$2008,Vendas!$R$8:$R$2008,$B17,Vendas!$E$8:$E$2008,"&gt;=01/10/"&amp;$G$3,Vendas!$E$8:$E$2008,"&lt;=31/10/"&amp;$G$3,Vendas!$C$8:$C$2008,"Entregue")+SUMIFS(Vendas!$Z$8:$Z$2008,Vendas!$W$8:$W$2008,$B17,Vendas!$E$8:$E$2008,"&gt;=01/10/"&amp;$G$3,Vendas!$E$8:$E$2008,"&lt;=31/10/"&amp;$G$3,Vendas!$C$8:$C$2008,"Entregue")+SUMIFS(Vendas!$AE$8:$AE$2008,Vendas!$AB$8:$AB$2008,$B17,Vendas!$E$8:$E$2008,"&gt;=01/10/"&amp;$G$3,Vendas!$E$8:$E$2008,"&lt;=31/10/"&amp;$G$3,Vendas!$C$8:$C$2008,"Entregue")+SUMIFS(Vendas!$AJ$8:$AJ$2008,Vendas!$AG$8:$AG$2008,$B17,Vendas!$E$8:$E$2008,"&gt;=01/10/"&amp;$G$3,Vendas!$E$8:$E$2008,"&lt;=31/10/"&amp;$G$3,Vendas!$C$8:$C$2008,"Entregue")+SUMIFS(Vendas!$AO$8:$AO$2008,Vendas!$AL$8:$AL$2008,$B17,Vendas!$E$8:$E$2008,"&gt;=01/10/"&amp;$G$3,Vendas!$E$8:$E$2008,"&lt;=31/10/"&amp;$G$3,Vendas!$C$8:$C$2008,"Entregue")+SUMIFS(Vendas!$AT$8:$AT$2008,Vendas!$AQ$8:$AQ$2008,$B17,Vendas!$E$8:$E$2008,"&gt;=01/10/"&amp;$G$3,Vendas!$E$8:$E$2008,"&lt;=31/10/"&amp;$G$3,Vendas!$C$8:$C$2008,"Entregue")</f>
        <v>0</v>
      </c>
      <c r="W17" s="159">
        <f>SUMIFS(Vendas!$K$8:$K$2008,Vendas!$H$8:$H$2008,$B17,Vendas!$E$8:$E$2008,"&gt;=01/11/"&amp;$G$3,Vendas!$E$8:$E$2008,"&lt;=30/11/"&amp;$G$3)+SUMIFS(Vendas!$P$8:$P$2008,Vendas!$M$8:$M$2008,$B17,Vendas!$E$8:$E$2008,"&gt;=01/11/"&amp;$G$3,Vendas!$E$8:$E$2008,"&lt;=30/11/"&amp;$G$3)+SUMIFS(Vendas!$U$8:$U$2008,Vendas!$R$8:$R$2008,$B17,Vendas!$E$8:$E$2008,"&gt;=01/11/"&amp;$G$3,Vendas!$E$8:$E$2008,"&lt;=30/11/"&amp;$G$3)+SUMIFS(Vendas!$Z$8:$Z$2008,Vendas!$W$8:$W$2008,$B17,Vendas!$E$8:$E$2008,"&gt;=01/11/"&amp;$G$3,Vendas!$E$8:$E$2008,"&lt;=30/11/"&amp;$G$3)+SUMIFS(Vendas!$AE$8:$AE$2008,Vendas!$AB$8:$AB$2008,$B17,Vendas!$E$8:$E$2008,"&gt;=01/11/"&amp;$G$3,Vendas!$E$8:$E$2008,"&lt;=30/11/"&amp;$G$3)+SUMIFS(Vendas!$AJ$8:$AJ$2008,Vendas!$AG$8:$AG$2008,$B17,Vendas!$E$8:$E$2008,"&gt;=01/11/"&amp;$G$3,Vendas!$E$8:$E$2008,"&lt;=30/11/"&amp;$G$3)+SUMIFS(Vendas!$AO$8:$AO$2008,Vendas!$AL$8:$AL$2008,$B17,Vendas!$E$8:$E$2008,"&gt;=01/11/"&amp;$G$3,Vendas!$E$8:$E$2008,"&lt;=30/11/"&amp;$G$3)+SUMIFS(Vendas!$AT$8:$AT$2008,Vendas!$AQ$8:$AQ$2008,$B17,Vendas!$E$8:$E$2008,"&gt;=01/11/"&amp;$G$3,Vendas!$E$8:$E$2008,"&lt;=30/11/"&amp;$G$3)</f>
        <v>0</v>
      </c>
      <c r="X17" s="159">
        <f>SUMIFS(Vendas!$K$8:$K$2008,Vendas!$H$8:$H$2008,$B17,Vendas!$E$8:$E$2008,"&gt;=01/11/"&amp;$G$3,Vendas!$E$8:$E$2008,"&lt;=30/11/"&amp;$G$3,Vendas!$C$8:$C$2008,"Entregue")+SUMIFS(Vendas!$P$8:$P$2008,Vendas!$M$8:$M$2008,$B17,Vendas!$E$8:$E$2008,"&gt;=01/11/"&amp;$G$3,Vendas!$E$8:$E$2008,"&lt;=30/11/"&amp;$G$3,Vendas!$C$8:$C$2008,"Entregue")+SUMIFS(Vendas!$U$8:$U$2008,Vendas!$R$8:$R$2008,$B17,Vendas!$E$8:$E$2008,"&gt;=01/11/"&amp;$G$3,Vendas!$E$8:$E$2008,"&lt;=30/11/"&amp;$G$3,Vendas!$C$8:$C$2008,"Entregue")+SUMIFS(Vendas!$Z$8:$Z$2008,Vendas!$W$8:$W$2008,$B17,Vendas!$E$8:$E$2008,"&gt;=01/11/"&amp;$G$3,Vendas!$E$8:$E$2008,"&lt;=30/11/"&amp;$G$3,Vendas!$C$8:$C$2008,"Entregue")+SUMIFS(Vendas!$AE$8:$AE$2008,Vendas!$AB$8:$AB$2008,$B17,Vendas!$E$8:$E$2008,"&gt;=01/11/"&amp;$G$3,Vendas!$E$8:$E$2008,"&lt;=30/11/"&amp;$G$3,Vendas!$C$8:$C$2008,"Entregue")+SUMIFS(Vendas!$AJ$8:$AJ$2008,Vendas!$AG$8:$AG$2008,$B17,Vendas!$E$8:$E$2008,"&gt;=01/11/"&amp;$G$3,Vendas!$E$8:$E$2008,"&lt;=30/11/"&amp;$G$3,Vendas!$C$8:$C$2008,"Entregue")+SUMIFS(Vendas!$AO$8:$AO$2008,Vendas!$AL$8:$AL$2008,$B17,Vendas!$E$8:$E$2008,"&gt;=01/11/"&amp;$G$3,Vendas!$E$8:$E$2008,"&lt;=30/11/"&amp;$G$3,Vendas!$C$8:$C$2008,"Entregue")+SUMIFS(Vendas!$AT$8:$AT$2008,Vendas!$AQ$8:$AQ$2008,$B17,Vendas!$E$8:$E$2008,"&gt;=01/11/"&amp;$G$3,Vendas!$E$8:$E$2008,"&lt;=30/11/"&amp;$G$3,Vendas!$C$8:$C$2008,"Entregue")</f>
        <v>0</v>
      </c>
      <c r="Y17" s="159">
        <f>SUMIFS(Vendas!$K$8:$K$2008,Vendas!$H$8:$H$2008,$B17,Vendas!$E$8:$E$2008,"&gt;=01/12/"&amp;$G$3,Vendas!$E$8:$E$2008,"&lt;=31/12/"&amp;$G$3)+SUMIFS(Vendas!$P$8:$P$2008,Vendas!$M$8:$M$2008,$B17,Vendas!$E$8:$E$2008,"&gt;=01/12/"&amp;$G$3,Vendas!$E$8:$E$2008,"&lt;=31/12/"&amp;$G$3)+SUMIFS(Vendas!$U$8:$U$2008,Vendas!$R$8:$R$2008,$B17,Vendas!$E$8:$E$2008,"&gt;=01/12/"&amp;$G$3,Vendas!$E$8:$E$2008,"&lt;=31/12/"&amp;$G$3)+SUMIFS(Vendas!$Z$8:$Z$2008,Vendas!$W$8:$W$2008,$B17,Vendas!$E$8:$E$2008,"&gt;=01/12/"&amp;$G$3,Vendas!$E$8:$E$2008,"&lt;=31/12/"&amp;$G$3)+SUMIFS(Vendas!$AE$8:$AE$2008,Vendas!$AB$8:$AB$2008,$B17,Vendas!$E$8:$E$2008,"&gt;=01/12/"&amp;$G$3,Vendas!$E$8:$E$2008,"&lt;=31/12/"&amp;$G$3)+SUMIFS(Vendas!$AJ$8:$AJ$2008,Vendas!$AG$8:$AG$2008,$B17,Vendas!$E$8:$E$2008,"&gt;=01/12/"&amp;$G$3,Vendas!$E$8:$E$2008,"&lt;=31/12/"&amp;$G$3)+SUMIFS(Vendas!$AO$8:$AO$2008,Vendas!$AL$8:$AL$2008,$B17,Vendas!$E$8:$E$2008,"&gt;=01/12/"&amp;$G$3,Vendas!$E$8:$E$2008,"&lt;=31/12/"&amp;$G$3)+SUMIFS(Vendas!$AT$8:$AT$2008,Vendas!$AQ$8:$AQ$2008,$B17,Vendas!$E$8:$E$2008,"&gt;=01/12/"&amp;$G$3,Vendas!$E$8:$E$2008,"&lt;=31/12/"&amp;$G$3)</f>
        <v>0</v>
      </c>
      <c r="Z17" s="160">
        <f>SUMIFS(Vendas!$K$8:$K$2008,Vendas!$H$8:$H$2008,$B17,Vendas!$E$8:$E$2008,"&gt;=01/12/"&amp;$G$3,Vendas!$E$8:$E$2008,"&lt;=31/12/"&amp;$G$3,Vendas!$C$8:$C$2008,"Entregue")+SUMIFS(Vendas!$P$8:$P$2008,Vendas!$M$8:$M$2008,$B17,Vendas!$E$8:$E$2008,"&gt;=01/12/"&amp;$G$3,Vendas!$E$8:$E$2008,"&lt;=31/12/"&amp;$G$3,Vendas!$C$8:$C$2008,"Entregue")+SUMIFS(Vendas!$U$8:$U$2008,Vendas!$R$8:$R$2008,$B17,Vendas!$E$8:$E$2008,"&gt;=01/12/"&amp;$G$3,Vendas!$E$8:$E$2008,"&lt;=31/12/"&amp;$G$3,Vendas!$C$8:$C$2008,"Entregue")+SUMIFS(Vendas!$Z$8:$Z$2008,Vendas!$W$8:$W$2008,$B17,Vendas!$E$8:$E$2008,"&gt;=01/12/"&amp;$G$3,Vendas!$E$8:$E$2008,"&lt;=31/12/"&amp;$G$3,Vendas!$C$8:$C$2008,"Entregue")+SUMIFS(Vendas!$AE$8:$AE$2008,Vendas!$AB$8:$AB$2008,$B17,Vendas!$E$8:$E$2008,"&gt;=01/12/"&amp;$G$3,Vendas!$E$8:$E$2008,"&lt;=31/12/"&amp;$G$3,Vendas!$C$8:$C$2008,"Entregue")+SUMIFS(Vendas!$AJ$8:$AJ$2008,Vendas!$AG$8:$AG$2008,$B17,Vendas!$E$8:$E$2008,"&gt;=01/12/"&amp;$G$3,Vendas!$E$8:$E$2008,"&lt;=31/12/"&amp;$G$3,Vendas!$C$8:$C$2008,"Entregue")+SUMIFS(Vendas!$AO$8:$AO$2008,Vendas!$AL$8:$AL$2008,$B17,Vendas!$E$8:$E$2008,"&gt;=01/12/"&amp;$G$3,Vendas!$E$8:$E$2008,"&lt;=31/12/"&amp;$G$3,Vendas!$C$8:$C$2008,"Entregue")+SUMIFS(Vendas!$AT$8:$AT$2008,Vendas!$AQ$8:$AQ$2008,$B17,Vendas!$E$8:$E$2008,"&gt;=01/12/"&amp;$G$3,Vendas!$E$8:$E$2008,"&lt;=31/12/"&amp;$G$3,Vendas!$C$8:$C$2008,"Entregue")</f>
        <v>0</v>
      </c>
      <c r="AA17" s="132">
        <f t="shared" si="0"/>
        <v>0</v>
      </c>
      <c r="AB17" s="132">
        <f t="shared" si="0"/>
        <v>0</v>
      </c>
      <c r="AC17" s="67"/>
    </row>
    <row r="18" spans="2:29" ht="14.4" x14ac:dyDescent="0.3">
      <c r="B18" s="262" t="str">
        <f>IF(Cadastros!D17="","",Cadastros!D17)</f>
        <v>10111 - Colchão Vivace 193 X 203 X 024 cm MVQ</v>
      </c>
      <c r="C18" s="161">
        <f>SUMIFS(Vendas!$K$8:$K$2008,Vendas!$H$8:$H$2008,$B18,Vendas!$E$8:$E$2008,"&gt;=01/01/"&amp;$G$3,Vendas!$E$8:$E$2008,"&lt;=31/01/"&amp;$G$3)+SUMIFS(Vendas!$P$8:$P$2008,Vendas!$M$8:$M$2008,$B18,Vendas!$E$8:$E$2008,"&gt;=01/01/"&amp;$G$3,Vendas!$E$8:$E$2008,"&lt;=31/01/"&amp;$G$3)+SUMIFS(Vendas!$U$8:$U$2008,Vendas!$R$8:$R$2008,$B18,Vendas!$E$8:$E$2008,"&gt;=01/01/"&amp;$G$3,Vendas!$E$8:$E$2008,"&lt;=31/01/"&amp;$G$3)+SUMIFS(Vendas!$Z$8:$Z$2008,Vendas!$W$8:$W$2008,$B18,Vendas!$E$8:$E$2008,"&gt;=01/01/"&amp;$G$3,Vendas!$E$8:$E$2008,"&lt;=31/01/"&amp;$G$3)+SUMIFS(Vendas!$AE$8:$AE$2008,Vendas!$AB$8:$AB$2008,$B18,Vendas!$E$8:$E$2008,"&gt;=01/01/"&amp;$G$3,Vendas!$E$8:$E$2008,"&lt;=31/01/"&amp;$G$3)+SUMIFS(Vendas!$AJ$8:$AJ$2008,Vendas!$AG$8:$AG$2008,$B18,Vendas!$E$8:$E$2008,"&gt;=01/01/"&amp;$G$3,Vendas!$E$8:$E$2008,"&lt;=31/01/"&amp;$G$3)+SUMIFS(Vendas!$AO$8:$AO$2008,Vendas!$AL$8:$AL$2008,$B18,Vendas!$E$8:$E$2008,"&gt;=01/01/"&amp;$G$3,Vendas!$E$8:$E$2008,"&lt;=31/01/"&amp;$G$3)+SUMIFS(Vendas!$AT$8:$AT$2008,Vendas!$AQ$8:$AQ$2008,$B18,Vendas!$E$8:$E$2008,"&gt;=01/01/"&amp;$G$3,Vendas!$E$8:$E$2008,"&lt;=31/01/"&amp;$G$3)</f>
        <v>0</v>
      </c>
      <c r="D18" s="162">
        <f>SUMIFS(Vendas!$K$8:$K$2008,Vendas!$H$8:$H$2008,$B18,Vendas!$E$8:$E$2008,"&gt;=01/01/"&amp;$G$3,Vendas!$E$8:$E$2008,"&lt;=31/01/"&amp;$G$3,Vendas!$C$8:$C$2008,"Entregue")+SUMIFS(Vendas!$P$8:$P$2008,Vendas!$M$8:$M$2008,$B18,Vendas!$E$8:$E$2008,"&gt;=01/01/"&amp;$G$3,Vendas!$E$8:$E$2008,"&lt;=31/01/"&amp;$G$3,Vendas!$C$8:$C$2008,"Entregue")+SUMIFS(Vendas!$U$8:$U$2008,Vendas!$R$8:$R$2008,$B18,Vendas!$E$8:$E$2008,"&gt;=01/01/"&amp;$G$3,Vendas!$E$8:$E$2008,"&lt;=31/01/"&amp;$G$3,Vendas!$C$8:$C$2008,"Entregue")+SUMIFS(Vendas!$Z$8:$Z$2008,Vendas!$W$8:$W$2008,$B18,Vendas!$E$8:$E$2008,"&gt;=01/01/"&amp;$G$3,Vendas!$E$8:$E$2008,"&lt;=31/01/"&amp;$G$3,Vendas!$C$8:$C$2008,"Entregue")+SUMIFS(Vendas!$AE$8:$AE$2008,Vendas!$AB$8:$AB$2008,$B18,Vendas!$E$8:$E$2008,"&gt;=01/01/"&amp;$G$3,Vendas!$E$8:$E$2008,"&lt;=31/01/"&amp;$G$3,Vendas!$C$8:$C$2008,"Entregue")+SUMIFS(Vendas!$AJ$8:$AJ$2008,Vendas!$AG$8:$AG$2008,$B18,Vendas!$E$8:$E$2008,"&gt;=01/01/"&amp;$G$3,Vendas!$E$8:$E$2008,"&lt;=31/01/"&amp;$G$3,Vendas!$C$8:$C$2008,"Entregue")+SUMIFS(Vendas!$AO$8:$AO$2008,Vendas!$AL$8:$AL$2008,$B18,Vendas!$E$8:$E$2008,"&gt;=01/01/"&amp;$G$3,Vendas!$E$8:$E$2008,"&lt;=31/01/"&amp;$G$3,Vendas!$C$8:$C$2008,"Entregue")+SUMIFS(Vendas!$AT$8:$AT$2008,Vendas!$AQ$8:$AQ$2008,$B18,Vendas!$E$8:$E$2008,"&gt;=01/01/"&amp;$G$3,Vendas!$E$8:$E$2008,"&lt;=31/01/"&amp;$G$3,Vendas!$C$8:$C$2008,"Entregue")</f>
        <v>0</v>
      </c>
      <c r="E18" s="162">
        <f>SUMIFS(Vendas!$K$8:$K$2008,Vendas!$H$8:$H$2008,$B18,Vendas!$E$8:$E$2008,"&gt;=01/02/"&amp;$G$3,Vendas!$E$8:$E$2008,"&lt;=28/02/"&amp;$G$3)+SUMIFS(Vendas!$P$8:$P$2008,Vendas!$M$8:$M$2008,$B18,Vendas!$E$8:$E$2008,"&gt;=01/02/"&amp;$G$3,Vendas!$E$8:$E$2008,"&lt;=28/02/"&amp;$G$3)+SUMIFS(Vendas!$U$8:$U$2008,Vendas!$R$8:$R$2008,$B18,Vendas!$E$8:$E$2008,"&gt;=01/02/"&amp;$G$3,Vendas!$E$8:$E$2008,"&lt;=28/02/"&amp;$G$3)+SUMIFS(Vendas!$Z$8:$Z$2008,Vendas!$W$8:$W$2008,$B18,Vendas!$E$8:$E$2008,"&gt;=01/02/"&amp;$G$3,Vendas!$E$8:$E$2008,"&lt;=28/02/"&amp;$G$3)+SUMIFS(Vendas!$AE$8:$AE$2008,Vendas!$AB$8:$AB$2008,$B18,Vendas!$E$8:$E$2008,"&gt;=01/02/"&amp;$G$3,Vendas!$E$8:$E$2008,"&lt;=28/02/"&amp;$G$3)+SUMIFS(Vendas!$AJ$8:$AJ$2008,Vendas!$AG$8:$AG$2008,$B18,Vendas!$E$8:$E$2008,"&gt;=01/02/"&amp;$G$3,Vendas!$E$8:$E$2008,"&lt;=28/02/"&amp;$G$3)+SUMIFS(Vendas!$AO$8:$AO$2008,Vendas!$AL$8:$AL$2008,$B18,Vendas!$E$8:$E$2008,"&gt;=01/02/"&amp;$G$3,Vendas!$E$8:$E$2008,"&lt;=28/02/"&amp;$G$3)+SUMIFS(Vendas!$AT$8:$AT$2008,Vendas!$AQ$8:$AQ$2008,$B18,Vendas!$E$8:$E$2008,"&gt;=01/02/"&amp;$G$3,Vendas!$E$8:$E$2008,"&lt;=28/02/"&amp;$G$3)</f>
        <v>0</v>
      </c>
      <c r="F18" s="162">
        <f>SUMIFS(Vendas!$K$8:$K$2008,Vendas!$H$8:$H$2008,$B18,Vendas!$E$8:$E$2008,"&gt;=01/02/"&amp;$G$3,Vendas!$E$8:$E$2008,"&lt;=28/02/"&amp;$G$3,Vendas!$C$8:$C$2008,"Entregue")+SUMIFS(Vendas!$P$8:$P$2008,Vendas!$M$8:$M$2008,$B18,Vendas!$E$8:$E$2008,"&gt;=01/02/"&amp;$G$3,Vendas!$E$8:$E$2008,"&lt;=28/02/"&amp;$G$3,Vendas!$C$8:$C$2008,"Entregue")+SUMIFS(Vendas!$U$8:$U$2008,Vendas!$R$8:$R$2008,$B18,Vendas!$E$8:$E$2008,"&gt;=01/02/"&amp;$G$3,Vendas!$E$8:$E$2008,"&lt;=28/02/"&amp;$G$3,Vendas!$C$8:$C$2008,"Entregue")+SUMIFS(Vendas!$Z$8:$Z$2008,Vendas!$W$8:$W$2008,$B18,Vendas!$E$8:$E$2008,"&gt;=01/02/"&amp;$G$3,Vendas!$E$8:$E$2008,"&lt;=28/02/"&amp;$G$3,Vendas!$C$8:$C$2008,"Entregue")+SUMIFS(Vendas!$AE$8:$AE$2008,Vendas!$AB$8:$AB$2008,$B18,Vendas!$E$8:$E$2008,"&gt;=01/02/"&amp;$G$3,Vendas!$E$8:$E$2008,"&lt;=28/02/"&amp;$G$3,Vendas!$C$8:$C$2008,"Entregue")+SUMIFS(Vendas!$AJ$8:$AJ$2008,Vendas!$AG$8:$AG$2008,$B18,Vendas!$E$8:$E$2008,"&gt;=01/02/"&amp;$G$3,Vendas!$E$8:$E$2008,"&lt;=28/02/"&amp;$G$3,Vendas!$C$8:$C$2008,"Entregue")+SUMIFS(Vendas!$AO$8:$AO$2008,Vendas!$AL$8:$AL$2008,$B18,Vendas!$E$8:$E$2008,"&gt;=01/02/"&amp;$G$3,Vendas!$E$8:$E$2008,"&lt;=28/02/"&amp;$G$3,Vendas!$C$8:$C$2008,"Entregue")+SUMIFS(Vendas!$AT$8:$AT$2008,Vendas!$AQ$8:$AQ$2008,$B18,Vendas!$E$8:$E$2008,"&gt;=01/02/"&amp;$G$3,Vendas!$E$8:$E$2008,"&lt;=28/02/"&amp;$G$3,Vendas!$C$8:$C$2008,"Entregue")</f>
        <v>0</v>
      </c>
      <c r="G18" s="162">
        <f>SUMIFS(Vendas!$K$8:$K$2008,Vendas!$H$8:$H$2008,$B18,Vendas!$E$8:$E$2008,"&gt;=01/03/"&amp;$G$3,Vendas!$E$8:$E$2008,"&lt;=31/03/"&amp;$G$3)+SUMIFS(Vendas!$P$8:$P$2008,Vendas!$M$8:$M$2008,$B18,Vendas!$E$8:$E$2008,"&gt;=01/03/"&amp;$G$3,Vendas!$E$8:$E$2008,"&lt;=31/03/"&amp;$G$3)+SUMIFS(Vendas!$U$8:$U$2008,Vendas!$R$8:$R$2008,$B18,Vendas!$E$8:$E$2008,"&gt;=01/03/"&amp;$G$3,Vendas!$E$8:$E$2008,"&lt;=31/03/"&amp;$G$3)+SUMIFS(Vendas!$Z$8:$Z$2008,Vendas!$W$8:$W$2008,$B18,Vendas!$E$8:$E$2008,"&gt;=01/03/"&amp;$G$3,Vendas!$E$8:$E$2008,"&lt;=31/03/"&amp;$G$3)+SUMIFS(Vendas!$AE$8:$AE$2008,Vendas!$AB$8:$AB$2008,$B18,Vendas!$E$8:$E$2008,"&gt;=01/03/"&amp;$G$3,Vendas!$E$8:$E$2008,"&lt;=31/03/"&amp;$G$3)+SUMIFS(Vendas!$AJ$8:$AJ$2008,Vendas!$AG$8:$AG$2008,$B18,Vendas!$E$8:$E$2008,"&gt;=01/03/"&amp;$G$3,Vendas!$E$8:$E$2008,"&lt;=31/03/"&amp;$G$3)+SUMIFS(Vendas!$AO$8:$AO$2008,Vendas!$AL$8:$AL$2008,$B18,Vendas!$E$8:$E$2008,"&gt;=01/03/"&amp;$G$3,Vendas!$E$8:$E$2008,"&lt;=31/03/"&amp;$G$3)+SUMIFS(Vendas!$AT$8:$AT$2008,Vendas!$AQ$8:$AQ$2008,$B18,Vendas!$E$8:$E$2008,"&gt;=01/03/"&amp;$G$3,Vendas!$E$8:$E$2008,"&lt;=31/03/"&amp;$G$3)</f>
        <v>0</v>
      </c>
      <c r="H18" s="162">
        <f>SUMIFS(Vendas!$K$8:$K$2008,Vendas!$H$8:$H$2008,$B18,Vendas!$E$8:$E$2008,"&gt;=01/03/"&amp;$G$3,Vendas!$E$8:$E$2008,"&lt;=31/03/"&amp;$G$3,Vendas!$C$8:$C$2008,"Entregue")+SUMIFS(Vendas!$P$8:$P$2008,Vendas!$M$8:$M$2008,$B18,Vendas!$E$8:$E$2008,"&gt;=01/03/"&amp;$G$3,Vendas!$E$8:$E$2008,"&lt;=31/03/"&amp;$G$3,Vendas!$C$8:$C$2008,"Entregue")+SUMIFS(Vendas!$U$8:$U$2008,Vendas!$R$8:$R$2008,$B18,Vendas!$E$8:$E$2008,"&gt;=01/03/"&amp;$G$3,Vendas!$E$8:$E$2008,"&lt;=31/03/"&amp;$G$3,Vendas!$C$8:$C$2008,"Entregue")+SUMIFS(Vendas!$Z$8:$Z$2008,Vendas!$W$8:$W$2008,$B18,Vendas!$E$8:$E$2008,"&gt;=01/03/"&amp;$G$3,Vendas!$E$8:$E$2008,"&lt;=31/03/"&amp;$G$3,Vendas!$C$8:$C$2008,"Entregue")+SUMIFS(Vendas!$AE$8:$AE$2008,Vendas!$AB$8:$AB$2008,$B18,Vendas!$E$8:$E$2008,"&gt;=01/03/"&amp;$G$3,Vendas!$E$8:$E$2008,"&lt;=31/03/"&amp;$G$3,Vendas!$C$8:$C$2008,"Entregue")+SUMIFS(Vendas!$AJ$8:$AJ$2008,Vendas!$AG$8:$AG$2008,$B18,Vendas!$E$8:$E$2008,"&gt;=01/03/"&amp;$G$3,Vendas!$E$8:$E$2008,"&lt;=31/03/"&amp;$G$3,Vendas!$C$8:$C$2008,"Entregue")+SUMIFS(Vendas!$AO$8:$AO$2008,Vendas!$AL$8:$AL$2008,$B18,Vendas!$E$8:$E$2008,"&gt;=01/03/"&amp;$G$3,Vendas!$E$8:$E$2008,"&lt;=31/03/"&amp;$G$3,Vendas!$C$8:$C$2008,"Entregue")+SUMIFS(Vendas!$AT$8:$AT$2008,Vendas!$AQ$8:$AQ$2008,$B18,Vendas!$E$8:$E$2008,"&gt;=01/03/"&amp;$G$3,Vendas!$E$8:$E$2008,"&lt;=31/03/"&amp;$G$3,Vendas!$C$8:$C$2008,"Entregue")</f>
        <v>0</v>
      </c>
      <c r="I18" s="162">
        <f>SUMIFS(Vendas!$K$8:$K$2008,Vendas!$H$8:$H$2008,$B18,Vendas!$E$8:$E$2008,"&gt;=01/04/"&amp;$G$3,Vendas!$E$8:$E$2008,"&lt;=30/04/"&amp;$G$3)+SUMIFS(Vendas!$P$8:$P$2008,Vendas!$M$8:$M$2008,$B18,Vendas!$E$8:$E$2008,"&gt;=01/04/"&amp;$G$3,Vendas!$E$8:$E$2008,"&lt;=30/04/"&amp;$G$3)+SUMIFS(Vendas!$U$8:$U$2008,Vendas!$R$8:$R$2008,$B18,Vendas!$E$8:$E$2008,"&gt;=01/04/"&amp;$G$3,Vendas!$E$8:$E$2008,"&lt;=30/04/"&amp;$G$3)+SUMIFS(Vendas!$Z$8:$Z$2008,Vendas!$W$8:$W$2008,$B18,Vendas!$E$8:$E$2008,"&gt;=01/04/"&amp;$G$3,Vendas!$E$8:$E$2008,"&lt;=30/04/"&amp;$G$3)+SUMIFS(Vendas!$AE$8:$AE$2008,Vendas!$AB$8:$AB$2008,$B18,Vendas!$E$8:$E$2008,"&gt;=01/04/"&amp;$G$3,Vendas!$E$8:$E$2008,"&lt;=30/04/"&amp;$G$3)+SUMIFS(Vendas!$AJ$8:$AJ$2008,Vendas!$AG$8:$AG$2008,$B18,Vendas!$E$8:$E$2008,"&gt;=01/04/"&amp;$G$3,Vendas!$E$8:$E$2008,"&lt;=30/04/"&amp;$G$3)+SUMIFS(Vendas!$AO$8:$AO$2008,Vendas!$AL$8:$AL$2008,$B18,Vendas!$E$8:$E$2008,"&gt;=01/04/"&amp;$G$3,Vendas!$E$8:$E$2008,"&lt;=30/04/"&amp;$G$3)+SUMIFS(Vendas!$AT$8:$AT$2008,Vendas!$AQ$8:$AQ$2008,$B18,Vendas!$E$8:$E$2008,"&gt;=01/04/"&amp;$G$3,Vendas!$E$8:$E$2008,"&lt;=30/04/"&amp;$G$3)</f>
        <v>0</v>
      </c>
      <c r="J18" s="162">
        <f>SUMIFS(Vendas!$K$8:$K$2008,Vendas!$H$8:$H$2008,$B18,Vendas!$E$8:$E$2008,"&gt;=01/04/"&amp;$G$3,Vendas!$E$8:$E$2008,"&lt;=30/04/"&amp;$G$3,Vendas!$C$8:$C$2008,"Entregue")+SUMIFS(Vendas!$P$8:$P$2008,Vendas!$M$8:$M$2008,$B18,Vendas!$E$8:$E$2008,"&gt;=01/04/"&amp;$G$3,Vendas!$E$8:$E$2008,"&lt;=30/04/"&amp;$G$3,Vendas!$C$8:$C$2008,"Entregue")+SUMIFS(Vendas!$U$8:$U$2008,Vendas!$R$8:$R$2008,$B18,Vendas!$E$8:$E$2008,"&gt;=01/04/"&amp;$G$3,Vendas!$E$8:$E$2008,"&lt;=30/04/"&amp;$G$3,Vendas!$C$8:$C$2008,"Entregue")+SUMIFS(Vendas!$Z$8:$Z$2008,Vendas!$W$8:$W$2008,$B18,Vendas!$E$8:$E$2008,"&gt;=01/04/"&amp;$G$3,Vendas!$E$8:$E$2008,"&lt;=30/04/"&amp;$G$3,Vendas!$C$8:$C$2008,"Entregue")+SUMIFS(Vendas!$AE$8:$AE$2008,Vendas!$AB$8:$AB$2008,$B18,Vendas!$E$8:$E$2008,"&gt;=01/04/"&amp;$G$3,Vendas!$E$8:$E$2008,"&lt;=30/04/"&amp;$G$3,Vendas!$C$8:$C$2008,"Entregue")+SUMIFS(Vendas!$AJ$8:$AJ$2008,Vendas!$AG$8:$AG$2008,$B18,Vendas!$E$8:$E$2008,"&gt;=01/04/"&amp;$G$3,Vendas!$E$8:$E$2008,"&lt;=30/04/"&amp;$G$3,Vendas!$C$8:$C$2008,"Entregue")+SUMIFS(Vendas!$AO$8:$AO$2008,Vendas!$AL$8:$AL$2008,$B18,Vendas!$E$8:$E$2008,"&gt;=01/04/"&amp;$G$3,Vendas!$E$8:$E$2008,"&lt;=30/04/"&amp;$G$3,Vendas!$C$8:$C$2008,"Entregue")+SUMIFS(Vendas!$AT$8:$AT$2008,Vendas!$AQ$8:$AQ$2008,$B18,Vendas!$E$8:$E$2008,"&gt;=01/04/"&amp;$G$3,Vendas!$E$8:$E$2008,"&lt;=30/04/"&amp;$G$3,Vendas!$C$8:$C$2008,"Entregue")</f>
        <v>0</v>
      </c>
      <c r="K18" s="162">
        <f>SUMIFS(Vendas!$K$8:$K$2008,Vendas!$H$8:$H$2008,$B18,Vendas!$E$8:$E$2008,"&gt;=01/05/"&amp;$G$3,Vendas!$E$8:$E$2008,"&lt;=31/05/"&amp;$G$3)+SUMIFS(Vendas!$P$8:$P$2008,Vendas!$M$8:$M$2008,$B18,Vendas!$E$8:$E$2008,"&gt;=01/05/"&amp;$G$3,Vendas!$E$8:$E$2008,"&lt;=31/05/"&amp;$G$3)+SUMIFS(Vendas!$U$8:$U$2008,Vendas!$R$8:$R$2008,$B18,Vendas!$E$8:$E$2008,"&gt;=01/05/"&amp;$G$3,Vendas!$E$8:$E$2008,"&lt;=31/05/"&amp;$G$3)+SUMIFS(Vendas!$Z$8:$Z$2008,Vendas!$W$8:$W$2008,$B18,Vendas!$E$8:$E$2008,"&gt;=01/05/"&amp;$G$3,Vendas!$E$8:$E$2008,"&lt;=31/05/"&amp;$G$3)+SUMIFS(Vendas!$AE$8:$AE$2008,Vendas!$AB$8:$AB$2008,$B18,Vendas!$E$8:$E$2008,"&gt;=01/05/"&amp;$G$3,Vendas!$E$8:$E$2008,"&lt;=31/05/"&amp;$G$3)+SUMIFS(Vendas!$AJ$8:$AJ$2008,Vendas!$AG$8:$AG$2008,$B18,Vendas!$E$8:$E$2008,"&gt;=01/05/"&amp;$G$3,Vendas!$E$8:$E$2008,"&lt;=31/05/"&amp;$G$3)+SUMIFS(Vendas!$AO$8:$AO$2008,Vendas!$AL$8:$AL$2008,$B18,Vendas!$E$8:$E$2008,"&gt;=01/05/"&amp;$G$3,Vendas!$E$8:$E$2008,"&lt;=31/05/"&amp;$G$3)+SUMIFS(Vendas!$AT$8:$AT$2008,Vendas!$AQ$8:$AQ$2008,$B18,Vendas!$E$8:$E$2008,"&gt;=01/05/"&amp;$G$3,Vendas!$E$8:$E$2008,"&lt;=31/05/"&amp;$G$3)</f>
        <v>0</v>
      </c>
      <c r="L18" s="162">
        <f>SUMIFS(Vendas!$K$8:$K$2008,Vendas!$H$8:$H$2008,$B18,Vendas!$E$8:$E$2008,"&gt;=01/05/"&amp;$G$3,Vendas!$E$8:$E$2008,"&lt;=31/05/"&amp;$G$3,Vendas!$C$8:$C$2008,"Entregue")+SUMIFS(Vendas!$P$8:$P$2008,Vendas!$M$8:$M$2008,$B18,Vendas!$E$8:$E$2008,"&gt;=01/05/"&amp;$G$3,Vendas!$E$8:$E$2008,"&lt;=31/05/"&amp;$G$3,Vendas!$C$8:$C$2008,"Entregue")+SUMIFS(Vendas!$U$8:$U$2008,Vendas!$R$8:$R$2008,$B18,Vendas!$E$8:$E$2008,"&gt;=01/05/"&amp;$G$3,Vendas!$E$8:$E$2008,"&lt;=31/05/"&amp;$G$3,Vendas!$C$8:$C$2008,"Entregue")+SUMIFS(Vendas!$Z$8:$Z$2008,Vendas!$W$8:$W$2008,$B18,Vendas!$E$8:$E$2008,"&gt;=01/05/"&amp;$G$3,Vendas!$E$8:$E$2008,"&lt;=31/05/"&amp;$G$3,Vendas!$C$8:$C$2008,"Entregue")+SUMIFS(Vendas!$AE$8:$AE$2008,Vendas!$AB$8:$AB$2008,$B18,Vendas!$E$8:$E$2008,"&gt;=01/05/"&amp;$G$3,Vendas!$E$8:$E$2008,"&lt;=31/05/"&amp;$G$3,Vendas!$C$8:$C$2008,"Entregue")+SUMIFS(Vendas!$AJ$8:$AJ$2008,Vendas!$AG$8:$AG$2008,$B18,Vendas!$E$8:$E$2008,"&gt;=01/05/"&amp;$G$3,Vendas!$E$8:$E$2008,"&lt;=31/05/"&amp;$G$3,Vendas!$C$8:$C$2008,"Entregue")+SUMIFS(Vendas!$AO$8:$AO$2008,Vendas!$AL$8:$AL$2008,$B18,Vendas!$E$8:$E$2008,"&gt;=01/05/"&amp;$G$3,Vendas!$E$8:$E$2008,"&lt;=31/05/"&amp;$G$3,Vendas!$C$8:$C$2008,"Entregue")+SUMIFS(Vendas!$AT$8:$AT$2008,Vendas!$AQ$8:$AQ$2008,$B18,Vendas!$E$8:$E$2008,"&gt;=01/05/"&amp;$G$3,Vendas!$E$8:$E$2008,"&lt;=31/05/"&amp;$G$3,Vendas!$C$8:$C$2008,"Entregue")</f>
        <v>0</v>
      </c>
      <c r="M18" s="162">
        <f>SUMIFS(Vendas!$K$8:$K$2008,Vendas!$H$8:$H$2008,$B18,Vendas!$E$8:$E$2008,"&gt;=01/06/"&amp;$G$3,Vendas!$E$8:$E$2008,"&lt;=30/06/"&amp;$G$3)+SUMIFS(Vendas!$P$8:$P$2008,Vendas!$M$8:$M$2008,$B18,Vendas!$E$8:$E$2008,"&gt;=01/06/"&amp;$G$3,Vendas!$E$8:$E$2008,"&lt;=30/06/"&amp;$G$3)+SUMIFS(Vendas!$U$8:$U$2008,Vendas!$R$8:$R$2008,$B18,Vendas!$E$8:$E$2008,"&gt;=01/06/"&amp;$G$3,Vendas!$E$8:$E$2008,"&lt;=30/06/"&amp;$G$3)+SUMIFS(Vendas!$Z$8:$Z$2008,Vendas!$W$8:$W$2008,$B18,Vendas!$E$8:$E$2008,"&gt;=01/06/"&amp;$G$3,Vendas!$E$8:$E$2008,"&lt;=30/06/"&amp;$G$3)+SUMIFS(Vendas!$AE$8:$AE$2008,Vendas!$AB$8:$AB$2008,$B18,Vendas!$E$8:$E$2008,"&gt;=01/06/"&amp;$G$3,Vendas!$E$8:$E$2008,"&lt;=30/06/"&amp;$G$3)+SUMIFS(Vendas!$AJ$8:$AJ$2008,Vendas!$AG$8:$AG$2008,$B18,Vendas!$E$8:$E$2008,"&gt;=01/06/"&amp;$G$3,Vendas!$E$8:$E$2008,"&lt;=30/06/"&amp;$G$3)+SUMIFS(Vendas!$AO$8:$AO$2008,Vendas!$AL$8:$AL$2008,$B18,Vendas!$E$8:$E$2008,"&gt;=01/06/"&amp;$G$3,Vendas!$E$8:$E$2008,"&lt;=30/06/"&amp;$G$3)+SUMIFS(Vendas!$AT$8:$AT$2008,Vendas!$AQ$8:$AQ$2008,$B18,Vendas!$E$8:$E$2008,"&gt;=01/06/"&amp;$G$3,Vendas!$E$8:$E$2008,"&lt;=30/06/"&amp;$G$3)</f>
        <v>0</v>
      </c>
      <c r="N18" s="162">
        <f>SUMIFS(Vendas!$K$8:$K$2008,Vendas!$H$8:$H$2008,$B18,Vendas!$E$8:$E$2008,"&gt;=01/06/"&amp;$G$3,Vendas!$E$8:$E$2008,"&lt;=30/06/"&amp;$G$3,Vendas!$C$8:$C$2008,"Entregue")+SUMIFS(Vendas!$P$8:$P$2008,Vendas!$M$8:$M$2008,$B18,Vendas!$E$8:$E$2008,"&gt;=01/06/"&amp;$G$3,Vendas!$E$8:$E$2008,"&lt;=30/06/"&amp;$G$3,Vendas!$C$8:$C$2008,"Entregue")+SUMIFS(Vendas!$U$8:$U$2008,Vendas!$R$8:$R$2008,$B18,Vendas!$E$8:$E$2008,"&gt;=01/06/"&amp;$G$3,Vendas!$E$8:$E$2008,"&lt;=30/06/"&amp;$G$3,Vendas!$C$8:$C$2008,"Entregue")+SUMIFS(Vendas!$Z$8:$Z$2008,Vendas!$W$8:$W$2008,$B18,Vendas!$E$8:$E$2008,"&gt;=01/06/"&amp;$G$3,Vendas!$E$8:$E$2008,"&lt;=30/06/"&amp;$G$3,Vendas!$C$8:$C$2008,"Entregue")+SUMIFS(Vendas!$AE$8:$AE$2008,Vendas!$AB$8:$AB$2008,$B18,Vendas!$E$8:$E$2008,"&gt;=01/06/"&amp;$G$3,Vendas!$E$8:$E$2008,"&lt;=30/06/"&amp;$G$3,Vendas!$C$8:$C$2008,"Entregue")+SUMIFS(Vendas!$AJ$8:$AJ$2008,Vendas!$AG$8:$AG$2008,$B18,Vendas!$E$8:$E$2008,"&gt;=01/06/"&amp;$G$3,Vendas!$E$8:$E$2008,"&lt;=30/06/"&amp;$G$3,Vendas!$C$8:$C$2008,"Entregue")+SUMIFS(Vendas!$AO$8:$AO$2008,Vendas!$AL$8:$AL$2008,$B18,Vendas!$E$8:$E$2008,"&gt;=01/06/"&amp;$G$3,Vendas!$E$8:$E$2008,"&lt;=30/06/"&amp;$G$3,Vendas!$C$8:$C$2008,"Entregue")+SUMIFS(Vendas!$AT$8:$AT$2008,Vendas!$AQ$8:$AQ$2008,$B18,Vendas!$E$8:$E$2008,"&gt;=01/06/"&amp;$G$3,Vendas!$E$8:$E$2008,"&lt;=30/06/"&amp;$G$3,Vendas!$C$8:$C$2008,"Entregue")</f>
        <v>0</v>
      </c>
      <c r="O18" s="162">
        <f>SUMIFS(Vendas!$K$8:$K$2008,Vendas!$H$8:$H$2008,$B18,Vendas!$E$8:$E$2008,"&gt;=01/07/"&amp;$G$3,Vendas!$E$8:$E$2008,"&lt;=31/07/"&amp;$G$3)+SUMIFS(Vendas!$P$8:$P$2008,Vendas!$M$8:$M$2008,$B18,Vendas!$E$8:$E$2008,"&gt;=01/07/"&amp;$G$3,Vendas!$E$8:$E$2008,"&lt;=31/07/"&amp;$G$3)+SUMIFS(Vendas!$U$8:$U$2008,Vendas!$R$8:$R$2008,$B18,Vendas!$E$8:$E$2008,"&gt;=01/07/"&amp;$G$3,Vendas!$E$8:$E$2008,"&lt;=31/07/"&amp;$G$3)+SUMIFS(Vendas!$Z$8:$Z$2008,Vendas!$W$8:$W$2008,$B18,Vendas!$E$8:$E$2008,"&gt;=01/07/"&amp;$G$3,Vendas!$E$8:$E$2008,"&lt;=31/07/"&amp;$G$3)+SUMIFS(Vendas!$AE$8:$AE$2008,Vendas!$AB$8:$AB$2008,$B18,Vendas!$E$8:$E$2008,"&gt;=01/07/"&amp;$G$3,Vendas!$E$8:$E$2008,"&lt;=31/07/"&amp;$G$3)+SUMIFS(Vendas!$AJ$8:$AJ$2008,Vendas!$AG$8:$AG$2008,$B18,Vendas!$E$8:$E$2008,"&gt;=01/07/"&amp;$G$3,Vendas!$E$8:$E$2008,"&lt;=31/07/"&amp;$G$3)+SUMIFS(Vendas!$AO$8:$AO$2008,Vendas!$AL$8:$AL$2008,$B18,Vendas!$E$8:$E$2008,"&gt;=01/07/"&amp;$G$3,Vendas!$E$8:$E$2008,"&lt;=31/07/"&amp;$G$3)+SUMIFS(Vendas!$AT$8:$AT$2008,Vendas!$AQ$8:$AQ$2008,$B18,Vendas!$E$8:$E$2008,"&gt;=01/07/"&amp;$G$3,Vendas!$E$8:$E$2008,"&lt;=31/07/"&amp;$G$3)</f>
        <v>0</v>
      </c>
      <c r="P18" s="162">
        <f>SUMIFS(Vendas!$K$8:$K$2008,Vendas!$H$8:$H$2008,$B18,Vendas!$E$8:$E$2008,"&gt;=01/07/"&amp;$G$3,Vendas!$E$8:$E$2008,"&lt;=31/07/"&amp;$G$3,Vendas!$C$8:$C$2008,"Entregue")+SUMIFS(Vendas!$P$8:$P$2008,Vendas!$M$8:$M$2008,$B18,Vendas!$E$8:$E$2008,"&gt;=01/07/"&amp;$G$3,Vendas!$E$8:$E$2008,"&lt;=31/07/"&amp;$G$3,Vendas!$C$8:$C$2008,"Entregue")+SUMIFS(Vendas!$U$8:$U$2008,Vendas!$R$8:$R$2008,$B18,Vendas!$E$8:$E$2008,"&gt;=01/07/"&amp;$G$3,Vendas!$E$8:$E$2008,"&lt;=31/07/"&amp;$G$3,Vendas!$C$8:$C$2008,"Entregue")+SUMIFS(Vendas!$Z$8:$Z$2008,Vendas!$W$8:$W$2008,$B18,Vendas!$E$8:$E$2008,"&gt;=01/07/"&amp;$G$3,Vendas!$E$8:$E$2008,"&lt;=31/07/"&amp;$G$3,Vendas!$C$8:$C$2008,"Entregue")+SUMIFS(Vendas!$AE$8:$AE$2008,Vendas!$AB$8:$AB$2008,$B18,Vendas!$E$8:$E$2008,"&gt;=01/07/"&amp;$G$3,Vendas!$E$8:$E$2008,"&lt;=31/07/"&amp;$G$3,Vendas!$C$8:$C$2008,"Entregue")+SUMIFS(Vendas!$AJ$8:$AJ$2008,Vendas!$AG$8:$AG$2008,$B18,Vendas!$E$8:$E$2008,"&gt;=01/07/"&amp;$G$3,Vendas!$E$8:$E$2008,"&lt;=31/07/"&amp;$G$3,Vendas!$C$8:$C$2008,"Entregue")+SUMIFS(Vendas!$AO$8:$AO$2008,Vendas!$AL$8:$AL$2008,$B18,Vendas!$E$8:$E$2008,"&gt;=01/07/"&amp;$G$3,Vendas!$E$8:$E$2008,"&lt;=31/07/"&amp;$G$3,Vendas!$C$8:$C$2008,"Entregue")+SUMIFS(Vendas!$AT$8:$AT$2008,Vendas!$AQ$8:$AQ$2008,$B18,Vendas!$E$8:$E$2008,"&gt;=01/07/"&amp;$G$3,Vendas!$E$8:$E$2008,"&lt;=31/07/"&amp;$G$3,Vendas!$C$8:$C$2008,"Entregue")</f>
        <v>0</v>
      </c>
      <c r="Q18" s="162">
        <f>SUMIFS(Vendas!$K$8:$K$2008,Vendas!$H$8:$H$2008,$B18,Vendas!$E$8:$E$2008,"&gt;=01/08/"&amp;$G$3,Vendas!$E$8:$E$2008,"&lt;=31/08/"&amp;$G$3)+SUMIFS(Vendas!$P$8:$P$2008,Vendas!$M$8:$M$2008,$B18,Vendas!$E$8:$E$2008,"&gt;=01/08/"&amp;$G$3,Vendas!$E$8:$E$2008,"&lt;=31/08/"&amp;$G$3)+SUMIFS(Vendas!$U$8:$U$2008,Vendas!$R$8:$R$2008,$B18,Vendas!$E$8:$E$2008,"&gt;=01/08/"&amp;$G$3,Vendas!$E$8:$E$2008,"&lt;=31/08/"&amp;$G$3)+SUMIFS(Vendas!$Z$8:$Z$2008,Vendas!$W$8:$W$2008,$B18,Vendas!$E$8:$E$2008,"&gt;=01/08/"&amp;$G$3,Vendas!$E$8:$E$2008,"&lt;=31/08/"&amp;$G$3)+SUMIFS(Vendas!$AE$8:$AE$2008,Vendas!$AB$8:$AB$2008,$B18,Vendas!$E$8:$E$2008,"&gt;=01/08/"&amp;$G$3,Vendas!$E$8:$E$2008,"&lt;=31/08/"&amp;$G$3)+SUMIFS(Vendas!$AJ$8:$AJ$2008,Vendas!$AG$8:$AG$2008,$B18,Vendas!$E$8:$E$2008,"&gt;=01/08/"&amp;$G$3,Vendas!$E$8:$E$2008,"&lt;=31/08/"&amp;$G$3)+SUMIFS(Vendas!$AO$8:$AO$2008,Vendas!$AL$8:$AL$2008,$B18,Vendas!$E$8:$E$2008,"&gt;=01/08/"&amp;$G$3,Vendas!$E$8:$E$2008,"&lt;=31/08/"&amp;$G$3)+SUMIFS(Vendas!$AT$8:$AT$2008,Vendas!$AQ$8:$AQ$2008,$B18,Vendas!$E$8:$E$2008,"&gt;=01/08/"&amp;$G$3,Vendas!$E$8:$E$2008,"&lt;=31/08/"&amp;$G$3)</f>
        <v>0</v>
      </c>
      <c r="R18" s="162">
        <f>SUMIFS(Vendas!$K$8:$K$2008,Vendas!$H$8:$H$2008,$B18,Vendas!$E$8:$E$2008,"&gt;=01/08/"&amp;$G$3,Vendas!$E$8:$E$2008,"&lt;=31/08/"&amp;$G$3,Vendas!$C$8:$C$2008,"Entregue")+SUMIFS(Vendas!$P$8:$P$2008,Vendas!$M$8:$M$2008,$B18,Vendas!$E$8:$E$2008,"&gt;=01/08/"&amp;$G$3,Vendas!$E$8:$E$2008,"&lt;=31/08/"&amp;$G$3,Vendas!$C$8:$C$2008,"Entregue")+SUMIFS(Vendas!$U$8:$U$2008,Vendas!$R$8:$R$2008,$B18,Vendas!$E$8:$E$2008,"&gt;=01/08/"&amp;$G$3,Vendas!$E$8:$E$2008,"&lt;=31/08/"&amp;$G$3,Vendas!$C$8:$C$2008,"Entregue")+SUMIFS(Vendas!$Z$8:$Z$2008,Vendas!$W$8:$W$2008,$B18,Vendas!$E$8:$E$2008,"&gt;=01/08/"&amp;$G$3,Vendas!$E$8:$E$2008,"&lt;=31/08/"&amp;$G$3,Vendas!$C$8:$C$2008,"Entregue")+SUMIFS(Vendas!$AE$8:$AE$2008,Vendas!$AB$8:$AB$2008,$B18,Vendas!$E$8:$E$2008,"&gt;=01/08/"&amp;$G$3,Vendas!$E$8:$E$2008,"&lt;=31/08/"&amp;$G$3,Vendas!$C$8:$C$2008,"Entregue")+SUMIFS(Vendas!$AJ$8:$AJ$2008,Vendas!$AG$8:$AG$2008,$B18,Vendas!$E$8:$E$2008,"&gt;=01/08/"&amp;$G$3,Vendas!$E$8:$E$2008,"&lt;=31/08/"&amp;$G$3,Vendas!$C$8:$C$2008,"Entregue")+SUMIFS(Vendas!$AO$8:$AO$2008,Vendas!$AL$8:$AL$2008,$B18,Vendas!$E$8:$E$2008,"&gt;=01/08/"&amp;$G$3,Vendas!$E$8:$E$2008,"&lt;=31/08/"&amp;$G$3,Vendas!$C$8:$C$2008,"Entregue")+SUMIFS(Vendas!$AT$8:$AT$2008,Vendas!$AQ$8:$AQ$2008,$B18,Vendas!$E$8:$E$2008,"&gt;=01/08/"&amp;$G$3,Vendas!$E$8:$E$2008,"&lt;=31/08/"&amp;$G$3,Vendas!$C$8:$C$2008,"Entregue")</f>
        <v>0</v>
      </c>
      <c r="S18" s="162">
        <f>SUMIFS(Vendas!$K$8:$K$2008,Vendas!$H$8:$H$2008,$B18,Vendas!$E$8:$E$2008,"&gt;=01/09/"&amp;$G$3,Vendas!$E$8:$E$2008,"&lt;=30/09/"&amp;$G$3)+SUMIFS(Vendas!$P$8:$P$2008,Vendas!$M$8:$M$2008,$B18,Vendas!$E$8:$E$2008,"&gt;=01/09/"&amp;$G$3,Vendas!$E$8:$E$2008,"&lt;=30/09/"&amp;$G$3)+SUMIFS(Vendas!$U$8:$U$2008,Vendas!$R$8:$R$2008,$B18,Vendas!$E$8:$E$2008,"&gt;=01/09/"&amp;$G$3,Vendas!$E$8:$E$2008,"&lt;=30/09/"&amp;$G$3)+SUMIFS(Vendas!$Z$8:$Z$2008,Vendas!$W$8:$W$2008,$B18,Vendas!$E$8:$E$2008,"&gt;=01/09/"&amp;$G$3,Vendas!$E$8:$E$2008,"&lt;=30/09/"&amp;$G$3)+SUMIFS(Vendas!$AE$8:$AE$2008,Vendas!$AB$8:$AB$2008,$B18,Vendas!$E$8:$E$2008,"&gt;=01/09/"&amp;$G$3,Vendas!$E$8:$E$2008,"&lt;=30/09/"&amp;$G$3)+SUMIFS(Vendas!$AJ$8:$AJ$2008,Vendas!$AG$8:$AG$2008,$B18,Vendas!$E$8:$E$2008,"&gt;=01/09/"&amp;$G$3,Vendas!$E$8:$E$2008,"&lt;=30/09/"&amp;$G$3)+SUMIFS(Vendas!$AO$8:$AO$2008,Vendas!$AL$8:$AL$2008,$B18,Vendas!$E$8:$E$2008,"&gt;=01/09/"&amp;$G$3,Vendas!$E$8:$E$2008,"&lt;=30/09/"&amp;$G$3)+SUMIFS(Vendas!$AT$8:$AT$2008,Vendas!$AQ$8:$AQ$2008,$B18,Vendas!$E$8:$E$2008,"&gt;=01/09/"&amp;$G$3,Vendas!$E$8:$E$2008,"&lt;=30/09/"&amp;$G$3)</f>
        <v>0</v>
      </c>
      <c r="T18" s="162">
        <f>SUMIFS(Vendas!$K$8:$K$2008,Vendas!$H$8:$H$2008,$B18,Vendas!$E$8:$E$2008,"&gt;=01/09/"&amp;$G$3,Vendas!$E$8:$E$2008,"&lt;=30/09/"&amp;$G$3,Vendas!$C$8:$C$2008,"Entregue")+SUMIFS(Vendas!$P$8:$P$2008,Vendas!$M$8:$M$2008,$B18,Vendas!$E$8:$E$2008,"&gt;=01/09/"&amp;$G$3,Vendas!$E$8:$E$2008,"&lt;=30/09/"&amp;$G$3,Vendas!$C$8:$C$2008,"Entregue")+SUMIFS(Vendas!$U$8:$U$2008,Vendas!$R$8:$R$2008,$B18,Vendas!$E$8:$E$2008,"&gt;=01/09/"&amp;$G$3,Vendas!$E$8:$E$2008,"&lt;=30/09/"&amp;$G$3,Vendas!$C$8:$C$2008,"Entregue")+SUMIFS(Vendas!$Z$8:$Z$2008,Vendas!$W$8:$W$2008,$B18,Vendas!$E$8:$E$2008,"&gt;=01/09/"&amp;$G$3,Vendas!$E$8:$E$2008,"&lt;=30/09/"&amp;$G$3,Vendas!$C$8:$C$2008,"Entregue")+SUMIFS(Vendas!$AE$8:$AE$2008,Vendas!$AB$8:$AB$2008,$B18,Vendas!$E$8:$E$2008,"&gt;=01/09/"&amp;$G$3,Vendas!$E$8:$E$2008,"&lt;=30/09/"&amp;$G$3,Vendas!$C$8:$C$2008,"Entregue")+SUMIFS(Vendas!$AJ$8:$AJ$2008,Vendas!$AG$8:$AG$2008,$B18,Vendas!$E$8:$E$2008,"&gt;=01/09/"&amp;$G$3,Vendas!$E$8:$E$2008,"&lt;=30/09/"&amp;$G$3,Vendas!$C$8:$C$2008,"Entregue")+SUMIFS(Vendas!$AO$8:$AO$2008,Vendas!$AL$8:$AL$2008,$B18,Vendas!$E$8:$E$2008,"&gt;=01/09/"&amp;$G$3,Vendas!$E$8:$E$2008,"&lt;=30/09/"&amp;$G$3,Vendas!$C$8:$C$2008,"Entregue")+SUMIFS(Vendas!$AT$8:$AT$2008,Vendas!$AQ$8:$AQ$2008,$B18,Vendas!$E$8:$E$2008,"&gt;=01/09/"&amp;$G$3,Vendas!$E$8:$E$2008,"&lt;=30/09/"&amp;$G$3,Vendas!$C$8:$C$2008,"Entregue")</f>
        <v>0</v>
      </c>
      <c r="U18" s="162">
        <f>SUMIFS(Vendas!$K$8:$K$2008,Vendas!$H$8:$H$2008,$B18,Vendas!$E$8:$E$2008,"&gt;=01/10/"&amp;$G$3,Vendas!$E$8:$E$2008,"&lt;=31/10/"&amp;$G$3)+SUMIFS(Vendas!$P$8:$P$2008,Vendas!$M$8:$M$2008,$B18,Vendas!$E$8:$E$2008,"&gt;=01/10/"&amp;$G$3,Vendas!$E$8:$E$2008,"&lt;=31/10/"&amp;$G$3)+SUMIFS(Vendas!$U$8:$U$2008,Vendas!$R$8:$R$2008,$B18,Vendas!$E$8:$E$2008,"&gt;=01/10/"&amp;$G$3,Vendas!$E$8:$E$2008,"&lt;=31/10/"&amp;$G$3)+SUMIFS(Vendas!$Z$8:$Z$2008,Vendas!$W$8:$W$2008,$B18,Vendas!$E$8:$E$2008,"&gt;=01/10/"&amp;$G$3,Vendas!$E$8:$E$2008,"&lt;=31/10/"&amp;$G$3)+SUMIFS(Vendas!$AE$8:$AE$2008,Vendas!$AB$8:$AB$2008,$B18,Vendas!$E$8:$E$2008,"&gt;=01/10/"&amp;$G$3,Vendas!$E$8:$E$2008,"&lt;=31/10/"&amp;$G$3)+SUMIFS(Vendas!$AJ$8:$AJ$2008,Vendas!$AG$8:$AG$2008,$B18,Vendas!$E$8:$E$2008,"&gt;=01/10/"&amp;$G$3,Vendas!$E$8:$E$2008,"&lt;=31/10/"&amp;$G$3)+SUMIFS(Vendas!$AO$8:$AO$2008,Vendas!$AL$8:$AL$2008,$B18,Vendas!$E$8:$E$2008,"&gt;=01/10/"&amp;$G$3,Vendas!$E$8:$E$2008,"&lt;=31/10/"&amp;$G$3)+SUMIFS(Vendas!$AT$8:$AT$2008,Vendas!$AQ$8:$AQ$2008,$B18,Vendas!$E$8:$E$2008,"&gt;=01/10/"&amp;$G$3,Vendas!$E$8:$E$2008,"&lt;=31/10/"&amp;$G$3)</f>
        <v>0</v>
      </c>
      <c r="V18" s="162">
        <f>SUMIFS(Vendas!$K$8:$K$2008,Vendas!$H$8:$H$2008,$B18,Vendas!$E$8:$E$2008,"&gt;=01/10/"&amp;$G$3,Vendas!$E$8:$E$2008,"&lt;=31/10/"&amp;$G$3,Vendas!$C$8:$C$2008,"Entregue")+SUMIFS(Vendas!$P$8:$P$2008,Vendas!$M$8:$M$2008,$B18,Vendas!$E$8:$E$2008,"&gt;=01/10/"&amp;$G$3,Vendas!$E$8:$E$2008,"&lt;=31/10/"&amp;$G$3,Vendas!$C$8:$C$2008,"Entregue")+SUMIFS(Vendas!$U$8:$U$2008,Vendas!$R$8:$R$2008,$B18,Vendas!$E$8:$E$2008,"&gt;=01/10/"&amp;$G$3,Vendas!$E$8:$E$2008,"&lt;=31/10/"&amp;$G$3,Vendas!$C$8:$C$2008,"Entregue")+SUMIFS(Vendas!$Z$8:$Z$2008,Vendas!$W$8:$W$2008,$B18,Vendas!$E$8:$E$2008,"&gt;=01/10/"&amp;$G$3,Vendas!$E$8:$E$2008,"&lt;=31/10/"&amp;$G$3,Vendas!$C$8:$C$2008,"Entregue")+SUMIFS(Vendas!$AE$8:$AE$2008,Vendas!$AB$8:$AB$2008,$B18,Vendas!$E$8:$E$2008,"&gt;=01/10/"&amp;$G$3,Vendas!$E$8:$E$2008,"&lt;=31/10/"&amp;$G$3,Vendas!$C$8:$C$2008,"Entregue")+SUMIFS(Vendas!$AJ$8:$AJ$2008,Vendas!$AG$8:$AG$2008,$B18,Vendas!$E$8:$E$2008,"&gt;=01/10/"&amp;$G$3,Vendas!$E$8:$E$2008,"&lt;=31/10/"&amp;$G$3,Vendas!$C$8:$C$2008,"Entregue")+SUMIFS(Vendas!$AO$8:$AO$2008,Vendas!$AL$8:$AL$2008,$B18,Vendas!$E$8:$E$2008,"&gt;=01/10/"&amp;$G$3,Vendas!$E$8:$E$2008,"&lt;=31/10/"&amp;$G$3,Vendas!$C$8:$C$2008,"Entregue")+SUMIFS(Vendas!$AT$8:$AT$2008,Vendas!$AQ$8:$AQ$2008,$B18,Vendas!$E$8:$E$2008,"&gt;=01/10/"&amp;$G$3,Vendas!$E$8:$E$2008,"&lt;=31/10/"&amp;$G$3,Vendas!$C$8:$C$2008,"Entregue")</f>
        <v>0</v>
      </c>
      <c r="W18" s="162">
        <f>SUMIFS(Vendas!$K$8:$K$2008,Vendas!$H$8:$H$2008,$B18,Vendas!$E$8:$E$2008,"&gt;=01/11/"&amp;$G$3,Vendas!$E$8:$E$2008,"&lt;=30/11/"&amp;$G$3)+SUMIFS(Vendas!$P$8:$P$2008,Vendas!$M$8:$M$2008,$B18,Vendas!$E$8:$E$2008,"&gt;=01/11/"&amp;$G$3,Vendas!$E$8:$E$2008,"&lt;=30/11/"&amp;$G$3)+SUMIFS(Vendas!$U$8:$U$2008,Vendas!$R$8:$R$2008,$B18,Vendas!$E$8:$E$2008,"&gt;=01/11/"&amp;$G$3,Vendas!$E$8:$E$2008,"&lt;=30/11/"&amp;$G$3)+SUMIFS(Vendas!$Z$8:$Z$2008,Vendas!$W$8:$W$2008,$B18,Vendas!$E$8:$E$2008,"&gt;=01/11/"&amp;$G$3,Vendas!$E$8:$E$2008,"&lt;=30/11/"&amp;$G$3)+SUMIFS(Vendas!$AE$8:$AE$2008,Vendas!$AB$8:$AB$2008,$B18,Vendas!$E$8:$E$2008,"&gt;=01/11/"&amp;$G$3,Vendas!$E$8:$E$2008,"&lt;=30/11/"&amp;$G$3)+SUMIFS(Vendas!$AJ$8:$AJ$2008,Vendas!$AG$8:$AG$2008,$B18,Vendas!$E$8:$E$2008,"&gt;=01/11/"&amp;$G$3,Vendas!$E$8:$E$2008,"&lt;=30/11/"&amp;$G$3)+SUMIFS(Vendas!$AO$8:$AO$2008,Vendas!$AL$8:$AL$2008,$B18,Vendas!$E$8:$E$2008,"&gt;=01/11/"&amp;$G$3,Vendas!$E$8:$E$2008,"&lt;=30/11/"&amp;$G$3)+SUMIFS(Vendas!$AT$8:$AT$2008,Vendas!$AQ$8:$AQ$2008,$B18,Vendas!$E$8:$E$2008,"&gt;=01/11/"&amp;$G$3,Vendas!$E$8:$E$2008,"&lt;=30/11/"&amp;$G$3)</f>
        <v>0</v>
      </c>
      <c r="X18" s="162">
        <f>SUMIFS(Vendas!$K$8:$K$2008,Vendas!$H$8:$H$2008,$B18,Vendas!$E$8:$E$2008,"&gt;=01/11/"&amp;$G$3,Vendas!$E$8:$E$2008,"&lt;=30/11/"&amp;$G$3,Vendas!$C$8:$C$2008,"Entregue")+SUMIFS(Vendas!$P$8:$P$2008,Vendas!$M$8:$M$2008,$B18,Vendas!$E$8:$E$2008,"&gt;=01/11/"&amp;$G$3,Vendas!$E$8:$E$2008,"&lt;=30/11/"&amp;$G$3,Vendas!$C$8:$C$2008,"Entregue")+SUMIFS(Vendas!$U$8:$U$2008,Vendas!$R$8:$R$2008,$B18,Vendas!$E$8:$E$2008,"&gt;=01/11/"&amp;$G$3,Vendas!$E$8:$E$2008,"&lt;=30/11/"&amp;$G$3,Vendas!$C$8:$C$2008,"Entregue")+SUMIFS(Vendas!$Z$8:$Z$2008,Vendas!$W$8:$W$2008,$B18,Vendas!$E$8:$E$2008,"&gt;=01/11/"&amp;$G$3,Vendas!$E$8:$E$2008,"&lt;=30/11/"&amp;$G$3,Vendas!$C$8:$C$2008,"Entregue")+SUMIFS(Vendas!$AE$8:$AE$2008,Vendas!$AB$8:$AB$2008,$B18,Vendas!$E$8:$E$2008,"&gt;=01/11/"&amp;$G$3,Vendas!$E$8:$E$2008,"&lt;=30/11/"&amp;$G$3,Vendas!$C$8:$C$2008,"Entregue")+SUMIFS(Vendas!$AJ$8:$AJ$2008,Vendas!$AG$8:$AG$2008,$B18,Vendas!$E$8:$E$2008,"&gt;=01/11/"&amp;$G$3,Vendas!$E$8:$E$2008,"&lt;=30/11/"&amp;$G$3,Vendas!$C$8:$C$2008,"Entregue")+SUMIFS(Vendas!$AO$8:$AO$2008,Vendas!$AL$8:$AL$2008,$B18,Vendas!$E$8:$E$2008,"&gt;=01/11/"&amp;$G$3,Vendas!$E$8:$E$2008,"&lt;=30/11/"&amp;$G$3,Vendas!$C$8:$C$2008,"Entregue")+SUMIFS(Vendas!$AT$8:$AT$2008,Vendas!$AQ$8:$AQ$2008,$B18,Vendas!$E$8:$E$2008,"&gt;=01/11/"&amp;$G$3,Vendas!$E$8:$E$2008,"&lt;=30/11/"&amp;$G$3,Vendas!$C$8:$C$2008,"Entregue")</f>
        <v>0</v>
      </c>
      <c r="Y18" s="162">
        <f>SUMIFS(Vendas!$K$8:$K$2008,Vendas!$H$8:$H$2008,$B18,Vendas!$E$8:$E$2008,"&gt;=01/12/"&amp;$G$3,Vendas!$E$8:$E$2008,"&lt;=31/12/"&amp;$G$3)+SUMIFS(Vendas!$P$8:$P$2008,Vendas!$M$8:$M$2008,$B18,Vendas!$E$8:$E$2008,"&gt;=01/12/"&amp;$G$3,Vendas!$E$8:$E$2008,"&lt;=31/12/"&amp;$G$3)+SUMIFS(Vendas!$U$8:$U$2008,Vendas!$R$8:$R$2008,$B18,Vendas!$E$8:$E$2008,"&gt;=01/12/"&amp;$G$3,Vendas!$E$8:$E$2008,"&lt;=31/12/"&amp;$G$3)+SUMIFS(Vendas!$Z$8:$Z$2008,Vendas!$W$8:$W$2008,$B18,Vendas!$E$8:$E$2008,"&gt;=01/12/"&amp;$G$3,Vendas!$E$8:$E$2008,"&lt;=31/12/"&amp;$G$3)+SUMIFS(Vendas!$AE$8:$AE$2008,Vendas!$AB$8:$AB$2008,$B18,Vendas!$E$8:$E$2008,"&gt;=01/12/"&amp;$G$3,Vendas!$E$8:$E$2008,"&lt;=31/12/"&amp;$G$3)+SUMIFS(Vendas!$AJ$8:$AJ$2008,Vendas!$AG$8:$AG$2008,$B18,Vendas!$E$8:$E$2008,"&gt;=01/12/"&amp;$G$3,Vendas!$E$8:$E$2008,"&lt;=31/12/"&amp;$G$3)+SUMIFS(Vendas!$AO$8:$AO$2008,Vendas!$AL$8:$AL$2008,$B18,Vendas!$E$8:$E$2008,"&gt;=01/12/"&amp;$G$3,Vendas!$E$8:$E$2008,"&lt;=31/12/"&amp;$G$3)+SUMIFS(Vendas!$AT$8:$AT$2008,Vendas!$AQ$8:$AQ$2008,$B18,Vendas!$E$8:$E$2008,"&gt;=01/12/"&amp;$G$3,Vendas!$E$8:$E$2008,"&lt;=31/12/"&amp;$G$3)</f>
        <v>0</v>
      </c>
      <c r="Z18" s="163">
        <f>SUMIFS(Vendas!$K$8:$K$2008,Vendas!$H$8:$H$2008,$B18,Vendas!$E$8:$E$2008,"&gt;=01/12/"&amp;$G$3,Vendas!$E$8:$E$2008,"&lt;=31/12/"&amp;$G$3,Vendas!$C$8:$C$2008,"Entregue")+SUMIFS(Vendas!$P$8:$P$2008,Vendas!$M$8:$M$2008,$B18,Vendas!$E$8:$E$2008,"&gt;=01/12/"&amp;$G$3,Vendas!$E$8:$E$2008,"&lt;=31/12/"&amp;$G$3,Vendas!$C$8:$C$2008,"Entregue")+SUMIFS(Vendas!$U$8:$U$2008,Vendas!$R$8:$R$2008,$B18,Vendas!$E$8:$E$2008,"&gt;=01/12/"&amp;$G$3,Vendas!$E$8:$E$2008,"&lt;=31/12/"&amp;$G$3,Vendas!$C$8:$C$2008,"Entregue")+SUMIFS(Vendas!$Z$8:$Z$2008,Vendas!$W$8:$W$2008,$B18,Vendas!$E$8:$E$2008,"&gt;=01/12/"&amp;$G$3,Vendas!$E$8:$E$2008,"&lt;=31/12/"&amp;$G$3,Vendas!$C$8:$C$2008,"Entregue")+SUMIFS(Vendas!$AE$8:$AE$2008,Vendas!$AB$8:$AB$2008,$B18,Vendas!$E$8:$E$2008,"&gt;=01/12/"&amp;$G$3,Vendas!$E$8:$E$2008,"&lt;=31/12/"&amp;$G$3,Vendas!$C$8:$C$2008,"Entregue")+SUMIFS(Vendas!$AJ$8:$AJ$2008,Vendas!$AG$8:$AG$2008,$B18,Vendas!$E$8:$E$2008,"&gt;=01/12/"&amp;$G$3,Vendas!$E$8:$E$2008,"&lt;=31/12/"&amp;$G$3,Vendas!$C$8:$C$2008,"Entregue")+SUMIFS(Vendas!$AO$8:$AO$2008,Vendas!$AL$8:$AL$2008,$B18,Vendas!$E$8:$E$2008,"&gt;=01/12/"&amp;$G$3,Vendas!$E$8:$E$2008,"&lt;=31/12/"&amp;$G$3,Vendas!$C$8:$C$2008,"Entregue")+SUMIFS(Vendas!$AT$8:$AT$2008,Vendas!$AQ$8:$AQ$2008,$B18,Vendas!$E$8:$E$2008,"&gt;=01/12/"&amp;$G$3,Vendas!$E$8:$E$2008,"&lt;=31/12/"&amp;$G$3,Vendas!$C$8:$C$2008,"Entregue")</f>
        <v>0</v>
      </c>
      <c r="AA18" s="132">
        <f t="shared" si="0"/>
        <v>0</v>
      </c>
      <c r="AB18" s="132">
        <f t="shared" si="0"/>
        <v>0</v>
      </c>
      <c r="AC18" s="67"/>
    </row>
    <row r="19" spans="2:29" ht="14.4" x14ac:dyDescent="0.3">
      <c r="B19" s="262" t="str">
        <f>IF(Cadastros!D18="","",Cadastros!D18)</f>
        <v>10112 - Colchão Supremo 193 X 203 X 027 cm MVQ</v>
      </c>
      <c r="C19" s="158">
        <f>SUMIFS(Vendas!$K$8:$K$2008,Vendas!$H$8:$H$2008,$B19,Vendas!$E$8:$E$2008,"&gt;=01/01/"&amp;$G$3,Vendas!$E$8:$E$2008,"&lt;=31/01/"&amp;$G$3)+SUMIFS(Vendas!$P$8:$P$2008,Vendas!$M$8:$M$2008,$B19,Vendas!$E$8:$E$2008,"&gt;=01/01/"&amp;$G$3,Vendas!$E$8:$E$2008,"&lt;=31/01/"&amp;$G$3)+SUMIFS(Vendas!$U$8:$U$2008,Vendas!$R$8:$R$2008,$B19,Vendas!$E$8:$E$2008,"&gt;=01/01/"&amp;$G$3,Vendas!$E$8:$E$2008,"&lt;=31/01/"&amp;$G$3)+SUMIFS(Vendas!$Z$8:$Z$2008,Vendas!$W$8:$W$2008,$B19,Vendas!$E$8:$E$2008,"&gt;=01/01/"&amp;$G$3,Vendas!$E$8:$E$2008,"&lt;=31/01/"&amp;$G$3)+SUMIFS(Vendas!$AE$8:$AE$2008,Vendas!$AB$8:$AB$2008,$B19,Vendas!$E$8:$E$2008,"&gt;=01/01/"&amp;$G$3,Vendas!$E$8:$E$2008,"&lt;=31/01/"&amp;$G$3)+SUMIFS(Vendas!$AJ$8:$AJ$2008,Vendas!$AG$8:$AG$2008,$B19,Vendas!$E$8:$E$2008,"&gt;=01/01/"&amp;$G$3,Vendas!$E$8:$E$2008,"&lt;=31/01/"&amp;$G$3)+SUMIFS(Vendas!$AO$8:$AO$2008,Vendas!$AL$8:$AL$2008,$B19,Vendas!$E$8:$E$2008,"&gt;=01/01/"&amp;$G$3,Vendas!$E$8:$E$2008,"&lt;=31/01/"&amp;$G$3)+SUMIFS(Vendas!$AT$8:$AT$2008,Vendas!$AQ$8:$AQ$2008,$B19,Vendas!$E$8:$E$2008,"&gt;=01/01/"&amp;$G$3,Vendas!$E$8:$E$2008,"&lt;=31/01/"&amp;$G$3)</f>
        <v>0</v>
      </c>
      <c r="D19" s="159">
        <f>SUMIFS(Vendas!$K$8:$K$2008,Vendas!$H$8:$H$2008,$B19,Vendas!$E$8:$E$2008,"&gt;=01/01/"&amp;$G$3,Vendas!$E$8:$E$2008,"&lt;=31/01/"&amp;$G$3,Vendas!$C$8:$C$2008,"Entregue")+SUMIFS(Vendas!$P$8:$P$2008,Vendas!$M$8:$M$2008,$B19,Vendas!$E$8:$E$2008,"&gt;=01/01/"&amp;$G$3,Vendas!$E$8:$E$2008,"&lt;=31/01/"&amp;$G$3,Vendas!$C$8:$C$2008,"Entregue")+SUMIFS(Vendas!$U$8:$U$2008,Vendas!$R$8:$R$2008,$B19,Vendas!$E$8:$E$2008,"&gt;=01/01/"&amp;$G$3,Vendas!$E$8:$E$2008,"&lt;=31/01/"&amp;$G$3,Vendas!$C$8:$C$2008,"Entregue")+SUMIFS(Vendas!$Z$8:$Z$2008,Vendas!$W$8:$W$2008,$B19,Vendas!$E$8:$E$2008,"&gt;=01/01/"&amp;$G$3,Vendas!$E$8:$E$2008,"&lt;=31/01/"&amp;$G$3,Vendas!$C$8:$C$2008,"Entregue")+SUMIFS(Vendas!$AE$8:$AE$2008,Vendas!$AB$8:$AB$2008,$B19,Vendas!$E$8:$E$2008,"&gt;=01/01/"&amp;$G$3,Vendas!$E$8:$E$2008,"&lt;=31/01/"&amp;$G$3,Vendas!$C$8:$C$2008,"Entregue")+SUMIFS(Vendas!$AJ$8:$AJ$2008,Vendas!$AG$8:$AG$2008,$B19,Vendas!$E$8:$E$2008,"&gt;=01/01/"&amp;$G$3,Vendas!$E$8:$E$2008,"&lt;=31/01/"&amp;$G$3,Vendas!$C$8:$C$2008,"Entregue")+SUMIFS(Vendas!$AO$8:$AO$2008,Vendas!$AL$8:$AL$2008,$B19,Vendas!$E$8:$E$2008,"&gt;=01/01/"&amp;$G$3,Vendas!$E$8:$E$2008,"&lt;=31/01/"&amp;$G$3,Vendas!$C$8:$C$2008,"Entregue")+SUMIFS(Vendas!$AT$8:$AT$2008,Vendas!$AQ$8:$AQ$2008,$B19,Vendas!$E$8:$E$2008,"&gt;=01/01/"&amp;$G$3,Vendas!$E$8:$E$2008,"&lt;=31/01/"&amp;$G$3,Vendas!$C$8:$C$2008,"Entregue")</f>
        <v>0</v>
      </c>
      <c r="E19" s="159">
        <f>SUMIFS(Vendas!$K$8:$K$2008,Vendas!$H$8:$H$2008,$B19,Vendas!$E$8:$E$2008,"&gt;=01/02/"&amp;$G$3,Vendas!$E$8:$E$2008,"&lt;=28/02/"&amp;$G$3)+SUMIFS(Vendas!$P$8:$P$2008,Vendas!$M$8:$M$2008,$B19,Vendas!$E$8:$E$2008,"&gt;=01/02/"&amp;$G$3,Vendas!$E$8:$E$2008,"&lt;=28/02/"&amp;$G$3)+SUMIFS(Vendas!$U$8:$U$2008,Vendas!$R$8:$R$2008,$B19,Vendas!$E$8:$E$2008,"&gt;=01/02/"&amp;$G$3,Vendas!$E$8:$E$2008,"&lt;=28/02/"&amp;$G$3)+SUMIFS(Vendas!$Z$8:$Z$2008,Vendas!$W$8:$W$2008,$B19,Vendas!$E$8:$E$2008,"&gt;=01/02/"&amp;$G$3,Vendas!$E$8:$E$2008,"&lt;=28/02/"&amp;$G$3)+SUMIFS(Vendas!$AE$8:$AE$2008,Vendas!$AB$8:$AB$2008,$B19,Vendas!$E$8:$E$2008,"&gt;=01/02/"&amp;$G$3,Vendas!$E$8:$E$2008,"&lt;=28/02/"&amp;$G$3)+SUMIFS(Vendas!$AJ$8:$AJ$2008,Vendas!$AG$8:$AG$2008,$B19,Vendas!$E$8:$E$2008,"&gt;=01/02/"&amp;$G$3,Vendas!$E$8:$E$2008,"&lt;=28/02/"&amp;$G$3)+SUMIFS(Vendas!$AO$8:$AO$2008,Vendas!$AL$8:$AL$2008,$B19,Vendas!$E$8:$E$2008,"&gt;=01/02/"&amp;$G$3,Vendas!$E$8:$E$2008,"&lt;=28/02/"&amp;$G$3)+SUMIFS(Vendas!$AT$8:$AT$2008,Vendas!$AQ$8:$AQ$2008,$B19,Vendas!$E$8:$E$2008,"&gt;=01/02/"&amp;$G$3,Vendas!$E$8:$E$2008,"&lt;=28/02/"&amp;$G$3)</f>
        <v>0</v>
      </c>
      <c r="F19" s="159">
        <f>SUMIFS(Vendas!$K$8:$K$2008,Vendas!$H$8:$H$2008,$B19,Vendas!$E$8:$E$2008,"&gt;=01/02/"&amp;$G$3,Vendas!$E$8:$E$2008,"&lt;=28/02/"&amp;$G$3,Vendas!$C$8:$C$2008,"Entregue")+SUMIFS(Vendas!$P$8:$P$2008,Vendas!$M$8:$M$2008,$B19,Vendas!$E$8:$E$2008,"&gt;=01/02/"&amp;$G$3,Vendas!$E$8:$E$2008,"&lt;=28/02/"&amp;$G$3,Vendas!$C$8:$C$2008,"Entregue")+SUMIFS(Vendas!$U$8:$U$2008,Vendas!$R$8:$R$2008,$B19,Vendas!$E$8:$E$2008,"&gt;=01/02/"&amp;$G$3,Vendas!$E$8:$E$2008,"&lt;=28/02/"&amp;$G$3,Vendas!$C$8:$C$2008,"Entregue")+SUMIFS(Vendas!$Z$8:$Z$2008,Vendas!$W$8:$W$2008,$B19,Vendas!$E$8:$E$2008,"&gt;=01/02/"&amp;$G$3,Vendas!$E$8:$E$2008,"&lt;=28/02/"&amp;$G$3,Vendas!$C$8:$C$2008,"Entregue")+SUMIFS(Vendas!$AE$8:$AE$2008,Vendas!$AB$8:$AB$2008,$B19,Vendas!$E$8:$E$2008,"&gt;=01/02/"&amp;$G$3,Vendas!$E$8:$E$2008,"&lt;=28/02/"&amp;$G$3,Vendas!$C$8:$C$2008,"Entregue")+SUMIFS(Vendas!$AJ$8:$AJ$2008,Vendas!$AG$8:$AG$2008,$B19,Vendas!$E$8:$E$2008,"&gt;=01/02/"&amp;$G$3,Vendas!$E$8:$E$2008,"&lt;=28/02/"&amp;$G$3,Vendas!$C$8:$C$2008,"Entregue")+SUMIFS(Vendas!$AO$8:$AO$2008,Vendas!$AL$8:$AL$2008,$B19,Vendas!$E$8:$E$2008,"&gt;=01/02/"&amp;$G$3,Vendas!$E$8:$E$2008,"&lt;=28/02/"&amp;$G$3,Vendas!$C$8:$C$2008,"Entregue")+SUMIFS(Vendas!$AT$8:$AT$2008,Vendas!$AQ$8:$AQ$2008,$B19,Vendas!$E$8:$E$2008,"&gt;=01/02/"&amp;$G$3,Vendas!$E$8:$E$2008,"&lt;=28/02/"&amp;$G$3,Vendas!$C$8:$C$2008,"Entregue")</f>
        <v>0</v>
      </c>
      <c r="G19" s="159">
        <f>SUMIFS(Vendas!$K$8:$K$2008,Vendas!$H$8:$H$2008,$B19,Vendas!$E$8:$E$2008,"&gt;=01/03/"&amp;$G$3,Vendas!$E$8:$E$2008,"&lt;=31/03/"&amp;$G$3)+SUMIFS(Vendas!$P$8:$P$2008,Vendas!$M$8:$M$2008,$B19,Vendas!$E$8:$E$2008,"&gt;=01/03/"&amp;$G$3,Vendas!$E$8:$E$2008,"&lt;=31/03/"&amp;$G$3)+SUMIFS(Vendas!$U$8:$U$2008,Vendas!$R$8:$R$2008,$B19,Vendas!$E$8:$E$2008,"&gt;=01/03/"&amp;$G$3,Vendas!$E$8:$E$2008,"&lt;=31/03/"&amp;$G$3)+SUMIFS(Vendas!$Z$8:$Z$2008,Vendas!$W$8:$W$2008,$B19,Vendas!$E$8:$E$2008,"&gt;=01/03/"&amp;$G$3,Vendas!$E$8:$E$2008,"&lt;=31/03/"&amp;$G$3)+SUMIFS(Vendas!$AE$8:$AE$2008,Vendas!$AB$8:$AB$2008,$B19,Vendas!$E$8:$E$2008,"&gt;=01/03/"&amp;$G$3,Vendas!$E$8:$E$2008,"&lt;=31/03/"&amp;$G$3)+SUMIFS(Vendas!$AJ$8:$AJ$2008,Vendas!$AG$8:$AG$2008,$B19,Vendas!$E$8:$E$2008,"&gt;=01/03/"&amp;$G$3,Vendas!$E$8:$E$2008,"&lt;=31/03/"&amp;$G$3)+SUMIFS(Vendas!$AO$8:$AO$2008,Vendas!$AL$8:$AL$2008,$B19,Vendas!$E$8:$E$2008,"&gt;=01/03/"&amp;$G$3,Vendas!$E$8:$E$2008,"&lt;=31/03/"&amp;$G$3)+SUMIFS(Vendas!$AT$8:$AT$2008,Vendas!$AQ$8:$AQ$2008,$B19,Vendas!$E$8:$E$2008,"&gt;=01/03/"&amp;$G$3,Vendas!$E$8:$E$2008,"&lt;=31/03/"&amp;$G$3)</f>
        <v>0</v>
      </c>
      <c r="H19" s="159">
        <f>SUMIFS(Vendas!$K$8:$K$2008,Vendas!$H$8:$H$2008,$B19,Vendas!$E$8:$E$2008,"&gt;=01/03/"&amp;$G$3,Vendas!$E$8:$E$2008,"&lt;=31/03/"&amp;$G$3,Vendas!$C$8:$C$2008,"Entregue")+SUMIFS(Vendas!$P$8:$P$2008,Vendas!$M$8:$M$2008,$B19,Vendas!$E$8:$E$2008,"&gt;=01/03/"&amp;$G$3,Vendas!$E$8:$E$2008,"&lt;=31/03/"&amp;$G$3,Vendas!$C$8:$C$2008,"Entregue")+SUMIFS(Vendas!$U$8:$U$2008,Vendas!$R$8:$R$2008,$B19,Vendas!$E$8:$E$2008,"&gt;=01/03/"&amp;$G$3,Vendas!$E$8:$E$2008,"&lt;=31/03/"&amp;$G$3,Vendas!$C$8:$C$2008,"Entregue")+SUMIFS(Vendas!$Z$8:$Z$2008,Vendas!$W$8:$W$2008,$B19,Vendas!$E$8:$E$2008,"&gt;=01/03/"&amp;$G$3,Vendas!$E$8:$E$2008,"&lt;=31/03/"&amp;$G$3,Vendas!$C$8:$C$2008,"Entregue")+SUMIFS(Vendas!$AE$8:$AE$2008,Vendas!$AB$8:$AB$2008,$B19,Vendas!$E$8:$E$2008,"&gt;=01/03/"&amp;$G$3,Vendas!$E$8:$E$2008,"&lt;=31/03/"&amp;$G$3,Vendas!$C$8:$C$2008,"Entregue")+SUMIFS(Vendas!$AJ$8:$AJ$2008,Vendas!$AG$8:$AG$2008,$B19,Vendas!$E$8:$E$2008,"&gt;=01/03/"&amp;$G$3,Vendas!$E$8:$E$2008,"&lt;=31/03/"&amp;$G$3,Vendas!$C$8:$C$2008,"Entregue")+SUMIFS(Vendas!$AO$8:$AO$2008,Vendas!$AL$8:$AL$2008,$B19,Vendas!$E$8:$E$2008,"&gt;=01/03/"&amp;$G$3,Vendas!$E$8:$E$2008,"&lt;=31/03/"&amp;$G$3,Vendas!$C$8:$C$2008,"Entregue")+SUMIFS(Vendas!$AT$8:$AT$2008,Vendas!$AQ$8:$AQ$2008,$B19,Vendas!$E$8:$E$2008,"&gt;=01/03/"&amp;$G$3,Vendas!$E$8:$E$2008,"&lt;=31/03/"&amp;$G$3,Vendas!$C$8:$C$2008,"Entregue")</f>
        <v>0</v>
      </c>
      <c r="I19" s="159">
        <f>SUMIFS(Vendas!$K$8:$K$2008,Vendas!$H$8:$H$2008,$B19,Vendas!$E$8:$E$2008,"&gt;=01/04/"&amp;$G$3,Vendas!$E$8:$E$2008,"&lt;=30/04/"&amp;$G$3)+SUMIFS(Vendas!$P$8:$P$2008,Vendas!$M$8:$M$2008,$B19,Vendas!$E$8:$E$2008,"&gt;=01/04/"&amp;$G$3,Vendas!$E$8:$E$2008,"&lt;=30/04/"&amp;$G$3)+SUMIFS(Vendas!$U$8:$U$2008,Vendas!$R$8:$R$2008,$B19,Vendas!$E$8:$E$2008,"&gt;=01/04/"&amp;$G$3,Vendas!$E$8:$E$2008,"&lt;=30/04/"&amp;$G$3)+SUMIFS(Vendas!$Z$8:$Z$2008,Vendas!$W$8:$W$2008,$B19,Vendas!$E$8:$E$2008,"&gt;=01/04/"&amp;$G$3,Vendas!$E$8:$E$2008,"&lt;=30/04/"&amp;$G$3)+SUMIFS(Vendas!$AE$8:$AE$2008,Vendas!$AB$8:$AB$2008,$B19,Vendas!$E$8:$E$2008,"&gt;=01/04/"&amp;$G$3,Vendas!$E$8:$E$2008,"&lt;=30/04/"&amp;$G$3)+SUMIFS(Vendas!$AJ$8:$AJ$2008,Vendas!$AG$8:$AG$2008,$B19,Vendas!$E$8:$E$2008,"&gt;=01/04/"&amp;$G$3,Vendas!$E$8:$E$2008,"&lt;=30/04/"&amp;$G$3)+SUMIFS(Vendas!$AO$8:$AO$2008,Vendas!$AL$8:$AL$2008,$B19,Vendas!$E$8:$E$2008,"&gt;=01/04/"&amp;$G$3,Vendas!$E$8:$E$2008,"&lt;=30/04/"&amp;$G$3)+SUMIFS(Vendas!$AT$8:$AT$2008,Vendas!$AQ$8:$AQ$2008,$B19,Vendas!$E$8:$E$2008,"&gt;=01/04/"&amp;$G$3,Vendas!$E$8:$E$2008,"&lt;=30/04/"&amp;$G$3)</f>
        <v>0</v>
      </c>
      <c r="J19" s="159">
        <f>SUMIFS(Vendas!$K$8:$K$2008,Vendas!$H$8:$H$2008,$B19,Vendas!$E$8:$E$2008,"&gt;=01/04/"&amp;$G$3,Vendas!$E$8:$E$2008,"&lt;=30/04/"&amp;$G$3,Vendas!$C$8:$C$2008,"Entregue")+SUMIFS(Vendas!$P$8:$P$2008,Vendas!$M$8:$M$2008,$B19,Vendas!$E$8:$E$2008,"&gt;=01/04/"&amp;$G$3,Vendas!$E$8:$E$2008,"&lt;=30/04/"&amp;$G$3,Vendas!$C$8:$C$2008,"Entregue")+SUMIFS(Vendas!$U$8:$U$2008,Vendas!$R$8:$R$2008,$B19,Vendas!$E$8:$E$2008,"&gt;=01/04/"&amp;$G$3,Vendas!$E$8:$E$2008,"&lt;=30/04/"&amp;$G$3,Vendas!$C$8:$C$2008,"Entregue")+SUMIFS(Vendas!$Z$8:$Z$2008,Vendas!$W$8:$W$2008,$B19,Vendas!$E$8:$E$2008,"&gt;=01/04/"&amp;$G$3,Vendas!$E$8:$E$2008,"&lt;=30/04/"&amp;$G$3,Vendas!$C$8:$C$2008,"Entregue")+SUMIFS(Vendas!$AE$8:$AE$2008,Vendas!$AB$8:$AB$2008,$B19,Vendas!$E$8:$E$2008,"&gt;=01/04/"&amp;$G$3,Vendas!$E$8:$E$2008,"&lt;=30/04/"&amp;$G$3,Vendas!$C$8:$C$2008,"Entregue")+SUMIFS(Vendas!$AJ$8:$AJ$2008,Vendas!$AG$8:$AG$2008,$B19,Vendas!$E$8:$E$2008,"&gt;=01/04/"&amp;$G$3,Vendas!$E$8:$E$2008,"&lt;=30/04/"&amp;$G$3,Vendas!$C$8:$C$2008,"Entregue")+SUMIFS(Vendas!$AO$8:$AO$2008,Vendas!$AL$8:$AL$2008,$B19,Vendas!$E$8:$E$2008,"&gt;=01/04/"&amp;$G$3,Vendas!$E$8:$E$2008,"&lt;=30/04/"&amp;$G$3,Vendas!$C$8:$C$2008,"Entregue")+SUMIFS(Vendas!$AT$8:$AT$2008,Vendas!$AQ$8:$AQ$2008,$B19,Vendas!$E$8:$E$2008,"&gt;=01/04/"&amp;$G$3,Vendas!$E$8:$E$2008,"&lt;=30/04/"&amp;$G$3,Vendas!$C$8:$C$2008,"Entregue")</f>
        <v>0</v>
      </c>
      <c r="K19" s="159">
        <f>SUMIFS(Vendas!$K$8:$K$2008,Vendas!$H$8:$H$2008,$B19,Vendas!$E$8:$E$2008,"&gt;=01/05/"&amp;$G$3,Vendas!$E$8:$E$2008,"&lt;=31/05/"&amp;$G$3)+SUMIFS(Vendas!$P$8:$P$2008,Vendas!$M$8:$M$2008,$B19,Vendas!$E$8:$E$2008,"&gt;=01/05/"&amp;$G$3,Vendas!$E$8:$E$2008,"&lt;=31/05/"&amp;$G$3)+SUMIFS(Vendas!$U$8:$U$2008,Vendas!$R$8:$R$2008,$B19,Vendas!$E$8:$E$2008,"&gt;=01/05/"&amp;$G$3,Vendas!$E$8:$E$2008,"&lt;=31/05/"&amp;$G$3)+SUMIFS(Vendas!$Z$8:$Z$2008,Vendas!$W$8:$W$2008,$B19,Vendas!$E$8:$E$2008,"&gt;=01/05/"&amp;$G$3,Vendas!$E$8:$E$2008,"&lt;=31/05/"&amp;$G$3)+SUMIFS(Vendas!$AE$8:$AE$2008,Vendas!$AB$8:$AB$2008,$B19,Vendas!$E$8:$E$2008,"&gt;=01/05/"&amp;$G$3,Vendas!$E$8:$E$2008,"&lt;=31/05/"&amp;$G$3)+SUMIFS(Vendas!$AJ$8:$AJ$2008,Vendas!$AG$8:$AG$2008,$B19,Vendas!$E$8:$E$2008,"&gt;=01/05/"&amp;$G$3,Vendas!$E$8:$E$2008,"&lt;=31/05/"&amp;$G$3)+SUMIFS(Vendas!$AO$8:$AO$2008,Vendas!$AL$8:$AL$2008,$B19,Vendas!$E$8:$E$2008,"&gt;=01/05/"&amp;$G$3,Vendas!$E$8:$E$2008,"&lt;=31/05/"&amp;$G$3)+SUMIFS(Vendas!$AT$8:$AT$2008,Vendas!$AQ$8:$AQ$2008,$B19,Vendas!$E$8:$E$2008,"&gt;=01/05/"&amp;$G$3,Vendas!$E$8:$E$2008,"&lt;=31/05/"&amp;$G$3)</f>
        <v>0</v>
      </c>
      <c r="L19" s="159">
        <f>SUMIFS(Vendas!$K$8:$K$2008,Vendas!$H$8:$H$2008,$B19,Vendas!$E$8:$E$2008,"&gt;=01/05/"&amp;$G$3,Vendas!$E$8:$E$2008,"&lt;=31/05/"&amp;$G$3,Vendas!$C$8:$C$2008,"Entregue")+SUMIFS(Vendas!$P$8:$P$2008,Vendas!$M$8:$M$2008,$B19,Vendas!$E$8:$E$2008,"&gt;=01/05/"&amp;$G$3,Vendas!$E$8:$E$2008,"&lt;=31/05/"&amp;$G$3,Vendas!$C$8:$C$2008,"Entregue")+SUMIFS(Vendas!$U$8:$U$2008,Vendas!$R$8:$R$2008,$B19,Vendas!$E$8:$E$2008,"&gt;=01/05/"&amp;$G$3,Vendas!$E$8:$E$2008,"&lt;=31/05/"&amp;$G$3,Vendas!$C$8:$C$2008,"Entregue")+SUMIFS(Vendas!$Z$8:$Z$2008,Vendas!$W$8:$W$2008,$B19,Vendas!$E$8:$E$2008,"&gt;=01/05/"&amp;$G$3,Vendas!$E$8:$E$2008,"&lt;=31/05/"&amp;$G$3,Vendas!$C$8:$C$2008,"Entregue")+SUMIFS(Vendas!$AE$8:$AE$2008,Vendas!$AB$8:$AB$2008,$B19,Vendas!$E$8:$E$2008,"&gt;=01/05/"&amp;$G$3,Vendas!$E$8:$E$2008,"&lt;=31/05/"&amp;$G$3,Vendas!$C$8:$C$2008,"Entregue")+SUMIFS(Vendas!$AJ$8:$AJ$2008,Vendas!$AG$8:$AG$2008,$B19,Vendas!$E$8:$E$2008,"&gt;=01/05/"&amp;$G$3,Vendas!$E$8:$E$2008,"&lt;=31/05/"&amp;$G$3,Vendas!$C$8:$C$2008,"Entregue")+SUMIFS(Vendas!$AO$8:$AO$2008,Vendas!$AL$8:$AL$2008,$B19,Vendas!$E$8:$E$2008,"&gt;=01/05/"&amp;$G$3,Vendas!$E$8:$E$2008,"&lt;=31/05/"&amp;$G$3,Vendas!$C$8:$C$2008,"Entregue")+SUMIFS(Vendas!$AT$8:$AT$2008,Vendas!$AQ$8:$AQ$2008,$B19,Vendas!$E$8:$E$2008,"&gt;=01/05/"&amp;$G$3,Vendas!$E$8:$E$2008,"&lt;=31/05/"&amp;$G$3,Vendas!$C$8:$C$2008,"Entregue")</f>
        <v>0</v>
      </c>
      <c r="M19" s="159">
        <f>SUMIFS(Vendas!$K$8:$K$2008,Vendas!$H$8:$H$2008,$B19,Vendas!$E$8:$E$2008,"&gt;=01/06/"&amp;$G$3,Vendas!$E$8:$E$2008,"&lt;=30/06/"&amp;$G$3)+SUMIFS(Vendas!$P$8:$P$2008,Vendas!$M$8:$M$2008,$B19,Vendas!$E$8:$E$2008,"&gt;=01/06/"&amp;$G$3,Vendas!$E$8:$E$2008,"&lt;=30/06/"&amp;$G$3)+SUMIFS(Vendas!$U$8:$U$2008,Vendas!$R$8:$R$2008,$B19,Vendas!$E$8:$E$2008,"&gt;=01/06/"&amp;$G$3,Vendas!$E$8:$E$2008,"&lt;=30/06/"&amp;$G$3)+SUMIFS(Vendas!$Z$8:$Z$2008,Vendas!$W$8:$W$2008,$B19,Vendas!$E$8:$E$2008,"&gt;=01/06/"&amp;$G$3,Vendas!$E$8:$E$2008,"&lt;=30/06/"&amp;$G$3)+SUMIFS(Vendas!$AE$8:$AE$2008,Vendas!$AB$8:$AB$2008,$B19,Vendas!$E$8:$E$2008,"&gt;=01/06/"&amp;$G$3,Vendas!$E$8:$E$2008,"&lt;=30/06/"&amp;$G$3)+SUMIFS(Vendas!$AJ$8:$AJ$2008,Vendas!$AG$8:$AG$2008,$B19,Vendas!$E$8:$E$2008,"&gt;=01/06/"&amp;$G$3,Vendas!$E$8:$E$2008,"&lt;=30/06/"&amp;$G$3)+SUMIFS(Vendas!$AO$8:$AO$2008,Vendas!$AL$8:$AL$2008,$B19,Vendas!$E$8:$E$2008,"&gt;=01/06/"&amp;$G$3,Vendas!$E$8:$E$2008,"&lt;=30/06/"&amp;$G$3)+SUMIFS(Vendas!$AT$8:$AT$2008,Vendas!$AQ$8:$AQ$2008,$B19,Vendas!$E$8:$E$2008,"&gt;=01/06/"&amp;$G$3,Vendas!$E$8:$E$2008,"&lt;=30/06/"&amp;$G$3)</f>
        <v>0</v>
      </c>
      <c r="N19" s="159">
        <f>SUMIFS(Vendas!$K$8:$K$2008,Vendas!$H$8:$H$2008,$B19,Vendas!$E$8:$E$2008,"&gt;=01/06/"&amp;$G$3,Vendas!$E$8:$E$2008,"&lt;=30/06/"&amp;$G$3,Vendas!$C$8:$C$2008,"Entregue")+SUMIFS(Vendas!$P$8:$P$2008,Vendas!$M$8:$M$2008,$B19,Vendas!$E$8:$E$2008,"&gt;=01/06/"&amp;$G$3,Vendas!$E$8:$E$2008,"&lt;=30/06/"&amp;$G$3,Vendas!$C$8:$C$2008,"Entregue")+SUMIFS(Vendas!$U$8:$U$2008,Vendas!$R$8:$R$2008,$B19,Vendas!$E$8:$E$2008,"&gt;=01/06/"&amp;$G$3,Vendas!$E$8:$E$2008,"&lt;=30/06/"&amp;$G$3,Vendas!$C$8:$C$2008,"Entregue")+SUMIFS(Vendas!$Z$8:$Z$2008,Vendas!$W$8:$W$2008,$B19,Vendas!$E$8:$E$2008,"&gt;=01/06/"&amp;$G$3,Vendas!$E$8:$E$2008,"&lt;=30/06/"&amp;$G$3,Vendas!$C$8:$C$2008,"Entregue")+SUMIFS(Vendas!$AE$8:$AE$2008,Vendas!$AB$8:$AB$2008,$B19,Vendas!$E$8:$E$2008,"&gt;=01/06/"&amp;$G$3,Vendas!$E$8:$E$2008,"&lt;=30/06/"&amp;$G$3,Vendas!$C$8:$C$2008,"Entregue")+SUMIFS(Vendas!$AJ$8:$AJ$2008,Vendas!$AG$8:$AG$2008,$B19,Vendas!$E$8:$E$2008,"&gt;=01/06/"&amp;$G$3,Vendas!$E$8:$E$2008,"&lt;=30/06/"&amp;$G$3,Vendas!$C$8:$C$2008,"Entregue")+SUMIFS(Vendas!$AO$8:$AO$2008,Vendas!$AL$8:$AL$2008,$B19,Vendas!$E$8:$E$2008,"&gt;=01/06/"&amp;$G$3,Vendas!$E$8:$E$2008,"&lt;=30/06/"&amp;$G$3,Vendas!$C$8:$C$2008,"Entregue")+SUMIFS(Vendas!$AT$8:$AT$2008,Vendas!$AQ$8:$AQ$2008,$B19,Vendas!$E$8:$E$2008,"&gt;=01/06/"&amp;$G$3,Vendas!$E$8:$E$2008,"&lt;=30/06/"&amp;$G$3,Vendas!$C$8:$C$2008,"Entregue")</f>
        <v>0</v>
      </c>
      <c r="O19" s="159">
        <f>SUMIFS(Vendas!$K$8:$K$2008,Vendas!$H$8:$H$2008,$B19,Vendas!$E$8:$E$2008,"&gt;=01/07/"&amp;$G$3,Vendas!$E$8:$E$2008,"&lt;=31/07/"&amp;$G$3)+SUMIFS(Vendas!$P$8:$P$2008,Vendas!$M$8:$M$2008,$B19,Vendas!$E$8:$E$2008,"&gt;=01/07/"&amp;$G$3,Vendas!$E$8:$E$2008,"&lt;=31/07/"&amp;$G$3)+SUMIFS(Vendas!$U$8:$U$2008,Vendas!$R$8:$R$2008,$B19,Vendas!$E$8:$E$2008,"&gt;=01/07/"&amp;$G$3,Vendas!$E$8:$E$2008,"&lt;=31/07/"&amp;$G$3)+SUMIFS(Vendas!$Z$8:$Z$2008,Vendas!$W$8:$W$2008,$B19,Vendas!$E$8:$E$2008,"&gt;=01/07/"&amp;$G$3,Vendas!$E$8:$E$2008,"&lt;=31/07/"&amp;$G$3)+SUMIFS(Vendas!$AE$8:$AE$2008,Vendas!$AB$8:$AB$2008,$B19,Vendas!$E$8:$E$2008,"&gt;=01/07/"&amp;$G$3,Vendas!$E$8:$E$2008,"&lt;=31/07/"&amp;$G$3)+SUMIFS(Vendas!$AJ$8:$AJ$2008,Vendas!$AG$8:$AG$2008,$B19,Vendas!$E$8:$E$2008,"&gt;=01/07/"&amp;$G$3,Vendas!$E$8:$E$2008,"&lt;=31/07/"&amp;$G$3)+SUMIFS(Vendas!$AO$8:$AO$2008,Vendas!$AL$8:$AL$2008,$B19,Vendas!$E$8:$E$2008,"&gt;=01/07/"&amp;$G$3,Vendas!$E$8:$E$2008,"&lt;=31/07/"&amp;$G$3)+SUMIFS(Vendas!$AT$8:$AT$2008,Vendas!$AQ$8:$AQ$2008,$B19,Vendas!$E$8:$E$2008,"&gt;=01/07/"&amp;$G$3,Vendas!$E$8:$E$2008,"&lt;=31/07/"&amp;$G$3)</f>
        <v>0</v>
      </c>
      <c r="P19" s="159">
        <f>SUMIFS(Vendas!$K$8:$K$2008,Vendas!$H$8:$H$2008,$B19,Vendas!$E$8:$E$2008,"&gt;=01/07/"&amp;$G$3,Vendas!$E$8:$E$2008,"&lt;=31/07/"&amp;$G$3,Vendas!$C$8:$C$2008,"Entregue")+SUMIFS(Vendas!$P$8:$P$2008,Vendas!$M$8:$M$2008,$B19,Vendas!$E$8:$E$2008,"&gt;=01/07/"&amp;$G$3,Vendas!$E$8:$E$2008,"&lt;=31/07/"&amp;$G$3,Vendas!$C$8:$C$2008,"Entregue")+SUMIFS(Vendas!$U$8:$U$2008,Vendas!$R$8:$R$2008,$B19,Vendas!$E$8:$E$2008,"&gt;=01/07/"&amp;$G$3,Vendas!$E$8:$E$2008,"&lt;=31/07/"&amp;$G$3,Vendas!$C$8:$C$2008,"Entregue")+SUMIFS(Vendas!$Z$8:$Z$2008,Vendas!$W$8:$W$2008,$B19,Vendas!$E$8:$E$2008,"&gt;=01/07/"&amp;$G$3,Vendas!$E$8:$E$2008,"&lt;=31/07/"&amp;$G$3,Vendas!$C$8:$C$2008,"Entregue")+SUMIFS(Vendas!$AE$8:$AE$2008,Vendas!$AB$8:$AB$2008,$B19,Vendas!$E$8:$E$2008,"&gt;=01/07/"&amp;$G$3,Vendas!$E$8:$E$2008,"&lt;=31/07/"&amp;$G$3,Vendas!$C$8:$C$2008,"Entregue")+SUMIFS(Vendas!$AJ$8:$AJ$2008,Vendas!$AG$8:$AG$2008,$B19,Vendas!$E$8:$E$2008,"&gt;=01/07/"&amp;$G$3,Vendas!$E$8:$E$2008,"&lt;=31/07/"&amp;$G$3,Vendas!$C$8:$C$2008,"Entregue")+SUMIFS(Vendas!$AO$8:$AO$2008,Vendas!$AL$8:$AL$2008,$B19,Vendas!$E$8:$E$2008,"&gt;=01/07/"&amp;$G$3,Vendas!$E$8:$E$2008,"&lt;=31/07/"&amp;$G$3,Vendas!$C$8:$C$2008,"Entregue")+SUMIFS(Vendas!$AT$8:$AT$2008,Vendas!$AQ$8:$AQ$2008,$B19,Vendas!$E$8:$E$2008,"&gt;=01/07/"&amp;$G$3,Vendas!$E$8:$E$2008,"&lt;=31/07/"&amp;$G$3,Vendas!$C$8:$C$2008,"Entregue")</f>
        <v>0</v>
      </c>
      <c r="Q19" s="159">
        <f>SUMIFS(Vendas!$K$8:$K$2008,Vendas!$H$8:$H$2008,$B19,Vendas!$E$8:$E$2008,"&gt;=01/08/"&amp;$G$3,Vendas!$E$8:$E$2008,"&lt;=31/08/"&amp;$G$3)+SUMIFS(Vendas!$P$8:$P$2008,Vendas!$M$8:$M$2008,$B19,Vendas!$E$8:$E$2008,"&gt;=01/08/"&amp;$G$3,Vendas!$E$8:$E$2008,"&lt;=31/08/"&amp;$G$3)+SUMIFS(Vendas!$U$8:$U$2008,Vendas!$R$8:$R$2008,$B19,Vendas!$E$8:$E$2008,"&gt;=01/08/"&amp;$G$3,Vendas!$E$8:$E$2008,"&lt;=31/08/"&amp;$G$3)+SUMIFS(Vendas!$Z$8:$Z$2008,Vendas!$W$8:$W$2008,$B19,Vendas!$E$8:$E$2008,"&gt;=01/08/"&amp;$G$3,Vendas!$E$8:$E$2008,"&lt;=31/08/"&amp;$G$3)+SUMIFS(Vendas!$AE$8:$AE$2008,Vendas!$AB$8:$AB$2008,$B19,Vendas!$E$8:$E$2008,"&gt;=01/08/"&amp;$G$3,Vendas!$E$8:$E$2008,"&lt;=31/08/"&amp;$G$3)+SUMIFS(Vendas!$AJ$8:$AJ$2008,Vendas!$AG$8:$AG$2008,$B19,Vendas!$E$8:$E$2008,"&gt;=01/08/"&amp;$G$3,Vendas!$E$8:$E$2008,"&lt;=31/08/"&amp;$G$3)+SUMIFS(Vendas!$AO$8:$AO$2008,Vendas!$AL$8:$AL$2008,$B19,Vendas!$E$8:$E$2008,"&gt;=01/08/"&amp;$G$3,Vendas!$E$8:$E$2008,"&lt;=31/08/"&amp;$G$3)+SUMIFS(Vendas!$AT$8:$AT$2008,Vendas!$AQ$8:$AQ$2008,$B19,Vendas!$E$8:$E$2008,"&gt;=01/08/"&amp;$G$3,Vendas!$E$8:$E$2008,"&lt;=31/08/"&amp;$G$3)</f>
        <v>0</v>
      </c>
      <c r="R19" s="159">
        <f>SUMIFS(Vendas!$K$8:$K$2008,Vendas!$H$8:$H$2008,$B19,Vendas!$E$8:$E$2008,"&gt;=01/08/"&amp;$G$3,Vendas!$E$8:$E$2008,"&lt;=31/08/"&amp;$G$3,Vendas!$C$8:$C$2008,"Entregue")+SUMIFS(Vendas!$P$8:$P$2008,Vendas!$M$8:$M$2008,$B19,Vendas!$E$8:$E$2008,"&gt;=01/08/"&amp;$G$3,Vendas!$E$8:$E$2008,"&lt;=31/08/"&amp;$G$3,Vendas!$C$8:$C$2008,"Entregue")+SUMIFS(Vendas!$U$8:$U$2008,Vendas!$R$8:$R$2008,$B19,Vendas!$E$8:$E$2008,"&gt;=01/08/"&amp;$G$3,Vendas!$E$8:$E$2008,"&lt;=31/08/"&amp;$G$3,Vendas!$C$8:$C$2008,"Entregue")+SUMIFS(Vendas!$Z$8:$Z$2008,Vendas!$W$8:$W$2008,$B19,Vendas!$E$8:$E$2008,"&gt;=01/08/"&amp;$G$3,Vendas!$E$8:$E$2008,"&lt;=31/08/"&amp;$G$3,Vendas!$C$8:$C$2008,"Entregue")+SUMIFS(Vendas!$AE$8:$AE$2008,Vendas!$AB$8:$AB$2008,$B19,Vendas!$E$8:$E$2008,"&gt;=01/08/"&amp;$G$3,Vendas!$E$8:$E$2008,"&lt;=31/08/"&amp;$G$3,Vendas!$C$8:$C$2008,"Entregue")+SUMIFS(Vendas!$AJ$8:$AJ$2008,Vendas!$AG$8:$AG$2008,$B19,Vendas!$E$8:$E$2008,"&gt;=01/08/"&amp;$G$3,Vendas!$E$8:$E$2008,"&lt;=31/08/"&amp;$G$3,Vendas!$C$8:$C$2008,"Entregue")+SUMIFS(Vendas!$AO$8:$AO$2008,Vendas!$AL$8:$AL$2008,$B19,Vendas!$E$8:$E$2008,"&gt;=01/08/"&amp;$G$3,Vendas!$E$8:$E$2008,"&lt;=31/08/"&amp;$G$3,Vendas!$C$8:$C$2008,"Entregue")+SUMIFS(Vendas!$AT$8:$AT$2008,Vendas!$AQ$8:$AQ$2008,$B19,Vendas!$E$8:$E$2008,"&gt;=01/08/"&amp;$G$3,Vendas!$E$8:$E$2008,"&lt;=31/08/"&amp;$G$3,Vendas!$C$8:$C$2008,"Entregue")</f>
        <v>0</v>
      </c>
      <c r="S19" s="159">
        <f>SUMIFS(Vendas!$K$8:$K$2008,Vendas!$H$8:$H$2008,$B19,Vendas!$E$8:$E$2008,"&gt;=01/09/"&amp;$G$3,Vendas!$E$8:$E$2008,"&lt;=30/09/"&amp;$G$3)+SUMIFS(Vendas!$P$8:$P$2008,Vendas!$M$8:$M$2008,$B19,Vendas!$E$8:$E$2008,"&gt;=01/09/"&amp;$G$3,Vendas!$E$8:$E$2008,"&lt;=30/09/"&amp;$G$3)+SUMIFS(Vendas!$U$8:$U$2008,Vendas!$R$8:$R$2008,$B19,Vendas!$E$8:$E$2008,"&gt;=01/09/"&amp;$G$3,Vendas!$E$8:$E$2008,"&lt;=30/09/"&amp;$G$3)+SUMIFS(Vendas!$Z$8:$Z$2008,Vendas!$W$8:$W$2008,$B19,Vendas!$E$8:$E$2008,"&gt;=01/09/"&amp;$G$3,Vendas!$E$8:$E$2008,"&lt;=30/09/"&amp;$G$3)+SUMIFS(Vendas!$AE$8:$AE$2008,Vendas!$AB$8:$AB$2008,$B19,Vendas!$E$8:$E$2008,"&gt;=01/09/"&amp;$G$3,Vendas!$E$8:$E$2008,"&lt;=30/09/"&amp;$G$3)+SUMIFS(Vendas!$AJ$8:$AJ$2008,Vendas!$AG$8:$AG$2008,$B19,Vendas!$E$8:$E$2008,"&gt;=01/09/"&amp;$G$3,Vendas!$E$8:$E$2008,"&lt;=30/09/"&amp;$G$3)+SUMIFS(Vendas!$AO$8:$AO$2008,Vendas!$AL$8:$AL$2008,$B19,Vendas!$E$8:$E$2008,"&gt;=01/09/"&amp;$G$3,Vendas!$E$8:$E$2008,"&lt;=30/09/"&amp;$G$3)+SUMIFS(Vendas!$AT$8:$AT$2008,Vendas!$AQ$8:$AQ$2008,$B19,Vendas!$E$8:$E$2008,"&gt;=01/09/"&amp;$G$3,Vendas!$E$8:$E$2008,"&lt;=30/09/"&amp;$G$3)</f>
        <v>0</v>
      </c>
      <c r="T19" s="159">
        <f>SUMIFS(Vendas!$K$8:$K$2008,Vendas!$H$8:$H$2008,$B19,Vendas!$E$8:$E$2008,"&gt;=01/09/"&amp;$G$3,Vendas!$E$8:$E$2008,"&lt;=30/09/"&amp;$G$3,Vendas!$C$8:$C$2008,"Entregue")+SUMIFS(Vendas!$P$8:$P$2008,Vendas!$M$8:$M$2008,$B19,Vendas!$E$8:$E$2008,"&gt;=01/09/"&amp;$G$3,Vendas!$E$8:$E$2008,"&lt;=30/09/"&amp;$G$3,Vendas!$C$8:$C$2008,"Entregue")+SUMIFS(Vendas!$U$8:$U$2008,Vendas!$R$8:$R$2008,$B19,Vendas!$E$8:$E$2008,"&gt;=01/09/"&amp;$G$3,Vendas!$E$8:$E$2008,"&lt;=30/09/"&amp;$G$3,Vendas!$C$8:$C$2008,"Entregue")+SUMIFS(Vendas!$Z$8:$Z$2008,Vendas!$W$8:$W$2008,$B19,Vendas!$E$8:$E$2008,"&gt;=01/09/"&amp;$G$3,Vendas!$E$8:$E$2008,"&lt;=30/09/"&amp;$G$3,Vendas!$C$8:$C$2008,"Entregue")+SUMIFS(Vendas!$AE$8:$AE$2008,Vendas!$AB$8:$AB$2008,$B19,Vendas!$E$8:$E$2008,"&gt;=01/09/"&amp;$G$3,Vendas!$E$8:$E$2008,"&lt;=30/09/"&amp;$G$3,Vendas!$C$8:$C$2008,"Entregue")+SUMIFS(Vendas!$AJ$8:$AJ$2008,Vendas!$AG$8:$AG$2008,$B19,Vendas!$E$8:$E$2008,"&gt;=01/09/"&amp;$G$3,Vendas!$E$8:$E$2008,"&lt;=30/09/"&amp;$G$3,Vendas!$C$8:$C$2008,"Entregue")+SUMIFS(Vendas!$AO$8:$AO$2008,Vendas!$AL$8:$AL$2008,$B19,Vendas!$E$8:$E$2008,"&gt;=01/09/"&amp;$G$3,Vendas!$E$8:$E$2008,"&lt;=30/09/"&amp;$G$3,Vendas!$C$8:$C$2008,"Entregue")+SUMIFS(Vendas!$AT$8:$AT$2008,Vendas!$AQ$8:$AQ$2008,$B19,Vendas!$E$8:$E$2008,"&gt;=01/09/"&amp;$G$3,Vendas!$E$8:$E$2008,"&lt;=30/09/"&amp;$G$3,Vendas!$C$8:$C$2008,"Entregue")</f>
        <v>0</v>
      </c>
      <c r="U19" s="159">
        <f>SUMIFS(Vendas!$K$8:$K$2008,Vendas!$H$8:$H$2008,$B19,Vendas!$E$8:$E$2008,"&gt;=01/10/"&amp;$G$3,Vendas!$E$8:$E$2008,"&lt;=31/10/"&amp;$G$3)+SUMIFS(Vendas!$P$8:$P$2008,Vendas!$M$8:$M$2008,$B19,Vendas!$E$8:$E$2008,"&gt;=01/10/"&amp;$G$3,Vendas!$E$8:$E$2008,"&lt;=31/10/"&amp;$G$3)+SUMIFS(Vendas!$U$8:$U$2008,Vendas!$R$8:$R$2008,$B19,Vendas!$E$8:$E$2008,"&gt;=01/10/"&amp;$G$3,Vendas!$E$8:$E$2008,"&lt;=31/10/"&amp;$G$3)+SUMIFS(Vendas!$Z$8:$Z$2008,Vendas!$W$8:$W$2008,$B19,Vendas!$E$8:$E$2008,"&gt;=01/10/"&amp;$G$3,Vendas!$E$8:$E$2008,"&lt;=31/10/"&amp;$G$3)+SUMIFS(Vendas!$AE$8:$AE$2008,Vendas!$AB$8:$AB$2008,$B19,Vendas!$E$8:$E$2008,"&gt;=01/10/"&amp;$G$3,Vendas!$E$8:$E$2008,"&lt;=31/10/"&amp;$G$3)+SUMIFS(Vendas!$AJ$8:$AJ$2008,Vendas!$AG$8:$AG$2008,$B19,Vendas!$E$8:$E$2008,"&gt;=01/10/"&amp;$G$3,Vendas!$E$8:$E$2008,"&lt;=31/10/"&amp;$G$3)+SUMIFS(Vendas!$AO$8:$AO$2008,Vendas!$AL$8:$AL$2008,$B19,Vendas!$E$8:$E$2008,"&gt;=01/10/"&amp;$G$3,Vendas!$E$8:$E$2008,"&lt;=31/10/"&amp;$G$3)+SUMIFS(Vendas!$AT$8:$AT$2008,Vendas!$AQ$8:$AQ$2008,$B19,Vendas!$E$8:$E$2008,"&gt;=01/10/"&amp;$G$3,Vendas!$E$8:$E$2008,"&lt;=31/10/"&amp;$G$3)</f>
        <v>0</v>
      </c>
      <c r="V19" s="159">
        <f>SUMIFS(Vendas!$K$8:$K$2008,Vendas!$H$8:$H$2008,$B19,Vendas!$E$8:$E$2008,"&gt;=01/10/"&amp;$G$3,Vendas!$E$8:$E$2008,"&lt;=31/10/"&amp;$G$3,Vendas!$C$8:$C$2008,"Entregue")+SUMIFS(Vendas!$P$8:$P$2008,Vendas!$M$8:$M$2008,$B19,Vendas!$E$8:$E$2008,"&gt;=01/10/"&amp;$G$3,Vendas!$E$8:$E$2008,"&lt;=31/10/"&amp;$G$3,Vendas!$C$8:$C$2008,"Entregue")+SUMIFS(Vendas!$U$8:$U$2008,Vendas!$R$8:$R$2008,$B19,Vendas!$E$8:$E$2008,"&gt;=01/10/"&amp;$G$3,Vendas!$E$8:$E$2008,"&lt;=31/10/"&amp;$G$3,Vendas!$C$8:$C$2008,"Entregue")+SUMIFS(Vendas!$Z$8:$Z$2008,Vendas!$W$8:$W$2008,$B19,Vendas!$E$8:$E$2008,"&gt;=01/10/"&amp;$G$3,Vendas!$E$8:$E$2008,"&lt;=31/10/"&amp;$G$3,Vendas!$C$8:$C$2008,"Entregue")+SUMIFS(Vendas!$AE$8:$AE$2008,Vendas!$AB$8:$AB$2008,$B19,Vendas!$E$8:$E$2008,"&gt;=01/10/"&amp;$G$3,Vendas!$E$8:$E$2008,"&lt;=31/10/"&amp;$G$3,Vendas!$C$8:$C$2008,"Entregue")+SUMIFS(Vendas!$AJ$8:$AJ$2008,Vendas!$AG$8:$AG$2008,$B19,Vendas!$E$8:$E$2008,"&gt;=01/10/"&amp;$G$3,Vendas!$E$8:$E$2008,"&lt;=31/10/"&amp;$G$3,Vendas!$C$8:$C$2008,"Entregue")+SUMIFS(Vendas!$AO$8:$AO$2008,Vendas!$AL$8:$AL$2008,$B19,Vendas!$E$8:$E$2008,"&gt;=01/10/"&amp;$G$3,Vendas!$E$8:$E$2008,"&lt;=31/10/"&amp;$G$3,Vendas!$C$8:$C$2008,"Entregue")+SUMIFS(Vendas!$AT$8:$AT$2008,Vendas!$AQ$8:$AQ$2008,$B19,Vendas!$E$8:$E$2008,"&gt;=01/10/"&amp;$G$3,Vendas!$E$8:$E$2008,"&lt;=31/10/"&amp;$G$3,Vendas!$C$8:$C$2008,"Entregue")</f>
        <v>0</v>
      </c>
      <c r="W19" s="159">
        <f>SUMIFS(Vendas!$K$8:$K$2008,Vendas!$H$8:$H$2008,$B19,Vendas!$E$8:$E$2008,"&gt;=01/11/"&amp;$G$3,Vendas!$E$8:$E$2008,"&lt;=30/11/"&amp;$G$3)+SUMIFS(Vendas!$P$8:$P$2008,Vendas!$M$8:$M$2008,$B19,Vendas!$E$8:$E$2008,"&gt;=01/11/"&amp;$G$3,Vendas!$E$8:$E$2008,"&lt;=30/11/"&amp;$G$3)+SUMIFS(Vendas!$U$8:$U$2008,Vendas!$R$8:$R$2008,$B19,Vendas!$E$8:$E$2008,"&gt;=01/11/"&amp;$G$3,Vendas!$E$8:$E$2008,"&lt;=30/11/"&amp;$G$3)+SUMIFS(Vendas!$Z$8:$Z$2008,Vendas!$W$8:$W$2008,$B19,Vendas!$E$8:$E$2008,"&gt;=01/11/"&amp;$G$3,Vendas!$E$8:$E$2008,"&lt;=30/11/"&amp;$G$3)+SUMIFS(Vendas!$AE$8:$AE$2008,Vendas!$AB$8:$AB$2008,$B19,Vendas!$E$8:$E$2008,"&gt;=01/11/"&amp;$G$3,Vendas!$E$8:$E$2008,"&lt;=30/11/"&amp;$G$3)+SUMIFS(Vendas!$AJ$8:$AJ$2008,Vendas!$AG$8:$AG$2008,$B19,Vendas!$E$8:$E$2008,"&gt;=01/11/"&amp;$G$3,Vendas!$E$8:$E$2008,"&lt;=30/11/"&amp;$G$3)+SUMIFS(Vendas!$AO$8:$AO$2008,Vendas!$AL$8:$AL$2008,$B19,Vendas!$E$8:$E$2008,"&gt;=01/11/"&amp;$G$3,Vendas!$E$8:$E$2008,"&lt;=30/11/"&amp;$G$3)+SUMIFS(Vendas!$AT$8:$AT$2008,Vendas!$AQ$8:$AQ$2008,$B19,Vendas!$E$8:$E$2008,"&gt;=01/11/"&amp;$G$3,Vendas!$E$8:$E$2008,"&lt;=30/11/"&amp;$G$3)</f>
        <v>0</v>
      </c>
      <c r="X19" s="159">
        <f>SUMIFS(Vendas!$K$8:$K$2008,Vendas!$H$8:$H$2008,$B19,Vendas!$E$8:$E$2008,"&gt;=01/11/"&amp;$G$3,Vendas!$E$8:$E$2008,"&lt;=30/11/"&amp;$G$3,Vendas!$C$8:$C$2008,"Entregue")+SUMIFS(Vendas!$P$8:$P$2008,Vendas!$M$8:$M$2008,$B19,Vendas!$E$8:$E$2008,"&gt;=01/11/"&amp;$G$3,Vendas!$E$8:$E$2008,"&lt;=30/11/"&amp;$G$3,Vendas!$C$8:$C$2008,"Entregue")+SUMIFS(Vendas!$U$8:$U$2008,Vendas!$R$8:$R$2008,$B19,Vendas!$E$8:$E$2008,"&gt;=01/11/"&amp;$G$3,Vendas!$E$8:$E$2008,"&lt;=30/11/"&amp;$G$3,Vendas!$C$8:$C$2008,"Entregue")+SUMIFS(Vendas!$Z$8:$Z$2008,Vendas!$W$8:$W$2008,$B19,Vendas!$E$8:$E$2008,"&gt;=01/11/"&amp;$G$3,Vendas!$E$8:$E$2008,"&lt;=30/11/"&amp;$G$3,Vendas!$C$8:$C$2008,"Entregue")+SUMIFS(Vendas!$AE$8:$AE$2008,Vendas!$AB$8:$AB$2008,$B19,Vendas!$E$8:$E$2008,"&gt;=01/11/"&amp;$G$3,Vendas!$E$8:$E$2008,"&lt;=30/11/"&amp;$G$3,Vendas!$C$8:$C$2008,"Entregue")+SUMIFS(Vendas!$AJ$8:$AJ$2008,Vendas!$AG$8:$AG$2008,$B19,Vendas!$E$8:$E$2008,"&gt;=01/11/"&amp;$G$3,Vendas!$E$8:$E$2008,"&lt;=30/11/"&amp;$G$3,Vendas!$C$8:$C$2008,"Entregue")+SUMIFS(Vendas!$AO$8:$AO$2008,Vendas!$AL$8:$AL$2008,$B19,Vendas!$E$8:$E$2008,"&gt;=01/11/"&amp;$G$3,Vendas!$E$8:$E$2008,"&lt;=30/11/"&amp;$G$3,Vendas!$C$8:$C$2008,"Entregue")+SUMIFS(Vendas!$AT$8:$AT$2008,Vendas!$AQ$8:$AQ$2008,$B19,Vendas!$E$8:$E$2008,"&gt;=01/11/"&amp;$G$3,Vendas!$E$8:$E$2008,"&lt;=30/11/"&amp;$G$3,Vendas!$C$8:$C$2008,"Entregue")</f>
        <v>0</v>
      </c>
      <c r="Y19" s="159">
        <f>SUMIFS(Vendas!$K$8:$K$2008,Vendas!$H$8:$H$2008,$B19,Vendas!$E$8:$E$2008,"&gt;=01/12/"&amp;$G$3,Vendas!$E$8:$E$2008,"&lt;=31/12/"&amp;$G$3)+SUMIFS(Vendas!$P$8:$P$2008,Vendas!$M$8:$M$2008,$B19,Vendas!$E$8:$E$2008,"&gt;=01/12/"&amp;$G$3,Vendas!$E$8:$E$2008,"&lt;=31/12/"&amp;$G$3)+SUMIFS(Vendas!$U$8:$U$2008,Vendas!$R$8:$R$2008,$B19,Vendas!$E$8:$E$2008,"&gt;=01/12/"&amp;$G$3,Vendas!$E$8:$E$2008,"&lt;=31/12/"&amp;$G$3)+SUMIFS(Vendas!$Z$8:$Z$2008,Vendas!$W$8:$W$2008,$B19,Vendas!$E$8:$E$2008,"&gt;=01/12/"&amp;$G$3,Vendas!$E$8:$E$2008,"&lt;=31/12/"&amp;$G$3)+SUMIFS(Vendas!$AE$8:$AE$2008,Vendas!$AB$8:$AB$2008,$B19,Vendas!$E$8:$E$2008,"&gt;=01/12/"&amp;$G$3,Vendas!$E$8:$E$2008,"&lt;=31/12/"&amp;$G$3)+SUMIFS(Vendas!$AJ$8:$AJ$2008,Vendas!$AG$8:$AG$2008,$B19,Vendas!$E$8:$E$2008,"&gt;=01/12/"&amp;$G$3,Vendas!$E$8:$E$2008,"&lt;=31/12/"&amp;$G$3)+SUMIFS(Vendas!$AO$8:$AO$2008,Vendas!$AL$8:$AL$2008,$B19,Vendas!$E$8:$E$2008,"&gt;=01/12/"&amp;$G$3,Vendas!$E$8:$E$2008,"&lt;=31/12/"&amp;$G$3)+SUMIFS(Vendas!$AT$8:$AT$2008,Vendas!$AQ$8:$AQ$2008,$B19,Vendas!$E$8:$E$2008,"&gt;=01/12/"&amp;$G$3,Vendas!$E$8:$E$2008,"&lt;=31/12/"&amp;$G$3)</f>
        <v>0</v>
      </c>
      <c r="Z19" s="160">
        <f>SUMIFS(Vendas!$K$8:$K$2008,Vendas!$H$8:$H$2008,$B19,Vendas!$E$8:$E$2008,"&gt;=01/12/"&amp;$G$3,Vendas!$E$8:$E$2008,"&lt;=31/12/"&amp;$G$3,Vendas!$C$8:$C$2008,"Entregue")+SUMIFS(Vendas!$P$8:$P$2008,Vendas!$M$8:$M$2008,$B19,Vendas!$E$8:$E$2008,"&gt;=01/12/"&amp;$G$3,Vendas!$E$8:$E$2008,"&lt;=31/12/"&amp;$G$3,Vendas!$C$8:$C$2008,"Entregue")+SUMIFS(Vendas!$U$8:$U$2008,Vendas!$R$8:$R$2008,$B19,Vendas!$E$8:$E$2008,"&gt;=01/12/"&amp;$G$3,Vendas!$E$8:$E$2008,"&lt;=31/12/"&amp;$G$3,Vendas!$C$8:$C$2008,"Entregue")+SUMIFS(Vendas!$Z$8:$Z$2008,Vendas!$W$8:$W$2008,$B19,Vendas!$E$8:$E$2008,"&gt;=01/12/"&amp;$G$3,Vendas!$E$8:$E$2008,"&lt;=31/12/"&amp;$G$3,Vendas!$C$8:$C$2008,"Entregue")+SUMIFS(Vendas!$AE$8:$AE$2008,Vendas!$AB$8:$AB$2008,$B19,Vendas!$E$8:$E$2008,"&gt;=01/12/"&amp;$G$3,Vendas!$E$8:$E$2008,"&lt;=31/12/"&amp;$G$3,Vendas!$C$8:$C$2008,"Entregue")+SUMIFS(Vendas!$AJ$8:$AJ$2008,Vendas!$AG$8:$AG$2008,$B19,Vendas!$E$8:$E$2008,"&gt;=01/12/"&amp;$G$3,Vendas!$E$8:$E$2008,"&lt;=31/12/"&amp;$G$3,Vendas!$C$8:$C$2008,"Entregue")+SUMIFS(Vendas!$AO$8:$AO$2008,Vendas!$AL$8:$AL$2008,$B19,Vendas!$E$8:$E$2008,"&gt;=01/12/"&amp;$G$3,Vendas!$E$8:$E$2008,"&lt;=31/12/"&amp;$G$3,Vendas!$C$8:$C$2008,"Entregue")+SUMIFS(Vendas!$AT$8:$AT$2008,Vendas!$AQ$8:$AQ$2008,$B19,Vendas!$E$8:$E$2008,"&gt;=01/12/"&amp;$G$3,Vendas!$E$8:$E$2008,"&lt;=31/12/"&amp;$G$3,Vendas!$C$8:$C$2008,"Entregue")</f>
        <v>0</v>
      </c>
      <c r="AA19" s="132">
        <f t="shared" si="0"/>
        <v>0</v>
      </c>
      <c r="AB19" s="132">
        <f t="shared" si="0"/>
        <v>0</v>
      </c>
      <c r="AC19" s="67"/>
    </row>
    <row r="20" spans="2:29" ht="14.4" x14ac:dyDescent="0.3">
      <c r="B20" s="262" t="str">
        <f>IF(Cadastros!D21="","",Cadastros!D21)</f>
        <v>T001 - Travesseiro Multicamadas 035 X 060 cm</v>
      </c>
      <c r="C20" s="161">
        <f>SUMIFS(Vendas!$K$8:$K$2008,Vendas!$H$8:$H$2008,$B20,Vendas!$E$8:$E$2008,"&gt;=01/01/"&amp;$G$3,Vendas!$E$8:$E$2008,"&lt;=31/01/"&amp;$G$3)+SUMIFS(Vendas!$P$8:$P$2008,Vendas!$M$8:$M$2008,$B20,Vendas!$E$8:$E$2008,"&gt;=01/01/"&amp;$G$3,Vendas!$E$8:$E$2008,"&lt;=31/01/"&amp;$G$3)+SUMIFS(Vendas!$U$8:$U$2008,Vendas!$R$8:$R$2008,$B20,Vendas!$E$8:$E$2008,"&gt;=01/01/"&amp;$G$3,Vendas!$E$8:$E$2008,"&lt;=31/01/"&amp;$G$3)+SUMIFS(Vendas!$Z$8:$Z$2008,Vendas!$W$8:$W$2008,$B20,Vendas!$E$8:$E$2008,"&gt;=01/01/"&amp;$G$3,Vendas!$E$8:$E$2008,"&lt;=31/01/"&amp;$G$3)+SUMIFS(Vendas!$AE$8:$AE$2008,Vendas!$AB$8:$AB$2008,$B20,Vendas!$E$8:$E$2008,"&gt;=01/01/"&amp;$G$3,Vendas!$E$8:$E$2008,"&lt;=31/01/"&amp;$G$3)+SUMIFS(Vendas!$AJ$8:$AJ$2008,Vendas!$AG$8:$AG$2008,$B20,Vendas!$E$8:$E$2008,"&gt;=01/01/"&amp;$G$3,Vendas!$E$8:$E$2008,"&lt;=31/01/"&amp;$G$3)+SUMIFS(Vendas!$AO$8:$AO$2008,Vendas!$AL$8:$AL$2008,$B20,Vendas!$E$8:$E$2008,"&gt;=01/01/"&amp;$G$3,Vendas!$E$8:$E$2008,"&lt;=31/01/"&amp;$G$3)+SUMIFS(Vendas!$AT$8:$AT$2008,Vendas!$AQ$8:$AQ$2008,$B20,Vendas!$E$8:$E$2008,"&gt;=01/01/"&amp;$G$3,Vendas!$E$8:$E$2008,"&lt;=31/01/"&amp;$G$3)</f>
        <v>0</v>
      </c>
      <c r="D20" s="162">
        <f>SUMIFS(Vendas!$K$8:$K$2008,Vendas!$H$8:$H$2008,$B20,Vendas!$E$8:$E$2008,"&gt;=01/01/"&amp;$G$3,Vendas!$E$8:$E$2008,"&lt;=31/01/"&amp;$G$3,Vendas!$C$8:$C$2008,"Entregue")+SUMIFS(Vendas!$P$8:$P$2008,Vendas!$M$8:$M$2008,$B20,Vendas!$E$8:$E$2008,"&gt;=01/01/"&amp;$G$3,Vendas!$E$8:$E$2008,"&lt;=31/01/"&amp;$G$3,Vendas!$C$8:$C$2008,"Entregue")+SUMIFS(Vendas!$U$8:$U$2008,Vendas!$R$8:$R$2008,$B20,Vendas!$E$8:$E$2008,"&gt;=01/01/"&amp;$G$3,Vendas!$E$8:$E$2008,"&lt;=31/01/"&amp;$G$3,Vendas!$C$8:$C$2008,"Entregue")+SUMIFS(Vendas!$Z$8:$Z$2008,Vendas!$W$8:$W$2008,$B20,Vendas!$E$8:$E$2008,"&gt;=01/01/"&amp;$G$3,Vendas!$E$8:$E$2008,"&lt;=31/01/"&amp;$G$3,Vendas!$C$8:$C$2008,"Entregue")+SUMIFS(Vendas!$AE$8:$AE$2008,Vendas!$AB$8:$AB$2008,$B20,Vendas!$E$8:$E$2008,"&gt;=01/01/"&amp;$G$3,Vendas!$E$8:$E$2008,"&lt;=31/01/"&amp;$G$3,Vendas!$C$8:$C$2008,"Entregue")+SUMIFS(Vendas!$AJ$8:$AJ$2008,Vendas!$AG$8:$AG$2008,$B20,Vendas!$E$8:$E$2008,"&gt;=01/01/"&amp;$G$3,Vendas!$E$8:$E$2008,"&lt;=31/01/"&amp;$G$3,Vendas!$C$8:$C$2008,"Entregue")+SUMIFS(Vendas!$AO$8:$AO$2008,Vendas!$AL$8:$AL$2008,$B20,Vendas!$E$8:$E$2008,"&gt;=01/01/"&amp;$G$3,Vendas!$E$8:$E$2008,"&lt;=31/01/"&amp;$G$3,Vendas!$C$8:$C$2008,"Entregue")+SUMIFS(Vendas!$AT$8:$AT$2008,Vendas!$AQ$8:$AQ$2008,$B20,Vendas!$E$8:$E$2008,"&gt;=01/01/"&amp;$G$3,Vendas!$E$8:$E$2008,"&lt;=31/01/"&amp;$G$3,Vendas!$C$8:$C$2008,"Entregue")</f>
        <v>0</v>
      </c>
      <c r="E20" s="162">
        <f>SUMIFS(Vendas!$K$8:$K$2008,Vendas!$H$8:$H$2008,$B20,Vendas!$E$8:$E$2008,"&gt;=01/02/"&amp;$G$3,Vendas!$E$8:$E$2008,"&lt;=28/02/"&amp;$G$3)+SUMIFS(Vendas!$P$8:$P$2008,Vendas!$M$8:$M$2008,$B20,Vendas!$E$8:$E$2008,"&gt;=01/02/"&amp;$G$3,Vendas!$E$8:$E$2008,"&lt;=28/02/"&amp;$G$3)+SUMIFS(Vendas!$U$8:$U$2008,Vendas!$R$8:$R$2008,$B20,Vendas!$E$8:$E$2008,"&gt;=01/02/"&amp;$G$3,Vendas!$E$8:$E$2008,"&lt;=28/02/"&amp;$G$3)+SUMIFS(Vendas!$Z$8:$Z$2008,Vendas!$W$8:$W$2008,$B20,Vendas!$E$8:$E$2008,"&gt;=01/02/"&amp;$G$3,Vendas!$E$8:$E$2008,"&lt;=28/02/"&amp;$G$3)+SUMIFS(Vendas!$AE$8:$AE$2008,Vendas!$AB$8:$AB$2008,$B20,Vendas!$E$8:$E$2008,"&gt;=01/02/"&amp;$G$3,Vendas!$E$8:$E$2008,"&lt;=28/02/"&amp;$G$3)+SUMIFS(Vendas!$AJ$8:$AJ$2008,Vendas!$AG$8:$AG$2008,$B20,Vendas!$E$8:$E$2008,"&gt;=01/02/"&amp;$G$3,Vendas!$E$8:$E$2008,"&lt;=28/02/"&amp;$G$3)+SUMIFS(Vendas!$AO$8:$AO$2008,Vendas!$AL$8:$AL$2008,$B20,Vendas!$E$8:$E$2008,"&gt;=01/02/"&amp;$G$3,Vendas!$E$8:$E$2008,"&lt;=28/02/"&amp;$G$3)+SUMIFS(Vendas!$AT$8:$AT$2008,Vendas!$AQ$8:$AQ$2008,$B20,Vendas!$E$8:$E$2008,"&gt;=01/02/"&amp;$G$3,Vendas!$E$8:$E$2008,"&lt;=28/02/"&amp;$G$3)</f>
        <v>0</v>
      </c>
      <c r="F20" s="162">
        <f>SUMIFS(Vendas!$K$8:$K$2008,Vendas!$H$8:$H$2008,$B20,Vendas!$E$8:$E$2008,"&gt;=01/02/"&amp;$G$3,Vendas!$E$8:$E$2008,"&lt;=28/02/"&amp;$G$3,Vendas!$C$8:$C$2008,"Entregue")+SUMIFS(Vendas!$P$8:$P$2008,Vendas!$M$8:$M$2008,$B20,Vendas!$E$8:$E$2008,"&gt;=01/02/"&amp;$G$3,Vendas!$E$8:$E$2008,"&lt;=28/02/"&amp;$G$3,Vendas!$C$8:$C$2008,"Entregue")+SUMIFS(Vendas!$U$8:$U$2008,Vendas!$R$8:$R$2008,$B20,Vendas!$E$8:$E$2008,"&gt;=01/02/"&amp;$G$3,Vendas!$E$8:$E$2008,"&lt;=28/02/"&amp;$G$3,Vendas!$C$8:$C$2008,"Entregue")+SUMIFS(Vendas!$Z$8:$Z$2008,Vendas!$W$8:$W$2008,$B20,Vendas!$E$8:$E$2008,"&gt;=01/02/"&amp;$G$3,Vendas!$E$8:$E$2008,"&lt;=28/02/"&amp;$G$3,Vendas!$C$8:$C$2008,"Entregue")+SUMIFS(Vendas!$AE$8:$AE$2008,Vendas!$AB$8:$AB$2008,$B20,Vendas!$E$8:$E$2008,"&gt;=01/02/"&amp;$G$3,Vendas!$E$8:$E$2008,"&lt;=28/02/"&amp;$G$3,Vendas!$C$8:$C$2008,"Entregue")+SUMIFS(Vendas!$AJ$8:$AJ$2008,Vendas!$AG$8:$AG$2008,$B20,Vendas!$E$8:$E$2008,"&gt;=01/02/"&amp;$G$3,Vendas!$E$8:$E$2008,"&lt;=28/02/"&amp;$G$3,Vendas!$C$8:$C$2008,"Entregue")+SUMIFS(Vendas!$AO$8:$AO$2008,Vendas!$AL$8:$AL$2008,$B20,Vendas!$E$8:$E$2008,"&gt;=01/02/"&amp;$G$3,Vendas!$E$8:$E$2008,"&lt;=28/02/"&amp;$G$3,Vendas!$C$8:$C$2008,"Entregue")+SUMIFS(Vendas!$AT$8:$AT$2008,Vendas!$AQ$8:$AQ$2008,$B20,Vendas!$E$8:$E$2008,"&gt;=01/02/"&amp;$G$3,Vendas!$E$8:$E$2008,"&lt;=28/02/"&amp;$G$3,Vendas!$C$8:$C$2008,"Entregue")</f>
        <v>0</v>
      </c>
      <c r="G20" s="162">
        <f>SUMIFS(Vendas!$K$8:$K$2008,Vendas!$H$8:$H$2008,$B20,Vendas!$E$8:$E$2008,"&gt;=01/03/"&amp;$G$3,Vendas!$E$8:$E$2008,"&lt;=31/03/"&amp;$G$3)+SUMIFS(Vendas!$P$8:$P$2008,Vendas!$M$8:$M$2008,$B20,Vendas!$E$8:$E$2008,"&gt;=01/03/"&amp;$G$3,Vendas!$E$8:$E$2008,"&lt;=31/03/"&amp;$G$3)+SUMIFS(Vendas!$U$8:$U$2008,Vendas!$R$8:$R$2008,$B20,Vendas!$E$8:$E$2008,"&gt;=01/03/"&amp;$G$3,Vendas!$E$8:$E$2008,"&lt;=31/03/"&amp;$G$3)+SUMIFS(Vendas!$Z$8:$Z$2008,Vendas!$W$8:$W$2008,$B20,Vendas!$E$8:$E$2008,"&gt;=01/03/"&amp;$G$3,Vendas!$E$8:$E$2008,"&lt;=31/03/"&amp;$G$3)+SUMIFS(Vendas!$AE$8:$AE$2008,Vendas!$AB$8:$AB$2008,$B20,Vendas!$E$8:$E$2008,"&gt;=01/03/"&amp;$G$3,Vendas!$E$8:$E$2008,"&lt;=31/03/"&amp;$G$3)+SUMIFS(Vendas!$AJ$8:$AJ$2008,Vendas!$AG$8:$AG$2008,$B20,Vendas!$E$8:$E$2008,"&gt;=01/03/"&amp;$G$3,Vendas!$E$8:$E$2008,"&lt;=31/03/"&amp;$G$3)+SUMIFS(Vendas!$AO$8:$AO$2008,Vendas!$AL$8:$AL$2008,$B20,Vendas!$E$8:$E$2008,"&gt;=01/03/"&amp;$G$3,Vendas!$E$8:$E$2008,"&lt;=31/03/"&amp;$G$3)+SUMIFS(Vendas!$AT$8:$AT$2008,Vendas!$AQ$8:$AQ$2008,$B20,Vendas!$E$8:$E$2008,"&gt;=01/03/"&amp;$G$3,Vendas!$E$8:$E$2008,"&lt;=31/03/"&amp;$G$3)</f>
        <v>0</v>
      </c>
      <c r="H20" s="162">
        <f>SUMIFS(Vendas!$K$8:$K$2008,Vendas!$H$8:$H$2008,$B20,Vendas!$E$8:$E$2008,"&gt;=01/03/"&amp;$G$3,Vendas!$E$8:$E$2008,"&lt;=31/03/"&amp;$G$3,Vendas!$C$8:$C$2008,"Entregue")+SUMIFS(Vendas!$P$8:$P$2008,Vendas!$M$8:$M$2008,$B20,Vendas!$E$8:$E$2008,"&gt;=01/03/"&amp;$G$3,Vendas!$E$8:$E$2008,"&lt;=31/03/"&amp;$G$3,Vendas!$C$8:$C$2008,"Entregue")+SUMIFS(Vendas!$U$8:$U$2008,Vendas!$R$8:$R$2008,$B20,Vendas!$E$8:$E$2008,"&gt;=01/03/"&amp;$G$3,Vendas!$E$8:$E$2008,"&lt;=31/03/"&amp;$G$3,Vendas!$C$8:$C$2008,"Entregue")+SUMIFS(Vendas!$Z$8:$Z$2008,Vendas!$W$8:$W$2008,$B20,Vendas!$E$8:$E$2008,"&gt;=01/03/"&amp;$G$3,Vendas!$E$8:$E$2008,"&lt;=31/03/"&amp;$G$3,Vendas!$C$8:$C$2008,"Entregue")+SUMIFS(Vendas!$AE$8:$AE$2008,Vendas!$AB$8:$AB$2008,$B20,Vendas!$E$8:$E$2008,"&gt;=01/03/"&amp;$G$3,Vendas!$E$8:$E$2008,"&lt;=31/03/"&amp;$G$3,Vendas!$C$8:$C$2008,"Entregue")+SUMIFS(Vendas!$AJ$8:$AJ$2008,Vendas!$AG$8:$AG$2008,$B20,Vendas!$E$8:$E$2008,"&gt;=01/03/"&amp;$G$3,Vendas!$E$8:$E$2008,"&lt;=31/03/"&amp;$G$3,Vendas!$C$8:$C$2008,"Entregue")+SUMIFS(Vendas!$AO$8:$AO$2008,Vendas!$AL$8:$AL$2008,$B20,Vendas!$E$8:$E$2008,"&gt;=01/03/"&amp;$G$3,Vendas!$E$8:$E$2008,"&lt;=31/03/"&amp;$G$3,Vendas!$C$8:$C$2008,"Entregue")+SUMIFS(Vendas!$AT$8:$AT$2008,Vendas!$AQ$8:$AQ$2008,$B20,Vendas!$E$8:$E$2008,"&gt;=01/03/"&amp;$G$3,Vendas!$E$8:$E$2008,"&lt;=31/03/"&amp;$G$3,Vendas!$C$8:$C$2008,"Entregue")</f>
        <v>0</v>
      </c>
      <c r="I20" s="162">
        <f>SUMIFS(Vendas!$K$8:$K$2008,Vendas!$H$8:$H$2008,$B20,Vendas!$E$8:$E$2008,"&gt;=01/04/"&amp;$G$3,Vendas!$E$8:$E$2008,"&lt;=30/04/"&amp;$G$3)+SUMIFS(Vendas!$P$8:$P$2008,Vendas!$M$8:$M$2008,$B20,Vendas!$E$8:$E$2008,"&gt;=01/04/"&amp;$G$3,Vendas!$E$8:$E$2008,"&lt;=30/04/"&amp;$G$3)+SUMIFS(Vendas!$U$8:$U$2008,Vendas!$R$8:$R$2008,$B20,Vendas!$E$8:$E$2008,"&gt;=01/04/"&amp;$G$3,Vendas!$E$8:$E$2008,"&lt;=30/04/"&amp;$G$3)+SUMIFS(Vendas!$Z$8:$Z$2008,Vendas!$W$8:$W$2008,$B20,Vendas!$E$8:$E$2008,"&gt;=01/04/"&amp;$G$3,Vendas!$E$8:$E$2008,"&lt;=30/04/"&amp;$G$3)+SUMIFS(Vendas!$AE$8:$AE$2008,Vendas!$AB$8:$AB$2008,$B20,Vendas!$E$8:$E$2008,"&gt;=01/04/"&amp;$G$3,Vendas!$E$8:$E$2008,"&lt;=30/04/"&amp;$G$3)+SUMIFS(Vendas!$AJ$8:$AJ$2008,Vendas!$AG$8:$AG$2008,$B20,Vendas!$E$8:$E$2008,"&gt;=01/04/"&amp;$G$3,Vendas!$E$8:$E$2008,"&lt;=30/04/"&amp;$G$3)+SUMIFS(Vendas!$AO$8:$AO$2008,Vendas!$AL$8:$AL$2008,$B20,Vendas!$E$8:$E$2008,"&gt;=01/04/"&amp;$G$3,Vendas!$E$8:$E$2008,"&lt;=30/04/"&amp;$G$3)+SUMIFS(Vendas!$AT$8:$AT$2008,Vendas!$AQ$8:$AQ$2008,$B20,Vendas!$E$8:$E$2008,"&gt;=01/04/"&amp;$G$3,Vendas!$E$8:$E$2008,"&lt;=30/04/"&amp;$G$3)</f>
        <v>0</v>
      </c>
      <c r="J20" s="162">
        <f>SUMIFS(Vendas!$K$8:$K$2008,Vendas!$H$8:$H$2008,$B20,Vendas!$E$8:$E$2008,"&gt;=01/04/"&amp;$G$3,Vendas!$E$8:$E$2008,"&lt;=30/04/"&amp;$G$3,Vendas!$C$8:$C$2008,"Entregue")+SUMIFS(Vendas!$P$8:$P$2008,Vendas!$M$8:$M$2008,$B20,Vendas!$E$8:$E$2008,"&gt;=01/04/"&amp;$G$3,Vendas!$E$8:$E$2008,"&lt;=30/04/"&amp;$G$3,Vendas!$C$8:$C$2008,"Entregue")+SUMIFS(Vendas!$U$8:$U$2008,Vendas!$R$8:$R$2008,$B20,Vendas!$E$8:$E$2008,"&gt;=01/04/"&amp;$G$3,Vendas!$E$8:$E$2008,"&lt;=30/04/"&amp;$G$3,Vendas!$C$8:$C$2008,"Entregue")+SUMIFS(Vendas!$Z$8:$Z$2008,Vendas!$W$8:$W$2008,$B20,Vendas!$E$8:$E$2008,"&gt;=01/04/"&amp;$G$3,Vendas!$E$8:$E$2008,"&lt;=30/04/"&amp;$G$3,Vendas!$C$8:$C$2008,"Entregue")+SUMIFS(Vendas!$AE$8:$AE$2008,Vendas!$AB$8:$AB$2008,$B20,Vendas!$E$8:$E$2008,"&gt;=01/04/"&amp;$G$3,Vendas!$E$8:$E$2008,"&lt;=30/04/"&amp;$G$3,Vendas!$C$8:$C$2008,"Entregue")+SUMIFS(Vendas!$AJ$8:$AJ$2008,Vendas!$AG$8:$AG$2008,$B20,Vendas!$E$8:$E$2008,"&gt;=01/04/"&amp;$G$3,Vendas!$E$8:$E$2008,"&lt;=30/04/"&amp;$G$3,Vendas!$C$8:$C$2008,"Entregue")+SUMIFS(Vendas!$AO$8:$AO$2008,Vendas!$AL$8:$AL$2008,$B20,Vendas!$E$8:$E$2008,"&gt;=01/04/"&amp;$G$3,Vendas!$E$8:$E$2008,"&lt;=30/04/"&amp;$G$3,Vendas!$C$8:$C$2008,"Entregue")+SUMIFS(Vendas!$AT$8:$AT$2008,Vendas!$AQ$8:$AQ$2008,$B20,Vendas!$E$8:$E$2008,"&gt;=01/04/"&amp;$G$3,Vendas!$E$8:$E$2008,"&lt;=30/04/"&amp;$G$3,Vendas!$C$8:$C$2008,"Entregue")</f>
        <v>0</v>
      </c>
      <c r="K20" s="162">
        <f>SUMIFS(Vendas!$K$8:$K$2008,Vendas!$H$8:$H$2008,$B20,Vendas!$E$8:$E$2008,"&gt;=01/05/"&amp;$G$3,Vendas!$E$8:$E$2008,"&lt;=31/05/"&amp;$G$3)+SUMIFS(Vendas!$P$8:$P$2008,Vendas!$M$8:$M$2008,$B20,Vendas!$E$8:$E$2008,"&gt;=01/05/"&amp;$G$3,Vendas!$E$8:$E$2008,"&lt;=31/05/"&amp;$G$3)+SUMIFS(Vendas!$U$8:$U$2008,Vendas!$R$8:$R$2008,$B20,Vendas!$E$8:$E$2008,"&gt;=01/05/"&amp;$G$3,Vendas!$E$8:$E$2008,"&lt;=31/05/"&amp;$G$3)+SUMIFS(Vendas!$Z$8:$Z$2008,Vendas!$W$8:$W$2008,$B20,Vendas!$E$8:$E$2008,"&gt;=01/05/"&amp;$G$3,Vendas!$E$8:$E$2008,"&lt;=31/05/"&amp;$G$3)+SUMIFS(Vendas!$AE$8:$AE$2008,Vendas!$AB$8:$AB$2008,$B20,Vendas!$E$8:$E$2008,"&gt;=01/05/"&amp;$G$3,Vendas!$E$8:$E$2008,"&lt;=31/05/"&amp;$G$3)+SUMIFS(Vendas!$AJ$8:$AJ$2008,Vendas!$AG$8:$AG$2008,$B20,Vendas!$E$8:$E$2008,"&gt;=01/05/"&amp;$G$3,Vendas!$E$8:$E$2008,"&lt;=31/05/"&amp;$G$3)+SUMIFS(Vendas!$AO$8:$AO$2008,Vendas!$AL$8:$AL$2008,$B20,Vendas!$E$8:$E$2008,"&gt;=01/05/"&amp;$G$3,Vendas!$E$8:$E$2008,"&lt;=31/05/"&amp;$G$3)+SUMIFS(Vendas!$AT$8:$AT$2008,Vendas!$AQ$8:$AQ$2008,$B20,Vendas!$E$8:$E$2008,"&gt;=01/05/"&amp;$G$3,Vendas!$E$8:$E$2008,"&lt;=31/05/"&amp;$G$3)</f>
        <v>0</v>
      </c>
      <c r="L20" s="162">
        <f>SUMIFS(Vendas!$K$8:$K$2008,Vendas!$H$8:$H$2008,$B20,Vendas!$E$8:$E$2008,"&gt;=01/05/"&amp;$G$3,Vendas!$E$8:$E$2008,"&lt;=31/05/"&amp;$G$3,Vendas!$C$8:$C$2008,"Entregue")+SUMIFS(Vendas!$P$8:$P$2008,Vendas!$M$8:$M$2008,$B20,Vendas!$E$8:$E$2008,"&gt;=01/05/"&amp;$G$3,Vendas!$E$8:$E$2008,"&lt;=31/05/"&amp;$G$3,Vendas!$C$8:$C$2008,"Entregue")+SUMIFS(Vendas!$U$8:$U$2008,Vendas!$R$8:$R$2008,$B20,Vendas!$E$8:$E$2008,"&gt;=01/05/"&amp;$G$3,Vendas!$E$8:$E$2008,"&lt;=31/05/"&amp;$G$3,Vendas!$C$8:$C$2008,"Entregue")+SUMIFS(Vendas!$Z$8:$Z$2008,Vendas!$W$8:$W$2008,$B20,Vendas!$E$8:$E$2008,"&gt;=01/05/"&amp;$G$3,Vendas!$E$8:$E$2008,"&lt;=31/05/"&amp;$G$3,Vendas!$C$8:$C$2008,"Entregue")+SUMIFS(Vendas!$AE$8:$AE$2008,Vendas!$AB$8:$AB$2008,$B20,Vendas!$E$8:$E$2008,"&gt;=01/05/"&amp;$G$3,Vendas!$E$8:$E$2008,"&lt;=31/05/"&amp;$G$3,Vendas!$C$8:$C$2008,"Entregue")+SUMIFS(Vendas!$AJ$8:$AJ$2008,Vendas!$AG$8:$AG$2008,$B20,Vendas!$E$8:$E$2008,"&gt;=01/05/"&amp;$G$3,Vendas!$E$8:$E$2008,"&lt;=31/05/"&amp;$G$3,Vendas!$C$8:$C$2008,"Entregue")+SUMIFS(Vendas!$AO$8:$AO$2008,Vendas!$AL$8:$AL$2008,$B20,Vendas!$E$8:$E$2008,"&gt;=01/05/"&amp;$G$3,Vendas!$E$8:$E$2008,"&lt;=31/05/"&amp;$G$3,Vendas!$C$8:$C$2008,"Entregue")+SUMIFS(Vendas!$AT$8:$AT$2008,Vendas!$AQ$8:$AQ$2008,$B20,Vendas!$E$8:$E$2008,"&gt;=01/05/"&amp;$G$3,Vendas!$E$8:$E$2008,"&lt;=31/05/"&amp;$G$3,Vendas!$C$8:$C$2008,"Entregue")</f>
        <v>0</v>
      </c>
      <c r="M20" s="162">
        <f>SUMIFS(Vendas!$K$8:$K$2008,Vendas!$H$8:$H$2008,$B20,Vendas!$E$8:$E$2008,"&gt;=01/06/"&amp;$G$3,Vendas!$E$8:$E$2008,"&lt;=30/06/"&amp;$G$3)+SUMIFS(Vendas!$P$8:$P$2008,Vendas!$M$8:$M$2008,$B20,Vendas!$E$8:$E$2008,"&gt;=01/06/"&amp;$G$3,Vendas!$E$8:$E$2008,"&lt;=30/06/"&amp;$G$3)+SUMIFS(Vendas!$U$8:$U$2008,Vendas!$R$8:$R$2008,$B20,Vendas!$E$8:$E$2008,"&gt;=01/06/"&amp;$G$3,Vendas!$E$8:$E$2008,"&lt;=30/06/"&amp;$G$3)+SUMIFS(Vendas!$Z$8:$Z$2008,Vendas!$W$8:$W$2008,$B20,Vendas!$E$8:$E$2008,"&gt;=01/06/"&amp;$G$3,Vendas!$E$8:$E$2008,"&lt;=30/06/"&amp;$G$3)+SUMIFS(Vendas!$AE$8:$AE$2008,Vendas!$AB$8:$AB$2008,$B20,Vendas!$E$8:$E$2008,"&gt;=01/06/"&amp;$G$3,Vendas!$E$8:$E$2008,"&lt;=30/06/"&amp;$G$3)+SUMIFS(Vendas!$AJ$8:$AJ$2008,Vendas!$AG$8:$AG$2008,$B20,Vendas!$E$8:$E$2008,"&gt;=01/06/"&amp;$G$3,Vendas!$E$8:$E$2008,"&lt;=30/06/"&amp;$G$3)+SUMIFS(Vendas!$AO$8:$AO$2008,Vendas!$AL$8:$AL$2008,$B20,Vendas!$E$8:$E$2008,"&gt;=01/06/"&amp;$G$3,Vendas!$E$8:$E$2008,"&lt;=30/06/"&amp;$G$3)+SUMIFS(Vendas!$AT$8:$AT$2008,Vendas!$AQ$8:$AQ$2008,$B20,Vendas!$E$8:$E$2008,"&gt;=01/06/"&amp;$G$3,Vendas!$E$8:$E$2008,"&lt;=30/06/"&amp;$G$3)</f>
        <v>1175.04</v>
      </c>
      <c r="N20" s="162">
        <f>SUMIFS(Vendas!$K$8:$K$2008,Vendas!$H$8:$H$2008,$B20,Vendas!$E$8:$E$2008,"&gt;=01/06/"&amp;$G$3,Vendas!$E$8:$E$2008,"&lt;=30/06/"&amp;$G$3,Vendas!$C$8:$C$2008,"Entregue")+SUMIFS(Vendas!$P$8:$P$2008,Vendas!$M$8:$M$2008,$B20,Vendas!$E$8:$E$2008,"&gt;=01/06/"&amp;$G$3,Vendas!$E$8:$E$2008,"&lt;=30/06/"&amp;$G$3,Vendas!$C$8:$C$2008,"Entregue")+SUMIFS(Vendas!$U$8:$U$2008,Vendas!$R$8:$R$2008,$B20,Vendas!$E$8:$E$2008,"&gt;=01/06/"&amp;$G$3,Vendas!$E$8:$E$2008,"&lt;=30/06/"&amp;$G$3,Vendas!$C$8:$C$2008,"Entregue")+SUMIFS(Vendas!$Z$8:$Z$2008,Vendas!$W$8:$W$2008,$B20,Vendas!$E$8:$E$2008,"&gt;=01/06/"&amp;$G$3,Vendas!$E$8:$E$2008,"&lt;=30/06/"&amp;$G$3,Vendas!$C$8:$C$2008,"Entregue")+SUMIFS(Vendas!$AE$8:$AE$2008,Vendas!$AB$8:$AB$2008,$B20,Vendas!$E$8:$E$2008,"&gt;=01/06/"&amp;$G$3,Vendas!$E$8:$E$2008,"&lt;=30/06/"&amp;$G$3,Vendas!$C$8:$C$2008,"Entregue")+SUMIFS(Vendas!$AJ$8:$AJ$2008,Vendas!$AG$8:$AG$2008,$B20,Vendas!$E$8:$E$2008,"&gt;=01/06/"&amp;$G$3,Vendas!$E$8:$E$2008,"&lt;=30/06/"&amp;$G$3,Vendas!$C$8:$C$2008,"Entregue")+SUMIFS(Vendas!$AO$8:$AO$2008,Vendas!$AL$8:$AL$2008,$B20,Vendas!$E$8:$E$2008,"&gt;=01/06/"&amp;$G$3,Vendas!$E$8:$E$2008,"&lt;=30/06/"&amp;$G$3,Vendas!$C$8:$C$2008,"Entregue")+SUMIFS(Vendas!$AT$8:$AT$2008,Vendas!$AQ$8:$AQ$2008,$B20,Vendas!$E$8:$E$2008,"&gt;=01/06/"&amp;$G$3,Vendas!$E$8:$E$2008,"&lt;=30/06/"&amp;$G$3,Vendas!$C$8:$C$2008,"Entregue")</f>
        <v>1175.04</v>
      </c>
      <c r="O20" s="162">
        <f>SUMIFS(Vendas!$K$8:$K$2008,Vendas!$H$8:$H$2008,$B20,Vendas!$E$8:$E$2008,"&gt;=01/07/"&amp;$G$3,Vendas!$E$8:$E$2008,"&lt;=31/07/"&amp;$G$3)+SUMIFS(Vendas!$P$8:$P$2008,Vendas!$M$8:$M$2008,$B20,Vendas!$E$8:$E$2008,"&gt;=01/07/"&amp;$G$3,Vendas!$E$8:$E$2008,"&lt;=31/07/"&amp;$G$3)+SUMIFS(Vendas!$U$8:$U$2008,Vendas!$R$8:$R$2008,$B20,Vendas!$E$8:$E$2008,"&gt;=01/07/"&amp;$G$3,Vendas!$E$8:$E$2008,"&lt;=31/07/"&amp;$G$3)+SUMIFS(Vendas!$Z$8:$Z$2008,Vendas!$W$8:$W$2008,$B20,Vendas!$E$8:$E$2008,"&gt;=01/07/"&amp;$G$3,Vendas!$E$8:$E$2008,"&lt;=31/07/"&amp;$G$3)+SUMIFS(Vendas!$AE$8:$AE$2008,Vendas!$AB$8:$AB$2008,$B20,Vendas!$E$8:$E$2008,"&gt;=01/07/"&amp;$G$3,Vendas!$E$8:$E$2008,"&lt;=31/07/"&amp;$G$3)+SUMIFS(Vendas!$AJ$8:$AJ$2008,Vendas!$AG$8:$AG$2008,$B20,Vendas!$E$8:$E$2008,"&gt;=01/07/"&amp;$G$3,Vendas!$E$8:$E$2008,"&lt;=31/07/"&amp;$G$3)+SUMIFS(Vendas!$AO$8:$AO$2008,Vendas!$AL$8:$AL$2008,$B20,Vendas!$E$8:$E$2008,"&gt;=01/07/"&amp;$G$3,Vendas!$E$8:$E$2008,"&lt;=31/07/"&amp;$G$3)+SUMIFS(Vendas!$AT$8:$AT$2008,Vendas!$AQ$8:$AQ$2008,$B20,Vendas!$E$8:$E$2008,"&gt;=01/07/"&amp;$G$3,Vendas!$E$8:$E$2008,"&lt;=31/07/"&amp;$G$3)</f>
        <v>0</v>
      </c>
      <c r="P20" s="162">
        <f>SUMIFS(Vendas!$K$8:$K$2008,Vendas!$H$8:$H$2008,$B20,Vendas!$E$8:$E$2008,"&gt;=01/07/"&amp;$G$3,Vendas!$E$8:$E$2008,"&lt;=31/07/"&amp;$G$3,Vendas!$C$8:$C$2008,"Entregue")+SUMIFS(Vendas!$P$8:$P$2008,Vendas!$M$8:$M$2008,$B20,Vendas!$E$8:$E$2008,"&gt;=01/07/"&amp;$G$3,Vendas!$E$8:$E$2008,"&lt;=31/07/"&amp;$G$3,Vendas!$C$8:$C$2008,"Entregue")+SUMIFS(Vendas!$U$8:$U$2008,Vendas!$R$8:$R$2008,$B20,Vendas!$E$8:$E$2008,"&gt;=01/07/"&amp;$G$3,Vendas!$E$8:$E$2008,"&lt;=31/07/"&amp;$G$3,Vendas!$C$8:$C$2008,"Entregue")+SUMIFS(Vendas!$Z$8:$Z$2008,Vendas!$W$8:$W$2008,$B20,Vendas!$E$8:$E$2008,"&gt;=01/07/"&amp;$G$3,Vendas!$E$8:$E$2008,"&lt;=31/07/"&amp;$G$3,Vendas!$C$8:$C$2008,"Entregue")+SUMIFS(Vendas!$AE$8:$AE$2008,Vendas!$AB$8:$AB$2008,$B20,Vendas!$E$8:$E$2008,"&gt;=01/07/"&amp;$G$3,Vendas!$E$8:$E$2008,"&lt;=31/07/"&amp;$G$3,Vendas!$C$8:$C$2008,"Entregue")+SUMIFS(Vendas!$AJ$8:$AJ$2008,Vendas!$AG$8:$AG$2008,$B20,Vendas!$E$8:$E$2008,"&gt;=01/07/"&amp;$G$3,Vendas!$E$8:$E$2008,"&lt;=31/07/"&amp;$G$3,Vendas!$C$8:$C$2008,"Entregue")+SUMIFS(Vendas!$AO$8:$AO$2008,Vendas!$AL$8:$AL$2008,$B20,Vendas!$E$8:$E$2008,"&gt;=01/07/"&amp;$G$3,Vendas!$E$8:$E$2008,"&lt;=31/07/"&amp;$G$3,Vendas!$C$8:$C$2008,"Entregue")+SUMIFS(Vendas!$AT$8:$AT$2008,Vendas!$AQ$8:$AQ$2008,$B20,Vendas!$E$8:$E$2008,"&gt;=01/07/"&amp;$G$3,Vendas!$E$8:$E$2008,"&lt;=31/07/"&amp;$G$3,Vendas!$C$8:$C$2008,"Entregue")</f>
        <v>0</v>
      </c>
      <c r="Q20" s="162">
        <f>SUMIFS(Vendas!$K$8:$K$2008,Vendas!$H$8:$H$2008,$B20,Vendas!$E$8:$E$2008,"&gt;=01/08/"&amp;$G$3,Vendas!$E$8:$E$2008,"&lt;=31/08/"&amp;$G$3)+SUMIFS(Vendas!$P$8:$P$2008,Vendas!$M$8:$M$2008,$B20,Vendas!$E$8:$E$2008,"&gt;=01/08/"&amp;$G$3,Vendas!$E$8:$E$2008,"&lt;=31/08/"&amp;$G$3)+SUMIFS(Vendas!$U$8:$U$2008,Vendas!$R$8:$R$2008,$B20,Vendas!$E$8:$E$2008,"&gt;=01/08/"&amp;$G$3,Vendas!$E$8:$E$2008,"&lt;=31/08/"&amp;$G$3)+SUMIFS(Vendas!$Z$8:$Z$2008,Vendas!$W$8:$W$2008,$B20,Vendas!$E$8:$E$2008,"&gt;=01/08/"&amp;$G$3,Vendas!$E$8:$E$2008,"&lt;=31/08/"&amp;$G$3)+SUMIFS(Vendas!$AE$8:$AE$2008,Vendas!$AB$8:$AB$2008,$B20,Vendas!$E$8:$E$2008,"&gt;=01/08/"&amp;$G$3,Vendas!$E$8:$E$2008,"&lt;=31/08/"&amp;$G$3)+SUMIFS(Vendas!$AJ$8:$AJ$2008,Vendas!$AG$8:$AG$2008,$B20,Vendas!$E$8:$E$2008,"&gt;=01/08/"&amp;$G$3,Vendas!$E$8:$E$2008,"&lt;=31/08/"&amp;$G$3)+SUMIFS(Vendas!$AO$8:$AO$2008,Vendas!$AL$8:$AL$2008,$B20,Vendas!$E$8:$E$2008,"&gt;=01/08/"&amp;$G$3,Vendas!$E$8:$E$2008,"&lt;=31/08/"&amp;$G$3)+SUMIFS(Vendas!$AT$8:$AT$2008,Vendas!$AQ$8:$AQ$2008,$B20,Vendas!$E$8:$E$2008,"&gt;=01/08/"&amp;$G$3,Vendas!$E$8:$E$2008,"&lt;=31/08/"&amp;$G$3)</f>
        <v>0</v>
      </c>
      <c r="R20" s="162">
        <f>SUMIFS(Vendas!$K$8:$K$2008,Vendas!$H$8:$H$2008,$B20,Vendas!$E$8:$E$2008,"&gt;=01/08/"&amp;$G$3,Vendas!$E$8:$E$2008,"&lt;=31/08/"&amp;$G$3,Vendas!$C$8:$C$2008,"Entregue")+SUMIFS(Vendas!$P$8:$P$2008,Vendas!$M$8:$M$2008,$B20,Vendas!$E$8:$E$2008,"&gt;=01/08/"&amp;$G$3,Vendas!$E$8:$E$2008,"&lt;=31/08/"&amp;$G$3,Vendas!$C$8:$C$2008,"Entregue")+SUMIFS(Vendas!$U$8:$U$2008,Vendas!$R$8:$R$2008,$B20,Vendas!$E$8:$E$2008,"&gt;=01/08/"&amp;$G$3,Vendas!$E$8:$E$2008,"&lt;=31/08/"&amp;$G$3,Vendas!$C$8:$C$2008,"Entregue")+SUMIFS(Vendas!$Z$8:$Z$2008,Vendas!$W$8:$W$2008,$B20,Vendas!$E$8:$E$2008,"&gt;=01/08/"&amp;$G$3,Vendas!$E$8:$E$2008,"&lt;=31/08/"&amp;$G$3,Vendas!$C$8:$C$2008,"Entregue")+SUMIFS(Vendas!$AE$8:$AE$2008,Vendas!$AB$8:$AB$2008,$B20,Vendas!$E$8:$E$2008,"&gt;=01/08/"&amp;$G$3,Vendas!$E$8:$E$2008,"&lt;=31/08/"&amp;$G$3,Vendas!$C$8:$C$2008,"Entregue")+SUMIFS(Vendas!$AJ$8:$AJ$2008,Vendas!$AG$8:$AG$2008,$B20,Vendas!$E$8:$E$2008,"&gt;=01/08/"&amp;$G$3,Vendas!$E$8:$E$2008,"&lt;=31/08/"&amp;$G$3,Vendas!$C$8:$C$2008,"Entregue")+SUMIFS(Vendas!$AO$8:$AO$2008,Vendas!$AL$8:$AL$2008,$B20,Vendas!$E$8:$E$2008,"&gt;=01/08/"&amp;$G$3,Vendas!$E$8:$E$2008,"&lt;=31/08/"&amp;$G$3,Vendas!$C$8:$C$2008,"Entregue")+SUMIFS(Vendas!$AT$8:$AT$2008,Vendas!$AQ$8:$AQ$2008,$B20,Vendas!$E$8:$E$2008,"&gt;=01/08/"&amp;$G$3,Vendas!$E$8:$E$2008,"&lt;=31/08/"&amp;$G$3,Vendas!$C$8:$C$2008,"Entregue")</f>
        <v>0</v>
      </c>
      <c r="S20" s="162">
        <f>SUMIFS(Vendas!$K$8:$K$2008,Vendas!$H$8:$H$2008,$B20,Vendas!$E$8:$E$2008,"&gt;=01/09/"&amp;$G$3,Vendas!$E$8:$E$2008,"&lt;=30/09/"&amp;$G$3)+SUMIFS(Vendas!$P$8:$P$2008,Vendas!$M$8:$M$2008,$B20,Vendas!$E$8:$E$2008,"&gt;=01/09/"&amp;$G$3,Vendas!$E$8:$E$2008,"&lt;=30/09/"&amp;$G$3)+SUMIFS(Vendas!$U$8:$U$2008,Vendas!$R$8:$R$2008,$B20,Vendas!$E$8:$E$2008,"&gt;=01/09/"&amp;$G$3,Vendas!$E$8:$E$2008,"&lt;=30/09/"&amp;$G$3)+SUMIFS(Vendas!$Z$8:$Z$2008,Vendas!$W$8:$W$2008,$B20,Vendas!$E$8:$E$2008,"&gt;=01/09/"&amp;$G$3,Vendas!$E$8:$E$2008,"&lt;=30/09/"&amp;$G$3)+SUMIFS(Vendas!$AE$8:$AE$2008,Vendas!$AB$8:$AB$2008,$B20,Vendas!$E$8:$E$2008,"&gt;=01/09/"&amp;$G$3,Vendas!$E$8:$E$2008,"&lt;=30/09/"&amp;$G$3)+SUMIFS(Vendas!$AJ$8:$AJ$2008,Vendas!$AG$8:$AG$2008,$B20,Vendas!$E$8:$E$2008,"&gt;=01/09/"&amp;$G$3,Vendas!$E$8:$E$2008,"&lt;=30/09/"&amp;$G$3)+SUMIFS(Vendas!$AO$8:$AO$2008,Vendas!$AL$8:$AL$2008,$B20,Vendas!$E$8:$E$2008,"&gt;=01/09/"&amp;$G$3,Vendas!$E$8:$E$2008,"&lt;=30/09/"&amp;$G$3)+SUMIFS(Vendas!$AT$8:$AT$2008,Vendas!$AQ$8:$AQ$2008,$B20,Vendas!$E$8:$E$2008,"&gt;=01/09/"&amp;$G$3,Vendas!$E$8:$E$2008,"&lt;=30/09/"&amp;$G$3)</f>
        <v>0</v>
      </c>
      <c r="T20" s="162">
        <f>SUMIFS(Vendas!$K$8:$K$2008,Vendas!$H$8:$H$2008,$B20,Vendas!$E$8:$E$2008,"&gt;=01/09/"&amp;$G$3,Vendas!$E$8:$E$2008,"&lt;=30/09/"&amp;$G$3,Vendas!$C$8:$C$2008,"Entregue")+SUMIFS(Vendas!$P$8:$P$2008,Vendas!$M$8:$M$2008,$B20,Vendas!$E$8:$E$2008,"&gt;=01/09/"&amp;$G$3,Vendas!$E$8:$E$2008,"&lt;=30/09/"&amp;$G$3,Vendas!$C$8:$C$2008,"Entregue")+SUMIFS(Vendas!$U$8:$U$2008,Vendas!$R$8:$R$2008,$B20,Vendas!$E$8:$E$2008,"&gt;=01/09/"&amp;$G$3,Vendas!$E$8:$E$2008,"&lt;=30/09/"&amp;$G$3,Vendas!$C$8:$C$2008,"Entregue")+SUMIFS(Vendas!$Z$8:$Z$2008,Vendas!$W$8:$W$2008,$B20,Vendas!$E$8:$E$2008,"&gt;=01/09/"&amp;$G$3,Vendas!$E$8:$E$2008,"&lt;=30/09/"&amp;$G$3,Vendas!$C$8:$C$2008,"Entregue")+SUMIFS(Vendas!$AE$8:$AE$2008,Vendas!$AB$8:$AB$2008,$B20,Vendas!$E$8:$E$2008,"&gt;=01/09/"&amp;$G$3,Vendas!$E$8:$E$2008,"&lt;=30/09/"&amp;$G$3,Vendas!$C$8:$C$2008,"Entregue")+SUMIFS(Vendas!$AJ$8:$AJ$2008,Vendas!$AG$8:$AG$2008,$B20,Vendas!$E$8:$E$2008,"&gt;=01/09/"&amp;$G$3,Vendas!$E$8:$E$2008,"&lt;=30/09/"&amp;$G$3,Vendas!$C$8:$C$2008,"Entregue")+SUMIFS(Vendas!$AO$8:$AO$2008,Vendas!$AL$8:$AL$2008,$B20,Vendas!$E$8:$E$2008,"&gt;=01/09/"&amp;$G$3,Vendas!$E$8:$E$2008,"&lt;=30/09/"&amp;$G$3,Vendas!$C$8:$C$2008,"Entregue")+SUMIFS(Vendas!$AT$8:$AT$2008,Vendas!$AQ$8:$AQ$2008,$B20,Vendas!$E$8:$E$2008,"&gt;=01/09/"&amp;$G$3,Vendas!$E$8:$E$2008,"&lt;=30/09/"&amp;$G$3,Vendas!$C$8:$C$2008,"Entregue")</f>
        <v>0</v>
      </c>
      <c r="U20" s="162">
        <f>SUMIFS(Vendas!$K$8:$K$2008,Vendas!$H$8:$H$2008,$B20,Vendas!$E$8:$E$2008,"&gt;=01/10/"&amp;$G$3,Vendas!$E$8:$E$2008,"&lt;=31/10/"&amp;$G$3)+SUMIFS(Vendas!$P$8:$P$2008,Vendas!$M$8:$M$2008,$B20,Vendas!$E$8:$E$2008,"&gt;=01/10/"&amp;$G$3,Vendas!$E$8:$E$2008,"&lt;=31/10/"&amp;$G$3)+SUMIFS(Vendas!$U$8:$U$2008,Vendas!$R$8:$R$2008,$B20,Vendas!$E$8:$E$2008,"&gt;=01/10/"&amp;$G$3,Vendas!$E$8:$E$2008,"&lt;=31/10/"&amp;$G$3)+SUMIFS(Vendas!$Z$8:$Z$2008,Vendas!$W$8:$W$2008,$B20,Vendas!$E$8:$E$2008,"&gt;=01/10/"&amp;$G$3,Vendas!$E$8:$E$2008,"&lt;=31/10/"&amp;$G$3)+SUMIFS(Vendas!$AE$8:$AE$2008,Vendas!$AB$8:$AB$2008,$B20,Vendas!$E$8:$E$2008,"&gt;=01/10/"&amp;$G$3,Vendas!$E$8:$E$2008,"&lt;=31/10/"&amp;$G$3)+SUMIFS(Vendas!$AJ$8:$AJ$2008,Vendas!$AG$8:$AG$2008,$B20,Vendas!$E$8:$E$2008,"&gt;=01/10/"&amp;$G$3,Vendas!$E$8:$E$2008,"&lt;=31/10/"&amp;$G$3)+SUMIFS(Vendas!$AO$8:$AO$2008,Vendas!$AL$8:$AL$2008,$B20,Vendas!$E$8:$E$2008,"&gt;=01/10/"&amp;$G$3,Vendas!$E$8:$E$2008,"&lt;=31/10/"&amp;$G$3)+SUMIFS(Vendas!$AT$8:$AT$2008,Vendas!$AQ$8:$AQ$2008,$B20,Vendas!$E$8:$E$2008,"&gt;=01/10/"&amp;$G$3,Vendas!$E$8:$E$2008,"&lt;=31/10/"&amp;$G$3)</f>
        <v>0</v>
      </c>
      <c r="V20" s="162">
        <f>SUMIFS(Vendas!$K$8:$K$2008,Vendas!$H$8:$H$2008,$B20,Vendas!$E$8:$E$2008,"&gt;=01/10/"&amp;$G$3,Vendas!$E$8:$E$2008,"&lt;=31/10/"&amp;$G$3,Vendas!$C$8:$C$2008,"Entregue")+SUMIFS(Vendas!$P$8:$P$2008,Vendas!$M$8:$M$2008,$B20,Vendas!$E$8:$E$2008,"&gt;=01/10/"&amp;$G$3,Vendas!$E$8:$E$2008,"&lt;=31/10/"&amp;$G$3,Vendas!$C$8:$C$2008,"Entregue")+SUMIFS(Vendas!$U$8:$U$2008,Vendas!$R$8:$R$2008,$B20,Vendas!$E$8:$E$2008,"&gt;=01/10/"&amp;$G$3,Vendas!$E$8:$E$2008,"&lt;=31/10/"&amp;$G$3,Vendas!$C$8:$C$2008,"Entregue")+SUMIFS(Vendas!$Z$8:$Z$2008,Vendas!$W$8:$W$2008,$B20,Vendas!$E$8:$E$2008,"&gt;=01/10/"&amp;$G$3,Vendas!$E$8:$E$2008,"&lt;=31/10/"&amp;$G$3,Vendas!$C$8:$C$2008,"Entregue")+SUMIFS(Vendas!$AE$8:$AE$2008,Vendas!$AB$8:$AB$2008,$B20,Vendas!$E$8:$E$2008,"&gt;=01/10/"&amp;$G$3,Vendas!$E$8:$E$2008,"&lt;=31/10/"&amp;$G$3,Vendas!$C$8:$C$2008,"Entregue")+SUMIFS(Vendas!$AJ$8:$AJ$2008,Vendas!$AG$8:$AG$2008,$B20,Vendas!$E$8:$E$2008,"&gt;=01/10/"&amp;$G$3,Vendas!$E$8:$E$2008,"&lt;=31/10/"&amp;$G$3,Vendas!$C$8:$C$2008,"Entregue")+SUMIFS(Vendas!$AO$8:$AO$2008,Vendas!$AL$8:$AL$2008,$B20,Vendas!$E$8:$E$2008,"&gt;=01/10/"&amp;$G$3,Vendas!$E$8:$E$2008,"&lt;=31/10/"&amp;$G$3,Vendas!$C$8:$C$2008,"Entregue")+SUMIFS(Vendas!$AT$8:$AT$2008,Vendas!$AQ$8:$AQ$2008,$B20,Vendas!$E$8:$E$2008,"&gt;=01/10/"&amp;$G$3,Vendas!$E$8:$E$2008,"&lt;=31/10/"&amp;$G$3,Vendas!$C$8:$C$2008,"Entregue")</f>
        <v>0</v>
      </c>
      <c r="W20" s="162">
        <f>SUMIFS(Vendas!$K$8:$K$2008,Vendas!$H$8:$H$2008,$B20,Vendas!$E$8:$E$2008,"&gt;=01/11/"&amp;$G$3,Vendas!$E$8:$E$2008,"&lt;=30/11/"&amp;$G$3)+SUMIFS(Vendas!$P$8:$P$2008,Vendas!$M$8:$M$2008,$B20,Vendas!$E$8:$E$2008,"&gt;=01/11/"&amp;$G$3,Vendas!$E$8:$E$2008,"&lt;=30/11/"&amp;$G$3)+SUMIFS(Vendas!$U$8:$U$2008,Vendas!$R$8:$R$2008,$B20,Vendas!$E$8:$E$2008,"&gt;=01/11/"&amp;$G$3,Vendas!$E$8:$E$2008,"&lt;=30/11/"&amp;$G$3)+SUMIFS(Vendas!$Z$8:$Z$2008,Vendas!$W$8:$W$2008,$B20,Vendas!$E$8:$E$2008,"&gt;=01/11/"&amp;$G$3,Vendas!$E$8:$E$2008,"&lt;=30/11/"&amp;$G$3)+SUMIFS(Vendas!$AE$8:$AE$2008,Vendas!$AB$8:$AB$2008,$B20,Vendas!$E$8:$E$2008,"&gt;=01/11/"&amp;$G$3,Vendas!$E$8:$E$2008,"&lt;=30/11/"&amp;$G$3)+SUMIFS(Vendas!$AJ$8:$AJ$2008,Vendas!$AG$8:$AG$2008,$B20,Vendas!$E$8:$E$2008,"&gt;=01/11/"&amp;$G$3,Vendas!$E$8:$E$2008,"&lt;=30/11/"&amp;$G$3)+SUMIFS(Vendas!$AO$8:$AO$2008,Vendas!$AL$8:$AL$2008,$B20,Vendas!$E$8:$E$2008,"&gt;=01/11/"&amp;$G$3,Vendas!$E$8:$E$2008,"&lt;=30/11/"&amp;$G$3)+SUMIFS(Vendas!$AT$8:$AT$2008,Vendas!$AQ$8:$AQ$2008,$B20,Vendas!$E$8:$E$2008,"&gt;=01/11/"&amp;$G$3,Vendas!$E$8:$E$2008,"&lt;=30/11/"&amp;$G$3)</f>
        <v>0</v>
      </c>
      <c r="X20" s="162">
        <f>SUMIFS(Vendas!$K$8:$K$2008,Vendas!$H$8:$H$2008,$B20,Vendas!$E$8:$E$2008,"&gt;=01/11/"&amp;$G$3,Vendas!$E$8:$E$2008,"&lt;=30/11/"&amp;$G$3,Vendas!$C$8:$C$2008,"Entregue")+SUMIFS(Vendas!$P$8:$P$2008,Vendas!$M$8:$M$2008,$B20,Vendas!$E$8:$E$2008,"&gt;=01/11/"&amp;$G$3,Vendas!$E$8:$E$2008,"&lt;=30/11/"&amp;$G$3,Vendas!$C$8:$C$2008,"Entregue")+SUMIFS(Vendas!$U$8:$U$2008,Vendas!$R$8:$R$2008,$B20,Vendas!$E$8:$E$2008,"&gt;=01/11/"&amp;$G$3,Vendas!$E$8:$E$2008,"&lt;=30/11/"&amp;$G$3,Vendas!$C$8:$C$2008,"Entregue")+SUMIFS(Vendas!$Z$8:$Z$2008,Vendas!$W$8:$W$2008,$B20,Vendas!$E$8:$E$2008,"&gt;=01/11/"&amp;$G$3,Vendas!$E$8:$E$2008,"&lt;=30/11/"&amp;$G$3,Vendas!$C$8:$C$2008,"Entregue")+SUMIFS(Vendas!$AE$8:$AE$2008,Vendas!$AB$8:$AB$2008,$B20,Vendas!$E$8:$E$2008,"&gt;=01/11/"&amp;$G$3,Vendas!$E$8:$E$2008,"&lt;=30/11/"&amp;$G$3,Vendas!$C$8:$C$2008,"Entregue")+SUMIFS(Vendas!$AJ$8:$AJ$2008,Vendas!$AG$8:$AG$2008,$B20,Vendas!$E$8:$E$2008,"&gt;=01/11/"&amp;$G$3,Vendas!$E$8:$E$2008,"&lt;=30/11/"&amp;$G$3,Vendas!$C$8:$C$2008,"Entregue")+SUMIFS(Vendas!$AO$8:$AO$2008,Vendas!$AL$8:$AL$2008,$B20,Vendas!$E$8:$E$2008,"&gt;=01/11/"&amp;$G$3,Vendas!$E$8:$E$2008,"&lt;=30/11/"&amp;$G$3,Vendas!$C$8:$C$2008,"Entregue")+SUMIFS(Vendas!$AT$8:$AT$2008,Vendas!$AQ$8:$AQ$2008,$B20,Vendas!$E$8:$E$2008,"&gt;=01/11/"&amp;$G$3,Vendas!$E$8:$E$2008,"&lt;=30/11/"&amp;$G$3,Vendas!$C$8:$C$2008,"Entregue")</f>
        <v>0</v>
      </c>
      <c r="Y20" s="162">
        <f>SUMIFS(Vendas!$K$8:$K$2008,Vendas!$H$8:$H$2008,$B20,Vendas!$E$8:$E$2008,"&gt;=01/12/"&amp;$G$3,Vendas!$E$8:$E$2008,"&lt;=31/12/"&amp;$G$3)+SUMIFS(Vendas!$P$8:$P$2008,Vendas!$M$8:$M$2008,$B20,Vendas!$E$8:$E$2008,"&gt;=01/12/"&amp;$G$3,Vendas!$E$8:$E$2008,"&lt;=31/12/"&amp;$G$3)+SUMIFS(Vendas!$U$8:$U$2008,Vendas!$R$8:$R$2008,$B20,Vendas!$E$8:$E$2008,"&gt;=01/12/"&amp;$G$3,Vendas!$E$8:$E$2008,"&lt;=31/12/"&amp;$G$3)+SUMIFS(Vendas!$Z$8:$Z$2008,Vendas!$W$8:$W$2008,$B20,Vendas!$E$8:$E$2008,"&gt;=01/12/"&amp;$G$3,Vendas!$E$8:$E$2008,"&lt;=31/12/"&amp;$G$3)+SUMIFS(Vendas!$AE$8:$AE$2008,Vendas!$AB$8:$AB$2008,$B20,Vendas!$E$8:$E$2008,"&gt;=01/12/"&amp;$G$3,Vendas!$E$8:$E$2008,"&lt;=31/12/"&amp;$G$3)+SUMIFS(Vendas!$AJ$8:$AJ$2008,Vendas!$AG$8:$AG$2008,$B20,Vendas!$E$8:$E$2008,"&gt;=01/12/"&amp;$G$3,Vendas!$E$8:$E$2008,"&lt;=31/12/"&amp;$G$3)+SUMIFS(Vendas!$AO$8:$AO$2008,Vendas!$AL$8:$AL$2008,$B20,Vendas!$E$8:$E$2008,"&gt;=01/12/"&amp;$G$3,Vendas!$E$8:$E$2008,"&lt;=31/12/"&amp;$G$3)+SUMIFS(Vendas!$AT$8:$AT$2008,Vendas!$AQ$8:$AQ$2008,$B20,Vendas!$E$8:$E$2008,"&gt;=01/12/"&amp;$G$3,Vendas!$E$8:$E$2008,"&lt;=31/12/"&amp;$G$3)</f>
        <v>0</v>
      </c>
      <c r="Z20" s="163">
        <f>SUMIFS(Vendas!$K$8:$K$2008,Vendas!$H$8:$H$2008,$B20,Vendas!$E$8:$E$2008,"&gt;=01/12/"&amp;$G$3,Vendas!$E$8:$E$2008,"&lt;=31/12/"&amp;$G$3,Vendas!$C$8:$C$2008,"Entregue")+SUMIFS(Vendas!$P$8:$P$2008,Vendas!$M$8:$M$2008,$B20,Vendas!$E$8:$E$2008,"&gt;=01/12/"&amp;$G$3,Vendas!$E$8:$E$2008,"&lt;=31/12/"&amp;$G$3,Vendas!$C$8:$C$2008,"Entregue")+SUMIFS(Vendas!$U$8:$U$2008,Vendas!$R$8:$R$2008,$B20,Vendas!$E$8:$E$2008,"&gt;=01/12/"&amp;$G$3,Vendas!$E$8:$E$2008,"&lt;=31/12/"&amp;$G$3,Vendas!$C$8:$C$2008,"Entregue")+SUMIFS(Vendas!$Z$8:$Z$2008,Vendas!$W$8:$W$2008,$B20,Vendas!$E$8:$E$2008,"&gt;=01/12/"&amp;$G$3,Vendas!$E$8:$E$2008,"&lt;=31/12/"&amp;$G$3,Vendas!$C$8:$C$2008,"Entregue")+SUMIFS(Vendas!$AE$8:$AE$2008,Vendas!$AB$8:$AB$2008,$B20,Vendas!$E$8:$E$2008,"&gt;=01/12/"&amp;$G$3,Vendas!$E$8:$E$2008,"&lt;=31/12/"&amp;$G$3,Vendas!$C$8:$C$2008,"Entregue")+SUMIFS(Vendas!$AJ$8:$AJ$2008,Vendas!$AG$8:$AG$2008,$B20,Vendas!$E$8:$E$2008,"&gt;=01/12/"&amp;$G$3,Vendas!$E$8:$E$2008,"&lt;=31/12/"&amp;$G$3,Vendas!$C$8:$C$2008,"Entregue")+SUMIFS(Vendas!$AO$8:$AO$2008,Vendas!$AL$8:$AL$2008,$B20,Vendas!$E$8:$E$2008,"&gt;=01/12/"&amp;$G$3,Vendas!$E$8:$E$2008,"&lt;=31/12/"&amp;$G$3,Vendas!$C$8:$C$2008,"Entregue")+SUMIFS(Vendas!$AT$8:$AT$2008,Vendas!$AQ$8:$AQ$2008,$B20,Vendas!$E$8:$E$2008,"&gt;=01/12/"&amp;$G$3,Vendas!$E$8:$E$2008,"&lt;=31/12/"&amp;$G$3,Vendas!$C$8:$C$2008,"Entregue")</f>
        <v>0</v>
      </c>
      <c r="AA20" s="132">
        <f t="shared" si="0"/>
        <v>1175.04</v>
      </c>
      <c r="AB20" s="132">
        <f t="shared" si="0"/>
        <v>1175.04</v>
      </c>
      <c r="AC20" s="67"/>
    </row>
    <row r="21" spans="2:29" ht="14.4" x14ac:dyDescent="0.3">
      <c r="B21" s="262" t="str">
        <f>IF(Cadastros!D22="","",Cadastros!D22)</f>
        <v>T002 - Travesseiro Colo De Mãe Mag Inf 035 X 060 Mult</v>
      </c>
      <c r="C21" s="158">
        <f>SUMIFS(Vendas!$K$8:$K$2008,Vendas!$H$8:$H$2008,$B21,Vendas!$E$8:$E$2008,"&gt;=01/01/"&amp;$G$3,Vendas!$E$8:$E$2008,"&lt;=31/01/"&amp;$G$3)+SUMIFS(Vendas!$P$8:$P$2008,Vendas!$M$8:$M$2008,$B21,Vendas!$E$8:$E$2008,"&gt;=01/01/"&amp;$G$3,Vendas!$E$8:$E$2008,"&lt;=31/01/"&amp;$G$3)+SUMIFS(Vendas!$U$8:$U$2008,Vendas!$R$8:$R$2008,$B21,Vendas!$E$8:$E$2008,"&gt;=01/01/"&amp;$G$3,Vendas!$E$8:$E$2008,"&lt;=31/01/"&amp;$G$3)+SUMIFS(Vendas!$Z$8:$Z$2008,Vendas!$W$8:$W$2008,$B21,Vendas!$E$8:$E$2008,"&gt;=01/01/"&amp;$G$3,Vendas!$E$8:$E$2008,"&lt;=31/01/"&amp;$G$3)+SUMIFS(Vendas!$AE$8:$AE$2008,Vendas!$AB$8:$AB$2008,$B21,Vendas!$E$8:$E$2008,"&gt;=01/01/"&amp;$G$3,Vendas!$E$8:$E$2008,"&lt;=31/01/"&amp;$G$3)+SUMIFS(Vendas!$AJ$8:$AJ$2008,Vendas!$AG$8:$AG$2008,$B21,Vendas!$E$8:$E$2008,"&gt;=01/01/"&amp;$G$3,Vendas!$E$8:$E$2008,"&lt;=31/01/"&amp;$G$3)+SUMIFS(Vendas!$AO$8:$AO$2008,Vendas!$AL$8:$AL$2008,$B21,Vendas!$E$8:$E$2008,"&gt;=01/01/"&amp;$G$3,Vendas!$E$8:$E$2008,"&lt;=31/01/"&amp;$G$3)+SUMIFS(Vendas!$AT$8:$AT$2008,Vendas!$AQ$8:$AQ$2008,$B21,Vendas!$E$8:$E$2008,"&gt;=01/01/"&amp;$G$3,Vendas!$E$8:$E$2008,"&lt;=31/01/"&amp;$G$3)</f>
        <v>0</v>
      </c>
      <c r="D21" s="159">
        <f>SUMIFS(Vendas!$K$8:$K$2008,Vendas!$H$8:$H$2008,$B21,Vendas!$E$8:$E$2008,"&gt;=01/01/"&amp;$G$3,Vendas!$E$8:$E$2008,"&lt;=31/01/"&amp;$G$3,Vendas!$C$8:$C$2008,"Entregue")+SUMIFS(Vendas!$P$8:$P$2008,Vendas!$M$8:$M$2008,$B21,Vendas!$E$8:$E$2008,"&gt;=01/01/"&amp;$G$3,Vendas!$E$8:$E$2008,"&lt;=31/01/"&amp;$G$3,Vendas!$C$8:$C$2008,"Entregue")+SUMIFS(Vendas!$U$8:$U$2008,Vendas!$R$8:$R$2008,$B21,Vendas!$E$8:$E$2008,"&gt;=01/01/"&amp;$G$3,Vendas!$E$8:$E$2008,"&lt;=31/01/"&amp;$G$3,Vendas!$C$8:$C$2008,"Entregue")+SUMIFS(Vendas!$Z$8:$Z$2008,Vendas!$W$8:$W$2008,$B21,Vendas!$E$8:$E$2008,"&gt;=01/01/"&amp;$G$3,Vendas!$E$8:$E$2008,"&lt;=31/01/"&amp;$G$3,Vendas!$C$8:$C$2008,"Entregue")+SUMIFS(Vendas!$AE$8:$AE$2008,Vendas!$AB$8:$AB$2008,$B21,Vendas!$E$8:$E$2008,"&gt;=01/01/"&amp;$G$3,Vendas!$E$8:$E$2008,"&lt;=31/01/"&amp;$G$3,Vendas!$C$8:$C$2008,"Entregue")+SUMIFS(Vendas!$AJ$8:$AJ$2008,Vendas!$AG$8:$AG$2008,$B21,Vendas!$E$8:$E$2008,"&gt;=01/01/"&amp;$G$3,Vendas!$E$8:$E$2008,"&lt;=31/01/"&amp;$G$3,Vendas!$C$8:$C$2008,"Entregue")+SUMIFS(Vendas!$AO$8:$AO$2008,Vendas!$AL$8:$AL$2008,$B21,Vendas!$E$8:$E$2008,"&gt;=01/01/"&amp;$G$3,Vendas!$E$8:$E$2008,"&lt;=31/01/"&amp;$G$3,Vendas!$C$8:$C$2008,"Entregue")+SUMIFS(Vendas!$AT$8:$AT$2008,Vendas!$AQ$8:$AQ$2008,$B21,Vendas!$E$8:$E$2008,"&gt;=01/01/"&amp;$G$3,Vendas!$E$8:$E$2008,"&lt;=31/01/"&amp;$G$3,Vendas!$C$8:$C$2008,"Entregue")</f>
        <v>0</v>
      </c>
      <c r="E21" s="159">
        <f>SUMIFS(Vendas!$K$8:$K$2008,Vendas!$H$8:$H$2008,$B21,Vendas!$E$8:$E$2008,"&gt;=01/02/"&amp;$G$3,Vendas!$E$8:$E$2008,"&lt;=28/02/"&amp;$G$3)+SUMIFS(Vendas!$P$8:$P$2008,Vendas!$M$8:$M$2008,$B21,Vendas!$E$8:$E$2008,"&gt;=01/02/"&amp;$G$3,Vendas!$E$8:$E$2008,"&lt;=28/02/"&amp;$G$3)+SUMIFS(Vendas!$U$8:$U$2008,Vendas!$R$8:$R$2008,$B21,Vendas!$E$8:$E$2008,"&gt;=01/02/"&amp;$G$3,Vendas!$E$8:$E$2008,"&lt;=28/02/"&amp;$G$3)+SUMIFS(Vendas!$Z$8:$Z$2008,Vendas!$W$8:$W$2008,$B21,Vendas!$E$8:$E$2008,"&gt;=01/02/"&amp;$G$3,Vendas!$E$8:$E$2008,"&lt;=28/02/"&amp;$G$3)+SUMIFS(Vendas!$AE$8:$AE$2008,Vendas!$AB$8:$AB$2008,$B21,Vendas!$E$8:$E$2008,"&gt;=01/02/"&amp;$G$3,Vendas!$E$8:$E$2008,"&lt;=28/02/"&amp;$G$3)+SUMIFS(Vendas!$AJ$8:$AJ$2008,Vendas!$AG$8:$AG$2008,$B21,Vendas!$E$8:$E$2008,"&gt;=01/02/"&amp;$G$3,Vendas!$E$8:$E$2008,"&lt;=28/02/"&amp;$G$3)+SUMIFS(Vendas!$AO$8:$AO$2008,Vendas!$AL$8:$AL$2008,$B21,Vendas!$E$8:$E$2008,"&gt;=01/02/"&amp;$G$3,Vendas!$E$8:$E$2008,"&lt;=28/02/"&amp;$G$3)+SUMIFS(Vendas!$AT$8:$AT$2008,Vendas!$AQ$8:$AQ$2008,$B21,Vendas!$E$8:$E$2008,"&gt;=01/02/"&amp;$G$3,Vendas!$E$8:$E$2008,"&lt;=28/02/"&amp;$G$3)</f>
        <v>0</v>
      </c>
      <c r="F21" s="159">
        <f>SUMIFS(Vendas!$K$8:$K$2008,Vendas!$H$8:$H$2008,$B21,Vendas!$E$8:$E$2008,"&gt;=01/02/"&amp;$G$3,Vendas!$E$8:$E$2008,"&lt;=28/02/"&amp;$G$3,Vendas!$C$8:$C$2008,"Entregue")+SUMIFS(Vendas!$P$8:$P$2008,Vendas!$M$8:$M$2008,$B21,Vendas!$E$8:$E$2008,"&gt;=01/02/"&amp;$G$3,Vendas!$E$8:$E$2008,"&lt;=28/02/"&amp;$G$3,Vendas!$C$8:$C$2008,"Entregue")+SUMIFS(Vendas!$U$8:$U$2008,Vendas!$R$8:$R$2008,$B21,Vendas!$E$8:$E$2008,"&gt;=01/02/"&amp;$G$3,Vendas!$E$8:$E$2008,"&lt;=28/02/"&amp;$G$3,Vendas!$C$8:$C$2008,"Entregue")+SUMIFS(Vendas!$Z$8:$Z$2008,Vendas!$W$8:$W$2008,$B21,Vendas!$E$8:$E$2008,"&gt;=01/02/"&amp;$G$3,Vendas!$E$8:$E$2008,"&lt;=28/02/"&amp;$G$3,Vendas!$C$8:$C$2008,"Entregue")+SUMIFS(Vendas!$AE$8:$AE$2008,Vendas!$AB$8:$AB$2008,$B21,Vendas!$E$8:$E$2008,"&gt;=01/02/"&amp;$G$3,Vendas!$E$8:$E$2008,"&lt;=28/02/"&amp;$G$3,Vendas!$C$8:$C$2008,"Entregue")+SUMIFS(Vendas!$AJ$8:$AJ$2008,Vendas!$AG$8:$AG$2008,$B21,Vendas!$E$8:$E$2008,"&gt;=01/02/"&amp;$G$3,Vendas!$E$8:$E$2008,"&lt;=28/02/"&amp;$G$3,Vendas!$C$8:$C$2008,"Entregue")+SUMIFS(Vendas!$AO$8:$AO$2008,Vendas!$AL$8:$AL$2008,$B21,Vendas!$E$8:$E$2008,"&gt;=01/02/"&amp;$G$3,Vendas!$E$8:$E$2008,"&lt;=28/02/"&amp;$G$3,Vendas!$C$8:$C$2008,"Entregue")+SUMIFS(Vendas!$AT$8:$AT$2008,Vendas!$AQ$8:$AQ$2008,$B21,Vendas!$E$8:$E$2008,"&gt;=01/02/"&amp;$G$3,Vendas!$E$8:$E$2008,"&lt;=28/02/"&amp;$G$3,Vendas!$C$8:$C$2008,"Entregue")</f>
        <v>0</v>
      </c>
      <c r="G21" s="159">
        <f>SUMIFS(Vendas!$K$8:$K$2008,Vendas!$H$8:$H$2008,$B21,Vendas!$E$8:$E$2008,"&gt;=01/03/"&amp;$G$3,Vendas!$E$8:$E$2008,"&lt;=31/03/"&amp;$G$3)+SUMIFS(Vendas!$P$8:$P$2008,Vendas!$M$8:$M$2008,$B21,Vendas!$E$8:$E$2008,"&gt;=01/03/"&amp;$G$3,Vendas!$E$8:$E$2008,"&lt;=31/03/"&amp;$G$3)+SUMIFS(Vendas!$U$8:$U$2008,Vendas!$R$8:$R$2008,$B21,Vendas!$E$8:$E$2008,"&gt;=01/03/"&amp;$G$3,Vendas!$E$8:$E$2008,"&lt;=31/03/"&amp;$G$3)+SUMIFS(Vendas!$Z$8:$Z$2008,Vendas!$W$8:$W$2008,$B21,Vendas!$E$8:$E$2008,"&gt;=01/03/"&amp;$G$3,Vendas!$E$8:$E$2008,"&lt;=31/03/"&amp;$G$3)+SUMIFS(Vendas!$AE$8:$AE$2008,Vendas!$AB$8:$AB$2008,$B21,Vendas!$E$8:$E$2008,"&gt;=01/03/"&amp;$G$3,Vendas!$E$8:$E$2008,"&lt;=31/03/"&amp;$G$3)+SUMIFS(Vendas!$AJ$8:$AJ$2008,Vendas!$AG$8:$AG$2008,$B21,Vendas!$E$8:$E$2008,"&gt;=01/03/"&amp;$G$3,Vendas!$E$8:$E$2008,"&lt;=31/03/"&amp;$G$3)+SUMIFS(Vendas!$AO$8:$AO$2008,Vendas!$AL$8:$AL$2008,$B21,Vendas!$E$8:$E$2008,"&gt;=01/03/"&amp;$G$3,Vendas!$E$8:$E$2008,"&lt;=31/03/"&amp;$G$3)+SUMIFS(Vendas!$AT$8:$AT$2008,Vendas!$AQ$8:$AQ$2008,$B21,Vendas!$E$8:$E$2008,"&gt;=01/03/"&amp;$G$3,Vendas!$E$8:$E$2008,"&lt;=31/03/"&amp;$G$3)</f>
        <v>0</v>
      </c>
      <c r="H21" s="159">
        <f>SUMIFS(Vendas!$K$8:$K$2008,Vendas!$H$8:$H$2008,$B21,Vendas!$E$8:$E$2008,"&gt;=01/03/"&amp;$G$3,Vendas!$E$8:$E$2008,"&lt;=31/03/"&amp;$G$3,Vendas!$C$8:$C$2008,"Entregue")+SUMIFS(Vendas!$P$8:$P$2008,Vendas!$M$8:$M$2008,$B21,Vendas!$E$8:$E$2008,"&gt;=01/03/"&amp;$G$3,Vendas!$E$8:$E$2008,"&lt;=31/03/"&amp;$G$3,Vendas!$C$8:$C$2008,"Entregue")+SUMIFS(Vendas!$U$8:$U$2008,Vendas!$R$8:$R$2008,$B21,Vendas!$E$8:$E$2008,"&gt;=01/03/"&amp;$G$3,Vendas!$E$8:$E$2008,"&lt;=31/03/"&amp;$G$3,Vendas!$C$8:$C$2008,"Entregue")+SUMIFS(Vendas!$Z$8:$Z$2008,Vendas!$W$8:$W$2008,$B21,Vendas!$E$8:$E$2008,"&gt;=01/03/"&amp;$G$3,Vendas!$E$8:$E$2008,"&lt;=31/03/"&amp;$G$3,Vendas!$C$8:$C$2008,"Entregue")+SUMIFS(Vendas!$AE$8:$AE$2008,Vendas!$AB$8:$AB$2008,$B21,Vendas!$E$8:$E$2008,"&gt;=01/03/"&amp;$G$3,Vendas!$E$8:$E$2008,"&lt;=31/03/"&amp;$G$3,Vendas!$C$8:$C$2008,"Entregue")+SUMIFS(Vendas!$AJ$8:$AJ$2008,Vendas!$AG$8:$AG$2008,$B21,Vendas!$E$8:$E$2008,"&gt;=01/03/"&amp;$G$3,Vendas!$E$8:$E$2008,"&lt;=31/03/"&amp;$G$3,Vendas!$C$8:$C$2008,"Entregue")+SUMIFS(Vendas!$AO$8:$AO$2008,Vendas!$AL$8:$AL$2008,$B21,Vendas!$E$8:$E$2008,"&gt;=01/03/"&amp;$G$3,Vendas!$E$8:$E$2008,"&lt;=31/03/"&amp;$G$3,Vendas!$C$8:$C$2008,"Entregue")+SUMIFS(Vendas!$AT$8:$AT$2008,Vendas!$AQ$8:$AQ$2008,$B21,Vendas!$E$8:$E$2008,"&gt;=01/03/"&amp;$G$3,Vendas!$E$8:$E$2008,"&lt;=31/03/"&amp;$G$3,Vendas!$C$8:$C$2008,"Entregue")</f>
        <v>0</v>
      </c>
      <c r="I21" s="159">
        <f>SUMIFS(Vendas!$K$8:$K$2008,Vendas!$H$8:$H$2008,$B21,Vendas!$E$8:$E$2008,"&gt;=01/04/"&amp;$G$3,Vendas!$E$8:$E$2008,"&lt;=30/04/"&amp;$G$3)+SUMIFS(Vendas!$P$8:$P$2008,Vendas!$M$8:$M$2008,$B21,Vendas!$E$8:$E$2008,"&gt;=01/04/"&amp;$G$3,Vendas!$E$8:$E$2008,"&lt;=30/04/"&amp;$G$3)+SUMIFS(Vendas!$U$8:$U$2008,Vendas!$R$8:$R$2008,$B21,Vendas!$E$8:$E$2008,"&gt;=01/04/"&amp;$G$3,Vendas!$E$8:$E$2008,"&lt;=30/04/"&amp;$G$3)+SUMIFS(Vendas!$Z$8:$Z$2008,Vendas!$W$8:$W$2008,$B21,Vendas!$E$8:$E$2008,"&gt;=01/04/"&amp;$G$3,Vendas!$E$8:$E$2008,"&lt;=30/04/"&amp;$G$3)+SUMIFS(Vendas!$AE$8:$AE$2008,Vendas!$AB$8:$AB$2008,$B21,Vendas!$E$8:$E$2008,"&gt;=01/04/"&amp;$G$3,Vendas!$E$8:$E$2008,"&lt;=30/04/"&amp;$G$3)+SUMIFS(Vendas!$AJ$8:$AJ$2008,Vendas!$AG$8:$AG$2008,$B21,Vendas!$E$8:$E$2008,"&gt;=01/04/"&amp;$G$3,Vendas!$E$8:$E$2008,"&lt;=30/04/"&amp;$G$3)+SUMIFS(Vendas!$AO$8:$AO$2008,Vendas!$AL$8:$AL$2008,$B21,Vendas!$E$8:$E$2008,"&gt;=01/04/"&amp;$G$3,Vendas!$E$8:$E$2008,"&lt;=30/04/"&amp;$G$3)+SUMIFS(Vendas!$AT$8:$AT$2008,Vendas!$AQ$8:$AQ$2008,$B21,Vendas!$E$8:$E$2008,"&gt;=01/04/"&amp;$G$3,Vendas!$E$8:$E$2008,"&lt;=30/04/"&amp;$G$3)</f>
        <v>0</v>
      </c>
      <c r="J21" s="159">
        <f>SUMIFS(Vendas!$K$8:$K$2008,Vendas!$H$8:$H$2008,$B21,Vendas!$E$8:$E$2008,"&gt;=01/04/"&amp;$G$3,Vendas!$E$8:$E$2008,"&lt;=30/04/"&amp;$G$3,Vendas!$C$8:$C$2008,"Entregue")+SUMIFS(Vendas!$P$8:$P$2008,Vendas!$M$8:$M$2008,$B21,Vendas!$E$8:$E$2008,"&gt;=01/04/"&amp;$G$3,Vendas!$E$8:$E$2008,"&lt;=30/04/"&amp;$G$3,Vendas!$C$8:$C$2008,"Entregue")+SUMIFS(Vendas!$U$8:$U$2008,Vendas!$R$8:$R$2008,$B21,Vendas!$E$8:$E$2008,"&gt;=01/04/"&amp;$G$3,Vendas!$E$8:$E$2008,"&lt;=30/04/"&amp;$G$3,Vendas!$C$8:$C$2008,"Entregue")+SUMIFS(Vendas!$Z$8:$Z$2008,Vendas!$W$8:$W$2008,$B21,Vendas!$E$8:$E$2008,"&gt;=01/04/"&amp;$G$3,Vendas!$E$8:$E$2008,"&lt;=30/04/"&amp;$G$3,Vendas!$C$8:$C$2008,"Entregue")+SUMIFS(Vendas!$AE$8:$AE$2008,Vendas!$AB$8:$AB$2008,$B21,Vendas!$E$8:$E$2008,"&gt;=01/04/"&amp;$G$3,Vendas!$E$8:$E$2008,"&lt;=30/04/"&amp;$G$3,Vendas!$C$8:$C$2008,"Entregue")+SUMIFS(Vendas!$AJ$8:$AJ$2008,Vendas!$AG$8:$AG$2008,$B21,Vendas!$E$8:$E$2008,"&gt;=01/04/"&amp;$G$3,Vendas!$E$8:$E$2008,"&lt;=30/04/"&amp;$G$3,Vendas!$C$8:$C$2008,"Entregue")+SUMIFS(Vendas!$AO$8:$AO$2008,Vendas!$AL$8:$AL$2008,$B21,Vendas!$E$8:$E$2008,"&gt;=01/04/"&amp;$G$3,Vendas!$E$8:$E$2008,"&lt;=30/04/"&amp;$G$3,Vendas!$C$8:$C$2008,"Entregue")+SUMIFS(Vendas!$AT$8:$AT$2008,Vendas!$AQ$8:$AQ$2008,$B21,Vendas!$E$8:$E$2008,"&gt;=01/04/"&amp;$G$3,Vendas!$E$8:$E$2008,"&lt;=30/04/"&amp;$G$3,Vendas!$C$8:$C$2008,"Entregue")</f>
        <v>0</v>
      </c>
      <c r="K21" s="159">
        <f>SUMIFS(Vendas!$K$8:$K$2008,Vendas!$H$8:$H$2008,$B21,Vendas!$E$8:$E$2008,"&gt;=01/05/"&amp;$G$3,Vendas!$E$8:$E$2008,"&lt;=31/05/"&amp;$G$3)+SUMIFS(Vendas!$P$8:$P$2008,Vendas!$M$8:$M$2008,$B21,Vendas!$E$8:$E$2008,"&gt;=01/05/"&amp;$G$3,Vendas!$E$8:$E$2008,"&lt;=31/05/"&amp;$G$3)+SUMIFS(Vendas!$U$8:$U$2008,Vendas!$R$8:$R$2008,$B21,Vendas!$E$8:$E$2008,"&gt;=01/05/"&amp;$G$3,Vendas!$E$8:$E$2008,"&lt;=31/05/"&amp;$G$3)+SUMIFS(Vendas!$Z$8:$Z$2008,Vendas!$W$8:$W$2008,$B21,Vendas!$E$8:$E$2008,"&gt;=01/05/"&amp;$G$3,Vendas!$E$8:$E$2008,"&lt;=31/05/"&amp;$G$3)+SUMIFS(Vendas!$AE$8:$AE$2008,Vendas!$AB$8:$AB$2008,$B21,Vendas!$E$8:$E$2008,"&gt;=01/05/"&amp;$G$3,Vendas!$E$8:$E$2008,"&lt;=31/05/"&amp;$G$3)+SUMIFS(Vendas!$AJ$8:$AJ$2008,Vendas!$AG$8:$AG$2008,$B21,Vendas!$E$8:$E$2008,"&gt;=01/05/"&amp;$G$3,Vendas!$E$8:$E$2008,"&lt;=31/05/"&amp;$G$3)+SUMIFS(Vendas!$AO$8:$AO$2008,Vendas!$AL$8:$AL$2008,$B21,Vendas!$E$8:$E$2008,"&gt;=01/05/"&amp;$G$3,Vendas!$E$8:$E$2008,"&lt;=31/05/"&amp;$G$3)+SUMIFS(Vendas!$AT$8:$AT$2008,Vendas!$AQ$8:$AQ$2008,$B21,Vendas!$E$8:$E$2008,"&gt;=01/05/"&amp;$G$3,Vendas!$E$8:$E$2008,"&lt;=31/05/"&amp;$G$3)</f>
        <v>0</v>
      </c>
      <c r="L21" s="159">
        <f>SUMIFS(Vendas!$K$8:$K$2008,Vendas!$H$8:$H$2008,$B21,Vendas!$E$8:$E$2008,"&gt;=01/05/"&amp;$G$3,Vendas!$E$8:$E$2008,"&lt;=31/05/"&amp;$G$3,Vendas!$C$8:$C$2008,"Entregue")+SUMIFS(Vendas!$P$8:$P$2008,Vendas!$M$8:$M$2008,$B21,Vendas!$E$8:$E$2008,"&gt;=01/05/"&amp;$G$3,Vendas!$E$8:$E$2008,"&lt;=31/05/"&amp;$G$3,Vendas!$C$8:$C$2008,"Entregue")+SUMIFS(Vendas!$U$8:$U$2008,Vendas!$R$8:$R$2008,$B21,Vendas!$E$8:$E$2008,"&gt;=01/05/"&amp;$G$3,Vendas!$E$8:$E$2008,"&lt;=31/05/"&amp;$G$3,Vendas!$C$8:$C$2008,"Entregue")+SUMIFS(Vendas!$Z$8:$Z$2008,Vendas!$W$8:$W$2008,$B21,Vendas!$E$8:$E$2008,"&gt;=01/05/"&amp;$G$3,Vendas!$E$8:$E$2008,"&lt;=31/05/"&amp;$G$3,Vendas!$C$8:$C$2008,"Entregue")+SUMIFS(Vendas!$AE$8:$AE$2008,Vendas!$AB$8:$AB$2008,$B21,Vendas!$E$8:$E$2008,"&gt;=01/05/"&amp;$G$3,Vendas!$E$8:$E$2008,"&lt;=31/05/"&amp;$G$3,Vendas!$C$8:$C$2008,"Entregue")+SUMIFS(Vendas!$AJ$8:$AJ$2008,Vendas!$AG$8:$AG$2008,$B21,Vendas!$E$8:$E$2008,"&gt;=01/05/"&amp;$G$3,Vendas!$E$8:$E$2008,"&lt;=31/05/"&amp;$G$3,Vendas!$C$8:$C$2008,"Entregue")+SUMIFS(Vendas!$AO$8:$AO$2008,Vendas!$AL$8:$AL$2008,$B21,Vendas!$E$8:$E$2008,"&gt;=01/05/"&amp;$G$3,Vendas!$E$8:$E$2008,"&lt;=31/05/"&amp;$G$3,Vendas!$C$8:$C$2008,"Entregue")+SUMIFS(Vendas!$AT$8:$AT$2008,Vendas!$AQ$8:$AQ$2008,$B21,Vendas!$E$8:$E$2008,"&gt;=01/05/"&amp;$G$3,Vendas!$E$8:$E$2008,"&lt;=31/05/"&amp;$G$3,Vendas!$C$8:$C$2008,"Entregue")</f>
        <v>0</v>
      </c>
      <c r="M21" s="159">
        <f>SUMIFS(Vendas!$K$8:$K$2008,Vendas!$H$8:$H$2008,$B21,Vendas!$E$8:$E$2008,"&gt;=01/06/"&amp;$G$3,Vendas!$E$8:$E$2008,"&lt;=30/06/"&amp;$G$3)+SUMIFS(Vendas!$P$8:$P$2008,Vendas!$M$8:$M$2008,$B21,Vendas!$E$8:$E$2008,"&gt;=01/06/"&amp;$G$3,Vendas!$E$8:$E$2008,"&lt;=30/06/"&amp;$G$3)+SUMIFS(Vendas!$U$8:$U$2008,Vendas!$R$8:$R$2008,$B21,Vendas!$E$8:$E$2008,"&gt;=01/06/"&amp;$G$3,Vendas!$E$8:$E$2008,"&lt;=30/06/"&amp;$G$3)+SUMIFS(Vendas!$Z$8:$Z$2008,Vendas!$W$8:$W$2008,$B21,Vendas!$E$8:$E$2008,"&gt;=01/06/"&amp;$G$3,Vendas!$E$8:$E$2008,"&lt;=30/06/"&amp;$G$3)+SUMIFS(Vendas!$AE$8:$AE$2008,Vendas!$AB$8:$AB$2008,$B21,Vendas!$E$8:$E$2008,"&gt;=01/06/"&amp;$G$3,Vendas!$E$8:$E$2008,"&lt;=30/06/"&amp;$G$3)+SUMIFS(Vendas!$AJ$8:$AJ$2008,Vendas!$AG$8:$AG$2008,$B21,Vendas!$E$8:$E$2008,"&gt;=01/06/"&amp;$G$3,Vendas!$E$8:$E$2008,"&lt;=30/06/"&amp;$G$3)+SUMIFS(Vendas!$AO$8:$AO$2008,Vendas!$AL$8:$AL$2008,$B21,Vendas!$E$8:$E$2008,"&gt;=01/06/"&amp;$G$3,Vendas!$E$8:$E$2008,"&lt;=30/06/"&amp;$G$3)+SUMIFS(Vendas!$AT$8:$AT$2008,Vendas!$AQ$8:$AQ$2008,$B21,Vendas!$E$8:$E$2008,"&gt;=01/06/"&amp;$G$3,Vendas!$E$8:$E$2008,"&lt;=30/06/"&amp;$G$3)</f>
        <v>0</v>
      </c>
      <c r="N21" s="159">
        <f>SUMIFS(Vendas!$K$8:$K$2008,Vendas!$H$8:$H$2008,$B21,Vendas!$E$8:$E$2008,"&gt;=01/06/"&amp;$G$3,Vendas!$E$8:$E$2008,"&lt;=30/06/"&amp;$G$3,Vendas!$C$8:$C$2008,"Entregue")+SUMIFS(Vendas!$P$8:$P$2008,Vendas!$M$8:$M$2008,$B21,Vendas!$E$8:$E$2008,"&gt;=01/06/"&amp;$G$3,Vendas!$E$8:$E$2008,"&lt;=30/06/"&amp;$G$3,Vendas!$C$8:$C$2008,"Entregue")+SUMIFS(Vendas!$U$8:$U$2008,Vendas!$R$8:$R$2008,$B21,Vendas!$E$8:$E$2008,"&gt;=01/06/"&amp;$G$3,Vendas!$E$8:$E$2008,"&lt;=30/06/"&amp;$G$3,Vendas!$C$8:$C$2008,"Entregue")+SUMIFS(Vendas!$Z$8:$Z$2008,Vendas!$W$8:$W$2008,$B21,Vendas!$E$8:$E$2008,"&gt;=01/06/"&amp;$G$3,Vendas!$E$8:$E$2008,"&lt;=30/06/"&amp;$G$3,Vendas!$C$8:$C$2008,"Entregue")+SUMIFS(Vendas!$AE$8:$AE$2008,Vendas!$AB$8:$AB$2008,$B21,Vendas!$E$8:$E$2008,"&gt;=01/06/"&amp;$G$3,Vendas!$E$8:$E$2008,"&lt;=30/06/"&amp;$G$3,Vendas!$C$8:$C$2008,"Entregue")+SUMIFS(Vendas!$AJ$8:$AJ$2008,Vendas!$AG$8:$AG$2008,$B21,Vendas!$E$8:$E$2008,"&gt;=01/06/"&amp;$G$3,Vendas!$E$8:$E$2008,"&lt;=30/06/"&amp;$G$3,Vendas!$C$8:$C$2008,"Entregue")+SUMIFS(Vendas!$AO$8:$AO$2008,Vendas!$AL$8:$AL$2008,$B21,Vendas!$E$8:$E$2008,"&gt;=01/06/"&amp;$G$3,Vendas!$E$8:$E$2008,"&lt;=30/06/"&amp;$G$3,Vendas!$C$8:$C$2008,"Entregue")+SUMIFS(Vendas!$AT$8:$AT$2008,Vendas!$AQ$8:$AQ$2008,$B21,Vendas!$E$8:$E$2008,"&gt;=01/06/"&amp;$G$3,Vendas!$E$8:$E$2008,"&lt;=30/06/"&amp;$G$3,Vendas!$C$8:$C$2008,"Entregue")</f>
        <v>0</v>
      </c>
      <c r="O21" s="159">
        <f>SUMIFS(Vendas!$K$8:$K$2008,Vendas!$H$8:$H$2008,$B21,Vendas!$E$8:$E$2008,"&gt;=01/07/"&amp;$G$3,Vendas!$E$8:$E$2008,"&lt;=31/07/"&amp;$G$3)+SUMIFS(Vendas!$P$8:$P$2008,Vendas!$M$8:$M$2008,$B21,Vendas!$E$8:$E$2008,"&gt;=01/07/"&amp;$G$3,Vendas!$E$8:$E$2008,"&lt;=31/07/"&amp;$G$3)+SUMIFS(Vendas!$U$8:$U$2008,Vendas!$R$8:$R$2008,$B21,Vendas!$E$8:$E$2008,"&gt;=01/07/"&amp;$G$3,Vendas!$E$8:$E$2008,"&lt;=31/07/"&amp;$G$3)+SUMIFS(Vendas!$Z$8:$Z$2008,Vendas!$W$8:$W$2008,$B21,Vendas!$E$8:$E$2008,"&gt;=01/07/"&amp;$G$3,Vendas!$E$8:$E$2008,"&lt;=31/07/"&amp;$G$3)+SUMIFS(Vendas!$AE$8:$AE$2008,Vendas!$AB$8:$AB$2008,$B21,Vendas!$E$8:$E$2008,"&gt;=01/07/"&amp;$G$3,Vendas!$E$8:$E$2008,"&lt;=31/07/"&amp;$G$3)+SUMIFS(Vendas!$AJ$8:$AJ$2008,Vendas!$AG$8:$AG$2008,$B21,Vendas!$E$8:$E$2008,"&gt;=01/07/"&amp;$G$3,Vendas!$E$8:$E$2008,"&lt;=31/07/"&amp;$G$3)+SUMIFS(Vendas!$AO$8:$AO$2008,Vendas!$AL$8:$AL$2008,$B21,Vendas!$E$8:$E$2008,"&gt;=01/07/"&amp;$G$3,Vendas!$E$8:$E$2008,"&lt;=31/07/"&amp;$G$3)+SUMIFS(Vendas!$AT$8:$AT$2008,Vendas!$AQ$8:$AQ$2008,$B21,Vendas!$E$8:$E$2008,"&gt;=01/07/"&amp;$G$3,Vendas!$E$8:$E$2008,"&lt;=31/07/"&amp;$G$3)</f>
        <v>0</v>
      </c>
      <c r="P21" s="159">
        <f>SUMIFS(Vendas!$K$8:$K$2008,Vendas!$H$8:$H$2008,$B21,Vendas!$E$8:$E$2008,"&gt;=01/07/"&amp;$G$3,Vendas!$E$8:$E$2008,"&lt;=31/07/"&amp;$G$3,Vendas!$C$8:$C$2008,"Entregue")+SUMIFS(Vendas!$P$8:$P$2008,Vendas!$M$8:$M$2008,$B21,Vendas!$E$8:$E$2008,"&gt;=01/07/"&amp;$G$3,Vendas!$E$8:$E$2008,"&lt;=31/07/"&amp;$G$3,Vendas!$C$8:$C$2008,"Entregue")+SUMIFS(Vendas!$U$8:$U$2008,Vendas!$R$8:$R$2008,$B21,Vendas!$E$8:$E$2008,"&gt;=01/07/"&amp;$G$3,Vendas!$E$8:$E$2008,"&lt;=31/07/"&amp;$G$3,Vendas!$C$8:$C$2008,"Entregue")+SUMIFS(Vendas!$Z$8:$Z$2008,Vendas!$W$8:$W$2008,$B21,Vendas!$E$8:$E$2008,"&gt;=01/07/"&amp;$G$3,Vendas!$E$8:$E$2008,"&lt;=31/07/"&amp;$G$3,Vendas!$C$8:$C$2008,"Entregue")+SUMIFS(Vendas!$AE$8:$AE$2008,Vendas!$AB$8:$AB$2008,$B21,Vendas!$E$8:$E$2008,"&gt;=01/07/"&amp;$G$3,Vendas!$E$8:$E$2008,"&lt;=31/07/"&amp;$G$3,Vendas!$C$8:$C$2008,"Entregue")+SUMIFS(Vendas!$AJ$8:$AJ$2008,Vendas!$AG$8:$AG$2008,$B21,Vendas!$E$8:$E$2008,"&gt;=01/07/"&amp;$G$3,Vendas!$E$8:$E$2008,"&lt;=31/07/"&amp;$G$3,Vendas!$C$8:$C$2008,"Entregue")+SUMIFS(Vendas!$AO$8:$AO$2008,Vendas!$AL$8:$AL$2008,$B21,Vendas!$E$8:$E$2008,"&gt;=01/07/"&amp;$G$3,Vendas!$E$8:$E$2008,"&lt;=31/07/"&amp;$G$3,Vendas!$C$8:$C$2008,"Entregue")+SUMIFS(Vendas!$AT$8:$AT$2008,Vendas!$AQ$8:$AQ$2008,$B21,Vendas!$E$8:$E$2008,"&gt;=01/07/"&amp;$G$3,Vendas!$E$8:$E$2008,"&lt;=31/07/"&amp;$G$3,Vendas!$C$8:$C$2008,"Entregue")</f>
        <v>0</v>
      </c>
      <c r="Q21" s="159">
        <f>SUMIFS(Vendas!$K$8:$K$2008,Vendas!$H$8:$H$2008,$B21,Vendas!$E$8:$E$2008,"&gt;=01/08/"&amp;$G$3,Vendas!$E$8:$E$2008,"&lt;=31/08/"&amp;$G$3)+SUMIFS(Vendas!$P$8:$P$2008,Vendas!$M$8:$M$2008,$B21,Vendas!$E$8:$E$2008,"&gt;=01/08/"&amp;$G$3,Vendas!$E$8:$E$2008,"&lt;=31/08/"&amp;$G$3)+SUMIFS(Vendas!$U$8:$U$2008,Vendas!$R$8:$R$2008,$B21,Vendas!$E$8:$E$2008,"&gt;=01/08/"&amp;$G$3,Vendas!$E$8:$E$2008,"&lt;=31/08/"&amp;$G$3)+SUMIFS(Vendas!$Z$8:$Z$2008,Vendas!$W$8:$W$2008,$B21,Vendas!$E$8:$E$2008,"&gt;=01/08/"&amp;$G$3,Vendas!$E$8:$E$2008,"&lt;=31/08/"&amp;$G$3)+SUMIFS(Vendas!$AE$8:$AE$2008,Vendas!$AB$8:$AB$2008,$B21,Vendas!$E$8:$E$2008,"&gt;=01/08/"&amp;$G$3,Vendas!$E$8:$E$2008,"&lt;=31/08/"&amp;$G$3)+SUMIFS(Vendas!$AJ$8:$AJ$2008,Vendas!$AG$8:$AG$2008,$B21,Vendas!$E$8:$E$2008,"&gt;=01/08/"&amp;$G$3,Vendas!$E$8:$E$2008,"&lt;=31/08/"&amp;$G$3)+SUMIFS(Vendas!$AO$8:$AO$2008,Vendas!$AL$8:$AL$2008,$B21,Vendas!$E$8:$E$2008,"&gt;=01/08/"&amp;$G$3,Vendas!$E$8:$E$2008,"&lt;=31/08/"&amp;$G$3)+SUMIFS(Vendas!$AT$8:$AT$2008,Vendas!$AQ$8:$AQ$2008,$B21,Vendas!$E$8:$E$2008,"&gt;=01/08/"&amp;$G$3,Vendas!$E$8:$E$2008,"&lt;=31/08/"&amp;$G$3)</f>
        <v>0</v>
      </c>
      <c r="R21" s="159">
        <f>SUMIFS(Vendas!$K$8:$K$2008,Vendas!$H$8:$H$2008,$B21,Vendas!$E$8:$E$2008,"&gt;=01/08/"&amp;$G$3,Vendas!$E$8:$E$2008,"&lt;=31/08/"&amp;$G$3,Vendas!$C$8:$C$2008,"Entregue")+SUMIFS(Vendas!$P$8:$P$2008,Vendas!$M$8:$M$2008,$B21,Vendas!$E$8:$E$2008,"&gt;=01/08/"&amp;$G$3,Vendas!$E$8:$E$2008,"&lt;=31/08/"&amp;$G$3,Vendas!$C$8:$C$2008,"Entregue")+SUMIFS(Vendas!$U$8:$U$2008,Vendas!$R$8:$R$2008,$B21,Vendas!$E$8:$E$2008,"&gt;=01/08/"&amp;$G$3,Vendas!$E$8:$E$2008,"&lt;=31/08/"&amp;$G$3,Vendas!$C$8:$C$2008,"Entregue")+SUMIFS(Vendas!$Z$8:$Z$2008,Vendas!$W$8:$W$2008,$B21,Vendas!$E$8:$E$2008,"&gt;=01/08/"&amp;$G$3,Vendas!$E$8:$E$2008,"&lt;=31/08/"&amp;$G$3,Vendas!$C$8:$C$2008,"Entregue")+SUMIFS(Vendas!$AE$8:$AE$2008,Vendas!$AB$8:$AB$2008,$B21,Vendas!$E$8:$E$2008,"&gt;=01/08/"&amp;$G$3,Vendas!$E$8:$E$2008,"&lt;=31/08/"&amp;$G$3,Vendas!$C$8:$C$2008,"Entregue")+SUMIFS(Vendas!$AJ$8:$AJ$2008,Vendas!$AG$8:$AG$2008,$B21,Vendas!$E$8:$E$2008,"&gt;=01/08/"&amp;$G$3,Vendas!$E$8:$E$2008,"&lt;=31/08/"&amp;$G$3,Vendas!$C$8:$C$2008,"Entregue")+SUMIFS(Vendas!$AO$8:$AO$2008,Vendas!$AL$8:$AL$2008,$B21,Vendas!$E$8:$E$2008,"&gt;=01/08/"&amp;$G$3,Vendas!$E$8:$E$2008,"&lt;=31/08/"&amp;$G$3,Vendas!$C$8:$C$2008,"Entregue")+SUMIFS(Vendas!$AT$8:$AT$2008,Vendas!$AQ$8:$AQ$2008,$B21,Vendas!$E$8:$E$2008,"&gt;=01/08/"&amp;$G$3,Vendas!$E$8:$E$2008,"&lt;=31/08/"&amp;$G$3,Vendas!$C$8:$C$2008,"Entregue")</f>
        <v>0</v>
      </c>
      <c r="S21" s="159">
        <f>SUMIFS(Vendas!$K$8:$K$2008,Vendas!$H$8:$H$2008,$B21,Vendas!$E$8:$E$2008,"&gt;=01/09/"&amp;$G$3,Vendas!$E$8:$E$2008,"&lt;=30/09/"&amp;$G$3)+SUMIFS(Vendas!$P$8:$P$2008,Vendas!$M$8:$M$2008,$B21,Vendas!$E$8:$E$2008,"&gt;=01/09/"&amp;$G$3,Vendas!$E$8:$E$2008,"&lt;=30/09/"&amp;$G$3)+SUMIFS(Vendas!$U$8:$U$2008,Vendas!$R$8:$R$2008,$B21,Vendas!$E$8:$E$2008,"&gt;=01/09/"&amp;$G$3,Vendas!$E$8:$E$2008,"&lt;=30/09/"&amp;$G$3)+SUMIFS(Vendas!$Z$8:$Z$2008,Vendas!$W$8:$W$2008,$B21,Vendas!$E$8:$E$2008,"&gt;=01/09/"&amp;$G$3,Vendas!$E$8:$E$2008,"&lt;=30/09/"&amp;$G$3)+SUMIFS(Vendas!$AE$8:$AE$2008,Vendas!$AB$8:$AB$2008,$B21,Vendas!$E$8:$E$2008,"&gt;=01/09/"&amp;$G$3,Vendas!$E$8:$E$2008,"&lt;=30/09/"&amp;$G$3)+SUMIFS(Vendas!$AJ$8:$AJ$2008,Vendas!$AG$8:$AG$2008,$B21,Vendas!$E$8:$E$2008,"&gt;=01/09/"&amp;$G$3,Vendas!$E$8:$E$2008,"&lt;=30/09/"&amp;$G$3)+SUMIFS(Vendas!$AO$8:$AO$2008,Vendas!$AL$8:$AL$2008,$B21,Vendas!$E$8:$E$2008,"&gt;=01/09/"&amp;$G$3,Vendas!$E$8:$E$2008,"&lt;=30/09/"&amp;$G$3)+SUMIFS(Vendas!$AT$8:$AT$2008,Vendas!$AQ$8:$AQ$2008,$B21,Vendas!$E$8:$E$2008,"&gt;=01/09/"&amp;$G$3,Vendas!$E$8:$E$2008,"&lt;=30/09/"&amp;$G$3)</f>
        <v>0</v>
      </c>
      <c r="T21" s="159">
        <f>SUMIFS(Vendas!$K$8:$K$2008,Vendas!$H$8:$H$2008,$B21,Vendas!$E$8:$E$2008,"&gt;=01/09/"&amp;$G$3,Vendas!$E$8:$E$2008,"&lt;=30/09/"&amp;$G$3,Vendas!$C$8:$C$2008,"Entregue")+SUMIFS(Vendas!$P$8:$P$2008,Vendas!$M$8:$M$2008,$B21,Vendas!$E$8:$E$2008,"&gt;=01/09/"&amp;$G$3,Vendas!$E$8:$E$2008,"&lt;=30/09/"&amp;$G$3,Vendas!$C$8:$C$2008,"Entregue")+SUMIFS(Vendas!$U$8:$U$2008,Vendas!$R$8:$R$2008,$B21,Vendas!$E$8:$E$2008,"&gt;=01/09/"&amp;$G$3,Vendas!$E$8:$E$2008,"&lt;=30/09/"&amp;$G$3,Vendas!$C$8:$C$2008,"Entregue")+SUMIFS(Vendas!$Z$8:$Z$2008,Vendas!$W$8:$W$2008,$B21,Vendas!$E$8:$E$2008,"&gt;=01/09/"&amp;$G$3,Vendas!$E$8:$E$2008,"&lt;=30/09/"&amp;$G$3,Vendas!$C$8:$C$2008,"Entregue")+SUMIFS(Vendas!$AE$8:$AE$2008,Vendas!$AB$8:$AB$2008,$B21,Vendas!$E$8:$E$2008,"&gt;=01/09/"&amp;$G$3,Vendas!$E$8:$E$2008,"&lt;=30/09/"&amp;$G$3,Vendas!$C$8:$C$2008,"Entregue")+SUMIFS(Vendas!$AJ$8:$AJ$2008,Vendas!$AG$8:$AG$2008,$B21,Vendas!$E$8:$E$2008,"&gt;=01/09/"&amp;$G$3,Vendas!$E$8:$E$2008,"&lt;=30/09/"&amp;$G$3,Vendas!$C$8:$C$2008,"Entregue")+SUMIFS(Vendas!$AO$8:$AO$2008,Vendas!$AL$8:$AL$2008,$B21,Vendas!$E$8:$E$2008,"&gt;=01/09/"&amp;$G$3,Vendas!$E$8:$E$2008,"&lt;=30/09/"&amp;$G$3,Vendas!$C$8:$C$2008,"Entregue")+SUMIFS(Vendas!$AT$8:$AT$2008,Vendas!$AQ$8:$AQ$2008,$B21,Vendas!$E$8:$E$2008,"&gt;=01/09/"&amp;$G$3,Vendas!$E$8:$E$2008,"&lt;=30/09/"&amp;$G$3,Vendas!$C$8:$C$2008,"Entregue")</f>
        <v>0</v>
      </c>
      <c r="U21" s="159">
        <f>SUMIFS(Vendas!$K$8:$K$2008,Vendas!$H$8:$H$2008,$B21,Vendas!$E$8:$E$2008,"&gt;=01/10/"&amp;$G$3,Vendas!$E$8:$E$2008,"&lt;=31/10/"&amp;$G$3)+SUMIFS(Vendas!$P$8:$P$2008,Vendas!$M$8:$M$2008,$B21,Vendas!$E$8:$E$2008,"&gt;=01/10/"&amp;$G$3,Vendas!$E$8:$E$2008,"&lt;=31/10/"&amp;$G$3)+SUMIFS(Vendas!$U$8:$U$2008,Vendas!$R$8:$R$2008,$B21,Vendas!$E$8:$E$2008,"&gt;=01/10/"&amp;$G$3,Vendas!$E$8:$E$2008,"&lt;=31/10/"&amp;$G$3)+SUMIFS(Vendas!$Z$8:$Z$2008,Vendas!$W$8:$W$2008,$B21,Vendas!$E$8:$E$2008,"&gt;=01/10/"&amp;$G$3,Vendas!$E$8:$E$2008,"&lt;=31/10/"&amp;$G$3)+SUMIFS(Vendas!$AE$8:$AE$2008,Vendas!$AB$8:$AB$2008,$B21,Vendas!$E$8:$E$2008,"&gt;=01/10/"&amp;$G$3,Vendas!$E$8:$E$2008,"&lt;=31/10/"&amp;$G$3)+SUMIFS(Vendas!$AJ$8:$AJ$2008,Vendas!$AG$8:$AG$2008,$B21,Vendas!$E$8:$E$2008,"&gt;=01/10/"&amp;$G$3,Vendas!$E$8:$E$2008,"&lt;=31/10/"&amp;$G$3)+SUMIFS(Vendas!$AO$8:$AO$2008,Vendas!$AL$8:$AL$2008,$B21,Vendas!$E$8:$E$2008,"&gt;=01/10/"&amp;$G$3,Vendas!$E$8:$E$2008,"&lt;=31/10/"&amp;$G$3)+SUMIFS(Vendas!$AT$8:$AT$2008,Vendas!$AQ$8:$AQ$2008,$B21,Vendas!$E$8:$E$2008,"&gt;=01/10/"&amp;$G$3,Vendas!$E$8:$E$2008,"&lt;=31/10/"&amp;$G$3)</f>
        <v>0</v>
      </c>
      <c r="V21" s="159">
        <f>SUMIFS(Vendas!$K$8:$K$2008,Vendas!$H$8:$H$2008,$B21,Vendas!$E$8:$E$2008,"&gt;=01/10/"&amp;$G$3,Vendas!$E$8:$E$2008,"&lt;=31/10/"&amp;$G$3,Vendas!$C$8:$C$2008,"Entregue")+SUMIFS(Vendas!$P$8:$P$2008,Vendas!$M$8:$M$2008,$B21,Vendas!$E$8:$E$2008,"&gt;=01/10/"&amp;$G$3,Vendas!$E$8:$E$2008,"&lt;=31/10/"&amp;$G$3,Vendas!$C$8:$C$2008,"Entregue")+SUMIFS(Vendas!$U$8:$U$2008,Vendas!$R$8:$R$2008,$B21,Vendas!$E$8:$E$2008,"&gt;=01/10/"&amp;$G$3,Vendas!$E$8:$E$2008,"&lt;=31/10/"&amp;$G$3,Vendas!$C$8:$C$2008,"Entregue")+SUMIFS(Vendas!$Z$8:$Z$2008,Vendas!$W$8:$W$2008,$B21,Vendas!$E$8:$E$2008,"&gt;=01/10/"&amp;$G$3,Vendas!$E$8:$E$2008,"&lt;=31/10/"&amp;$G$3,Vendas!$C$8:$C$2008,"Entregue")+SUMIFS(Vendas!$AE$8:$AE$2008,Vendas!$AB$8:$AB$2008,$B21,Vendas!$E$8:$E$2008,"&gt;=01/10/"&amp;$G$3,Vendas!$E$8:$E$2008,"&lt;=31/10/"&amp;$G$3,Vendas!$C$8:$C$2008,"Entregue")+SUMIFS(Vendas!$AJ$8:$AJ$2008,Vendas!$AG$8:$AG$2008,$B21,Vendas!$E$8:$E$2008,"&gt;=01/10/"&amp;$G$3,Vendas!$E$8:$E$2008,"&lt;=31/10/"&amp;$G$3,Vendas!$C$8:$C$2008,"Entregue")+SUMIFS(Vendas!$AO$8:$AO$2008,Vendas!$AL$8:$AL$2008,$B21,Vendas!$E$8:$E$2008,"&gt;=01/10/"&amp;$G$3,Vendas!$E$8:$E$2008,"&lt;=31/10/"&amp;$G$3,Vendas!$C$8:$C$2008,"Entregue")+SUMIFS(Vendas!$AT$8:$AT$2008,Vendas!$AQ$8:$AQ$2008,$B21,Vendas!$E$8:$E$2008,"&gt;=01/10/"&amp;$G$3,Vendas!$E$8:$E$2008,"&lt;=31/10/"&amp;$G$3,Vendas!$C$8:$C$2008,"Entregue")</f>
        <v>0</v>
      </c>
      <c r="W21" s="159">
        <f>SUMIFS(Vendas!$K$8:$K$2008,Vendas!$H$8:$H$2008,$B21,Vendas!$E$8:$E$2008,"&gt;=01/11/"&amp;$G$3,Vendas!$E$8:$E$2008,"&lt;=30/11/"&amp;$G$3)+SUMIFS(Vendas!$P$8:$P$2008,Vendas!$M$8:$M$2008,$B21,Vendas!$E$8:$E$2008,"&gt;=01/11/"&amp;$G$3,Vendas!$E$8:$E$2008,"&lt;=30/11/"&amp;$G$3)+SUMIFS(Vendas!$U$8:$U$2008,Vendas!$R$8:$R$2008,$B21,Vendas!$E$8:$E$2008,"&gt;=01/11/"&amp;$G$3,Vendas!$E$8:$E$2008,"&lt;=30/11/"&amp;$G$3)+SUMIFS(Vendas!$Z$8:$Z$2008,Vendas!$W$8:$W$2008,$B21,Vendas!$E$8:$E$2008,"&gt;=01/11/"&amp;$G$3,Vendas!$E$8:$E$2008,"&lt;=30/11/"&amp;$G$3)+SUMIFS(Vendas!$AE$8:$AE$2008,Vendas!$AB$8:$AB$2008,$B21,Vendas!$E$8:$E$2008,"&gt;=01/11/"&amp;$G$3,Vendas!$E$8:$E$2008,"&lt;=30/11/"&amp;$G$3)+SUMIFS(Vendas!$AJ$8:$AJ$2008,Vendas!$AG$8:$AG$2008,$B21,Vendas!$E$8:$E$2008,"&gt;=01/11/"&amp;$G$3,Vendas!$E$8:$E$2008,"&lt;=30/11/"&amp;$G$3)+SUMIFS(Vendas!$AO$8:$AO$2008,Vendas!$AL$8:$AL$2008,$B21,Vendas!$E$8:$E$2008,"&gt;=01/11/"&amp;$G$3,Vendas!$E$8:$E$2008,"&lt;=30/11/"&amp;$G$3)+SUMIFS(Vendas!$AT$8:$AT$2008,Vendas!$AQ$8:$AQ$2008,$B21,Vendas!$E$8:$E$2008,"&gt;=01/11/"&amp;$G$3,Vendas!$E$8:$E$2008,"&lt;=30/11/"&amp;$G$3)</f>
        <v>0</v>
      </c>
      <c r="X21" s="159">
        <f>SUMIFS(Vendas!$K$8:$K$2008,Vendas!$H$8:$H$2008,$B21,Vendas!$E$8:$E$2008,"&gt;=01/11/"&amp;$G$3,Vendas!$E$8:$E$2008,"&lt;=30/11/"&amp;$G$3,Vendas!$C$8:$C$2008,"Entregue")+SUMIFS(Vendas!$P$8:$P$2008,Vendas!$M$8:$M$2008,$B21,Vendas!$E$8:$E$2008,"&gt;=01/11/"&amp;$G$3,Vendas!$E$8:$E$2008,"&lt;=30/11/"&amp;$G$3,Vendas!$C$8:$C$2008,"Entregue")+SUMIFS(Vendas!$U$8:$U$2008,Vendas!$R$8:$R$2008,$B21,Vendas!$E$8:$E$2008,"&gt;=01/11/"&amp;$G$3,Vendas!$E$8:$E$2008,"&lt;=30/11/"&amp;$G$3,Vendas!$C$8:$C$2008,"Entregue")+SUMIFS(Vendas!$Z$8:$Z$2008,Vendas!$W$8:$W$2008,$B21,Vendas!$E$8:$E$2008,"&gt;=01/11/"&amp;$G$3,Vendas!$E$8:$E$2008,"&lt;=30/11/"&amp;$G$3,Vendas!$C$8:$C$2008,"Entregue")+SUMIFS(Vendas!$AE$8:$AE$2008,Vendas!$AB$8:$AB$2008,$B21,Vendas!$E$8:$E$2008,"&gt;=01/11/"&amp;$G$3,Vendas!$E$8:$E$2008,"&lt;=30/11/"&amp;$G$3,Vendas!$C$8:$C$2008,"Entregue")+SUMIFS(Vendas!$AJ$8:$AJ$2008,Vendas!$AG$8:$AG$2008,$B21,Vendas!$E$8:$E$2008,"&gt;=01/11/"&amp;$G$3,Vendas!$E$8:$E$2008,"&lt;=30/11/"&amp;$G$3,Vendas!$C$8:$C$2008,"Entregue")+SUMIFS(Vendas!$AO$8:$AO$2008,Vendas!$AL$8:$AL$2008,$B21,Vendas!$E$8:$E$2008,"&gt;=01/11/"&amp;$G$3,Vendas!$E$8:$E$2008,"&lt;=30/11/"&amp;$G$3,Vendas!$C$8:$C$2008,"Entregue")+SUMIFS(Vendas!$AT$8:$AT$2008,Vendas!$AQ$8:$AQ$2008,$B21,Vendas!$E$8:$E$2008,"&gt;=01/11/"&amp;$G$3,Vendas!$E$8:$E$2008,"&lt;=30/11/"&amp;$G$3,Vendas!$C$8:$C$2008,"Entregue")</f>
        <v>0</v>
      </c>
      <c r="Y21" s="159">
        <f>SUMIFS(Vendas!$K$8:$K$2008,Vendas!$H$8:$H$2008,$B21,Vendas!$E$8:$E$2008,"&gt;=01/12/"&amp;$G$3,Vendas!$E$8:$E$2008,"&lt;=31/12/"&amp;$G$3)+SUMIFS(Vendas!$P$8:$P$2008,Vendas!$M$8:$M$2008,$B21,Vendas!$E$8:$E$2008,"&gt;=01/12/"&amp;$G$3,Vendas!$E$8:$E$2008,"&lt;=31/12/"&amp;$G$3)+SUMIFS(Vendas!$U$8:$U$2008,Vendas!$R$8:$R$2008,$B21,Vendas!$E$8:$E$2008,"&gt;=01/12/"&amp;$G$3,Vendas!$E$8:$E$2008,"&lt;=31/12/"&amp;$G$3)+SUMIFS(Vendas!$Z$8:$Z$2008,Vendas!$W$8:$W$2008,$B21,Vendas!$E$8:$E$2008,"&gt;=01/12/"&amp;$G$3,Vendas!$E$8:$E$2008,"&lt;=31/12/"&amp;$G$3)+SUMIFS(Vendas!$AE$8:$AE$2008,Vendas!$AB$8:$AB$2008,$B21,Vendas!$E$8:$E$2008,"&gt;=01/12/"&amp;$G$3,Vendas!$E$8:$E$2008,"&lt;=31/12/"&amp;$G$3)+SUMIFS(Vendas!$AJ$8:$AJ$2008,Vendas!$AG$8:$AG$2008,$B21,Vendas!$E$8:$E$2008,"&gt;=01/12/"&amp;$G$3,Vendas!$E$8:$E$2008,"&lt;=31/12/"&amp;$G$3)+SUMIFS(Vendas!$AO$8:$AO$2008,Vendas!$AL$8:$AL$2008,$B21,Vendas!$E$8:$E$2008,"&gt;=01/12/"&amp;$G$3,Vendas!$E$8:$E$2008,"&lt;=31/12/"&amp;$G$3)+SUMIFS(Vendas!$AT$8:$AT$2008,Vendas!$AQ$8:$AQ$2008,$B21,Vendas!$E$8:$E$2008,"&gt;=01/12/"&amp;$G$3,Vendas!$E$8:$E$2008,"&lt;=31/12/"&amp;$G$3)</f>
        <v>0</v>
      </c>
      <c r="Z21" s="160">
        <f>SUMIFS(Vendas!$K$8:$K$2008,Vendas!$H$8:$H$2008,$B21,Vendas!$E$8:$E$2008,"&gt;=01/12/"&amp;$G$3,Vendas!$E$8:$E$2008,"&lt;=31/12/"&amp;$G$3,Vendas!$C$8:$C$2008,"Entregue")+SUMIFS(Vendas!$P$8:$P$2008,Vendas!$M$8:$M$2008,$B21,Vendas!$E$8:$E$2008,"&gt;=01/12/"&amp;$G$3,Vendas!$E$8:$E$2008,"&lt;=31/12/"&amp;$G$3,Vendas!$C$8:$C$2008,"Entregue")+SUMIFS(Vendas!$U$8:$U$2008,Vendas!$R$8:$R$2008,$B21,Vendas!$E$8:$E$2008,"&gt;=01/12/"&amp;$G$3,Vendas!$E$8:$E$2008,"&lt;=31/12/"&amp;$G$3,Vendas!$C$8:$C$2008,"Entregue")+SUMIFS(Vendas!$Z$8:$Z$2008,Vendas!$W$8:$W$2008,$B21,Vendas!$E$8:$E$2008,"&gt;=01/12/"&amp;$G$3,Vendas!$E$8:$E$2008,"&lt;=31/12/"&amp;$G$3,Vendas!$C$8:$C$2008,"Entregue")+SUMIFS(Vendas!$AE$8:$AE$2008,Vendas!$AB$8:$AB$2008,$B21,Vendas!$E$8:$E$2008,"&gt;=01/12/"&amp;$G$3,Vendas!$E$8:$E$2008,"&lt;=31/12/"&amp;$G$3,Vendas!$C$8:$C$2008,"Entregue")+SUMIFS(Vendas!$AJ$8:$AJ$2008,Vendas!$AG$8:$AG$2008,$B21,Vendas!$E$8:$E$2008,"&gt;=01/12/"&amp;$G$3,Vendas!$E$8:$E$2008,"&lt;=31/12/"&amp;$G$3,Vendas!$C$8:$C$2008,"Entregue")+SUMIFS(Vendas!$AO$8:$AO$2008,Vendas!$AL$8:$AL$2008,$B21,Vendas!$E$8:$E$2008,"&gt;=01/12/"&amp;$G$3,Vendas!$E$8:$E$2008,"&lt;=31/12/"&amp;$G$3,Vendas!$C$8:$C$2008,"Entregue")+SUMIFS(Vendas!$AT$8:$AT$2008,Vendas!$AQ$8:$AQ$2008,$B21,Vendas!$E$8:$E$2008,"&gt;=01/12/"&amp;$G$3,Vendas!$E$8:$E$2008,"&lt;=31/12/"&amp;$G$3,Vendas!$C$8:$C$2008,"Entregue")</f>
        <v>0</v>
      </c>
      <c r="AA21" s="132">
        <f t="shared" si="0"/>
        <v>0</v>
      </c>
      <c r="AB21" s="132">
        <f t="shared" si="0"/>
        <v>0</v>
      </c>
      <c r="AC21" s="67"/>
    </row>
    <row r="22" spans="2:29" ht="14.4" x14ac:dyDescent="0.3">
      <c r="B22" s="262" t="str">
        <f>IF(Cadastros!D23="","",Cadastros!D23)</f>
        <v>T003 - Travesseiro Visco 040 X 060</v>
      </c>
      <c r="C22" s="161">
        <f>SUMIFS(Vendas!$K$8:$K$2008,Vendas!$H$8:$H$2008,$B22,Vendas!$E$8:$E$2008,"&gt;=01/01/"&amp;$G$3,Vendas!$E$8:$E$2008,"&lt;=31/01/"&amp;$G$3)+SUMIFS(Vendas!$P$8:$P$2008,Vendas!$M$8:$M$2008,$B22,Vendas!$E$8:$E$2008,"&gt;=01/01/"&amp;$G$3,Vendas!$E$8:$E$2008,"&lt;=31/01/"&amp;$G$3)+SUMIFS(Vendas!$U$8:$U$2008,Vendas!$R$8:$R$2008,$B22,Vendas!$E$8:$E$2008,"&gt;=01/01/"&amp;$G$3,Vendas!$E$8:$E$2008,"&lt;=31/01/"&amp;$G$3)+SUMIFS(Vendas!$Z$8:$Z$2008,Vendas!$W$8:$W$2008,$B22,Vendas!$E$8:$E$2008,"&gt;=01/01/"&amp;$G$3,Vendas!$E$8:$E$2008,"&lt;=31/01/"&amp;$G$3)+SUMIFS(Vendas!$AE$8:$AE$2008,Vendas!$AB$8:$AB$2008,$B22,Vendas!$E$8:$E$2008,"&gt;=01/01/"&amp;$G$3,Vendas!$E$8:$E$2008,"&lt;=31/01/"&amp;$G$3)+SUMIFS(Vendas!$AJ$8:$AJ$2008,Vendas!$AG$8:$AG$2008,$B22,Vendas!$E$8:$E$2008,"&gt;=01/01/"&amp;$G$3,Vendas!$E$8:$E$2008,"&lt;=31/01/"&amp;$G$3)+SUMIFS(Vendas!$AO$8:$AO$2008,Vendas!$AL$8:$AL$2008,$B22,Vendas!$E$8:$E$2008,"&gt;=01/01/"&amp;$G$3,Vendas!$E$8:$E$2008,"&lt;=31/01/"&amp;$G$3)+SUMIFS(Vendas!$AT$8:$AT$2008,Vendas!$AQ$8:$AQ$2008,$B22,Vendas!$E$8:$E$2008,"&gt;=01/01/"&amp;$G$3,Vendas!$E$8:$E$2008,"&lt;=31/01/"&amp;$G$3)</f>
        <v>0</v>
      </c>
      <c r="D22" s="162">
        <f>SUMIFS(Vendas!$K$8:$K$2008,Vendas!$H$8:$H$2008,$B22,Vendas!$E$8:$E$2008,"&gt;=01/01/"&amp;$G$3,Vendas!$E$8:$E$2008,"&lt;=31/01/"&amp;$G$3,Vendas!$C$8:$C$2008,"Entregue")+SUMIFS(Vendas!$P$8:$P$2008,Vendas!$M$8:$M$2008,$B22,Vendas!$E$8:$E$2008,"&gt;=01/01/"&amp;$G$3,Vendas!$E$8:$E$2008,"&lt;=31/01/"&amp;$G$3,Vendas!$C$8:$C$2008,"Entregue")+SUMIFS(Vendas!$U$8:$U$2008,Vendas!$R$8:$R$2008,$B22,Vendas!$E$8:$E$2008,"&gt;=01/01/"&amp;$G$3,Vendas!$E$8:$E$2008,"&lt;=31/01/"&amp;$G$3,Vendas!$C$8:$C$2008,"Entregue")+SUMIFS(Vendas!$Z$8:$Z$2008,Vendas!$W$8:$W$2008,$B22,Vendas!$E$8:$E$2008,"&gt;=01/01/"&amp;$G$3,Vendas!$E$8:$E$2008,"&lt;=31/01/"&amp;$G$3,Vendas!$C$8:$C$2008,"Entregue")+SUMIFS(Vendas!$AE$8:$AE$2008,Vendas!$AB$8:$AB$2008,$B22,Vendas!$E$8:$E$2008,"&gt;=01/01/"&amp;$G$3,Vendas!$E$8:$E$2008,"&lt;=31/01/"&amp;$G$3,Vendas!$C$8:$C$2008,"Entregue")+SUMIFS(Vendas!$AJ$8:$AJ$2008,Vendas!$AG$8:$AG$2008,$B22,Vendas!$E$8:$E$2008,"&gt;=01/01/"&amp;$G$3,Vendas!$E$8:$E$2008,"&lt;=31/01/"&amp;$G$3,Vendas!$C$8:$C$2008,"Entregue")+SUMIFS(Vendas!$AO$8:$AO$2008,Vendas!$AL$8:$AL$2008,$B22,Vendas!$E$8:$E$2008,"&gt;=01/01/"&amp;$G$3,Vendas!$E$8:$E$2008,"&lt;=31/01/"&amp;$G$3,Vendas!$C$8:$C$2008,"Entregue")+SUMIFS(Vendas!$AT$8:$AT$2008,Vendas!$AQ$8:$AQ$2008,$B22,Vendas!$E$8:$E$2008,"&gt;=01/01/"&amp;$G$3,Vendas!$E$8:$E$2008,"&lt;=31/01/"&amp;$G$3,Vendas!$C$8:$C$2008,"Entregue")</f>
        <v>0</v>
      </c>
      <c r="E22" s="162">
        <f>SUMIFS(Vendas!$K$8:$K$2008,Vendas!$H$8:$H$2008,$B22,Vendas!$E$8:$E$2008,"&gt;=01/02/"&amp;$G$3,Vendas!$E$8:$E$2008,"&lt;=28/02/"&amp;$G$3)+SUMIFS(Vendas!$P$8:$P$2008,Vendas!$M$8:$M$2008,$B22,Vendas!$E$8:$E$2008,"&gt;=01/02/"&amp;$G$3,Vendas!$E$8:$E$2008,"&lt;=28/02/"&amp;$G$3)+SUMIFS(Vendas!$U$8:$U$2008,Vendas!$R$8:$R$2008,$B22,Vendas!$E$8:$E$2008,"&gt;=01/02/"&amp;$G$3,Vendas!$E$8:$E$2008,"&lt;=28/02/"&amp;$G$3)+SUMIFS(Vendas!$Z$8:$Z$2008,Vendas!$W$8:$W$2008,$B22,Vendas!$E$8:$E$2008,"&gt;=01/02/"&amp;$G$3,Vendas!$E$8:$E$2008,"&lt;=28/02/"&amp;$G$3)+SUMIFS(Vendas!$AE$8:$AE$2008,Vendas!$AB$8:$AB$2008,$B22,Vendas!$E$8:$E$2008,"&gt;=01/02/"&amp;$G$3,Vendas!$E$8:$E$2008,"&lt;=28/02/"&amp;$G$3)+SUMIFS(Vendas!$AJ$8:$AJ$2008,Vendas!$AG$8:$AG$2008,$B22,Vendas!$E$8:$E$2008,"&gt;=01/02/"&amp;$G$3,Vendas!$E$8:$E$2008,"&lt;=28/02/"&amp;$G$3)+SUMIFS(Vendas!$AO$8:$AO$2008,Vendas!$AL$8:$AL$2008,$B22,Vendas!$E$8:$E$2008,"&gt;=01/02/"&amp;$G$3,Vendas!$E$8:$E$2008,"&lt;=28/02/"&amp;$G$3)+SUMIFS(Vendas!$AT$8:$AT$2008,Vendas!$AQ$8:$AQ$2008,$B22,Vendas!$E$8:$E$2008,"&gt;=01/02/"&amp;$G$3,Vendas!$E$8:$E$2008,"&lt;=28/02/"&amp;$G$3)</f>
        <v>0</v>
      </c>
      <c r="F22" s="162">
        <f>SUMIFS(Vendas!$K$8:$K$2008,Vendas!$H$8:$H$2008,$B22,Vendas!$E$8:$E$2008,"&gt;=01/02/"&amp;$G$3,Vendas!$E$8:$E$2008,"&lt;=28/02/"&amp;$G$3,Vendas!$C$8:$C$2008,"Entregue")+SUMIFS(Vendas!$P$8:$P$2008,Vendas!$M$8:$M$2008,$B22,Vendas!$E$8:$E$2008,"&gt;=01/02/"&amp;$G$3,Vendas!$E$8:$E$2008,"&lt;=28/02/"&amp;$G$3,Vendas!$C$8:$C$2008,"Entregue")+SUMIFS(Vendas!$U$8:$U$2008,Vendas!$R$8:$R$2008,$B22,Vendas!$E$8:$E$2008,"&gt;=01/02/"&amp;$G$3,Vendas!$E$8:$E$2008,"&lt;=28/02/"&amp;$G$3,Vendas!$C$8:$C$2008,"Entregue")+SUMIFS(Vendas!$Z$8:$Z$2008,Vendas!$W$8:$W$2008,$B22,Vendas!$E$8:$E$2008,"&gt;=01/02/"&amp;$G$3,Vendas!$E$8:$E$2008,"&lt;=28/02/"&amp;$G$3,Vendas!$C$8:$C$2008,"Entregue")+SUMIFS(Vendas!$AE$8:$AE$2008,Vendas!$AB$8:$AB$2008,$B22,Vendas!$E$8:$E$2008,"&gt;=01/02/"&amp;$G$3,Vendas!$E$8:$E$2008,"&lt;=28/02/"&amp;$G$3,Vendas!$C$8:$C$2008,"Entregue")+SUMIFS(Vendas!$AJ$8:$AJ$2008,Vendas!$AG$8:$AG$2008,$B22,Vendas!$E$8:$E$2008,"&gt;=01/02/"&amp;$G$3,Vendas!$E$8:$E$2008,"&lt;=28/02/"&amp;$G$3,Vendas!$C$8:$C$2008,"Entregue")+SUMIFS(Vendas!$AO$8:$AO$2008,Vendas!$AL$8:$AL$2008,$B22,Vendas!$E$8:$E$2008,"&gt;=01/02/"&amp;$G$3,Vendas!$E$8:$E$2008,"&lt;=28/02/"&amp;$G$3,Vendas!$C$8:$C$2008,"Entregue")+SUMIFS(Vendas!$AT$8:$AT$2008,Vendas!$AQ$8:$AQ$2008,$B22,Vendas!$E$8:$E$2008,"&gt;=01/02/"&amp;$G$3,Vendas!$E$8:$E$2008,"&lt;=28/02/"&amp;$G$3,Vendas!$C$8:$C$2008,"Entregue")</f>
        <v>0</v>
      </c>
      <c r="G22" s="162">
        <f>SUMIFS(Vendas!$K$8:$K$2008,Vendas!$H$8:$H$2008,$B22,Vendas!$E$8:$E$2008,"&gt;=01/03/"&amp;$G$3,Vendas!$E$8:$E$2008,"&lt;=31/03/"&amp;$G$3)+SUMIFS(Vendas!$P$8:$P$2008,Vendas!$M$8:$M$2008,$B22,Vendas!$E$8:$E$2008,"&gt;=01/03/"&amp;$G$3,Vendas!$E$8:$E$2008,"&lt;=31/03/"&amp;$G$3)+SUMIFS(Vendas!$U$8:$U$2008,Vendas!$R$8:$R$2008,$B22,Vendas!$E$8:$E$2008,"&gt;=01/03/"&amp;$G$3,Vendas!$E$8:$E$2008,"&lt;=31/03/"&amp;$G$3)+SUMIFS(Vendas!$Z$8:$Z$2008,Vendas!$W$8:$W$2008,$B22,Vendas!$E$8:$E$2008,"&gt;=01/03/"&amp;$G$3,Vendas!$E$8:$E$2008,"&lt;=31/03/"&amp;$G$3)+SUMIFS(Vendas!$AE$8:$AE$2008,Vendas!$AB$8:$AB$2008,$B22,Vendas!$E$8:$E$2008,"&gt;=01/03/"&amp;$G$3,Vendas!$E$8:$E$2008,"&lt;=31/03/"&amp;$G$3)+SUMIFS(Vendas!$AJ$8:$AJ$2008,Vendas!$AG$8:$AG$2008,$B22,Vendas!$E$8:$E$2008,"&gt;=01/03/"&amp;$G$3,Vendas!$E$8:$E$2008,"&lt;=31/03/"&amp;$G$3)+SUMIFS(Vendas!$AO$8:$AO$2008,Vendas!$AL$8:$AL$2008,$B22,Vendas!$E$8:$E$2008,"&gt;=01/03/"&amp;$G$3,Vendas!$E$8:$E$2008,"&lt;=31/03/"&amp;$G$3)+SUMIFS(Vendas!$AT$8:$AT$2008,Vendas!$AQ$8:$AQ$2008,$B22,Vendas!$E$8:$E$2008,"&gt;=01/03/"&amp;$G$3,Vendas!$E$8:$E$2008,"&lt;=31/03/"&amp;$G$3)</f>
        <v>0</v>
      </c>
      <c r="H22" s="162">
        <f>SUMIFS(Vendas!$K$8:$K$2008,Vendas!$H$8:$H$2008,$B22,Vendas!$E$8:$E$2008,"&gt;=01/03/"&amp;$G$3,Vendas!$E$8:$E$2008,"&lt;=31/03/"&amp;$G$3,Vendas!$C$8:$C$2008,"Entregue")+SUMIFS(Vendas!$P$8:$P$2008,Vendas!$M$8:$M$2008,$B22,Vendas!$E$8:$E$2008,"&gt;=01/03/"&amp;$G$3,Vendas!$E$8:$E$2008,"&lt;=31/03/"&amp;$G$3,Vendas!$C$8:$C$2008,"Entregue")+SUMIFS(Vendas!$U$8:$U$2008,Vendas!$R$8:$R$2008,$B22,Vendas!$E$8:$E$2008,"&gt;=01/03/"&amp;$G$3,Vendas!$E$8:$E$2008,"&lt;=31/03/"&amp;$G$3,Vendas!$C$8:$C$2008,"Entregue")+SUMIFS(Vendas!$Z$8:$Z$2008,Vendas!$W$8:$W$2008,$B22,Vendas!$E$8:$E$2008,"&gt;=01/03/"&amp;$G$3,Vendas!$E$8:$E$2008,"&lt;=31/03/"&amp;$G$3,Vendas!$C$8:$C$2008,"Entregue")+SUMIFS(Vendas!$AE$8:$AE$2008,Vendas!$AB$8:$AB$2008,$B22,Vendas!$E$8:$E$2008,"&gt;=01/03/"&amp;$G$3,Vendas!$E$8:$E$2008,"&lt;=31/03/"&amp;$G$3,Vendas!$C$8:$C$2008,"Entregue")+SUMIFS(Vendas!$AJ$8:$AJ$2008,Vendas!$AG$8:$AG$2008,$B22,Vendas!$E$8:$E$2008,"&gt;=01/03/"&amp;$G$3,Vendas!$E$8:$E$2008,"&lt;=31/03/"&amp;$G$3,Vendas!$C$8:$C$2008,"Entregue")+SUMIFS(Vendas!$AO$8:$AO$2008,Vendas!$AL$8:$AL$2008,$B22,Vendas!$E$8:$E$2008,"&gt;=01/03/"&amp;$G$3,Vendas!$E$8:$E$2008,"&lt;=31/03/"&amp;$G$3,Vendas!$C$8:$C$2008,"Entregue")+SUMIFS(Vendas!$AT$8:$AT$2008,Vendas!$AQ$8:$AQ$2008,$B22,Vendas!$E$8:$E$2008,"&gt;=01/03/"&amp;$G$3,Vendas!$E$8:$E$2008,"&lt;=31/03/"&amp;$G$3,Vendas!$C$8:$C$2008,"Entregue")</f>
        <v>0</v>
      </c>
      <c r="I22" s="162">
        <f>SUMIFS(Vendas!$K$8:$K$2008,Vendas!$H$8:$H$2008,$B22,Vendas!$E$8:$E$2008,"&gt;=01/04/"&amp;$G$3,Vendas!$E$8:$E$2008,"&lt;=30/04/"&amp;$G$3)+SUMIFS(Vendas!$P$8:$P$2008,Vendas!$M$8:$M$2008,$B22,Vendas!$E$8:$E$2008,"&gt;=01/04/"&amp;$G$3,Vendas!$E$8:$E$2008,"&lt;=30/04/"&amp;$G$3)+SUMIFS(Vendas!$U$8:$U$2008,Vendas!$R$8:$R$2008,$B22,Vendas!$E$8:$E$2008,"&gt;=01/04/"&amp;$G$3,Vendas!$E$8:$E$2008,"&lt;=30/04/"&amp;$G$3)+SUMIFS(Vendas!$Z$8:$Z$2008,Vendas!$W$8:$W$2008,$B22,Vendas!$E$8:$E$2008,"&gt;=01/04/"&amp;$G$3,Vendas!$E$8:$E$2008,"&lt;=30/04/"&amp;$G$3)+SUMIFS(Vendas!$AE$8:$AE$2008,Vendas!$AB$8:$AB$2008,$B22,Vendas!$E$8:$E$2008,"&gt;=01/04/"&amp;$G$3,Vendas!$E$8:$E$2008,"&lt;=30/04/"&amp;$G$3)+SUMIFS(Vendas!$AJ$8:$AJ$2008,Vendas!$AG$8:$AG$2008,$B22,Vendas!$E$8:$E$2008,"&gt;=01/04/"&amp;$G$3,Vendas!$E$8:$E$2008,"&lt;=30/04/"&amp;$G$3)+SUMIFS(Vendas!$AO$8:$AO$2008,Vendas!$AL$8:$AL$2008,$B22,Vendas!$E$8:$E$2008,"&gt;=01/04/"&amp;$G$3,Vendas!$E$8:$E$2008,"&lt;=30/04/"&amp;$G$3)+SUMIFS(Vendas!$AT$8:$AT$2008,Vendas!$AQ$8:$AQ$2008,$B22,Vendas!$E$8:$E$2008,"&gt;=01/04/"&amp;$G$3,Vendas!$E$8:$E$2008,"&lt;=30/04/"&amp;$G$3)</f>
        <v>0</v>
      </c>
      <c r="J22" s="162">
        <f>SUMIFS(Vendas!$K$8:$K$2008,Vendas!$H$8:$H$2008,$B22,Vendas!$E$8:$E$2008,"&gt;=01/04/"&amp;$G$3,Vendas!$E$8:$E$2008,"&lt;=30/04/"&amp;$G$3,Vendas!$C$8:$C$2008,"Entregue")+SUMIFS(Vendas!$P$8:$P$2008,Vendas!$M$8:$M$2008,$B22,Vendas!$E$8:$E$2008,"&gt;=01/04/"&amp;$G$3,Vendas!$E$8:$E$2008,"&lt;=30/04/"&amp;$G$3,Vendas!$C$8:$C$2008,"Entregue")+SUMIFS(Vendas!$U$8:$U$2008,Vendas!$R$8:$R$2008,$B22,Vendas!$E$8:$E$2008,"&gt;=01/04/"&amp;$G$3,Vendas!$E$8:$E$2008,"&lt;=30/04/"&amp;$G$3,Vendas!$C$8:$C$2008,"Entregue")+SUMIFS(Vendas!$Z$8:$Z$2008,Vendas!$W$8:$W$2008,$B22,Vendas!$E$8:$E$2008,"&gt;=01/04/"&amp;$G$3,Vendas!$E$8:$E$2008,"&lt;=30/04/"&amp;$G$3,Vendas!$C$8:$C$2008,"Entregue")+SUMIFS(Vendas!$AE$8:$AE$2008,Vendas!$AB$8:$AB$2008,$B22,Vendas!$E$8:$E$2008,"&gt;=01/04/"&amp;$G$3,Vendas!$E$8:$E$2008,"&lt;=30/04/"&amp;$G$3,Vendas!$C$8:$C$2008,"Entregue")+SUMIFS(Vendas!$AJ$8:$AJ$2008,Vendas!$AG$8:$AG$2008,$B22,Vendas!$E$8:$E$2008,"&gt;=01/04/"&amp;$G$3,Vendas!$E$8:$E$2008,"&lt;=30/04/"&amp;$G$3,Vendas!$C$8:$C$2008,"Entregue")+SUMIFS(Vendas!$AO$8:$AO$2008,Vendas!$AL$8:$AL$2008,$B22,Vendas!$E$8:$E$2008,"&gt;=01/04/"&amp;$G$3,Vendas!$E$8:$E$2008,"&lt;=30/04/"&amp;$G$3,Vendas!$C$8:$C$2008,"Entregue")+SUMIFS(Vendas!$AT$8:$AT$2008,Vendas!$AQ$8:$AQ$2008,$B22,Vendas!$E$8:$E$2008,"&gt;=01/04/"&amp;$G$3,Vendas!$E$8:$E$2008,"&lt;=30/04/"&amp;$G$3,Vendas!$C$8:$C$2008,"Entregue")</f>
        <v>0</v>
      </c>
      <c r="K22" s="162">
        <f>SUMIFS(Vendas!$K$8:$K$2008,Vendas!$H$8:$H$2008,$B22,Vendas!$E$8:$E$2008,"&gt;=01/05/"&amp;$G$3,Vendas!$E$8:$E$2008,"&lt;=31/05/"&amp;$G$3)+SUMIFS(Vendas!$P$8:$P$2008,Vendas!$M$8:$M$2008,$B22,Vendas!$E$8:$E$2008,"&gt;=01/05/"&amp;$G$3,Vendas!$E$8:$E$2008,"&lt;=31/05/"&amp;$G$3)+SUMIFS(Vendas!$U$8:$U$2008,Vendas!$R$8:$R$2008,$B22,Vendas!$E$8:$E$2008,"&gt;=01/05/"&amp;$G$3,Vendas!$E$8:$E$2008,"&lt;=31/05/"&amp;$G$3)+SUMIFS(Vendas!$Z$8:$Z$2008,Vendas!$W$8:$W$2008,$B22,Vendas!$E$8:$E$2008,"&gt;=01/05/"&amp;$G$3,Vendas!$E$8:$E$2008,"&lt;=31/05/"&amp;$G$3)+SUMIFS(Vendas!$AE$8:$AE$2008,Vendas!$AB$8:$AB$2008,$B22,Vendas!$E$8:$E$2008,"&gt;=01/05/"&amp;$G$3,Vendas!$E$8:$E$2008,"&lt;=31/05/"&amp;$G$3)+SUMIFS(Vendas!$AJ$8:$AJ$2008,Vendas!$AG$8:$AG$2008,$B22,Vendas!$E$8:$E$2008,"&gt;=01/05/"&amp;$G$3,Vendas!$E$8:$E$2008,"&lt;=31/05/"&amp;$G$3)+SUMIFS(Vendas!$AO$8:$AO$2008,Vendas!$AL$8:$AL$2008,$B22,Vendas!$E$8:$E$2008,"&gt;=01/05/"&amp;$G$3,Vendas!$E$8:$E$2008,"&lt;=31/05/"&amp;$G$3)+SUMIFS(Vendas!$AT$8:$AT$2008,Vendas!$AQ$8:$AQ$2008,$B22,Vendas!$E$8:$E$2008,"&gt;=01/05/"&amp;$G$3,Vendas!$E$8:$E$2008,"&lt;=31/05/"&amp;$G$3)</f>
        <v>0</v>
      </c>
      <c r="L22" s="162">
        <f>SUMIFS(Vendas!$K$8:$K$2008,Vendas!$H$8:$H$2008,$B22,Vendas!$E$8:$E$2008,"&gt;=01/05/"&amp;$G$3,Vendas!$E$8:$E$2008,"&lt;=31/05/"&amp;$G$3,Vendas!$C$8:$C$2008,"Entregue")+SUMIFS(Vendas!$P$8:$P$2008,Vendas!$M$8:$M$2008,$B22,Vendas!$E$8:$E$2008,"&gt;=01/05/"&amp;$G$3,Vendas!$E$8:$E$2008,"&lt;=31/05/"&amp;$G$3,Vendas!$C$8:$C$2008,"Entregue")+SUMIFS(Vendas!$U$8:$U$2008,Vendas!$R$8:$R$2008,$B22,Vendas!$E$8:$E$2008,"&gt;=01/05/"&amp;$G$3,Vendas!$E$8:$E$2008,"&lt;=31/05/"&amp;$G$3,Vendas!$C$8:$C$2008,"Entregue")+SUMIFS(Vendas!$Z$8:$Z$2008,Vendas!$W$8:$W$2008,$B22,Vendas!$E$8:$E$2008,"&gt;=01/05/"&amp;$G$3,Vendas!$E$8:$E$2008,"&lt;=31/05/"&amp;$G$3,Vendas!$C$8:$C$2008,"Entregue")+SUMIFS(Vendas!$AE$8:$AE$2008,Vendas!$AB$8:$AB$2008,$B22,Vendas!$E$8:$E$2008,"&gt;=01/05/"&amp;$G$3,Vendas!$E$8:$E$2008,"&lt;=31/05/"&amp;$G$3,Vendas!$C$8:$C$2008,"Entregue")+SUMIFS(Vendas!$AJ$8:$AJ$2008,Vendas!$AG$8:$AG$2008,$B22,Vendas!$E$8:$E$2008,"&gt;=01/05/"&amp;$G$3,Vendas!$E$8:$E$2008,"&lt;=31/05/"&amp;$G$3,Vendas!$C$8:$C$2008,"Entregue")+SUMIFS(Vendas!$AO$8:$AO$2008,Vendas!$AL$8:$AL$2008,$B22,Vendas!$E$8:$E$2008,"&gt;=01/05/"&amp;$G$3,Vendas!$E$8:$E$2008,"&lt;=31/05/"&amp;$G$3,Vendas!$C$8:$C$2008,"Entregue")+SUMIFS(Vendas!$AT$8:$AT$2008,Vendas!$AQ$8:$AQ$2008,$B22,Vendas!$E$8:$E$2008,"&gt;=01/05/"&amp;$G$3,Vendas!$E$8:$E$2008,"&lt;=31/05/"&amp;$G$3,Vendas!$C$8:$C$2008,"Entregue")</f>
        <v>0</v>
      </c>
      <c r="M22" s="162">
        <f>SUMIFS(Vendas!$K$8:$K$2008,Vendas!$H$8:$H$2008,$B22,Vendas!$E$8:$E$2008,"&gt;=01/06/"&amp;$G$3,Vendas!$E$8:$E$2008,"&lt;=30/06/"&amp;$G$3)+SUMIFS(Vendas!$P$8:$P$2008,Vendas!$M$8:$M$2008,$B22,Vendas!$E$8:$E$2008,"&gt;=01/06/"&amp;$G$3,Vendas!$E$8:$E$2008,"&lt;=30/06/"&amp;$G$3)+SUMIFS(Vendas!$U$8:$U$2008,Vendas!$R$8:$R$2008,$B22,Vendas!$E$8:$E$2008,"&gt;=01/06/"&amp;$G$3,Vendas!$E$8:$E$2008,"&lt;=30/06/"&amp;$G$3)+SUMIFS(Vendas!$Z$8:$Z$2008,Vendas!$W$8:$W$2008,$B22,Vendas!$E$8:$E$2008,"&gt;=01/06/"&amp;$G$3,Vendas!$E$8:$E$2008,"&lt;=30/06/"&amp;$G$3)+SUMIFS(Vendas!$AE$8:$AE$2008,Vendas!$AB$8:$AB$2008,$B22,Vendas!$E$8:$E$2008,"&gt;=01/06/"&amp;$G$3,Vendas!$E$8:$E$2008,"&lt;=30/06/"&amp;$G$3)+SUMIFS(Vendas!$AJ$8:$AJ$2008,Vendas!$AG$8:$AG$2008,$B22,Vendas!$E$8:$E$2008,"&gt;=01/06/"&amp;$G$3,Vendas!$E$8:$E$2008,"&lt;=30/06/"&amp;$G$3)+SUMIFS(Vendas!$AO$8:$AO$2008,Vendas!$AL$8:$AL$2008,$B22,Vendas!$E$8:$E$2008,"&gt;=01/06/"&amp;$G$3,Vendas!$E$8:$E$2008,"&lt;=30/06/"&amp;$G$3)+SUMIFS(Vendas!$AT$8:$AT$2008,Vendas!$AQ$8:$AQ$2008,$B22,Vendas!$E$8:$E$2008,"&gt;=01/06/"&amp;$G$3,Vendas!$E$8:$E$2008,"&lt;=30/06/"&amp;$G$3)</f>
        <v>0</v>
      </c>
      <c r="N22" s="162">
        <f>SUMIFS(Vendas!$K$8:$K$2008,Vendas!$H$8:$H$2008,$B22,Vendas!$E$8:$E$2008,"&gt;=01/06/"&amp;$G$3,Vendas!$E$8:$E$2008,"&lt;=30/06/"&amp;$G$3,Vendas!$C$8:$C$2008,"Entregue")+SUMIFS(Vendas!$P$8:$P$2008,Vendas!$M$8:$M$2008,$B22,Vendas!$E$8:$E$2008,"&gt;=01/06/"&amp;$G$3,Vendas!$E$8:$E$2008,"&lt;=30/06/"&amp;$G$3,Vendas!$C$8:$C$2008,"Entregue")+SUMIFS(Vendas!$U$8:$U$2008,Vendas!$R$8:$R$2008,$B22,Vendas!$E$8:$E$2008,"&gt;=01/06/"&amp;$G$3,Vendas!$E$8:$E$2008,"&lt;=30/06/"&amp;$G$3,Vendas!$C$8:$C$2008,"Entregue")+SUMIFS(Vendas!$Z$8:$Z$2008,Vendas!$W$8:$W$2008,$B22,Vendas!$E$8:$E$2008,"&gt;=01/06/"&amp;$G$3,Vendas!$E$8:$E$2008,"&lt;=30/06/"&amp;$G$3,Vendas!$C$8:$C$2008,"Entregue")+SUMIFS(Vendas!$AE$8:$AE$2008,Vendas!$AB$8:$AB$2008,$B22,Vendas!$E$8:$E$2008,"&gt;=01/06/"&amp;$G$3,Vendas!$E$8:$E$2008,"&lt;=30/06/"&amp;$G$3,Vendas!$C$8:$C$2008,"Entregue")+SUMIFS(Vendas!$AJ$8:$AJ$2008,Vendas!$AG$8:$AG$2008,$B22,Vendas!$E$8:$E$2008,"&gt;=01/06/"&amp;$G$3,Vendas!$E$8:$E$2008,"&lt;=30/06/"&amp;$G$3,Vendas!$C$8:$C$2008,"Entregue")+SUMIFS(Vendas!$AO$8:$AO$2008,Vendas!$AL$8:$AL$2008,$B22,Vendas!$E$8:$E$2008,"&gt;=01/06/"&amp;$G$3,Vendas!$E$8:$E$2008,"&lt;=30/06/"&amp;$G$3,Vendas!$C$8:$C$2008,"Entregue")+SUMIFS(Vendas!$AT$8:$AT$2008,Vendas!$AQ$8:$AQ$2008,$B22,Vendas!$E$8:$E$2008,"&gt;=01/06/"&amp;$G$3,Vendas!$E$8:$E$2008,"&lt;=30/06/"&amp;$G$3,Vendas!$C$8:$C$2008,"Entregue")</f>
        <v>0</v>
      </c>
      <c r="O22" s="162">
        <f>SUMIFS(Vendas!$K$8:$K$2008,Vendas!$H$8:$H$2008,$B22,Vendas!$E$8:$E$2008,"&gt;=01/07/"&amp;$G$3,Vendas!$E$8:$E$2008,"&lt;=31/07/"&amp;$G$3)+SUMIFS(Vendas!$P$8:$P$2008,Vendas!$M$8:$M$2008,$B22,Vendas!$E$8:$E$2008,"&gt;=01/07/"&amp;$G$3,Vendas!$E$8:$E$2008,"&lt;=31/07/"&amp;$G$3)+SUMIFS(Vendas!$U$8:$U$2008,Vendas!$R$8:$R$2008,$B22,Vendas!$E$8:$E$2008,"&gt;=01/07/"&amp;$G$3,Vendas!$E$8:$E$2008,"&lt;=31/07/"&amp;$G$3)+SUMIFS(Vendas!$Z$8:$Z$2008,Vendas!$W$8:$W$2008,$B22,Vendas!$E$8:$E$2008,"&gt;=01/07/"&amp;$G$3,Vendas!$E$8:$E$2008,"&lt;=31/07/"&amp;$G$3)+SUMIFS(Vendas!$AE$8:$AE$2008,Vendas!$AB$8:$AB$2008,$B22,Vendas!$E$8:$E$2008,"&gt;=01/07/"&amp;$G$3,Vendas!$E$8:$E$2008,"&lt;=31/07/"&amp;$G$3)+SUMIFS(Vendas!$AJ$8:$AJ$2008,Vendas!$AG$8:$AG$2008,$B22,Vendas!$E$8:$E$2008,"&gt;=01/07/"&amp;$G$3,Vendas!$E$8:$E$2008,"&lt;=31/07/"&amp;$G$3)+SUMIFS(Vendas!$AO$8:$AO$2008,Vendas!$AL$8:$AL$2008,$B22,Vendas!$E$8:$E$2008,"&gt;=01/07/"&amp;$G$3,Vendas!$E$8:$E$2008,"&lt;=31/07/"&amp;$G$3)+SUMIFS(Vendas!$AT$8:$AT$2008,Vendas!$AQ$8:$AQ$2008,$B22,Vendas!$E$8:$E$2008,"&gt;=01/07/"&amp;$G$3,Vendas!$E$8:$E$2008,"&lt;=31/07/"&amp;$G$3)</f>
        <v>0</v>
      </c>
      <c r="P22" s="162">
        <f>SUMIFS(Vendas!$K$8:$K$2008,Vendas!$H$8:$H$2008,$B22,Vendas!$E$8:$E$2008,"&gt;=01/07/"&amp;$G$3,Vendas!$E$8:$E$2008,"&lt;=31/07/"&amp;$G$3,Vendas!$C$8:$C$2008,"Entregue")+SUMIFS(Vendas!$P$8:$P$2008,Vendas!$M$8:$M$2008,$B22,Vendas!$E$8:$E$2008,"&gt;=01/07/"&amp;$G$3,Vendas!$E$8:$E$2008,"&lt;=31/07/"&amp;$G$3,Vendas!$C$8:$C$2008,"Entregue")+SUMIFS(Vendas!$U$8:$U$2008,Vendas!$R$8:$R$2008,$B22,Vendas!$E$8:$E$2008,"&gt;=01/07/"&amp;$G$3,Vendas!$E$8:$E$2008,"&lt;=31/07/"&amp;$G$3,Vendas!$C$8:$C$2008,"Entregue")+SUMIFS(Vendas!$Z$8:$Z$2008,Vendas!$W$8:$W$2008,$B22,Vendas!$E$8:$E$2008,"&gt;=01/07/"&amp;$G$3,Vendas!$E$8:$E$2008,"&lt;=31/07/"&amp;$G$3,Vendas!$C$8:$C$2008,"Entregue")+SUMIFS(Vendas!$AE$8:$AE$2008,Vendas!$AB$8:$AB$2008,$B22,Vendas!$E$8:$E$2008,"&gt;=01/07/"&amp;$G$3,Vendas!$E$8:$E$2008,"&lt;=31/07/"&amp;$G$3,Vendas!$C$8:$C$2008,"Entregue")+SUMIFS(Vendas!$AJ$8:$AJ$2008,Vendas!$AG$8:$AG$2008,$B22,Vendas!$E$8:$E$2008,"&gt;=01/07/"&amp;$G$3,Vendas!$E$8:$E$2008,"&lt;=31/07/"&amp;$G$3,Vendas!$C$8:$C$2008,"Entregue")+SUMIFS(Vendas!$AO$8:$AO$2008,Vendas!$AL$8:$AL$2008,$B22,Vendas!$E$8:$E$2008,"&gt;=01/07/"&amp;$G$3,Vendas!$E$8:$E$2008,"&lt;=31/07/"&amp;$G$3,Vendas!$C$8:$C$2008,"Entregue")+SUMIFS(Vendas!$AT$8:$AT$2008,Vendas!$AQ$8:$AQ$2008,$B22,Vendas!$E$8:$E$2008,"&gt;=01/07/"&amp;$G$3,Vendas!$E$8:$E$2008,"&lt;=31/07/"&amp;$G$3,Vendas!$C$8:$C$2008,"Entregue")</f>
        <v>0</v>
      </c>
      <c r="Q22" s="162">
        <f>SUMIFS(Vendas!$K$8:$K$2008,Vendas!$H$8:$H$2008,$B22,Vendas!$E$8:$E$2008,"&gt;=01/08/"&amp;$G$3,Vendas!$E$8:$E$2008,"&lt;=31/08/"&amp;$G$3)+SUMIFS(Vendas!$P$8:$P$2008,Vendas!$M$8:$M$2008,$B22,Vendas!$E$8:$E$2008,"&gt;=01/08/"&amp;$G$3,Vendas!$E$8:$E$2008,"&lt;=31/08/"&amp;$G$3)+SUMIFS(Vendas!$U$8:$U$2008,Vendas!$R$8:$R$2008,$B22,Vendas!$E$8:$E$2008,"&gt;=01/08/"&amp;$G$3,Vendas!$E$8:$E$2008,"&lt;=31/08/"&amp;$G$3)+SUMIFS(Vendas!$Z$8:$Z$2008,Vendas!$W$8:$W$2008,$B22,Vendas!$E$8:$E$2008,"&gt;=01/08/"&amp;$G$3,Vendas!$E$8:$E$2008,"&lt;=31/08/"&amp;$G$3)+SUMIFS(Vendas!$AE$8:$AE$2008,Vendas!$AB$8:$AB$2008,$B22,Vendas!$E$8:$E$2008,"&gt;=01/08/"&amp;$G$3,Vendas!$E$8:$E$2008,"&lt;=31/08/"&amp;$G$3)+SUMIFS(Vendas!$AJ$8:$AJ$2008,Vendas!$AG$8:$AG$2008,$B22,Vendas!$E$8:$E$2008,"&gt;=01/08/"&amp;$G$3,Vendas!$E$8:$E$2008,"&lt;=31/08/"&amp;$G$3)+SUMIFS(Vendas!$AO$8:$AO$2008,Vendas!$AL$8:$AL$2008,$B22,Vendas!$E$8:$E$2008,"&gt;=01/08/"&amp;$G$3,Vendas!$E$8:$E$2008,"&lt;=31/08/"&amp;$G$3)+SUMIFS(Vendas!$AT$8:$AT$2008,Vendas!$AQ$8:$AQ$2008,$B22,Vendas!$E$8:$E$2008,"&gt;=01/08/"&amp;$G$3,Vendas!$E$8:$E$2008,"&lt;=31/08/"&amp;$G$3)</f>
        <v>0</v>
      </c>
      <c r="R22" s="162">
        <f>SUMIFS(Vendas!$K$8:$K$2008,Vendas!$H$8:$H$2008,$B22,Vendas!$E$8:$E$2008,"&gt;=01/08/"&amp;$G$3,Vendas!$E$8:$E$2008,"&lt;=31/08/"&amp;$G$3,Vendas!$C$8:$C$2008,"Entregue")+SUMIFS(Vendas!$P$8:$P$2008,Vendas!$M$8:$M$2008,$B22,Vendas!$E$8:$E$2008,"&gt;=01/08/"&amp;$G$3,Vendas!$E$8:$E$2008,"&lt;=31/08/"&amp;$G$3,Vendas!$C$8:$C$2008,"Entregue")+SUMIFS(Vendas!$U$8:$U$2008,Vendas!$R$8:$R$2008,$B22,Vendas!$E$8:$E$2008,"&gt;=01/08/"&amp;$G$3,Vendas!$E$8:$E$2008,"&lt;=31/08/"&amp;$G$3,Vendas!$C$8:$C$2008,"Entregue")+SUMIFS(Vendas!$Z$8:$Z$2008,Vendas!$W$8:$W$2008,$B22,Vendas!$E$8:$E$2008,"&gt;=01/08/"&amp;$G$3,Vendas!$E$8:$E$2008,"&lt;=31/08/"&amp;$G$3,Vendas!$C$8:$C$2008,"Entregue")+SUMIFS(Vendas!$AE$8:$AE$2008,Vendas!$AB$8:$AB$2008,$B22,Vendas!$E$8:$E$2008,"&gt;=01/08/"&amp;$G$3,Vendas!$E$8:$E$2008,"&lt;=31/08/"&amp;$G$3,Vendas!$C$8:$C$2008,"Entregue")+SUMIFS(Vendas!$AJ$8:$AJ$2008,Vendas!$AG$8:$AG$2008,$B22,Vendas!$E$8:$E$2008,"&gt;=01/08/"&amp;$G$3,Vendas!$E$8:$E$2008,"&lt;=31/08/"&amp;$G$3,Vendas!$C$8:$C$2008,"Entregue")+SUMIFS(Vendas!$AO$8:$AO$2008,Vendas!$AL$8:$AL$2008,$B22,Vendas!$E$8:$E$2008,"&gt;=01/08/"&amp;$G$3,Vendas!$E$8:$E$2008,"&lt;=31/08/"&amp;$G$3,Vendas!$C$8:$C$2008,"Entregue")+SUMIFS(Vendas!$AT$8:$AT$2008,Vendas!$AQ$8:$AQ$2008,$B22,Vendas!$E$8:$E$2008,"&gt;=01/08/"&amp;$G$3,Vendas!$E$8:$E$2008,"&lt;=31/08/"&amp;$G$3,Vendas!$C$8:$C$2008,"Entregue")</f>
        <v>0</v>
      </c>
      <c r="S22" s="162">
        <f>SUMIFS(Vendas!$K$8:$K$2008,Vendas!$H$8:$H$2008,$B22,Vendas!$E$8:$E$2008,"&gt;=01/09/"&amp;$G$3,Vendas!$E$8:$E$2008,"&lt;=30/09/"&amp;$G$3)+SUMIFS(Vendas!$P$8:$P$2008,Vendas!$M$8:$M$2008,$B22,Vendas!$E$8:$E$2008,"&gt;=01/09/"&amp;$G$3,Vendas!$E$8:$E$2008,"&lt;=30/09/"&amp;$G$3)+SUMIFS(Vendas!$U$8:$U$2008,Vendas!$R$8:$R$2008,$B22,Vendas!$E$8:$E$2008,"&gt;=01/09/"&amp;$G$3,Vendas!$E$8:$E$2008,"&lt;=30/09/"&amp;$G$3)+SUMIFS(Vendas!$Z$8:$Z$2008,Vendas!$W$8:$W$2008,$B22,Vendas!$E$8:$E$2008,"&gt;=01/09/"&amp;$G$3,Vendas!$E$8:$E$2008,"&lt;=30/09/"&amp;$G$3)+SUMIFS(Vendas!$AE$8:$AE$2008,Vendas!$AB$8:$AB$2008,$B22,Vendas!$E$8:$E$2008,"&gt;=01/09/"&amp;$G$3,Vendas!$E$8:$E$2008,"&lt;=30/09/"&amp;$G$3)+SUMIFS(Vendas!$AJ$8:$AJ$2008,Vendas!$AG$8:$AG$2008,$B22,Vendas!$E$8:$E$2008,"&gt;=01/09/"&amp;$G$3,Vendas!$E$8:$E$2008,"&lt;=30/09/"&amp;$G$3)+SUMIFS(Vendas!$AO$8:$AO$2008,Vendas!$AL$8:$AL$2008,$B22,Vendas!$E$8:$E$2008,"&gt;=01/09/"&amp;$G$3,Vendas!$E$8:$E$2008,"&lt;=30/09/"&amp;$G$3)+SUMIFS(Vendas!$AT$8:$AT$2008,Vendas!$AQ$8:$AQ$2008,$B22,Vendas!$E$8:$E$2008,"&gt;=01/09/"&amp;$G$3,Vendas!$E$8:$E$2008,"&lt;=30/09/"&amp;$G$3)</f>
        <v>0</v>
      </c>
      <c r="T22" s="162">
        <f>SUMIFS(Vendas!$K$8:$K$2008,Vendas!$H$8:$H$2008,$B22,Vendas!$E$8:$E$2008,"&gt;=01/09/"&amp;$G$3,Vendas!$E$8:$E$2008,"&lt;=30/09/"&amp;$G$3,Vendas!$C$8:$C$2008,"Entregue")+SUMIFS(Vendas!$P$8:$P$2008,Vendas!$M$8:$M$2008,$B22,Vendas!$E$8:$E$2008,"&gt;=01/09/"&amp;$G$3,Vendas!$E$8:$E$2008,"&lt;=30/09/"&amp;$G$3,Vendas!$C$8:$C$2008,"Entregue")+SUMIFS(Vendas!$U$8:$U$2008,Vendas!$R$8:$R$2008,$B22,Vendas!$E$8:$E$2008,"&gt;=01/09/"&amp;$G$3,Vendas!$E$8:$E$2008,"&lt;=30/09/"&amp;$G$3,Vendas!$C$8:$C$2008,"Entregue")+SUMIFS(Vendas!$Z$8:$Z$2008,Vendas!$W$8:$W$2008,$B22,Vendas!$E$8:$E$2008,"&gt;=01/09/"&amp;$G$3,Vendas!$E$8:$E$2008,"&lt;=30/09/"&amp;$G$3,Vendas!$C$8:$C$2008,"Entregue")+SUMIFS(Vendas!$AE$8:$AE$2008,Vendas!$AB$8:$AB$2008,$B22,Vendas!$E$8:$E$2008,"&gt;=01/09/"&amp;$G$3,Vendas!$E$8:$E$2008,"&lt;=30/09/"&amp;$G$3,Vendas!$C$8:$C$2008,"Entregue")+SUMIFS(Vendas!$AJ$8:$AJ$2008,Vendas!$AG$8:$AG$2008,$B22,Vendas!$E$8:$E$2008,"&gt;=01/09/"&amp;$G$3,Vendas!$E$8:$E$2008,"&lt;=30/09/"&amp;$G$3,Vendas!$C$8:$C$2008,"Entregue")+SUMIFS(Vendas!$AO$8:$AO$2008,Vendas!$AL$8:$AL$2008,$B22,Vendas!$E$8:$E$2008,"&gt;=01/09/"&amp;$G$3,Vendas!$E$8:$E$2008,"&lt;=30/09/"&amp;$G$3,Vendas!$C$8:$C$2008,"Entregue")+SUMIFS(Vendas!$AT$8:$AT$2008,Vendas!$AQ$8:$AQ$2008,$B22,Vendas!$E$8:$E$2008,"&gt;=01/09/"&amp;$G$3,Vendas!$E$8:$E$2008,"&lt;=30/09/"&amp;$G$3,Vendas!$C$8:$C$2008,"Entregue")</f>
        <v>0</v>
      </c>
      <c r="U22" s="162">
        <f>SUMIFS(Vendas!$K$8:$K$2008,Vendas!$H$8:$H$2008,$B22,Vendas!$E$8:$E$2008,"&gt;=01/10/"&amp;$G$3,Vendas!$E$8:$E$2008,"&lt;=31/10/"&amp;$G$3)+SUMIFS(Vendas!$P$8:$P$2008,Vendas!$M$8:$M$2008,$B22,Vendas!$E$8:$E$2008,"&gt;=01/10/"&amp;$G$3,Vendas!$E$8:$E$2008,"&lt;=31/10/"&amp;$G$3)+SUMIFS(Vendas!$U$8:$U$2008,Vendas!$R$8:$R$2008,$B22,Vendas!$E$8:$E$2008,"&gt;=01/10/"&amp;$G$3,Vendas!$E$8:$E$2008,"&lt;=31/10/"&amp;$G$3)+SUMIFS(Vendas!$Z$8:$Z$2008,Vendas!$W$8:$W$2008,$B22,Vendas!$E$8:$E$2008,"&gt;=01/10/"&amp;$G$3,Vendas!$E$8:$E$2008,"&lt;=31/10/"&amp;$G$3)+SUMIFS(Vendas!$AE$8:$AE$2008,Vendas!$AB$8:$AB$2008,$B22,Vendas!$E$8:$E$2008,"&gt;=01/10/"&amp;$G$3,Vendas!$E$8:$E$2008,"&lt;=31/10/"&amp;$G$3)+SUMIFS(Vendas!$AJ$8:$AJ$2008,Vendas!$AG$8:$AG$2008,$B22,Vendas!$E$8:$E$2008,"&gt;=01/10/"&amp;$G$3,Vendas!$E$8:$E$2008,"&lt;=31/10/"&amp;$G$3)+SUMIFS(Vendas!$AO$8:$AO$2008,Vendas!$AL$8:$AL$2008,$B22,Vendas!$E$8:$E$2008,"&gt;=01/10/"&amp;$G$3,Vendas!$E$8:$E$2008,"&lt;=31/10/"&amp;$G$3)+SUMIFS(Vendas!$AT$8:$AT$2008,Vendas!$AQ$8:$AQ$2008,$B22,Vendas!$E$8:$E$2008,"&gt;=01/10/"&amp;$G$3,Vendas!$E$8:$E$2008,"&lt;=31/10/"&amp;$G$3)</f>
        <v>0</v>
      </c>
      <c r="V22" s="162">
        <f>SUMIFS(Vendas!$K$8:$K$2008,Vendas!$H$8:$H$2008,$B22,Vendas!$E$8:$E$2008,"&gt;=01/10/"&amp;$G$3,Vendas!$E$8:$E$2008,"&lt;=31/10/"&amp;$G$3,Vendas!$C$8:$C$2008,"Entregue")+SUMIFS(Vendas!$P$8:$P$2008,Vendas!$M$8:$M$2008,$B22,Vendas!$E$8:$E$2008,"&gt;=01/10/"&amp;$G$3,Vendas!$E$8:$E$2008,"&lt;=31/10/"&amp;$G$3,Vendas!$C$8:$C$2008,"Entregue")+SUMIFS(Vendas!$U$8:$U$2008,Vendas!$R$8:$R$2008,$B22,Vendas!$E$8:$E$2008,"&gt;=01/10/"&amp;$G$3,Vendas!$E$8:$E$2008,"&lt;=31/10/"&amp;$G$3,Vendas!$C$8:$C$2008,"Entregue")+SUMIFS(Vendas!$Z$8:$Z$2008,Vendas!$W$8:$W$2008,$B22,Vendas!$E$8:$E$2008,"&gt;=01/10/"&amp;$G$3,Vendas!$E$8:$E$2008,"&lt;=31/10/"&amp;$G$3,Vendas!$C$8:$C$2008,"Entregue")+SUMIFS(Vendas!$AE$8:$AE$2008,Vendas!$AB$8:$AB$2008,$B22,Vendas!$E$8:$E$2008,"&gt;=01/10/"&amp;$G$3,Vendas!$E$8:$E$2008,"&lt;=31/10/"&amp;$G$3,Vendas!$C$8:$C$2008,"Entregue")+SUMIFS(Vendas!$AJ$8:$AJ$2008,Vendas!$AG$8:$AG$2008,$B22,Vendas!$E$8:$E$2008,"&gt;=01/10/"&amp;$G$3,Vendas!$E$8:$E$2008,"&lt;=31/10/"&amp;$G$3,Vendas!$C$8:$C$2008,"Entregue")+SUMIFS(Vendas!$AO$8:$AO$2008,Vendas!$AL$8:$AL$2008,$B22,Vendas!$E$8:$E$2008,"&gt;=01/10/"&amp;$G$3,Vendas!$E$8:$E$2008,"&lt;=31/10/"&amp;$G$3,Vendas!$C$8:$C$2008,"Entregue")+SUMIFS(Vendas!$AT$8:$AT$2008,Vendas!$AQ$8:$AQ$2008,$B22,Vendas!$E$8:$E$2008,"&gt;=01/10/"&amp;$G$3,Vendas!$E$8:$E$2008,"&lt;=31/10/"&amp;$G$3,Vendas!$C$8:$C$2008,"Entregue")</f>
        <v>0</v>
      </c>
      <c r="W22" s="162">
        <f>SUMIFS(Vendas!$K$8:$K$2008,Vendas!$H$8:$H$2008,$B22,Vendas!$E$8:$E$2008,"&gt;=01/11/"&amp;$G$3,Vendas!$E$8:$E$2008,"&lt;=30/11/"&amp;$G$3)+SUMIFS(Vendas!$P$8:$P$2008,Vendas!$M$8:$M$2008,$B22,Vendas!$E$8:$E$2008,"&gt;=01/11/"&amp;$G$3,Vendas!$E$8:$E$2008,"&lt;=30/11/"&amp;$G$3)+SUMIFS(Vendas!$U$8:$U$2008,Vendas!$R$8:$R$2008,$B22,Vendas!$E$8:$E$2008,"&gt;=01/11/"&amp;$G$3,Vendas!$E$8:$E$2008,"&lt;=30/11/"&amp;$G$3)+SUMIFS(Vendas!$Z$8:$Z$2008,Vendas!$W$8:$W$2008,$B22,Vendas!$E$8:$E$2008,"&gt;=01/11/"&amp;$G$3,Vendas!$E$8:$E$2008,"&lt;=30/11/"&amp;$G$3)+SUMIFS(Vendas!$AE$8:$AE$2008,Vendas!$AB$8:$AB$2008,$B22,Vendas!$E$8:$E$2008,"&gt;=01/11/"&amp;$G$3,Vendas!$E$8:$E$2008,"&lt;=30/11/"&amp;$G$3)+SUMIFS(Vendas!$AJ$8:$AJ$2008,Vendas!$AG$8:$AG$2008,$B22,Vendas!$E$8:$E$2008,"&gt;=01/11/"&amp;$G$3,Vendas!$E$8:$E$2008,"&lt;=30/11/"&amp;$G$3)+SUMIFS(Vendas!$AO$8:$AO$2008,Vendas!$AL$8:$AL$2008,$B22,Vendas!$E$8:$E$2008,"&gt;=01/11/"&amp;$G$3,Vendas!$E$8:$E$2008,"&lt;=30/11/"&amp;$G$3)+SUMIFS(Vendas!$AT$8:$AT$2008,Vendas!$AQ$8:$AQ$2008,$B22,Vendas!$E$8:$E$2008,"&gt;=01/11/"&amp;$G$3,Vendas!$E$8:$E$2008,"&lt;=30/11/"&amp;$G$3)</f>
        <v>0</v>
      </c>
      <c r="X22" s="162">
        <f>SUMIFS(Vendas!$K$8:$K$2008,Vendas!$H$8:$H$2008,$B22,Vendas!$E$8:$E$2008,"&gt;=01/11/"&amp;$G$3,Vendas!$E$8:$E$2008,"&lt;=30/11/"&amp;$G$3,Vendas!$C$8:$C$2008,"Entregue")+SUMIFS(Vendas!$P$8:$P$2008,Vendas!$M$8:$M$2008,$B22,Vendas!$E$8:$E$2008,"&gt;=01/11/"&amp;$G$3,Vendas!$E$8:$E$2008,"&lt;=30/11/"&amp;$G$3,Vendas!$C$8:$C$2008,"Entregue")+SUMIFS(Vendas!$U$8:$U$2008,Vendas!$R$8:$R$2008,$B22,Vendas!$E$8:$E$2008,"&gt;=01/11/"&amp;$G$3,Vendas!$E$8:$E$2008,"&lt;=30/11/"&amp;$G$3,Vendas!$C$8:$C$2008,"Entregue")+SUMIFS(Vendas!$Z$8:$Z$2008,Vendas!$W$8:$W$2008,$B22,Vendas!$E$8:$E$2008,"&gt;=01/11/"&amp;$G$3,Vendas!$E$8:$E$2008,"&lt;=30/11/"&amp;$G$3,Vendas!$C$8:$C$2008,"Entregue")+SUMIFS(Vendas!$AE$8:$AE$2008,Vendas!$AB$8:$AB$2008,$B22,Vendas!$E$8:$E$2008,"&gt;=01/11/"&amp;$G$3,Vendas!$E$8:$E$2008,"&lt;=30/11/"&amp;$G$3,Vendas!$C$8:$C$2008,"Entregue")+SUMIFS(Vendas!$AJ$8:$AJ$2008,Vendas!$AG$8:$AG$2008,$B22,Vendas!$E$8:$E$2008,"&gt;=01/11/"&amp;$G$3,Vendas!$E$8:$E$2008,"&lt;=30/11/"&amp;$G$3,Vendas!$C$8:$C$2008,"Entregue")+SUMIFS(Vendas!$AO$8:$AO$2008,Vendas!$AL$8:$AL$2008,$B22,Vendas!$E$8:$E$2008,"&gt;=01/11/"&amp;$G$3,Vendas!$E$8:$E$2008,"&lt;=30/11/"&amp;$G$3,Vendas!$C$8:$C$2008,"Entregue")+SUMIFS(Vendas!$AT$8:$AT$2008,Vendas!$AQ$8:$AQ$2008,$B22,Vendas!$E$8:$E$2008,"&gt;=01/11/"&amp;$G$3,Vendas!$E$8:$E$2008,"&lt;=30/11/"&amp;$G$3,Vendas!$C$8:$C$2008,"Entregue")</f>
        <v>0</v>
      </c>
      <c r="Y22" s="162">
        <f>SUMIFS(Vendas!$K$8:$K$2008,Vendas!$H$8:$H$2008,$B22,Vendas!$E$8:$E$2008,"&gt;=01/12/"&amp;$G$3,Vendas!$E$8:$E$2008,"&lt;=31/12/"&amp;$G$3)+SUMIFS(Vendas!$P$8:$P$2008,Vendas!$M$8:$M$2008,$B22,Vendas!$E$8:$E$2008,"&gt;=01/12/"&amp;$G$3,Vendas!$E$8:$E$2008,"&lt;=31/12/"&amp;$G$3)+SUMIFS(Vendas!$U$8:$U$2008,Vendas!$R$8:$R$2008,$B22,Vendas!$E$8:$E$2008,"&gt;=01/12/"&amp;$G$3,Vendas!$E$8:$E$2008,"&lt;=31/12/"&amp;$G$3)+SUMIFS(Vendas!$Z$8:$Z$2008,Vendas!$W$8:$W$2008,$B22,Vendas!$E$8:$E$2008,"&gt;=01/12/"&amp;$G$3,Vendas!$E$8:$E$2008,"&lt;=31/12/"&amp;$G$3)+SUMIFS(Vendas!$AE$8:$AE$2008,Vendas!$AB$8:$AB$2008,$B22,Vendas!$E$8:$E$2008,"&gt;=01/12/"&amp;$G$3,Vendas!$E$8:$E$2008,"&lt;=31/12/"&amp;$G$3)+SUMIFS(Vendas!$AJ$8:$AJ$2008,Vendas!$AG$8:$AG$2008,$B22,Vendas!$E$8:$E$2008,"&gt;=01/12/"&amp;$G$3,Vendas!$E$8:$E$2008,"&lt;=31/12/"&amp;$G$3)+SUMIFS(Vendas!$AO$8:$AO$2008,Vendas!$AL$8:$AL$2008,$B22,Vendas!$E$8:$E$2008,"&gt;=01/12/"&amp;$G$3,Vendas!$E$8:$E$2008,"&lt;=31/12/"&amp;$G$3)+SUMIFS(Vendas!$AT$8:$AT$2008,Vendas!$AQ$8:$AQ$2008,$B22,Vendas!$E$8:$E$2008,"&gt;=01/12/"&amp;$G$3,Vendas!$E$8:$E$2008,"&lt;=31/12/"&amp;$G$3)</f>
        <v>0</v>
      </c>
      <c r="Z22" s="163">
        <f>SUMIFS(Vendas!$K$8:$K$2008,Vendas!$H$8:$H$2008,$B22,Vendas!$E$8:$E$2008,"&gt;=01/12/"&amp;$G$3,Vendas!$E$8:$E$2008,"&lt;=31/12/"&amp;$G$3,Vendas!$C$8:$C$2008,"Entregue")+SUMIFS(Vendas!$P$8:$P$2008,Vendas!$M$8:$M$2008,$B22,Vendas!$E$8:$E$2008,"&gt;=01/12/"&amp;$G$3,Vendas!$E$8:$E$2008,"&lt;=31/12/"&amp;$G$3,Vendas!$C$8:$C$2008,"Entregue")+SUMIFS(Vendas!$U$8:$U$2008,Vendas!$R$8:$R$2008,$B22,Vendas!$E$8:$E$2008,"&gt;=01/12/"&amp;$G$3,Vendas!$E$8:$E$2008,"&lt;=31/12/"&amp;$G$3,Vendas!$C$8:$C$2008,"Entregue")+SUMIFS(Vendas!$Z$8:$Z$2008,Vendas!$W$8:$W$2008,$B22,Vendas!$E$8:$E$2008,"&gt;=01/12/"&amp;$G$3,Vendas!$E$8:$E$2008,"&lt;=31/12/"&amp;$G$3,Vendas!$C$8:$C$2008,"Entregue")+SUMIFS(Vendas!$AE$8:$AE$2008,Vendas!$AB$8:$AB$2008,$B22,Vendas!$E$8:$E$2008,"&gt;=01/12/"&amp;$G$3,Vendas!$E$8:$E$2008,"&lt;=31/12/"&amp;$G$3,Vendas!$C$8:$C$2008,"Entregue")+SUMIFS(Vendas!$AJ$8:$AJ$2008,Vendas!$AG$8:$AG$2008,$B22,Vendas!$E$8:$E$2008,"&gt;=01/12/"&amp;$G$3,Vendas!$E$8:$E$2008,"&lt;=31/12/"&amp;$G$3,Vendas!$C$8:$C$2008,"Entregue")+SUMIFS(Vendas!$AO$8:$AO$2008,Vendas!$AL$8:$AL$2008,$B22,Vendas!$E$8:$E$2008,"&gt;=01/12/"&amp;$G$3,Vendas!$E$8:$E$2008,"&lt;=31/12/"&amp;$G$3,Vendas!$C$8:$C$2008,"Entregue")+SUMIFS(Vendas!$AT$8:$AT$2008,Vendas!$AQ$8:$AQ$2008,$B22,Vendas!$E$8:$E$2008,"&gt;=01/12/"&amp;$G$3,Vendas!$E$8:$E$2008,"&lt;=31/12/"&amp;$G$3,Vendas!$C$8:$C$2008,"Entregue")</f>
        <v>0</v>
      </c>
      <c r="AA22" s="132">
        <f t="shared" si="0"/>
        <v>0</v>
      </c>
      <c r="AB22" s="132">
        <f t="shared" si="0"/>
        <v>0</v>
      </c>
      <c r="AC22" s="67"/>
    </row>
    <row r="23" spans="2:29" ht="14.4" x14ac:dyDescent="0.3">
      <c r="B23" s="262" t="str">
        <f>IF(Cadastros!D24="","",Cadastros!D24)</f>
        <v>T004 - Travesseiro Multiflex 035 X 060</v>
      </c>
      <c r="C23" s="158">
        <f>SUMIFS(Vendas!$K$8:$K$2008,Vendas!$H$8:$H$2008,$B23,Vendas!$E$8:$E$2008,"&gt;=01/01/"&amp;$G$3,Vendas!$E$8:$E$2008,"&lt;=31/01/"&amp;$G$3)+SUMIFS(Vendas!$P$8:$P$2008,Vendas!$M$8:$M$2008,$B23,Vendas!$E$8:$E$2008,"&gt;=01/01/"&amp;$G$3,Vendas!$E$8:$E$2008,"&lt;=31/01/"&amp;$G$3)+SUMIFS(Vendas!$U$8:$U$2008,Vendas!$R$8:$R$2008,$B23,Vendas!$E$8:$E$2008,"&gt;=01/01/"&amp;$G$3,Vendas!$E$8:$E$2008,"&lt;=31/01/"&amp;$G$3)+SUMIFS(Vendas!$Z$8:$Z$2008,Vendas!$W$8:$W$2008,$B23,Vendas!$E$8:$E$2008,"&gt;=01/01/"&amp;$G$3,Vendas!$E$8:$E$2008,"&lt;=31/01/"&amp;$G$3)+SUMIFS(Vendas!$AE$8:$AE$2008,Vendas!$AB$8:$AB$2008,$B23,Vendas!$E$8:$E$2008,"&gt;=01/01/"&amp;$G$3,Vendas!$E$8:$E$2008,"&lt;=31/01/"&amp;$G$3)+SUMIFS(Vendas!$AJ$8:$AJ$2008,Vendas!$AG$8:$AG$2008,$B23,Vendas!$E$8:$E$2008,"&gt;=01/01/"&amp;$G$3,Vendas!$E$8:$E$2008,"&lt;=31/01/"&amp;$G$3)+SUMIFS(Vendas!$AO$8:$AO$2008,Vendas!$AL$8:$AL$2008,$B23,Vendas!$E$8:$E$2008,"&gt;=01/01/"&amp;$G$3,Vendas!$E$8:$E$2008,"&lt;=31/01/"&amp;$G$3)+SUMIFS(Vendas!$AT$8:$AT$2008,Vendas!$AQ$8:$AQ$2008,$B23,Vendas!$E$8:$E$2008,"&gt;=01/01/"&amp;$G$3,Vendas!$E$8:$E$2008,"&lt;=31/01/"&amp;$G$3)</f>
        <v>0</v>
      </c>
      <c r="D23" s="159">
        <f>SUMIFS(Vendas!$K$8:$K$2008,Vendas!$H$8:$H$2008,$B23,Vendas!$E$8:$E$2008,"&gt;=01/01/"&amp;$G$3,Vendas!$E$8:$E$2008,"&lt;=31/01/"&amp;$G$3,Vendas!$C$8:$C$2008,"Entregue")+SUMIFS(Vendas!$P$8:$P$2008,Vendas!$M$8:$M$2008,$B23,Vendas!$E$8:$E$2008,"&gt;=01/01/"&amp;$G$3,Vendas!$E$8:$E$2008,"&lt;=31/01/"&amp;$G$3,Vendas!$C$8:$C$2008,"Entregue")+SUMIFS(Vendas!$U$8:$U$2008,Vendas!$R$8:$R$2008,$B23,Vendas!$E$8:$E$2008,"&gt;=01/01/"&amp;$G$3,Vendas!$E$8:$E$2008,"&lt;=31/01/"&amp;$G$3,Vendas!$C$8:$C$2008,"Entregue")+SUMIFS(Vendas!$Z$8:$Z$2008,Vendas!$W$8:$W$2008,$B23,Vendas!$E$8:$E$2008,"&gt;=01/01/"&amp;$G$3,Vendas!$E$8:$E$2008,"&lt;=31/01/"&amp;$G$3,Vendas!$C$8:$C$2008,"Entregue")+SUMIFS(Vendas!$AE$8:$AE$2008,Vendas!$AB$8:$AB$2008,$B23,Vendas!$E$8:$E$2008,"&gt;=01/01/"&amp;$G$3,Vendas!$E$8:$E$2008,"&lt;=31/01/"&amp;$G$3,Vendas!$C$8:$C$2008,"Entregue")+SUMIFS(Vendas!$AJ$8:$AJ$2008,Vendas!$AG$8:$AG$2008,$B23,Vendas!$E$8:$E$2008,"&gt;=01/01/"&amp;$G$3,Vendas!$E$8:$E$2008,"&lt;=31/01/"&amp;$G$3,Vendas!$C$8:$C$2008,"Entregue")+SUMIFS(Vendas!$AO$8:$AO$2008,Vendas!$AL$8:$AL$2008,$B23,Vendas!$E$8:$E$2008,"&gt;=01/01/"&amp;$G$3,Vendas!$E$8:$E$2008,"&lt;=31/01/"&amp;$G$3,Vendas!$C$8:$C$2008,"Entregue")+SUMIFS(Vendas!$AT$8:$AT$2008,Vendas!$AQ$8:$AQ$2008,$B23,Vendas!$E$8:$E$2008,"&gt;=01/01/"&amp;$G$3,Vendas!$E$8:$E$2008,"&lt;=31/01/"&amp;$G$3,Vendas!$C$8:$C$2008,"Entregue")</f>
        <v>0</v>
      </c>
      <c r="E23" s="159">
        <f>SUMIFS(Vendas!$K$8:$K$2008,Vendas!$H$8:$H$2008,$B23,Vendas!$E$8:$E$2008,"&gt;=01/02/"&amp;$G$3,Vendas!$E$8:$E$2008,"&lt;=28/02/"&amp;$G$3)+SUMIFS(Vendas!$P$8:$P$2008,Vendas!$M$8:$M$2008,$B23,Vendas!$E$8:$E$2008,"&gt;=01/02/"&amp;$G$3,Vendas!$E$8:$E$2008,"&lt;=28/02/"&amp;$G$3)+SUMIFS(Vendas!$U$8:$U$2008,Vendas!$R$8:$R$2008,$B23,Vendas!$E$8:$E$2008,"&gt;=01/02/"&amp;$G$3,Vendas!$E$8:$E$2008,"&lt;=28/02/"&amp;$G$3)+SUMIFS(Vendas!$Z$8:$Z$2008,Vendas!$W$8:$W$2008,$B23,Vendas!$E$8:$E$2008,"&gt;=01/02/"&amp;$G$3,Vendas!$E$8:$E$2008,"&lt;=28/02/"&amp;$G$3)+SUMIFS(Vendas!$AE$8:$AE$2008,Vendas!$AB$8:$AB$2008,$B23,Vendas!$E$8:$E$2008,"&gt;=01/02/"&amp;$G$3,Vendas!$E$8:$E$2008,"&lt;=28/02/"&amp;$G$3)+SUMIFS(Vendas!$AJ$8:$AJ$2008,Vendas!$AG$8:$AG$2008,$B23,Vendas!$E$8:$E$2008,"&gt;=01/02/"&amp;$G$3,Vendas!$E$8:$E$2008,"&lt;=28/02/"&amp;$G$3)+SUMIFS(Vendas!$AO$8:$AO$2008,Vendas!$AL$8:$AL$2008,$B23,Vendas!$E$8:$E$2008,"&gt;=01/02/"&amp;$G$3,Vendas!$E$8:$E$2008,"&lt;=28/02/"&amp;$G$3)+SUMIFS(Vendas!$AT$8:$AT$2008,Vendas!$AQ$8:$AQ$2008,$B23,Vendas!$E$8:$E$2008,"&gt;=01/02/"&amp;$G$3,Vendas!$E$8:$E$2008,"&lt;=28/02/"&amp;$G$3)</f>
        <v>0</v>
      </c>
      <c r="F23" s="159">
        <f>SUMIFS(Vendas!$K$8:$K$2008,Vendas!$H$8:$H$2008,$B23,Vendas!$E$8:$E$2008,"&gt;=01/02/"&amp;$G$3,Vendas!$E$8:$E$2008,"&lt;=28/02/"&amp;$G$3,Vendas!$C$8:$C$2008,"Entregue")+SUMIFS(Vendas!$P$8:$P$2008,Vendas!$M$8:$M$2008,$B23,Vendas!$E$8:$E$2008,"&gt;=01/02/"&amp;$G$3,Vendas!$E$8:$E$2008,"&lt;=28/02/"&amp;$G$3,Vendas!$C$8:$C$2008,"Entregue")+SUMIFS(Vendas!$U$8:$U$2008,Vendas!$R$8:$R$2008,$B23,Vendas!$E$8:$E$2008,"&gt;=01/02/"&amp;$G$3,Vendas!$E$8:$E$2008,"&lt;=28/02/"&amp;$G$3,Vendas!$C$8:$C$2008,"Entregue")+SUMIFS(Vendas!$Z$8:$Z$2008,Vendas!$W$8:$W$2008,$B23,Vendas!$E$8:$E$2008,"&gt;=01/02/"&amp;$G$3,Vendas!$E$8:$E$2008,"&lt;=28/02/"&amp;$G$3,Vendas!$C$8:$C$2008,"Entregue")+SUMIFS(Vendas!$AE$8:$AE$2008,Vendas!$AB$8:$AB$2008,$B23,Vendas!$E$8:$E$2008,"&gt;=01/02/"&amp;$G$3,Vendas!$E$8:$E$2008,"&lt;=28/02/"&amp;$G$3,Vendas!$C$8:$C$2008,"Entregue")+SUMIFS(Vendas!$AJ$8:$AJ$2008,Vendas!$AG$8:$AG$2008,$B23,Vendas!$E$8:$E$2008,"&gt;=01/02/"&amp;$G$3,Vendas!$E$8:$E$2008,"&lt;=28/02/"&amp;$G$3,Vendas!$C$8:$C$2008,"Entregue")+SUMIFS(Vendas!$AO$8:$AO$2008,Vendas!$AL$8:$AL$2008,$B23,Vendas!$E$8:$E$2008,"&gt;=01/02/"&amp;$G$3,Vendas!$E$8:$E$2008,"&lt;=28/02/"&amp;$G$3,Vendas!$C$8:$C$2008,"Entregue")+SUMIFS(Vendas!$AT$8:$AT$2008,Vendas!$AQ$8:$AQ$2008,$B23,Vendas!$E$8:$E$2008,"&gt;=01/02/"&amp;$G$3,Vendas!$E$8:$E$2008,"&lt;=28/02/"&amp;$G$3,Vendas!$C$8:$C$2008,"Entregue")</f>
        <v>0</v>
      </c>
      <c r="G23" s="159">
        <f>SUMIFS(Vendas!$K$8:$K$2008,Vendas!$H$8:$H$2008,$B23,Vendas!$E$8:$E$2008,"&gt;=01/03/"&amp;$G$3,Vendas!$E$8:$E$2008,"&lt;=31/03/"&amp;$G$3)+SUMIFS(Vendas!$P$8:$P$2008,Vendas!$M$8:$M$2008,$B23,Vendas!$E$8:$E$2008,"&gt;=01/03/"&amp;$G$3,Vendas!$E$8:$E$2008,"&lt;=31/03/"&amp;$G$3)+SUMIFS(Vendas!$U$8:$U$2008,Vendas!$R$8:$R$2008,$B23,Vendas!$E$8:$E$2008,"&gt;=01/03/"&amp;$G$3,Vendas!$E$8:$E$2008,"&lt;=31/03/"&amp;$G$3)+SUMIFS(Vendas!$Z$8:$Z$2008,Vendas!$W$8:$W$2008,$B23,Vendas!$E$8:$E$2008,"&gt;=01/03/"&amp;$G$3,Vendas!$E$8:$E$2008,"&lt;=31/03/"&amp;$G$3)+SUMIFS(Vendas!$AE$8:$AE$2008,Vendas!$AB$8:$AB$2008,$B23,Vendas!$E$8:$E$2008,"&gt;=01/03/"&amp;$G$3,Vendas!$E$8:$E$2008,"&lt;=31/03/"&amp;$G$3)+SUMIFS(Vendas!$AJ$8:$AJ$2008,Vendas!$AG$8:$AG$2008,$B23,Vendas!$E$8:$E$2008,"&gt;=01/03/"&amp;$G$3,Vendas!$E$8:$E$2008,"&lt;=31/03/"&amp;$G$3)+SUMIFS(Vendas!$AO$8:$AO$2008,Vendas!$AL$8:$AL$2008,$B23,Vendas!$E$8:$E$2008,"&gt;=01/03/"&amp;$G$3,Vendas!$E$8:$E$2008,"&lt;=31/03/"&amp;$G$3)+SUMIFS(Vendas!$AT$8:$AT$2008,Vendas!$AQ$8:$AQ$2008,$B23,Vendas!$E$8:$E$2008,"&gt;=01/03/"&amp;$G$3,Vendas!$E$8:$E$2008,"&lt;=31/03/"&amp;$G$3)</f>
        <v>0</v>
      </c>
      <c r="H23" s="159">
        <f>SUMIFS(Vendas!$K$8:$K$2008,Vendas!$H$8:$H$2008,$B23,Vendas!$E$8:$E$2008,"&gt;=01/03/"&amp;$G$3,Vendas!$E$8:$E$2008,"&lt;=31/03/"&amp;$G$3,Vendas!$C$8:$C$2008,"Entregue")+SUMIFS(Vendas!$P$8:$P$2008,Vendas!$M$8:$M$2008,$B23,Vendas!$E$8:$E$2008,"&gt;=01/03/"&amp;$G$3,Vendas!$E$8:$E$2008,"&lt;=31/03/"&amp;$G$3,Vendas!$C$8:$C$2008,"Entregue")+SUMIFS(Vendas!$U$8:$U$2008,Vendas!$R$8:$R$2008,$B23,Vendas!$E$8:$E$2008,"&gt;=01/03/"&amp;$G$3,Vendas!$E$8:$E$2008,"&lt;=31/03/"&amp;$G$3,Vendas!$C$8:$C$2008,"Entregue")+SUMIFS(Vendas!$Z$8:$Z$2008,Vendas!$W$8:$W$2008,$B23,Vendas!$E$8:$E$2008,"&gt;=01/03/"&amp;$G$3,Vendas!$E$8:$E$2008,"&lt;=31/03/"&amp;$G$3,Vendas!$C$8:$C$2008,"Entregue")+SUMIFS(Vendas!$AE$8:$AE$2008,Vendas!$AB$8:$AB$2008,$B23,Vendas!$E$8:$E$2008,"&gt;=01/03/"&amp;$G$3,Vendas!$E$8:$E$2008,"&lt;=31/03/"&amp;$G$3,Vendas!$C$8:$C$2008,"Entregue")+SUMIFS(Vendas!$AJ$8:$AJ$2008,Vendas!$AG$8:$AG$2008,$B23,Vendas!$E$8:$E$2008,"&gt;=01/03/"&amp;$G$3,Vendas!$E$8:$E$2008,"&lt;=31/03/"&amp;$G$3,Vendas!$C$8:$C$2008,"Entregue")+SUMIFS(Vendas!$AO$8:$AO$2008,Vendas!$AL$8:$AL$2008,$B23,Vendas!$E$8:$E$2008,"&gt;=01/03/"&amp;$G$3,Vendas!$E$8:$E$2008,"&lt;=31/03/"&amp;$G$3,Vendas!$C$8:$C$2008,"Entregue")+SUMIFS(Vendas!$AT$8:$AT$2008,Vendas!$AQ$8:$AQ$2008,$B23,Vendas!$E$8:$E$2008,"&gt;=01/03/"&amp;$G$3,Vendas!$E$8:$E$2008,"&lt;=31/03/"&amp;$G$3,Vendas!$C$8:$C$2008,"Entregue")</f>
        <v>0</v>
      </c>
      <c r="I23" s="159">
        <f>SUMIFS(Vendas!$K$8:$K$2008,Vendas!$H$8:$H$2008,$B23,Vendas!$E$8:$E$2008,"&gt;=01/04/"&amp;$G$3,Vendas!$E$8:$E$2008,"&lt;=30/04/"&amp;$G$3)+SUMIFS(Vendas!$P$8:$P$2008,Vendas!$M$8:$M$2008,$B23,Vendas!$E$8:$E$2008,"&gt;=01/04/"&amp;$G$3,Vendas!$E$8:$E$2008,"&lt;=30/04/"&amp;$G$3)+SUMIFS(Vendas!$U$8:$U$2008,Vendas!$R$8:$R$2008,$B23,Vendas!$E$8:$E$2008,"&gt;=01/04/"&amp;$G$3,Vendas!$E$8:$E$2008,"&lt;=30/04/"&amp;$G$3)+SUMIFS(Vendas!$Z$8:$Z$2008,Vendas!$W$8:$W$2008,$B23,Vendas!$E$8:$E$2008,"&gt;=01/04/"&amp;$G$3,Vendas!$E$8:$E$2008,"&lt;=30/04/"&amp;$G$3)+SUMIFS(Vendas!$AE$8:$AE$2008,Vendas!$AB$8:$AB$2008,$B23,Vendas!$E$8:$E$2008,"&gt;=01/04/"&amp;$G$3,Vendas!$E$8:$E$2008,"&lt;=30/04/"&amp;$G$3)+SUMIFS(Vendas!$AJ$8:$AJ$2008,Vendas!$AG$8:$AG$2008,$B23,Vendas!$E$8:$E$2008,"&gt;=01/04/"&amp;$G$3,Vendas!$E$8:$E$2008,"&lt;=30/04/"&amp;$G$3)+SUMIFS(Vendas!$AO$8:$AO$2008,Vendas!$AL$8:$AL$2008,$B23,Vendas!$E$8:$E$2008,"&gt;=01/04/"&amp;$G$3,Vendas!$E$8:$E$2008,"&lt;=30/04/"&amp;$G$3)+SUMIFS(Vendas!$AT$8:$AT$2008,Vendas!$AQ$8:$AQ$2008,$B23,Vendas!$E$8:$E$2008,"&gt;=01/04/"&amp;$G$3,Vendas!$E$8:$E$2008,"&lt;=30/04/"&amp;$G$3)</f>
        <v>0</v>
      </c>
      <c r="J23" s="159">
        <f>SUMIFS(Vendas!$K$8:$K$2008,Vendas!$H$8:$H$2008,$B23,Vendas!$E$8:$E$2008,"&gt;=01/04/"&amp;$G$3,Vendas!$E$8:$E$2008,"&lt;=30/04/"&amp;$G$3,Vendas!$C$8:$C$2008,"Entregue")+SUMIFS(Vendas!$P$8:$P$2008,Vendas!$M$8:$M$2008,$B23,Vendas!$E$8:$E$2008,"&gt;=01/04/"&amp;$G$3,Vendas!$E$8:$E$2008,"&lt;=30/04/"&amp;$G$3,Vendas!$C$8:$C$2008,"Entregue")+SUMIFS(Vendas!$U$8:$U$2008,Vendas!$R$8:$R$2008,$B23,Vendas!$E$8:$E$2008,"&gt;=01/04/"&amp;$G$3,Vendas!$E$8:$E$2008,"&lt;=30/04/"&amp;$G$3,Vendas!$C$8:$C$2008,"Entregue")+SUMIFS(Vendas!$Z$8:$Z$2008,Vendas!$W$8:$W$2008,$B23,Vendas!$E$8:$E$2008,"&gt;=01/04/"&amp;$G$3,Vendas!$E$8:$E$2008,"&lt;=30/04/"&amp;$G$3,Vendas!$C$8:$C$2008,"Entregue")+SUMIFS(Vendas!$AE$8:$AE$2008,Vendas!$AB$8:$AB$2008,$B23,Vendas!$E$8:$E$2008,"&gt;=01/04/"&amp;$G$3,Vendas!$E$8:$E$2008,"&lt;=30/04/"&amp;$G$3,Vendas!$C$8:$C$2008,"Entregue")+SUMIFS(Vendas!$AJ$8:$AJ$2008,Vendas!$AG$8:$AG$2008,$B23,Vendas!$E$8:$E$2008,"&gt;=01/04/"&amp;$G$3,Vendas!$E$8:$E$2008,"&lt;=30/04/"&amp;$G$3,Vendas!$C$8:$C$2008,"Entregue")+SUMIFS(Vendas!$AO$8:$AO$2008,Vendas!$AL$8:$AL$2008,$B23,Vendas!$E$8:$E$2008,"&gt;=01/04/"&amp;$G$3,Vendas!$E$8:$E$2008,"&lt;=30/04/"&amp;$G$3,Vendas!$C$8:$C$2008,"Entregue")+SUMIFS(Vendas!$AT$8:$AT$2008,Vendas!$AQ$8:$AQ$2008,$B23,Vendas!$E$8:$E$2008,"&gt;=01/04/"&amp;$G$3,Vendas!$E$8:$E$2008,"&lt;=30/04/"&amp;$G$3,Vendas!$C$8:$C$2008,"Entregue")</f>
        <v>0</v>
      </c>
      <c r="K23" s="159">
        <f>SUMIFS(Vendas!$K$8:$K$2008,Vendas!$H$8:$H$2008,$B23,Vendas!$E$8:$E$2008,"&gt;=01/05/"&amp;$G$3,Vendas!$E$8:$E$2008,"&lt;=31/05/"&amp;$G$3)+SUMIFS(Vendas!$P$8:$P$2008,Vendas!$M$8:$M$2008,$B23,Vendas!$E$8:$E$2008,"&gt;=01/05/"&amp;$G$3,Vendas!$E$8:$E$2008,"&lt;=31/05/"&amp;$G$3)+SUMIFS(Vendas!$U$8:$U$2008,Vendas!$R$8:$R$2008,$B23,Vendas!$E$8:$E$2008,"&gt;=01/05/"&amp;$G$3,Vendas!$E$8:$E$2008,"&lt;=31/05/"&amp;$G$3)+SUMIFS(Vendas!$Z$8:$Z$2008,Vendas!$W$8:$W$2008,$B23,Vendas!$E$8:$E$2008,"&gt;=01/05/"&amp;$G$3,Vendas!$E$8:$E$2008,"&lt;=31/05/"&amp;$G$3)+SUMIFS(Vendas!$AE$8:$AE$2008,Vendas!$AB$8:$AB$2008,$B23,Vendas!$E$8:$E$2008,"&gt;=01/05/"&amp;$G$3,Vendas!$E$8:$E$2008,"&lt;=31/05/"&amp;$G$3)+SUMIFS(Vendas!$AJ$8:$AJ$2008,Vendas!$AG$8:$AG$2008,$B23,Vendas!$E$8:$E$2008,"&gt;=01/05/"&amp;$G$3,Vendas!$E$8:$E$2008,"&lt;=31/05/"&amp;$G$3)+SUMIFS(Vendas!$AO$8:$AO$2008,Vendas!$AL$8:$AL$2008,$B23,Vendas!$E$8:$E$2008,"&gt;=01/05/"&amp;$G$3,Vendas!$E$8:$E$2008,"&lt;=31/05/"&amp;$G$3)+SUMIFS(Vendas!$AT$8:$AT$2008,Vendas!$AQ$8:$AQ$2008,$B23,Vendas!$E$8:$E$2008,"&gt;=01/05/"&amp;$G$3,Vendas!$E$8:$E$2008,"&lt;=31/05/"&amp;$G$3)</f>
        <v>0</v>
      </c>
      <c r="L23" s="159">
        <f>SUMIFS(Vendas!$K$8:$K$2008,Vendas!$H$8:$H$2008,$B23,Vendas!$E$8:$E$2008,"&gt;=01/05/"&amp;$G$3,Vendas!$E$8:$E$2008,"&lt;=31/05/"&amp;$G$3,Vendas!$C$8:$C$2008,"Entregue")+SUMIFS(Vendas!$P$8:$P$2008,Vendas!$M$8:$M$2008,$B23,Vendas!$E$8:$E$2008,"&gt;=01/05/"&amp;$G$3,Vendas!$E$8:$E$2008,"&lt;=31/05/"&amp;$G$3,Vendas!$C$8:$C$2008,"Entregue")+SUMIFS(Vendas!$U$8:$U$2008,Vendas!$R$8:$R$2008,$B23,Vendas!$E$8:$E$2008,"&gt;=01/05/"&amp;$G$3,Vendas!$E$8:$E$2008,"&lt;=31/05/"&amp;$G$3,Vendas!$C$8:$C$2008,"Entregue")+SUMIFS(Vendas!$Z$8:$Z$2008,Vendas!$W$8:$W$2008,$B23,Vendas!$E$8:$E$2008,"&gt;=01/05/"&amp;$G$3,Vendas!$E$8:$E$2008,"&lt;=31/05/"&amp;$G$3,Vendas!$C$8:$C$2008,"Entregue")+SUMIFS(Vendas!$AE$8:$AE$2008,Vendas!$AB$8:$AB$2008,$B23,Vendas!$E$8:$E$2008,"&gt;=01/05/"&amp;$G$3,Vendas!$E$8:$E$2008,"&lt;=31/05/"&amp;$G$3,Vendas!$C$8:$C$2008,"Entregue")+SUMIFS(Vendas!$AJ$8:$AJ$2008,Vendas!$AG$8:$AG$2008,$B23,Vendas!$E$8:$E$2008,"&gt;=01/05/"&amp;$G$3,Vendas!$E$8:$E$2008,"&lt;=31/05/"&amp;$G$3,Vendas!$C$8:$C$2008,"Entregue")+SUMIFS(Vendas!$AO$8:$AO$2008,Vendas!$AL$8:$AL$2008,$B23,Vendas!$E$8:$E$2008,"&gt;=01/05/"&amp;$G$3,Vendas!$E$8:$E$2008,"&lt;=31/05/"&amp;$G$3,Vendas!$C$8:$C$2008,"Entregue")+SUMIFS(Vendas!$AT$8:$AT$2008,Vendas!$AQ$8:$AQ$2008,$B23,Vendas!$E$8:$E$2008,"&gt;=01/05/"&amp;$G$3,Vendas!$E$8:$E$2008,"&lt;=31/05/"&amp;$G$3,Vendas!$C$8:$C$2008,"Entregue")</f>
        <v>0</v>
      </c>
      <c r="M23" s="159">
        <f>SUMIFS(Vendas!$K$8:$K$2008,Vendas!$H$8:$H$2008,$B23,Vendas!$E$8:$E$2008,"&gt;=01/06/"&amp;$G$3,Vendas!$E$8:$E$2008,"&lt;=30/06/"&amp;$G$3)+SUMIFS(Vendas!$P$8:$P$2008,Vendas!$M$8:$M$2008,$B23,Vendas!$E$8:$E$2008,"&gt;=01/06/"&amp;$G$3,Vendas!$E$8:$E$2008,"&lt;=30/06/"&amp;$G$3)+SUMIFS(Vendas!$U$8:$U$2008,Vendas!$R$8:$R$2008,$B23,Vendas!$E$8:$E$2008,"&gt;=01/06/"&amp;$G$3,Vendas!$E$8:$E$2008,"&lt;=30/06/"&amp;$G$3)+SUMIFS(Vendas!$Z$8:$Z$2008,Vendas!$W$8:$W$2008,$B23,Vendas!$E$8:$E$2008,"&gt;=01/06/"&amp;$G$3,Vendas!$E$8:$E$2008,"&lt;=30/06/"&amp;$G$3)+SUMIFS(Vendas!$AE$8:$AE$2008,Vendas!$AB$8:$AB$2008,$B23,Vendas!$E$8:$E$2008,"&gt;=01/06/"&amp;$G$3,Vendas!$E$8:$E$2008,"&lt;=30/06/"&amp;$G$3)+SUMIFS(Vendas!$AJ$8:$AJ$2008,Vendas!$AG$8:$AG$2008,$B23,Vendas!$E$8:$E$2008,"&gt;=01/06/"&amp;$G$3,Vendas!$E$8:$E$2008,"&lt;=30/06/"&amp;$G$3)+SUMIFS(Vendas!$AO$8:$AO$2008,Vendas!$AL$8:$AL$2008,$B23,Vendas!$E$8:$E$2008,"&gt;=01/06/"&amp;$G$3,Vendas!$E$8:$E$2008,"&lt;=30/06/"&amp;$G$3)+SUMIFS(Vendas!$AT$8:$AT$2008,Vendas!$AQ$8:$AQ$2008,$B23,Vendas!$E$8:$E$2008,"&gt;=01/06/"&amp;$G$3,Vendas!$E$8:$E$2008,"&lt;=30/06/"&amp;$G$3)</f>
        <v>0</v>
      </c>
      <c r="N23" s="159">
        <f>SUMIFS(Vendas!$K$8:$K$2008,Vendas!$H$8:$H$2008,$B23,Vendas!$E$8:$E$2008,"&gt;=01/06/"&amp;$G$3,Vendas!$E$8:$E$2008,"&lt;=30/06/"&amp;$G$3,Vendas!$C$8:$C$2008,"Entregue")+SUMIFS(Vendas!$P$8:$P$2008,Vendas!$M$8:$M$2008,$B23,Vendas!$E$8:$E$2008,"&gt;=01/06/"&amp;$G$3,Vendas!$E$8:$E$2008,"&lt;=30/06/"&amp;$G$3,Vendas!$C$8:$C$2008,"Entregue")+SUMIFS(Vendas!$U$8:$U$2008,Vendas!$R$8:$R$2008,$B23,Vendas!$E$8:$E$2008,"&gt;=01/06/"&amp;$G$3,Vendas!$E$8:$E$2008,"&lt;=30/06/"&amp;$G$3,Vendas!$C$8:$C$2008,"Entregue")+SUMIFS(Vendas!$Z$8:$Z$2008,Vendas!$W$8:$W$2008,$B23,Vendas!$E$8:$E$2008,"&gt;=01/06/"&amp;$G$3,Vendas!$E$8:$E$2008,"&lt;=30/06/"&amp;$G$3,Vendas!$C$8:$C$2008,"Entregue")+SUMIFS(Vendas!$AE$8:$AE$2008,Vendas!$AB$8:$AB$2008,$B23,Vendas!$E$8:$E$2008,"&gt;=01/06/"&amp;$G$3,Vendas!$E$8:$E$2008,"&lt;=30/06/"&amp;$G$3,Vendas!$C$8:$C$2008,"Entregue")+SUMIFS(Vendas!$AJ$8:$AJ$2008,Vendas!$AG$8:$AG$2008,$B23,Vendas!$E$8:$E$2008,"&gt;=01/06/"&amp;$G$3,Vendas!$E$8:$E$2008,"&lt;=30/06/"&amp;$G$3,Vendas!$C$8:$C$2008,"Entregue")+SUMIFS(Vendas!$AO$8:$AO$2008,Vendas!$AL$8:$AL$2008,$B23,Vendas!$E$8:$E$2008,"&gt;=01/06/"&amp;$G$3,Vendas!$E$8:$E$2008,"&lt;=30/06/"&amp;$G$3,Vendas!$C$8:$C$2008,"Entregue")+SUMIFS(Vendas!$AT$8:$AT$2008,Vendas!$AQ$8:$AQ$2008,$B23,Vendas!$E$8:$E$2008,"&gt;=01/06/"&amp;$G$3,Vendas!$E$8:$E$2008,"&lt;=30/06/"&amp;$G$3,Vendas!$C$8:$C$2008,"Entregue")</f>
        <v>0</v>
      </c>
      <c r="O23" s="159">
        <f>SUMIFS(Vendas!$K$8:$K$2008,Vendas!$H$8:$H$2008,$B23,Vendas!$E$8:$E$2008,"&gt;=01/07/"&amp;$G$3,Vendas!$E$8:$E$2008,"&lt;=31/07/"&amp;$G$3)+SUMIFS(Vendas!$P$8:$P$2008,Vendas!$M$8:$M$2008,$B23,Vendas!$E$8:$E$2008,"&gt;=01/07/"&amp;$G$3,Vendas!$E$8:$E$2008,"&lt;=31/07/"&amp;$G$3)+SUMIFS(Vendas!$U$8:$U$2008,Vendas!$R$8:$R$2008,$B23,Vendas!$E$8:$E$2008,"&gt;=01/07/"&amp;$G$3,Vendas!$E$8:$E$2008,"&lt;=31/07/"&amp;$G$3)+SUMIFS(Vendas!$Z$8:$Z$2008,Vendas!$W$8:$W$2008,$B23,Vendas!$E$8:$E$2008,"&gt;=01/07/"&amp;$G$3,Vendas!$E$8:$E$2008,"&lt;=31/07/"&amp;$G$3)+SUMIFS(Vendas!$AE$8:$AE$2008,Vendas!$AB$8:$AB$2008,$B23,Vendas!$E$8:$E$2008,"&gt;=01/07/"&amp;$G$3,Vendas!$E$8:$E$2008,"&lt;=31/07/"&amp;$G$3)+SUMIFS(Vendas!$AJ$8:$AJ$2008,Vendas!$AG$8:$AG$2008,$B23,Vendas!$E$8:$E$2008,"&gt;=01/07/"&amp;$G$3,Vendas!$E$8:$E$2008,"&lt;=31/07/"&amp;$G$3)+SUMIFS(Vendas!$AO$8:$AO$2008,Vendas!$AL$8:$AL$2008,$B23,Vendas!$E$8:$E$2008,"&gt;=01/07/"&amp;$G$3,Vendas!$E$8:$E$2008,"&lt;=31/07/"&amp;$G$3)+SUMIFS(Vendas!$AT$8:$AT$2008,Vendas!$AQ$8:$AQ$2008,$B23,Vendas!$E$8:$E$2008,"&gt;=01/07/"&amp;$G$3,Vendas!$E$8:$E$2008,"&lt;=31/07/"&amp;$G$3)</f>
        <v>0</v>
      </c>
      <c r="P23" s="159">
        <f>SUMIFS(Vendas!$K$8:$K$2008,Vendas!$H$8:$H$2008,$B23,Vendas!$E$8:$E$2008,"&gt;=01/07/"&amp;$G$3,Vendas!$E$8:$E$2008,"&lt;=31/07/"&amp;$G$3,Vendas!$C$8:$C$2008,"Entregue")+SUMIFS(Vendas!$P$8:$P$2008,Vendas!$M$8:$M$2008,$B23,Vendas!$E$8:$E$2008,"&gt;=01/07/"&amp;$G$3,Vendas!$E$8:$E$2008,"&lt;=31/07/"&amp;$G$3,Vendas!$C$8:$C$2008,"Entregue")+SUMIFS(Vendas!$U$8:$U$2008,Vendas!$R$8:$R$2008,$B23,Vendas!$E$8:$E$2008,"&gt;=01/07/"&amp;$G$3,Vendas!$E$8:$E$2008,"&lt;=31/07/"&amp;$G$3,Vendas!$C$8:$C$2008,"Entregue")+SUMIFS(Vendas!$Z$8:$Z$2008,Vendas!$W$8:$W$2008,$B23,Vendas!$E$8:$E$2008,"&gt;=01/07/"&amp;$G$3,Vendas!$E$8:$E$2008,"&lt;=31/07/"&amp;$G$3,Vendas!$C$8:$C$2008,"Entregue")+SUMIFS(Vendas!$AE$8:$AE$2008,Vendas!$AB$8:$AB$2008,$B23,Vendas!$E$8:$E$2008,"&gt;=01/07/"&amp;$G$3,Vendas!$E$8:$E$2008,"&lt;=31/07/"&amp;$G$3,Vendas!$C$8:$C$2008,"Entregue")+SUMIFS(Vendas!$AJ$8:$AJ$2008,Vendas!$AG$8:$AG$2008,$B23,Vendas!$E$8:$E$2008,"&gt;=01/07/"&amp;$G$3,Vendas!$E$8:$E$2008,"&lt;=31/07/"&amp;$G$3,Vendas!$C$8:$C$2008,"Entregue")+SUMIFS(Vendas!$AO$8:$AO$2008,Vendas!$AL$8:$AL$2008,$B23,Vendas!$E$8:$E$2008,"&gt;=01/07/"&amp;$G$3,Vendas!$E$8:$E$2008,"&lt;=31/07/"&amp;$G$3,Vendas!$C$8:$C$2008,"Entregue")+SUMIFS(Vendas!$AT$8:$AT$2008,Vendas!$AQ$8:$AQ$2008,$B23,Vendas!$E$8:$E$2008,"&gt;=01/07/"&amp;$G$3,Vendas!$E$8:$E$2008,"&lt;=31/07/"&amp;$G$3,Vendas!$C$8:$C$2008,"Entregue")</f>
        <v>0</v>
      </c>
      <c r="Q23" s="159">
        <f>SUMIFS(Vendas!$K$8:$K$2008,Vendas!$H$8:$H$2008,$B23,Vendas!$E$8:$E$2008,"&gt;=01/08/"&amp;$G$3,Vendas!$E$8:$E$2008,"&lt;=31/08/"&amp;$G$3)+SUMIFS(Vendas!$P$8:$P$2008,Vendas!$M$8:$M$2008,$B23,Vendas!$E$8:$E$2008,"&gt;=01/08/"&amp;$G$3,Vendas!$E$8:$E$2008,"&lt;=31/08/"&amp;$G$3)+SUMIFS(Vendas!$U$8:$U$2008,Vendas!$R$8:$R$2008,$B23,Vendas!$E$8:$E$2008,"&gt;=01/08/"&amp;$G$3,Vendas!$E$8:$E$2008,"&lt;=31/08/"&amp;$G$3)+SUMIFS(Vendas!$Z$8:$Z$2008,Vendas!$W$8:$W$2008,$B23,Vendas!$E$8:$E$2008,"&gt;=01/08/"&amp;$G$3,Vendas!$E$8:$E$2008,"&lt;=31/08/"&amp;$G$3)+SUMIFS(Vendas!$AE$8:$AE$2008,Vendas!$AB$8:$AB$2008,$B23,Vendas!$E$8:$E$2008,"&gt;=01/08/"&amp;$G$3,Vendas!$E$8:$E$2008,"&lt;=31/08/"&amp;$G$3)+SUMIFS(Vendas!$AJ$8:$AJ$2008,Vendas!$AG$8:$AG$2008,$B23,Vendas!$E$8:$E$2008,"&gt;=01/08/"&amp;$G$3,Vendas!$E$8:$E$2008,"&lt;=31/08/"&amp;$G$3)+SUMIFS(Vendas!$AO$8:$AO$2008,Vendas!$AL$8:$AL$2008,$B23,Vendas!$E$8:$E$2008,"&gt;=01/08/"&amp;$G$3,Vendas!$E$8:$E$2008,"&lt;=31/08/"&amp;$G$3)+SUMIFS(Vendas!$AT$8:$AT$2008,Vendas!$AQ$8:$AQ$2008,$B23,Vendas!$E$8:$E$2008,"&gt;=01/08/"&amp;$G$3,Vendas!$E$8:$E$2008,"&lt;=31/08/"&amp;$G$3)</f>
        <v>0</v>
      </c>
      <c r="R23" s="159">
        <f>SUMIFS(Vendas!$K$8:$K$2008,Vendas!$H$8:$H$2008,$B23,Vendas!$E$8:$E$2008,"&gt;=01/08/"&amp;$G$3,Vendas!$E$8:$E$2008,"&lt;=31/08/"&amp;$G$3,Vendas!$C$8:$C$2008,"Entregue")+SUMIFS(Vendas!$P$8:$P$2008,Vendas!$M$8:$M$2008,$B23,Vendas!$E$8:$E$2008,"&gt;=01/08/"&amp;$G$3,Vendas!$E$8:$E$2008,"&lt;=31/08/"&amp;$G$3,Vendas!$C$8:$C$2008,"Entregue")+SUMIFS(Vendas!$U$8:$U$2008,Vendas!$R$8:$R$2008,$B23,Vendas!$E$8:$E$2008,"&gt;=01/08/"&amp;$G$3,Vendas!$E$8:$E$2008,"&lt;=31/08/"&amp;$G$3,Vendas!$C$8:$C$2008,"Entregue")+SUMIFS(Vendas!$Z$8:$Z$2008,Vendas!$W$8:$W$2008,$B23,Vendas!$E$8:$E$2008,"&gt;=01/08/"&amp;$G$3,Vendas!$E$8:$E$2008,"&lt;=31/08/"&amp;$G$3,Vendas!$C$8:$C$2008,"Entregue")+SUMIFS(Vendas!$AE$8:$AE$2008,Vendas!$AB$8:$AB$2008,$B23,Vendas!$E$8:$E$2008,"&gt;=01/08/"&amp;$G$3,Vendas!$E$8:$E$2008,"&lt;=31/08/"&amp;$G$3,Vendas!$C$8:$C$2008,"Entregue")+SUMIFS(Vendas!$AJ$8:$AJ$2008,Vendas!$AG$8:$AG$2008,$B23,Vendas!$E$8:$E$2008,"&gt;=01/08/"&amp;$G$3,Vendas!$E$8:$E$2008,"&lt;=31/08/"&amp;$G$3,Vendas!$C$8:$C$2008,"Entregue")+SUMIFS(Vendas!$AO$8:$AO$2008,Vendas!$AL$8:$AL$2008,$B23,Vendas!$E$8:$E$2008,"&gt;=01/08/"&amp;$G$3,Vendas!$E$8:$E$2008,"&lt;=31/08/"&amp;$G$3,Vendas!$C$8:$C$2008,"Entregue")+SUMIFS(Vendas!$AT$8:$AT$2008,Vendas!$AQ$8:$AQ$2008,$B23,Vendas!$E$8:$E$2008,"&gt;=01/08/"&amp;$G$3,Vendas!$E$8:$E$2008,"&lt;=31/08/"&amp;$G$3,Vendas!$C$8:$C$2008,"Entregue")</f>
        <v>0</v>
      </c>
      <c r="S23" s="159">
        <f>SUMIFS(Vendas!$K$8:$K$2008,Vendas!$H$8:$H$2008,$B23,Vendas!$E$8:$E$2008,"&gt;=01/09/"&amp;$G$3,Vendas!$E$8:$E$2008,"&lt;=30/09/"&amp;$G$3)+SUMIFS(Vendas!$P$8:$P$2008,Vendas!$M$8:$M$2008,$B23,Vendas!$E$8:$E$2008,"&gt;=01/09/"&amp;$G$3,Vendas!$E$8:$E$2008,"&lt;=30/09/"&amp;$G$3)+SUMIFS(Vendas!$U$8:$U$2008,Vendas!$R$8:$R$2008,$B23,Vendas!$E$8:$E$2008,"&gt;=01/09/"&amp;$G$3,Vendas!$E$8:$E$2008,"&lt;=30/09/"&amp;$G$3)+SUMIFS(Vendas!$Z$8:$Z$2008,Vendas!$W$8:$W$2008,$B23,Vendas!$E$8:$E$2008,"&gt;=01/09/"&amp;$G$3,Vendas!$E$8:$E$2008,"&lt;=30/09/"&amp;$G$3)+SUMIFS(Vendas!$AE$8:$AE$2008,Vendas!$AB$8:$AB$2008,$B23,Vendas!$E$8:$E$2008,"&gt;=01/09/"&amp;$G$3,Vendas!$E$8:$E$2008,"&lt;=30/09/"&amp;$G$3)+SUMIFS(Vendas!$AJ$8:$AJ$2008,Vendas!$AG$8:$AG$2008,$B23,Vendas!$E$8:$E$2008,"&gt;=01/09/"&amp;$G$3,Vendas!$E$8:$E$2008,"&lt;=30/09/"&amp;$G$3)+SUMIFS(Vendas!$AO$8:$AO$2008,Vendas!$AL$8:$AL$2008,$B23,Vendas!$E$8:$E$2008,"&gt;=01/09/"&amp;$G$3,Vendas!$E$8:$E$2008,"&lt;=30/09/"&amp;$G$3)+SUMIFS(Vendas!$AT$8:$AT$2008,Vendas!$AQ$8:$AQ$2008,$B23,Vendas!$E$8:$E$2008,"&gt;=01/09/"&amp;$G$3,Vendas!$E$8:$E$2008,"&lt;=30/09/"&amp;$G$3)</f>
        <v>0</v>
      </c>
      <c r="T23" s="159">
        <f>SUMIFS(Vendas!$K$8:$K$2008,Vendas!$H$8:$H$2008,$B23,Vendas!$E$8:$E$2008,"&gt;=01/09/"&amp;$G$3,Vendas!$E$8:$E$2008,"&lt;=30/09/"&amp;$G$3,Vendas!$C$8:$C$2008,"Entregue")+SUMIFS(Vendas!$P$8:$P$2008,Vendas!$M$8:$M$2008,$B23,Vendas!$E$8:$E$2008,"&gt;=01/09/"&amp;$G$3,Vendas!$E$8:$E$2008,"&lt;=30/09/"&amp;$G$3,Vendas!$C$8:$C$2008,"Entregue")+SUMIFS(Vendas!$U$8:$U$2008,Vendas!$R$8:$R$2008,$B23,Vendas!$E$8:$E$2008,"&gt;=01/09/"&amp;$G$3,Vendas!$E$8:$E$2008,"&lt;=30/09/"&amp;$G$3,Vendas!$C$8:$C$2008,"Entregue")+SUMIFS(Vendas!$Z$8:$Z$2008,Vendas!$W$8:$W$2008,$B23,Vendas!$E$8:$E$2008,"&gt;=01/09/"&amp;$G$3,Vendas!$E$8:$E$2008,"&lt;=30/09/"&amp;$G$3,Vendas!$C$8:$C$2008,"Entregue")+SUMIFS(Vendas!$AE$8:$AE$2008,Vendas!$AB$8:$AB$2008,$B23,Vendas!$E$8:$E$2008,"&gt;=01/09/"&amp;$G$3,Vendas!$E$8:$E$2008,"&lt;=30/09/"&amp;$G$3,Vendas!$C$8:$C$2008,"Entregue")+SUMIFS(Vendas!$AJ$8:$AJ$2008,Vendas!$AG$8:$AG$2008,$B23,Vendas!$E$8:$E$2008,"&gt;=01/09/"&amp;$G$3,Vendas!$E$8:$E$2008,"&lt;=30/09/"&amp;$G$3,Vendas!$C$8:$C$2008,"Entregue")+SUMIFS(Vendas!$AO$8:$AO$2008,Vendas!$AL$8:$AL$2008,$B23,Vendas!$E$8:$E$2008,"&gt;=01/09/"&amp;$G$3,Vendas!$E$8:$E$2008,"&lt;=30/09/"&amp;$G$3,Vendas!$C$8:$C$2008,"Entregue")+SUMIFS(Vendas!$AT$8:$AT$2008,Vendas!$AQ$8:$AQ$2008,$B23,Vendas!$E$8:$E$2008,"&gt;=01/09/"&amp;$G$3,Vendas!$E$8:$E$2008,"&lt;=30/09/"&amp;$G$3,Vendas!$C$8:$C$2008,"Entregue")</f>
        <v>0</v>
      </c>
      <c r="U23" s="159">
        <f>SUMIFS(Vendas!$K$8:$K$2008,Vendas!$H$8:$H$2008,$B23,Vendas!$E$8:$E$2008,"&gt;=01/10/"&amp;$G$3,Vendas!$E$8:$E$2008,"&lt;=31/10/"&amp;$G$3)+SUMIFS(Vendas!$P$8:$P$2008,Vendas!$M$8:$M$2008,$B23,Vendas!$E$8:$E$2008,"&gt;=01/10/"&amp;$G$3,Vendas!$E$8:$E$2008,"&lt;=31/10/"&amp;$G$3)+SUMIFS(Vendas!$U$8:$U$2008,Vendas!$R$8:$R$2008,$B23,Vendas!$E$8:$E$2008,"&gt;=01/10/"&amp;$G$3,Vendas!$E$8:$E$2008,"&lt;=31/10/"&amp;$G$3)+SUMIFS(Vendas!$Z$8:$Z$2008,Vendas!$W$8:$W$2008,$B23,Vendas!$E$8:$E$2008,"&gt;=01/10/"&amp;$G$3,Vendas!$E$8:$E$2008,"&lt;=31/10/"&amp;$G$3)+SUMIFS(Vendas!$AE$8:$AE$2008,Vendas!$AB$8:$AB$2008,$B23,Vendas!$E$8:$E$2008,"&gt;=01/10/"&amp;$G$3,Vendas!$E$8:$E$2008,"&lt;=31/10/"&amp;$G$3)+SUMIFS(Vendas!$AJ$8:$AJ$2008,Vendas!$AG$8:$AG$2008,$B23,Vendas!$E$8:$E$2008,"&gt;=01/10/"&amp;$G$3,Vendas!$E$8:$E$2008,"&lt;=31/10/"&amp;$G$3)+SUMIFS(Vendas!$AO$8:$AO$2008,Vendas!$AL$8:$AL$2008,$B23,Vendas!$E$8:$E$2008,"&gt;=01/10/"&amp;$G$3,Vendas!$E$8:$E$2008,"&lt;=31/10/"&amp;$G$3)+SUMIFS(Vendas!$AT$8:$AT$2008,Vendas!$AQ$8:$AQ$2008,$B23,Vendas!$E$8:$E$2008,"&gt;=01/10/"&amp;$G$3,Vendas!$E$8:$E$2008,"&lt;=31/10/"&amp;$G$3)</f>
        <v>0</v>
      </c>
      <c r="V23" s="159">
        <f>SUMIFS(Vendas!$K$8:$K$2008,Vendas!$H$8:$H$2008,$B23,Vendas!$E$8:$E$2008,"&gt;=01/10/"&amp;$G$3,Vendas!$E$8:$E$2008,"&lt;=31/10/"&amp;$G$3,Vendas!$C$8:$C$2008,"Entregue")+SUMIFS(Vendas!$P$8:$P$2008,Vendas!$M$8:$M$2008,$B23,Vendas!$E$8:$E$2008,"&gt;=01/10/"&amp;$G$3,Vendas!$E$8:$E$2008,"&lt;=31/10/"&amp;$G$3,Vendas!$C$8:$C$2008,"Entregue")+SUMIFS(Vendas!$U$8:$U$2008,Vendas!$R$8:$R$2008,$B23,Vendas!$E$8:$E$2008,"&gt;=01/10/"&amp;$G$3,Vendas!$E$8:$E$2008,"&lt;=31/10/"&amp;$G$3,Vendas!$C$8:$C$2008,"Entregue")+SUMIFS(Vendas!$Z$8:$Z$2008,Vendas!$W$8:$W$2008,$B23,Vendas!$E$8:$E$2008,"&gt;=01/10/"&amp;$G$3,Vendas!$E$8:$E$2008,"&lt;=31/10/"&amp;$G$3,Vendas!$C$8:$C$2008,"Entregue")+SUMIFS(Vendas!$AE$8:$AE$2008,Vendas!$AB$8:$AB$2008,$B23,Vendas!$E$8:$E$2008,"&gt;=01/10/"&amp;$G$3,Vendas!$E$8:$E$2008,"&lt;=31/10/"&amp;$G$3,Vendas!$C$8:$C$2008,"Entregue")+SUMIFS(Vendas!$AJ$8:$AJ$2008,Vendas!$AG$8:$AG$2008,$B23,Vendas!$E$8:$E$2008,"&gt;=01/10/"&amp;$G$3,Vendas!$E$8:$E$2008,"&lt;=31/10/"&amp;$G$3,Vendas!$C$8:$C$2008,"Entregue")+SUMIFS(Vendas!$AO$8:$AO$2008,Vendas!$AL$8:$AL$2008,$B23,Vendas!$E$8:$E$2008,"&gt;=01/10/"&amp;$G$3,Vendas!$E$8:$E$2008,"&lt;=31/10/"&amp;$G$3,Vendas!$C$8:$C$2008,"Entregue")+SUMIFS(Vendas!$AT$8:$AT$2008,Vendas!$AQ$8:$AQ$2008,$B23,Vendas!$E$8:$E$2008,"&gt;=01/10/"&amp;$G$3,Vendas!$E$8:$E$2008,"&lt;=31/10/"&amp;$G$3,Vendas!$C$8:$C$2008,"Entregue")</f>
        <v>0</v>
      </c>
      <c r="W23" s="159">
        <f>SUMIFS(Vendas!$K$8:$K$2008,Vendas!$H$8:$H$2008,$B23,Vendas!$E$8:$E$2008,"&gt;=01/11/"&amp;$G$3,Vendas!$E$8:$E$2008,"&lt;=30/11/"&amp;$G$3)+SUMIFS(Vendas!$P$8:$P$2008,Vendas!$M$8:$M$2008,$B23,Vendas!$E$8:$E$2008,"&gt;=01/11/"&amp;$G$3,Vendas!$E$8:$E$2008,"&lt;=30/11/"&amp;$G$3)+SUMIFS(Vendas!$U$8:$U$2008,Vendas!$R$8:$R$2008,$B23,Vendas!$E$8:$E$2008,"&gt;=01/11/"&amp;$G$3,Vendas!$E$8:$E$2008,"&lt;=30/11/"&amp;$G$3)+SUMIFS(Vendas!$Z$8:$Z$2008,Vendas!$W$8:$W$2008,$B23,Vendas!$E$8:$E$2008,"&gt;=01/11/"&amp;$G$3,Vendas!$E$8:$E$2008,"&lt;=30/11/"&amp;$G$3)+SUMIFS(Vendas!$AE$8:$AE$2008,Vendas!$AB$8:$AB$2008,$B23,Vendas!$E$8:$E$2008,"&gt;=01/11/"&amp;$G$3,Vendas!$E$8:$E$2008,"&lt;=30/11/"&amp;$G$3)+SUMIFS(Vendas!$AJ$8:$AJ$2008,Vendas!$AG$8:$AG$2008,$B23,Vendas!$E$8:$E$2008,"&gt;=01/11/"&amp;$G$3,Vendas!$E$8:$E$2008,"&lt;=30/11/"&amp;$G$3)+SUMIFS(Vendas!$AO$8:$AO$2008,Vendas!$AL$8:$AL$2008,$B23,Vendas!$E$8:$E$2008,"&gt;=01/11/"&amp;$G$3,Vendas!$E$8:$E$2008,"&lt;=30/11/"&amp;$G$3)+SUMIFS(Vendas!$AT$8:$AT$2008,Vendas!$AQ$8:$AQ$2008,$B23,Vendas!$E$8:$E$2008,"&gt;=01/11/"&amp;$G$3,Vendas!$E$8:$E$2008,"&lt;=30/11/"&amp;$G$3)</f>
        <v>0</v>
      </c>
      <c r="X23" s="159">
        <f>SUMIFS(Vendas!$K$8:$K$2008,Vendas!$H$8:$H$2008,$B23,Vendas!$E$8:$E$2008,"&gt;=01/11/"&amp;$G$3,Vendas!$E$8:$E$2008,"&lt;=30/11/"&amp;$G$3,Vendas!$C$8:$C$2008,"Entregue")+SUMIFS(Vendas!$P$8:$P$2008,Vendas!$M$8:$M$2008,$B23,Vendas!$E$8:$E$2008,"&gt;=01/11/"&amp;$G$3,Vendas!$E$8:$E$2008,"&lt;=30/11/"&amp;$G$3,Vendas!$C$8:$C$2008,"Entregue")+SUMIFS(Vendas!$U$8:$U$2008,Vendas!$R$8:$R$2008,$B23,Vendas!$E$8:$E$2008,"&gt;=01/11/"&amp;$G$3,Vendas!$E$8:$E$2008,"&lt;=30/11/"&amp;$G$3,Vendas!$C$8:$C$2008,"Entregue")+SUMIFS(Vendas!$Z$8:$Z$2008,Vendas!$W$8:$W$2008,$B23,Vendas!$E$8:$E$2008,"&gt;=01/11/"&amp;$G$3,Vendas!$E$8:$E$2008,"&lt;=30/11/"&amp;$G$3,Vendas!$C$8:$C$2008,"Entregue")+SUMIFS(Vendas!$AE$8:$AE$2008,Vendas!$AB$8:$AB$2008,$B23,Vendas!$E$8:$E$2008,"&gt;=01/11/"&amp;$G$3,Vendas!$E$8:$E$2008,"&lt;=30/11/"&amp;$G$3,Vendas!$C$8:$C$2008,"Entregue")+SUMIFS(Vendas!$AJ$8:$AJ$2008,Vendas!$AG$8:$AG$2008,$B23,Vendas!$E$8:$E$2008,"&gt;=01/11/"&amp;$G$3,Vendas!$E$8:$E$2008,"&lt;=30/11/"&amp;$G$3,Vendas!$C$8:$C$2008,"Entregue")+SUMIFS(Vendas!$AO$8:$AO$2008,Vendas!$AL$8:$AL$2008,$B23,Vendas!$E$8:$E$2008,"&gt;=01/11/"&amp;$G$3,Vendas!$E$8:$E$2008,"&lt;=30/11/"&amp;$G$3,Vendas!$C$8:$C$2008,"Entregue")+SUMIFS(Vendas!$AT$8:$AT$2008,Vendas!$AQ$8:$AQ$2008,$B23,Vendas!$E$8:$E$2008,"&gt;=01/11/"&amp;$G$3,Vendas!$E$8:$E$2008,"&lt;=30/11/"&amp;$G$3,Vendas!$C$8:$C$2008,"Entregue")</f>
        <v>0</v>
      </c>
      <c r="Y23" s="159">
        <f>SUMIFS(Vendas!$K$8:$K$2008,Vendas!$H$8:$H$2008,$B23,Vendas!$E$8:$E$2008,"&gt;=01/12/"&amp;$G$3,Vendas!$E$8:$E$2008,"&lt;=31/12/"&amp;$G$3)+SUMIFS(Vendas!$P$8:$P$2008,Vendas!$M$8:$M$2008,$B23,Vendas!$E$8:$E$2008,"&gt;=01/12/"&amp;$G$3,Vendas!$E$8:$E$2008,"&lt;=31/12/"&amp;$G$3)+SUMIFS(Vendas!$U$8:$U$2008,Vendas!$R$8:$R$2008,$B23,Vendas!$E$8:$E$2008,"&gt;=01/12/"&amp;$G$3,Vendas!$E$8:$E$2008,"&lt;=31/12/"&amp;$G$3)+SUMIFS(Vendas!$Z$8:$Z$2008,Vendas!$W$8:$W$2008,$B23,Vendas!$E$8:$E$2008,"&gt;=01/12/"&amp;$G$3,Vendas!$E$8:$E$2008,"&lt;=31/12/"&amp;$G$3)+SUMIFS(Vendas!$AE$8:$AE$2008,Vendas!$AB$8:$AB$2008,$B23,Vendas!$E$8:$E$2008,"&gt;=01/12/"&amp;$G$3,Vendas!$E$8:$E$2008,"&lt;=31/12/"&amp;$G$3)+SUMIFS(Vendas!$AJ$8:$AJ$2008,Vendas!$AG$8:$AG$2008,$B23,Vendas!$E$8:$E$2008,"&gt;=01/12/"&amp;$G$3,Vendas!$E$8:$E$2008,"&lt;=31/12/"&amp;$G$3)+SUMIFS(Vendas!$AO$8:$AO$2008,Vendas!$AL$8:$AL$2008,$B23,Vendas!$E$8:$E$2008,"&gt;=01/12/"&amp;$G$3,Vendas!$E$8:$E$2008,"&lt;=31/12/"&amp;$G$3)+SUMIFS(Vendas!$AT$8:$AT$2008,Vendas!$AQ$8:$AQ$2008,$B23,Vendas!$E$8:$E$2008,"&gt;=01/12/"&amp;$G$3,Vendas!$E$8:$E$2008,"&lt;=31/12/"&amp;$G$3)</f>
        <v>0</v>
      </c>
      <c r="Z23" s="160">
        <f>SUMIFS(Vendas!$K$8:$K$2008,Vendas!$H$8:$H$2008,$B23,Vendas!$E$8:$E$2008,"&gt;=01/12/"&amp;$G$3,Vendas!$E$8:$E$2008,"&lt;=31/12/"&amp;$G$3,Vendas!$C$8:$C$2008,"Entregue")+SUMIFS(Vendas!$P$8:$P$2008,Vendas!$M$8:$M$2008,$B23,Vendas!$E$8:$E$2008,"&gt;=01/12/"&amp;$G$3,Vendas!$E$8:$E$2008,"&lt;=31/12/"&amp;$G$3,Vendas!$C$8:$C$2008,"Entregue")+SUMIFS(Vendas!$U$8:$U$2008,Vendas!$R$8:$R$2008,$B23,Vendas!$E$8:$E$2008,"&gt;=01/12/"&amp;$G$3,Vendas!$E$8:$E$2008,"&lt;=31/12/"&amp;$G$3,Vendas!$C$8:$C$2008,"Entregue")+SUMIFS(Vendas!$Z$8:$Z$2008,Vendas!$W$8:$W$2008,$B23,Vendas!$E$8:$E$2008,"&gt;=01/12/"&amp;$G$3,Vendas!$E$8:$E$2008,"&lt;=31/12/"&amp;$G$3,Vendas!$C$8:$C$2008,"Entregue")+SUMIFS(Vendas!$AE$8:$AE$2008,Vendas!$AB$8:$AB$2008,$B23,Vendas!$E$8:$E$2008,"&gt;=01/12/"&amp;$G$3,Vendas!$E$8:$E$2008,"&lt;=31/12/"&amp;$G$3,Vendas!$C$8:$C$2008,"Entregue")+SUMIFS(Vendas!$AJ$8:$AJ$2008,Vendas!$AG$8:$AG$2008,$B23,Vendas!$E$8:$E$2008,"&gt;=01/12/"&amp;$G$3,Vendas!$E$8:$E$2008,"&lt;=31/12/"&amp;$G$3,Vendas!$C$8:$C$2008,"Entregue")+SUMIFS(Vendas!$AO$8:$AO$2008,Vendas!$AL$8:$AL$2008,$B23,Vendas!$E$8:$E$2008,"&gt;=01/12/"&amp;$G$3,Vendas!$E$8:$E$2008,"&lt;=31/12/"&amp;$G$3,Vendas!$C$8:$C$2008,"Entregue")+SUMIFS(Vendas!$AT$8:$AT$2008,Vendas!$AQ$8:$AQ$2008,$B23,Vendas!$E$8:$E$2008,"&gt;=01/12/"&amp;$G$3,Vendas!$E$8:$E$2008,"&lt;=31/12/"&amp;$G$3,Vendas!$C$8:$C$2008,"Entregue")</f>
        <v>0</v>
      </c>
      <c r="AA23" s="132">
        <f t="shared" si="0"/>
        <v>0</v>
      </c>
      <c r="AB23" s="132">
        <f t="shared" si="0"/>
        <v>0</v>
      </c>
      <c r="AC23" s="67"/>
    </row>
    <row r="24" spans="2:29" ht="14.4" x14ac:dyDescent="0.3">
      <c r="B24" s="262" t="str">
        <f>IF(Cadastros!D27="","",Cadastros!D27)</f>
        <v>10113 - Colchão Articulado Solt 089 X 198 X 019 cm MVQ</v>
      </c>
      <c r="C24" s="161">
        <f>SUMIFS(Vendas!$K$8:$K$2008,Vendas!$H$8:$H$2008,$B24,Vendas!$E$8:$E$2008,"&gt;=01/01/"&amp;$G$3,Vendas!$E$8:$E$2008,"&lt;=31/01/"&amp;$G$3)+SUMIFS(Vendas!$P$8:$P$2008,Vendas!$M$8:$M$2008,$B24,Vendas!$E$8:$E$2008,"&gt;=01/01/"&amp;$G$3,Vendas!$E$8:$E$2008,"&lt;=31/01/"&amp;$G$3)+SUMIFS(Vendas!$U$8:$U$2008,Vendas!$R$8:$R$2008,$B24,Vendas!$E$8:$E$2008,"&gt;=01/01/"&amp;$G$3,Vendas!$E$8:$E$2008,"&lt;=31/01/"&amp;$G$3)+SUMIFS(Vendas!$Z$8:$Z$2008,Vendas!$W$8:$W$2008,$B24,Vendas!$E$8:$E$2008,"&gt;=01/01/"&amp;$G$3,Vendas!$E$8:$E$2008,"&lt;=31/01/"&amp;$G$3)+SUMIFS(Vendas!$AE$8:$AE$2008,Vendas!$AB$8:$AB$2008,$B24,Vendas!$E$8:$E$2008,"&gt;=01/01/"&amp;$G$3,Vendas!$E$8:$E$2008,"&lt;=31/01/"&amp;$G$3)+SUMIFS(Vendas!$AJ$8:$AJ$2008,Vendas!$AG$8:$AG$2008,$B24,Vendas!$E$8:$E$2008,"&gt;=01/01/"&amp;$G$3,Vendas!$E$8:$E$2008,"&lt;=31/01/"&amp;$G$3)+SUMIFS(Vendas!$AO$8:$AO$2008,Vendas!$AL$8:$AL$2008,$B24,Vendas!$E$8:$E$2008,"&gt;=01/01/"&amp;$G$3,Vendas!$E$8:$E$2008,"&lt;=31/01/"&amp;$G$3)+SUMIFS(Vendas!$AT$8:$AT$2008,Vendas!$AQ$8:$AQ$2008,$B24,Vendas!$E$8:$E$2008,"&gt;=01/01/"&amp;$G$3,Vendas!$E$8:$E$2008,"&lt;=31/01/"&amp;$G$3)</f>
        <v>0</v>
      </c>
      <c r="D24" s="162">
        <f>SUMIFS(Vendas!$K$8:$K$2008,Vendas!$H$8:$H$2008,$B24,Vendas!$E$8:$E$2008,"&gt;=01/01/"&amp;$G$3,Vendas!$E$8:$E$2008,"&lt;=31/01/"&amp;$G$3,Vendas!$C$8:$C$2008,"Entregue")+SUMIFS(Vendas!$P$8:$P$2008,Vendas!$M$8:$M$2008,$B24,Vendas!$E$8:$E$2008,"&gt;=01/01/"&amp;$G$3,Vendas!$E$8:$E$2008,"&lt;=31/01/"&amp;$G$3,Vendas!$C$8:$C$2008,"Entregue")+SUMIFS(Vendas!$U$8:$U$2008,Vendas!$R$8:$R$2008,$B24,Vendas!$E$8:$E$2008,"&gt;=01/01/"&amp;$G$3,Vendas!$E$8:$E$2008,"&lt;=31/01/"&amp;$G$3,Vendas!$C$8:$C$2008,"Entregue")+SUMIFS(Vendas!$Z$8:$Z$2008,Vendas!$W$8:$W$2008,$B24,Vendas!$E$8:$E$2008,"&gt;=01/01/"&amp;$G$3,Vendas!$E$8:$E$2008,"&lt;=31/01/"&amp;$G$3,Vendas!$C$8:$C$2008,"Entregue")+SUMIFS(Vendas!$AE$8:$AE$2008,Vendas!$AB$8:$AB$2008,$B24,Vendas!$E$8:$E$2008,"&gt;=01/01/"&amp;$G$3,Vendas!$E$8:$E$2008,"&lt;=31/01/"&amp;$G$3,Vendas!$C$8:$C$2008,"Entregue")+SUMIFS(Vendas!$AJ$8:$AJ$2008,Vendas!$AG$8:$AG$2008,$B24,Vendas!$E$8:$E$2008,"&gt;=01/01/"&amp;$G$3,Vendas!$E$8:$E$2008,"&lt;=31/01/"&amp;$G$3,Vendas!$C$8:$C$2008,"Entregue")+SUMIFS(Vendas!$AO$8:$AO$2008,Vendas!$AL$8:$AL$2008,$B24,Vendas!$E$8:$E$2008,"&gt;=01/01/"&amp;$G$3,Vendas!$E$8:$E$2008,"&lt;=31/01/"&amp;$G$3,Vendas!$C$8:$C$2008,"Entregue")+SUMIFS(Vendas!$AT$8:$AT$2008,Vendas!$AQ$8:$AQ$2008,$B24,Vendas!$E$8:$E$2008,"&gt;=01/01/"&amp;$G$3,Vendas!$E$8:$E$2008,"&lt;=31/01/"&amp;$G$3,Vendas!$C$8:$C$2008,"Entregue")</f>
        <v>0</v>
      </c>
      <c r="E24" s="162">
        <f>SUMIFS(Vendas!$K$8:$K$2008,Vendas!$H$8:$H$2008,$B24,Vendas!$E$8:$E$2008,"&gt;=01/02/"&amp;$G$3,Vendas!$E$8:$E$2008,"&lt;=28/02/"&amp;$G$3)+SUMIFS(Vendas!$P$8:$P$2008,Vendas!$M$8:$M$2008,$B24,Vendas!$E$8:$E$2008,"&gt;=01/02/"&amp;$G$3,Vendas!$E$8:$E$2008,"&lt;=28/02/"&amp;$G$3)+SUMIFS(Vendas!$U$8:$U$2008,Vendas!$R$8:$R$2008,$B24,Vendas!$E$8:$E$2008,"&gt;=01/02/"&amp;$G$3,Vendas!$E$8:$E$2008,"&lt;=28/02/"&amp;$G$3)+SUMIFS(Vendas!$Z$8:$Z$2008,Vendas!$W$8:$W$2008,$B24,Vendas!$E$8:$E$2008,"&gt;=01/02/"&amp;$G$3,Vendas!$E$8:$E$2008,"&lt;=28/02/"&amp;$G$3)+SUMIFS(Vendas!$AE$8:$AE$2008,Vendas!$AB$8:$AB$2008,$B24,Vendas!$E$8:$E$2008,"&gt;=01/02/"&amp;$G$3,Vendas!$E$8:$E$2008,"&lt;=28/02/"&amp;$G$3)+SUMIFS(Vendas!$AJ$8:$AJ$2008,Vendas!$AG$8:$AG$2008,$B24,Vendas!$E$8:$E$2008,"&gt;=01/02/"&amp;$G$3,Vendas!$E$8:$E$2008,"&lt;=28/02/"&amp;$G$3)+SUMIFS(Vendas!$AO$8:$AO$2008,Vendas!$AL$8:$AL$2008,$B24,Vendas!$E$8:$E$2008,"&gt;=01/02/"&amp;$G$3,Vendas!$E$8:$E$2008,"&lt;=28/02/"&amp;$G$3)+SUMIFS(Vendas!$AT$8:$AT$2008,Vendas!$AQ$8:$AQ$2008,$B24,Vendas!$E$8:$E$2008,"&gt;=01/02/"&amp;$G$3,Vendas!$E$8:$E$2008,"&lt;=28/02/"&amp;$G$3)</f>
        <v>0</v>
      </c>
      <c r="F24" s="162">
        <f>SUMIFS(Vendas!$K$8:$K$2008,Vendas!$H$8:$H$2008,$B24,Vendas!$E$8:$E$2008,"&gt;=01/02/"&amp;$G$3,Vendas!$E$8:$E$2008,"&lt;=28/02/"&amp;$G$3,Vendas!$C$8:$C$2008,"Entregue")+SUMIFS(Vendas!$P$8:$P$2008,Vendas!$M$8:$M$2008,$B24,Vendas!$E$8:$E$2008,"&gt;=01/02/"&amp;$G$3,Vendas!$E$8:$E$2008,"&lt;=28/02/"&amp;$G$3,Vendas!$C$8:$C$2008,"Entregue")+SUMIFS(Vendas!$U$8:$U$2008,Vendas!$R$8:$R$2008,$B24,Vendas!$E$8:$E$2008,"&gt;=01/02/"&amp;$G$3,Vendas!$E$8:$E$2008,"&lt;=28/02/"&amp;$G$3,Vendas!$C$8:$C$2008,"Entregue")+SUMIFS(Vendas!$Z$8:$Z$2008,Vendas!$W$8:$W$2008,$B24,Vendas!$E$8:$E$2008,"&gt;=01/02/"&amp;$G$3,Vendas!$E$8:$E$2008,"&lt;=28/02/"&amp;$G$3,Vendas!$C$8:$C$2008,"Entregue")+SUMIFS(Vendas!$AE$8:$AE$2008,Vendas!$AB$8:$AB$2008,$B24,Vendas!$E$8:$E$2008,"&gt;=01/02/"&amp;$G$3,Vendas!$E$8:$E$2008,"&lt;=28/02/"&amp;$G$3,Vendas!$C$8:$C$2008,"Entregue")+SUMIFS(Vendas!$AJ$8:$AJ$2008,Vendas!$AG$8:$AG$2008,$B24,Vendas!$E$8:$E$2008,"&gt;=01/02/"&amp;$G$3,Vendas!$E$8:$E$2008,"&lt;=28/02/"&amp;$G$3,Vendas!$C$8:$C$2008,"Entregue")+SUMIFS(Vendas!$AO$8:$AO$2008,Vendas!$AL$8:$AL$2008,$B24,Vendas!$E$8:$E$2008,"&gt;=01/02/"&amp;$G$3,Vendas!$E$8:$E$2008,"&lt;=28/02/"&amp;$G$3,Vendas!$C$8:$C$2008,"Entregue")+SUMIFS(Vendas!$AT$8:$AT$2008,Vendas!$AQ$8:$AQ$2008,$B24,Vendas!$E$8:$E$2008,"&gt;=01/02/"&amp;$G$3,Vendas!$E$8:$E$2008,"&lt;=28/02/"&amp;$G$3,Vendas!$C$8:$C$2008,"Entregue")</f>
        <v>0</v>
      </c>
      <c r="G24" s="162">
        <f>SUMIFS(Vendas!$K$8:$K$2008,Vendas!$H$8:$H$2008,$B24,Vendas!$E$8:$E$2008,"&gt;=01/03/"&amp;$G$3,Vendas!$E$8:$E$2008,"&lt;=31/03/"&amp;$G$3)+SUMIFS(Vendas!$P$8:$P$2008,Vendas!$M$8:$M$2008,$B24,Vendas!$E$8:$E$2008,"&gt;=01/03/"&amp;$G$3,Vendas!$E$8:$E$2008,"&lt;=31/03/"&amp;$G$3)+SUMIFS(Vendas!$U$8:$U$2008,Vendas!$R$8:$R$2008,$B24,Vendas!$E$8:$E$2008,"&gt;=01/03/"&amp;$G$3,Vendas!$E$8:$E$2008,"&lt;=31/03/"&amp;$G$3)+SUMIFS(Vendas!$Z$8:$Z$2008,Vendas!$W$8:$W$2008,$B24,Vendas!$E$8:$E$2008,"&gt;=01/03/"&amp;$G$3,Vendas!$E$8:$E$2008,"&lt;=31/03/"&amp;$G$3)+SUMIFS(Vendas!$AE$8:$AE$2008,Vendas!$AB$8:$AB$2008,$B24,Vendas!$E$8:$E$2008,"&gt;=01/03/"&amp;$G$3,Vendas!$E$8:$E$2008,"&lt;=31/03/"&amp;$G$3)+SUMIFS(Vendas!$AJ$8:$AJ$2008,Vendas!$AG$8:$AG$2008,$B24,Vendas!$E$8:$E$2008,"&gt;=01/03/"&amp;$G$3,Vendas!$E$8:$E$2008,"&lt;=31/03/"&amp;$G$3)+SUMIFS(Vendas!$AO$8:$AO$2008,Vendas!$AL$8:$AL$2008,$B24,Vendas!$E$8:$E$2008,"&gt;=01/03/"&amp;$G$3,Vendas!$E$8:$E$2008,"&lt;=31/03/"&amp;$G$3)+SUMIFS(Vendas!$AT$8:$AT$2008,Vendas!$AQ$8:$AQ$2008,$B24,Vendas!$E$8:$E$2008,"&gt;=01/03/"&amp;$G$3,Vendas!$E$8:$E$2008,"&lt;=31/03/"&amp;$G$3)</f>
        <v>0</v>
      </c>
      <c r="H24" s="162">
        <f>SUMIFS(Vendas!$K$8:$K$2008,Vendas!$H$8:$H$2008,$B24,Vendas!$E$8:$E$2008,"&gt;=01/03/"&amp;$G$3,Vendas!$E$8:$E$2008,"&lt;=31/03/"&amp;$G$3,Vendas!$C$8:$C$2008,"Entregue")+SUMIFS(Vendas!$P$8:$P$2008,Vendas!$M$8:$M$2008,$B24,Vendas!$E$8:$E$2008,"&gt;=01/03/"&amp;$G$3,Vendas!$E$8:$E$2008,"&lt;=31/03/"&amp;$G$3,Vendas!$C$8:$C$2008,"Entregue")+SUMIFS(Vendas!$U$8:$U$2008,Vendas!$R$8:$R$2008,$B24,Vendas!$E$8:$E$2008,"&gt;=01/03/"&amp;$G$3,Vendas!$E$8:$E$2008,"&lt;=31/03/"&amp;$G$3,Vendas!$C$8:$C$2008,"Entregue")+SUMIFS(Vendas!$Z$8:$Z$2008,Vendas!$W$8:$W$2008,$B24,Vendas!$E$8:$E$2008,"&gt;=01/03/"&amp;$G$3,Vendas!$E$8:$E$2008,"&lt;=31/03/"&amp;$G$3,Vendas!$C$8:$C$2008,"Entregue")+SUMIFS(Vendas!$AE$8:$AE$2008,Vendas!$AB$8:$AB$2008,$B24,Vendas!$E$8:$E$2008,"&gt;=01/03/"&amp;$G$3,Vendas!$E$8:$E$2008,"&lt;=31/03/"&amp;$G$3,Vendas!$C$8:$C$2008,"Entregue")+SUMIFS(Vendas!$AJ$8:$AJ$2008,Vendas!$AG$8:$AG$2008,$B24,Vendas!$E$8:$E$2008,"&gt;=01/03/"&amp;$G$3,Vendas!$E$8:$E$2008,"&lt;=31/03/"&amp;$G$3,Vendas!$C$8:$C$2008,"Entregue")+SUMIFS(Vendas!$AO$8:$AO$2008,Vendas!$AL$8:$AL$2008,$B24,Vendas!$E$8:$E$2008,"&gt;=01/03/"&amp;$G$3,Vendas!$E$8:$E$2008,"&lt;=31/03/"&amp;$G$3,Vendas!$C$8:$C$2008,"Entregue")+SUMIFS(Vendas!$AT$8:$AT$2008,Vendas!$AQ$8:$AQ$2008,$B24,Vendas!$E$8:$E$2008,"&gt;=01/03/"&amp;$G$3,Vendas!$E$8:$E$2008,"&lt;=31/03/"&amp;$G$3,Vendas!$C$8:$C$2008,"Entregue")</f>
        <v>0</v>
      </c>
      <c r="I24" s="162">
        <f>SUMIFS(Vendas!$K$8:$K$2008,Vendas!$H$8:$H$2008,$B24,Vendas!$E$8:$E$2008,"&gt;=01/04/"&amp;$G$3,Vendas!$E$8:$E$2008,"&lt;=30/04/"&amp;$G$3)+SUMIFS(Vendas!$P$8:$P$2008,Vendas!$M$8:$M$2008,$B24,Vendas!$E$8:$E$2008,"&gt;=01/04/"&amp;$G$3,Vendas!$E$8:$E$2008,"&lt;=30/04/"&amp;$G$3)+SUMIFS(Vendas!$U$8:$U$2008,Vendas!$R$8:$R$2008,$B24,Vendas!$E$8:$E$2008,"&gt;=01/04/"&amp;$G$3,Vendas!$E$8:$E$2008,"&lt;=30/04/"&amp;$G$3)+SUMIFS(Vendas!$Z$8:$Z$2008,Vendas!$W$8:$W$2008,$B24,Vendas!$E$8:$E$2008,"&gt;=01/04/"&amp;$G$3,Vendas!$E$8:$E$2008,"&lt;=30/04/"&amp;$G$3)+SUMIFS(Vendas!$AE$8:$AE$2008,Vendas!$AB$8:$AB$2008,$B24,Vendas!$E$8:$E$2008,"&gt;=01/04/"&amp;$G$3,Vendas!$E$8:$E$2008,"&lt;=30/04/"&amp;$G$3)+SUMIFS(Vendas!$AJ$8:$AJ$2008,Vendas!$AG$8:$AG$2008,$B24,Vendas!$E$8:$E$2008,"&gt;=01/04/"&amp;$G$3,Vendas!$E$8:$E$2008,"&lt;=30/04/"&amp;$G$3)+SUMIFS(Vendas!$AO$8:$AO$2008,Vendas!$AL$8:$AL$2008,$B24,Vendas!$E$8:$E$2008,"&gt;=01/04/"&amp;$G$3,Vendas!$E$8:$E$2008,"&lt;=30/04/"&amp;$G$3)+SUMIFS(Vendas!$AT$8:$AT$2008,Vendas!$AQ$8:$AQ$2008,$B24,Vendas!$E$8:$E$2008,"&gt;=01/04/"&amp;$G$3,Vendas!$E$8:$E$2008,"&lt;=30/04/"&amp;$G$3)</f>
        <v>0</v>
      </c>
      <c r="J24" s="162">
        <f>SUMIFS(Vendas!$K$8:$K$2008,Vendas!$H$8:$H$2008,$B24,Vendas!$E$8:$E$2008,"&gt;=01/04/"&amp;$G$3,Vendas!$E$8:$E$2008,"&lt;=30/04/"&amp;$G$3,Vendas!$C$8:$C$2008,"Entregue")+SUMIFS(Vendas!$P$8:$P$2008,Vendas!$M$8:$M$2008,$B24,Vendas!$E$8:$E$2008,"&gt;=01/04/"&amp;$G$3,Vendas!$E$8:$E$2008,"&lt;=30/04/"&amp;$G$3,Vendas!$C$8:$C$2008,"Entregue")+SUMIFS(Vendas!$U$8:$U$2008,Vendas!$R$8:$R$2008,$B24,Vendas!$E$8:$E$2008,"&gt;=01/04/"&amp;$G$3,Vendas!$E$8:$E$2008,"&lt;=30/04/"&amp;$G$3,Vendas!$C$8:$C$2008,"Entregue")+SUMIFS(Vendas!$Z$8:$Z$2008,Vendas!$W$8:$W$2008,$B24,Vendas!$E$8:$E$2008,"&gt;=01/04/"&amp;$G$3,Vendas!$E$8:$E$2008,"&lt;=30/04/"&amp;$G$3,Vendas!$C$8:$C$2008,"Entregue")+SUMIFS(Vendas!$AE$8:$AE$2008,Vendas!$AB$8:$AB$2008,$B24,Vendas!$E$8:$E$2008,"&gt;=01/04/"&amp;$G$3,Vendas!$E$8:$E$2008,"&lt;=30/04/"&amp;$G$3,Vendas!$C$8:$C$2008,"Entregue")+SUMIFS(Vendas!$AJ$8:$AJ$2008,Vendas!$AG$8:$AG$2008,$B24,Vendas!$E$8:$E$2008,"&gt;=01/04/"&amp;$G$3,Vendas!$E$8:$E$2008,"&lt;=30/04/"&amp;$G$3,Vendas!$C$8:$C$2008,"Entregue")+SUMIFS(Vendas!$AO$8:$AO$2008,Vendas!$AL$8:$AL$2008,$B24,Vendas!$E$8:$E$2008,"&gt;=01/04/"&amp;$G$3,Vendas!$E$8:$E$2008,"&lt;=30/04/"&amp;$G$3,Vendas!$C$8:$C$2008,"Entregue")+SUMIFS(Vendas!$AT$8:$AT$2008,Vendas!$AQ$8:$AQ$2008,$B24,Vendas!$E$8:$E$2008,"&gt;=01/04/"&amp;$G$3,Vendas!$E$8:$E$2008,"&lt;=30/04/"&amp;$G$3,Vendas!$C$8:$C$2008,"Entregue")</f>
        <v>0</v>
      </c>
      <c r="K24" s="162">
        <f>SUMIFS(Vendas!$K$8:$K$2008,Vendas!$H$8:$H$2008,$B24,Vendas!$E$8:$E$2008,"&gt;=01/05/"&amp;$G$3,Vendas!$E$8:$E$2008,"&lt;=31/05/"&amp;$G$3)+SUMIFS(Vendas!$P$8:$P$2008,Vendas!$M$8:$M$2008,$B24,Vendas!$E$8:$E$2008,"&gt;=01/05/"&amp;$G$3,Vendas!$E$8:$E$2008,"&lt;=31/05/"&amp;$G$3)+SUMIFS(Vendas!$U$8:$U$2008,Vendas!$R$8:$R$2008,$B24,Vendas!$E$8:$E$2008,"&gt;=01/05/"&amp;$G$3,Vendas!$E$8:$E$2008,"&lt;=31/05/"&amp;$G$3)+SUMIFS(Vendas!$Z$8:$Z$2008,Vendas!$W$8:$W$2008,$B24,Vendas!$E$8:$E$2008,"&gt;=01/05/"&amp;$G$3,Vendas!$E$8:$E$2008,"&lt;=31/05/"&amp;$G$3)+SUMIFS(Vendas!$AE$8:$AE$2008,Vendas!$AB$8:$AB$2008,$B24,Vendas!$E$8:$E$2008,"&gt;=01/05/"&amp;$G$3,Vendas!$E$8:$E$2008,"&lt;=31/05/"&amp;$G$3)+SUMIFS(Vendas!$AJ$8:$AJ$2008,Vendas!$AG$8:$AG$2008,$B24,Vendas!$E$8:$E$2008,"&gt;=01/05/"&amp;$G$3,Vendas!$E$8:$E$2008,"&lt;=31/05/"&amp;$G$3)+SUMIFS(Vendas!$AO$8:$AO$2008,Vendas!$AL$8:$AL$2008,$B24,Vendas!$E$8:$E$2008,"&gt;=01/05/"&amp;$G$3,Vendas!$E$8:$E$2008,"&lt;=31/05/"&amp;$G$3)+SUMIFS(Vendas!$AT$8:$AT$2008,Vendas!$AQ$8:$AQ$2008,$B24,Vendas!$E$8:$E$2008,"&gt;=01/05/"&amp;$G$3,Vendas!$E$8:$E$2008,"&lt;=31/05/"&amp;$G$3)</f>
        <v>0</v>
      </c>
      <c r="L24" s="162">
        <f>SUMIFS(Vendas!$K$8:$K$2008,Vendas!$H$8:$H$2008,$B24,Vendas!$E$8:$E$2008,"&gt;=01/05/"&amp;$G$3,Vendas!$E$8:$E$2008,"&lt;=31/05/"&amp;$G$3,Vendas!$C$8:$C$2008,"Entregue")+SUMIFS(Vendas!$P$8:$P$2008,Vendas!$M$8:$M$2008,$B24,Vendas!$E$8:$E$2008,"&gt;=01/05/"&amp;$G$3,Vendas!$E$8:$E$2008,"&lt;=31/05/"&amp;$G$3,Vendas!$C$8:$C$2008,"Entregue")+SUMIFS(Vendas!$U$8:$U$2008,Vendas!$R$8:$R$2008,$B24,Vendas!$E$8:$E$2008,"&gt;=01/05/"&amp;$G$3,Vendas!$E$8:$E$2008,"&lt;=31/05/"&amp;$G$3,Vendas!$C$8:$C$2008,"Entregue")+SUMIFS(Vendas!$Z$8:$Z$2008,Vendas!$W$8:$W$2008,$B24,Vendas!$E$8:$E$2008,"&gt;=01/05/"&amp;$G$3,Vendas!$E$8:$E$2008,"&lt;=31/05/"&amp;$G$3,Vendas!$C$8:$C$2008,"Entregue")+SUMIFS(Vendas!$AE$8:$AE$2008,Vendas!$AB$8:$AB$2008,$B24,Vendas!$E$8:$E$2008,"&gt;=01/05/"&amp;$G$3,Vendas!$E$8:$E$2008,"&lt;=31/05/"&amp;$G$3,Vendas!$C$8:$C$2008,"Entregue")+SUMIFS(Vendas!$AJ$8:$AJ$2008,Vendas!$AG$8:$AG$2008,$B24,Vendas!$E$8:$E$2008,"&gt;=01/05/"&amp;$G$3,Vendas!$E$8:$E$2008,"&lt;=31/05/"&amp;$G$3,Vendas!$C$8:$C$2008,"Entregue")+SUMIFS(Vendas!$AO$8:$AO$2008,Vendas!$AL$8:$AL$2008,$B24,Vendas!$E$8:$E$2008,"&gt;=01/05/"&amp;$G$3,Vendas!$E$8:$E$2008,"&lt;=31/05/"&amp;$G$3,Vendas!$C$8:$C$2008,"Entregue")+SUMIFS(Vendas!$AT$8:$AT$2008,Vendas!$AQ$8:$AQ$2008,$B24,Vendas!$E$8:$E$2008,"&gt;=01/05/"&amp;$G$3,Vendas!$E$8:$E$2008,"&lt;=31/05/"&amp;$G$3,Vendas!$C$8:$C$2008,"Entregue")</f>
        <v>0</v>
      </c>
      <c r="M24" s="162">
        <f>SUMIFS(Vendas!$K$8:$K$2008,Vendas!$H$8:$H$2008,$B24,Vendas!$E$8:$E$2008,"&gt;=01/06/"&amp;$G$3,Vendas!$E$8:$E$2008,"&lt;=30/06/"&amp;$G$3)+SUMIFS(Vendas!$P$8:$P$2008,Vendas!$M$8:$M$2008,$B24,Vendas!$E$8:$E$2008,"&gt;=01/06/"&amp;$G$3,Vendas!$E$8:$E$2008,"&lt;=30/06/"&amp;$G$3)+SUMIFS(Vendas!$U$8:$U$2008,Vendas!$R$8:$R$2008,$B24,Vendas!$E$8:$E$2008,"&gt;=01/06/"&amp;$G$3,Vendas!$E$8:$E$2008,"&lt;=30/06/"&amp;$G$3)+SUMIFS(Vendas!$Z$8:$Z$2008,Vendas!$W$8:$W$2008,$B24,Vendas!$E$8:$E$2008,"&gt;=01/06/"&amp;$G$3,Vendas!$E$8:$E$2008,"&lt;=30/06/"&amp;$G$3)+SUMIFS(Vendas!$AE$8:$AE$2008,Vendas!$AB$8:$AB$2008,$B24,Vendas!$E$8:$E$2008,"&gt;=01/06/"&amp;$G$3,Vendas!$E$8:$E$2008,"&lt;=30/06/"&amp;$G$3)+SUMIFS(Vendas!$AJ$8:$AJ$2008,Vendas!$AG$8:$AG$2008,$B24,Vendas!$E$8:$E$2008,"&gt;=01/06/"&amp;$G$3,Vendas!$E$8:$E$2008,"&lt;=30/06/"&amp;$G$3)+SUMIFS(Vendas!$AO$8:$AO$2008,Vendas!$AL$8:$AL$2008,$B24,Vendas!$E$8:$E$2008,"&gt;=01/06/"&amp;$G$3,Vendas!$E$8:$E$2008,"&lt;=30/06/"&amp;$G$3)+SUMIFS(Vendas!$AT$8:$AT$2008,Vendas!$AQ$8:$AQ$2008,$B24,Vendas!$E$8:$E$2008,"&gt;=01/06/"&amp;$G$3,Vendas!$E$8:$E$2008,"&lt;=30/06/"&amp;$G$3)</f>
        <v>0</v>
      </c>
      <c r="N24" s="162">
        <f>SUMIFS(Vendas!$K$8:$K$2008,Vendas!$H$8:$H$2008,$B24,Vendas!$E$8:$E$2008,"&gt;=01/06/"&amp;$G$3,Vendas!$E$8:$E$2008,"&lt;=30/06/"&amp;$G$3,Vendas!$C$8:$C$2008,"Entregue")+SUMIFS(Vendas!$P$8:$P$2008,Vendas!$M$8:$M$2008,$B24,Vendas!$E$8:$E$2008,"&gt;=01/06/"&amp;$G$3,Vendas!$E$8:$E$2008,"&lt;=30/06/"&amp;$G$3,Vendas!$C$8:$C$2008,"Entregue")+SUMIFS(Vendas!$U$8:$U$2008,Vendas!$R$8:$R$2008,$B24,Vendas!$E$8:$E$2008,"&gt;=01/06/"&amp;$G$3,Vendas!$E$8:$E$2008,"&lt;=30/06/"&amp;$G$3,Vendas!$C$8:$C$2008,"Entregue")+SUMIFS(Vendas!$Z$8:$Z$2008,Vendas!$W$8:$W$2008,$B24,Vendas!$E$8:$E$2008,"&gt;=01/06/"&amp;$G$3,Vendas!$E$8:$E$2008,"&lt;=30/06/"&amp;$G$3,Vendas!$C$8:$C$2008,"Entregue")+SUMIFS(Vendas!$AE$8:$AE$2008,Vendas!$AB$8:$AB$2008,$B24,Vendas!$E$8:$E$2008,"&gt;=01/06/"&amp;$G$3,Vendas!$E$8:$E$2008,"&lt;=30/06/"&amp;$G$3,Vendas!$C$8:$C$2008,"Entregue")+SUMIFS(Vendas!$AJ$8:$AJ$2008,Vendas!$AG$8:$AG$2008,$B24,Vendas!$E$8:$E$2008,"&gt;=01/06/"&amp;$G$3,Vendas!$E$8:$E$2008,"&lt;=30/06/"&amp;$G$3,Vendas!$C$8:$C$2008,"Entregue")+SUMIFS(Vendas!$AO$8:$AO$2008,Vendas!$AL$8:$AL$2008,$B24,Vendas!$E$8:$E$2008,"&gt;=01/06/"&amp;$G$3,Vendas!$E$8:$E$2008,"&lt;=30/06/"&amp;$G$3,Vendas!$C$8:$C$2008,"Entregue")+SUMIFS(Vendas!$AT$8:$AT$2008,Vendas!$AQ$8:$AQ$2008,$B24,Vendas!$E$8:$E$2008,"&gt;=01/06/"&amp;$G$3,Vendas!$E$8:$E$2008,"&lt;=30/06/"&amp;$G$3,Vendas!$C$8:$C$2008,"Entregue")</f>
        <v>0</v>
      </c>
      <c r="O24" s="162">
        <f>SUMIFS(Vendas!$K$8:$K$2008,Vendas!$H$8:$H$2008,$B24,Vendas!$E$8:$E$2008,"&gt;=01/07/"&amp;$G$3,Vendas!$E$8:$E$2008,"&lt;=31/07/"&amp;$G$3)+SUMIFS(Vendas!$P$8:$P$2008,Vendas!$M$8:$M$2008,$B24,Vendas!$E$8:$E$2008,"&gt;=01/07/"&amp;$G$3,Vendas!$E$8:$E$2008,"&lt;=31/07/"&amp;$G$3)+SUMIFS(Vendas!$U$8:$U$2008,Vendas!$R$8:$R$2008,$B24,Vendas!$E$8:$E$2008,"&gt;=01/07/"&amp;$G$3,Vendas!$E$8:$E$2008,"&lt;=31/07/"&amp;$G$3)+SUMIFS(Vendas!$Z$8:$Z$2008,Vendas!$W$8:$W$2008,$B24,Vendas!$E$8:$E$2008,"&gt;=01/07/"&amp;$G$3,Vendas!$E$8:$E$2008,"&lt;=31/07/"&amp;$G$3)+SUMIFS(Vendas!$AE$8:$AE$2008,Vendas!$AB$8:$AB$2008,$B24,Vendas!$E$8:$E$2008,"&gt;=01/07/"&amp;$G$3,Vendas!$E$8:$E$2008,"&lt;=31/07/"&amp;$G$3)+SUMIFS(Vendas!$AJ$8:$AJ$2008,Vendas!$AG$8:$AG$2008,$B24,Vendas!$E$8:$E$2008,"&gt;=01/07/"&amp;$G$3,Vendas!$E$8:$E$2008,"&lt;=31/07/"&amp;$G$3)+SUMIFS(Vendas!$AO$8:$AO$2008,Vendas!$AL$8:$AL$2008,$B24,Vendas!$E$8:$E$2008,"&gt;=01/07/"&amp;$G$3,Vendas!$E$8:$E$2008,"&lt;=31/07/"&amp;$G$3)+SUMIFS(Vendas!$AT$8:$AT$2008,Vendas!$AQ$8:$AQ$2008,$B24,Vendas!$E$8:$E$2008,"&gt;=01/07/"&amp;$G$3,Vendas!$E$8:$E$2008,"&lt;=31/07/"&amp;$G$3)</f>
        <v>0</v>
      </c>
      <c r="P24" s="162">
        <f>SUMIFS(Vendas!$K$8:$K$2008,Vendas!$H$8:$H$2008,$B24,Vendas!$E$8:$E$2008,"&gt;=01/07/"&amp;$G$3,Vendas!$E$8:$E$2008,"&lt;=31/07/"&amp;$G$3,Vendas!$C$8:$C$2008,"Entregue")+SUMIFS(Vendas!$P$8:$P$2008,Vendas!$M$8:$M$2008,$B24,Vendas!$E$8:$E$2008,"&gt;=01/07/"&amp;$G$3,Vendas!$E$8:$E$2008,"&lt;=31/07/"&amp;$G$3,Vendas!$C$8:$C$2008,"Entregue")+SUMIFS(Vendas!$U$8:$U$2008,Vendas!$R$8:$R$2008,$B24,Vendas!$E$8:$E$2008,"&gt;=01/07/"&amp;$G$3,Vendas!$E$8:$E$2008,"&lt;=31/07/"&amp;$G$3,Vendas!$C$8:$C$2008,"Entregue")+SUMIFS(Vendas!$Z$8:$Z$2008,Vendas!$W$8:$W$2008,$B24,Vendas!$E$8:$E$2008,"&gt;=01/07/"&amp;$G$3,Vendas!$E$8:$E$2008,"&lt;=31/07/"&amp;$G$3,Vendas!$C$8:$C$2008,"Entregue")+SUMIFS(Vendas!$AE$8:$AE$2008,Vendas!$AB$8:$AB$2008,$B24,Vendas!$E$8:$E$2008,"&gt;=01/07/"&amp;$G$3,Vendas!$E$8:$E$2008,"&lt;=31/07/"&amp;$G$3,Vendas!$C$8:$C$2008,"Entregue")+SUMIFS(Vendas!$AJ$8:$AJ$2008,Vendas!$AG$8:$AG$2008,$B24,Vendas!$E$8:$E$2008,"&gt;=01/07/"&amp;$G$3,Vendas!$E$8:$E$2008,"&lt;=31/07/"&amp;$G$3,Vendas!$C$8:$C$2008,"Entregue")+SUMIFS(Vendas!$AO$8:$AO$2008,Vendas!$AL$8:$AL$2008,$B24,Vendas!$E$8:$E$2008,"&gt;=01/07/"&amp;$G$3,Vendas!$E$8:$E$2008,"&lt;=31/07/"&amp;$G$3,Vendas!$C$8:$C$2008,"Entregue")+SUMIFS(Vendas!$AT$8:$AT$2008,Vendas!$AQ$8:$AQ$2008,$B24,Vendas!$E$8:$E$2008,"&gt;=01/07/"&amp;$G$3,Vendas!$E$8:$E$2008,"&lt;=31/07/"&amp;$G$3,Vendas!$C$8:$C$2008,"Entregue")</f>
        <v>0</v>
      </c>
      <c r="Q24" s="162">
        <f>SUMIFS(Vendas!$K$8:$K$2008,Vendas!$H$8:$H$2008,$B24,Vendas!$E$8:$E$2008,"&gt;=01/08/"&amp;$G$3,Vendas!$E$8:$E$2008,"&lt;=31/08/"&amp;$G$3)+SUMIFS(Vendas!$P$8:$P$2008,Vendas!$M$8:$M$2008,$B24,Vendas!$E$8:$E$2008,"&gt;=01/08/"&amp;$G$3,Vendas!$E$8:$E$2008,"&lt;=31/08/"&amp;$G$3)+SUMIFS(Vendas!$U$8:$U$2008,Vendas!$R$8:$R$2008,$B24,Vendas!$E$8:$E$2008,"&gt;=01/08/"&amp;$G$3,Vendas!$E$8:$E$2008,"&lt;=31/08/"&amp;$G$3)+SUMIFS(Vendas!$Z$8:$Z$2008,Vendas!$W$8:$W$2008,$B24,Vendas!$E$8:$E$2008,"&gt;=01/08/"&amp;$G$3,Vendas!$E$8:$E$2008,"&lt;=31/08/"&amp;$G$3)+SUMIFS(Vendas!$AE$8:$AE$2008,Vendas!$AB$8:$AB$2008,$B24,Vendas!$E$8:$E$2008,"&gt;=01/08/"&amp;$G$3,Vendas!$E$8:$E$2008,"&lt;=31/08/"&amp;$G$3)+SUMIFS(Vendas!$AJ$8:$AJ$2008,Vendas!$AG$8:$AG$2008,$B24,Vendas!$E$8:$E$2008,"&gt;=01/08/"&amp;$G$3,Vendas!$E$8:$E$2008,"&lt;=31/08/"&amp;$G$3)+SUMIFS(Vendas!$AO$8:$AO$2008,Vendas!$AL$8:$AL$2008,$B24,Vendas!$E$8:$E$2008,"&gt;=01/08/"&amp;$G$3,Vendas!$E$8:$E$2008,"&lt;=31/08/"&amp;$G$3)+SUMIFS(Vendas!$AT$8:$AT$2008,Vendas!$AQ$8:$AQ$2008,$B24,Vendas!$E$8:$E$2008,"&gt;=01/08/"&amp;$G$3,Vendas!$E$8:$E$2008,"&lt;=31/08/"&amp;$G$3)</f>
        <v>0</v>
      </c>
      <c r="R24" s="162">
        <f>SUMIFS(Vendas!$K$8:$K$2008,Vendas!$H$8:$H$2008,$B24,Vendas!$E$8:$E$2008,"&gt;=01/08/"&amp;$G$3,Vendas!$E$8:$E$2008,"&lt;=31/08/"&amp;$G$3,Vendas!$C$8:$C$2008,"Entregue")+SUMIFS(Vendas!$P$8:$P$2008,Vendas!$M$8:$M$2008,$B24,Vendas!$E$8:$E$2008,"&gt;=01/08/"&amp;$G$3,Vendas!$E$8:$E$2008,"&lt;=31/08/"&amp;$G$3,Vendas!$C$8:$C$2008,"Entregue")+SUMIFS(Vendas!$U$8:$U$2008,Vendas!$R$8:$R$2008,$B24,Vendas!$E$8:$E$2008,"&gt;=01/08/"&amp;$G$3,Vendas!$E$8:$E$2008,"&lt;=31/08/"&amp;$G$3,Vendas!$C$8:$C$2008,"Entregue")+SUMIFS(Vendas!$Z$8:$Z$2008,Vendas!$W$8:$W$2008,$B24,Vendas!$E$8:$E$2008,"&gt;=01/08/"&amp;$G$3,Vendas!$E$8:$E$2008,"&lt;=31/08/"&amp;$G$3,Vendas!$C$8:$C$2008,"Entregue")+SUMIFS(Vendas!$AE$8:$AE$2008,Vendas!$AB$8:$AB$2008,$B24,Vendas!$E$8:$E$2008,"&gt;=01/08/"&amp;$G$3,Vendas!$E$8:$E$2008,"&lt;=31/08/"&amp;$G$3,Vendas!$C$8:$C$2008,"Entregue")+SUMIFS(Vendas!$AJ$8:$AJ$2008,Vendas!$AG$8:$AG$2008,$B24,Vendas!$E$8:$E$2008,"&gt;=01/08/"&amp;$G$3,Vendas!$E$8:$E$2008,"&lt;=31/08/"&amp;$G$3,Vendas!$C$8:$C$2008,"Entregue")+SUMIFS(Vendas!$AO$8:$AO$2008,Vendas!$AL$8:$AL$2008,$B24,Vendas!$E$8:$E$2008,"&gt;=01/08/"&amp;$G$3,Vendas!$E$8:$E$2008,"&lt;=31/08/"&amp;$G$3,Vendas!$C$8:$C$2008,"Entregue")+SUMIFS(Vendas!$AT$8:$AT$2008,Vendas!$AQ$8:$AQ$2008,$B24,Vendas!$E$8:$E$2008,"&gt;=01/08/"&amp;$G$3,Vendas!$E$8:$E$2008,"&lt;=31/08/"&amp;$G$3,Vendas!$C$8:$C$2008,"Entregue")</f>
        <v>0</v>
      </c>
      <c r="S24" s="162">
        <f>SUMIFS(Vendas!$K$8:$K$2008,Vendas!$H$8:$H$2008,$B24,Vendas!$E$8:$E$2008,"&gt;=01/09/"&amp;$G$3,Vendas!$E$8:$E$2008,"&lt;=30/09/"&amp;$G$3)+SUMIFS(Vendas!$P$8:$P$2008,Vendas!$M$8:$M$2008,$B24,Vendas!$E$8:$E$2008,"&gt;=01/09/"&amp;$G$3,Vendas!$E$8:$E$2008,"&lt;=30/09/"&amp;$G$3)+SUMIFS(Vendas!$U$8:$U$2008,Vendas!$R$8:$R$2008,$B24,Vendas!$E$8:$E$2008,"&gt;=01/09/"&amp;$G$3,Vendas!$E$8:$E$2008,"&lt;=30/09/"&amp;$G$3)+SUMIFS(Vendas!$Z$8:$Z$2008,Vendas!$W$8:$W$2008,$B24,Vendas!$E$8:$E$2008,"&gt;=01/09/"&amp;$G$3,Vendas!$E$8:$E$2008,"&lt;=30/09/"&amp;$G$3)+SUMIFS(Vendas!$AE$8:$AE$2008,Vendas!$AB$8:$AB$2008,$B24,Vendas!$E$8:$E$2008,"&gt;=01/09/"&amp;$G$3,Vendas!$E$8:$E$2008,"&lt;=30/09/"&amp;$G$3)+SUMIFS(Vendas!$AJ$8:$AJ$2008,Vendas!$AG$8:$AG$2008,$B24,Vendas!$E$8:$E$2008,"&gt;=01/09/"&amp;$G$3,Vendas!$E$8:$E$2008,"&lt;=30/09/"&amp;$G$3)+SUMIFS(Vendas!$AO$8:$AO$2008,Vendas!$AL$8:$AL$2008,$B24,Vendas!$E$8:$E$2008,"&gt;=01/09/"&amp;$G$3,Vendas!$E$8:$E$2008,"&lt;=30/09/"&amp;$G$3)+SUMIFS(Vendas!$AT$8:$AT$2008,Vendas!$AQ$8:$AQ$2008,$B24,Vendas!$E$8:$E$2008,"&gt;=01/09/"&amp;$G$3,Vendas!$E$8:$E$2008,"&lt;=30/09/"&amp;$G$3)</f>
        <v>0</v>
      </c>
      <c r="T24" s="162">
        <f>SUMIFS(Vendas!$K$8:$K$2008,Vendas!$H$8:$H$2008,$B24,Vendas!$E$8:$E$2008,"&gt;=01/09/"&amp;$G$3,Vendas!$E$8:$E$2008,"&lt;=30/09/"&amp;$G$3,Vendas!$C$8:$C$2008,"Entregue")+SUMIFS(Vendas!$P$8:$P$2008,Vendas!$M$8:$M$2008,$B24,Vendas!$E$8:$E$2008,"&gt;=01/09/"&amp;$G$3,Vendas!$E$8:$E$2008,"&lt;=30/09/"&amp;$G$3,Vendas!$C$8:$C$2008,"Entregue")+SUMIFS(Vendas!$U$8:$U$2008,Vendas!$R$8:$R$2008,$B24,Vendas!$E$8:$E$2008,"&gt;=01/09/"&amp;$G$3,Vendas!$E$8:$E$2008,"&lt;=30/09/"&amp;$G$3,Vendas!$C$8:$C$2008,"Entregue")+SUMIFS(Vendas!$Z$8:$Z$2008,Vendas!$W$8:$W$2008,$B24,Vendas!$E$8:$E$2008,"&gt;=01/09/"&amp;$G$3,Vendas!$E$8:$E$2008,"&lt;=30/09/"&amp;$G$3,Vendas!$C$8:$C$2008,"Entregue")+SUMIFS(Vendas!$AE$8:$AE$2008,Vendas!$AB$8:$AB$2008,$B24,Vendas!$E$8:$E$2008,"&gt;=01/09/"&amp;$G$3,Vendas!$E$8:$E$2008,"&lt;=30/09/"&amp;$G$3,Vendas!$C$8:$C$2008,"Entregue")+SUMIFS(Vendas!$AJ$8:$AJ$2008,Vendas!$AG$8:$AG$2008,$B24,Vendas!$E$8:$E$2008,"&gt;=01/09/"&amp;$G$3,Vendas!$E$8:$E$2008,"&lt;=30/09/"&amp;$G$3,Vendas!$C$8:$C$2008,"Entregue")+SUMIFS(Vendas!$AO$8:$AO$2008,Vendas!$AL$8:$AL$2008,$B24,Vendas!$E$8:$E$2008,"&gt;=01/09/"&amp;$G$3,Vendas!$E$8:$E$2008,"&lt;=30/09/"&amp;$G$3,Vendas!$C$8:$C$2008,"Entregue")+SUMIFS(Vendas!$AT$8:$AT$2008,Vendas!$AQ$8:$AQ$2008,$B24,Vendas!$E$8:$E$2008,"&gt;=01/09/"&amp;$G$3,Vendas!$E$8:$E$2008,"&lt;=30/09/"&amp;$G$3,Vendas!$C$8:$C$2008,"Entregue")</f>
        <v>0</v>
      </c>
      <c r="U24" s="162">
        <f>SUMIFS(Vendas!$K$8:$K$2008,Vendas!$H$8:$H$2008,$B24,Vendas!$E$8:$E$2008,"&gt;=01/10/"&amp;$G$3,Vendas!$E$8:$E$2008,"&lt;=31/10/"&amp;$G$3)+SUMIFS(Vendas!$P$8:$P$2008,Vendas!$M$8:$M$2008,$B24,Vendas!$E$8:$E$2008,"&gt;=01/10/"&amp;$G$3,Vendas!$E$8:$E$2008,"&lt;=31/10/"&amp;$G$3)+SUMIFS(Vendas!$U$8:$U$2008,Vendas!$R$8:$R$2008,$B24,Vendas!$E$8:$E$2008,"&gt;=01/10/"&amp;$G$3,Vendas!$E$8:$E$2008,"&lt;=31/10/"&amp;$G$3)+SUMIFS(Vendas!$Z$8:$Z$2008,Vendas!$W$8:$W$2008,$B24,Vendas!$E$8:$E$2008,"&gt;=01/10/"&amp;$G$3,Vendas!$E$8:$E$2008,"&lt;=31/10/"&amp;$G$3)+SUMIFS(Vendas!$AE$8:$AE$2008,Vendas!$AB$8:$AB$2008,$B24,Vendas!$E$8:$E$2008,"&gt;=01/10/"&amp;$G$3,Vendas!$E$8:$E$2008,"&lt;=31/10/"&amp;$G$3)+SUMIFS(Vendas!$AJ$8:$AJ$2008,Vendas!$AG$8:$AG$2008,$B24,Vendas!$E$8:$E$2008,"&gt;=01/10/"&amp;$G$3,Vendas!$E$8:$E$2008,"&lt;=31/10/"&amp;$G$3)+SUMIFS(Vendas!$AO$8:$AO$2008,Vendas!$AL$8:$AL$2008,$B24,Vendas!$E$8:$E$2008,"&gt;=01/10/"&amp;$G$3,Vendas!$E$8:$E$2008,"&lt;=31/10/"&amp;$G$3)+SUMIFS(Vendas!$AT$8:$AT$2008,Vendas!$AQ$8:$AQ$2008,$B24,Vendas!$E$8:$E$2008,"&gt;=01/10/"&amp;$G$3,Vendas!$E$8:$E$2008,"&lt;=31/10/"&amp;$G$3)</f>
        <v>0</v>
      </c>
      <c r="V24" s="162">
        <f>SUMIFS(Vendas!$K$8:$K$2008,Vendas!$H$8:$H$2008,$B24,Vendas!$E$8:$E$2008,"&gt;=01/10/"&amp;$G$3,Vendas!$E$8:$E$2008,"&lt;=31/10/"&amp;$G$3,Vendas!$C$8:$C$2008,"Entregue")+SUMIFS(Vendas!$P$8:$P$2008,Vendas!$M$8:$M$2008,$B24,Vendas!$E$8:$E$2008,"&gt;=01/10/"&amp;$G$3,Vendas!$E$8:$E$2008,"&lt;=31/10/"&amp;$G$3,Vendas!$C$8:$C$2008,"Entregue")+SUMIFS(Vendas!$U$8:$U$2008,Vendas!$R$8:$R$2008,$B24,Vendas!$E$8:$E$2008,"&gt;=01/10/"&amp;$G$3,Vendas!$E$8:$E$2008,"&lt;=31/10/"&amp;$G$3,Vendas!$C$8:$C$2008,"Entregue")+SUMIFS(Vendas!$Z$8:$Z$2008,Vendas!$W$8:$W$2008,$B24,Vendas!$E$8:$E$2008,"&gt;=01/10/"&amp;$G$3,Vendas!$E$8:$E$2008,"&lt;=31/10/"&amp;$G$3,Vendas!$C$8:$C$2008,"Entregue")+SUMIFS(Vendas!$AE$8:$AE$2008,Vendas!$AB$8:$AB$2008,$B24,Vendas!$E$8:$E$2008,"&gt;=01/10/"&amp;$G$3,Vendas!$E$8:$E$2008,"&lt;=31/10/"&amp;$G$3,Vendas!$C$8:$C$2008,"Entregue")+SUMIFS(Vendas!$AJ$8:$AJ$2008,Vendas!$AG$8:$AG$2008,$B24,Vendas!$E$8:$E$2008,"&gt;=01/10/"&amp;$G$3,Vendas!$E$8:$E$2008,"&lt;=31/10/"&amp;$G$3,Vendas!$C$8:$C$2008,"Entregue")+SUMIFS(Vendas!$AO$8:$AO$2008,Vendas!$AL$8:$AL$2008,$B24,Vendas!$E$8:$E$2008,"&gt;=01/10/"&amp;$G$3,Vendas!$E$8:$E$2008,"&lt;=31/10/"&amp;$G$3,Vendas!$C$8:$C$2008,"Entregue")+SUMIFS(Vendas!$AT$8:$AT$2008,Vendas!$AQ$8:$AQ$2008,$B24,Vendas!$E$8:$E$2008,"&gt;=01/10/"&amp;$G$3,Vendas!$E$8:$E$2008,"&lt;=31/10/"&amp;$G$3,Vendas!$C$8:$C$2008,"Entregue")</f>
        <v>0</v>
      </c>
      <c r="W24" s="162">
        <f>SUMIFS(Vendas!$K$8:$K$2008,Vendas!$H$8:$H$2008,$B24,Vendas!$E$8:$E$2008,"&gt;=01/11/"&amp;$G$3,Vendas!$E$8:$E$2008,"&lt;=30/11/"&amp;$G$3)+SUMIFS(Vendas!$P$8:$P$2008,Vendas!$M$8:$M$2008,$B24,Vendas!$E$8:$E$2008,"&gt;=01/11/"&amp;$G$3,Vendas!$E$8:$E$2008,"&lt;=30/11/"&amp;$G$3)+SUMIFS(Vendas!$U$8:$U$2008,Vendas!$R$8:$R$2008,$B24,Vendas!$E$8:$E$2008,"&gt;=01/11/"&amp;$G$3,Vendas!$E$8:$E$2008,"&lt;=30/11/"&amp;$G$3)+SUMIFS(Vendas!$Z$8:$Z$2008,Vendas!$W$8:$W$2008,$B24,Vendas!$E$8:$E$2008,"&gt;=01/11/"&amp;$G$3,Vendas!$E$8:$E$2008,"&lt;=30/11/"&amp;$G$3)+SUMIFS(Vendas!$AE$8:$AE$2008,Vendas!$AB$8:$AB$2008,$B24,Vendas!$E$8:$E$2008,"&gt;=01/11/"&amp;$G$3,Vendas!$E$8:$E$2008,"&lt;=30/11/"&amp;$G$3)+SUMIFS(Vendas!$AJ$8:$AJ$2008,Vendas!$AG$8:$AG$2008,$B24,Vendas!$E$8:$E$2008,"&gt;=01/11/"&amp;$G$3,Vendas!$E$8:$E$2008,"&lt;=30/11/"&amp;$G$3)+SUMIFS(Vendas!$AO$8:$AO$2008,Vendas!$AL$8:$AL$2008,$B24,Vendas!$E$8:$E$2008,"&gt;=01/11/"&amp;$G$3,Vendas!$E$8:$E$2008,"&lt;=30/11/"&amp;$G$3)+SUMIFS(Vendas!$AT$8:$AT$2008,Vendas!$AQ$8:$AQ$2008,$B24,Vendas!$E$8:$E$2008,"&gt;=01/11/"&amp;$G$3,Vendas!$E$8:$E$2008,"&lt;=30/11/"&amp;$G$3)</f>
        <v>0</v>
      </c>
      <c r="X24" s="162">
        <f>SUMIFS(Vendas!$K$8:$K$2008,Vendas!$H$8:$H$2008,$B24,Vendas!$E$8:$E$2008,"&gt;=01/11/"&amp;$G$3,Vendas!$E$8:$E$2008,"&lt;=30/11/"&amp;$G$3,Vendas!$C$8:$C$2008,"Entregue")+SUMIFS(Vendas!$P$8:$P$2008,Vendas!$M$8:$M$2008,$B24,Vendas!$E$8:$E$2008,"&gt;=01/11/"&amp;$G$3,Vendas!$E$8:$E$2008,"&lt;=30/11/"&amp;$G$3,Vendas!$C$8:$C$2008,"Entregue")+SUMIFS(Vendas!$U$8:$U$2008,Vendas!$R$8:$R$2008,$B24,Vendas!$E$8:$E$2008,"&gt;=01/11/"&amp;$G$3,Vendas!$E$8:$E$2008,"&lt;=30/11/"&amp;$G$3,Vendas!$C$8:$C$2008,"Entregue")+SUMIFS(Vendas!$Z$8:$Z$2008,Vendas!$W$8:$W$2008,$B24,Vendas!$E$8:$E$2008,"&gt;=01/11/"&amp;$G$3,Vendas!$E$8:$E$2008,"&lt;=30/11/"&amp;$G$3,Vendas!$C$8:$C$2008,"Entregue")+SUMIFS(Vendas!$AE$8:$AE$2008,Vendas!$AB$8:$AB$2008,$B24,Vendas!$E$8:$E$2008,"&gt;=01/11/"&amp;$G$3,Vendas!$E$8:$E$2008,"&lt;=30/11/"&amp;$G$3,Vendas!$C$8:$C$2008,"Entregue")+SUMIFS(Vendas!$AJ$8:$AJ$2008,Vendas!$AG$8:$AG$2008,$B24,Vendas!$E$8:$E$2008,"&gt;=01/11/"&amp;$G$3,Vendas!$E$8:$E$2008,"&lt;=30/11/"&amp;$G$3,Vendas!$C$8:$C$2008,"Entregue")+SUMIFS(Vendas!$AO$8:$AO$2008,Vendas!$AL$8:$AL$2008,$B24,Vendas!$E$8:$E$2008,"&gt;=01/11/"&amp;$G$3,Vendas!$E$8:$E$2008,"&lt;=30/11/"&amp;$G$3,Vendas!$C$8:$C$2008,"Entregue")+SUMIFS(Vendas!$AT$8:$AT$2008,Vendas!$AQ$8:$AQ$2008,$B24,Vendas!$E$8:$E$2008,"&gt;=01/11/"&amp;$G$3,Vendas!$E$8:$E$2008,"&lt;=30/11/"&amp;$G$3,Vendas!$C$8:$C$2008,"Entregue")</f>
        <v>0</v>
      </c>
      <c r="Y24" s="162">
        <f>SUMIFS(Vendas!$K$8:$K$2008,Vendas!$H$8:$H$2008,$B24,Vendas!$E$8:$E$2008,"&gt;=01/12/"&amp;$G$3,Vendas!$E$8:$E$2008,"&lt;=31/12/"&amp;$G$3)+SUMIFS(Vendas!$P$8:$P$2008,Vendas!$M$8:$M$2008,$B24,Vendas!$E$8:$E$2008,"&gt;=01/12/"&amp;$G$3,Vendas!$E$8:$E$2008,"&lt;=31/12/"&amp;$G$3)+SUMIFS(Vendas!$U$8:$U$2008,Vendas!$R$8:$R$2008,$B24,Vendas!$E$8:$E$2008,"&gt;=01/12/"&amp;$G$3,Vendas!$E$8:$E$2008,"&lt;=31/12/"&amp;$G$3)+SUMIFS(Vendas!$Z$8:$Z$2008,Vendas!$W$8:$W$2008,$B24,Vendas!$E$8:$E$2008,"&gt;=01/12/"&amp;$G$3,Vendas!$E$8:$E$2008,"&lt;=31/12/"&amp;$G$3)+SUMIFS(Vendas!$AE$8:$AE$2008,Vendas!$AB$8:$AB$2008,$B24,Vendas!$E$8:$E$2008,"&gt;=01/12/"&amp;$G$3,Vendas!$E$8:$E$2008,"&lt;=31/12/"&amp;$G$3)+SUMIFS(Vendas!$AJ$8:$AJ$2008,Vendas!$AG$8:$AG$2008,$B24,Vendas!$E$8:$E$2008,"&gt;=01/12/"&amp;$G$3,Vendas!$E$8:$E$2008,"&lt;=31/12/"&amp;$G$3)+SUMIFS(Vendas!$AO$8:$AO$2008,Vendas!$AL$8:$AL$2008,$B24,Vendas!$E$8:$E$2008,"&gt;=01/12/"&amp;$G$3,Vendas!$E$8:$E$2008,"&lt;=31/12/"&amp;$G$3)+SUMIFS(Vendas!$AT$8:$AT$2008,Vendas!$AQ$8:$AQ$2008,$B24,Vendas!$E$8:$E$2008,"&gt;=01/12/"&amp;$G$3,Vendas!$E$8:$E$2008,"&lt;=31/12/"&amp;$G$3)</f>
        <v>0</v>
      </c>
      <c r="Z24" s="163">
        <f>SUMIFS(Vendas!$K$8:$K$2008,Vendas!$H$8:$H$2008,$B24,Vendas!$E$8:$E$2008,"&gt;=01/12/"&amp;$G$3,Vendas!$E$8:$E$2008,"&lt;=31/12/"&amp;$G$3,Vendas!$C$8:$C$2008,"Entregue")+SUMIFS(Vendas!$P$8:$P$2008,Vendas!$M$8:$M$2008,$B24,Vendas!$E$8:$E$2008,"&gt;=01/12/"&amp;$G$3,Vendas!$E$8:$E$2008,"&lt;=31/12/"&amp;$G$3,Vendas!$C$8:$C$2008,"Entregue")+SUMIFS(Vendas!$U$8:$U$2008,Vendas!$R$8:$R$2008,$B24,Vendas!$E$8:$E$2008,"&gt;=01/12/"&amp;$G$3,Vendas!$E$8:$E$2008,"&lt;=31/12/"&amp;$G$3,Vendas!$C$8:$C$2008,"Entregue")+SUMIFS(Vendas!$Z$8:$Z$2008,Vendas!$W$8:$W$2008,$B24,Vendas!$E$8:$E$2008,"&gt;=01/12/"&amp;$G$3,Vendas!$E$8:$E$2008,"&lt;=31/12/"&amp;$G$3,Vendas!$C$8:$C$2008,"Entregue")+SUMIFS(Vendas!$AE$8:$AE$2008,Vendas!$AB$8:$AB$2008,$B24,Vendas!$E$8:$E$2008,"&gt;=01/12/"&amp;$G$3,Vendas!$E$8:$E$2008,"&lt;=31/12/"&amp;$G$3,Vendas!$C$8:$C$2008,"Entregue")+SUMIFS(Vendas!$AJ$8:$AJ$2008,Vendas!$AG$8:$AG$2008,$B24,Vendas!$E$8:$E$2008,"&gt;=01/12/"&amp;$G$3,Vendas!$E$8:$E$2008,"&lt;=31/12/"&amp;$G$3,Vendas!$C$8:$C$2008,"Entregue")+SUMIFS(Vendas!$AO$8:$AO$2008,Vendas!$AL$8:$AL$2008,$B24,Vendas!$E$8:$E$2008,"&gt;=01/12/"&amp;$G$3,Vendas!$E$8:$E$2008,"&lt;=31/12/"&amp;$G$3,Vendas!$C$8:$C$2008,"Entregue")+SUMIFS(Vendas!$AT$8:$AT$2008,Vendas!$AQ$8:$AQ$2008,$B24,Vendas!$E$8:$E$2008,"&gt;=01/12/"&amp;$G$3,Vendas!$E$8:$E$2008,"&lt;=31/12/"&amp;$G$3,Vendas!$C$8:$C$2008,"Entregue")</f>
        <v>0</v>
      </c>
      <c r="AA24" s="132">
        <f t="shared" si="0"/>
        <v>0</v>
      </c>
      <c r="AB24" s="132">
        <f t="shared" si="0"/>
        <v>0</v>
      </c>
      <c r="AC24" s="67"/>
    </row>
    <row r="25" spans="2:29" ht="14.4" x14ac:dyDescent="0.3">
      <c r="B25" s="262" t="str">
        <f>IF(Cadastros!D28="","",Cadastros!D28)</f>
        <v>10114 - Colchão Articulado Solt 096 X 203 X 019 cm MVQ</v>
      </c>
      <c r="C25" s="158">
        <f>SUMIFS(Vendas!$K$8:$K$2008,Vendas!$H$8:$H$2008,$B25,Vendas!$E$8:$E$2008,"&gt;=01/01/"&amp;$G$3,Vendas!$E$8:$E$2008,"&lt;=31/01/"&amp;$G$3)+SUMIFS(Vendas!$P$8:$P$2008,Vendas!$M$8:$M$2008,$B25,Vendas!$E$8:$E$2008,"&gt;=01/01/"&amp;$G$3,Vendas!$E$8:$E$2008,"&lt;=31/01/"&amp;$G$3)+SUMIFS(Vendas!$U$8:$U$2008,Vendas!$R$8:$R$2008,$B25,Vendas!$E$8:$E$2008,"&gt;=01/01/"&amp;$G$3,Vendas!$E$8:$E$2008,"&lt;=31/01/"&amp;$G$3)+SUMIFS(Vendas!$Z$8:$Z$2008,Vendas!$W$8:$W$2008,$B25,Vendas!$E$8:$E$2008,"&gt;=01/01/"&amp;$G$3,Vendas!$E$8:$E$2008,"&lt;=31/01/"&amp;$G$3)+SUMIFS(Vendas!$AE$8:$AE$2008,Vendas!$AB$8:$AB$2008,$B25,Vendas!$E$8:$E$2008,"&gt;=01/01/"&amp;$G$3,Vendas!$E$8:$E$2008,"&lt;=31/01/"&amp;$G$3)+SUMIFS(Vendas!$AJ$8:$AJ$2008,Vendas!$AG$8:$AG$2008,$B25,Vendas!$E$8:$E$2008,"&gt;=01/01/"&amp;$G$3,Vendas!$E$8:$E$2008,"&lt;=31/01/"&amp;$G$3)+SUMIFS(Vendas!$AO$8:$AO$2008,Vendas!$AL$8:$AL$2008,$B25,Vendas!$E$8:$E$2008,"&gt;=01/01/"&amp;$G$3,Vendas!$E$8:$E$2008,"&lt;=31/01/"&amp;$G$3)+SUMIFS(Vendas!$AT$8:$AT$2008,Vendas!$AQ$8:$AQ$2008,$B25,Vendas!$E$8:$E$2008,"&gt;=01/01/"&amp;$G$3,Vendas!$E$8:$E$2008,"&lt;=31/01/"&amp;$G$3)</f>
        <v>0</v>
      </c>
      <c r="D25" s="159">
        <f>SUMIFS(Vendas!$K$8:$K$2008,Vendas!$H$8:$H$2008,$B25,Vendas!$E$8:$E$2008,"&gt;=01/01/"&amp;$G$3,Vendas!$E$8:$E$2008,"&lt;=31/01/"&amp;$G$3,Vendas!$C$8:$C$2008,"Entregue")+SUMIFS(Vendas!$P$8:$P$2008,Vendas!$M$8:$M$2008,$B25,Vendas!$E$8:$E$2008,"&gt;=01/01/"&amp;$G$3,Vendas!$E$8:$E$2008,"&lt;=31/01/"&amp;$G$3,Vendas!$C$8:$C$2008,"Entregue")+SUMIFS(Vendas!$U$8:$U$2008,Vendas!$R$8:$R$2008,$B25,Vendas!$E$8:$E$2008,"&gt;=01/01/"&amp;$G$3,Vendas!$E$8:$E$2008,"&lt;=31/01/"&amp;$G$3,Vendas!$C$8:$C$2008,"Entregue")+SUMIFS(Vendas!$Z$8:$Z$2008,Vendas!$W$8:$W$2008,$B25,Vendas!$E$8:$E$2008,"&gt;=01/01/"&amp;$G$3,Vendas!$E$8:$E$2008,"&lt;=31/01/"&amp;$G$3,Vendas!$C$8:$C$2008,"Entregue")+SUMIFS(Vendas!$AE$8:$AE$2008,Vendas!$AB$8:$AB$2008,$B25,Vendas!$E$8:$E$2008,"&gt;=01/01/"&amp;$G$3,Vendas!$E$8:$E$2008,"&lt;=31/01/"&amp;$G$3,Vendas!$C$8:$C$2008,"Entregue")+SUMIFS(Vendas!$AJ$8:$AJ$2008,Vendas!$AG$8:$AG$2008,$B25,Vendas!$E$8:$E$2008,"&gt;=01/01/"&amp;$G$3,Vendas!$E$8:$E$2008,"&lt;=31/01/"&amp;$G$3,Vendas!$C$8:$C$2008,"Entregue")+SUMIFS(Vendas!$AO$8:$AO$2008,Vendas!$AL$8:$AL$2008,$B25,Vendas!$E$8:$E$2008,"&gt;=01/01/"&amp;$G$3,Vendas!$E$8:$E$2008,"&lt;=31/01/"&amp;$G$3,Vendas!$C$8:$C$2008,"Entregue")+SUMIFS(Vendas!$AT$8:$AT$2008,Vendas!$AQ$8:$AQ$2008,$B25,Vendas!$E$8:$E$2008,"&gt;=01/01/"&amp;$G$3,Vendas!$E$8:$E$2008,"&lt;=31/01/"&amp;$G$3,Vendas!$C$8:$C$2008,"Entregue")</f>
        <v>0</v>
      </c>
      <c r="E25" s="159">
        <f>SUMIFS(Vendas!$K$8:$K$2008,Vendas!$H$8:$H$2008,$B25,Vendas!$E$8:$E$2008,"&gt;=01/02/"&amp;$G$3,Vendas!$E$8:$E$2008,"&lt;=28/02/"&amp;$G$3)+SUMIFS(Vendas!$P$8:$P$2008,Vendas!$M$8:$M$2008,$B25,Vendas!$E$8:$E$2008,"&gt;=01/02/"&amp;$G$3,Vendas!$E$8:$E$2008,"&lt;=28/02/"&amp;$G$3)+SUMIFS(Vendas!$U$8:$U$2008,Vendas!$R$8:$R$2008,$B25,Vendas!$E$8:$E$2008,"&gt;=01/02/"&amp;$G$3,Vendas!$E$8:$E$2008,"&lt;=28/02/"&amp;$G$3)+SUMIFS(Vendas!$Z$8:$Z$2008,Vendas!$W$8:$W$2008,$B25,Vendas!$E$8:$E$2008,"&gt;=01/02/"&amp;$G$3,Vendas!$E$8:$E$2008,"&lt;=28/02/"&amp;$G$3)+SUMIFS(Vendas!$AE$8:$AE$2008,Vendas!$AB$8:$AB$2008,$B25,Vendas!$E$8:$E$2008,"&gt;=01/02/"&amp;$G$3,Vendas!$E$8:$E$2008,"&lt;=28/02/"&amp;$G$3)+SUMIFS(Vendas!$AJ$8:$AJ$2008,Vendas!$AG$8:$AG$2008,$B25,Vendas!$E$8:$E$2008,"&gt;=01/02/"&amp;$G$3,Vendas!$E$8:$E$2008,"&lt;=28/02/"&amp;$G$3)+SUMIFS(Vendas!$AO$8:$AO$2008,Vendas!$AL$8:$AL$2008,$B25,Vendas!$E$8:$E$2008,"&gt;=01/02/"&amp;$G$3,Vendas!$E$8:$E$2008,"&lt;=28/02/"&amp;$G$3)+SUMIFS(Vendas!$AT$8:$AT$2008,Vendas!$AQ$8:$AQ$2008,$B25,Vendas!$E$8:$E$2008,"&gt;=01/02/"&amp;$G$3,Vendas!$E$8:$E$2008,"&lt;=28/02/"&amp;$G$3)</f>
        <v>0</v>
      </c>
      <c r="F25" s="159">
        <f>SUMIFS(Vendas!$K$8:$K$2008,Vendas!$H$8:$H$2008,$B25,Vendas!$E$8:$E$2008,"&gt;=01/02/"&amp;$G$3,Vendas!$E$8:$E$2008,"&lt;=28/02/"&amp;$G$3,Vendas!$C$8:$C$2008,"Entregue")+SUMIFS(Vendas!$P$8:$P$2008,Vendas!$M$8:$M$2008,$B25,Vendas!$E$8:$E$2008,"&gt;=01/02/"&amp;$G$3,Vendas!$E$8:$E$2008,"&lt;=28/02/"&amp;$G$3,Vendas!$C$8:$C$2008,"Entregue")+SUMIFS(Vendas!$U$8:$U$2008,Vendas!$R$8:$R$2008,$B25,Vendas!$E$8:$E$2008,"&gt;=01/02/"&amp;$G$3,Vendas!$E$8:$E$2008,"&lt;=28/02/"&amp;$G$3,Vendas!$C$8:$C$2008,"Entregue")+SUMIFS(Vendas!$Z$8:$Z$2008,Vendas!$W$8:$W$2008,$B25,Vendas!$E$8:$E$2008,"&gt;=01/02/"&amp;$G$3,Vendas!$E$8:$E$2008,"&lt;=28/02/"&amp;$G$3,Vendas!$C$8:$C$2008,"Entregue")+SUMIFS(Vendas!$AE$8:$AE$2008,Vendas!$AB$8:$AB$2008,$B25,Vendas!$E$8:$E$2008,"&gt;=01/02/"&amp;$G$3,Vendas!$E$8:$E$2008,"&lt;=28/02/"&amp;$G$3,Vendas!$C$8:$C$2008,"Entregue")+SUMIFS(Vendas!$AJ$8:$AJ$2008,Vendas!$AG$8:$AG$2008,$B25,Vendas!$E$8:$E$2008,"&gt;=01/02/"&amp;$G$3,Vendas!$E$8:$E$2008,"&lt;=28/02/"&amp;$G$3,Vendas!$C$8:$C$2008,"Entregue")+SUMIFS(Vendas!$AO$8:$AO$2008,Vendas!$AL$8:$AL$2008,$B25,Vendas!$E$8:$E$2008,"&gt;=01/02/"&amp;$G$3,Vendas!$E$8:$E$2008,"&lt;=28/02/"&amp;$G$3,Vendas!$C$8:$C$2008,"Entregue")+SUMIFS(Vendas!$AT$8:$AT$2008,Vendas!$AQ$8:$AQ$2008,$B25,Vendas!$E$8:$E$2008,"&gt;=01/02/"&amp;$G$3,Vendas!$E$8:$E$2008,"&lt;=28/02/"&amp;$G$3,Vendas!$C$8:$C$2008,"Entregue")</f>
        <v>0</v>
      </c>
      <c r="G25" s="159">
        <f>SUMIFS(Vendas!$K$8:$K$2008,Vendas!$H$8:$H$2008,$B25,Vendas!$E$8:$E$2008,"&gt;=01/03/"&amp;$G$3,Vendas!$E$8:$E$2008,"&lt;=31/03/"&amp;$G$3)+SUMIFS(Vendas!$P$8:$P$2008,Vendas!$M$8:$M$2008,$B25,Vendas!$E$8:$E$2008,"&gt;=01/03/"&amp;$G$3,Vendas!$E$8:$E$2008,"&lt;=31/03/"&amp;$G$3)+SUMIFS(Vendas!$U$8:$U$2008,Vendas!$R$8:$R$2008,$B25,Vendas!$E$8:$E$2008,"&gt;=01/03/"&amp;$G$3,Vendas!$E$8:$E$2008,"&lt;=31/03/"&amp;$G$3)+SUMIFS(Vendas!$Z$8:$Z$2008,Vendas!$W$8:$W$2008,$B25,Vendas!$E$8:$E$2008,"&gt;=01/03/"&amp;$G$3,Vendas!$E$8:$E$2008,"&lt;=31/03/"&amp;$G$3)+SUMIFS(Vendas!$AE$8:$AE$2008,Vendas!$AB$8:$AB$2008,$B25,Vendas!$E$8:$E$2008,"&gt;=01/03/"&amp;$G$3,Vendas!$E$8:$E$2008,"&lt;=31/03/"&amp;$G$3)+SUMIFS(Vendas!$AJ$8:$AJ$2008,Vendas!$AG$8:$AG$2008,$B25,Vendas!$E$8:$E$2008,"&gt;=01/03/"&amp;$G$3,Vendas!$E$8:$E$2008,"&lt;=31/03/"&amp;$G$3)+SUMIFS(Vendas!$AO$8:$AO$2008,Vendas!$AL$8:$AL$2008,$B25,Vendas!$E$8:$E$2008,"&gt;=01/03/"&amp;$G$3,Vendas!$E$8:$E$2008,"&lt;=31/03/"&amp;$G$3)+SUMIFS(Vendas!$AT$8:$AT$2008,Vendas!$AQ$8:$AQ$2008,$B25,Vendas!$E$8:$E$2008,"&gt;=01/03/"&amp;$G$3,Vendas!$E$8:$E$2008,"&lt;=31/03/"&amp;$G$3)</f>
        <v>0</v>
      </c>
      <c r="H25" s="159">
        <f>SUMIFS(Vendas!$K$8:$K$2008,Vendas!$H$8:$H$2008,$B25,Vendas!$E$8:$E$2008,"&gt;=01/03/"&amp;$G$3,Vendas!$E$8:$E$2008,"&lt;=31/03/"&amp;$G$3,Vendas!$C$8:$C$2008,"Entregue")+SUMIFS(Vendas!$P$8:$P$2008,Vendas!$M$8:$M$2008,$B25,Vendas!$E$8:$E$2008,"&gt;=01/03/"&amp;$G$3,Vendas!$E$8:$E$2008,"&lt;=31/03/"&amp;$G$3,Vendas!$C$8:$C$2008,"Entregue")+SUMIFS(Vendas!$U$8:$U$2008,Vendas!$R$8:$R$2008,$B25,Vendas!$E$8:$E$2008,"&gt;=01/03/"&amp;$G$3,Vendas!$E$8:$E$2008,"&lt;=31/03/"&amp;$G$3,Vendas!$C$8:$C$2008,"Entregue")+SUMIFS(Vendas!$Z$8:$Z$2008,Vendas!$W$8:$W$2008,$B25,Vendas!$E$8:$E$2008,"&gt;=01/03/"&amp;$G$3,Vendas!$E$8:$E$2008,"&lt;=31/03/"&amp;$G$3,Vendas!$C$8:$C$2008,"Entregue")+SUMIFS(Vendas!$AE$8:$AE$2008,Vendas!$AB$8:$AB$2008,$B25,Vendas!$E$8:$E$2008,"&gt;=01/03/"&amp;$G$3,Vendas!$E$8:$E$2008,"&lt;=31/03/"&amp;$G$3,Vendas!$C$8:$C$2008,"Entregue")+SUMIFS(Vendas!$AJ$8:$AJ$2008,Vendas!$AG$8:$AG$2008,$B25,Vendas!$E$8:$E$2008,"&gt;=01/03/"&amp;$G$3,Vendas!$E$8:$E$2008,"&lt;=31/03/"&amp;$G$3,Vendas!$C$8:$C$2008,"Entregue")+SUMIFS(Vendas!$AO$8:$AO$2008,Vendas!$AL$8:$AL$2008,$B25,Vendas!$E$8:$E$2008,"&gt;=01/03/"&amp;$G$3,Vendas!$E$8:$E$2008,"&lt;=31/03/"&amp;$G$3,Vendas!$C$8:$C$2008,"Entregue")+SUMIFS(Vendas!$AT$8:$AT$2008,Vendas!$AQ$8:$AQ$2008,$B25,Vendas!$E$8:$E$2008,"&gt;=01/03/"&amp;$G$3,Vendas!$E$8:$E$2008,"&lt;=31/03/"&amp;$G$3,Vendas!$C$8:$C$2008,"Entregue")</f>
        <v>0</v>
      </c>
      <c r="I25" s="159">
        <f>SUMIFS(Vendas!$K$8:$K$2008,Vendas!$H$8:$H$2008,$B25,Vendas!$E$8:$E$2008,"&gt;=01/04/"&amp;$G$3,Vendas!$E$8:$E$2008,"&lt;=30/04/"&amp;$G$3)+SUMIFS(Vendas!$P$8:$P$2008,Vendas!$M$8:$M$2008,$B25,Vendas!$E$8:$E$2008,"&gt;=01/04/"&amp;$G$3,Vendas!$E$8:$E$2008,"&lt;=30/04/"&amp;$G$3)+SUMIFS(Vendas!$U$8:$U$2008,Vendas!$R$8:$R$2008,$B25,Vendas!$E$8:$E$2008,"&gt;=01/04/"&amp;$G$3,Vendas!$E$8:$E$2008,"&lt;=30/04/"&amp;$G$3)+SUMIFS(Vendas!$Z$8:$Z$2008,Vendas!$W$8:$W$2008,$B25,Vendas!$E$8:$E$2008,"&gt;=01/04/"&amp;$G$3,Vendas!$E$8:$E$2008,"&lt;=30/04/"&amp;$G$3)+SUMIFS(Vendas!$AE$8:$AE$2008,Vendas!$AB$8:$AB$2008,$B25,Vendas!$E$8:$E$2008,"&gt;=01/04/"&amp;$G$3,Vendas!$E$8:$E$2008,"&lt;=30/04/"&amp;$G$3)+SUMIFS(Vendas!$AJ$8:$AJ$2008,Vendas!$AG$8:$AG$2008,$B25,Vendas!$E$8:$E$2008,"&gt;=01/04/"&amp;$G$3,Vendas!$E$8:$E$2008,"&lt;=30/04/"&amp;$G$3)+SUMIFS(Vendas!$AO$8:$AO$2008,Vendas!$AL$8:$AL$2008,$B25,Vendas!$E$8:$E$2008,"&gt;=01/04/"&amp;$G$3,Vendas!$E$8:$E$2008,"&lt;=30/04/"&amp;$G$3)+SUMIFS(Vendas!$AT$8:$AT$2008,Vendas!$AQ$8:$AQ$2008,$B25,Vendas!$E$8:$E$2008,"&gt;=01/04/"&amp;$G$3,Vendas!$E$8:$E$2008,"&lt;=30/04/"&amp;$G$3)</f>
        <v>0</v>
      </c>
      <c r="J25" s="159">
        <f>SUMIFS(Vendas!$K$8:$K$2008,Vendas!$H$8:$H$2008,$B25,Vendas!$E$8:$E$2008,"&gt;=01/04/"&amp;$G$3,Vendas!$E$8:$E$2008,"&lt;=30/04/"&amp;$G$3,Vendas!$C$8:$C$2008,"Entregue")+SUMIFS(Vendas!$P$8:$P$2008,Vendas!$M$8:$M$2008,$B25,Vendas!$E$8:$E$2008,"&gt;=01/04/"&amp;$G$3,Vendas!$E$8:$E$2008,"&lt;=30/04/"&amp;$G$3,Vendas!$C$8:$C$2008,"Entregue")+SUMIFS(Vendas!$U$8:$U$2008,Vendas!$R$8:$R$2008,$B25,Vendas!$E$8:$E$2008,"&gt;=01/04/"&amp;$G$3,Vendas!$E$8:$E$2008,"&lt;=30/04/"&amp;$G$3,Vendas!$C$8:$C$2008,"Entregue")+SUMIFS(Vendas!$Z$8:$Z$2008,Vendas!$W$8:$W$2008,$B25,Vendas!$E$8:$E$2008,"&gt;=01/04/"&amp;$G$3,Vendas!$E$8:$E$2008,"&lt;=30/04/"&amp;$G$3,Vendas!$C$8:$C$2008,"Entregue")+SUMIFS(Vendas!$AE$8:$AE$2008,Vendas!$AB$8:$AB$2008,$B25,Vendas!$E$8:$E$2008,"&gt;=01/04/"&amp;$G$3,Vendas!$E$8:$E$2008,"&lt;=30/04/"&amp;$G$3,Vendas!$C$8:$C$2008,"Entregue")+SUMIFS(Vendas!$AJ$8:$AJ$2008,Vendas!$AG$8:$AG$2008,$B25,Vendas!$E$8:$E$2008,"&gt;=01/04/"&amp;$G$3,Vendas!$E$8:$E$2008,"&lt;=30/04/"&amp;$G$3,Vendas!$C$8:$C$2008,"Entregue")+SUMIFS(Vendas!$AO$8:$AO$2008,Vendas!$AL$8:$AL$2008,$B25,Vendas!$E$8:$E$2008,"&gt;=01/04/"&amp;$G$3,Vendas!$E$8:$E$2008,"&lt;=30/04/"&amp;$G$3,Vendas!$C$8:$C$2008,"Entregue")+SUMIFS(Vendas!$AT$8:$AT$2008,Vendas!$AQ$8:$AQ$2008,$B25,Vendas!$E$8:$E$2008,"&gt;=01/04/"&amp;$G$3,Vendas!$E$8:$E$2008,"&lt;=30/04/"&amp;$G$3,Vendas!$C$8:$C$2008,"Entregue")</f>
        <v>0</v>
      </c>
      <c r="K25" s="159">
        <f>SUMIFS(Vendas!$K$8:$K$2008,Vendas!$H$8:$H$2008,$B25,Vendas!$E$8:$E$2008,"&gt;=01/05/"&amp;$G$3,Vendas!$E$8:$E$2008,"&lt;=31/05/"&amp;$G$3)+SUMIFS(Vendas!$P$8:$P$2008,Vendas!$M$8:$M$2008,$B25,Vendas!$E$8:$E$2008,"&gt;=01/05/"&amp;$G$3,Vendas!$E$8:$E$2008,"&lt;=31/05/"&amp;$G$3)+SUMIFS(Vendas!$U$8:$U$2008,Vendas!$R$8:$R$2008,$B25,Vendas!$E$8:$E$2008,"&gt;=01/05/"&amp;$G$3,Vendas!$E$8:$E$2008,"&lt;=31/05/"&amp;$G$3)+SUMIFS(Vendas!$Z$8:$Z$2008,Vendas!$W$8:$W$2008,$B25,Vendas!$E$8:$E$2008,"&gt;=01/05/"&amp;$G$3,Vendas!$E$8:$E$2008,"&lt;=31/05/"&amp;$G$3)+SUMIFS(Vendas!$AE$8:$AE$2008,Vendas!$AB$8:$AB$2008,$B25,Vendas!$E$8:$E$2008,"&gt;=01/05/"&amp;$G$3,Vendas!$E$8:$E$2008,"&lt;=31/05/"&amp;$G$3)+SUMIFS(Vendas!$AJ$8:$AJ$2008,Vendas!$AG$8:$AG$2008,$B25,Vendas!$E$8:$E$2008,"&gt;=01/05/"&amp;$G$3,Vendas!$E$8:$E$2008,"&lt;=31/05/"&amp;$G$3)+SUMIFS(Vendas!$AO$8:$AO$2008,Vendas!$AL$8:$AL$2008,$B25,Vendas!$E$8:$E$2008,"&gt;=01/05/"&amp;$G$3,Vendas!$E$8:$E$2008,"&lt;=31/05/"&amp;$G$3)+SUMIFS(Vendas!$AT$8:$AT$2008,Vendas!$AQ$8:$AQ$2008,$B25,Vendas!$E$8:$E$2008,"&gt;=01/05/"&amp;$G$3,Vendas!$E$8:$E$2008,"&lt;=31/05/"&amp;$G$3)</f>
        <v>0</v>
      </c>
      <c r="L25" s="159">
        <f>SUMIFS(Vendas!$K$8:$K$2008,Vendas!$H$8:$H$2008,$B25,Vendas!$E$8:$E$2008,"&gt;=01/05/"&amp;$G$3,Vendas!$E$8:$E$2008,"&lt;=31/05/"&amp;$G$3,Vendas!$C$8:$C$2008,"Entregue")+SUMIFS(Vendas!$P$8:$P$2008,Vendas!$M$8:$M$2008,$B25,Vendas!$E$8:$E$2008,"&gt;=01/05/"&amp;$G$3,Vendas!$E$8:$E$2008,"&lt;=31/05/"&amp;$G$3,Vendas!$C$8:$C$2008,"Entregue")+SUMIFS(Vendas!$U$8:$U$2008,Vendas!$R$8:$R$2008,$B25,Vendas!$E$8:$E$2008,"&gt;=01/05/"&amp;$G$3,Vendas!$E$8:$E$2008,"&lt;=31/05/"&amp;$G$3,Vendas!$C$8:$C$2008,"Entregue")+SUMIFS(Vendas!$Z$8:$Z$2008,Vendas!$W$8:$W$2008,$B25,Vendas!$E$8:$E$2008,"&gt;=01/05/"&amp;$G$3,Vendas!$E$8:$E$2008,"&lt;=31/05/"&amp;$G$3,Vendas!$C$8:$C$2008,"Entregue")+SUMIFS(Vendas!$AE$8:$AE$2008,Vendas!$AB$8:$AB$2008,$B25,Vendas!$E$8:$E$2008,"&gt;=01/05/"&amp;$G$3,Vendas!$E$8:$E$2008,"&lt;=31/05/"&amp;$G$3,Vendas!$C$8:$C$2008,"Entregue")+SUMIFS(Vendas!$AJ$8:$AJ$2008,Vendas!$AG$8:$AG$2008,$B25,Vendas!$E$8:$E$2008,"&gt;=01/05/"&amp;$G$3,Vendas!$E$8:$E$2008,"&lt;=31/05/"&amp;$G$3,Vendas!$C$8:$C$2008,"Entregue")+SUMIFS(Vendas!$AO$8:$AO$2008,Vendas!$AL$8:$AL$2008,$B25,Vendas!$E$8:$E$2008,"&gt;=01/05/"&amp;$G$3,Vendas!$E$8:$E$2008,"&lt;=31/05/"&amp;$G$3,Vendas!$C$8:$C$2008,"Entregue")+SUMIFS(Vendas!$AT$8:$AT$2008,Vendas!$AQ$8:$AQ$2008,$B25,Vendas!$E$8:$E$2008,"&gt;=01/05/"&amp;$G$3,Vendas!$E$8:$E$2008,"&lt;=31/05/"&amp;$G$3,Vendas!$C$8:$C$2008,"Entregue")</f>
        <v>0</v>
      </c>
      <c r="M25" s="159">
        <f>SUMIFS(Vendas!$K$8:$K$2008,Vendas!$H$8:$H$2008,$B25,Vendas!$E$8:$E$2008,"&gt;=01/06/"&amp;$G$3,Vendas!$E$8:$E$2008,"&lt;=30/06/"&amp;$G$3)+SUMIFS(Vendas!$P$8:$P$2008,Vendas!$M$8:$M$2008,$B25,Vendas!$E$8:$E$2008,"&gt;=01/06/"&amp;$G$3,Vendas!$E$8:$E$2008,"&lt;=30/06/"&amp;$G$3)+SUMIFS(Vendas!$U$8:$U$2008,Vendas!$R$8:$R$2008,$B25,Vendas!$E$8:$E$2008,"&gt;=01/06/"&amp;$G$3,Vendas!$E$8:$E$2008,"&lt;=30/06/"&amp;$G$3)+SUMIFS(Vendas!$Z$8:$Z$2008,Vendas!$W$8:$W$2008,$B25,Vendas!$E$8:$E$2008,"&gt;=01/06/"&amp;$G$3,Vendas!$E$8:$E$2008,"&lt;=30/06/"&amp;$G$3)+SUMIFS(Vendas!$AE$8:$AE$2008,Vendas!$AB$8:$AB$2008,$B25,Vendas!$E$8:$E$2008,"&gt;=01/06/"&amp;$G$3,Vendas!$E$8:$E$2008,"&lt;=30/06/"&amp;$G$3)+SUMIFS(Vendas!$AJ$8:$AJ$2008,Vendas!$AG$8:$AG$2008,$B25,Vendas!$E$8:$E$2008,"&gt;=01/06/"&amp;$G$3,Vendas!$E$8:$E$2008,"&lt;=30/06/"&amp;$G$3)+SUMIFS(Vendas!$AO$8:$AO$2008,Vendas!$AL$8:$AL$2008,$B25,Vendas!$E$8:$E$2008,"&gt;=01/06/"&amp;$G$3,Vendas!$E$8:$E$2008,"&lt;=30/06/"&amp;$G$3)+SUMIFS(Vendas!$AT$8:$AT$2008,Vendas!$AQ$8:$AQ$2008,$B25,Vendas!$E$8:$E$2008,"&gt;=01/06/"&amp;$G$3,Vendas!$E$8:$E$2008,"&lt;=30/06/"&amp;$G$3)</f>
        <v>0</v>
      </c>
      <c r="N25" s="159">
        <f>SUMIFS(Vendas!$K$8:$K$2008,Vendas!$H$8:$H$2008,$B25,Vendas!$E$8:$E$2008,"&gt;=01/06/"&amp;$G$3,Vendas!$E$8:$E$2008,"&lt;=30/06/"&amp;$G$3,Vendas!$C$8:$C$2008,"Entregue")+SUMIFS(Vendas!$P$8:$P$2008,Vendas!$M$8:$M$2008,$B25,Vendas!$E$8:$E$2008,"&gt;=01/06/"&amp;$G$3,Vendas!$E$8:$E$2008,"&lt;=30/06/"&amp;$G$3,Vendas!$C$8:$C$2008,"Entregue")+SUMIFS(Vendas!$U$8:$U$2008,Vendas!$R$8:$R$2008,$B25,Vendas!$E$8:$E$2008,"&gt;=01/06/"&amp;$G$3,Vendas!$E$8:$E$2008,"&lt;=30/06/"&amp;$G$3,Vendas!$C$8:$C$2008,"Entregue")+SUMIFS(Vendas!$Z$8:$Z$2008,Vendas!$W$8:$W$2008,$B25,Vendas!$E$8:$E$2008,"&gt;=01/06/"&amp;$G$3,Vendas!$E$8:$E$2008,"&lt;=30/06/"&amp;$G$3,Vendas!$C$8:$C$2008,"Entregue")+SUMIFS(Vendas!$AE$8:$AE$2008,Vendas!$AB$8:$AB$2008,$B25,Vendas!$E$8:$E$2008,"&gt;=01/06/"&amp;$G$3,Vendas!$E$8:$E$2008,"&lt;=30/06/"&amp;$G$3,Vendas!$C$8:$C$2008,"Entregue")+SUMIFS(Vendas!$AJ$8:$AJ$2008,Vendas!$AG$8:$AG$2008,$B25,Vendas!$E$8:$E$2008,"&gt;=01/06/"&amp;$G$3,Vendas!$E$8:$E$2008,"&lt;=30/06/"&amp;$G$3,Vendas!$C$8:$C$2008,"Entregue")+SUMIFS(Vendas!$AO$8:$AO$2008,Vendas!$AL$8:$AL$2008,$B25,Vendas!$E$8:$E$2008,"&gt;=01/06/"&amp;$G$3,Vendas!$E$8:$E$2008,"&lt;=30/06/"&amp;$G$3,Vendas!$C$8:$C$2008,"Entregue")+SUMIFS(Vendas!$AT$8:$AT$2008,Vendas!$AQ$8:$AQ$2008,$B25,Vendas!$E$8:$E$2008,"&gt;=01/06/"&amp;$G$3,Vendas!$E$8:$E$2008,"&lt;=30/06/"&amp;$G$3,Vendas!$C$8:$C$2008,"Entregue")</f>
        <v>0</v>
      </c>
      <c r="O25" s="159">
        <f>SUMIFS(Vendas!$K$8:$K$2008,Vendas!$H$8:$H$2008,$B25,Vendas!$E$8:$E$2008,"&gt;=01/07/"&amp;$G$3,Vendas!$E$8:$E$2008,"&lt;=31/07/"&amp;$G$3)+SUMIFS(Vendas!$P$8:$P$2008,Vendas!$M$8:$M$2008,$B25,Vendas!$E$8:$E$2008,"&gt;=01/07/"&amp;$G$3,Vendas!$E$8:$E$2008,"&lt;=31/07/"&amp;$G$3)+SUMIFS(Vendas!$U$8:$U$2008,Vendas!$R$8:$R$2008,$B25,Vendas!$E$8:$E$2008,"&gt;=01/07/"&amp;$G$3,Vendas!$E$8:$E$2008,"&lt;=31/07/"&amp;$G$3)+SUMIFS(Vendas!$Z$8:$Z$2008,Vendas!$W$8:$W$2008,$B25,Vendas!$E$8:$E$2008,"&gt;=01/07/"&amp;$G$3,Vendas!$E$8:$E$2008,"&lt;=31/07/"&amp;$G$3)+SUMIFS(Vendas!$AE$8:$AE$2008,Vendas!$AB$8:$AB$2008,$B25,Vendas!$E$8:$E$2008,"&gt;=01/07/"&amp;$G$3,Vendas!$E$8:$E$2008,"&lt;=31/07/"&amp;$G$3)+SUMIFS(Vendas!$AJ$8:$AJ$2008,Vendas!$AG$8:$AG$2008,$B25,Vendas!$E$8:$E$2008,"&gt;=01/07/"&amp;$G$3,Vendas!$E$8:$E$2008,"&lt;=31/07/"&amp;$G$3)+SUMIFS(Vendas!$AO$8:$AO$2008,Vendas!$AL$8:$AL$2008,$B25,Vendas!$E$8:$E$2008,"&gt;=01/07/"&amp;$G$3,Vendas!$E$8:$E$2008,"&lt;=31/07/"&amp;$G$3)+SUMIFS(Vendas!$AT$8:$AT$2008,Vendas!$AQ$8:$AQ$2008,$B25,Vendas!$E$8:$E$2008,"&gt;=01/07/"&amp;$G$3,Vendas!$E$8:$E$2008,"&lt;=31/07/"&amp;$G$3)</f>
        <v>0</v>
      </c>
      <c r="P25" s="159">
        <f>SUMIFS(Vendas!$K$8:$K$2008,Vendas!$H$8:$H$2008,$B25,Vendas!$E$8:$E$2008,"&gt;=01/07/"&amp;$G$3,Vendas!$E$8:$E$2008,"&lt;=31/07/"&amp;$G$3,Vendas!$C$8:$C$2008,"Entregue")+SUMIFS(Vendas!$P$8:$P$2008,Vendas!$M$8:$M$2008,$B25,Vendas!$E$8:$E$2008,"&gt;=01/07/"&amp;$G$3,Vendas!$E$8:$E$2008,"&lt;=31/07/"&amp;$G$3,Vendas!$C$8:$C$2008,"Entregue")+SUMIFS(Vendas!$U$8:$U$2008,Vendas!$R$8:$R$2008,$B25,Vendas!$E$8:$E$2008,"&gt;=01/07/"&amp;$G$3,Vendas!$E$8:$E$2008,"&lt;=31/07/"&amp;$G$3,Vendas!$C$8:$C$2008,"Entregue")+SUMIFS(Vendas!$Z$8:$Z$2008,Vendas!$W$8:$W$2008,$B25,Vendas!$E$8:$E$2008,"&gt;=01/07/"&amp;$G$3,Vendas!$E$8:$E$2008,"&lt;=31/07/"&amp;$G$3,Vendas!$C$8:$C$2008,"Entregue")+SUMIFS(Vendas!$AE$8:$AE$2008,Vendas!$AB$8:$AB$2008,$B25,Vendas!$E$8:$E$2008,"&gt;=01/07/"&amp;$G$3,Vendas!$E$8:$E$2008,"&lt;=31/07/"&amp;$G$3,Vendas!$C$8:$C$2008,"Entregue")+SUMIFS(Vendas!$AJ$8:$AJ$2008,Vendas!$AG$8:$AG$2008,$B25,Vendas!$E$8:$E$2008,"&gt;=01/07/"&amp;$G$3,Vendas!$E$8:$E$2008,"&lt;=31/07/"&amp;$G$3,Vendas!$C$8:$C$2008,"Entregue")+SUMIFS(Vendas!$AO$8:$AO$2008,Vendas!$AL$8:$AL$2008,$B25,Vendas!$E$8:$E$2008,"&gt;=01/07/"&amp;$G$3,Vendas!$E$8:$E$2008,"&lt;=31/07/"&amp;$G$3,Vendas!$C$8:$C$2008,"Entregue")+SUMIFS(Vendas!$AT$8:$AT$2008,Vendas!$AQ$8:$AQ$2008,$B25,Vendas!$E$8:$E$2008,"&gt;=01/07/"&amp;$G$3,Vendas!$E$8:$E$2008,"&lt;=31/07/"&amp;$G$3,Vendas!$C$8:$C$2008,"Entregue")</f>
        <v>0</v>
      </c>
      <c r="Q25" s="159">
        <f>SUMIFS(Vendas!$K$8:$K$2008,Vendas!$H$8:$H$2008,$B25,Vendas!$E$8:$E$2008,"&gt;=01/08/"&amp;$G$3,Vendas!$E$8:$E$2008,"&lt;=31/08/"&amp;$G$3)+SUMIFS(Vendas!$P$8:$P$2008,Vendas!$M$8:$M$2008,$B25,Vendas!$E$8:$E$2008,"&gt;=01/08/"&amp;$G$3,Vendas!$E$8:$E$2008,"&lt;=31/08/"&amp;$G$3)+SUMIFS(Vendas!$U$8:$U$2008,Vendas!$R$8:$R$2008,$B25,Vendas!$E$8:$E$2008,"&gt;=01/08/"&amp;$G$3,Vendas!$E$8:$E$2008,"&lt;=31/08/"&amp;$G$3)+SUMIFS(Vendas!$Z$8:$Z$2008,Vendas!$W$8:$W$2008,$B25,Vendas!$E$8:$E$2008,"&gt;=01/08/"&amp;$G$3,Vendas!$E$8:$E$2008,"&lt;=31/08/"&amp;$G$3)+SUMIFS(Vendas!$AE$8:$AE$2008,Vendas!$AB$8:$AB$2008,$B25,Vendas!$E$8:$E$2008,"&gt;=01/08/"&amp;$G$3,Vendas!$E$8:$E$2008,"&lt;=31/08/"&amp;$G$3)+SUMIFS(Vendas!$AJ$8:$AJ$2008,Vendas!$AG$8:$AG$2008,$B25,Vendas!$E$8:$E$2008,"&gt;=01/08/"&amp;$G$3,Vendas!$E$8:$E$2008,"&lt;=31/08/"&amp;$G$3)+SUMIFS(Vendas!$AO$8:$AO$2008,Vendas!$AL$8:$AL$2008,$B25,Vendas!$E$8:$E$2008,"&gt;=01/08/"&amp;$G$3,Vendas!$E$8:$E$2008,"&lt;=31/08/"&amp;$G$3)+SUMIFS(Vendas!$AT$8:$AT$2008,Vendas!$AQ$8:$AQ$2008,$B25,Vendas!$E$8:$E$2008,"&gt;=01/08/"&amp;$G$3,Vendas!$E$8:$E$2008,"&lt;=31/08/"&amp;$G$3)</f>
        <v>0</v>
      </c>
      <c r="R25" s="159">
        <f>SUMIFS(Vendas!$K$8:$K$2008,Vendas!$H$8:$H$2008,$B25,Vendas!$E$8:$E$2008,"&gt;=01/08/"&amp;$G$3,Vendas!$E$8:$E$2008,"&lt;=31/08/"&amp;$G$3,Vendas!$C$8:$C$2008,"Entregue")+SUMIFS(Vendas!$P$8:$P$2008,Vendas!$M$8:$M$2008,$B25,Vendas!$E$8:$E$2008,"&gt;=01/08/"&amp;$G$3,Vendas!$E$8:$E$2008,"&lt;=31/08/"&amp;$G$3,Vendas!$C$8:$C$2008,"Entregue")+SUMIFS(Vendas!$U$8:$U$2008,Vendas!$R$8:$R$2008,$B25,Vendas!$E$8:$E$2008,"&gt;=01/08/"&amp;$G$3,Vendas!$E$8:$E$2008,"&lt;=31/08/"&amp;$G$3,Vendas!$C$8:$C$2008,"Entregue")+SUMIFS(Vendas!$Z$8:$Z$2008,Vendas!$W$8:$W$2008,$B25,Vendas!$E$8:$E$2008,"&gt;=01/08/"&amp;$G$3,Vendas!$E$8:$E$2008,"&lt;=31/08/"&amp;$G$3,Vendas!$C$8:$C$2008,"Entregue")+SUMIFS(Vendas!$AE$8:$AE$2008,Vendas!$AB$8:$AB$2008,$B25,Vendas!$E$8:$E$2008,"&gt;=01/08/"&amp;$G$3,Vendas!$E$8:$E$2008,"&lt;=31/08/"&amp;$G$3,Vendas!$C$8:$C$2008,"Entregue")+SUMIFS(Vendas!$AJ$8:$AJ$2008,Vendas!$AG$8:$AG$2008,$B25,Vendas!$E$8:$E$2008,"&gt;=01/08/"&amp;$G$3,Vendas!$E$8:$E$2008,"&lt;=31/08/"&amp;$G$3,Vendas!$C$8:$C$2008,"Entregue")+SUMIFS(Vendas!$AO$8:$AO$2008,Vendas!$AL$8:$AL$2008,$B25,Vendas!$E$8:$E$2008,"&gt;=01/08/"&amp;$G$3,Vendas!$E$8:$E$2008,"&lt;=31/08/"&amp;$G$3,Vendas!$C$8:$C$2008,"Entregue")+SUMIFS(Vendas!$AT$8:$AT$2008,Vendas!$AQ$8:$AQ$2008,$B25,Vendas!$E$8:$E$2008,"&gt;=01/08/"&amp;$G$3,Vendas!$E$8:$E$2008,"&lt;=31/08/"&amp;$G$3,Vendas!$C$8:$C$2008,"Entregue")</f>
        <v>0</v>
      </c>
      <c r="S25" s="159">
        <f>SUMIFS(Vendas!$K$8:$K$2008,Vendas!$H$8:$H$2008,$B25,Vendas!$E$8:$E$2008,"&gt;=01/09/"&amp;$G$3,Vendas!$E$8:$E$2008,"&lt;=30/09/"&amp;$G$3)+SUMIFS(Vendas!$P$8:$P$2008,Vendas!$M$8:$M$2008,$B25,Vendas!$E$8:$E$2008,"&gt;=01/09/"&amp;$G$3,Vendas!$E$8:$E$2008,"&lt;=30/09/"&amp;$G$3)+SUMIFS(Vendas!$U$8:$U$2008,Vendas!$R$8:$R$2008,$B25,Vendas!$E$8:$E$2008,"&gt;=01/09/"&amp;$G$3,Vendas!$E$8:$E$2008,"&lt;=30/09/"&amp;$G$3)+SUMIFS(Vendas!$Z$8:$Z$2008,Vendas!$W$8:$W$2008,$B25,Vendas!$E$8:$E$2008,"&gt;=01/09/"&amp;$G$3,Vendas!$E$8:$E$2008,"&lt;=30/09/"&amp;$G$3)+SUMIFS(Vendas!$AE$8:$AE$2008,Vendas!$AB$8:$AB$2008,$B25,Vendas!$E$8:$E$2008,"&gt;=01/09/"&amp;$G$3,Vendas!$E$8:$E$2008,"&lt;=30/09/"&amp;$G$3)+SUMIFS(Vendas!$AJ$8:$AJ$2008,Vendas!$AG$8:$AG$2008,$B25,Vendas!$E$8:$E$2008,"&gt;=01/09/"&amp;$G$3,Vendas!$E$8:$E$2008,"&lt;=30/09/"&amp;$G$3)+SUMIFS(Vendas!$AO$8:$AO$2008,Vendas!$AL$8:$AL$2008,$B25,Vendas!$E$8:$E$2008,"&gt;=01/09/"&amp;$G$3,Vendas!$E$8:$E$2008,"&lt;=30/09/"&amp;$G$3)+SUMIFS(Vendas!$AT$8:$AT$2008,Vendas!$AQ$8:$AQ$2008,$B25,Vendas!$E$8:$E$2008,"&gt;=01/09/"&amp;$G$3,Vendas!$E$8:$E$2008,"&lt;=30/09/"&amp;$G$3)</f>
        <v>0</v>
      </c>
      <c r="T25" s="159">
        <f>SUMIFS(Vendas!$K$8:$K$2008,Vendas!$H$8:$H$2008,$B25,Vendas!$E$8:$E$2008,"&gt;=01/09/"&amp;$G$3,Vendas!$E$8:$E$2008,"&lt;=30/09/"&amp;$G$3,Vendas!$C$8:$C$2008,"Entregue")+SUMIFS(Vendas!$P$8:$P$2008,Vendas!$M$8:$M$2008,$B25,Vendas!$E$8:$E$2008,"&gt;=01/09/"&amp;$G$3,Vendas!$E$8:$E$2008,"&lt;=30/09/"&amp;$G$3,Vendas!$C$8:$C$2008,"Entregue")+SUMIFS(Vendas!$U$8:$U$2008,Vendas!$R$8:$R$2008,$B25,Vendas!$E$8:$E$2008,"&gt;=01/09/"&amp;$G$3,Vendas!$E$8:$E$2008,"&lt;=30/09/"&amp;$G$3,Vendas!$C$8:$C$2008,"Entregue")+SUMIFS(Vendas!$Z$8:$Z$2008,Vendas!$W$8:$W$2008,$B25,Vendas!$E$8:$E$2008,"&gt;=01/09/"&amp;$G$3,Vendas!$E$8:$E$2008,"&lt;=30/09/"&amp;$G$3,Vendas!$C$8:$C$2008,"Entregue")+SUMIFS(Vendas!$AE$8:$AE$2008,Vendas!$AB$8:$AB$2008,$B25,Vendas!$E$8:$E$2008,"&gt;=01/09/"&amp;$G$3,Vendas!$E$8:$E$2008,"&lt;=30/09/"&amp;$G$3,Vendas!$C$8:$C$2008,"Entregue")+SUMIFS(Vendas!$AJ$8:$AJ$2008,Vendas!$AG$8:$AG$2008,$B25,Vendas!$E$8:$E$2008,"&gt;=01/09/"&amp;$G$3,Vendas!$E$8:$E$2008,"&lt;=30/09/"&amp;$G$3,Vendas!$C$8:$C$2008,"Entregue")+SUMIFS(Vendas!$AO$8:$AO$2008,Vendas!$AL$8:$AL$2008,$B25,Vendas!$E$8:$E$2008,"&gt;=01/09/"&amp;$G$3,Vendas!$E$8:$E$2008,"&lt;=30/09/"&amp;$G$3,Vendas!$C$8:$C$2008,"Entregue")+SUMIFS(Vendas!$AT$8:$AT$2008,Vendas!$AQ$8:$AQ$2008,$B25,Vendas!$E$8:$E$2008,"&gt;=01/09/"&amp;$G$3,Vendas!$E$8:$E$2008,"&lt;=30/09/"&amp;$G$3,Vendas!$C$8:$C$2008,"Entregue")</f>
        <v>0</v>
      </c>
      <c r="U25" s="159">
        <f>SUMIFS(Vendas!$K$8:$K$2008,Vendas!$H$8:$H$2008,$B25,Vendas!$E$8:$E$2008,"&gt;=01/10/"&amp;$G$3,Vendas!$E$8:$E$2008,"&lt;=31/10/"&amp;$G$3)+SUMIFS(Vendas!$P$8:$P$2008,Vendas!$M$8:$M$2008,$B25,Vendas!$E$8:$E$2008,"&gt;=01/10/"&amp;$G$3,Vendas!$E$8:$E$2008,"&lt;=31/10/"&amp;$G$3)+SUMIFS(Vendas!$U$8:$U$2008,Vendas!$R$8:$R$2008,$B25,Vendas!$E$8:$E$2008,"&gt;=01/10/"&amp;$G$3,Vendas!$E$8:$E$2008,"&lt;=31/10/"&amp;$G$3)+SUMIFS(Vendas!$Z$8:$Z$2008,Vendas!$W$8:$W$2008,$B25,Vendas!$E$8:$E$2008,"&gt;=01/10/"&amp;$G$3,Vendas!$E$8:$E$2008,"&lt;=31/10/"&amp;$G$3)+SUMIFS(Vendas!$AE$8:$AE$2008,Vendas!$AB$8:$AB$2008,$B25,Vendas!$E$8:$E$2008,"&gt;=01/10/"&amp;$G$3,Vendas!$E$8:$E$2008,"&lt;=31/10/"&amp;$G$3)+SUMIFS(Vendas!$AJ$8:$AJ$2008,Vendas!$AG$8:$AG$2008,$B25,Vendas!$E$8:$E$2008,"&gt;=01/10/"&amp;$G$3,Vendas!$E$8:$E$2008,"&lt;=31/10/"&amp;$G$3)+SUMIFS(Vendas!$AO$8:$AO$2008,Vendas!$AL$8:$AL$2008,$B25,Vendas!$E$8:$E$2008,"&gt;=01/10/"&amp;$G$3,Vendas!$E$8:$E$2008,"&lt;=31/10/"&amp;$G$3)+SUMIFS(Vendas!$AT$8:$AT$2008,Vendas!$AQ$8:$AQ$2008,$B25,Vendas!$E$8:$E$2008,"&gt;=01/10/"&amp;$G$3,Vendas!$E$8:$E$2008,"&lt;=31/10/"&amp;$G$3)</f>
        <v>0</v>
      </c>
      <c r="V25" s="159">
        <f>SUMIFS(Vendas!$K$8:$K$2008,Vendas!$H$8:$H$2008,$B25,Vendas!$E$8:$E$2008,"&gt;=01/10/"&amp;$G$3,Vendas!$E$8:$E$2008,"&lt;=31/10/"&amp;$G$3,Vendas!$C$8:$C$2008,"Entregue")+SUMIFS(Vendas!$P$8:$P$2008,Vendas!$M$8:$M$2008,$B25,Vendas!$E$8:$E$2008,"&gt;=01/10/"&amp;$G$3,Vendas!$E$8:$E$2008,"&lt;=31/10/"&amp;$G$3,Vendas!$C$8:$C$2008,"Entregue")+SUMIFS(Vendas!$U$8:$U$2008,Vendas!$R$8:$R$2008,$B25,Vendas!$E$8:$E$2008,"&gt;=01/10/"&amp;$G$3,Vendas!$E$8:$E$2008,"&lt;=31/10/"&amp;$G$3,Vendas!$C$8:$C$2008,"Entregue")+SUMIFS(Vendas!$Z$8:$Z$2008,Vendas!$W$8:$W$2008,$B25,Vendas!$E$8:$E$2008,"&gt;=01/10/"&amp;$G$3,Vendas!$E$8:$E$2008,"&lt;=31/10/"&amp;$G$3,Vendas!$C$8:$C$2008,"Entregue")+SUMIFS(Vendas!$AE$8:$AE$2008,Vendas!$AB$8:$AB$2008,$B25,Vendas!$E$8:$E$2008,"&gt;=01/10/"&amp;$G$3,Vendas!$E$8:$E$2008,"&lt;=31/10/"&amp;$G$3,Vendas!$C$8:$C$2008,"Entregue")+SUMIFS(Vendas!$AJ$8:$AJ$2008,Vendas!$AG$8:$AG$2008,$B25,Vendas!$E$8:$E$2008,"&gt;=01/10/"&amp;$G$3,Vendas!$E$8:$E$2008,"&lt;=31/10/"&amp;$G$3,Vendas!$C$8:$C$2008,"Entregue")+SUMIFS(Vendas!$AO$8:$AO$2008,Vendas!$AL$8:$AL$2008,$B25,Vendas!$E$8:$E$2008,"&gt;=01/10/"&amp;$G$3,Vendas!$E$8:$E$2008,"&lt;=31/10/"&amp;$G$3,Vendas!$C$8:$C$2008,"Entregue")+SUMIFS(Vendas!$AT$8:$AT$2008,Vendas!$AQ$8:$AQ$2008,$B25,Vendas!$E$8:$E$2008,"&gt;=01/10/"&amp;$G$3,Vendas!$E$8:$E$2008,"&lt;=31/10/"&amp;$G$3,Vendas!$C$8:$C$2008,"Entregue")</f>
        <v>0</v>
      </c>
      <c r="W25" s="159">
        <f>SUMIFS(Vendas!$K$8:$K$2008,Vendas!$H$8:$H$2008,$B25,Vendas!$E$8:$E$2008,"&gt;=01/11/"&amp;$G$3,Vendas!$E$8:$E$2008,"&lt;=30/11/"&amp;$G$3)+SUMIFS(Vendas!$P$8:$P$2008,Vendas!$M$8:$M$2008,$B25,Vendas!$E$8:$E$2008,"&gt;=01/11/"&amp;$G$3,Vendas!$E$8:$E$2008,"&lt;=30/11/"&amp;$G$3)+SUMIFS(Vendas!$U$8:$U$2008,Vendas!$R$8:$R$2008,$B25,Vendas!$E$8:$E$2008,"&gt;=01/11/"&amp;$G$3,Vendas!$E$8:$E$2008,"&lt;=30/11/"&amp;$G$3)+SUMIFS(Vendas!$Z$8:$Z$2008,Vendas!$W$8:$W$2008,$B25,Vendas!$E$8:$E$2008,"&gt;=01/11/"&amp;$G$3,Vendas!$E$8:$E$2008,"&lt;=30/11/"&amp;$G$3)+SUMIFS(Vendas!$AE$8:$AE$2008,Vendas!$AB$8:$AB$2008,$B25,Vendas!$E$8:$E$2008,"&gt;=01/11/"&amp;$G$3,Vendas!$E$8:$E$2008,"&lt;=30/11/"&amp;$G$3)+SUMIFS(Vendas!$AJ$8:$AJ$2008,Vendas!$AG$8:$AG$2008,$B25,Vendas!$E$8:$E$2008,"&gt;=01/11/"&amp;$G$3,Vendas!$E$8:$E$2008,"&lt;=30/11/"&amp;$G$3)+SUMIFS(Vendas!$AO$8:$AO$2008,Vendas!$AL$8:$AL$2008,$B25,Vendas!$E$8:$E$2008,"&gt;=01/11/"&amp;$G$3,Vendas!$E$8:$E$2008,"&lt;=30/11/"&amp;$G$3)+SUMIFS(Vendas!$AT$8:$AT$2008,Vendas!$AQ$8:$AQ$2008,$B25,Vendas!$E$8:$E$2008,"&gt;=01/11/"&amp;$G$3,Vendas!$E$8:$E$2008,"&lt;=30/11/"&amp;$G$3)</f>
        <v>0</v>
      </c>
      <c r="X25" s="159">
        <f>SUMIFS(Vendas!$K$8:$K$2008,Vendas!$H$8:$H$2008,$B25,Vendas!$E$8:$E$2008,"&gt;=01/11/"&amp;$G$3,Vendas!$E$8:$E$2008,"&lt;=30/11/"&amp;$G$3,Vendas!$C$8:$C$2008,"Entregue")+SUMIFS(Vendas!$P$8:$P$2008,Vendas!$M$8:$M$2008,$B25,Vendas!$E$8:$E$2008,"&gt;=01/11/"&amp;$G$3,Vendas!$E$8:$E$2008,"&lt;=30/11/"&amp;$G$3,Vendas!$C$8:$C$2008,"Entregue")+SUMIFS(Vendas!$U$8:$U$2008,Vendas!$R$8:$R$2008,$B25,Vendas!$E$8:$E$2008,"&gt;=01/11/"&amp;$G$3,Vendas!$E$8:$E$2008,"&lt;=30/11/"&amp;$G$3,Vendas!$C$8:$C$2008,"Entregue")+SUMIFS(Vendas!$Z$8:$Z$2008,Vendas!$W$8:$W$2008,$B25,Vendas!$E$8:$E$2008,"&gt;=01/11/"&amp;$G$3,Vendas!$E$8:$E$2008,"&lt;=30/11/"&amp;$G$3,Vendas!$C$8:$C$2008,"Entregue")+SUMIFS(Vendas!$AE$8:$AE$2008,Vendas!$AB$8:$AB$2008,$B25,Vendas!$E$8:$E$2008,"&gt;=01/11/"&amp;$G$3,Vendas!$E$8:$E$2008,"&lt;=30/11/"&amp;$G$3,Vendas!$C$8:$C$2008,"Entregue")+SUMIFS(Vendas!$AJ$8:$AJ$2008,Vendas!$AG$8:$AG$2008,$B25,Vendas!$E$8:$E$2008,"&gt;=01/11/"&amp;$G$3,Vendas!$E$8:$E$2008,"&lt;=30/11/"&amp;$G$3,Vendas!$C$8:$C$2008,"Entregue")+SUMIFS(Vendas!$AO$8:$AO$2008,Vendas!$AL$8:$AL$2008,$B25,Vendas!$E$8:$E$2008,"&gt;=01/11/"&amp;$G$3,Vendas!$E$8:$E$2008,"&lt;=30/11/"&amp;$G$3,Vendas!$C$8:$C$2008,"Entregue")+SUMIFS(Vendas!$AT$8:$AT$2008,Vendas!$AQ$8:$AQ$2008,$B25,Vendas!$E$8:$E$2008,"&gt;=01/11/"&amp;$G$3,Vendas!$E$8:$E$2008,"&lt;=30/11/"&amp;$G$3,Vendas!$C$8:$C$2008,"Entregue")</f>
        <v>0</v>
      </c>
      <c r="Y25" s="159">
        <f>SUMIFS(Vendas!$K$8:$K$2008,Vendas!$H$8:$H$2008,$B25,Vendas!$E$8:$E$2008,"&gt;=01/12/"&amp;$G$3,Vendas!$E$8:$E$2008,"&lt;=31/12/"&amp;$G$3)+SUMIFS(Vendas!$P$8:$P$2008,Vendas!$M$8:$M$2008,$B25,Vendas!$E$8:$E$2008,"&gt;=01/12/"&amp;$G$3,Vendas!$E$8:$E$2008,"&lt;=31/12/"&amp;$G$3)+SUMIFS(Vendas!$U$8:$U$2008,Vendas!$R$8:$R$2008,$B25,Vendas!$E$8:$E$2008,"&gt;=01/12/"&amp;$G$3,Vendas!$E$8:$E$2008,"&lt;=31/12/"&amp;$G$3)+SUMIFS(Vendas!$Z$8:$Z$2008,Vendas!$W$8:$W$2008,$B25,Vendas!$E$8:$E$2008,"&gt;=01/12/"&amp;$G$3,Vendas!$E$8:$E$2008,"&lt;=31/12/"&amp;$G$3)+SUMIFS(Vendas!$AE$8:$AE$2008,Vendas!$AB$8:$AB$2008,$B25,Vendas!$E$8:$E$2008,"&gt;=01/12/"&amp;$G$3,Vendas!$E$8:$E$2008,"&lt;=31/12/"&amp;$G$3)+SUMIFS(Vendas!$AJ$8:$AJ$2008,Vendas!$AG$8:$AG$2008,$B25,Vendas!$E$8:$E$2008,"&gt;=01/12/"&amp;$G$3,Vendas!$E$8:$E$2008,"&lt;=31/12/"&amp;$G$3)+SUMIFS(Vendas!$AO$8:$AO$2008,Vendas!$AL$8:$AL$2008,$B25,Vendas!$E$8:$E$2008,"&gt;=01/12/"&amp;$G$3,Vendas!$E$8:$E$2008,"&lt;=31/12/"&amp;$G$3)+SUMIFS(Vendas!$AT$8:$AT$2008,Vendas!$AQ$8:$AQ$2008,$B25,Vendas!$E$8:$E$2008,"&gt;=01/12/"&amp;$G$3,Vendas!$E$8:$E$2008,"&lt;=31/12/"&amp;$G$3)</f>
        <v>0</v>
      </c>
      <c r="Z25" s="160">
        <f>SUMIFS(Vendas!$K$8:$K$2008,Vendas!$H$8:$H$2008,$B25,Vendas!$E$8:$E$2008,"&gt;=01/12/"&amp;$G$3,Vendas!$E$8:$E$2008,"&lt;=31/12/"&amp;$G$3,Vendas!$C$8:$C$2008,"Entregue")+SUMIFS(Vendas!$P$8:$P$2008,Vendas!$M$8:$M$2008,$B25,Vendas!$E$8:$E$2008,"&gt;=01/12/"&amp;$G$3,Vendas!$E$8:$E$2008,"&lt;=31/12/"&amp;$G$3,Vendas!$C$8:$C$2008,"Entregue")+SUMIFS(Vendas!$U$8:$U$2008,Vendas!$R$8:$R$2008,$B25,Vendas!$E$8:$E$2008,"&gt;=01/12/"&amp;$G$3,Vendas!$E$8:$E$2008,"&lt;=31/12/"&amp;$G$3,Vendas!$C$8:$C$2008,"Entregue")+SUMIFS(Vendas!$Z$8:$Z$2008,Vendas!$W$8:$W$2008,$B25,Vendas!$E$8:$E$2008,"&gt;=01/12/"&amp;$G$3,Vendas!$E$8:$E$2008,"&lt;=31/12/"&amp;$G$3,Vendas!$C$8:$C$2008,"Entregue")+SUMIFS(Vendas!$AE$8:$AE$2008,Vendas!$AB$8:$AB$2008,$B25,Vendas!$E$8:$E$2008,"&gt;=01/12/"&amp;$G$3,Vendas!$E$8:$E$2008,"&lt;=31/12/"&amp;$G$3,Vendas!$C$8:$C$2008,"Entregue")+SUMIFS(Vendas!$AJ$8:$AJ$2008,Vendas!$AG$8:$AG$2008,$B25,Vendas!$E$8:$E$2008,"&gt;=01/12/"&amp;$G$3,Vendas!$E$8:$E$2008,"&lt;=31/12/"&amp;$G$3,Vendas!$C$8:$C$2008,"Entregue")+SUMIFS(Vendas!$AO$8:$AO$2008,Vendas!$AL$8:$AL$2008,$B25,Vendas!$E$8:$E$2008,"&gt;=01/12/"&amp;$G$3,Vendas!$E$8:$E$2008,"&lt;=31/12/"&amp;$G$3,Vendas!$C$8:$C$2008,"Entregue")+SUMIFS(Vendas!$AT$8:$AT$2008,Vendas!$AQ$8:$AQ$2008,$B25,Vendas!$E$8:$E$2008,"&gt;=01/12/"&amp;$G$3,Vendas!$E$8:$E$2008,"&lt;=31/12/"&amp;$G$3,Vendas!$C$8:$C$2008,"Entregue")</f>
        <v>0</v>
      </c>
      <c r="AA25" s="132">
        <f t="shared" si="0"/>
        <v>0</v>
      </c>
      <c r="AB25" s="132">
        <f t="shared" si="0"/>
        <v>0</v>
      </c>
      <c r="AC25" s="67"/>
    </row>
    <row r="26" spans="2:29" ht="14.4" x14ac:dyDescent="0.3">
      <c r="B26" s="262" t="str">
        <f>IF(Cadastros!G7="","",Cadastros!G7)</f>
        <v>239 - Base Box Casal 1,38 X 1,88 X 0,25 cm</v>
      </c>
      <c r="C26" s="161">
        <f>SUMIFS(Vendas!$K$8:$K$2008,Vendas!$H$8:$H$2008,$B26,Vendas!$E$8:$E$2008,"&gt;=01/01/"&amp;$G$3,Vendas!$E$8:$E$2008,"&lt;=31/01/"&amp;$G$3)+SUMIFS(Vendas!$P$8:$P$2008,Vendas!$M$8:$M$2008,$B26,Vendas!$E$8:$E$2008,"&gt;=01/01/"&amp;$G$3,Vendas!$E$8:$E$2008,"&lt;=31/01/"&amp;$G$3)+SUMIFS(Vendas!$U$8:$U$2008,Vendas!$R$8:$R$2008,$B26,Vendas!$E$8:$E$2008,"&gt;=01/01/"&amp;$G$3,Vendas!$E$8:$E$2008,"&lt;=31/01/"&amp;$G$3)+SUMIFS(Vendas!$Z$8:$Z$2008,Vendas!$W$8:$W$2008,$B26,Vendas!$E$8:$E$2008,"&gt;=01/01/"&amp;$G$3,Vendas!$E$8:$E$2008,"&lt;=31/01/"&amp;$G$3)+SUMIFS(Vendas!$AE$8:$AE$2008,Vendas!$AB$8:$AB$2008,$B26,Vendas!$E$8:$E$2008,"&gt;=01/01/"&amp;$G$3,Vendas!$E$8:$E$2008,"&lt;=31/01/"&amp;$G$3)+SUMIFS(Vendas!$AJ$8:$AJ$2008,Vendas!$AG$8:$AG$2008,$B26,Vendas!$E$8:$E$2008,"&gt;=01/01/"&amp;$G$3,Vendas!$E$8:$E$2008,"&lt;=31/01/"&amp;$G$3)+SUMIFS(Vendas!$AO$8:$AO$2008,Vendas!$AL$8:$AL$2008,$B26,Vendas!$E$8:$E$2008,"&gt;=01/01/"&amp;$G$3,Vendas!$E$8:$E$2008,"&lt;=31/01/"&amp;$G$3)+SUMIFS(Vendas!$AT$8:$AT$2008,Vendas!$AQ$8:$AQ$2008,$B26,Vendas!$E$8:$E$2008,"&gt;=01/01/"&amp;$G$3,Vendas!$E$8:$E$2008,"&lt;=31/01/"&amp;$G$3)</f>
        <v>0</v>
      </c>
      <c r="D26" s="162">
        <f>SUMIFS(Vendas!$K$8:$K$2008,Vendas!$H$8:$H$2008,$B26,Vendas!$E$8:$E$2008,"&gt;=01/01/"&amp;$G$3,Vendas!$E$8:$E$2008,"&lt;=31/01/"&amp;$G$3,Vendas!$C$8:$C$2008,"Entregue")+SUMIFS(Vendas!$P$8:$P$2008,Vendas!$M$8:$M$2008,$B26,Vendas!$E$8:$E$2008,"&gt;=01/01/"&amp;$G$3,Vendas!$E$8:$E$2008,"&lt;=31/01/"&amp;$G$3,Vendas!$C$8:$C$2008,"Entregue")+SUMIFS(Vendas!$U$8:$U$2008,Vendas!$R$8:$R$2008,$B26,Vendas!$E$8:$E$2008,"&gt;=01/01/"&amp;$G$3,Vendas!$E$8:$E$2008,"&lt;=31/01/"&amp;$G$3,Vendas!$C$8:$C$2008,"Entregue")+SUMIFS(Vendas!$Z$8:$Z$2008,Vendas!$W$8:$W$2008,$B26,Vendas!$E$8:$E$2008,"&gt;=01/01/"&amp;$G$3,Vendas!$E$8:$E$2008,"&lt;=31/01/"&amp;$G$3,Vendas!$C$8:$C$2008,"Entregue")+SUMIFS(Vendas!$AE$8:$AE$2008,Vendas!$AB$8:$AB$2008,$B26,Vendas!$E$8:$E$2008,"&gt;=01/01/"&amp;$G$3,Vendas!$E$8:$E$2008,"&lt;=31/01/"&amp;$G$3,Vendas!$C$8:$C$2008,"Entregue")+SUMIFS(Vendas!$AJ$8:$AJ$2008,Vendas!$AG$8:$AG$2008,$B26,Vendas!$E$8:$E$2008,"&gt;=01/01/"&amp;$G$3,Vendas!$E$8:$E$2008,"&lt;=31/01/"&amp;$G$3,Vendas!$C$8:$C$2008,"Entregue")+SUMIFS(Vendas!$AO$8:$AO$2008,Vendas!$AL$8:$AL$2008,$B26,Vendas!$E$8:$E$2008,"&gt;=01/01/"&amp;$G$3,Vendas!$E$8:$E$2008,"&lt;=31/01/"&amp;$G$3,Vendas!$C$8:$C$2008,"Entregue")+SUMIFS(Vendas!$AT$8:$AT$2008,Vendas!$AQ$8:$AQ$2008,$B26,Vendas!$E$8:$E$2008,"&gt;=01/01/"&amp;$G$3,Vendas!$E$8:$E$2008,"&lt;=31/01/"&amp;$G$3,Vendas!$C$8:$C$2008,"Entregue")</f>
        <v>0</v>
      </c>
      <c r="E26" s="162">
        <f>SUMIFS(Vendas!$K$8:$K$2008,Vendas!$H$8:$H$2008,$B26,Vendas!$E$8:$E$2008,"&gt;=01/02/"&amp;$G$3,Vendas!$E$8:$E$2008,"&lt;=28/02/"&amp;$G$3)+SUMIFS(Vendas!$P$8:$P$2008,Vendas!$M$8:$M$2008,$B26,Vendas!$E$8:$E$2008,"&gt;=01/02/"&amp;$G$3,Vendas!$E$8:$E$2008,"&lt;=28/02/"&amp;$G$3)+SUMIFS(Vendas!$U$8:$U$2008,Vendas!$R$8:$R$2008,$B26,Vendas!$E$8:$E$2008,"&gt;=01/02/"&amp;$G$3,Vendas!$E$8:$E$2008,"&lt;=28/02/"&amp;$G$3)+SUMIFS(Vendas!$Z$8:$Z$2008,Vendas!$W$8:$W$2008,$B26,Vendas!$E$8:$E$2008,"&gt;=01/02/"&amp;$G$3,Vendas!$E$8:$E$2008,"&lt;=28/02/"&amp;$G$3)+SUMIFS(Vendas!$AE$8:$AE$2008,Vendas!$AB$8:$AB$2008,$B26,Vendas!$E$8:$E$2008,"&gt;=01/02/"&amp;$G$3,Vendas!$E$8:$E$2008,"&lt;=28/02/"&amp;$G$3)+SUMIFS(Vendas!$AJ$8:$AJ$2008,Vendas!$AG$8:$AG$2008,$B26,Vendas!$E$8:$E$2008,"&gt;=01/02/"&amp;$G$3,Vendas!$E$8:$E$2008,"&lt;=28/02/"&amp;$G$3)+SUMIFS(Vendas!$AO$8:$AO$2008,Vendas!$AL$8:$AL$2008,$B26,Vendas!$E$8:$E$2008,"&gt;=01/02/"&amp;$G$3,Vendas!$E$8:$E$2008,"&lt;=28/02/"&amp;$G$3)+SUMIFS(Vendas!$AT$8:$AT$2008,Vendas!$AQ$8:$AQ$2008,$B26,Vendas!$E$8:$E$2008,"&gt;=01/02/"&amp;$G$3,Vendas!$E$8:$E$2008,"&lt;=28/02/"&amp;$G$3)</f>
        <v>0</v>
      </c>
      <c r="F26" s="162">
        <f>SUMIFS(Vendas!$K$8:$K$2008,Vendas!$H$8:$H$2008,$B26,Vendas!$E$8:$E$2008,"&gt;=01/02/"&amp;$G$3,Vendas!$E$8:$E$2008,"&lt;=28/02/"&amp;$G$3,Vendas!$C$8:$C$2008,"Entregue")+SUMIFS(Vendas!$P$8:$P$2008,Vendas!$M$8:$M$2008,$B26,Vendas!$E$8:$E$2008,"&gt;=01/02/"&amp;$G$3,Vendas!$E$8:$E$2008,"&lt;=28/02/"&amp;$G$3,Vendas!$C$8:$C$2008,"Entregue")+SUMIFS(Vendas!$U$8:$U$2008,Vendas!$R$8:$R$2008,$B26,Vendas!$E$8:$E$2008,"&gt;=01/02/"&amp;$G$3,Vendas!$E$8:$E$2008,"&lt;=28/02/"&amp;$G$3,Vendas!$C$8:$C$2008,"Entregue")+SUMIFS(Vendas!$Z$8:$Z$2008,Vendas!$W$8:$W$2008,$B26,Vendas!$E$8:$E$2008,"&gt;=01/02/"&amp;$G$3,Vendas!$E$8:$E$2008,"&lt;=28/02/"&amp;$G$3,Vendas!$C$8:$C$2008,"Entregue")+SUMIFS(Vendas!$AE$8:$AE$2008,Vendas!$AB$8:$AB$2008,$B26,Vendas!$E$8:$E$2008,"&gt;=01/02/"&amp;$G$3,Vendas!$E$8:$E$2008,"&lt;=28/02/"&amp;$G$3,Vendas!$C$8:$C$2008,"Entregue")+SUMIFS(Vendas!$AJ$8:$AJ$2008,Vendas!$AG$8:$AG$2008,$B26,Vendas!$E$8:$E$2008,"&gt;=01/02/"&amp;$G$3,Vendas!$E$8:$E$2008,"&lt;=28/02/"&amp;$G$3,Vendas!$C$8:$C$2008,"Entregue")+SUMIFS(Vendas!$AO$8:$AO$2008,Vendas!$AL$8:$AL$2008,$B26,Vendas!$E$8:$E$2008,"&gt;=01/02/"&amp;$G$3,Vendas!$E$8:$E$2008,"&lt;=28/02/"&amp;$G$3,Vendas!$C$8:$C$2008,"Entregue")+SUMIFS(Vendas!$AT$8:$AT$2008,Vendas!$AQ$8:$AQ$2008,$B26,Vendas!$E$8:$E$2008,"&gt;=01/02/"&amp;$G$3,Vendas!$E$8:$E$2008,"&lt;=28/02/"&amp;$G$3,Vendas!$C$8:$C$2008,"Entregue")</f>
        <v>0</v>
      </c>
      <c r="G26" s="162">
        <f>SUMIFS(Vendas!$K$8:$K$2008,Vendas!$H$8:$H$2008,$B26,Vendas!$E$8:$E$2008,"&gt;=01/03/"&amp;$G$3,Vendas!$E$8:$E$2008,"&lt;=31/03/"&amp;$G$3)+SUMIFS(Vendas!$P$8:$P$2008,Vendas!$M$8:$M$2008,$B26,Vendas!$E$8:$E$2008,"&gt;=01/03/"&amp;$G$3,Vendas!$E$8:$E$2008,"&lt;=31/03/"&amp;$G$3)+SUMIFS(Vendas!$U$8:$U$2008,Vendas!$R$8:$R$2008,$B26,Vendas!$E$8:$E$2008,"&gt;=01/03/"&amp;$G$3,Vendas!$E$8:$E$2008,"&lt;=31/03/"&amp;$G$3)+SUMIFS(Vendas!$Z$8:$Z$2008,Vendas!$W$8:$W$2008,$B26,Vendas!$E$8:$E$2008,"&gt;=01/03/"&amp;$G$3,Vendas!$E$8:$E$2008,"&lt;=31/03/"&amp;$G$3)+SUMIFS(Vendas!$AE$8:$AE$2008,Vendas!$AB$8:$AB$2008,$B26,Vendas!$E$8:$E$2008,"&gt;=01/03/"&amp;$G$3,Vendas!$E$8:$E$2008,"&lt;=31/03/"&amp;$G$3)+SUMIFS(Vendas!$AJ$8:$AJ$2008,Vendas!$AG$8:$AG$2008,$B26,Vendas!$E$8:$E$2008,"&gt;=01/03/"&amp;$G$3,Vendas!$E$8:$E$2008,"&lt;=31/03/"&amp;$G$3)+SUMIFS(Vendas!$AO$8:$AO$2008,Vendas!$AL$8:$AL$2008,$B26,Vendas!$E$8:$E$2008,"&gt;=01/03/"&amp;$G$3,Vendas!$E$8:$E$2008,"&lt;=31/03/"&amp;$G$3)+SUMIFS(Vendas!$AT$8:$AT$2008,Vendas!$AQ$8:$AQ$2008,$B26,Vendas!$E$8:$E$2008,"&gt;=01/03/"&amp;$G$3,Vendas!$E$8:$E$2008,"&lt;=31/03/"&amp;$G$3)</f>
        <v>0</v>
      </c>
      <c r="H26" s="162">
        <f>SUMIFS(Vendas!$K$8:$K$2008,Vendas!$H$8:$H$2008,$B26,Vendas!$E$8:$E$2008,"&gt;=01/03/"&amp;$G$3,Vendas!$E$8:$E$2008,"&lt;=31/03/"&amp;$G$3,Vendas!$C$8:$C$2008,"Entregue")+SUMIFS(Vendas!$P$8:$P$2008,Vendas!$M$8:$M$2008,$B26,Vendas!$E$8:$E$2008,"&gt;=01/03/"&amp;$G$3,Vendas!$E$8:$E$2008,"&lt;=31/03/"&amp;$G$3,Vendas!$C$8:$C$2008,"Entregue")+SUMIFS(Vendas!$U$8:$U$2008,Vendas!$R$8:$R$2008,$B26,Vendas!$E$8:$E$2008,"&gt;=01/03/"&amp;$G$3,Vendas!$E$8:$E$2008,"&lt;=31/03/"&amp;$G$3,Vendas!$C$8:$C$2008,"Entregue")+SUMIFS(Vendas!$Z$8:$Z$2008,Vendas!$W$8:$W$2008,$B26,Vendas!$E$8:$E$2008,"&gt;=01/03/"&amp;$G$3,Vendas!$E$8:$E$2008,"&lt;=31/03/"&amp;$G$3,Vendas!$C$8:$C$2008,"Entregue")+SUMIFS(Vendas!$AE$8:$AE$2008,Vendas!$AB$8:$AB$2008,$B26,Vendas!$E$8:$E$2008,"&gt;=01/03/"&amp;$G$3,Vendas!$E$8:$E$2008,"&lt;=31/03/"&amp;$G$3,Vendas!$C$8:$C$2008,"Entregue")+SUMIFS(Vendas!$AJ$8:$AJ$2008,Vendas!$AG$8:$AG$2008,$B26,Vendas!$E$8:$E$2008,"&gt;=01/03/"&amp;$G$3,Vendas!$E$8:$E$2008,"&lt;=31/03/"&amp;$G$3,Vendas!$C$8:$C$2008,"Entregue")+SUMIFS(Vendas!$AO$8:$AO$2008,Vendas!$AL$8:$AL$2008,$B26,Vendas!$E$8:$E$2008,"&gt;=01/03/"&amp;$G$3,Vendas!$E$8:$E$2008,"&lt;=31/03/"&amp;$G$3,Vendas!$C$8:$C$2008,"Entregue")+SUMIFS(Vendas!$AT$8:$AT$2008,Vendas!$AQ$8:$AQ$2008,$B26,Vendas!$E$8:$E$2008,"&gt;=01/03/"&amp;$G$3,Vendas!$E$8:$E$2008,"&lt;=31/03/"&amp;$G$3,Vendas!$C$8:$C$2008,"Entregue")</f>
        <v>0</v>
      </c>
      <c r="I26" s="162">
        <f>SUMIFS(Vendas!$K$8:$K$2008,Vendas!$H$8:$H$2008,$B26,Vendas!$E$8:$E$2008,"&gt;=01/04/"&amp;$G$3,Vendas!$E$8:$E$2008,"&lt;=30/04/"&amp;$G$3)+SUMIFS(Vendas!$P$8:$P$2008,Vendas!$M$8:$M$2008,$B26,Vendas!$E$8:$E$2008,"&gt;=01/04/"&amp;$G$3,Vendas!$E$8:$E$2008,"&lt;=30/04/"&amp;$G$3)+SUMIFS(Vendas!$U$8:$U$2008,Vendas!$R$8:$R$2008,$B26,Vendas!$E$8:$E$2008,"&gt;=01/04/"&amp;$G$3,Vendas!$E$8:$E$2008,"&lt;=30/04/"&amp;$G$3)+SUMIFS(Vendas!$Z$8:$Z$2008,Vendas!$W$8:$W$2008,$B26,Vendas!$E$8:$E$2008,"&gt;=01/04/"&amp;$G$3,Vendas!$E$8:$E$2008,"&lt;=30/04/"&amp;$G$3)+SUMIFS(Vendas!$AE$8:$AE$2008,Vendas!$AB$8:$AB$2008,$B26,Vendas!$E$8:$E$2008,"&gt;=01/04/"&amp;$G$3,Vendas!$E$8:$E$2008,"&lt;=30/04/"&amp;$G$3)+SUMIFS(Vendas!$AJ$8:$AJ$2008,Vendas!$AG$8:$AG$2008,$B26,Vendas!$E$8:$E$2008,"&gt;=01/04/"&amp;$G$3,Vendas!$E$8:$E$2008,"&lt;=30/04/"&amp;$G$3)+SUMIFS(Vendas!$AO$8:$AO$2008,Vendas!$AL$8:$AL$2008,$B26,Vendas!$E$8:$E$2008,"&gt;=01/04/"&amp;$G$3,Vendas!$E$8:$E$2008,"&lt;=30/04/"&amp;$G$3)+SUMIFS(Vendas!$AT$8:$AT$2008,Vendas!$AQ$8:$AQ$2008,$B26,Vendas!$E$8:$E$2008,"&gt;=01/04/"&amp;$G$3,Vendas!$E$8:$E$2008,"&lt;=30/04/"&amp;$G$3)</f>
        <v>0</v>
      </c>
      <c r="J26" s="162">
        <f>SUMIFS(Vendas!$K$8:$K$2008,Vendas!$H$8:$H$2008,$B26,Vendas!$E$8:$E$2008,"&gt;=01/04/"&amp;$G$3,Vendas!$E$8:$E$2008,"&lt;=30/04/"&amp;$G$3,Vendas!$C$8:$C$2008,"Entregue")+SUMIFS(Vendas!$P$8:$P$2008,Vendas!$M$8:$M$2008,$B26,Vendas!$E$8:$E$2008,"&gt;=01/04/"&amp;$G$3,Vendas!$E$8:$E$2008,"&lt;=30/04/"&amp;$G$3,Vendas!$C$8:$C$2008,"Entregue")+SUMIFS(Vendas!$U$8:$U$2008,Vendas!$R$8:$R$2008,$B26,Vendas!$E$8:$E$2008,"&gt;=01/04/"&amp;$G$3,Vendas!$E$8:$E$2008,"&lt;=30/04/"&amp;$G$3,Vendas!$C$8:$C$2008,"Entregue")+SUMIFS(Vendas!$Z$8:$Z$2008,Vendas!$W$8:$W$2008,$B26,Vendas!$E$8:$E$2008,"&gt;=01/04/"&amp;$G$3,Vendas!$E$8:$E$2008,"&lt;=30/04/"&amp;$G$3,Vendas!$C$8:$C$2008,"Entregue")+SUMIFS(Vendas!$AE$8:$AE$2008,Vendas!$AB$8:$AB$2008,$B26,Vendas!$E$8:$E$2008,"&gt;=01/04/"&amp;$G$3,Vendas!$E$8:$E$2008,"&lt;=30/04/"&amp;$G$3,Vendas!$C$8:$C$2008,"Entregue")+SUMIFS(Vendas!$AJ$8:$AJ$2008,Vendas!$AG$8:$AG$2008,$B26,Vendas!$E$8:$E$2008,"&gt;=01/04/"&amp;$G$3,Vendas!$E$8:$E$2008,"&lt;=30/04/"&amp;$G$3,Vendas!$C$8:$C$2008,"Entregue")+SUMIFS(Vendas!$AO$8:$AO$2008,Vendas!$AL$8:$AL$2008,$B26,Vendas!$E$8:$E$2008,"&gt;=01/04/"&amp;$G$3,Vendas!$E$8:$E$2008,"&lt;=30/04/"&amp;$G$3,Vendas!$C$8:$C$2008,"Entregue")+SUMIFS(Vendas!$AT$8:$AT$2008,Vendas!$AQ$8:$AQ$2008,$B26,Vendas!$E$8:$E$2008,"&gt;=01/04/"&amp;$G$3,Vendas!$E$8:$E$2008,"&lt;=30/04/"&amp;$G$3,Vendas!$C$8:$C$2008,"Entregue")</f>
        <v>0</v>
      </c>
      <c r="K26" s="162">
        <f>SUMIFS(Vendas!$K$8:$K$2008,Vendas!$H$8:$H$2008,$B26,Vendas!$E$8:$E$2008,"&gt;=01/05/"&amp;$G$3,Vendas!$E$8:$E$2008,"&lt;=31/05/"&amp;$G$3)+SUMIFS(Vendas!$P$8:$P$2008,Vendas!$M$8:$M$2008,$B26,Vendas!$E$8:$E$2008,"&gt;=01/05/"&amp;$G$3,Vendas!$E$8:$E$2008,"&lt;=31/05/"&amp;$G$3)+SUMIFS(Vendas!$U$8:$U$2008,Vendas!$R$8:$R$2008,$B26,Vendas!$E$8:$E$2008,"&gt;=01/05/"&amp;$G$3,Vendas!$E$8:$E$2008,"&lt;=31/05/"&amp;$G$3)+SUMIFS(Vendas!$Z$8:$Z$2008,Vendas!$W$8:$W$2008,$B26,Vendas!$E$8:$E$2008,"&gt;=01/05/"&amp;$G$3,Vendas!$E$8:$E$2008,"&lt;=31/05/"&amp;$G$3)+SUMIFS(Vendas!$AE$8:$AE$2008,Vendas!$AB$8:$AB$2008,$B26,Vendas!$E$8:$E$2008,"&gt;=01/05/"&amp;$G$3,Vendas!$E$8:$E$2008,"&lt;=31/05/"&amp;$G$3)+SUMIFS(Vendas!$AJ$8:$AJ$2008,Vendas!$AG$8:$AG$2008,$B26,Vendas!$E$8:$E$2008,"&gt;=01/05/"&amp;$G$3,Vendas!$E$8:$E$2008,"&lt;=31/05/"&amp;$G$3)+SUMIFS(Vendas!$AO$8:$AO$2008,Vendas!$AL$8:$AL$2008,$B26,Vendas!$E$8:$E$2008,"&gt;=01/05/"&amp;$G$3,Vendas!$E$8:$E$2008,"&lt;=31/05/"&amp;$G$3)+SUMIFS(Vendas!$AT$8:$AT$2008,Vendas!$AQ$8:$AQ$2008,$B26,Vendas!$E$8:$E$2008,"&gt;=01/05/"&amp;$G$3,Vendas!$E$8:$E$2008,"&lt;=31/05/"&amp;$G$3)</f>
        <v>0</v>
      </c>
      <c r="L26" s="162">
        <f>SUMIFS(Vendas!$K$8:$K$2008,Vendas!$H$8:$H$2008,$B26,Vendas!$E$8:$E$2008,"&gt;=01/05/"&amp;$G$3,Vendas!$E$8:$E$2008,"&lt;=31/05/"&amp;$G$3,Vendas!$C$8:$C$2008,"Entregue")+SUMIFS(Vendas!$P$8:$P$2008,Vendas!$M$8:$M$2008,$B26,Vendas!$E$8:$E$2008,"&gt;=01/05/"&amp;$G$3,Vendas!$E$8:$E$2008,"&lt;=31/05/"&amp;$G$3,Vendas!$C$8:$C$2008,"Entregue")+SUMIFS(Vendas!$U$8:$U$2008,Vendas!$R$8:$R$2008,$B26,Vendas!$E$8:$E$2008,"&gt;=01/05/"&amp;$G$3,Vendas!$E$8:$E$2008,"&lt;=31/05/"&amp;$G$3,Vendas!$C$8:$C$2008,"Entregue")+SUMIFS(Vendas!$Z$8:$Z$2008,Vendas!$W$8:$W$2008,$B26,Vendas!$E$8:$E$2008,"&gt;=01/05/"&amp;$G$3,Vendas!$E$8:$E$2008,"&lt;=31/05/"&amp;$G$3,Vendas!$C$8:$C$2008,"Entregue")+SUMIFS(Vendas!$AE$8:$AE$2008,Vendas!$AB$8:$AB$2008,$B26,Vendas!$E$8:$E$2008,"&gt;=01/05/"&amp;$G$3,Vendas!$E$8:$E$2008,"&lt;=31/05/"&amp;$G$3,Vendas!$C$8:$C$2008,"Entregue")+SUMIFS(Vendas!$AJ$8:$AJ$2008,Vendas!$AG$8:$AG$2008,$B26,Vendas!$E$8:$E$2008,"&gt;=01/05/"&amp;$G$3,Vendas!$E$8:$E$2008,"&lt;=31/05/"&amp;$G$3,Vendas!$C$8:$C$2008,"Entregue")+SUMIFS(Vendas!$AO$8:$AO$2008,Vendas!$AL$8:$AL$2008,$B26,Vendas!$E$8:$E$2008,"&gt;=01/05/"&amp;$G$3,Vendas!$E$8:$E$2008,"&lt;=31/05/"&amp;$G$3,Vendas!$C$8:$C$2008,"Entregue")+SUMIFS(Vendas!$AT$8:$AT$2008,Vendas!$AQ$8:$AQ$2008,$B26,Vendas!$E$8:$E$2008,"&gt;=01/05/"&amp;$G$3,Vendas!$E$8:$E$2008,"&lt;=31/05/"&amp;$G$3,Vendas!$C$8:$C$2008,"Entregue")</f>
        <v>0</v>
      </c>
      <c r="M26" s="162">
        <f>SUMIFS(Vendas!$K$8:$K$2008,Vendas!$H$8:$H$2008,$B26,Vendas!$E$8:$E$2008,"&gt;=01/06/"&amp;$G$3,Vendas!$E$8:$E$2008,"&lt;=30/06/"&amp;$G$3)+SUMIFS(Vendas!$P$8:$P$2008,Vendas!$M$8:$M$2008,$B26,Vendas!$E$8:$E$2008,"&gt;=01/06/"&amp;$G$3,Vendas!$E$8:$E$2008,"&lt;=30/06/"&amp;$G$3)+SUMIFS(Vendas!$U$8:$U$2008,Vendas!$R$8:$R$2008,$B26,Vendas!$E$8:$E$2008,"&gt;=01/06/"&amp;$G$3,Vendas!$E$8:$E$2008,"&lt;=30/06/"&amp;$G$3)+SUMIFS(Vendas!$Z$8:$Z$2008,Vendas!$W$8:$W$2008,$B26,Vendas!$E$8:$E$2008,"&gt;=01/06/"&amp;$G$3,Vendas!$E$8:$E$2008,"&lt;=30/06/"&amp;$G$3)+SUMIFS(Vendas!$AE$8:$AE$2008,Vendas!$AB$8:$AB$2008,$B26,Vendas!$E$8:$E$2008,"&gt;=01/06/"&amp;$G$3,Vendas!$E$8:$E$2008,"&lt;=30/06/"&amp;$G$3)+SUMIFS(Vendas!$AJ$8:$AJ$2008,Vendas!$AG$8:$AG$2008,$B26,Vendas!$E$8:$E$2008,"&gt;=01/06/"&amp;$G$3,Vendas!$E$8:$E$2008,"&lt;=30/06/"&amp;$G$3)+SUMIFS(Vendas!$AO$8:$AO$2008,Vendas!$AL$8:$AL$2008,$B26,Vendas!$E$8:$E$2008,"&gt;=01/06/"&amp;$G$3,Vendas!$E$8:$E$2008,"&lt;=30/06/"&amp;$G$3)+SUMIFS(Vendas!$AT$8:$AT$2008,Vendas!$AQ$8:$AQ$2008,$B26,Vendas!$E$8:$E$2008,"&gt;=01/06/"&amp;$G$3,Vendas!$E$8:$E$2008,"&lt;=30/06/"&amp;$G$3)</f>
        <v>0</v>
      </c>
      <c r="N26" s="162">
        <f>SUMIFS(Vendas!$K$8:$K$2008,Vendas!$H$8:$H$2008,$B26,Vendas!$E$8:$E$2008,"&gt;=01/06/"&amp;$G$3,Vendas!$E$8:$E$2008,"&lt;=30/06/"&amp;$G$3,Vendas!$C$8:$C$2008,"Entregue")+SUMIFS(Vendas!$P$8:$P$2008,Vendas!$M$8:$M$2008,$B26,Vendas!$E$8:$E$2008,"&gt;=01/06/"&amp;$G$3,Vendas!$E$8:$E$2008,"&lt;=30/06/"&amp;$G$3,Vendas!$C$8:$C$2008,"Entregue")+SUMIFS(Vendas!$U$8:$U$2008,Vendas!$R$8:$R$2008,$B26,Vendas!$E$8:$E$2008,"&gt;=01/06/"&amp;$G$3,Vendas!$E$8:$E$2008,"&lt;=30/06/"&amp;$G$3,Vendas!$C$8:$C$2008,"Entregue")+SUMIFS(Vendas!$Z$8:$Z$2008,Vendas!$W$8:$W$2008,$B26,Vendas!$E$8:$E$2008,"&gt;=01/06/"&amp;$G$3,Vendas!$E$8:$E$2008,"&lt;=30/06/"&amp;$G$3,Vendas!$C$8:$C$2008,"Entregue")+SUMIFS(Vendas!$AE$8:$AE$2008,Vendas!$AB$8:$AB$2008,$B26,Vendas!$E$8:$E$2008,"&gt;=01/06/"&amp;$G$3,Vendas!$E$8:$E$2008,"&lt;=30/06/"&amp;$G$3,Vendas!$C$8:$C$2008,"Entregue")+SUMIFS(Vendas!$AJ$8:$AJ$2008,Vendas!$AG$8:$AG$2008,$B26,Vendas!$E$8:$E$2008,"&gt;=01/06/"&amp;$G$3,Vendas!$E$8:$E$2008,"&lt;=30/06/"&amp;$G$3,Vendas!$C$8:$C$2008,"Entregue")+SUMIFS(Vendas!$AO$8:$AO$2008,Vendas!$AL$8:$AL$2008,$B26,Vendas!$E$8:$E$2008,"&gt;=01/06/"&amp;$G$3,Vendas!$E$8:$E$2008,"&lt;=30/06/"&amp;$G$3,Vendas!$C$8:$C$2008,"Entregue")+SUMIFS(Vendas!$AT$8:$AT$2008,Vendas!$AQ$8:$AQ$2008,$B26,Vendas!$E$8:$E$2008,"&gt;=01/06/"&amp;$G$3,Vendas!$E$8:$E$2008,"&lt;=30/06/"&amp;$G$3,Vendas!$C$8:$C$2008,"Entregue")</f>
        <v>0</v>
      </c>
      <c r="O26" s="162">
        <f>SUMIFS(Vendas!$K$8:$K$2008,Vendas!$H$8:$H$2008,$B26,Vendas!$E$8:$E$2008,"&gt;=01/07/"&amp;$G$3,Vendas!$E$8:$E$2008,"&lt;=31/07/"&amp;$G$3)+SUMIFS(Vendas!$P$8:$P$2008,Vendas!$M$8:$M$2008,$B26,Vendas!$E$8:$E$2008,"&gt;=01/07/"&amp;$G$3,Vendas!$E$8:$E$2008,"&lt;=31/07/"&amp;$G$3)+SUMIFS(Vendas!$U$8:$U$2008,Vendas!$R$8:$R$2008,$B26,Vendas!$E$8:$E$2008,"&gt;=01/07/"&amp;$G$3,Vendas!$E$8:$E$2008,"&lt;=31/07/"&amp;$G$3)+SUMIFS(Vendas!$Z$8:$Z$2008,Vendas!$W$8:$W$2008,$B26,Vendas!$E$8:$E$2008,"&gt;=01/07/"&amp;$G$3,Vendas!$E$8:$E$2008,"&lt;=31/07/"&amp;$G$3)+SUMIFS(Vendas!$AE$8:$AE$2008,Vendas!$AB$8:$AB$2008,$B26,Vendas!$E$8:$E$2008,"&gt;=01/07/"&amp;$G$3,Vendas!$E$8:$E$2008,"&lt;=31/07/"&amp;$G$3)+SUMIFS(Vendas!$AJ$8:$AJ$2008,Vendas!$AG$8:$AG$2008,$B26,Vendas!$E$8:$E$2008,"&gt;=01/07/"&amp;$G$3,Vendas!$E$8:$E$2008,"&lt;=31/07/"&amp;$G$3)+SUMIFS(Vendas!$AO$8:$AO$2008,Vendas!$AL$8:$AL$2008,$B26,Vendas!$E$8:$E$2008,"&gt;=01/07/"&amp;$G$3,Vendas!$E$8:$E$2008,"&lt;=31/07/"&amp;$G$3)+SUMIFS(Vendas!$AT$8:$AT$2008,Vendas!$AQ$8:$AQ$2008,$B26,Vendas!$E$8:$E$2008,"&gt;=01/07/"&amp;$G$3,Vendas!$E$8:$E$2008,"&lt;=31/07/"&amp;$G$3)</f>
        <v>0</v>
      </c>
      <c r="P26" s="162">
        <f>SUMIFS(Vendas!$K$8:$K$2008,Vendas!$H$8:$H$2008,$B26,Vendas!$E$8:$E$2008,"&gt;=01/07/"&amp;$G$3,Vendas!$E$8:$E$2008,"&lt;=31/07/"&amp;$G$3,Vendas!$C$8:$C$2008,"Entregue")+SUMIFS(Vendas!$P$8:$P$2008,Vendas!$M$8:$M$2008,$B26,Vendas!$E$8:$E$2008,"&gt;=01/07/"&amp;$G$3,Vendas!$E$8:$E$2008,"&lt;=31/07/"&amp;$G$3,Vendas!$C$8:$C$2008,"Entregue")+SUMIFS(Vendas!$U$8:$U$2008,Vendas!$R$8:$R$2008,$B26,Vendas!$E$8:$E$2008,"&gt;=01/07/"&amp;$G$3,Vendas!$E$8:$E$2008,"&lt;=31/07/"&amp;$G$3,Vendas!$C$8:$C$2008,"Entregue")+SUMIFS(Vendas!$Z$8:$Z$2008,Vendas!$W$8:$W$2008,$B26,Vendas!$E$8:$E$2008,"&gt;=01/07/"&amp;$G$3,Vendas!$E$8:$E$2008,"&lt;=31/07/"&amp;$G$3,Vendas!$C$8:$C$2008,"Entregue")+SUMIFS(Vendas!$AE$8:$AE$2008,Vendas!$AB$8:$AB$2008,$B26,Vendas!$E$8:$E$2008,"&gt;=01/07/"&amp;$G$3,Vendas!$E$8:$E$2008,"&lt;=31/07/"&amp;$G$3,Vendas!$C$8:$C$2008,"Entregue")+SUMIFS(Vendas!$AJ$8:$AJ$2008,Vendas!$AG$8:$AG$2008,$B26,Vendas!$E$8:$E$2008,"&gt;=01/07/"&amp;$G$3,Vendas!$E$8:$E$2008,"&lt;=31/07/"&amp;$G$3,Vendas!$C$8:$C$2008,"Entregue")+SUMIFS(Vendas!$AO$8:$AO$2008,Vendas!$AL$8:$AL$2008,$B26,Vendas!$E$8:$E$2008,"&gt;=01/07/"&amp;$G$3,Vendas!$E$8:$E$2008,"&lt;=31/07/"&amp;$G$3,Vendas!$C$8:$C$2008,"Entregue")+SUMIFS(Vendas!$AT$8:$AT$2008,Vendas!$AQ$8:$AQ$2008,$B26,Vendas!$E$8:$E$2008,"&gt;=01/07/"&amp;$G$3,Vendas!$E$8:$E$2008,"&lt;=31/07/"&amp;$G$3,Vendas!$C$8:$C$2008,"Entregue")</f>
        <v>0</v>
      </c>
      <c r="Q26" s="162">
        <f>SUMIFS(Vendas!$K$8:$K$2008,Vendas!$H$8:$H$2008,$B26,Vendas!$E$8:$E$2008,"&gt;=01/08/"&amp;$G$3,Vendas!$E$8:$E$2008,"&lt;=31/08/"&amp;$G$3)+SUMIFS(Vendas!$P$8:$P$2008,Vendas!$M$8:$M$2008,$B26,Vendas!$E$8:$E$2008,"&gt;=01/08/"&amp;$G$3,Vendas!$E$8:$E$2008,"&lt;=31/08/"&amp;$G$3)+SUMIFS(Vendas!$U$8:$U$2008,Vendas!$R$8:$R$2008,$B26,Vendas!$E$8:$E$2008,"&gt;=01/08/"&amp;$G$3,Vendas!$E$8:$E$2008,"&lt;=31/08/"&amp;$G$3)+SUMIFS(Vendas!$Z$8:$Z$2008,Vendas!$W$8:$W$2008,$B26,Vendas!$E$8:$E$2008,"&gt;=01/08/"&amp;$G$3,Vendas!$E$8:$E$2008,"&lt;=31/08/"&amp;$G$3)+SUMIFS(Vendas!$AE$8:$AE$2008,Vendas!$AB$8:$AB$2008,$B26,Vendas!$E$8:$E$2008,"&gt;=01/08/"&amp;$G$3,Vendas!$E$8:$E$2008,"&lt;=31/08/"&amp;$G$3)+SUMIFS(Vendas!$AJ$8:$AJ$2008,Vendas!$AG$8:$AG$2008,$B26,Vendas!$E$8:$E$2008,"&gt;=01/08/"&amp;$G$3,Vendas!$E$8:$E$2008,"&lt;=31/08/"&amp;$G$3)+SUMIFS(Vendas!$AO$8:$AO$2008,Vendas!$AL$8:$AL$2008,$B26,Vendas!$E$8:$E$2008,"&gt;=01/08/"&amp;$G$3,Vendas!$E$8:$E$2008,"&lt;=31/08/"&amp;$G$3)+SUMIFS(Vendas!$AT$8:$AT$2008,Vendas!$AQ$8:$AQ$2008,$B26,Vendas!$E$8:$E$2008,"&gt;=01/08/"&amp;$G$3,Vendas!$E$8:$E$2008,"&lt;=31/08/"&amp;$G$3)</f>
        <v>0</v>
      </c>
      <c r="R26" s="162">
        <f>SUMIFS(Vendas!$K$8:$K$2008,Vendas!$H$8:$H$2008,$B26,Vendas!$E$8:$E$2008,"&gt;=01/08/"&amp;$G$3,Vendas!$E$8:$E$2008,"&lt;=31/08/"&amp;$G$3,Vendas!$C$8:$C$2008,"Entregue")+SUMIFS(Vendas!$P$8:$P$2008,Vendas!$M$8:$M$2008,$B26,Vendas!$E$8:$E$2008,"&gt;=01/08/"&amp;$G$3,Vendas!$E$8:$E$2008,"&lt;=31/08/"&amp;$G$3,Vendas!$C$8:$C$2008,"Entregue")+SUMIFS(Vendas!$U$8:$U$2008,Vendas!$R$8:$R$2008,$B26,Vendas!$E$8:$E$2008,"&gt;=01/08/"&amp;$G$3,Vendas!$E$8:$E$2008,"&lt;=31/08/"&amp;$G$3,Vendas!$C$8:$C$2008,"Entregue")+SUMIFS(Vendas!$Z$8:$Z$2008,Vendas!$W$8:$W$2008,$B26,Vendas!$E$8:$E$2008,"&gt;=01/08/"&amp;$G$3,Vendas!$E$8:$E$2008,"&lt;=31/08/"&amp;$G$3,Vendas!$C$8:$C$2008,"Entregue")+SUMIFS(Vendas!$AE$8:$AE$2008,Vendas!$AB$8:$AB$2008,$B26,Vendas!$E$8:$E$2008,"&gt;=01/08/"&amp;$G$3,Vendas!$E$8:$E$2008,"&lt;=31/08/"&amp;$G$3,Vendas!$C$8:$C$2008,"Entregue")+SUMIFS(Vendas!$AJ$8:$AJ$2008,Vendas!$AG$8:$AG$2008,$B26,Vendas!$E$8:$E$2008,"&gt;=01/08/"&amp;$G$3,Vendas!$E$8:$E$2008,"&lt;=31/08/"&amp;$G$3,Vendas!$C$8:$C$2008,"Entregue")+SUMIFS(Vendas!$AO$8:$AO$2008,Vendas!$AL$8:$AL$2008,$B26,Vendas!$E$8:$E$2008,"&gt;=01/08/"&amp;$G$3,Vendas!$E$8:$E$2008,"&lt;=31/08/"&amp;$G$3,Vendas!$C$8:$C$2008,"Entregue")+SUMIFS(Vendas!$AT$8:$AT$2008,Vendas!$AQ$8:$AQ$2008,$B26,Vendas!$E$8:$E$2008,"&gt;=01/08/"&amp;$G$3,Vendas!$E$8:$E$2008,"&lt;=31/08/"&amp;$G$3,Vendas!$C$8:$C$2008,"Entregue")</f>
        <v>0</v>
      </c>
      <c r="S26" s="162">
        <f>SUMIFS(Vendas!$K$8:$K$2008,Vendas!$H$8:$H$2008,$B26,Vendas!$E$8:$E$2008,"&gt;=01/09/"&amp;$G$3,Vendas!$E$8:$E$2008,"&lt;=30/09/"&amp;$G$3)+SUMIFS(Vendas!$P$8:$P$2008,Vendas!$M$8:$M$2008,$B26,Vendas!$E$8:$E$2008,"&gt;=01/09/"&amp;$G$3,Vendas!$E$8:$E$2008,"&lt;=30/09/"&amp;$G$3)+SUMIFS(Vendas!$U$8:$U$2008,Vendas!$R$8:$R$2008,$B26,Vendas!$E$8:$E$2008,"&gt;=01/09/"&amp;$G$3,Vendas!$E$8:$E$2008,"&lt;=30/09/"&amp;$G$3)+SUMIFS(Vendas!$Z$8:$Z$2008,Vendas!$W$8:$W$2008,$B26,Vendas!$E$8:$E$2008,"&gt;=01/09/"&amp;$G$3,Vendas!$E$8:$E$2008,"&lt;=30/09/"&amp;$G$3)+SUMIFS(Vendas!$AE$8:$AE$2008,Vendas!$AB$8:$AB$2008,$B26,Vendas!$E$8:$E$2008,"&gt;=01/09/"&amp;$G$3,Vendas!$E$8:$E$2008,"&lt;=30/09/"&amp;$G$3)+SUMIFS(Vendas!$AJ$8:$AJ$2008,Vendas!$AG$8:$AG$2008,$B26,Vendas!$E$8:$E$2008,"&gt;=01/09/"&amp;$G$3,Vendas!$E$8:$E$2008,"&lt;=30/09/"&amp;$G$3)+SUMIFS(Vendas!$AO$8:$AO$2008,Vendas!$AL$8:$AL$2008,$B26,Vendas!$E$8:$E$2008,"&gt;=01/09/"&amp;$G$3,Vendas!$E$8:$E$2008,"&lt;=30/09/"&amp;$G$3)+SUMIFS(Vendas!$AT$8:$AT$2008,Vendas!$AQ$8:$AQ$2008,$B26,Vendas!$E$8:$E$2008,"&gt;=01/09/"&amp;$G$3,Vendas!$E$8:$E$2008,"&lt;=30/09/"&amp;$G$3)</f>
        <v>0</v>
      </c>
      <c r="T26" s="162">
        <f>SUMIFS(Vendas!$K$8:$K$2008,Vendas!$H$8:$H$2008,$B26,Vendas!$E$8:$E$2008,"&gt;=01/09/"&amp;$G$3,Vendas!$E$8:$E$2008,"&lt;=30/09/"&amp;$G$3,Vendas!$C$8:$C$2008,"Entregue")+SUMIFS(Vendas!$P$8:$P$2008,Vendas!$M$8:$M$2008,$B26,Vendas!$E$8:$E$2008,"&gt;=01/09/"&amp;$G$3,Vendas!$E$8:$E$2008,"&lt;=30/09/"&amp;$G$3,Vendas!$C$8:$C$2008,"Entregue")+SUMIFS(Vendas!$U$8:$U$2008,Vendas!$R$8:$R$2008,$B26,Vendas!$E$8:$E$2008,"&gt;=01/09/"&amp;$G$3,Vendas!$E$8:$E$2008,"&lt;=30/09/"&amp;$G$3,Vendas!$C$8:$C$2008,"Entregue")+SUMIFS(Vendas!$Z$8:$Z$2008,Vendas!$W$8:$W$2008,$B26,Vendas!$E$8:$E$2008,"&gt;=01/09/"&amp;$G$3,Vendas!$E$8:$E$2008,"&lt;=30/09/"&amp;$G$3,Vendas!$C$8:$C$2008,"Entregue")+SUMIFS(Vendas!$AE$8:$AE$2008,Vendas!$AB$8:$AB$2008,$B26,Vendas!$E$8:$E$2008,"&gt;=01/09/"&amp;$G$3,Vendas!$E$8:$E$2008,"&lt;=30/09/"&amp;$G$3,Vendas!$C$8:$C$2008,"Entregue")+SUMIFS(Vendas!$AJ$8:$AJ$2008,Vendas!$AG$8:$AG$2008,$B26,Vendas!$E$8:$E$2008,"&gt;=01/09/"&amp;$G$3,Vendas!$E$8:$E$2008,"&lt;=30/09/"&amp;$G$3,Vendas!$C$8:$C$2008,"Entregue")+SUMIFS(Vendas!$AO$8:$AO$2008,Vendas!$AL$8:$AL$2008,$B26,Vendas!$E$8:$E$2008,"&gt;=01/09/"&amp;$G$3,Vendas!$E$8:$E$2008,"&lt;=30/09/"&amp;$G$3,Vendas!$C$8:$C$2008,"Entregue")+SUMIFS(Vendas!$AT$8:$AT$2008,Vendas!$AQ$8:$AQ$2008,$B26,Vendas!$E$8:$E$2008,"&gt;=01/09/"&amp;$G$3,Vendas!$E$8:$E$2008,"&lt;=30/09/"&amp;$G$3,Vendas!$C$8:$C$2008,"Entregue")</f>
        <v>0</v>
      </c>
      <c r="U26" s="162">
        <f>SUMIFS(Vendas!$K$8:$K$2008,Vendas!$H$8:$H$2008,$B26,Vendas!$E$8:$E$2008,"&gt;=01/10/"&amp;$G$3,Vendas!$E$8:$E$2008,"&lt;=31/10/"&amp;$G$3)+SUMIFS(Vendas!$P$8:$P$2008,Vendas!$M$8:$M$2008,$B26,Vendas!$E$8:$E$2008,"&gt;=01/10/"&amp;$G$3,Vendas!$E$8:$E$2008,"&lt;=31/10/"&amp;$G$3)+SUMIFS(Vendas!$U$8:$U$2008,Vendas!$R$8:$R$2008,$B26,Vendas!$E$8:$E$2008,"&gt;=01/10/"&amp;$G$3,Vendas!$E$8:$E$2008,"&lt;=31/10/"&amp;$G$3)+SUMIFS(Vendas!$Z$8:$Z$2008,Vendas!$W$8:$W$2008,$B26,Vendas!$E$8:$E$2008,"&gt;=01/10/"&amp;$G$3,Vendas!$E$8:$E$2008,"&lt;=31/10/"&amp;$G$3)+SUMIFS(Vendas!$AE$8:$AE$2008,Vendas!$AB$8:$AB$2008,$B26,Vendas!$E$8:$E$2008,"&gt;=01/10/"&amp;$G$3,Vendas!$E$8:$E$2008,"&lt;=31/10/"&amp;$G$3)+SUMIFS(Vendas!$AJ$8:$AJ$2008,Vendas!$AG$8:$AG$2008,$B26,Vendas!$E$8:$E$2008,"&gt;=01/10/"&amp;$G$3,Vendas!$E$8:$E$2008,"&lt;=31/10/"&amp;$G$3)+SUMIFS(Vendas!$AO$8:$AO$2008,Vendas!$AL$8:$AL$2008,$B26,Vendas!$E$8:$E$2008,"&gt;=01/10/"&amp;$G$3,Vendas!$E$8:$E$2008,"&lt;=31/10/"&amp;$G$3)+SUMIFS(Vendas!$AT$8:$AT$2008,Vendas!$AQ$8:$AQ$2008,$B26,Vendas!$E$8:$E$2008,"&gt;=01/10/"&amp;$G$3,Vendas!$E$8:$E$2008,"&lt;=31/10/"&amp;$G$3)</f>
        <v>0</v>
      </c>
      <c r="V26" s="162">
        <f>SUMIFS(Vendas!$K$8:$K$2008,Vendas!$H$8:$H$2008,$B26,Vendas!$E$8:$E$2008,"&gt;=01/10/"&amp;$G$3,Vendas!$E$8:$E$2008,"&lt;=31/10/"&amp;$G$3,Vendas!$C$8:$C$2008,"Entregue")+SUMIFS(Vendas!$P$8:$P$2008,Vendas!$M$8:$M$2008,$B26,Vendas!$E$8:$E$2008,"&gt;=01/10/"&amp;$G$3,Vendas!$E$8:$E$2008,"&lt;=31/10/"&amp;$G$3,Vendas!$C$8:$C$2008,"Entregue")+SUMIFS(Vendas!$U$8:$U$2008,Vendas!$R$8:$R$2008,$B26,Vendas!$E$8:$E$2008,"&gt;=01/10/"&amp;$G$3,Vendas!$E$8:$E$2008,"&lt;=31/10/"&amp;$G$3,Vendas!$C$8:$C$2008,"Entregue")+SUMIFS(Vendas!$Z$8:$Z$2008,Vendas!$W$8:$W$2008,$B26,Vendas!$E$8:$E$2008,"&gt;=01/10/"&amp;$G$3,Vendas!$E$8:$E$2008,"&lt;=31/10/"&amp;$G$3,Vendas!$C$8:$C$2008,"Entregue")+SUMIFS(Vendas!$AE$8:$AE$2008,Vendas!$AB$8:$AB$2008,$B26,Vendas!$E$8:$E$2008,"&gt;=01/10/"&amp;$G$3,Vendas!$E$8:$E$2008,"&lt;=31/10/"&amp;$G$3,Vendas!$C$8:$C$2008,"Entregue")+SUMIFS(Vendas!$AJ$8:$AJ$2008,Vendas!$AG$8:$AG$2008,$B26,Vendas!$E$8:$E$2008,"&gt;=01/10/"&amp;$G$3,Vendas!$E$8:$E$2008,"&lt;=31/10/"&amp;$G$3,Vendas!$C$8:$C$2008,"Entregue")+SUMIFS(Vendas!$AO$8:$AO$2008,Vendas!$AL$8:$AL$2008,$B26,Vendas!$E$8:$E$2008,"&gt;=01/10/"&amp;$G$3,Vendas!$E$8:$E$2008,"&lt;=31/10/"&amp;$G$3,Vendas!$C$8:$C$2008,"Entregue")+SUMIFS(Vendas!$AT$8:$AT$2008,Vendas!$AQ$8:$AQ$2008,$B26,Vendas!$E$8:$E$2008,"&gt;=01/10/"&amp;$G$3,Vendas!$E$8:$E$2008,"&lt;=31/10/"&amp;$G$3,Vendas!$C$8:$C$2008,"Entregue")</f>
        <v>0</v>
      </c>
      <c r="W26" s="162">
        <f>SUMIFS(Vendas!$K$8:$K$2008,Vendas!$H$8:$H$2008,$B26,Vendas!$E$8:$E$2008,"&gt;=01/11/"&amp;$G$3,Vendas!$E$8:$E$2008,"&lt;=30/11/"&amp;$G$3)+SUMIFS(Vendas!$P$8:$P$2008,Vendas!$M$8:$M$2008,$B26,Vendas!$E$8:$E$2008,"&gt;=01/11/"&amp;$G$3,Vendas!$E$8:$E$2008,"&lt;=30/11/"&amp;$G$3)+SUMIFS(Vendas!$U$8:$U$2008,Vendas!$R$8:$R$2008,$B26,Vendas!$E$8:$E$2008,"&gt;=01/11/"&amp;$G$3,Vendas!$E$8:$E$2008,"&lt;=30/11/"&amp;$G$3)+SUMIFS(Vendas!$Z$8:$Z$2008,Vendas!$W$8:$W$2008,$B26,Vendas!$E$8:$E$2008,"&gt;=01/11/"&amp;$G$3,Vendas!$E$8:$E$2008,"&lt;=30/11/"&amp;$G$3)+SUMIFS(Vendas!$AE$8:$AE$2008,Vendas!$AB$8:$AB$2008,$B26,Vendas!$E$8:$E$2008,"&gt;=01/11/"&amp;$G$3,Vendas!$E$8:$E$2008,"&lt;=30/11/"&amp;$G$3)+SUMIFS(Vendas!$AJ$8:$AJ$2008,Vendas!$AG$8:$AG$2008,$B26,Vendas!$E$8:$E$2008,"&gt;=01/11/"&amp;$G$3,Vendas!$E$8:$E$2008,"&lt;=30/11/"&amp;$G$3)+SUMIFS(Vendas!$AO$8:$AO$2008,Vendas!$AL$8:$AL$2008,$B26,Vendas!$E$8:$E$2008,"&gt;=01/11/"&amp;$G$3,Vendas!$E$8:$E$2008,"&lt;=30/11/"&amp;$G$3)+SUMIFS(Vendas!$AT$8:$AT$2008,Vendas!$AQ$8:$AQ$2008,$B26,Vendas!$E$8:$E$2008,"&gt;=01/11/"&amp;$G$3,Vendas!$E$8:$E$2008,"&lt;=30/11/"&amp;$G$3)</f>
        <v>0</v>
      </c>
      <c r="X26" s="162">
        <f>SUMIFS(Vendas!$K$8:$K$2008,Vendas!$H$8:$H$2008,$B26,Vendas!$E$8:$E$2008,"&gt;=01/11/"&amp;$G$3,Vendas!$E$8:$E$2008,"&lt;=30/11/"&amp;$G$3,Vendas!$C$8:$C$2008,"Entregue")+SUMIFS(Vendas!$P$8:$P$2008,Vendas!$M$8:$M$2008,$B26,Vendas!$E$8:$E$2008,"&gt;=01/11/"&amp;$G$3,Vendas!$E$8:$E$2008,"&lt;=30/11/"&amp;$G$3,Vendas!$C$8:$C$2008,"Entregue")+SUMIFS(Vendas!$U$8:$U$2008,Vendas!$R$8:$R$2008,$B26,Vendas!$E$8:$E$2008,"&gt;=01/11/"&amp;$G$3,Vendas!$E$8:$E$2008,"&lt;=30/11/"&amp;$G$3,Vendas!$C$8:$C$2008,"Entregue")+SUMIFS(Vendas!$Z$8:$Z$2008,Vendas!$W$8:$W$2008,$B26,Vendas!$E$8:$E$2008,"&gt;=01/11/"&amp;$G$3,Vendas!$E$8:$E$2008,"&lt;=30/11/"&amp;$G$3,Vendas!$C$8:$C$2008,"Entregue")+SUMIFS(Vendas!$AE$8:$AE$2008,Vendas!$AB$8:$AB$2008,$B26,Vendas!$E$8:$E$2008,"&gt;=01/11/"&amp;$G$3,Vendas!$E$8:$E$2008,"&lt;=30/11/"&amp;$G$3,Vendas!$C$8:$C$2008,"Entregue")+SUMIFS(Vendas!$AJ$8:$AJ$2008,Vendas!$AG$8:$AG$2008,$B26,Vendas!$E$8:$E$2008,"&gt;=01/11/"&amp;$G$3,Vendas!$E$8:$E$2008,"&lt;=30/11/"&amp;$G$3,Vendas!$C$8:$C$2008,"Entregue")+SUMIFS(Vendas!$AO$8:$AO$2008,Vendas!$AL$8:$AL$2008,$B26,Vendas!$E$8:$E$2008,"&gt;=01/11/"&amp;$G$3,Vendas!$E$8:$E$2008,"&lt;=30/11/"&amp;$G$3,Vendas!$C$8:$C$2008,"Entregue")+SUMIFS(Vendas!$AT$8:$AT$2008,Vendas!$AQ$8:$AQ$2008,$B26,Vendas!$E$8:$E$2008,"&gt;=01/11/"&amp;$G$3,Vendas!$E$8:$E$2008,"&lt;=30/11/"&amp;$G$3,Vendas!$C$8:$C$2008,"Entregue")</f>
        <v>0</v>
      </c>
      <c r="Y26" s="162">
        <f>SUMIFS(Vendas!$K$8:$K$2008,Vendas!$H$8:$H$2008,$B26,Vendas!$E$8:$E$2008,"&gt;=01/12/"&amp;$G$3,Vendas!$E$8:$E$2008,"&lt;=31/12/"&amp;$G$3)+SUMIFS(Vendas!$P$8:$P$2008,Vendas!$M$8:$M$2008,$B26,Vendas!$E$8:$E$2008,"&gt;=01/12/"&amp;$G$3,Vendas!$E$8:$E$2008,"&lt;=31/12/"&amp;$G$3)+SUMIFS(Vendas!$U$8:$U$2008,Vendas!$R$8:$R$2008,$B26,Vendas!$E$8:$E$2008,"&gt;=01/12/"&amp;$G$3,Vendas!$E$8:$E$2008,"&lt;=31/12/"&amp;$G$3)+SUMIFS(Vendas!$Z$8:$Z$2008,Vendas!$W$8:$W$2008,$B26,Vendas!$E$8:$E$2008,"&gt;=01/12/"&amp;$G$3,Vendas!$E$8:$E$2008,"&lt;=31/12/"&amp;$G$3)+SUMIFS(Vendas!$AE$8:$AE$2008,Vendas!$AB$8:$AB$2008,$B26,Vendas!$E$8:$E$2008,"&gt;=01/12/"&amp;$G$3,Vendas!$E$8:$E$2008,"&lt;=31/12/"&amp;$G$3)+SUMIFS(Vendas!$AJ$8:$AJ$2008,Vendas!$AG$8:$AG$2008,$B26,Vendas!$E$8:$E$2008,"&gt;=01/12/"&amp;$G$3,Vendas!$E$8:$E$2008,"&lt;=31/12/"&amp;$G$3)+SUMIFS(Vendas!$AO$8:$AO$2008,Vendas!$AL$8:$AL$2008,$B26,Vendas!$E$8:$E$2008,"&gt;=01/12/"&amp;$G$3,Vendas!$E$8:$E$2008,"&lt;=31/12/"&amp;$G$3)+SUMIFS(Vendas!$AT$8:$AT$2008,Vendas!$AQ$8:$AQ$2008,$B26,Vendas!$E$8:$E$2008,"&gt;=01/12/"&amp;$G$3,Vendas!$E$8:$E$2008,"&lt;=31/12/"&amp;$G$3)</f>
        <v>0</v>
      </c>
      <c r="Z26" s="163">
        <f>SUMIFS(Vendas!$K$8:$K$2008,Vendas!$H$8:$H$2008,$B26,Vendas!$E$8:$E$2008,"&gt;=01/12/"&amp;$G$3,Vendas!$E$8:$E$2008,"&lt;=31/12/"&amp;$G$3,Vendas!$C$8:$C$2008,"Entregue")+SUMIFS(Vendas!$P$8:$P$2008,Vendas!$M$8:$M$2008,$B26,Vendas!$E$8:$E$2008,"&gt;=01/12/"&amp;$G$3,Vendas!$E$8:$E$2008,"&lt;=31/12/"&amp;$G$3,Vendas!$C$8:$C$2008,"Entregue")+SUMIFS(Vendas!$U$8:$U$2008,Vendas!$R$8:$R$2008,$B26,Vendas!$E$8:$E$2008,"&gt;=01/12/"&amp;$G$3,Vendas!$E$8:$E$2008,"&lt;=31/12/"&amp;$G$3,Vendas!$C$8:$C$2008,"Entregue")+SUMIFS(Vendas!$Z$8:$Z$2008,Vendas!$W$8:$W$2008,$B26,Vendas!$E$8:$E$2008,"&gt;=01/12/"&amp;$G$3,Vendas!$E$8:$E$2008,"&lt;=31/12/"&amp;$G$3,Vendas!$C$8:$C$2008,"Entregue")+SUMIFS(Vendas!$AE$8:$AE$2008,Vendas!$AB$8:$AB$2008,$B26,Vendas!$E$8:$E$2008,"&gt;=01/12/"&amp;$G$3,Vendas!$E$8:$E$2008,"&lt;=31/12/"&amp;$G$3,Vendas!$C$8:$C$2008,"Entregue")+SUMIFS(Vendas!$AJ$8:$AJ$2008,Vendas!$AG$8:$AG$2008,$B26,Vendas!$E$8:$E$2008,"&gt;=01/12/"&amp;$G$3,Vendas!$E$8:$E$2008,"&lt;=31/12/"&amp;$G$3,Vendas!$C$8:$C$2008,"Entregue")+SUMIFS(Vendas!$AO$8:$AO$2008,Vendas!$AL$8:$AL$2008,$B26,Vendas!$E$8:$E$2008,"&gt;=01/12/"&amp;$G$3,Vendas!$E$8:$E$2008,"&lt;=31/12/"&amp;$G$3,Vendas!$C$8:$C$2008,"Entregue")+SUMIFS(Vendas!$AT$8:$AT$2008,Vendas!$AQ$8:$AQ$2008,$B26,Vendas!$E$8:$E$2008,"&gt;=01/12/"&amp;$G$3,Vendas!$E$8:$E$2008,"&lt;=31/12/"&amp;$G$3,Vendas!$C$8:$C$2008,"Entregue")</f>
        <v>0</v>
      </c>
      <c r="AA26" s="132">
        <f t="shared" si="0"/>
        <v>0</v>
      </c>
      <c r="AB26" s="132">
        <f t="shared" si="0"/>
        <v>0</v>
      </c>
      <c r="AC26" s="67"/>
    </row>
    <row r="27" spans="2:29" ht="14.4" x14ac:dyDescent="0.3">
      <c r="B27" s="262" t="str">
        <f>IF(Cadastros!G8="","",Cadastros!G8)</f>
        <v>240 - Base Box Casal 1,58 X 1,98 X 0,25 cm</v>
      </c>
      <c r="C27" s="158">
        <f>SUMIFS(Vendas!$K$8:$K$2008,Vendas!$H$8:$H$2008,$B27,Vendas!$E$8:$E$2008,"&gt;=01/01/"&amp;$G$3,Vendas!$E$8:$E$2008,"&lt;=31/01/"&amp;$G$3)+SUMIFS(Vendas!$P$8:$P$2008,Vendas!$M$8:$M$2008,$B27,Vendas!$E$8:$E$2008,"&gt;=01/01/"&amp;$G$3,Vendas!$E$8:$E$2008,"&lt;=31/01/"&amp;$G$3)+SUMIFS(Vendas!$U$8:$U$2008,Vendas!$R$8:$R$2008,$B27,Vendas!$E$8:$E$2008,"&gt;=01/01/"&amp;$G$3,Vendas!$E$8:$E$2008,"&lt;=31/01/"&amp;$G$3)+SUMIFS(Vendas!$Z$8:$Z$2008,Vendas!$W$8:$W$2008,$B27,Vendas!$E$8:$E$2008,"&gt;=01/01/"&amp;$G$3,Vendas!$E$8:$E$2008,"&lt;=31/01/"&amp;$G$3)+SUMIFS(Vendas!$AE$8:$AE$2008,Vendas!$AB$8:$AB$2008,$B27,Vendas!$E$8:$E$2008,"&gt;=01/01/"&amp;$G$3,Vendas!$E$8:$E$2008,"&lt;=31/01/"&amp;$G$3)+SUMIFS(Vendas!$AJ$8:$AJ$2008,Vendas!$AG$8:$AG$2008,$B27,Vendas!$E$8:$E$2008,"&gt;=01/01/"&amp;$G$3,Vendas!$E$8:$E$2008,"&lt;=31/01/"&amp;$G$3)+SUMIFS(Vendas!$AO$8:$AO$2008,Vendas!$AL$8:$AL$2008,$B27,Vendas!$E$8:$E$2008,"&gt;=01/01/"&amp;$G$3,Vendas!$E$8:$E$2008,"&lt;=31/01/"&amp;$G$3)+SUMIFS(Vendas!$AT$8:$AT$2008,Vendas!$AQ$8:$AQ$2008,$B27,Vendas!$E$8:$E$2008,"&gt;=01/01/"&amp;$G$3,Vendas!$E$8:$E$2008,"&lt;=31/01/"&amp;$G$3)</f>
        <v>0</v>
      </c>
      <c r="D27" s="159">
        <f>SUMIFS(Vendas!$K$8:$K$2008,Vendas!$H$8:$H$2008,$B27,Vendas!$E$8:$E$2008,"&gt;=01/01/"&amp;$G$3,Vendas!$E$8:$E$2008,"&lt;=31/01/"&amp;$G$3,Vendas!$C$8:$C$2008,"Entregue")+SUMIFS(Vendas!$P$8:$P$2008,Vendas!$M$8:$M$2008,$B27,Vendas!$E$8:$E$2008,"&gt;=01/01/"&amp;$G$3,Vendas!$E$8:$E$2008,"&lt;=31/01/"&amp;$G$3,Vendas!$C$8:$C$2008,"Entregue")+SUMIFS(Vendas!$U$8:$U$2008,Vendas!$R$8:$R$2008,$B27,Vendas!$E$8:$E$2008,"&gt;=01/01/"&amp;$G$3,Vendas!$E$8:$E$2008,"&lt;=31/01/"&amp;$G$3,Vendas!$C$8:$C$2008,"Entregue")+SUMIFS(Vendas!$Z$8:$Z$2008,Vendas!$W$8:$W$2008,$B27,Vendas!$E$8:$E$2008,"&gt;=01/01/"&amp;$G$3,Vendas!$E$8:$E$2008,"&lt;=31/01/"&amp;$G$3,Vendas!$C$8:$C$2008,"Entregue")+SUMIFS(Vendas!$AE$8:$AE$2008,Vendas!$AB$8:$AB$2008,$B27,Vendas!$E$8:$E$2008,"&gt;=01/01/"&amp;$G$3,Vendas!$E$8:$E$2008,"&lt;=31/01/"&amp;$G$3,Vendas!$C$8:$C$2008,"Entregue")+SUMIFS(Vendas!$AJ$8:$AJ$2008,Vendas!$AG$8:$AG$2008,$B27,Vendas!$E$8:$E$2008,"&gt;=01/01/"&amp;$G$3,Vendas!$E$8:$E$2008,"&lt;=31/01/"&amp;$G$3,Vendas!$C$8:$C$2008,"Entregue")+SUMIFS(Vendas!$AO$8:$AO$2008,Vendas!$AL$8:$AL$2008,$B27,Vendas!$E$8:$E$2008,"&gt;=01/01/"&amp;$G$3,Vendas!$E$8:$E$2008,"&lt;=31/01/"&amp;$G$3,Vendas!$C$8:$C$2008,"Entregue")+SUMIFS(Vendas!$AT$8:$AT$2008,Vendas!$AQ$8:$AQ$2008,$B27,Vendas!$E$8:$E$2008,"&gt;=01/01/"&amp;$G$3,Vendas!$E$8:$E$2008,"&lt;=31/01/"&amp;$G$3,Vendas!$C$8:$C$2008,"Entregue")</f>
        <v>0</v>
      </c>
      <c r="E27" s="159">
        <f>SUMIFS(Vendas!$K$8:$K$2008,Vendas!$H$8:$H$2008,$B27,Vendas!$E$8:$E$2008,"&gt;=01/02/"&amp;$G$3,Vendas!$E$8:$E$2008,"&lt;=28/02/"&amp;$G$3)+SUMIFS(Vendas!$P$8:$P$2008,Vendas!$M$8:$M$2008,$B27,Vendas!$E$8:$E$2008,"&gt;=01/02/"&amp;$G$3,Vendas!$E$8:$E$2008,"&lt;=28/02/"&amp;$G$3)+SUMIFS(Vendas!$U$8:$U$2008,Vendas!$R$8:$R$2008,$B27,Vendas!$E$8:$E$2008,"&gt;=01/02/"&amp;$G$3,Vendas!$E$8:$E$2008,"&lt;=28/02/"&amp;$G$3)+SUMIFS(Vendas!$Z$8:$Z$2008,Vendas!$W$8:$W$2008,$B27,Vendas!$E$8:$E$2008,"&gt;=01/02/"&amp;$G$3,Vendas!$E$8:$E$2008,"&lt;=28/02/"&amp;$G$3)+SUMIFS(Vendas!$AE$8:$AE$2008,Vendas!$AB$8:$AB$2008,$B27,Vendas!$E$8:$E$2008,"&gt;=01/02/"&amp;$G$3,Vendas!$E$8:$E$2008,"&lt;=28/02/"&amp;$G$3)+SUMIFS(Vendas!$AJ$8:$AJ$2008,Vendas!$AG$8:$AG$2008,$B27,Vendas!$E$8:$E$2008,"&gt;=01/02/"&amp;$G$3,Vendas!$E$8:$E$2008,"&lt;=28/02/"&amp;$G$3)+SUMIFS(Vendas!$AO$8:$AO$2008,Vendas!$AL$8:$AL$2008,$B27,Vendas!$E$8:$E$2008,"&gt;=01/02/"&amp;$G$3,Vendas!$E$8:$E$2008,"&lt;=28/02/"&amp;$G$3)+SUMIFS(Vendas!$AT$8:$AT$2008,Vendas!$AQ$8:$AQ$2008,$B27,Vendas!$E$8:$E$2008,"&gt;=01/02/"&amp;$G$3,Vendas!$E$8:$E$2008,"&lt;=28/02/"&amp;$G$3)</f>
        <v>0</v>
      </c>
      <c r="F27" s="159">
        <f>SUMIFS(Vendas!$K$8:$K$2008,Vendas!$H$8:$H$2008,$B27,Vendas!$E$8:$E$2008,"&gt;=01/02/"&amp;$G$3,Vendas!$E$8:$E$2008,"&lt;=28/02/"&amp;$G$3,Vendas!$C$8:$C$2008,"Entregue")+SUMIFS(Vendas!$P$8:$P$2008,Vendas!$M$8:$M$2008,$B27,Vendas!$E$8:$E$2008,"&gt;=01/02/"&amp;$G$3,Vendas!$E$8:$E$2008,"&lt;=28/02/"&amp;$G$3,Vendas!$C$8:$C$2008,"Entregue")+SUMIFS(Vendas!$U$8:$U$2008,Vendas!$R$8:$R$2008,$B27,Vendas!$E$8:$E$2008,"&gt;=01/02/"&amp;$G$3,Vendas!$E$8:$E$2008,"&lt;=28/02/"&amp;$G$3,Vendas!$C$8:$C$2008,"Entregue")+SUMIFS(Vendas!$Z$8:$Z$2008,Vendas!$W$8:$W$2008,$B27,Vendas!$E$8:$E$2008,"&gt;=01/02/"&amp;$G$3,Vendas!$E$8:$E$2008,"&lt;=28/02/"&amp;$G$3,Vendas!$C$8:$C$2008,"Entregue")+SUMIFS(Vendas!$AE$8:$AE$2008,Vendas!$AB$8:$AB$2008,$B27,Vendas!$E$8:$E$2008,"&gt;=01/02/"&amp;$G$3,Vendas!$E$8:$E$2008,"&lt;=28/02/"&amp;$G$3,Vendas!$C$8:$C$2008,"Entregue")+SUMIFS(Vendas!$AJ$8:$AJ$2008,Vendas!$AG$8:$AG$2008,$B27,Vendas!$E$8:$E$2008,"&gt;=01/02/"&amp;$G$3,Vendas!$E$8:$E$2008,"&lt;=28/02/"&amp;$G$3,Vendas!$C$8:$C$2008,"Entregue")+SUMIFS(Vendas!$AO$8:$AO$2008,Vendas!$AL$8:$AL$2008,$B27,Vendas!$E$8:$E$2008,"&gt;=01/02/"&amp;$G$3,Vendas!$E$8:$E$2008,"&lt;=28/02/"&amp;$G$3,Vendas!$C$8:$C$2008,"Entregue")+SUMIFS(Vendas!$AT$8:$AT$2008,Vendas!$AQ$8:$AQ$2008,$B27,Vendas!$E$8:$E$2008,"&gt;=01/02/"&amp;$G$3,Vendas!$E$8:$E$2008,"&lt;=28/02/"&amp;$G$3,Vendas!$C$8:$C$2008,"Entregue")</f>
        <v>0</v>
      </c>
      <c r="G27" s="159">
        <f>SUMIFS(Vendas!$K$8:$K$2008,Vendas!$H$8:$H$2008,$B27,Vendas!$E$8:$E$2008,"&gt;=01/03/"&amp;$G$3,Vendas!$E$8:$E$2008,"&lt;=31/03/"&amp;$G$3)+SUMIFS(Vendas!$P$8:$P$2008,Vendas!$M$8:$M$2008,$B27,Vendas!$E$8:$E$2008,"&gt;=01/03/"&amp;$G$3,Vendas!$E$8:$E$2008,"&lt;=31/03/"&amp;$G$3)+SUMIFS(Vendas!$U$8:$U$2008,Vendas!$R$8:$R$2008,$B27,Vendas!$E$8:$E$2008,"&gt;=01/03/"&amp;$G$3,Vendas!$E$8:$E$2008,"&lt;=31/03/"&amp;$G$3)+SUMIFS(Vendas!$Z$8:$Z$2008,Vendas!$W$8:$W$2008,$B27,Vendas!$E$8:$E$2008,"&gt;=01/03/"&amp;$G$3,Vendas!$E$8:$E$2008,"&lt;=31/03/"&amp;$G$3)+SUMIFS(Vendas!$AE$8:$AE$2008,Vendas!$AB$8:$AB$2008,$B27,Vendas!$E$8:$E$2008,"&gt;=01/03/"&amp;$G$3,Vendas!$E$8:$E$2008,"&lt;=31/03/"&amp;$G$3)+SUMIFS(Vendas!$AJ$8:$AJ$2008,Vendas!$AG$8:$AG$2008,$B27,Vendas!$E$8:$E$2008,"&gt;=01/03/"&amp;$G$3,Vendas!$E$8:$E$2008,"&lt;=31/03/"&amp;$G$3)+SUMIFS(Vendas!$AO$8:$AO$2008,Vendas!$AL$8:$AL$2008,$B27,Vendas!$E$8:$E$2008,"&gt;=01/03/"&amp;$G$3,Vendas!$E$8:$E$2008,"&lt;=31/03/"&amp;$G$3)+SUMIFS(Vendas!$AT$8:$AT$2008,Vendas!$AQ$8:$AQ$2008,$B27,Vendas!$E$8:$E$2008,"&gt;=01/03/"&amp;$G$3,Vendas!$E$8:$E$2008,"&lt;=31/03/"&amp;$G$3)</f>
        <v>0</v>
      </c>
      <c r="H27" s="159">
        <f>SUMIFS(Vendas!$K$8:$K$2008,Vendas!$H$8:$H$2008,$B27,Vendas!$E$8:$E$2008,"&gt;=01/03/"&amp;$G$3,Vendas!$E$8:$E$2008,"&lt;=31/03/"&amp;$G$3,Vendas!$C$8:$C$2008,"Entregue")+SUMIFS(Vendas!$P$8:$P$2008,Vendas!$M$8:$M$2008,$B27,Vendas!$E$8:$E$2008,"&gt;=01/03/"&amp;$G$3,Vendas!$E$8:$E$2008,"&lt;=31/03/"&amp;$G$3,Vendas!$C$8:$C$2008,"Entregue")+SUMIFS(Vendas!$U$8:$U$2008,Vendas!$R$8:$R$2008,$B27,Vendas!$E$8:$E$2008,"&gt;=01/03/"&amp;$G$3,Vendas!$E$8:$E$2008,"&lt;=31/03/"&amp;$G$3,Vendas!$C$8:$C$2008,"Entregue")+SUMIFS(Vendas!$Z$8:$Z$2008,Vendas!$W$8:$W$2008,$B27,Vendas!$E$8:$E$2008,"&gt;=01/03/"&amp;$G$3,Vendas!$E$8:$E$2008,"&lt;=31/03/"&amp;$G$3,Vendas!$C$8:$C$2008,"Entregue")+SUMIFS(Vendas!$AE$8:$AE$2008,Vendas!$AB$8:$AB$2008,$B27,Vendas!$E$8:$E$2008,"&gt;=01/03/"&amp;$G$3,Vendas!$E$8:$E$2008,"&lt;=31/03/"&amp;$G$3,Vendas!$C$8:$C$2008,"Entregue")+SUMIFS(Vendas!$AJ$8:$AJ$2008,Vendas!$AG$8:$AG$2008,$B27,Vendas!$E$8:$E$2008,"&gt;=01/03/"&amp;$G$3,Vendas!$E$8:$E$2008,"&lt;=31/03/"&amp;$G$3,Vendas!$C$8:$C$2008,"Entregue")+SUMIFS(Vendas!$AO$8:$AO$2008,Vendas!$AL$8:$AL$2008,$B27,Vendas!$E$8:$E$2008,"&gt;=01/03/"&amp;$G$3,Vendas!$E$8:$E$2008,"&lt;=31/03/"&amp;$G$3,Vendas!$C$8:$C$2008,"Entregue")+SUMIFS(Vendas!$AT$8:$AT$2008,Vendas!$AQ$8:$AQ$2008,$B27,Vendas!$E$8:$E$2008,"&gt;=01/03/"&amp;$G$3,Vendas!$E$8:$E$2008,"&lt;=31/03/"&amp;$G$3,Vendas!$C$8:$C$2008,"Entregue")</f>
        <v>0</v>
      </c>
      <c r="I27" s="159">
        <f>SUMIFS(Vendas!$K$8:$K$2008,Vendas!$H$8:$H$2008,$B27,Vendas!$E$8:$E$2008,"&gt;=01/04/"&amp;$G$3,Vendas!$E$8:$E$2008,"&lt;=30/04/"&amp;$G$3)+SUMIFS(Vendas!$P$8:$P$2008,Vendas!$M$8:$M$2008,$B27,Vendas!$E$8:$E$2008,"&gt;=01/04/"&amp;$G$3,Vendas!$E$8:$E$2008,"&lt;=30/04/"&amp;$G$3)+SUMIFS(Vendas!$U$8:$U$2008,Vendas!$R$8:$R$2008,$B27,Vendas!$E$8:$E$2008,"&gt;=01/04/"&amp;$G$3,Vendas!$E$8:$E$2008,"&lt;=30/04/"&amp;$G$3)+SUMIFS(Vendas!$Z$8:$Z$2008,Vendas!$W$8:$W$2008,$B27,Vendas!$E$8:$E$2008,"&gt;=01/04/"&amp;$G$3,Vendas!$E$8:$E$2008,"&lt;=30/04/"&amp;$G$3)+SUMIFS(Vendas!$AE$8:$AE$2008,Vendas!$AB$8:$AB$2008,$B27,Vendas!$E$8:$E$2008,"&gt;=01/04/"&amp;$G$3,Vendas!$E$8:$E$2008,"&lt;=30/04/"&amp;$G$3)+SUMIFS(Vendas!$AJ$8:$AJ$2008,Vendas!$AG$8:$AG$2008,$B27,Vendas!$E$8:$E$2008,"&gt;=01/04/"&amp;$G$3,Vendas!$E$8:$E$2008,"&lt;=30/04/"&amp;$G$3)+SUMIFS(Vendas!$AO$8:$AO$2008,Vendas!$AL$8:$AL$2008,$B27,Vendas!$E$8:$E$2008,"&gt;=01/04/"&amp;$G$3,Vendas!$E$8:$E$2008,"&lt;=30/04/"&amp;$G$3)+SUMIFS(Vendas!$AT$8:$AT$2008,Vendas!$AQ$8:$AQ$2008,$B27,Vendas!$E$8:$E$2008,"&gt;=01/04/"&amp;$G$3,Vendas!$E$8:$E$2008,"&lt;=30/04/"&amp;$G$3)</f>
        <v>0</v>
      </c>
      <c r="J27" s="159">
        <f>SUMIFS(Vendas!$K$8:$K$2008,Vendas!$H$8:$H$2008,$B27,Vendas!$E$8:$E$2008,"&gt;=01/04/"&amp;$G$3,Vendas!$E$8:$E$2008,"&lt;=30/04/"&amp;$G$3,Vendas!$C$8:$C$2008,"Entregue")+SUMIFS(Vendas!$P$8:$P$2008,Vendas!$M$8:$M$2008,$B27,Vendas!$E$8:$E$2008,"&gt;=01/04/"&amp;$G$3,Vendas!$E$8:$E$2008,"&lt;=30/04/"&amp;$G$3,Vendas!$C$8:$C$2008,"Entregue")+SUMIFS(Vendas!$U$8:$U$2008,Vendas!$R$8:$R$2008,$B27,Vendas!$E$8:$E$2008,"&gt;=01/04/"&amp;$G$3,Vendas!$E$8:$E$2008,"&lt;=30/04/"&amp;$G$3,Vendas!$C$8:$C$2008,"Entregue")+SUMIFS(Vendas!$Z$8:$Z$2008,Vendas!$W$8:$W$2008,$B27,Vendas!$E$8:$E$2008,"&gt;=01/04/"&amp;$G$3,Vendas!$E$8:$E$2008,"&lt;=30/04/"&amp;$G$3,Vendas!$C$8:$C$2008,"Entregue")+SUMIFS(Vendas!$AE$8:$AE$2008,Vendas!$AB$8:$AB$2008,$B27,Vendas!$E$8:$E$2008,"&gt;=01/04/"&amp;$G$3,Vendas!$E$8:$E$2008,"&lt;=30/04/"&amp;$G$3,Vendas!$C$8:$C$2008,"Entregue")+SUMIFS(Vendas!$AJ$8:$AJ$2008,Vendas!$AG$8:$AG$2008,$B27,Vendas!$E$8:$E$2008,"&gt;=01/04/"&amp;$G$3,Vendas!$E$8:$E$2008,"&lt;=30/04/"&amp;$G$3,Vendas!$C$8:$C$2008,"Entregue")+SUMIFS(Vendas!$AO$8:$AO$2008,Vendas!$AL$8:$AL$2008,$B27,Vendas!$E$8:$E$2008,"&gt;=01/04/"&amp;$G$3,Vendas!$E$8:$E$2008,"&lt;=30/04/"&amp;$G$3,Vendas!$C$8:$C$2008,"Entregue")+SUMIFS(Vendas!$AT$8:$AT$2008,Vendas!$AQ$8:$AQ$2008,$B27,Vendas!$E$8:$E$2008,"&gt;=01/04/"&amp;$G$3,Vendas!$E$8:$E$2008,"&lt;=30/04/"&amp;$G$3,Vendas!$C$8:$C$2008,"Entregue")</f>
        <v>0</v>
      </c>
      <c r="K27" s="159">
        <f>SUMIFS(Vendas!$K$8:$K$2008,Vendas!$H$8:$H$2008,$B27,Vendas!$E$8:$E$2008,"&gt;=01/05/"&amp;$G$3,Vendas!$E$8:$E$2008,"&lt;=31/05/"&amp;$G$3)+SUMIFS(Vendas!$P$8:$P$2008,Vendas!$M$8:$M$2008,$B27,Vendas!$E$8:$E$2008,"&gt;=01/05/"&amp;$G$3,Vendas!$E$8:$E$2008,"&lt;=31/05/"&amp;$G$3)+SUMIFS(Vendas!$U$8:$U$2008,Vendas!$R$8:$R$2008,$B27,Vendas!$E$8:$E$2008,"&gt;=01/05/"&amp;$G$3,Vendas!$E$8:$E$2008,"&lt;=31/05/"&amp;$G$3)+SUMIFS(Vendas!$Z$8:$Z$2008,Vendas!$W$8:$W$2008,$B27,Vendas!$E$8:$E$2008,"&gt;=01/05/"&amp;$G$3,Vendas!$E$8:$E$2008,"&lt;=31/05/"&amp;$G$3)+SUMIFS(Vendas!$AE$8:$AE$2008,Vendas!$AB$8:$AB$2008,$B27,Vendas!$E$8:$E$2008,"&gt;=01/05/"&amp;$G$3,Vendas!$E$8:$E$2008,"&lt;=31/05/"&amp;$G$3)+SUMIFS(Vendas!$AJ$8:$AJ$2008,Vendas!$AG$8:$AG$2008,$B27,Vendas!$E$8:$E$2008,"&gt;=01/05/"&amp;$G$3,Vendas!$E$8:$E$2008,"&lt;=31/05/"&amp;$G$3)+SUMIFS(Vendas!$AO$8:$AO$2008,Vendas!$AL$8:$AL$2008,$B27,Vendas!$E$8:$E$2008,"&gt;=01/05/"&amp;$G$3,Vendas!$E$8:$E$2008,"&lt;=31/05/"&amp;$G$3)+SUMIFS(Vendas!$AT$8:$AT$2008,Vendas!$AQ$8:$AQ$2008,$B27,Vendas!$E$8:$E$2008,"&gt;=01/05/"&amp;$G$3,Vendas!$E$8:$E$2008,"&lt;=31/05/"&amp;$G$3)</f>
        <v>0</v>
      </c>
      <c r="L27" s="159">
        <f>SUMIFS(Vendas!$K$8:$K$2008,Vendas!$H$8:$H$2008,$B27,Vendas!$E$8:$E$2008,"&gt;=01/05/"&amp;$G$3,Vendas!$E$8:$E$2008,"&lt;=31/05/"&amp;$G$3,Vendas!$C$8:$C$2008,"Entregue")+SUMIFS(Vendas!$P$8:$P$2008,Vendas!$M$8:$M$2008,$B27,Vendas!$E$8:$E$2008,"&gt;=01/05/"&amp;$G$3,Vendas!$E$8:$E$2008,"&lt;=31/05/"&amp;$G$3,Vendas!$C$8:$C$2008,"Entregue")+SUMIFS(Vendas!$U$8:$U$2008,Vendas!$R$8:$R$2008,$B27,Vendas!$E$8:$E$2008,"&gt;=01/05/"&amp;$G$3,Vendas!$E$8:$E$2008,"&lt;=31/05/"&amp;$G$3,Vendas!$C$8:$C$2008,"Entregue")+SUMIFS(Vendas!$Z$8:$Z$2008,Vendas!$W$8:$W$2008,$B27,Vendas!$E$8:$E$2008,"&gt;=01/05/"&amp;$G$3,Vendas!$E$8:$E$2008,"&lt;=31/05/"&amp;$G$3,Vendas!$C$8:$C$2008,"Entregue")+SUMIFS(Vendas!$AE$8:$AE$2008,Vendas!$AB$8:$AB$2008,$B27,Vendas!$E$8:$E$2008,"&gt;=01/05/"&amp;$G$3,Vendas!$E$8:$E$2008,"&lt;=31/05/"&amp;$G$3,Vendas!$C$8:$C$2008,"Entregue")+SUMIFS(Vendas!$AJ$8:$AJ$2008,Vendas!$AG$8:$AG$2008,$B27,Vendas!$E$8:$E$2008,"&gt;=01/05/"&amp;$G$3,Vendas!$E$8:$E$2008,"&lt;=31/05/"&amp;$G$3,Vendas!$C$8:$C$2008,"Entregue")+SUMIFS(Vendas!$AO$8:$AO$2008,Vendas!$AL$8:$AL$2008,$B27,Vendas!$E$8:$E$2008,"&gt;=01/05/"&amp;$G$3,Vendas!$E$8:$E$2008,"&lt;=31/05/"&amp;$G$3,Vendas!$C$8:$C$2008,"Entregue")+SUMIFS(Vendas!$AT$8:$AT$2008,Vendas!$AQ$8:$AQ$2008,$B27,Vendas!$E$8:$E$2008,"&gt;=01/05/"&amp;$G$3,Vendas!$E$8:$E$2008,"&lt;=31/05/"&amp;$G$3,Vendas!$C$8:$C$2008,"Entregue")</f>
        <v>0</v>
      </c>
      <c r="M27" s="159">
        <f>SUMIFS(Vendas!$K$8:$K$2008,Vendas!$H$8:$H$2008,$B27,Vendas!$E$8:$E$2008,"&gt;=01/06/"&amp;$G$3,Vendas!$E$8:$E$2008,"&lt;=30/06/"&amp;$G$3)+SUMIFS(Vendas!$P$8:$P$2008,Vendas!$M$8:$M$2008,$B27,Vendas!$E$8:$E$2008,"&gt;=01/06/"&amp;$G$3,Vendas!$E$8:$E$2008,"&lt;=30/06/"&amp;$G$3)+SUMIFS(Vendas!$U$8:$U$2008,Vendas!$R$8:$R$2008,$B27,Vendas!$E$8:$E$2008,"&gt;=01/06/"&amp;$G$3,Vendas!$E$8:$E$2008,"&lt;=30/06/"&amp;$G$3)+SUMIFS(Vendas!$Z$8:$Z$2008,Vendas!$W$8:$W$2008,$B27,Vendas!$E$8:$E$2008,"&gt;=01/06/"&amp;$G$3,Vendas!$E$8:$E$2008,"&lt;=30/06/"&amp;$G$3)+SUMIFS(Vendas!$AE$8:$AE$2008,Vendas!$AB$8:$AB$2008,$B27,Vendas!$E$8:$E$2008,"&gt;=01/06/"&amp;$G$3,Vendas!$E$8:$E$2008,"&lt;=30/06/"&amp;$G$3)+SUMIFS(Vendas!$AJ$8:$AJ$2008,Vendas!$AG$8:$AG$2008,$B27,Vendas!$E$8:$E$2008,"&gt;=01/06/"&amp;$G$3,Vendas!$E$8:$E$2008,"&lt;=30/06/"&amp;$G$3)+SUMIFS(Vendas!$AO$8:$AO$2008,Vendas!$AL$8:$AL$2008,$B27,Vendas!$E$8:$E$2008,"&gt;=01/06/"&amp;$G$3,Vendas!$E$8:$E$2008,"&lt;=30/06/"&amp;$G$3)+SUMIFS(Vendas!$AT$8:$AT$2008,Vendas!$AQ$8:$AQ$2008,$B27,Vendas!$E$8:$E$2008,"&gt;=01/06/"&amp;$G$3,Vendas!$E$8:$E$2008,"&lt;=30/06/"&amp;$G$3)</f>
        <v>1627.08</v>
      </c>
      <c r="N27" s="159">
        <f>SUMIFS(Vendas!$K$8:$K$2008,Vendas!$H$8:$H$2008,$B27,Vendas!$E$8:$E$2008,"&gt;=01/06/"&amp;$G$3,Vendas!$E$8:$E$2008,"&lt;=30/06/"&amp;$G$3,Vendas!$C$8:$C$2008,"Entregue")+SUMIFS(Vendas!$P$8:$P$2008,Vendas!$M$8:$M$2008,$B27,Vendas!$E$8:$E$2008,"&gt;=01/06/"&amp;$G$3,Vendas!$E$8:$E$2008,"&lt;=30/06/"&amp;$G$3,Vendas!$C$8:$C$2008,"Entregue")+SUMIFS(Vendas!$U$8:$U$2008,Vendas!$R$8:$R$2008,$B27,Vendas!$E$8:$E$2008,"&gt;=01/06/"&amp;$G$3,Vendas!$E$8:$E$2008,"&lt;=30/06/"&amp;$G$3,Vendas!$C$8:$C$2008,"Entregue")+SUMIFS(Vendas!$Z$8:$Z$2008,Vendas!$W$8:$W$2008,$B27,Vendas!$E$8:$E$2008,"&gt;=01/06/"&amp;$G$3,Vendas!$E$8:$E$2008,"&lt;=30/06/"&amp;$G$3,Vendas!$C$8:$C$2008,"Entregue")+SUMIFS(Vendas!$AE$8:$AE$2008,Vendas!$AB$8:$AB$2008,$B27,Vendas!$E$8:$E$2008,"&gt;=01/06/"&amp;$G$3,Vendas!$E$8:$E$2008,"&lt;=30/06/"&amp;$G$3,Vendas!$C$8:$C$2008,"Entregue")+SUMIFS(Vendas!$AJ$8:$AJ$2008,Vendas!$AG$8:$AG$2008,$B27,Vendas!$E$8:$E$2008,"&gt;=01/06/"&amp;$G$3,Vendas!$E$8:$E$2008,"&lt;=30/06/"&amp;$G$3,Vendas!$C$8:$C$2008,"Entregue")+SUMIFS(Vendas!$AO$8:$AO$2008,Vendas!$AL$8:$AL$2008,$B27,Vendas!$E$8:$E$2008,"&gt;=01/06/"&amp;$G$3,Vendas!$E$8:$E$2008,"&lt;=30/06/"&amp;$G$3,Vendas!$C$8:$C$2008,"Entregue")+SUMIFS(Vendas!$AT$8:$AT$2008,Vendas!$AQ$8:$AQ$2008,$B27,Vendas!$E$8:$E$2008,"&gt;=01/06/"&amp;$G$3,Vendas!$E$8:$E$2008,"&lt;=30/06/"&amp;$G$3,Vendas!$C$8:$C$2008,"Entregue")</f>
        <v>1627.08</v>
      </c>
      <c r="O27" s="159">
        <f>SUMIFS(Vendas!$K$8:$K$2008,Vendas!$H$8:$H$2008,$B27,Vendas!$E$8:$E$2008,"&gt;=01/07/"&amp;$G$3,Vendas!$E$8:$E$2008,"&lt;=31/07/"&amp;$G$3)+SUMIFS(Vendas!$P$8:$P$2008,Vendas!$M$8:$M$2008,$B27,Vendas!$E$8:$E$2008,"&gt;=01/07/"&amp;$G$3,Vendas!$E$8:$E$2008,"&lt;=31/07/"&amp;$G$3)+SUMIFS(Vendas!$U$8:$U$2008,Vendas!$R$8:$R$2008,$B27,Vendas!$E$8:$E$2008,"&gt;=01/07/"&amp;$G$3,Vendas!$E$8:$E$2008,"&lt;=31/07/"&amp;$G$3)+SUMIFS(Vendas!$Z$8:$Z$2008,Vendas!$W$8:$W$2008,$B27,Vendas!$E$8:$E$2008,"&gt;=01/07/"&amp;$G$3,Vendas!$E$8:$E$2008,"&lt;=31/07/"&amp;$G$3)+SUMIFS(Vendas!$AE$8:$AE$2008,Vendas!$AB$8:$AB$2008,$B27,Vendas!$E$8:$E$2008,"&gt;=01/07/"&amp;$G$3,Vendas!$E$8:$E$2008,"&lt;=31/07/"&amp;$G$3)+SUMIFS(Vendas!$AJ$8:$AJ$2008,Vendas!$AG$8:$AG$2008,$B27,Vendas!$E$8:$E$2008,"&gt;=01/07/"&amp;$G$3,Vendas!$E$8:$E$2008,"&lt;=31/07/"&amp;$G$3)+SUMIFS(Vendas!$AO$8:$AO$2008,Vendas!$AL$8:$AL$2008,$B27,Vendas!$E$8:$E$2008,"&gt;=01/07/"&amp;$G$3,Vendas!$E$8:$E$2008,"&lt;=31/07/"&amp;$G$3)+SUMIFS(Vendas!$AT$8:$AT$2008,Vendas!$AQ$8:$AQ$2008,$B27,Vendas!$E$8:$E$2008,"&gt;=01/07/"&amp;$G$3,Vendas!$E$8:$E$2008,"&lt;=31/07/"&amp;$G$3)</f>
        <v>0</v>
      </c>
      <c r="P27" s="159">
        <f>SUMIFS(Vendas!$K$8:$K$2008,Vendas!$H$8:$H$2008,$B27,Vendas!$E$8:$E$2008,"&gt;=01/07/"&amp;$G$3,Vendas!$E$8:$E$2008,"&lt;=31/07/"&amp;$G$3,Vendas!$C$8:$C$2008,"Entregue")+SUMIFS(Vendas!$P$8:$P$2008,Vendas!$M$8:$M$2008,$B27,Vendas!$E$8:$E$2008,"&gt;=01/07/"&amp;$G$3,Vendas!$E$8:$E$2008,"&lt;=31/07/"&amp;$G$3,Vendas!$C$8:$C$2008,"Entregue")+SUMIFS(Vendas!$U$8:$U$2008,Vendas!$R$8:$R$2008,$B27,Vendas!$E$8:$E$2008,"&gt;=01/07/"&amp;$G$3,Vendas!$E$8:$E$2008,"&lt;=31/07/"&amp;$G$3,Vendas!$C$8:$C$2008,"Entregue")+SUMIFS(Vendas!$Z$8:$Z$2008,Vendas!$W$8:$W$2008,$B27,Vendas!$E$8:$E$2008,"&gt;=01/07/"&amp;$G$3,Vendas!$E$8:$E$2008,"&lt;=31/07/"&amp;$G$3,Vendas!$C$8:$C$2008,"Entregue")+SUMIFS(Vendas!$AE$8:$AE$2008,Vendas!$AB$8:$AB$2008,$B27,Vendas!$E$8:$E$2008,"&gt;=01/07/"&amp;$G$3,Vendas!$E$8:$E$2008,"&lt;=31/07/"&amp;$G$3,Vendas!$C$8:$C$2008,"Entregue")+SUMIFS(Vendas!$AJ$8:$AJ$2008,Vendas!$AG$8:$AG$2008,$B27,Vendas!$E$8:$E$2008,"&gt;=01/07/"&amp;$G$3,Vendas!$E$8:$E$2008,"&lt;=31/07/"&amp;$G$3,Vendas!$C$8:$C$2008,"Entregue")+SUMIFS(Vendas!$AO$8:$AO$2008,Vendas!$AL$8:$AL$2008,$B27,Vendas!$E$8:$E$2008,"&gt;=01/07/"&amp;$G$3,Vendas!$E$8:$E$2008,"&lt;=31/07/"&amp;$G$3,Vendas!$C$8:$C$2008,"Entregue")+SUMIFS(Vendas!$AT$8:$AT$2008,Vendas!$AQ$8:$AQ$2008,$B27,Vendas!$E$8:$E$2008,"&gt;=01/07/"&amp;$G$3,Vendas!$E$8:$E$2008,"&lt;=31/07/"&amp;$G$3,Vendas!$C$8:$C$2008,"Entregue")</f>
        <v>0</v>
      </c>
      <c r="Q27" s="159">
        <f>SUMIFS(Vendas!$K$8:$K$2008,Vendas!$H$8:$H$2008,$B27,Vendas!$E$8:$E$2008,"&gt;=01/08/"&amp;$G$3,Vendas!$E$8:$E$2008,"&lt;=31/08/"&amp;$G$3)+SUMIFS(Vendas!$P$8:$P$2008,Vendas!$M$8:$M$2008,$B27,Vendas!$E$8:$E$2008,"&gt;=01/08/"&amp;$G$3,Vendas!$E$8:$E$2008,"&lt;=31/08/"&amp;$G$3)+SUMIFS(Vendas!$U$8:$U$2008,Vendas!$R$8:$R$2008,$B27,Vendas!$E$8:$E$2008,"&gt;=01/08/"&amp;$G$3,Vendas!$E$8:$E$2008,"&lt;=31/08/"&amp;$G$3)+SUMIFS(Vendas!$Z$8:$Z$2008,Vendas!$W$8:$W$2008,$B27,Vendas!$E$8:$E$2008,"&gt;=01/08/"&amp;$G$3,Vendas!$E$8:$E$2008,"&lt;=31/08/"&amp;$G$3)+SUMIFS(Vendas!$AE$8:$AE$2008,Vendas!$AB$8:$AB$2008,$B27,Vendas!$E$8:$E$2008,"&gt;=01/08/"&amp;$G$3,Vendas!$E$8:$E$2008,"&lt;=31/08/"&amp;$G$3)+SUMIFS(Vendas!$AJ$8:$AJ$2008,Vendas!$AG$8:$AG$2008,$B27,Vendas!$E$8:$E$2008,"&gt;=01/08/"&amp;$G$3,Vendas!$E$8:$E$2008,"&lt;=31/08/"&amp;$G$3)+SUMIFS(Vendas!$AO$8:$AO$2008,Vendas!$AL$8:$AL$2008,$B27,Vendas!$E$8:$E$2008,"&gt;=01/08/"&amp;$G$3,Vendas!$E$8:$E$2008,"&lt;=31/08/"&amp;$G$3)+SUMIFS(Vendas!$AT$8:$AT$2008,Vendas!$AQ$8:$AQ$2008,$B27,Vendas!$E$8:$E$2008,"&gt;=01/08/"&amp;$G$3,Vendas!$E$8:$E$2008,"&lt;=31/08/"&amp;$G$3)</f>
        <v>0</v>
      </c>
      <c r="R27" s="159">
        <f>SUMIFS(Vendas!$K$8:$K$2008,Vendas!$H$8:$H$2008,$B27,Vendas!$E$8:$E$2008,"&gt;=01/08/"&amp;$G$3,Vendas!$E$8:$E$2008,"&lt;=31/08/"&amp;$G$3,Vendas!$C$8:$C$2008,"Entregue")+SUMIFS(Vendas!$P$8:$P$2008,Vendas!$M$8:$M$2008,$B27,Vendas!$E$8:$E$2008,"&gt;=01/08/"&amp;$G$3,Vendas!$E$8:$E$2008,"&lt;=31/08/"&amp;$G$3,Vendas!$C$8:$C$2008,"Entregue")+SUMIFS(Vendas!$U$8:$U$2008,Vendas!$R$8:$R$2008,$B27,Vendas!$E$8:$E$2008,"&gt;=01/08/"&amp;$G$3,Vendas!$E$8:$E$2008,"&lt;=31/08/"&amp;$G$3,Vendas!$C$8:$C$2008,"Entregue")+SUMIFS(Vendas!$Z$8:$Z$2008,Vendas!$W$8:$W$2008,$B27,Vendas!$E$8:$E$2008,"&gt;=01/08/"&amp;$G$3,Vendas!$E$8:$E$2008,"&lt;=31/08/"&amp;$G$3,Vendas!$C$8:$C$2008,"Entregue")+SUMIFS(Vendas!$AE$8:$AE$2008,Vendas!$AB$8:$AB$2008,$B27,Vendas!$E$8:$E$2008,"&gt;=01/08/"&amp;$G$3,Vendas!$E$8:$E$2008,"&lt;=31/08/"&amp;$G$3,Vendas!$C$8:$C$2008,"Entregue")+SUMIFS(Vendas!$AJ$8:$AJ$2008,Vendas!$AG$8:$AG$2008,$B27,Vendas!$E$8:$E$2008,"&gt;=01/08/"&amp;$G$3,Vendas!$E$8:$E$2008,"&lt;=31/08/"&amp;$G$3,Vendas!$C$8:$C$2008,"Entregue")+SUMIFS(Vendas!$AO$8:$AO$2008,Vendas!$AL$8:$AL$2008,$B27,Vendas!$E$8:$E$2008,"&gt;=01/08/"&amp;$G$3,Vendas!$E$8:$E$2008,"&lt;=31/08/"&amp;$G$3,Vendas!$C$8:$C$2008,"Entregue")+SUMIFS(Vendas!$AT$8:$AT$2008,Vendas!$AQ$8:$AQ$2008,$B27,Vendas!$E$8:$E$2008,"&gt;=01/08/"&amp;$G$3,Vendas!$E$8:$E$2008,"&lt;=31/08/"&amp;$G$3,Vendas!$C$8:$C$2008,"Entregue")</f>
        <v>0</v>
      </c>
      <c r="S27" s="159">
        <f>SUMIFS(Vendas!$K$8:$K$2008,Vendas!$H$8:$H$2008,$B27,Vendas!$E$8:$E$2008,"&gt;=01/09/"&amp;$G$3,Vendas!$E$8:$E$2008,"&lt;=30/09/"&amp;$G$3)+SUMIFS(Vendas!$P$8:$P$2008,Vendas!$M$8:$M$2008,$B27,Vendas!$E$8:$E$2008,"&gt;=01/09/"&amp;$G$3,Vendas!$E$8:$E$2008,"&lt;=30/09/"&amp;$G$3)+SUMIFS(Vendas!$U$8:$U$2008,Vendas!$R$8:$R$2008,$B27,Vendas!$E$8:$E$2008,"&gt;=01/09/"&amp;$G$3,Vendas!$E$8:$E$2008,"&lt;=30/09/"&amp;$G$3)+SUMIFS(Vendas!$Z$8:$Z$2008,Vendas!$W$8:$W$2008,$B27,Vendas!$E$8:$E$2008,"&gt;=01/09/"&amp;$G$3,Vendas!$E$8:$E$2008,"&lt;=30/09/"&amp;$G$3)+SUMIFS(Vendas!$AE$8:$AE$2008,Vendas!$AB$8:$AB$2008,$B27,Vendas!$E$8:$E$2008,"&gt;=01/09/"&amp;$G$3,Vendas!$E$8:$E$2008,"&lt;=30/09/"&amp;$G$3)+SUMIFS(Vendas!$AJ$8:$AJ$2008,Vendas!$AG$8:$AG$2008,$B27,Vendas!$E$8:$E$2008,"&gt;=01/09/"&amp;$G$3,Vendas!$E$8:$E$2008,"&lt;=30/09/"&amp;$G$3)+SUMIFS(Vendas!$AO$8:$AO$2008,Vendas!$AL$8:$AL$2008,$B27,Vendas!$E$8:$E$2008,"&gt;=01/09/"&amp;$G$3,Vendas!$E$8:$E$2008,"&lt;=30/09/"&amp;$G$3)+SUMIFS(Vendas!$AT$8:$AT$2008,Vendas!$AQ$8:$AQ$2008,$B27,Vendas!$E$8:$E$2008,"&gt;=01/09/"&amp;$G$3,Vendas!$E$8:$E$2008,"&lt;=30/09/"&amp;$G$3)</f>
        <v>0</v>
      </c>
      <c r="T27" s="159">
        <f>SUMIFS(Vendas!$K$8:$K$2008,Vendas!$H$8:$H$2008,$B27,Vendas!$E$8:$E$2008,"&gt;=01/09/"&amp;$G$3,Vendas!$E$8:$E$2008,"&lt;=30/09/"&amp;$G$3,Vendas!$C$8:$C$2008,"Entregue")+SUMIFS(Vendas!$P$8:$P$2008,Vendas!$M$8:$M$2008,$B27,Vendas!$E$8:$E$2008,"&gt;=01/09/"&amp;$G$3,Vendas!$E$8:$E$2008,"&lt;=30/09/"&amp;$G$3,Vendas!$C$8:$C$2008,"Entregue")+SUMIFS(Vendas!$U$8:$U$2008,Vendas!$R$8:$R$2008,$B27,Vendas!$E$8:$E$2008,"&gt;=01/09/"&amp;$G$3,Vendas!$E$8:$E$2008,"&lt;=30/09/"&amp;$G$3,Vendas!$C$8:$C$2008,"Entregue")+SUMIFS(Vendas!$Z$8:$Z$2008,Vendas!$W$8:$W$2008,$B27,Vendas!$E$8:$E$2008,"&gt;=01/09/"&amp;$G$3,Vendas!$E$8:$E$2008,"&lt;=30/09/"&amp;$G$3,Vendas!$C$8:$C$2008,"Entregue")+SUMIFS(Vendas!$AE$8:$AE$2008,Vendas!$AB$8:$AB$2008,$B27,Vendas!$E$8:$E$2008,"&gt;=01/09/"&amp;$G$3,Vendas!$E$8:$E$2008,"&lt;=30/09/"&amp;$G$3,Vendas!$C$8:$C$2008,"Entregue")+SUMIFS(Vendas!$AJ$8:$AJ$2008,Vendas!$AG$8:$AG$2008,$B27,Vendas!$E$8:$E$2008,"&gt;=01/09/"&amp;$G$3,Vendas!$E$8:$E$2008,"&lt;=30/09/"&amp;$G$3,Vendas!$C$8:$C$2008,"Entregue")+SUMIFS(Vendas!$AO$8:$AO$2008,Vendas!$AL$8:$AL$2008,$B27,Vendas!$E$8:$E$2008,"&gt;=01/09/"&amp;$G$3,Vendas!$E$8:$E$2008,"&lt;=30/09/"&amp;$G$3,Vendas!$C$8:$C$2008,"Entregue")+SUMIFS(Vendas!$AT$8:$AT$2008,Vendas!$AQ$8:$AQ$2008,$B27,Vendas!$E$8:$E$2008,"&gt;=01/09/"&amp;$G$3,Vendas!$E$8:$E$2008,"&lt;=30/09/"&amp;$G$3,Vendas!$C$8:$C$2008,"Entregue")</f>
        <v>0</v>
      </c>
      <c r="U27" s="159">
        <f>SUMIFS(Vendas!$K$8:$K$2008,Vendas!$H$8:$H$2008,$B27,Vendas!$E$8:$E$2008,"&gt;=01/10/"&amp;$G$3,Vendas!$E$8:$E$2008,"&lt;=31/10/"&amp;$G$3)+SUMIFS(Vendas!$P$8:$P$2008,Vendas!$M$8:$M$2008,$B27,Vendas!$E$8:$E$2008,"&gt;=01/10/"&amp;$G$3,Vendas!$E$8:$E$2008,"&lt;=31/10/"&amp;$G$3)+SUMIFS(Vendas!$U$8:$U$2008,Vendas!$R$8:$R$2008,$B27,Vendas!$E$8:$E$2008,"&gt;=01/10/"&amp;$G$3,Vendas!$E$8:$E$2008,"&lt;=31/10/"&amp;$G$3)+SUMIFS(Vendas!$Z$8:$Z$2008,Vendas!$W$8:$W$2008,$B27,Vendas!$E$8:$E$2008,"&gt;=01/10/"&amp;$G$3,Vendas!$E$8:$E$2008,"&lt;=31/10/"&amp;$G$3)+SUMIFS(Vendas!$AE$8:$AE$2008,Vendas!$AB$8:$AB$2008,$B27,Vendas!$E$8:$E$2008,"&gt;=01/10/"&amp;$G$3,Vendas!$E$8:$E$2008,"&lt;=31/10/"&amp;$G$3)+SUMIFS(Vendas!$AJ$8:$AJ$2008,Vendas!$AG$8:$AG$2008,$B27,Vendas!$E$8:$E$2008,"&gt;=01/10/"&amp;$G$3,Vendas!$E$8:$E$2008,"&lt;=31/10/"&amp;$G$3)+SUMIFS(Vendas!$AO$8:$AO$2008,Vendas!$AL$8:$AL$2008,$B27,Vendas!$E$8:$E$2008,"&gt;=01/10/"&amp;$G$3,Vendas!$E$8:$E$2008,"&lt;=31/10/"&amp;$G$3)+SUMIFS(Vendas!$AT$8:$AT$2008,Vendas!$AQ$8:$AQ$2008,$B27,Vendas!$E$8:$E$2008,"&gt;=01/10/"&amp;$G$3,Vendas!$E$8:$E$2008,"&lt;=31/10/"&amp;$G$3)</f>
        <v>0</v>
      </c>
      <c r="V27" s="159">
        <f>SUMIFS(Vendas!$K$8:$K$2008,Vendas!$H$8:$H$2008,$B27,Vendas!$E$8:$E$2008,"&gt;=01/10/"&amp;$G$3,Vendas!$E$8:$E$2008,"&lt;=31/10/"&amp;$G$3,Vendas!$C$8:$C$2008,"Entregue")+SUMIFS(Vendas!$P$8:$P$2008,Vendas!$M$8:$M$2008,$B27,Vendas!$E$8:$E$2008,"&gt;=01/10/"&amp;$G$3,Vendas!$E$8:$E$2008,"&lt;=31/10/"&amp;$G$3,Vendas!$C$8:$C$2008,"Entregue")+SUMIFS(Vendas!$U$8:$U$2008,Vendas!$R$8:$R$2008,$B27,Vendas!$E$8:$E$2008,"&gt;=01/10/"&amp;$G$3,Vendas!$E$8:$E$2008,"&lt;=31/10/"&amp;$G$3,Vendas!$C$8:$C$2008,"Entregue")+SUMIFS(Vendas!$Z$8:$Z$2008,Vendas!$W$8:$W$2008,$B27,Vendas!$E$8:$E$2008,"&gt;=01/10/"&amp;$G$3,Vendas!$E$8:$E$2008,"&lt;=31/10/"&amp;$G$3,Vendas!$C$8:$C$2008,"Entregue")+SUMIFS(Vendas!$AE$8:$AE$2008,Vendas!$AB$8:$AB$2008,$B27,Vendas!$E$8:$E$2008,"&gt;=01/10/"&amp;$G$3,Vendas!$E$8:$E$2008,"&lt;=31/10/"&amp;$G$3,Vendas!$C$8:$C$2008,"Entregue")+SUMIFS(Vendas!$AJ$8:$AJ$2008,Vendas!$AG$8:$AG$2008,$B27,Vendas!$E$8:$E$2008,"&gt;=01/10/"&amp;$G$3,Vendas!$E$8:$E$2008,"&lt;=31/10/"&amp;$G$3,Vendas!$C$8:$C$2008,"Entregue")+SUMIFS(Vendas!$AO$8:$AO$2008,Vendas!$AL$8:$AL$2008,$B27,Vendas!$E$8:$E$2008,"&gt;=01/10/"&amp;$G$3,Vendas!$E$8:$E$2008,"&lt;=31/10/"&amp;$G$3,Vendas!$C$8:$C$2008,"Entregue")+SUMIFS(Vendas!$AT$8:$AT$2008,Vendas!$AQ$8:$AQ$2008,$B27,Vendas!$E$8:$E$2008,"&gt;=01/10/"&amp;$G$3,Vendas!$E$8:$E$2008,"&lt;=31/10/"&amp;$G$3,Vendas!$C$8:$C$2008,"Entregue")</f>
        <v>0</v>
      </c>
      <c r="W27" s="159">
        <f>SUMIFS(Vendas!$K$8:$K$2008,Vendas!$H$8:$H$2008,$B27,Vendas!$E$8:$E$2008,"&gt;=01/11/"&amp;$G$3,Vendas!$E$8:$E$2008,"&lt;=30/11/"&amp;$G$3)+SUMIFS(Vendas!$P$8:$P$2008,Vendas!$M$8:$M$2008,$B27,Vendas!$E$8:$E$2008,"&gt;=01/11/"&amp;$G$3,Vendas!$E$8:$E$2008,"&lt;=30/11/"&amp;$G$3)+SUMIFS(Vendas!$U$8:$U$2008,Vendas!$R$8:$R$2008,$B27,Vendas!$E$8:$E$2008,"&gt;=01/11/"&amp;$G$3,Vendas!$E$8:$E$2008,"&lt;=30/11/"&amp;$G$3)+SUMIFS(Vendas!$Z$8:$Z$2008,Vendas!$W$8:$W$2008,$B27,Vendas!$E$8:$E$2008,"&gt;=01/11/"&amp;$G$3,Vendas!$E$8:$E$2008,"&lt;=30/11/"&amp;$G$3)+SUMIFS(Vendas!$AE$8:$AE$2008,Vendas!$AB$8:$AB$2008,$B27,Vendas!$E$8:$E$2008,"&gt;=01/11/"&amp;$G$3,Vendas!$E$8:$E$2008,"&lt;=30/11/"&amp;$G$3)+SUMIFS(Vendas!$AJ$8:$AJ$2008,Vendas!$AG$8:$AG$2008,$B27,Vendas!$E$8:$E$2008,"&gt;=01/11/"&amp;$G$3,Vendas!$E$8:$E$2008,"&lt;=30/11/"&amp;$G$3)+SUMIFS(Vendas!$AO$8:$AO$2008,Vendas!$AL$8:$AL$2008,$B27,Vendas!$E$8:$E$2008,"&gt;=01/11/"&amp;$G$3,Vendas!$E$8:$E$2008,"&lt;=30/11/"&amp;$G$3)+SUMIFS(Vendas!$AT$8:$AT$2008,Vendas!$AQ$8:$AQ$2008,$B27,Vendas!$E$8:$E$2008,"&gt;=01/11/"&amp;$G$3,Vendas!$E$8:$E$2008,"&lt;=30/11/"&amp;$G$3)</f>
        <v>0</v>
      </c>
      <c r="X27" s="159">
        <f>SUMIFS(Vendas!$K$8:$K$2008,Vendas!$H$8:$H$2008,$B27,Vendas!$E$8:$E$2008,"&gt;=01/11/"&amp;$G$3,Vendas!$E$8:$E$2008,"&lt;=30/11/"&amp;$G$3,Vendas!$C$8:$C$2008,"Entregue")+SUMIFS(Vendas!$P$8:$P$2008,Vendas!$M$8:$M$2008,$B27,Vendas!$E$8:$E$2008,"&gt;=01/11/"&amp;$G$3,Vendas!$E$8:$E$2008,"&lt;=30/11/"&amp;$G$3,Vendas!$C$8:$C$2008,"Entregue")+SUMIFS(Vendas!$U$8:$U$2008,Vendas!$R$8:$R$2008,$B27,Vendas!$E$8:$E$2008,"&gt;=01/11/"&amp;$G$3,Vendas!$E$8:$E$2008,"&lt;=30/11/"&amp;$G$3,Vendas!$C$8:$C$2008,"Entregue")+SUMIFS(Vendas!$Z$8:$Z$2008,Vendas!$W$8:$W$2008,$B27,Vendas!$E$8:$E$2008,"&gt;=01/11/"&amp;$G$3,Vendas!$E$8:$E$2008,"&lt;=30/11/"&amp;$G$3,Vendas!$C$8:$C$2008,"Entregue")+SUMIFS(Vendas!$AE$8:$AE$2008,Vendas!$AB$8:$AB$2008,$B27,Vendas!$E$8:$E$2008,"&gt;=01/11/"&amp;$G$3,Vendas!$E$8:$E$2008,"&lt;=30/11/"&amp;$G$3,Vendas!$C$8:$C$2008,"Entregue")+SUMIFS(Vendas!$AJ$8:$AJ$2008,Vendas!$AG$8:$AG$2008,$B27,Vendas!$E$8:$E$2008,"&gt;=01/11/"&amp;$G$3,Vendas!$E$8:$E$2008,"&lt;=30/11/"&amp;$G$3,Vendas!$C$8:$C$2008,"Entregue")+SUMIFS(Vendas!$AO$8:$AO$2008,Vendas!$AL$8:$AL$2008,$B27,Vendas!$E$8:$E$2008,"&gt;=01/11/"&amp;$G$3,Vendas!$E$8:$E$2008,"&lt;=30/11/"&amp;$G$3,Vendas!$C$8:$C$2008,"Entregue")+SUMIFS(Vendas!$AT$8:$AT$2008,Vendas!$AQ$8:$AQ$2008,$B27,Vendas!$E$8:$E$2008,"&gt;=01/11/"&amp;$G$3,Vendas!$E$8:$E$2008,"&lt;=30/11/"&amp;$G$3,Vendas!$C$8:$C$2008,"Entregue")</f>
        <v>0</v>
      </c>
      <c r="Y27" s="159">
        <f>SUMIFS(Vendas!$K$8:$K$2008,Vendas!$H$8:$H$2008,$B27,Vendas!$E$8:$E$2008,"&gt;=01/12/"&amp;$G$3,Vendas!$E$8:$E$2008,"&lt;=31/12/"&amp;$G$3)+SUMIFS(Vendas!$P$8:$P$2008,Vendas!$M$8:$M$2008,$B27,Vendas!$E$8:$E$2008,"&gt;=01/12/"&amp;$G$3,Vendas!$E$8:$E$2008,"&lt;=31/12/"&amp;$G$3)+SUMIFS(Vendas!$U$8:$U$2008,Vendas!$R$8:$R$2008,$B27,Vendas!$E$8:$E$2008,"&gt;=01/12/"&amp;$G$3,Vendas!$E$8:$E$2008,"&lt;=31/12/"&amp;$G$3)+SUMIFS(Vendas!$Z$8:$Z$2008,Vendas!$W$8:$W$2008,$B27,Vendas!$E$8:$E$2008,"&gt;=01/12/"&amp;$G$3,Vendas!$E$8:$E$2008,"&lt;=31/12/"&amp;$G$3)+SUMIFS(Vendas!$AE$8:$AE$2008,Vendas!$AB$8:$AB$2008,$B27,Vendas!$E$8:$E$2008,"&gt;=01/12/"&amp;$G$3,Vendas!$E$8:$E$2008,"&lt;=31/12/"&amp;$G$3)+SUMIFS(Vendas!$AJ$8:$AJ$2008,Vendas!$AG$8:$AG$2008,$B27,Vendas!$E$8:$E$2008,"&gt;=01/12/"&amp;$G$3,Vendas!$E$8:$E$2008,"&lt;=31/12/"&amp;$G$3)+SUMIFS(Vendas!$AO$8:$AO$2008,Vendas!$AL$8:$AL$2008,$B27,Vendas!$E$8:$E$2008,"&gt;=01/12/"&amp;$G$3,Vendas!$E$8:$E$2008,"&lt;=31/12/"&amp;$G$3)+SUMIFS(Vendas!$AT$8:$AT$2008,Vendas!$AQ$8:$AQ$2008,$B27,Vendas!$E$8:$E$2008,"&gt;=01/12/"&amp;$G$3,Vendas!$E$8:$E$2008,"&lt;=31/12/"&amp;$G$3)</f>
        <v>0</v>
      </c>
      <c r="Z27" s="160">
        <f>SUMIFS(Vendas!$K$8:$K$2008,Vendas!$H$8:$H$2008,$B27,Vendas!$E$8:$E$2008,"&gt;=01/12/"&amp;$G$3,Vendas!$E$8:$E$2008,"&lt;=31/12/"&amp;$G$3,Vendas!$C$8:$C$2008,"Entregue")+SUMIFS(Vendas!$P$8:$P$2008,Vendas!$M$8:$M$2008,$B27,Vendas!$E$8:$E$2008,"&gt;=01/12/"&amp;$G$3,Vendas!$E$8:$E$2008,"&lt;=31/12/"&amp;$G$3,Vendas!$C$8:$C$2008,"Entregue")+SUMIFS(Vendas!$U$8:$U$2008,Vendas!$R$8:$R$2008,$B27,Vendas!$E$8:$E$2008,"&gt;=01/12/"&amp;$G$3,Vendas!$E$8:$E$2008,"&lt;=31/12/"&amp;$G$3,Vendas!$C$8:$C$2008,"Entregue")+SUMIFS(Vendas!$Z$8:$Z$2008,Vendas!$W$8:$W$2008,$B27,Vendas!$E$8:$E$2008,"&gt;=01/12/"&amp;$G$3,Vendas!$E$8:$E$2008,"&lt;=31/12/"&amp;$G$3,Vendas!$C$8:$C$2008,"Entregue")+SUMIFS(Vendas!$AE$8:$AE$2008,Vendas!$AB$8:$AB$2008,$B27,Vendas!$E$8:$E$2008,"&gt;=01/12/"&amp;$G$3,Vendas!$E$8:$E$2008,"&lt;=31/12/"&amp;$G$3,Vendas!$C$8:$C$2008,"Entregue")+SUMIFS(Vendas!$AJ$8:$AJ$2008,Vendas!$AG$8:$AG$2008,$B27,Vendas!$E$8:$E$2008,"&gt;=01/12/"&amp;$G$3,Vendas!$E$8:$E$2008,"&lt;=31/12/"&amp;$G$3,Vendas!$C$8:$C$2008,"Entregue")+SUMIFS(Vendas!$AO$8:$AO$2008,Vendas!$AL$8:$AL$2008,$B27,Vendas!$E$8:$E$2008,"&gt;=01/12/"&amp;$G$3,Vendas!$E$8:$E$2008,"&lt;=31/12/"&amp;$G$3,Vendas!$C$8:$C$2008,"Entregue")+SUMIFS(Vendas!$AT$8:$AT$2008,Vendas!$AQ$8:$AQ$2008,$B27,Vendas!$E$8:$E$2008,"&gt;=01/12/"&amp;$G$3,Vendas!$E$8:$E$2008,"&lt;=31/12/"&amp;$G$3,Vendas!$C$8:$C$2008,"Entregue")</f>
        <v>0</v>
      </c>
      <c r="AA27" s="132">
        <f t="shared" si="0"/>
        <v>1627.08</v>
      </c>
      <c r="AB27" s="132">
        <f t="shared" si="0"/>
        <v>1627.08</v>
      </c>
      <c r="AC27" s="67"/>
    </row>
    <row r="28" spans="2:29" ht="14.4" x14ac:dyDescent="0.3">
      <c r="B28" s="262" t="str">
        <f>IF(Cadastros!G9="","",Cadastros!G9)</f>
        <v>241 - Base Box Casal 1,93 X 2,03 X 0,25 cm</v>
      </c>
      <c r="C28" s="161">
        <f>SUMIFS(Vendas!$K$8:$K$2008,Vendas!$H$8:$H$2008,$B28,Vendas!$E$8:$E$2008,"&gt;=01/01/"&amp;$G$3,Vendas!$E$8:$E$2008,"&lt;=31/01/"&amp;$G$3)+SUMIFS(Vendas!$P$8:$P$2008,Vendas!$M$8:$M$2008,$B28,Vendas!$E$8:$E$2008,"&gt;=01/01/"&amp;$G$3,Vendas!$E$8:$E$2008,"&lt;=31/01/"&amp;$G$3)+SUMIFS(Vendas!$U$8:$U$2008,Vendas!$R$8:$R$2008,$B28,Vendas!$E$8:$E$2008,"&gt;=01/01/"&amp;$G$3,Vendas!$E$8:$E$2008,"&lt;=31/01/"&amp;$G$3)+SUMIFS(Vendas!$Z$8:$Z$2008,Vendas!$W$8:$W$2008,$B28,Vendas!$E$8:$E$2008,"&gt;=01/01/"&amp;$G$3,Vendas!$E$8:$E$2008,"&lt;=31/01/"&amp;$G$3)+SUMIFS(Vendas!$AE$8:$AE$2008,Vendas!$AB$8:$AB$2008,$B28,Vendas!$E$8:$E$2008,"&gt;=01/01/"&amp;$G$3,Vendas!$E$8:$E$2008,"&lt;=31/01/"&amp;$G$3)+SUMIFS(Vendas!$AJ$8:$AJ$2008,Vendas!$AG$8:$AG$2008,$B28,Vendas!$E$8:$E$2008,"&gt;=01/01/"&amp;$G$3,Vendas!$E$8:$E$2008,"&lt;=31/01/"&amp;$G$3)+SUMIFS(Vendas!$AO$8:$AO$2008,Vendas!$AL$8:$AL$2008,$B28,Vendas!$E$8:$E$2008,"&gt;=01/01/"&amp;$G$3,Vendas!$E$8:$E$2008,"&lt;=31/01/"&amp;$G$3)+SUMIFS(Vendas!$AT$8:$AT$2008,Vendas!$AQ$8:$AQ$2008,$B28,Vendas!$E$8:$E$2008,"&gt;=01/01/"&amp;$G$3,Vendas!$E$8:$E$2008,"&lt;=31/01/"&amp;$G$3)</f>
        <v>0</v>
      </c>
      <c r="D28" s="162">
        <f>SUMIFS(Vendas!$K$8:$K$2008,Vendas!$H$8:$H$2008,$B28,Vendas!$E$8:$E$2008,"&gt;=01/01/"&amp;$G$3,Vendas!$E$8:$E$2008,"&lt;=31/01/"&amp;$G$3,Vendas!$C$8:$C$2008,"Entregue")+SUMIFS(Vendas!$P$8:$P$2008,Vendas!$M$8:$M$2008,$B28,Vendas!$E$8:$E$2008,"&gt;=01/01/"&amp;$G$3,Vendas!$E$8:$E$2008,"&lt;=31/01/"&amp;$G$3,Vendas!$C$8:$C$2008,"Entregue")+SUMIFS(Vendas!$U$8:$U$2008,Vendas!$R$8:$R$2008,$B28,Vendas!$E$8:$E$2008,"&gt;=01/01/"&amp;$G$3,Vendas!$E$8:$E$2008,"&lt;=31/01/"&amp;$G$3,Vendas!$C$8:$C$2008,"Entregue")+SUMIFS(Vendas!$Z$8:$Z$2008,Vendas!$W$8:$W$2008,$B28,Vendas!$E$8:$E$2008,"&gt;=01/01/"&amp;$G$3,Vendas!$E$8:$E$2008,"&lt;=31/01/"&amp;$G$3,Vendas!$C$8:$C$2008,"Entregue")+SUMIFS(Vendas!$AE$8:$AE$2008,Vendas!$AB$8:$AB$2008,$B28,Vendas!$E$8:$E$2008,"&gt;=01/01/"&amp;$G$3,Vendas!$E$8:$E$2008,"&lt;=31/01/"&amp;$G$3,Vendas!$C$8:$C$2008,"Entregue")+SUMIFS(Vendas!$AJ$8:$AJ$2008,Vendas!$AG$8:$AG$2008,$B28,Vendas!$E$8:$E$2008,"&gt;=01/01/"&amp;$G$3,Vendas!$E$8:$E$2008,"&lt;=31/01/"&amp;$G$3,Vendas!$C$8:$C$2008,"Entregue")+SUMIFS(Vendas!$AO$8:$AO$2008,Vendas!$AL$8:$AL$2008,$B28,Vendas!$E$8:$E$2008,"&gt;=01/01/"&amp;$G$3,Vendas!$E$8:$E$2008,"&lt;=31/01/"&amp;$G$3,Vendas!$C$8:$C$2008,"Entregue")+SUMIFS(Vendas!$AT$8:$AT$2008,Vendas!$AQ$8:$AQ$2008,$B28,Vendas!$E$8:$E$2008,"&gt;=01/01/"&amp;$G$3,Vendas!$E$8:$E$2008,"&lt;=31/01/"&amp;$G$3,Vendas!$C$8:$C$2008,"Entregue")</f>
        <v>0</v>
      </c>
      <c r="E28" s="162">
        <f>SUMIFS(Vendas!$K$8:$K$2008,Vendas!$H$8:$H$2008,$B28,Vendas!$E$8:$E$2008,"&gt;=01/02/"&amp;$G$3,Vendas!$E$8:$E$2008,"&lt;=28/02/"&amp;$G$3)+SUMIFS(Vendas!$P$8:$P$2008,Vendas!$M$8:$M$2008,$B28,Vendas!$E$8:$E$2008,"&gt;=01/02/"&amp;$G$3,Vendas!$E$8:$E$2008,"&lt;=28/02/"&amp;$G$3)+SUMIFS(Vendas!$U$8:$U$2008,Vendas!$R$8:$R$2008,$B28,Vendas!$E$8:$E$2008,"&gt;=01/02/"&amp;$G$3,Vendas!$E$8:$E$2008,"&lt;=28/02/"&amp;$G$3)+SUMIFS(Vendas!$Z$8:$Z$2008,Vendas!$W$8:$W$2008,$B28,Vendas!$E$8:$E$2008,"&gt;=01/02/"&amp;$G$3,Vendas!$E$8:$E$2008,"&lt;=28/02/"&amp;$G$3)+SUMIFS(Vendas!$AE$8:$AE$2008,Vendas!$AB$8:$AB$2008,$B28,Vendas!$E$8:$E$2008,"&gt;=01/02/"&amp;$G$3,Vendas!$E$8:$E$2008,"&lt;=28/02/"&amp;$G$3)+SUMIFS(Vendas!$AJ$8:$AJ$2008,Vendas!$AG$8:$AG$2008,$B28,Vendas!$E$8:$E$2008,"&gt;=01/02/"&amp;$G$3,Vendas!$E$8:$E$2008,"&lt;=28/02/"&amp;$G$3)+SUMIFS(Vendas!$AO$8:$AO$2008,Vendas!$AL$8:$AL$2008,$B28,Vendas!$E$8:$E$2008,"&gt;=01/02/"&amp;$G$3,Vendas!$E$8:$E$2008,"&lt;=28/02/"&amp;$G$3)+SUMIFS(Vendas!$AT$8:$AT$2008,Vendas!$AQ$8:$AQ$2008,$B28,Vendas!$E$8:$E$2008,"&gt;=01/02/"&amp;$G$3,Vendas!$E$8:$E$2008,"&lt;=28/02/"&amp;$G$3)</f>
        <v>0</v>
      </c>
      <c r="F28" s="162">
        <f>SUMIFS(Vendas!$K$8:$K$2008,Vendas!$H$8:$H$2008,$B28,Vendas!$E$8:$E$2008,"&gt;=01/02/"&amp;$G$3,Vendas!$E$8:$E$2008,"&lt;=28/02/"&amp;$G$3,Vendas!$C$8:$C$2008,"Entregue")+SUMIFS(Vendas!$P$8:$P$2008,Vendas!$M$8:$M$2008,$B28,Vendas!$E$8:$E$2008,"&gt;=01/02/"&amp;$G$3,Vendas!$E$8:$E$2008,"&lt;=28/02/"&amp;$G$3,Vendas!$C$8:$C$2008,"Entregue")+SUMIFS(Vendas!$U$8:$U$2008,Vendas!$R$8:$R$2008,$B28,Vendas!$E$8:$E$2008,"&gt;=01/02/"&amp;$G$3,Vendas!$E$8:$E$2008,"&lt;=28/02/"&amp;$G$3,Vendas!$C$8:$C$2008,"Entregue")+SUMIFS(Vendas!$Z$8:$Z$2008,Vendas!$W$8:$W$2008,$B28,Vendas!$E$8:$E$2008,"&gt;=01/02/"&amp;$G$3,Vendas!$E$8:$E$2008,"&lt;=28/02/"&amp;$G$3,Vendas!$C$8:$C$2008,"Entregue")+SUMIFS(Vendas!$AE$8:$AE$2008,Vendas!$AB$8:$AB$2008,$B28,Vendas!$E$8:$E$2008,"&gt;=01/02/"&amp;$G$3,Vendas!$E$8:$E$2008,"&lt;=28/02/"&amp;$G$3,Vendas!$C$8:$C$2008,"Entregue")+SUMIFS(Vendas!$AJ$8:$AJ$2008,Vendas!$AG$8:$AG$2008,$B28,Vendas!$E$8:$E$2008,"&gt;=01/02/"&amp;$G$3,Vendas!$E$8:$E$2008,"&lt;=28/02/"&amp;$G$3,Vendas!$C$8:$C$2008,"Entregue")+SUMIFS(Vendas!$AO$8:$AO$2008,Vendas!$AL$8:$AL$2008,$B28,Vendas!$E$8:$E$2008,"&gt;=01/02/"&amp;$G$3,Vendas!$E$8:$E$2008,"&lt;=28/02/"&amp;$G$3,Vendas!$C$8:$C$2008,"Entregue")+SUMIFS(Vendas!$AT$8:$AT$2008,Vendas!$AQ$8:$AQ$2008,$B28,Vendas!$E$8:$E$2008,"&gt;=01/02/"&amp;$G$3,Vendas!$E$8:$E$2008,"&lt;=28/02/"&amp;$G$3,Vendas!$C$8:$C$2008,"Entregue")</f>
        <v>0</v>
      </c>
      <c r="G28" s="162">
        <f>SUMIFS(Vendas!$K$8:$K$2008,Vendas!$H$8:$H$2008,$B28,Vendas!$E$8:$E$2008,"&gt;=01/03/"&amp;$G$3,Vendas!$E$8:$E$2008,"&lt;=31/03/"&amp;$G$3)+SUMIFS(Vendas!$P$8:$P$2008,Vendas!$M$8:$M$2008,$B28,Vendas!$E$8:$E$2008,"&gt;=01/03/"&amp;$G$3,Vendas!$E$8:$E$2008,"&lt;=31/03/"&amp;$G$3)+SUMIFS(Vendas!$U$8:$U$2008,Vendas!$R$8:$R$2008,$B28,Vendas!$E$8:$E$2008,"&gt;=01/03/"&amp;$G$3,Vendas!$E$8:$E$2008,"&lt;=31/03/"&amp;$G$3)+SUMIFS(Vendas!$Z$8:$Z$2008,Vendas!$W$8:$W$2008,$B28,Vendas!$E$8:$E$2008,"&gt;=01/03/"&amp;$G$3,Vendas!$E$8:$E$2008,"&lt;=31/03/"&amp;$G$3)+SUMIFS(Vendas!$AE$8:$AE$2008,Vendas!$AB$8:$AB$2008,$B28,Vendas!$E$8:$E$2008,"&gt;=01/03/"&amp;$G$3,Vendas!$E$8:$E$2008,"&lt;=31/03/"&amp;$G$3)+SUMIFS(Vendas!$AJ$8:$AJ$2008,Vendas!$AG$8:$AG$2008,$B28,Vendas!$E$8:$E$2008,"&gt;=01/03/"&amp;$G$3,Vendas!$E$8:$E$2008,"&lt;=31/03/"&amp;$G$3)+SUMIFS(Vendas!$AO$8:$AO$2008,Vendas!$AL$8:$AL$2008,$B28,Vendas!$E$8:$E$2008,"&gt;=01/03/"&amp;$G$3,Vendas!$E$8:$E$2008,"&lt;=31/03/"&amp;$G$3)+SUMIFS(Vendas!$AT$8:$AT$2008,Vendas!$AQ$8:$AQ$2008,$B28,Vendas!$E$8:$E$2008,"&gt;=01/03/"&amp;$G$3,Vendas!$E$8:$E$2008,"&lt;=31/03/"&amp;$G$3)</f>
        <v>0</v>
      </c>
      <c r="H28" s="162">
        <f>SUMIFS(Vendas!$K$8:$K$2008,Vendas!$H$8:$H$2008,$B28,Vendas!$E$8:$E$2008,"&gt;=01/03/"&amp;$G$3,Vendas!$E$8:$E$2008,"&lt;=31/03/"&amp;$G$3,Vendas!$C$8:$C$2008,"Entregue")+SUMIFS(Vendas!$P$8:$P$2008,Vendas!$M$8:$M$2008,$B28,Vendas!$E$8:$E$2008,"&gt;=01/03/"&amp;$G$3,Vendas!$E$8:$E$2008,"&lt;=31/03/"&amp;$G$3,Vendas!$C$8:$C$2008,"Entregue")+SUMIFS(Vendas!$U$8:$U$2008,Vendas!$R$8:$R$2008,$B28,Vendas!$E$8:$E$2008,"&gt;=01/03/"&amp;$G$3,Vendas!$E$8:$E$2008,"&lt;=31/03/"&amp;$G$3,Vendas!$C$8:$C$2008,"Entregue")+SUMIFS(Vendas!$Z$8:$Z$2008,Vendas!$W$8:$W$2008,$B28,Vendas!$E$8:$E$2008,"&gt;=01/03/"&amp;$G$3,Vendas!$E$8:$E$2008,"&lt;=31/03/"&amp;$G$3,Vendas!$C$8:$C$2008,"Entregue")+SUMIFS(Vendas!$AE$8:$AE$2008,Vendas!$AB$8:$AB$2008,$B28,Vendas!$E$8:$E$2008,"&gt;=01/03/"&amp;$G$3,Vendas!$E$8:$E$2008,"&lt;=31/03/"&amp;$G$3,Vendas!$C$8:$C$2008,"Entregue")+SUMIFS(Vendas!$AJ$8:$AJ$2008,Vendas!$AG$8:$AG$2008,$B28,Vendas!$E$8:$E$2008,"&gt;=01/03/"&amp;$G$3,Vendas!$E$8:$E$2008,"&lt;=31/03/"&amp;$G$3,Vendas!$C$8:$C$2008,"Entregue")+SUMIFS(Vendas!$AO$8:$AO$2008,Vendas!$AL$8:$AL$2008,$B28,Vendas!$E$8:$E$2008,"&gt;=01/03/"&amp;$G$3,Vendas!$E$8:$E$2008,"&lt;=31/03/"&amp;$G$3,Vendas!$C$8:$C$2008,"Entregue")+SUMIFS(Vendas!$AT$8:$AT$2008,Vendas!$AQ$8:$AQ$2008,$B28,Vendas!$E$8:$E$2008,"&gt;=01/03/"&amp;$G$3,Vendas!$E$8:$E$2008,"&lt;=31/03/"&amp;$G$3,Vendas!$C$8:$C$2008,"Entregue")</f>
        <v>0</v>
      </c>
      <c r="I28" s="162">
        <f>SUMIFS(Vendas!$K$8:$K$2008,Vendas!$H$8:$H$2008,$B28,Vendas!$E$8:$E$2008,"&gt;=01/04/"&amp;$G$3,Vendas!$E$8:$E$2008,"&lt;=30/04/"&amp;$G$3)+SUMIFS(Vendas!$P$8:$P$2008,Vendas!$M$8:$M$2008,$B28,Vendas!$E$8:$E$2008,"&gt;=01/04/"&amp;$G$3,Vendas!$E$8:$E$2008,"&lt;=30/04/"&amp;$G$3)+SUMIFS(Vendas!$U$8:$U$2008,Vendas!$R$8:$R$2008,$B28,Vendas!$E$8:$E$2008,"&gt;=01/04/"&amp;$G$3,Vendas!$E$8:$E$2008,"&lt;=30/04/"&amp;$G$3)+SUMIFS(Vendas!$Z$8:$Z$2008,Vendas!$W$8:$W$2008,$B28,Vendas!$E$8:$E$2008,"&gt;=01/04/"&amp;$G$3,Vendas!$E$8:$E$2008,"&lt;=30/04/"&amp;$G$3)+SUMIFS(Vendas!$AE$8:$AE$2008,Vendas!$AB$8:$AB$2008,$B28,Vendas!$E$8:$E$2008,"&gt;=01/04/"&amp;$G$3,Vendas!$E$8:$E$2008,"&lt;=30/04/"&amp;$G$3)+SUMIFS(Vendas!$AJ$8:$AJ$2008,Vendas!$AG$8:$AG$2008,$B28,Vendas!$E$8:$E$2008,"&gt;=01/04/"&amp;$G$3,Vendas!$E$8:$E$2008,"&lt;=30/04/"&amp;$G$3)+SUMIFS(Vendas!$AO$8:$AO$2008,Vendas!$AL$8:$AL$2008,$B28,Vendas!$E$8:$E$2008,"&gt;=01/04/"&amp;$G$3,Vendas!$E$8:$E$2008,"&lt;=30/04/"&amp;$G$3)+SUMIFS(Vendas!$AT$8:$AT$2008,Vendas!$AQ$8:$AQ$2008,$B28,Vendas!$E$8:$E$2008,"&gt;=01/04/"&amp;$G$3,Vendas!$E$8:$E$2008,"&lt;=30/04/"&amp;$G$3)</f>
        <v>0</v>
      </c>
      <c r="J28" s="162">
        <f>SUMIFS(Vendas!$K$8:$K$2008,Vendas!$H$8:$H$2008,$B28,Vendas!$E$8:$E$2008,"&gt;=01/04/"&amp;$G$3,Vendas!$E$8:$E$2008,"&lt;=30/04/"&amp;$G$3,Vendas!$C$8:$C$2008,"Entregue")+SUMIFS(Vendas!$P$8:$P$2008,Vendas!$M$8:$M$2008,$B28,Vendas!$E$8:$E$2008,"&gt;=01/04/"&amp;$G$3,Vendas!$E$8:$E$2008,"&lt;=30/04/"&amp;$G$3,Vendas!$C$8:$C$2008,"Entregue")+SUMIFS(Vendas!$U$8:$U$2008,Vendas!$R$8:$R$2008,$B28,Vendas!$E$8:$E$2008,"&gt;=01/04/"&amp;$G$3,Vendas!$E$8:$E$2008,"&lt;=30/04/"&amp;$G$3,Vendas!$C$8:$C$2008,"Entregue")+SUMIFS(Vendas!$Z$8:$Z$2008,Vendas!$W$8:$W$2008,$B28,Vendas!$E$8:$E$2008,"&gt;=01/04/"&amp;$G$3,Vendas!$E$8:$E$2008,"&lt;=30/04/"&amp;$G$3,Vendas!$C$8:$C$2008,"Entregue")+SUMIFS(Vendas!$AE$8:$AE$2008,Vendas!$AB$8:$AB$2008,$B28,Vendas!$E$8:$E$2008,"&gt;=01/04/"&amp;$G$3,Vendas!$E$8:$E$2008,"&lt;=30/04/"&amp;$G$3,Vendas!$C$8:$C$2008,"Entregue")+SUMIFS(Vendas!$AJ$8:$AJ$2008,Vendas!$AG$8:$AG$2008,$B28,Vendas!$E$8:$E$2008,"&gt;=01/04/"&amp;$G$3,Vendas!$E$8:$E$2008,"&lt;=30/04/"&amp;$G$3,Vendas!$C$8:$C$2008,"Entregue")+SUMIFS(Vendas!$AO$8:$AO$2008,Vendas!$AL$8:$AL$2008,$B28,Vendas!$E$8:$E$2008,"&gt;=01/04/"&amp;$G$3,Vendas!$E$8:$E$2008,"&lt;=30/04/"&amp;$G$3,Vendas!$C$8:$C$2008,"Entregue")+SUMIFS(Vendas!$AT$8:$AT$2008,Vendas!$AQ$8:$AQ$2008,$B28,Vendas!$E$8:$E$2008,"&gt;=01/04/"&amp;$G$3,Vendas!$E$8:$E$2008,"&lt;=30/04/"&amp;$G$3,Vendas!$C$8:$C$2008,"Entregue")</f>
        <v>0</v>
      </c>
      <c r="K28" s="162">
        <f>SUMIFS(Vendas!$K$8:$K$2008,Vendas!$H$8:$H$2008,$B28,Vendas!$E$8:$E$2008,"&gt;=01/05/"&amp;$G$3,Vendas!$E$8:$E$2008,"&lt;=31/05/"&amp;$G$3)+SUMIFS(Vendas!$P$8:$P$2008,Vendas!$M$8:$M$2008,$B28,Vendas!$E$8:$E$2008,"&gt;=01/05/"&amp;$G$3,Vendas!$E$8:$E$2008,"&lt;=31/05/"&amp;$G$3)+SUMIFS(Vendas!$U$8:$U$2008,Vendas!$R$8:$R$2008,$B28,Vendas!$E$8:$E$2008,"&gt;=01/05/"&amp;$G$3,Vendas!$E$8:$E$2008,"&lt;=31/05/"&amp;$G$3)+SUMIFS(Vendas!$Z$8:$Z$2008,Vendas!$W$8:$W$2008,$B28,Vendas!$E$8:$E$2008,"&gt;=01/05/"&amp;$G$3,Vendas!$E$8:$E$2008,"&lt;=31/05/"&amp;$G$3)+SUMIFS(Vendas!$AE$8:$AE$2008,Vendas!$AB$8:$AB$2008,$B28,Vendas!$E$8:$E$2008,"&gt;=01/05/"&amp;$G$3,Vendas!$E$8:$E$2008,"&lt;=31/05/"&amp;$G$3)+SUMIFS(Vendas!$AJ$8:$AJ$2008,Vendas!$AG$8:$AG$2008,$B28,Vendas!$E$8:$E$2008,"&gt;=01/05/"&amp;$G$3,Vendas!$E$8:$E$2008,"&lt;=31/05/"&amp;$G$3)+SUMIFS(Vendas!$AO$8:$AO$2008,Vendas!$AL$8:$AL$2008,$B28,Vendas!$E$8:$E$2008,"&gt;=01/05/"&amp;$G$3,Vendas!$E$8:$E$2008,"&lt;=31/05/"&amp;$G$3)+SUMIFS(Vendas!$AT$8:$AT$2008,Vendas!$AQ$8:$AQ$2008,$B28,Vendas!$E$8:$E$2008,"&gt;=01/05/"&amp;$G$3,Vendas!$E$8:$E$2008,"&lt;=31/05/"&amp;$G$3)</f>
        <v>0</v>
      </c>
      <c r="L28" s="162">
        <f>SUMIFS(Vendas!$K$8:$K$2008,Vendas!$H$8:$H$2008,$B28,Vendas!$E$8:$E$2008,"&gt;=01/05/"&amp;$G$3,Vendas!$E$8:$E$2008,"&lt;=31/05/"&amp;$G$3,Vendas!$C$8:$C$2008,"Entregue")+SUMIFS(Vendas!$P$8:$P$2008,Vendas!$M$8:$M$2008,$B28,Vendas!$E$8:$E$2008,"&gt;=01/05/"&amp;$G$3,Vendas!$E$8:$E$2008,"&lt;=31/05/"&amp;$G$3,Vendas!$C$8:$C$2008,"Entregue")+SUMIFS(Vendas!$U$8:$U$2008,Vendas!$R$8:$R$2008,$B28,Vendas!$E$8:$E$2008,"&gt;=01/05/"&amp;$G$3,Vendas!$E$8:$E$2008,"&lt;=31/05/"&amp;$G$3,Vendas!$C$8:$C$2008,"Entregue")+SUMIFS(Vendas!$Z$8:$Z$2008,Vendas!$W$8:$W$2008,$B28,Vendas!$E$8:$E$2008,"&gt;=01/05/"&amp;$G$3,Vendas!$E$8:$E$2008,"&lt;=31/05/"&amp;$G$3,Vendas!$C$8:$C$2008,"Entregue")+SUMIFS(Vendas!$AE$8:$AE$2008,Vendas!$AB$8:$AB$2008,$B28,Vendas!$E$8:$E$2008,"&gt;=01/05/"&amp;$G$3,Vendas!$E$8:$E$2008,"&lt;=31/05/"&amp;$G$3,Vendas!$C$8:$C$2008,"Entregue")+SUMIFS(Vendas!$AJ$8:$AJ$2008,Vendas!$AG$8:$AG$2008,$B28,Vendas!$E$8:$E$2008,"&gt;=01/05/"&amp;$G$3,Vendas!$E$8:$E$2008,"&lt;=31/05/"&amp;$G$3,Vendas!$C$8:$C$2008,"Entregue")+SUMIFS(Vendas!$AO$8:$AO$2008,Vendas!$AL$8:$AL$2008,$B28,Vendas!$E$8:$E$2008,"&gt;=01/05/"&amp;$G$3,Vendas!$E$8:$E$2008,"&lt;=31/05/"&amp;$G$3,Vendas!$C$8:$C$2008,"Entregue")+SUMIFS(Vendas!$AT$8:$AT$2008,Vendas!$AQ$8:$AQ$2008,$B28,Vendas!$E$8:$E$2008,"&gt;=01/05/"&amp;$G$3,Vendas!$E$8:$E$2008,"&lt;=31/05/"&amp;$G$3,Vendas!$C$8:$C$2008,"Entregue")</f>
        <v>0</v>
      </c>
      <c r="M28" s="162">
        <f>SUMIFS(Vendas!$K$8:$K$2008,Vendas!$H$8:$H$2008,$B28,Vendas!$E$8:$E$2008,"&gt;=01/06/"&amp;$G$3,Vendas!$E$8:$E$2008,"&lt;=30/06/"&amp;$G$3)+SUMIFS(Vendas!$P$8:$P$2008,Vendas!$M$8:$M$2008,$B28,Vendas!$E$8:$E$2008,"&gt;=01/06/"&amp;$G$3,Vendas!$E$8:$E$2008,"&lt;=30/06/"&amp;$G$3)+SUMIFS(Vendas!$U$8:$U$2008,Vendas!$R$8:$R$2008,$B28,Vendas!$E$8:$E$2008,"&gt;=01/06/"&amp;$G$3,Vendas!$E$8:$E$2008,"&lt;=30/06/"&amp;$G$3)+SUMIFS(Vendas!$Z$8:$Z$2008,Vendas!$W$8:$W$2008,$B28,Vendas!$E$8:$E$2008,"&gt;=01/06/"&amp;$G$3,Vendas!$E$8:$E$2008,"&lt;=30/06/"&amp;$G$3)+SUMIFS(Vendas!$AE$8:$AE$2008,Vendas!$AB$8:$AB$2008,$B28,Vendas!$E$8:$E$2008,"&gt;=01/06/"&amp;$G$3,Vendas!$E$8:$E$2008,"&lt;=30/06/"&amp;$G$3)+SUMIFS(Vendas!$AJ$8:$AJ$2008,Vendas!$AG$8:$AG$2008,$B28,Vendas!$E$8:$E$2008,"&gt;=01/06/"&amp;$G$3,Vendas!$E$8:$E$2008,"&lt;=30/06/"&amp;$G$3)+SUMIFS(Vendas!$AO$8:$AO$2008,Vendas!$AL$8:$AL$2008,$B28,Vendas!$E$8:$E$2008,"&gt;=01/06/"&amp;$G$3,Vendas!$E$8:$E$2008,"&lt;=30/06/"&amp;$G$3)+SUMIFS(Vendas!$AT$8:$AT$2008,Vendas!$AQ$8:$AQ$2008,$B28,Vendas!$E$8:$E$2008,"&gt;=01/06/"&amp;$G$3,Vendas!$E$8:$E$2008,"&lt;=30/06/"&amp;$G$3)</f>
        <v>0</v>
      </c>
      <c r="N28" s="162">
        <f>SUMIFS(Vendas!$K$8:$K$2008,Vendas!$H$8:$H$2008,$B28,Vendas!$E$8:$E$2008,"&gt;=01/06/"&amp;$G$3,Vendas!$E$8:$E$2008,"&lt;=30/06/"&amp;$G$3,Vendas!$C$8:$C$2008,"Entregue")+SUMIFS(Vendas!$P$8:$P$2008,Vendas!$M$8:$M$2008,$B28,Vendas!$E$8:$E$2008,"&gt;=01/06/"&amp;$G$3,Vendas!$E$8:$E$2008,"&lt;=30/06/"&amp;$G$3,Vendas!$C$8:$C$2008,"Entregue")+SUMIFS(Vendas!$U$8:$U$2008,Vendas!$R$8:$R$2008,$B28,Vendas!$E$8:$E$2008,"&gt;=01/06/"&amp;$G$3,Vendas!$E$8:$E$2008,"&lt;=30/06/"&amp;$G$3,Vendas!$C$8:$C$2008,"Entregue")+SUMIFS(Vendas!$Z$8:$Z$2008,Vendas!$W$8:$W$2008,$B28,Vendas!$E$8:$E$2008,"&gt;=01/06/"&amp;$G$3,Vendas!$E$8:$E$2008,"&lt;=30/06/"&amp;$G$3,Vendas!$C$8:$C$2008,"Entregue")+SUMIFS(Vendas!$AE$8:$AE$2008,Vendas!$AB$8:$AB$2008,$B28,Vendas!$E$8:$E$2008,"&gt;=01/06/"&amp;$G$3,Vendas!$E$8:$E$2008,"&lt;=30/06/"&amp;$G$3,Vendas!$C$8:$C$2008,"Entregue")+SUMIFS(Vendas!$AJ$8:$AJ$2008,Vendas!$AG$8:$AG$2008,$B28,Vendas!$E$8:$E$2008,"&gt;=01/06/"&amp;$G$3,Vendas!$E$8:$E$2008,"&lt;=30/06/"&amp;$G$3,Vendas!$C$8:$C$2008,"Entregue")+SUMIFS(Vendas!$AO$8:$AO$2008,Vendas!$AL$8:$AL$2008,$B28,Vendas!$E$8:$E$2008,"&gt;=01/06/"&amp;$G$3,Vendas!$E$8:$E$2008,"&lt;=30/06/"&amp;$G$3,Vendas!$C$8:$C$2008,"Entregue")+SUMIFS(Vendas!$AT$8:$AT$2008,Vendas!$AQ$8:$AQ$2008,$B28,Vendas!$E$8:$E$2008,"&gt;=01/06/"&amp;$G$3,Vendas!$E$8:$E$2008,"&lt;=30/06/"&amp;$G$3,Vendas!$C$8:$C$2008,"Entregue")</f>
        <v>0</v>
      </c>
      <c r="O28" s="162">
        <f>SUMIFS(Vendas!$K$8:$K$2008,Vendas!$H$8:$H$2008,$B28,Vendas!$E$8:$E$2008,"&gt;=01/07/"&amp;$G$3,Vendas!$E$8:$E$2008,"&lt;=31/07/"&amp;$G$3)+SUMIFS(Vendas!$P$8:$P$2008,Vendas!$M$8:$M$2008,$B28,Vendas!$E$8:$E$2008,"&gt;=01/07/"&amp;$G$3,Vendas!$E$8:$E$2008,"&lt;=31/07/"&amp;$G$3)+SUMIFS(Vendas!$U$8:$U$2008,Vendas!$R$8:$R$2008,$B28,Vendas!$E$8:$E$2008,"&gt;=01/07/"&amp;$G$3,Vendas!$E$8:$E$2008,"&lt;=31/07/"&amp;$G$3)+SUMIFS(Vendas!$Z$8:$Z$2008,Vendas!$W$8:$W$2008,$B28,Vendas!$E$8:$E$2008,"&gt;=01/07/"&amp;$G$3,Vendas!$E$8:$E$2008,"&lt;=31/07/"&amp;$G$3)+SUMIFS(Vendas!$AE$8:$AE$2008,Vendas!$AB$8:$AB$2008,$B28,Vendas!$E$8:$E$2008,"&gt;=01/07/"&amp;$G$3,Vendas!$E$8:$E$2008,"&lt;=31/07/"&amp;$G$3)+SUMIFS(Vendas!$AJ$8:$AJ$2008,Vendas!$AG$8:$AG$2008,$B28,Vendas!$E$8:$E$2008,"&gt;=01/07/"&amp;$G$3,Vendas!$E$8:$E$2008,"&lt;=31/07/"&amp;$G$3)+SUMIFS(Vendas!$AO$8:$AO$2008,Vendas!$AL$8:$AL$2008,$B28,Vendas!$E$8:$E$2008,"&gt;=01/07/"&amp;$G$3,Vendas!$E$8:$E$2008,"&lt;=31/07/"&amp;$G$3)+SUMIFS(Vendas!$AT$8:$AT$2008,Vendas!$AQ$8:$AQ$2008,$B28,Vendas!$E$8:$E$2008,"&gt;=01/07/"&amp;$G$3,Vendas!$E$8:$E$2008,"&lt;=31/07/"&amp;$G$3)</f>
        <v>0</v>
      </c>
      <c r="P28" s="162">
        <f>SUMIFS(Vendas!$K$8:$K$2008,Vendas!$H$8:$H$2008,$B28,Vendas!$E$8:$E$2008,"&gt;=01/07/"&amp;$G$3,Vendas!$E$8:$E$2008,"&lt;=31/07/"&amp;$G$3,Vendas!$C$8:$C$2008,"Entregue")+SUMIFS(Vendas!$P$8:$P$2008,Vendas!$M$8:$M$2008,$B28,Vendas!$E$8:$E$2008,"&gt;=01/07/"&amp;$G$3,Vendas!$E$8:$E$2008,"&lt;=31/07/"&amp;$G$3,Vendas!$C$8:$C$2008,"Entregue")+SUMIFS(Vendas!$U$8:$U$2008,Vendas!$R$8:$R$2008,$B28,Vendas!$E$8:$E$2008,"&gt;=01/07/"&amp;$G$3,Vendas!$E$8:$E$2008,"&lt;=31/07/"&amp;$G$3,Vendas!$C$8:$C$2008,"Entregue")+SUMIFS(Vendas!$Z$8:$Z$2008,Vendas!$W$8:$W$2008,$B28,Vendas!$E$8:$E$2008,"&gt;=01/07/"&amp;$G$3,Vendas!$E$8:$E$2008,"&lt;=31/07/"&amp;$G$3,Vendas!$C$8:$C$2008,"Entregue")+SUMIFS(Vendas!$AE$8:$AE$2008,Vendas!$AB$8:$AB$2008,$B28,Vendas!$E$8:$E$2008,"&gt;=01/07/"&amp;$G$3,Vendas!$E$8:$E$2008,"&lt;=31/07/"&amp;$G$3,Vendas!$C$8:$C$2008,"Entregue")+SUMIFS(Vendas!$AJ$8:$AJ$2008,Vendas!$AG$8:$AG$2008,$B28,Vendas!$E$8:$E$2008,"&gt;=01/07/"&amp;$G$3,Vendas!$E$8:$E$2008,"&lt;=31/07/"&amp;$G$3,Vendas!$C$8:$C$2008,"Entregue")+SUMIFS(Vendas!$AO$8:$AO$2008,Vendas!$AL$8:$AL$2008,$B28,Vendas!$E$8:$E$2008,"&gt;=01/07/"&amp;$G$3,Vendas!$E$8:$E$2008,"&lt;=31/07/"&amp;$G$3,Vendas!$C$8:$C$2008,"Entregue")+SUMIFS(Vendas!$AT$8:$AT$2008,Vendas!$AQ$8:$AQ$2008,$B28,Vendas!$E$8:$E$2008,"&gt;=01/07/"&amp;$G$3,Vendas!$E$8:$E$2008,"&lt;=31/07/"&amp;$G$3,Vendas!$C$8:$C$2008,"Entregue")</f>
        <v>0</v>
      </c>
      <c r="Q28" s="162">
        <f>SUMIFS(Vendas!$K$8:$K$2008,Vendas!$H$8:$H$2008,$B28,Vendas!$E$8:$E$2008,"&gt;=01/08/"&amp;$G$3,Vendas!$E$8:$E$2008,"&lt;=31/08/"&amp;$G$3)+SUMIFS(Vendas!$P$8:$P$2008,Vendas!$M$8:$M$2008,$B28,Vendas!$E$8:$E$2008,"&gt;=01/08/"&amp;$G$3,Vendas!$E$8:$E$2008,"&lt;=31/08/"&amp;$G$3)+SUMIFS(Vendas!$U$8:$U$2008,Vendas!$R$8:$R$2008,$B28,Vendas!$E$8:$E$2008,"&gt;=01/08/"&amp;$G$3,Vendas!$E$8:$E$2008,"&lt;=31/08/"&amp;$G$3)+SUMIFS(Vendas!$Z$8:$Z$2008,Vendas!$W$8:$W$2008,$B28,Vendas!$E$8:$E$2008,"&gt;=01/08/"&amp;$G$3,Vendas!$E$8:$E$2008,"&lt;=31/08/"&amp;$G$3)+SUMIFS(Vendas!$AE$8:$AE$2008,Vendas!$AB$8:$AB$2008,$B28,Vendas!$E$8:$E$2008,"&gt;=01/08/"&amp;$G$3,Vendas!$E$8:$E$2008,"&lt;=31/08/"&amp;$G$3)+SUMIFS(Vendas!$AJ$8:$AJ$2008,Vendas!$AG$8:$AG$2008,$B28,Vendas!$E$8:$E$2008,"&gt;=01/08/"&amp;$G$3,Vendas!$E$8:$E$2008,"&lt;=31/08/"&amp;$G$3)+SUMIFS(Vendas!$AO$8:$AO$2008,Vendas!$AL$8:$AL$2008,$B28,Vendas!$E$8:$E$2008,"&gt;=01/08/"&amp;$G$3,Vendas!$E$8:$E$2008,"&lt;=31/08/"&amp;$G$3)+SUMIFS(Vendas!$AT$8:$AT$2008,Vendas!$AQ$8:$AQ$2008,$B28,Vendas!$E$8:$E$2008,"&gt;=01/08/"&amp;$G$3,Vendas!$E$8:$E$2008,"&lt;=31/08/"&amp;$G$3)</f>
        <v>0</v>
      </c>
      <c r="R28" s="162">
        <f>SUMIFS(Vendas!$K$8:$K$2008,Vendas!$H$8:$H$2008,$B28,Vendas!$E$8:$E$2008,"&gt;=01/08/"&amp;$G$3,Vendas!$E$8:$E$2008,"&lt;=31/08/"&amp;$G$3,Vendas!$C$8:$C$2008,"Entregue")+SUMIFS(Vendas!$P$8:$P$2008,Vendas!$M$8:$M$2008,$B28,Vendas!$E$8:$E$2008,"&gt;=01/08/"&amp;$G$3,Vendas!$E$8:$E$2008,"&lt;=31/08/"&amp;$G$3,Vendas!$C$8:$C$2008,"Entregue")+SUMIFS(Vendas!$U$8:$U$2008,Vendas!$R$8:$R$2008,$B28,Vendas!$E$8:$E$2008,"&gt;=01/08/"&amp;$G$3,Vendas!$E$8:$E$2008,"&lt;=31/08/"&amp;$G$3,Vendas!$C$8:$C$2008,"Entregue")+SUMIFS(Vendas!$Z$8:$Z$2008,Vendas!$W$8:$W$2008,$B28,Vendas!$E$8:$E$2008,"&gt;=01/08/"&amp;$G$3,Vendas!$E$8:$E$2008,"&lt;=31/08/"&amp;$G$3,Vendas!$C$8:$C$2008,"Entregue")+SUMIFS(Vendas!$AE$8:$AE$2008,Vendas!$AB$8:$AB$2008,$B28,Vendas!$E$8:$E$2008,"&gt;=01/08/"&amp;$G$3,Vendas!$E$8:$E$2008,"&lt;=31/08/"&amp;$G$3,Vendas!$C$8:$C$2008,"Entregue")+SUMIFS(Vendas!$AJ$8:$AJ$2008,Vendas!$AG$8:$AG$2008,$B28,Vendas!$E$8:$E$2008,"&gt;=01/08/"&amp;$G$3,Vendas!$E$8:$E$2008,"&lt;=31/08/"&amp;$G$3,Vendas!$C$8:$C$2008,"Entregue")+SUMIFS(Vendas!$AO$8:$AO$2008,Vendas!$AL$8:$AL$2008,$B28,Vendas!$E$8:$E$2008,"&gt;=01/08/"&amp;$G$3,Vendas!$E$8:$E$2008,"&lt;=31/08/"&amp;$G$3,Vendas!$C$8:$C$2008,"Entregue")+SUMIFS(Vendas!$AT$8:$AT$2008,Vendas!$AQ$8:$AQ$2008,$B28,Vendas!$E$8:$E$2008,"&gt;=01/08/"&amp;$G$3,Vendas!$E$8:$E$2008,"&lt;=31/08/"&amp;$G$3,Vendas!$C$8:$C$2008,"Entregue")</f>
        <v>0</v>
      </c>
      <c r="S28" s="162">
        <f>SUMIFS(Vendas!$K$8:$K$2008,Vendas!$H$8:$H$2008,$B28,Vendas!$E$8:$E$2008,"&gt;=01/09/"&amp;$G$3,Vendas!$E$8:$E$2008,"&lt;=30/09/"&amp;$G$3)+SUMIFS(Vendas!$P$8:$P$2008,Vendas!$M$8:$M$2008,$B28,Vendas!$E$8:$E$2008,"&gt;=01/09/"&amp;$G$3,Vendas!$E$8:$E$2008,"&lt;=30/09/"&amp;$G$3)+SUMIFS(Vendas!$U$8:$U$2008,Vendas!$R$8:$R$2008,$B28,Vendas!$E$8:$E$2008,"&gt;=01/09/"&amp;$G$3,Vendas!$E$8:$E$2008,"&lt;=30/09/"&amp;$G$3)+SUMIFS(Vendas!$Z$8:$Z$2008,Vendas!$W$8:$W$2008,$B28,Vendas!$E$8:$E$2008,"&gt;=01/09/"&amp;$G$3,Vendas!$E$8:$E$2008,"&lt;=30/09/"&amp;$G$3)+SUMIFS(Vendas!$AE$8:$AE$2008,Vendas!$AB$8:$AB$2008,$B28,Vendas!$E$8:$E$2008,"&gt;=01/09/"&amp;$G$3,Vendas!$E$8:$E$2008,"&lt;=30/09/"&amp;$G$3)+SUMIFS(Vendas!$AJ$8:$AJ$2008,Vendas!$AG$8:$AG$2008,$B28,Vendas!$E$8:$E$2008,"&gt;=01/09/"&amp;$G$3,Vendas!$E$8:$E$2008,"&lt;=30/09/"&amp;$G$3)+SUMIFS(Vendas!$AO$8:$AO$2008,Vendas!$AL$8:$AL$2008,$B28,Vendas!$E$8:$E$2008,"&gt;=01/09/"&amp;$G$3,Vendas!$E$8:$E$2008,"&lt;=30/09/"&amp;$G$3)+SUMIFS(Vendas!$AT$8:$AT$2008,Vendas!$AQ$8:$AQ$2008,$B28,Vendas!$E$8:$E$2008,"&gt;=01/09/"&amp;$G$3,Vendas!$E$8:$E$2008,"&lt;=30/09/"&amp;$G$3)</f>
        <v>0</v>
      </c>
      <c r="T28" s="162">
        <f>SUMIFS(Vendas!$K$8:$K$2008,Vendas!$H$8:$H$2008,$B28,Vendas!$E$8:$E$2008,"&gt;=01/09/"&amp;$G$3,Vendas!$E$8:$E$2008,"&lt;=30/09/"&amp;$G$3,Vendas!$C$8:$C$2008,"Entregue")+SUMIFS(Vendas!$P$8:$P$2008,Vendas!$M$8:$M$2008,$B28,Vendas!$E$8:$E$2008,"&gt;=01/09/"&amp;$G$3,Vendas!$E$8:$E$2008,"&lt;=30/09/"&amp;$G$3,Vendas!$C$8:$C$2008,"Entregue")+SUMIFS(Vendas!$U$8:$U$2008,Vendas!$R$8:$R$2008,$B28,Vendas!$E$8:$E$2008,"&gt;=01/09/"&amp;$G$3,Vendas!$E$8:$E$2008,"&lt;=30/09/"&amp;$G$3,Vendas!$C$8:$C$2008,"Entregue")+SUMIFS(Vendas!$Z$8:$Z$2008,Vendas!$W$8:$W$2008,$B28,Vendas!$E$8:$E$2008,"&gt;=01/09/"&amp;$G$3,Vendas!$E$8:$E$2008,"&lt;=30/09/"&amp;$G$3,Vendas!$C$8:$C$2008,"Entregue")+SUMIFS(Vendas!$AE$8:$AE$2008,Vendas!$AB$8:$AB$2008,$B28,Vendas!$E$8:$E$2008,"&gt;=01/09/"&amp;$G$3,Vendas!$E$8:$E$2008,"&lt;=30/09/"&amp;$G$3,Vendas!$C$8:$C$2008,"Entregue")+SUMIFS(Vendas!$AJ$8:$AJ$2008,Vendas!$AG$8:$AG$2008,$B28,Vendas!$E$8:$E$2008,"&gt;=01/09/"&amp;$G$3,Vendas!$E$8:$E$2008,"&lt;=30/09/"&amp;$G$3,Vendas!$C$8:$C$2008,"Entregue")+SUMIFS(Vendas!$AO$8:$AO$2008,Vendas!$AL$8:$AL$2008,$B28,Vendas!$E$8:$E$2008,"&gt;=01/09/"&amp;$G$3,Vendas!$E$8:$E$2008,"&lt;=30/09/"&amp;$G$3,Vendas!$C$8:$C$2008,"Entregue")+SUMIFS(Vendas!$AT$8:$AT$2008,Vendas!$AQ$8:$AQ$2008,$B28,Vendas!$E$8:$E$2008,"&gt;=01/09/"&amp;$G$3,Vendas!$E$8:$E$2008,"&lt;=30/09/"&amp;$G$3,Vendas!$C$8:$C$2008,"Entregue")</f>
        <v>0</v>
      </c>
      <c r="U28" s="162">
        <f>SUMIFS(Vendas!$K$8:$K$2008,Vendas!$H$8:$H$2008,$B28,Vendas!$E$8:$E$2008,"&gt;=01/10/"&amp;$G$3,Vendas!$E$8:$E$2008,"&lt;=31/10/"&amp;$G$3)+SUMIFS(Vendas!$P$8:$P$2008,Vendas!$M$8:$M$2008,$B28,Vendas!$E$8:$E$2008,"&gt;=01/10/"&amp;$G$3,Vendas!$E$8:$E$2008,"&lt;=31/10/"&amp;$G$3)+SUMIFS(Vendas!$U$8:$U$2008,Vendas!$R$8:$R$2008,$B28,Vendas!$E$8:$E$2008,"&gt;=01/10/"&amp;$G$3,Vendas!$E$8:$E$2008,"&lt;=31/10/"&amp;$G$3)+SUMIFS(Vendas!$Z$8:$Z$2008,Vendas!$W$8:$W$2008,$B28,Vendas!$E$8:$E$2008,"&gt;=01/10/"&amp;$G$3,Vendas!$E$8:$E$2008,"&lt;=31/10/"&amp;$G$3)+SUMIFS(Vendas!$AE$8:$AE$2008,Vendas!$AB$8:$AB$2008,$B28,Vendas!$E$8:$E$2008,"&gt;=01/10/"&amp;$G$3,Vendas!$E$8:$E$2008,"&lt;=31/10/"&amp;$G$3)+SUMIFS(Vendas!$AJ$8:$AJ$2008,Vendas!$AG$8:$AG$2008,$B28,Vendas!$E$8:$E$2008,"&gt;=01/10/"&amp;$G$3,Vendas!$E$8:$E$2008,"&lt;=31/10/"&amp;$G$3)+SUMIFS(Vendas!$AO$8:$AO$2008,Vendas!$AL$8:$AL$2008,$B28,Vendas!$E$8:$E$2008,"&gt;=01/10/"&amp;$G$3,Vendas!$E$8:$E$2008,"&lt;=31/10/"&amp;$G$3)+SUMIFS(Vendas!$AT$8:$AT$2008,Vendas!$AQ$8:$AQ$2008,$B28,Vendas!$E$8:$E$2008,"&gt;=01/10/"&amp;$G$3,Vendas!$E$8:$E$2008,"&lt;=31/10/"&amp;$G$3)</f>
        <v>0</v>
      </c>
      <c r="V28" s="162">
        <f>SUMIFS(Vendas!$K$8:$K$2008,Vendas!$H$8:$H$2008,$B28,Vendas!$E$8:$E$2008,"&gt;=01/10/"&amp;$G$3,Vendas!$E$8:$E$2008,"&lt;=31/10/"&amp;$G$3,Vendas!$C$8:$C$2008,"Entregue")+SUMIFS(Vendas!$P$8:$P$2008,Vendas!$M$8:$M$2008,$B28,Vendas!$E$8:$E$2008,"&gt;=01/10/"&amp;$G$3,Vendas!$E$8:$E$2008,"&lt;=31/10/"&amp;$G$3,Vendas!$C$8:$C$2008,"Entregue")+SUMIFS(Vendas!$U$8:$U$2008,Vendas!$R$8:$R$2008,$B28,Vendas!$E$8:$E$2008,"&gt;=01/10/"&amp;$G$3,Vendas!$E$8:$E$2008,"&lt;=31/10/"&amp;$G$3,Vendas!$C$8:$C$2008,"Entregue")+SUMIFS(Vendas!$Z$8:$Z$2008,Vendas!$W$8:$W$2008,$B28,Vendas!$E$8:$E$2008,"&gt;=01/10/"&amp;$G$3,Vendas!$E$8:$E$2008,"&lt;=31/10/"&amp;$G$3,Vendas!$C$8:$C$2008,"Entregue")+SUMIFS(Vendas!$AE$8:$AE$2008,Vendas!$AB$8:$AB$2008,$B28,Vendas!$E$8:$E$2008,"&gt;=01/10/"&amp;$G$3,Vendas!$E$8:$E$2008,"&lt;=31/10/"&amp;$G$3,Vendas!$C$8:$C$2008,"Entregue")+SUMIFS(Vendas!$AJ$8:$AJ$2008,Vendas!$AG$8:$AG$2008,$B28,Vendas!$E$8:$E$2008,"&gt;=01/10/"&amp;$G$3,Vendas!$E$8:$E$2008,"&lt;=31/10/"&amp;$G$3,Vendas!$C$8:$C$2008,"Entregue")+SUMIFS(Vendas!$AO$8:$AO$2008,Vendas!$AL$8:$AL$2008,$B28,Vendas!$E$8:$E$2008,"&gt;=01/10/"&amp;$G$3,Vendas!$E$8:$E$2008,"&lt;=31/10/"&amp;$G$3,Vendas!$C$8:$C$2008,"Entregue")+SUMIFS(Vendas!$AT$8:$AT$2008,Vendas!$AQ$8:$AQ$2008,$B28,Vendas!$E$8:$E$2008,"&gt;=01/10/"&amp;$G$3,Vendas!$E$8:$E$2008,"&lt;=31/10/"&amp;$G$3,Vendas!$C$8:$C$2008,"Entregue")</f>
        <v>0</v>
      </c>
      <c r="W28" s="162">
        <f>SUMIFS(Vendas!$K$8:$K$2008,Vendas!$H$8:$H$2008,$B28,Vendas!$E$8:$E$2008,"&gt;=01/11/"&amp;$G$3,Vendas!$E$8:$E$2008,"&lt;=30/11/"&amp;$G$3)+SUMIFS(Vendas!$P$8:$P$2008,Vendas!$M$8:$M$2008,$B28,Vendas!$E$8:$E$2008,"&gt;=01/11/"&amp;$G$3,Vendas!$E$8:$E$2008,"&lt;=30/11/"&amp;$G$3)+SUMIFS(Vendas!$U$8:$U$2008,Vendas!$R$8:$R$2008,$B28,Vendas!$E$8:$E$2008,"&gt;=01/11/"&amp;$G$3,Vendas!$E$8:$E$2008,"&lt;=30/11/"&amp;$G$3)+SUMIFS(Vendas!$Z$8:$Z$2008,Vendas!$W$8:$W$2008,$B28,Vendas!$E$8:$E$2008,"&gt;=01/11/"&amp;$G$3,Vendas!$E$8:$E$2008,"&lt;=30/11/"&amp;$G$3)+SUMIFS(Vendas!$AE$8:$AE$2008,Vendas!$AB$8:$AB$2008,$B28,Vendas!$E$8:$E$2008,"&gt;=01/11/"&amp;$G$3,Vendas!$E$8:$E$2008,"&lt;=30/11/"&amp;$G$3)+SUMIFS(Vendas!$AJ$8:$AJ$2008,Vendas!$AG$8:$AG$2008,$B28,Vendas!$E$8:$E$2008,"&gt;=01/11/"&amp;$G$3,Vendas!$E$8:$E$2008,"&lt;=30/11/"&amp;$G$3)+SUMIFS(Vendas!$AO$8:$AO$2008,Vendas!$AL$8:$AL$2008,$B28,Vendas!$E$8:$E$2008,"&gt;=01/11/"&amp;$G$3,Vendas!$E$8:$E$2008,"&lt;=30/11/"&amp;$G$3)+SUMIFS(Vendas!$AT$8:$AT$2008,Vendas!$AQ$8:$AQ$2008,$B28,Vendas!$E$8:$E$2008,"&gt;=01/11/"&amp;$G$3,Vendas!$E$8:$E$2008,"&lt;=30/11/"&amp;$G$3)</f>
        <v>0</v>
      </c>
      <c r="X28" s="162">
        <f>SUMIFS(Vendas!$K$8:$K$2008,Vendas!$H$8:$H$2008,$B28,Vendas!$E$8:$E$2008,"&gt;=01/11/"&amp;$G$3,Vendas!$E$8:$E$2008,"&lt;=30/11/"&amp;$G$3,Vendas!$C$8:$C$2008,"Entregue")+SUMIFS(Vendas!$P$8:$P$2008,Vendas!$M$8:$M$2008,$B28,Vendas!$E$8:$E$2008,"&gt;=01/11/"&amp;$G$3,Vendas!$E$8:$E$2008,"&lt;=30/11/"&amp;$G$3,Vendas!$C$8:$C$2008,"Entregue")+SUMIFS(Vendas!$U$8:$U$2008,Vendas!$R$8:$R$2008,$B28,Vendas!$E$8:$E$2008,"&gt;=01/11/"&amp;$G$3,Vendas!$E$8:$E$2008,"&lt;=30/11/"&amp;$G$3,Vendas!$C$8:$C$2008,"Entregue")+SUMIFS(Vendas!$Z$8:$Z$2008,Vendas!$W$8:$W$2008,$B28,Vendas!$E$8:$E$2008,"&gt;=01/11/"&amp;$G$3,Vendas!$E$8:$E$2008,"&lt;=30/11/"&amp;$G$3,Vendas!$C$8:$C$2008,"Entregue")+SUMIFS(Vendas!$AE$8:$AE$2008,Vendas!$AB$8:$AB$2008,$B28,Vendas!$E$8:$E$2008,"&gt;=01/11/"&amp;$G$3,Vendas!$E$8:$E$2008,"&lt;=30/11/"&amp;$G$3,Vendas!$C$8:$C$2008,"Entregue")+SUMIFS(Vendas!$AJ$8:$AJ$2008,Vendas!$AG$8:$AG$2008,$B28,Vendas!$E$8:$E$2008,"&gt;=01/11/"&amp;$G$3,Vendas!$E$8:$E$2008,"&lt;=30/11/"&amp;$G$3,Vendas!$C$8:$C$2008,"Entregue")+SUMIFS(Vendas!$AO$8:$AO$2008,Vendas!$AL$8:$AL$2008,$B28,Vendas!$E$8:$E$2008,"&gt;=01/11/"&amp;$G$3,Vendas!$E$8:$E$2008,"&lt;=30/11/"&amp;$G$3,Vendas!$C$8:$C$2008,"Entregue")+SUMIFS(Vendas!$AT$8:$AT$2008,Vendas!$AQ$8:$AQ$2008,$B28,Vendas!$E$8:$E$2008,"&gt;=01/11/"&amp;$G$3,Vendas!$E$8:$E$2008,"&lt;=30/11/"&amp;$G$3,Vendas!$C$8:$C$2008,"Entregue")</f>
        <v>0</v>
      </c>
      <c r="Y28" s="162">
        <f>SUMIFS(Vendas!$K$8:$K$2008,Vendas!$H$8:$H$2008,$B28,Vendas!$E$8:$E$2008,"&gt;=01/12/"&amp;$G$3,Vendas!$E$8:$E$2008,"&lt;=31/12/"&amp;$G$3)+SUMIFS(Vendas!$P$8:$P$2008,Vendas!$M$8:$M$2008,$B28,Vendas!$E$8:$E$2008,"&gt;=01/12/"&amp;$G$3,Vendas!$E$8:$E$2008,"&lt;=31/12/"&amp;$G$3)+SUMIFS(Vendas!$U$8:$U$2008,Vendas!$R$8:$R$2008,$B28,Vendas!$E$8:$E$2008,"&gt;=01/12/"&amp;$G$3,Vendas!$E$8:$E$2008,"&lt;=31/12/"&amp;$G$3)+SUMIFS(Vendas!$Z$8:$Z$2008,Vendas!$W$8:$W$2008,$B28,Vendas!$E$8:$E$2008,"&gt;=01/12/"&amp;$G$3,Vendas!$E$8:$E$2008,"&lt;=31/12/"&amp;$G$3)+SUMIFS(Vendas!$AE$8:$AE$2008,Vendas!$AB$8:$AB$2008,$B28,Vendas!$E$8:$E$2008,"&gt;=01/12/"&amp;$G$3,Vendas!$E$8:$E$2008,"&lt;=31/12/"&amp;$G$3)+SUMIFS(Vendas!$AJ$8:$AJ$2008,Vendas!$AG$8:$AG$2008,$B28,Vendas!$E$8:$E$2008,"&gt;=01/12/"&amp;$G$3,Vendas!$E$8:$E$2008,"&lt;=31/12/"&amp;$G$3)+SUMIFS(Vendas!$AO$8:$AO$2008,Vendas!$AL$8:$AL$2008,$B28,Vendas!$E$8:$E$2008,"&gt;=01/12/"&amp;$G$3,Vendas!$E$8:$E$2008,"&lt;=31/12/"&amp;$G$3)+SUMIFS(Vendas!$AT$8:$AT$2008,Vendas!$AQ$8:$AQ$2008,$B28,Vendas!$E$8:$E$2008,"&gt;=01/12/"&amp;$G$3,Vendas!$E$8:$E$2008,"&lt;=31/12/"&amp;$G$3)</f>
        <v>0</v>
      </c>
      <c r="Z28" s="163">
        <f>SUMIFS(Vendas!$K$8:$K$2008,Vendas!$H$8:$H$2008,$B28,Vendas!$E$8:$E$2008,"&gt;=01/12/"&amp;$G$3,Vendas!$E$8:$E$2008,"&lt;=31/12/"&amp;$G$3,Vendas!$C$8:$C$2008,"Entregue")+SUMIFS(Vendas!$P$8:$P$2008,Vendas!$M$8:$M$2008,$B28,Vendas!$E$8:$E$2008,"&gt;=01/12/"&amp;$G$3,Vendas!$E$8:$E$2008,"&lt;=31/12/"&amp;$G$3,Vendas!$C$8:$C$2008,"Entregue")+SUMIFS(Vendas!$U$8:$U$2008,Vendas!$R$8:$R$2008,$B28,Vendas!$E$8:$E$2008,"&gt;=01/12/"&amp;$G$3,Vendas!$E$8:$E$2008,"&lt;=31/12/"&amp;$G$3,Vendas!$C$8:$C$2008,"Entregue")+SUMIFS(Vendas!$Z$8:$Z$2008,Vendas!$W$8:$W$2008,$B28,Vendas!$E$8:$E$2008,"&gt;=01/12/"&amp;$G$3,Vendas!$E$8:$E$2008,"&lt;=31/12/"&amp;$G$3,Vendas!$C$8:$C$2008,"Entregue")+SUMIFS(Vendas!$AE$8:$AE$2008,Vendas!$AB$8:$AB$2008,$B28,Vendas!$E$8:$E$2008,"&gt;=01/12/"&amp;$G$3,Vendas!$E$8:$E$2008,"&lt;=31/12/"&amp;$G$3,Vendas!$C$8:$C$2008,"Entregue")+SUMIFS(Vendas!$AJ$8:$AJ$2008,Vendas!$AG$8:$AG$2008,$B28,Vendas!$E$8:$E$2008,"&gt;=01/12/"&amp;$G$3,Vendas!$E$8:$E$2008,"&lt;=31/12/"&amp;$G$3,Vendas!$C$8:$C$2008,"Entregue")+SUMIFS(Vendas!$AO$8:$AO$2008,Vendas!$AL$8:$AL$2008,$B28,Vendas!$E$8:$E$2008,"&gt;=01/12/"&amp;$G$3,Vendas!$E$8:$E$2008,"&lt;=31/12/"&amp;$G$3,Vendas!$C$8:$C$2008,"Entregue")+SUMIFS(Vendas!$AT$8:$AT$2008,Vendas!$AQ$8:$AQ$2008,$B28,Vendas!$E$8:$E$2008,"&gt;=01/12/"&amp;$G$3,Vendas!$E$8:$E$2008,"&lt;=31/12/"&amp;$G$3,Vendas!$C$8:$C$2008,"Entregue")</f>
        <v>0</v>
      </c>
      <c r="AA28" s="132">
        <f t="shared" si="0"/>
        <v>0</v>
      </c>
      <c r="AB28" s="132">
        <f t="shared" si="0"/>
        <v>0</v>
      </c>
      <c r="AC28" s="67"/>
    </row>
    <row r="29" spans="2:29" ht="14.4" x14ac:dyDescent="0.3">
      <c r="B29" s="262" t="str">
        <f>IF(Cadastros!G10="","",Cadastros!G10)</f>
        <v>242 - Base Box Solteiro 0,88 X 1,88 X 0,25 cm</v>
      </c>
      <c r="C29" s="158">
        <f>SUMIFS(Vendas!$K$8:$K$2008,Vendas!$H$8:$H$2008,$B29,Vendas!$E$8:$E$2008,"&gt;=01/01/"&amp;$G$3,Vendas!$E$8:$E$2008,"&lt;=31/01/"&amp;$G$3)+SUMIFS(Vendas!$P$8:$P$2008,Vendas!$M$8:$M$2008,$B29,Vendas!$E$8:$E$2008,"&gt;=01/01/"&amp;$G$3,Vendas!$E$8:$E$2008,"&lt;=31/01/"&amp;$G$3)+SUMIFS(Vendas!$U$8:$U$2008,Vendas!$R$8:$R$2008,$B29,Vendas!$E$8:$E$2008,"&gt;=01/01/"&amp;$G$3,Vendas!$E$8:$E$2008,"&lt;=31/01/"&amp;$G$3)+SUMIFS(Vendas!$Z$8:$Z$2008,Vendas!$W$8:$W$2008,$B29,Vendas!$E$8:$E$2008,"&gt;=01/01/"&amp;$G$3,Vendas!$E$8:$E$2008,"&lt;=31/01/"&amp;$G$3)+SUMIFS(Vendas!$AE$8:$AE$2008,Vendas!$AB$8:$AB$2008,$B29,Vendas!$E$8:$E$2008,"&gt;=01/01/"&amp;$G$3,Vendas!$E$8:$E$2008,"&lt;=31/01/"&amp;$G$3)+SUMIFS(Vendas!$AJ$8:$AJ$2008,Vendas!$AG$8:$AG$2008,$B29,Vendas!$E$8:$E$2008,"&gt;=01/01/"&amp;$G$3,Vendas!$E$8:$E$2008,"&lt;=31/01/"&amp;$G$3)+SUMIFS(Vendas!$AO$8:$AO$2008,Vendas!$AL$8:$AL$2008,$B29,Vendas!$E$8:$E$2008,"&gt;=01/01/"&amp;$G$3,Vendas!$E$8:$E$2008,"&lt;=31/01/"&amp;$G$3)+SUMIFS(Vendas!$AT$8:$AT$2008,Vendas!$AQ$8:$AQ$2008,$B29,Vendas!$E$8:$E$2008,"&gt;=01/01/"&amp;$G$3,Vendas!$E$8:$E$2008,"&lt;=31/01/"&amp;$G$3)</f>
        <v>0</v>
      </c>
      <c r="D29" s="159">
        <f>SUMIFS(Vendas!$K$8:$K$2008,Vendas!$H$8:$H$2008,$B29,Vendas!$E$8:$E$2008,"&gt;=01/01/"&amp;$G$3,Vendas!$E$8:$E$2008,"&lt;=31/01/"&amp;$G$3,Vendas!$C$8:$C$2008,"Entregue")+SUMIFS(Vendas!$P$8:$P$2008,Vendas!$M$8:$M$2008,$B29,Vendas!$E$8:$E$2008,"&gt;=01/01/"&amp;$G$3,Vendas!$E$8:$E$2008,"&lt;=31/01/"&amp;$G$3,Vendas!$C$8:$C$2008,"Entregue")+SUMIFS(Vendas!$U$8:$U$2008,Vendas!$R$8:$R$2008,$B29,Vendas!$E$8:$E$2008,"&gt;=01/01/"&amp;$G$3,Vendas!$E$8:$E$2008,"&lt;=31/01/"&amp;$G$3,Vendas!$C$8:$C$2008,"Entregue")+SUMIFS(Vendas!$Z$8:$Z$2008,Vendas!$W$8:$W$2008,$B29,Vendas!$E$8:$E$2008,"&gt;=01/01/"&amp;$G$3,Vendas!$E$8:$E$2008,"&lt;=31/01/"&amp;$G$3,Vendas!$C$8:$C$2008,"Entregue")+SUMIFS(Vendas!$AE$8:$AE$2008,Vendas!$AB$8:$AB$2008,$B29,Vendas!$E$8:$E$2008,"&gt;=01/01/"&amp;$G$3,Vendas!$E$8:$E$2008,"&lt;=31/01/"&amp;$G$3,Vendas!$C$8:$C$2008,"Entregue")+SUMIFS(Vendas!$AJ$8:$AJ$2008,Vendas!$AG$8:$AG$2008,$B29,Vendas!$E$8:$E$2008,"&gt;=01/01/"&amp;$G$3,Vendas!$E$8:$E$2008,"&lt;=31/01/"&amp;$G$3,Vendas!$C$8:$C$2008,"Entregue")+SUMIFS(Vendas!$AO$8:$AO$2008,Vendas!$AL$8:$AL$2008,$B29,Vendas!$E$8:$E$2008,"&gt;=01/01/"&amp;$G$3,Vendas!$E$8:$E$2008,"&lt;=31/01/"&amp;$G$3,Vendas!$C$8:$C$2008,"Entregue")+SUMIFS(Vendas!$AT$8:$AT$2008,Vendas!$AQ$8:$AQ$2008,$B29,Vendas!$E$8:$E$2008,"&gt;=01/01/"&amp;$G$3,Vendas!$E$8:$E$2008,"&lt;=31/01/"&amp;$G$3,Vendas!$C$8:$C$2008,"Entregue")</f>
        <v>0</v>
      </c>
      <c r="E29" s="159">
        <f>SUMIFS(Vendas!$K$8:$K$2008,Vendas!$H$8:$H$2008,$B29,Vendas!$E$8:$E$2008,"&gt;=01/02/"&amp;$G$3,Vendas!$E$8:$E$2008,"&lt;=28/02/"&amp;$G$3)+SUMIFS(Vendas!$P$8:$P$2008,Vendas!$M$8:$M$2008,$B29,Vendas!$E$8:$E$2008,"&gt;=01/02/"&amp;$G$3,Vendas!$E$8:$E$2008,"&lt;=28/02/"&amp;$G$3)+SUMIFS(Vendas!$U$8:$U$2008,Vendas!$R$8:$R$2008,$B29,Vendas!$E$8:$E$2008,"&gt;=01/02/"&amp;$G$3,Vendas!$E$8:$E$2008,"&lt;=28/02/"&amp;$G$3)+SUMIFS(Vendas!$Z$8:$Z$2008,Vendas!$W$8:$W$2008,$B29,Vendas!$E$8:$E$2008,"&gt;=01/02/"&amp;$G$3,Vendas!$E$8:$E$2008,"&lt;=28/02/"&amp;$G$3)+SUMIFS(Vendas!$AE$8:$AE$2008,Vendas!$AB$8:$AB$2008,$B29,Vendas!$E$8:$E$2008,"&gt;=01/02/"&amp;$G$3,Vendas!$E$8:$E$2008,"&lt;=28/02/"&amp;$G$3)+SUMIFS(Vendas!$AJ$8:$AJ$2008,Vendas!$AG$8:$AG$2008,$B29,Vendas!$E$8:$E$2008,"&gt;=01/02/"&amp;$G$3,Vendas!$E$8:$E$2008,"&lt;=28/02/"&amp;$G$3)+SUMIFS(Vendas!$AO$8:$AO$2008,Vendas!$AL$8:$AL$2008,$B29,Vendas!$E$8:$E$2008,"&gt;=01/02/"&amp;$G$3,Vendas!$E$8:$E$2008,"&lt;=28/02/"&amp;$G$3)+SUMIFS(Vendas!$AT$8:$AT$2008,Vendas!$AQ$8:$AQ$2008,$B29,Vendas!$E$8:$E$2008,"&gt;=01/02/"&amp;$G$3,Vendas!$E$8:$E$2008,"&lt;=28/02/"&amp;$G$3)</f>
        <v>0</v>
      </c>
      <c r="F29" s="159">
        <f>SUMIFS(Vendas!$K$8:$K$2008,Vendas!$H$8:$H$2008,$B29,Vendas!$E$8:$E$2008,"&gt;=01/02/"&amp;$G$3,Vendas!$E$8:$E$2008,"&lt;=28/02/"&amp;$G$3,Vendas!$C$8:$C$2008,"Entregue")+SUMIFS(Vendas!$P$8:$P$2008,Vendas!$M$8:$M$2008,$B29,Vendas!$E$8:$E$2008,"&gt;=01/02/"&amp;$G$3,Vendas!$E$8:$E$2008,"&lt;=28/02/"&amp;$G$3,Vendas!$C$8:$C$2008,"Entregue")+SUMIFS(Vendas!$U$8:$U$2008,Vendas!$R$8:$R$2008,$B29,Vendas!$E$8:$E$2008,"&gt;=01/02/"&amp;$G$3,Vendas!$E$8:$E$2008,"&lt;=28/02/"&amp;$G$3,Vendas!$C$8:$C$2008,"Entregue")+SUMIFS(Vendas!$Z$8:$Z$2008,Vendas!$W$8:$W$2008,$B29,Vendas!$E$8:$E$2008,"&gt;=01/02/"&amp;$G$3,Vendas!$E$8:$E$2008,"&lt;=28/02/"&amp;$G$3,Vendas!$C$8:$C$2008,"Entregue")+SUMIFS(Vendas!$AE$8:$AE$2008,Vendas!$AB$8:$AB$2008,$B29,Vendas!$E$8:$E$2008,"&gt;=01/02/"&amp;$G$3,Vendas!$E$8:$E$2008,"&lt;=28/02/"&amp;$G$3,Vendas!$C$8:$C$2008,"Entregue")+SUMIFS(Vendas!$AJ$8:$AJ$2008,Vendas!$AG$8:$AG$2008,$B29,Vendas!$E$8:$E$2008,"&gt;=01/02/"&amp;$G$3,Vendas!$E$8:$E$2008,"&lt;=28/02/"&amp;$G$3,Vendas!$C$8:$C$2008,"Entregue")+SUMIFS(Vendas!$AO$8:$AO$2008,Vendas!$AL$8:$AL$2008,$B29,Vendas!$E$8:$E$2008,"&gt;=01/02/"&amp;$G$3,Vendas!$E$8:$E$2008,"&lt;=28/02/"&amp;$G$3,Vendas!$C$8:$C$2008,"Entregue")+SUMIFS(Vendas!$AT$8:$AT$2008,Vendas!$AQ$8:$AQ$2008,$B29,Vendas!$E$8:$E$2008,"&gt;=01/02/"&amp;$G$3,Vendas!$E$8:$E$2008,"&lt;=28/02/"&amp;$G$3,Vendas!$C$8:$C$2008,"Entregue")</f>
        <v>0</v>
      </c>
      <c r="G29" s="159">
        <f>SUMIFS(Vendas!$K$8:$K$2008,Vendas!$H$8:$H$2008,$B29,Vendas!$E$8:$E$2008,"&gt;=01/03/"&amp;$G$3,Vendas!$E$8:$E$2008,"&lt;=31/03/"&amp;$G$3)+SUMIFS(Vendas!$P$8:$P$2008,Vendas!$M$8:$M$2008,$B29,Vendas!$E$8:$E$2008,"&gt;=01/03/"&amp;$G$3,Vendas!$E$8:$E$2008,"&lt;=31/03/"&amp;$G$3)+SUMIFS(Vendas!$U$8:$U$2008,Vendas!$R$8:$R$2008,$B29,Vendas!$E$8:$E$2008,"&gt;=01/03/"&amp;$G$3,Vendas!$E$8:$E$2008,"&lt;=31/03/"&amp;$G$3)+SUMIFS(Vendas!$Z$8:$Z$2008,Vendas!$W$8:$W$2008,$B29,Vendas!$E$8:$E$2008,"&gt;=01/03/"&amp;$G$3,Vendas!$E$8:$E$2008,"&lt;=31/03/"&amp;$G$3)+SUMIFS(Vendas!$AE$8:$AE$2008,Vendas!$AB$8:$AB$2008,$B29,Vendas!$E$8:$E$2008,"&gt;=01/03/"&amp;$G$3,Vendas!$E$8:$E$2008,"&lt;=31/03/"&amp;$G$3)+SUMIFS(Vendas!$AJ$8:$AJ$2008,Vendas!$AG$8:$AG$2008,$B29,Vendas!$E$8:$E$2008,"&gt;=01/03/"&amp;$G$3,Vendas!$E$8:$E$2008,"&lt;=31/03/"&amp;$G$3)+SUMIFS(Vendas!$AO$8:$AO$2008,Vendas!$AL$8:$AL$2008,$B29,Vendas!$E$8:$E$2008,"&gt;=01/03/"&amp;$G$3,Vendas!$E$8:$E$2008,"&lt;=31/03/"&amp;$G$3)+SUMIFS(Vendas!$AT$8:$AT$2008,Vendas!$AQ$8:$AQ$2008,$B29,Vendas!$E$8:$E$2008,"&gt;=01/03/"&amp;$G$3,Vendas!$E$8:$E$2008,"&lt;=31/03/"&amp;$G$3)</f>
        <v>0</v>
      </c>
      <c r="H29" s="159">
        <f>SUMIFS(Vendas!$K$8:$K$2008,Vendas!$H$8:$H$2008,$B29,Vendas!$E$8:$E$2008,"&gt;=01/03/"&amp;$G$3,Vendas!$E$8:$E$2008,"&lt;=31/03/"&amp;$G$3,Vendas!$C$8:$C$2008,"Entregue")+SUMIFS(Vendas!$P$8:$P$2008,Vendas!$M$8:$M$2008,$B29,Vendas!$E$8:$E$2008,"&gt;=01/03/"&amp;$G$3,Vendas!$E$8:$E$2008,"&lt;=31/03/"&amp;$G$3,Vendas!$C$8:$C$2008,"Entregue")+SUMIFS(Vendas!$U$8:$U$2008,Vendas!$R$8:$R$2008,$B29,Vendas!$E$8:$E$2008,"&gt;=01/03/"&amp;$G$3,Vendas!$E$8:$E$2008,"&lt;=31/03/"&amp;$G$3,Vendas!$C$8:$C$2008,"Entregue")+SUMIFS(Vendas!$Z$8:$Z$2008,Vendas!$W$8:$W$2008,$B29,Vendas!$E$8:$E$2008,"&gt;=01/03/"&amp;$G$3,Vendas!$E$8:$E$2008,"&lt;=31/03/"&amp;$G$3,Vendas!$C$8:$C$2008,"Entregue")+SUMIFS(Vendas!$AE$8:$AE$2008,Vendas!$AB$8:$AB$2008,$B29,Vendas!$E$8:$E$2008,"&gt;=01/03/"&amp;$G$3,Vendas!$E$8:$E$2008,"&lt;=31/03/"&amp;$G$3,Vendas!$C$8:$C$2008,"Entregue")+SUMIFS(Vendas!$AJ$8:$AJ$2008,Vendas!$AG$8:$AG$2008,$B29,Vendas!$E$8:$E$2008,"&gt;=01/03/"&amp;$G$3,Vendas!$E$8:$E$2008,"&lt;=31/03/"&amp;$G$3,Vendas!$C$8:$C$2008,"Entregue")+SUMIFS(Vendas!$AO$8:$AO$2008,Vendas!$AL$8:$AL$2008,$B29,Vendas!$E$8:$E$2008,"&gt;=01/03/"&amp;$G$3,Vendas!$E$8:$E$2008,"&lt;=31/03/"&amp;$G$3,Vendas!$C$8:$C$2008,"Entregue")+SUMIFS(Vendas!$AT$8:$AT$2008,Vendas!$AQ$8:$AQ$2008,$B29,Vendas!$E$8:$E$2008,"&gt;=01/03/"&amp;$G$3,Vendas!$E$8:$E$2008,"&lt;=31/03/"&amp;$G$3,Vendas!$C$8:$C$2008,"Entregue")</f>
        <v>0</v>
      </c>
      <c r="I29" s="159">
        <f>SUMIFS(Vendas!$K$8:$K$2008,Vendas!$H$8:$H$2008,$B29,Vendas!$E$8:$E$2008,"&gt;=01/04/"&amp;$G$3,Vendas!$E$8:$E$2008,"&lt;=30/04/"&amp;$G$3)+SUMIFS(Vendas!$P$8:$P$2008,Vendas!$M$8:$M$2008,$B29,Vendas!$E$8:$E$2008,"&gt;=01/04/"&amp;$G$3,Vendas!$E$8:$E$2008,"&lt;=30/04/"&amp;$G$3)+SUMIFS(Vendas!$U$8:$U$2008,Vendas!$R$8:$R$2008,$B29,Vendas!$E$8:$E$2008,"&gt;=01/04/"&amp;$G$3,Vendas!$E$8:$E$2008,"&lt;=30/04/"&amp;$G$3)+SUMIFS(Vendas!$Z$8:$Z$2008,Vendas!$W$8:$W$2008,$B29,Vendas!$E$8:$E$2008,"&gt;=01/04/"&amp;$G$3,Vendas!$E$8:$E$2008,"&lt;=30/04/"&amp;$G$3)+SUMIFS(Vendas!$AE$8:$AE$2008,Vendas!$AB$8:$AB$2008,$B29,Vendas!$E$8:$E$2008,"&gt;=01/04/"&amp;$G$3,Vendas!$E$8:$E$2008,"&lt;=30/04/"&amp;$G$3)+SUMIFS(Vendas!$AJ$8:$AJ$2008,Vendas!$AG$8:$AG$2008,$B29,Vendas!$E$8:$E$2008,"&gt;=01/04/"&amp;$G$3,Vendas!$E$8:$E$2008,"&lt;=30/04/"&amp;$G$3)+SUMIFS(Vendas!$AO$8:$AO$2008,Vendas!$AL$8:$AL$2008,$B29,Vendas!$E$8:$E$2008,"&gt;=01/04/"&amp;$G$3,Vendas!$E$8:$E$2008,"&lt;=30/04/"&amp;$G$3)+SUMIFS(Vendas!$AT$8:$AT$2008,Vendas!$AQ$8:$AQ$2008,$B29,Vendas!$E$8:$E$2008,"&gt;=01/04/"&amp;$G$3,Vendas!$E$8:$E$2008,"&lt;=30/04/"&amp;$G$3)</f>
        <v>0</v>
      </c>
      <c r="J29" s="159">
        <f>SUMIFS(Vendas!$K$8:$K$2008,Vendas!$H$8:$H$2008,$B29,Vendas!$E$8:$E$2008,"&gt;=01/04/"&amp;$G$3,Vendas!$E$8:$E$2008,"&lt;=30/04/"&amp;$G$3,Vendas!$C$8:$C$2008,"Entregue")+SUMIFS(Vendas!$P$8:$P$2008,Vendas!$M$8:$M$2008,$B29,Vendas!$E$8:$E$2008,"&gt;=01/04/"&amp;$G$3,Vendas!$E$8:$E$2008,"&lt;=30/04/"&amp;$G$3,Vendas!$C$8:$C$2008,"Entregue")+SUMIFS(Vendas!$U$8:$U$2008,Vendas!$R$8:$R$2008,$B29,Vendas!$E$8:$E$2008,"&gt;=01/04/"&amp;$G$3,Vendas!$E$8:$E$2008,"&lt;=30/04/"&amp;$G$3,Vendas!$C$8:$C$2008,"Entregue")+SUMIFS(Vendas!$Z$8:$Z$2008,Vendas!$W$8:$W$2008,$B29,Vendas!$E$8:$E$2008,"&gt;=01/04/"&amp;$G$3,Vendas!$E$8:$E$2008,"&lt;=30/04/"&amp;$G$3,Vendas!$C$8:$C$2008,"Entregue")+SUMIFS(Vendas!$AE$8:$AE$2008,Vendas!$AB$8:$AB$2008,$B29,Vendas!$E$8:$E$2008,"&gt;=01/04/"&amp;$G$3,Vendas!$E$8:$E$2008,"&lt;=30/04/"&amp;$G$3,Vendas!$C$8:$C$2008,"Entregue")+SUMIFS(Vendas!$AJ$8:$AJ$2008,Vendas!$AG$8:$AG$2008,$B29,Vendas!$E$8:$E$2008,"&gt;=01/04/"&amp;$G$3,Vendas!$E$8:$E$2008,"&lt;=30/04/"&amp;$G$3,Vendas!$C$8:$C$2008,"Entregue")+SUMIFS(Vendas!$AO$8:$AO$2008,Vendas!$AL$8:$AL$2008,$B29,Vendas!$E$8:$E$2008,"&gt;=01/04/"&amp;$G$3,Vendas!$E$8:$E$2008,"&lt;=30/04/"&amp;$G$3,Vendas!$C$8:$C$2008,"Entregue")+SUMIFS(Vendas!$AT$8:$AT$2008,Vendas!$AQ$8:$AQ$2008,$B29,Vendas!$E$8:$E$2008,"&gt;=01/04/"&amp;$G$3,Vendas!$E$8:$E$2008,"&lt;=30/04/"&amp;$G$3,Vendas!$C$8:$C$2008,"Entregue")</f>
        <v>0</v>
      </c>
      <c r="K29" s="159">
        <f>SUMIFS(Vendas!$K$8:$K$2008,Vendas!$H$8:$H$2008,$B29,Vendas!$E$8:$E$2008,"&gt;=01/05/"&amp;$G$3,Vendas!$E$8:$E$2008,"&lt;=31/05/"&amp;$G$3)+SUMIFS(Vendas!$P$8:$P$2008,Vendas!$M$8:$M$2008,$B29,Vendas!$E$8:$E$2008,"&gt;=01/05/"&amp;$G$3,Vendas!$E$8:$E$2008,"&lt;=31/05/"&amp;$G$3)+SUMIFS(Vendas!$U$8:$U$2008,Vendas!$R$8:$R$2008,$B29,Vendas!$E$8:$E$2008,"&gt;=01/05/"&amp;$G$3,Vendas!$E$8:$E$2008,"&lt;=31/05/"&amp;$G$3)+SUMIFS(Vendas!$Z$8:$Z$2008,Vendas!$W$8:$W$2008,$B29,Vendas!$E$8:$E$2008,"&gt;=01/05/"&amp;$G$3,Vendas!$E$8:$E$2008,"&lt;=31/05/"&amp;$G$3)+SUMIFS(Vendas!$AE$8:$AE$2008,Vendas!$AB$8:$AB$2008,$B29,Vendas!$E$8:$E$2008,"&gt;=01/05/"&amp;$G$3,Vendas!$E$8:$E$2008,"&lt;=31/05/"&amp;$G$3)+SUMIFS(Vendas!$AJ$8:$AJ$2008,Vendas!$AG$8:$AG$2008,$B29,Vendas!$E$8:$E$2008,"&gt;=01/05/"&amp;$G$3,Vendas!$E$8:$E$2008,"&lt;=31/05/"&amp;$G$3)+SUMIFS(Vendas!$AO$8:$AO$2008,Vendas!$AL$8:$AL$2008,$B29,Vendas!$E$8:$E$2008,"&gt;=01/05/"&amp;$G$3,Vendas!$E$8:$E$2008,"&lt;=31/05/"&amp;$G$3)+SUMIFS(Vendas!$AT$8:$AT$2008,Vendas!$AQ$8:$AQ$2008,$B29,Vendas!$E$8:$E$2008,"&gt;=01/05/"&amp;$G$3,Vendas!$E$8:$E$2008,"&lt;=31/05/"&amp;$G$3)</f>
        <v>0</v>
      </c>
      <c r="L29" s="159">
        <f>SUMIFS(Vendas!$K$8:$K$2008,Vendas!$H$8:$H$2008,$B29,Vendas!$E$8:$E$2008,"&gt;=01/05/"&amp;$G$3,Vendas!$E$8:$E$2008,"&lt;=31/05/"&amp;$G$3,Vendas!$C$8:$C$2008,"Entregue")+SUMIFS(Vendas!$P$8:$P$2008,Vendas!$M$8:$M$2008,$B29,Vendas!$E$8:$E$2008,"&gt;=01/05/"&amp;$G$3,Vendas!$E$8:$E$2008,"&lt;=31/05/"&amp;$G$3,Vendas!$C$8:$C$2008,"Entregue")+SUMIFS(Vendas!$U$8:$U$2008,Vendas!$R$8:$R$2008,$B29,Vendas!$E$8:$E$2008,"&gt;=01/05/"&amp;$G$3,Vendas!$E$8:$E$2008,"&lt;=31/05/"&amp;$G$3,Vendas!$C$8:$C$2008,"Entregue")+SUMIFS(Vendas!$Z$8:$Z$2008,Vendas!$W$8:$W$2008,$B29,Vendas!$E$8:$E$2008,"&gt;=01/05/"&amp;$G$3,Vendas!$E$8:$E$2008,"&lt;=31/05/"&amp;$G$3,Vendas!$C$8:$C$2008,"Entregue")+SUMIFS(Vendas!$AE$8:$AE$2008,Vendas!$AB$8:$AB$2008,$B29,Vendas!$E$8:$E$2008,"&gt;=01/05/"&amp;$G$3,Vendas!$E$8:$E$2008,"&lt;=31/05/"&amp;$G$3,Vendas!$C$8:$C$2008,"Entregue")+SUMIFS(Vendas!$AJ$8:$AJ$2008,Vendas!$AG$8:$AG$2008,$B29,Vendas!$E$8:$E$2008,"&gt;=01/05/"&amp;$G$3,Vendas!$E$8:$E$2008,"&lt;=31/05/"&amp;$G$3,Vendas!$C$8:$C$2008,"Entregue")+SUMIFS(Vendas!$AO$8:$AO$2008,Vendas!$AL$8:$AL$2008,$B29,Vendas!$E$8:$E$2008,"&gt;=01/05/"&amp;$G$3,Vendas!$E$8:$E$2008,"&lt;=31/05/"&amp;$G$3,Vendas!$C$8:$C$2008,"Entregue")+SUMIFS(Vendas!$AT$8:$AT$2008,Vendas!$AQ$8:$AQ$2008,$B29,Vendas!$E$8:$E$2008,"&gt;=01/05/"&amp;$G$3,Vendas!$E$8:$E$2008,"&lt;=31/05/"&amp;$G$3,Vendas!$C$8:$C$2008,"Entregue")</f>
        <v>0</v>
      </c>
      <c r="M29" s="159">
        <f>SUMIFS(Vendas!$K$8:$K$2008,Vendas!$H$8:$H$2008,$B29,Vendas!$E$8:$E$2008,"&gt;=01/06/"&amp;$G$3,Vendas!$E$8:$E$2008,"&lt;=30/06/"&amp;$G$3)+SUMIFS(Vendas!$P$8:$P$2008,Vendas!$M$8:$M$2008,$B29,Vendas!$E$8:$E$2008,"&gt;=01/06/"&amp;$G$3,Vendas!$E$8:$E$2008,"&lt;=30/06/"&amp;$G$3)+SUMIFS(Vendas!$U$8:$U$2008,Vendas!$R$8:$R$2008,$B29,Vendas!$E$8:$E$2008,"&gt;=01/06/"&amp;$G$3,Vendas!$E$8:$E$2008,"&lt;=30/06/"&amp;$G$3)+SUMIFS(Vendas!$Z$8:$Z$2008,Vendas!$W$8:$W$2008,$B29,Vendas!$E$8:$E$2008,"&gt;=01/06/"&amp;$G$3,Vendas!$E$8:$E$2008,"&lt;=30/06/"&amp;$G$3)+SUMIFS(Vendas!$AE$8:$AE$2008,Vendas!$AB$8:$AB$2008,$B29,Vendas!$E$8:$E$2008,"&gt;=01/06/"&amp;$G$3,Vendas!$E$8:$E$2008,"&lt;=30/06/"&amp;$G$3)+SUMIFS(Vendas!$AJ$8:$AJ$2008,Vendas!$AG$8:$AG$2008,$B29,Vendas!$E$8:$E$2008,"&gt;=01/06/"&amp;$G$3,Vendas!$E$8:$E$2008,"&lt;=30/06/"&amp;$G$3)+SUMIFS(Vendas!$AO$8:$AO$2008,Vendas!$AL$8:$AL$2008,$B29,Vendas!$E$8:$E$2008,"&gt;=01/06/"&amp;$G$3,Vendas!$E$8:$E$2008,"&lt;=30/06/"&amp;$G$3)+SUMIFS(Vendas!$AT$8:$AT$2008,Vendas!$AQ$8:$AQ$2008,$B29,Vendas!$E$8:$E$2008,"&gt;=01/06/"&amp;$G$3,Vendas!$E$8:$E$2008,"&lt;=30/06/"&amp;$G$3)</f>
        <v>0</v>
      </c>
      <c r="N29" s="159">
        <f>SUMIFS(Vendas!$K$8:$K$2008,Vendas!$H$8:$H$2008,$B29,Vendas!$E$8:$E$2008,"&gt;=01/06/"&amp;$G$3,Vendas!$E$8:$E$2008,"&lt;=30/06/"&amp;$G$3,Vendas!$C$8:$C$2008,"Entregue")+SUMIFS(Vendas!$P$8:$P$2008,Vendas!$M$8:$M$2008,$B29,Vendas!$E$8:$E$2008,"&gt;=01/06/"&amp;$G$3,Vendas!$E$8:$E$2008,"&lt;=30/06/"&amp;$G$3,Vendas!$C$8:$C$2008,"Entregue")+SUMIFS(Vendas!$U$8:$U$2008,Vendas!$R$8:$R$2008,$B29,Vendas!$E$8:$E$2008,"&gt;=01/06/"&amp;$G$3,Vendas!$E$8:$E$2008,"&lt;=30/06/"&amp;$G$3,Vendas!$C$8:$C$2008,"Entregue")+SUMIFS(Vendas!$Z$8:$Z$2008,Vendas!$W$8:$W$2008,$B29,Vendas!$E$8:$E$2008,"&gt;=01/06/"&amp;$G$3,Vendas!$E$8:$E$2008,"&lt;=30/06/"&amp;$G$3,Vendas!$C$8:$C$2008,"Entregue")+SUMIFS(Vendas!$AE$8:$AE$2008,Vendas!$AB$8:$AB$2008,$B29,Vendas!$E$8:$E$2008,"&gt;=01/06/"&amp;$G$3,Vendas!$E$8:$E$2008,"&lt;=30/06/"&amp;$G$3,Vendas!$C$8:$C$2008,"Entregue")+SUMIFS(Vendas!$AJ$8:$AJ$2008,Vendas!$AG$8:$AG$2008,$B29,Vendas!$E$8:$E$2008,"&gt;=01/06/"&amp;$G$3,Vendas!$E$8:$E$2008,"&lt;=30/06/"&amp;$G$3,Vendas!$C$8:$C$2008,"Entregue")+SUMIFS(Vendas!$AO$8:$AO$2008,Vendas!$AL$8:$AL$2008,$B29,Vendas!$E$8:$E$2008,"&gt;=01/06/"&amp;$G$3,Vendas!$E$8:$E$2008,"&lt;=30/06/"&amp;$G$3,Vendas!$C$8:$C$2008,"Entregue")+SUMIFS(Vendas!$AT$8:$AT$2008,Vendas!$AQ$8:$AQ$2008,$B29,Vendas!$E$8:$E$2008,"&gt;=01/06/"&amp;$G$3,Vendas!$E$8:$E$2008,"&lt;=30/06/"&amp;$G$3,Vendas!$C$8:$C$2008,"Entregue")</f>
        <v>0</v>
      </c>
      <c r="O29" s="159">
        <f>SUMIFS(Vendas!$K$8:$K$2008,Vendas!$H$8:$H$2008,$B29,Vendas!$E$8:$E$2008,"&gt;=01/07/"&amp;$G$3,Vendas!$E$8:$E$2008,"&lt;=31/07/"&amp;$G$3)+SUMIFS(Vendas!$P$8:$P$2008,Vendas!$M$8:$M$2008,$B29,Vendas!$E$8:$E$2008,"&gt;=01/07/"&amp;$G$3,Vendas!$E$8:$E$2008,"&lt;=31/07/"&amp;$G$3)+SUMIFS(Vendas!$U$8:$U$2008,Vendas!$R$8:$R$2008,$B29,Vendas!$E$8:$E$2008,"&gt;=01/07/"&amp;$G$3,Vendas!$E$8:$E$2008,"&lt;=31/07/"&amp;$G$3)+SUMIFS(Vendas!$Z$8:$Z$2008,Vendas!$W$8:$W$2008,$B29,Vendas!$E$8:$E$2008,"&gt;=01/07/"&amp;$G$3,Vendas!$E$8:$E$2008,"&lt;=31/07/"&amp;$G$3)+SUMIFS(Vendas!$AE$8:$AE$2008,Vendas!$AB$8:$AB$2008,$B29,Vendas!$E$8:$E$2008,"&gt;=01/07/"&amp;$G$3,Vendas!$E$8:$E$2008,"&lt;=31/07/"&amp;$G$3)+SUMIFS(Vendas!$AJ$8:$AJ$2008,Vendas!$AG$8:$AG$2008,$B29,Vendas!$E$8:$E$2008,"&gt;=01/07/"&amp;$G$3,Vendas!$E$8:$E$2008,"&lt;=31/07/"&amp;$G$3)+SUMIFS(Vendas!$AO$8:$AO$2008,Vendas!$AL$8:$AL$2008,$B29,Vendas!$E$8:$E$2008,"&gt;=01/07/"&amp;$G$3,Vendas!$E$8:$E$2008,"&lt;=31/07/"&amp;$G$3)+SUMIFS(Vendas!$AT$8:$AT$2008,Vendas!$AQ$8:$AQ$2008,$B29,Vendas!$E$8:$E$2008,"&gt;=01/07/"&amp;$G$3,Vendas!$E$8:$E$2008,"&lt;=31/07/"&amp;$G$3)</f>
        <v>0</v>
      </c>
      <c r="P29" s="159">
        <f>SUMIFS(Vendas!$K$8:$K$2008,Vendas!$H$8:$H$2008,$B29,Vendas!$E$8:$E$2008,"&gt;=01/07/"&amp;$G$3,Vendas!$E$8:$E$2008,"&lt;=31/07/"&amp;$G$3,Vendas!$C$8:$C$2008,"Entregue")+SUMIFS(Vendas!$P$8:$P$2008,Vendas!$M$8:$M$2008,$B29,Vendas!$E$8:$E$2008,"&gt;=01/07/"&amp;$G$3,Vendas!$E$8:$E$2008,"&lt;=31/07/"&amp;$G$3,Vendas!$C$8:$C$2008,"Entregue")+SUMIFS(Vendas!$U$8:$U$2008,Vendas!$R$8:$R$2008,$B29,Vendas!$E$8:$E$2008,"&gt;=01/07/"&amp;$G$3,Vendas!$E$8:$E$2008,"&lt;=31/07/"&amp;$G$3,Vendas!$C$8:$C$2008,"Entregue")+SUMIFS(Vendas!$Z$8:$Z$2008,Vendas!$W$8:$W$2008,$B29,Vendas!$E$8:$E$2008,"&gt;=01/07/"&amp;$G$3,Vendas!$E$8:$E$2008,"&lt;=31/07/"&amp;$G$3,Vendas!$C$8:$C$2008,"Entregue")+SUMIFS(Vendas!$AE$8:$AE$2008,Vendas!$AB$8:$AB$2008,$B29,Vendas!$E$8:$E$2008,"&gt;=01/07/"&amp;$G$3,Vendas!$E$8:$E$2008,"&lt;=31/07/"&amp;$G$3,Vendas!$C$8:$C$2008,"Entregue")+SUMIFS(Vendas!$AJ$8:$AJ$2008,Vendas!$AG$8:$AG$2008,$B29,Vendas!$E$8:$E$2008,"&gt;=01/07/"&amp;$G$3,Vendas!$E$8:$E$2008,"&lt;=31/07/"&amp;$G$3,Vendas!$C$8:$C$2008,"Entregue")+SUMIFS(Vendas!$AO$8:$AO$2008,Vendas!$AL$8:$AL$2008,$B29,Vendas!$E$8:$E$2008,"&gt;=01/07/"&amp;$G$3,Vendas!$E$8:$E$2008,"&lt;=31/07/"&amp;$G$3,Vendas!$C$8:$C$2008,"Entregue")+SUMIFS(Vendas!$AT$8:$AT$2008,Vendas!$AQ$8:$AQ$2008,$B29,Vendas!$E$8:$E$2008,"&gt;=01/07/"&amp;$G$3,Vendas!$E$8:$E$2008,"&lt;=31/07/"&amp;$G$3,Vendas!$C$8:$C$2008,"Entregue")</f>
        <v>0</v>
      </c>
      <c r="Q29" s="159">
        <f>SUMIFS(Vendas!$K$8:$K$2008,Vendas!$H$8:$H$2008,$B29,Vendas!$E$8:$E$2008,"&gt;=01/08/"&amp;$G$3,Vendas!$E$8:$E$2008,"&lt;=31/08/"&amp;$G$3)+SUMIFS(Vendas!$P$8:$P$2008,Vendas!$M$8:$M$2008,$B29,Vendas!$E$8:$E$2008,"&gt;=01/08/"&amp;$G$3,Vendas!$E$8:$E$2008,"&lt;=31/08/"&amp;$G$3)+SUMIFS(Vendas!$U$8:$U$2008,Vendas!$R$8:$R$2008,$B29,Vendas!$E$8:$E$2008,"&gt;=01/08/"&amp;$G$3,Vendas!$E$8:$E$2008,"&lt;=31/08/"&amp;$G$3)+SUMIFS(Vendas!$Z$8:$Z$2008,Vendas!$W$8:$W$2008,$B29,Vendas!$E$8:$E$2008,"&gt;=01/08/"&amp;$G$3,Vendas!$E$8:$E$2008,"&lt;=31/08/"&amp;$G$3)+SUMIFS(Vendas!$AE$8:$AE$2008,Vendas!$AB$8:$AB$2008,$B29,Vendas!$E$8:$E$2008,"&gt;=01/08/"&amp;$G$3,Vendas!$E$8:$E$2008,"&lt;=31/08/"&amp;$G$3)+SUMIFS(Vendas!$AJ$8:$AJ$2008,Vendas!$AG$8:$AG$2008,$B29,Vendas!$E$8:$E$2008,"&gt;=01/08/"&amp;$G$3,Vendas!$E$8:$E$2008,"&lt;=31/08/"&amp;$G$3)+SUMIFS(Vendas!$AO$8:$AO$2008,Vendas!$AL$8:$AL$2008,$B29,Vendas!$E$8:$E$2008,"&gt;=01/08/"&amp;$G$3,Vendas!$E$8:$E$2008,"&lt;=31/08/"&amp;$G$3)+SUMIFS(Vendas!$AT$8:$AT$2008,Vendas!$AQ$8:$AQ$2008,$B29,Vendas!$E$8:$E$2008,"&gt;=01/08/"&amp;$G$3,Vendas!$E$8:$E$2008,"&lt;=31/08/"&amp;$G$3)</f>
        <v>0</v>
      </c>
      <c r="R29" s="159">
        <f>SUMIFS(Vendas!$K$8:$K$2008,Vendas!$H$8:$H$2008,$B29,Vendas!$E$8:$E$2008,"&gt;=01/08/"&amp;$G$3,Vendas!$E$8:$E$2008,"&lt;=31/08/"&amp;$G$3,Vendas!$C$8:$C$2008,"Entregue")+SUMIFS(Vendas!$P$8:$P$2008,Vendas!$M$8:$M$2008,$B29,Vendas!$E$8:$E$2008,"&gt;=01/08/"&amp;$G$3,Vendas!$E$8:$E$2008,"&lt;=31/08/"&amp;$G$3,Vendas!$C$8:$C$2008,"Entregue")+SUMIFS(Vendas!$U$8:$U$2008,Vendas!$R$8:$R$2008,$B29,Vendas!$E$8:$E$2008,"&gt;=01/08/"&amp;$G$3,Vendas!$E$8:$E$2008,"&lt;=31/08/"&amp;$G$3,Vendas!$C$8:$C$2008,"Entregue")+SUMIFS(Vendas!$Z$8:$Z$2008,Vendas!$W$8:$W$2008,$B29,Vendas!$E$8:$E$2008,"&gt;=01/08/"&amp;$G$3,Vendas!$E$8:$E$2008,"&lt;=31/08/"&amp;$G$3,Vendas!$C$8:$C$2008,"Entregue")+SUMIFS(Vendas!$AE$8:$AE$2008,Vendas!$AB$8:$AB$2008,$B29,Vendas!$E$8:$E$2008,"&gt;=01/08/"&amp;$G$3,Vendas!$E$8:$E$2008,"&lt;=31/08/"&amp;$G$3,Vendas!$C$8:$C$2008,"Entregue")+SUMIFS(Vendas!$AJ$8:$AJ$2008,Vendas!$AG$8:$AG$2008,$B29,Vendas!$E$8:$E$2008,"&gt;=01/08/"&amp;$G$3,Vendas!$E$8:$E$2008,"&lt;=31/08/"&amp;$G$3,Vendas!$C$8:$C$2008,"Entregue")+SUMIFS(Vendas!$AO$8:$AO$2008,Vendas!$AL$8:$AL$2008,$B29,Vendas!$E$8:$E$2008,"&gt;=01/08/"&amp;$G$3,Vendas!$E$8:$E$2008,"&lt;=31/08/"&amp;$G$3,Vendas!$C$8:$C$2008,"Entregue")+SUMIFS(Vendas!$AT$8:$AT$2008,Vendas!$AQ$8:$AQ$2008,$B29,Vendas!$E$8:$E$2008,"&gt;=01/08/"&amp;$G$3,Vendas!$E$8:$E$2008,"&lt;=31/08/"&amp;$G$3,Vendas!$C$8:$C$2008,"Entregue")</f>
        <v>0</v>
      </c>
      <c r="S29" s="159">
        <f>SUMIFS(Vendas!$K$8:$K$2008,Vendas!$H$8:$H$2008,$B29,Vendas!$E$8:$E$2008,"&gt;=01/09/"&amp;$G$3,Vendas!$E$8:$E$2008,"&lt;=30/09/"&amp;$G$3)+SUMIFS(Vendas!$P$8:$P$2008,Vendas!$M$8:$M$2008,$B29,Vendas!$E$8:$E$2008,"&gt;=01/09/"&amp;$G$3,Vendas!$E$8:$E$2008,"&lt;=30/09/"&amp;$G$3)+SUMIFS(Vendas!$U$8:$U$2008,Vendas!$R$8:$R$2008,$B29,Vendas!$E$8:$E$2008,"&gt;=01/09/"&amp;$G$3,Vendas!$E$8:$E$2008,"&lt;=30/09/"&amp;$G$3)+SUMIFS(Vendas!$Z$8:$Z$2008,Vendas!$W$8:$W$2008,$B29,Vendas!$E$8:$E$2008,"&gt;=01/09/"&amp;$G$3,Vendas!$E$8:$E$2008,"&lt;=30/09/"&amp;$G$3)+SUMIFS(Vendas!$AE$8:$AE$2008,Vendas!$AB$8:$AB$2008,$B29,Vendas!$E$8:$E$2008,"&gt;=01/09/"&amp;$G$3,Vendas!$E$8:$E$2008,"&lt;=30/09/"&amp;$G$3)+SUMIFS(Vendas!$AJ$8:$AJ$2008,Vendas!$AG$8:$AG$2008,$B29,Vendas!$E$8:$E$2008,"&gt;=01/09/"&amp;$G$3,Vendas!$E$8:$E$2008,"&lt;=30/09/"&amp;$G$3)+SUMIFS(Vendas!$AO$8:$AO$2008,Vendas!$AL$8:$AL$2008,$B29,Vendas!$E$8:$E$2008,"&gt;=01/09/"&amp;$G$3,Vendas!$E$8:$E$2008,"&lt;=30/09/"&amp;$G$3)+SUMIFS(Vendas!$AT$8:$AT$2008,Vendas!$AQ$8:$AQ$2008,$B29,Vendas!$E$8:$E$2008,"&gt;=01/09/"&amp;$G$3,Vendas!$E$8:$E$2008,"&lt;=30/09/"&amp;$G$3)</f>
        <v>0</v>
      </c>
      <c r="T29" s="159">
        <f>SUMIFS(Vendas!$K$8:$K$2008,Vendas!$H$8:$H$2008,$B29,Vendas!$E$8:$E$2008,"&gt;=01/09/"&amp;$G$3,Vendas!$E$8:$E$2008,"&lt;=30/09/"&amp;$G$3,Vendas!$C$8:$C$2008,"Entregue")+SUMIFS(Vendas!$P$8:$P$2008,Vendas!$M$8:$M$2008,$B29,Vendas!$E$8:$E$2008,"&gt;=01/09/"&amp;$G$3,Vendas!$E$8:$E$2008,"&lt;=30/09/"&amp;$G$3,Vendas!$C$8:$C$2008,"Entregue")+SUMIFS(Vendas!$U$8:$U$2008,Vendas!$R$8:$R$2008,$B29,Vendas!$E$8:$E$2008,"&gt;=01/09/"&amp;$G$3,Vendas!$E$8:$E$2008,"&lt;=30/09/"&amp;$G$3,Vendas!$C$8:$C$2008,"Entregue")+SUMIFS(Vendas!$Z$8:$Z$2008,Vendas!$W$8:$W$2008,$B29,Vendas!$E$8:$E$2008,"&gt;=01/09/"&amp;$G$3,Vendas!$E$8:$E$2008,"&lt;=30/09/"&amp;$G$3,Vendas!$C$8:$C$2008,"Entregue")+SUMIFS(Vendas!$AE$8:$AE$2008,Vendas!$AB$8:$AB$2008,$B29,Vendas!$E$8:$E$2008,"&gt;=01/09/"&amp;$G$3,Vendas!$E$8:$E$2008,"&lt;=30/09/"&amp;$G$3,Vendas!$C$8:$C$2008,"Entregue")+SUMIFS(Vendas!$AJ$8:$AJ$2008,Vendas!$AG$8:$AG$2008,$B29,Vendas!$E$8:$E$2008,"&gt;=01/09/"&amp;$G$3,Vendas!$E$8:$E$2008,"&lt;=30/09/"&amp;$G$3,Vendas!$C$8:$C$2008,"Entregue")+SUMIFS(Vendas!$AO$8:$AO$2008,Vendas!$AL$8:$AL$2008,$B29,Vendas!$E$8:$E$2008,"&gt;=01/09/"&amp;$G$3,Vendas!$E$8:$E$2008,"&lt;=30/09/"&amp;$G$3,Vendas!$C$8:$C$2008,"Entregue")+SUMIFS(Vendas!$AT$8:$AT$2008,Vendas!$AQ$8:$AQ$2008,$B29,Vendas!$E$8:$E$2008,"&gt;=01/09/"&amp;$G$3,Vendas!$E$8:$E$2008,"&lt;=30/09/"&amp;$G$3,Vendas!$C$8:$C$2008,"Entregue")</f>
        <v>0</v>
      </c>
      <c r="U29" s="159">
        <f>SUMIFS(Vendas!$K$8:$K$2008,Vendas!$H$8:$H$2008,$B29,Vendas!$E$8:$E$2008,"&gt;=01/10/"&amp;$G$3,Vendas!$E$8:$E$2008,"&lt;=31/10/"&amp;$G$3)+SUMIFS(Vendas!$P$8:$P$2008,Vendas!$M$8:$M$2008,$B29,Vendas!$E$8:$E$2008,"&gt;=01/10/"&amp;$G$3,Vendas!$E$8:$E$2008,"&lt;=31/10/"&amp;$G$3)+SUMIFS(Vendas!$U$8:$U$2008,Vendas!$R$8:$R$2008,$B29,Vendas!$E$8:$E$2008,"&gt;=01/10/"&amp;$G$3,Vendas!$E$8:$E$2008,"&lt;=31/10/"&amp;$G$3)+SUMIFS(Vendas!$Z$8:$Z$2008,Vendas!$W$8:$W$2008,$B29,Vendas!$E$8:$E$2008,"&gt;=01/10/"&amp;$G$3,Vendas!$E$8:$E$2008,"&lt;=31/10/"&amp;$G$3)+SUMIFS(Vendas!$AE$8:$AE$2008,Vendas!$AB$8:$AB$2008,$B29,Vendas!$E$8:$E$2008,"&gt;=01/10/"&amp;$G$3,Vendas!$E$8:$E$2008,"&lt;=31/10/"&amp;$G$3)+SUMIFS(Vendas!$AJ$8:$AJ$2008,Vendas!$AG$8:$AG$2008,$B29,Vendas!$E$8:$E$2008,"&gt;=01/10/"&amp;$G$3,Vendas!$E$8:$E$2008,"&lt;=31/10/"&amp;$G$3)+SUMIFS(Vendas!$AO$8:$AO$2008,Vendas!$AL$8:$AL$2008,$B29,Vendas!$E$8:$E$2008,"&gt;=01/10/"&amp;$G$3,Vendas!$E$8:$E$2008,"&lt;=31/10/"&amp;$G$3)+SUMIFS(Vendas!$AT$8:$AT$2008,Vendas!$AQ$8:$AQ$2008,$B29,Vendas!$E$8:$E$2008,"&gt;=01/10/"&amp;$G$3,Vendas!$E$8:$E$2008,"&lt;=31/10/"&amp;$G$3)</f>
        <v>0</v>
      </c>
      <c r="V29" s="159">
        <f>SUMIFS(Vendas!$K$8:$K$2008,Vendas!$H$8:$H$2008,$B29,Vendas!$E$8:$E$2008,"&gt;=01/10/"&amp;$G$3,Vendas!$E$8:$E$2008,"&lt;=31/10/"&amp;$G$3,Vendas!$C$8:$C$2008,"Entregue")+SUMIFS(Vendas!$P$8:$P$2008,Vendas!$M$8:$M$2008,$B29,Vendas!$E$8:$E$2008,"&gt;=01/10/"&amp;$G$3,Vendas!$E$8:$E$2008,"&lt;=31/10/"&amp;$G$3,Vendas!$C$8:$C$2008,"Entregue")+SUMIFS(Vendas!$U$8:$U$2008,Vendas!$R$8:$R$2008,$B29,Vendas!$E$8:$E$2008,"&gt;=01/10/"&amp;$G$3,Vendas!$E$8:$E$2008,"&lt;=31/10/"&amp;$G$3,Vendas!$C$8:$C$2008,"Entregue")+SUMIFS(Vendas!$Z$8:$Z$2008,Vendas!$W$8:$W$2008,$B29,Vendas!$E$8:$E$2008,"&gt;=01/10/"&amp;$G$3,Vendas!$E$8:$E$2008,"&lt;=31/10/"&amp;$G$3,Vendas!$C$8:$C$2008,"Entregue")+SUMIFS(Vendas!$AE$8:$AE$2008,Vendas!$AB$8:$AB$2008,$B29,Vendas!$E$8:$E$2008,"&gt;=01/10/"&amp;$G$3,Vendas!$E$8:$E$2008,"&lt;=31/10/"&amp;$G$3,Vendas!$C$8:$C$2008,"Entregue")+SUMIFS(Vendas!$AJ$8:$AJ$2008,Vendas!$AG$8:$AG$2008,$B29,Vendas!$E$8:$E$2008,"&gt;=01/10/"&amp;$G$3,Vendas!$E$8:$E$2008,"&lt;=31/10/"&amp;$G$3,Vendas!$C$8:$C$2008,"Entregue")+SUMIFS(Vendas!$AO$8:$AO$2008,Vendas!$AL$8:$AL$2008,$B29,Vendas!$E$8:$E$2008,"&gt;=01/10/"&amp;$G$3,Vendas!$E$8:$E$2008,"&lt;=31/10/"&amp;$G$3,Vendas!$C$8:$C$2008,"Entregue")+SUMIFS(Vendas!$AT$8:$AT$2008,Vendas!$AQ$8:$AQ$2008,$B29,Vendas!$E$8:$E$2008,"&gt;=01/10/"&amp;$G$3,Vendas!$E$8:$E$2008,"&lt;=31/10/"&amp;$G$3,Vendas!$C$8:$C$2008,"Entregue")</f>
        <v>0</v>
      </c>
      <c r="W29" s="159">
        <f>SUMIFS(Vendas!$K$8:$K$2008,Vendas!$H$8:$H$2008,$B29,Vendas!$E$8:$E$2008,"&gt;=01/11/"&amp;$G$3,Vendas!$E$8:$E$2008,"&lt;=30/11/"&amp;$G$3)+SUMIFS(Vendas!$P$8:$P$2008,Vendas!$M$8:$M$2008,$B29,Vendas!$E$8:$E$2008,"&gt;=01/11/"&amp;$G$3,Vendas!$E$8:$E$2008,"&lt;=30/11/"&amp;$G$3)+SUMIFS(Vendas!$U$8:$U$2008,Vendas!$R$8:$R$2008,$B29,Vendas!$E$8:$E$2008,"&gt;=01/11/"&amp;$G$3,Vendas!$E$8:$E$2008,"&lt;=30/11/"&amp;$G$3)+SUMIFS(Vendas!$Z$8:$Z$2008,Vendas!$W$8:$W$2008,$B29,Vendas!$E$8:$E$2008,"&gt;=01/11/"&amp;$G$3,Vendas!$E$8:$E$2008,"&lt;=30/11/"&amp;$G$3)+SUMIFS(Vendas!$AE$8:$AE$2008,Vendas!$AB$8:$AB$2008,$B29,Vendas!$E$8:$E$2008,"&gt;=01/11/"&amp;$G$3,Vendas!$E$8:$E$2008,"&lt;=30/11/"&amp;$G$3)+SUMIFS(Vendas!$AJ$8:$AJ$2008,Vendas!$AG$8:$AG$2008,$B29,Vendas!$E$8:$E$2008,"&gt;=01/11/"&amp;$G$3,Vendas!$E$8:$E$2008,"&lt;=30/11/"&amp;$G$3)+SUMIFS(Vendas!$AO$8:$AO$2008,Vendas!$AL$8:$AL$2008,$B29,Vendas!$E$8:$E$2008,"&gt;=01/11/"&amp;$G$3,Vendas!$E$8:$E$2008,"&lt;=30/11/"&amp;$G$3)+SUMIFS(Vendas!$AT$8:$AT$2008,Vendas!$AQ$8:$AQ$2008,$B29,Vendas!$E$8:$E$2008,"&gt;=01/11/"&amp;$G$3,Vendas!$E$8:$E$2008,"&lt;=30/11/"&amp;$G$3)</f>
        <v>0</v>
      </c>
      <c r="X29" s="159">
        <f>SUMIFS(Vendas!$K$8:$K$2008,Vendas!$H$8:$H$2008,$B29,Vendas!$E$8:$E$2008,"&gt;=01/11/"&amp;$G$3,Vendas!$E$8:$E$2008,"&lt;=30/11/"&amp;$G$3,Vendas!$C$8:$C$2008,"Entregue")+SUMIFS(Vendas!$P$8:$P$2008,Vendas!$M$8:$M$2008,$B29,Vendas!$E$8:$E$2008,"&gt;=01/11/"&amp;$G$3,Vendas!$E$8:$E$2008,"&lt;=30/11/"&amp;$G$3,Vendas!$C$8:$C$2008,"Entregue")+SUMIFS(Vendas!$U$8:$U$2008,Vendas!$R$8:$R$2008,$B29,Vendas!$E$8:$E$2008,"&gt;=01/11/"&amp;$G$3,Vendas!$E$8:$E$2008,"&lt;=30/11/"&amp;$G$3,Vendas!$C$8:$C$2008,"Entregue")+SUMIFS(Vendas!$Z$8:$Z$2008,Vendas!$W$8:$W$2008,$B29,Vendas!$E$8:$E$2008,"&gt;=01/11/"&amp;$G$3,Vendas!$E$8:$E$2008,"&lt;=30/11/"&amp;$G$3,Vendas!$C$8:$C$2008,"Entregue")+SUMIFS(Vendas!$AE$8:$AE$2008,Vendas!$AB$8:$AB$2008,$B29,Vendas!$E$8:$E$2008,"&gt;=01/11/"&amp;$G$3,Vendas!$E$8:$E$2008,"&lt;=30/11/"&amp;$G$3,Vendas!$C$8:$C$2008,"Entregue")+SUMIFS(Vendas!$AJ$8:$AJ$2008,Vendas!$AG$8:$AG$2008,$B29,Vendas!$E$8:$E$2008,"&gt;=01/11/"&amp;$G$3,Vendas!$E$8:$E$2008,"&lt;=30/11/"&amp;$G$3,Vendas!$C$8:$C$2008,"Entregue")+SUMIFS(Vendas!$AO$8:$AO$2008,Vendas!$AL$8:$AL$2008,$B29,Vendas!$E$8:$E$2008,"&gt;=01/11/"&amp;$G$3,Vendas!$E$8:$E$2008,"&lt;=30/11/"&amp;$G$3,Vendas!$C$8:$C$2008,"Entregue")+SUMIFS(Vendas!$AT$8:$AT$2008,Vendas!$AQ$8:$AQ$2008,$B29,Vendas!$E$8:$E$2008,"&gt;=01/11/"&amp;$G$3,Vendas!$E$8:$E$2008,"&lt;=30/11/"&amp;$G$3,Vendas!$C$8:$C$2008,"Entregue")</f>
        <v>0</v>
      </c>
      <c r="Y29" s="159">
        <f>SUMIFS(Vendas!$K$8:$K$2008,Vendas!$H$8:$H$2008,$B29,Vendas!$E$8:$E$2008,"&gt;=01/12/"&amp;$G$3,Vendas!$E$8:$E$2008,"&lt;=31/12/"&amp;$G$3)+SUMIFS(Vendas!$P$8:$P$2008,Vendas!$M$8:$M$2008,$B29,Vendas!$E$8:$E$2008,"&gt;=01/12/"&amp;$G$3,Vendas!$E$8:$E$2008,"&lt;=31/12/"&amp;$G$3)+SUMIFS(Vendas!$U$8:$U$2008,Vendas!$R$8:$R$2008,$B29,Vendas!$E$8:$E$2008,"&gt;=01/12/"&amp;$G$3,Vendas!$E$8:$E$2008,"&lt;=31/12/"&amp;$G$3)+SUMIFS(Vendas!$Z$8:$Z$2008,Vendas!$W$8:$W$2008,$B29,Vendas!$E$8:$E$2008,"&gt;=01/12/"&amp;$G$3,Vendas!$E$8:$E$2008,"&lt;=31/12/"&amp;$G$3)+SUMIFS(Vendas!$AE$8:$AE$2008,Vendas!$AB$8:$AB$2008,$B29,Vendas!$E$8:$E$2008,"&gt;=01/12/"&amp;$G$3,Vendas!$E$8:$E$2008,"&lt;=31/12/"&amp;$G$3)+SUMIFS(Vendas!$AJ$8:$AJ$2008,Vendas!$AG$8:$AG$2008,$B29,Vendas!$E$8:$E$2008,"&gt;=01/12/"&amp;$G$3,Vendas!$E$8:$E$2008,"&lt;=31/12/"&amp;$G$3)+SUMIFS(Vendas!$AO$8:$AO$2008,Vendas!$AL$8:$AL$2008,$B29,Vendas!$E$8:$E$2008,"&gt;=01/12/"&amp;$G$3,Vendas!$E$8:$E$2008,"&lt;=31/12/"&amp;$G$3)+SUMIFS(Vendas!$AT$8:$AT$2008,Vendas!$AQ$8:$AQ$2008,$B29,Vendas!$E$8:$E$2008,"&gt;=01/12/"&amp;$G$3,Vendas!$E$8:$E$2008,"&lt;=31/12/"&amp;$G$3)</f>
        <v>0</v>
      </c>
      <c r="Z29" s="160">
        <f>SUMIFS(Vendas!$K$8:$K$2008,Vendas!$H$8:$H$2008,$B29,Vendas!$E$8:$E$2008,"&gt;=01/12/"&amp;$G$3,Vendas!$E$8:$E$2008,"&lt;=31/12/"&amp;$G$3,Vendas!$C$8:$C$2008,"Entregue")+SUMIFS(Vendas!$P$8:$P$2008,Vendas!$M$8:$M$2008,$B29,Vendas!$E$8:$E$2008,"&gt;=01/12/"&amp;$G$3,Vendas!$E$8:$E$2008,"&lt;=31/12/"&amp;$G$3,Vendas!$C$8:$C$2008,"Entregue")+SUMIFS(Vendas!$U$8:$U$2008,Vendas!$R$8:$R$2008,$B29,Vendas!$E$8:$E$2008,"&gt;=01/12/"&amp;$G$3,Vendas!$E$8:$E$2008,"&lt;=31/12/"&amp;$G$3,Vendas!$C$8:$C$2008,"Entregue")+SUMIFS(Vendas!$Z$8:$Z$2008,Vendas!$W$8:$W$2008,$B29,Vendas!$E$8:$E$2008,"&gt;=01/12/"&amp;$G$3,Vendas!$E$8:$E$2008,"&lt;=31/12/"&amp;$G$3,Vendas!$C$8:$C$2008,"Entregue")+SUMIFS(Vendas!$AE$8:$AE$2008,Vendas!$AB$8:$AB$2008,$B29,Vendas!$E$8:$E$2008,"&gt;=01/12/"&amp;$G$3,Vendas!$E$8:$E$2008,"&lt;=31/12/"&amp;$G$3,Vendas!$C$8:$C$2008,"Entregue")+SUMIFS(Vendas!$AJ$8:$AJ$2008,Vendas!$AG$8:$AG$2008,$B29,Vendas!$E$8:$E$2008,"&gt;=01/12/"&amp;$G$3,Vendas!$E$8:$E$2008,"&lt;=31/12/"&amp;$G$3,Vendas!$C$8:$C$2008,"Entregue")+SUMIFS(Vendas!$AO$8:$AO$2008,Vendas!$AL$8:$AL$2008,$B29,Vendas!$E$8:$E$2008,"&gt;=01/12/"&amp;$G$3,Vendas!$E$8:$E$2008,"&lt;=31/12/"&amp;$G$3,Vendas!$C$8:$C$2008,"Entregue")+SUMIFS(Vendas!$AT$8:$AT$2008,Vendas!$AQ$8:$AQ$2008,$B29,Vendas!$E$8:$E$2008,"&gt;=01/12/"&amp;$G$3,Vendas!$E$8:$E$2008,"&lt;=31/12/"&amp;$G$3,Vendas!$C$8:$C$2008,"Entregue")</f>
        <v>0</v>
      </c>
      <c r="AA29" s="132">
        <f t="shared" si="0"/>
        <v>0</v>
      </c>
      <c r="AB29" s="132">
        <f t="shared" si="0"/>
        <v>0</v>
      </c>
      <c r="AC29" s="67"/>
    </row>
    <row r="30" spans="2:29" ht="14.4" x14ac:dyDescent="0.3">
      <c r="B30" s="262" t="str">
        <f>IF(Cadastros!G38="","",Cadastros!G38)</f>
        <v>185 - Rolo Postural Cervical</v>
      </c>
      <c r="C30" s="161">
        <f>SUMIFS(Vendas!$K$8:$K$2008,Vendas!$H$8:$H$2008,$B30,Vendas!$E$8:$E$2008,"&gt;=01/01/"&amp;$G$3,Vendas!$E$8:$E$2008,"&lt;=31/01/"&amp;$G$3)+SUMIFS(Vendas!$P$8:$P$2008,Vendas!$M$8:$M$2008,$B30,Vendas!$E$8:$E$2008,"&gt;=01/01/"&amp;$G$3,Vendas!$E$8:$E$2008,"&lt;=31/01/"&amp;$G$3)+SUMIFS(Vendas!$U$8:$U$2008,Vendas!$R$8:$R$2008,$B30,Vendas!$E$8:$E$2008,"&gt;=01/01/"&amp;$G$3,Vendas!$E$8:$E$2008,"&lt;=31/01/"&amp;$G$3)+SUMIFS(Vendas!$Z$8:$Z$2008,Vendas!$W$8:$W$2008,$B30,Vendas!$E$8:$E$2008,"&gt;=01/01/"&amp;$G$3,Vendas!$E$8:$E$2008,"&lt;=31/01/"&amp;$G$3)+SUMIFS(Vendas!$AE$8:$AE$2008,Vendas!$AB$8:$AB$2008,$B30,Vendas!$E$8:$E$2008,"&gt;=01/01/"&amp;$G$3,Vendas!$E$8:$E$2008,"&lt;=31/01/"&amp;$G$3)+SUMIFS(Vendas!$AJ$8:$AJ$2008,Vendas!$AG$8:$AG$2008,$B30,Vendas!$E$8:$E$2008,"&gt;=01/01/"&amp;$G$3,Vendas!$E$8:$E$2008,"&lt;=31/01/"&amp;$G$3)+SUMIFS(Vendas!$AO$8:$AO$2008,Vendas!$AL$8:$AL$2008,$B30,Vendas!$E$8:$E$2008,"&gt;=01/01/"&amp;$G$3,Vendas!$E$8:$E$2008,"&lt;=31/01/"&amp;$G$3)+SUMIFS(Vendas!$AT$8:$AT$2008,Vendas!$AQ$8:$AQ$2008,$B30,Vendas!$E$8:$E$2008,"&gt;=01/01/"&amp;$G$3,Vendas!$E$8:$E$2008,"&lt;=31/01/"&amp;$G$3)</f>
        <v>0</v>
      </c>
      <c r="D30" s="162">
        <f>SUMIFS(Vendas!$K$8:$K$2008,Vendas!$H$8:$H$2008,$B30,Vendas!$E$8:$E$2008,"&gt;=01/01/"&amp;$G$3,Vendas!$E$8:$E$2008,"&lt;=31/01/"&amp;$G$3,Vendas!$C$8:$C$2008,"Entregue")+SUMIFS(Vendas!$P$8:$P$2008,Vendas!$M$8:$M$2008,$B30,Vendas!$E$8:$E$2008,"&gt;=01/01/"&amp;$G$3,Vendas!$E$8:$E$2008,"&lt;=31/01/"&amp;$G$3,Vendas!$C$8:$C$2008,"Entregue")+SUMIFS(Vendas!$U$8:$U$2008,Vendas!$R$8:$R$2008,$B30,Vendas!$E$8:$E$2008,"&gt;=01/01/"&amp;$G$3,Vendas!$E$8:$E$2008,"&lt;=31/01/"&amp;$G$3,Vendas!$C$8:$C$2008,"Entregue")+SUMIFS(Vendas!$Z$8:$Z$2008,Vendas!$W$8:$W$2008,$B30,Vendas!$E$8:$E$2008,"&gt;=01/01/"&amp;$G$3,Vendas!$E$8:$E$2008,"&lt;=31/01/"&amp;$G$3,Vendas!$C$8:$C$2008,"Entregue")+SUMIFS(Vendas!$AE$8:$AE$2008,Vendas!$AB$8:$AB$2008,$B30,Vendas!$E$8:$E$2008,"&gt;=01/01/"&amp;$G$3,Vendas!$E$8:$E$2008,"&lt;=31/01/"&amp;$G$3,Vendas!$C$8:$C$2008,"Entregue")+SUMIFS(Vendas!$AJ$8:$AJ$2008,Vendas!$AG$8:$AG$2008,$B30,Vendas!$E$8:$E$2008,"&gt;=01/01/"&amp;$G$3,Vendas!$E$8:$E$2008,"&lt;=31/01/"&amp;$G$3,Vendas!$C$8:$C$2008,"Entregue")+SUMIFS(Vendas!$AO$8:$AO$2008,Vendas!$AL$8:$AL$2008,$B30,Vendas!$E$8:$E$2008,"&gt;=01/01/"&amp;$G$3,Vendas!$E$8:$E$2008,"&lt;=31/01/"&amp;$G$3,Vendas!$C$8:$C$2008,"Entregue")+SUMIFS(Vendas!$AT$8:$AT$2008,Vendas!$AQ$8:$AQ$2008,$B30,Vendas!$E$8:$E$2008,"&gt;=01/01/"&amp;$G$3,Vendas!$E$8:$E$2008,"&lt;=31/01/"&amp;$G$3,Vendas!$C$8:$C$2008,"Entregue")</f>
        <v>0</v>
      </c>
      <c r="E30" s="162">
        <f>SUMIFS(Vendas!$K$8:$K$2008,Vendas!$H$8:$H$2008,$B30,Vendas!$E$8:$E$2008,"&gt;=01/02/"&amp;$G$3,Vendas!$E$8:$E$2008,"&lt;=28/02/"&amp;$G$3)+SUMIFS(Vendas!$P$8:$P$2008,Vendas!$M$8:$M$2008,$B30,Vendas!$E$8:$E$2008,"&gt;=01/02/"&amp;$G$3,Vendas!$E$8:$E$2008,"&lt;=28/02/"&amp;$G$3)+SUMIFS(Vendas!$U$8:$U$2008,Vendas!$R$8:$R$2008,$B30,Vendas!$E$8:$E$2008,"&gt;=01/02/"&amp;$G$3,Vendas!$E$8:$E$2008,"&lt;=28/02/"&amp;$G$3)+SUMIFS(Vendas!$Z$8:$Z$2008,Vendas!$W$8:$W$2008,$B30,Vendas!$E$8:$E$2008,"&gt;=01/02/"&amp;$G$3,Vendas!$E$8:$E$2008,"&lt;=28/02/"&amp;$G$3)+SUMIFS(Vendas!$AE$8:$AE$2008,Vendas!$AB$8:$AB$2008,$B30,Vendas!$E$8:$E$2008,"&gt;=01/02/"&amp;$G$3,Vendas!$E$8:$E$2008,"&lt;=28/02/"&amp;$G$3)+SUMIFS(Vendas!$AJ$8:$AJ$2008,Vendas!$AG$8:$AG$2008,$B30,Vendas!$E$8:$E$2008,"&gt;=01/02/"&amp;$G$3,Vendas!$E$8:$E$2008,"&lt;=28/02/"&amp;$G$3)+SUMIFS(Vendas!$AO$8:$AO$2008,Vendas!$AL$8:$AL$2008,$B30,Vendas!$E$8:$E$2008,"&gt;=01/02/"&amp;$G$3,Vendas!$E$8:$E$2008,"&lt;=28/02/"&amp;$G$3)+SUMIFS(Vendas!$AT$8:$AT$2008,Vendas!$AQ$8:$AQ$2008,$B30,Vendas!$E$8:$E$2008,"&gt;=01/02/"&amp;$G$3,Vendas!$E$8:$E$2008,"&lt;=28/02/"&amp;$G$3)</f>
        <v>0</v>
      </c>
      <c r="F30" s="162">
        <f>SUMIFS(Vendas!$K$8:$K$2008,Vendas!$H$8:$H$2008,$B30,Vendas!$E$8:$E$2008,"&gt;=01/02/"&amp;$G$3,Vendas!$E$8:$E$2008,"&lt;=28/02/"&amp;$G$3,Vendas!$C$8:$C$2008,"Entregue")+SUMIFS(Vendas!$P$8:$P$2008,Vendas!$M$8:$M$2008,$B30,Vendas!$E$8:$E$2008,"&gt;=01/02/"&amp;$G$3,Vendas!$E$8:$E$2008,"&lt;=28/02/"&amp;$G$3,Vendas!$C$8:$C$2008,"Entregue")+SUMIFS(Vendas!$U$8:$U$2008,Vendas!$R$8:$R$2008,$B30,Vendas!$E$8:$E$2008,"&gt;=01/02/"&amp;$G$3,Vendas!$E$8:$E$2008,"&lt;=28/02/"&amp;$G$3,Vendas!$C$8:$C$2008,"Entregue")+SUMIFS(Vendas!$Z$8:$Z$2008,Vendas!$W$8:$W$2008,$B30,Vendas!$E$8:$E$2008,"&gt;=01/02/"&amp;$G$3,Vendas!$E$8:$E$2008,"&lt;=28/02/"&amp;$G$3,Vendas!$C$8:$C$2008,"Entregue")+SUMIFS(Vendas!$AE$8:$AE$2008,Vendas!$AB$8:$AB$2008,$B30,Vendas!$E$8:$E$2008,"&gt;=01/02/"&amp;$G$3,Vendas!$E$8:$E$2008,"&lt;=28/02/"&amp;$G$3,Vendas!$C$8:$C$2008,"Entregue")+SUMIFS(Vendas!$AJ$8:$AJ$2008,Vendas!$AG$8:$AG$2008,$B30,Vendas!$E$8:$E$2008,"&gt;=01/02/"&amp;$G$3,Vendas!$E$8:$E$2008,"&lt;=28/02/"&amp;$G$3,Vendas!$C$8:$C$2008,"Entregue")+SUMIFS(Vendas!$AO$8:$AO$2008,Vendas!$AL$8:$AL$2008,$B30,Vendas!$E$8:$E$2008,"&gt;=01/02/"&amp;$G$3,Vendas!$E$8:$E$2008,"&lt;=28/02/"&amp;$G$3,Vendas!$C$8:$C$2008,"Entregue")+SUMIFS(Vendas!$AT$8:$AT$2008,Vendas!$AQ$8:$AQ$2008,$B30,Vendas!$E$8:$E$2008,"&gt;=01/02/"&amp;$G$3,Vendas!$E$8:$E$2008,"&lt;=28/02/"&amp;$G$3,Vendas!$C$8:$C$2008,"Entregue")</f>
        <v>0</v>
      </c>
      <c r="G30" s="162">
        <f>SUMIFS(Vendas!$K$8:$K$2008,Vendas!$H$8:$H$2008,$B30,Vendas!$E$8:$E$2008,"&gt;=01/03/"&amp;$G$3,Vendas!$E$8:$E$2008,"&lt;=31/03/"&amp;$G$3)+SUMIFS(Vendas!$P$8:$P$2008,Vendas!$M$8:$M$2008,$B30,Vendas!$E$8:$E$2008,"&gt;=01/03/"&amp;$G$3,Vendas!$E$8:$E$2008,"&lt;=31/03/"&amp;$G$3)+SUMIFS(Vendas!$U$8:$U$2008,Vendas!$R$8:$R$2008,$B30,Vendas!$E$8:$E$2008,"&gt;=01/03/"&amp;$G$3,Vendas!$E$8:$E$2008,"&lt;=31/03/"&amp;$G$3)+SUMIFS(Vendas!$Z$8:$Z$2008,Vendas!$W$8:$W$2008,$B30,Vendas!$E$8:$E$2008,"&gt;=01/03/"&amp;$G$3,Vendas!$E$8:$E$2008,"&lt;=31/03/"&amp;$G$3)+SUMIFS(Vendas!$AE$8:$AE$2008,Vendas!$AB$8:$AB$2008,$B30,Vendas!$E$8:$E$2008,"&gt;=01/03/"&amp;$G$3,Vendas!$E$8:$E$2008,"&lt;=31/03/"&amp;$G$3)+SUMIFS(Vendas!$AJ$8:$AJ$2008,Vendas!$AG$8:$AG$2008,$B30,Vendas!$E$8:$E$2008,"&gt;=01/03/"&amp;$G$3,Vendas!$E$8:$E$2008,"&lt;=31/03/"&amp;$G$3)+SUMIFS(Vendas!$AO$8:$AO$2008,Vendas!$AL$8:$AL$2008,$B30,Vendas!$E$8:$E$2008,"&gt;=01/03/"&amp;$G$3,Vendas!$E$8:$E$2008,"&lt;=31/03/"&amp;$G$3)+SUMIFS(Vendas!$AT$8:$AT$2008,Vendas!$AQ$8:$AQ$2008,$B30,Vendas!$E$8:$E$2008,"&gt;=01/03/"&amp;$G$3,Vendas!$E$8:$E$2008,"&lt;=31/03/"&amp;$G$3)</f>
        <v>0</v>
      </c>
      <c r="H30" s="162">
        <f>SUMIFS(Vendas!$K$8:$K$2008,Vendas!$H$8:$H$2008,$B30,Vendas!$E$8:$E$2008,"&gt;=01/03/"&amp;$G$3,Vendas!$E$8:$E$2008,"&lt;=31/03/"&amp;$G$3,Vendas!$C$8:$C$2008,"Entregue")+SUMIFS(Vendas!$P$8:$P$2008,Vendas!$M$8:$M$2008,$B30,Vendas!$E$8:$E$2008,"&gt;=01/03/"&amp;$G$3,Vendas!$E$8:$E$2008,"&lt;=31/03/"&amp;$G$3,Vendas!$C$8:$C$2008,"Entregue")+SUMIFS(Vendas!$U$8:$U$2008,Vendas!$R$8:$R$2008,$B30,Vendas!$E$8:$E$2008,"&gt;=01/03/"&amp;$G$3,Vendas!$E$8:$E$2008,"&lt;=31/03/"&amp;$G$3,Vendas!$C$8:$C$2008,"Entregue")+SUMIFS(Vendas!$Z$8:$Z$2008,Vendas!$W$8:$W$2008,$B30,Vendas!$E$8:$E$2008,"&gt;=01/03/"&amp;$G$3,Vendas!$E$8:$E$2008,"&lt;=31/03/"&amp;$G$3,Vendas!$C$8:$C$2008,"Entregue")+SUMIFS(Vendas!$AE$8:$AE$2008,Vendas!$AB$8:$AB$2008,$B30,Vendas!$E$8:$E$2008,"&gt;=01/03/"&amp;$G$3,Vendas!$E$8:$E$2008,"&lt;=31/03/"&amp;$G$3,Vendas!$C$8:$C$2008,"Entregue")+SUMIFS(Vendas!$AJ$8:$AJ$2008,Vendas!$AG$8:$AG$2008,$B30,Vendas!$E$8:$E$2008,"&gt;=01/03/"&amp;$G$3,Vendas!$E$8:$E$2008,"&lt;=31/03/"&amp;$G$3,Vendas!$C$8:$C$2008,"Entregue")+SUMIFS(Vendas!$AO$8:$AO$2008,Vendas!$AL$8:$AL$2008,$B30,Vendas!$E$8:$E$2008,"&gt;=01/03/"&amp;$G$3,Vendas!$E$8:$E$2008,"&lt;=31/03/"&amp;$G$3,Vendas!$C$8:$C$2008,"Entregue")+SUMIFS(Vendas!$AT$8:$AT$2008,Vendas!$AQ$8:$AQ$2008,$B30,Vendas!$E$8:$E$2008,"&gt;=01/03/"&amp;$G$3,Vendas!$E$8:$E$2008,"&lt;=31/03/"&amp;$G$3,Vendas!$C$8:$C$2008,"Entregue")</f>
        <v>0</v>
      </c>
      <c r="I30" s="162">
        <f>SUMIFS(Vendas!$K$8:$K$2008,Vendas!$H$8:$H$2008,$B30,Vendas!$E$8:$E$2008,"&gt;=01/04/"&amp;$G$3,Vendas!$E$8:$E$2008,"&lt;=30/04/"&amp;$G$3)+SUMIFS(Vendas!$P$8:$P$2008,Vendas!$M$8:$M$2008,$B30,Vendas!$E$8:$E$2008,"&gt;=01/04/"&amp;$G$3,Vendas!$E$8:$E$2008,"&lt;=30/04/"&amp;$G$3)+SUMIFS(Vendas!$U$8:$U$2008,Vendas!$R$8:$R$2008,$B30,Vendas!$E$8:$E$2008,"&gt;=01/04/"&amp;$G$3,Vendas!$E$8:$E$2008,"&lt;=30/04/"&amp;$G$3)+SUMIFS(Vendas!$Z$8:$Z$2008,Vendas!$W$8:$W$2008,$B30,Vendas!$E$8:$E$2008,"&gt;=01/04/"&amp;$G$3,Vendas!$E$8:$E$2008,"&lt;=30/04/"&amp;$G$3)+SUMIFS(Vendas!$AE$8:$AE$2008,Vendas!$AB$8:$AB$2008,$B30,Vendas!$E$8:$E$2008,"&gt;=01/04/"&amp;$G$3,Vendas!$E$8:$E$2008,"&lt;=30/04/"&amp;$G$3)+SUMIFS(Vendas!$AJ$8:$AJ$2008,Vendas!$AG$8:$AG$2008,$B30,Vendas!$E$8:$E$2008,"&gt;=01/04/"&amp;$G$3,Vendas!$E$8:$E$2008,"&lt;=30/04/"&amp;$G$3)+SUMIFS(Vendas!$AO$8:$AO$2008,Vendas!$AL$8:$AL$2008,$B30,Vendas!$E$8:$E$2008,"&gt;=01/04/"&amp;$G$3,Vendas!$E$8:$E$2008,"&lt;=30/04/"&amp;$G$3)+SUMIFS(Vendas!$AT$8:$AT$2008,Vendas!$AQ$8:$AQ$2008,$B30,Vendas!$E$8:$E$2008,"&gt;=01/04/"&amp;$G$3,Vendas!$E$8:$E$2008,"&lt;=30/04/"&amp;$G$3)</f>
        <v>0</v>
      </c>
      <c r="J30" s="162">
        <f>SUMIFS(Vendas!$K$8:$K$2008,Vendas!$H$8:$H$2008,$B30,Vendas!$E$8:$E$2008,"&gt;=01/04/"&amp;$G$3,Vendas!$E$8:$E$2008,"&lt;=30/04/"&amp;$G$3,Vendas!$C$8:$C$2008,"Entregue")+SUMIFS(Vendas!$P$8:$P$2008,Vendas!$M$8:$M$2008,$B30,Vendas!$E$8:$E$2008,"&gt;=01/04/"&amp;$G$3,Vendas!$E$8:$E$2008,"&lt;=30/04/"&amp;$G$3,Vendas!$C$8:$C$2008,"Entregue")+SUMIFS(Vendas!$U$8:$U$2008,Vendas!$R$8:$R$2008,$B30,Vendas!$E$8:$E$2008,"&gt;=01/04/"&amp;$G$3,Vendas!$E$8:$E$2008,"&lt;=30/04/"&amp;$G$3,Vendas!$C$8:$C$2008,"Entregue")+SUMIFS(Vendas!$Z$8:$Z$2008,Vendas!$W$8:$W$2008,$B30,Vendas!$E$8:$E$2008,"&gt;=01/04/"&amp;$G$3,Vendas!$E$8:$E$2008,"&lt;=30/04/"&amp;$G$3,Vendas!$C$8:$C$2008,"Entregue")+SUMIFS(Vendas!$AE$8:$AE$2008,Vendas!$AB$8:$AB$2008,$B30,Vendas!$E$8:$E$2008,"&gt;=01/04/"&amp;$G$3,Vendas!$E$8:$E$2008,"&lt;=30/04/"&amp;$G$3,Vendas!$C$8:$C$2008,"Entregue")+SUMIFS(Vendas!$AJ$8:$AJ$2008,Vendas!$AG$8:$AG$2008,$B30,Vendas!$E$8:$E$2008,"&gt;=01/04/"&amp;$G$3,Vendas!$E$8:$E$2008,"&lt;=30/04/"&amp;$G$3,Vendas!$C$8:$C$2008,"Entregue")+SUMIFS(Vendas!$AO$8:$AO$2008,Vendas!$AL$8:$AL$2008,$B30,Vendas!$E$8:$E$2008,"&gt;=01/04/"&amp;$G$3,Vendas!$E$8:$E$2008,"&lt;=30/04/"&amp;$G$3,Vendas!$C$8:$C$2008,"Entregue")+SUMIFS(Vendas!$AT$8:$AT$2008,Vendas!$AQ$8:$AQ$2008,$B30,Vendas!$E$8:$E$2008,"&gt;=01/04/"&amp;$G$3,Vendas!$E$8:$E$2008,"&lt;=30/04/"&amp;$G$3,Vendas!$C$8:$C$2008,"Entregue")</f>
        <v>0</v>
      </c>
      <c r="K30" s="162">
        <f>SUMIFS(Vendas!$K$8:$K$2008,Vendas!$H$8:$H$2008,$B30,Vendas!$E$8:$E$2008,"&gt;=01/05/"&amp;$G$3,Vendas!$E$8:$E$2008,"&lt;=31/05/"&amp;$G$3)+SUMIFS(Vendas!$P$8:$P$2008,Vendas!$M$8:$M$2008,$B30,Vendas!$E$8:$E$2008,"&gt;=01/05/"&amp;$G$3,Vendas!$E$8:$E$2008,"&lt;=31/05/"&amp;$G$3)+SUMIFS(Vendas!$U$8:$U$2008,Vendas!$R$8:$R$2008,$B30,Vendas!$E$8:$E$2008,"&gt;=01/05/"&amp;$G$3,Vendas!$E$8:$E$2008,"&lt;=31/05/"&amp;$G$3)+SUMIFS(Vendas!$Z$8:$Z$2008,Vendas!$W$8:$W$2008,$B30,Vendas!$E$8:$E$2008,"&gt;=01/05/"&amp;$G$3,Vendas!$E$8:$E$2008,"&lt;=31/05/"&amp;$G$3)+SUMIFS(Vendas!$AE$8:$AE$2008,Vendas!$AB$8:$AB$2008,$B30,Vendas!$E$8:$E$2008,"&gt;=01/05/"&amp;$G$3,Vendas!$E$8:$E$2008,"&lt;=31/05/"&amp;$G$3)+SUMIFS(Vendas!$AJ$8:$AJ$2008,Vendas!$AG$8:$AG$2008,$B30,Vendas!$E$8:$E$2008,"&gt;=01/05/"&amp;$G$3,Vendas!$E$8:$E$2008,"&lt;=31/05/"&amp;$G$3)+SUMIFS(Vendas!$AO$8:$AO$2008,Vendas!$AL$8:$AL$2008,$B30,Vendas!$E$8:$E$2008,"&gt;=01/05/"&amp;$G$3,Vendas!$E$8:$E$2008,"&lt;=31/05/"&amp;$G$3)+SUMIFS(Vendas!$AT$8:$AT$2008,Vendas!$AQ$8:$AQ$2008,$B30,Vendas!$E$8:$E$2008,"&gt;=01/05/"&amp;$G$3,Vendas!$E$8:$E$2008,"&lt;=31/05/"&amp;$G$3)</f>
        <v>0</v>
      </c>
      <c r="L30" s="162">
        <f>SUMIFS(Vendas!$K$8:$K$2008,Vendas!$H$8:$H$2008,$B30,Vendas!$E$8:$E$2008,"&gt;=01/05/"&amp;$G$3,Vendas!$E$8:$E$2008,"&lt;=31/05/"&amp;$G$3,Vendas!$C$8:$C$2008,"Entregue")+SUMIFS(Vendas!$P$8:$P$2008,Vendas!$M$8:$M$2008,$B30,Vendas!$E$8:$E$2008,"&gt;=01/05/"&amp;$G$3,Vendas!$E$8:$E$2008,"&lt;=31/05/"&amp;$G$3,Vendas!$C$8:$C$2008,"Entregue")+SUMIFS(Vendas!$U$8:$U$2008,Vendas!$R$8:$R$2008,$B30,Vendas!$E$8:$E$2008,"&gt;=01/05/"&amp;$G$3,Vendas!$E$8:$E$2008,"&lt;=31/05/"&amp;$G$3,Vendas!$C$8:$C$2008,"Entregue")+SUMIFS(Vendas!$Z$8:$Z$2008,Vendas!$W$8:$W$2008,$B30,Vendas!$E$8:$E$2008,"&gt;=01/05/"&amp;$G$3,Vendas!$E$8:$E$2008,"&lt;=31/05/"&amp;$G$3,Vendas!$C$8:$C$2008,"Entregue")+SUMIFS(Vendas!$AE$8:$AE$2008,Vendas!$AB$8:$AB$2008,$B30,Vendas!$E$8:$E$2008,"&gt;=01/05/"&amp;$G$3,Vendas!$E$8:$E$2008,"&lt;=31/05/"&amp;$G$3,Vendas!$C$8:$C$2008,"Entregue")+SUMIFS(Vendas!$AJ$8:$AJ$2008,Vendas!$AG$8:$AG$2008,$B30,Vendas!$E$8:$E$2008,"&gt;=01/05/"&amp;$G$3,Vendas!$E$8:$E$2008,"&lt;=31/05/"&amp;$G$3,Vendas!$C$8:$C$2008,"Entregue")+SUMIFS(Vendas!$AO$8:$AO$2008,Vendas!$AL$8:$AL$2008,$B30,Vendas!$E$8:$E$2008,"&gt;=01/05/"&amp;$G$3,Vendas!$E$8:$E$2008,"&lt;=31/05/"&amp;$G$3,Vendas!$C$8:$C$2008,"Entregue")+SUMIFS(Vendas!$AT$8:$AT$2008,Vendas!$AQ$8:$AQ$2008,$B30,Vendas!$E$8:$E$2008,"&gt;=01/05/"&amp;$G$3,Vendas!$E$8:$E$2008,"&lt;=31/05/"&amp;$G$3,Vendas!$C$8:$C$2008,"Entregue")</f>
        <v>0</v>
      </c>
      <c r="M30" s="162">
        <f>SUMIFS(Vendas!$K$8:$K$2008,Vendas!$H$8:$H$2008,$B30,Vendas!$E$8:$E$2008,"&gt;=01/06/"&amp;$G$3,Vendas!$E$8:$E$2008,"&lt;=30/06/"&amp;$G$3)+SUMIFS(Vendas!$P$8:$P$2008,Vendas!$M$8:$M$2008,$B30,Vendas!$E$8:$E$2008,"&gt;=01/06/"&amp;$G$3,Vendas!$E$8:$E$2008,"&lt;=30/06/"&amp;$G$3)+SUMIFS(Vendas!$U$8:$U$2008,Vendas!$R$8:$R$2008,$B30,Vendas!$E$8:$E$2008,"&gt;=01/06/"&amp;$G$3,Vendas!$E$8:$E$2008,"&lt;=30/06/"&amp;$G$3)+SUMIFS(Vendas!$Z$8:$Z$2008,Vendas!$W$8:$W$2008,$B30,Vendas!$E$8:$E$2008,"&gt;=01/06/"&amp;$G$3,Vendas!$E$8:$E$2008,"&lt;=30/06/"&amp;$G$3)+SUMIFS(Vendas!$AE$8:$AE$2008,Vendas!$AB$8:$AB$2008,$B30,Vendas!$E$8:$E$2008,"&gt;=01/06/"&amp;$G$3,Vendas!$E$8:$E$2008,"&lt;=30/06/"&amp;$G$3)+SUMIFS(Vendas!$AJ$8:$AJ$2008,Vendas!$AG$8:$AG$2008,$B30,Vendas!$E$8:$E$2008,"&gt;=01/06/"&amp;$G$3,Vendas!$E$8:$E$2008,"&lt;=30/06/"&amp;$G$3)+SUMIFS(Vendas!$AO$8:$AO$2008,Vendas!$AL$8:$AL$2008,$B30,Vendas!$E$8:$E$2008,"&gt;=01/06/"&amp;$G$3,Vendas!$E$8:$E$2008,"&lt;=30/06/"&amp;$G$3)+SUMIFS(Vendas!$AT$8:$AT$2008,Vendas!$AQ$8:$AQ$2008,$B30,Vendas!$E$8:$E$2008,"&gt;=01/06/"&amp;$G$3,Vendas!$E$8:$E$2008,"&lt;=30/06/"&amp;$G$3)</f>
        <v>0</v>
      </c>
      <c r="N30" s="162">
        <f>SUMIFS(Vendas!$K$8:$K$2008,Vendas!$H$8:$H$2008,$B30,Vendas!$E$8:$E$2008,"&gt;=01/06/"&amp;$G$3,Vendas!$E$8:$E$2008,"&lt;=30/06/"&amp;$G$3,Vendas!$C$8:$C$2008,"Entregue")+SUMIFS(Vendas!$P$8:$P$2008,Vendas!$M$8:$M$2008,$B30,Vendas!$E$8:$E$2008,"&gt;=01/06/"&amp;$G$3,Vendas!$E$8:$E$2008,"&lt;=30/06/"&amp;$G$3,Vendas!$C$8:$C$2008,"Entregue")+SUMIFS(Vendas!$U$8:$U$2008,Vendas!$R$8:$R$2008,$B30,Vendas!$E$8:$E$2008,"&gt;=01/06/"&amp;$G$3,Vendas!$E$8:$E$2008,"&lt;=30/06/"&amp;$G$3,Vendas!$C$8:$C$2008,"Entregue")+SUMIFS(Vendas!$Z$8:$Z$2008,Vendas!$W$8:$W$2008,$B30,Vendas!$E$8:$E$2008,"&gt;=01/06/"&amp;$G$3,Vendas!$E$8:$E$2008,"&lt;=30/06/"&amp;$G$3,Vendas!$C$8:$C$2008,"Entregue")+SUMIFS(Vendas!$AE$8:$AE$2008,Vendas!$AB$8:$AB$2008,$B30,Vendas!$E$8:$E$2008,"&gt;=01/06/"&amp;$G$3,Vendas!$E$8:$E$2008,"&lt;=30/06/"&amp;$G$3,Vendas!$C$8:$C$2008,"Entregue")+SUMIFS(Vendas!$AJ$8:$AJ$2008,Vendas!$AG$8:$AG$2008,$B30,Vendas!$E$8:$E$2008,"&gt;=01/06/"&amp;$G$3,Vendas!$E$8:$E$2008,"&lt;=30/06/"&amp;$G$3,Vendas!$C$8:$C$2008,"Entregue")+SUMIFS(Vendas!$AO$8:$AO$2008,Vendas!$AL$8:$AL$2008,$B30,Vendas!$E$8:$E$2008,"&gt;=01/06/"&amp;$G$3,Vendas!$E$8:$E$2008,"&lt;=30/06/"&amp;$G$3,Vendas!$C$8:$C$2008,"Entregue")+SUMIFS(Vendas!$AT$8:$AT$2008,Vendas!$AQ$8:$AQ$2008,$B30,Vendas!$E$8:$E$2008,"&gt;=01/06/"&amp;$G$3,Vendas!$E$8:$E$2008,"&lt;=30/06/"&amp;$G$3,Vendas!$C$8:$C$2008,"Entregue")</f>
        <v>0</v>
      </c>
      <c r="O30" s="162">
        <f>SUMIFS(Vendas!$K$8:$K$2008,Vendas!$H$8:$H$2008,$B30,Vendas!$E$8:$E$2008,"&gt;=01/07/"&amp;$G$3,Vendas!$E$8:$E$2008,"&lt;=31/07/"&amp;$G$3)+SUMIFS(Vendas!$P$8:$P$2008,Vendas!$M$8:$M$2008,$B30,Vendas!$E$8:$E$2008,"&gt;=01/07/"&amp;$G$3,Vendas!$E$8:$E$2008,"&lt;=31/07/"&amp;$G$3)+SUMIFS(Vendas!$U$8:$U$2008,Vendas!$R$8:$R$2008,$B30,Vendas!$E$8:$E$2008,"&gt;=01/07/"&amp;$G$3,Vendas!$E$8:$E$2008,"&lt;=31/07/"&amp;$G$3)+SUMIFS(Vendas!$Z$8:$Z$2008,Vendas!$W$8:$W$2008,$B30,Vendas!$E$8:$E$2008,"&gt;=01/07/"&amp;$G$3,Vendas!$E$8:$E$2008,"&lt;=31/07/"&amp;$G$3)+SUMIFS(Vendas!$AE$8:$AE$2008,Vendas!$AB$8:$AB$2008,$B30,Vendas!$E$8:$E$2008,"&gt;=01/07/"&amp;$G$3,Vendas!$E$8:$E$2008,"&lt;=31/07/"&amp;$G$3)+SUMIFS(Vendas!$AJ$8:$AJ$2008,Vendas!$AG$8:$AG$2008,$B30,Vendas!$E$8:$E$2008,"&gt;=01/07/"&amp;$G$3,Vendas!$E$8:$E$2008,"&lt;=31/07/"&amp;$G$3)+SUMIFS(Vendas!$AO$8:$AO$2008,Vendas!$AL$8:$AL$2008,$B30,Vendas!$E$8:$E$2008,"&gt;=01/07/"&amp;$G$3,Vendas!$E$8:$E$2008,"&lt;=31/07/"&amp;$G$3)+SUMIFS(Vendas!$AT$8:$AT$2008,Vendas!$AQ$8:$AQ$2008,$B30,Vendas!$E$8:$E$2008,"&gt;=01/07/"&amp;$G$3,Vendas!$E$8:$E$2008,"&lt;=31/07/"&amp;$G$3)</f>
        <v>0</v>
      </c>
      <c r="P30" s="162">
        <f>SUMIFS(Vendas!$K$8:$K$2008,Vendas!$H$8:$H$2008,$B30,Vendas!$E$8:$E$2008,"&gt;=01/07/"&amp;$G$3,Vendas!$E$8:$E$2008,"&lt;=31/07/"&amp;$G$3,Vendas!$C$8:$C$2008,"Entregue")+SUMIFS(Vendas!$P$8:$P$2008,Vendas!$M$8:$M$2008,$B30,Vendas!$E$8:$E$2008,"&gt;=01/07/"&amp;$G$3,Vendas!$E$8:$E$2008,"&lt;=31/07/"&amp;$G$3,Vendas!$C$8:$C$2008,"Entregue")+SUMIFS(Vendas!$U$8:$U$2008,Vendas!$R$8:$R$2008,$B30,Vendas!$E$8:$E$2008,"&gt;=01/07/"&amp;$G$3,Vendas!$E$8:$E$2008,"&lt;=31/07/"&amp;$G$3,Vendas!$C$8:$C$2008,"Entregue")+SUMIFS(Vendas!$Z$8:$Z$2008,Vendas!$W$8:$W$2008,$B30,Vendas!$E$8:$E$2008,"&gt;=01/07/"&amp;$G$3,Vendas!$E$8:$E$2008,"&lt;=31/07/"&amp;$G$3,Vendas!$C$8:$C$2008,"Entregue")+SUMIFS(Vendas!$AE$8:$AE$2008,Vendas!$AB$8:$AB$2008,$B30,Vendas!$E$8:$E$2008,"&gt;=01/07/"&amp;$G$3,Vendas!$E$8:$E$2008,"&lt;=31/07/"&amp;$G$3,Vendas!$C$8:$C$2008,"Entregue")+SUMIFS(Vendas!$AJ$8:$AJ$2008,Vendas!$AG$8:$AG$2008,$B30,Vendas!$E$8:$E$2008,"&gt;=01/07/"&amp;$G$3,Vendas!$E$8:$E$2008,"&lt;=31/07/"&amp;$G$3,Vendas!$C$8:$C$2008,"Entregue")+SUMIFS(Vendas!$AO$8:$AO$2008,Vendas!$AL$8:$AL$2008,$B30,Vendas!$E$8:$E$2008,"&gt;=01/07/"&amp;$G$3,Vendas!$E$8:$E$2008,"&lt;=31/07/"&amp;$G$3,Vendas!$C$8:$C$2008,"Entregue")+SUMIFS(Vendas!$AT$8:$AT$2008,Vendas!$AQ$8:$AQ$2008,$B30,Vendas!$E$8:$E$2008,"&gt;=01/07/"&amp;$G$3,Vendas!$E$8:$E$2008,"&lt;=31/07/"&amp;$G$3,Vendas!$C$8:$C$2008,"Entregue")</f>
        <v>0</v>
      </c>
      <c r="Q30" s="162">
        <f>SUMIFS(Vendas!$K$8:$K$2008,Vendas!$H$8:$H$2008,$B30,Vendas!$E$8:$E$2008,"&gt;=01/08/"&amp;$G$3,Vendas!$E$8:$E$2008,"&lt;=31/08/"&amp;$G$3)+SUMIFS(Vendas!$P$8:$P$2008,Vendas!$M$8:$M$2008,$B30,Vendas!$E$8:$E$2008,"&gt;=01/08/"&amp;$G$3,Vendas!$E$8:$E$2008,"&lt;=31/08/"&amp;$G$3)+SUMIFS(Vendas!$U$8:$U$2008,Vendas!$R$8:$R$2008,$B30,Vendas!$E$8:$E$2008,"&gt;=01/08/"&amp;$G$3,Vendas!$E$8:$E$2008,"&lt;=31/08/"&amp;$G$3)+SUMIFS(Vendas!$Z$8:$Z$2008,Vendas!$W$8:$W$2008,$B30,Vendas!$E$8:$E$2008,"&gt;=01/08/"&amp;$G$3,Vendas!$E$8:$E$2008,"&lt;=31/08/"&amp;$G$3)+SUMIFS(Vendas!$AE$8:$AE$2008,Vendas!$AB$8:$AB$2008,$B30,Vendas!$E$8:$E$2008,"&gt;=01/08/"&amp;$G$3,Vendas!$E$8:$E$2008,"&lt;=31/08/"&amp;$G$3)+SUMIFS(Vendas!$AJ$8:$AJ$2008,Vendas!$AG$8:$AG$2008,$B30,Vendas!$E$8:$E$2008,"&gt;=01/08/"&amp;$G$3,Vendas!$E$8:$E$2008,"&lt;=31/08/"&amp;$G$3)+SUMIFS(Vendas!$AO$8:$AO$2008,Vendas!$AL$8:$AL$2008,$B30,Vendas!$E$8:$E$2008,"&gt;=01/08/"&amp;$G$3,Vendas!$E$8:$E$2008,"&lt;=31/08/"&amp;$G$3)+SUMIFS(Vendas!$AT$8:$AT$2008,Vendas!$AQ$8:$AQ$2008,$B30,Vendas!$E$8:$E$2008,"&gt;=01/08/"&amp;$G$3,Vendas!$E$8:$E$2008,"&lt;=31/08/"&amp;$G$3)</f>
        <v>0</v>
      </c>
      <c r="R30" s="162">
        <f>SUMIFS(Vendas!$K$8:$K$2008,Vendas!$H$8:$H$2008,$B30,Vendas!$E$8:$E$2008,"&gt;=01/08/"&amp;$G$3,Vendas!$E$8:$E$2008,"&lt;=31/08/"&amp;$G$3,Vendas!$C$8:$C$2008,"Entregue")+SUMIFS(Vendas!$P$8:$P$2008,Vendas!$M$8:$M$2008,$B30,Vendas!$E$8:$E$2008,"&gt;=01/08/"&amp;$G$3,Vendas!$E$8:$E$2008,"&lt;=31/08/"&amp;$G$3,Vendas!$C$8:$C$2008,"Entregue")+SUMIFS(Vendas!$U$8:$U$2008,Vendas!$R$8:$R$2008,$B30,Vendas!$E$8:$E$2008,"&gt;=01/08/"&amp;$G$3,Vendas!$E$8:$E$2008,"&lt;=31/08/"&amp;$G$3,Vendas!$C$8:$C$2008,"Entregue")+SUMIFS(Vendas!$Z$8:$Z$2008,Vendas!$W$8:$W$2008,$B30,Vendas!$E$8:$E$2008,"&gt;=01/08/"&amp;$G$3,Vendas!$E$8:$E$2008,"&lt;=31/08/"&amp;$G$3,Vendas!$C$8:$C$2008,"Entregue")+SUMIFS(Vendas!$AE$8:$AE$2008,Vendas!$AB$8:$AB$2008,$B30,Vendas!$E$8:$E$2008,"&gt;=01/08/"&amp;$G$3,Vendas!$E$8:$E$2008,"&lt;=31/08/"&amp;$G$3,Vendas!$C$8:$C$2008,"Entregue")+SUMIFS(Vendas!$AJ$8:$AJ$2008,Vendas!$AG$8:$AG$2008,$B30,Vendas!$E$8:$E$2008,"&gt;=01/08/"&amp;$G$3,Vendas!$E$8:$E$2008,"&lt;=31/08/"&amp;$G$3,Vendas!$C$8:$C$2008,"Entregue")+SUMIFS(Vendas!$AO$8:$AO$2008,Vendas!$AL$8:$AL$2008,$B30,Vendas!$E$8:$E$2008,"&gt;=01/08/"&amp;$G$3,Vendas!$E$8:$E$2008,"&lt;=31/08/"&amp;$G$3,Vendas!$C$8:$C$2008,"Entregue")+SUMIFS(Vendas!$AT$8:$AT$2008,Vendas!$AQ$8:$AQ$2008,$B30,Vendas!$E$8:$E$2008,"&gt;=01/08/"&amp;$G$3,Vendas!$E$8:$E$2008,"&lt;=31/08/"&amp;$G$3,Vendas!$C$8:$C$2008,"Entregue")</f>
        <v>0</v>
      </c>
      <c r="S30" s="162">
        <f>SUMIFS(Vendas!$K$8:$K$2008,Vendas!$H$8:$H$2008,$B30,Vendas!$E$8:$E$2008,"&gt;=01/09/"&amp;$G$3,Vendas!$E$8:$E$2008,"&lt;=30/09/"&amp;$G$3)+SUMIFS(Vendas!$P$8:$P$2008,Vendas!$M$8:$M$2008,$B30,Vendas!$E$8:$E$2008,"&gt;=01/09/"&amp;$G$3,Vendas!$E$8:$E$2008,"&lt;=30/09/"&amp;$G$3)+SUMIFS(Vendas!$U$8:$U$2008,Vendas!$R$8:$R$2008,$B30,Vendas!$E$8:$E$2008,"&gt;=01/09/"&amp;$G$3,Vendas!$E$8:$E$2008,"&lt;=30/09/"&amp;$G$3)+SUMIFS(Vendas!$Z$8:$Z$2008,Vendas!$W$8:$W$2008,$B30,Vendas!$E$8:$E$2008,"&gt;=01/09/"&amp;$G$3,Vendas!$E$8:$E$2008,"&lt;=30/09/"&amp;$G$3)+SUMIFS(Vendas!$AE$8:$AE$2008,Vendas!$AB$8:$AB$2008,$B30,Vendas!$E$8:$E$2008,"&gt;=01/09/"&amp;$G$3,Vendas!$E$8:$E$2008,"&lt;=30/09/"&amp;$G$3)+SUMIFS(Vendas!$AJ$8:$AJ$2008,Vendas!$AG$8:$AG$2008,$B30,Vendas!$E$8:$E$2008,"&gt;=01/09/"&amp;$G$3,Vendas!$E$8:$E$2008,"&lt;=30/09/"&amp;$G$3)+SUMIFS(Vendas!$AO$8:$AO$2008,Vendas!$AL$8:$AL$2008,$B30,Vendas!$E$8:$E$2008,"&gt;=01/09/"&amp;$G$3,Vendas!$E$8:$E$2008,"&lt;=30/09/"&amp;$G$3)+SUMIFS(Vendas!$AT$8:$AT$2008,Vendas!$AQ$8:$AQ$2008,$B30,Vendas!$E$8:$E$2008,"&gt;=01/09/"&amp;$G$3,Vendas!$E$8:$E$2008,"&lt;=30/09/"&amp;$G$3)</f>
        <v>0</v>
      </c>
      <c r="T30" s="162">
        <f>SUMIFS(Vendas!$K$8:$K$2008,Vendas!$H$8:$H$2008,$B30,Vendas!$E$8:$E$2008,"&gt;=01/09/"&amp;$G$3,Vendas!$E$8:$E$2008,"&lt;=30/09/"&amp;$G$3,Vendas!$C$8:$C$2008,"Entregue")+SUMIFS(Vendas!$P$8:$P$2008,Vendas!$M$8:$M$2008,$B30,Vendas!$E$8:$E$2008,"&gt;=01/09/"&amp;$G$3,Vendas!$E$8:$E$2008,"&lt;=30/09/"&amp;$G$3,Vendas!$C$8:$C$2008,"Entregue")+SUMIFS(Vendas!$U$8:$U$2008,Vendas!$R$8:$R$2008,$B30,Vendas!$E$8:$E$2008,"&gt;=01/09/"&amp;$G$3,Vendas!$E$8:$E$2008,"&lt;=30/09/"&amp;$G$3,Vendas!$C$8:$C$2008,"Entregue")+SUMIFS(Vendas!$Z$8:$Z$2008,Vendas!$W$8:$W$2008,$B30,Vendas!$E$8:$E$2008,"&gt;=01/09/"&amp;$G$3,Vendas!$E$8:$E$2008,"&lt;=30/09/"&amp;$G$3,Vendas!$C$8:$C$2008,"Entregue")+SUMIFS(Vendas!$AE$8:$AE$2008,Vendas!$AB$8:$AB$2008,$B30,Vendas!$E$8:$E$2008,"&gt;=01/09/"&amp;$G$3,Vendas!$E$8:$E$2008,"&lt;=30/09/"&amp;$G$3,Vendas!$C$8:$C$2008,"Entregue")+SUMIFS(Vendas!$AJ$8:$AJ$2008,Vendas!$AG$8:$AG$2008,$B30,Vendas!$E$8:$E$2008,"&gt;=01/09/"&amp;$G$3,Vendas!$E$8:$E$2008,"&lt;=30/09/"&amp;$G$3,Vendas!$C$8:$C$2008,"Entregue")+SUMIFS(Vendas!$AO$8:$AO$2008,Vendas!$AL$8:$AL$2008,$B30,Vendas!$E$8:$E$2008,"&gt;=01/09/"&amp;$G$3,Vendas!$E$8:$E$2008,"&lt;=30/09/"&amp;$G$3,Vendas!$C$8:$C$2008,"Entregue")+SUMIFS(Vendas!$AT$8:$AT$2008,Vendas!$AQ$8:$AQ$2008,$B30,Vendas!$E$8:$E$2008,"&gt;=01/09/"&amp;$G$3,Vendas!$E$8:$E$2008,"&lt;=30/09/"&amp;$G$3,Vendas!$C$8:$C$2008,"Entregue")</f>
        <v>0</v>
      </c>
      <c r="U30" s="162">
        <f>SUMIFS(Vendas!$K$8:$K$2008,Vendas!$H$8:$H$2008,$B30,Vendas!$E$8:$E$2008,"&gt;=01/10/"&amp;$G$3,Vendas!$E$8:$E$2008,"&lt;=31/10/"&amp;$G$3)+SUMIFS(Vendas!$P$8:$P$2008,Vendas!$M$8:$M$2008,$B30,Vendas!$E$8:$E$2008,"&gt;=01/10/"&amp;$G$3,Vendas!$E$8:$E$2008,"&lt;=31/10/"&amp;$G$3)+SUMIFS(Vendas!$U$8:$U$2008,Vendas!$R$8:$R$2008,$B30,Vendas!$E$8:$E$2008,"&gt;=01/10/"&amp;$G$3,Vendas!$E$8:$E$2008,"&lt;=31/10/"&amp;$G$3)+SUMIFS(Vendas!$Z$8:$Z$2008,Vendas!$W$8:$W$2008,$B30,Vendas!$E$8:$E$2008,"&gt;=01/10/"&amp;$G$3,Vendas!$E$8:$E$2008,"&lt;=31/10/"&amp;$G$3)+SUMIFS(Vendas!$AE$8:$AE$2008,Vendas!$AB$8:$AB$2008,$B30,Vendas!$E$8:$E$2008,"&gt;=01/10/"&amp;$G$3,Vendas!$E$8:$E$2008,"&lt;=31/10/"&amp;$G$3)+SUMIFS(Vendas!$AJ$8:$AJ$2008,Vendas!$AG$8:$AG$2008,$B30,Vendas!$E$8:$E$2008,"&gt;=01/10/"&amp;$G$3,Vendas!$E$8:$E$2008,"&lt;=31/10/"&amp;$G$3)+SUMIFS(Vendas!$AO$8:$AO$2008,Vendas!$AL$8:$AL$2008,$B30,Vendas!$E$8:$E$2008,"&gt;=01/10/"&amp;$G$3,Vendas!$E$8:$E$2008,"&lt;=31/10/"&amp;$G$3)+SUMIFS(Vendas!$AT$8:$AT$2008,Vendas!$AQ$8:$AQ$2008,$B30,Vendas!$E$8:$E$2008,"&gt;=01/10/"&amp;$G$3,Vendas!$E$8:$E$2008,"&lt;=31/10/"&amp;$G$3)</f>
        <v>0</v>
      </c>
      <c r="V30" s="162">
        <f>SUMIFS(Vendas!$K$8:$K$2008,Vendas!$H$8:$H$2008,$B30,Vendas!$E$8:$E$2008,"&gt;=01/10/"&amp;$G$3,Vendas!$E$8:$E$2008,"&lt;=31/10/"&amp;$G$3,Vendas!$C$8:$C$2008,"Entregue")+SUMIFS(Vendas!$P$8:$P$2008,Vendas!$M$8:$M$2008,$B30,Vendas!$E$8:$E$2008,"&gt;=01/10/"&amp;$G$3,Vendas!$E$8:$E$2008,"&lt;=31/10/"&amp;$G$3,Vendas!$C$8:$C$2008,"Entregue")+SUMIFS(Vendas!$U$8:$U$2008,Vendas!$R$8:$R$2008,$B30,Vendas!$E$8:$E$2008,"&gt;=01/10/"&amp;$G$3,Vendas!$E$8:$E$2008,"&lt;=31/10/"&amp;$G$3,Vendas!$C$8:$C$2008,"Entregue")+SUMIFS(Vendas!$Z$8:$Z$2008,Vendas!$W$8:$W$2008,$B30,Vendas!$E$8:$E$2008,"&gt;=01/10/"&amp;$G$3,Vendas!$E$8:$E$2008,"&lt;=31/10/"&amp;$G$3,Vendas!$C$8:$C$2008,"Entregue")+SUMIFS(Vendas!$AE$8:$AE$2008,Vendas!$AB$8:$AB$2008,$B30,Vendas!$E$8:$E$2008,"&gt;=01/10/"&amp;$G$3,Vendas!$E$8:$E$2008,"&lt;=31/10/"&amp;$G$3,Vendas!$C$8:$C$2008,"Entregue")+SUMIFS(Vendas!$AJ$8:$AJ$2008,Vendas!$AG$8:$AG$2008,$B30,Vendas!$E$8:$E$2008,"&gt;=01/10/"&amp;$G$3,Vendas!$E$8:$E$2008,"&lt;=31/10/"&amp;$G$3,Vendas!$C$8:$C$2008,"Entregue")+SUMIFS(Vendas!$AO$8:$AO$2008,Vendas!$AL$8:$AL$2008,$B30,Vendas!$E$8:$E$2008,"&gt;=01/10/"&amp;$G$3,Vendas!$E$8:$E$2008,"&lt;=31/10/"&amp;$G$3,Vendas!$C$8:$C$2008,"Entregue")+SUMIFS(Vendas!$AT$8:$AT$2008,Vendas!$AQ$8:$AQ$2008,$B30,Vendas!$E$8:$E$2008,"&gt;=01/10/"&amp;$G$3,Vendas!$E$8:$E$2008,"&lt;=31/10/"&amp;$G$3,Vendas!$C$8:$C$2008,"Entregue")</f>
        <v>0</v>
      </c>
      <c r="W30" s="162">
        <f>SUMIFS(Vendas!$K$8:$K$2008,Vendas!$H$8:$H$2008,$B30,Vendas!$E$8:$E$2008,"&gt;=01/11/"&amp;$G$3,Vendas!$E$8:$E$2008,"&lt;=30/11/"&amp;$G$3)+SUMIFS(Vendas!$P$8:$P$2008,Vendas!$M$8:$M$2008,$B30,Vendas!$E$8:$E$2008,"&gt;=01/11/"&amp;$G$3,Vendas!$E$8:$E$2008,"&lt;=30/11/"&amp;$G$3)+SUMIFS(Vendas!$U$8:$U$2008,Vendas!$R$8:$R$2008,$B30,Vendas!$E$8:$E$2008,"&gt;=01/11/"&amp;$G$3,Vendas!$E$8:$E$2008,"&lt;=30/11/"&amp;$G$3)+SUMIFS(Vendas!$Z$8:$Z$2008,Vendas!$W$8:$W$2008,$B30,Vendas!$E$8:$E$2008,"&gt;=01/11/"&amp;$G$3,Vendas!$E$8:$E$2008,"&lt;=30/11/"&amp;$G$3)+SUMIFS(Vendas!$AE$8:$AE$2008,Vendas!$AB$8:$AB$2008,$B30,Vendas!$E$8:$E$2008,"&gt;=01/11/"&amp;$G$3,Vendas!$E$8:$E$2008,"&lt;=30/11/"&amp;$G$3)+SUMIFS(Vendas!$AJ$8:$AJ$2008,Vendas!$AG$8:$AG$2008,$B30,Vendas!$E$8:$E$2008,"&gt;=01/11/"&amp;$G$3,Vendas!$E$8:$E$2008,"&lt;=30/11/"&amp;$G$3)+SUMIFS(Vendas!$AO$8:$AO$2008,Vendas!$AL$8:$AL$2008,$B30,Vendas!$E$8:$E$2008,"&gt;=01/11/"&amp;$G$3,Vendas!$E$8:$E$2008,"&lt;=30/11/"&amp;$G$3)+SUMIFS(Vendas!$AT$8:$AT$2008,Vendas!$AQ$8:$AQ$2008,$B30,Vendas!$E$8:$E$2008,"&gt;=01/11/"&amp;$G$3,Vendas!$E$8:$E$2008,"&lt;=30/11/"&amp;$G$3)</f>
        <v>0</v>
      </c>
      <c r="X30" s="162">
        <f>SUMIFS(Vendas!$K$8:$K$2008,Vendas!$H$8:$H$2008,$B30,Vendas!$E$8:$E$2008,"&gt;=01/11/"&amp;$G$3,Vendas!$E$8:$E$2008,"&lt;=30/11/"&amp;$G$3,Vendas!$C$8:$C$2008,"Entregue")+SUMIFS(Vendas!$P$8:$P$2008,Vendas!$M$8:$M$2008,$B30,Vendas!$E$8:$E$2008,"&gt;=01/11/"&amp;$G$3,Vendas!$E$8:$E$2008,"&lt;=30/11/"&amp;$G$3,Vendas!$C$8:$C$2008,"Entregue")+SUMIFS(Vendas!$U$8:$U$2008,Vendas!$R$8:$R$2008,$B30,Vendas!$E$8:$E$2008,"&gt;=01/11/"&amp;$G$3,Vendas!$E$8:$E$2008,"&lt;=30/11/"&amp;$G$3,Vendas!$C$8:$C$2008,"Entregue")+SUMIFS(Vendas!$Z$8:$Z$2008,Vendas!$W$8:$W$2008,$B30,Vendas!$E$8:$E$2008,"&gt;=01/11/"&amp;$G$3,Vendas!$E$8:$E$2008,"&lt;=30/11/"&amp;$G$3,Vendas!$C$8:$C$2008,"Entregue")+SUMIFS(Vendas!$AE$8:$AE$2008,Vendas!$AB$8:$AB$2008,$B30,Vendas!$E$8:$E$2008,"&gt;=01/11/"&amp;$G$3,Vendas!$E$8:$E$2008,"&lt;=30/11/"&amp;$G$3,Vendas!$C$8:$C$2008,"Entregue")+SUMIFS(Vendas!$AJ$8:$AJ$2008,Vendas!$AG$8:$AG$2008,$B30,Vendas!$E$8:$E$2008,"&gt;=01/11/"&amp;$G$3,Vendas!$E$8:$E$2008,"&lt;=30/11/"&amp;$G$3,Vendas!$C$8:$C$2008,"Entregue")+SUMIFS(Vendas!$AO$8:$AO$2008,Vendas!$AL$8:$AL$2008,$B30,Vendas!$E$8:$E$2008,"&gt;=01/11/"&amp;$G$3,Vendas!$E$8:$E$2008,"&lt;=30/11/"&amp;$G$3,Vendas!$C$8:$C$2008,"Entregue")+SUMIFS(Vendas!$AT$8:$AT$2008,Vendas!$AQ$8:$AQ$2008,$B30,Vendas!$E$8:$E$2008,"&gt;=01/11/"&amp;$G$3,Vendas!$E$8:$E$2008,"&lt;=30/11/"&amp;$G$3,Vendas!$C$8:$C$2008,"Entregue")</f>
        <v>0</v>
      </c>
      <c r="Y30" s="162">
        <f>SUMIFS(Vendas!$K$8:$K$2008,Vendas!$H$8:$H$2008,$B30,Vendas!$E$8:$E$2008,"&gt;=01/12/"&amp;$G$3,Vendas!$E$8:$E$2008,"&lt;=31/12/"&amp;$G$3)+SUMIFS(Vendas!$P$8:$P$2008,Vendas!$M$8:$M$2008,$B30,Vendas!$E$8:$E$2008,"&gt;=01/12/"&amp;$G$3,Vendas!$E$8:$E$2008,"&lt;=31/12/"&amp;$G$3)+SUMIFS(Vendas!$U$8:$U$2008,Vendas!$R$8:$R$2008,$B30,Vendas!$E$8:$E$2008,"&gt;=01/12/"&amp;$G$3,Vendas!$E$8:$E$2008,"&lt;=31/12/"&amp;$G$3)+SUMIFS(Vendas!$Z$8:$Z$2008,Vendas!$W$8:$W$2008,$B30,Vendas!$E$8:$E$2008,"&gt;=01/12/"&amp;$G$3,Vendas!$E$8:$E$2008,"&lt;=31/12/"&amp;$G$3)+SUMIFS(Vendas!$AE$8:$AE$2008,Vendas!$AB$8:$AB$2008,$B30,Vendas!$E$8:$E$2008,"&gt;=01/12/"&amp;$G$3,Vendas!$E$8:$E$2008,"&lt;=31/12/"&amp;$G$3)+SUMIFS(Vendas!$AJ$8:$AJ$2008,Vendas!$AG$8:$AG$2008,$B30,Vendas!$E$8:$E$2008,"&gt;=01/12/"&amp;$G$3,Vendas!$E$8:$E$2008,"&lt;=31/12/"&amp;$G$3)+SUMIFS(Vendas!$AO$8:$AO$2008,Vendas!$AL$8:$AL$2008,$B30,Vendas!$E$8:$E$2008,"&gt;=01/12/"&amp;$G$3,Vendas!$E$8:$E$2008,"&lt;=31/12/"&amp;$G$3)+SUMIFS(Vendas!$AT$8:$AT$2008,Vendas!$AQ$8:$AQ$2008,$B30,Vendas!$E$8:$E$2008,"&gt;=01/12/"&amp;$G$3,Vendas!$E$8:$E$2008,"&lt;=31/12/"&amp;$G$3)</f>
        <v>0</v>
      </c>
      <c r="Z30" s="163">
        <f>SUMIFS(Vendas!$K$8:$K$2008,Vendas!$H$8:$H$2008,$B30,Vendas!$E$8:$E$2008,"&gt;=01/12/"&amp;$G$3,Vendas!$E$8:$E$2008,"&lt;=31/12/"&amp;$G$3,Vendas!$C$8:$C$2008,"Entregue")+SUMIFS(Vendas!$P$8:$P$2008,Vendas!$M$8:$M$2008,$B30,Vendas!$E$8:$E$2008,"&gt;=01/12/"&amp;$G$3,Vendas!$E$8:$E$2008,"&lt;=31/12/"&amp;$G$3,Vendas!$C$8:$C$2008,"Entregue")+SUMIFS(Vendas!$U$8:$U$2008,Vendas!$R$8:$R$2008,$B30,Vendas!$E$8:$E$2008,"&gt;=01/12/"&amp;$G$3,Vendas!$E$8:$E$2008,"&lt;=31/12/"&amp;$G$3,Vendas!$C$8:$C$2008,"Entregue")+SUMIFS(Vendas!$Z$8:$Z$2008,Vendas!$W$8:$W$2008,$B30,Vendas!$E$8:$E$2008,"&gt;=01/12/"&amp;$G$3,Vendas!$E$8:$E$2008,"&lt;=31/12/"&amp;$G$3,Vendas!$C$8:$C$2008,"Entregue")+SUMIFS(Vendas!$AE$8:$AE$2008,Vendas!$AB$8:$AB$2008,$B30,Vendas!$E$8:$E$2008,"&gt;=01/12/"&amp;$G$3,Vendas!$E$8:$E$2008,"&lt;=31/12/"&amp;$G$3,Vendas!$C$8:$C$2008,"Entregue")+SUMIFS(Vendas!$AJ$8:$AJ$2008,Vendas!$AG$8:$AG$2008,$B30,Vendas!$E$8:$E$2008,"&gt;=01/12/"&amp;$G$3,Vendas!$E$8:$E$2008,"&lt;=31/12/"&amp;$G$3,Vendas!$C$8:$C$2008,"Entregue")+SUMIFS(Vendas!$AO$8:$AO$2008,Vendas!$AL$8:$AL$2008,$B30,Vendas!$E$8:$E$2008,"&gt;=01/12/"&amp;$G$3,Vendas!$E$8:$E$2008,"&lt;=31/12/"&amp;$G$3,Vendas!$C$8:$C$2008,"Entregue")+SUMIFS(Vendas!$AT$8:$AT$2008,Vendas!$AQ$8:$AQ$2008,$B30,Vendas!$E$8:$E$2008,"&gt;=01/12/"&amp;$G$3,Vendas!$E$8:$E$2008,"&lt;=31/12/"&amp;$G$3,Vendas!$C$8:$C$2008,"Entregue")</f>
        <v>0</v>
      </c>
      <c r="AA30" s="132">
        <f t="shared" si="0"/>
        <v>0</v>
      </c>
      <c r="AB30" s="132">
        <f t="shared" si="0"/>
        <v>0</v>
      </c>
      <c r="AC30" s="67"/>
    </row>
    <row r="31" spans="2:29" ht="14.4" x14ac:dyDescent="0.3">
      <c r="B31" s="262" t="str">
        <f>IF(Cadastros!G39="","",Cadastros!G39)</f>
        <v>186 - Rolo Postural Lombar</v>
      </c>
      <c r="C31" s="158">
        <f>SUMIFS(Vendas!$K$8:$K$2008,Vendas!$H$8:$H$2008,$B31,Vendas!$E$8:$E$2008,"&gt;=01/01/"&amp;$G$3,Vendas!$E$8:$E$2008,"&lt;=31/01/"&amp;$G$3)+SUMIFS(Vendas!$P$8:$P$2008,Vendas!$M$8:$M$2008,$B31,Vendas!$E$8:$E$2008,"&gt;=01/01/"&amp;$G$3,Vendas!$E$8:$E$2008,"&lt;=31/01/"&amp;$G$3)+SUMIFS(Vendas!$U$8:$U$2008,Vendas!$R$8:$R$2008,$B31,Vendas!$E$8:$E$2008,"&gt;=01/01/"&amp;$G$3,Vendas!$E$8:$E$2008,"&lt;=31/01/"&amp;$G$3)+SUMIFS(Vendas!$Z$8:$Z$2008,Vendas!$W$8:$W$2008,$B31,Vendas!$E$8:$E$2008,"&gt;=01/01/"&amp;$G$3,Vendas!$E$8:$E$2008,"&lt;=31/01/"&amp;$G$3)+SUMIFS(Vendas!$AE$8:$AE$2008,Vendas!$AB$8:$AB$2008,$B31,Vendas!$E$8:$E$2008,"&gt;=01/01/"&amp;$G$3,Vendas!$E$8:$E$2008,"&lt;=31/01/"&amp;$G$3)+SUMIFS(Vendas!$AJ$8:$AJ$2008,Vendas!$AG$8:$AG$2008,$B31,Vendas!$E$8:$E$2008,"&gt;=01/01/"&amp;$G$3,Vendas!$E$8:$E$2008,"&lt;=31/01/"&amp;$G$3)+SUMIFS(Vendas!$AO$8:$AO$2008,Vendas!$AL$8:$AL$2008,$B31,Vendas!$E$8:$E$2008,"&gt;=01/01/"&amp;$G$3,Vendas!$E$8:$E$2008,"&lt;=31/01/"&amp;$G$3)+SUMIFS(Vendas!$AT$8:$AT$2008,Vendas!$AQ$8:$AQ$2008,$B31,Vendas!$E$8:$E$2008,"&gt;=01/01/"&amp;$G$3,Vendas!$E$8:$E$2008,"&lt;=31/01/"&amp;$G$3)</f>
        <v>0</v>
      </c>
      <c r="D31" s="159">
        <f>SUMIFS(Vendas!$K$8:$K$2008,Vendas!$H$8:$H$2008,$B31,Vendas!$E$8:$E$2008,"&gt;=01/01/"&amp;$G$3,Vendas!$E$8:$E$2008,"&lt;=31/01/"&amp;$G$3,Vendas!$C$8:$C$2008,"Entregue")+SUMIFS(Vendas!$P$8:$P$2008,Vendas!$M$8:$M$2008,$B31,Vendas!$E$8:$E$2008,"&gt;=01/01/"&amp;$G$3,Vendas!$E$8:$E$2008,"&lt;=31/01/"&amp;$G$3,Vendas!$C$8:$C$2008,"Entregue")+SUMIFS(Vendas!$U$8:$U$2008,Vendas!$R$8:$R$2008,$B31,Vendas!$E$8:$E$2008,"&gt;=01/01/"&amp;$G$3,Vendas!$E$8:$E$2008,"&lt;=31/01/"&amp;$G$3,Vendas!$C$8:$C$2008,"Entregue")+SUMIFS(Vendas!$Z$8:$Z$2008,Vendas!$W$8:$W$2008,$B31,Vendas!$E$8:$E$2008,"&gt;=01/01/"&amp;$G$3,Vendas!$E$8:$E$2008,"&lt;=31/01/"&amp;$G$3,Vendas!$C$8:$C$2008,"Entregue")+SUMIFS(Vendas!$AE$8:$AE$2008,Vendas!$AB$8:$AB$2008,$B31,Vendas!$E$8:$E$2008,"&gt;=01/01/"&amp;$G$3,Vendas!$E$8:$E$2008,"&lt;=31/01/"&amp;$G$3,Vendas!$C$8:$C$2008,"Entregue")+SUMIFS(Vendas!$AJ$8:$AJ$2008,Vendas!$AG$8:$AG$2008,$B31,Vendas!$E$8:$E$2008,"&gt;=01/01/"&amp;$G$3,Vendas!$E$8:$E$2008,"&lt;=31/01/"&amp;$G$3,Vendas!$C$8:$C$2008,"Entregue")+SUMIFS(Vendas!$AO$8:$AO$2008,Vendas!$AL$8:$AL$2008,$B31,Vendas!$E$8:$E$2008,"&gt;=01/01/"&amp;$G$3,Vendas!$E$8:$E$2008,"&lt;=31/01/"&amp;$G$3,Vendas!$C$8:$C$2008,"Entregue")+SUMIFS(Vendas!$AT$8:$AT$2008,Vendas!$AQ$8:$AQ$2008,$B31,Vendas!$E$8:$E$2008,"&gt;=01/01/"&amp;$G$3,Vendas!$E$8:$E$2008,"&lt;=31/01/"&amp;$G$3,Vendas!$C$8:$C$2008,"Entregue")</f>
        <v>0</v>
      </c>
      <c r="E31" s="159">
        <f>SUMIFS(Vendas!$K$8:$K$2008,Vendas!$H$8:$H$2008,$B31,Vendas!$E$8:$E$2008,"&gt;=01/02/"&amp;$G$3,Vendas!$E$8:$E$2008,"&lt;=28/02/"&amp;$G$3)+SUMIFS(Vendas!$P$8:$P$2008,Vendas!$M$8:$M$2008,$B31,Vendas!$E$8:$E$2008,"&gt;=01/02/"&amp;$G$3,Vendas!$E$8:$E$2008,"&lt;=28/02/"&amp;$G$3)+SUMIFS(Vendas!$U$8:$U$2008,Vendas!$R$8:$R$2008,$B31,Vendas!$E$8:$E$2008,"&gt;=01/02/"&amp;$G$3,Vendas!$E$8:$E$2008,"&lt;=28/02/"&amp;$G$3)+SUMIFS(Vendas!$Z$8:$Z$2008,Vendas!$W$8:$W$2008,$B31,Vendas!$E$8:$E$2008,"&gt;=01/02/"&amp;$G$3,Vendas!$E$8:$E$2008,"&lt;=28/02/"&amp;$G$3)+SUMIFS(Vendas!$AE$8:$AE$2008,Vendas!$AB$8:$AB$2008,$B31,Vendas!$E$8:$E$2008,"&gt;=01/02/"&amp;$G$3,Vendas!$E$8:$E$2008,"&lt;=28/02/"&amp;$G$3)+SUMIFS(Vendas!$AJ$8:$AJ$2008,Vendas!$AG$8:$AG$2008,$B31,Vendas!$E$8:$E$2008,"&gt;=01/02/"&amp;$G$3,Vendas!$E$8:$E$2008,"&lt;=28/02/"&amp;$G$3)+SUMIFS(Vendas!$AO$8:$AO$2008,Vendas!$AL$8:$AL$2008,$B31,Vendas!$E$8:$E$2008,"&gt;=01/02/"&amp;$G$3,Vendas!$E$8:$E$2008,"&lt;=28/02/"&amp;$G$3)+SUMIFS(Vendas!$AT$8:$AT$2008,Vendas!$AQ$8:$AQ$2008,$B31,Vendas!$E$8:$E$2008,"&gt;=01/02/"&amp;$G$3,Vendas!$E$8:$E$2008,"&lt;=28/02/"&amp;$G$3)</f>
        <v>0</v>
      </c>
      <c r="F31" s="159">
        <f>SUMIFS(Vendas!$K$8:$K$2008,Vendas!$H$8:$H$2008,$B31,Vendas!$E$8:$E$2008,"&gt;=01/02/"&amp;$G$3,Vendas!$E$8:$E$2008,"&lt;=28/02/"&amp;$G$3,Vendas!$C$8:$C$2008,"Entregue")+SUMIFS(Vendas!$P$8:$P$2008,Vendas!$M$8:$M$2008,$B31,Vendas!$E$8:$E$2008,"&gt;=01/02/"&amp;$G$3,Vendas!$E$8:$E$2008,"&lt;=28/02/"&amp;$G$3,Vendas!$C$8:$C$2008,"Entregue")+SUMIFS(Vendas!$U$8:$U$2008,Vendas!$R$8:$R$2008,$B31,Vendas!$E$8:$E$2008,"&gt;=01/02/"&amp;$G$3,Vendas!$E$8:$E$2008,"&lt;=28/02/"&amp;$G$3,Vendas!$C$8:$C$2008,"Entregue")+SUMIFS(Vendas!$Z$8:$Z$2008,Vendas!$W$8:$W$2008,$B31,Vendas!$E$8:$E$2008,"&gt;=01/02/"&amp;$G$3,Vendas!$E$8:$E$2008,"&lt;=28/02/"&amp;$G$3,Vendas!$C$8:$C$2008,"Entregue")+SUMIFS(Vendas!$AE$8:$AE$2008,Vendas!$AB$8:$AB$2008,$B31,Vendas!$E$8:$E$2008,"&gt;=01/02/"&amp;$G$3,Vendas!$E$8:$E$2008,"&lt;=28/02/"&amp;$G$3,Vendas!$C$8:$C$2008,"Entregue")+SUMIFS(Vendas!$AJ$8:$AJ$2008,Vendas!$AG$8:$AG$2008,$B31,Vendas!$E$8:$E$2008,"&gt;=01/02/"&amp;$G$3,Vendas!$E$8:$E$2008,"&lt;=28/02/"&amp;$G$3,Vendas!$C$8:$C$2008,"Entregue")+SUMIFS(Vendas!$AO$8:$AO$2008,Vendas!$AL$8:$AL$2008,$B31,Vendas!$E$8:$E$2008,"&gt;=01/02/"&amp;$G$3,Vendas!$E$8:$E$2008,"&lt;=28/02/"&amp;$G$3,Vendas!$C$8:$C$2008,"Entregue")+SUMIFS(Vendas!$AT$8:$AT$2008,Vendas!$AQ$8:$AQ$2008,$B31,Vendas!$E$8:$E$2008,"&gt;=01/02/"&amp;$G$3,Vendas!$E$8:$E$2008,"&lt;=28/02/"&amp;$G$3,Vendas!$C$8:$C$2008,"Entregue")</f>
        <v>0</v>
      </c>
      <c r="G31" s="159">
        <f>SUMIFS(Vendas!$K$8:$K$2008,Vendas!$H$8:$H$2008,$B31,Vendas!$E$8:$E$2008,"&gt;=01/03/"&amp;$G$3,Vendas!$E$8:$E$2008,"&lt;=31/03/"&amp;$G$3)+SUMIFS(Vendas!$P$8:$P$2008,Vendas!$M$8:$M$2008,$B31,Vendas!$E$8:$E$2008,"&gt;=01/03/"&amp;$G$3,Vendas!$E$8:$E$2008,"&lt;=31/03/"&amp;$G$3)+SUMIFS(Vendas!$U$8:$U$2008,Vendas!$R$8:$R$2008,$B31,Vendas!$E$8:$E$2008,"&gt;=01/03/"&amp;$G$3,Vendas!$E$8:$E$2008,"&lt;=31/03/"&amp;$G$3)+SUMIFS(Vendas!$Z$8:$Z$2008,Vendas!$W$8:$W$2008,$B31,Vendas!$E$8:$E$2008,"&gt;=01/03/"&amp;$G$3,Vendas!$E$8:$E$2008,"&lt;=31/03/"&amp;$G$3)+SUMIFS(Vendas!$AE$8:$AE$2008,Vendas!$AB$8:$AB$2008,$B31,Vendas!$E$8:$E$2008,"&gt;=01/03/"&amp;$G$3,Vendas!$E$8:$E$2008,"&lt;=31/03/"&amp;$G$3)+SUMIFS(Vendas!$AJ$8:$AJ$2008,Vendas!$AG$8:$AG$2008,$B31,Vendas!$E$8:$E$2008,"&gt;=01/03/"&amp;$G$3,Vendas!$E$8:$E$2008,"&lt;=31/03/"&amp;$G$3)+SUMIFS(Vendas!$AO$8:$AO$2008,Vendas!$AL$8:$AL$2008,$B31,Vendas!$E$8:$E$2008,"&gt;=01/03/"&amp;$G$3,Vendas!$E$8:$E$2008,"&lt;=31/03/"&amp;$G$3)+SUMIFS(Vendas!$AT$8:$AT$2008,Vendas!$AQ$8:$AQ$2008,$B31,Vendas!$E$8:$E$2008,"&gt;=01/03/"&amp;$G$3,Vendas!$E$8:$E$2008,"&lt;=31/03/"&amp;$G$3)</f>
        <v>0</v>
      </c>
      <c r="H31" s="159">
        <f>SUMIFS(Vendas!$K$8:$K$2008,Vendas!$H$8:$H$2008,$B31,Vendas!$E$8:$E$2008,"&gt;=01/03/"&amp;$G$3,Vendas!$E$8:$E$2008,"&lt;=31/03/"&amp;$G$3,Vendas!$C$8:$C$2008,"Entregue")+SUMIFS(Vendas!$P$8:$P$2008,Vendas!$M$8:$M$2008,$B31,Vendas!$E$8:$E$2008,"&gt;=01/03/"&amp;$G$3,Vendas!$E$8:$E$2008,"&lt;=31/03/"&amp;$G$3,Vendas!$C$8:$C$2008,"Entregue")+SUMIFS(Vendas!$U$8:$U$2008,Vendas!$R$8:$R$2008,$B31,Vendas!$E$8:$E$2008,"&gt;=01/03/"&amp;$G$3,Vendas!$E$8:$E$2008,"&lt;=31/03/"&amp;$G$3,Vendas!$C$8:$C$2008,"Entregue")+SUMIFS(Vendas!$Z$8:$Z$2008,Vendas!$W$8:$W$2008,$B31,Vendas!$E$8:$E$2008,"&gt;=01/03/"&amp;$G$3,Vendas!$E$8:$E$2008,"&lt;=31/03/"&amp;$G$3,Vendas!$C$8:$C$2008,"Entregue")+SUMIFS(Vendas!$AE$8:$AE$2008,Vendas!$AB$8:$AB$2008,$B31,Vendas!$E$8:$E$2008,"&gt;=01/03/"&amp;$G$3,Vendas!$E$8:$E$2008,"&lt;=31/03/"&amp;$G$3,Vendas!$C$8:$C$2008,"Entregue")+SUMIFS(Vendas!$AJ$8:$AJ$2008,Vendas!$AG$8:$AG$2008,$B31,Vendas!$E$8:$E$2008,"&gt;=01/03/"&amp;$G$3,Vendas!$E$8:$E$2008,"&lt;=31/03/"&amp;$G$3,Vendas!$C$8:$C$2008,"Entregue")+SUMIFS(Vendas!$AO$8:$AO$2008,Vendas!$AL$8:$AL$2008,$B31,Vendas!$E$8:$E$2008,"&gt;=01/03/"&amp;$G$3,Vendas!$E$8:$E$2008,"&lt;=31/03/"&amp;$G$3,Vendas!$C$8:$C$2008,"Entregue")+SUMIFS(Vendas!$AT$8:$AT$2008,Vendas!$AQ$8:$AQ$2008,$B31,Vendas!$E$8:$E$2008,"&gt;=01/03/"&amp;$G$3,Vendas!$E$8:$E$2008,"&lt;=31/03/"&amp;$G$3,Vendas!$C$8:$C$2008,"Entregue")</f>
        <v>0</v>
      </c>
      <c r="I31" s="159">
        <f>SUMIFS(Vendas!$K$8:$K$2008,Vendas!$H$8:$H$2008,$B31,Vendas!$E$8:$E$2008,"&gt;=01/04/"&amp;$G$3,Vendas!$E$8:$E$2008,"&lt;=30/04/"&amp;$G$3)+SUMIFS(Vendas!$P$8:$P$2008,Vendas!$M$8:$M$2008,$B31,Vendas!$E$8:$E$2008,"&gt;=01/04/"&amp;$G$3,Vendas!$E$8:$E$2008,"&lt;=30/04/"&amp;$G$3)+SUMIFS(Vendas!$U$8:$U$2008,Vendas!$R$8:$R$2008,$B31,Vendas!$E$8:$E$2008,"&gt;=01/04/"&amp;$G$3,Vendas!$E$8:$E$2008,"&lt;=30/04/"&amp;$G$3)+SUMIFS(Vendas!$Z$8:$Z$2008,Vendas!$W$8:$W$2008,$B31,Vendas!$E$8:$E$2008,"&gt;=01/04/"&amp;$G$3,Vendas!$E$8:$E$2008,"&lt;=30/04/"&amp;$G$3)+SUMIFS(Vendas!$AE$8:$AE$2008,Vendas!$AB$8:$AB$2008,$B31,Vendas!$E$8:$E$2008,"&gt;=01/04/"&amp;$G$3,Vendas!$E$8:$E$2008,"&lt;=30/04/"&amp;$G$3)+SUMIFS(Vendas!$AJ$8:$AJ$2008,Vendas!$AG$8:$AG$2008,$B31,Vendas!$E$8:$E$2008,"&gt;=01/04/"&amp;$G$3,Vendas!$E$8:$E$2008,"&lt;=30/04/"&amp;$G$3)+SUMIFS(Vendas!$AO$8:$AO$2008,Vendas!$AL$8:$AL$2008,$B31,Vendas!$E$8:$E$2008,"&gt;=01/04/"&amp;$G$3,Vendas!$E$8:$E$2008,"&lt;=30/04/"&amp;$G$3)+SUMIFS(Vendas!$AT$8:$AT$2008,Vendas!$AQ$8:$AQ$2008,$B31,Vendas!$E$8:$E$2008,"&gt;=01/04/"&amp;$G$3,Vendas!$E$8:$E$2008,"&lt;=30/04/"&amp;$G$3)</f>
        <v>0</v>
      </c>
      <c r="J31" s="159">
        <f>SUMIFS(Vendas!$K$8:$K$2008,Vendas!$H$8:$H$2008,$B31,Vendas!$E$8:$E$2008,"&gt;=01/04/"&amp;$G$3,Vendas!$E$8:$E$2008,"&lt;=30/04/"&amp;$G$3,Vendas!$C$8:$C$2008,"Entregue")+SUMIFS(Vendas!$P$8:$P$2008,Vendas!$M$8:$M$2008,$B31,Vendas!$E$8:$E$2008,"&gt;=01/04/"&amp;$G$3,Vendas!$E$8:$E$2008,"&lt;=30/04/"&amp;$G$3,Vendas!$C$8:$C$2008,"Entregue")+SUMIFS(Vendas!$U$8:$U$2008,Vendas!$R$8:$R$2008,$B31,Vendas!$E$8:$E$2008,"&gt;=01/04/"&amp;$G$3,Vendas!$E$8:$E$2008,"&lt;=30/04/"&amp;$G$3,Vendas!$C$8:$C$2008,"Entregue")+SUMIFS(Vendas!$Z$8:$Z$2008,Vendas!$W$8:$W$2008,$B31,Vendas!$E$8:$E$2008,"&gt;=01/04/"&amp;$G$3,Vendas!$E$8:$E$2008,"&lt;=30/04/"&amp;$G$3,Vendas!$C$8:$C$2008,"Entregue")+SUMIFS(Vendas!$AE$8:$AE$2008,Vendas!$AB$8:$AB$2008,$B31,Vendas!$E$8:$E$2008,"&gt;=01/04/"&amp;$G$3,Vendas!$E$8:$E$2008,"&lt;=30/04/"&amp;$G$3,Vendas!$C$8:$C$2008,"Entregue")+SUMIFS(Vendas!$AJ$8:$AJ$2008,Vendas!$AG$8:$AG$2008,$B31,Vendas!$E$8:$E$2008,"&gt;=01/04/"&amp;$G$3,Vendas!$E$8:$E$2008,"&lt;=30/04/"&amp;$G$3,Vendas!$C$8:$C$2008,"Entregue")+SUMIFS(Vendas!$AO$8:$AO$2008,Vendas!$AL$8:$AL$2008,$B31,Vendas!$E$8:$E$2008,"&gt;=01/04/"&amp;$G$3,Vendas!$E$8:$E$2008,"&lt;=30/04/"&amp;$G$3,Vendas!$C$8:$C$2008,"Entregue")+SUMIFS(Vendas!$AT$8:$AT$2008,Vendas!$AQ$8:$AQ$2008,$B31,Vendas!$E$8:$E$2008,"&gt;=01/04/"&amp;$G$3,Vendas!$E$8:$E$2008,"&lt;=30/04/"&amp;$G$3,Vendas!$C$8:$C$2008,"Entregue")</f>
        <v>0</v>
      </c>
      <c r="K31" s="159">
        <f>SUMIFS(Vendas!$K$8:$K$2008,Vendas!$H$8:$H$2008,$B31,Vendas!$E$8:$E$2008,"&gt;=01/05/"&amp;$G$3,Vendas!$E$8:$E$2008,"&lt;=31/05/"&amp;$G$3)+SUMIFS(Vendas!$P$8:$P$2008,Vendas!$M$8:$M$2008,$B31,Vendas!$E$8:$E$2008,"&gt;=01/05/"&amp;$G$3,Vendas!$E$8:$E$2008,"&lt;=31/05/"&amp;$G$3)+SUMIFS(Vendas!$U$8:$U$2008,Vendas!$R$8:$R$2008,$B31,Vendas!$E$8:$E$2008,"&gt;=01/05/"&amp;$G$3,Vendas!$E$8:$E$2008,"&lt;=31/05/"&amp;$G$3)+SUMIFS(Vendas!$Z$8:$Z$2008,Vendas!$W$8:$W$2008,$B31,Vendas!$E$8:$E$2008,"&gt;=01/05/"&amp;$G$3,Vendas!$E$8:$E$2008,"&lt;=31/05/"&amp;$G$3)+SUMIFS(Vendas!$AE$8:$AE$2008,Vendas!$AB$8:$AB$2008,$B31,Vendas!$E$8:$E$2008,"&gt;=01/05/"&amp;$G$3,Vendas!$E$8:$E$2008,"&lt;=31/05/"&amp;$G$3)+SUMIFS(Vendas!$AJ$8:$AJ$2008,Vendas!$AG$8:$AG$2008,$B31,Vendas!$E$8:$E$2008,"&gt;=01/05/"&amp;$G$3,Vendas!$E$8:$E$2008,"&lt;=31/05/"&amp;$G$3)+SUMIFS(Vendas!$AO$8:$AO$2008,Vendas!$AL$8:$AL$2008,$B31,Vendas!$E$8:$E$2008,"&gt;=01/05/"&amp;$G$3,Vendas!$E$8:$E$2008,"&lt;=31/05/"&amp;$G$3)+SUMIFS(Vendas!$AT$8:$AT$2008,Vendas!$AQ$8:$AQ$2008,$B31,Vendas!$E$8:$E$2008,"&gt;=01/05/"&amp;$G$3,Vendas!$E$8:$E$2008,"&lt;=31/05/"&amp;$G$3)</f>
        <v>0</v>
      </c>
      <c r="L31" s="159">
        <f>SUMIFS(Vendas!$K$8:$K$2008,Vendas!$H$8:$H$2008,$B31,Vendas!$E$8:$E$2008,"&gt;=01/05/"&amp;$G$3,Vendas!$E$8:$E$2008,"&lt;=31/05/"&amp;$G$3,Vendas!$C$8:$C$2008,"Entregue")+SUMIFS(Vendas!$P$8:$P$2008,Vendas!$M$8:$M$2008,$B31,Vendas!$E$8:$E$2008,"&gt;=01/05/"&amp;$G$3,Vendas!$E$8:$E$2008,"&lt;=31/05/"&amp;$G$3,Vendas!$C$8:$C$2008,"Entregue")+SUMIFS(Vendas!$U$8:$U$2008,Vendas!$R$8:$R$2008,$B31,Vendas!$E$8:$E$2008,"&gt;=01/05/"&amp;$G$3,Vendas!$E$8:$E$2008,"&lt;=31/05/"&amp;$G$3,Vendas!$C$8:$C$2008,"Entregue")+SUMIFS(Vendas!$Z$8:$Z$2008,Vendas!$W$8:$W$2008,$B31,Vendas!$E$8:$E$2008,"&gt;=01/05/"&amp;$G$3,Vendas!$E$8:$E$2008,"&lt;=31/05/"&amp;$G$3,Vendas!$C$8:$C$2008,"Entregue")+SUMIFS(Vendas!$AE$8:$AE$2008,Vendas!$AB$8:$AB$2008,$B31,Vendas!$E$8:$E$2008,"&gt;=01/05/"&amp;$G$3,Vendas!$E$8:$E$2008,"&lt;=31/05/"&amp;$G$3,Vendas!$C$8:$C$2008,"Entregue")+SUMIFS(Vendas!$AJ$8:$AJ$2008,Vendas!$AG$8:$AG$2008,$B31,Vendas!$E$8:$E$2008,"&gt;=01/05/"&amp;$G$3,Vendas!$E$8:$E$2008,"&lt;=31/05/"&amp;$G$3,Vendas!$C$8:$C$2008,"Entregue")+SUMIFS(Vendas!$AO$8:$AO$2008,Vendas!$AL$8:$AL$2008,$B31,Vendas!$E$8:$E$2008,"&gt;=01/05/"&amp;$G$3,Vendas!$E$8:$E$2008,"&lt;=31/05/"&amp;$G$3,Vendas!$C$8:$C$2008,"Entregue")+SUMIFS(Vendas!$AT$8:$AT$2008,Vendas!$AQ$8:$AQ$2008,$B31,Vendas!$E$8:$E$2008,"&gt;=01/05/"&amp;$G$3,Vendas!$E$8:$E$2008,"&lt;=31/05/"&amp;$G$3,Vendas!$C$8:$C$2008,"Entregue")</f>
        <v>0</v>
      </c>
      <c r="M31" s="159">
        <f>SUMIFS(Vendas!$K$8:$K$2008,Vendas!$H$8:$H$2008,$B31,Vendas!$E$8:$E$2008,"&gt;=01/06/"&amp;$G$3,Vendas!$E$8:$E$2008,"&lt;=30/06/"&amp;$G$3)+SUMIFS(Vendas!$P$8:$P$2008,Vendas!$M$8:$M$2008,$B31,Vendas!$E$8:$E$2008,"&gt;=01/06/"&amp;$G$3,Vendas!$E$8:$E$2008,"&lt;=30/06/"&amp;$G$3)+SUMIFS(Vendas!$U$8:$U$2008,Vendas!$R$8:$R$2008,$B31,Vendas!$E$8:$E$2008,"&gt;=01/06/"&amp;$G$3,Vendas!$E$8:$E$2008,"&lt;=30/06/"&amp;$G$3)+SUMIFS(Vendas!$Z$8:$Z$2008,Vendas!$W$8:$W$2008,$B31,Vendas!$E$8:$E$2008,"&gt;=01/06/"&amp;$G$3,Vendas!$E$8:$E$2008,"&lt;=30/06/"&amp;$G$3)+SUMIFS(Vendas!$AE$8:$AE$2008,Vendas!$AB$8:$AB$2008,$B31,Vendas!$E$8:$E$2008,"&gt;=01/06/"&amp;$G$3,Vendas!$E$8:$E$2008,"&lt;=30/06/"&amp;$G$3)+SUMIFS(Vendas!$AJ$8:$AJ$2008,Vendas!$AG$8:$AG$2008,$B31,Vendas!$E$8:$E$2008,"&gt;=01/06/"&amp;$G$3,Vendas!$E$8:$E$2008,"&lt;=30/06/"&amp;$G$3)+SUMIFS(Vendas!$AO$8:$AO$2008,Vendas!$AL$8:$AL$2008,$B31,Vendas!$E$8:$E$2008,"&gt;=01/06/"&amp;$G$3,Vendas!$E$8:$E$2008,"&lt;=30/06/"&amp;$G$3)+SUMIFS(Vendas!$AT$8:$AT$2008,Vendas!$AQ$8:$AQ$2008,$B31,Vendas!$E$8:$E$2008,"&gt;=01/06/"&amp;$G$3,Vendas!$E$8:$E$2008,"&lt;=30/06/"&amp;$G$3)</f>
        <v>0</v>
      </c>
      <c r="N31" s="159">
        <f>SUMIFS(Vendas!$K$8:$K$2008,Vendas!$H$8:$H$2008,$B31,Vendas!$E$8:$E$2008,"&gt;=01/06/"&amp;$G$3,Vendas!$E$8:$E$2008,"&lt;=30/06/"&amp;$G$3,Vendas!$C$8:$C$2008,"Entregue")+SUMIFS(Vendas!$P$8:$P$2008,Vendas!$M$8:$M$2008,$B31,Vendas!$E$8:$E$2008,"&gt;=01/06/"&amp;$G$3,Vendas!$E$8:$E$2008,"&lt;=30/06/"&amp;$G$3,Vendas!$C$8:$C$2008,"Entregue")+SUMIFS(Vendas!$U$8:$U$2008,Vendas!$R$8:$R$2008,$B31,Vendas!$E$8:$E$2008,"&gt;=01/06/"&amp;$G$3,Vendas!$E$8:$E$2008,"&lt;=30/06/"&amp;$G$3,Vendas!$C$8:$C$2008,"Entregue")+SUMIFS(Vendas!$Z$8:$Z$2008,Vendas!$W$8:$W$2008,$B31,Vendas!$E$8:$E$2008,"&gt;=01/06/"&amp;$G$3,Vendas!$E$8:$E$2008,"&lt;=30/06/"&amp;$G$3,Vendas!$C$8:$C$2008,"Entregue")+SUMIFS(Vendas!$AE$8:$AE$2008,Vendas!$AB$8:$AB$2008,$B31,Vendas!$E$8:$E$2008,"&gt;=01/06/"&amp;$G$3,Vendas!$E$8:$E$2008,"&lt;=30/06/"&amp;$G$3,Vendas!$C$8:$C$2008,"Entregue")+SUMIFS(Vendas!$AJ$8:$AJ$2008,Vendas!$AG$8:$AG$2008,$B31,Vendas!$E$8:$E$2008,"&gt;=01/06/"&amp;$G$3,Vendas!$E$8:$E$2008,"&lt;=30/06/"&amp;$G$3,Vendas!$C$8:$C$2008,"Entregue")+SUMIFS(Vendas!$AO$8:$AO$2008,Vendas!$AL$8:$AL$2008,$B31,Vendas!$E$8:$E$2008,"&gt;=01/06/"&amp;$G$3,Vendas!$E$8:$E$2008,"&lt;=30/06/"&amp;$G$3,Vendas!$C$8:$C$2008,"Entregue")+SUMIFS(Vendas!$AT$8:$AT$2008,Vendas!$AQ$8:$AQ$2008,$B31,Vendas!$E$8:$E$2008,"&gt;=01/06/"&amp;$G$3,Vendas!$E$8:$E$2008,"&lt;=30/06/"&amp;$G$3,Vendas!$C$8:$C$2008,"Entregue")</f>
        <v>0</v>
      </c>
      <c r="O31" s="159">
        <f>SUMIFS(Vendas!$K$8:$K$2008,Vendas!$H$8:$H$2008,$B31,Vendas!$E$8:$E$2008,"&gt;=01/07/"&amp;$G$3,Vendas!$E$8:$E$2008,"&lt;=31/07/"&amp;$G$3)+SUMIFS(Vendas!$P$8:$P$2008,Vendas!$M$8:$M$2008,$B31,Vendas!$E$8:$E$2008,"&gt;=01/07/"&amp;$G$3,Vendas!$E$8:$E$2008,"&lt;=31/07/"&amp;$G$3)+SUMIFS(Vendas!$U$8:$U$2008,Vendas!$R$8:$R$2008,$B31,Vendas!$E$8:$E$2008,"&gt;=01/07/"&amp;$G$3,Vendas!$E$8:$E$2008,"&lt;=31/07/"&amp;$G$3)+SUMIFS(Vendas!$Z$8:$Z$2008,Vendas!$W$8:$W$2008,$B31,Vendas!$E$8:$E$2008,"&gt;=01/07/"&amp;$G$3,Vendas!$E$8:$E$2008,"&lt;=31/07/"&amp;$G$3)+SUMIFS(Vendas!$AE$8:$AE$2008,Vendas!$AB$8:$AB$2008,$B31,Vendas!$E$8:$E$2008,"&gt;=01/07/"&amp;$G$3,Vendas!$E$8:$E$2008,"&lt;=31/07/"&amp;$G$3)+SUMIFS(Vendas!$AJ$8:$AJ$2008,Vendas!$AG$8:$AG$2008,$B31,Vendas!$E$8:$E$2008,"&gt;=01/07/"&amp;$G$3,Vendas!$E$8:$E$2008,"&lt;=31/07/"&amp;$G$3)+SUMIFS(Vendas!$AO$8:$AO$2008,Vendas!$AL$8:$AL$2008,$B31,Vendas!$E$8:$E$2008,"&gt;=01/07/"&amp;$G$3,Vendas!$E$8:$E$2008,"&lt;=31/07/"&amp;$G$3)+SUMIFS(Vendas!$AT$8:$AT$2008,Vendas!$AQ$8:$AQ$2008,$B31,Vendas!$E$8:$E$2008,"&gt;=01/07/"&amp;$G$3,Vendas!$E$8:$E$2008,"&lt;=31/07/"&amp;$G$3)</f>
        <v>0</v>
      </c>
      <c r="P31" s="159">
        <f>SUMIFS(Vendas!$K$8:$K$2008,Vendas!$H$8:$H$2008,$B31,Vendas!$E$8:$E$2008,"&gt;=01/07/"&amp;$G$3,Vendas!$E$8:$E$2008,"&lt;=31/07/"&amp;$G$3,Vendas!$C$8:$C$2008,"Entregue")+SUMIFS(Vendas!$P$8:$P$2008,Vendas!$M$8:$M$2008,$B31,Vendas!$E$8:$E$2008,"&gt;=01/07/"&amp;$G$3,Vendas!$E$8:$E$2008,"&lt;=31/07/"&amp;$G$3,Vendas!$C$8:$C$2008,"Entregue")+SUMIFS(Vendas!$U$8:$U$2008,Vendas!$R$8:$R$2008,$B31,Vendas!$E$8:$E$2008,"&gt;=01/07/"&amp;$G$3,Vendas!$E$8:$E$2008,"&lt;=31/07/"&amp;$G$3,Vendas!$C$8:$C$2008,"Entregue")+SUMIFS(Vendas!$Z$8:$Z$2008,Vendas!$W$8:$W$2008,$B31,Vendas!$E$8:$E$2008,"&gt;=01/07/"&amp;$G$3,Vendas!$E$8:$E$2008,"&lt;=31/07/"&amp;$G$3,Vendas!$C$8:$C$2008,"Entregue")+SUMIFS(Vendas!$AE$8:$AE$2008,Vendas!$AB$8:$AB$2008,$B31,Vendas!$E$8:$E$2008,"&gt;=01/07/"&amp;$G$3,Vendas!$E$8:$E$2008,"&lt;=31/07/"&amp;$G$3,Vendas!$C$8:$C$2008,"Entregue")+SUMIFS(Vendas!$AJ$8:$AJ$2008,Vendas!$AG$8:$AG$2008,$B31,Vendas!$E$8:$E$2008,"&gt;=01/07/"&amp;$G$3,Vendas!$E$8:$E$2008,"&lt;=31/07/"&amp;$G$3,Vendas!$C$8:$C$2008,"Entregue")+SUMIFS(Vendas!$AO$8:$AO$2008,Vendas!$AL$8:$AL$2008,$B31,Vendas!$E$8:$E$2008,"&gt;=01/07/"&amp;$G$3,Vendas!$E$8:$E$2008,"&lt;=31/07/"&amp;$G$3,Vendas!$C$8:$C$2008,"Entregue")+SUMIFS(Vendas!$AT$8:$AT$2008,Vendas!$AQ$8:$AQ$2008,$B31,Vendas!$E$8:$E$2008,"&gt;=01/07/"&amp;$G$3,Vendas!$E$8:$E$2008,"&lt;=31/07/"&amp;$G$3,Vendas!$C$8:$C$2008,"Entregue")</f>
        <v>0</v>
      </c>
      <c r="Q31" s="159">
        <f>SUMIFS(Vendas!$K$8:$K$2008,Vendas!$H$8:$H$2008,$B31,Vendas!$E$8:$E$2008,"&gt;=01/08/"&amp;$G$3,Vendas!$E$8:$E$2008,"&lt;=31/08/"&amp;$G$3)+SUMIFS(Vendas!$P$8:$P$2008,Vendas!$M$8:$M$2008,$B31,Vendas!$E$8:$E$2008,"&gt;=01/08/"&amp;$G$3,Vendas!$E$8:$E$2008,"&lt;=31/08/"&amp;$G$3)+SUMIFS(Vendas!$U$8:$U$2008,Vendas!$R$8:$R$2008,$B31,Vendas!$E$8:$E$2008,"&gt;=01/08/"&amp;$G$3,Vendas!$E$8:$E$2008,"&lt;=31/08/"&amp;$G$3)+SUMIFS(Vendas!$Z$8:$Z$2008,Vendas!$W$8:$W$2008,$B31,Vendas!$E$8:$E$2008,"&gt;=01/08/"&amp;$G$3,Vendas!$E$8:$E$2008,"&lt;=31/08/"&amp;$G$3)+SUMIFS(Vendas!$AE$8:$AE$2008,Vendas!$AB$8:$AB$2008,$B31,Vendas!$E$8:$E$2008,"&gt;=01/08/"&amp;$G$3,Vendas!$E$8:$E$2008,"&lt;=31/08/"&amp;$G$3)+SUMIFS(Vendas!$AJ$8:$AJ$2008,Vendas!$AG$8:$AG$2008,$B31,Vendas!$E$8:$E$2008,"&gt;=01/08/"&amp;$G$3,Vendas!$E$8:$E$2008,"&lt;=31/08/"&amp;$G$3)+SUMIFS(Vendas!$AO$8:$AO$2008,Vendas!$AL$8:$AL$2008,$B31,Vendas!$E$8:$E$2008,"&gt;=01/08/"&amp;$G$3,Vendas!$E$8:$E$2008,"&lt;=31/08/"&amp;$G$3)+SUMIFS(Vendas!$AT$8:$AT$2008,Vendas!$AQ$8:$AQ$2008,$B31,Vendas!$E$8:$E$2008,"&gt;=01/08/"&amp;$G$3,Vendas!$E$8:$E$2008,"&lt;=31/08/"&amp;$G$3)</f>
        <v>0</v>
      </c>
      <c r="R31" s="159">
        <f>SUMIFS(Vendas!$K$8:$K$2008,Vendas!$H$8:$H$2008,$B31,Vendas!$E$8:$E$2008,"&gt;=01/08/"&amp;$G$3,Vendas!$E$8:$E$2008,"&lt;=31/08/"&amp;$G$3,Vendas!$C$8:$C$2008,"Entregue")+SUMIFS(Vendas!$P$8:$P$2008,Vendas!$M$8:$M$2008,$B31,Vendas!$E$8:$E$2008,"&gt;=01/08/"&amp;$G$3,Vendas!$E$8:$E$2008,"&lt;=31/08/"&amp;$G$3,Vendas!$C$8:$C$2008,"Entregue")+SUMIFS(Vendas!$U$8:$U$2008,Vendas!$R$8:$R$2008,$B31,Vendas!$E$8:$E$2008,"&gt;=01/08/"&amp;$G$3,Vendas!$E$8:$E$2008,"&lt;=31/08/"&amp;$G$3,Vendas!$C$8:$C$2008,"Entregue")+SUMIFS(Vendas!$Z$8:$Z$2008,Vendas!$W$8:$W$2008,$B31,Vendas!$E$8:$E$2008,"&gt;=01/08/"&amp;$G$3,Vendas!$E$8:$E$2008,"&lt;=31/08/"&amp;$G$3,Vendas!$C$8:$C$2008,"Entregue")+SUMIFS(Vendas!$AE$8:$AE$2008,Vendas!$AB$8:$AB$2008,$B31,Vendas!$E$8:$E$2008,"&gt;=01/08/"&amp;$G$3,Vendas!$E$8:$E$2008,"&lt;=31/08/"&amp;$G$3,Vendas!$C$8:$C$2008,"Entregue")+SUMIFS(Vendas!$AJ$8:$AJ$2008,Vendas!$AG$8:$AG$2008,$B31,Vendas!$E$8:$E$2008,"&gt;=01/08/"&amp;$G$3,Vendas!$E$8:$E$2008,"&lt;=31/08/"&amp;$G$3,Vendas!$C$8:$C$2008,"Entregue")+SUMIFS(Vendas!$AO$8:$AO$2008,Vendas!$AL$8:$AL$2008,$B31,Vendas!$E$8:$E$2008,"&gt;=01/08/"&amp;$G$3,Vendas!$E$8:$E$2008,"&lt;=31/08/"&amp;$G$3,Vendas!$C$8:$C$2008,"Entregue")+SUMIFS(Vendas!$AT$8:$AT$2008,Vendas!$AQ$8:$AQ$2008,$B31,Vendas!$E$8:$E$2008,"&gt;=01/08/"&amp;$G$3,Vendas!$E$8:$E$2008,"&lt;=31/08/"&amp;$G$3,Vendas!$C$8:$C$2008,"Entregue")</f>
        <v>0</v>
      </c>
      <c r="S31" s="159">
        <f>SUMIFS(Vendas!$K$8:$K$2008,Vendas!$H$8:$H$2008,$B31,Vendas!$E$8:$E$2008,"&gt;=01/09/"&amp;$G$3,Vendas!$E$8:$E$2008,"&lt;=30/09/"&amp;$G$3)+SUMIFS(Vendas!$P$8:$P$2008,Vendas!$M$8:$M$2008,$B31,Vendas!$E$8:$E$2008,"&gt;=01/09/"&amp;$G$3,Vendas!$E$8:$E$2008,"&lt;=30/09/"&amp;$G$3)+SUMIFS(Vendas!$U$8:$U$2008,Vendas!$R$8:$R$2008,$B31,Vendas!$E$8:$E$2008,"&gt;=01/09/"&amp;$G$3,Vendas!$E$8:$E$2008,"&lt;=30/09/"&amp;$G$3)+SUMIFS(Vendas!$Z$8:$Z$2008,Vendas!$W$8:$W$2008,$B31,Vendas!$E$8:$E$2008,"&gt;=01/09/"&amp;$G$3,Vendas!$E$8:$E$2008,"&lt;=30/09/"&amp;$G$3)+SUMIFS(Vendas!$AE$8:$AE$2008,Vendas!$AB$8:$AB$2008,$B31,Vendas!$E$8:$E$2008,"&gt;=01/09/"&amp;$G$3,Vendas!$E$8:$E$2008,"&lt;=30/09/"&amp;$G$3)+SUMIFS(Vendas!$AJ$8:$AJ$2008,Vendas!$AG$8:$AG$2008,$B31,Vendas!$E$8:$E$2008,"&gt;=01/09/"&amp;$G$3,Vendas!$E$8:$E$2008,"&lt;=30/09/"&amp;$G$3)+SUMIFS(Vendas!$AO$8:$AO$2008,Vendas!$AL$8:$AL$2008,$B31,Vendas!$E$8:$E$2008,"&gt;=01/09/"&amp;$G$3,Vendas!$E$8:$E$2008,"&lt;=30/09/"&amp;$G$3)+SUMIFS(Vendas!$AT$8:$AT$2008,Vendas!$AQ$8:$AQ$2008,$B31,Vendas!$E$8:$E$2008,"&gt;=01/09/"&amp;$G$3,Vendas!$E$8:$E$2008,"&lt;=30/09/"&amp;$G$3)</f>
        <v>0</v>
      </c>
      <c r="T31" s="159">
        <f>SUMIFS(Vendas!$K$8:$K$2008,Vendas!$H$8:$H$2008,$B31,Vendas!$E$8:$E$2008,"&gt;=01/09/"&amp;$G$3,Vendas!$E$8:$E$2008,"&lt;=30/09/"&amp;$G$3,Vendas!$C$8:$C$2008,"Entregue")+SUMIFS(Vendas!$P$8:$P$2008,Vendas!$M$8:$M$2008,$B31,Vendas!$E$8:$E$2008,"&gt;=01/09/"&amp;$G$3,Vendas!$E$8:$E$2008,"&lt;=30/09/"&amp;$G$3,Vendas!$C$8:$C$2008,"Entregue")+SUMIFS(Vendas!$U$8:$U$2008,Vendas!$R$8:$R$2008,$B31,Vendas!$E$8:$E$2008,"&gt;=01/09/"&amp;$G$3,Vendas!$E$8:$E$2008,"&lt;=30/09/"&amp;$G$3,Vendas!$C$8:$C$2008,"Entregue")+SUMIFS(Vendas!$Z$8:$Z$2008,Vendas!$W$8:$W$2008,$B31,Vendas!$E$8:$E$2008,"&gt;=01/09/"&amp;$G$3,Vendas!$E$8:$E$2008,"&lt;=30/09/"&amp;$G$3,Vendas!$C$8:$C$2008,"Entregue")+SUMIFS(Vendas!$AE$8:$AE$2008,Vendas!$AB$8:$AB$2008,$B31,Vendas!$E$8:$E$2008,"&gt;=01/09/"&amp;$G$3,Vendas!$E$8:$E$2008,"&lt;=30/09/"&amp;$G$3,Vendas!$C$8:$C$2008,"Entregue")+SUMIFS(Vendas!$AJ$8:$AJ$2008,Vendas!$AG$8:$AG$2008,$B31,Vendas!$E$8:$E$2008,"&gt;=01/09/"&amp;$G$3,Vendas!$E$8:$E$2008,"&lt;=30/09/"&amp;$G$3,Vendas!$C$8:$C$2008,"Entregue")+SUMIFS(Vendas!$AO$8:$AO$2008,Vendas!$AL$8:$AL$2008,$B31,Vendas!$E$8:$E$2008,"&gt;=01/09/"&amp;$G$3,Vendas!$E$8:$E$2008,"&lt;=30/09/"&amp;$G$3,Vendas!$C$8:$C$2008,"Entregue")+SUMIFS(Vendas!$AT$8:$AT$2008,Vendas!$AQ$8:$AQ$2008,$B31,Vendas!$E$8:$E$2008,"&gt;=01/09/"&amp;$G$3,Vendas!$E$8:$E$2008,"&lt;=30/09/"&amp;$G$3,Vendas!$C$8:$C$2008,"Entregue")</f>
        <v>0</v>
      </c>
      <c r="U31" s="159">
        <f>SUMIFS(Vendas!$K$8:$K$2008,Vendas!$H$8:$H$2008,$B31,Vendas!$E$8:$E$2008,"&gt;=01/10/"&amp;$G$3,Vendas!$E$8:$E$2008,"&lt;=31/10/"&amp;$G$3)+SUMIFS(Vendas!$P$8:$P$2008,Vendas!$M$8:$M$2008,$B31,Vendas!$E$8:$E$2008,"&gt;=01/10/"&amp;$G$3,Vendas!$E$8:$E$2008,"&lt;=31/10/"&amp;$G$3)+SUMIFS(Vendas!$U$8:$U$2008,Vendas!$R$8:$R$2008,$B31,Vendas!$E$8:$E$2008,"&gt;=01/10/"&amp;$G$3,Vendas!$E$8:$E$2008,"&lt;=31/10/"&amp;$G$3)+SUMIFS(Vendas!$Z$8:$Z$2008,Vendas!$W$8:$W$2008,$B31,Vendas!$E$8:$E$2008,"&gt;=01/10/"&amp;$G$3,Vendas!$E$8:$E$2008,"&lt;=31/10/"&amp;$G$3)+SUMIFS(Vendas!$AE$8:$AE$2008,Vendas!$AB$8:$AB$2008,$B31,Vendas!$E$8:$E$2008,"&gt;=01/10/"&amp;$G$3,Vendas!$E$8:$E$2008,"&lt;=31/10/"&amp;$G$3)+SUMIFS(Vendas!$AJ$8:$AJ$2008,Vendas!$AG$8:$AG$2008,$B31,Vendas!$E$8:$E$2008,"&gt;=01/10/"&amp;$G$3,Vendas!$E$8:$E$2008,"&lt;=31/10/"&amp;$G$3)+SUMIFS(Vendas!$AO$8:$AO$2008,Vendas!$AL$8:$AL$2008,$B31,Vendas!$E$8:$E$2008,"&gt;=01/10/"&amp;$G$3,Vendas!$E$8:$E$2008,"&lt;=31/10/"&amp;$G$3)+SUMIFS(Vendas!$AT$8:$AT$2008,Vendas!$AQ$8:$AQ$2008,$B31,Vendas!$E$8:$E$2008,"&gt;=01/10/"&amp;$G$3,Vendas!$E$8:$E$2008,"&lt;=31/10/"&amp;$G$3)</f>
        <v>0</v>
      </c>
      <c r="V31" s="159">
        <f>SUMIFS(Vendas!$K$8:$K$2008,Vendas!$H$8:$H$2008,$B31,Vendas!$E$8:$E$2008,"&gt;=01/10/"&amp;$G$3,Vendas!$E$8:$E$2008,"&lt;=31/10/"&amp;$G$3,Vendas!$C$8:$C$2008,"Entregue")+SUMIFS(Vendas!$P$8:$P$2008,Vendas!$M$8:$M$2008,$B31,Vendas!$E$8:$E$2008,"&gt;=01/10/"&amp;$G$3,Vendas!$E$8:$E$2008,"&lt;=31/10/"&amp;$G$3,Vendas!$C$8:$C$2008,"Entregue")+SUMIFS(Vendas!$U$8:$U$2008,Vendas!$R$8:$R$2008,$B31,Vendas!$E$8:$E$2008,"&gt;=01/10/"&amp;$G$3,Vendas!$E$8:$E$2008,"&lt;=31/10/"&amp;$G$3,Vendas!$C$8:$C$2008,"Entregue")+SUMIFS(Vendas!$Z$8:$Z$2008,Vendas!$W$8:$W$2008,$B31,Vendas!$E$8:$E$2008,"&gt;=01/10/"&amp;$G$3,Vendas!$E$8:$E$2008,"&lt;=31/10/"&amp;$G$3,Vendas!$C$8:$C$2008,"Entregue")+SUMIFS(Vendas!$AE$8:$AE$2008,Vendas!$AB$8:$AB$2008,$B31,Vendas!$E$8:$E$2008,"&gt;=01/10/"&amp;$G$3,Vendas!$E$8:$E$2008,"&lt;=31/10/"&amp;$G$3,Vendas!$C$8:$C$2008,"Entregue")+SUMIFS(Vendas!$AJ$8:$AJ$2008,Vendas!$AG$8:$AG$2008,$B31,Vendas!$E$8:$E$2008,"&gt;=01/10/"&amp;$G$3,Vendas!$E$8:$E$2008,"&lt;=31/10/"&amp;$G$3,Vendas!$C$8:$C$2008,"Entregue")+SUMIFS(Vendas!$AO$8:$AO$2008,Vendas!$AL$8:$AL$2008,$B31,Vendas!$E$8:$E$2008,"&gt;=01/10/"&amp;$G$3,Vendas!$E$8:$E$2008,"&lt;=31/10/"&amp;$G$3,Vendas!$C$8:$C$2008,"Entregue")+SUMIFS(Vendas!$AT$8:$AT$2008,Vendas!$AQ$8:$AQ$2008,$B31,Vendas!$E$8:$E$2008,"&gt;=01/10/"&amp;$G$3,Vendas!$E$8:$E$2008,"&lt;=31/10/"&amp;$G$3,Vendas!$C$8:$C$2008,"Entregue")</f>
        <v>0</v>
      </c>
      <c r="W31" s="159">
        <f>SUMIFS(Vendas!$K$8:$K$2008,Vendas!$H$8:$H$2008,$B31,Vendas!$E$8:$E$2008,"&gt;=01/11/"&amp;$G$3,Vendas!$E$8:$E$2008,"&lt;=30/11/"&amp;$G$3)+SUMIFS(Vendas!$P$8:$P$2008,Vendas!$M$8:$M$2008,$B31,Vendas!$E$8:$E$2008,"&gt;=01/11/"&amp;$G$3,Vendas!$E$8:$E$2008,"&lt;=30/11/"&amp;$G$3)+SUMIFS(Vendas!$U$8:$U$2008,Vendas!$R$8:$R$2008,$B31,Vendas!$E$8:$E$2008,"&gt;=01/11/"&amp;$G$3,Vendas!$E$8:$E$2008,"&lt;=30/11/"&amp;$G$3)+SUMIFS(Vendas!$Z$8:$Z$2008,Vendas!$W$8:$W$2008,$B31,Vendas!$E$8:$E$2008,"&gt;=01/11/"&amp;$G$3,Vendas!$E$8:$E$2008,"&lt;=30/11/"&amp;$G$3)+SUMIFS(Vendas!$AE$8:$AE$2008,Vendas!$AB$8:$AB$2008,$B31,Vendas!$E$8:$E$2008,"&gt;=01/11/"&amp;$G$3,Vendas!$E$8:$E$2008,"&lt;=30/11/"&amp;$G$3)+SUMIFS(Vendas!$AJ$8:$AJ$2008,Vendas!$AG$8:$AG$2008,$B31,Vendas!$E$8:$E$2008,"&gt;=01/11/"&amp;$G$3,Vendas!$E$8:$E$2008,"&lt;=30/11/"&amp;$G$3)+SUMIFS(Vendas!$AO$8:$AO$2008,Vendas!$AL$8:$AL$2008,$B31,Vendas!$E$8:$E$2008,"&gt;=01/11/"&amp;$G$3,Vendas!$E$8:$E$2008,"&lt;=30/11/"&amp;$G$3)+SUMIFS(Vendas!$AT$8:$AT$2008,Vendas!$AQ$8:$AQ$2008,$B31,Vendas!$E$8:$E$2008,"&gt;=01/11/"&amp;$G$3,Vendas!$E$8:$E$2008,"&lt;=30/11/"&amp;$G$3)</f>
        <v>0</v>
      </c>
      <c r="X31" s="159">
        <f>SUMIFS(Vendas!$K$8:$K$2008,Vendas!$H$8:$H$2008,$B31,Vendas!$E$8:$E$2008,"&gt;=01/11/"&amp;$G$3,Vendas!$E$8:$E$2008,"&lt;=30/11/"&amp;$G$3,Vendas!$C$8:$C$2008,"Entregue")+SUMIFS(Vendas!$P$8:$P$2008,Vendas!$M$8:$M$2008,$B31,Vendas!$E$8:$E$2008,"&gt;=01/11/"&amp;$G$3,Vendas!$E$8:$E$2008,"&lt;=30/11/"&amp;$G$3,Vendas!$C$8:$C$2008,"Entregue")+SUMIFS(Vendas!$U$8:$U$2008,Vendas!$R$8:$R$2008,$B31,Vendas!$E$8:$E$2008,"&gt;=01/11/"&amp;$G$3,Vendas!$E$8:$E$2008,"&lt;=30/11/"&amp;$G$3,Vendas!$C$8:$C$2008,"Entregue")+SUMIFS(Vendas!$Z$8:$Z$2008,Vendas!$W$8:$W$2008,$B31,Vendas!$E$8:$E$2008,"&gt;=01/11/"&amp;$G$3,Vendas!$E$8:$E$2008,"&lt;=30/11/"&amp;$G$3,Vendas!$C$8:$C$2008,"Entregue")+SUMIFS(Vendas!$AE$8:$AE$2008,Vendas!$AB$8:$AB$2008,$B31,Vendas!$E$8:$E$2008,"&gt;=01/11/"&amp;$G$3,Vendas!$E$8:$E$2008,"&lt;=30/11/"&amp;$G$3,Vendas!$C$8:$C$2008,"Entregue")+SUMIFS(Vendas!$AJ$8:$AJ$2008,Vendas!$AG$8:$AG$2008,$B31,Vendas!$E$8:$E$2008,"&gt;=01/11/"&amp;$G$3,Vendas!$E$8:$E$2008,"&lt;=30/11/"&amp;$G$3,Vendas!$C$8:$C$2008,"Entregue")+SUMIFS(Vendas!$AO$8:$AO$2008,Vendas!$AL$8:$AL$2008,$B31,Vendas!$E$8:$E$2008,"&gt;=01/11/"&amp;$G$3,Vendas!$E$8:$E$2008,"&lt;=30/11/"&amp;$G$3,Vendas!$C$8:$C$2008,"Entregue")+SUMIFS(Vendas!$AT$8:$AT$2008,Vendas!$AQ$8:$AQ$2008,$B31,Vendas!$E$8:$E$2008,"&gt;=01/11/"&amp;$G$3,Vendas!$E$8:$E$2008,"&lt;=30/11/"&amp;$G$3,Vendas!$C$8:$C$2008,"Entregue")</f>
        <v>0</v>
      </c>
      <c r="Y31" s="159">
        <f>SUMIFS(Vendas!$K$8:$K$2008,Vendas!$H$8:$H$2008,$B31,Vendas!$E$8:$E$2008,"&gt;=01/12/"&amp;$G$3,Vendas!$E$8:$E$2008,"&lt;=31/12/"&amp;$G$3)+SUMIFS(Vendas!$P$8:$P$2008,Vendas!$M$8:$M$2008,$B31,Vendas!$E$8:$E$2008,"&gt;=01/12/"&amp;$G$3,Vendas!$E$8:$E$2008,"&lt;=31/12/"&amp;$G$3)+SUMIFS(Vendas!$U$8:$U$2008,Vendas!$R$8:$R$2008,$B31,Vendas!$E$8:$E$2008,"&gt;=01/12/"&amp;$G$3,Vendas!$E$8:$E$2008,"&lt;=31/12/"&amp;$G$3)+SUMIFS(Vendas!$Z$8:$Z$2008,Vendas!$W$8:$W$2008,$B31,Vendas!$E$8:$E$2008,"&gt;=01/12/"&amp;$G$3,Vendas!$E$8:$E$2008,"&lt;=31/12/"&amp;$G$3)+SUMIFS(Vendas!$AE$8:$AE$2008,Vendas!$AB$8:$AB$2008,$B31,Vendas!$E$8:$E$2008,"&gt;=01/12/"&amp;$G$3,Vendas!$E$8:$E$2008,"&lt;=31/12/"&amp;$G$3)+SUMIFS(Vendas!$AJ$8:$AJ$2008,Vendas!$AG$8:$AG$2008,$B31,Vendas!$E$8:$E$2008,"&gt;=01/12/"&amp;$G$3,Vendas!$E$8:$E$2008,"&lt;=31/12/"&amp;$G$3)+SUMIFS(Vendas!$AO$8:$AO$2008,Vendas!$AL$8:$AL$2008,$B31,Vendas!$E$8:$E$2008,"&gt;=01/12/"&amp;$G$3,Vendas!$E$8:$E$2008,"&lt;=31/12/"&amp;$G$3)+SUMIFS(Vendas!$AT$8:$AT$2008,Vendas!$AQ$8:$AQ$2008,$B31,Vendas!$E$8:$E$2008,"&gt;=01/12/"&amp;$G$3,Vendas!$E$8:$E$2008,"&lt;=31/12/"&amp;$G$3)</f>
        <v>0</v>
      </c>
      <c r="Z31" s="160">
        <f>SUMIFS(Vendas!$K$8:$K$2008,Vendas!$H$8:$H$2008,$B31,Vendas!$E$8:$E$2008,"&gt;=01/12/"&amp;$G$3,Vendas!$E$8:$E$2008,"&lt;=31/12/"&amp;$G$3,Vendas!$C$8:$C$2008,"Entregue")+SUMIFS(Vendas!$P$8:$P$2008,Vendas!$M$8:$M$2008,$B31,Vendas!$E$8:$E$2008,"&gt;=01/12/"&amp;$G$3,Vendas!$E$8:$E$2008,"&lt;=31/12/"&amp;$G$3,Vendas!$C$8:$C$2008,"Entregue")+SUMIFS(Vendas!$U$8:$U$2008,Vendas!$R$8:$R$2008,$B31,Vendas!$E$8:$E$2008,"&gt;=01/12/"&amp;$G$3,Vendas!$E$8:$E$2008,"&lt;=31/12/"&amp;$G$3,Vendas!$C$8:$C$2008,"Entregue")+SUMIFS(Vendas!$Z$8:$Z$2008,Vendas!$W$8:$W$2008,$B31,Vendas!$E$8:$E$2008,"&gt;=01/12/"&amp;$G$3,Vendas!$E$8:$E$2008,"&lt;=31/12/"&amp;$G$3,Vendas!$C$8:$C$2008,"Entregue")+SUMIFS(Vendas!$AE$8:$AE$2008,Vendas!$AB$8:$AB$2008,$B31,Vendas!$E$8:$E$2008,"&gt;=01/12/"&amp;$G$3,Vendas!$E$8:$E$2008,"&lt;=31/12/"&amp;$G$3,Vendas!$C$8:$C$2008,"Entregue")+SUMIFS(Vendas!$AJ$8:$AJ$2008,Vendas!$AG$8:$AG$2008,$B31,Vendas!$E$8:$E$2008,"&gt;=01/12/"&amp;$G$3,Vendas!$E$8:$E$2008,"&lt;=31/12/"&amp;$G$3,Vendas!$C$8:$C$2008,"Entregue")+SUMIFS(Vendas!$AO$8:$AO$2008,Vendas!$AL$8:$AL$2008,$B31,Vendas!$E$8:$E$2008,"&gt;=01/12/"&amp;$G$3,Vendas!$E$8:$E$2008,"&lt;=31/12/"&amp;$G$3,Vendas!$C$8:$C$2008,"Entregue")+SUMIFS(Vendas!$AT$8:$AT$2008,Vendas!$AQ$8:$AQ$2008,$B31,Vendas!$E$8:$E$2008,"&gt;=01/12/"&amp;$G$3,Vendas!$E$8:$E$2008,"&lt;=31/12/"&amp;$G$3,Vendas!$C$8:$C$2008,"Entregue")</f>
        <v>0</v>
      </c>
      <c r="AA31" s="132">
        <f t="shared" si="0"/>
        <v>0</v>
      </c>
      <c r="AB31" s="132">
        <f t="shared" si="0"/>
        <v>0</v>
      </c>
      <c r="AC31" s="67"/>
    </row>
    <row r="32" spans="2:29" ht="14.4" x14ac:dyDescent="0.3">
      <c r="B32" s="262" t="str">
        <f>IF(Cadastros!G40="","",Cadastros!G40)</f>
        <v>187 - Rolo Postural Grande</v>
      </c>
      <c r="C32" s="161">
        <f>SUMIFS(Vendas!$K$8:$K$2008,Vendas!$H$8:$H$2008,$B32,Vendas!$E$8:$E$2008,"&gt;=01/01/"&amp;$G$3,Vendas!$E$8:$E$2008,"&lt;=31/01/"&amp;$G$3)+SUMIFS(Vendas!$P$8:$P$2008,Vendas!$M$8:$M$2008,$B32,Vendas!$E$8:$E$2008,"&gt;=01/01/"&amp;$G$3,Vendas!$E$8:$E$2008,"&lt;=31/01/"&amp;$G$3)+SUMIFS(Vendas!$U$8:$U$2008,Vendas!$R$8:$R$2008,$B32,Vendas!$E$8:$E$2008,"&gt;=01/01/"&amp;$G$3,Vendas!$E$8:$E$2008,"&lt;=31/01/"&amp;$G$3)+SUMIFS(Vendas!$Z$8:$Z$2008,Vendas!$W$8:$W$2008,$B32,Vendas!$E$8:$E$2008,"&gt;=01/01/"&amp;$G$3,Vendas!$E$8:$E$2008,"&lt;=31/01/"&amp;$G$3)+SUMIFS(Vendas!$AE$8:$AE$2008,Vendas!$AB$8:$AB$2008,$B32,Vendas!$E$8:$E$2008,"&gt;=01/01/"&amp;$G$3,Vendas!$E$8:$E$2008,"&lt;=31/01/"&amp;$G$3)+SUMIFS(Vendas!$AJ$8:$AJ$2008,Vendas!$AG$8:$AG$2008,$B32,Vendas!$E$8:$E$2008,"&gt;=01/01/"&amp;$G$3,Vendas!$E$8:$E$2008,"&lt;=31/01/"&amp;$G$3)+SUMIFS(Vendas!$AO$8:$AO$2008,Vendas!$AL$8:$AL$2008,$B32,Vendas!$E$8:$E$2008,"&gt;=01/01/"&amp;$G$3,Vendas!$E$8:$E$2008,"&lt;=31/01/"&amp;$G$3)+SUMIFS(Vendas!$AT$8:$AT$2008,Vendas!$AQ$8:$AQ$2008,$B32,Vendas!$E$8:$E$2008,"&gt;=01/01/"&amp;$G$3,Vendas!$E$8:$E$2008,"&lt;=31/01/"&amp;$G$3)</f>
        <v>0</v>
      </c>
      <c r="D32" s="162">
        <f>SUMIFS(Vendas!$K$8:$K$2008,Vendas!$H$8:$H$2008,$B32,Vendas!$E$8:$E$2008,"&gt;=01/01/"&amp;$G$3,Vendas!$E$8:$E$2008,"&lt;=31/01/"&amp;$G$3,Vendas!$C$8:$C$2008,"Entregue")+SUMIFS(Vendas!$P$8:$P$2008,Vendas!$M$8:$M$2008,$B32,Vendas!$E$8:$E$2008,"&gt;=01/01/"&amp;$G$3,Vendas!$E$8:$E$2008,"&lt;=31/01/"&amp;$G$3,Vendas!$C$8:$C$2008,"Entregue")+SUMIFS(Vendas!$U$8:$U$2008,Vendas!$R$8:$R$2008,$B32,Vendas!$E$8:$E$2008,"&gt;=01/01/"&amp;$G$3,Vendas!$E$8:$E$2008,"&lt;=31/01/"&amp;$G$3,Vendas!$C$8:$C$2008,"Entregue")+SUMIFS(Vendas!$Z$8:$Z$2008,Vendas!$W$8:$W$2008,$B32,Vendas!$E$8:$E$2008,"&gt;=01/01/"&amp;$G$3,Vendas!$E$8:$E$2008,"&lt;=31/01/"&amp;$G$3,Vendas!$C$8:$C$2008,"Entregue")+SUMIFS(Vendas!$AE$8:$AE$2008,Vendas!$AB$8:$AB$2008,$B32,Vendas!$E$8:$E$2008,"&gt;=01/01/"&amp;$G$3,Vendas!$E$8:$E$2008,"&lt;=31/01/"&amp;$G$3,Vendas!$C$8:$C$2008,"Entregue")+SUMIFS(Vendas!$AJ$8:$AJ$2008,Vendas!$AG$8:$AG$2008,$B32,Vendas!$E$8:$E$2008,"&gt;=01/01/"&amp;$G$3,Vendas!$E$8:$E$2008,"&lt;=31/01/"&amp;$G$3,Vendas!$C$8:$C$2008,"Entregue")+SUMIFS(Vendas!$AO$8:$AO$2008,Vendas!$AL$8:$AL$2008,$B32,Vendas!$E$8:$E$2008,"&gt;=01/01/"&amp;$G$3,Vendas!$E$8:$E$2008,"&lt;=31/01/"&amp;$G$3,Vendas!$C$8:$C$2008,"Entregue")+SUMIFS(Vendas!$AT$8:$AT$2008,Vendas!$AQ$8:$AQ$2008,$B32,Vendas!$E$8:$E$2008,"&gt;=01/01/"&amp;$G$3,Vendas!$E$8:$E$2008,"&lt;=31/01/"&amp;$G$3,Vendas!$C$8:$C$2008,"Entregue")</f>
        <v>0</v>
      </c>
      <c r="E32" s="162">
        <f>SUMIFS(Vendas!$K$8:$K$2008,Vendas!$H$8:$H$2008,$B32,Vendas!$E$8:$E$2008,"&gt;=01/02/"&amp;$G$3,Vendas!$E$8:$E$2008,"&lt;=28/02/"&amp;$G$3)+SUMIFS(Vendas!$P$8:$P$2008,Vendas!$M$8:$M$2008,$B32,Vendas!$E$8:$E$2008,"&gt;=01/02/"&amp;$G$3,Vendas!$E$8:$E$2008,"&lt;=28/02/"&amp;$G$3)+SUMIFS(Vendas!$U$8:$U$2008,Vendas!$R$8:$R$2008,$B32,Vendas!$E$8:$E$2008,"&gt;=01/02/"&amp;$G$3,Vendas!$E$8:$E$2008,"&lt;=28/02/"&amp;$G$3)+SUMIFS(Vendas!$Z$8:$Z$2008,Vendas!$W$8:$W$2008,$B32,Vendas!$E$8:$E$2008,"&gt;=01/02/"&amp;$G$3,Vendas!$E$8:$E$2008,"&lt;=28/02/"&amp;$G$3)+SUMIFS(Vendas!$AE$8:$AE$2008,Vendas!$AB$8:$AB$2008,$B32,Vendas!$E$8:$E$2008,"&gt;=01/02/"&amp;$G$3,Vendas!$E$8:$E$2008,"&lt;=28/02/"&amp;$G$3)+SUMIFS(Vendas!$AJ$8:$AJ$2008,Vendas!$AG$8:$AG$2008,$B32,Vendas!$E$8:$E$2008,"&gt;=01/02/"&amp;$G$3,Vendas!$E$8:$E$2008,"&lt;=28/02/"&amp;$G$3)+SUMIFS(Vendas!$AO$8:$AO$2008,Vendas!$AL$8:$AL$2008,$B32,Vendas!$E$8:$E$2008,"&gt;=01/02/"&amp;$G$3,Vendas!$E$8:$E$2008,"&lt;=28/02/"&amp;$G$3)+SUMIFS(Vendas!$AT$8:$AT$2008,Vendas!$AQ$8:$AQ$2008,$B32,Vendas!$E$8:$E$2008,"&gt;=01/02/"&amp;$G$3,Vendas!$E$8:$E$2008,"&lt;=28/02/"&amp;$G$3)</f>
        <v>0</v>
      </c>
      <c r="F32" s="162">
        <f>SUMIFS(Vendas!$K$8:$K$2008,Vendas!$H$8:$H$2008,$B32,Vendas!$E$8:$E$2008,"&gt;=01/02/"&amp;$G$3,Vendas!$E$8:$E$2008,"&lt;=28/02/"&amp;$G$3,Vendas!$C$8:$C$2008,"Entregue")+SUMIFS(Vendas!$P$8:$P$2008,Vendas!$M$8:$M$2008,$B32,Vendas!$E$8:$E$2008,"&gt;=01/02/"&amp;$G$3,Vendas!$E$8:$E$2008,"&lt;=28/02/"&amp;$G$3,Vendas!$C$8:$C$2008,"Entregue")+SUMIFS(Vendas!$U$8:$U$2008,Vendas!$R$8:$R$2008,$B32,Vendas!$E$8:$E$2008,"&gt;=01/02/"&amp;$G$3,Vendas!$E$8:$E$2008,"&lt;=28/02/"&amp;$G$3,Vendas!$C$8:$C$2008,"Entregue")+SUMIFS(Vendas!$Z$8:$Z$2008,Vendas!$W$8:$W$2008,$B32,Vendas!$E$8:$E$2008,"&gt;=01/02/"&amp;$G$3,Vendas!$E$8:$E$2008,"&lt;=28/02/"&amp;$G$3,Vendas!$C$8:$C$2008,"Entregue")+SUMIFS(Vendas!$AE$8:$AE$2008,Vendas!$AB$8:$AB$2008,$B32,Vendas!$E$8:$E$2008,"&gt;=01/02/"&amp;$G$3,Vendas!$E$8:$E$2008,"&lt;=28/02/"&amp;$G$3,Vendas!$C$8:$C$2008,"Entregue")+SUMIFS(Vendas!$AJ$8:$AJ$2008,Vendas!$AG$8:$AG$2008,$B32,Vendas!$E$8:$E$2008,"&gt;=01/02/"&amp;$G$3,Vendas!$E$8:$E$2008,"&lt;=28/02/"&amp;$G$3,Vendas!$C$8:$C$2008,"Entregue")+SUMIFS(Vendas!$AO$8:$AO$2008,Vendas!$AL$8:$AL$2008,$B32,Vendas!$E$8:$E$2008,"&gt;=01/02/"&amp;$G$3,Vendas!$E$8:$E$2008,"&lt;=28/02/"&amp;$G$3,Vendas!$C$8:$C$2008,"Entregue")+SUMIFS(Vendas!$AT$8:$AT$2008,Vendas!$AQ$8:$AQ$2008,$B32,Vendas!$E$8:$E$2008,"&gt;=01/02/"&amp;$G$3,Vendas!$E$8:$E$2008,"&lt;=28/02/"&amp;$G$3,Vendas!$C$8:$C$2008,"Entregue")</f>
        <v>0</v>
      </c>
      <c r="G32" s="162">
        <f>SUMIFS(Vendas!$K$8:$K$2008,Vendas!$H$8:$H$2008,$B32,Vendas!$E$8:$E$2008,"&gt;=01/03/"&amp;$G$3,Vendas!$E$8:$E$2008,"&lt;=31/03/"&amp;$G$3)+SUMIFS(Vendas!$P$8:$P$2008,Vendas!$M$8:$M$2008,$B32,Vendas!$E$8:$E$2008,"&gt;=01/03/"&amp;$G$3,Vendas!$E$8:$E$2008,"&lt;=31/03/"&amp;$G$3)+SUMIFS(Vendas!$U$8:$U$2008,Vendas!$R$8:$R$2008,$B32,Vendas!$E$8:$E$2008,"&gt;=01/03/"&amp;$G$3,Vendas!$E$8:$E$2008,"&lt;=31/03/"&amp;$G$3)+SUMIFS(Vendas!$Z$8:$Z$2008,Vendas!$W$8:$W$2008,$B32,Vendas!$E$8:$E$2008,"&gt;=01/03/"&amp;$G$3,Vendas!$E$8:$E$2008,"&lt;=31/03/"&amp;$G$3)+SUMIFS(Vendas!$AE$8:$AE$2008,Vendas!$AB$8:$AB$2008,$B32,Vendas!$E$8:$E$2008,"&gt;=01/03/"&amp;$G$3,Vendas!$E$8:$E$2008,"&lt;=31/03/"&amp;$G$3)+SUMIFS(Vendas!$AJ$8:$AJ$2008,Vendas!$AG$8:$AG$2008,$B32,Vendas!$E$8:$E$2008,"&gt;=01/03/"&amp;$G$3,Vendas!$E$8:$E$2008,"&lt;=31/03/"&amp;$G$3)+SUMIFS(Vendas!$AO$8:$AO$2008,Vendas!$AL$8:$AL$2008,$B32,Vendas!$E$8:$E$2008,"&gt;=01/03/"&amp;$G$3,Vendas!$E$8:$E$2008,"&lt;=31/03/"&amp;$G$3)+SUMIFS(Vendas!$AT$8:$AT$2008,Vendas!$AQ$8:$AQ$2008,$B32,Vendas!$E$8:$E$2008,"&gt;=01/03/"&amp;$G$3,Vendas!$E$8:$E$2008,"&lt;=31/03/"&amp;$G$3)</f>
        <v>0</v>
      </c>
      <c r="H32" s="162">
        <f>SUMIFS(Vendas!$K$8:$K$2008,Vendas!$H$8:$H$2008,$B32,Vendas!$E$8:$E$2008,"&gt;=01/03/"&amp;$G$3,Vendas!$E$8:$E$2008,"&lt;=31/03/"&amp;$G$3,Vendas!$C$8:$C$2008,"Entregue")+SUMIFS(Vendas!$P$8:$P$2008,Vendas!$M$8:$M$2008,$B32,Vendas!$E$8:$E$2008,"&gt;=01/03/"&amp;$G$3,Vendas!$E$8:$E$2008,"&lt;=31/03/"&amp;$G$3,Vendas!$C$8:$C$2008,"Entregue")+SUMIFS(Vendas!$U$8:$U$2008,Vendas!$R$8:$R$2008,$B32,Vendas!$E$8:$E$2008,"&gt;=01/03/"&amp;$G$3,Vendas!$E$8:$E$2008,"&lt;=31/03/"&amp;$G$3,Vendas!$C$8:$C$2008,"Entregue")+SUMIFS(Vendas!$Z$8:$Z$2008,Vendas!$W$8:$W$2008,$B32,Vendas!$E$8:$E$2008,"&gt;=01/03/"&amp;$G$3,Vendas!$E$8:$E$2008,"&lt;=31/03/"&amp;$G$3,Vendas!$C$8:$C$2008,"Entregue")+SUMIFS(Vendas!$AE$8:$AE$2008,Vendas!$AB$8:$AB$2008,$B32,Vendas!$E$8:$E$2008,"&gt;=01/03/"&amp;$G$3,Vendas!$E$8:$E$2008,"&lt;=31/03/"&amp;$G$3,Vendas!$C$8:$C$2008,"Entregue")+SUMIFS(Vendas!$AJ$8:$AJ$2008,Vendas!$AG$8:$AG$2008,$B32,Vendas!$E$8:$E$2008,"&gt;=01/03/"&amp;$G$3,Vendas!$E$8:$E$2008,"&lt;=31/03/"&amp;$G$3,Vendas!$C$8:$C$2008,"Entregue")+SUMIFS(Vendas!$AO$8:$AO$2008,Vendas!$AL$8:$AL$2008,$B32,Vendas!$E$8:$E$2008,"&gt;=01/03/"&amp;$G$3,Vendas!$E$8:$E$2008,"&lt;=31/03/"&amp;$G$3,Vendas!$C$8:$C$2008,"Entregue")+SUMIFS(Vendas!$AT$8:$AT$2008,Vendas!$AQ$8:$AQ$2008,$B32,Vendas!$E$8:$E$2008,"&gt;=01/03/"&amp;$G$3,Vendas!$E$8:$E$2008,"&lt;=31/03/"&amp;$G$3,Vendas!$C$8:$C$2008,"Entregue")</f>
        <v>0</v>
      </c>
      <c r="I32" s="162">
        <f>SUMIFS(Vendas!$K$8:$K$2008,Vendas!$H$8:$H$2008,$B32,Vendas!$E$8:$E$2008,"&gt;=01/04/"&amp;$G$3,Vendas!$E$8:$E$2008,"&lt;=30/04/"&amp;$G$3)+SUMIFS(Vendas!$P$8:$P$2008,Vendas!$M$8:$M$2008,$B32,Vendas!$E$8:$E$2008,"&gt;=01/04/"&amp;$G$3,Vendas!$E$8:$E$2008,"&lt;=30/04/"&amp;$G$3)+SUMIFS(Vendas!$U$8:$U$2008,Vendas!$R$8:$R$2008,$B32,Vendas!$E$8:$E$2008,"&gt;=01/04/"&amp;$G$3,Vendas!$E$8:$E$2008,"&lt;=30/04/"&amp;$G$3)+SUMIFS(Vendas!$Z$8:$Z$2008,Vendas!$W$8:$W$2008,$B32,Vendas!$E$8:$E$2008,"&gt;=01/04/"&amp;$G$3,Vendas!$E$8:$E$2008,"&lt;=30/04/"&amp;$G$3)+SUMIFS(Vendas!$AE$8:$AE$2008,Vendas!$AB$8:$AB$2008,$B32,Vendas!$E$8:$E$2008,"&gt;=01/04/"&amp;$G$3,Vendas!$E$8:$E$2008,"&lt;=30/04/"&amp;$G$3)+SUMIFS(Vendas!$AJ$8:$AJ$2008,Vendas!$AG$8:$AG$2008,$B32,Vendas!$E$8:$E$2008,"&gt;=01/04/"&amp;$G$3,Vendas!$E$8:$E$2008,"&lt;=30/04/"&amp;$G$3)+SUMIFS(Vendas!$AO$8:$AO$2008,Vendas!$AL$8:$AL$2008,$B32,Vendas!$E$8:$E$2008,"&gt;=01/04/"&amp;$G$3,Vendas!$E$8:$E$2008,"&lt;=30/04/"&amp;$G$3)+SUMIFS(Vendas!$AT$8:$AT$2008,Vendas!$AQ$8:$AQ$2008,$B32,Vendas!$E$8:$E$2008,"&gt;=01/04/"&amp;$G$3,Vendas!$E$8:$E$2008,"&lt;=30/04/"&amp;$G$3)</f>
        <v>0</v>
      </c>
      <c r="J32" s="162">
        <f>SUMIFS(Vendas!$K$8:$K$2008,Vendas!$H$8:$H$2008,$B32,Vendas!$E$8:$E$2008,"&gt;=01/04/"&amp;$G$3,Vendas!$E$8:$E$2008,"&lt;=30/04/"&amp;$G$3,Vendas!$C$8:$C$2008,"Entregue")+SUMIFS(Vendas!$P$8:$P$2008,Vendas!$M$8:$M$2008,$B32,Vendas!$E$8:$E$2008,"&gt;=01/04/"&amp;$G$3,Vendas!$E$8:$E$2008,"&lt;=30/04/"&amp;$G$3,Vendas!$C$8:$C$2008,"Entregue")+SUMIFS(Vendas!$U$8:$U$2008,Vendas!$R$8:$R$2008,$B32,Vendas!$E$8:$E$2008,"&gt;=01/04/"&amp;$G$3,Vendas!$E$8:$E$2008,"&lt;=30/04/"&amp;$G$3,Vendas!$C$8:$C$2008,"Entregue")+SUMIFS(Vendas!$Z$8:$Z$2008,Vendas!$W$8:$W$2008,$B32,Vendas!$E$8:$E$2008,"&gt;=01/04/"&amp;$G$3,Vendas!$E$8:$E$2008,"&lt;=30/04/"&amp;$G$3,Vendas!$C$8:$C$2008,"Entregue")+SUMIFS(Vendas!$AE$8:$AE$2008,Vendas!$AB$8:$AB$2008,$B32,Vendas!$E$8:$E$2008,"&gt;=01/04/"&amp;$G$3,Vendas!$E$8:$E$2008,"&lt;=30/04/"&amp;$G$3,Vendas!$C$8:$C$2008,"Entregue")+SUMIFS(Vendas!$AJ$8:$AJ$2008,Vendas!$AG$8:$AG$2008,$B32,Vendas!$E$8:$E$2008,"&gt;=01/04/"&amp;$G$3,Vendas!$E$8:$E$2008,"&lt;=30/04/"&amp;$G$3,Vendas!$C$8:$C$2008,"Entregue")+SUMIFS(Vendas!$AO$8:$AO$2008,Vendas!$AL$8:$AL$2008,$B32,Vendas!$E$8:$E$2008,"&gt;=01/04/"&amp;$G$3,Vendas!$E$8:$E$2008,"&lt;=30/04/"&amp;$G$3,Vendas!$C$8:$C$2008,"Entregue")+SUMIFS(Vendas!$AT$8:$AT$2008,Vendas!$AQ$8:$AQ$2008,$B32,Vendas!$E$8:$E$2008,"&gt;=01/04/"&amp;$G$3,Vendas!$E$8:$E$2008,"&lt;=30/04/"&amp;$G$3,Vendas!$C$8:$C$2008,"Entregue")</f>
        <v>0</v>
      </c>
      <c r="K32" s="162">
        <f>SUMIFS(Vendas!$K$8:$K$2008,Vendas!$H$8:$H$2008,$B32,Vendas!$E$8:$E$2008,"&gt;=01/05/"&amp;$G$3,Vendas!$E$8:$E$2008,"&lt;=31/05/"&amp;$G$3)+SUMIFS(Vendas!$P$8:$P$2008,Vendas!$M$8:$M$2008,$B32,Vendas!$E$8:$E$2008,"&gt;=01/05/"&amp;$G$3,Vendas!$E$8:$E$2008,"&lt;=31/05/"&amp;$G$3)+SUMIFS(Vendas!$U$8:$U$2008,Vendas!$R$8:$R$2008,$B32,Vendas!$E$8:$E$2008,"&gt;=01/05/"&amp;$G$3,Vendas!$E$8:$E$2008,"&lt;=31/05/"&amp;$G$3)+SUMIFS(Vendas!$Z$8:$Z$2008,Vendas!$W$8:$W$2008,$B32,Vendas!$E$8:$E$2008,"&gt;=01/05/"&amp;$G$3,Vendas!$E$8:$E$2008,"&lt;=31/05/"&amp;$G$3)+SUMIFS(Vendas!$AE$8:$AE$2008,Vendas!$AB$8:$AB$2008,$B32,Vendas!$E$8:$E$2008,"&gt;=01/05/"&amp;$G$3,Vendas!$E$8:$E$2008,"&lt;=31/05/"&amp;$G$3)+SUMIFS(Vendas!$AJ$8:$AJ$2008,Vendas!$AG$8:$AG$2008,$B32,Vendas!$E$8:$E$2008,"&gt;=01/05/"&amp;$G$3,Vendas!$E$8:$E$2008,"&lt;=31/05/"&amp;$G$3)+SUMIFS(Vendas!$AO$8:$AO$2008,Vendas!$AL$8:$AL$2008,$B32,Vendas!$E$8:$E$2008,"&gt;=01/05/"&amp;$G$3,Vendas!$E$8:$E$2008,"&lt;=31/05/"&amp;$G$3)+SUMIFS(Vendas!$AT$8:$AT$2008,Vendas!$AQ$8:$AQ$2008,$B32,Vendas!$E$8:$E$2008,"&gt;=01/05/"&amp;$G$3,Vendas!$E$8:$E$2008,"&lt;=31/05/"&amp;$G$3)</f>
        <v>0</v>
      </c>
      <c r="L32" s="162">
        <f>SUMIFS(Vendas!$K$8:$K$2008,Vendas!$H$8:$H$2008,$B32,Vendas!$E$8:$E$2008,"&gt;=01/05/"&amp;$G$3,Vendas!$E$8:$E$2008,"&lt;=31/05/"&amp;$G$3,Vendas!$C$8:$C$2008,"Entregue")+SUMIFS(Vendas!$P$8:$P$2008,Vendas!$M$8:$M$2008,$B32,Vendas!$E$8:$E$2008,"&gt;=01/05/"&amp;$G$3,Vendas!$E$8:$E$2008,"&lt;=31/05/"&amp;$G$3,Vendas!$C$8:$C$2008,"Entregue")+SUMIFS(Vendas!$U$8:$U$2008,Vendas!$R$8:$R$2008,$B32,Vendas!$E$8:$E$2008,"&gt;=01/05/"&amp;$G$3,Vendas!$E$8:$E$2008,"&lt;=31/05/"&amp;$G$3,Vendas!$C$8:$C$2008,"Entregue")+SUMIFS(Vendas!$Z$8:$Z$2008,Vendas!$W$8:$W$2008,$B32,Vendas!$E$8:$E$2008,"&gt;=01/05/"&amp;$G$3,Vendas!$E$8:$E$2008,"&lt;=31/05/"&amp;$G$3,Vendas!$C$8:$C$2008,"Entregue")+SUMIFS(Vendas!$AE$8:$AE$2008,Vendas!$AB$8:$AB$2008,$B32,Vendas!$E$8:$E$2008,"&gt;=01/05/"&amp;$G$3,Vendas!$E$8:$E$2008,"&lt;=31/05/"&amp;$G$3,Vendas!$C$8:$C$2008,"Entregue")+SUMIFS(Vendas!$AJ$8:$AJ$2008,Vendas!$AG$8:$AG$2008,$B32,Vendas!$E$8:$E$2008,"&gt;=01/05/"&amp;$G$3,Vendas!$E$8:$E$2008,"&lt;=31/05/"&amp;$G$3,Vendas!$C$8:$C$2008,"Entregue")+SUMIFS(Vendas!$AO$8:$AO$2008,Vendas!$AL$8:$AL$2008,$B32,Vendas!$E$8:$E$2008,"&gt;=01/05/"&amp;$G$3,Vendas!$E$8:$E$2008,"&lt;=31/05/"&amp;$G$3,Vendas!$C$8:$C$2008,"Entregue")+SUMIFS(Vendas!$AT$8:$AT$2008,Vendas!$AQ$8:$AQ$2008,$B32,Vendas!$E$8:$E$2008,"&gt;=01/05/"&amp;$G$3,Vendas!$E$8:$E$2008,"&lt;=31/05/"&amp;$G$3,Vendas!$C$8:$C$2008,"Entregue")</f>
        <v>0</v>
      </c>
      <c r="M32" s="162">
        <f>SUMIFS(Vendas!$K$8:$K$2008,Vendas!$H$8:$H$2008,$B32,Vendas!$E$8:$E$2008,"&gt;=01/06/"&amp;$G$3,Vendas!$E$8:$E$2008,"&lt;=30/06/"&amp;$G$3)+SUMIFS(Vendas!$P$8:$P$2008,Vendas!$M$8:$M$2008,$B32,Vendas!$E$8:$E$2008,"&gt;=01/06/"&amp;$G$3,Vendas!$E$8:$E$2008,"&lt;=30/06/"&amp;$G$3)+SUMIFS(Vendas!$U$8:$U$2008,Vendas!$R$8:$R$2008,$B32,Vendas!$E$8:$E$2008,"&gt;=01/06/"&amp;$G$3,Vendas!$E$8:$E$2008,"&lt;=30/06/"&amp;$G$3)+SUMIFS(Vendas!$Z$8:$Z$2008,Vendas!$W$8:$W$2008,$B32,Vendas!$E$8:$E$2008,"&gt;=01/06/"&amp;$G$3,Vendas!$E$8:$E$2008,"&lt;=30/06/"&amp;$G$3)+SUMIFS(Vendas!$AE$8:$AE$2008,Vendas!$AB$8:$AB$2008,$B32,Vendas!$E$8:$E$2008,"&gt;=01/06/"&amp;$G$3,Vendas!$E$8:$E$2008,"&lt;=30/06/"&amp;$G$3)+SUMIFS(Vendas!$AJ$8:$AJ$2008,Vendas!$AG$8:$AG$2008,$B32,Vendas!$E$8:$E$2008,"&gt;=01/06/"&amp;$G$3,Vendas!$E$8:$E$2008,"&lt;=30/06/"&amp;$G$3)+SUMIFS(Vendas!$AO$8:$AO$2008,Vendas!$AL$8:$AL$2008,$B32,Vendas!$E$8:$E$2008,"&gt;=01/06/"&amp;$G$3,Vendas!$E$8:$E$2008,"&lt;=30/06/"&amp;$G$3)+SUMIFS(Vendas!$AT$8:$AT$2008,Vendas!$AQ$8:$AQ$2008,$B32,Vendas!$E$8:$E$2008,"&gt;=01/06/"&amp;$G$3,Vendas!$E$8:$E$2008,"&lt;=30/06/"&amp;$G$3)</f>
        <v>0</v>
      </c>
      <c r="N32" s="162">
        <f>SUMIFS(Vendas!$K$8:$K$2008,Vendas!$H$8:$H$2008,$B32,Vendas!$E$8:$E$2008,"&gt;=01/06/"&amp;$G$3,Vendas!$E$8:$E$2008,"&lt;=30/06/"&amp;$G$3,Vendas!$C$8:$C$2008,"Entregue")+SUMIFS(Vendas!$P$8:$P$2008,Vendas!$M$8:$M$2008,$B32,Vendas!$E$8:$E$2008,"&gt;=01/06/"&amp;$G$3,Vendas!$E$8:$E$2008,"&lt;=30/06/"&amp;$G$3,Vendas!$C$8:$C$2008,"Entregue")+SUMIFS(Vendas!$U$8:$U$2008,Vendas!$R$8:$R$2008,$B32,Vendas!$E$8:$E$2008,"&gt;=01/06/"&amp;$G$3,Vendas!$E$8:$E$2008,"&lt;=30/06/"&amp;$G$3,Vendas!$C$8:$C$2008,"Entregue")+SUMIFS(Vendas!$Z$8:$Z$2008,Vendas!$W$8:$W$2008,$B32,Vendas!$E$8:$E$2008,"&gt;=01/06/"&amp;$G$3,Vendas!$E$8:$E$2008,"&lt;=30/06/"&amp;$G$3,Vendas!$C$8:$C$2008,"Entregue")+SUMIFS(Vendas!$AE$8:$AE$2008,Vendas!$AB$8:$AB$2008,$B32,Vendas!$E$8:$E$2008,"&gt;=01/06/"&amp;$G$3,Vendas!$E$8:$E$2008,"&lt;=30/06/"&amp;$G$3,Vendas!$C$8:$C$2008,"Entregue")+SUMIFS(Vendas!$AJ$8:$AJ$2008,Vendas!$AG$8:$AG$2008,$B32,Vendas!$E$8:$E$2008,"&gt;=01/06/"&amp;$G$3,Vendas!$E$8:$E$2008,"&lt;=30/06/"&amp;$G$3,Vendas!$C$8:$C$2008,"Entregue")+SUMIFS(Vendas!$AO$8:$AO$2008,Vendas!$AL$8:$AL$2008,$B32,Vendas!$E$8:$E$2008,"&gt;=01/06/"&amp;$G$3,Vendas!$E$8:$E$2008,"&lt;=30/06/"&amp;$G$3,Vendas!$C$8:$C$2008,"Entregue")+SUMIFS(Vendas!$AT$8:$AT$2008,Vendas!$AQ$8:$AQ$2008,$B32,Vendas!$E$8:$E$2008,"&gt;=01/06/"&amp;$G$3,Vendas!$E$8:$E$2008,"&lt;=30/06/"&amp;$G$3,Vendas!$C$8:$C$2008,"Entregue")</f>
        <v>0</v>
      </c>
      <c r="O32" s="162">
        <f>SUMIFS(Vendas!$K$8:$K$2008,Vendas!$H$8:$H$2008,$B32,Vendas!$E$8:$E$2008,"&gt;=01/07/"&amp;$G$3,Vendas!$E$8:$E$2008,"&lt;=31/07/"&amp;$G$3)+SUMIFS(Vendas!$P$8:$P$2008,Vendas!$M$8:$M$2008,$B32,Vendas!$E$8:$E$2008,"&gt;=01/07/"&amp;$G$3,Vendas!$E$8:$E$2008,"&lt;=31/07/"&amp;$G$3)+SUMIFS(Vendas!$U$8:$U$2008,Vendas!$R$8:$R$2008,$B32,Vendas!$E$8:$E$2008,"&gt;=01/07/"&amp;$G$3,Vendas!$E$8:$E$2008,"&lt;=31/07/"&amp;$G$3)+SUMIFS(Vendas!$Z$8:$Z$2008,Vendas!$W$8:$W$2008,$B32,Vendas!$E$8:$E$2008,"&gt;=01/07/"&amp;$G$3,Vendas!$E$8:$E$2008,"&lt;=31/07/"&amp;$G$3)+SUMIFS(Vendas!$AE$8:$AE$2008,Vendas!$AB$8:$AB$2008,$B32,Vendas!$E$8:$E$2008,"&gt;=01/07/"&amp;$G$3,Vendas!$E$8:$E$2008,"&lt;=31/07/"&amp;$G$3)+SUMIFS(Vendas!$AJ$8:$AJ$2008,Vendas!$AG$8:$AG$2008,$B32,Vendas!$E$8:$E$2008,"&gt;=01/07/"&amp;$G$3,Vendas!$E$8:$E$2008,"&lt;=31/07/"&amp;$G$3)+SUMIFS(Vendas!$AO$8:$AO$2008,Vendas!$AL$8:$AL$2008,$B32,Vendas!$E$8:$E$2008,"&gt;=01/07/"&amp;$G$3,Vendas!$E$8:$E$2008,"&lt;=31/07/"&amp;$G$3)+SUMIFS(Vendas!$AT$8:$AT$2008,Vendas!$AQ$8:$AQ$2008,$B32,Vendas!$E$8:$E$2008,"&gt;=01/07/"&amp;$G$3,Vendas!$E$8:$E$2008,"&lt;=31/07/"&amp;$G$3)</f>
        <v>0</v>
      </c>
      <c r="P32" s="162">
        <f>SUMIFS(Vendas!$K$8:$K$2008,Vendas!$H$8:$H$2008,$B32,Vendas!$E$8:$E$2008,"&gt;=01/07/"&amp;$G$3,Vendas!$E$8:$E$2008,"&lt;=31/07/"&amp;$G$3,Vendas!$C$8:$C$2008,"Entregue")+SUMIFS(Vendas!$P$8:$P$2008,Vendas!$M$8:$M$2008,$B32,Vendas!$E$8:$E$2008,"&gt;=01/07/"&amp;$G$3,Vendas!$E$8:$E$2008,"&lt;=31/07/"&amp;$G$3,Vendas!$C$8:$C$2008,"Entregue")+SUMIFS(Vendas!$U$8:$U$2008,Vendas!$R$8:$R$2008,$B32,Vendas!$E$8:$E$2008,"&gt;=01/07/"&amp;$G$3,Vendas!$E$8:$E$2008,"&lt;=31/07/"&amp;$G$3,Vendas!$C$8:$C$2008,"Entregue")+SUMIFS(Vendas!$Z$8:$Z$2008,Vendas!$W$8:$W$2008,$B32,Vendas!$E$8:$E$2008,"&gt;=01/07/"&amp;$G$3,Vendas!$E$8:$E$2008,"&lt;=31/07/"&amp;$G$3,Vendas!$C$8:$C$2008,"Entregue")+SUMIFS(Vendas!$AE$8:$AE$2008,Vendas!$AB$8:$AB$2008,$B32,Vendas!$E$8:$E$2008,"&gt;=01/07/"&amp;$G$3,Vendas!$E$8:$E$2008,"&lt;=31/07/"&amp;$G$3,Vendas!$C$8:$C$2008,"Entregue")+SUMIFS(Vendas!$AJ$8:$AJ$2008,Vendas!$AG$8:$AG$2008,$B32,Vendas!$E$8:$E$2008,"&gt;=01/07/"&amp;$G$3,Vendas!$E$8:$E$2008,"&lt;=31/07/"&amp;$G$3,Vendas!$C$8:$C$2008,"Entregue")+SUMIFS(Vendas!$AO$8:$AO$2008,Vendas!$AL$8:$AL$2008,$B32,Vendas!$E$8:$E$2008,"&gt;=01/07/"&amp;$G$3,Vendas!$E$8:$E$2008,"&lt;=31/07/"&amp;$G$3,Vendas!$C$8:$C$2008,"Entregue")+SUMIFS(Vendas!$AT$8:$AT$2008,Vendas!$AQ$8:$AQ$2008,$B32,Vendas!$E$8:$E$2008,"&gt;=01/07/"&amp;$G$3,Vendas!$E$8:$E$2008,"&lt;=31/07/"&amp;$G$3,Vendas!$C$8:$C$2008,"Entregue")</f>
        <v>0</v>
      </c>
      <c r="Q32" s="162">
        <f>SUMIFS(Vendas!$K$8:$K$2008,Vendas!$H$8:$H$2008,$B32,Vendas!$E$8:$E$2008,"&gt;=01/08/"&amp;$G$3,Vendas!$E$8:$E$2008,"&lt;=31/08/"&amp;$G$3)+SUMIFS(Vendas!$P$8:$P$2008,Vendas!$M$8:$M$2008,$B32,Vendas!$E$8:$E$2008,"&gt;=01/08/"&amp;$G$3,Vendas!$E$8:$E$2008,"&lt;=31/08/"&amp;$G$3)+SUMIFS(Vendas!$U$8:$U$2008,Vendas!$R$8:$R$2008,$B32,Vendas!$E$8:$E$2008,"&gt;=01/08/"&amp;$G$3,Vendas!$E$8:$E$2008,"&lt;=31/08/"&amp;$G$3)+SUMIFS(Vendas!$Z$8:$Z$2008,Vendas!$W$8:$W$2008,$B32,Vendas!$E$8:$E$2008,"&gt;=01/08/"&amp;$G$3,Vendas!$E$8:$E$2008,"&lt;=31/08/"&amp;$G$3)+SUMIFS(Vendas!$AE$8:$AE$2008,Vendas!$AB$8:$AB$2008,$B32,Vendas!$E$8:$E$2008,"&gt;=01/08/"&amp;$G$3,Vendas!$E$8:$E$2008,"&lt;=31/08/"&amp;$G$3)+SUMIFS(Vendas!$AJ$8:$AJ$2008,Vendas!$AG$8:$AG$2008,$B32,Vendas!$E$8:$E$2008,"&gt;=01/08/"&amp;$G$3,Vendas!$E$8:$E$2008,"&lt;=31/08/"&amp;$G$3)+SUMIFS(Vendas!$AO$8:$AO$2008,Vendas!$AL$8:$AL$2008,$B32,Vendas!$E$8:$E$2008,"&gt;=01/08/"&amp;$G$3,Vendas!$E$8:$E$2008,"&lt;=31/08/"&amp;$G$3)+SUMIFS(Vendas!$AT$8:$AT$2008,Vendas!$AQ$8:$AQ$2008,$B32,Vendas!$E$8:$E$2008,"&gt;=01/08/"&amp;$G$3,Vendas!$E$8:$E$2008,"&lt;=31/08/"&amp;$G$3)</f>
        <v>0</v>
      </c>
      <c r="R32" s="162">
        <f>SUMIFS(Vendas!$K$8:$K$2008,Vendas!$H$8:$H$2008,$B32,Vendas!$E$8:$E$2008,"&gt;=01/08/"&amp;$G$3,Vendas!$E$8:$E$2008,"&lt;=31/08/"&amp;$G$3,Vendas!$C$8:$C$2008,"Entregue")+SUMIFS(Vendas!$P$8:$P$2008,Vendas!$M$8:$M$2008,$B32,Vendas!$E$8:$E$2008,"&gt;=01/08/"&amp;$G$3,Vendas!$E$8:$E$2008,"&lt;=31/08/"&amp;$G$3,Vendas!$C$8:$C$2008,"Entregue")+SUMIFS(Vendas!$U$8:$U$2008,Vendas!$R$8:$R$2008,$B32,Vendas!$E$8:$E$2008,"&gt;=01/08/"&amp;$G$3,Vendas!$E$8:$E$2008,"&lt;=31/08/"&amp;$G$3,Vendas!$C$8:$C$2008,"Entregue")+SUMIFS(Vendas!$Z$8:$Z$2008,Vendas!$W$8:$W$2008,$B32,Vendas!$E$8:$E$2008,"&gt;=01/08/"&amp;$G$3,Vendas!$E$8:$E$2008,"&lt;=31/08/"&amp;$G$3,Vendas!$C$8:$C$2008,"Entregue")+SUMIFS(Vendas!$AE$8:$AE$2008,Vendas!$AB$8:$AB$2008,$B32,Vendas!$E$8:$E$2008,"&gt;=01/08/"&amp;$G$3,Vendas!$E$8:$E$2008,"&lt;=31/08/"&amp;$G$3,Vendas!$C$8:$C$2008,"Entregue")+SUMIFS(Vendas!$AJ$8:$AJ$2008,Vendas!$AG$8:$AG$2008,$B32,Vendas!$E$8:$E$2008,"&gt;=01/08/"&amp;$G$3,Vendas!$E$8:$E$2008,"&lt;=31/08/"&amp;$G$3,Vendas!$C$8:$C$2008,"Entregue")+SUMIFS(Vendas!$AO$8:$AO$2008,Vendas!$AL$8:$AL$2008,$B32,Vendas!$E$8:$E$2008,"&gt;=01/08/"&amp;$G$3,Vendas!$E$8:$E$2008,"&lt;=31/08/"&amp;$G$3,Vendas!$C$8:$C$2008,"Entregue")+SUMIFS(Vendas!$AT$8:$AT$2008,Vendas!$AQ$8:$AQ$2008,$B32,Vendas!$E$8:$E$2008,"&gt;=01/08/"&amp;$G$3,Vendas!$E$8:$E$2008,"&lt;=31/08/"&amp;$G$3,Vendas!$C$8:$C$2008,"Entregue")</f>
        <v>0</v>
      </c>
      <c r="S32" s="162">
        <f>SUMIFS(Vendas!$K$8:$K$2008,Vendas!$H$8:$H$2008,$B32,Vendas!$E$8:$E$2008,"&gt;=01/09/"&amp;$G$3,Vendas!$E$8:$E$2008,"&lt;=30/09/"&amp;$G$3)+SUMIFS(Vendas!$P$8:$P$2008,Vendas!$M$8:$M$2008,$B32,Vendas!$E$8:$E$2008,"&gt;=01/09/"&amp;$G$3,Vendas!$E$8:$E$2008,"&lt;=30/09/"&amp;$G$3)+SUMIFS(Vendas!$U$8:$U$2008,Vendas!$R$8:$R$2008,$B32,Vendas!$E$8:$E$2008,"&gt;=01/09/"&amp;$G$3,Vendas!$E$8:$E$2008,"&lt;=30/09/"&amp;$G$3)+SUMIFS(Vendas!$Z$8:$Z$2008,Vendas!$W$8:$W$2008,$B32,Vendas!$E$8:$E$2008,"&gt;=01/09/"&amp;$G$3,Vendas!$E$8:$E$2008,"&lt;=30/09/"&amp;$G$3)+SUMIFS(Vendas!$AE$8:$AE$2008,Vendas!$AB$8:$AB$2008,$B32,Vendas!$E$8:$E$2008,"&gt;=01/09/"&amp;$G$3,Vendas!$E$8:$E$2008,"&lt;=30/09/"&amp;$G$3)+SUMIFS(Vendas!$AJ$8:$AJ$2008,Vendas!$AG$8:$AG$2008,$B32,Vendas!$E$8:$E$2008,"&gt;=01/09/"&amp;$G$3,Vendas!$E$8:$E$2008,"&lt;=30/09/"&amp;$G$3)+SUMIFS(Vendas!$AO$8:$AO$2008,Vendas!$AL$8:$AL$2008,$B32,Vendas!$E$8:$E$2008,"&gt;=01/09/"&amp;$G$3,Vendas!$E$8:$E$2008,"&lt;=30/09/"&amp;$G$3)+SUMIFS(Vendas!$AT$8:$AT$2008,Vendas!$AQ$8:$AQ$2008,$B32,Vendas!$E$8:$E$2008,"&gt;=01/09/"&amp;$G$3,Vendas!$E$8:$E$2008,"&lt;=30/09/"&amp;$G$3)</f>
        <v>0</v>
      </c>
      <c r="T32" s="162">
        <f>SUMIFS(Vendas!$K$8:$K$2008,Vendas!$H$8:$H$2008,$B32,Vendas!$E$8:$E$2008,"&gt;=01/09/"&amp;$G$3,Vendas!$E$8:$E$2008,"&lt;=30/09/"&amp;$G$3,Vendas!$C$8:$C$2008,"Entregue")+SUMIFS(Vendas!$P$8:$P$2008,Vendas!$M$8:$M$2008,$B32,Vendas!$E$8:$E$2008,"&gt;=01/09/"&amp;$G$3,Vendas!$E$8:$E$2008,"&lt;=30/09/"&amp;$G$3,Vendas!$C$8:$C$2008,"Entregue")+SUMIFS(Vendas!$U$8:$U$2008,Vendas!$R$8:$R$2008,$B32,Vendas!$E$8:$E$2008,"&gt;=01/09/"&amp;$G$3,Vendas!$E$8:$E$2008,"&lt;=30/09/"&amp;$G$3,Vendas!$C$8:$C$2008,"Entregue")+SUMIFS(Vendas!$Z$8:$Z$2008,Vendas!$W$8:$W$2008,$B32,Vendas!$E$8:$E$2008,"&gt;=01/09/"&amp;$G$3,Vendas!$E$8:$E$2008,"&lt;=30/09/"&amp;$G$3,Vendas!$C$8:$C$2008,"Entregue")+SUMIFS(Vendas!$AE$8:$AE$2008,Vendas!$AB$8:$AB$2008,$B32,Vendas!$E$8:$E$2008,"&gt;=01/09/"&amp;$G$3,Vendas!$E$8:$E$2008,"&lt;=30/09/"&amp;$G$3,Vendas!$C$8:$C$2008,"Entregue")+SUMIFS(Vendas!$AJ$8:$AJ$2008,Vendas!$AG$8:$AG$2008,$B32,Vendas!$E$8:$E$2008,"&gt;=01/09/"&amp;$G$3,Vendas!$E$8:$E$2008,"&lt;=30/09/"&amp;$G$3,Vendas!$C$8:$C$2008,"Entregue")+SUMIFS(Vendas!$AO$8:$AO$2008,Vendas!$AL$8:$AL$2008,$B32,Vendas!$E$8:$E$2008,"&gt;=01/09/"&amp;$G$3,Vendas!$E$8:$E$2008,"&lt;=30/09/"&amp;$G$3,Vendas!$C$8:$C$2008,"Entregue")+SUMIFS(Vendas!$AT$8:$AT$2008,Vendas!$AQ$8:$AQ$2008,$B32,Vendas!$E$8:$E$2008,"&gt;=01/09/"&amp;$G$3,Vendas!$E$8:$E$2008,"&lt;=30/09/"&amp;$G$3,Vendas!$C$8:$C$2008,"Entregue")</f>
        <v>0</v>
      </c>
      <c r="U32" s="162">
        <f>SUMIFS(Vendas!$K$8:$K$2008,Vendas!$H$8:$H$2008,$B32,Vendas!$E$8:$E$2008,"&gt;=01/10/"&amp;$G$3,Vendas!$E$8:$E$2008,"&lt;=31/10/"&amp;$G$3)+SUMIFS(Vendas!$P$8:$P$2008,Vendas!$M$8:$M$2008,$B32,Vendas!$E$8:$E$2008,"&gt;=01/10/"&amp;$G$3,Vendas!$E$8:$E$2008,"&lt;=31/10/"&amp;$G$3)+SUMIFS(Vendas!$U$8:$U$2008,Vendas!$R$8:$R$2008,$B32,Vendas!$E$8:$E$2008,"&gt;=01/10/"&amp;$G$3,Vendas!$E$8:$E$2008,"&lt;=31/10/"&amp;$G$3)+SUMIFS(Vendas!$Z$8:$Z$2008,Vendas!$W$8:$W$2008,$B32,Vendas!$E$8:$E$2008,"&gt;=01/10/"&amp;$G$3,Vendas!$E$8:$E$2008,"&lt;=31/10/"&amp;$G$3)+SUMIFS(Vendas!$AE$8:$AE$2008,Vendas!$AB$8:$AB$2008,$B32,Vendas!$E$8:$E$2008,"&gt;=01/10/"&amp;$G$3,Vendas!$E$8:$E$2008,"&lt;=31/10/"&amp;$G$3)+SUMIFS(Vendas!$AJ$8:$AJ$2008,Vendas!$AG$8:$AG$2008,$B32,Vendas!$E$8:$E$2008,"&gt;=01/10/"&amp;$G$3,Vendas!$E$8:$E$2008,"&lt;=31/10/"&amp;$G$3)+SUMIFS(Vendas!$AO$8:$AO$2008,Vendas!$AL$8:$AL$2008,$B32,Vendas!$E$8:$E$2008,"&gt;=01/10/"&amp;$G$3,Vendas!$E$8:$E$2008,"&lt;=31/10/"&amp;$G$3)+SUMIFS(Vendas!$AT$8:$AT$2008,Vendas!$AQ$8:$AQ$2008,$B32,Vendas!$E$8:$E$2008,"&gt;=01/10/"&amp;$G$3,Vendas!$E$8:$E$2008,"&lt;=31/10/"&amp;$G$3)</f>
        <v>0</v>
      </c>
      <c r="V32" s="162">
        <f>SUMIFS(Vendas!$K$8:$K$2008,Vendas!$H$8:$H$2008,$B32,Vendas!$E$8:$E$2008,"&gt;=01/10/"&amp;$G$3,Vendas!$E$8:$E$2008,"&lt;=31/10/"&amp;$G$3,Vendas!$C$8:$C$2008,"Entregue")+SUMIFS(Vendas!$P$8:$P$2008,Vendas!$M$8:$M$2008,$B32,Vendas!$E$8:$E$2008,"&gt;=01/10/"&amp;$G$3,Vendas!$E$8:$E$2008,"&lt;=31/10/"&amp;$G$3,Vendas!$C$8:$C$2008,"Entregue")+SUMIFS(Vendas!$U$8:$U$2008,Vendas!$R$8:$R$2008,$B32,Vendas!$E$8:$E$2008,"&gt;=01/10/"&amp;$G$3,Vendas!$E$8:$E$2008,"&lt;=31/10/"&amp;$G$3,Vendas!$C$8:$C$2008,"Entregue")+SUMIFS(Vendas!$Z$8:$Z$2008,Vendas!$W$8:$W$2008,$B32,Vendas!$E$8:$E$2008,"&gt;=01/10/"&amp;$G$3,Vendas!$E$8:$E$2008,"&lt;=31/10/"&amp;$G$3,Vendas!$C$8:$C$2008,"Entregue")+SUMIFS(Vendas!$AE$8:$AE$2008,Vendas!$AB$8:$AB$2008,$B32,Vendas!$E$8:$E$2008,"&gt;=01/10/"&amp;$G$3,Vendas!$E$8:$E$2008,"&lt;=31/10/"&amp;$G$3,Vendas!$C$8:$C$2008,"Entregue")+SUMIFS(Vendas!$AJ$8:$AJ$2008,Vendas!$AG$8:$AG$2008,$B32,Vendas!$E$8:$E$2008,"&gt;=01/10/"&amp;$G$3,Vendas!$E$8:$E$2008,"&lt;=31/10/"&amp;$G$3,Vendas!$C$8:$C$2008,"Entregue")+SUMIFS(Vendas!$AO$8:$AO$2008,Vendas!$AL$8:$AL$2008,$B32,Vendas!$E$8:$E$2008,"&gt;=01/10/"&amp;$G$3,Vendas!$E$8:$E$2008,"&lt;=31/10/"&amp;$G$3,Vendas!$C$8:$C$2008,"Entregue")+SUMIFS(Vendas!$AT$8:$AT$2008,Vendas!$AQ$8:$AQ$2008,$B32,Vendas!$E$8:$E$2008,"&gt;=01/10/"&amp;$G$3,Vendas!$E$8:$E$2008,"&lt;=31/10/"&amp;$G$3,Vendas!$C$8:$C$2008,"Entregue")</f>
        <v>0</v>
      </c>
      <c r="W32" s="162">
        <f>SUMIFS(Vendas!$K$8:$K$2008,Vendas!$H$8:$H$2008,$B32,Vendas!$E$8:$E$2008,"&gt;=01/11/"&amp;$G$3,Vendas!$E$8:$E$2008,"&lt;=30/11/"&amp;$G$3)+SUMIFS(Vendas!$P$8:$P$2008,Vendas!$M$8:$M$2008,$B32,Vendas!$E$8:$E$2008,"&gt;=01/11/"&amp;$G$3,Vendas!$E$8:$E$2008,"&lt;=30/11/"&amp;$G$3)+SUMIFS(Vendas!$U$8:$U$2008,Vendas!$R$8:$R$2008,$B32,Vendas!$E$8:$E$2008,"&gt;=01/11/"&amp;$G$3,Vendas!$E$8:$E$2008,"&lt;=30/11/"&amp;$G$3)+SUMIFS(Vendas!$Z$8:$Z$2008,Vendas!$W$8:$W$2008,$B32,Vendas!$E$8:$E$2008,"&gt;=01/11/"&amp;$G$3,Vendas!$E$8:$E$2008,"&lt;=30/11/"&amp;$G$3)+SUMIFS(Vendas!$AE$8:$AE$2008,Vendas!$AB$8:$AB$2008,$B32,Vendas!$E$8:$E$2008,"&gt;=01/11/"&amp;$G$3,Vendas!$E$8:$E$2008,"&lt;=30/11/"&amp;$G$3)+SUMIFS(Vendas!$AJ$8:$AJ$2008,Vendas!$AG$8:$AG$2008,$B32,Vendas!$E$8:$E$2008,"&gt;=01/11/"&amp;$G$3,Vendas!$E$8:$E$2008,"&lt;=30/11/"&amp;$G$3)+SUMIFS(Vendas!$AO$8:$AO$2008,Vendas!$AL$8:$AL$2008,$B32,Vendas!$E$8:$E$2008,"&gt;=01/11/"&amp;$G$3,Vendas!$E$8:$E$2008,"&lt;=30/11/"&amp;$G$3)+SUMIFS(Vendas!$AT$8:$AT$2008,Vendas!$AQ$8:$AQ$2008,$B32,Vendas!$E$8:$E$2008,"&gt;=01/11/"&amp;$G$3,Vendas!$E$8:$E$2008,"&lt;=30/11/"&amp;$G$3)</f>
        <v>0</v>
      </c>
      <c r="X32" s="162">
        <f>SUMIFS(Vendas!$K$8:$K$2008,Vendas!$H$8:$H$2008,$B32,Vendas!$E$8:$E$2008,"&gt;=01/11/"&amp;$G$3,Vendas!$E$8:$E$2008,"&lt;=30/11/"&amp;$G$3,Vendas!$C$8:$C$2008,"Entregue")+SUMIFS(Vendas!$P$8:$P$2008,Vendas!$M$8:$M$2008,$B32,Vendas!$E$8:$E$2008,"&gt;=01/11/"&amp;$G$3,Vendas!$E$8:$E$2008,"&lt;=30/11/"&amp;$G$3,Vendas!$C$8:$C$2008,"Entregue")+SUMIFS(Vendas!$U$8:$U$2008,Vendas!$R$8:$R$2008,$B32,Vendas!$E$8:$E$2008,"&gt;=01/11/"&amp;$G$3,Vendas!$E$8:$E$2008,"&lt;=30/11/"&amp;$G$3,Vendas!$C$8:$C$2008,"Entregue")+SUMIFS(Vendas!$Z$8:$Z$2008,Vendas!$W$8:$W$2008,$B32,Vendas!$E$8:$E$2008,"&gt;=01/11/"&amp;$G$3,Vendas!$E$8:$E$2008,"&lt;=30/11/"&amp;$G$3,Vendas!$C$8:$C$2008,"Entregue")+SUMIFS(Vendas!$AE$8:$AE$2008,Vendas!$AB$8:$AB$2008,$B32,Vendas!$E$8:$E$2008,"&gt;=01/11/"&amp;$G$3,Vendas!$E$8:$E$2008,"&lt;=30/11/"&amp;$G$3,Vendas!$C$8:$C$2008,"Entregue")+SUMIFS(Vendas!$AJ$8:$AJ$2008,Vendas!$AG$8:$AG$2008,$B32,Vendas!$E$8:$E$2008,"&gt;=01/11/"&amp;$G$3,Vendas!$E$8:$E$2008,"&lt;=30/11/"&amp;$G$3,Vendas!$C$8:$C$2008,"Entregue")+SUMIFS(Vendas!$AO$8:$AO$2008,Vendas!$AL$8:$AL$2008,$B32,Vendas!$E$8:$E$2008,"&gt;=01/11/"&amp;$G$3,Vendas!$E$8:$E$2008,"&lt;=30/11/"&amp;$G$3,Vendas!$C$8:$C$2008,"Entregue")+SUMIFS(Vendas!$AT$8:$AT$2008,Vendas!$AQ$8:$AQ$2008,$B32,Vendas!$E$8:$E$2008,"&gt;=01/11/"&amp;$G$3,Vendas!$E$8:$E$2008,"&lt;=30/11/"&amp;$G$3,Vendas!$C$8:$C$2008,"Entregue")</f>
        <v>0</v>
      </c>
      <c r="Y32" s="162">
        <f>SUMIFS(Vendas!$K$8:$K$2008,Vendas!$H$8:$H$2008,$B32,Vendas!$E$8:$E$2008,"&gt;=01/12/"&amp;$G$3,Vendas!$E$8:$E$2008,"&lt;=31/12/"&amp;$G$3)+SUMIFS(Vendas!$P$8:$P$2008,Vendas!$M$8:$M$2008,$B32,Vendas!$E$8:$E$2008,"&gt;=01/12/"&amp;$G$3,Vendas!$E$8:$E$2008,"&lt;=31/12/"&amp;$G$3)+SUMIFS(Vendas!$U$8:$U$2008,Vendas!$R$8:$R$2008,$B32,Vendas!$E$8:$E$2008,"&gt;=01/12/"&amp;$G$3,Vendas!$E$8:$E$2008,"&lt;=31/12/"&amp;$G$3)+SUMIFS(Vendas!$Z$8:$Z$2008,Vendas!$W$8:$W$2008,$B32,Vendas!$E$8:$E$2008,"&gt;=01/12/"&amp;$G$3,Vendas!$E$8:$E$2008,"&lt;=31/12/"&amp;$G$3)+SUMIFS(Vendas!$AE$8:$AE$2008,Vendas!$AB$8:$AB$2008,$B32,Vendas!$E$8:$E$2008,"&gt;=01/12/"&amp;$G$3,Vendas!$E$8:$E$2008,"&lt;=31/12/"&amp;$G$3)+SUMIFS(Vendas!$AJ$8:$AJ$2008,Vendas!$AG$8:$AG$2008,$B32,Vendas!$E$8:$E$2008,"&gt;=01/12/"&amp;$G$3,Vendas!$E$8:$E$2008,"&lt;=31/12/"&amp;$G$3)+SUMIFS(Vendas!$AO$8:$AO$2008,Vendas!$AL$8:$AL$2008,$B32,Vendas!$E$8:$E$2008,"&gt;=01/12/"&amp;$G$3,Vendas!$E$8:$E$2008,"&lt;=31/12/"&amp;$G$3)+SUMIFS(Vendas!$AT$8:$AT$2008,Vendas!$AQ$8:$AQ$2008,$B32,Vendas!$E$8:$E$2008,"&gt;=01/12/"&amp;$G$3,Vendas!$E$8:$E$2008,"&lt;=31/12/"&amp;$G$3)</f>
        <v>0</v>
      </c>
      <c r="Z32" s="163">
        <f>SUMIFS(Vendas!$K$8:$K$2008,Vendas!$H$8:$H$2008,$B32,Vendas!$E$8:$E$2008,"&gt;=01/12/"&amp;$G$3,Vendas!$E$8:$E$2008,"&lt;=31/12/"&amp;$G$3,Vendas!$C$8:$C$2008,"Entregue")+SUMIFS(Vendas!$P$8:$P$2008,Vendas!$M$8:$M$2008,$B32,Vendas!$E$8:$E$2008,"&gt;=01/12/"&amp;$G$3,Vendas!$E$8:$E$2008,"&lt;=31/12/"&amp;$G$3,Vendas!$C$8:$C$2008,"Entregue")+SUMIFS(Vendas!$U$8:$U$2008,Vendas!$R$8:$R$2008,$B32,Vendas!$E$8:$E$2008,"&gt;=01/12/"&amp;$G$3,Vendas!$E$8:$E$2008,"&lt;=31/12/"&amp;$G$3,Vendas!$C$8:$C$2008,"Entregue")+SUMIFS(Vendas!$Z$8:$Z$2008,Vendas!$W$8:$W$2008,$B32,Vendas!$E$8:$E$2008,"&gt;=01/12/"&amp;$G$3,Vendas!$E$8:$E$2008,"&lt;=31/12/"&amp;$G$3,Vendas!$C$8:$C$2008,"Entregue")+SUMIFS(Vendas!$AE$8:$AE$2008,Vendas!$AB$8:$AB$2008,$B32,Vendas!$E$8:$E$2008,"&gt;=01/12/"&amp;$G$3,Vendas!$E$8:$E$2008,"&lt;=31/12/"&amp;$G$3,Vendas!$C$8:$C$2008,"Entregue")+SUMIFS(Vendas!$AJ$8:$AJ$2008,Vendas!$AG$8:$AG$2008,$B32,Vendas!$E$8:$E$2008,"&gt;=01/12/"&amp;$G$3,Vendas!$E$8:$E$2008,"&lt;=31/12/"&amp;$G$3,Vendas!$C$8:$C$2008,"Entregue")+SUMIFS(Vendas!$AO$8:$AO$2008,Vendas!$AL$8:$AL$2008,$B32,Vendas!$E$8:$E$2008,"&gt;=01/12/"&amp;$G$3,Vendas!$E$8:$E$2008,"&lt;=31/12/"&amp;$G$3,Vendas!$C$8:$C$2008,"Entregue")+SUMIFS(Vendas!$AT$8:$AT$2008,Vendas!$AQ$8:$AQ$2008,$B32,Vendas!$E$8:$E$2008,"&gt;=01/12/"&amp;$G$3,Vendas!$E$8:$E$2008,"&lt;=31/12/"&amp;$G$3,Vendas!$C$8:$C$2008,"Entregue")</f>
        <v>0</v>
      </c>
      <c r="AA32" s="132">
        <f t="shared" si="0"/>
        <v>0</v>
      </c>
      <c r="AB32" s="132">
        <f t="shared" si="0"/>
        <v>0</v>
      </c>
      <c r="AC32" s="67"/>
    </row>
    <row r="33" spans="2:29" ht="14.4" x14ac:dyDescent="0.3">
      <c r="B33" s="262" t="str">
        <f>IF(Cadastros!G41="","",Cadastros!G41)</f>
        <v>188 - Cunha Postural</v>
      </c>
      <c r="C33" s="158">
        <f>SUMIFS(Vendas!$K$8:$K$2008,Vendas!$H$8:$H$2008,$B33,Vendas!$E$8:$E$2008,"&gt;=01/01/"&amp;$G$3,Vendas!$E$8:$E$2008,"&lt;=31/01/"&amp;$G$3)+SUMIFS(Vendas!$P$8:$P$2008,Vendas!$M$8:$M$2008,$B33,Vendas!$E$8:$E$2008,"&gt;=01/01/"&amp;$G$3,Vendas!$E$8:$E$2008,"&lt;=31/01/"&amp;$G$3)+SUMIFS(Vendas!$U$8:$U$2008,Vendas!$R$8:$R$2008,$B33,Vendas!$E$8:$E$2008,"&gt;=01/01/"&amp;$G$3,Vendas!$E$8:$E$2008,"&lt;=31/01/"&amp;$G$3)+SUMIFS(Vendas!$Z$8:$Z$2008,Vendas!$W$8:$W$2008,$B33,Vendas!$E$8:$E$2008,"&gt;=01/01/"&amp;$G$3,Vendas!$E$8:$E$2008,"&lt;=31/01/"&amp;$G$3)+SUMIFS(Vendas!$AE$8:$AE$2008,Vendas!$AB$8:$AB$2008,$B33,Vendas!$E$8:$E$2008,"&gt;=01/01/"&amp;$G$3,Vendas!$E$8:$E$2008,"&lt;=31/01/"&amp;$G$3)+SUMIFS(Vendas!$AJ$8:$AJ$2008,Vendas!$AG$8:$AG$2008,$B33,Vendas!$E$8:$E$2008,"&gt;=01/01/"&amp;$G$3,Vendas!$E$8:$E$2008,"&lt;=31/01/"&amp;$G$3)+SUMIFS(Vendas!$AO$8:$AO$2008,Vendas!$AL$8:$AL$2008,$B33,Vendas!$E$8:$E$2008,"&gt;=01/01/"&amp;$G$3,Vendas!$E$8:$E$2008,"&lt;=31/01/"&amp;$G$3)+SUMIFS(Vendas!$AT$8:$AT$2008,Vendas!$AQ$8:$AQ$2008,$B33,Vendas!$E$8:$E$2008,"&gt;=01/01/"&amp;$G$3,Vendas!$E$8:$E$2008,"&lt;=31/01/"&amp;$G$3)</f>
        <v>0</v>
      </c>
      <c r="D33" s="159">
        <f>SUMIFS(Vendas!$K$8:$K$2008,Vendas!$H$8:$H$2008,$B33,Vendas!$E$8:$E$2008,"&gt;=01/01/"&amp;$G$3,Vendas!$E$8:$E$2008,"&lt;=31/01/"&amp;$G$3,Vendas!$C$8:$C$2008,"Entregue")+SUMIFS(Vendas!$P$8:$P$2008,Vendas!$M$8:$M$2008,$B33,Vendas!$E$8:$E$2008,"&gt;=01/01/"&amp;$G$3,Vendas!$E$8:$E$2008,"&lt;=31/01/"&amp;$G$3,Vendas!$C$8:$C$2008,"Entregue")+SUMIFS(Vendas!$U$8:$U$2008,Vendas!$R$8:$R$2008,$B33,Vendas!$E$8:$E$2008,"&gt;=01/01/"&amp;$G$3,Vendas!$E$8:$E$2008,"&lt;=31/01/"&amp;$G$3,Vendas!$C$8:$C$2008,"Entregue")+SUMIFS(Vendas!$Z$8:$Z$2008,Vendas!$W$8:$W$2008,$B33,Vendas!$E$8:$E$2008,"&gt;=01/01/"&amp;$G$3,Vendas!$E$8:$E$2008,"&lt;=31/01/"&amp;$G$3,Vendas!$C$8:$C$2008,"Entregue")+SUMIFS(Vendas!$AE$8:$AE$2008,Vendas!$AB$8:$AB$2008,$B33,Vendas!$E$8:$E$2008,"&gt;=01/01/"&amp;$G$3,Vendas!$E$8:$E$2008,"&lt;=31/01/"&amp;$G$3,Vendas!$C$8:$C$2008,"Entregue")+SUMIFS(Vendas!$AJ$8:$AJ$2008,Vendas!$AG$8:$AG$2008,$B33,Vendas!$E$8:$E$2008,"&gt;=01/01/"&amp;$G$3,Vendas!$E$8:$E$2008,"&lt;=31/01/"&amp;$G$3,Vendas!$C$8:$C$2008,"Entregue")+SUMIFS(Vendas!$AO$8:$AO$2008,Vendas!$AL$8:$AL$2008,$B33,Vendas!$E$8:$E$2008,"&gt;=01/01/"&amp;$G$3,Vendas!$E$8:$E$2008,"&lt;=31/01/"&amp;$G$3,Vendas!$C$8:$C$2008,"Entregue")+SUMIFS(Vendas!$AT$8:$AT$2008,Vendas!$AQ$8:$AQ$2008,$B33,Vendas!$E$8:$E$2008,"&gt;=01/01/"&amp;$G$3,Vendas!$E$8:$E$2008,"&lt;=31/01/"&amp;$G$3,Vendas!$C$8:$C$2008,"Entregue")</f>
        <v>0</v>
      </c>
      <c r="E33" s="159">
        <f>SUMIFS(Vendas!$K$8:$K$2008,Vendas!$H$8:$H$2008,$B33,Vendas!$E$8:$E$2008,"&gt;=01/02/"&amp;$G$3,Vendas!$E$8:$E$2008,"&lt;=28/02/"&amp;$G$3)+SUMIFS(Vendas!$P$8:$P$2008,Vendas!$M$8:$M$2008,$B33,Vendas!$E$8:$E$2008,"&gt;=01/02/"&amp;$G$3,Vendas!$E$8:$E$2008,"&lt;=28/02/"&amp;$G$3)+SUMIFS(Vendas!$U$8:$U$2008,Vendas!$R$8:$R$2008,$B33,Vendas!$E$8:$E$2008,"&gt;=01/02/"&amp;$G$3,Vendas!$E$8:$E$2008,"&lt;=28/02/"&amp;$G$3)+SUMIFS(Vendas!$Z$8:$Z$2008,Vendas!$W$8:$W$2008,$B33,Vendas!$E$8:$E$2008,"&gt;=01/02/"&amp;$G$3,Vendas!$E$8:$E$2008,"&lt;=28/02/"&amp;$G$3)+SUMIFS(Vendas!$AE$8:$AE$2008,Vendas!$AB$8:$AB$2008,$B33,Vendas!$E$8:$E$2008,"&gt;=01/02/"&amp;$G$3,Vendas!$E$8:$E$2008,"&lt;=28/02/"&amp;$G$3)+SUMIFS(Vendas!$AJ$8:$AJ$2008,Vendas!$AG$8:$AG$2008,$B33,Vendas!$E$8:$E$2008,"&gt;=01/02/"&amp;$G$3,Vendas!$E$8:$E$2008,"&lt;=28/02/"&amp;$G$3)+SUMIFS(Vendas!$AO$8:$AO$2008,Vendas!$AL$8:$AL$2008,$B33,Vendas!$E$8:$E$2008,"&gt;=01/02/"&amp;$G$3,Vendas!$E$8:$E$2008,"&lt;=28/02/"&amp;$G$3)+SUMIFS(Vendas!$AT$8:$AT$2008,Vendas!$AQ$8:$AQ$2008,$B33,Vendas!$E$8:$E$2008,"&gt;=01/02/"&amp;$G$3,Vendas!$E$8:$E$2008,"&lt;=28/02/"&amp;$G$3)</f>
        <v>0</v>
      </c>
      <c r="F33" s="159">
        <f>SUMIFS(Vendas!$K$8:$K$2008,Vendas!$H$8:$H$2008,$B33,Vendas!$E$8:$E$2008,"&gt;=01/02/"&amp;$G$3,Vendas!$E$8:$E$2008,"&lt;=28/02/"&amp;$G$3,Vendas!$C$8:$C$2008,"Entregue")+SUMIFS(Vendas!$P$8:$P$2008,Vendas!$M$8:$M$2008,$B33,Vendas!$E$8:$E$2008,"&gt;=01/02/"&amp;$G$3,Vendas!$E$8:$E$2008,"&lt;=28/02/"&amp;$G$3,Vendas!$C$8:$C$2008,"Entregue")+SUMIFS(Vendas!$U$8:$U$2008,Vendas!$R$8:$R$2008,$B33,Vendas!$E$8:$E$2008,"&gt;=01/02/"&amp;$G$3,Vendas!$E$8:$E$2008,"&lt;=28/02/"&amp;$G$3,Vendas!$C$8:$C$2008,"Entregue")+SUMIFS(Vendas!$Z$8:$Z$2008,Vendas!$W$8:$W$2008,$B33,Vendas!$E$8:$E$2008,"&gt;=01/02/"&amp;$G$3,Vendas!$E$8:$E$2008,"&lt;=28/02/"&amp;$G$3,Vendas!$C$8:$C$2008,"Entregue")+SUMIFS(Vendas!$AE$8:$AE$2008,Vendas!$AB$8:$AB$2008,$B33,Vendas!$E$8:$E$2008,"&gt;=01/02/"&amp;$G$3,Vendas!$E$8:$E$2008,"&lt;=28/02/"&amp;$G$3,Vendas!$C$8:$C$2008,"Entregue")+SUMIFS(Vendas!$AJ$8:$AJ$2008,Vendas!$AG$8:$AG$2008,$B33,Vendas!$E$8:$E$2008,"&gt;=01/02/"&amp;$G$3,Vendas!$E$8:$E$2008,"&lt;=28/02/"&amp;$G$3,Vendas!$C$8:$C$2008,"Entregue")+SUMIFS(Vendas!$AO$8:$AO$2008,Vendas!$AL$8:$AL$2008,$B33,Vendas!$E$8:$E$2008,"&gt;=01/02/"&amp;$G$3,Vendas!$E$8:$E$2008,"&lt;=28/02/"&amp;$G$3,Vendas!$C$8:$C$2008,"Entregue")+SUMIFS(Vendas!$AT$8:$AT$2008,Vendas!$AQ$8:$AQ$2008,$B33,Vendas!$E$8:$E$2008,"&gt;=01/02/"&amp;$G$3,Vendas!$E$8:$E$2008,"&lt;=28/02/"&amp;$G$3,Vendas!$C$8:$C$2008,"Entregue")</f>
        <v>0</v>
      </c>
      <c r="G33" s="159">
        <f>SUMIFS(Vendas!$K$8:$K$2008,Vendas!$H$8:$H$2008,$B33,Vendas!$E$8:$E$2008,"&gt;=01/03/"&amp;$G$3,Vendas!$E$8:$E$2008,"&lt;=31/03/"&amp;$G$3)+SUMIFS(Vendas!$P$8:$P$2008,Vendas!$M$8:$M$2008,$B33,Vendas!$E$8:$E$2008,"&gt;=01/03/"&amp;$G$3,Vendas!$E$8:$E$2008,"&lt;=31/03/"&amp;$G$3)+SUMIFS(Vendas!$U$8:$U$2008,Vendas!$R$8:$R$2008,$B33,Vendas!$E$8:$E$2008,"&gt;=01/03/"&amp;$G$3,Vendas!$E$8:$E$2008,"&lt;=31/03/"&amp;$G$3)+SUMIFS(Vendas!$Z$8:$Z$2008,Vendas!$W$8:$W$2008,$B33,Vendas!$E$8:$E$2008,"&gt;=01/03/"&amp;$G$3,Vendas!$E$8:$E$2008,"&lt;=31/03/"&amp;$G$3)+SUMIFS(Vendas!$AE$8:$AE$2008,Vendas!$AB$8:$AB$2008,$B33,Vendas!$E$8:$E$2008,"&gt;=01/03/"&amp;$G$3,Vendas!$E$8:$E$2008,"&lt;=31/03/"&amp;$G$3)+SUMIFS(Vendas!$AJ$8:$AJ$2008,Vendas!$AG$8:$AG$2008,$B33,Vendas!$E$8:$E$2008,"&gt;=01/03/"&amp;$G$3,Vendas!$E$8:$E$2008,"&lt;=31/03/"&amp;$G$3)+SUMIFS(Vendas!$AO$8:$AO$2008,Vendas!$AL$8:$AL$2008,$B33,Vendas!$E$8:$E$2008,"&gt;=01/03/"&amp;$G$3,Vendas!$E$8:$E$2008,"&lt;=31/03/"&amp;$G$3)+SUMIFS(Vendas!$AT$8:$AT$2008,Vendas!$AQ$8:$AQ$2008,$B33,Vendas!$E$8:$E$2008,"&gt;=01/03/"&amp;$G$3,Vendas!$E$8:$E$2008,"&lt;=31/03/"&amp;$G$3)</f>
        <v>0</v>
      </c>
      <c r="H33" s="159">
        <f>SUMIFS(Vendas!$K$8:$K$2008,Vendas!$H$8:$H$2008,$B33,Vendas!$E$8:$E$2008,"&gt;=01/03/"&amp;$G$3,Vendas!$E$8:$E$2008,"&lt;=31/03/"&amp;$G$3,Vendas!$C$8:$C$2008,"Entregue")+SUMIFS(Vendas!$P$8:$P$2008,Vendas!$M$8:$M$2008,$B33,Vendas!$E$8:$E$2008,"&gt;=01/03/"&amp;$G$3,Vendas!$E$8:$E$2008,"&lt;=31/03/"&amp;$G$3,Vendas!$C$8:$C$2008,"Entregue")+SUMIFS(Vendas!$U$8:$U$2008,Vendas!$R$8:$R$2008,$B33,Vendas!$E$8:$E$2008,"&gt;=01/03/"&amp;$G$3,Vendas!$E$8:$E$2008,"&lt;=31/03/"&amp;$G$3,Vendas!$C$8:$C$2008,"Entregue")+SUMIFS(Vendas!$Z$8:$Z$2008,Vendas!$W$8:$W$2008,$B33,Vendas!$E$8:$E$2008,"&gt;=01/03/"&amp;$G$3,Vendas!$E$8:$E$2008,"&lt;=31/03/"&amp;$G$3,Vendas!$C$8:$C$2008,"Entregue")+SUMIFS(Vendas!$AE$8:$AE$2008,Vendas!$AB$8:$AB$2008,$B33,Vendas!$E$8:$E$2008,"&gt;=01/03/"&amp;$G$3,Vendas!$E$8:$E$2008,"&lt;=31/03/"&amp;$G$3,Vendas!$C$8:$C$2008,"Entregue")+SUMIFS(Vendas!$AJ$8:$AJ$2008,Vendas!$AG$8:$AG$2008,$B33,Vendas!$E$8:$E$2008,"&gt;=01/03/"&amp;$G$3,Vendas!$E$8:$E$2008,"&lt;=31/03/"&amp;$G$3,Vendas!$C$8:$C$2008,"Entregue")+SUMIFS(Vendas!$AO$8:$AO$2008,Vendas!$AL$8:$AL$2008,$B33,Vendas!$E$8:$E$2008,"&gt;=01/03/"&amp;$G$3,Vendas!$E$8:$E$2008,"&lt;=31/03/"&amp;$G$3,Vendas!$C$8:$C$2008,"Entregue")+SUMIFS(Vendas!$AT$8:$AT$2008,Vendas!$AQ$8:$AQ$2008,$B33,Vendas!$E$8:$E$2008,"&gt;=01/03/"&amp;$G$3,Vendas!$E$8:$E$2008,"&lt;=31/03/"&amp;$G$3,Vendas!$C$8:$C$2008,"Entregue")</f>
        <v>0</v>
      </c>
      <c r="I33" s="159">
        <f>SUMIFS(Vendas!$K$8:$K$2008,Vendas!$H$8:$H$2008,$B33,Vendas!$E$8:$E$2008,"&gt;=01/04/"&amp;$G$3,Vendas!$E$8:$E$2008,"&lt;=30/04/"&amp;$G$3)+SUMIFS(Vendas!$P$8:$P$2008,Vendas!$M$8:$M$2008,$B33,Vendas!$E$8:$E$2008,"&gt;=01/04/"&amp;$G$3,Vendas!$E$8:$E$2008,"&lt;=30/04/"&amp;$G$3)+SUMIFS(Vendas!$U$8:$U$2008,Vendas!$R$8:$R$2008,$B33,Vendas!$E$8:$E$2008,"&gt;=01/04/"&amp;$G$3,Vendas!$E$8:$E$2008,"&lt;=30/04/"&amp;$G$3)+SUMIFS(Vendas!$Z$8:$Z$2008,Vendas!$W$8:$W$2008,$B33,Vendas!$E$8:$E$2008,"&gt;=01/04/"&amp;$G$3,Vendas!$E$8:$E$2008,"&lt;=30/04/"&amp;$G$3)+SUMIFS(Vendas!$AE$8:$AE$2008,Vendas!$AB$8:$AB$2008,$B33,Vendas!$E$8:$E$2008,"&gt;=01/04/"&amp;$G$3,Vendas!$E$8:$E$2008,"&lt;=30/04/"&amp;$G$3)+SUMIFS(Vendas!$AJ$8:$AJ$2008,Vendas!$AG$8:$AG$2008,$B33,Vendas!$E$8:$E$2008,"&gt;=01/04/"&amp;$G$3,Vendas!$E$8:$E$2008,"&lt;=30/04/"&amp;$G$3)+SUMIFS(Vendas!$AO$8:$AO$2008,Vendas!$AL$8:$AL$2008,$B33,Vendas!$E$8:$E$2008,"&gt;=01/04/"&amp;$G$3,Vendas!$E$8:$E$2008,"&lt;=30/04/"&amp;$G$3)+SUMIFS(Vendas!$AT$8:$AT$2008,Vendas!$AQ$8:$AQ$2008,$B33,Vendas!$E$8:$E$2008,"&gt;=01/04/"&amp;$G$3,Vendas!$E$8:$E$2008,"&lt;=30/04/"&amp;$G$3)</f>
        <v>0</v>
      </c>
      <c r="J33" s="159">
        <f>SUMIFS(Vendas!$K$8:$K$2008,Vendas!$H$8:$H$2008,$B33,Vendas!$E$8:$E$2008,"&gt;=01/04/"&amp;$G$3,Vendas!$E$8:$E$2008,"&lt;=30/04/"&amp;$G$3,Vendas!$C$8:$C$2008,"Entregue")+SUMIFS(Vendas!$P$8:$P$2008,Vendas!$M$8:$M$2008,$B33,Vendas!$E$8:$E$2008,"&gt;=01/04/"&amp;$G$3,Vendas!$E$8:$E$2008,"&lt;=30/04/"&amp;$G$3,Vendas!$C$8:$C$2008,"Entregue")+SUMIFS(Vendas!$U$8:$U$2008,Vendas!$R$8:$R$2008,$B33,Vendas!$E$8:$E$2008,"&gt;=01/04/"&amp;$G$3,Vendas!$E$8:$E$2008,"&lt;=30/04/"&amp;$G$3,Vendas!$C$8:$C$2008,"Entregue")+SUMIFS(Vendas!$Z$8:$Z$2008,Vendas!$W$8:$W$2008,$B33,Vendas!$E$8:$E$2008,"&gt;=01/04/"&amp;$G$3,Vendas!$E$8:$E$2008,"&lt;=30/04/"&amp;$G$3,Vendas!$C$8:$C$2008,"Entregue")+SUMIFS(Vendas!$AE$8:$AE$2008,Vendas!$AB$8:$AB$2008,$B33,Vendas!$E$8:$E$2008,"&gt;=01/04/"&amp;$G$3,Vendas!$E$8:$E$2008,"&lt;=30/04/"&amp;$G$3,Vendas!$C$8:$C$2008,"Entregue")+SUMIFS(Vendas!$AJ$8:$AJ$2008,Vendas!$AG$8:$AG$2008,$B33,Vendas!$E$8:$E$2008,"&gt;=01/04/"&amp;$G$3,Vendas!$E$8:$E$2008,"&lt;=30/04/"&amp;$G$3,Vendas!$C$8:$C$2008,"Entregue")+SUMIFS(Vendas!$AO$8:$AO$2008,Vendas!$AL$8:$AL$2008,$B33,Vendas!$E$8:$E$2008,"&gt;=01/04/"&amp;$G$3,Vendas!$E$8:$E$2008,"&lt;=30/04/"&amp;$G$3,Vendas!$C$8:$C$2008,"Entregue")+SUMIFS(Vendas!$AT$8:$AT$2008,Vendas!$AQ$8:$AQ$2008,$B33,Vendas!$E$8:$E$2008,"&gt;=01/04/"&amp;$G$3,Vendas!$E$8:$E$2008,"&lt;=30/04/"&amp;$G$3,Vendas!$C$8:$C$2008,"Entregue")</f>
        <v>0</v>
      </c>
      <c r="K33" s="159">
        <f>SUMIFS(Vendas!$K$8:$K$2008,Vendas!$H$8:$H$2008,$B33,Vendas!$E$8:$E$2008,"&gt;=01/05/"&amp;$G$3,Vendas!$E$8:$E$2008,"&lt;=31/05/"&amp;$G$3)+SUMIFS(Vendas!$P$8:$P$2008,Vendas!$M$8:$M$2008,$B33,Vendas!$E$8:$E$2008,"&gt;=01/05/"&amp;$G$3,Vendas!$E$8:$E$2008,"&lt;=31/05/"&amp;$G$3)+SUMIFS(Vendas!$U$8:$U$2008,Vendas!$R$8:$R$2008,$B33,Vendas!$E$8:$E$2008,"&gt;=01/05/"&amp;$G$3,Vendas!$E$8:$E$2008,"&lt;=31/05/"&amp;$G$3)+SUMIFS(Vendas!$Z$8:$Z$2008,Vendas!$W$8:$W$2008,$B33,Vendas!$E$8:$E$2008,"&gt;=01/05/"&amp;$G$3,Vendas!$E$8:$E$2008,"&lt;=31/05/"&amp;$G$3)+SUMIFS(Vendas!$AE$8:$AE$2008,Vendas!$AB$8:$AB$2008,$B33,Vendas!$E$8:$E$2008,"&gt;=01/05/"&amp;$G$3,Vendas!$E$8:$E$2008,"&lt;=31/05/"&amp;$G$3)+SUMIFS(Vendas!$AJ$8:$AJ$2008,Vendas!$AG$8:$AG$2008,$B33,Vendas!$E$8:$E$2008,"&gt;=01/05/"&amp;$G$3,Vendas!$E$8:$E$2008,"&lt;=31/05/"&amp;$G$3)+SUMIFS(Vendas!$AO$8:$AO$2008,Vendas!$AL$8:$AL$2008,$B33,Vendas!$E$8:$E$2008,"&gt;=01/05/"&amp;$G$3,Vendas!$E$8:$E$2008,"&lt;=31/05/"&amp;$G$3)+SUMIFS(Vendas!$AT$8:$AT$2008,Vendas!$AQ$8:$AQ$2008,$B33,Vendas!$E$8:$E$2008,"&gt;=01/05/"&amp;$G$3,Vendas!$E$8:$E$2008,"&lt;=31/05/"&amp;$G$3)</f>
        <v>0</v>
      </c>
      <c r="L33" s="159">
        <f>SUMIFS(Vendas!$K$8:$K$2008,Vendas!$H$8:$H$2008,$B33,Vendas!$E$8:$E$2008,"&gt;=01/05/"&amp;$G$3,Vendas!$E$8:$E$2008,"&lt;=31/05/"&amp;$G$3,Vendas!$C$8:$C$2008,"Entregue")+SUMIFS(Vendas!$P$8:$P$2008,Vendas!$M$8:$M$2008,$B33,Vendas!$E$8:$E$2008,"&gt;=01/05/"&amp;$G$3,Vendas!$E$8:$E$2008,"&lt;=31/05/"&amp;$G$3,Vendas!$C$8:$C$2008,"Entregue")+SUMIFS(Vendas!$U$8:$U$2008,Vendas!$R$8:$R$2008,$B33,Vendas!$E$8:$E$2008,"&gt;=01/05/"&amp;$G$3,Vendas!$E$8:$E$2008,"&lt;=31/05/"&amp;$G$3,Vendas!$C$8:$C$2008,"Entregue")+SUMIFS(Vendas!$Z$8:$Z$2008,Vendas!$W$8:$W$2008,$B33,Vendas!$E$8:$E$2008,"&gt;=01/05/"&amp;$G$3,Vendas!$E$8:$E$2008,"&lt;=31/05/"&amp;$G$3,Vendas!$C$8:$C$2008,"Entregue")+SUMIFS(Vendas!$AE$8:$AE$2008,Vendas!$AB$8:$AB$2008,$B33,Vendas!$E$8:$E$2008,"&gt;=01/05/"&amp;$G$3,Vendas!$E$8:$E$2008,"&lt;=31/05/"&amp;$G$3,Vendas!$C$8:$C$2008,"Entregue")+SUMIFS(Vendas!$AJ$8:$AJ$2008,Vendas!$AG$8:$AG$2008,$B33,Vendas!$E$8:$E$2008,"&gt;=01/05/"&amp;$G$3,Vendas!$E$8:$E$2008,"&lt;=31/05/"&amp;$G$3,Vendas!$C$8:$C$2008,"Entregue")+SUMIFS(Vendas!$AO$8:$AO$2008,Vendas!$AL$8:$AL$2008,$B33,Vendas!$E$8:$E$2008,"&gt;=01/05/"&amp;$G$3,Vendas!$E$8:$E$2008,"&lt;=31/05/"&amp;$G$3,Vendas!$C$8:$C$2008,"Entregue")+SUMIFS(Vendas!$AT$8:$AT$2008,Vendas!$AQ$8:$AQ$2008,$B33,Vendas!$E$8:$E$2008,"&gt;=01/05/"&amp;$G$3,Vendas!$E$8:$E$2008,"&lt;=31/05/"&amp;$G$3,Vendas!$C$8:$C$2008,"Entregue")</f>
        <v>0</v>
      </c>
      <c r="M33" s="159">
        <f>SUMIFS(Vendas!$K$8:$K$2008,Vendas!$H$8:$H$2008,$B33,Vendas!$E$8:$E$2008,"&gt;=01/06/"&amp;$G$3,Vendas!$E$8:$E$2008,"&lt;=30/06/"&amp;$G$3)+SUMIFS(Vendas!$P$8:$P$2008,Vendas!$M$8:$M$2008,$B33,Vendas!$E$8:$E$2008,"&gt;=01/06/"&amp;$G$3,Vendas!$E$8:$E$2008,"&lt;=30/06/"&amp;$G$3)+SUMIFS(Vendas!$U$8:$U$2008,Vendas!$R$8:$R$2008,$B33,Vendas!$E$8:$E$2008,"&gt;=01/06/"&amp;$G$3,Vendas!$E$8:$E$2008,"&lt;=30/06/"&amp;$G$3)+SUMIFS(Vendas!$Z$8:$Z$2008,Vendas!$W$8:$W$2008,$B33,Vendas!$E$8:$E$2008,"&gt;=01/06/"&amp;$G$3,Vendas!$E$8:$E$2008,"&lt;=30/06/"&amp;$G$3)+SUMIFS(Vendas!$AE$8:$AE$2008,Vendas!$AB$8:$AB$2008,$B33,Vendas!$E$8:$E$2008,"&gt;=01/06/"&amp;$G$3,Vendas!$E$8:$E$2008,"&lt;=30/06/"&amp;$G$3)+SUMIFS(Vendas!$AJ$8:$AJ$2008,Vendas!$AG$8:$AG$2008,$B33,Vendas!$E$8:$E$2008,"&gt;=01/06/"&amp;$G$3,Vendas!$E$8:$E$2008,"&lt;=30/06/"&amp;$G$3)+SUMIFS(Vendas!$AO$8:$AO$2008,Vendas!$AL$8:$AL$2008,$B33,Vendas!$E$8:$E$2008,"&gt;=01/06/"&amp;$G$3,Vendas!$E$8:$E$2008,"&lt;=30/06/"&amp;$G$3)+SUMIFS(Vendas!$AT$8:$AT$2008,Vendas!$AQ$8:$AQ$2008,$B33,Vendas!$E$8:$E$2008,"&gt;=01/06/"&amp;$G$3,Vendas!$E$8:$E$2008,"&lt;=30/06/"&amp;$G$3)</f>
        <v>0</v>
      </c>
      <c r="N33" s="159">
        <f>SUMIFS(Vendas!$K$8:$K$2008,Vendas!$H$8:$H$2008,$B33,Vendas!$E$8:$E$2008,"&gt;=01/06/"&amp;$G$3,Vendas!$E$8:$E$2008,"&lt;=30/06/"&amp;$G$3,Vendas!$C$8:$C$2008,"Entregue")+SUMIFS(Vendas!$P$8:$P$2008,Vendas!$M$8:$M$2008,$B33,Vendas!$E$8:$E$2008,"&gt;=01/06/"&amp;$G$3,Vendas!$E$8:$E$2008,"&lt;=30/06/"&amp;$G$3,Vendas!$C$8:$C$2008,"Entregue")+SUMIFS(Vendas!$U$8:$U$2008,Vendas!$R$8:$R$2008,$B33,Vendas!$E$8:$E$2008,"&gt;=01/06/"&amp;$G$3,Vendas!$E$8:$E$2008,"&lt;=30/06/"&amp;$G$3,Vendas!$C$8:$C$2008,"Entregue")+SUMIFS(Vendas!$Z$8:$Z$2008,Vendas!$W$8:$W$2008,$B33,Vendas!$E$8:$E$2008,"&gt;=01/06/"&amp;$G$3,Vendas!$E$8:$E$2008,"&lt;=30/06/"&amp;$G$3,Vendas!$C$8:$C$2008,"Entregue")+SUMIFS(Vendas!$AE$8:$AE$2008,Vendas!$AB$8:$AB$2008,$B33,Vendas!$E$8:$E$2008,"&gt;=01/06/"&amp;$G$3,Vendas!$E$8:$E$2008,"&lt;=30/06/"&amp;$G$3,Vendas!$C$8:$C$2008,"Entregue")+SUMIFS(Vendas!$AJ$8:$AJ$2008,Vendas!$AG$8:$AG$2008,$B33,Vendas!$E$8:$E$2008,"&gt;=01/06/"&amp;$G$3,Vendas!$E$8:$E$2008,"&lt;=30/06/"&amp;$G$3,Vendas!$C$8:$C$2008,"Entregue")+SUMIFS(Vendas!$AO$8:$AO$2008,Vendas!$AL$8:$AL$2008,$B33,Vendas!$E$8:$E$2008,"&gt;=01/06/"&amp;$G$3,Vendas!$E$8:$E$2008,"&lt;=30/06/"&amp;$G$3,Vendas!$C$8:$C$2008,"Entregue")+SUMIFS(Vendas!$AT$8:$AT$2008,Vendas!$AQ$8:$AQ$2008,$B33,Vendas!$E$8:$E$2008,"&gt;=01/06/"&amp;$G$3,Vendas!$E$8:$E$2008,"&lt;=30/06/"&amp;$G$3,Vendas!$C$8:$C$2008,"Entregue")</f>
        <v>0</v>
      </c>
      <c r="O33" s="159">
        <f>SUMIFS(Vendas!$K$8:$K$2008,Vendas!$H$8:$H$2008,$B33,Vendas!$E$8:$E$2008,"&gt;=01/07/"&amp;$G$3,Vendas!$E$8:$E$2008,"&lt;=31/07/"&amp;$G$3)+SUMIFS(Vendas!$P$8:$P$2008,Vendas!$M$8:$M$2008,$B33,Vendas!$E$8:$E$2008,"&gt;=01/07/"&amp;$G$3,Vendas!$E$8:$E$2008,"&lt;=31/07/"&amp;$G$3)+SUMIFS(Vendas!$U$8:$U$2008,Vendas!$R$8:$R$2008,$B33,Vendas!$E$8:$E$2008,"&gt;=01/07/"&amp;$G$3,Vendas!$E$8:$E$2008,"&lt;=31/07/"&amp;$G$3)+SUMIFS(Vendas!$Z$8:$Z$2008,Vendas!$W$8:$W$2008,$B33,Vendas!$E$8:$E$2008,"&gt;=01/07/"&amp;$G$3,Vendas!$E$8:$E$2008,"&lt;=31/07/"&amp;$G$3)+SUMIFS(Vendas!$AE$8:$AE$2008,Vendas!$AB$8:$AB$2008,$B33,Vendas!$E$8:$E$2008,"&gt;=01/07/"&amp;$G$3,Vendas!$E$8:$E$2008,"&lt;=31/07/"&amp;$G$3)+SUMIFS(Vendas!$AJ$8:$AJ$2008,Vendas!$AG$8:$AG$2008,$B33,Vendas!$E$8:$E$2008,"&gt;=01/07/"&amp;$G$3,Vendas!$E$8:$E$2008,"&lt;=31/07/"&amp;$G$3)+SUMIFS(Vendas!$AO$8:$AO$2008,Vendas!$AL$8:$AL$2008,$B33,Vendas!$E$8:$E$2008,"&gt;=01/07/"&amp;$G$3,Vendas!$E$8:$E$2008,"&lt;=31/07/"&amp;$G$3)+SUMIFS(Vendas!$AT$8:$AT$2008,Vendas!$AQ$8:$AQ$2008,$B33,Vendas!$E$8:$E$2008,"&gt;=01/07/"&amp;$G$3,Vendas!$E$8:$E$2008,"&lt;=31/07/"&amp;$G$3)</f>
        <v>0</v>
      </c>
      <c r="P33" s="159">
        <f>SUMIFS(Vendas!$K$8:$K$2008,Vendas!$H$8:$H$2008,$B33,Vendas!$E$8:$E$2008,"&gt;=01/07/"&amp;$G$3,Vendas!$E$8:$E$2008,"&lt;=31/07/"&amp;$G$3,Vendas!$C$8:$C$2008,"Entregue")+SUMIFS(Vendas!$P$8:$P$2008,Vendas!$M$8:$M$2008,$B33,Vendas!$E$8:$E$2008,"&gt;=01/07/"&amp;$G$3,Vendas!$E$8:$E$2008,"&lt;=31/07/"&amp;$G$3,Vendas!$C$8:$C$2008,"Entregue")+SUMIFS(Vendas!$U$8:$U$2008,Vendas!$R$8:$R$2008,$B33,Vendas!$E$8:$E$2008,"&gt;=01/07/"&amp;$G$3,Vendas!$E$8:$E$2008,"&lt;=31/07/"&amp;$G$3,Vendas!$C$8:$C$2008,"Entregue")+SUMIFS(Vendas!$Z$8:$Z$2008,Vendas!$W$8:$W$2008,$B33,Vendas!$E$8:$E$2008,"&gt;=01/07/"&amp;$G$3,Vendas!$E$8:$E$2008,"&lt;=31/07/"&amp;$G$3,Vendas!$C$8:$C$2008,"Entregue")+SUMIFS(Vendas!$AE$8:$AE$2008,Vendas!$AB$8:$AB$2008,$B33,Vendas!$E$8:$E$2008,"&gt;=01/07/"&amp;$G$3,Vendas!$E$8:$E$2008,"&lt;=31/07/"&amp;$G$3,Vendas!$C$8:$C$2008,"Entregue")+SUMIFS(Vendas!$AJ$8:$AJ$2008,Vendas!$AG$8:$AG$2008,$B33,Vendas!$E$8:$E$2008,"&gt;=01/07/"&amp;$G$3,Vendas!$E$8:$E$2008,"&lt;=31/07/"&amp;$G$3,Vendas!$C$8:$C$2008,"Entregue")+SUMIFS(Vendas!$AO$8:$AO$2008,Vendas!$AL$8:$AL$2008,$B33,Vendas!$E$8:$E$2008,"&gt;=01/07/"&amp;$G$3,Vendas!$E$8:$E$2008,"&lt;=31/07/"&amp;$G$3,Vendas!$C$8:$C$2008,"Entregue")+SUMIFS(Vendas!$AT$8:$AT$2008,Vendas!$AQ$8:$AQ$2008,$B33,Vendas!$E$8:$E$2008,"&gt;=01/07/"&amp;$G$3,Vendas!$E$8:$E$2008,"&lt;=31/07/"&amp;$G$3,Vendas!$C$8:$C$2008,"Entregue")</f>
        <v>0</v>
      </c>
      <c r="Q33" s="159">
        <f>SUMIFS(Vendas!$K$8:$K$2008,Vendas!$H$8:$H$2008,$B33,Vendas!$E$8:$E$2008,"&gt;=01/08/"&amp;$G$3,Vendas!$E$8:$E$2008,"&lt;=31/08/"&amp;$G$3)+SUMIFS(Vendas!$P$8:$P$2008,Vendas!$M$8:$M$2008,$B33,Vendas!$E$8:$E$2008,"&gt;=01/08/"&amp;$G$3,Vendas!$E$8:$E$2008,"&lt;=31/08/"&amp;$G$3)+SUMIFS(Vendas!$U$8:$U$2008,Vendas!$R$8:$R$2008,$B33,Vendas!$E$8:$E$2008,"&gt;=01/08/"&amp;$G$3,Vendas!$E$8:$E$2008,"&lt;=31/08/"&amp;$G$3)+SUMIFS(Vendas!$Z$8:$Z$2008,Vendas!$W$8:$W$2008,$B33,Vendas!$E$8:$E$2008,"&gt;=01/08/"&amp;$G$3,Vendas!$E$8:$E$2008,"&lt;=31/08/"&amp;$G$3)+SUMIFS(Vendas!$AE$8:$AE$2008,Vendas!$AB$8:$AB$2008,$B33,Vendas!$E$8:$E$2008,"&gt;=01/08/"&amp;$G$3,Vendas!$E$8:$E$2008,"&lt;=31/08/"&amp;$G$3)+SUMIFS(Vendas!$AJ$8:$AJ$2008,Vendas!$AG$8:$AG$2008,$B33,Vendas!$E$8:$E$2008,"&gt;=01/08/"&amp;$G$3,Vendas!$E$8:$E$2008,"&lt;=31/08/"&amp;$G$3)+SUMIFS(Vendas!$AO$8:$AO$2008,Vendas!$AL$8:$AL$2008,$B33,Vendas!$E$8:$E$2008,"&gt;=01/08/"&amp;$G$3,Vendas!$E$8:$E$2008,"&lt;=31/08/"&amp;$G$3)+SUMIFS(Vendas!$AT$8:$AT$2008,Vendas!$AQ$8:$AQ$2008,$B33,Vendas!$E$8:$E$2008,"&gt;=01/08/"&amp;$G$3,Vendas!$E$8:$E$2008,"&lt;=31/08/"&amp;$G$3)</f>
        <v>0</v>
      </c>
      <c r="R33" s="159">
        <f>SUMIFS(Vendas!$K$8:$K$2008,Vendas!$H$8:$H$2008,$B33,Vendas!$E$8:$E$2008,"&gt;=01/08/"&amp;$G$3,Vendas!$E$8:$E$2008,"&lt;=31/08/"&amp;$G$3,Vendas!$C$8:$C$2008,"Entregue")+SUMIFS(Vendas!$P$8:$P$2008,Vendas!$M$8:$M$2008,$B33,Vendas!$E$8:$E$2008,"&gt;=01/08/"&amp;$G$3,Vendas!$E$8:$E$2008,"&lt;=31/08/"&amp;$G$3,Vendas!$C$8:$C$2008,"Entregue")+SUMIFS(Vendas!$U$8:$U$2008,Vendas!$R$8:$R$2008,$B33,Vendas!$E$8:$E$2008,"&gt;=01/08/"&amp;$G$3,Vendas!$E$8:$E$2008,"&lt;=31/08/"&amp;$G$3,Vendas!$C$8:$C$2008,"Entregue")+SUMIFS(Vendas!$Z$8:$Z$2008,Vendas!$W$8:$W$2008,$B33,Vendas!$E$8:$E$2008,"&gt;=01/08/"&amp;$G$3,Vendas!$E$8:$E$2008,"&lt;=31/08/"&amp;$G$3,Vendas!$C$8:$C$2008,"Entregue")+SUMIFS(Vendas!$AE$8:$AE$2008,Vendas!$AB$8:$AB$2008,$B33,Vendas!$E$8:$E$2008,"&gt;=01/08/"&amp;$G$3,Vendas!$E$8:$E$2008,"&lt;=31/08/"&amp;$G$3,Vendas!$C$8:$C$2008,"Entregue")+SUMIFS(Vendas!$AJ$8:$AJ$2008,Vendas!$AG$8:$AG$2008,$B33,Vendas!$E$8:$E$2008,"&gt;=01/08/"&amp;$G$3,Vendas!$E$8:$E$2008,"&lt;=31/08/"&amp;$G$3,Vendas!$C$8:$C$2008,"Entregue")+SUMIFS(Vendas!$AO$8:$AO$2008,Vendas!$AL$8:$AL$2008,$B33,Vendas!$E$8:$E$2008,"&gt;=01/08/"&amp;$G$3,Vendas!$E$8:$E$2008,"&lt;=31/08/"&amp;$G$3,Vendas!$C$8:$C$2008,"Entregue")+SUMIFS(Vendas!$AT$8:$AT$2008,Vendas!$AQ$8:$AQ$2008,$B33,Vendas!$E$8:$E$2008,"&gt;=01/08/"&amp;$G$3,Vendas!$E$8:$E$2008,"&lt;=31/08/"&amp;$G$3,Vendas!$C$8:$C$2008,"Entregue")</f>
        <v>0</v>
      </c>
      <c r="S33" s="159">
        <f>SUMIFS(Vendas!$K$8:$K$2008,Vendas!$H$8:$H$2008,$B33,Vendas!$E$8:$E$2008,"&gt;=01/09/"&amp;$G$3,Vendas!$E$8:$E$2008,"&lt;=30/09/"&amp;$G$3)+SUMIFS(Vendas!$P$8:$P$2008,Vendas!$M$8:$M$2008,$B33,Vendas!$E$8:$E$2008,"&gt;=01/09/"&amp;$G$3,Vendas!$E$8:$E$2008,"&lt;=30/09/"&amp;$G$3)+SUMIFS(Vendas!$U$8:$U$2008,Vendas!$R$8:$R$2008,$B33,Vendas!$E$8:$E$2008,"&gt;=01/09/"&amp;$G$3,Vendas!$E$8:$E$2008,"&lt;=30/09/"&amp;$G$3)+SUMIFS(Vendas!$Z$8:$Z$2008,Vendas!$W$8:$W$2008,$B33,Vendas!$E$8:$E$2008,"&gt;=01/09/"&amp;$G$3,Vendas!$E$8:$E$2008,"&lt;=30/09/"&amp;$G$3)+SUMIFS(Vendas!$AE$8:$AE$2008,Vendas!$AB$8:$AB$2008,$B33,Vendas!$E$8:$E$2008,"&gt;=01/09/"&amp;$G$3,Vendas!$E$8:$E$2008,"&lt;=30/09/"&amp;$G$3)+SUMIFS(Vendas!$AJ$8:$AJ$2008,Vendas!$AG$8:$AG$2008,$B33,Vendas!$E$8:$E$2008,"&gt;=01/09/"&amp;$G$3,Vendas!$E$8:$E$2008,"&lt;=30/09/"&amp;$G$3)+SUMIFS(Vendas!$AO$8:$AO$2008,Vendas!$AL$8:$AL$2008,$B33,Vendas!$E$8:$E$2008,"&gt;=01/09/"&amp;$G$3,Vendas!$E$8:$E$2008,"&lt;=30/09/"&amp;$G$3)+SUMIFS(Vendas!$AT$8:$AT$2008,Vendas!$AQ$8:$AQ$2008,$B33,Vendas!$E$8:$E$2008,"&gt;=01/09/"&amp;$G$3,Vendas!$E$8:$E$2008,"&lt;=30/09/"&amp;$G$3)</f>
        <v>0</v>
      </c>
      <c r="T33" s="159">
        <f>SUMIFS(Vendas!$K$8:$K$2008,Vendas!$H$8:$H$2008,$B33,Vendas!$E$8:$E$2008,"&gt;=01/09/"&amp;$G$3,Vendas!$E$8:$E$2008,"&lt;=30/09/"&amp;$G$3,Vendas!$C$8:$C$2008,"Entregue")+SUMIFS(Vendas!$P$8:$P$2008,Vendas!$M$8:$M$2008,$B33,Vendas!$E$8:$E$2008,"&gt;=01/09/"&amp;$G$3,Vendas!$E$8:$E$2008,"&lt;=30/09/"&amp;$G$3,Vendas!$C$8:$C$2008,"Entregue")+SUMIFS(Vendas!$U$8:$U$2008,Vendas!$R$8:$R$2008,$B33,Vendas!$E$8:$E$2008,"&gt;=01/09/"&amp;$G$3,Vendas!$E$8:$E$2008,"&lt;=30/09/"&amp;$G$3,Vendas!$C$8:$C$2008,"Entregue")+SUMIFS(Vendas!$Z$8:$Z$2008,Vendas!$W$8:$W$2008,$B33,Vendas!$E$8:$E$2008,"&gt;=01/09/"&amp;$G$3,Vendas!$E$8:$E$2008,"&lt;=30/09/"&amp;$G$3,Vendas!$C$8:$C$2008,"Entregue")+SUMIFS(Vendas!$AE$8:$AE$2008,Vendas!$AB$8:$AB$2008,$B33,Vendas!$E$8:$E$2008,"&gt;=01/09/"&amp;$G$3,Vendas!$E$8:$E$2008,"&lt;=30/09/"&amp;$G$3,Vendas!$C$8:$C$2008,"Entregue")+SUMIFS(Vendas!$AJ$8:$AJ$2008,Vendas!$AG$8:$AG$2008,$B33,Vendas!$E$8:$E$2008,"&gt;=01/09/"&amp;$G$3,Vendas!$E$8:$E$2008,"&lt;=30/09/"&amp;$G$3,Vendas!$C$8:$C$2008,"Entregue")+SUMIFS(Vendas!$AO$8:$AO$2008,Vendas!$AL$8:$AL$2008,$B33,Vendas!$E$8:$E$2008,"&gt;=01/09/"&amp;$G$3,Vendas!$E$8:$E$2008,"&lt;=30/09/"&amp;$G$3,Vendas!$C$8:$C$2008,"Entregue")+SUMIFS(Vendas!$AT$8:$AT$2008,Vendas!$AQ$8:$AQ$2008,$B33,Vendas!$E$8:$E$2008,"&gt;=01/09/"&amp;$G$3,Vendas!$E$8:$E$2008,"&lt;=30/09/"&amp;$G$3,Vendas!$C$8:$C$2008,"Entregue")</f>
        <v>0</v>
      </c>
      <c r="U33" s="159">
        <f>SUMIFS(Vendas!$K$8:$K$2008,Vendas!$H$8:$H$2008,$B33,Vendas!$E$8:$E$2008,"&gt;=01/10/"&amp;$G$3,Vendas!$E$8:$E$2008,"&lt;=31/10/"&amp;$G$3)+SUMIFS(Vendas!$P$8:$P$2008,Vendas!$M$8:$M$2008,$B33,Vendas!$E$8:$E$2008,"&gt;=01/10/"&amp;$G$3,Vendas!$E$8:$E$2008,"&lt;=31/10/"&amp;$G$3)+SUMIFS(Vendas!$U$8:$U$2008,Vendas!$R$8:$R$2008,$B33,Vendas!$E$8:$E$2008,"&gt;=01/10/"&amp;$G$3,Vendas!$E$8:$E$2008,"&lt;=31/10/"&amp;$G$3)+SUMIFS(Vendas!$Z$8:$Z$2008,Vendas!$W$8:$W$2008,$B33,Vendas!$E$8:$E$2008,"&gt;=01/10/"&amp;$G$3,Vendas!$E$8:$E$2008,"&lt;=31/10/"&amp;$G$3)+SUMIFS(Vendas!$AE$8:$AE$2008,Vendas!$AB$8:$AB$2008,$B33,Vendas!$E$8:$E$2008,"&gt;=01/10/"&amp;$G$3,Vendas!$E$8:$E$2008,"&lt;=31/10/"&amp;$G$3)+SUMIFS(Vendas!$AJ$8:$AJ$2008,Vendas!$AG$8:$AG$2008,$B33,Vendas!$E$8:$E$2008,"&gt;=01/10/"&amp;$G$3,Vendas!$E$8:$E$2008,"&lt;=31/10/"&amp;$G$3)+SUMIFS(Vendas!$AO$8:$AO$2008,Vendas!$AL$8:$AL$2008,$B33,Vendas!$E$8:$E$2008,"&gt;=01/10/"&amp;$G$3,Vendas!$E$8:$E$2008,"&lt;=31/10/"&amp;$G$3)+SUMIFS(Vendas!$AT$8:$AT$2008,Vendas!$AQ$8:$AQ$2008,$B33,Vendas!$E$8:$E$2008,"&gt;=01/10/"&amp;$G$3,Vendas!$E$8:$E$2008,"&lt;=31/10/"&amp;$G$3)</f>
        <v>0</v>
      </c>
      <c r="V33" s="159">
        <f>SUMIFS(Vendas!$K$8:$K$2008,Vendas!$H$8:$H$2008,$B33,Vendas!$E$8:$E$2008,"&gt;=01/10/"&amp;$G$3,Vendas!$E$8:$E$2008,"&lt;=31/10/"&amp;$G$3,Vendas!$C$8:$C$2008,"Entregue")+SUMIFS(Vendas!$P$8:$P$2008,Vendas!$M$8:$M$2008,$B33,Vendas!$E$8:$E$2008,"&gt;=01/10/"&amp;$G$3,Vendas!$E$8:$E$2008,"&lt;=31/10/"&amp;$G$3,Vendas!$C$8:$C$2008,"Entregue")+SUMIFS(Vendas!$U$8:$U$2008,Vendas!$R$8:$R$2008,$B33,Vendas!$E$8:$E$2008,"&gt;=01/10/"&amp;$G$3,Vendas!$E$8:$E$2008,"&lt;=31/10/"&amp;$G$3,Vendas!$C$8:$C$2008,"Entregue")+SUMIFS(Vendas!$Z$8:$Z$2008,Vendas!$W$8:$W$2008,$B33,Vendas!$E$8:$E$2008,"&gt;=01/10/"&amp;$G$3,Vendas!$E$8:$E$2008,"&lt;=31/10/"&amp;$G$3,Vendas!$C$8:$C$2008,"Entregue")+SUMIFS(Vendas!$AE$8:$AE$2008,Vendas!$AB$8:$AB$2008,$B33,Vendas!$E$8:$E$2008,"&gt;=01/10/"&amp;$G$3,Vendas!$E$8:$E$2008,"&lt;=31/10/"&amp;$G$3,Vendas!$C$8:$C$2008,"Entregue")+SUMIFS(Vendas!$AJ$8:$AJ$2008,Vendas!$AG$8:$AG$2008,$B33,Vendas!$E$8:$E$2008,"&gt;=01/10/"&amp;$G$3,Vendas!$E$8:$E$2008,"&lt;=31/10/"&amp;$G$3,Vendas!$C$8:$C$2008,"Entregue")+SUMIFS(Vendas!$AO$8:$AO$2008,Vendas!$AL$8:$AL$2008,$B33,Vendas!$E$8:$E$2008,"&gt;=01/10/"&amp;$G$3,Vendas!$E$8:$E$2008,"&lt;=31/10/"&amp;$G$3,Vendas!$C$8:$C$2008,"Entregue")+SUMIFS(Vendas!$AT$8:$AT$2008,Vendas!$AQ$8:$AQ$2008,$B33,Vendas!$E$8:$E$2008,"&gt;=01/10/"&amp;$G$3,Vendas!$E$8:$E$2008,"&lt;=31/10/"&amp;$G$3,Vendas!$C$8:$C$2008,"Entregue")</f>
        <v>0</v>
      </c>
      <c r="W33" s="159">
        <f>SUMIFS(Vendas!$K$8:$K$2008,Vendas!$H$8:$H$2008,$B33,Vendas!$E$8:$E$2008,"&gt;=01/11/"&amp;$G$3,Vendas!$E$8:$E$2008,"&lt;=30/11/"&amp;$G$3)+SUMIFS(Vendas!$P$8:$P$2008,Vendas!$M$8:$M$2008,$B33,Vendas!$E$8:$E$2008,"&gt;=01/11/"&amp;$G$3,Vendas!$E$8:$E$2008,"&lt;=30/11/"&amp;$G$3)+SUMIFS(Vendas!$U$8:$U$2008,Vendas!$R$8:$R$2008,$B33,Vendas!$E$8:$E$2008,"&gt;=01/11/"&amp;$G$3,Vendas!$E$8:$E$2008,"&lt;=30/11/"&amp;$G$3)+SUMIFS(Vendas!$Z$8:$Z$2008,Vendas!$W$8:$W$2008,$B33,Vendas!$E$8:$E$2008,"&gt;=01/11/"&amp;$G$3,Vendas!$E$8:$E$2008,"&lt;=30/11/"&amp;$G$3)+SUMIFS(Vendas!$AE$8:$AE$2008,Vendas!$AB$8:$AB$2008,$B33,Vendas!$E$8:$E$2008,"&gt;=01/11/"&amp;$G$3,Vendas!$E$8:$E$2008,"&lt;=30/11/"&amp;$G$3)+SUMIFS(Vendas!$AJ$8:$AJ$2008,Vendas!$AG$8:$AG$2008,$B33,Vendas!$E$8:$E$2008,"&gt;=01/11/"&amp;$G$3,Vendas!$E$8:$E$2008,"&lt;=30/11/"&amp;$G$3)+SUMIFS(Vendas!$AO$8:$AO$2008,Vendas!$AL$8:$AL$2008,$B33,Vendas!$E$8:$E$2008,"&gt;=01/11/"&amp;$G$3,Vendas!$E$8:$E$2008,"&lt;=30/11/"&amp;$G$3)+SUMIFS(Vendas!$AT$8:$AT$2008,Vendas!$AQ$8:$AQ$2008,$B33,Vendas!$E$8:$E$2008,"&gt;=01/11/"&amp;$G$3,Vendas!$E$8:$E$2008,"&lt;=30/11/"&amp;$G$3)</f>
        <v>0</v>
      </c>
      <c r="X33" s="159">
        <f>SUMIFS(Vendas!$K$8:$K$2008,Vendas!$H$8:$H$2008,$B33,Vendas!$E$8:$E$2008,"&gt;=01/11/"&amp;$G$3,Vendas!$E$8:$E$2008,"&lt;=30/11/"&amp;$G$3,Vendas!$C$8:$C$2008,"Entregue")+SUMIFS(Vendas!$P$8:$P$2008,Vendas!$M$8:$M$2008,$B33,Vendas!$E$8:$E$2008,"&gt;=01/11/"&amp;$G$3,Vendas!$E$8:$E$2008,"&lt;=30/11/"&amp;$G$3,Vendas!$C$8:$C$2008,"Entregue")+SUMIFS(Vendas!$U$8:$U$2008,Vendas!$R$8:$R$2008,$B33,Vendas!$E$8:$E$2008,"&gt;=01/11/"&amp;$G$3,Vendas!$E$8:$E$2008,"&lt;=30/11/"&amp;$G$3,Vendas!$C$8:$C$2008,"Entregue")+SUMIFS(Vendas!$Z$8:$Z$2008,Vendas!$W$8:$W$2008,$B33,Vendas!$E$8:$E$2008,"&gt;=01/11/"&amp;$G$3,Vendas!$E$8:$E$2008,"&lt;=30/11/"&amp;$G$3,Vendas!$C$8:$C$2008,"Entregue")+SUMIFS(Vendas!$AE$8:$AE$2008,Vendas!$AB$8:$AB$2008,$B33,Vendas!$E$8:$E$2008,"&gt;=01/11/"&amp;$G$3,Vendas!$E$8:$E$2008,"&lt;=30/11/"&amp;$G$3,Vendas!$C$8:$C$2008,"Entregue")+SUMIFS(Vendas!$AJ$8:$AJ$2008,Vendas!$AG$8:$AG$2008,$B33,Vendas!$E$8:$E$2008,"&gt;=01/11/"&amp;$G$3,Vendas!$E$8:$E$2008,"&lt;=30/11/"&amp;$G$3,Vendas!$C$8:$C$2008,"Entregue")+SUMIFS(Vendas!$AO$8:$AO$2008,Vendas!$AL$8:$AL$2008,$B33,Vendas!$E$8:$E$2008,"&gt;=01/11/"&amp;$G$3,Vendas!$E$8:$E$2008,"&lt;=30/11/"&amp;$G$3,Vendas!$C$8:$C$2008,"Entregue")+SUMIFS(Vendas!$AT$8:$AT$2008,Vendas!$AQ$8:$AQ$2008,$B33,Vendas!$E$8:$E$2008,"&gt;=01/11/"&amp;$G$3,Vendas!$E$8:$E$2008,"&lt;=30/11/"&amp;$G$3,Vendas!$C$8:$C$2008,"Entregue")</f>
        <v>0</v>
      </c>
      <c r="Y33" s="159">
        <f>SUMIFS(Vendas!$K$8:$K$2008,Vendas!$H$8:$H$2008,$B33,Vendas!$E$8:$E$2008,"&gt;=01/12/"&amp;$G$3,Vendas!$E$8:$E$2008,"&lt;=31/12/"&amp;$G$3)+SUMIFS(Vendas!$P$8:$P$2008,Vendas!$M$8:$M$2008,$B33,Vendas!$E$8:$E$2008,"&gt;=01/12/"&amp;$G$3,Vendas!$E$8:$E$2008,"&lt;=31/12/"&amp;$G$3)+SUMIFS(Vendas!$U$8:$U$2008,Vendas!$R$8:$R$2008,$B33,Vendas!$E$8:$E$2008,"&gt;=01/12/"&amp;$G$3,Vendas!$E$8:$E$2008,"&lt;=31/12/"&amp;$G$3)+SUMIFS(Vendas!$Z$8:$Z$2008,Vendas!$W$8:$W$2008,$B33,Vendas!$E$8:$E$2008,"&gt;=01/12/"&amp;$G$3,Vendas!$E$8:$E$2008,"&lt;=31/12/"&amp;$G$3)+SUMIFS(Vendas!$AE$8:$AE$2008,Vendas!$AB$8:$AB$2008,$B33,Vendas!$E$8:$E$2008,"&gt;=01/12/"&amp;$G$3,Vendas!$E$8:$E$2008,"&lt;=31/12/"&amp;$G$3)+SUMIFS(Vendas!$AJ$8:$AJ$2008,Vendas!$AG$8:$AG$2008,$B33,Vendas!$E$8:$E$2008,"&gt;=01/12/"&amp;$G$3,Vendas!$E$8:$E$2008,"&lt;=31/12/"&amp;$G$3)+SUMIFS(Vendas!$AO$8:$AO$2008,Vendas!$AL$8:$AL$2008,$B33,Vendas!$E$8:$E$2008,"&gt;=01/12/"&amp;$G$3,Vendas!$E$8:$E$2008,"&lt;=31/12/"&amp;$G$3)+SUMIFS(Vendas!$AT$8:$AT$2008,Vendas!$AQ$8:$AQ$2008,$B33,Vendas!$E$8:$E$2008,"&gt;=01/12/"&amp;$G$3,Vendas!$E$8:$E$2008,"&lt;=31/12/"&amp;$G$3)</f>
        <v>0</v>
      </c>
      <c r="Z33" s="160">
        <f>SUMIFS(Vendas!$K$8:$K$2008,Vendas!$H$8:$H$2008,$B33,Vendas!$E$8:$E$2008,"&gt;=01/12/"&amp;$G$3,Vendas!$E$8:$E$2008,"&lt;=31/12/"&amp;$G$3,Vendas!$C$8:$C$2008,"Entregue")+SUMIFS(Vendas!$P$8:$P$2008,Vendas!$M$8:$M$2008,$B33,Vendas!$E$8:$E$2008,"&gt;=01/12/"&amp;$G$3,Vendas!$E$8:$E$2008,"&lt;=31/12/"&amp;$G$3,Vendas!$C$8:$C$2008,"Entregue")+SUMIFS(Vendas!$U$8:$U$2008,Vendas!$R$8:$R$2008,$B33,Vendas!$E$8:$E$2008,"&gt;=01/12/"&amp;$G$3,Vendas!$E$8:$E$2008,"&lt;=31/12/"&amp;$G$3,Vendas!$C$8:$C$2008,"Entregue")+SUMIFS(Vendas!$Z$8:$Z$2008,Vendas!$W$8:$W$2008,$B33,Vendas!$E$8:$E$2008,"&gt;=01/12/"&amp;$G$3,Vendas!$E$8:$E$2008,"&lt;=31/12/"&amp;$G$3,Vendas!$C$8:$C$2008,"Entregue")+SUMIFS(Vendas!$AE$8:$AE$2008,Vendas!$AB$8:$AB$2008,$B33,Vendas!$E$8:$E$2008,"&gt;=01/12/"&amp;$G$3,Vendas!$E$8:$E$2008,"&lt;=31/12/"&amp;$G$3,Vendas!$C$8:$C$2008,"Entregue")+SUMIFS(Vendas!$AJ$8:$AJ$2008,Vendas!$AG$8:$AG$2008,$B33,Vendas!$E$8:$E$2008,"&gt;=01/12/"&amp;$G$3,Vendas!$E$8:$E$2008,"&lt;=31/12/"&amp;$G$3,Vendas!$C$8:$C$2008,"Entregue")+SUMIFS(Vendas!$AO$8:$AO$2008,Vendas!$AL$8:$AL$2008,$B33,Vendas!$E$8:$E$2008,"&gt;=01/12/"&amp;$G$3,Vendas!$E$8:$E$2008,"&lt;=31/12/"&amp;$G$3,Vendas!$C$8:$C$2008,"Entregue")+SUMIFS(Vendas!$AT$8:$AT$2008,Vendas!$AQ$8:$AQ$2008,$B33,Vendas!$E$8:$E$2008,"&gt;=01/12/"&amp;$G$3,Vendas!$E$8:$E$2008,"&lt;=31/12/"&amp;$G$3,Vendas!$C$8:$C$2008,"Entregue")</f>
        <v>0</v>
      </c>
      <c r="AA33" s="132">
        <f t="shared" si="0"/>
        <v>0</v>
      </c>
      <c r="AB33" s="132">
        <f t="shared" si="0"/>
        <v>0</v>
      </c>
      <c r="AC33" s="67"/>
    </row>
    <row r="34" spans="2:29" ht="14.4" x14ac:dyDescent="0.3">
      <c r="B34" s="262" t="str">
        <f>IF(Cadastros!G42="","",Cadastros!G42)</f>
        <v>230 - Almofada Com Infravermelho</v>
      </c>
      <c r="C34" s="161">
        <f>SUMIFS(Vendas!$K$8:$K$2008,Vendas!$H$8:$H$2008,$B34,Vendas!$E$8:$E$2008,"&gt;=01/01/"&amp;$G$3,Vendas!$E$8:$E$2008,"&lt;=31/01/"&amp;$G$3)+SUMIFS(Vendas!$P$8:$P$2008,Vendas!$M$8:$M$2008,$B34,Vendas!$E$8:$E$2008,"&gt;=01/01/"&amp;$G$3,Vendas!$E$8:$E$2008,"&lt;=31/01/"&amp;$G$3)+SUMIFS(Vendas!$U$8:$U$2008,Vendas!$R$8:$R$2008,$B34,Vendas!$E$8:$E$2008,"&gt;=01/01/"&amp;$G$3,Vendas!$E$8:$E$2008,"&lt;=31/01/"&amp;$G$3)+SUMIFS(Vendas!$Z$8:$Z$2008,Vendas!$W$8:$W$2008,$B34,Vendas!$E$8:$E$2008,"&gt;=01/01/"&amp;$G$3,Vendas!$E$8:$E$2008,"&lt;=31/01/"&amp;$G$3)+SUMIFS(Vendas!$AE$8:$AE$2008,Vendas!$AB$8:$AB$2008,$B34,Vendas!$E$8:$E$2008,"&gt;=01/01/"&amp;$G$3,Vendas!$E$8:$E$2008,"&lt;=31/01/"&amp;$G$3)+SUMIFS(Vendas!$AJ$8:$AJ$2008,Vendas!$AG$8:$AG$2008,$B34,Vendas!$E$8:$E$2008,"&gt;=01/01/"&amp;$G$3,Vendas!$E$8:$E$2008,"&lt;=31/01/"&amp;$G$3)+SUMIFS(Vendas!$AO$8:$AO$2008,Vendas!$AL$8:$AL$2008,$B34,Vendas!$E$8:$E$2008,"&gt;=01/01/"&amp;$G$3,Vendas!$E$8:$E$2008,"&lt;=31/01/"&amp;$G$3)+SUMIFS(Vendas!$AT$8:$AT$2008,Vendas!$AQ$8:$AQ$2008,$B34,Vendas!$E$8:$E$2008,"&gt;=01/01/"&amp;$G$3,Vendas!$E$8:$E$2008,"&lt;=31/01/"&amp;$G$3)</f>
        <v>0</v>
      </c>
      <c r="D34" s="162">
        <f>SUMIFS(Vendas!$K$8:$K$2008,Vendas!$H$8:$H$2008,$B34,Vendas!$E$8:$E$2008,"&gt;=01/01/"&amp;$G$3,Vendas!$E$8:$E$2008,"&lt;=31/01/"&amp;$G$3,Vendas!$C$8:$C$2008,"Entregue")+SUMIFS(Vendas!$P$8:$P$2008,Vendas!$M$8:$M$2008,$B34,Vendas!$E$8:$E$2008,"&gt;=01/01/"&amp;$G$3,Vendas!$E$8:$E$2008,"&lt;=31/01/"&amp;$G$3,Vendas!$C$8:$C$2008,"Entregue")+SUMIFS(Vendas!$U$8:$U$2008,Vendas!$R$8:$R$2008,$B34,Vendas!$E$8:$E$2008,"&gt;=01/01/"&amp;$G$3,Vendas!$E$8:$E$2008,"&lt;=31/01/"&amp;$G$3,Vendas!$C$8:$C$2008,"Entregue")+SUMIFS(Vendas!$Z$8:$Z$2008,Vendas!$W$8:$W$2008,$B34,Vendas!$E$8:$E$2008,"&gt;=01/01/"&amp;$G$3,Vendas!$E$8:$E$2008,"&lt;=31/01/"&amp;$G$3,Vendas!$C$8:$C$2008,"Entregue")+SUMIFS(Vendas!$AE$8:$AE$2008,Vendas!$AB$8:$AB$2008,$B34,Vendas!$E$8:$E$2008,"&gt;=01/01/"&amp;$G$3,Vendas!$E$8:$E$2008,"&lt;=31/01/"&amp;$G$3,Vendas!$C$8:$C$2008,"Entregue")+SUMIFS(Vendas!$AJ$8:$AJ$2008,Vendas!$AG$8:$AG$2008,$B34,Vendas!$E$8:$E$2008,"&gt;=01/01/"&amp;$G$3,Vendas!$E$8:$E$2008,"&lt;=31/01/"&amp;$G$3,Vendas!$C$8:$C$2008,"Entregue")+SUMIFS(Vendas!$AO$8:$AO$2008,Vendas!$AL$8:$AL$2008,$B34,Vendas!$E$8:$E$2008,"&gt;=01/01/"&amp;$G$3,Vendas!$E$8:$E$2008,"&lt;=31/01/"&amp;$G$3,Vendas!$C$8:$C$2008,"Entregue")+SUMIFS(Vendas!$AT$8:$AT$2008,Vendas!$AQ$8:$AQ$2008,$B34,Vendas!$E$8:$E$2008,"&gt;=01/01/"&amp;$G$3,Vendas!$E$8:$E$2008,"&lt;=31/01/"&amp;$G$3,Vendas!$C$8:$C$2008,"Entregue")</f>
        <v>0</v>
      </c>
      <c r="E34" s="162">
        <f>SUMIFS(Vendas!$K$8:$K$2008,Vendas!$H$8:$H$2008,$B34,Vendas!$E$8:$E$2008,"&gt;=01/02/"&amp;$G$3,Vendas!$E$8:$E$2008,"&lt;=28/02/"&amp;$G$3)+SUMIFS(Vendas!$P$8:$P$2008,Vendas!$M$8:$M$2008,$B34,Vendas!$E$8:$E$2008,"&gt;=01/02/"&amp;$G$3,Vendas!$E$8:$E$2008,"&lt;=28/02/"&amp;$G$3)+SUMIFS(Vendas!$U$8:$U$2008,Vendas!$R$8:$R$2008,$B34,Vendas!$E$8:$E$2008,"&gt;=01/02/"&amp;$G$3,Vendas!$E$8:$E$2008,"&lt;=28/02/"&amp;$G$3)+SUMIFS(Vendas!$Z$8:$Z$2008,Vendas!$W$8:$W$2008,$B34,Vendas!$E$8:$E$2008,"&gt;=01/02/"&amp;$G$3,Vendas!$E$8:$E$2008,"&lt;=28/02/"&amp;$G$3)+SUMIFS(Vendas!$AE$8:$AE$2008,Vendas!$AB$8:$AB$2008,$B34,Vendas!$E$8:$E$2008,"&gt;=01/02/"&amp;$G$3,Vendas!$E$8:$E$2008,"&lt;=28/02/"&amp;$G$3)+SUMIFS(Vendas!$AJ$8:$AJ$2008,Vendas!$AG$8:$AG$2008,$B34,Vendas!$E$8:$E$2008,"&gt;=01/02/"&amp;$G$3,Vendas!$E$8:$E$2008,"&lt;=28/02/"&amp;$G$3)+SUMIFS(Vendas!$AO$8:$AO$2008,Vendas!$AL$8:$AL$2008,$B34,Vendas!$E$8:$E$2008,"&gt;=01/02/"&amp;$G$3,Vendas!$E$8:$E$2008,"&lt;=28/02/"&amp;$G$3)+SUMIFS(Vendas!$AT$8:$AT$2008,Vendas!$AQ$8:$AQ$2008,$B34,Vendas!$E$8:$E$2008,"&gt;=01/02/"&amp;$G$3,Vendas!$E$8:$E$2008,"&lt;=28/02/"&amp;$G$3)</f>
        <v>0</v>
      </c>
      <c r="F34" s="162">
        <f>SUMIFS(Vendas!$K$8:$K$2008,Vendas!$H$8:$H$2008,$B34,Vendas!$E$8:$E$2008,"&gt;=01/02/"&amp;$G$3,Vendas!$E$8:$E$2008,"&lt;=28/02/"&amp;$G$3,Vendas!$C$8:$C$2008,"Entregue")+SUMIFS(Vendas!$P$8:$P$2008,Vendas!$M$8:$M$2008,$B34,Vendas!$E$8:$E$2008,"&gt;=01/02/"&amp;$G$3,Vendas!$E$8:$E$2008,"&lt;=28/02/"&amp;$G$3,Vendas!$C$8:$C$2008,"Entregue")+SUMIFS(Vendas!$U$8:$U$2008,Vendas!$R$8:$R$2008,$B34,Vendas!$E$8:$E$2008,"&gt;=01/02/"&amp;$G$3,Vendas!$E$8:$E$2008,"&lt;=28/02/"&amp;$G$3,Vendas!$C$8:$C$2008,"Entregue")+SUMIFS(Vendas!$Z$8:$Z$2008,Vendas!$W$8:$W$2008,$B34,Vendas!$E$8:$E$2008,"&gt;=01/02/"&amp;$G$3,Vendas!$E$8:$E$2008,"&lt;=28/02/"&amp;$G$3,Vendas!$C$8:$C$2008,"Entregue")+SUMIFS(Vendas!$AE$8:$AE$2008,Vendas!$AB$8:$AB$2008,$B34,Vendas!$E$8:$E$2008,"&gt;=01/02/"&amp;$G$3,Vendas!$E$8:$E$2008,"&lt;=28/02/"&amp;$G$3,Vendas!$C$8:$C$2008,"Entregue")+SUMIFS(Vendas!$AJ$8:$AJ$2008,Vendas!$AG$8:$AG$2008,$B34,Vendas!$E$8:$E$2008,"&gt;=01/02/"&amp;$G$3,Vendas!$E$8:$E$2008,"&lt;=28/02/"&amp;$G$3,Vendas!$C$8:$C$2008,"Entregue")+SUMIFS(Vendas!$AO$8:$AO$2008,Vendas!$AL$8:$AL$2008,$B34,Vendas!$E$8:$E$2008,"&gt;=01/02/"&amp;$G$3,Vendas!$E$8:$E$2008,"&lt;=28/02/"&amp;$G$3,Vendas!$C$8:$C$2008,"Entregue")+SUMIFS(Vendas!$AT$8:$AT$2008,Vendas!$AQ$8:$AQ$2008,$B34,Vendas!$E$8:$E$2008,"&gt;=01/02/"&amp;$G$3,Vendas!$E$8:$E$2008,"&lt;=28/02/"&amp;$G$3,Vendas!$C$8:$C$2008,"Entregue")</f>
        <v>0</v>
      </c>
      <c r="G34" s="162">
        <f>SUMIFS(Vendas!$K$8:$K$2008,Vendas!$H$8:$H$2008,$B34,Vendas!$E$8:$E$2008,"&gt;=01/03/"&amp;$G$3,Vendas!$E$8:$E$2008,"&lt;=31/03/"&amp;$G$3)+SUMIFS(Vendas!$P$8:$P$2008,Vendas!$M$8:$M$2008,$B34,Vendas!$E$8:$E$2008,"&gt;=01/03/"&amp;$G$3,Vendas!$E$8:$E$2008,"&lt;=31/03/"&amp;$G$3)+SUMIFS(Vendas!$U$8:$U$2008,Vendas!$R$8:$R$2008,$B34,Vendas!$E$8:$E$2008,"&gt;=01/03/"&amp;$G$3,Vendas!$E$8:$E$2008,"&lt;=31/03/"&amp;$G$3)+SUMIFS(Vendas!$Z$8:$Z$2008,Vendas!$W$8:$W$2008,$B34,Vendas!$E$8:$E$2008,"&gt;=01/03/"&amp;$G$3,Vendas!$E$8:$E$2008,"&lt;=31/03/"&amp;$G$3)+SUMIFS(Vendas!$AE$8:$AE$2008,Vendas!$AB$8:$AB$2008,$B34,Vendas!$E$8:$E$2008,"&gt;=01/03/"&amp;$G$3,Vendas!$E$8:$E$2008,"&lt;=31/03/"&amp;$G$3)+SUMIFS(Vendas!$AJ$8:$AJ$2008,Vendas!$AG$8:$AG$2008,$B34,Vendas!$E$8:$E$2008,"&gt;=01/03/"&amp;$G$3,Vendas!$E$8:$E$2008,"&lt;=31/03/"&amp;$G$3)+SUMIFS(Vendas!$AO$8:$AO$2008,Vendas!$AL$8:$AL$2008,$B34,Vendas!$E$8:$E$2008,"&gt;=01/03/"&amp;$G$3,Vendas!$E$8:$E$2008,"&lt;=31/03/"&amp;$G$3)+SUMIFS(Vendas!$AT$8:$AT$2008,Vendas!$AQ$8:$AQ$2008,$B34,Vendas!$E$8:$E$2008,"&gt;=01/03/"&amp;$G$3,Vendas!$E$8:$E$2008,"&lt;=31/03/"&amp;$G$3)</f>
        <v>0</v>
      </c>
      <c r="H34" s="162">
        <f>SUMIFS(Vendas!$K$8:$K$2008,Vendas!$H$8:$H$2008,$B34,Vendas!$E$8:$E$2008,"&gt;=01/03/"&amp;$G$3,Vendas!$E$8:$E$2008,"&lt;=31/03/"&amp;$G$3,Vendas!$C$8:$C$2008,"Entregue")+SUMIFS(Vendas!$P$8:$P$2008,Vendas!$M$8:$M$2008,$B34,Vendas!$E$8:$E$2008,"&gt;=01/03/"&amp;$G$3,Vendas!$E$8:$E$2008,"&lt;=31/03/"&amp;$G$3,Vendas!$C$8:$C$2008,"Entregue")+SUMIFS(Vendas!$U$8:$U$2008,Vendas!$R$8:$R$2008,$B34,Vendas!$E$8:$E$2008,"&gt;=01/03/"&amp;$G$3,Vendas!$E$8:$E$2008,"&lt;=31/03/"&amp;$G$3,Vendas!$C$8:$C$2008,"Entregue")+SUMIFS(Vendas!$Z$8:$Z$2008,Vendas!$W$8:$W$2008,$B34,Vendas!$E$8:$E$2008,"&gt;=01/03/"&amp;$G$3,Vendas!$E$8:$E$2008,"&lt;=31/03/"&amp;$G$3,Vendas!$C$8:$C$2008,"Entregue")+SUMIFS(Vendas!$AE$8:$AE$2008,Vendas!$AB$8:$AB$2008,$B34,Vendas!$E$8:$E$2008,"&gt;=01/03/"&amp;$G$3,Vendas!$E$8:$E$2008,"&lt;=31/03/"&amp;$G$3,Vendas!$C$8:$C$2008,"Entregue")+SUMIFS(Vendas!$AJ$8:$AJ$2008,Vendas!$AG$8:$AG$2008,$B34,Vendas!$E$8:$E$2008,"&gt;=01/03/"&amp;$G$3,Vendas!$E$8:$E$2008,"&lt;=31/03/"&amp;$G$3,Vendas!$C$8:$C$2008,"Entregue")+SUMIFS(Vendas!$AO$8:$AO$2008,Vendas!$AL$8:$AL$2008,$B34,Vendas!$E$8:$E$2008,"&gt;=01/03/"&amp;$G$3,Vendas!$E$8:$E$2008,"&lt;=31/03/"&amp;$G$3,Vendas!$C$8:$C$2008,"Entregue")+SUMIFS(Vendas!$AT$8:$AT$2008,Vendas!$AQ$8:$AQ$2008,$B34,Vendas!$E$8:$E$2008,"&gt;=01/03/"&amp;$G$3,Vendas!$E$8:$E$2008,"&lt;=31/03/"&amp;$G$3,Vendas!$C$8:$C$2008,"Entregue")</f>
        <v>0</v>
      </c>
      <c r="I34" s="162">
        <f>SUMIFS(Vendas!$K$8:$K$2008,Vendas!$H$8:$H$2008,$B34,Vendas!$E$8:$E$2008,"&gt;=01/04/"&amp;$G$3,Vendas!$E$8:$E$2008,"&lt;=30/04/"&amp;$G$3)+SUMIFS(Vendas!$P$8:$P$2008,Vendas!$M$8:$M$2008,$B34,Vendas!$E$8:$E$2008,"&gt;=01/04/"&amp;$G$3,Vendas!$E$8:$E$2008,"&lt;=30/04/"&amp;$G$3)+SUMIFS(Vendas!$U$8:$U$2008,Vendas!$R$8:$R$2008,$B34,Vendas!$E$8:$E$2008,"&gt;=01/04/"&amp;$G$3,Vendas!$E$8:$E$2008,"&lt;=30/04/"&amp;$G$3)+SUMIFS(Vendas!$Z$8:$Z$2008,Vendas!$W$8:$W$2008,$B34,Vendas!$E$8:$E$2008,"&gt;=01/04/"&amp;$G$3,Vendas!$E$8:$E$2008,"&lt;=30/04/"&amp;$G$3)+SUMIFS(Vendas!$AE$8:$AE$2008,Vendas!$AB$8:$AB$2008,$B34,Vendas!$E$8:$E$2008,"&gt;=01/04/"&amp;$G$3,Vendas!$E$8:$E$2008,"&lt;=30/04/"&amp;$G$3)+SUMIFS(Vendas!$AJ$8:$AJ$2008,Vendas!$AG$8:$AG$2008,$B34,Vendas!$E$8:$E$2008,"&gt;=01/04/"&amp;$G$3,Vendas!$E$8:$E$2008,"&lt;=30/04/"&amp;$G$3)+SUMIFS(Vendas!$AO$8:$AO$2008,Vendas!$AL$8:$AL$2008,$B34,Vendas!$E$8:$E$2008,"&gt;=01/04/"&amp;$G$3,Vendas!$E$8:$E$2008,"&lt;=30/04/"&amp;$G$3)+SUMIFS(Vendas!$AT$8:$AT$2008,Vendas!$AQ$8:$AQ$2008,$B34,Vendas!$E$8:$E$2008,"&gt;=01/04/"&amp;$G$3,Vendas!$E$8:$E$2008,"&lt;=30/04/"&amp;$G$3)</f>
        <v>0</v>
      </c>
      <c r="J34" s="162">
        <f>SUMIFS(Vendas!$K$8:$K$2008,Vendas!$H$8:$H$2008,$B34,Vendas!$E$8:$E$2008,"&gt;=01/04/"&amp;$G$3,Vendas!$E$8:$E$2008,"&lt;=30/04/"&amp;$G$3,Vendas!$C$8:$C$2008,"Entregue")+SUMIFS(Vendas!$P$8:$P$2008,Vendas!$M$8:$M$2008,$B34,Vendas!$E$8:$E$2008,"&gt;=01/04/"&amp;$G$3,Vendas!$E$8:$E$2008,"&lt;=30/04/"&amp;$G$3,Vendas!$C$8:$C$2008,"Entregue")+SUMIFS(Vendas!$U$8:$U$2008,Vendas!$R$8:$R$2008,$B34,Vendas!$E$8:$E$2008,"&gt;=01/04/"&amp;$G$3,Vendas!$E$8:$E$2008,"&lt;=30/04/"&amp;$G$3,Vendas!$C$8:$C$2008,"Entregue")+SUMIFS(Vendas!$Z$8:$Z$2008,Vendas!$W$8:$W$2008,$B34,Vendas!$E$8:$E$2008,"&gt;=01/04/"&amp;$G$3,Vendas!$E$8:$E$2008,"&lt;=30/04/"&amp;$G$3,Vendas!$C$8:$C$2008,"Entregue")+SUMIFS(Vendas!$AE$8:$AE$2008,Vendas!$AB$8:$AB$2008,$B34,Vendas!$E$8:$E$2008,"&gt;=01/04/"&amp;$G$3,Vendas!$E$8:$E$2008,"&lt;=30/04/"&amp;$G$3,Vendas!$C$8:$C$2008,"Entregue")+SUMIFS(Vendas!$AJ$8:$AJ$2008,Vendas!$AG$8:$AG$2008,$B34,Vendas!$E$8:$E$2008,"&gt;=01/04/"&amp;$G$3,Vendas!$E$8:$E$2008,"&lt;=30/04/"&amp;$G$3,Vendas!$C$8:$C$2008,"Entregue")+SUMIFS(Vendas!$AO$8:$AO$2008,Vendas!$AL$8:$AL$2008,$B34,Vendas!$E$8:$E$2008,"&gt;=01/04/"&amp;$G$3,Vendas!$E$8:$E$2008,"&lt;=30/04/"&amp;$G$3,Vendas!$C$8:$C$2008,"Entregue")+SUMIFS(Vendas!$AT$8:$AT$2008,Vendas!$AQ$8:$AQ$2008,$B34,Vendas!$E$8:$E$2008,"&gt;=01/04/"&amp;$G$3,Vendas!$E$8:$E$2008,"&lt;=30/04/"&amp;$G$3,Vendas!$C$8:$C$2008,"Entregue")</f>
        <v>0</v>
      </c>
      <c r="K34" s="162">
        <f>SUMIFS(Vendas!$K$8:$K$2008,Vendas!$H$8:$H$2008,$B34,Vendas!$E$8:$E$2008,"&gt;=01/05/"&amp;$G$3,Vendas!$E$8:$E$2008,"&lt;=31/05/"&amp;$G$3)+SUMIFS(Vendas!$P$8:$P$2008,Vendas!$M$8:$M$2008,$B34,Vendas!$E$8:$E$2008,"&gt;=01/05/"&amp;$G$3,Vendas!$E$8:$E$2008,"&lt;=31/05/"&amp;$G$3)+SUMIFS(Vendas!$U$8:$U$2008,Vendas!$R$8:$R$2008,$B34,Vendas!$E$8:$E$2008,"&gt;=01/05/"&amp;$G$3,Vendas!$E$8:$E$2008,"&lt;=31/05/"&amp;$G$3)+SUMIFS(Vendas!$Z$8:$Z$2008,Vendas!$W$8:$W$2008,$B34,Vendas!$E$8:$E$2008,"&gt;=01/05/"&amp;$G$3,Vendas!$E$8:$E$2008,"&lt;=31/05/"&amp;$G$3)+SUMIFS(Vendas!$AE$8:$AE$2008,Vendas!$AB$8:$AB$2008,$B34,Vendas!$E$8:$E$2008,"&gt;=01/05/"&amp;$G$3,Vendas!$E$8:$E$2008,"&lt;=31/05/"&amp;$G$3)+SUMIFS(Vendas!$AJ$8:$AJ$2008,Vendas!$AG$8:$AG$2008,$B34,Vendas!$E$8:$E$2008,"&gt;=01/05/"&amp;$G$3,Vendas!$E$8:$E$2008,"&lt;=31/05/"&amp;$G$3)+SUMIFS(Vendas!$AO$8:$AO$2008,Vendas!$AL$8:$AL$2008,$B34,Vendas!$E$8:$E$2008,"&gt;=01/05/"&amp;$G$3,Vendas!$E$8:$E$2008,"&lt;=31/05/"&amp;$G$3)+SUMIFS(Vendas!$AT$8:$AT$2008,Vendas!$AQ$8:$AQ$2008,$B34,Vendas!$E$8:$E$2008,"&gt;=01/05/"&amp;$G$3,Vendas!$E$8:$E$2008,"&lt;=31/05/"&amp;$G$3)</f>
        <v>0</v>
      </c>
      <c r="L34" s="162">
        <f>SUMIFS(Vendas!$K$8:$K$2008,Vendas!$H$8:$H$2008,$B34,Vendas!$E$8:$E$2008,"&gt;=01/05/"&amp;$G$3,Vendas!$E$8:$E$2008,"&lt;=31/05/"&amp;$G$3,Vendas!$C$8:$C$2008,"Entregue")+SUMIFS(Vendas!$P$8:$P$2008,Vendas!$M$8:$M$2008,$B34,Vendas!$E$8:$E$2008,"&gt;=01/05/"&amp;$G$3,Vendas!$E$8:$E$2008,"&lt;=31/05/"&amp;$G$3,Vendas!$C$8:$C$2008,"Entregue")+SUMIFS(Vendas!$U$8:$U$2008,Vendas!$R$8:$R$2008,$B34,Vendas!$E$8:$E$2008,"&gt;=01/05/"&amp;$G$3,Vendas!$E$8:$E$2008,"&lt;=31/05/"&amp;$G$3,Vendas!$C$8:$C$2008,"Entregue")+SUMIFS(Vendas!$Z$8:$Z$2008,Vendas!$W$8:$W$2008,$B34,Vendas!$E$8:$E$2008,"&gt;=01/05/"&amp;$G$3,Vendas!$E$8:$E$2008,"&lt;=31/05/"&amp;$G$3,Vendas!$C$8:$C$2008,"Entregue")+SUMIFS(Vendas!$AE$8:$AE$2008,Vendas!$AB$8:$AB$2008,$B34,Vendas!$E$8:$E$2008,"&gt;=01/05/"&amp;$G$3,Vendas!$E$8:$E$2008,"&lt;=31/05/"&amp;$G$3,Vendas!$C$8:$C$2008,"Entregue")+SUMIFS(Vendas!$AJ$8:$AJ$2008,Vendas!$AG$8:$AG$2008,$B34,Vendas!$E$8:$E$2008,"&gt;=01/05/"&amp;$G$3,Vendas!$E$8:$E$2008,"&lt;=31/05/"&amp;$G$3,Vendas!$C$8:$C$2008,"Entregue")+SUMIFS(Vendas!$AO$8:$AO$2008,Vendas!$AL$8:$AL$2008,$B34,Vendas!$E$8:$E$2008,"&gt;=01/05/"&amp;$G$3,Vendas!$E$8:$E$2008,"&lt;=31/05/"&amp;$G$3,Vendas!$C$8:$C$2008,"Entregue")+SUMIFS(Vendas!$AT$8:$AT$2008,Vendas!$AQ$8:$AQ$2008,$B34,Vendas!$E$8:$E$2008,"&gt;=01/05/"&amp;$G$3,Vendas!$E$8:$E$2008,"&lt;=31/05/"&amp;$G$3,Vendas!$C$8:$C$2008,"Entregue")</f>
        <v>0</v>
      </c>
      <c r="M34" s="162">
        <f>SUMIFS(Vendas!$K$8:$K$2008,Vendas!$H$8:$H$2008,$B34,Vendas!$E$8:$E$2008,"&gt;=01/06/"&amp;$G$3,Vendas!$E$8:$E$2008,"&lt;=30/06/"&amp;$G$3)+SUMIFS(Vendas!$P$8:$P$2008,Vendas!$M$8:$M$2008,$B34,Vendas!$E$8:$E$2008,"&gt;=01/06/"&amp;$G$3,Vendas!$E$8:$E$2008,"&lt;=30/06/"&amp;$G$3)+SUMIFS(Vendas!$U$8:$U$2008,Vendas!$R$8:$R$2008,$B34,Vendas!$E$8:$E$2008,"&gt;=01/06/"&amp;$G$3,Vendas!$E$8:$E$2008,"&lt;=30/06/"&amp;$G$3)+SUMIFS(Vendas!$Z$8:$Z$2008,Vendas!$W$8:$W$2008,$B34,Vendas!$E$8:$E$2008,"&gt;=01/06/"&amp;$G$3,Vendas!$E$8:$E$2008,"&lt;=30/06/"&amp;$G$3)+SUMIFS(Vendas!$AE$8:$AE$2008,Vendas!$AB$8:$AB$2008,$B34,Vendas!$E$8:$E$2008,"&gt;=01/06/"&amp;$G$3,Vendas!$E$8:$E$2008,"&lt;=30/06/"&amp;$G$3)+SUMIFS(Vendas!$AJ$8:$AJ$2008,Vendas!$AG$8:$AG$2008,$B34,Vendas!$E$8:$E$2008,"&gt;=01/06/"&amp;$G$3,Vendas!$E$8:$E$2008,"&lt;=30/06/"&amp;$G$3)+SUMIFS(Vendas!$AO$8:$AO$2008,Vendas!$AL$8:$AL$2008,$B34,Vendas!$E$8:$E$2008,"&gt;=01/06/"&amp;$G$3,Vendas!$E$8:$E$2008,"&lt;=30/06/"&amp;$G$3)+SUMIFS(Vendas!$AT$8:$AT$2008,Vendas!$AQ$8:$AQ$2008,$B34,Vendas!$E$8:$E$2008,"&gt;=01/06/"&amp;$G$3,Vendas!$E$8:$E$2008,"&lt;=30/06/"&amp;$G$3)</f>
        <v>0</v>
      </c>
      <c r="N34" s="162">
        <f>SUMIFS(Vendas!$K$8:$K$2008,Vendas!$H$8:$H$2008,$B34,Vendas!$E$8:$E$2008,"&gt;=01/06/"&amp;$G$3,Vendas!$E$8:$E$2008,"&lt;=30/06/"&amp;$G$3,Vendas!$C$8:$C$2008,"Entregue")+SUMIFS(Vendas!$P$8:$P$2008,Vendas!$M$8:$M$2008,$B34,Vendas!$E$8:$E$2008,"&gt;=01/06/"&amp;$G$3,Vendas!$E$8:$E$2008,"&lt;=30/06/"&amp;$G$3,Vendas!$C$8:$C$2008,"Entregue")+SUMIFS(Vendas!$U$8:$U$2008,Vendas!$R$8:$R$2008,$B34,Vendas!$E$8:$E$2008,"&gt;=01/06/"&amp;$G$3,Vendas!$E$8:$E$2008,"&lt;=30/06/"&amp;$G$3,Vendas!$C$8:$C$2008,"Entregue")+SUMIFS(Vendas!$Z$8:$Z$2008,Vendas!$W$8:$W$2008,$B34,Vendas!$E$8:$E$2008,"&gt;=01/06/"&amp;$G$3,Vendas!$E$8:$E$2008,"&lt;=30/06/"&amp;$G$3,Vendas!$C$8:$C$2008,"Entregue")+SUMIFS(Vendas!$AE$8:$AE$2008,Vendas!$AB$8:$AB$2008,$B34,Vendas!$E$8:$E$2008,"&gt;=01/06/"&amp;$G$3,Vendas!$E$8:$E$2008,"&lt;=30/06/"&amp;$G$3,Vendas!$C$8:$C$2008,"Entregue")+SUMIFS(Vendas!$AJ$8:$AJ$2008,Vendas!$AG$8:$AG$2008,$B34,Vendas!$E$8:$E$2008,"&gt;=01/06/"&amp;$G$3,Vendas!$E$8:$E$2008,"&lt;=30/06/"&amp;$G$3,Vendas!$C$8:$C$2008,"Entregue")+SUMIFS(Vendas!$AO$8:$AO$2008,Vendas!$AL$8:$AL$2008,$B34,Vendas!$E$8:$E$2008,"&gt;=01/06/"&amp;$G$3,Vendas!$E$8:$E$2008,"&lt;=30/06/"&amp;$G$3,Vendas!$C$8:$C$2008,"Entregue")+SUMIFS(Vendas!$AT$8:$AT$2008,Vendas!$AQ$8:$AQ$2008,$B34,Vendas!$E$8:$E$2008,"&gt;=01/06/"&amp;$G$3,Vendas!$E$8:$E$2008,"&lt;=30/06/"&amp;$G$3,Vendas!$C$8:$C$2008,"Entregue")</f>
        <v>0</v>
      </c>
      <c r="O34" s="162">
        <f>SUMIFS(Vendas!$K$8:$K$2008,Vendas!$H$8:$H$2008,$B34,Vendas!$E$8:$E$2008,"&gt;=01/07/"&amp;$G$3,Vendas!$E$8:$E$2008,"&lt;=31/07/"&amp;$G$3)+SUMIFS(Vendas!$P$8:$P$2008,Vendas!$M$8:$M$2008,$B34,Vendas!$E$8:$E$2008,"&gt;=01/07/"&amp;$G$3,Vendas!$E$8:$E$2008,"&lt;=31/07/"&amp;$G$3)+SUMIFS(Vendas!$U$8:$U$2008,Vendas!$R$8:$R$2008,$B34,Vendas!$E$8:$E$2008,"&gt;=01/07/"&amp;$G$3,Vendas!$E$8:$E$2008,"&lt;=31/07/"&amp;$G$3)+SUMIFS(Vendas!$Z$8:$Z$2008,Vendas!$W$8:$W$2008,$B34,Vendas!$E$8:$E$2008,"&gt;=01/07/"&amp;$G$3,Vendas!$E$8:$E$2008,"&lt;=31/07/"&amp;$G$3)+SUMIFS(Vendas!$AE$8:$AE$2008,Vendas!$AB$8:$AB$2008,$B34,Vendas!$E$8:$E$2008,"&gt;=01/07/"&amp;$G$3,Vendas!$E$8:$E$2008,"&lt;=31/07/"&amp;$G$3)+SUMIFS(Vendas!$AJ$8:$AJ$2008,Vendas!$AG$8:$AG$2008,$B34,Vendas!$E$8:$E$2008,"&gt;=01/07/"&amp;$G$3,Vendas!$E$8:$E$2008,"&lt;=31/07/"&amp;$G$3)+SUMIFS(Vendas!$AO$8:$AO$2008,Vendas!$AL$8:$AL$2008,$B34,Vendas!$E$8:$E$2008,"&gt;=01/07/"&amp;$G$3,Vendas!$E$8:$E$2008,"&lt;=31/07/"&amp;$G$3)+SUMIFS(Vendas!$AT$8:$AT$2008,Vendas!$AQ$8:$AQ$2008,$B34,Vendas!$E$8:$E$2008,"&gt;=01/07/"&amp;$G$3,Vendas!$E$8:$E$2008,"&lt;=31/07/"&amp;$G$3)</f>
        <v>0</v>
      </c>
      <c r="P34" s="162">
        <f>SUMIFS(Vendas!$K$8:$K$2008,Vendas!$H$8:$H$2008,$B34,Vendas!$E$8:$E$2008,"&gt;=01/07/"&amp;$G$3,Vendas!$E$8:$E$2008,"&lt;=31/07/"&amp;$G$3,Vendas!$C$8:$C$2008,"Entregue")+SUMIFS(Vendas!$P$8:$P$2008,Vendas!$M$8:$M$2008,$B34,Vendas!$E$8:$E$2008,"&gt;=01/07/"&amp;$G$3,Vendas!$E$8:$E$2008,"&lt;=31/07/"&amp;$G$3,Vendas!$C$8:$C$2008,"Entregue")+SUMIFS(Vendas!$U$8:$U$2008,Vendas!$R$8:$R$2008,$B34,Vendas!$E$8:$E$2008,"&gt;=01/07/"&amp;$G$3,Vendas!$E$8:$E$2008,"&lt;=31/07/"&amp;$G$3,Vendas!$C$8:$C$2008,"Entregue")+SUMIFS(Vendas!$Z$8:$Z$2008,Vendas!$W$8:$W$2008,$B34,Vendas!$E$8:$E$2008,"&gt;=01/07/"&amp;$G$3,Vendas!$E$8:$E$2008,"&lt;=31/07/"&amp;$G$3,Vendas!$C$8:$C$2008,"Entregue")+SUMIFS(Vendas!$AE$8:$AE$2008,Vendas!$AB$8:$AB$2008,$B34,Vendas!$E$8:$E$2008,"&gt;=01/07/"&amp;$G$3,Vendas!$E$8:$E$2008,"&lt;=31/07/"&amp;$G$3,Vendas!$C$8:$C$2008,"Entregue")+SUMIFS(Vendas!$AJ$8:$AJ$2008,Vendas!$AG$8:$AG$2008,$B34,Vendas!$E$8:$E$2008,"&gt;=01/07/"&amp;$G$3,Vendas!$E$8:$E$2008,"&lt;=31/07/"&amp;$G$3,Vendas!$C$8:$C$2008,"Entregue")+SUMIFS(Vendas!$AO$8:$AO$2008,Vendas!$AL$8:$AL$2008,$B34,Vendas!$E$8:$E$2008,"&gt;=01/07/"&amp;$G$3,Vendas!$E$8:$E$2008,"&lt;=31/07/"&amp;$G$3,Vendas!$C$8:$C$2008,"Entregue")+SUMIFS(Vendas!$AT$8:$AT$2008,Vendas!$AQ$8:$AQ$2008,$B34,Vendas!$E$8:$E$2008,"&gt;=01/07/"&amp;$G$3,Vendas!$E$8:$E$2008,"&lt;=31/07/"&amp;$G$3,Vendas!$C$8:$C$2008,"Entregue")</f>
        <v>0</v>
      </c>
      <c r="Q34" s="162">
        <f>SUMIFS(Vendas!$K$8:$K$2008,Vendas!$H$8:$H$2008,$B34,Vendas!$E$8:$E$2008,"&gt;=01/08/"&amp;$G$3,Vendas!$E$8:$E$2008,"&lt;=31/08/"&amp;$G$3)+SUMIFS(Vendas!$P$8:$P$2008,Vendas!$M$8:$M$2008,$B34,Vendas!$E$8:$E$2008,"&gt;=01/08/"&amp;$G$3,Vendas!$E$8:$E$2008,"&lt;=31/08/"&amp;$G$3)+SUMIFS(Vendas!$U$8:$U$2008,Vendas!$R$8:$R$2008,$B34,Vendas!$E$8:$E$2008,"&gt;=01/08/"&amp;$G$3,Vendas!$E$8:$E$2008,"&lt;=31/08/"&amp;$G$3)+SUMIFS(Vendas!$Z$8:$Z$2008,Vendas!$W$8:$W$2008,$B34,Vendas!$E$8:$E$2008,"&gt;=01/08/"&amp;$G$3,Vendas!$E$8:$E$2008,"&lt;=31/08/"&amp;$G$3)+SUMIFS(Vendas!$AE$8:$AE$2008,Vendas!$AB$8:$AB$2008,$B34,Vendas!$E$8:$E$2008,"&gt;=01/08/"&amp;$G$3,Vendas!$E$8:$E$2008,"&lt;=31/08/"&amp;$G$3)+SUMIFS(Vendas!$AJ$8:$AJ$2008,Vendas!$AG$8:$AG$2008,$B34,Vendas!$E$8:$E$2008,"&gt;=01/08/"&amp;$G$3,Vendas!$E$8:$E$2008,"&lt;=31/08/"&amp;$G$3)+SUMIFS(Vendas!$AO$8:$AO$2008,Vendas!$AL$8:$AL$2008,$B34,Vendas!$E$8:$E$2008,"&gt;=01/08/"&amp;$G$3,Vendas!$E$8:$E$2008,"&lt;=31/08/"&amp;$G$3)+SUMIFS(Vendas!$AT$8:$AT$2008,Vendas!$AQ$8:$AQ$2008,$B34,Vendas!$E$8:$E$2008,"&gt;=01/08/"&amp;$G$3,Vendas!$E$8:$E$2008,"&lt;=31/08/"&amp;$G$3)</f>
        <v>0</v>
      </c>
      <c r="R34" s="162">
        <f>SUMIFS(Vendas!$K$8:$K$2008,Vendas!$H$8:$H$2008,$B34,Vendas!$E$8:$E$2008,"&gt;=01/08/"&amp;$G$3,Vendas!$E$8:$E$2008,"&lt;=31/08/"&amp;$G$3,Vendas!$C$8:$C$2008,"Entregue")+SUMIFS(Vendas!$P$8:$P$2008,Vendas!$M$8:$M$2008,$B34,Vendas!$E$8:$E$2008,"&gt;=01/08/"&amp;$G$3,Vendas!$E$8:$E$2008,"&lt;=31/08/"&amp;$G$3,Vendas!$C$8:$C$2008,"Entregue")+SUMIFS(Vendas!$U$8:$U$2008,Vendas!$R$8:$R$2008,$B34,Vendas!$E$8:$E$2008,"&gt;=01/08/"&amp;$G$3,Vendas!$E$8:$E$2008,"&lt;=31/08/"&amp;$G$3,Vendas!$C$8:$C$2008,"Entregue")+SUMIFS(Vendas!$Z$8:$Z$2008,Vendas!$W$8:$W$2008,$B34,Vendas!$E$8:$E$2008,"&gt;=01/08/"&amp;$G$3,Vendas!$E$8:$E$2008,"&lt;=31/08/"&amp;$G$3,Vendas!$C$8:$C$2008,"Entregue")+SUMIFS(Vendas!$AE$8:$AE$2008,Vendas!$AB$8:$AB$2008,$B34,Vendas!$E$8:$E$2008,"&gt;=01/08/"&amp;$G$3,Vendas!$E$8:$E$2008,"&lt;=31/08/"&amp;$G$3,Vendas!$C$8:$C$2008,"Entregue")+SUMIFS(Vendas!$AJ$8:$AJ$2008,Vendas!$AG$8:$AG$2008,$B34,Vendas!$E$8:$E$2008,"&gt;=01/08/"&amp;$G$3,Vendas!$E$8:$E$2008,"&lt;=31/08/"&amp;$G$3,Vendas!$C$8:$C$2008,"Entregue")+SUMIFS(Vendas!$AO$8:$AO$2008,Vendas!$AL$8:$AL$2008,$B34,Vendas!$E$8:$E$2008,"&gt;=01/08/"&amp;$G$3,Vendas!$E$8:$E$2008,"&lt;=31/08/"&amp;$G$3,Vendas!$C$8:$C$2008,"Entregue")+SUMIFS(Vendas!$AT$8:$AT$2008,Vendas!$AQ$8:$AQ$2008,$B34,Vendas!$E$8:$E$2008,"&gt;=01/08/"&amp;$G$3,Vendas!$E$8:$E$2008,"&lt;=31/08/"&amp;$G$3,Vendas!$C$8:$C$2008,"Entregue")</f>
        <v>0</v>
      </c>
      <c r="S34" s="162">
        <f>SUMIFS(Vendas!$K$8:$K$2008,Vendas!$H$8:$H$2008,$B34,Vendas!$E$8:$E$2008,"&gt;=01/09/"&amp;$G$3,Vendas!$E$8:$E$2008,"&lt;=30/09/"&amp;$G$3)+SUMIFS(Vendas!$P$8:$P$2008,Vendas!$M$8:$M$2008,$B34,Vendas!$E$8:$E$2008,"&gt;=01/09/"&amp;$G$3,Vendas!$E$8:$E$2008,"&lt;=30/09/"&amp;$G$3)+SUMIFS(Vendas!$U$8:$U$2008,Vendas!$R$8:$R$2008,$B34,Vendas!$E$8:$E$2008,"&gt;=01/09/"&amp;$G$3,Vendas!$E$8:$E$2008,"&lt;=30/09/"&amp;$G$3)+SUMIFS(Vendas!$Z$8:$Z$2008,Vendas!$W$8:$W$2008,$B34,Vendas!$E$8:$E$2008,"&gt;=01/09/"&amp;$G$3,Vendas!$E$8:$E$2008,"&lt;=30/09/"&amp;$G$3)+SUMIFS(Vendas!$AE$8:$AE$2008,Vendas!$AB$8:$AB$2008,$B34,Vendas!$E$8:$E$2008,"&gt;=01/09/"&amp;$G$3,Vendas!$E$8:$E$2008,"&lt;=30/09/"&amp;$G$3)+SUMIFS(Vendas!$AJ$8:$AJ$2008,Vendas!$AG$8:$AG$2008,$B34,Vendas!$E$8:$E$2008,"&gt;=01/09/"&amp;$G$3,Vendas!$E$8:$E$2008,"&lt;=30/09/"&amp;$G$3)+SUMIFS(Vendas!$AO$8:$AO$2008,Vendas!$AL$8:$AL$2008,$B34,Vendas!$E$8:$E$2008,"&gt;=01/09/"&amp;$G$3,Vendas!$E$8:$E$2008,"&lt;=30/09/"&amp;$G$3)+SUMIFS(Vendas!$AT$8:$AT$2008,Vendas!$AQ$8:$AQ$2008,$B34,Vendas!$E$8:$E$2008,"&gt;=01/09/"&amp;$G$3,Vendas!$E$8:$E$2008,"&lt;=30/09/"&amp;$G$3)</f>
        <v>0</v>
      </c>
      <c r="T34" s="162">
        <f>SUMIFS(Vendas!$K$8:$K$2008,Vendas!$H$8:$H$2008,$B34,Vendas!$E$8:$E$2008,"&gt;=01/09/"&amp;$G$3,Vendas!$E$8:$E$2008,"&lt;=30/09/"&amp;$G$3,Vendas!$C$8:$C$2008,"Entregue")+SUMIFS(Vendas!$P$8:$P$2008,Vendas!$M$8:$M$2008,$B34,Vendas!$E$8:$E$2008,"&gt;=01/09/"&amp;$G$3,Vendas!$E$8:$E$2008,"&lt;=30/09/"&amp;$G$3,Vendas!$C$8:$C$2008,"Entregue")+SUMIFS(Vendas!$U$8:$U$2008,Vendas!$R$8:$R$2008,$B34,Vendas!$E$8:$E$2008,"&gt;=01/09/"&amp;$G$3,Vendas!$E$8:$E$2008,"&lt;=30/09/"&amp;$G$3,Vendas!$C$8:$C$2008,"Entregue")+SUMIFS(Vendas!$Z$8:$Z$2008,Vendas!$W$8:$W$2008,$B34,Vendas!$E$8:$E$2008,"&gt;=01/09/"&amp;$G$3,Vendas!$E$8:$E$2008,"&lt;=30/09/"&amp;$G$3,Vendas!$C$8:$C$2008,"Entregue")+SUMIFS(Vendas!$AE$8:$AE$2008,Vendas!$AB$8:$AB$2008,$B34,Vendas!$E$8:$E$2008,"&gt;=01/09/"&amp;$G$3,Vendas!$E$8:$E$2008,"&lt;=30/09/"&amp;$G$3,Vendas!$C$8:$C$2008,"Entregue")+SUMIFS(Vendas!$AJ$8:$AJ$2008,Vendas!$AG$8:$AG$2008,$B34,Vendas!$E$8:$E$2008,"&gt;=01/09/"&amp;$G$3,Vendas!$E$8:$E$2008,"&lt;=30/09/"&amp;$G$3,Vendas!$C$8:$C$2008,"Entregue")+SUMIFS(Vendas!$AO$8:$AO$2008,Vendas!$AL$8:$AL$2008,$B34,Vendas!$E$8:$E$2008,"&gt;=01/09/"&amp;$G$3,Vendas!$E$8:$E$2008,"&lt;=30/09/"&amp;$G$3,Vendas!$C$8:$C$2008,"Entregue")+SUMIFS(Vendas!$AT$8:$AT$2008,Vendas!$AQ$8:$AQ$2008,$B34,Vendas!$E$8:$E$2008,"&gt;=01/09/"&amp;$G$3,Vendas!$E$8:$E$2008,"&lt;=30/09/"&amp;$G$3,Vendas!$C$8:$C$2008,"Entregue")</f>
        <v>0</v>
      </c>
      <c r="U34" s="162">
        <f>SUMIFS(Vendas!$K$8:$K$2008,Vendas!$H$8:$H$2008,$B34,Vendas!$E$8:$E$2008,"&gt;=01/10/"&amp;$G$3,Vendas!$E$8:$E$2008,"&lt;=31/10/"&amp;$G$3)+SUMIFS(Vendas!$P$8:$P$2008,Vendas!$M$8:$M$2008,$B34,Vendas!$E$8:$E$2008,"&gt;=01/10/"&amp;$G$3,Vendas!$E$8:$E$2008,"&lt;=31/10/"&amp;$G$3)+SUMIFS(Vendas!$U$8:$U$2008,Vendas!$R$8:$R$2008,$B34,Vendas!$E$8:$E$2008,"&gt;=01/10/"&amp;$G$3,Vendas!$E$8:$E$2008,"&lt;=31/10/"&amp;$G$3)+SUMIFS(Vendas!$Z$8:$Z$2008,Vendas!$W$8:$W$2008,$B34,Vendas!$E$8:$E$2008,"&gt;=01/10/"&amp;$G$3,Vendas!$E$8:$E$2008,"&lt;=31/10/"&amp;$G$3)+SUMIFS(Vendas!$AE$8:$AE$2008,Vendas!$AB$8:$AB$2008,$B34,Vendas!$E$8:$E$2008,"&gt;=01/10/"&amp;$G$3,Vendas!$E$8:$E$2008,"&lt;=31/10/"&amp;$G$3)+SUMIFS(Vendas!$AJ$8:$AJ$2008,Vendas!$AG$8:$AG$2008,$B34,Vendas!$E$8:$E$2008,"&gt;=01/10/"&amp;$G$3,Vendas!$E$8:$E$2008,"&lt;=31/10/"&amp;$G$3)+SUMIFS(Vendas!$AO$8:$AO$2008,Vendas!$AL$8:$AL$2008,$B34,Vendas!$E$8:$E$2008,"&gt;=01/10/"&amp;$G$3,Vendas!$E$8:$E$2008,"&lt;=31/10/"&amp;$G$3)+SUMIFS(Vendas!$AT$8:$AT$2008,Vendas!$AQ$8:$AQ$2008,$B34,Vendas!$E$8:$E$2008,"&gt;=01/10/"&amp;$G$3,Vendas!$E$8:$E$2008,"&lt;=31/10/"&amp;$G$3)</f>
        <v>0</v>
      </c>
      <c r="V34" s="162">
        <f>SUMIFS(Vendas!$K$8:$K$2008,Vendas!$H$8:$H$2008,$B34,Vendas!$E$8:$E$2008,"&gt;=01/10/"&amp;$G$3,Vendas!$E$8:$E$2008,"&lt;=31/10/"&amp;$G$3,Vendas!$C$8:$C$2008,"Entregue")+SUMIFS(Vendas!$P$8:$P$2008,Vendas!$M$8:$M$2008,$B34,Vendas!$E$8:$E$2008,"&gt;=01/10/"&amp;$G$3,Vendas!$E$8:$E$2008,"&lt;=31/10/"&amp;$G$3,Vendas!$C$8:$C$2008,"Entregue")+SUMIFS(Vendas!$U$8:$U$2008,Vendas!$R$8:$R$2008,$B34,Vendas!$E$8:$E$2008,"&gt;=01/10/"&amp;$G$3,Vendas!$E$8:$E$2008,"&lt;=31/10/"&amp;$G$3,Vendas!$C$8:$C$2008,"Entregue")+SUMIFS(Vendas!$Z$8:$Z$2008,Vendas!$W$8:$W$2008,$B34,Vendas!$E$8:$E$2008,"&gt;=01/10/"&amp;$G$3,Vendas!$E$8:$E$2008,"&lt;=31/10/"&amp;$G$3,Vendas!$C$8:$C$2008,"Entregue")+SUMIFS(Vendas!$AE$8:$AE$2008,Vendas!$AB$8:$AB$2008,$B34,Vendas!$E$8:$E$2008,"&gt;=01/10/"&amp;$G$3,Vendas!$E$8:$E$2008,"&lt;=31/10/"&amp;$G$3,Vendas!$C$8:$C$2008,"Entregue")+SUMIFS(Vendas!$AJ$8:$AJ$2008,Vendas!$AG$8:$AG$2008,$B34,Vendas!$E$8:$E$2008,"&gt;=01/10/"&amp;$G$3,Vendas!$E$8:$E$2008,"&lt;=31/10/"&amp;$G$3,Vendas!$C$8:$C$2008,"Entregue")+SUMIFS(Vendas!$AO$8:$AO$2008,Vendas!$AL$8:$AL$2008,$B34,Vendas!$E$8:$E$2008,"&gt;=01/10/"&amp;$G$3,Vendas!$E$8:$E$2008,"&lt;=31/10/"&amp;$G$3,Vendas!$C$8:$C$2008,"Entregue")+SUMIFS(Vendas!$AT$8:$AT$2008,Vendas!$AQ$8:$AQ$2008,$B34,Vendas!$E$8:$E$2008,"&gt;=01/10/"&amp;$G$3,Vendas!$E$8:$E$2008,"&lt;=31/10/"&amp;$G$3,Vendas!$C$8:$C$2008,"Entregue")</f>
        <v>0</v>
      </c>
      <c r="W34" s="162">
        <f>SUMIFS(Vendas!$K$8:$K$2008,Vendas!$H$8:$H$2008,$B34,Vendas!$E$8:$E$2008,"&gt;=01/11/"&amp;$G$3,Vendas!$E$8:$E$2008,"&lt;=30/11/"&amp;$G$3)+SUMIFS(Vendas!$P$8:$P$2008,Vendas!$M$8:$M$2008,$B34,Vendas!$E$8:$E$2008,"&gt;=01/11/"&amp;$G$3,Vendas!$E$8:$E$2008,"&lt;=30/11/"&amp;$G$3)+SUMIFS(Vendas!$U$8:$U$2008,Vendas!$R$8:$R$2008,$B34,Vendas!$E$8:$E$2008,"&gt;=01/11/"&amp;$G$3,Vendas!$E$8:$E$2008,"&lt;=30/11/"&amp;$G$3)+SUMIFS(Vendas!$Z$8:$Z$2008,Vendas!$W$8:$W$2008,$B34,Vendas!$E$8:$E$2008,"&gt;=01/11/"&amp;$G$3,Vendas!$E$8:$E$2008,"&lt;=30/11/"&amp;$G$3)+SUMIFS(Vendas!$AE$8:$AE$2008,Vendas!$AB$8:$AB$2008,$B34,Vendas!$E$8:$E$2008,"&gt;=01/11/"&amp;$G$3,Vendas!$E$8:$E$2008,"&lt;=30/11/"&amp;$G$3)+SUMIFS(Vendas!$AJ$8:$AJ$2008,Vendas!$AG$8:$AG$2008,$B34,Vendas!$E$8:$E$2008,"&gt;=01/11/"&amp;$G$3,Vendas!$E$8:$E$2008,"&lt;=30/11/"&amp;$G$3)+SUMIFS(Vendas!$AO$8:$AO$2008,Vendas!$AL$8:$AL$2008,$B34,Vendas!$E$8:$E$2008,"&gt;=01/11/"&amp;$G$3,Vendas!$E$8:$E$2008,"&lt;=30/11/"&amp;$G$3)+SUMIFS(Vendas!$AT$8:$AT$2008,Vendas!$AQ$8:$AQ$2008,$B34,Vendas!$E$8:$E$2008,"&gt;=01/11/"&amp;$G$3,Vendas!$E$8:$E$2008,"&lt;=30/11/"&amp;$G$3)</f>
        <v>0</v>
      </c>
      <c r="X34" s="162">
        <f>SUMIFS(Vendas!$K$8:$K$2008,Vendas!$H$8:$H$2008,$B34,Vendas!$E$8:$E$2008,"&gt;=01/11/"&amp;$G$3,Vendas!$E$8:$E$2008,"&lt;=30/11/"&amp;$G$3,Vendas!$C$8:$C$2008,"Entregue")+SUMIFS(Vendas!$P$8:$P$2008,Vendas!$M$8:$M$2008,$B34,Vendas!$E$8:$E$2008,"&gt;=01/11/"&amp;$G$3,Vendas!$E$8:$E$2008,"&lt;=30/11/"&amp;$G$3,Vendas!$C$8:$C$2008,"Entregue")+SUMIFS(Vendas!$U$8:$U$2008,Vendas!$R$8:$R$2008,$B34,Vendas!$E$8:$E$2008,"&gt;=01/11/"&amp;$G$3,Vendas!$E$8:$E$2008,"&lt;=30/11/"&amp;$G$3,Vendas!$C$8:$C$2008,"Entregue")+SUMIFS(Vendas!$Z$8:$Z$2008,Vendas!$W$8:$W$2008,$B34,Vendas!$E$8:$E$2008,"&gt;=01/11/"&amp;$G$3,Vendas!$E$8:$E$2008,"&lt;=30/11/"&amp;$G$3,Vendas!$C$8:$C$2008,"Entregue")+SUMIFS(Vendas!$AE$8:$AE$2008,Vendas!$AB$8:$AB$2008,$B34,Vendas!$E$8:$E$2008,"&gt;=01/11/"&amp;$G$3,Vendas!$E$8:$E$2008,"&lt;=30/11/"&amp;$G$3,Vendas!$C$8:$C$2008,"Entregue")+SUMIFS(Vendas!$AJ$8:$AJ$2008,Vendas!$AG$8:$AG$2008,$B34,Vendas!$E$8:$E$2008,"&gt;=01/11/"&amp;$G$3,Vendas!$E$8:$E$2008,"&lt;=30/11/"&amp;$G$3,Vendas!$C$8:$C$2008,"Entregue")+SUMIFS(Vendas!$AO$8:$AO$2008,Vendas!$AL$8:$AL$2008,$B34,Vendas!$E$8:$E$2008,"&gt;=01/11/"&amp;$G$3,Vendas!$E$8:$E$2008,"&lt;=30/11/"&amp;$G$3,Vendas!$C$8:$C$2008,"Entregue")+SUMIFS(Vendas!$AT$8:$AT$2008,Vendas!$AQ$8:$AQ$2008,$B34,Vendas!$E$8:$E$2008,"&gt;=01/11/"&amp;$G$3,Vendas!$E$8:$E$2008,"&lt;=30/11/"&amp;$G$3,Vendas!$C$8:$C$2008,"Entregue")</f>
        <v>0</v>
      </c>
      <c r="Y34" s="162">
        <f>SUMIFS(Vendas!$K$8:$K$2008,Vendas!$H$8:$H$2008,$B34,Vendas!$E$8:$E$2008,"&gt;=01/12/"&amp;$G$3,Vendas!$E$8:$E$2008,"&lt;=31/12/"&amp;$G$3)+SUMIFS(Vendas!$P$8:$P$2008,Vendas!$M$8:$M$2008,$B34,Vendas!$E$8:$E$2008,"&gt;=01/12/"&amp;$G$3,Vendas!$E$8:$E$2008,"&lt;=31/12/"&amp;$G$3)+SUMIFS(Vendas!$U$8:$U$2008,Vendas!$R$8:$R$2008,$B34,Vendas!$E$8:$E$2008,"&gt;=01/12/"&amp;$G$3,Vendas!$E$8:$E$2008,"&lt;=31/12/"&amp;$G$3)+SUMIFS(Vendas!$Z$8:$Z$2008,Vendas!$W$8:$W$2008,$B34,Vendas!$E$8:$E$2008,"&gt;=01/12/"&amp;$G$3,Vendas!$E$8:$E$2008,"&lt;=31/12/"&amp;$G$3)+SUMIFS(Vendas!$AE$8:$AE$2008,Vendas!$AB$8:$AB$2008,$B34,Vendas!$E$8:$E$2008,"&gt;=01/12/"&amp;$G$3,Vendas!$E$8:$E$2008,"&lt;=31/12/"&amp;$G$3)+SUMIFS(Vendas!$AJ$8:$AJ$2008,Vendas!$AG$8:$AG$2008,$B34,Vendas!$E$8:$E$2008,"&gt;=01/12/"&amp;$G$3,Vendas!$E$8:$E$2008,"&lt;=31/12/"&amp;$G$3)+SUMIFS(Vendas!$AO$8:$AO$2008,Vendas!$AL$8:$AL$2008,$B34,Vendas!$E$8:$E$2008,"&gt;=01/12/"&amp;$G$3,Vendas!$E$8:$E$2008,"&lt;=31/12/"&amp;$G$3)+SUMIFS(Vendas!$AT$8:$AT$2008,Vendas!$AQ$8:$AQ$2008,$B34,Vendas!$E$8:$E$2008,"&gt;=01/12/"&amp;$G$3,Vendas!$E$8:$E$2008,"&lt;=31/12/"&amp;$G$3)</f>
        <v>0</v>
      </c>
      <c r="Z34" s="163">
        <f>SUMIFS(Vendas!$K$8:$K$2008,Vendas!$H$8:$H$2008,$B34,Vendas!$E$8:$E$2008,"&gt;=01/12/"&amp;$G$3,Vendas!$E$8:$E$2008,"&lt;=31/12/"&amp;$G$3,Vendas!$C$8:$C$2008,"Entregue")+SUMIFS(Vendas!$P$8:$P$2008,Vendas!$M$8:$M$2008,$B34,Vendas!$E$8:$E$2008,"&gt;=01/12/"&amp;$G$3,Vendas!$E$8:$E$2008,"&lt;=31/12/"&amp;$G$3,Vendas!$C$8:$C$2008,"Entregue")+SUMIFS(Vendas!$U$8:$U$2008,Vendas!$R$8:$R$2008,$B34,Vendas!$E$8:$E$2008,"&gt;=01/12/"&amp;$G$3,Vendas!$E$8:$E$2008,"&lt;=31/12/"&amp;$G$3,Vendas!$C$8:$C$2008,"Entregue")+SUMIFS(Vendas!$Z$8:$Z$2008,Vendas!$W$8:$W$2008,$B34,Vendas!$E$8:$E$2008,"&gt;=01/12/"&amp;$G$3,Vendas!$E$8:$E$2008,"&lt;=31/12/"&amp;$G$3,Vendas!$C$8:$C$2008,"Entregue")+SUMIFS(Vendas!$AE$8:$AE$2008,Vendas!$AB$8:$AB$2008,$B34,Vendas!$E$8:$E$2008,"&gt;=01/12/"&amp;$G$3,Vendas!$E$8:$E$2008,"&lt;=31/12/"&amp;$G$3,Vendas!$C$8:$C$2008,"Entregue")+SUMIFS(Vendas!$AJ$8:$AJ$2008,Vendas!$AG$8:$AG$2008,$B34,Vendas!$E$8:$E$2008,"&gt;=01/12/"&amp;$G$3,Vendas!$E$8:$E$2008,"&lt;=31/12/"&amp;$G$3,Vendas!$C$8:$C$2008,"Entregue")+SUMIFS(Vendas!$AO$8:$AO$2008,Vendas!$AL$8:$AL$2008,$B34,Vendas!$E$8:$E$2008,"&gt;=01/12/"&amp;$G$3,Vendas!$E$8:$E$2008,"&lt;=31/12/"&amp;$G$3,Vendas!$C$8:$C$2008,"Entregue")+SUMIFS(Vendas!$AT$8:$AT$2008,Vendas!$AQ$8:$AQ$2008,$B34,Vendas!$E$8:$E$2008,"&gt;=01/12/"&amp;$G$3,Vendas!$E$8:$E$2008,"&lt;=31/12/"&amp;$G$3,Vendas!$C$8:$C$2008,"Entregue")</f>
        <v>0</v>
      </c>
      <c r="AA34" s="132">
        <f t="shared" si="0"/>
        <v>0</v>
      </c>
      <c r="AB34" s="132">
        <f t="shared" si="0"/>
        <v>0</v>
      </c>
      <c r="AC34" s="67"/>
    </row>
    <row r="35" spans="2:29" ht="14.4" x14ac:dyDescent="0.3">
      <c r="B35" s="262" t="str">
        <f>IF(Cadastros!G43="","",Cadastros!G43)</f>
        <v>184 - Almofada Terapêutica</v>
      </c>
      <c r="C35" s="158">
        <f>SUMIFS(Vendas!$K$8:$K$2008,Vendas!$H$8:$H$2008,$B35,Vendas!$E$8:$E$2008,"&gt;=01/01/"&amp;$G$3,Vendas!$E$8:$E$2008,"&lt;=31/01/"&amp;$G$3)+SUMIFS(Vendas!$P$8:$P$2008,Vendas!$M$8:$M$2008,$B35,Vendas!$E$8:$E$2008,"&gt;=01/01/"&amp;$G$3,Vendas!$E$8:$E$2008,"&lt;=31/01/"&amp;$G$3)+SUMIFS(Vendas!$U$8:$U$2008,Vendas!$R$8:$R$2008,$B35,Vendas!$E$8:$E$2008,"&gt;=01/01/"&amp;$G$3,Vendas!$E$8:$E$2008,"&lt;=31/01/"&amp;$G$3)+SUMIFS(Vendas!$Z$8:$Z$2008,Vendas!$W$8:$W$2008,$B35,Vendas!$E$8:$E$2008,"&gt;=01/01/"&amp;$G$3,Vendas!$E$8:$E$2008,"&lt;=31/01/"&amp;$G$3)+SUMIFS(Vendas!$AE$8:$AE$2008,Vendas!$AB$8:$AB$2008,$B35,Vendas!$E$8:$E$2008,"&gt;=01/01/"&amp;$G$3,Vendas!$E$8:$E$2008,"&lt;=31/01/"&amp;$G$3)+SUMIFS(Vendas!$AJ$8:$AJ$2008,Vendas!$AG$8:$AG$2008,$B35,Vendas!$E$8:$E$2008,"&gt;=01/01/"&amp;$G$3,Vendas!$E$8:$E$2008,"&lt;=31/01/"&amp;$G$3)+SUMIFS(Vendas!$AO$8:$AO$2008,Vendas!$AL$8:$AL$2008,$B35,Vendas!$E$8:$E$2008,"&gt;=01/01/"&amp;$G$3,Vendas!$E$8:$E$2008,"&lt;=31/01/"&amp;$G$3)+SUMIFS(Vendas!$AT$8:$AT$2008,Vendas!$AQ$8:$AQ$2008,$B35,Vendas!$E$8:$E$2008,"&gt;=01/01/"&amp;$G$3,Vendas!$E$8:$E$2008,"&lt;=31/01/"&amp;$G$3)</f>
        <v>0</v>
      </c>
      <c r="D35" s="159">
        <f>SUMIFS(Vendas!$K$8:$K$2008,Vendas!$H$8:$H$2008,$B35,Vendas!$E$8:$E$2008,"&gt;=01/01/"&amp;$G$3,Vendas!$E$8:$E$2008,"&lt;=31/01/"&amp;$G$3,Vendas!$C$8:$C$2008,"Entregue")+SUMIFS(Vendas!$P$8:$P$2008,Vendas!$M$8:$M$2008,$B35,Vendas!$E$8:$E$2008,"&gt;=01/01/"&amp;$G$3,Vendas!$E$8:$E$2008,"&lt;=31/01/"&amp;$G$3,Vendas!$C$8:$C$2008,"Entregue")+SUMIFS(Vendas!$U$8:$U$2008,Vendas!$R$8:$R$2008,$B35,Vendas!$E$8:$E$2008,"&gt;=01/01/"&amp;$G$3,Vendas!$E$8:$E$2008,"&lt;=31/01/"&amp;$G$3,Vendas!$C$8:$C$2008,"Entregue")+SUMIFS(Vendas!$Z$8:$Z$2008,Vendas!$W$8:$W$2008,$B35,Vendas!$E$8:$E$2008,"&gt;=01/01/"&amp;$G$3,Vendas!$E$8:$E$2008,"&lt;=31/01/"&amp;$G$3,Vendas!$C$8:$C$2008,"Entregue")+SUMIFS(Vendas!$AE$8:$AE$2008,Vendas!$AB$8:$AB$2008,$B35,Vendas!$E$8:$E$2008,"&gt;=01/01/"&amp;$G$3,Vendas!$E$8:$E$2008,"&lt;=31/01/"&amp;$G$3,Vendas!$C$8:$C$2008,"Entregue")+SUMIFS(Vendas!$AJ$8:$AJ$2008,Vendas!$AG$8:$AG$2008,$B35,Vendas!$E$8:$E$2008,"&gt;=01/01/"&amp;$G$3,Vendas!$E$8:$E$2008,"&lt;=31/01/"&amp;$G$3,Vendas!$C$8:$C$2008,"Entregue")+SUMIFS(Vendas!$AO$8:$AO$2008,Vendas!$AL$8:$AL$2008,$B35,Vendas!$E$8:$E$2008,"&gt;=01/01/"&amp;$G$3,Vendas!$E$8:$E$2008,"&lt;=31/01/"&amp;$G$3,Vendas!$C$8:$C$2008,"Entregue")+SUMIFS(Vendas!$AT$8:$AT$2008,Vendas!$AQ$8:$AQ$2008,$B35,Vendas!$E$8:$E$2008,"&gt;=01/01/"&amp;$G$3,Vendas!$E$8:$E$2008,"&lt;=31/01/"&amp;$G$3,Vendas!$C$8:$C$2008,"Entregue")</f>
        <v>0</v>
      </c>
      <c r="E35" s="159">
        <f>SUMIFS(Vendas!$K$8:$K$2008,Vendas!$H$8:$H$2008,$B35,Vendas!$E$8:$E$2008,"&gt;=01/02/"&amp;$G$3,Vendas!$E$8:$E$2008,"&lt;=28/02/"&amp;$G$3)+SUMIFS(Vendas!$P$8:$P$2008,Vendas!$M$8:$M$2008,$B35,Vendas!$E$8:$E$2008,"&gt;=01/02/"&amp;$G$3,Vendas!$E$8:$E$2008,"&lt;=28/02/"&amp;$G$3)+SUMIFS(Vendas!$U$8:$U$2008,Vendas!$R$8:$R$2008,$B35,Vendas!$E$8:$E$2008,"&gt;=01/02/"&amp;$G$3,Vendas!$E$8:$E$2008,"&lt;=28/02/"&amp;$G$3)+SUMIFS(Vendas!$Z$8:$Z$2008,Vendas!$W$8:$W$2008,$B35,Vendas!$E$8:$E$2008,"&gt;=01/02/"&amp;$G$3,Vendas!$E$8:$E$2008,"&lt;=28/02/"&amp;$G$3)+SUMIFS(Vendas!$AE$8:$AE$2008,Vendas!$AB$8:$AB$2008,$B35,Vendas!$E$8:$E$2008,"&gt;=01/02/"&amp;$G$3,Vendas!$E$8:$E$2008,"&lt;=28/02/"&amp;$G$3)+SUMIFS(Vendas!$AJ$8:$AJ$2008,Vendas!$AG$8:$AG$2008,$B35,Vendas!$E$8:$E$2008,"&gt;=01/02/"&amp;$G$3,Vendas!$E$8:$E$2008,"&lt;=28/02/"&amp;$G$3)+SUMIFS(Vendas!$AO$8:$AO$2008,Vendas!$AL$8:$AL$2008,$B35,Vendas!$E$8:$E$2008,"&gt;=01/02/"&amp;$G$3,Vendas!$E$8:$E$2008,"&lt;=28/02/"&amp;$G$3)+SUMIFS(Vendas!$AT$8:$AT$2008,Vendas!$AQ$8:$AQ$2008,$B35,Vendas!$E$8:$E$2008,"&gt;=01/02/"&amp;$G$3,Vendas!$E$8:$E$2008,"&lt;=28/02/"&amp;$G$3)</f>
        <v>0</v>
      </c>
      <c r="F35" s="159">
        <f>SUMIFS(Vendas!$K$8:$K$2008,Vendas!$H$8:$H$2008,$B35,Vendas!$E$8:$E$2008,"&gt;=01/02/"&amp;$G$3,Vendas!$E$8:$E$2008,"&lt;=28/02/"&amp;$G$3,Vendas!$C$8:$C$2008,"Entregue")+SUMIFS(Vendas!$P$8:$P$2008,Vendas!$M$8:$M$2008,$B35,Vendas!$E$8:$E$2008,"&gt;=01/02/"&amp;$G$3,Vendas!$E$8:$E$2008,"&lt;=28/02/"&amp;$G$3,Vendas!$C$8:$C$2008,"Entregue")+SUMIFS(Vendas!$U$8:$U$2008,Vendas!$R$8:$R$2008,$B35,Vendas!$E$8:$E$2008,"&gt;=01/02/"&amp;$G$3,Vendas!$E$8:$E$2008,"&lt;=28/02/"&amp;$G$3,Vendas!$C$8:$C$2008,"Entregue")+SUMIFS(Vendas!$Z$8:$Z$2008,Vendas!$W$8:$W$2008,$B35,Vendas!$E$8:$E$2008,"&gt;=01/02/"&amp;$G$3,Vendas!$E$8:$E$2008,"&lt;=28/02/"&amp;$G$3,Vendas!$C$8:$C$2008,"Entregue")+SUMIFS(Vendas!$AE$8:$AE$2008,Vendas!$AB$8:$AB$2008,$B35,Vendas!$E$8:$E$2008,"&gt;=01/02/"&amp;$G$3,Vendas!$E$8:$E$2008,"&lt;=28/02/"&amp;$G$3,Vendas!$C$8:$C$2008,"Entregue")+SUMIFS(Vendas!$AJ$8:$AJ$2008,Vendas!$AG$8:$AG$2008,$B35,Vendas!$E$8:$E$2008,"&gt;=01/02/"&amp;$G$3,Vendas!$E$8:$E$2008,"&lt;=28/02/"&amp;$G$3,Vendas!$C$8:$C$2008,"Entregue")+SUMIFS(Vendas!$AO$8:$AO$2008,Vendas!$AL$8:$AL$2008,$B35,Vendas!$E$8:$E$2008,"&gt;=01/02/"&amp;$G$3,Vendas!$E$8:$E$2008,"&lt;=28/02/"&amp;$G$3,Vendas!$C$8:$C$2008,"Entregue")+SUMIFS(Vendas!$AT$8:$AT$2008,Vendas!$AQ$8:$AQ$2008,$B35,Vendas!$E$8:$E$2008,"&gt;=01/02/"&amp;$G$3,Vendas!$E$8:$E$2008,"&lt;=28/02/"&amp;$G$3,Vendas!$C$8:$C$2008,"Entregue")</f>
        <v>0</v>
      </c>
      <c r="G35" s="159">
        <f>SUMIFS(Vendas!$K$8:$K$2008,Vendas!$H$8:$H$2008,$B35,Vendas!$E$8:$E$2008,"&gt;=01/03/"&amp;$G$3,Vendas!$E$8:$E$2008,"&lt;=31/03/"&amp;$G$3)+SUMIFS(Vendas!$P$8:$P$2008,Vendas!$M$8:$M$2008,$B35,Vendas!$E$8:$E$2008,"&gt;=01/03/"&amp;$G$3,Vendas!$E$8:$E$2008,"&lt;=31/03/"&amp;$G$3)+SUMIFS(Vendas!$U$8:$U$2008,Vendas!$R$8:$R$2008,$B35,Vendas!$E$8:$E$2008,"&gt;=01/03/"&amp;$G$3,Vendas!$E$8:$E$2008,"&lt;=31/03/"&amp;$G$3)+SUMIFS(Vendas!$Z$8:$Z$2008,Vendas!$W$8:$W$2008,$B35,Vendas!$E$8:$E$2008,"&gt;=01/03/"&amp;$G$3,Vendas!$E$8:$E$2008,"&lt;=31/03/"&amp;$G$3)+SUMIFS(Vendas!$AE$8:$AE$2008,Vendas!$AB$8:$AB$2008,$B35,Vendas!$E$8:$E$2008,"&gt;=01/03/"&amp;$G$3,Vendas!$E$8:$E$2008,"&lt;=31/03/"&amp;$G$3)+SUMIFS(Vendas!$AJ$8:$AJ$2008,Vendas!$AG$8:$AG$2008,$B35,Vendas!$E$8:$E$2008,"&gt;=01/03/"&amp;$G$3,Vendas!$E$8:$E$2008,"&lt;=31/03/"&amp;$G$3)+SUMIFS(Vendas!$AO$8:$AO$2008,Vendas!$AL$8:$AL$2008,$B35,Vendas!$E$8:$E$2008,"&gt;=01/03/"&amp;$G$3,Vendas!$E$8:$E$2008,"&lt;=31/03/"&amp;$G$3)+SUMIFS(Vendas!$AT$8:$AT$2008,Vendas!$AQ$8:$AQ$2008,$B35,Vendas!$E$8:$E$2008,"&gt;=01/03/"&amp;$G$3,Vendas!$E$8:$E$2008,"&lt;=31/03/"&amp;$G$3)</f>
        <v>0</v>
      </c>
      <c r="H35" s="159">
        <f>SUMIFS(Vendas!$K$8:$K$2008,Vendas!$H$8:$H$2008,$B35,Vendas!$E$8:$E$2008,"&gt;=01/03/"&amp;$G$3,Vendas!$E$8:$E$2008,"&lt;=31/03/"&amp;$G$3,Vendas!$C$8:$C$2008,"Entregue")+SUMIFS(Vendas!$P$8:$P$2008,Vendas!$M$8:$M$2008,$B35,Vendas!$E$8:$E$2008,"&gt;=01/03/"&amp;$G$3,Vendas!$E$8:$E$2008,"&lt;=31/03/"&amp;$G$3,Vendas!$C$8:$C$2008,"Entregue")+SUMIFS(Vendas!$U$8:$U$2008,Vendas!$R$8:$R$2008,$B35,Vendas!$E$8:$E$2008,"&gt;=01/03/"&amp;$G$3,Vendas!$E$8:$E$2008,"&lt;=31/03/"&amp;$G$3,Vendas!$C$8:$C$2008,"Entregue")+SUMIFS(Vendas!$Z$8:$Z$2008,Vendas!$W$8:$W$2008,$B35,Vendas!$E$8:$E$2008,"&gt;=01/03/"&amp;$G$3,Vendas!$E$8:$E$2008,"&lt;=31/03/"&amp;$G$3,Vendas!$C$8:$C$2008,"Entregue")+SUMIFS(Vendas!$AE$8:$AE$2008,Vendas!$AB$8:$AB$2008,$B35,Vendas!$E$8:$E$2008,"&gt;=01/03/"&amp;$G$3,Vendas!$E$8:$E$2008,"&lt;=31/03/"&amp;$G$3,Vendas!$C$8:$C$2008,"Entregue")+SUMIFS(Vendas!$AJ$8:$AJ$2008,Vendas!$AG$8:$AG$2008,$B35,Vendas!$E$8:$E$2008,"&gt;=01/03/"&amp;$G$3,Vendas!$E$8:$E$2008,"&lt;=31/03/"&amp;$G$3,Vendas!$C$8:$C$2008,"Entregue")+SUMIFS(Vendas!$AO$8:$AO$2008,Vendas!$AL$8:$AL$2008,$B35,Vendas!$E$8:$E$2008,"&gt;=01/03/"&amp;$G$3,Vendas!$E$8:$E$2008,"&lt;=31/03/"&amp;$G$3,Vendas!$C$8:$C$2008,"Entregue")+SUMIFS(Vendas!$AT$8:$AT$2008,Vendas!$AQ$8:$AQ$2008,$B35,Vendas!$E$8:$E$2008,"&gt;=01/03/"&amp;$G$3,Vendas!$E$8:$E$2008,"&lt;=31/03/"&amp;$G$3,Vendas!$C$8:$C$2008,"Entregue")</f>
        <v>0</v>
      </c>
      <c r="I35" s="159">
        <f>SUMIFS(Vendas!$K$8:$K$2008,Vendas!$H$8:$H$2008,$B35,Vendas!$E$8:$E$2008,"&gt;=01/04/"&amp;$G$3,Vendas!$E$8:$E$2008,"&lt;=30/04/"&amp;$G$3)+SUMIFS(Vendas!$P$8:$P$2008,Vendas!$M$8:$M$2008,$B35,Vendas!$E$8:$E$2008,"&gt;=01/04/"&amp;$G$3,Vendas!$E$8:$E$2008,"&lt;=30/04/"&amp;$G$3)+SUMIFS(Vendas!$U$8:$U$2008,Vendas!$R$8:$R$2008,$B35,Vendas!$E$8:$E$2008,"&gt;=01/04/"&amp;$G$3,Vendas!$E$8:$E$2008,"&lt;=30/04/"&amp;$G$3)+SUMIFS(Vendas!$Z$8:$Z$2008,Vendas!$W$8:$W$2008,$B35,Vendas!$E$8:$E$2008,"&gt;=01/04/"&amp;$G$3,Vendas!$E$8:$E$2008,"&lt;=30/04/"&amp;$G$3)+SUMIFS(Vendas!$AE$8:$AE$2008,Vendas!$AB$8:$AB$2008,$B35,Vendas!$E$8:$E$2008,"&gt;=01/04/"&amp;$G$3,Vendas!$E$8:$E$2008,"&lt;=30/04/"&amp;$G$3)+SUMIFS(Vendas!$AJ$8:$AJ$2008,Vendas!$AG$8:$AG$2008,$B35,Vendas!$E$8:$E$2008,"&gt;=01/04/"&amp;$G$3,Vendas!$E$8:$E$2008,"&lt;=30/04/"&amp;$G$3)+SUMIFS(Vendas!$AO$8:$AO$2008,Vendas!$AL$8:$AL$2008,$B35,Vendas!$E$8:$E$2008,"&gt;=01/04/"&amp;$G$3,Vendas!$E$8:$E$2008,"&lt;=30/04/"&amp;$G$3)+SUMIFS(Vendas!$AT$8:$AT$2008,Vendas!$AQ$8:$AQ$2008,$B35,Vendas!$E$8:$E$2008,"&gt;=01/04/"&amp;$G$3,Vendas!$E$8:$E$2008,"&lt;=30/04/"&amp;$G$3)</f>
        <v>0</v>
      </c>
      <c r="J35" s="159">
        <f>SUMIFS(Vendas!$K$8:$K$2008,Vendas!$H$8:$H$2008,$B35,Vendas!$E$8:$E$2008,"&gt;=01/04/"&amp;$G$3,Vendas!$E$8:$E$2008,"&lt;=30/04/"&amp;$G$3,Vendas!$C$8:$C$2008,"Entregue")+SUMIFS(Vendas!$P$8:$P$2008,Vendas!$M$8:$M$2008,$B35,Vendas!$E$8:$E$2008,"&gt;=01/04/"&amp;$G$3,Vendas!$E$8:$E$2008,"&lt;=30/04/"&amp;$G$3,Vendas!$C$8:$C$2008,"Entregue")+SUMIFS(Vendas!$U$8:$U$2008,Vendas!$R$8:$R$2008,$B35,Vendas!$E$8:$E$2008,"&gt;=01/04/"&amp;$G$3,Vendas!$E$8:$E$2008,"&lt;=30/04/"&amp;$G$3,Vendas!$C$8:$C$2008,"Entregue")+SUMIFS(Vendas!$Z$8:$Z$2008,Vendas!$W$8:$W$2008,$B35,Vendas!$E$8:$E$2008,"&gt;=01/04/"&amp;$G$3,Vendas!$E$8:$E$2008,"&lt;=30/04/"&amp;$G$3,Vendas!$C$8:$C$2008,"Entregue")+SUMIFS(Vendas!$AE$8:$AE$2008,Vendas!$AB$8:$AB$2008,$B35,Vendas!$E$8:$E$2008,"&gt;=01/04/"&amp;$G$3,Vendas!$E$8:$E$2008,"&lt;=30/04/"&amp;$G$3,Vendas!$C$8:$C$2008,"Entregue")+SUMIFS(Vendas!$AJ$8:$AJ$2008,Vendas!$AG$8:$AG$2008,$B35,Vendas!$E$8:$E$2008,"&gt;=01/04/"&amp;$G$3,Vendas!$E$8:$E$2008,"&lt;=30/04/"&amp;$G$3,Vendas!$C$8:$C$2008,"Entregue")+SUMIFS(Vendas!$AO$8:$AO$2008,Vendas!$AL$8:$AL$2008,$B35,Vendas!$E$8:$E$2008,"&gt;=01/04/"&amp;$G$3,Vendas!$E$8:$E$2008,"&lt;=30/04/"&amp;$G$3,Vendas!$C$8:$C$2008,"Entregue")+SUMIFS(Vendas!$AT$8:$AT$2008,Vendas!$AQ$8:$AQ$2008,$B35,Vendas!$E$8:$E$2008,"&gt;=01/04/"&amp;$G$3,Vendas!$E$8:$E$2008,"&lt;=30/04/"&amp;$G$3,Vendas!$C$8:$C$2008,"Entregue")</f>
        <v>0</v>
      </c>
      <c r="K35" s="159">
        <f>SUMIFS(Vendas!$K$8:$K$2008,Vendas!$H$8:$H$2008,$B35,Vendas!$E$8:$E$2008,"&gt;=01/05/"&amp;$G$3,Vendas!$E$8:$E$2008,"&lt;=31/05/"&amp;$G$3)+SUMIFS(Vendas!$P$8:$P$2008,Vendas!$M$8:$M$2008,$B35,Vendas!$E$8:$E$2008,"&gt;=01/05/"&amp;$G$3,Vendas!$E$8:$E$2008,"&lt;=31/05/"&amp;$G$3)+SUMIFS(Vendas!$U$8:$U$2008,Vendas!$R$8:$R$2008,$B35,Vendas!$E$8:$E$2008,"&gt;=01/05/"&amp;$G$3,Vendas!$E$8:$E$2008,"&lt;=31/05/"&amp;$G$3)+SUMIFS(Vendas!$Z$8:$Z$2008,Vendas!$W$8:$W$2008,$B35,Vendas!$E$8:$E$2008,"&gt;=01/05/"&amp;$G$3,Vendas!$E$8:$E$2008,"&lt;=31/05/"&amp;$G$3)+SUMIFS(Vendas!$AE$8:$AE$2008,Vendas!$AB$8:$AB$2008,$B35,Vendas!$E$8:$E$2008,"&gt;=01/05/"&amp;$G$3,Vendas!$E$8:$E$2008,"&lt;=31/05/"&amp;$G$3)+SUMIFS(Vendas!$AJ$8:$AJ$2008,Vendas!$AG$8:$AG$2008,$B35,Vendas!$E$8:$E$2008,"&gt;=01/05/"&amp;$G$3,Vendas!$E$8:$E$2008,"&lt;=31/05/"&amp;$G$3)+SUMIFS(Vendas!$AO$8:$AO$2008,Vendas!$AL$8:$AL$2008,$B35,Vendas!$E$8:$E$2008,"&gt;=01/05/"&amp;$G$3,Vendas!$E$8:$E$2008,"&lt;=31/05/"&amp;$G$3)+SUMIFS(Vendas!$AT$8:$AT$2008,Vendas!$AQ$8:$AQ$2008,$B35,Vendas!$E$8:$E$2008,"&gt;=01/05/"&amp;$G$3,Vendas!$E$8:$E$2008,"&lt;=31/05/"&amp;$G$3)</f>
        <v>0</v>
      </c>
      <c r="L35" s="159">
        <f>SUMIFS(Vendas!$K$8:$K$2008,Vendas!$H$8:$H$2008,$B35,Vendas!$E$8:$E$2008,"&gt;=01/05/"&amp;$G$3,Vendas!$E$8:$E$2008,"&lt;=31/05/"&amp;$G$3,Vendas!$C$8:$C$2008,"Entregue")+SUMIFS(Vendas!$P$8:$P$2008,Vendas!$M$8:$M$2008,$B35,Vendas!$E$8:$E$2008,"&gt;=01/05/"&amp;$G$3,Vendas!$E$8:$E$2008,"&lt;=31/05/"&amp;$G$3,Vendas!$C$8:$C$2008,"Entregue")+SUMIFS(Vendas!$U$8:$U$2008,Vendas!$R$8:$R$2008,$B35,Vendas!$E$8:$E$2008,"&gt;=01/05/"&amp;$G$3,Vendas!$E$8:$E$2008,"&lt;=31/05/"&amp;$G$3,Vendas!$C$8:$C$2008,"Entregue")+SUMIFS(Vendas!$Z$8:$Z$2008,Vendas!$W$8:$W$2008,$B35,Vendas!$E$8:$E$2008,"&gt;=01/05/"&amp;$G$3,Vendas!$E$8:$E$2008,"&lt;=31/05/"&amp;$G$3,Vendas!$C$8:$C$2008,"Entregue")+SUMIFS(Vendas!$AE$8:$AE$2008,Vendas!$AB$8:$AB$2008,$B35,Vendas!$E$8:$E$2008,"&gt;=01/05/"&amp;$G$3,Vendas!$E$8:$E$2008,"&lt;=31/05/"&amp;$G$3,Vendas!$C$8:$C$2008,"Entregue")+SUMIFS(Vendas!$AJ$8:$AJ$2008,Vendas!$AG$8:$AG$2008,$B35,Vendas!$E$8:$E$2008,"&gt;=01/05/"&amp;$G$3,Vendas!$E$8:$E$2008,"&lt;=31/05/"&amp;$G$3,Vendas!$C$8:$C$2008,"Entregue")+SUMIFS(Vendas!$AO$8:$AO$2008,Vendas!$AL$8:$AL$2008,$B35,Vendas!$E$8:$E$2008,"&gt;=01/05/"&amp;$G$3,Vendas!$E$8:$E$2008,"&lt;=31/05/"&amp;$G$3,Vendas!$C$8:$C$2008,"Entregue")+SUMIFS(Vendas!$AT$8:$AT$2008,Vendas!$AQ$8:$AQ$2008,$B35,Vendas!$E$8:$E$2008,"&gt;=01/05/"&amp;$G$3,Vendas!$E$8:$E$2008,"&lt;=31/05/"&amp;$G$3,Vendas!$C$8:$C$2008,"Entregue")</f>
        <v>0</v>
      </c>
      <c r="M35" s="159">
        <f>SUMIFS(Vendas!$K$8:$K$2008,Vendas!$H$8:$H$2008,$B35,Vendas!$E$8:$E$2008,"&gt;=01/06/"&amp;$G$3,Vendas!$E$8:$E$2008,"&lt;=30/06/"&amp;$G$3)+SUMIFS(Vendas!$P$8:$P$2008,Vendas!$M$8:$M$2008,$B35,Vendas!$E$8:$E$2008,"&gt;=01/06/"&amp;$G$3,Vendas!$E$8:$E$2008,"&lt;=30/06/"&amp;$G$3)+SUMIFS(Vendas!$U$8:$U$2008,Vendas!$R$8:$R$2008,$B35,Vendas!$E$8:$E$2008,"&gt;=01/06/"&amp;$G$3,Vendas!$E$8:$E$2008,"&lt;=30/06/"&amp;$G$3)+SUMIFS(Vendas!$Z$8:$Z$2008,Vendas!$W$8:$W$2008,$B35,Vendas!$E$8:$E$2008,"&gt;=01/06/"&amp;$G$3,Vendas!$E$8:$E$2008,"&lt;=30/06/"&amp;$G$3)+SUMIFS(Vendas!$AE$8:$AE$2008,Vendas!$AB$8:$AB$2008,$B35,Vendas!$E$8:$E$2008,"&gt;=01/06/"&amp;$G$3,Vendas!$E$8:$E$2008,"&lt;=30/06/"&amp;$G$3)+SUMIFS(Vendas!$AJ$8:$AJ$2008,Vendas!$AG$8:$AG$2008,$B35,Vendas!$E$8:$E$2008,"&gt;=01/06/"&amp;$G$3,Vendas!$E$8:$E$2008,"&lt;=30/06/"&amp;$G$3)+SUMIFS(Vendas!$AO$8:$AO$2008,Vendas!$AL$8:$AL$2008,$B35,Vendas!$E$8:$E$2008,"&gt;=01/06/"&amp;$G$3,Vendas!$E$8:$E$2008,"&lt;=30/06/"&amp;$G$3)+SUMIFS(Vendas!$AT$8:$AT$2008,Vendas!$AQ$8:$AQ$2008,$B35,Vendas!$E$8:$E$2008,"&gt;=01/06/"&amp;$G$3,Vendas!$E$8:$E$2008,"&lt;=30/06/"&amp;$G$3)</f>
        <v>0</v>
      </c>
      <c r="N35" s="159">
        <f>SUMIFS(Vendas!$K$8:$K$2008,Vendas!$H$8:$H$2008,$B35,Vendas!$E$8:$E$2008,"&gt;=01/06/"&amp;$G$3,Vendas!$E$8:$E$2008,"&lt;=30/06/"&amp;$G$3,Vendas!$C$8:$C$2008,"Entregue")+SUMIFS(Vendas!$P$8:$P$2008,Vendas!$M$8:$M$2008,$B35,Vendas!$E$8:$E$2008,"&gt;=01/06/"&amp;$G$3,Vendas!$E$8:$E$2008,"&lt;=30/06/"&amp;$G$3,Vendas!$C$8:$C$2008,"Entregue")+SUMIFS(Vendas!$U$8:$U$2008,Vendas!$R$8:$R$2008,$B35,Vendas!$E$8:$E$2008,"&gt;=01/06/"&amp;$G$3,Vendas!$E$8:$E$2008,"&lt;=30/06/"&amp;$G$3,Vendas!$C$8:$C$2008,"Entregue")+SUMIFS(Vendas!$Z$8:$Z$2008,Vendas!$W$8:$W$2008,$B35,Vendas!$E$8:$E$2008,"&gt;=01/06/"&amp;$G$3,Vendas!$E$8:$E$2008,"&lt;=30/06/"&amp;$G$3,Vendas!$C$8:$C$2008,"Entregue")+SUMIFS(Vendas!$AE$8:$AE$2008,Vendas!$AB$8:$AB$2008,$B35,Vendas!$E$8:$E$2008,"&gt;=01/06/"&amp;$G$3,Vendas!$E$8:$E$2008,"&lt;=30/06/"&amp;$G$3,Vendas!$C$8:$C$2008,"Entregue")+SUMIFS(Vendas!$AJ$8:$AJ$2008,Vendas!$AG$8:$AG$2008,$B35,Vendas!$E$8:$E$2008,"&gt;=01/06/"&amp;$G$3,Vendas!$E$8:$E$2008,"&lt;=30/06/"&amp;$G$3,Vendas!$C$8:$C$2008,"Entregue")+SUMIFS(Vendas!$AO$8:$AO$2008,Vendas!$AL$8:$AL$2008,$B35,Vendas!$E$8:$E$2008,"&gt;=01/06/"&amp;$G$3,Vendas!$E$8:$E$2008,"&lt;=30/06/"&amp;$G$3,Vendas!$C$8:$C$2008,"Entregue")+SUMIFS(Vendas!$AT$8:$AT$2008,Vendas!$AQ$8:$AQ$2008,$B35,Vendas!$E$8:$E$2008,"&gt;=01/06/"&amp;$G$3,Vendas!$E$8:$E$2008,"&lt;=30/06/"&amp;$G$3,Vendas!$C$8:$C$2008,"Entregue")</f>
        <v>0</v>
      </c>
      <c r="O35" s="159">
        <f>SUMIFS(Vendas!$K$8:$K$2008,Vendas!$H$8:$H$2008,$B35,Vendas!$E$8:$E$2008,"&gt;=01/07/"&amp;$G$3,Vendas!$E$8:$E$2008,"&lt;=31/07/"&amp;$G$3)+SUMIFS(Vendas!$P$8:$P$2008,Vendas!$M$8:$M$2008,$B35,Vendas!$E$8:$E$2008,"&gt;=01/07/"&amp;$G$3,Vendas!$E$8:$E$2008,"&lt;=31/07/"&amp;$G$3)+SUMIFS(Vendas!$U$8:$U$2008,Vendas!$R$8:$R$2008,$B35,Vendas!$E$8:$E$2008,"&gt;=01/07/"&amp;$G$3,Vendas!$E$8:$E$2008,"&lt;=31/07/"&amp;$G$3)+SUMIFS(Vendas!$Z$8:$Z$2008,Vendas!$W$8:$W$2008,$B35,Vendas!$E$8:$E$2008,"&gt;=01/07/"&amp;$G$3,Vendas!$E$8:$E$2008,"&lt;=31/07/"&amp;$G$3)+SUMIFS(Vendas!$AE$8:$AE$2008,Vendas!$AB$8:$AB$2008,$B35,Vendas!$E$8:$E$2008,"&gt;=01/07/"&amp;$G$3,Vendas!$E$8:$E$2008,"&lt;=31/07/"&amp;$G$3)+SUMIFS(Vendas!$AJ$8:$AJ$2008,Vendas!$AG$8:$AG$2008,$B35,Vendas!$E$8:$E$2008,"&gt;=01/07/"&amp;$G$3,Vendas!$E$8:$E$2008,"&lt;=31/07/"&amp;$G$3)+SUMIFS(Vendas!$AO$8:$AO$2008,Vendas!$AL$8:$AL$2008,$B35,Vendas!$E$8:$E$2008,"&gt;=01/07/"&amp;$G$3,Vendas!$E$8:$E$2008,"&lt;=31/07/"&amp;$G$3)+SUMIFS(Vendas!$AT$8:$AT$2008,Vendas!$AQ$8:$AQ$2008,$B35,Vendas!$E$8:$E$2008,"&gt;=01/07/"&amp;$G$3,Vendas!$E$8:$E$2008,"&lt;=31/07/"&amp;$G$3)</f>
        <v>0</v>
      </c>
      <c r="P35" s="159">
        <f>SUMIFS(Vendas!$K$8:$K$2008,Vendas!$H$8:$H$2008,$B35,Vendas!$E$8:$E$2008,"&gt;=01/07/"&amp;$G$3,Vendas!$E$8:$E$2008,"&lt;=31/07/"&amp;$G$3,Vendas!$C$8:$C$2008,"Entregue")+SUMIFS(Vendas!$P$8:$P$2008,Vendas!$M$8:$M$2008,$B35,Vendas!$E$8:$E$2008,"&gt;=01/07/"&amp;$G$3,Vendas!$E$8:$E$2008,"&lt;=31/07/"&amp;$G$3,Vendas!$C$8:$C$2008,"Entregue")+SUMIFS(Vendas!$U$8:$U$2008,Vendas!$R$8:$R$2008,$B35,Vendas!$E$8:$E$2008,"&gt;=01/07/"&amp;$G$3,Vendas!$E$8:$E$2008,"&lt;=31/07/"&amp;$G$3,Vendas!$C$8:$C$2008,"Entregue")+SUMIFS(Vendas!$Z$8:$Z$2008,Vendas!$W$8:$W$2008,$B35,Vendas!$E$8:$E$2008,"&gt;=01/07/"&amp;$G$3,Vendas!$E$8:$E$2008,"&lt;=31/07/"&amp;$G$3,Vendas!$C$8:$C$2008,"Entregue")+SUMIFS(Vendas!$AE$8:$AE$2008,Vendas!$AB$8:$AB$2008,$B35,Vendas!$E$8:$E$2008,"&gt;=01/07/"&amp;$G$3,Vendas!$E$8:$E$2008,"&lt;=31/07/"&amp;$G$3,Vendas!$C$8:$C$2008,"Entregue")+SUMIFS(Vendas!$AJ$8:$AJ$2008,Vendas!$AG$8:$AG$2008,$B35,Vendas!$E$8:$E$2008,"&gt;=01/07/"&amp;$G$3,Vendas!$E$8:$E$2008,"&lt;=31/07/"&amp;$G$3,Vendas!$C$8:$C$2008,"Entregue")+SUMIFS(Vendas!$AO$8:$AO$2008,Vendas!$AL$8:$AL$2008,$B35,Vendas!$E$8:$E$2008,"&gt;=01/07/"&amp;$G$3,Vendas!$E$8:$E$2008,"&lt;=31/07/"&amp;$G$3,Vendas!$C$8:$C$2008,"Entregue")+SUMIFS(Vendas!$AT$8:$AT$2008,Vendas!$AQ$8:$AQ$2008,$B35,Vendas!$E$8:$E$2008,"&gt;=01/07/"&amp;$G$3,Vendas!$E$8:$E$2008,"&lt;=31/07/"&amp;$G$3,Vendas!$C$8:$C$2008,"Entregue")</f>
        <v>0</v>
      </c>
      <c r="Q35" s="159">
        <f>SUMIFS(Vendas!$K$8:$K$2008,Vendas!$H$8:$H$2008,$B35,Vendas!$E$8:$E$2008,"&gt;=01/08/"&amp;$G$3,Vendas!$E$8:$E$2008,"&lt;=31/08/"&amp;$G$3)+SUMIFS(Vendas!$P$8:$P$2008,Vendas!$M$8:$M$2008,$B35,Vendas!$E$8:$E$2008,"&gt;=01/08/"&amp;$G$3,Vendas!$E$8:$E$2008,"&lt;=31/08/"&amp;$G$3)+SUMIFS(Vendas!$U$8:$U$2008,Vendas!$R$8:$R$2008,$B35,Vendas!$E$8:$E$2008,"&gt;=01/08/"&amp;$G$3,Vendas!$E$8:$E$2008,"&lt;=31/08/"&amp;$G$3)+SUMIFS(Vendas!$Z$8:$Z$2008,Vendas!$W$8:$W$2008,$B35,Vendas!$E$8:$E$2008,"&gt;=01/08/"&amp;$G$3,Vendas!$E$8:$E$2008,"&lt;=31/08/"&amp;$G$3)+SUMIFS(Vendas!$AE$8:$AE$2008,Vendas!$AB$8:$AB$2008,$B35,Vendas!$E$8:$E$2008,"&gt;=01/08/"&amp;$G$3,Vendas!$E$8:$E$2008,"&lt;=31/08/"&amp;$G$3)+SUMIFS(Vendas!$AJ$8:$AJ$2008,Vendas!$AG$8:$AG$2008,$B35,Vendas!$E$8:$E$2008,"&gt;=01/08/"&amp;$G$3,Vendas!$E$8:$E$2008,"&lt;=31/08/"&amp;$G$3)+SUMIFS(Vendas!$AO$8:$AO$2008,Vendas!$AL$8:$AL$2008,$B35,Vendas!$E$8:$E$2008,"&gt;=01/08/"&amp;$G$3,Vendas!$E$8:$E$2008,"&lt;=31/08/"&amp;$G$3)+SUMIFS(Vendas!$AT$8:$AT$2008,Vendas!$AQ$8:$AQ$2008,$B35,Vendas!$E$8:$E$2008,"&gt;=01/08/"&amp;$G$3,Vendas!$E$8:$E$2008,"&lt;=31/08/"&amp;$G$3)</f>
        <v>0</v>
      </c>
      <c r="R35" s="159">
        <f>SUMIFS(Vendas!$K$8:$K$2008,Vendas!$H$8:$H$2008,$B35,Vendas!$E$8:$E$2008,"&gt;=01/08/"&amp;$G$3,Vendas!$E$8:$E$2008,"&lt;=31/08/"&amp;$G$3,Vendas!$C$8:$C$2008,"Entregue")+SUMIFS(Vendas!$P$8:$P$2008,Vendas!$M$8:$M$2008,$B35,Vendas!$E$8:$E$2008,"&gt;=01/08/"&amp;$G$3,Vendas!$E$8:$E$2008,"&lt;=31/08/"&amp;$G$3,Vendas!$C$8:$C$2008,"Entregue")+SUMIFS(Vendas!$U$8:$U$2008,Vendas!$R$8:$R$2008,$B35,Vendas!$E$8:$E$2008,"&gt;=01/08/"&amp;$G$3,Vendas!$E$8:$E$2008,"&lt;=31/08/"&amp;$G$3,Vendas!$C$8:$C$2008,"Entregue")+SUMIFS(Vendas!$Z$8:$Z$2008,Vendas!$W$8:$W$2008,$B35,Vendas!$E$8:$E$2008,"&gt;=01/08/"&amp;$G$3,Vendas!$E$8:$E$2008,"&lt;=31/08/"&amp;$G$3,Vendas!$C$8:$C$2008,"Entregue")+SUMIFS(Vendas!$AE$8:$AE$2008,Vendas!$AB$8:$AB$2008,$B35,Vendas!$E$8:$E$2008,"&gt;=01/08/"&amp;$G$3,Vendas!$E$8:$E$2008,"&lt;=31/08/"&amp;$G$3,Vendas!$C$8:$C$2008,"Entregue")+SUMIFS(Vendas!$AJ$8:$AJ$2008,Vendas!$AG$8:$AG$2008,$B35,Vendas!$E$8:$E$2008,"&gt;=01/08/"&amp;$G$3,Vendas!$E$8:$E$2008,"&lt;=31/08/"&amp;$G$3,Vendas!$C$8:$C$2008,"Entregue")+SUMIFS(Vendas!$AO$8:$AO$2008,Vendas!$AL$8:$AL$2008,$B35,Vendas!$E$8:$E$2008,"&gt;=01/08/"&amp;$G$3,Vendas!$E$8:$E$2008,"&lt;=31/08/"&amp;$G$3,Vendas!$C$8:$C$2008,"Entregue")+SUMIFS(Vendas!$AT$8:$AT$2008,Vendas!$AQ$8:$AQ$2008,$B35,Vendas!$E$8:$E$2008,"&gt;=01/08/"&amp;$G$3,Vendas!$E$8:$E$2008,"&lt;=31/08/"&amp;$G$3,Vendas!$C$8:$C$2008,"Entregue")</f>
        <v>0</v>
      </c>
      <c r="S35" s="159">
        <f>SUMIFS(Vendas!$K$8:$K$2008,Vendas!$H$8:$H$2008,$B35,Vendas!$E$8:$E$2008,"&gt;=01/09/"&amp;$G$3,Vendas!$E$8:$E$2008,"&lt;=30/09/"&amp;$G$3)+SUMIFS(Vendas!$P$8:$P$2008,Vendas!$M$8:$M$2008,$B35,Vendas!$E$8:$E$2008,"&gt;=01/09/"&amp;$G$3,Vendas!$E$8:$E$2008,"&lt;=30/09/"&amp;$G$3)+SUMIFS(Vendas!$U$8:$U$2008,Vendas!$R$8:$R$2008,$B35,Vendas!$E$8:$E$2008,"&gt;=01/09/"&amp;$G$3,Vendas!$E$8:$E$2008,"&lt;=30/09/"&amp;$G$3)+SUMIFS(Vendas!$Z$8:$Z$2008,Vendas!$W$8:$W$2008,$B35,Vendas!$E$8:$E$2008,"&gt;=01/09/"&amp;$G$3,Vendas!$E$8:$E$2008,"&lt;=30/09/"&amp;$G$3)+SUMIFS(Vendas!$AE$8:$AE$2008,Vendas!$AB$8:$AB$2008,$B35,Vendas!$E$8:$E$2008,"&gt;=01/09/"&amp;$G$3,Vendas!$E$8:$E$2008,"&lt;=30/09/"&amp;$G$3)+SUMIFS(Vendas!$AJ$8:$AJ$2008,Vendas!$AG$8:$AG$2008,$B35,Vendas!$E$8:$E$2008,"&gt;=01/09/"&amp;$G$3,Vendas!$E$8:$E$2008,"&lt;=30/09/"&amp;$G$3)+SUMIFS(Vendas!$AO$8:$AO$2008,Vendas!$AL$8:$AL$2008,$B35,Vendas!$E$8:$E$2008,"&gt;=01/09/"&amp;$G$3,Vendas!$E$8:$E$2008,"&lt;=30/09/"&amp;$G$3)+SUMIFS(Vendas!$AT$8:$AT$2008,Vendas!$AQ$8:$AQ$2008,$B35,Vendas!$E$8:$E$2008,"&gt;=01/09/"&amp;$G$3,Vendas!$E$8:$E$2008,"&lt;=30/09/"&amp;$G$3)</f>
        <v>0</v>
      </c>
      <c r="T35" s="159">
        <f>SUMIFS(Vendas!$K$8:$K$2008,Vendas!$H$8:$H$2008,$B35,Vendas!$E$8:$E$2008,"&gt;=01/09/"&amp;$G$3,Vendas!$E$8:$E$2008,"&lt;=30/09/"&amp;$G$3,Vendas!$C$8:$C$2008,"Entregue")+SUMIFS(Vendas!$P$8:$P$2008,Vendas!$M$8:$M$2008,$B35,Vendas!$E$8:$E$2008,"&gt;=01/09/"&amp;$G$3,Vendas!$E$8:$E$2008,"&lt;=30/09/"&amp;$G$3,Vendas!$C$8:$C$2008,"Entregue")+SUMIFS(Vendas!$U$8:$U$2008,Vendas!$R$8:$R$2008,$B35,Vendas!$E$8:$E$2008,"&gt;=01/09/"&amp;$G$3,Vendas!$E$8:$E$2008,"&lt;=30/09/"&amp;$G$3,Vendas!$C$8:$C$2008,"Entregue")+SUMIFS(Vendas!$Z$8:$Z$2008,Vendas!$W$8:$W$2008,$B35,Vendas!$E$8:$E$2008,"&gt;=01/09/"&amp;$G$3,Vendas!$E$8:$E$2008,"&lt;=30/09/"&amp;$G$3,Vendas!$C$8:$C$2008,"Entregue")+SUMIFS(Vendas!$AE$8:$AE$2008,Vendas!$AB$8:$AB$2008,$B35,Vendas!$E$8:$E$2008,"&gt;=01/09/"&amp;$G$3,Vendas!$E$8:$E$2008,"&lt;=30/09/"&amp;$G$3,Vendas!$C$8:$C$2008,"Entregue")+SUMIFS(Vendas!$AJ$8:$AJ$2008,Vendas!$AG$8:$AG$2008,$B35,Vendas!$E$8:$E$2008,"&gt;=01/09/"&amp;$G$3,Vendas!$E$8:$E$2008,"&lt;=30/09/"&amp;$G$3,Vendas!$C$8:$C$2008,"Entregue")+SUMIFS(Vendas!$AO$8:$AO$2008,Vendas!$AL$8:$AL$2008,$B35,Vendas!$E$8:$E$2008,"&gt;=01/09/"&amp;$G$3,Vendas!$E$8:$E$2008,"&lt;=30/09/"&amp;$G$3,Vendas!$C$8:$C$2008,"Entregue")+SUMIFS(Vendas!$AT$8:$AT$2008,Vendas!$AQ$8:$AQ$2008,$B35,Vendas!$E$8:$E$2008,"&gt;=01/09/"&amp;$G$3,Vendas!$E$8:$E$2008,"&lt;=30/09/"&amp;$G$3,Vendas!$C$8:$C$2008,"Entregue")</f>
        <v>0</v>
      </c>
      <c r="U35" s="159">
        <f>SUMIFS(Vendas!$K$8:$K$2008,Vendas!$H$8:$H$2008,$B35,Vendas!$E$8:$E$2008,"&gt;=01/10/"&amp;$G$3,Vendas!$E$8:$E$2008,"&lt;=31/10/"&amp;$G$3)+SUMIFS(Vendas!$P$8:$P$2008,Vendas!$M$8:$M$2008,$B35,Vendas!$E$8:$E$2008,"&gt;=01/10/"&amp;$G$3,Vendas!$E$8:$E$2008,"&lt;=31/10/"&amp;$G$3)+SUMIFS(Vendas!$U$8:$U$2008,Vendas!$R$8:$R$2008,$B35,Vendas!$E$8:$E$2008,"&gt;=01/10/"&amp;$G$3,Vendas!$E$8:$E$2008,"&lt;=31/10/"&amp;$G$3)+SUMIFS(Vendas!$Z$8:$Z$2008,Vendas!$W$8:$W$2008,$B35,Vendas!$E$8:$E$2008,"&gt;=01/10/"&amp;$G$3,Vendas!$E$8:$E$2008,"&lt;=31/10/"&amp;$G$3)+SUMIFS(Vendas!$AE$8:$AE$2008,Vendas!$AB$8:$AB$2008,$B35,Vendas!$E$8:$E$2008,"&gt;=01/10/"&amp;$G$3,Vendas!$E$8:$E$2008,"&lt;=31/10/"&amp;$G$3)+SUMIFS(Vendas!$AJ$8:$AJ$2008,Vendas!$AG$8:$AG$2008,$B35,Vendas!$E$8:$E$2008,"&gt;=01/10/"&amp;$G$3,Vendas!$E$8:$E$2008,"&lt;=31/10/"&amp;$G$3)+SUMIFS(Vendas!$AO$8:$AO$2008,Vendas!$AL$8:$AL$2008,$B35,Vendas!$E$8:$E$2008,"&gt;=01/10/"&amp;$G$3,Vendas!$E$8:$E$2008,"&lt;=31/10/"&amp;$G$3)+SUMIFS(Vendas!$AT$8:$AT$2008,Vendas!$AQ$8:$AQ$2008,$B35,Vendas!$E$8:$E$2008,"&gt;=01/10/"&amp;$G$3,Vendas!$E$8:$E$2008,"&lt;=31/10/"&amp;$G$3)</f>
        <v>0</v>
      </c>
      <c r="V35" s="159">
        <f>SUMIFS(Vendas!$K$8:$K$2008,Vendas!$H$8:$H$2008,$B35,Vendas!$E$8:$E$2008,"&gt;=01/10/"&amp;$G$3,Vendas!$E$8:$E$2008,"&lt;=31/10/"&amp;$G$3,Vendas!$C$8:$C$2008,"Entregue")+SUMIFS(Vendas!$P$8:$P$2008,Vendas!$M$8:$M$2008,$B35,Vendas!$E$8:$E$2008,"&gt;=01/10/"&amp;$G$3,Vendas!$E$8:$E$2008,"&lt;=31/10/"&amp;$G$3,Vendas!$C$8:$C$2008,"Entregue")+SUMIFS(Vendas!$U$8:$U$2008,Vendas!$R$8:$R$2008,$B35,Vendas!$E$8:$E$2008,"&gt;=01/10/"&amp;$G$3,Vendas!$E$8:$E$2008,"&lt;=31/10/"&amp;$G$3,Vendas!$C$8:$C$2008,"Entregue")+SUMIFS(Vendas!$Z$8:$Z$2008,Vendas!$W$8:$W$2008,$B35,Vendas!$E$8:$E$2008,"&gt;=01/10/"&amp;$G$3,Vendas!$E$8:$E$2008,"&lt;=31/10/"&amp;$G$3,Vendas!$C$8:$C$2008,"Entregue")+SUMIFS(Vendas!$AE$8:$AE$2008,Vendas!$AB$8:$AB$2008,$B35,Vendas!$E$8:$E$2008,"&gt;=01/10/"&amp;$G$3,Vendas!$E$8:$E$2008,"&lt;=31/10/"&amp;$G$3,Vendas!$C$8:$C$2008,"Entregue")+SUMIFS(Vendas!$AJ$8:$AJ$2008,Vendas!$AG$8:$AG$2008,$B35,Vendas!$E$8:$E$2008,"&gt;=01/10/"&amp;$G$3,Vendas!$E$8:$E$2008,"&lt;=31/10/"&amp;$G$3,Vendas!$C$8:$C$2008,"Entregue")+SUMIFS(Vendas!$AO$8:$AO$2008,Vendas!$AL$8:$AL$2008,$B35,Vendas!$E$8:$E$2008,"&gt;=01/10/"&amp;$G$3,Vendas!$E$8:$E$2008,"&lt;=31/10/"&amp;$G$3,Vendas!$C$8:$C$2008,"Entregue")+SUMIFS(Vendas!$AT$8:$AT$2008,Vendas!$AQ$8:$AQ$2008,$B35,Vendas!$E$8:$E$2008,"&gt;=01/10/"&amp;$G$3,Vendas!$E$8:$E$2008,"&lt;=31/10/"&amp;$G$3,Vendas!$C$8:$C$2008,"Entregue")</f>
        <v>0</v>
      </c>
      <c r="W35" s="159">
        <f>SUMIFS(Vendas!$K$8:$K$2008,Vendas!$H$8:$H$2008,$B35,Vendas!$E$8:$E$2008,"&gt;=01/11/"&amp;$G$3,Vendas!$E$8:$E$2008,"&lt;=30/11/"&amp;$G$3)+SUMIFS(Vendas!$P$8:$P$2008,Vendas!$M$8:$M$2008,$B35,Vendas!$E$8:$E$2008,"&gt;=01/11/"&amp;$G$3,Vendas!$E$8:$E$2008,"&lt;=30/11/"&amp;$G$3)+SUMIFS(Vendas!$U$8:$U$2008,Vendas!$R$8:$R$2008,$B35,Vendas!$E$8:$E$2008,"&gt;=01/11/"&amp;$G$3,Vendas!$E$8:$E$2008,"&lt;=30/11/"&amp;$G$3)+SUMIFS(Vendas!$Z$8:$Z$2008,Vendas!$W$8:$W$2008,$B35,Vendas!$E$8:$E$2008,"&gt;=01/11/"&amp;$G$3,Vendas!$E$8:$E$2008,"&lt;=30/11/"&amp;$G$3)+SUMIFS(Vendas!$AE$8:$AE$2008,Vendas!$AB$8:$AB$2008,$B35,Vendas!$E$8:$E$2008,"&gt;=01/11/"&amp;$G$3,Vendas!$E$8:$E$2008,"&lt;=30/11/"&amp;$G$3)+SUMIFS(Vendas!$AJ$8:$AJ$2008,Vendas!$AG$8:$AG$2008,$B35,Vendas!$E$8:$E$2008,"&gt;=01/11/"&amp;$G$3,Vendas!$E$8:$E$2008,"&lt;=30/11/"&amp;$G$3)+SUMIFS(Vendas!$AO$8:$AO$2008,Vendas!$AL$8:$AL$2008,$B35,Vendas!$E$8:$E$2008,"&gt;=01/11/"&amp;$G$3,Vendas!$E$8:$E$2008,"&lt;=30/11/"&amp;$G$3)+SUMIFS(Vendas!$AT$8:$AT$2008,Vendas!$AQ$8:$AQ$2008,$B35,Vendas!$E$8:$E$2008,"&gt;=01/11/"&amp;$G$3,Vendas!$E$8:$E$2008,"&lt;=30/11/"&amp;$G$3)</f>
        <v>0</v>
      </c>
      <c r="X35" s="159">
        <f>SUMIFS(Vendas!$K$8:$K$2008,Vendas!$H$8:$H$2008,$B35,Vendas!$E$8:$E$2008,"&gt;=01/11/"&amp;$G$3,Vendas!$E$8:$E$2008,"&lt;=30/11/"&amp;$G$3,Vendas!$C$8:$C$2008,"Entregue")+SUMIFS(Vendas!$P$8:$P$2008,Vendas!$M$8:$M$2008,$B35,Vendas!$E$8:$E$2008,"&gt;=01/11/"&amp;$G$3,Vendas!$E$8:$E$2008,"&lt;=30/11/"&amp;$G$3,Vendas!$C$8:$C$2008,"Entregue")+SUMIFS(Vendas!$U$8:$U$2008,Vendas!$R$8:$R$2008,$B35,Vendas!$E$8:$E$2008,"&gt;=01/11/"&amp;$G$3,Vendas!$E$8:$E$2008,"&lt;=30/11/"&amp;$G$3,Vendas!$C$8:$C$2008,"Entregue")+SUMIFS(Vendas!$Z$8:$Z$2008,Vendas!$W$8:$W$2008,$B35,Vendas!$E$8:$E$2008,"&gt;=01/11/"&amp;$G$3,Vendas!$E$8:$E$2008,"&lt;=30/11/"&amp;$G$3,Vendas!$C$8:$C$2008,"Entregue")+SUMIFS(Vendas!$AE$8:$AE$2008,Vendas!$AB$8:$AB$2008,$B35,Vendas!$E$8:$E$2008,"&gt;=01/11/"&amp;$G$3,Vendas!$E$8:$E$2008,"&lt;=30/11/"&amp;$G$3,Vendas!$C$8:$C$2008,"Entregue")+SUMIFS(Vendas!$AJ$8:$AJ$2008,Vendas!$AG$8:$AG$2008,$B35,Vendas!$E$8:$E$2008,"&gt;=01/11/"&amp;$G$3,Vendas!$E$8:$E$2008,"&lt;=30/11/"&amp;$G$3,Vendas!$C$8:$C$2008,"Entregue")+SUMIFS(Vendas!$AO$8:$AO$2008,Vendas!$AL$8:$AL$2008,$B35,Vendas!$E$8:$E$2008,"&gt;=01/11/"&amp;$G$3,Vendas!$E$8:$E$2008,"&lt;=30/11/"&amp;$G$3,Vendas!$C$8:$C$2008,"Entregue")+SUMIFS(Vendas!$AT$8:$AT$2008,Vendas!$AQ$8:$AQ$2008,$B35,Vendas!$E$8:$E$2008,"&gt;=01/11/"&amp;$G$3,Vendas!$E$8:$E$2008,"&lt;=30/11/"&amp;$G$3,Vendas!$C$8:$C$2008,"Entregue")</f>
        <v>0</v>
      </c>
      <c r="Y35" s="159">
        <f>SUMIFS(Vendas!$K$8:$K$2008,Vendas!$H$8:$H$2008,$B35,Vendas!$E$8:$E$2008,"&gt;=01/12/"&amp;$G$3,Vendas!$E$8:$E$2008,"&lt;=31/12/"&amp;$G$3)+SUMIFS(Vendas!$P$8:$P$2008,Vendas!$M$8:$M$2008,$B35,Vendas!$E$8:$E$2008,"&gt;=01/12/"&amp;$G$3,Vendas!$E$8:$E$2008,"&lt;=31/12/"&amp;$G$3)+SUMIFS(Vendas!$U$8:$U$2008,Vendas!$R$8:$R$2008,$B35,Vendas!$E$8:$E$2008,"&gt;=01/12/"&amp;$G$3,Vendas!$E$8:$E$2008,"&lt;=31/12/"&amp;$G$3)+SUMIFS(Vendas!$Z$8:$Z$2008,Vendas!$W$8:$W$2008,$B35,Vendas!$E$8:$E$2008,"&gt;=01/12/"&amp;$G$3,Vendas!$E$8:$E$2008,"&lt;=31/12/"&amp;$G$3)+SUMIFS(Vendas!$AE$8:$AE$2008,Vendas!$AB$8:$AB$2008,$B35,Vendas!$E$8:$E$2008,"&gt;=01/12/"&amp;$G$3,Vendas!$E$8:$E$2008,"&lt;=31/12/"&amp;$G$3)+SUMIFS(Vendas!$AJ$8:$AJ$2008,Vendas!$AG$8:$AG$2008,$B35,Vendas!$E$8:$E$2008,"&gt;=01/12/"&amp;$G$3,Vendas!$E$8:$E$2008,"&lt;=31/12/"&amp;$G$3)+SUMIFS(Vendas!$AO$8:$AO$2008,Vendas!$AL$8:$AL$2008,$B35,Vendas!$E$8:$E$2008,"&gt;=01/12/"&amp;$G$3,Vendas!$E$8:$E$2008,"&lt;=31/12/"&amp;$G$3)+SUMIFS(Vendas!$AT$8:$AT$2008,Vendas!$AQ$8:$AQ$2008,$B35,Vendas!$E$8:$E$2008,"&gt;=01/12/"&amp;$G$3,Vendas!$E$8:$E$2008,"&lt;=31/12/"&amp;$G$3)</f>
        <v>0</v>
      </c>
      <c r="Z35" s="160">
        <f>SUMIFS(Vendas!$K$8:$K$2008,Vendas!$H$8:$H$2008,$B35,Vendas!$E$8:$E$2008,"&gt;=01/12/"&amp;$G$3,Vendas!$E$8:$E$2008,"&lt;=31/12/"&amp;$G$3,Vendas!$C$8:$C$2008,"Entregue")+SUMIFS(Vendas!$P$8:$P$2008,Vendas!$M$8:$M$2008,$B35,Vendas!$E$8:$E$2008,"&gt;=01/12/"&amp;$G$3,Vendas!$E$8:$E$2008,"&lt;=31/12/"&amp;$G$3,Vendas!$C$8:$C$2008,"Entregue")+SUMIFS(Vendas!$U$8:$U$2008,Vendas!$R$8:$R$2008,$B35,Vendas!$E$8:$E$2008,"&gt;=01/12/"&amp;$G$3,Vendas!$E$8:$E$2008,"&lt;=31/12/"&amp;$G$3,Vendas!$C$8:$C$2008,"Entregue")+SUMIFS(Vendas!$Z$8:$Z$2008,Vendas!$W$8:$W$2008,$B35,Vendas!$E$8:$E$2008,"&gt;=01/12/"&amp;$G$3,Vendas!$E$8:$E$2008,"&lt;=31/12/"&amp;$G$3,Vendas!$C$8:$C$2008,"Entregue")+SUMIFS(Vendas!$AE$8:$AE$2008,Vendas!$AB$8:$AB$2008,$B35,Vendas!$E$8:$E$2008,"&gt;=01/12/"&amp;$G$3,Vendas!$E$8:$E$2008,"&lt;=31/12/"&amp;$G$3,Vendas!$C$8:$C$2008,"Entregue")+SUMIFS(Vendas!$AJ$8:$AJ$2008,Vendas!$AG$8:$AG$2008,$B35,Vendas!$E$8:$E$2008,"&gt;=01/12/"&amp;$G$3,Vendas!$E$8:$E$2008,"&lt;=31/12/"&amp;$G$3,Vendas!$C$8:$C$2008,"Entregue")+SUMIFS(Vendas!$AO$8:$AO$2008,Vendas!$AL$8:$AL$2008,$B35,Vendas!$E$8:$E$2008,"&gt;=01/12/"&amp;$G$3,Vendas!$E$8:$E$2008,"&lt;=31/12/"&amp;$G$3,Vendas!$C$8:$C$2008,"Entregue")+SUMIFS(Vendas!$AT$8:$AT$2008,Vendas!$AQ$8:$AQ$2008,$B35,Vendas!$E$8:$E$2008,"&gt;=01/12/"&amp;$G$3,Vendas!$E$8:$E$2008,"&lt;=31/12/"&amp;$G$3,Vendas!$C$8:$C$2008,"Entregue")</f>
        <v>0</v>
      </c>
      <c r="AA35" s="132">
        <f t="shared" si="0"/>
        <v>0</v>
      </c>
      <c r="AB35" s="132">
        <f t="shared" si="0"/>
        <v>0</v>
      </c>
      <c r="AC35" s="67"/>
    </row>
    <row r="36" spans="2:29" ht="14.4" x14ac:dyDescent="0.3">
      <c r="B36" s="262" t="str">
        <f>IF(Cadastros!G44="","",Cadastros!G44)</f>
        <v>232 - Assento De Carro 98 X 45</v>
      </c>
      <c r="C36" s="161">
        <f>SUMIFS(Vendas!$K$8:$K$2008,Vendas!$H$8:$H$2008,$B36,Vendas!$E$8:$E$2008,"&gt;=01/01/"&amp;$G$3,Vendas!$E$8:$E$2008,"&lt;=31/01/"&amp;$G$3)+SUMIFS(Vendas!$P$8:$P$2008,Vendas!$M$8:$M$2008,$B36,Vendas!$E$8:$E$2008,"&gt;=01/01/"&amp;$G$3,Vendas!$E$8:$E$2008,"&lt;=31/01/"&amp;$G$3)+SUMIFS(Vendas!$U$8:$U$2008,Vendas!$R$8:$R$2008,$B36,Vendas!$E$8:$E$2008,"&gt;=01/01/"&amp;$G$3,Vendas!$E$8:$E$2008,"&lt;=31/01/"&amp;$G$3)+SUMIFS(Vendas!$Z$8:$Z$2008,Vendas!$W$8:$W$2008,$B36,Vendas!$E$8:$E$2008,"&gt;=01/01/"&amp;$G$3,Vendas!$E$8:$E$2008,"&lt;=31/01/"&amp;$G$3)+SUMIFS(Vendas!$AE$8:$AE$2008,Vendas!$AB$8:$AB$2008,$B36,Vendas!$E$8:$E$2008,"&gt;=01/01/"&amp;$G$3,Vendas!$E$8:$E$2008,"&lt;=31/01/"&amp;$G$3)+SUMIFS(Vendas!$AJ$8:$AJ$2008,Vendas!$AG$8:$AG$2008,$B36,Vendas!$E$8:$E$2008,"&gt;=01/01/"&amp;$G$3,Vendas!$E$8:$E$2008,"&lt;=31/01/"&amp;$G$3)+SUMIFS(Vendas!$AO$8:$AO$2008,Vendas!$AL$8:$AL$2008,$B36,Vendas!$E$8:$E$2008,"&gt;=01/01/"&amp;$G$3,Vendas!$E$8:$E$2008,"&lt;=31/01/"&amp;$G$3)+SUMIFS(Vendas!$AT$8:$AT$2008,Vendas!$AQ$8:$AQ$2008,$B36,Vendas!$E$8:$E$2008,"&gt;=01/01/"&amp;$G$3,Vendas!$E$8:$E$2008,"&lt;=31/01/"&amp;$G$3)</f>
        <v>0</v>
      </c>
      <c r="D36" s="162">
        <f>SUMIFS(Vendas!$K$8:$K$2008,Vendas!$H$8:$H$2008,$B36,Vendas!$E$8:$E$2008,"&gt;=01/01/"&amp;$G$3,Vendas!$E$8:$E$2008,"&lt;=31/01/"&amp;$G$3,Vendas!$C$8:$C$2008,"Entregue")+SUMIFS(Vendas!$P$8:$P$2008,Vendas!$M$8:$M$2008,$B36,Vendas!$E$8:$E$2008,"&gt;=01/01/"&amp;$G$3,Vendas!$E$8:$E$2008,"&lt;=31/01/"&amp;$G$3,Vendas!$C$8:$C$2008,"Entregue")+SUMIFS(Vendas!$U$8:$U$2008,Vendas!$R$8:$R$2008,$B36,Vendas!$E$8:$E$2008,"&gt;=01/01/"&amp;$G$3,Vendas!$E$8:$E$2008,"&lt;=31/01/"&amp;$G$3,Vendas!$C$8:$C$2008,"Entregue")+SUMIFS(Vendas!$Z$8:$Z$2008,Vendas!$W$8:$W$2008,$B36,Vendas!$E$8:$E$2008,"&gt;=01/01/"&amp;$G$3,Vendas!$E$8:$E$2008,"&lt;=31/01/"&amp;$G$3,Vendas!$C$8:$C$2008,"Entregue")+SUMIFS(Vendas!$AE$8:$AE$2008,Vendas!$AB$8:$AB$2008,$B36,Vendas!$E$8:$E$2008,"&gt;=01/01/"&amp;$G$3,Vendas!$E$8:$E$2008,"&lt;=31/01/"&amp;$G$3,Vendas!$C$8:$C$2008,"Entregue")+SUMIFS(Vendas!$AJ$8:$AJ$2008,Vendas!$AG$8:$AG$2008,$B36,Vendas!$E$8:$E$2008,"&gt;=01/01/"&amp;$G$3,Vendas!$E$8:$E$2008,"&lt;=31/01/"&amp;$G$3,Vendas!$C$8:$C$2008,"Entregue")+SUMIFS(Vendas!$AO$8:$AO$2008,Vendas!$AL$8:$AL$2008,$B36,Vendas!$E$8:$E$2008,"&gt;=01/01/"&amp;$G$3,Vendas!$E$8:$E$2008,"&lt;=31/01/"&amp;$G$3,Vendas!$C$8:$C$2008,"Entregue")+SUMIFS(Vendas!$AT$8:$AT$2008,Vendas!$AQ$8:$AQ$2008,$B36,Vendas!$E$8:$E$2008,"&gt;=01/01/"&amp;$G$3,Vendas!$E$8:$E$2008,"&lt;=31/01/"&amp;$G$3,Vendas!$C$8:$C$2008,"Entregue")</f>
        <v>0</v>
      </c>
      <c r="E36" s="162">
        <f>SUMIFS(Vendas!$K$8:$K$2008,Vendas!$H$8:$H$2008,$B36,Vendas!$E$8:$E$2008,"&gt;=01/02/"&amp;$G$3,Vendas!$E$8:$E$2008,"&lt;=28/02/"&amp;$G$3)+SUMIFS(Vendas!$P$8:$P$2008,Vendas!$M$8:$M$2008,$B36,Vendas!$E$8:$E$2008,"&gt;=01/02/"&amp;$G$3,Vendas!$E$8:$E$2008,"&lt;=28/02/"&amp;$G$3)+SUMIFS(Vendas!$U$8:$U$2008,Vendas!$R$8:$R$2008,$B36,Vendas!$E$8:$E$2008,"&gt;=01/02/"&amp;$G$3,Vendas!$E$8:$E$2008,"&lt;=28/02/"&amp;$G$3)+SUMIFS(Vendas!$Z$8:$Z$2008,Vendas!$W$8:$W$2008,$B36,Vendas!$E$8:$E$2008,"&gt;=01/02/"&amp;$G$3,Vendas!$E$8:$E$2008,"&lt;=28/02/"&amp;$G$3)+SUMIFS(Vendas!$AE$8:$AE$2008,Vendas!$AB$8:$AB$2008,$B36,Vendas!$E$8:$E$2008,"&gt;=01/02/"&amp;$G$3,Vendas!$E$8:$E$2008,"&lt;=28/02/"&amp;$G$3)+SUMIFS(Vendas!$AJ$8:$AJ$2008,Vendas!$AG$8:$AG$2008,$B36,Vendas!$E$8:$E$2008,"&gt;=01/02/"&amp;$G$3,Vendas!$E$8:$E$2008,"&lt;=28/02/"&amp;$G$3)+SUMIFS(Vendas!$AO$8:$AO$2008,Vendas!$AL$8:$AL$2008,$B36,Vendas!$E$8:$E$2008,"&gt;=01/02/"&amp;$G$3,Vendas!$E$8:$E$2008,"&lt;=28/02/"&amp;$G$3)+SUMIFS(Vendas!$AT$8:$AT$2008,Vendas!$AQ$8:$AQ$2008,$B36,Vendas!$E$8:$E$2008,"&gt;=01/02/"&amp;$G$3,Vendas!$E$8:$E$2008,"&lt;=28/02/"&amp;$G$3)</f>
        <v>0</v>
      </c>
      <c r="F36" s="162">
        <f>SUMIFS(Vendas!$K$8:$K$2008,Vendas!$H$8:$H$2008,$B36,Vendas!$E$8:$E$2008,"&gt;=01/02/"&amp;$G$3,Vendas!$E$8:$E$2008,"&lt;=28/02/"&amp;$G$3,Vendas!$C$8:$C$2008,"Entregue")+SUMIFS(Vendas!$P$8:$P$2008,Vendas!$M$8:$M$2008,$B36,Vendas!$E$8:$E$2008,"&gt;=01/02/"&amp;$G$3,Vendas!$E$8:$E$2008,"&lt;=28/02/"&amp;$G$3,Vendas!$C$8:$C$2008,"Entregue")+SUMIFS(Vendas!$U$8:$U$2008,Vendas!$R$8:$R$2008,$B36,Vendas!$E$8:$E$2008,"&gt;=01/02/"&amp;$G$3,Vendas!$E$8:$E$2008,"&lt;=28/02/"&amp;$G$3,Vendas!$C$8:$C$2008,"Entregue")+SUMIFS(Vendas!$Z$8:$Z$2008,Vendas!$W$8:$W$2008,$B36,Vendas!$E$8:$E$2008,"&gt;=01/02/"&amp;$G$3,Vendas!$E$8:$E$2008,"&lt;=28/02/"&amp;$G$3,Vendas!$C$8:$C$2008,"Entregue")+SUMIFS(Vendas!$AE$8:$AE$2008,Vendas!$AB$8:$AB$2008,$B36,Vendas!$E$8:$E$2008,"&gt;=01/02/"&amp;$G$3,Vendas!$E$8:$E$2008,"&lt;=28/02/"&amp;$G$3,Vendas!$C$8:$C$2008,"Entregue")+SUMIFS(Vendas!$AJ$8:$AJ$2008,Vendas!$AG$8:$AG$2008,$B36,Vendas!$E$8:$E$2008,"&gt;=01/02/"&amp;$G$3,Vendas!$E$8:$E$2008,"&lt;=28/02/"&amp;$G$3,Vendas!$C$8:$C$2008,"Entregue")+SUMIFS(Vendas!$AO$8:$AO$2008,Vendas!$AL$8:$AL$2008,$B36,Vendas!$E$8:$E$2008,"&gt;=01/02/"&amp;$G$3,Vendas!$E$8:$E$2008,"&lt;=28/02/"&amp;$G$3,Vendas!$C$8:$C$2008,"Entregue")+SUMIFS(Vendas!$AT$8:$AT$2008,Vendas!$AQ$8:$AQ$2008,$B36,Vendas!$E$8:$E$2008,"&gt;=01/02/"&amp;$G$3,Vendas!$E$8:$E$2008,"&lt;=28/02/"&amp;$G$3,Vendas!$C$8:$C$2008,"Entregue")</f>
        <v>0</v>
      </c>
      <c r="G36" s="162">
        <f>SUMIFS(Vendas!$K$8:$K$2008,Vendas!$H$8:$H$2008,$B36,Vendas!$E$8:$E$2008,"&gt;=01/03/"&amp;$G$3,Vendas!$E$8:$E$2008,"&lt;=31/03/"&amp;$G$3)+SUMIFS(Vendas!$P$8:$P$2008,Vendas!$M$8:$M$2008,$B36,Vendas!$E$8:$E$2008,"&gt;=01/03/"&amp;$G$3,Vendas!$E$8:$E$2008,"&lt;=31/03/"&amp;$G$3)+SUMIFS(Vendas!$U$8:$U$2008,Vendas!$R$8:$R$2008,$B36,Vendas!$E$8:$E$2008,"&gt;=01/03/"&amp;$G$3,Vendas!$E$8:$E$2008,"&lt;=31/03/"&amp;$G$3)+SUMIFS(Vendas!$Z$8:$Z$2008,Vendas!$W$8:$W$2008,$B36,Vendas!$E$8:$E$2008,"&gt;=01/03/"&amp;$G$3,Vendas!$E$8:$E$2008,"&lt;=31/03/"&amp;$G$3)+SUMIFS(Vendas!$AE$8:$AE$2008,Vendas!$AB$8:$AB$2008,$B36,Vendas!$E$8:$E$2008,"&gt;=01/03/"&amp;$G$3,Vendas!$E$8:$E$2008,"&lt;=31/03/"&amp;$G$3)+SUMIFS(Vendas!$AJ$8:$AJ$2008,Vendas!$AG$8:$AG$2008,$B36,Vendas!$E$8:$E$2008,"&gt;=01/03/"&amp;$G$3,Vendas!$E$8:$E$2008,"&lt;=31/03/"&amp;$G$3)+SUMIFS(Vendas!$AO$8:$AO$2008,Vendas!$AL$8:$AL$2008,$B36,Vendas!$E$8:$E$2008,"&gt;=01/03/"&amp;$G$3,Vendas!$E$8:$E$2008,"&lt;=31/03/"&amp;$G$3)+SUMIFS(Vendas!$AT$8:$AT$2008,Vendas!$AQ$8:$AQ$2008,$B36,Vendas!$E$8:$E$2008,"&gt;=01/03/"&amp;$G$3,Vendas!$E$8:$E$2008,"&lt;=31/03/"&amp;$G$3)</f>
        <v>0</v>
      </c>
      <c r="H36" s="162">
        <f>SUMIFS(Vendas!$K$8:$K$2008,Vendas!$H$8:$H$2008,$B36,Vendas!$E$8:$E$2008,"&gt;=01/03/"&amp;$G$3,Vendas!$E$8:$E$2008,"&lt;=31/03/"&amp;$G$3,Vendas!$C$8:$C$2008,"Entregue")+SUMIFS(Vendas!$P$8:$P$2008,Vendas!$M$8:$M$2008,$B36,Vendas!$E$8:$E$2008,"&gt;=01/03/"&amp;$G$3,Vendas!$E$8:$E$2008,"&lt;=31/03/"&amp;$G$3,Vendas!$C$8:$C$2008,"Entregue")+SUMIFS(Vendas!$U$8:$U$2008,Vendas!$R$8:$R$2008,$B36,Vendas!$E$8:$E$2008,"&gt;=01/03/"&amp;$G$3,Vendas!$E$8:$E$2008,"&lt;=31/03/"&amp;$G$3,Vendas!$C$8:$C$2008,"Entregue")+SUMIFS(Vendas!$Z$8:$Z$2008,Vendas!$W$8:$W$2008,$B36,Vendas!$E$8:$E$2008,"&gt;=01/03/"&amp;$G$3,Vendas!$E$8:$E$2008,"&lt;=31/03/"&amp;$G$3,Vendas!$C$8:$C$2008,"Entregue")+SUMIFS(Vendas!$AE$8:$AE$2008,Vendas!$AB$8:$AB$2008,$B36,Vendas!$E$8:$E$2008,"&gt;=01/03/"&amp;$G$3,Vendas!$E$8:$E$2008,"&lt;=31/03/"&amp;$G$3,Vendas!$C$8:$C$2008,"Entregue")+SUMIFS(Vendas!$AJ$8:$AJ$2008,Vendas!$AG$8:$AG$2008,$B36,Vendas!$E$8:$E$2008,"&gt;=01/03/"&amp;$G$3,Vendas!$E$8:$E$2008,"&lt;=31/03/"&amp;$G$3,Vendas!$C$8:$C$2008,"Entregue")+SUMIFS(Vendas!$AO$8:$AO$2008,Vendas!$AL$8:$AL$2008,$B36,Vendas!$E$8:$E$2008,"&gt;=01/03/"&amp;$G$3,Vendas!$E$8:$E$2008,"&lt;=31/03/"&amp;$G$3,Vendas!$C$8:$C$2008,"Entregue")+SUMIFS(Vendas!$AT$8:$AT$2008,Vendas!$AQ$8:$AQ$2008,$B36,Vendas!$E$8:$E$2008,"&gt;=01/03/"&amp;$G$3,Vendas!$E$8:$E$2008,"&lt;=31/03/"&amp;$G$3,Vendas!$C$8:$C$2008,"Entregue")</f>
        <v>0</v>
      </c>
      <c r="I36" s="162">
        <f>SUMIFS(Vendas!$K$8:$K$2008,Vendas!$H$8:$H$2008,$B36,Vendas!$E$8:$E$2008,"&gt;=01/04/"&amp;$G$3,Vendas!$E$8:$E$2008,"&lt;=30/04/"&amp;$G$3)+SUMIFS(Vendas!$P$8:$P$2008,Vendas!$M$8:$M$2008,$B36,Vendas!$E$8:$E$2008,"&gt;=01/04/"&amp;$G$3,Vendas!$E$8:$E$2008,"&lt;=30/04/"&amp;$G$3)+SUMIFS(Vendas!$U$8:$U$2008,Vendas!$R$8:$R$2008,$B36,Vendas!$E$8:$E$2008,"&gt;=01/04/"&amp;$G$3,Vendas!$E$8:$E$2008,"&lt;=30/04/"&amp;$G$3)+SUMIFS(Vendas!$Z$8:$Z$2008,Vendas!$W$8:$W$2008,$B36,Vendas!$E$8:$E$2008,"&gt;=01/04/"&amp;$G$3,Vendas!$E$8:$E$2008,"&lt;=30/04/"&amp;$G$3)+SUMIFS(Vendas!$AE$8:$AE$2008,Vendas!$AB$8:$AB$2008,$B36,Vendas!$E$8:$E$2008,"&gt;=01/04/"&amp;$G$3,Vendas!$E$8:$E$2008,"&lt;=30/04/"&amp;$G$3)+SUMIFS(Vendas!$AJ$8:$AJ$2008,Vendas!$AG$8:$AG$2008,$B36,Vendas!$E$8:$E$2008,"&gt;=01/04/"&amp;$G$3,Vendas!$E$8:$E$2008,"&lt;=30/04/"&amp;$G$3)+SUMIFS(Vendas!$AO$8:$AO$2008,Vendas!$AL$8:$AL$2008,$B36,Vendas!$E$8:$E$2008,"&gt;=01/04/"&amp;$G$3,Vendas!$E$8:$E$2008,"&lt;=30/04/"&amp;$G$3)+SUMIFS(Vendas!$AT$8:$AT$2008,Vendas!$AQ$8:$AQ$2008,$B36,Vendas!$E$8:$E$2008,"&gt;=01/04/"&amp;$G$3,Vendas!$E$8:$E$2008,"&lt;=30/04/"&amp;$G$3)</f>
        <v>0</v>
      </c>
      <c r="J36" s="162">
        <f>SUMIFS(Vendas!$K$8:$K$2008,Vendas!$H$8:$H$2008,$B36,Vendas!$E$8:$E$2008,"&gt;=01/04/"&amp;$G$3,Vendas!$E$8:$E$2008,"&lt;=30/04/"&amp;$G$3,Vendas!$C$8:$C$2008,"Entregue")+SUMIFS(Vendas!$P$8:$P$2008,Vendas!$M$8:$M$2008,$B36,Vendas!$E$8:$E$2008,"&gt;=01/04/"&amp;$G$3,Vendas!$E$8:$E$2008,"&lt;=30/04/"&amp;$G$3,Vendas!$C$8:$C$2008,"Entregue")+SUMIFS(Vendas!$U$8:$U$2008,Vendas!$R$8:$R$2008,$B36,Vendas!$E$8:$E$2008,"&gt;=01/04/"&amp;$G$3,Vendas!$E$8:$E$2008,"&lt;=30/04/"&amp;$G$3,Vendas!$C$8:$C$2008,"Entregue")+SUMIFS(Vendas!$Z$8:$Z$2008,Vendas!$W$8:$W$2008,$B36,Vendas!$E$8:$E$2008,"&gt;=01/04/"&amp;$G$3,Vendas!$E$8:$E$2008,"&lt;=30/04/"&amp;$G$3,Vendas!$C$8:$C$2008,"Entregue")+SUMIFS(Vendas!$AE$8:$AE$2008,Vendas!$AB$8:$AB$2008,$B36,Vendas!$E$8:$E$2008,"&gt;=01/04/"&amp;$G$3,Vendas!$E$8:$E$2008,"&lt;=30/04/"&amp;$G$3,Vendas!$C$8:$C$2008,"Entregue")+SUMIFS(Vendas!$AJ$8:$AJ$2008,Vendas!$AG$8:$AG$2008,$B36,Vendas!$E$8:$E$2008,"&gt;=01/04/"&amp;$G$3,Vendas!$E$8:$E$2008,"&lt;=30/04/"&amp;$G$3,Vendas!$C$8:$C$2008,"Entregue")+SUMIFS(Vendas!$AO$8:$AO$2008,Vendas!$AL$8:$AL$2008,$B36,Vendas!$E$8:$E$2008,"&gt;=01/04/"&amp;$G$3,Vendas!$E$8:$E$2008,"&lt;=30/04/"&amp;$G$3,Vendas!$C$8:$C$2008,"Entregue")+SUMIFS(Vendas!$AT$8:$AT$2008,Vendas!$AQ$8:$AQ$2008,$B36,Vendas!$E$8:$E$2008,"&gt;=01/04/"&amp;$G$3,Vendas!$E$8:$E$2008,"&lt;=30/04/"&amp;$G$3,Vendas!$C$8:$C$2008,"Entregue")</f>
        <v>0</v>
      </c>
      <c r="K36" s="162">
        <f>SUMIFS(Vendas!$K$8:$K$2008,Vendas!$H$8:$H$2008,$B36,Vendas!$E$8:$E$2008,"&gt;=01/05/"&amp;$G$3,Vendas!$E$8:$E$2008,"&lt;=31/05/"&amp;$G$3)+SUMIFS(Vendas!$P$8:$P$2008,Vendas!$M$8:$M$2008,$B36,Vendas!$E$8:$E$2008,"&gt;=01/05/"&amp;$G$3,Vendas!$E$8:$E$2008,"&lt;=31/05/"&amp;$G$3)+SUMIFS(Vendas!$U$8:$U$2008,Vendas!$R$8:$R$2008,$B36,Vendas!$E$8:$E$2008,"&gt;=01/05/"&amp;$G$3,Vendas!$E$8:$E$2008,"&lt;=31/05/"&amp;$G$3)+SUMIFS(Vendas!$Z$8:$Z$2008,Vendas!$W$8:$W$2008,$B36,Vendas!$E$8:$E$2008,"&gt;=01/05/"&amp;$G$3,Vendas!$E$8:$E$2008,"&lt;=31/05/"&amp;$G$3)+SUMIFS(Vendas!$AE$8:$AE$2008,Vendas!$AB$8:$AB$2008,$B36,Vendas!$E$8:$E$2008,"&gt;=01/05/"&amp;$G$3,Vendas!$E$8:$E$2008,"&lt;=31/05/"&amp;$G$3)+SUMIFS(Vendas!$AJ$8:$AJ$2008,Vendas!$AG$8:$AG$2008,$B36,Vendas!$E$8:$E$2008,"&gt;=01/05/"&amp;$G$3,Vendas!$E$8:$E$2008,"&lt;=31/05/"&amp;$G$3)+SUMIFS(Vendas!$AO$8:$AO$2008,Vendas!$AL$8:$AL$2008,$B36,Vendas!$E$8:$E$2008,"&gt;=01/05/"&amp;$G$3,Vendas!$E$8:$E$2008,"&lt;=31/05/"&amp;$G$3)+SUMIFS(Vendas!$AT$8:$AT$2008,Vendas!$AQ$8:$AQ$2008,$B36,Vendas!$E$8:$E$2008,"&gt;=01/05/"&amp;$G$3,Vendas!$E$8:$E$2008,"&lt;=31/05/"&amp;$G$3)</f>
        <v>0</v>
      </c>
      <c r="L36" s="162">
        <f>SUMIFS(Vendas!$K$8:$K$2008,Vendas!$H$8:$H$2008,$B36,Vendas!$E$8:$E$2008,"&gt;=01/05/"&amp;$G$3,Vendas!$E$8:$E$2008,"&lt;=31/05/"&amp;$G$3,Vendas!$C$8:$C$2008,"Entregue")+SUMIFS(Vendas!$P$8:$P$2008,Vendas!$M$8:$M$2008,$B36,Vendas!$E$8:$E$2008,"&gt;=01/05/"&amp;$G$3,Vendas!$E$8:$E$2008,"&lt;=31/05/"&amp;$G$3,Vendas!$C$8:$C$2008,"Entregue")+SUMIFS(Vendas!$U$8:$U$2008,Vendas!$R$8:$R$2008,$B36,Vendas!$E$8:$E$2008,"&gt;=01/05/"&amp;$G$3,Vendas!$E$8:$E$2008,"&lt;=31/05/"&amp;$G$3,Vendas!$C$8:$C$2008,"Entregue")+SUMIFS(Vendas!$Z$8:$Z$2008,Vendas!$W$8:$W$2008,$B36,Vendas!$E$8:$E$2008,"&gt;=01/05/"&amp;$G$3,Vendas!$E$8:$E$2008,"&lt;=31/05/"&amp;$G$3,Vendas!$C$8:$C$2008,"Entregue")+SUMIFS(Vendas!$AE$8:$AE$2008,Vendas!$AB$8:$AB$2008,$B36,Vendas!$E$8:$E$2008,"&gt;=01/05/"&amp;$G$3,Vendas!$E$8:$E$2008,"&lt;=31/05/"&amp;$G$3,Vendas!$C$8:$C$2008,"Entregue")+SUMIFS(Vendas!$AJ$8:$AJ$2008,Vendas!$AG$8:$AG$2008,$B36,Vendas!$E$8:$E$2008,"&gt;=01/05/"&amp;$G$3,Vendas!$E$8:$E$2008,"&lt;=31/05/"&amp;$G$3,Vendas!$C$8:$C$2008,"Entregue")+SUMIFS(Vendas!$AO$8:$AO$2008,Vendas!$AL$8:$AL$2008,$B36,Vendas!$E$8:$E$2008,"&gt;=01/05/"&amp;$G$3,Vendas!$E$8:$E$2008,"&lt;=31/05/"&amp;$G$3,Vendas!$C$8:$C$2008,"Entregue")+SUMIFS(Vendas!$AT$8:$AT$2008,Vendas!$AQ$8:$AQ$2008,$B36,Vendas!$E$8:$E$2008,"&gt;=01/05/"&amp;$G$3,Vendas!$E$8:$E$2008,"&lt;=31/05/"&amp;$G$3,Vendas!$C$8:$C$2008,"Entregue")</f>
        <v>0</v>
      </c>
      <c r="M36" s="162">
        <f>SUMIFS(Vendas!$K$8:$K$2008,Vendas!$H$8:$H$2008,$B36,Vendas!$E$8:$E$2008,"&gt;=01/06/"&amp;$G$3,Vendas!$E$8:$E$2008,"&lt;=30/06/"&amp;$G$3)+SUMIFS(Vendas!$P$8:$P$2008,Vendas!$M$8:$M$2008,$B36,Vendas!$E$8:$E$2008,"&gt;=01/06/"&amp;$G$3,Vendas!$E$8:$E$2008,"&lt;=30/06/"&amp;$G$3)+SUMIFS(Vendas!$U$8:$U$2008,Vendas!$R$8:$R$2008,$B36,Vendas!$E$8:$E$2008,"&gt;=01/06/"&amp;$G$3,Vendas!$E$8:$E$2008,"&lt;=30/06/"&amp;$G$3)+SUMIFS(Vendas!$Z$8:$Z$2008,Vendas!$W$8:$W$2008,$B36,Vendas!$E$8:$E$2008,"&gt;=01/06/"&amp;$G$3,Vendas!$E$8:$E$2008,"&lt;=30/06/"&amp;$G$3)+SUMIFS(Vendas!$AE$8:$AE$2008,Vendas!$AB$8:$AB$2008,$B36,Vendas!$E$8:$E$2008,"&gt;=01/06/"&amp;$G$3,Vendas!$E$8:$E$2008,"&lt;=30/06/"&amp;$G$3)+SUMIFS(Vendas!$AJ$8:$AJ$2008,Vendas!$AG$8:$AG$2008,$B36,Vendas!$E$8:$E$2008,"&gt;=01/06/"&amp;$G$3,Vendas!$E$8:$E$2008,"&lt;=30/06/"&amp;$G$3)+SUMIFS(Vendas!$AO$8:$AO$2008,Vendas!$AL$8:$AL$2008,$B36,Vendas!$E$8:$E$2008,"&gt;=01/06/"&amp;$G$3,Vendas!$E$8:$E$2008,"&lt;=30/06/"&amp;$G$3)+SUMIFS(Vendas!$AT$8:$AT$2008,Vendas!$AQ$8:$AQ$2008,$B36,Vendas!$E$8:$E$2008,"&gt;=01/06/"&amp;$G$3,Vendas!$E$8:$E$2008,"&lt;=30/06/"&amp;$G$3)</f>
        <v>0</v>
      </c>
      <c r="N36" s="162">
        <f>SUMIFS(Vendas!$K$8:$K$2008,Vendas!$H$8:$H$2008,$B36,Vendas!$E$8:$E$2008,"&gt;=01/06/"&amp;$G$3,Vendas!$E$8:$E$2008,"&lt;=30/06/"&amp;$G$3,Vendas!$C$8:$C$2008,"Entregue")+SUMIFS(Vendas!$P$8:$P$2008,Vendas!$M$8:$M$2008,$B36,Vendas!$E$8:$E$2008,"&gt;=01/06/"&amp;$G$3,Vendas!$E$8:$E$2008,"&lt;=30/06/"&amp;$G$3,Vendas!$C$8:$C$2008,"Entregue")+SUMIFS(Vendas!$U$8:$U$2008,Vendas!$R$8:$R$2008,$B36,Vendas!$E$8:$E$2008,"&gt;=01/06/"&amp;$G$3,Vendas!$E$8:$E$2008,"&lt;=30/06/"&amp;$G$3,Vendas!$C$8:$C$2008,"Entregue")+SUMIFS(Vendas!$Z$8:$Z$2008,Vendas!$W$8:$W$2008,$B36,Vendas!$E$8:$E$2008,"&gt;=01/06/"&amp;$G$3,Vendas!$E$8:$E$2008,"&lt;=30/06/"&amp;$G$3,Vendas!$C$8:$C$2008,"Entregue")+SUMIFS(Vendas!$AE$8:$AE$2008,Vendas!$AB$8:$AB$2008,$B36,Vendas!$E$8:$E$2008,"&gt;=01/06/"&amp;$G$3,Vendas!$E$8:$E$2008,"&lt;=30/06/"&amp;$G$3,Vendas!$C$8:$C$2008,"Entregue")+SUMIFS(Vendas!$AJ$8:$AJ$2008,Vendas!$AG$8:$AG$2008,$B36,Vendas!$E$8:$E$2008,"&gt;=01/06/"&amp;$G$3,Vendas!$E$8:$E$2008,"&lt;=30/06/"&amp;$G$3,Vendas!$C$8:$C$2008,"Entregue")+SUMIFS(Vendas!$AO$8:$AO$2008,Vendas!$AL$8:$AL$2008,$B36,Vendas!$E$8:$E$2008,"&gt;=01/06/"&amp;$G$3,Vendas!$E$8:$E$2008,"&lt;=30/06/"&amp;$G$3,Vendas!$C$8:$C$2008,"Entregue")+SUMIFS(Vendas!$AT$8:$AT$2008,Vendas!$AQ$8:$AQ$2008,$B36,Vendas!$E$8:$E$2008,"&gt;=01/06/"&amp;$G$3,Vendas!$E$8:$E$2008,"&lt;=30/06/"&amp;$G$3,Vendas!$C$8:$C$2008,"Entregue")</f>
        <v>0</v>
      </c>
      <c r="O36" s="162">
        <f>SUMIFS(Vendas!$K$8:$K$2008,Vendas!$H$8:$H$2008,$B36,Vendas!$E$8:$E$2008,"&gt;=01/07/"&amp;$G$3,Vendas!$E$8:$E$2008,"&lt;=31/07/"&amp;$G$3)+SUMIFS(Vendas!$P$8:$P$2008,Vendas!$M$8:$M$2008,$B36,Vendas!$E$8:$E$2008,"&gt;=01/07/"&amp;$G$3,Vendas!$E$8:$E$2008,"&lt;=31/07/"&amp;$G$3)+SUMIFS(Vendas!$U$8:$U$2008,Vendas!$R$8:$R$2008,$B36,Vendas!$E$8:$E$2008,"&gt;=01/07/"&amp;$G$3,Vendas!$E$8:$E$2008,"&lt;=31/07/"&amp;$G$3)+SUMIFS(Vendas!$Z$8:$Z$2008,Vendas!$W$8:$W$2008,$B36,Vendas!$E$8:$E$2008,"&gt;=01/07/"&amp;$G$3,Vendas!$E$8:$E$2008,"&lt;=31/07/"&amp;$G$3)+SUMIFS(Vendas!$AE$8:$AE$2008,Vendas!$AB$8:$AB$2008,$B36,Vendas!$E$8:$E$2008,"&gt;=01/07/"&amp;$G$3,Vendas!$E$8:$E$2008,"&lt;=31/07/"&amp;$G$3)+SUMIFS(Vendas!$AJ$8:$AJ$2008,Vendas!$AG$8:$AG$2008,$B36,Vendas!$E$8:$E$2008,"&gt;=01/07/"&amp;$G$3,Vendas!$E$8:$E$2008,"&lt;=31/07/"&amp;$G$3)+SUMIFS(Vendas!$AO$8:$AO$2008,Vendas!$AL$8:$AL$2008,$B36,Vendas!$E$8:$E$2008,"&gt;=01/07/"&amp;$G$3,Vendas!$E$8:$E$2008,"&lt;=31/07/"&amp;$G$3)+SUMIFS(Vendas!$AT$8:$AT$2008,Vendas!$AQ$8:$AQ$2008,$B36,Vendas!$E$8:$E$2008,"&gt;=01/07/"&amp;$G$3,Vendas!$E$8:$E$2008,"&lt;=31/07/"&amp;$G$3)</f>
        <v>0</v>
      </c>
      <c r="P36" s="162">
        <f>SUMIFS(Vendas!$K$8:$K$2008,Vendas!$H$8:$H$2008,$B36,Vendas!$E$8:$E$2008,"&gt;=01/07/"&amp;$G$3,Vendas!$E$8:$E$2008,"&lt;=31/07/"&amp;$G$3,Vendas!$C$8:$C$2008,"Entregue")+SUMIFS(Vendas!$P$8:$P$2008,Vendas!$M$8:$M$2008,$B36,Vendas!$E$8:$E$2008,"&gt;=01/07/"&amp;$G$3,Vendas!$E$8:$E$2008,"&lt;=31/07/"&amp;$G$3,Vendas!$C$8:$C$2008,"Entregue")+SUMIFS(Vendas!$U$8:$U$2008,Vendas!$R$8:$R$2008,$B36,Vendas!$E$8:$E$2008,"&gt;=01/07/"&amp;$G$3,Vendas!$E$8:$E$2008,"&lt;=31/07/"&amp;$G$3,Vendas!$C$8:$C$2008,"Entregue")+SUMIFS(Vendas!$Z$8:$Z$2008,Vendas!$W$8:$W$2008,$B36,Vendas!$E$8:$E$2008,"&gt;=01/07/"&amp;$G$3,Vendas!$E$8:$E$2008,"&lt;=31/07/"&amp;$G$3,Vendas!$C$8:$C$2008,"Entregue")+SUMIFS(Vendas!$AE$8:$AE$2008,Vendas!$AB$8:$AB$2008,$B36,Vendas!$E$8:$E$2008,"&gt;=01/07/"&amp;$G$3,Vendas!$E$8:$E$2008,"&lt;=31/07/"&amp;$G$3,Vendas!$C$8:$C$2008,"Entregue")+SUMIFS(Vendas!$AJ$8:$AJ$2008,Vendas!$AG$8:$AG$2008,$B36,Vendas!$E$8:$E$2008,"&gt;=01/07/"&amp;$G$3,Vendas!$E$8:$E$2008,"&lt;=31/07/"&amp;$G$3,Vendas!$C$8:$C$2008,"Entregue")+SUMIFS(Vendas!$AO$8:$AO$2008,Vendas!$AL$8:$AL$2008,$B36,Vendas!$E$8:$E$2008,"&gt;=01/07/"&amp;$G$3,Vendas!$E$8:$E$2008,"&lt;=31/07/"&amp;$G$3,Vendas!$C$8:$C$2008,"Entregue")+SUMIFS(Vendas!$AT$8:$AT$2008,Vendas!$AQ$8:$AQ$2008,$B36,Vendas!$E$8:$E$2008,"&gt;=01/07/"&amp;$G$3,Vendas!$E$8:$E$2008,"&lt;=31/07/"&amp;$G$3,Vendas!$C$8:$C$2008,"Entregue")</f>
        <v>0</v>
      </c>
      <c r="Q36" s="162">
        <f>SUMIFS(Vendas!$K$8:$K$2008,Vendas!$H$8:$H$2008,$B36,Vendas!$E$8:$E$2008,"&gt;=01/08/"&amp;$G$3,Vendas!$E$8:$E$2008,"&lt;=31/08/"&amp;$G$3)+SUMIFS(Vendas!$P$8:$P$2008,Vendas!$M$8:$M$2008,$B36,Vendas!$E$8:$E$2008,"&gt;=01/08/"&amp;$G$3,Vendas!$E$8:$E$2008,"&lt;=31/08/"&amp;$G$3)+SUMIFS(Vendas!$U$8:$U$2008,Vendas!$R$8:$R$2008,$B36,Vendas!$E$8:$E$2008,"&gt;=01/08/"&amp;$G$3,Vendas!$E$8:$E$2008,"&lt;=31/08/"&amp;$G$3)+SUMIFS(Vendas!$Z$8:$Z$2008,Vendas!$W$8:$W$2008,$B36,Vendas!$E$8:$E$2008,"&gt;=01/08/"&amp;$G$3,Vendas!$E$8:$E$2008,"&lt;=31/08/"&amp;$G$3)+SUMIFS(Vendas!$AE$8:$AE$2008,Vendas!$AB$8:$AB$2008,$B36,Vendas!$E$8:$E$2008,"&gt;=01/08/"&amp;$G$3,Vendas!$E$8:$E$2008,"&lt;=31/08/"&amp;$G$3)+SUMIFS(Vendas!$AJ$8:$AJ$2008,Vendas!$AG$8:$AG$2008,$B36,Vendas!$E$8:$E$2008,"&gt;=01/08/"&amp;$G$3,Vendas!$E$8:$E$2008,"&lt;=31/08/"&amp;$G$3)+SUMIFS(Vendas!$AO$8:$AO$2008,Vendas!$AL$8:$AL$2008,$B36,Vendas!$E$8:$E$2008,"&gt;=01/08/"&amp;$G$3,Vendas!$E$8:$E$2008,"&lt;=31/08/"&amp;$G$3)+SUMIFS(Vendas!$AT$8:$AT$2008,Vendas!$AQ$8:$AQ$2008,$B36,Vendas!$E$8:$E$2008,"&gt;=01/08/"&amp;$G$3,Vendas!$E$8:$E$2008,"&lt;=31/08/"&amp;$G$3)</f>
        <v>0</v>
      </c>
      <c r="R36" s="162">
        <f>SUMIFS(Vendas!$K$8:$K$2008,Vendas!$H$8:$H$2008,$B36,Vendas!$E$8:$E$2008,"&gt;=01/08/"&amp;$G$3,Vendas!$E$8:$E$2008,"&lt;=31/08/"&amp;$G$3,Vendas!$C$8:$C$2008,"Entregue")+SUMIFS(Vendas!$P$8:$P$2008,Vendas!$M$8:$M$2008,$B36,Vendas!$E$8:$E$2008,"&gt;=01/08/"&amp;$G$3,Vendas!$E$8:$E$2008,"&lt;=31/08/"&amp;$G$3,Vendas!$C$8:$C$2008,"Entregue")+SUMIFS(Vendas!$U$8:$U$2008,Vendas!$R$8:$R$2008,$B36,Vendas!$E$8:$E$2008,"&gt;=01/08/"&amp;$G$3,Vendas!$E$8:$E$2008,"&lt;=31/08/"&amp;$G$3,Vendas!$C$8:$C$2008,"Entregue")+SUMIFS(Vendas!$Z$8:$Z$2008,Vendas!$W$8:$W$2008,$B36,Vendas!$E$8:$E$2008,"&gt;=01/08/"&amp;$G$3,Vendas!$E$8:$E$2008,"&lt;=31/08/"&amp;$G$3,Vendas!$C$8:$C$2008,"Entregue")+SUMIFS(Vendas!$AE$8:$AE$2008,Vendas!$AB$8:$AB$2008,$B36,Vendas!$E$8:$E$2008,"&gt;=01/08/"&amp;$G$3,Vendas!$E$8:$E$2008,"&lt;=31/08/"&amp;$G$3,Vendas!$C$8:$C$2008,"Entregue")+SUMIFS(Vendas!$AJ$8:$AJ$2008,Vendas!$AG$8:$AG$2008,$B36,Vendas!$E$8:$E$2008,"&gt;=01/08/"&amp;$G$3,Vendas!$E$8:$E$2008,"&lt;=31/08/"&amp;$G$3,Vendas!$C$8:$C$2008,"Entregue")+SUMIFS(Vendas!$AO$8:$AO$2008,Vendas!$AL$8:$AL$2008,$B36,Vendas!$E$8:$E$2008,"&gt;=01/08/"&amp;$G$3,Vendas!$E$8:$E$2008,"&lt;=31/08/"&amp;$G$3,Vendas!$C$8:$C$2008,"Entregue")+SUMIFS(Vendas!$AT$8:$AT$2008,Vendas!$AQ$8:$AQ$2008,$B36,Vendas!$E$8:$E$2008,"&gt;=01/08/"&amp;$G$3,Vendas!$E$8:$E$2008,"&lt;=31/08/"&amp;$G$3,Vendas!$C$8:$C$2008,"Entregue")</f>
        <v>0</v>
      </c>
      <c r="S36" s="162">
        <f>SUMIFS(Vendas!$K$8:$K$2008,Vendas!$H$8:$H$2008,$B36,Vendas!$E$8:$E$2008,"&gt;=01/09/"&amp;$G$3,Vendas!$E$8:$E$2008,"&lt;=30/09/"&amp;$G$3)+SUMIFS(Vendas!$P$8:$P$2008,Vendas!$M$8:$M$2008,$B36,Vendas!$E$8:$E$2008,"&gt;=01/09/"&amp;$G$3,Vendas!$E$8:$E$2008,"&lt;=30/09/"&amp;$G$3)+SUMIFS(Vendas!$U$8:$U$2008,Vendas!$R$8:$R$2008,$B36,Vendas!$E$8:$E$2008,"&gt;=01/09/"&amp;$G$3,Vendas!$E$8:$E$2008,"&lt;=30/09/"&amp;$G$3)+SUMIFS(Vendas!$Z$8:$Z$2008,Vendas!$W$8:$W$2008,$B36,Vendas!$E$8:$E$2008,"&gt;=01/09/"&amp;$G$3,Vendas!$E$8:$E$2008,"&lt;=30/09/"&amp;$G$3)+SUMIFS(Vendas!$AE$8:$AE$2008,Vendas!$AB$8:$AB$2008,$B36,Vendas!$E$8:$E$2008,"&gt;=01/09/"&amp;$G$3,Vendas!$E$8:$E$2008,"&lt;=30/09/"&amp;$G$3)+SUMIFS(Vendas!$AJ$8:$AJ$2008,Vendas!$AG$8:$AG$2008,$B36,Vendas!$E$8:$E$2008,"&gt;=01/09/"&amp;$G$3,Vendas!$E$8:$E$2008,"&lt;=30/09/"&amp;$G$3)+SUMIFS(Vendas!$AO$8:$AO$2008,Vendas!$AL$8:$AL$2008,$B36,Vendas!$E$8:$E$2008,"&gt;=01/09/"&amp;$G$3,Vendas!$E$8:$E$2008,"&lt;=30/09/"&amp;$G$3)+SUMIFS(Vendas!$AT$8:$AT$2008,Vendas!$AQ$8:$AQ$2008,$B36,Vendas!$E$8:$E$2008,"&gt;=01/09/"&amp;$G$3,Vendas!$E$8:$E$2008,"&lt;=30/09/"&amp;$G$3)</f>
        <v>0</v>
      </c>
      <c r="T36" s="162">
        <f>SUMIFS(Vendas!$K$8:$K$2008,Vendas!$H$8:$H$2008,$B36,Vendas!$E$8:$E$2008,"&gt;=01/09/"&amp;$G$3,Vendas!$E$8:$E$2008,"&lt;=30/09/"&amp;$G$3,Vendas!$C$8:$C$2008,"Entregue")+SUMIFS(Vendas!$P$8:$P$2008,Vendas!$M$8:$M$2008,$B36,Vendas!$E$8:$E$2008,"&gt;=01/09/"&amp;$G$3,Vendas!$E$8:$E$2008,"&lt;=30/09/"&amp;$G$3,Vendas!$C$8:$C$2008,"Entregue")+SUMIFS(Vendas!$U$8:$U$2008,Vendas!$R$8:$R$2008,$B36,Vendas!$E$8:$E$2008,"&gt;=01/09/"&amp;$G$3,Vendas!$E$8:$E$2008,"&lt;=30/09/"&amp;$G$3,Vendas!$C$8:$C$2008,"Entregue")+SUMIFS(Vendas!$Z$8:$Z$2008,Vendas!$W$8:$W$2008,$B36,Vendas!$E$8:$E$2008,"&gt;=01/09/"&amp;$G$3,Vendas!$E$8:$E$2008,"&lt;=30/09/"&amp;$G$3,Vendas!$C$8:$C$2008,"Entregue")+SUMIFS(Vendas!$AE$8:$AE$2008,Vendas!$AB$8:$AB$2008,$B36,Vendas!$E$8:$E$2008,"&gt;=01/09/"&amp;$G$3,Vendas!$E$8:$E$2008,"&lt;=30/09/"&amp;$G$3,Vendas!$C$8:$C$2008,"Entregue")+SUMIFS(Vendas!$AJ$8:$AJ$2008,Vendas!$AG$8:$AG$2008,$B36,Vendas!$E$8:$E$2008,"&gt;=01/09/"&amp;$G$3,Vendas!$E$8:$E$2008,"&lt;=30/09/"&amp;$G$3,Vendas!$C$8:$C$2008,"Entregue")+SUMIFS(Vendas!$AO$8:$AO$2008,Vendas!$AL$8:$AL$2008,$B36,Vendas!$E$8:$E$2008,"&gt;=01/09/"&amp;$G$3,Vendas!$E$8:$E$2008,"&lt;=30/09/"&amp;$G$3,Vendas!$C$8:$C$2008,"Entregue")+SUMIFS(Vendas!$AT$8:$AT$2008,Vendas!$AQ$8:$AQ$2008,$B36,Vendas!$E$8:$E$2008,"&gt;=01/09/"&amp;$G$3,Vendas!$E$8:$E$2008,"&lt;=30/09/"&amp;$G$3,Vendas!$C$8:$C$2008,"Entregue")</f>
        <v>0</v>
      </c>
      <c r="U36" s="162">
        <f>SUMIFS(Vendas!$K$8:$K$2008,Vendas!$H$8:$H$2008,$B36,Vendas!$E$8:$E$2008,"&gt;=01/10/"&amp;$G$3,Vendas!$E$8:$E$2008,"&lt;=31/10/"&amp;$G$3)+SUMIFS(Vendas!$P$8:$P$2008,Vendas!$M$8:$M$2008,$B36,Vendas!$E$8:$E$2008,"&gt;=01/10/"&amp;$G$3,Vendas!$E$8:$E$2008,"&lt;=31/10/"&amp;$G$3)+SUMIFS(Vendas!$U$8:$U$2008,Vendas!$R$8:$R$2008,$B36,Vendas!$E$8:$E$2008,"&gt;=01/10/"&amp;$G$3,Vendas!$E$8:$E$2008,"&lt;=31/10/"&amp;$G$3)+SUMIFS(Vendas!$Z$8:$Z$2008,Vendas!$W$8:$W$2008,$B36,Vendas!$E$8:$E$2008,"&gt;=01/10/"&amp;$G$3,Vendas!$E$8:$E$2008,"&lt;=31/10/"&amp;$G$3)+SUMIFS(Vendas!$AE$8:$AE$2008,Vendas!$AB$8:$AB$2008,$B36,Vendas!$E$8:$E$2008,"&gt;=01/10/"&amp;$G$3,Vendas!$E$8:$E$2008,"&lt;=31/10/"&amp;$G$3)+SUMIFS(Vendas!$AJ$8:$AJ$2008,Vendas!$AG$8:$AG$2008,$B36,Vendas!$E$8:$E$2008,"&gt;=01/10/"&amp;$G$3,Vendas!$E$8:$E$2008,"&lt;=31/10/"&amp;$G$3)+SUMIFS(Vendas!$AO$8:$AO$2008,Vendas!$AL$8:$AL$2008,$B36,Vendas!$E$8:$E$2008,"&gt;=01/10/"&amp;$G$3,Vendas!$E$8:$E$2008,"&lt;=31/10/"&amp;$G$3)+SUMIFS(Vendas!$AT$8:$AT$2008,Vendas!$AQ$8:$AQ$2008,$B36,Vendas!$E$8:$E$2008,"&gt;=01/10/"&amp;$G$3,Vendas!$E$8:$E$2008,"&lt;=31/10/"&amp;$G$3)</f>
        <v>0</v>
      </c>
      <c r="V36" s="162">
        <f>SUMIFS(Vendas!$K$8:$K$2008,Vendas!$H$8:$H$2008,$B36,Vendas!$E$8:$E$2008,"&gt;=01/10/"&amp;$G$3,Vendas!$E$8:$E$2008,"&lt;=31/10/"&amp;$G$3,Vendas!$C$8:$C$2008,"Entregue")+SUMIFS(Vendas!$P$8:$P$2008,Vendas!$M$8:$M$2008,$B36,Vendas!$E$8:$E$2008,"&gt;=01/10/"&amp;$G$3,Vendas!$E$8:$E$2008,"&lt;=31/10/"&amp;$G$3,Vendas!$C$8:$C$2008,"Entregue")+SUMIFS(Vendas!$U$8:$U$2008,Vendas!$R$8:$R$2008,$B36,Vendas!$E$8:$E$2008,"&gt;=01/10/"&amp;$G$3,Vendas!$E$8:$E$2008,"&lt;=31/10/"&amp;$G$3,Vendas!$C$8:$C$2008,"Entregue")+SUMIFS(Vendas!$Z$8:$Z$2008,Vendas!$W$8:$W$2008,$B36,Vendas!$E$8:$E$2008,"&gt;=01/10/"&amp;$G$3,Vendas!$E$8:$E$2008,"&lt;=31/10/"&amp;$G$3,Vendas!$C$8:$C$2008,"Entregue")+SUMIFS(Vendas!$AE$8:$AE$2008,Vendas!$AB$8:$AB$2008,$B36,Vendas!$E$8:$E$2008,"&gt;=01/10/"&amp;$G$3,Vendas!$E$8:$E$2008,"&lt;=31/10/"&amp;$G$3,Vendas!$C$8:$C$2008,"Entregue")+SUMIFS(Vendas!$AJ$8:$AJ$2008,Vendas!$AG$8:$AG$2008,$B36,Vendas!$E$8:$E$2008,"&gt;=01/10/"&amp;$G$3,Vendas!$E$8:$E$2008,"&lt;=31/10/"&amp;$G$3,Vendas!$C$8:$C$2008,"Entregue")+SUMIFS(Vendas!$AO$8:$AO$2008,Vendas!$AL$8:$AL$2008,$B36,Vendas!$E$8:$E$2008,"&gt;=01/10/"&amp;$G$3,Vendas!$E$8:$E$2008,"&lt;=31/10/"&amp;$G$3,Vendas!$C$8:$C$2008,"Entregue")+SUMIFS(Vendas!$AT$8:$AT$2008,Vendas!$AQ$8:$AQ$2008,$B36,Vendas!$E$8:$E$2008,"&gt;=01/10/"&amp;$G$3,Vendas!$E$8:$E$2008,"&lt;=31/10/"&amp;$G$3,Vendas!$C$8:$C$2008,"Entregue")</f>
        <v>0</v>
      </c>
      <c r="W36" s="162">
        <f>SUMIFS(Vendas!$K$8:$K$2008,Vendas!$H$8:$H$2008,$B36,Vendas!$E$8:$E$2008,"&gt;=01/11/"&amp;$G$3,Vendas!$E$8:$E$2008,"&lt;=30/11/"&amp;$G$3)+SUMIFS(Vendas!$P$8:$P$2008,Vendas!$M$8:$M$2008,$B36,Vendas!$E$8:$E$2008,"&gt;=01/11/"&amp;$G$3,Vendas!$E$8:$E$2008,"&lt;=30/11/"&amp;$G$3)+SUMIFS(Vendas!$U$8:$U$2008,Vendas!$R$8:$R$2008,$B36,Vendas!$E$8:$E$2008,"&gt;=01/11/"&amp;$G$3,Vendas!$E$8:$E$2008,"&lt;=30/11/"&amp;$G$3)+SUMIFS(Vendas!$Z$8:$Z$2008,Vendas!$W$8:$W$2008,$B36,Vendas!$E$8:$E$2008,"&gt;=01/11/"&amp;$G$3,Vendas!$E$8:$E$2008,"&lt;=30/11/"&amp;$G$3)+SUMIFS(Vendas!$AE$8:$AE$2008,Vendas!$AB$8:$AB$2008,$B36,Vendas!$E$8:$E$2008,"&gt;=01/11/"&amp;$G$3,Vendas!$E$8:$E$2008,"&lt;=30/11/"&amp;$G$3)+SUMIFS(Vendas!$AJ$8:$AJ$2008,Vendas!$AG$8:$AG$2008,$B36,Vendas!$E$8:$E$2008,"&gt;=01/11/"&amp;$G$3,Vendas!$E$8:$E$2008,"&lt;=30/11/"&amp;$G$3)+SUMIFS(Vendas!$AO$8:$AO$2008,Vendas!$AL$8:$AL$2008,$B36,Vendas!$E$8:$E$2008,"&gt;=01/11/"&amp;$G$3,Vendas!$E$8:$E$2008,"&lt;=30/11/"&amp;$G$3)+SUMIFS(Vendas!$AT$8:$AT$2008,Vendas!$AQ$8:$AQ$2008,$B36,Vendas!$E$8:$E$2008,"&gt;=01/11/"&amp;$G$3,Vendas!$E$8:$E$2008,"&lt;=30/11/"&amp;$G$3)</f>
        <v>0</v>
      </c>
      <c r="X36" s="162">
        <f>SUMIFS(Vendas!$K$8:$K$2008,Vendas!$H$8:$H$2008,$B36,Vendas!$E$8:$E$2008,"&gt;=01/11/"&amp;$G$3,Vendas!$E$8:$E$2008,"&lt;=30/11/"&amp;$G$3,Vendas!$C$8:$C$2008,"Entregue")+SUMIFS(Vendas!$P$8:$P$2008,Vendas!$M$8:$M$2008,$B36,Vendas!$E$8:$E$2008,"&gt;=01/11/"&amp;$G$3,Vendas!$E$8:$E$2008,"&lt;=30/11/"&amp;$G$3,Vendas!$C$8:$C$2008,"Entregue")+SUMIFS(Vendas!$U$8:$U$2008,Vendas!$R$8:$R$2008,$B36,Vendas!$E$8:$E$2008,"&gt;=01/11/"&amp;$G$3,Vendas!$E$8:$E$2008,"&lt;=30/11/"&amp;$G$3,Vendas!$C$8:$C$2008,"Entregue")+SUMIFS(Vendas!$Z$8:$Z$2008,Vendas!$W$8:$W$2008,$B36,Vendas!$E$8:$E$2008,"&gt;=01/11/"&amp;$G$3,Vendas!$E$8:$E$2008,"&lt;=30/11/"&amp;$G$3,Vendas!$C$8:$C$2008,"Entregue")+SUMIFS(Vendas!$AE$8:$AE$2008,Vendas!$AB$8:$AB$2008,$B36,Vendas!$E$8:$E$2008,"&gt;=01/11/"&amp;$G$3,Vendas!$E$8:$E$2008,"&lt;=30/11/"&amp;$G$3,Vendas!$C$8:$C$2008,"Entregue")+SUMIFS(Vendas!$AJ$8:$AJ$2008,Vendas!$AG$8:$AG$2008,$B36,Vendas!$E$8:$E$2008,"&gt;=01/11/"&amp;$G$3,Vendas!$E$8:$E$2008,"&lt;=30/11/"&amp;$G$3,Vendas!$C$8:$C$2008,"Entregue")+SUMIFS(Vendas!$AO$8:$AO$2008,Vendas!$AL$8:$AL$2008,$B36,Vendas!$E$8:$E$2008,"&gt;=01/11/"&amp;$G$3,Vendas!$E$8:$E$2008,"&lt;=30/11/"&amp;$G$3,Vendas!$C$8:$C$2008,"Entregue")+SUMIFS(Vendas!$AT$8:$AT$2008,Vendas!$AQ$8:$AQ$2008,$B36,Vendas!$E$8:$E$2008,"&gt;=01/11/"&amp;$G$3,Vendas!$E$8:$E$2008,"&lt;=30/11/"&amp;$G$3,Vendas!$C$8:$C$2008,"Entregue")</f>
        <v>0</v>
      </c>
      <c r="Y36" s="162">
        <f>SUMIFS(Vendas!$K$8:$K$2008,Vendas!$H$8:$H$2008,$B36,Vendas!$E$8:$E$2008,"&gt;=01/12/"&amp;$G$3,Vendas!$E$8:$E$2008,"&lt;=31/12/"&amp;$G$3)+SUMIFS(Vendas!$P$8:$P$2008,Vendas!$M$8:$M$2008,$B36,Vendas!$E$8:$E$2008,"&gt;=01/12/"&amp;$G$3,Vendas!$E$8:$E$2008,"&lt;=31/12/"&amp;$G$3)+SUMIFS(Vendas!$U$8:$U$2008,Vendas!$R$8:$R$2008,$B36,Vendas!$E$8:$E$2008,"&gt;=01/12/"&amp;$G$3,Vendas!$E$8:$E$2008,"&lt;=31/12/"&amp;$G$3)+SUMIFS(Vendas!$Z$8:$Z$2008,Vendas!$W$8:$W$2008,$B36,Vendas!$E$8:$E$2008,"&gt;=01/12/"&amp;$G$3,Vendas!$E$8:$E$2008,"&lt;=31/12/"&amp;$G$3)+SUMIFS(Vendas!$AE$8:$AE$2008,Vendas!$AB$8:$AB$2008,$B36,Vendas!$E$8:$E$2008,"&gt;=01/12/"&amp;$G$3,Vendas!$E$8:$E$2008,"&lt;=31/12/"&amp;$G$3)+SUMIFS(Vendas!$AJ$8:$AJ$2008,Vendas!$AG$8:$AG$2008,$B36,Vendas!$E$8:$E$2008,"&gt;=01/12/"&amp;$G$3,Vendas!$E$8:$E$2008,"&lt;=31/12/"&amp;$G$3)+SUMIFS(Vendas!$AO$8:$AO$2008,Vendas!$AL$8:$AL$2008,$B36,Vendas!$E$8:$E$2008,"&gt;=01/12/"&amp;$G$3,Vendas!$E$8:$E$2008,"&lt;=31/12/"&amp;$G$3)+SUMIFS(Vendas!$AT$8:$AT$2008,Vendas!$AQ$8:$AQ$2008,$B36,Vendas!$E$8:$E$2008,"&gt;=01/12/"&amp;$G$3,Vendas!$E$8:$E$2008,"&lt;=31/12/"&amp;$G$3)</f>
        <v>0</v>
      </c>
      <c r="Z36" s="163">
        <f>SUMIFS(Vendas!$K$8:$K$2008,Vendas!$H$8:$H$2008,$B36,Vendas!$E$8:$E$2008,"&gt;=01/12/"&amp;$G$3,Vendas!$E$8:$E$2008,"&lt;=31/12/"&amp;$G$3,Vendas!$C$8:$C$2008,"Entregue")+SUMIFS(Vendas!$P$8:$P$2008,Vendas!$M$8:$M$2008,$B36,Vendas!$E$8:$E$2008,"&gt;=01/12/"&amp;$G$3,Vendas!$E$8:$E$2008,"&lt;=31/12/"&amp;$G$3,Vendas!$C$8:$C$2008,"Entregue")+SUMIFS(Vendas!$U$8:$U$2008,Vendas!$R$8:$R$2008,$B36,Vendas!$E$8:$E$2008,"&gt;=01/12/"&amp;$G$3,Vendas!$E$8:$E$2008,"&lt;=31/12/"&amp;$G$3,Vendas!$C$8:$C$2008,"Entregue")+SUMIFS(Vendas!$Z$8:$Z$2008,Vendas!$W$8:$W$2008,$B36,Vendas!$E$8:$E$2008,"&gt;=01/12/"&amp;$G$3,Vendas!$E$8:$E$2008,"&lt;=31/12/"&amp;$G$3,Vendas!$C$8:$C$2008,"Entregue")+SUMIFS(Vendas!$AE$8:$AE$2008,Vendas!$AB$8:$AB$2008,$B36,Vendas!$E$8:$E$2008,"&gt;=01/12/"&amp;$G$3,Vendas!$E$8:$E$2008,"&lt;=31/12/"&amp;$G$3,Vendas!$C$8:$C$2008,"Entregue")+SUMIFS(Vendas!$AJ$8:$AJ$2008,Vendas!$AG$8:$AG$2008,$B36,Vendas!$E$8:$E$2008,"&gt;=01/12/"&amp;$G$3,Vendas!$E$8:$E$2008,"&lt;=31/12/"&amp;$G$3,Vendas!$C$8:$C$2008,"Entregue")+SUMIFS(Vendas!$AO$8:$AO$2008,Vendas!$AL$8:$AL$2008,$B36,Vendas!$E$8:$E$2008,"&gt;=01/12/"&amp;$G$3,Vendas!$E$8:$E$2008,"&lt;=31/12/"&amp;$G$3,Vendas!$C$8:$C$2008,"Entregue")+SUMIFS(Vendas!$AT$8:$AT$2008,Vendas!$AQ$8:$AQ$2008,$B36,Vendas!$E$8:$E$2008,"&gt;=01/12/"&amp;$G$3,Vendas!$E$8:$E$2008,"&lt;=31/12/"&amp;$G$3,Vendas!$C$8:$C$2008,"Entregue")</f>
        <v>0</v>
      </c>
      <c r="AA36" s="132">
        <f t="shared" si="0"/>
        <v>0</v>
      </c>
      <c r="AB36" s="132">
        <f t="shared" si="0"/>
        <v>0</v>
      </c>
      <c r="AC36" s="67"/>
    </row>
    <row r="37" spans="2:29" ht="14.4" x14ac:dyDescent="0.3">
      <c r="B37" s="262" t="str">
        <f>IF(Cadastros!G45="","",Cadastros!G45)</f>
        <v xml:space="preserve">00152 - Palmilha Magnética </v>
      </c>
      <c r="C37" s="158">
        <f>SUMIFS(Vendas!$K$8:$K$2008,Vendas!$H$8:$H$2008,$B37,Vendas!$E$8:$E$2008,"&gt;=01/01/"&amp;$G$3,Vendas!$E$8:$E$2008,"&lt;=31/01/"&amp;$G$3)+SUMIFS(Vendas!$P$8:$P$2008,Vendas!$M$8:$M$2008,$B37,Vendas!$E$8:$E$2008,"&gt;=01/01/"&amp;$G$3,Vendas!$E$8:$E$2008,"&lt;=31/01/"&amp;$G$3)+SUMIFS(Vendas!$U$8:$U$2008,Vendas!$R$8:$R$2008,$B37,Vendas!$E$8:$E$2008,"&gt;=01/01/"&amp;$G$3,Vendas!$E$8:$E$2008,"&lt;=31/01/"&amp;$G$3)+SUMIFS(Vendas!$Z$8:$Z$2008,Vendas!$W$8:$W$2008,$B37,Vendas!$E$8:$E$2008,"&gt;=01/01/"&amp;$G$3,Vendas!$E$8:$E$2008,"&lt;=31/01/"&amp;$G$3)+SUMIFS(Vendas!$AE$8:$AE$2008,Vendas!$AB$8:$AB$2008,$B37,Vendas!$E$8:$E$2008,"&gt;=01/01/"&amp;$G$3,Vendas!$E$8:$E$2008,"&lt;=31/01/"&amp;$G$3)+SUMIFS(Vendas!$AJ$8:$AJ$2008,Vendas!$AG$8:$AG$2008,$B37,Vendas!$E$8:$E$2008,"&gt;=01/01/"&amp;$G$3,Vendas!$E$8:$E$2008,"&lt;=31/01/"&amp;$G$3)+SUMIFS(Vendas!$AO$8:$AO$2008,Vendas!$AL$8:$AL$2008,$B37,Vendas!$E$8:$E$2008,"&gt;=01/01/"&amp;$G$3,Vendas!$E$8:$E$2008,"&lt;=31/01/"&amp;$G$3)+SUMIFS(Vendas!$AT$8:$AT$2008,Vendas!$AQ$8:$AQ$2008,$B37,Vendas!$E$8:$E$2008,"&gt;=01/01/"&amp;$G$3,Vendas!$E$8:$E$2008,"&lt;=31/01/"&amp;$G$3)</f>
        <v>0</v>
      </c>
      <c r="D37" s="159">
        <f>SUMIFS(Vendas!$K$8:$K$2008,Vendas!$H$8:$H$2008,$B37,Vendas!$E$8:$E$2008,"&gt;=01/01/"&amp;$G$3,Vendas!$E$8:$E$2008,"&lt;=31/01/"&amp;$G$3,Vendas!$C$8:$C$2008,"Entregue")+SUMIFS(Vendas!$P$8:$P$2008,Vendas!$M$8:$M$2008,$B37,Vendas!$E$8:$E$2008,"&gt;=01/01/"&amp;$G$3,Vendas!$E$8:$E$2008,"&lt;=31/01/"&amp;$G$3,Vendas!$C$8:$C$2008,"Entregue")+SUMIFS(Vendas!$U$8:$U$2008,Vendas!$R$8:$R$2008,$B37,Vendas!$E$8:$E$2008,"&gt;=01/01/"&amp;$G$3,Vendas!$E$8:$E$2008,"&lt;=31/01/"&amp;$G$3,Vendas!$C$8:$C$2008,"Entregue")+SUMIFS(Vendas!$Z$8:$Z$2008,Vendas!$W$8:$W$2008,$B37,Vendas!$E$8:$E$2008,"&gt;=01/01/"&amp;$G$3,Vendas!$E$8:$E$2008,"&lt;=31/01/"&amp;$G$3,Vendas!$C$8:$C$2008,"Entregue")+SUMIFS(Vendas!$AE$8:$AE$2008,Vendas!$AB$8:$AB$2008,$B37,Vendas!$E$8:$E$2008,"&gt;=01/01/"&amp;$G$3,Vendas!$E$8:$E$2008,"&lt;=31/01/"&amp;$G$3,Vendas!$C$8:$C$2008,"Entregue")+SUMIFS(Vendas!$AJ$8:$AJ$2008,Vendas!$AG$8:$AG$2008,$B37,Vendas!$E$8:$E$2008,"&gt;=01/01/"&amp;$G$3,Vendas!$E$8:$E$2008,"&lt;=31/01/"&amp;$G$3,Vendas!$C$8:$C$2008,"Entregue")+SUMIFS(Vendas!$AO$8:$AO$2008,Vendas!$AL$8:$AL$2008,$B37,Vendas!$E$8:$E$2008,"&gt;=01/01/"&amp;$G$3,Vendas!$E$8:$E$2008,"&lt;=31/01/"&amp;$G$3,Vendas!$C$8:$C$2008,"Entregue")+SUMIFS(Vendas!$AT$8:$AT$2008,Vendas!$AQ$8:$AQ$2008,$B37,Vendas!$E$8:$E$2008,"&gt;=01/01/"&amp;$G$3,Vendas!$E$8:$E$2008,"&lt;=31/01/"&amp;$G$3,Vendas!$C$8:$C$2008,"Entregue")</f>
        <v>0</v>
      </c>
      <c r="E37" s="159">
        <f>SUMIFS(Vendas!$K$8:$K$2008,Vendas!$H$8:$H$2008,$B37,Vendas!$E$8:$E$2008,"&gt;=01/02/"&amp;$G$3,Vendas!$E$8:$E$2008,"&lt;=28/02/"&amp;$G$3)+SUMIFS(Vendas!$P$8:$P$2008,Vendas!$M$8:$M$2008,$B37,Vendas!$E$8:$E$2008,"&gt;=01/02/"&amp;$G$3,Vendas!$E$8:$E$2008,"&lt;=28/02/"&amp;$G$3)+SUMIFS(Vendas!$U$8:$U$2008,Vendas!$R$8:$R$2008,$B37,Vendas!$E$8:$E$2008,"&gt;=01/02/"&amp;$G$3,Vendas!$E$8:$E$2008,"&lt;=28/02/"&amp;$G$3)+SUMIFS(Vendas!$Z$8:$Z$2008,Vendas!$W$8:$W$2008,$B37,Vendas!$E$8:$E$2008,"&gt;=01/02/"&amp;$G$3,Vendas!$E$8:$E$2008,"&lt;=28/02/"&amp;$G$3)+SUMIFS(Vendas!$AE$8:$AE$2008,Vendas!$AB$8:$AB$2008,$B37,Vendas!$E$8:$E$2008,"&gt;=01/02/"&amp;$G$3,Vendas!$E$8:$E$2008,"&lt;=28/02/"&amp;$G$3)+SUMIFS(Vendas!$AJ$8:$AJ$2008,Vendas!$AG$8:$AG$2008,$B37,Vendas!$E$8:$E$2008,"&gt;=01/02/"&amp;$G$3,Vendas!$E$8:$E$2008,"&lt;=28/02/"&amp;$G$3)+SUMIFS(Vendas!$AO$8:$AO$2008,Vendas!$AL$8:$AL$2008,$B37,Vendas!$E$8:$E$2008,"&gt;=01/02/"&amp;$G$3,Vendas!$E$8:$E$2008,"&lt;=28/02/"&amp;$G$3)+SUMIFS(Vendas!$AT$8:$AT$2008,Vendas!$AQ$8:$AQ$2008,$B37,Vendas!$E$8:$E$2008,"&gt;=01/02/"&amp;$G$3,Vendas!$E$8:$E$2008,"&lt;=28/02/"&amp;$G$3)</f>
        <v>0</v>
      </c>
      <c r="F37" s="159">
        <f>SUMIFS(Vendas!$K$8:$K$2008,Vendas!$H$8:$H$2008,$B37,Vendas!$E$8:$E$2008,"&gt;=01/02/"&amp;$G$3,Vendas!$E$8:$E$2008,"&lt;=28/02/"&amp;$G$3,Vendas!$C$8:$C$2008,"Entregue")+SUMIFS(Vendas!$P$8:$P$2008,Vendas!$M$8:$M$2008,$B37,Vendas!$E$8:$E$2008,"&gt;=01/02/"&amp;$G$3,Vendas!$E$8:$E$2008,"&lt;=28/02/"&amp;$G$3,Vendas!$C$8:$C$2008,"Entregue")+SUMIFS(Vendas!$U$8:$U$2008,Vendas!$R$8:$R$2008,$B37,Vendas!$E$8:$E$2008,"&gt;=01/02/"&amp;$G$3,Vendas!$E$8:$E$2008,"&lt;=28/02/"&amp;$G$3,Vendas!$C$8:$C$2008,"Entregue")+SUMIFS(Vendas!$Z$8:$Z$2008,Vendas!$W$8:$W$2008,$B37,Vendas!$E$8:$E$2008,"&gt;=01/02/"&amp;$G$3,Vendas!$E$8:$E$2008,"&lt;=28/02/"&amp;$G$3,Vendas!$C$8:$C$2008,"Entregue")+SUMIFS(Vendas!$AE$8:$AE$2008,Vendas!$AB$8:$AB$2008,$B37,Vendas!$E$8:$E$2008,"&gt;=01/02/"&amp;$G$3,Vendas!$E$8:$E$2008,"&lt;=28/02/"&amp;$G$3,Vendas!$C$8:$C$2008,"Entregue")+SUMIFS(Vendas!$AJ$8:$AJ$2008,Vendas!$AG$8:$AG$2008,$B37,Vendas!$E$8:$E$2008,"&gt;=01/02/"&amp;$G$3,Vendas!$E$8:$E$2008,"&lt;=28/02/"&amp;$G$3,Vendas!$C$8:$C$2008,"Entregue")+SUMIFS(Vendas!$AO$8:$AO$2008,Vendas!$AL$8:$AL$2008,$B37,Vendas!$E$8:$E$2008,"&gt;=01/02/"&amp;$G$3,Vendas!$E$8:$E$2008,"&lt;=28/02/"&amp;$G$3,Vendas!$C$8:$C$2008,"Entregue")+SUMIFS(Vendas!$AT$8:$AT$2008,Vendas!$AQ$8:$AQ$2008,$B37,Vendas!$E$8:$E$2008,"&gt;=01/02/"&amp;$G$3,Vendas!$E$8:$E$2008,"&lt;=28/02/"&amp;$G$3,Vendas!$C$8:$C$2008,"Entregue")</f>
        <v>0</v>
      </c>
      <c r="G37" s="159">
        <f>SUMIFS(Vendas!$K$8:$K$2008,Vendas!$H$8:$H$2008,$B37,Vendas!$E$8:$E$2008,"&gt;=01/03/"&amp;$G$3,Vendas!$E$8:$E$2008,"&lt;=31/03/"&amp;$G$3)+SUMIFS(Vendas!$P$8:$P$2008,Vendas!$M$8:$M$2008,$B37,Vendas!$E$8:$E$2008,"&gt;=01/03/"&amp;$G$3,Vendas!$E$8:$E$2008,"&lt;=31/03/"&amp;$G$3)+SUMIFS(Vendas!$U$8:$U$2008,Vendas!$R$8:$R$2008,$B37,Vendas!$E$8:$E$2008,"&gt;=01/03/"&amp;$G$3,Vendas!$E$8:$E$2008,"&lt;=31/03/"&amp;$G$3)+SUMIFS(Vendas!$Z$8:$Z$2008,Vendas!$W$8:$W$2008,$B37,Vendas!$E$8:$E$2008,"&gt;=01/03/"&amp;$G$3,Vendas!$E$8:$E$2008,"&lt;=31/03/"&amp;$G$3)+SUMIFS(Vendas!$AE$8:$AE$2008,Vendas!$AB$8:$AB$2008,$B37,Vendas!$E$8:$E$2008,"&gt;=01/03/"&amp;$G$3,Vendas!$E$8:$E$2008,"&lt;=31/03/"&amp;$G$3)+SUMIFS(Vendas!$AJ$8:$AJ$2008,Vendas!$AG$8:$AG$2008,$B37,Vendas!$E$8:$E$2008,"&gt;=01/03/"&amp;$G$3,Vendas!$E$8:$E$2008,"&lt;=31/03/"&amp;$G$3)+SUMIFS(Vendas!$AO$8:$AO$2008,Vendas!$AL$8:$AL$2008,$B37,Vendas!$E$8:$E$2008,"&gt;=01/03/"&amp;$G$3,Vendas!$E$8:$E$2008,"&lt;=31/03/"&amp;$G$3)+SUMIFS(Vendas!$AT$8:$AT$2008,Vendas!$AQ$8:$AQ$2008,$B37,Vendas!$E$8:$E$2008,"&gt;=01/03/"&amp;$G$3,Vendas!$E$8:$E$2008,"&lt;=31/03/"&amp;$G$3)</f>
        <v>0</v>
      </c>
      <c r="H37" s="159">
        <f>SUMIFS(Vendas!$K$8:$K$2008,Vendas!$H$8:$H$2008,$B37,Vendas!$E$8:$E$2008,"&gt;=01/03/"&amp;$G$3,Vendas!$E$8:$E$2008,"&lt;=31/03/"&amp;$G$3,Vendas!$C$8:$C$2008,"Entregue")+SUMIFS(Vendas!$P$8:$P$2008,Vendas!$M$8:$M$2008,$B37,Vendas!$E$8:$E$2008,"&gt;=01/03/"&amp;$G$3,Vendas!$E$8:$E$2008,"&lt;=31/03/"&amp;$G$3,Vendas!$C$8:$C$2008,"Entregue")+SUMIFS(Vendas!$U$8:$U$2008,Vendas!$R$8:$R$2008,$B37,Vendas!$E$8:$E$2008,"&gt;=01/03/"&amp;$G$3,Vendas!$E$8:$E$2008,"&lt;=31/03/"&amp;$G$3,Vendas!$C$8:$C$2008,"Entregue")+SUMIFS(Vendas!$Z$8:$Z$2008,Vendas!$W$8:$W$2008,$B37,Vendas!$E$8:$E$2008,"&gt;=01/03/"&amp;$G$3,Vendas!$E$8:$E$2008,"&lt;=31/03/"&amp;$G$3,Vendas!$C$8:$C$2008,"Entregue")+SUMIFS(Vendas!$AE$8:$AE$2008,Vendas!$AB$8:$AB$2008,$B37,Vendas!$E$8:$E$2008,"&gt;=01/03/"&amp;$G$3,Vendas!$E$8:$E$2008,"&lt;=31/03/"&amp;$G$3,Vendas!$C$8:$C$2008,"Entregue")+SUMIFS(Vendas!$AJ$8:$AJ$2008,Vendas!$AG$8:$AG$2008,$B37,Vendas!$E$8:$E$2008,"&gt;=01/03/"&amp;$G$3,Vendas!$E$8:$E$2008,"&lt;=31/03/"&amp;$G$3,Vendas!$C$8:$C$2008,"Entregue")+SUMIFS(Vendas!$AO$8:$AO$2008,Vendas!$AL$8:$AL$2008,$B37,Vendas!$E$8:$E$2008,"&gt;=01/03/"&amp;$G$3,Vendas!$E$8:$E$2008,"&lt;=31/03/"&amp;$G$3,Vendas!$C$8:$C$2008,"Entregue")+SUMIFS(Vendas!$AT$8:$AT$2008,Vendas!$AQ$8:$AQ$2008,$B37,Vendas!$E$8:$E$2008,"&gt;=01/03/"&amp;$G$3,Vendas!$E$8:$E$2008,"&lt;=31/03/"&amp;$G$3,Vendas!$C$8:$C$2008,"Entregue")</f>
        <v>0</v>
      </c>
      <c r="I37" s="159">
        <f>SUMIFS(Vendas!$K$8:$K$2008,Vendas!$H$8:$H$2008,$B37,Vendas!$E$8:$E$2008,"&gt;=01/04/"&amp;$G$3,Vendas!$E$8:$E$2008,"&lt;=30/04/"&amp;$G$3)+SUMIFS(Vendas!$P$8:$P$2008,Vendas!$M$8:$M$2008,$B37,Vendas!$E$8:$E$2008,"&gt;=01/04/"&amp;$G$3,Vendas!$E$8:$E$2008,"&lt;=30/04/"&amp;$G$3)+SUMIFS(Vendas!$U$8:$U$2008,Vendas!$R$8:$R$2008,$B37,Vendas!$E$8:$E$2008,"&gt;=01/04/"&amp;$G$3,Vendas!$E$8:$E$2008,"&lt;=30/04/"&amp;$G$3)+SUMIFS(Vendas!$Z$8:$Z$2008,Vendas!$W$8:$W$2008,$B37,Vendas!$E$8:$E$2008,"&gt;=01/04/"&amp;$G$3,Vendas!$E$8:$E$2008,"&lt;=30/04/"&amp;$G$3)+SUMIFS(Vendas!$AE$8:$AE$2008,Vendas!$AB$8:$AB$2008,$B37,Vendas!$E$8:$E$2008,"&gt;=01/04/"&amp;$G$3,Vendas!$E$8:$E$2008,"&lt;=30/04/"&amp;$G$3)+SUMIFS(Vendas!$AJ$8:$AJ$2008,Vendas!$AG$8:$AG$2008,$B37,Vendas!$E$8:$E$2008,"&gt;=01/04/"&amp;$G$3,Vendas!$E$8:$E$2008,"&lt;=30/04/"&amp;$G$3)+SUMIFS(Vendas!$AO$8:$AO$2008,Vendas!$AL$8:$AL$2008,$B37,Vendas!$E$8:$E$2008,"&gt;=01/04/"&amp;$G$3,Vendas!$E$8:$E$2008,"&lt;=30/04/"&amp;$G$3)+SUMIFS(Vendas!$AT$8:$AT$2008,Vendas!$AQ$8:$AQ$2008,$B37,Vendas!$E$8:$E$2008,"&gt;=01/04/"&amp;$G$3,Vendas!$E$8:$E$2008,"&lt;=30/04/"&amp;$G$3)</f>
        <v>0</v>
      </c>
      <c r="J37" s="159">
        <f>SUMIFS(Vendas!$K$8:$K$2008,Vendas!$H$8:$H$2008,$B37,Vendas!$E$8:$E$2008,"&gt;=01/04/"&amp;$G$3,Vendas!$E$8:$E$2008,"&lt;=30/04/"&amp;$G$3,Vendas!$C$8:$C$2008,"Entregue")+SUMIFS(Vendas!$P$8:$P$2008,Vendas!$M$8:$M$2008,$B37,Vendas!$E$8:$E$2008,"&gt;=01/04/"&amp;$G$3,Vendas!$E$8:$E$2008,"&lt;=30/04/"&amp;$G$3,Vendas!$C$8:$C$2008,"Entregue")+SUMIFS(Vendas!$U$8:$U$2008,Vendas!$R$8:$R$2008,$B37,Vendas!$E$8:$E$2008,"&gt;=01/04/"&amp;$G$3,Vendas!$E$8:$E$2008,"&lt;=30/04/"&amp;$G$3,Vendas!$C$8:$C$2008,"Entregue")+SUMIFS(Vendas!$Z$8:$Z$2008,Vendas!$W$8:$W$2008,$B37,Vendas!$E$8:$E$2008,"&gt;=01/04/"&amp;$G$3,Vendas!$E$8:$E$2008,"&lt;=30/04/"&amp;$G$3,Vendas!$C$8:$C$2008,"Entregue")+SUMIFS(Vendas!$AE$8:$AE$2008,Vendas!$AB$8:$AB$2008,$B37,Vendas!$E$8:$E$2008,"&gt;=01/04/"&amp;$G$3,Vendas!$E$8:$E$2008,"&lt;=30/04/"&amp;$G$3,Vendas!$C$8:$C$2008,"Entregue")+SUMIFS(Vendas!$AJ$8:$AJ$2008,Vendas!$AG$8:$AG$2008,$B37,Vendas!$E$8:$E$2008,"&gt;=01/04/"&amp;$G$3,Vendas!$E$8:$E$2008,"&lt;=30/04/"&amp;$G$3,Vendas!$C$8:$C$2008,"Entregue")+SUMIFS(Vendas!$AO$8:$AO$2008,Vendas!$AL$8:$AL$2008,$B37,Vendas!$E$8:$E$2008,"&gt;=01/04/"&amp;$G$3,Vendas!$E$8:$E$2008,"&lt;=30/04/"&amp;$G$3,Vendas!$C$8:$C$2008,"Entregue")+SUMIFS(Vendas!$AT$8:$AT$2008,Vendas!$AQ$8:$AQ$2008,$B37,Vendas!$E$8:$E$2008,"&gt;=01/04/"&amp;$G$3,Vendas!$E$8:$E$2008,"&lt;=30/04/"&amp;$G$3,Vendas!$C$8:$C$2008,"Entregue")</f>
        <v>0</v>
      </c>
      <c r="K37" s="159">
        <f>SUMIFS(Vendas!$K$8:$K$2008,Vendas!$H$8:$H$2008,$B37,Vendas!$E$8:$E$2008,"&gt;=01/05/"&amp;$G$3,Vendas!$E$8:$E$2008,"&lt;=31/05/"&amp;$G$3)+SUMIFS(Vendas!$P$8:$P$2008,Vendas!$M$8:$M$2008,$B37,Vendas!$E$8:$E$2008,"&gt;=01/05/"&amp;$G$3,Vendas!$E$8:$E$2008,"&lt;=31/05/"&amp;$G$3)+SUMIFS(Vendas!$U$8:$U$2008,Vendas!$R$8:$R$2008,$B37,Vendas!$E$8:$E$2008,"&gt;=01/05/"&amp;$G$3,Vendas!$E$8:$E$2008,"&lt;=31/05/"&amp;$G$3)+SUMIFS(Vendas!$Z$8:$Z$2008,Vendas!$W$8:$W$2008,$B37,Vendas!$E$8:$E$2008,"&gt;=01/05/"&amp;$G$3,Vendas!$E$8:$E$2008,"&lt;=31/05/"&amp;$G$3)+SUMIFS(Vendas!$AE$8:$AE$2008,Vendas!$AB$8:$AB$2008,$B37,Vendas!$E$8:$E$2008,"&gt;=01/05/"&amp;$G$3,Vendas!$E$8:$E$2008,"&lt;=31/05/"&amp;$G$3)+SUMIFS(Vendas!$AJ$8:$AJ$2008,Vendas!$AG$8:$AG$2008,$B37,Vendas!$E$8:$E$2008,"&gt;=01/05/"&amp;$G$3,Vendas!$E$8:$E$2008,"&lt;=31/05/"&amp;$G$3)+SUMIFS(Vendas!$AO$8:$AO$2008,Vendas!$AL$8:$AL$2008,$B37,Vendas!$E$8:$E$2008,"&gt;=01/05/"&amp;$G$3,Vendas!$E$8:$E$2008,"&lt;=31/05/"&amp;$G$3)+SUMIFS(Vendas!$AT$8:$AT$2008,Vendas!$AQ$8:$AQ$2008,$B37,Vendas!$E$8:$E$2008,"&gt;=01/05/"&amp;$G$3,Vendas!$E$8:$E$2008,"&lt;=31/05/"&amp;$G$3)</f>
        <v>0</v>
      </c>
      <c r="L37" s="159">
        <f>SUMIFS(Vendas!$K$8:$K$2008,Vendas!$H$8:$H$2008,$B37,Vendas!$E$8:$E$2008,"&gt;=01/05/"&amp;$G$3,Vendas!$E$8:$E$2008,"&lt;=31/05/"&amp;$G$3,Vendas!$C$8:$C$2008,"Entregue")+SUMIFS(Vendas!$P$8:$P$2008,Vendas!$M$8:$M$2008,$B37,Vendas!$E$8:$E$2008,"&gt;=01/05/"&amp;$G$3,Vendas!$E$8:$E$2008,"&lt;=31/05/"&amp;$G$3,Vendas!$C$8:$C$2008,"Entregue")+SUMIFS(Vendas!$U$8:$U$2008,Vendas!$R$8:$R$2008,$B37,Vendas!$E$8:$E$2008,"&gt;=01/05/"&amp;$G$3,Vendas!$E$8:$E$2008,"&lt;=31/05/"&amp;$G$3,Vendas!$C$8:$C$2008,"Entregue")+SUMIFS(Vendas!$Z$8:$Z$2008,Vendas!$W$8:$W$2008,$B37,Vendas!$E$8:$E$2008,"&gt;=01/05/"&amp;$G$3,Vendas!$E$8:$E$2008,"&lt;=31/05/"&amp;$G$3,Vendas!$C$8:$C$2008,"Entregue")+SUMIFS(Vendas!$AE$8:$AE$2008,Vendas!$AB$8:$AB$2008,$B37,Vendas!$E$8:$E$2008,"&gt;=01/05/"&amp;$G$3,Vendas!$E$8:$E$2008,"&lt;=31/05/"&amp;$G$3,Vendas!$C$8:$C$2008,"Entregue")+SUMIFS(Vendas!$AJ$8:$AJ$2008,Vendas!$AG$8:$AG$2008,$B37,Vendas!$E$8:$E$2008,"&gt;=01/05/"&amp;$G$3,Vendas!$E$8:$E$2008,"&lt;=31/05/"&amp;$G$3,Vendas!$C$8:$C$2008,"Entregue")+SUMIFS(Vendas!$AO$8:$AO$2008,Vendas!$AL$8:$AL$2008,$B37,Vendas!$E$8:$E$2008,"&gt;=01/05/"&amp;$G$3,Vendas!$E$8:$E$2008,"&lt;=31/05/"&amp;$G$3,Vendas!$C$8:$C$2008,"Entregue")+SUMIFS(Vendas!$AT$8:$AT$2008,Vendas!$AQ$8:$AQ$2008,$B37,Vendas!$E$8:$E$2008,"&gt;=01/05/"&amp;$G$3,Vendas!$E$8:$E$2008,"&lt;=31/05/"&amp;$G$3,Vendas!$C$8:$C$2008,"Entregue")</f>
        <v>0</v>
      </c>
      <c r="M37" s="159">
        <f>SUMIFS(Vendas!$K$8:$K$2008,Vendas!$H$8:$H$2008,$B37,Vendas!$E$8:$E$2008,"&gt;=01/06/"&amp;$G$3,Vendas!$E$8:$E$2008,"&lt;=30/06/"&amp;$G$3)+SUMIFS(Vendas!$P$8:$P$2008,Vendas!$M$8:$M$2008,$B37,Vendas!$E$8:$E$2008,"&gt;=01/06/"&amp;$G$3,Vendas!$E$8:$E$2008,"&lt;=30/06/"&amp;$G$3)+SUMIFS(Vendas!$U$8:$U$2008,Vendas!$R$8:$R$2008,$B37,Vendas!$E$8:$E$2008,"&gt;=01/06/"&amp;$G$3,Vendas!$E$8:$E$2008,"&lt;=30/06/"&amp;$G$3)+SUMIFS(Vendas!$Z$8:$Z$2008,Vendas!$W$8:$W$2008,$B37,Vendas!$E$8:$E$2008,"&gt;=01/06/"&amp;$G$3,Vendas!$E$8:$E$2008,"&lt;=30/06/"&amp;$G$3)+SUMIFS(Vendas!$AE$8:$AE$2008,Vendas!$AB$8:$AB$2008,$B37,Vendas!$E$8:$E$2008,"&gt;=01/06/"&amp;$G$3,Vendas!$E$8:$E$2008,"&lt;=30/06/"&amp;$G$3)+SUMIFS(Vendas!$AJ$8:$AJ$2008,Vendas!$AG$8:$AG$2008,$B37,Vendas!$E$8:$E$2008,"&gt;=01/06/"&amp;$G$3,Vendas!$E$8:$E$2008,"&lt;=30/06/"&amp;$G$3)+SUMIFS(Vendas!$AO$8:$AO$2008,Vendas!$AL$8:$AL$2008,$B37,Vendas!$E$8:$E$2008,"&gt;=01/06/"&amp;$G$3,Vendas!$E$8:$E$2008,"&lt;=30/06/"&amp;$G$3)+SUMIFS(Vendas!$AT$8:$AT$2008,Vendas!$AQ$8:$AQ$2008,$B37,Vendas!$E$8:$E$2008,"&gt;=01/06/"&amp;$G$3,Vendas!$E$8:$E$2008,"&lt;=30/06/"&amp;$G$3)</f>
        <v>0</v>
      </c>
      <c r="N37" s="159">
        <f>SUMIFS(Vendas!$K$8:$K$2008,Vendas!$H$8:$H$2008,$B37,Vendas!$E$8:$E$2008,"&gt;=01/06/"&amp;$G$3,Vendas!$E$8:$E$2008,"&lt;=30/06/"&amp;$G$3,Vendas!$C$8:$C$2008,"Entregue")+SUMIFS(Vendas!$P$8:$P$2008,Vendas!$M$8:$M$2008,$B37,Vendas!$E$8:$E$2008,"&gt;=01/06/"&amp;$G$3,Vendas!$E$8:$E$2008,"&lt;=30/06/"&amp;$G$3,Vendas!$C$8:$C$2008,"Entregue")+SUMIFS(Vendas!$U$8:$U$2008,Vendas!$R$8:$R$2008,$B37,Vendas!$E$8:$E$2008,"&gt;=01/06/"&amp;$G$3,Vendas!$E$8:$E$2008,"&lt;=30/06/"&amp;$G$3,Vendas!$C$8:$C$2008,"Entregue")+SUMIFS(Vendas!$Z$8:$Z$2008,Vendas!$W$8:$W$2008,$B37,Vendas!$E$8:$E$2008,"&gt;=01/06/"&amp;$G$3,Vendas!$E$8:$E$2008,"&lt;=30/06/"&amp;$G$3,Vendas!$C$8:$C$2008,"Entregue")+SUMIFS(Vendas!$AE$8:$AE$2008,Vendas!$AB$8:$AB$2008,$B37,Vendas!$E$8:$E$2008,"&gt;=01/06/"&amp;$G$3,Vendas!$E$8:$E$2008,"&lt;=30/06/"&amp;$G$3,Vendas!$C$8:$C$2008,"Entregue")+SUMIFS(Vendas!$AJ$8:$AJ$2008,Vendas!$AG$8:$AG$2008,$B37,Vendas!$E$8:$E$2008,"&gt;=01/06/"&amp;$G$3,Vendas!$E$8:$E$2008,"&lt;=30/06/"&amp;$G$3,Vendas!$C$8:$C$2008,"Entregue")+SUMIFS(Vendas!$AO$8:$AO$2008,Vendas!$AL$8:$AL$2008,$B37,Vendas!$E$8:$E$2008,"&gt;=01/06/"&amp;$G$3,Vendas!$E$8:$E$2008,"&lt;=30/06/"&amp;$G$3,Vendas!$C$8:$C$2008,"Entregue")+SUMIFS(Vendas!$AT$8:$AT$2008,Vendas!$AQ$8:$AQ$2008,$B37,Vendas!$E$8:$E$2008,"&gt;=01/06/"&amp;$G$3,Vendas!$E$8:$E$2008,"&lt;=30/06/"&amp;$G$3,Vendas!$C$8:$C$2008,"Entregue")</f>
        <v>0</v>
      </c>
      <c r="O37" s="159">
        <f>SUMIFS(Vendas!$K$8:$K$2008,Vendas!$H$8:$H$2008,$B37,Vendas!$E$8:$E$2008,"&gt;=01/07/"&amp;$G$3,Vendas!$E$8:$E$2008,"&lt;=31/07/"&amp;$G$3)+SUMIFS(Vendas!$P$8:$P$2008,Vendas!$M$8:$M$2008,$B37,Vendas!$E$8:$E$2008,"&gt;=01/07/"&amp;$G$3,Vendas!$E$8:$E$2008,"&lt;=31/07/"&amp;$G$3)+SUMIFS(Vendas!$U$8:$U$2008,Vendas!$R$8:$R$2008,$B37,Vendas!$E$8:$E$2008,"&gt;=01/07/"&amp;$G$3,Vendas!$E$8:$E$2008,"&lt;=31/07/"&amp;$G$3)+SUMIFS(Vendas!$Z$8:$Z$2008,Vendas!$W$8:$W$2008,$B37,Vendas!$E$8:$E$2008,"&gt;=01/07/"&amp;$G$3,Vendas!$E$8:$E$2008,"&lt;=31/07/"&amp;$G$3)+SUMIFS(Vendas!$AE$8:$AE$2008,Vendas!$AB$8:$AB$2008,$B37,Vendas!$E$8:$E$2008,"&gt;=01/07/"&amp;$G$3,Vendas!$E$8:$E$2008,"&lt;=31/07/"&amp;$G$3)+SUMIFS(Vendas!$AJ$8:$AJ$2008,Vendas!$AG$8:$AG$2008,$B37,Vendas!$E$8:$E$2008,"&gt;=01/07/"&amp;$G$3,Vendas!$E$8:$E$2008,"&lt;=31/07/"&amp;$G$3)+SUMIFS(Vendas!$AO$8:$AO$2008,Vendas!$AL$8:$AL$2008,$B37,Vendas!$E$8:$E$2008,"&gt;=01/07/"&amp;$G$3,Vendas!$E$8:$E$2008,"&lt;=31/07/"&amp;$G$3)+SUMIFS(Vendas!$AT$8:$AT$2008,Vendas!$AQ$8:$AQ$2008,$B37,Vendas!$E$8:$E$2008,"&gt;=01/07/"&amp;$G$3,Vendas!$E$8:$E$2008,"&lt;=31/07/"&amp;$G$3)</f>
        <v>0</v>
      </c>
      <c r="P37" s="159">
        <f>SUMIFS(Vendas!$K$8:$K$2008,Vendas!$H$8:$H$2008,$B37,Vendas!$E$8:$E$2008,"&gt;=01/07/"&amp;$G$3,Vendas!$E$8:$E$2008,"&lt;=31/07/"&amp;$G$3,Vendas!$C$8:$C$2008,"Entregue")+SUMIFS(Vendas!$P$8:$P$2008,Vendas!$M$8:$M$2008,$B37,Vendas!$E$8:$E$2008,"&gt;=01/07/"&amp;$G$3,Vendas!$E$8:$E$2008,"&lt;=31/07/"&amp;$G$3,Vendas!$C$8:$C$2008,"Entregue")+SUMIFS(Vendas!$U$8:$U$2008,Vendas!$R$8:$R$2008,$B37,Vendas!$E$8:$E$2008,"&gt;=01/07/"&amp;$G$3,Vendas!$E$8:$E$2008,"&lt;=31/07/"&amp;$G$3,Vendas!$C$8:$C$2008,"Entregue")+SUMIFS(Vendas!$Z$8:$Z$2008,Vendas!$W$8:$W$2008,$B37,Vendas!$E$8:$E$2008,"&gt;=01/07/"&amp;$G$3,Vendas!$E$8:$E$2008,"&lt;=31/07/"&amp;$G$3,Vendas!$C$8:$C$2008,"Entregue")+SUMIFS(Vendas!$AE$8:$AE$2008,Vendas!$AB$8:$AB$2008,$B37,Vendas!$E$8:$E$2008,"&gt;=01/07/"&amp;$G$3,Vendas!$E$8:$E$2008,"&lt;=31/07/"&amp;$G$3,Vendas!$C$8:$C$2008,"Entregue")+SUMIFS(Vendas!$AJ$8:$AJ$2008,Vendas!$AG$8:$AG$2008,$B37,Vendas!$E$8:$E$2008,"&gt;=01/07/"&amp;$G$3,Vendas!$E$8:$E$2008,"&lt;=31/07/"&amp;$G$3,Vendas!$C$8:$C$2008,"Entregue")+SUMIFS(Vendas!$AO$8:$AO$2008,Vendas!$AL$8:$AL$2008,$B37,Vendas!$E$8:$E$2008,"&gt;=01/07/"&amp;$G$3,Vendas!$E$8:$E$2008,"&lt;=31/07/"&amp;$G$3,Vendas!$C$8:$C$2008,"Entregue")+SUMIFS(Vendas!$AT$8:$AT$2008,Vendas!$AQ$8:$AQ$2008,$B37,Vendas!$E$8:$E$2008,"&gt;=01/07/"&amp;$G$3,Vendas!$E$8:$E$2008,"&lt;=31/07/"&amp;$G$3,Vendas!$C$8:$C$2008,"Entregue")</f>
        <v>0</v>
      </c>
      <c r="Q37" s="159">
        <f>SUMIFS(Vendas!$K$8:$K$2008,Vendas!$H$8:$H$2008,$B37,Vendas!$E$8:$E$2008,"&gt;=01/08/"&amp;$G$3,Vendas!$E$8:$E$2008,"&lt;=31/08/"&amp;$G$3)+SUMIFS(Vendas!$P$8:$P$2008,Vendas!$M$8:$M$2008,$B37,Vendas!$E$8:$E$2008,"&gt;=01/08/"&amp;$G$3,Vendas!$E$8:$E$2008,"&lt;=31/08/"&amp;$G$3)+SUMIFS(Vendas!$U$8:$U$2008,Vendas!$R$8:$R$2008,$B37,Vendas!$E$8:$E$2008,"&gt;=01/08/"&amp;$G$3,Vendas!$E$8:$E$2008,"&lt;=31/08/"&amp;$G$3)+SUMIFS(Vendas!$Z$8:$Z$2008,Vendas!$W$8:$W$2008,$B37,Vendas!$E$8:$E$2008,"&gt;=01/08/"&amp;$G$3,Vendas!$E$8:$E$2008,"&lt;=31/08/"&amp;$G$3)+SUMIFS(Vendas!$AE$8:$AE$2008,Vendas!$AB$8:$AB$2008,$B37,Vendas!$E$8:$E$2008,"&gt;=01/08/"&amp;$G$3,Vendas!$E$8:$E$2008,"&lt;=31/08/"&amp;$G$3)+SUMIFS(Vendas!$AJ$8:$AJ$2008,Vendas!$AG$8:$AG$2008,$B37,Vendas!$E$8:$E$2008,"&gt;=01/08/"&amp;$G$3,Vendas!$E$8:$E$2008,"&lt;=31/08/"&amp;$G$3)+SUMIFS(Vendas!$AO$8:$AO$2008,Vendas!$AL$8:$AL$2008,$B37,Vendas!$E$8:$E$2008,"&gt;=01/08/"&amp;$G$3,Vendas!$E$8:$E$2008,"&lt;=31/08/"&amp;$G$3)+SUMIFS(Vendas!$AT$8:$AT$2008,Vendas!$AQ$8:$AQ$2008,$B37,Vendas!$E$8:$E$2008,"&gt;=01/08/"&amp;$G$3,Vendas!$E$8:$E$2008,"&lt;=31/08/"&amp;$G$3)</f>
        <v>0</v>
      </c>
      <c r="R37" s="159">
        <f>SUMIFS(Vendas!$K$8:$K$2008,Vendas!$H$8:$H$2008,$B37,Vendas!$E$8:$E$2008,"&gt;=01/08/"&amp;$G$3,Vendas!$E$8:$E$2008,"&lt;=31/08/"&amp;$G$3,Vendas!$C$8:$C$2008,"Entregue")+SUMIFS(Vendas!$P$8:$P$2008,Vendas!$M$8:$M$2008,$B37,Vendas!$E$8:$E$2008,"&gt;=01/08/"&amp;$G$3,Vendas!$E$8:$E$2008,"&lt;=31/08/"&amp;$G$3,Vendas!$C$8:$C$2008,"Entregue")+SUMIFS(Vendas!$U$8:$U$2008,Vendas!$R$8:$R$2008,$B37,Vendas!$E$8:$E$2008,"&gt;=01/08/"&amp;$G$3,Vendas!$E$8:$E$2008,"&lt;=31/08/"&amp;$G$3,Vendas!$C$8:$C$2008,"Entregue")+SUMIFS(Vendas!$Z$8:$Z$2008,Vendas!$W$8:$W$2008,$B37,Vendas!$E$8:$E$2008,"&gt;=01/08/"&amp;$G$3,Vendas!$E$8:$E$2008,"&lt;=31/08/"&amp;$G$3,Vendas!$C$8:$C$2008,"Entregue")+SUMIFS(Vendas!$AE$8:$AE$2008,Vendas!$AB$8:$AB$2008,$B37,Vendas!$E$8:$E$2008,"&gt;=01/08/"&amp;$G$3,Vendas!$E$8:$E$2008,"&lt;=31/08/"&amp;$G$3,Vendas!$C$8:$C$2008,"Entregue")+SUMIFS(Vendas!$AJ$8:$AJ$2008,Vendas!$AG$8:$AG$2008,$B37,Vendas!$E$8:$E$2008,"&gt;=01/08/"&amp;$G$3,Vendas!$E$8:$E$2008,"&lt;=31/08/"&amp;$G$3,Vendas!$C$8:$C$2008,"Entregue")+SUMIFS(Vendas!$AO$8:$AO$2008,Vendas!$AL$8:$AL$2008,$B37,Vendas!$E$8:$E$2008,"&gt;=01/08/"&amp;$G$3,Vendas!$E$8:$E$2008,"&lt;=31/08/"&amp;$G$3,Vendas!$C$8:$C$2008,"Entregue")+SUMIFS(Vendas!$AT$8:$AT$2008,Vendas!$AQ$8:$AQ$2008,$B37,Vendas!$E$8:$E$2008,"&gt;=01/08/"&amp;$G$3,Vendas!$E$8:$E$2008,"&lt;=31/08/"&amp;$G$3,Vendas!$C$8:$C$2008,"Entregue")</f>
        <v>0</v>
      </c>
      <c r="S37" s="159">
        <f>SUMIFS(Vendas!$K$8:$K$2008,Vendas!$H$8:$H$2008,$B37,Vendas!$E$8:$E$2008,"&gt;=01/09/"&amp;$G$3,Vendas!$E$8:$E$2008,"&lt;=30/09/"&amp;$G$3)+SUMIFS(Vendas!$P$8:$P$2008,Vendas!$M$8:$M$2008,$B37,Vendas!$E$8:$E$2008,"&gt;=01/09/"&amp;$G$3,Vendas!$E$8:$E$2008,"&lt;=30/09/"&amp;$G$3)+SUMIFS(Vendas!$U$8:$U$2008,Vendas!$R$8:$R$2008,$B37,Vendas!$E$8:$E$2008,"&gt;=01/09/"&amp;$G$3,Vendas!$E$8:$E$2008,"&lt;=30/09/"&amp;$G$3)+SUMIFS(Vendas!$Z$8:$Z$2008,Vendas!$W$8:$W$2008,$B37,Vendas!$E$8:$E$2008,"&gt;=01/09/"&amp;$G$3,Vendas!$E$8:$E$2008,"&lt;=30/09/"&amp;$G$3)+SUMIFS(Vendas!$AE$8:$AE$2008,Vendas!$AB$8:$AB$2008,$B37,Vendas!$E$8:$E$2008,"&gt;=01/09/"&amp;$G$3,Vendas!$E$8:$E$2008,"&lt;=30/09/"&amp;$G$3)+SUMIFS(Vendas!$AJ$8:$AJ$2008,Vendas!$AG$8:$AG$2008,$B37,Vendas!$E$8:$E$2008,"&gt;=01/09/"&amp;$G$3,Vendas!$E$8:$E$2008,"&lt;=30/09/"&amp;$G$3)+SUMIFS(Vendas!$AO$8:$AO$2008,Vendas!$AL$8:$AL$2008,$B37,Vendas!$E$8:$E$2008,"&gt;=01/09/"&amp;$G$3,Vendas!$E$8:$E$2008,"&lt;=30/09/"&amp;$G$3)+SUMIFS(Vendas!$AT$8:$AT$2008,Vendas!$AQ$8:$AQ$2008,$B37,Vendas!$E$8:$E$2008,"&gt;=01/09/"&amp;$G$3,Vendas!$E$8:$E$2008,"&lt;=30/09/"&amp;$G$3)</f>
        <v>0</v>
      </c>
      <c r="T37" s="159">
        <f>SUMIFS(Vendas!$K$8:$K$2008,Vendas!$H$8:$H$2008,$B37,Vendas!$E$8:$E$2008,"&gt;=01/09/"&amp;$G$3,Vendas!$E$8:$E$2008,"&lt;=30/09/"&amp;$G$3,Vendas!$C$8:$C$2008,"Entregue")+SUMIFS(Vendas!$P$8:$P$2008,Vendas!$M$8:$M$2008,$B37,Vendas!$E$8:$E$2008,"&gt;=01/09/"&amp;$G$3,Vendas!$E$8:$E$2008,"&lt;=30/09/"&amp;$G$3,Vendas!$C$8:$C$2008,"Entregue")+SUMIFS(Vendas!$U$8:$U$2008,Vendas!$R$8:$R$2008,$B37,Vendas!$E$8:$E$2008,"&gt;=01/09/"&amp;$G$3,Vendas!$E$8:$E$2008,"&lt;=30/09/"&amp;$G$3,Vendas!$C$8:$C$2008,"Entregue")+SUMIFS(Vendas!$Z$8:$Z$2008,Vendas!$W$8:$W$2008,$B37,Vendas!$E$8:$E$2008,"&gt;=01/09/"&amp;$G$3,Vendas!$E$8:$E$2008,"&lt;=30/09/"&amp;$G$3,Vendas!$C$8:$C$2008,"Entregue")+SUMIFS(Vendas!$AE$8:$AE$2008,Vendas!$AB$8:$AB$2008,$B37,Vendas!$E$8:$E$2008,"&gt;=01/09/"&amp;$G$3,Vendas!$E$8:$E$2008,"&lt;=30/09/"&amp;$G$3,Vendas!$C$8:$C$2008,"Entregue")+SUMIFS(Vendas!$AJ$8:$AJ$2008,Vendas!$AG$8:$AG$2008,$B37,Vendas!$E$8:$E$2008,"&gt;=01/09/"&amp;$G$3,Vendas!$E$8:$E$2008,"&lt;=30/09/"&amp;$G$3,Vendas!$C$8:$C$2008,"Entregue")+SUMIFS(Vendas!$AO$8:$AO$2008,Vendas!$AL$8:$AL$2008,$B37,Vendas!$E$8:$E$2008,"&gt;=01/09/"&amp;$G$3,Vendas!$E$8:$E$2008,"&lt;=30/09/"&amp;$G$3,Vendas!$C$8:$C$2008,"Entregue")+SUMIFS(Vendas!$AT$8:$AT$2008,Vendas!$AQ$8:$AQ$2008,$B37,Vendas!$E$8:$E$2008,"&gt;=01/09/"&amp;$G$3,Vendas!$E$8:$E$2008,"&lt;=30/09/"&amp;$G$3,Vendas!$C$8:$C$2008,"Entregue")</f>
        <v>0</v>
      </c>
      <c r="U37" s="159">
        <f>SUMIFS(Vendas!$K$8:$K$2008,Vendas!$H$8:$H$2008,$B37,Vendas!$E$8:$E$2008,"&gt;=01/10/"&amp;$G$3,Vendas!$E$8:$E$2008,"&lt;=31/10/"&amp;$G$3)+SUMIFS(Vendas!$P$8:$P$2008,Vendas!$M$8:$M$2008,$B37,Vendas!$E$8:$E$2008,"&gt;=01/10/"&amp;$G$3,Vendas!$E$8:$E$2008,"&lt;=31/10/"&amp;$G$3)+SUMIFS(Vendas!$U$8:$U$2008,Vendas!$R$8:$R$2008,$B37,Vendas!$E$8:$E$2008,"&gt;=01/10/"&amp;$G$3,Vendas!$E$8:$E$2008,"&lt;=31/10/"&amp;$G$3)+SUMIFS(Vendas!$Z$8:$Z$2008,Vendas!$W$8:$W$2008,$B37,Vendas!$E$8:$E$2008,"&gt;=01/10/"&amp;$G$3,Vendas!$E$8:$E$2008,"&lt;=31/10/"&amp;$G$3)+SUMIFS(Vendas!$AE$8:$AE$2008,Vendas!$AB$8:$AB$2008,$B37,Vendas!$E$8:$E$2008,"&gt;=01/10/"&amp;$G$3,Vendas!$E$8:$E$2008,"&lt;=31/10/"&amp;$G$3)+SUMIFS(Vendas!$AJ$8:$AJ$2008,Vendas!$AG$8:$AG$2008,$B37,Vendas!$E$8:$E$2008,"&gt;=01/10/"&amp;$G$3,Vendas!$E$8:$E$2008,"&lt;=31/10/"&amp;$G$3)+SUMIFS(Vendas!$AO$8:$AO$2008,Vendas!$AL$8:$AL$2008,$B37,Vendas!$E$8:$E$2008,"&gt;=01/10/"&amp;$G$3,Vendas!$E$8:$E$2008,"&lt;=31/10/"&amp;$G$3)+SUMIFS(Vendas!$AT$8:$AT$2008,Vendas!$AQ$8:$AQ$2008,$B37,Vendas!$E$8:$E$2008,"&gt;=01/10/"&amp;$G$3,Vendas!$E$8:$E$2008,"&lt;=31/10/"&amp;$G$3)</f>
        <v>0</v>
      </c>
      <c r="V37" s="159">
        <f>SUMIFS(Vendas!$K$8:$K$2008,Vendas!$H$8:$H$2008,$B37,Vendas!$E$8:$E$2008,"&gt;=01/10/"&amp;$G$3,Vendas!$E$8:$E$2008,"&lt;=31/10/"&amp;$G$3,Vendas!$C$8:$C$2008,"Entregue")+SUMIFS(Vendas!$P$8:$P$2008,Vendas!$M$8:$M$2008,$B37,Vendas!$E$8:$E$2008,"&gt;=01/10/"&amp;$G$3,Vendas!$E$8:$E$2008,"&lt;=31/10/"&amp;$G$3,Vendas!$C$8:$C$2008,"Entregue")+SUMIFS(Vendas!$U$8:$U$2008,Vendas!$R$8:$R$2008,$B37,Vendas!$E$8:$E$2008,"&gt;=01/10/"&amp;$G$3,Vendas!$E$8:$E$2008,"&lt;=31/10/"&amp;$G$3,Vendas!$C$8:$C$2008,"Entregue")+SUMIFS(Vendas!$Z$8:$Z$2008,Vendas!$W$8:$W$2008,$B37,Vendas!$E$8:$E$2008,"&gt;=01/10/"&amp;$G$3,Vendas!$E$8:$E$2008,"&lt;=31/10/"&amp;$G$3,Vendas!$C$8:$C$2008,"Entregue")+SUMIFS(Vendas!$AE$8:$AE$2008,Vendas!$AB$8:$AB$2008,$B37,Vendas!$E$8:$E$2008,"&gt;=01/10/"&amp;$G$3,Vendas!$E$8:$E$2008,"&lt;=31/10/"&amp;$G$3,Vendas!$C$8:$C$2008,"Entregue")+SUMIFS(Vendas!$AJ$8:$AJ$2008,Vendas!$AG$8:$AG$2008,$B37,Vendas!$E$8:$E$2008,"&gt;=01/10/"&amp;$G$3,Vendas!$E$8:$E$2008,"&lt;=31/10/"&amp;$G$3,Vendas!$C$8:$C$2008,"Entregue")+SUMIFS(Vendas!$AO$8:$AO$2008,Vendas!$AL$8:$AL$2008,$B37,Vendas!$E$8:$E$2008,"&gt;=01/10/"&amp;$G$3,Vendas!$E$8:$E$2008,"&lt;=31/10/"&amp;$G$3,Vendas!$C$8:$C$2008,"Entregue")+SUMIFS(Vendas!$AT$8:$AT$2008,Vendas!$AQ$8:$AQ$2008,$B37,Vendas!$E$8:$E$2008,"&gt;=01/10/"&amp;$G$3,Vendas!$E$8:$E$2008,"&lt;=31/10/"&amp;$G$3,Vendas!$C$8:$C$2008,"Entregue")</f>
        <v>0</v>
      </c>
      <c r="W37" s="159">
        <f>SUMIFS(Vendas!$K$8:$K$2008,Vendas!$H$8:$H$2008,$B37,Vendas!$E$8:$E$2008,"&gt;=01/11/"&amp;$G$3,Vendas!$E$8:$E$2008,"&lt;=30/11/"&amp;$G$3)+SUMIFS(Vendas!$P$8:$P$2008,Vendas!$M$8:$M$2008,$B37,Vendas!$E$8:$E$2008,"&gt;=01/11/"&amp;$G$3,Vendas!$E$8:$E$2008,"&lt;=30/11/"&amp;$G$3)+SUMIFS(Vendas!$U$8:$U$2008,Vendas!$R$8:$R$2008,$B37,Vendas!$E$8:$E$2008,"&gt;=01/11/"&amp;$G$3,Vendas!$E$8:$E$2008,"&lt;=30/11/"&amp;$G$3)+SUMIFS(Vendas!$Z$8:$Z$2008,Vendas!$W$8:$W$2008,$B37,Vendas!$E$8:$E$2008,"&gt;=01/11/"&amp;$G$3,Vendas!$E$8:$E$2008,"&lt;=30/11/"&amp;$G$3)+SUMIFS(Vendas!$AE$8:$AE$2008,Vendas!$AB$8:$AB$2008,$B37,Vendas!$E$8:$E$2008,"&gt;=01/11/"&amp;$G$3,Vendas!$E$8:$E$2008,"&lt;=30/11/"&amp;$G$3)+SUMIFS(Vendas!$AJ$8:$AJ$2008,Vendas!$AG$8:$AG$2008,$B37,Vendas!$E$8:$E$2008,"&gt;=01/11/"&amp;$G$3,Vendas!$E$8:$E$2008,"&lt;=30/11/"&amp;$G$3)+SUMIFS(Vendas!$AO$8:$AO$2008,Vendas!$AL$8:$AL$2008,$B37,Vendas!$E$8:$E$2008,"&gt;=01/11/"&amp;$G$3,Vendas!$E$8:$E$2008,"&lt;=30/11/"&amp;$G$3)+SUMIFS(Vendas!$AT$8:$AT$2008,Vendas!$AQ$8:$AQ$2008,$B37,Vendas!$E$8:$E$2008,"&gt;=01/11/"&amp;$G$3,Vendas!$E$8:$E$2008,"&lt;=30/11/"&amp;$G$3)</f>
        <v>0</v>
      </c>
      <c r="X37" s="159">
        <f>SUMIFS(Vendas!$K$8:$K$2008,Vendas!$H$8:$H$2008,$B37,Vendas!$E$8:$E$2008,"&gt;=01/11/"&amp;$G$3,Vendas!$E$8:$E$2008,"&lt;=30/11/"&amp;$G$3,Vendas!$C$8:$C$2008,"Entregue")+SUMIFS(Vendas!$P$8:$P$2008,Vendas!$M$8:$M$2008,$B37,Vendas!$E$8:$E$2008,"&gt;=01/11/"&amp;$G$3,Vendas!$E$8:$E$2008,"&lt;=30/11/"&amp;$G$3,Vendas!$C$8:$C$2008,"Entregue")+SUMIFS(Vendas!$U$8:$U$2008,Vendas!$R$8:$R$2008,$B37,Vendas!$E$8:$E$2008,"&gt;=01/11/"&amp;$G$3,Vendas!$E$8:$E$2008,"&lt;=30/11/"&amp;$G$3,Vendas!$C$8:$C$2008,"Entregue")+SUMIFS(Vendas!$Z$8:$Z$2008,Vendas!$W$8:$W$2008,$B37,Vendas!$E$8:$E$2008,"&gt;=01/11/"&amp;$G$3,Vendas!$E$8:$E$2008,"&lt;=30/11/"&amp;$G$3,Vendas!$C$8:$C$2008,"Entregue")+SUMIFS(Vendas!$AE$8:$AE$2008,Vendas!$AB$8:$AB$2008,$B37,Vendas!$E$8:$E$2008,"&gt;=01/11/"&amp;$G$3,Vendas!$E$8:$E$2008,"&lt;=30/11/"&amp;$G$3,Vendas!$C$8:$C$2008,"Entregue")+SUMIFS(Vendas!$AJ$8:$AJ$2008,Vendas!$AG$8:$AG$2008,$B37,Vendas!$E$8:$E$2008,"&gt;=01/11/"&amp;$G$3,Vendas!$E$8:$E$2008,"&lt;=30/11/"&amp;$G$3,Vendas!$C$8:$C$2008,"Entregue")+SUMIFS(Vendas!$AO$8:$AO$2008,Vendas!$AL$8:$AL$2008,$B37,Vendas!$E$8:$E$2008,"&gt;=01/11/"&amp;$G$3,Vendas!$E$8:$E$2008,"&lt;=30/11/"&amp;$G$3,Vendas!$C$8:$C$2008,"Entregue")+SUMIFS(Vendas!$AT$8:$AT$2008,Vendas!$AQ$8:$AQ$2008,$B37,Vendas!$E$8:$E$2008,"&gt;=01/11/"&amp;$G$3,Vendas!$E$8:$E$2008,"&lt;=30/11/"&amp;$G$3,Vendas!$C$8:$C$2008,"Entregue")</f>
        <v>0</v>
      </c>
      <c r="Y37" s="159">
        <f>SUMIFS(Vendas!$K$8:$K$2008,Vendas!$H$8:$H$2008,$B37,Vendas!$E$8:$E$2008,"&gt;=01/12/"&amp;$G$3,Vendas!$E$8:$E$2008,"&lt;=31/12/"&amp;$G$3)+SUMIFS(Vendas!$P$8:$P$2008,Vendas!$M$8:$M$2008,$B37,Vendas!$E$8:$E$2008,"&gt;=01/12/"&amp;$G$3,Vendas!$E$8:$E$2008,"&lt;=31/12/"&amp;$G$3)+SUMIFS(Vendas!$U$8:$U$2008,Vendas!$R$8:$R$2008,$B37,Vendas!$E$8:$E$2008,"&gt;=01/12/"&amp;$G$3,Vendas!$E$8:$E$2008,"&lt;=31/12/"&amp;$G$3)+SUMIFS(Vendas!$Z$8:$Z$2008,Vendas!$W$8:$W$2008,$B37,Vendas!$E$8:$E$2008,"&gt;=01/12/"&amp;$G$3,Vendas!$E$8:$E$2008,"&lt;=31/12/"&amp;$G$3)+SUMIFS(Vendas!$AE$8:$AE$2008,Vendas!$AB$8:$AB$2008,$B37,Vendas!$E$8:$E$2008,"&gt;=01/12/"&amp;$G$3,Vendas!$E$8:$E$2008,"&lt;=31/12/"&amp;$G$3)+SUMIFS(Vendas!$AJ$8:$AJ$2008,Vendas!$AG$8:$AG$2008,$B37,Vendas!$E$8:$E$2008,"&gt;=01/12/"&amp;$G$3,Vendas!$E$8:$E$2008,"&lt;=31/12/"&amp;$G$3)+SUMIFS(Vendas!$AO$8:$AO$2008,Vendas!$AL$8:$AL$2008,$B37,Vendas!$E$8:$E$2008,"&gt;=01/12/"&amp;$G$3,Vendas!$E$8:$E$2008,"&lt;=31/12/"&amp;$G$3)+SUMIFS(Vendas!$AT$8:$AT$2008,Vendas!$AQ$8:$AQ$2008,$B37,Vendas!$E$8:$E$2008,"&gt;=01/12/"&amp;$G$3,Vendas!$E$8:$E$2008,"&lt;=31/12/"&amp;$G$3)</f>
        <v>0</v>
      </c>
      <c r="Z37" s="160">
        <f>SUMIFS(Vendas!$K$8:$K$2008,Vendas!$H$8:$H$2008,$B37,Vendas!$E$8:$E$2008,"&gt;=01/12/"&amp;$G$3,Vendas!$E$8:$E$2008,"&lt;=31/12/"&amp;$G$3,Vendas!$C$8:$C$2008,"Entregue")+SUMIFS(Vendas!$P$8:$P$2008,Vendas!$M$8:$M$2008,$B37,Vendas!$E$8:$E$2008,"&gt;=01/12/"&amp;$G$3,Vendas!$E$8:$E$2008,"&lt;=31/12/"&amp;$G$3,Vendas!$C$8:$C$2008,"Entregue")+SUMIFS(Vendas!$U$8:$U$2008,Vendas!$R$8:$R$2008,$B37,Vendas!$E$8:$E$2008,"&gt;=01/12/"&amp;$G$3,Vendas!$E$8:$E$2008,"&lt;=31/12/"&amp;$G$3,Vendas!$C$8:$C$2008,"Entregue")+SUMIFS(Vendas!$Z$8:$Z$2008,Vendas!$W$8:$W$2008,$B37,Vendas!$E$8:$E$2008,"&gt;=01/12/"&amp;$G$3,Vendas!$E$8:$E$2008,"&lt;=31/12/"&amp;$G$3,Vendas!$C$8:$C$2008,"Entregue")+SUMIFS(Vendas!$AE$8:$AE$2008,Vendas!$AB$8:$AB$2008,$B37,Vendas!$E$8:$E$2008,"&gt;=01/12/"&amp;$G$3,Vendas!$E$8:$E$2008,"&lt;=31/12/"&amp;$G$3,Vendas!$C$8:$C$2008,"Entregue")+SUMIFS(Vendas!$AJ$8:$AJ$2008,Vendas!$AG$8:$AG$2008,$B37,Vendas!$E$8:$E$2008,"&gt;=01/12/"&amp;$G$3,Vendas!$E$8:$E$2008,"&lt;=31/12/"&amp;$G$3,Vendas!$C$8:$C$2008,"Entregue")+SUMIFS(Vendas!$AO$8:$AO$2008,Vendas!$AL$8:$AL$2008,$B37,Vendas!$E$8:$E$2008,"&gt;=01/12/"&amp;$G$3,Vendas!$E$8:$E$2008,"&lt;=31/12/"&amp;$G$3,Vendas!$C$8:$C$2008,"Entregue")+SUMIFS(Vendas!$AT$8:$AT$2008,Vendas!$AQ$8:$AQ$2008,$B37,Vendas!$E$8:$E$2008,"&gt;=01/12/"&amp;$G$3,Vendas!$E$8:$E$2008,"&lt;=31/12/"&amp;$G$3,Vendas!$C$8:$C$2008,"Entregue")</f>
        <v>0</v>
      </c>
      <c r="AA37" s="132">
        <f t="shared" si="0"/>
        <v>0</v>
      </c>
      <c r="AB37" s="132">
        <f t="shared" si="0"/>
        <v>0</v>
      </c>
      <c r="AC37" s="67"/>
    </row>
    <row r="38" spans="2:29" ht="14.4" x14ac:dyDescent="0.3">
      <c r="B38" s="262" t="str">
        <f>IF(Cadastros!G29="","",Cadastros!G29)</f>
        <v>108 - Ioncel Wifi Ecoturb</v>
      </c>
      <c r="C38" s="161">
        <f>SUMIFS(Vendas!$K$8:$K$2008,Vendas!$H$8:$H$2008,$B38,Vendas!$E$8:$E$2008,"&gt;=01/01/"&amp;$G$3,Vendas!$E$8:$E$2008,"&lt;=31/01/"&amp;$G$3)+SUMIFS(Vendas!$P$8:$P$2008,Vendas!$M$8:$M$2008,$B38,Vendas!$E$8:$E$2008,"&gt;=01/01/"&amp;$G$3,Vendas!$E$8:$E$2008,"&lt;=31/01/"&amp;$G$3)+SUMIFS(Vendas!$U$8:$U$2008,Vendas!$R$8:$R$2008,$B38,Vendas!$E$8:$E$2008,"&gt;=01/01/"&amp;$G$3,Vendas!$E$8:$E$2008,"&lt;=31/01/"&amp;$G$3)+SUMIFS(Vendas!$Z$8:$Z$2008,Vendas!$W$8:$W$2008,$B38,Vendas!$E$8:$E$2008,"&gt;=01/01/"&amp;$G$3,Vendas!$E$8:$E$2008,"&lt;=31/01/"&amp;$G$3)+SUMIFS(Vendas!$AE$8:$AE$2008,Vendas!$AB$8:$AB$2008,$B38,Vendas!$E$8:$E$2008,"&gt;=01/01/"&amp;$G$3,Vendas!$E$8:$E$2008,"&lt;=31/01/"&amp;$G$3)+SUMIFS(Vendas!$AJ$8:$AJ$2008,Vendas!$AG$8:$AG$2008,$B38,Vendas!$E$8:$E$2008,"&gt;=01/01/"&amp;$G$3,Vendas!$E$8:$E$2008,"&lt;=31/01/"&amp;$G$3)+SUMIFS(Vendas!$AO$8:$AO$2008,Vendas!$AL$8:$AL$2008,$B38,Vendas!$E$8:$E$2008,"&gt;=01/01/"&amp;$G$3,Vendas!$E$8:$E$2008,"&lt;=31/01/"&amp;$G$3)+SUMIFS(Vendas!$AT$8:$AT$2008,Vendas!$AQ$8:$AQ$2008,$B38,Vendas!$E$8:$E$2008,"&gt;=01/01/"&amp;$G$3,Vendas!$E$8:$E$2008,"&lt;=31/01/"&amp;$G$3)</f>
        <v>0</v>
      </c>
      <c r="D38" s="162">
        <f>SUMIFS(Vendas!$K$8:$K$2008,Vendas!$H$8:$H$2008,$B38,Vendas!$E$8:$E$2008,"&gt;=01/01/"&amp;$G$3,Vendas!$E$8:$E$2008,"&lt;=31/01/"&amp;$G$3,Vendas!$C$8:$C$2008,"Entregue")+SUMIFS(Vendas!$P$8:$P$2008,Vendas!$M$8:$M$2008,$B38,Vendas!$E$8:$E$2008,"&gt;=01/01/"&amp;$G$3,Vendas!$E$8:$E$2008,"&lt;=31/01/"&amp;$G$3,Vendas!$C$8:$C$2008,"Entregue")+SUMIFS(Vendas!$U$8:$U$2008,Vendas!$R$8:$R$2008,$B38,Vendas!$E$8:$E$2008,"&gt;=01/01/"&amp;$G$3,Vendas!$E$8:$E$2008,"&lt;=31/01/"&amp;$G$3,Vendas!$C$8:$C$2008,"Entregue")+SUMIFS(Vendas!$Z$8:$Z$2008,Vendas!$W$8:$W$2008,$B38,Vendas!$E$8:$E$2008,"&gt;=01/01/"&amp;$G$3,Vendas!$E$8:$E$2008,"&lt;=31/01/"&amp;$G$3,Vendas!$C$8:$C$2008,"Entregue")+SUMIFS(Vendas!$AE$8:$AE$2008,Vendas!$AB$8:$AB$2008,$B38,Vendas!$E$8:$E$2008,"&gt;=01/01/"&amp;$G$3,Vendas!$E$8:$E$2008,"&lt;=31/01/"&amp;$G$3,Vendas!$C$8:$C$2008,"Entregue")+SUMIFS(Vendas!$AJ$8:$AJ$2008,Vendas!$AG$8:$AG$2008,$B38,Vendas!$E$8:$E$2008,"&gt;=01/01/"&amp;$G$3,Vendas!$E$8:$E$2008,"&lt;=31/01/"&amp;$G$3,Vendas!$C$8:$C$2008,"Entregue")+SUMIFS(Vendas!$AO$8:$AO$2008,Vendas!$AL$8:$AL$2008,$B38,Vendas!$E$8:$E$2008,"&gt;=01/01/"&amp;$G$3,Vendas!$E$8:$E$2008,"&lt;=31/01/"&amp;$G$3,Vendas!$C$8:$C$2008,"Entregue")+SUMIFS(Vendas!$AT$8:$AT$2008,Vendas!$AQ$8:$AQ$2008,$B38,Vendas!$E$8:$E$2008,"&gt;=01/01/"&amp;$G$3,Vendas!$E$8:$E$2008,"&lt;=31/01/"&amp;$G$3,Vendas!$C$8:$C$2008,"Entregue")</f>
        <v>0</v>
      </c>
      <c r="E38" s="162">
        <f>SUMIFS(Vendas!$K$8:$K$2008,Vendas!$H$8:$H$2008,$B38,Vendas!$E$8:$E$2008,"&gt;=01/02/"&amp;$G$3,Vendas!$E$8:$E$2008,"&lt;=28/02/"&amp;$G$3)+SUMIFS(Vendas!$P$8:$P$2008,Vendas!$M$8:$M$2008,$B38,Vendas!$E$8:$E$2008,"&gt;=01/02/"&amp;$G$3,Vendas!$E$8:$E$2008,"&lt;=28/02/"&amp;$G$3)+SUMIFS(Vendas!$U$8:$U$2008,Vendas!$R$8:$R$2008,$B38,Vendas!$E$8:$E$2008,"&gt;=01/02/"&amp;$G$3,Vendas!$E$8:$E$2008,"&lt;=28/02/"&amp;$G$3)+SUMIFS(Vendas!$Z$8:$Z$2008,Vendas!$W$8:$W$2008,$B38,Vendas!$E$8:$E$2008,"&gt;=01/02/"&amp;$G$3,Vendas!$E$8:$E$2008,"&lt;=28/02/"&amp;$G$3)+SUMIFS(Vendas!$AE$8:$AE$2008,Vendas!$AB$8:$AB$2008,$B38,Vendas!$E$8:$E$2008,"&gt;=01/02/"&amp;$G$3,Vendas!$E$8:$E$2008,"&lt;=28/02/"&amp;$G$3)+SUMIFS(Vendas!$AJ$8:$AJ$2008,Vendas!$AG$8:$AG$2008,$B38,Vendas!$E$8:$E$2008,"&gt;=01/02/"&amp;$G$3,Vendas!$E$8:$E$2008,"&lt;=28/02/"&amp;$G$3)+SUMIFS(Vendas!$AO$8:$AO$2008,Vendas!$AL$8:$AL$2008,$B38,Vendas!$E$8:$E$2008,"&gt;=01/02/"&amp;$G$3,Vendas!$E$8:$E$2008,"&lt;=28/02/"&amp;$G$3)+SUMIFS(Vendas!$AT$8:$AT$2008,Vendas!$AQ$8:$AQ$2008,$B38,Vendas!$E$8:$E$2008,"&gt;=01/02/"&amp;$G$3,Vendas!$E$8:$E$2008,"&lt;=28/02/"&amp;$G$3)</f>
        <v>0</v>
      </c>
      <c r="F38" s="162">
        <f>SUMIFS(Vendas!$K$8:$K$2008,Vendas!$H$8:$H$2008,$B38,Vendas!$E$8:$E$2008,"&gt;=01/02/"&amp;$G$3,Vendas!$E$8:$E$2008,"&lt;=28/02/"&amp;$G$3,Vendas!$C$8:$C$2008,"Entregue")+SUMIFS(Vendas!$P$8:$P$2008,Vendas!$M$8:$M$2008,$B38,Vendas!$E$8:$E$2008,"&gt;=01/02/"&amp;$G$3,Vendas!$E$8:$E$2008,"&lt;=28/02/"&amp;$G$3,Vendas!$C$8:$C$2008,"Entregue")+SUMIFS(Vendas!$U$8:$U$2008,Vendas!$R$8:$R$2008,$B38,Vendas!$E$8:$E$2008,"&gt;=01/02/"&amp;$G$3,Vendas!$E$8:$E$2008,"&lt;=28/02/"&amp;$G$3,Vendas!$C$8:$C$2008,"Entregue")+SUMIFS(Vendas!$Z$8:$Z$2008,Vendas!$W$8:$W$2008,$B38,Vendas!$E$8:$E$2008,"&gt;=01/02/"&amp;$G$3,Vendas!$E$8:$E$2008,"&lt;=28/02/"&amp;$G$3,Vendas!$C$8:$C$2008,"Entregue")+SUMIFS(Vendas!$AE$8:$AE$2008,Vendas!$AB$8:$AB$2008,$B38,Vendas!$E$8:$E$2008,"&gt;=01/02/"&amp;$G$3,Vendas!$E$8:$E$2008,"&lt;=28/02/"&amp;$G$3,Vendas!$C$8:$C$2008,"Entregue")+SUMIFS(Vendas!$AJ$8:$AJ$2008,Vendas!$AG$8:$AG$2008,$B38,Vendas!$E$8:$E$2008,"&gt;=01/02/"&amp;$G$3,Vendas!$E$8:$E$2008,"&lt;=28/02/"&amp;$G$3,Vendas!$C$8:$C$2008,"Entregue")+SUMIFS(Vendas!$AO$8:$AO$2008,Vendas!$AL$8:$AL$2008,$B38,Vendas!$E$8:$E$2008,"&gt;=01/02/"&amp;$G$3,Vendas!$E$8:$E$2008,"&lt;=28/02/"&amp;$G$3,Vendas!$C$8:$C$2008,"Entregue")+SUMIFS(Vendas!$AT$8:$AT$2008,Vendas!$AQ$8:$AQ$2008,$B38,Vendas!$E$8:$E$2008,"&gt;=01/02/"&amp;$G$3,Vendas!$E$8:$E$2008,"&lt;=28/02/"&amp;$G$3,Vendas!$C$8:$C$2008,"Entregue")</f>
        <v>0</v>
      </c>
      <c r="G38" s="162">
        <f>SUMIFS(Vendas!$K$8:$K$2008,Vendas!$H$8:$H$2008,$B38,Vendas!$E$8:$E$2008,"&gt;=01/03/"&amp;$G$3,Vendas!$E$8:$E$2008,"&lt;=31/03/"&amp;$G$3)+SUMIFS(Vendas!$P$8:$P$2008,Vendas!$M$8:$M$2008,$B38,Vendas!$E$8:$E$2008,"&gt;=01/03/"&amp;$G$3,Vendas!$E$8:$E$2008,"&lt;=31/03/"&amp;$G$3)+SUMIFS(Vendas!$U$8:$U$2008,Vendas!$R$8:$R$2008,$B38,Vendas!$E$8:$E$2008,"&gt;=01/03/"&amp;$G$3,Vendas!$E$8:$E$2008,"&lt;=31/03/"&amp;$G$3)+SUMIFS(Vendas!$Z$8:$Z$2008,Vendas!$W$8:$W$2008,$B38,Vendas!$E$8:$E$2008,"&gt;=01/03/"&amp;$G$3,Vendas!$E$8:$E$2008,"&lt;=31/03/"&amp;$G$3)+SUMIFS(Vendas!$AE$8:$AE$2008,Vendas!$AB$8:$AB$2008,$B38,Vendas!$E$8:$E$2008,"&gt;=01/03/"&amp;$G$3,Vendas!$E$8:$E$2008,"&lt;=31/03/"&amp;$G$3)+SUMIFS(Vendas!$AJ$8:$AJ$2008,Vendas!$AG$8:$AG$2008,$B38,Vendas!$E$8:$E$2008,"&gt;=01/03/"&amp;$G$3,Vendas!$E$8:$E$2008,"&lt;=31/03/"&amp;$G$3)+SUMIFS(Vendas!$AO$8:$AO$2008,Vendas!$AL$8:$AL$2008,$B38,Vendas!$E$8:$E$2008,"&gt;=01/03/"&amp;$G$3,Vendas!$E$8:$E$2008,"&lt;=31/03/"&amp;$G$3)+SUMIFS(Vendas!$AT$8:$AT$2008,Vendas!$AQ$8:$AQ$2008,$B38,Vendas!$E$8:$E$2008,"&gt;=01/03/"&amp;$G$3,Vendas!$E$8:$E$2008,"&lt;=31/03/"&amp;$G$3)</f>
        <v>0</v>
      </c>
      <c r="H38" s="162">
        <f>SUMIFS(Vendas!$K$8:$K$2008,Vendas!$H$8:$H$2008,$B38,Vendas!$E$8:$E$2008,"&gt;=01/03/"&amp;$G$3,Vendas!$E$8:$E$2008,"&lt;=31/03/"&amp;$G$3,Vendas!$C$8:$C$2008,"Entregue")+SUMIFS(Vendas!$P$8:$P$2008,Vendas!$M$8:$M$2008,$B38,Vendas!$E$8:$E$2008,"&gt;=01/03/"&amp;$G$3,Vendas!$E$8:$E$2008,"&lt;=31/03/"&amp;$G$3,Vendas!$C$8:$C$2008,"Entregue")+SUMIFS(Vendas!$U$8:$U$2008,Vendas!$R$8:$R$2008,$B38,Vendas!$E$8:$E$2008,"&gt;=01/03/"&amp;$G$3,Vendas!$E$8:$E$2008,"&lt;=31/03/"&amp;$G$3,Vendas!$C$8:$C$2008,"Entregue")+SUMIFS(Vendas!$Z$8:$Z$2008,Vendas!$W$8:$W$2008,$B38,Vendas!$E$8:$E$2008,"&gt;=01/03/"&amp;$G$3,Vendas!$E$8:$E$2008,"&lt;=31/03/"&amp;$G$3,Vendas!$C$8:$C$2008,"Entregue")+SUMIFS(Vendas!$AE$8:$AE$2008,Vendas!$AB$8:$AB$2008,$B38,Vendas!$E$8:$E$2008,"&gt;=01/03/"&amp;$G$3,Vendas!$E$8:$E$2008,"&lt;=31/03/"&amp;$G$3,Vendas!$C$8:$C$2008,"Entregue")+SUMIFS(Vendas!$AJ$8:$AJ$2008,Vendas!$AG$8:$AG$2008,$B38,Vendas!$E$8:$E$2008,"&gt;=01/03/"&amp;$G$3,Vendas!$E$8:$E$2008,"&lt;=31/03/"&amp;$G$3,Vendas!$C$8:$C$2008,"Entregue")+SUMIFS(Vendas!$AO$8:$AO$2008,Vendas!$AL$8:$AL$2008,$B38,Vendas!$E$8:$E$2008,"&gt;=01/03/"&amp;$G$3,Vendas!$E$8:$E$2008,"&lt;=31/03/"&amp;$G$3,Vendas!$C$8:$C$2008,"Entregue")+SUMIFS(Vendas!$AT$8:$AT$2008,Vendas!$AQ$8:$AQ$2008,$B38,Vendas!$E$8:$E$2008,"&gt;=01/03/"&amp;$G$3,Vendas!$E$8:$E$2008,"&lt;=31/03/"&amp;$G$3,Vendas!$C$8:$C$2008,"Entregue")</f>
        <v>0</v>
      </c>
      <c r="I38" s="162">
        <f>SUMIFS(Vendas!$K$8:$K$2008,Vendas!$H$8:$H$2008,$B38,Vendas!$E$8:$E$2008,"&gt;=01/04/"&amp;$G$3,Vendas!$E$8:$E$2008,"&lt;=30/04/"&amp;$G$3)+SUMIFS(Vendas!$P$8:$P$2008,Vendas!$M$8:$M$2008,$B38,Vendas!$E$8:$E$2008,"&gt;=01/04/"&amp;$G$3,Vendas!$E$8:$E$2008,"&lt;=30/04/"&amp;$G$3)+SUMIFS(Vendas!$U$8:$U$2008,Vendas!$R$8:$R$2008,$B38,Vendas!$E$8:$E$2008,"&gt;=01/04/"&amp;$G$3,Vendas!$E$8:$E$2008,"&lt;=30/04/"&amp;$G$3)+SUMIFS(Vendas!$Z$8:$Z$2008,Vendas!$W$8:$W$2008,$B38,Vendas!$E$8:$E$2008,"&gt;=01/04/"&amp;$G$3,Vendas!$E$8:$E$2008,"&lt;=30/04/"&amp;$G$3)+SUMIFS(Vendas!$AE$8:$AE$2008,Vendas!$AB$8:$AB$2008,$B38,Vendas!$E$8:$E$2008,"&gt;=01/04/"&amp;$G$3,Vendas!$E$8:$E$2008,"&lt;=30/04/"&amp;$G$3)+SUMIFS(Vendas!$AJ$8:$AJ$2008,Vendas!$AG$8:$AG$2008,$B38,Vendas!$E$8:$E$2008,"&gt;=01/04/"&amp;$G$3,Vendas!$E$8:$E$2008,"&lt;=30/04/"&amp;$G$3)+SUMIFS(Vendas!$AO$8:$AO$2008,Vendas!$AL$8:$AL$2008,$B38,Vendas!$E$8:$E$2008,"&gt;=01/04/"&amp;$G$3,Vendas!$E$8:$E$2008,"&lt;=30/04/"&amp;$G$3)+SUMIFS(Vendas!$AT$8:$AT$2008,Vendas!$AQ$8:$AQ$2008,$B38,Vendas!$E$8:$E$2008,"&gt;=01/04/"&amp;$G$3,Vendas!$E$8:$E$2008,"&lt;=30/04/"&amp;$G$3)</f>
        <v>0</v>
      </c>
      <c r="J38" s="162">
        <f>SUMIFS(Vendas!$K$8:$K$2008,Vendas!$H$8:$H$2008,$B38,Vendas!$E$8:$E$2008,"&gt;=01/04/"&amp;$G$3,Vendas!$E$8:$E$2008,"&lt;=30/04/"&amp;$G$3,Vendas!$C$8:$C$2008,"Entregue")+SUMIFS(Vendas!$P$8:$P$2008,Vendas!$M$8:$M$2008,$B38,Vendas!$E$8:$E$2008,"&gt;=01/04/"&amp;$G$3,Vendas!$E$8:$E$2008,"&lt;=30/04/"&amp;$G$3,Vendas!$C$8:$C$2008,"Entregue")+SUMIFS(Vendas!$U$8:$U$2008,Vendas!$R$8:$R$2008,$B38,Vendas!$E$8:$E$2008,"&gt;=01/04/"&amp;$G$3,Vendas!$E$8:$E$2008,"&lt;=30/04/"&amp;$G$3,Vendas!$C$8:$C$2008,"Entregue")+SUMIFS(Vendas!$Z$8:$Z$2008,Vendas!$W$8:$W$2008,$B38,Vendas!$E$8:$E$2008,"&gt;=01/04/"&amp;$G$3,Vendas!$E$8:$E$2008,"&lt;=30/04/"&amp;$G$3,Vendas!$C$8:$C$2008,"Entregue")+SUMIFS(Vendas!$AE$8:$AE$2008,Vendas!$AB$8:$AB$2008,$B38,Vendas!$E$8:$E$2008,"&gt;=01/04/"&amp;$G$3,Vendas!$E$8:$E$2008,"&lt;=30/04/"&amp;$G$3,Vendas!$C$8:$C$2008,"Entregue")+SUMIFS(Vendas!$AJ$8:$AJ$2008,Vendas!$AG$8:$AG$2008,$B38,Vendas!$E$8:$E$2008,"&gt;=01/04/"&amp;$G$3,Vendas!$E$8:$E$2008,"&lt;=30/04/"&amp;$G$3,Vendas!$C$8:$C$2008,"Entregue")+SUMIFS(Vendas!$AO$8:$AO$2008,Vendas!$AL$8:$AL$2008,$B38,Vendas!$E$8:$E$2008,"&gt;=01/04/"&amp;$G$3,Vendas!$E$8:$E$2008,"&lt;=30/04/"&amp;$G$3,Vendas!$C$8:$C$2008,"Entregue")+SUMIFS(Vendas!$AT$8:$AT$2008,Vendas!$AQ$8:$AQ$2008,$B38,Vendas!$E$8:$E$2008,"&gt;=01/04/"&amp;$G$3,Vendas!$E$8:$E$2008,"&lt;=30/04/"&amp;$G$3,Vendas!$C$8:$C$2008,"Entregue")</f>
        <v>0</v>
      </c>
      <c r="K38" s="162">
        <f>SUMIFS(Vendas!$K$8:$K$2008,Vendas!$H$8:$H$2008,$B38,Vendas!$E$8:$E$2008,"&gt;=01/05/"&amp;$G$3,Vendas!$E$8:$E$2008,"&lt;=31/05/"&amp;$G$3)+SUMIFS(Vendas!$P$8:$P$2008,Vendas!$M$8:$M$2008,$B38,Vendas!$E$8:$E$2008,"&gt;=01/05/"&amp;$G$3,Vendas!$E$8:$E$2008,"&lt;=31/05/"&amp;$G$3)+SUMIFS(Vendas!$U$8:$U$2008,Vendas!$R$8:$R$2008,$B38,Vendas!$E$8:$E$2008,"&gt;=01/05/"&amp;$G$3,Vendas!$E$8:$E$2008,"&lt;=31/05/"&amp;$G$3)+SUMIFS(Vendas!$Z$8:$Z$2008,Vendas!$W$8:$W$2008,$B38,Vendas!$E$8:$E$2008,"&gt;=01/05/"&amp;$G$3,Vendas!$E$8:$E$2008,"&lt;=31/05/"&amp;$G$3)+SUMIFS(Vendas!$AE$8:$AE$2008,Vendas!$AB$8:$AB$2008,$B38,Vendas!$E$8:$E$2008,"&gt;=01/05/"&amp;$G$3,Vendas!$E$8:$E$2008,"&lt;=31/05/"&amp;$G$3)+SUMIFS(Vendas!$AJ$8:$AJ$2008,Vendas!$AG$8:$AG$2008,$B38,Vendas!$E$8:$E$2008,"&gt;=01/05/"&amp;$G$3,Vendas!$E$8:$E$2008,"&lt;=31/05/"&amp;$G$3)+SUMIFS(Vendas!$AO$8:$AO$2008,Vendas!$AL$8:$AL$2008,$B38,Vendas!$E$8:$E$2008,"&gt;=01/05/"&amp;$G$3,Vendas!$E$8:$E$2008,"&lt;=31/05/"&amp;$G$3)+SUMIFS(Vendas!$AT$8:$AT$2008,Vendas!$AQ$8:$AQ$2008,$B38,Vendas!$E$8:$E$2008,"&gt;=01/05/"&amp;$G$3,Vendas!$E$8:$E$2008,"&lt;=31/05/"&amp;$G$3)</f>
        <v>0</v>
      </c>
      <c r="L38" s="162">
        <f>SUMIFS(Vendas!$K$8:$K$2008,Vendas!$H$8:$H$2008,$B38,Vendas!$E$8:$E$2008,"&gt;=01/05/"&amp;$G$3,Vendas!$E$8:$E$2008,"&lt;=31/05/"&amp;$G$3,Vendas!$C$8:$C$2008,"Entregue")+SUMIFS(Vendas!$P$8:$P$2008,Vendas!$M$8:$M$2008,$B38,Vendas!$E$8:$E$2008,"&gt;=01/05/"&amp;$G$3,Vendas!$E$8:$E$2008,"&lt;=31/05/"&amp;$G$3,Vendas!$C$8:$C$2008,"Entregue")+SUMIFS(Vendas!$U$8:$U$2008,Vendas!$R$8:$R$2008,$B38,Vendas!$E$8:$E$2008,"&gt;=01/05/"&amp;$G$3,Vendas!$E$8:$E$2008,"&lt;=31/05/"&amp;$G$3,Vendas!$C$8:$C$2008,"Entregue")+SUMIFS(Vendas!$Z$8:$Z$2008,Vendas!$W$8:$W$2008,$B38,Vendas!$E$8:$E$2008,"&gt;=01/05/"&amp;$G$3,Vendas!$E$8:$E$2008,"&lt;=31/05/"&amp;$G$3,Vendas!$C$8:$C$2008,"Entregue")+SUMIFS(Vendas!$AE$8:$AE$2008,Vendas!$AB$8:$AB$2008,$B38,Vendas!$E$8:$E$2008,"&gt;=01/05/"&amp;$G$3,Vendas!$E$8:$E$2008,"&lt;=31/05/"&amp;$G$3,Vendas!$C$8:$C$2008,"Entregue")+SUMIFS(Vendas!$AJ$8:$AJ$2008,Vendas!$AG$8:$AG$2008,$B38,Vendas!$E$8:$E$2008,"&gt;=01/05/"&amp;$G$3,Vendas!$E$8:$E$2008,"&lt;=31/05/"&amp;$G$3,Vendas!$C$8:$C$2008,"Entregue")+SUMIFS(Vendas!$AO$8:$AO$2008,Vendas!$AL$8:$AL$2008,$B38,Vendas!$E$8:$E$2008,"&gt;=01/05/"&amp;$G$3,Vendas!$E$8:$E$2008,"&lt;=31/05/"&amp;$G$3,Vendas!$C$8:$C$2008,"Entregue")+SUMIFS(Vendas!$AT$8:$AT$2008,Vendas!$AQ$8:$AQ$2008,$B38,Vendas!$E$8:$E$2008,"&gt;=01/05/"&amp;$G$3,Vendas!$E$8:$E$2008,"&lt;=31/05/"&amp;$G$3,Vendas!$C$8:$C$2008,"Entregue")</f>
        <v>0</v>
      </c>
      <c r="M38" s="162">
        <f>SUMIFS(Vendas!$K$8:$K$2008,Vendas!$H$8:$H$2008,$B38,Vendas!$E$8:$E$2008,"&gt;=01/06/"&amp;$G$3,Vendas!$E$8:$E$2008,"&lt;=30/06/"&amp;$G$3)+SUMIFS(Vendas!$P$8:$P$2008,Vendas!$M$8:$M$2008,$B38,Vendas!$E$8:$E$2008,"&gt;=01/06/"&amp;$G$3,Vendas!$E$8:$E$2008,"&lt;=30/06/"&amp;$G$3)+SUMIFS(Vendas!$U$8:$U$2008,Vendas!$R$8:$R$2008,$B38,Vendas!$E$8:$E$2008,"&gt;=01/06/"&amp;$G$3,Vendas!$E$8:$E$2008,"&lt;=30/06/"&amp;$G$3)+SUMIFS(Vendas!$Z$8:$Z$2008,Vendas!$W$8:$W$2008,$B38,Vendas!$E$8:$E$2008,"&gt;=01/06/"&amp;$G$3,Vendas!$E$8:$E$2008,"&lt;=30/06/"&amp;$G$3)+SUMIFS(Vendas!$AE$8:$AE$2008,Vendas!$AB$8:$AB$2008,$B38,Vendas!$E$8:$E$2008,"&gt;=01/06/"&amp;$G$3,Vendas!$E$8:$E$2008,"&lt;=30/06/"&amp;$G$3)+SUMIFS(Vendas!$AJ$8:$AJ$2008,Vendas!$AG$8:$AG$2008,$B38,Vendas!$E$8:$E$2008,"&gt;=01/06/"&amp;$G$3,Vendas!$E$8:$E$2008,"&lt;=30/06/"&amp;$G$3)+SUMIFS(Vendas!$AO$8:$AO$2008,Vendas!$AL$8:$AL$2008,$B38,Vendas!$E$8:$E$2008,"&gt;=01/06/"&amp;$G$3,Vendas!$E$8:$E$2008,"&lt;=30/06/"&amp;$G$3)+SUMIFS(Vendas!$AT$8:$AT$2008,Vendas!$AQ$8:$AQ$2008,$B38,Vendas!$E$8:$E$2008,"&gt;=01/06/"&amp;$G$3,Vendas!$E$8:$E$2008,"&lt;=30/06/"&amp;$G$3)</f>
        <v>0</v>
      </c>
      <c r="N38" s="162">
        <f>SUMIFS(Vendas!$K$8:$K$2008,Vendas!$H$8:$H$2008,$B38,Vendas!$E$8:$E$2008,"&gt;=01/06/"&amp;$G$3,Vendas!$E$8:$E$2008,"&lt;=30/06/"&amp;$G$3,Vendas!$C$8:$C$2008,"Entregue")+SUMIFS(Vendas!$P$8:$P$2008,Vendas!$M$8:$M$2008,$B38,Vendas!$E$8:$E$2008,"&gt;=01/06/"&amp;$G$3,Vendas!$E$8:$E$2008,"&lt;=30/06/"&amp;$G$3,Vendas!$C$8:$C$2008,"Entregue")+SUMIFS(Vendas!$U$8:$U$2008,Vendas!$R$8:$R$2008,$B38,Vendas!$E$8:$E$2008,"&gt;=01/06/"&amp;$G$3,Vendas!$E$8:$E$2008,"&lt;=30/06/"&amp;$G$3,Vendas!$C$8:$C$2008,"Entregue")+SUMIFS(Vendas!$Z$8:$Z$2008,Vendas!$W$8:$W$2008,$B38,Vendas!$E$8:$E$2008,"&gt;=01/06/"&amp;$G$3,Vendas!$E$8:$E$2008,"&lt;=30/06/"&amp;$G$3,Vendas!$C$8:$C$2008,"Entregue")+SUMIFS(Vendas!$AE$8:$AE$2008,Vendas!$AB$8:$AB$2008,$B38,Vendas!$E$8:$E$2008,"&gt;=01/06/"&amp;$G$3,Vendas!$E$8:$E$2008,"&lt;=30/06/"&amp;$G$3,Vendas!$C$8:$C$2008,"Entregue")+SUMIFS(Vendas!$AJ$8:$AJ$2008,Vendas!$AG$8:$AG$2008,$B38,Vendas!$E$8:$E$2008,"&gt;=01/06/"&amp;$G$3,Vendas!$E$8:$E$2008,"&lt;=30/06/"&amp;$G$3,Vendas!$C$8:$C$2008,"Entregue")+SUMIFS(Vendas!$AO$8:$AO$2008,Vendas!$AL$8:$AL$2008,$B38,Vendas!$E$8:$E$2008,"&gt;=01/06/"&amp;$G$3,Vendas!$E$8:$E$2008,"&lt;=30/06/"&amp;$G$3,Vendas!$C$8:$C$2008,"Entregue")+SUMIFS(Vendas!$AT$8:$AT$2008,Vendas!$AQ$8:$AQ$2008,$B38,Vendas!$E$8:$E$2008,"&gt;=01/06/"&amp;$G$3,Vendas!$E$8:$E$2008,"&lt;=30/06/"&amp;$G$3,Vendas!$C$8:$C$2008,"Entregue")</f>
        <v>0</v>
      </c>
      <c r="O38" s="162">
        <f>SUMIFS(Vendas!$K$8:$K$2008,Vendas!$H$8:$H$2008,$B38,Vendas!$E$8:$E$2008,"&gt;=01/07/"&amp;$G$3,Vendas!$E$8:$E$2008,"&lt;=31/07/"&amp;$G$3)+SUMIFS(Vendas!$P$8:$P$2008,Vendas!$M$8:$M$2008,$B38,Vendas!$E$8:$E$2008,"&gt;=01/07/"&amp;$G$3,Vendas!$E$8:$E$2008,"&lt;=31/07/"&amp;$G$3)+SUMIFS(Vendas!$U$8:$U$2008,Vendas!$R$8:$R$2008,$B38,Vendas!$E$8:$E$2008,"&gt;=01/07/"&amp;$G$3,Vendas!$E$8:$E$2008,"&lt;=31/07/"&amp;$G$3)+SUMIFS(Vendas!$Z$8:$Z$2008,Vendas!$W$8:$W$2008,$B38,Vendas!$E$8:$E$2008,"&gt;=01/07/"&amp;$G$3,Vendas!$E$8:$E$2008,"&lt;=31/07/"&amp;$G$3)+SUMIFS(Vendas!$AE$8:$AE$2008,Vendas!$AB$8:$AB$2008,$B38,Vendas!$E$8:$E$2008,"&gt;=01/07/"&amp;$G$3,Vendas!$E$8:$E$2008,"&lt;=31/07/"&amp;$G$3)+SUMIFS(Vendas!$AJ$8:$AJ$2008,Vendas!$AG$8:$AG$2008,$B38,Vendas!$E$8:$E$2008,"&gt;=01/07/"&amp;$G$3,Vendas!$E$8:$E$2008,"&lt;=31/07/"&amp;$G$3)+SUMIFS(Vendas!$AO$8:$AO$2008,Vendas!$AL$8:$AL$2008,$B38,Vendas!$E$8:$E$2008,"&gt;=01/07/"&amp;$G$3,Vendas!$E$8:$E$2008,"&lt;=31/07/"&amp;$G$3)+SUMIFS(Vendas!$AT$8:$AT$2008,Vendas!$AQ$8:$AQ$2008,$B38,Vendas!$E$8:$E$2008,"&gt;=01/07/"&amp;$G$3,Vendas!$E$8:$E$2008,"&lt;=31/07/"&amp;$G$3)</f>
        <v>0</v>
      </c>
      <c r="P38" s="162">
        <f>SUMIFS(Vendas!$K$8:$K$2008,Vendas!$H$8:$H$2008,$B38,Vendas!$E$8:$E$2008,"&gt;=01/07/"&amp;$G$3,Vendas!$E$8:$E$2008,"&lt;=31/07/"&amp;$G$3,Vendas!$C$8:$C$2008,"Entregue")+SUMIFS(Vendas!$P$8:$P$2008,Vendas!$M$8:$M$2008,$B38,Vendas!$E$8:$E$2008,"&gt;=01/07/"&amp;$G$3,Vendas!$E$8:$E$2008,"&lt;=31/07/"&amp;$G$3,Vendas!$C$8:$C$2008,"Entregue")+SUMIFS(Vendas!$U$8:$U$2008,Vendas!$R$8:$R$2008,$B38,Vendas!$E$8:$E$2008,"&gt;=01/07/"&amp;$G$3,Vendas!$E$8:$E$2008,"&lt;=31/07/"&amp;$G$3,Vendas!$C$8:$C$2008,"Entregue")+SUMIFS(Vendas!$Z$8:$Z$2008,Vendas!$W$8:$W$2008,$B38,Vendas!$E$8:$E$2008,"&gt;=01/07/"&amp;$G$3,Vendas!$E$8:$E$2008,"&lt;=31/07/"&amp;$G$3,Vendas!$C$8:$C$2008,"Entregue")+SUMIFS(Vendas!$AE$8:$AE$2008,Vendas!$AB$8:$AB$2008,$B38,Vendas!$E$8:$E$2008,"&gt;=01/07/"&amp;$G$3,Vendas!$E$8:$E$2008,"&lt;=31/07/"&amp;$G$3,Vendas!$C$8:$C$2008,"Entregue")+SUMIFS(Vendas!$AJ$8:$AJ$2008,Vendas!$AG$8:$AG$2008,$B38,Vendas!$E$8:$E$2008,"&gt;=01/07/"&amp;$G$3,Vendas!$E$8:$E$2008,"&lt;=31/07/"&amp;$G$3,Vendas!$C$8:$C$2008,"Entregue")+SUMIFS(Vendas!$AO$8:$AO$2008,Vendas!$AL$8:$AL$2008,$B38,Vendas!$E$8:$E$2008,"&gt;=01/07/"&amp;$G$3,Vendas!$E$8:$E$2008,"&lt;=31/07/"&amp;$G$3,Vendas!$C$8:$C$2008,"Entregue")+SUMIFS(Vendas!$AT$8:$AT$2008,Vendas!$AQ$8:$AQ$2008,$B38,Vendas!$E$8:$E$2008,"&gt;=01/07/"&amp;$G$3,Vendas!$E$8:$E$2008,"&lt;=31/07/"&amp;$G$3,Vendas!$C$8:$C$2008,"Entregue")</f>
        <v>0</v>
      </c>
      <c r="Q38" s="162">
        <f>SUMIFS(Vendas!$K$8:$K$2008,Vendas!$H$8:$H$2008,$B38,Vendas!$E$8:$E$2008,"&gt;=01/08/"&amp;$G$3,Vendas!$E$8:$E$2008,"&lt;=31/08/"&amp;$G$3)+SUMIFS(Vendas!$P$8:$P$2008,Vendas!$M$8:$M$2008,$B38,Vendas!$E$8:$E$2008,"&gt;=01/08/"&amp;$G$3,Vendas!$E$8:$E$2008,"&lt;=31/08/"&amp;$G$3)+SUMIFS(Vendas!$U$8:$U$2008,Vendas!$R$8:$R$2008,$B38,Vendas!$E$8:$E$2008,"&gt;=01/08/"&amp;$G$3,Vendas!$E$8:$E$2008,"&lt;=31/08/"&amp;$G$3)+SUMIFS(Vendas!$Z$8:$Z$2008,Vendas!$W$8:$W$2008,$B38,Vendas!$E$8:$E$2008,"&gt;=01/08/"&amp;$G$3,Vendas!$E$8:$E$2008,"&lt;=31/08/"&amp;$G$3)+SUMIFS(Vendas!$AE$8:$AE$2008,Vendas!$AB$8:$AB$2008,$B38,Vendas!$E$8:$E$2008,"&gt;=01/08/"&amp;$G$3,Vendas!$E$8:$E$2008,"&lt;=31/08/"&amp;$G$3)+SUMIFS(Vendas!$AJ$8:$AJ$2008,Vendas!$AG$8:$AG$2008,$B38,Vendas!$E$8:$E$2008,"&gt;=01/08/"&amp;$G$3,Vendas!$E$8:$E$2008,"&lt;=31/08/"&amp;$G$3)+SUMIFS(Vendas!$AO$8:$AO$2008,Vendas!$AL$8:$AL$2008,$B38,Vendas!$E$8:$E$2008,"&gt;=01/08/"&amp;$G$3,Vendas!$E$8:$E$2008,"&lt;=31/08/"&amp;$G$3)+SUMIFS(Vendas!$AT$8:$AT$2008,Vendas!$AQ$8:$AQ$2008,$B38,Vendas!$E$8:$E$2008,"&gt;=01/08/"&amp;$G$3,Vendas!$E$8:$E$2008,"&lt;=31/08/"&amp;$G$3)</f>
        <v>0</v>
      </c>
      <c r="R38" s="162">
        <f>SUMIFS(Vendas!$K$8:$K$2008,Vendas!$H$8:$H$2008,$B38,Vendas!$E$8:$E$2008,"&gt;=01/08/"&amp;$G$3,Vendas!$E$8:$E$2008,"&lt;=31/08/"&amp;$G$3,Vendas!$C$8:$C$2008,"Entregue")+SUMIFS(Vendas!$P$8:$P$2008,Vendas!$M$8:$M$2008,$B38,Vendas!$E$8:$E$2008,"&gt;=01/08/"&amp;$G$3,Vendas!$E$8:$E$2008,"&lt;=31/08/"&amp;$G$3,Vendas!$C$8:$C$2008,"Entregue")+SUMIFS(Vendas!$U$8:$U$2008,Vendas!$R$8:$R$2008,$B38,Vendas!$E$8:$E$2008,"&gt;=01/08/"&amp;$G$3,Vendas!$E$8:$E$2008,"&lt;=31/08/"&amp;$G$3,Vendas!$C$8:$C$2008,"Entregue")+SUMIFS(Vendas!$Z$8:$Z$2008,Vendas!$W$8:$W$2008,$B38,Vendas!$E$8:$E$2008,"&gt;=01/08/"&amp;$G$3,Vendas!$E$8:$E$2008,"&lt;=31/08/"&amp;$G$3,Vendas!$C$8:$C$2008,"Entregue")+SUMIFS(Vendas!$AE$8:$AE$2008,Vendas!$AB$8:$AB$2008,$B38,Vendas!$E$8:$E$2008,"&gt;=01/08/"&amp;$G$3,Vendas!$E$8:$E$2008,"&lt;=31/08/"&amp;$G$3,Vendas!$C$8:$C$2008,"Entregue")+SUMIFS(Vendas!$AJ$8:$AJ$2008,Vendas!$AG$8:$AG$2008,$B38,Vendas!$E$8:$E$2008,"&gt;=01/08/"&amp;$G$3,Vendas!$E$8:$E$2008,"&lt;=31/08/"&amp;$G$3,Vendas!$C$8:$C$2008,"Entregue")+SUMIFS(Vendas!$AO$8:$AO$2008,Vendas!$AL$8:$AL$2008,$B38,Vendas!$E$8:$E$2008,"&gt;=01/08/"&amp;$G$3,Vendas!$E$8:$E$2008,"&lt;=31/08/"&amp;$G$3,Vendas!$C$8:$C$2008,"Entregue")+SUMIFS(Vendas!$AT$8:$AT$2008,Vendas!$AQ$8:$AQ$2008,$B38,Vendas!$E$8:$E$2008,"&gt;=01/08/"&amp;$G$3,Vendas!$E$8:$E$2008,"&lt;=31/08/"&amp;$G$3,Vendas!$C$8:$C$2008,"Entregue")</f>
        <v>0</v>
      </c>
      <c r="S38" s="162">
        <f>SUMIFS(Vendas!$K$8:$K$2008,Vendas!$H$8:$H$2008,$B38,Vendas!$E$8:$E$2008,"&gt;=01/09/"&amp;$G$3,Vendas!$E$8:$E$2008,"&lt;=30/09/"&amp;$G$3)+SUMIFS(Vendas!$P$8:$P$2008,Vendas!$M$8:$M$2008,$B38,Vendas!$E$8:$E$2008,"&gt;=01/09/"&amp;$G$3,Vendas!$E$8:$E$2008,"&lt;=30/09/"&amp;$G$3)+SUMIFS(Vendas!$U$8:$U$2008,Vendas!$R$8:$R$2008,$B38,Vendas!$E$8:$E$2008,"&gt;=01/09/"&amp;$G$3,Vendas!$E$8:$E$2008,"&lt;=30/09/"&amp;$G$3)+SUMIFS(Vendas!$Z$8:$Z$2008,Vendas!$W$8:$W$2008,$B38,Vendas!$E$8:$E$2008,"&gt;=01/09/"&amp;$G$3,Vendas!$E$8:$E$2008,"&lt;=30/09/"&amp;$G$3)+SUMIFS(Vendas!$AE$8:$AE$2008,Vendas!$AB$8:$AB$2008,$B38,Vendas!$E$8:$E$2008,"&gt;=01/09/"&amp;$G$3,Vendas!$E$8:$E$2008,"&lt;=30/09/"&amp;$G$3)+SUMIFS(Vendas!$AJ$8:$AJ$2008,Vendas!$AG$8:$AG$2008,$B38,Vendas!$E$8:$E$2008,"&gt;=01/09/"&amp;$G$3,Vendas!$E$8:$E$2008,"&lt;=30/09/"&amp;$G$3)+SUMIFS(Vendas!$AO$8:$AO$2008,Vendas!$AL$8:$AL$2008,$B38,Vendas!$E$8:$E$2008,"&gt;=01/09/"&amp;$G$3,Vendas!$E$8:$E$2008,"&lt;=30/09/"&amp;$G$3)+SUMIFS(Vendas!$AT$8:$AT$2008,Vendas!$AQ$8:$AQ$2008,$B38,Vendas!$E$8:$E$2008,"&gt;=01/09/"&amp;$G$3,Vendas!$E$8:$E$2008,"&lt;=30/09/"&amp;$G$3)</f>
        <v>0</v>
      </c>
      <c r="T38" s="162">
        <f>SUMIFS(Vendas!$K$8:$K$2008,Vendas!$H$8:$H$2008,$B38,Vendas!$E$8:$E$2008,"&gt;=01/09/"&amp;$G$3,Vendas!$E$8:$E$2008,"&lt;=30/09/"&amp;$G$3,Vendas!$C$8:$C$2008,"Entregue")+SUMIFS(Vendas!$P$8:$P$2008,Vendas!$M$8:$M$2008,$B38,Vendas!$E$8:$E$2008,"&gt;=01/09/"&amp;$G$3,Vendas!$E$8:$E$2008,"&lt;=30/09/"&amp;$G$3,Vendas!$C$8:$C$2008,"Entregue")+SUMIFS(Vendas!$U$8:$U$2008,Vendas!$R$8:$R$2008,$B38,Vendas!$E$8:$E$2008,"&gt;=01/09/"&amp;$G$3,Vendas!$E$8:$E$2008,"&lt;=30/09/"&amp;$G$3,Vendas!$C$8:$C$2008,"Entregue")+SUMIFS(Vendas!$Z$8:$Z$2008,Vendas!$W$8:$W$2008,$B38,Vendas!$E$8:$E$2008,"&gt;=01/09/"&amp;$G$3,Vendas!$E$8:$E$2008,"&lt;=30/09/"&amp;$G$3,Vendas!$C$8:$C$2008,"Entregue")+SUMIFS(Vendas!$AE$8:$AE$2008,Vendas!$AB$8:$AB$2008,$B38,Vendas!$E$8:$E$2008,"&gt;=01/09/"&amp;$G$3,Vendas!$E$8:$E$2008,"&lt;=30/09/"&amp;$G$3,Vendas!$C$8:$C$2008,"Entregue")+SUMIFS(Vendas!$AJ$8:$AJ$2008,Vendas!$AG$8:$AG$2008,$B38,Vendas!$E$8:$E$2008,"&gt;=01/09/"&amp;$G$3,Vendas!$E$8:$E$2008,"&lt;=30/09/"&amp;$G$3,Vendas!$C$8:$C$2008,"Entregue")+SUMIFS(Vendas!$AO$8:$AO$2008,Vendas!$AL$8:$AL$2008,$B38,Vendas!$E$8:$E$2008,"&gt;=01/09/"&amp;$G$3,Vendas!$E$8:$E$2008,"&lt;=30/09/"&amp;$G$3,Vendas!$C$8:$C$2008,"Entregue")+SUMIFS(Vendas!$AT$8:$AT$2008,Vendas!$AQ$8:$AQ$2008,$B38,Vendas!$E$8:$E$2008,"&gt;=01/09/"&amp;$G$3,Vendas!$E$8:$E$2008,"&lt;=30/09/"&amp;$G$3,Vendas!$C$8:$C$2008,"Entregue")</f>
        <v>0</v>
      </c>
      <c r="U38" s="162">
        <f>SUMIFS(Vendas!$K$8:$K$2008,Vendas!$H$8:$H$2008,$B38,Vendas!$E$8:$E$2008,"&gt;=01/10/"&amp;$G$3,Vendas!$E$8:$E$2008,"&lt;=31/10/"&amp;$G$3)+SUMIFS(Vendas!$P$8:$P$2008,Vendas!$M$8:$M$2008,$B38,Vendas!$E$8:$E$2008,"&gt;=01/10/"&amp;$G$3,Vendas!$E$8:$E$2008,"&lt;=31/10/"&amp;$G$3)+SUMIFS(Vendas!$U$8:$U$2008,Vendas!$R$8:$R$2008,$B38,Vendas!$E$8:$E$2008,"&gt;=01/10/"&amp;$G$3,Vendas!$E$8:$E$2008,"&lt;=31/10/"&amp;$G$3)+SUMIFS(Vendas!$Z$8:$Z$2008,Vendas!$W$8:$W$2008,$B38,Vendas!$E$8:$E$2008,"&gt;=01/10/"&amp;$G$3,Vendas!$E$8:$E$2008,"&lt;=31/10/"&amp;$G$3)+SUMIFS(Vendas!$AE$8:$AE$2008,Vendas!$AB$8:$AB$2008,$B38,Vendas!$E$8:$E$2008,"&gt;=01/10/"&amp;$G$3,Vendas!$E$8:$E$2008,"&lt;=31/10/"&amp;$G$3)+SUMIFS(Vendas!$AJ$8:$AJ$2008,Vendas!$AG$8:$AG$2008,$B38,Vendas!$E$8:$E$2008,"&gt;=01/10/"&amp;$G$3,Vendas!$E$8:$E$2008,"&lt;=31/10/"&amp;$G$3)+SUMIFS(Vendas!$AO$8:$AO$2008,Vendas!$AL$8:$AL$2008,$B38,Vendas!$E$8:$E$2008,"&gt;=01/10/"&amp;$G$3,Vendas!$E$8:$E$2008,"&lt;=31/10/"&amp;$G$3)+SUMIFS(Vendas!$AT$8:$AT$2008,Vendas!$AQ$8:$AQ$2008,$B38,Vendas!$E$8:$E$2008,"&gt;=01/10/"&amp;$G$3,Vendas!$E$8:$E$2008,"&lt;=31/10/"&amp;$G$3)</f>
        <v>0</v>
      </c>
      <c r="V38" s="162">
        <f>SUMIFS(Vendas!$K$8:$K$2008,Vendas!$H$8:$H$2008,$B38,Vendas!$E$8:$E$2008,"&gt;=01/10/"&amp;$G$3,Vendas!$E$8:$E$2008,"&lt;=31/10/"&amp;$G$3,Vendas!$C$8:$C$2008,"Entregue")+SUMIFS(Vendas!$P$8:$P$2008,Vendas!$M$8:$M$2008,$B38,Vendas!$E$8:$E$2008,"&gt;=01/10/"&amp;$G$3,Vendas!$E$8:$E$2008,"&lt;=31/10/"&amp;$G$3,Vendas!$C$8:$C$2008,"Entregue")+SUMIFS(Vendas!$U$8:$U$2008,Vendas!$R$8:$R$2008,$B38,Vendas!$E$8:$E$2008,"&gt;=01/10/"&amp;$G$3,Vendas!$E$8:$E$2008,"&lt;=31/10/"&amp;$G$3,Vendas!$C$8:$C$2008,"Entregue")+SUMIFS(Vendas!$Z$8:$Z$2008,Vendas!$W$8:$W$2008,$B38,Vendas!$E$8:$E$2008,"&gt;=01/10/"&amp;$G$3,Vendas!$E$8:$E$2008,"&lt;=31/10/"&amp;$G$3,Vendas!$C$8:$C$2008,"Entregue")+SUMIFS(Vendas!$AE$8:$AE$2008,Vendas!$AB$8:$AB$2008,$B38,Vendas!$E$8:$E$2008,"&gt;=01/10/"&amp;$G$3,Vendas!$E$8:$E$2008,"&lt;=31/10/"&amp;$G$3,Vendas!$C$8:$C$2008,"Entregue")+SUMIFS(Vendas!$AJ$8:$AJ$2008,Vendas!$AG$8:$AG$2008,$B38,Vendas!$E$8:$E$2008,"&gt;=01/10/"&amp;$G$3,Vendas!$E$8:$E$2008,"&lt;=31/10/"&amp;$G$3,Vendas!$C$8:$C$2008,"Entregue")+SUMIFS(Vendas!$AO$8:$AO$2008,Vendas!$AL$8:$AL$2008,$B38,Vendas!$E$8:$E$2008,"&gt;=01/10/"&amp;$G$3,Vendas!$E$8:$E$2008,"&lt;=31/10/"&amp;$G$3,Vendas!$C$8:$C$2008,"Entregue")+SUMIFS(Vendas!$AT$8:$AT$2008,Vendas!$AQ$8:$AQ$2008,$B38,Vendas!$E$8:$E$2008,"&gt;=01/10/"&amp;$G$3,Vendas!$E$8:$E$2008,"&lt;=31/10/"&amp;$G$3,Vendas!$C$8:$C$2008,"Entregue")</f>
        <v>0</v>
      </c>
      <c r="W38" s="162">
        <f>SUMIFS(Vendas!$K$8:$K$2008,Vendas!$H$8:$H$2008,$B38,Vendas!$E$8:$E$2008,"&gt;=01/11/"&amp;$G$3,Vendas!$E$8:$E$2008,"&lt;=30/11/"&amp;$G$3)+SUMIFS(Vendas!$P$8:$P$2008,Vendas!$M$8:$M$2008,$B38,Vendas!$E$8:$E$2008,"&gt;=01/11/"&amp;$G$3,Vendas!$E$8:$E$2008,"&lt;=30/11/"&amp;$G$3)+SUMIFS(Vendas!$U$8:$U$2008,Vendas!$R$8:$R$2008,$B38,Vendas!$E$8:$E$2008,"&gt;=01/11/"&amp;$G$3,Vendas!$E$8:$E$2008,"&lt;=30/11/"&amp;$G$3)+SUMIFS(Vendas!$Z$8:$Z$2008,Vendas!$W$8:$W$2008,$B38,Vendas!$E$8:$E$2008,"&gt;=01/11/"&amp;$G$3,Vendas!$E$8:$E$2008,"&lt;=30/11/"&amp;$G$3)+SUMIFS(Vendas!$AE$8:$AE$2008,Vendas!$AB$8:$AB$2008,$B38,Vendas!$E$8:$E$2008,"&gt;=01/11/"&amp;$G$3,Vendas!$E$8:$E$2008,"&lt;=30/11/"&amp;$G$3)+SUMIFS(Vendas!$AJ$8:$AJ$2008,Vendas!$AG$8:$AG$2008,$B38,Vendas!$E$8:$E$2008,"&gt;=01/11/"&amp;$G$3,Vendas!$E$8:$E$2008,"&lt;=30/11/"&amp;$G$3)+SUMIFS(Vendas!$AO$8:$AO$2008,Vendas!$AL$8:$AL$2008,$B38,Vendas!$E$8:$E$2008,"&gt;=01/11/"&amp;$G$3,Vendas!$E$8:$E$2008,"&lt;=30/11/"&amp;$G$3)+SUMIFS(Vendas!$AT$8:$AT$2008,Vendas!$AQ$8:$AQ$2008,$B38,Vendas!$E$8:$E$2008,"&gt;=01/11/"&amp;$G$3,Vendas!$E$8:$E$2008,"&lt;=30/11/"&amp;$G$3)</f>
        <v>0</v>
      </c>
      <c r="X38" s="162">
        <f>SUMIFS(Vendas!$K$8:$K$2008,Vendas!$H$8:$H$2008,$B38,Vendas!$E$8:$E$2008,"&gt;=01/11/"&amp;$G$3,Vendas!$E$8:$E$2008,"&lt;=30/11/"&amp;$G$3,Vendas!$C$8:$C$2008,"Entregue")+SUMIFS(Vendas!$P$8:$P$2008,Vendas!$M$8:$M$2008,$B38,Vendas!$E$8:$E$2008,"&gt;=01/11/"&amp;$G$3,Vendas!$E$8:$E$2008,"&lt;=30/11/"&amp;$G$3,Vendas!$C$8:$C$2008,"Entregue")+SUMIFS(Vendas!$U$8:$U$2008,Vendas!$R$8:$R$2008,$B38,Vendas!$E$8:$E$2008,"&gt;=01/11/"&amp;$G$3,Vendas!$E$8:$E$2008,"&lt;=30/11/"&amp;$G$3,Vendas!$C$8:$C$2008,"Entregue")+SUMIFS(Vendas!$Z$8:$Z$2008,Vendas!$W$8:$W$2008,$B38,Vendas!$E$8:$E$2008,"&gt;=01/11/"&amp;$G$3,Vendas!$E$8:$E$2008,"&lt;=30/11/"&amp;$G$3,Vendas!$C$8:$C$2008,"Entregue")+SUMIFS(Vendas!$AE$8:$AE$2008,Vendas!$AB$8:$AB$2008,$B38,Vendas!$E$8:$E$2008,"&gt;=01/11/"&amp;$G$3,Vendas!$E$8:$E$2008,"&lt;=30/11/"&amp;$G$3,Vendas!$C$8:$C$2008,"Entregue")+SUMIFS(Vendas!$AJ$8:$AJ$2008,Vendas!$AG$8:$AG$2008,$B38,Vendas!$E$8:$E$2008,"&gt;=01/11/"&amp;$G$3,Vendas!$E$8:$E$2008,"&lt;=30/11/"&amp;$G$3,Vendas!$C$8:$C$2008,"Entregue")+SUMIFS(Vendas!$AO$8:$AO$2008,Vendas!$AL$8:$AL$2008,$B38,Vendas!$E$8:$E$2008,"&gt;=01/11/"&amp;$G$3,Vendas!$E$8:$E$2008,"&lt;=30/11/"&amp;$G$3,Vendas!$C$8:$C$2008,"Entregue")+SUMIFS(Vendas!$AT$8:$AT$2008,Vendas!$AQ$8:$AQ$2008,$B38,Vendas!$E$8:$E$2008,"&gt;=01/11/"&amp;$G$3,Vendas!$E$8:$E$2008,"&lt;=30/11/"&amp;$G$3,Vendas!$C$8:$C$2008,"Entregue")</f>
        <v>0</v>
      </c>
      <c r="Y38" s="162">
        <f>SUMIFS(Vendas!$K$8:$K$2008,Vendas!$H$8:$H$2008,$B38,Vendas!$E$8:$E$2008,"&gt;=01/12/"&amp;$G$3,Vendas!$E$8:$E$2008,"&lt;=31/12/"&amp;$G$3)+SUMIFS(Vendas!$P$8:$P$2008,Vendas!$M$8:$M$2008,$B38,Vendas!$E$8:$E$2008,"&gt;=01/12/"&amp;$G$3,Vendas!$E$8:$E$2008,"&lt;=31/12/"&amp;$G$3)+SUMIFS(Vendas!$U$8:$U$2008,Vendas!$R$8:$R$2008,$B38,Vendas!$E$8:$E$2008,"&gt;=01/12/"&amp;$G$3,Vendas!$E$8:$E$2008,"&lt;=31/12/"&amp;$G$3)+SUMIFS(Vendas!$Z$8:$Z$2008,Vendas!$W$8:$W$2008,$B38,Vendas!$E$8:$E$2008,"&gt;=01/12/"&amp;$G$3,Vendas!$E$8:$E$2008,"&lt;=31/12/"&amp;$G$3)+SUMIFS(Vendas!$AE$8:$AE$2008,Vendas!$AB$8:$AB$2008,$B38,Vendas!$E$8:$E$2008,"&gt;=01/12/"&amp;$G$3,Vendas!$E$8:$E$2008,"&lt;=31/12/"&amp;$G$3)+SUMIFS(Vendas!$AJ$8:$AJ$2008,Vendas!$AG$8:$AG$2008,$B38,Vendas!$E$8:$E$2008,"&gt;=01/12/"&amp;$G$3,Vendas!$E$8:$E$2008,"&lt;=31/12/"&amp;$G$3)+SUMIFS(Vendas!$AO$8:$AO$2008,Vendas!$AL$8:$AL$2008,$B38,Vendas!$E$8:$E$2008,"&gt;=01/12/"&amp;$G$3,Vendas!$E$8:$E$2008,"&lt;=31/12/"&amp;$G$3)+SUMIFS(Vendas!$AT$8:$AT$2008,Vendas!$AQ$8:$AQ$2008,$B38,Vendas!$E$8:$E$2008,"&gt;=01/12/"&amp;$G$3,Vendas!$E$8:$E$2008,"&lt;=31/12/"&amp;$G$3)</f>
        <v>0</v>
      </c>
      <c r="Z38" s="163">
        <f>SUMIFS(Vendas!$K$8:$K$2008,Vendas!$H$8:$H$2008,$B38,Vendas!$E$8:$E$2008,"&gt;=01/12/"&amp;$G$3,Vendas!$E$8:$E$2008,"&lt;=31/12/"&amp;$G$3,Vendas!$C$8:$C$2008,"Entregue")+SUMIFS(Vendas!$P$8:$P$2008,Vendas!$M$8:$M$2008,$B38,Vendas!$E$8:$E$2008,"&gt;=01/12/"&amp;$G$3,Vendas!$E$8:$E$2008,"&lt;=31/12/"&amp;$G$3,Vendas!$C$8:$C$2008,"Entregue")+SUMIFS(Vendas!$U$8:$U$2008,Vendas!$R$8:$R$2008,$B38,Vendas!$E$8:$E$2008,"&gt;=01/12/"&amp;$G$3,Vendas!$E$8:$E$2008,"&lt;=31/12/"&amp;$G$3,Vendas!$C$8:$C$2008,"Entregue")+SUMIFS(Vendas!$Z$8:$Z$2008,Vendas!$W$8:$W$2008,$B38,Vendas!$E$8:$E$2008,"&gt;=01/12/"&amp;$G$3,Vendas!$E$8:$E$2008,"&lt;=31/12/"&amp;$G$3,Vendas!$C$8:$C$2008,"Entregue")+SUMIFS(Vendas!$AE$8:$AE$2008,Vendas!$AB$8:$AB$2008,$B38,Vendas!$E$8:$E$2008,"&gt;=01/12/"&amp;$G$3,Vendas!$E$8:$E$2008,"&lt;=31/12/"&amp;$G$3,Vendas!$C$8:$C$2008,"Entregue")+SUMIFS(Vendas!$AJ$8:$AJ$2008,Vendas!$AG$8:$AG$2008,$B38,Vendas!$E$8:$E$2008,"&gt;=01/12/"&amp;$G$3,Vendas!$E$8:$E$2008,"&lt;=31/12/"&amp;$G$3,Vendas!$C$8:$C$2008,"Entregue")+SUMIFS(Vendas!$AO$8:$AO$2008,Vendas!$AL$8:$AL$2008,$B38,Vendas!$E$8:$E$2008,"&gt;=01/12/"&amp;$G$3,Vendas!$E$8:$E$2008,"&lt;=31/12/"&amp;$G$3,Vendas!$C$8:$C$2008,"Entregue")+SUMIFS(Vendas!$AT$8:$AT$2008,Vendas!$AQ$8:$AQ$2008,$B38,Vendas!$E$8:$E$2008,"&gt;=01/12/"&amp;$G$3,Vendas!$E$8:$E$2008,"&lt;=31/12/"&amp;$G$3,Vendas!$C$8:$C$2008,"Entregue")</f>
        <v>0</v>
      </c>
      <c r="AA38" s="132">
        <f t="shared" si="0"/>
        <v>0</v>
      </c>
      <c r="AB38" s="132">
        <f t="shared" si="0"/>
        <v>0</v>
      </c>
      <c r="AC38" s="67"/>
    </row>
    <row r="39" spans="2:29" ht="14.4" x14ac:dyDescent="0.3">
      <c r="B39" s="262" t="str">
        <f>IF(Cadastros!G30="","",Cadastros!G30)</f>
        <v>129 - Ioncel Blocker Ecoturb</v>
      </c>
      <c r="C39" s="158">
        <f>SUMIFS(Vendas!$K$8:$K$2008,Vendas!$H$8:$H$2008,$B39,Vendas!$E$8:$E$2008,"&gt;=01/01/"&amp;$G$3,Vendas!$E$8:$E$2008,"&lt;=31/01/"&amp;$G$3)+SUMIFS(Vendas!$P$8:$P$2008,Vendas!$M$8:$M$2008,$B39,Vendas!$E$8:$E$2008,"&gt;=01/01/"&amp;$G$3,Vendas!$E$8:$E$2008,"&lt;=31/01/"&amp;$G$3)+SUMIFS(Vendas!$U$8:$U$2008,Vendas!$R$8:$R$2008,$B39,Vendas!$E$8:$E$2008,"&gt;=01/01/"&amp;$G$3,Vendas!$E$8:$E$2008,"&lt;=31/01/"&amp;$G$3)+SUMIFS(Vendas!$Z$8:$Z$2008,Vendas!$W$8:$W$2008,$B39,Vendas!$E$8:$E$2008,"&gt;=01/01/"&amp;$G$3,Vendas!$E$8:$E$2008,"&lt;=31/01/"&amp;$G$3)+SUMIFS(Vendas!$AE$8:$AE$2008,Vendas!$AB$8:$AB$2008,$B39,Vendas!$E$8:$E$2008,"&gt;=01/01/"&amp;$G$3,Vendas!$E$8:$E$2008,"&lt;=31/01/"&amp;$G$3)+SUMIFS(Vendas!$AJ$8:$AJ$2008,Vendas!$AG$8:$AG$2008,$B39,Vendas!$E$8:$E$2008,"&gt;=01/01/"&amp;$G$3,Vendas!$E$8:$E$2008,"&lt;=31/01/"&amp;$G$3)+SUMIFS(Vendas!$AO$8:$AO$2008,Vendas!$AL$8:$AL$2008,$B39,Vendas!$E$8:$E$2008,"&gt;=01/01/"&amp;$G$3,Vendas!$E$8:$E$2008,"&lt;=31/01/"&amp;$G$3)+SUMIFS(Vendas!$AT$8:$AT$2008,Vendas!$AQ$8:$AQ$2008,$B39,Vendas!$E$8:$E$2008,"&gt;=01/01/"&amp;$G$3,Vendas!$E$8:$E$2008,"&lt;=31/01/"&amp;$G$3)</f>
        <v>0</v>
      </c>
      <c r="D39" s="159">
        <f>SUMIFS(Vendas!$K$8:$K$2008,Vendas!$H$8:$H$2008,$B39,Vendas!$E$8:$E$2008,"&gt;=01/01/"&amp;$G$3,Vendas!$E$8:$E$2008,"&lt;=31/01/"&amp;$G$3,Vendas!$C$8:$C$2008,"Entregue")+SUMIFS(Vendas!$P$8:$P$2008,Vendas!$M$8:$M$2008,$B39,Vendas!$E$8:$E$2008,"&gt;=01/01/"&amp;$G$3,Vendas!$E$8:$E$2008,"&lt;=31/01/"&amp;$G$3,Vendas!$C$8:$C$2008,"Entregue")+SUMIFS(Vendas!$U$8:$U$2008,Vendas!$R$8:$R$2008,$B39,Vendas!$E$8:$E$2008,"&gt;=01/01/"&amp;$G$3,Vendas!$E$8:$E$2008,"&lt;=31/01/"&amp;$G$3,Vendas!$C$8:$C$2008,"Entregue")+SUMIFS(Vendas!$Z$8:$Z$2008,Vendas!$W$8:$W$2008,$B39,Vendas!$E$8:$E$2008,"&gt;=01/01/"&amp;$G$3,Vendas!$E$8:$E$2008,"&lt;=31/01/"&amp;$G$3,Vendas!$C$8:$C$2008,"Entregue")+SUMIFS(Vendas!$AE$8:$AE$2008,Vendas!$AB$8:$AB$2008,$B39,Vendas!$E$8:$E$2008,"&gt;=01/01/"&amp;$G$3,Vendas!$E$8:$E$2008,"&lt;=31/01/"&amp;$G$3,Vendas!$C$8:$C$2008,"Entregue")+SUMIFS(Vendas!$AJ$8:$AJ$2008,Vendas!$AG$8:$AG$2008,$B39,Vendas!$E$8:$E$2008,"&gt;=01/01/"&amp;$G$3,Vendas!$E$8:$E$2008,"&lt;=31/01/"&amp;$G$3,Vendas!$C$8:$C$2008,"Entregue")+SUMIFS(Vendas!$AO$8:$AO$2008,Vendas!$AL$8:$AL$2008,$B39,Vendas!$E$8:$E$2008,"&gt;=01/01/"&amp;$G$3,Vendas!$E$8:$E$2008,"&lt;=31/01/"&amp;$G$3,Vendas!$C$8:$C$2008,"Entregue")+SUMIFS(Vendas!$AT$8:$AT$2008,Vendas!$AQ$8:$AQ$2008,$B39,Vendas!$E$8:$E$2008,"&gt;=01/01/"&amp;$G$3,Vendas!$E$8:$E$2008,"&lt;=31/01/"&amp;$G$3,Vendas!$C$8:$C$2008,"Entregue")</f>
        <v>0</v>
      </c>
      <c r="E39" s="159">
        <f>SUMIFS(Vendas!$K$8:$K$2008,Vendas!$H$8:$H$2008,$B39,Vendas!$E$8:$E$2008,"&gt;=01/02/"&amp;$G$3,Vendas!$E$8:$E$2008,"&lt;=28/02/"&amp;$G$3)+SUMIFS(Vendas!$P$8:$P$2008,Vendas!$M$8:$M$2008,$B39,Vendas!$E$8:$E$2008,"&gt;=01/02/"&amp;$G$3,Vendas!$E$8:$E$2008,"&lt;=28/02/"&amp;$G$3)+SUMIFS(Vendas!$U$8:$U$2008,Vendas!$R$8:$R$2008,$B39,Vendas!$E$8:$E$2008,"&gt;=01/02/"&amp;$G$3,Vendas!$E$8:$E$2008,"&lt;=28/02/"&amp;$G$3)+SUMIFS(Vendas!$Z$8:$Z$2008,Vendas!$W$8:$W$2008,$B39,Vendas!$E$8:$E$2008,"&gt;=01/02/"&amp;$G$3,Vendas!$E$8:$E$2008,"&lt;=28/02/"&amp;$G$3)+SUMIFS(Vendas!$AE$8:$AE$2008,Vendas!$AB$8:$AB$2008,$B39,Vendas!$E$8:$E$2008,"&gt;=01/02/"&amp;$G$3,Vendas!$E$8:$E$2008,"&lt;=28/02/"&amp;$G$3)+SUMIFS(Vendas!$AJ$8:$AJ$2008,Vendas!$AG$8:$AG$2008,$B39,Vendas!$E$8:$E$2008,"&gt;=01/02/"&amp;$G$3,Vendas!$E$8:$E$2008,"&lt;=28/02/"&amp;$G$3)+SUMIFS(Vendas!$AO$8:$AO$2008,Vendas!$AL$8:$AL$2008,$B39,Vendas!$E$8:$E$2008,"&gt;=01/02/"&amp;$G$3,Vendas!$E$8:$E$2008,"&lt;=28/02/"&amp;$G$3)+SUMIFS(Vendas!$AT$8:$AT$2008,Vendas!$AQ$8:$AQ$2008,$B39,Vendas!$E$8:$E$2008,"&gt;=01/02/"&amp;$G$3,Vendas!$E$8:$E$2008,"&lt;=28/02/"&amp;$G$3)</f>
        <v>0</v>
      </c>
      <c r="F39" s="159">
        <f>SUMIFS(Vendas!$K$8:$K$2008,Vendas!$H$8:$H$2008,$B39,Vendas!$E$8:$E$2008,"&gt;=01/02/"&amp;$G$3,Vendas!$E$8:$E$2008,"&lt;=28/02/"&amp;$G$3,Vendas!$C$8:$C$2008,"Entregue")+SUMIFS(Vendas!$P$8:$P$2008,Vendas!$M$8:$M$2008,$B39,Vendas!$E$8:$E$2008,"&gt;=01/02/"&amp;$G$3,Vendas!$E$8:$E$2008,"&lt;=28/02/"&amp;$G$3,Vendas!$C$8:$C$2008,"Entregue")+SUMIFS(Vendas!$U$8:$U$2008,Vendas!$R$8:$R$2008,$B39,Vendas!$E$8:$E$2008,"&gt;=01/02/"&amp;$G$3,Vendas!$E$8:$E$2008,"&lt;=28/02/"&amp;$G$3,Vendas!$C$8:$C$2008,"Entregue")+SUMIFS(Vendas!$Z$8:$Z$2008,Vendas!$W$8:$W$2008,$B39,Vendas!$E$8:$E$2008,"&gt;=01/02/"&amp;$G$3,Vendas!$E$8:$E$2008,"&lt;=28/02/"&amp;$G$3,Vendas!$C$8:$C$2008,"Entregue")+SUMIFS(Vendas!$AE$8:$AE$2008,Vendas!$AB$8:$AB$2008,$B39,Vendas!$E$8:$E$2008,"&gt;=01/02/"&amp;$G$3,Vendas!$E$8:$E$2008,"&lt;=28/02/"&amp;$G$3,Vendas!$C$8:$C$2008,"Entregue")+SUMIFS(Vendas!$AJ$8:$AJ$2008,Vendas!$AG$8:$AG$2008,$B39,Vendas!$E$8:$E$2008,"&gt;=01/02/"&amp;$G$3,Vendas!$E$8:$E$2008,"&lt;=28/02/"&amp;$G$3,Vendas!$C$8:$C$2008,"Entregue")+SUMIFS(Vendas!$AO$8:$AO$2008,Vendas!$AL$8:$AL$2008,$B39,Vendas!$E$8:$E$2008,"&gt;=01/02/"&amp;$G$3,Vendas!$E$8:$E$2008,"&lt;=28/02/"&amp;$G$3,Vendas!$C$8:$C$2008,"Entregue")+SUMIFS(Vendas!$AT$8:$AT$2008,Vendas!$AQ$8:$AQ$2008,$B39,Vendas!$E$8:$E$2008,"&gt;=01/02/"&amp;$G$3,Vendas!$E$8:$E$2008,"&lt;=28/02/"&amp;$G$3,Vendas!$C$8:$C$2008,"Entregue")</f>
        <v>0</v>
      </c>
      <c r="G39" s="159">
        <f>SUMIFS(Vendas!$K$8:$K$2008,Vendas!$H$8:$H$2008,$B39,Vendas!$E$8:$E$2008,"&gt;=01/03/"&amp;$G$3,Vendas!$E$8:$E$2008,"&lt;=31/03/"&amp;$G$3)+SUMIFS(Vendas!$P$8:$P$2008,Vendas!$M$8:$M$2008,$B39,Vendas!$E$8:$E$2008,"&gt;=01/03/"&amp;$G$3,Vendas!$E$8:$E$2008,"&lt;=31/03/"&amp;$G$3)+SUMIFS(Vendas!$U$8:$U$2008,Vendas!$R$8:$R$2008,$B39,Vendas!$E$8:$E$2008,"&gt;=01/03/"&amp;$G$3,Vendas!$E$8:$E$2008,"&lt;=31/03/"&amp;$G$3)+SUMIFS(Vendas!$Z$8:$Z$2008,Vendas!$W$8:$W$2008,$B39,Vendas!$E$8:$E$2008,"&gt;=01/03/"&amp;$G$3,Vendas!$E$8:$E$2008,"&lt;=31/03/"&amp;$G$3)+SUMIFS(Vendas!$AE$8:$AE$2008,Vendas!$AB$8:$AB$2008,$B39,Vendas!$E$8:$E$2008,"&gt;=01/03/"&amp;$G$3,Vendas!$E$8:$E$2008,"&lt;=31/03/"&amp;$G$3)+SUMIFS(Vendas!$AJ$8:$AJ$2008,Vendas!$AG$8:$AG$2008,$B39,Vendas!$E$8:$E$2008,"&gt;=01/03/"&amp;$G$3,Vendas!$E$8:$E$2008,"&lt;=31/03/"&amp;$G$3)+SUMIFS(Vendas!$AO$8:$AO$2008,Vendas!$AL$8:$AL$2008,$B39,Vendas!$E$8:$E$2008,"&gt;=01/03/"&amp;$G$3,Vendas!$E$8:$E$2008,"&lt;=31/03/"&amp;$G$3)+SUMIFS(Vendas!$AT$8:$AT$2008,Vendas!$AQ$8:$AQ$2008,$B39,Vendas!$E$8:$E$2008,"&gt;=01/03/"&amp;$G$3,Vendas!$E$8:$E$2008,"&lt;=31/03/"&amp;$G$3)</f>
        <v>0</v>
      </c>
      <c r="H39" s="159">
        <f>SUMIFS(Vendas!$K$8:$K$2008,Vendas!$H$8:$H$2008,$B39,Vendas!$E$8:$E$2008,"&gt;=01/03/"&amp;$G$3,Vendas!$E$8:$E$2008,"&lt;=31/03/"&amp;$G$3,Vendas!$C$8:$C$2008,"Entregue")+SUMIFS(Vendas!$P$8:$P$2008,Vendas!$M$8:$M$2008,$B39,Vendas!$E$8:$E$2008,"&gt;=01/03/"&amp;$G$3,Vendas!$E$8:$E$2008,"&lt;=31/03/"&amp;$G$3,Vendas!$C$8:$C$2008,"Entregue")+SUMIFS(Vendas!$U$8:$U$2008,Vendas!$R$8:$R$2008,$B39,Vendas!$E$8:$E$2008,"&gt;=01/03/"&amp;$G$3,Vendas!$E$8:$E$2008,"&lt;=31/03/"&amp;$G$3,Vendas!$C$8:$C$2008,"Entregue")+SUMIFS(Vendas!$Z$8:$Z$2008,Vendas!$W$8:$W$2008,$B39,Vendas!$E$8:$E$2008,"&gt;=01/03/"&amp;$G$3,Vendas!$E$8:$E$2008,"&lt;=31/03/"&amp;$G$3,Vendas!$C$8:$C$2008,"Entregue")+SUMIFS(Vendas!$AE$8:$AE$2008,Vendas!$AB$8:$AB$2008,$B39,Vendas!$E$8:$E$2008,"&gt;=01/03/"&amp;$G$3,Vendas!$E$8:$E$2008,"&lt;=31/03/"&amp;$G$3,Vendas!$C$8:$C$2008,"Entregue")+SUMIFS(Vendas!$AJ$8:$AJ$2008,Vendas!$AG$8:$AG$2008,$B39,Vendas!$E$8:$E$2008,"&gt;=01/03/"&amp;$G$3,Vendas!$E$8:$E$2008,"&lt;=31/03/"&amp;$G$3,Vendas!$C$8:$C$2008,"Entregue")+SUMIFS(Vendas!$AO$8:$AO$2008,Vendas!$AL$8:$AL$2008,$B39,Vendas!$E$8:$E$2008,"&gt;=01/03/"&amp;$G$3,Vendas!$E$8:$E$2008,"&lt;=31/03/"&amp;$G$3,Vendas!$C$8:$C$2008,"Entregue")+SUMIFS(Vendas!$AT$8:$AT$2008,Vendas!$AQ$8:$AQ$2008,$B39,Vendas!$E$8:$E$2008,"&gt;=01/03/"&amp;$G$3,Vendas!$E$8:$E$2008,"&lt;=31/03/"&amp;$G$3,Vendas!$C$8:$C$2008,"Entregue")</f>
        <v>0</v>
      </c>
      <c r="I39" s="159">
        <f>SUMIFS(Vendas!$K$8:$K$2008,Vendas!$H$8:$H$2008,$B39,Vendas!$E$8:$E$2008,"&gt;=01/04/"&amp;$G$3,Vendas!$E$8:$E$2008,"&lt;=30/04/"&amp;$G$3)+SUMIFS(Vendas!$P$8:$P$2008,Vendas!$M$8:$M$2008,$B39,Vendas!$E$8:$E$2008,"&gt;=01/04/"&amp;$G$3,Vendas!$E$8:$E$2008,"&lt;=30/04/"&amp;$G$3)+SUMIFS(Vendas!$U$8:$U$2008,Vendas!$R$8:$R$2008,$B39,Vendas!$E$8:$E$2008,"&gt;=01/04/"&amp;$G$3,Vendas!$E$8:$E$2008,"&lt;=30/04/"&amp;$G$3)+SUMIFS(Vendas!$Z$8:$Z$2008,Vendas!$W$8:$W$2008,$B39,Vendas!$E$8:$E$2008,"&gt;=01/04/"&amp;$G$3,Vendas!$E$8:$E$2008,"&lt;=30/04/"&amp;$G$3)+SUMIFS(Vendas!$AE$8:$AE$2008,Vendas!$AB$8:$AB$2008,$B39,Vendas!$E$8:$E$2008,"&gt;=01/04/"&amp;$G$3,Vendas!$E$8:$E$2008,"&lt;=30/04/"&amp;$G$3)+SUMIFS(Vendas!$AJ$8:$AJ$2008,Vendas!$AG$8:$AG$2008,$B39,Vendas!$E$8:$E$2008,"&gt;=01/04/"&amp;$G$3,Vendas!$E$8:$E$2008,"&lt;=30/04/"&amp;$G$3)+SUMIFS(Vendas!$AO$8:$AO$2008,Vendas!$AL$8:$AL$2008,$B39,Vendas!$E$8:$E$2008,"&gt;=01/04/"&amp;$G$3,Vendas!$E$8:$E$2008,"&lt;=30/04/"&amp;$G$3)+SUMIFS(Vendas!$AT$8:$AT$2008,Vendas!$AQ$8:$AQ$2008,$B39,Vendas!$E$8:$E$2008,"&gt;=01/04/"&amp;$G$3,Vendas!$E$8:$E$2008,"&lt;=30/04/"&amp;$G$3)</f>
        <v>0</v>
      </c>
      <c r="J39" s="159">
        <f>SUMIFS(Vendas!$K$8:$K$2008,Vendas!$H$8:$H$2008,$B39,Vendas!$E$8:$E$2008,"&gt;=01/04/"&amp;$G$3,Vendas!$E$8:$E$2008,"&lt;=30/04/"&amp;$G$3,Vendas!$C$8:$C$2008,"Entregue")+SUMIFS(Vendas!$P$8:$P$2008,Vendas!$M$8:$M$2008,$B39,Vendas!$E$8:$E$2008,"&gt;=01/04/"&amp;$G$3,Vendas!$E$8:$E$2008,"&lt;=30/04/"&amp;$G$3,Vendas!$C$8:$C$2008,"Entregue")+SUMIFS(Vendas!$U$8:$U$2008,Vendas!$R$8:$R$2008,$B39,Vendas!$E$8:$E$2008,"&gt;=01/04/"&amp;$G$3,Vendas!$E$8:$E$2008,"&lt;=30/04/"&amp;$G$3,Vendas!$C$8:$C$2008,"Entregue")+SUMIFS(Vendas!$Z$8:$Z$2008,Vendas!$W$8:$W$2008,$B39,Vendas!$E$8:$E$2008,"&gt;=01/04/"&amp;$G$3,Vendas!$E$8:$E$2008,"&lt;=30/04/"&amp;$G$3,Vendas!$C$8:$C$2008,"Entregue")+SUMIFS(Vendas!$AE$8:$AE$2008,Vendas!$AB$8:$AB$2008,$B39,Vendas!$E$8:$E$2008,"&gt;=01/04/"&amp;$G$3,Vendas!$E$8:$E$2008,"&lt;=30/04/"&amp;$G$3,Vendas!$C$8:$C$2008,"Entregue")+SUMIFS(Vendas!$AJ$8:$AJ$2008,Vendas!$AG$8:$AG$2008,$B39,Vendas!$E$8:$E$2008,"&gt;=01/04/"&amp;$G$3,Vendas!$E$8:$E$2008,"&lt;=30/04/"&amp;$G$3,Vendas!$C$8:$C$2008,"Entregue")+SUMIFS(Vendas!$AO$8:$AO$2008,Vendas!$AL$8:$AL$2008,$B39,Vendas!$E$8:$E$2008,"&gt;=01/04/"&amp;$G$3,Vendas!$E$8:$E$2008,"&lt;=30/04/"&amp;$G$3,Vendas!$C$8:$C$2008,"Entregue")+SUMIFS(Vendas!$AT$8:$AT$2008,Vendas!$AQ$8:$AQ$2008,$B39,Vendas!$E$8:$E$2008,"&gt;=01/04/"&amp;$G$3,Vendas!$E$8:$E$2008,"&lt;=30/04/"&amp;$G$3,Vendas!$C$8:$C$2008,"Entregue")</f>
        <v>0</v>
      </c>
      <c r="K39" s="159">
        <f>SUMIFS(Vendas!$K$8:$K$2008,Vendas!$H$8:$H$2008,$B39,Vendas!$E$8:$E$2008,"&gt;=01/05/"&amp;$G$3,Vendas!$E$8:$E$2008,"&lt;=31/05/"&amp;$G$3)+SUMIFS(Vendas!$P$8:$P$2008,Vendas!$M$8:$M$2008,$B39,Vendas!$E$8:$E$2008,"&gt;=01/05/"&amp;$G$3,Vendas!$E$8:$E$2008,"&lt;=31/05/"&amp;$G$3)+SUMIFS(Vendas!$U$8:$U$2008,Vendas!$R$8:$R$2008,$B39,Vendas!$E$8:$E$2008,"&gt;=01/05/"&amp;$G$3,Vendas!$E$8:$E$2008,"&lt;=31/05/"&amp;$G$3)+SUMIFS(Vendas!$Z$8:$Z$2008,Vendas!$W$8:$W$2008,$B39,Vendas!$E$8:$E$2008,"&gt;=01/05/"&amp;$G$3,Vendas!$E$8:$E$2008,"&lt;=31/05/"&amp;$G$3)+SUMIFS(Vendas!$AE$8:$AE$2008,Vendas!$AB$8:$AB$2008,$B39,Vendas!$E$8:$E$2008,"&gt;=01/05/"&amp;$G$3,Vendas!$E$8:$E$2008,"&lt;=31/05/"&amp;$G$3)+SUMIFS(Vendas!$AJ$8:$AJ$2008,Vendas!$AG$8:$AG$2008,$B39,Vendas!$E$8:$E$2008,"&gt;=01/05/"&amp;$G$3,Vendas!$E$8:$E$2008,"&lt;=31/05/"&amp;$G$3)+SUMIFS(Vendas!$AO$8:$AO$2008,Vendas!$AL$8:$AL$2008,$B39,Vendas!$E$8:$E$2008,"&gt;=01/05/"&amp;$G$3,Vendas!$E$8:$E$2008,"&lt;=31/05/"&amp;$G$3)+SUMIFS(Vendas!$AT$8:$AT$2008,Vendas!$AQ$8:$AQ$2008,$B39,Vendas!$E$8:$E$2008,"&gt;=01/05/"&amp;$G$3,Vendas!$E$8:$E$2008,"&lt;=31/05/"&amp;$G$3)</f>
        <v>0</v>
      </c>
      <c r="L39" s="159">
        <f>SUMIFS(Vendas!$K$8:$K$2008,Vendas!$H$8:$H$2008,$B39,Vendas!$E$8:$E$2008,"&gt;=01/05/"&amp;$G$3,Vendas!$E$8:$E$2008,"&lt;=31/05/"&amp;$G$3,Vendas!$C$8:$C$2008,"Entregue")+SUMIFS(Vendas!$P$8:$P$2008,Vendas!$M$8:$M$2008,$B39,Vendas!$E$8:$E$2008,"&gt;=01/05/"&amp;$G$3,Vendas!$E$8:$E$2008,"&lt;=31/05/"&amp;$G$3,Vendas!$C$8:$C$2008,"Entregue")+SUMIFS(Vendas!$U$8:$U$2008,Vendas!$R$8:$R$2008,$B39,Vendas!$E$8:$E$2008,"&gt;=01/05/"&amp;$G$3,Vendas!$E$8:$E$2008,"&lt;=31/05/"&amp;$G$3,Vendas!$C$8:$C$2008,"Entregue")+SUMIFS(Vendas!$Z$8:$Z$2008,Vendas!$W$8:$W$2008,$B39,Vendas!$E$8:$E$2008,"&gt;=01/05/"&amp;$G$3,Vendas!$E$8:$E$2008,"&lt;=31/05/"&amp;$G$3,Vendas!$C$8:$C$2008,"Entregue")+SUMIFS(Vendas!$AE$8:$AE$2008,Vendas!$AB$8:$AB$2008,$B39,Vendas!$E$8:$E$2008,"&gt;=01/05/"&amp;$G$3,Vendas!$E$8:$E$2008,"&lt;=31/05/"&amp;$G$3,Vendas!$C$8:$C$2008,"Entregue")+SUMIFS(Vendas!$AJ$8:$AJ$2008,Vendas!$AG$8:$AG$2008,$B39,Vendas!$E$8:$E$2008,"&gt;=01/05/"&amp;$G$3,Vendas!$E$8:$E$2008,"&lt;=31/05/"&amp;$G$3,Vendas!$C$8:$C$2008,"Entregue")+SUMIFS(Vendas!$AO$8:$AO$2008,Vendas!$AL$8:$AL$2008,$B39,Vendas!$E$8:$E$2008,"&gt;=01/05/"&amp;$G$3,Vendas!$E$8:$E$2008,"&lt;=31/05/"&amp;$G$3,Vendas!$C$8:$C$2008,"Entregue")+SUMIFS(Vendas!$AT$8:$AT$2008,Vendas!$AQ$8:$AQ$2008,$B39,Vendas!$E$8:$E$2008,"&gt;=01/05/"&amp;$G$3,Vendas!$E$8:$E$2008,"&lt;=31/05/"&amp;$G$3,Vendas!$C$8:$C$2008,"Entregue")</f>
        <v>0</v>
      </c>
      <c r="M39" s="159">
        <f>SUMIFS(Vendas!$K$8:$K$2008,Vendas!$H$8:$H$2008,$B39,Vendas!$E$8:$E$2008,"&gt;=01/06/"&amp;$G$3,Vendas!$E$8:$E$2008,"&lt;=30/06/"&amp;$G$3)+SUMIFS(Vendas!$P$8:$P$2008,Vendas!$M$8:$M$2008,$B39,Vendas!$E$8:$E$2008,"&gt;=01/06/"&amp;$G$3,Vendas!$E$8:$E$2008,"&lt;=30/06/"&amp;$G$3)+SUMIFS(Vendas!$U$8:$U$2008,Vendas!$R$8:$R$2008,$B39,Vendas!$E$8:$E$2008,"&gt;=01/06/"&amp;$G$3,Vendas!$E$8:$E$2008,"&lt;=30/06/"&amp;$G$3)+SUMIFS(Vendas!$Z$8:$Z$2008,Vendas!$W$8:$W$2008,$B39,Vendas!$E$8:$E$2008,"&gt;=01/06/"&amp;$G$3,Vendas!$E$8:$E$2008,"&lt;=30/06/"&amp;$G$3)+SUMIFS(Vendas!$AE$8:$AE$2008,Vendas!$AB$8:$AB$2008,$B39,Vendas!$E$8:$E$2008,"&gt;=01/06/"&amp;$G$3,Vendas!$E$8:$E$2008,"&lt;=30/06/"&amp;$G$3)+SUMIFS(Vendas!$AJ$8:$AJ$2008,Vendas!$AG$8:$AG$2008,$B39,Vendas!$E$8:$E$2008,"&gt;=01/06/"&amp;$G$3,Vendas!$E$8:$E$2008,"&lt;=30/06/"&amp;$G$3)+SUMIFS(Vendas!$AO$8:$AO$2008,Vendas!$AL$8:$AL$2008,$B39,Vendas!$E$8:$E$2008,"&gt;=01/06/"&amp;$G$3,Vendas!$E$8:$E$2008,"&lt;=30/06/"&amp;$G$3)+SUMIFS(Vendas!$AT$8:$AT$2008,Vendas!$AQ$8:$AQ$2008,$B39,Vendas!$E$8:$E$2008,"&gt;=01/06/"&amp;$G$3,Vendas!$E$8:$E$2008,"&lt;=30/06/"&amp;$G$3)</f>
        <v>0</v>
      </c>
      <c r="N39" s="159">
        <f>SUMIFS(Vendas!$K$8:$K$2008,Vendas!$H$8:$H$2008,$B39,Vendas!$E$8:$E$2008,"&gt;=01/06/"&amp;$G$3,Vendas!$E$8:$E$2008,"&lt;=30/06/"&amp;$G$3,Vendas!$C$8:$C$2008,"Entregue")+SUMIFS(Vendas!$P$8:$P$2008,Vendas!$M$8:$M$2008,$B39,Vendas!$E$8:$E$2008,"&gt;=01/06/"&amp;$G$3,Vendas!$E$8:$E$2008,"&lt;=30/06/"&amp;$G$3,Vendas!$C$8:$C$2008,"Entregue")+SUMIFS(Vendas!$U$8:$U$2008,Vendas!$R$8:$R$2008,$B39,Vendas!$E$8:$E$2008,"&gt;=01/06/"&amp;$G$3,Vendas!$E$8:$E$2008,"&lt;=30/06/"&amp;$G$3,Vendas!$C$8:$C$2008,"Entregue")+SUMIFS(Vendas!$Z$8:$Z$2008,Vendas!$W$8:$W$2008,$B39,Vendas!$E$8:$E$2008,"&gt;=01/06/"&amp;$G$3,Vendas!$E$8:$E$2008,"&lt;=30/06/"&amp;$G$3,Vendas!$C$8:$C$2008,"Entregue")+SUMIFS(Vendas!$AE$8:$AE$2008,Vendas!$AB$8:$AB$2008,$B39,Vendas!$E$8:$E$2008,"&gt;=01/06/"&amp;$G$3,Vendas!$E$8:$E$2008,"&lt;=30/06/"&amp;$G$3,Vendas!$C$8:$C$2008,"Entregue")+SUMIFS(Vendas!$AJ$8:$AJ$2008,Vendas!$AG$8:$AG$2008,$B39,Vendas!$E$8:$E$2008,"&gt;=01/06/"&amp;$G$3,Vendas!$E$8:$E$2008,"&lt;=30/06/"&amp;$G$3,Vendas!$C$8:$C$2008,"Entregue")+SUMIFS(Vendas!$AO$8:$AO$2008,Vendas!$AL$8:$AL$2008,$B39,Vendas!$E$8:$E$2008,"&gt;=01/06/"&amp;$G$3,Vendas!$E$8:$E$2008,"&lt;=30/06/"&amp;$G$3,Vendas!$C$8:$C$2008,"Entregue")+SUMIFS(Vendas!$AT$8:$AT$2008,Vendas!$AQ$8:$AQ$2008,$B39,Vendas!$E$8:$E$2008,"&gt;=01/06/"&amp;$G$3,Vendas!$E$8:$E$2008,"&lt;=30/06/"&amp;$G$3,Vendas!$C$8:$C$2008,"Entregue")</f>
        <v>0</v>
      </c>
      <c r="O39" s="159">
        <f>SUMIFS(Vendas!$K$8:$K$2008,Vendas!$H$8:$H$2008,$B39,Vendas!$E$8:$E$2008,"&gt;=01/07/"&amp;$G$3,Vendas!$E$8:$E$2008,"&lt;=31/07/"&amp;$G$3)+SUMIFS(Vendas!$P$8:$P$2008,Vendas!$M$8:$M$2008,$B39,Vendas!$E$8:$E$2008,"&gt;=01/07/"&amp;$G$3,Vendas!$E$8:$E$2008,"&lt;=31/07/"&amp;$G$3)+SUMIFS(Vendas!$U$8:$U$2008,Vendas!$R$8:$R$2008,$B39,Vendas!$E$8:$E$2008,"&gt;=01/07/"&amp;$G$3,Vendas!$E$8:$E$2008,"&lt;=31/07/"&amp;$G$3)+SUMIFS(Vendas!$Z$8:$Z$2008,Vendas!$W$8:$W$2008,$B39,Vendas!$E$8:$E$2008,"&gt;=01/07/"&amp;$G$3,Vendas!$E$8:$E$2008,"&lt;=31/07/"&amp;$G$3)+SUMIFS(Vendas!$AE$8:$AE$2008,Vendas!$AB$8:$AB$2008,$B39,Vendas!$E$8:$E$2008,"&gt;=01/07/"&amp;$G$3,Vendas!$E$8:$E$2008,"&lt;=31/07/"&amp;$G$3)+SUMIFS(Vendas!$AJ$8:$AJ$2008,Vendas!$AG$8:$AG$2008,$B39,Vendas!$E$8:$E$2008,"&gt;=01/07/"&amp;$G$3,Vendas!$E$8:$E$2008,"&lt;=31/07/"&amp;$G$3)+SUMIFS(Vendas!$AO$8:$AO$2008,Vendas!$AL$8:$AL$2008,$B39,Vendas!$E$8:$E$2008,"&gt;=01/07/"&amp;$G$3,Vendas!$E$8:$E$2008,"&lt;=31/07/"&amp;$G$3)+SUMIFS(Vendas!$AT$8:$AT$2008,Vendas!$AQ$8:$AQ$2008,$B39,Vendas!$E$8:$E$2008,"&gt;=01/07/"&amp;$G$3,Vendas!$E$8:$E$2008,"&lt;=31/07/"&amp;$G$3)</f>
        <v>0</v>
      </c>
      <c r="P39" s="159">
        <f>SUMIFS(Vendas!$K$8:$K$2008,Vendas!$H$8:$H$2008,$B39,Vendas!$E$8:$E$2008,"&gt;=01/07/"&amp;$G$3,Vendas!$E$8:$E$2008,"&lt;=31/07/"&amp;$G$3,Vendas!$C$8:$C$2008,"Entregue")+SUMIFS(Vendas!$P$8:$P$2008,Vendas!$M$8:$M$2008,$B39,Vendas!$E$8:$E$2008,"&gt;=01/07/"&amp;$G$3,Vendas!$E$8:$E$2008,"&lt;=31/07/"&amp;$G$3,Vendas!$C$8:$C$2008,"Entregue")+SUMIFS(Vendas!$U$8:$U$2008,Vendas!$R$8:$R$2008,$B39,Vendas!$E$8:$E$2008,"&gt;=01/07/"&amp;$G$3,Vendas!$E$8:$E$2008,"&lt;=31/07/"&amp;$G$3,Vendas!$C$8:$C$2008,"Entregue")+SUMIFS(Vendas!$Z$8:$Z$2008,Vendas!$W$8:$W$2008,$B39,Vendas!$E$8:$E$2008,"&gt;=01/07/"&amp;$G$3,Vendas!$E$8:$E$2008,"&lt;=31/07/"&amp;$G$3,Vendas!$C$8:$C$2008,"Entregue")+SUMIFS(Vendas!$AE$8:$AE$2008,Vendas!$AB$8:$AB$2008,$B39,Vendas!$E$8:$E$2008,"&gt;=01/07/"&amp;$G$3,Vendas!$E$8:$E$2008,"&lt;=31/07/"&amp;$G$3,Vendas!$C$8:$C$2008,"Entregue")+SUMIFS(Vendas!$AJ$8:$AJ$2008,Vendas!$AG$8:$AG$2008,$B39,Vendas!$E$8:$E$2008,"&gt;=01/07/"&amp;$G$3,Vendas!$E$8:$E$2008,"&lt;=31/07/"&amp;$G$3,Vendas!$C$8:$C$2008,"Entregue")+SUMIFS(Vendas!$AO$8:$AO$2008,Vendas!$AL$8:$AL$2008,$B39,Vendas!$E$8:$E$2008,"&gt;=01/07/"&amp;$G$3,Vendas!$E$8:$E$2008,"&lt;=31/07/"&amp;$G$3,Vendas!$C$8:$C$2008,"Entregue")+SUMIFS(Vendas!$AT$8:$AT$2008,Vendas!$AQ$8:$AQ$2008,$B39,Vendas!$E$8:$E$2008,"&gt;=01/07/"&amp;$G$3,Vendas!$E$8:$E$2008,"&lt;=31/07/"&amp;$G$3,Vendas!$C$8:$C$2008,"Entregue")</f>
        <v>0</v>
      </c>
      <c r="Q39" s="159">
        <f>SUMIFS(Vendas!$K$8:$K$2008,Vendas!$H$8:$H$2008,$B39,Vendas!$E$8:$E$2008,"&gt;=01/08/"&amp;$G$3,Vendas!$E$8:$E$2008,"&lt;=31/08/"&amp;$G$3)+SUMIFS(Vendas!$P$8:$P$2008,Vendas!$M$8:$M$2008,$B39,Vendas!$E$8:$E$2008,"&gt;=01/08/"&amp;$G$3,Vendas!$E$8:$E$2008,"&lt;=31/08/"&amp;$G$3)+SUMIFS(Vendas!$U$8:$U$2008,Vendas!$R$8:$R$2008,$B39,Vendas!$E$8:$E$2008,"&gt;=01/08/"&amp;$G$3,Vendas!$E$8:$E$2008,"&lt;=31/08/"&amp;$G$3)+SUMIFS(Vendas!$Z$8:$Z$2008,Vendas!$W$8:$W$2008,$B39,Vendas!$E$8:$E$2008,"&gt;=01/08/"&amp;$G$3,Vendas!$E$8:$E$2008,"&lt;=31/08/"&amp;$G$3)+SUMIFS(Vendas!$AE$8:$AE$2008,Vendas!$AB$8:$AB$2008,$B39,Vendas!$E$8:$E$2008,"&gt;=01/08/"&amp;$G$3,Vendas!$E$8:$E$2008,"&lt;=31/08/"&amp;$G$3)+SUMIFS(Vendas!$AJ$8:$AJ$2008,Vendas!$AG$8:$AG$2008,$B39,Vendas!$E$8:$E$2008,"&gt;=01/08/"&amp;$G$3,Vendas!$E$8:$E$2008,"&lt;=31/08/"&amp;$G$3)+SUMIFS(Vendas!$AO$8:$AO$2008,Vendas!$AL$8:$AL$2008,$B39,Vendas!$E$8:$E$2008,"&gt;=01/08/"&amp;$G$3,Vendas!$E$8:$E$2008,"&lt;=31/08/"&amp;$G$3)+SUMIFS(Vendas!$AT$8:$AT$2008,Vendas!$AQ$8:$AQ$2008,$B39,Vendas!$E$8:$E$2008,"&gt;=01/08/"&amp;$G$3,Vendas!$E$8:$E$2008,"&lt;=31/08/"&amp;$G$3)</f>
        <v>0</v>
      </c>
      <c r="R39" s="159">
        <f>SUMIFS(Vendas!$K$8:$K$2008,Vendas!$H$8:$H$2008,$B39,Vendas!$E$8:$E$2008,"&gt;=01/08/"&amp;$G$3,Vendas!$E$8:$E$2008,"&lt;=31/08/"&amp;$G$3,Vendas!$C$8:$C$2008,"Entregue")+SUMIFS(Vendas!$P$8:$P$2008,Vendas!$M$8:$M$2008,$B39,Vendas!$E$8:$E$2008,"&gt;=01/08/"&amp;$G$3,Vendas!$E$8:$E$2008,"&lt;=31/08/"&amp;$G$3,Vendas!$C$8:$C$2008,"Entregue")+SUMIFS(Vendas!$U$8:$U$2008,Vendas!$R$8:$R$2008,$B39,Vendas!$E$8:$E$2008,"&gt;=01/08/"&amp;$G$3,Vendas!$E$8:$E$2008,"&lt;=31/08/"&amp;$G$3,Vendas!$C$8:$C$2008,"Entregue")+SUMIFS(Vendas!$Z$8:$Z$2008,Vendas!$W$8:$W$2008,$B39,Vendas!$E$8:$E$2008,"&gt;=01/08/"&amp;$G$3,Vendas!$E$8:$E$2008,"&lt;=31/08/"&amp;$G$3,Vendas!$C$8:$C$2008,"Entregue")+SUMIFS(Vendas!$AE$8:$AE$2008,Vendas!$AB$8:$AB$2008,$B39,Vendas!$E$8:$E$2008,"&gt;=01/08/"&amp;$G$3,Vendas!$E$8:$E$2008,"&lt;=31/08/"&amp;$G$3,Vendas!$C$8:$C$2008,"Entregue")+SUMIFS(Vendas!$AJ$8:$AJ$2008,Vendas!$AG$8:$AG$2008,$B39,Vendas!$E$8:$E$2008,"&gt;=01/08/"&amp;$G$3,Vendas!$E$8:$E$2008,"&lt;=31/08/"&amp;$G$3,Vendas!$C$8:$C$2008,"Entregue")+SUMIFS(Vendas!$AO$8:$AO$2008,Vendas!$AL$8:$AL$2008,$B39,Vendas!$E$8:$E$2008,"&gt;=01/08/"&amp;$G$3,Vendas!$E$8:$E$2008,"&lt;=31/08/"&amp;$G$3,Vendas!$C$8:$C$2008,"Entregue")+SUMIFS(Vendas!$AT$8:$AT$2008,Vendas!$AQ$8:$AQ$2008,$B39,Vendas!$E$8:$E$2008,"&gt;=01/08/"&amp;$G$3,Vendas!$E$8:$E$2008,"&lt;=31/08/"&amp;$G$3,Vendas!$C$8:$C$2008,"Entregue")</f>
        <v>0</v>
      </c>
      <c r="S39" s="159">
        <f>SUMIFS(Vendas!$K$8:$K$2008,Vendas!$H$8:$H$2008,$B39,Vendas!$E$8:$E$2008,"&gt;=01/09/"&amp;$G$3,Vendas!$E$8:$E$2008,"&lt;=30/09/"&amp;$G$3)+SUMIFS(Vendas!$P$8:$P$2008,Vendas!$M$8:$M$2008,$B39,Vendas!$E$8:$E$2008,"&gt;=01/09/"&amp;$G$3,Vendas!$E$8:$E$2008,"&lt;=30/09/"&amp;$G$3)+SUMIFS(Vendas!$U$8:$U$2008,Vendas!$R$8:$R$2008,$B39,Vendas!$E$8:$E$2008,"&gt;=01/09/"&amp;$G$3,Vendas!$E$8:$E$2008,"&lt;=30/09/"&amp;$G$3)+SUMIFS(Vendas!$Z$8:$Z$2008,Vendas!$W$8:$W$2008,$B39,Vendas!$E$8:$E$2008,"&gt;=01/09/"&amp;$G$3,Vendas!$E$8:$E$2008,"&lt;=30/09/"&amp;$G$3)+SUMIFS(Vendas!$AE$8:$AE$2008,Vendas!$AB$8:$AB$2008,$B39,Vendas!$E$8:$E$2008,"&gt;=01/09/"&amp;$G$3,Vendas!$E$8:$E$2008,"&lt;=30/09/"&amp;$G$3)+SUMIFS(Vendas!$AJ$8:$AJ$2008,Vendas!$AG$8:$AG$2008,$B39,Vendas!$E$8:$E$2008,"&gt;=01/09/"&amp;$G$3,Vendas!$E$8:$E$2008,"&lt;=30/09/"&amp;$G$3)+SUMIFS(Vendas!$AO$8:$AO$2008,Vendas!$AL$8:$AL$2008,$B39,Vendas!$E$8:$E$2008,"&gt;=01/09/"&amp;$G$3,Vendas!$E$8:$E$2008,"&lt;=30/09/"&amp;$G$3)+SUMIFS(Vendas!$AT$8:$AT$2008,Vendas!$AQ$8:$AQ$2008,$B39,Vendas!$E$8:$E$2008,"&gt;=01/09/"&amp;$G$3,Vendas!$E$8:$E$2008,"&lt;=30/09/"&amp;$G$3)</f>
        <v>0</v>
      </c>
      <c r="T39" s="159">
        <f>SUMIFS(Vendas!$K$8:$K$2008,Vendas!$H$8:$H$2008,$B39,Vendas!$E$8:$E$2008,"&gt;=01/09/"&amp;$G$3,Vendas!$E$8:$E$2008,"&lt;=30/09/"&amp;$G$3,Vendas!$C$8:$C$2008,"Entregue")+SUMIFS(Vendas!$P$8:$P$2008,Vendas!$M$8:$M$2008,$B39,Vendas!$E$8:$E$2008,"&gt;=01/09/"&amp;$G$3,Vendas!$E$8:$E$2008,"&lt;=30/09/"&amp;$G$3,Vendas!$C$8:$C$2008,"Entregue")+SUMIFS(Vendas!$U$8:$U$2008,Vendas!$R$8:$R$2008,$B39,Vendas!$E$8:$E$2008,"&gt;=01/09/"&amp;$G$3,Vendas!$E$8:$E$2008,"&lt;=30/09/"&amp;$G$3,Vendas!$C$8:$C$2008,"Entregue")+SUMIFS(Vendas!$Z$8:$Z$2008,Vendas!$W$8:$W$2008,$B39,Vendas!$E$8:$E$2008,"&gt;=01/09/"&amp;$G$3,Vendas!$E$8:$E$2008,"&lt;=30/09/"&amp;$G$3,Vendas!$C$8:$C$2008,"Entregue")+SUMIFS(Vendas!$AE$8:$AE$2008,Vendas!$AB$8:$AB$2008,$B39,Vendas!$E$8:$E$2008,"&gt;=01/09/"&amp;$G$3,Vendas!$E$8:$E$2008,"&lt;=30/09/"&amp;$G$3,Vendas!$C$8:$C$2008,"Entregue")+SUMIFS(Vendas!$AJ$8:$AJ$2008,Vendas!$AG$8:$AG$2008,$B39,Vendas!$E$8:$E$2008,"&gt;=01/09/"&amp;$G$3,Vendas!$E$8:$E$2008,"&lt;=30/09/"&amp;$G$3,Vendas!$C$8:$C$2008,"Entregue")+SUMIFS(Vendas!$AO$8:$AO$2008,Vendas!$AL$8:$AL$2008,$B39,Vendas!$E$8:$E$2008,"&gt;=01/09/"&amp;$G$3,Vendas!$E$8:$E$2008,"&lt;=30/09/"&amp;$G$3,Vendas!$C$8:$C$2008,"Entregue")+SUMIFS(Vendas!$AT$8:$AT$2008,Vendas!$AQ$8:$AQ$2008,$B39,Vendas!$E$8:$E$2008,"&gt;=01/09/"&amp;$G$3,Vendas!$E$8:$E$2008,"&lt;=30/09/"&amp;$G$3,Vendas!$C$8:$C$2008,"Entregue")</f>
        <v>0</v>
      </c>
      <c r="U39" s="159">
        <f>SUMIFS(Vendas!$K$8:$K$2008,Vendas!$H$8:$H$2008,$B39,Vendas!$E$8:$E$2008,"&gt;=01/10/"&amp;$G$3,Vendas!$E$8:$E$2008,"&lt;=31/10/"&amp;$G$3)+SUMIFS(Vendas!$P$8:$P$2008,Vendas!$M$8:$M$2008,$B39,Vendas!$E$8:$E$2008,"&gt;=01/10/"&amp;$G$3,Vendas!$E$8:$E$2008,"&lt;=31/10/"&amp;$G$3)+SUMIFS(Vendas!$U$8:$U$2008,Vendas!$R$8:$R$2008,$B39,Vendas!$E$8:$E$2008,"&gt;=01/10/"&amp;$G$3,Vendas!$E$8:$E$2008,"&lt;=31/10/"&amp;$G$3)+SUMIFS(Vendas!$Z$8:$Z$2008,Vendas!$W$8:$W$2008,$B39,Vendas!$E$8:$E$2008,"&gt;=01/10/"&amp;$G$3,Vendas!$E$8:$E$2008,"&lt;=31/10/"&amp;$G$3)+SUMIFS(Vendas!$AE$8:$AE$2008,Vendas!$AB$8:$AB$2008,$B39,Vendas!$E$8:$E$2008,"&gt;=01/10/"&amp;$G$3,Vendas!$E$8:$E$2008,"&lt;=31/10/"&amp;$G$3)+SUMIFS(Vendas!$AJ$8:$AJ$2008,Vendas!$AG$8:$AG$2008,$B39,Vendas!$E$8:$E$2008,"&gt;=01/10/"&amp;$G$3,Vendas!$E$8:$E$2008,"&lt;=31/10/"&amp;$G$3)+SUMIFS(Vendas!$AO$8:$AO$2008,Vendas!$AL$8:$AL$2008,$B39,Vendas!$E$8:$E$2008,"&gt;=01/10/"&amp;$G$3,Vendas!$E$8:$E$2008,"&lt;=31/10/"&amp;$G$3)+SUMIFS(Vendas!$AT$8:$AT$2008,Vendas!$AQ$8:$AQ$2008,$B39,Vendas!$E$8:$E$2008,"&gt;=01/10/"&amp;$G$3,Vendas!$E$8:$E$2008,"&lt;=31/10/"&amp;$G$3)</f>
        <v>0</v>
      </c>
      <c r="V39" s="159">
        <f>SUMIFS(Vendas!$K$8:$K$2008,Vendas!$H$8:$H$2008,$B39,Vendas!$E$8:$E$2008,"&gt;=01/10/"&amp;$G$3,Vendas!$E$8:$E$2008,"&lt;=31/10/"&amp;$G$3,Vendas!$C$8:$C$2008,"Entregue")+SUMIFS(Vendas!$P$8:$P$2008,Vendas!$M$8:$M$2008,$B39,Vendas!$E$8:$E$2008,"&gt;=01/10/"&amp;$G$3,Vendas!$E$8:$E$2008,"&lt;=31/10/"&amp;$G$3,Vendas!$C$8:$C$2008,"Entregue")+SUMIFS(Vendas!$U$8:$U$2008,Vendas!$R$8:$R$2008,$B39,Vendas!$E$8:$E$2008,"&gt;=01/10/"&amp;$G$3,Vendas!$E$8:$E$2008,"&lt;=31/10/"&amp;$G$3,Vendas!$C$8:$C$2008,"Entregue")+SUMIFS(Vendas!$Z$8:$Z$2008,Vendas!$W$8:$W$2008,$B39,Vendas!$E$8:$E$2008,"&gt;=01/10/"&amp;$G$3,Vendas!$E$8:$E$2008,"&lt;=31/10/"&amp;$G$3,Vendas!$C$8:$C$2008,"Entregue")+SUMIFS(Vendas!$AE$8:$AE$2008,Vendas!$AB$8:$AB$2008,$B39,Vendas!$E$8:$E$2008,"&gt;=01/10/"&amp;$G$3,Vendas!$E$8:$E$2008,"&lt;=31/10/"&amp;$G$3,Vendas!$C$8:$C$2008,"Entregue")+SUMIFS(Vendas!$AJ$8:$AJ$2008,Vendas!$AG$8:$AG$2008,$B39,Vendas!$E$8:$E$2008,"&gt;=01/10/"&amp;$G$3,Vendas!$E$8:$E$2008,"&lt;=31/10/"&amp;$G$3,Vendas!$C$8:$C$2008,"Entregue")+SUMIFS(Vendas!$AO$8:$AO$2008,Vendas!$AL$8:$AL$2008,$B39,Vendas!$E$8:$E$2008,"&gt;=01/10/"&amp;$G$3,Vendas!$E$8:$E$2008,"&lt;=31/10/"&amp;$G$3,Vendas!$C$8:$C$2008,"Entregue")+SUMIFS(Vendas!$AT$8:$AT$2008,Vendas!$AQ$8:$AQ$2008,$B39,Vendas!$E$8:$E$2008,"&gt;=01/10/"&amp;$G$3,Vendas!$E$8:$E$2008,"&lt;=31/10/"&amp;$G$3,Vendas!$C$8:$C$2008,"Entregue")</f>
        <v>0</v>
      </c>
      <c r="W39" s="159">
        <f>SUMIFS(Vendas!$K$8:$K$2008,Vendas!$H$8:$H$2008,$B39,Vendas!$E$8:$E$2008,"&gt;=01/11/"&amp;$G$3,Vendas!$E$8:$E$2008,"&lt;=30/11/"&amp;$G$3)+SUMIFS(Vendas!$P$8:$P$2008,Vendas!$M$8:$M$2008,$B39,Vendas!$E$8:$E$2008,"&gt;=01/11/"&amp;$G$3,Vendas!$E$8:$E$2008,"&lt;=30/11/"&amp;$G$3)+SUMIFS(Vendas!$U$8:$U$2008,Vendas!$R$8:$R$2008,$B39,Vendas!$E$8:$E$2008,"&gt;=01/11/"&amp;$G$3,Vendas!$E$8:$E$2008,"&lt;=30/11/"&amp;$G$3)+SUMIFS(Vendas!$Z$8:$Z$2008,Vendas!$W$8:$W$2008,$B39,Vendas!$E$8:$E$2008,"&gt;=01/11/"&amp;$G$3,Vendas!$E$8:$E$2008,"&lt;=30/11/"&amp;$G$3)+SUMIFS(Vendas!$AE$8:$AE$2008,Vendas!$AB$8:$AB$2008,$B39,Vendas!$E$8:$E$2008,"&gt;=01/11/"&amp;$G$3,Vendas!$E$8:$E$2008,"&lt;=30/11/"&amp;$G$3)+SUMIFS(Vendas!$AJ$8:$AJ$2008,Vendas!$AG$8:$AG$2008,$B39,Vendas!$E$8:$E$2008,"&gt;=01/11/"&amp;$G$3,Vendas!$E$8:$E$2008,"&lt;=30/11/"&amp;$G$3)+SUMIFS(Vendas!$AO$8:$AO$2008,Vendas!$AL$8:$AL$2008,$B39,Vendas!$E$8:$E$2008,"&gt;=01/11/"&amp;$G$3,Vendas!$E$8:$E$2008,"&lt;=30/11/"&amp;$G$3)+SUMIFS(Vendas!$AT$8:$AT$2008,Vendas!$AQ$8:$AQ$2008,$B39,Vendas!$E$8:$E$2008,"&gt;=01/11/"&amp;$G$3,Vendas!$E$8:$E$2008,"&lt;=30/11/"&amp;$G$3)</f>
        <v>0</v>
      </c>
      <c r="X39" s="159">
        <f>SUMIFS(Vendas!$K$8:$K$2008,Vendas!$H$8:$H$2008,$B39,Vendas!$E$8:$E$2008,"&gt;=01/11/"&amp;$G$3,Vendas!$E$8:$E$2008,"&lt;=30/11/"&amp;$G$3,Vendas!$C$8:$C$2008,"Entregue")+SUMIFS(Vendas!$P$8:$P$2008,Vendas!$M$8:$M$2008,$B39,Vendas!$E$8:$E$2008,"&gt;=01/11/"&amp;$G$3,Vendas!$E$8:$E$2008,"&lt;=30/11/"&amp;$G$3,Vendas!$C$8:$C$2008,"Entregue")+SUMIFS(Vendas!$U$8:$U$2008,Vendas!$R$8:$R$2008,$B39,Vendas!$E$8:$E$2008,"&gt;=01/11/"&amp;$G$3,Vendas!$E$8:$E$2008,"&lt;=30/11/"&amp;$G$3,Vendas!$C$8:$C$2008,"Entregue")+SUMIFS(Vendas!$Z$8:$Z$2008,Vendas!$W$8:$W$2008,$B39,Vendas!$E$8:$E$2008,"&gt;=01/11/"&amp;$G$3,Vendas!$E$8:$E$2008,"&lt;=30/11/"&amp;$G$3,Vendas!$C$8:$C$2008,"Entregue")+SUMIFS(Vendas!$AE$8:$AE$2008,Vendas!$AB$8:$AB$2008,$B39,Vendas!$E$8:$E$2008,"&gt;=01/11/"&amp;$G$3,Vendas!$E$8:$E$2008,"&lt;=30/11/"&amp;$G$3,Vendas!$C$8:$C$2008,"Entregue")+SUMIFS(Vendas!$AJ$8:$AJ$2008,Vendas!$AG$8:$AG$2008,$B39,Vendas!$E$8:$E$2008,"&gt;=01/11/"&amp;$G$3,Vendas!$E$8:$E$2008,"&lt;=30/11/"&amp;$G$3,Vendas!$C$8:$C$2008,"Entregue")+SUMIFS(Vendas!$AO$8:$AO$2008,Vendas!$AL$8:$AL$2008,$B39,Vendas!$E$8:$E$2008,"&gt;=01/11/"&amp;$G$3,Vendas!$E$8:$E$2008,"&lt;=30/11/"&amp;$G$3,Vendas!$C$8:$C$2008,"Entregue")+SUMIFS(Vendas!$AT$8:$AT$2008,Vendas!$AQ$8:$AQ$2008,$B39,Vendas!$E$8:$E$2008,"&gt;=01/11/"&amp;$G$3,Vendas!$E$8:$E$2008,"&lt;=30/11/"&amp;$G$3,Vendas!$C$8:$C$2008,"Entregue")</f>
        <v>0</v>
      </c>
      <c r="Y39" s="159">
        <f>SUMIFS(Vendas!$K$8:$K$2008,Vendas!$H$8:$H$2008,$B39,Vendas!$E$8:$E$2008,"&gt;=01/12/"&amp;$G$3,Vendas!$E$8:$E$2008,"&lt;=31/12/"&amp;$G$3)+SUMIFS(Vendas!$P$8:$P$2008,Vendas!$M$8:$M$2008,$B39,Vendas!$E$8:$E$2008,"&gt;=01/12/"&amp;$G$3,Vendas!$E$8:$E$2008,"&lt;=31/12/"&amp;$G$3)+SUMIFS(Vendas!$U$8:$U$2008,Vendas!$R$8:$R$2008,$B39,Vendas!$E$8:$E$2008,"&gt;=01/12/"&amp;$G$3,Vendas!$E$8:$E$2008,"&lt;=31/12/"&amp;$G$3)+SUMIFS(Vendas!$Z$8:$Z$2008,Vendas!$W$8:$W$2008,$B39,Vendas!$E$8:$E$2008,"&gt;=01/12/"&amp;$G$3,Vendas!$E$8:$E$2008,"&lt;=31/12/"&amp;$G$3)+SUMIFS(Vendas!$AE$8:$AE$2008,Vendas!$AB$8:$AB$2008,$B39,Vendas!$E$8:$E$2008,"&gt;=01/12/"&amp;$G$3,Vendas!$E$8:$E$2008,"&lt;=31/12/"&amp;$G$3)+SUMIFS(Vendas!$AJ$8:$AJ$2008,Vendas!$AG$8:$AG$2008,$B39,Vendas!$E$8:$E$2008,"&gt;=01/12/"&amp;$G$3,Vendas!$E$8:$E$2008,"&lt;=31/12/"&amp;$G$3)+SUMIFS(Vendas!$AO$8:$AO$2008,Vendas!$AL$8:$AL$2008,$B39,Vendas!$E$8:$E$2008,"&gt;=01/12/"&amp;$G$3,Vendas!$E$8:$E$2008,"&lt;=31/12/"&amp;$G$3)+SUMIFS(Vendas!$AT$8:$AT$2008,Vendas!$AQ$8:$AQ$2008,$B39,Vendas!$E$8:$E$2008,"&gt;=01/12/"&amp;$G$3,Vendas!$E$8:$E$2008,"&lt;=31/12/"&amp;$G$3)</f>
        <v>0</v>
      </c>
      <c r="Z39" s="160">
        <f>SUMIFS(Vendas!$K$8:$K$2008,Vendas!$H$8:$H$2008,$B39,Vendas!$E$8:$E$2008,"&gt;=01/12/"&amp;$G$3,Vendas!$E$8:$E$2008,"&lt;=31/12/"&amp;$G$3,Vendas!$C$8:$C$2008,"Entregue")+SUMIFS(Vendas!$P$8:$P$2008,Vendas!$M$8:$M$2008,$B39,Vendas!$E$8:$E$2008,"&gt;=01/12/"&amp;$G$3,Vendas!$E$8:$E$2008,"&lt;=31/12/"&amp;$G$3,Vendas!$C$8:$C$2008,"Entregue")+SUMIFS(Vendas!$U$8:$U$2008,Vendas!$R$8:$R$2008,$B39,Vendas!$E$8:$E$2008,"&gt;=01/12/"&amp;$G$3,Vendas!$E$8:$E$2008,"&lt;=31/12/"&amp;$G$3,Vendas!$C$8:$C$2008,"Entregue")+SUMIFS(Vendas!$Z$8:$Z$2008,Vendas!$W$8:$W$2008,$B39,Vendas!$E$8:$E$2008,"&gt;=01/12/"&amp;$G$3,Vendas!$E$8:$E$2008,"&lt;=31/12/"&amp;$G$3,Vendas!$C$8:$C$2008,"Entregue")+SUMIFS(Vendas!$AE$8:$AE$2008,Vendas!$AB$8:$AB$2008,$B39,Vendas!$E$8:$E$2008,"&gt;=01/12/"&amp;$G$3,Vendas!$E$8:$E$2008,"&lt;=31/12/"&amp;$G$3,Vendas!$C$8:$C$2008,"Entregue")+SUMIFS(Vendas!$AJ$8:$AJ$2008,Vendas!$AG$8:$AG$2008,$B39,Vendas!$E$8:$E$2008,"&gt;=01/12/"&amp;$G$3,Vendas!$E$8:$E$2008,"&lt;=31/12/"&amp;$G$3,Vendas!$C$8:$C$2008,"Entregue")+SUMIFS(Vendas!$AO$8:$AO$2008,Vendas!$AL$8:$AL$2008,$B39,Vendas!$E$8:$E$2008,"&gt;=01/12/"&amp;$G$3,Vendas!$E$8:$E$2008,"&lt;=31/12/"&amp;$G$3,Vendas!$C$8:$C$2008,"Entregue")+SUMIFS(Vendas!$AT$8:$AT$2008,Vendas!$AQ$8:$AQ$2008,$B39,Vendas!$E$8:$E$2008,"&gt;=01/12/"&amp;$G$3,Vendas!$E$8:$E$2008,"&lt;=31/12/"&amp;$G$3,Vendas!$C$8:$C$2008,"Entregue")</f>
        <v>0</v>
      </c>
      <c r="AA39" s="132">
        <f t="shared" si="0"/>
        <v>0</v>
      </c>
      <c r="AB39" s="132">
        <f t="shared" si="0"/>
        <v>0</v>
      </c>
      <c r="AC39" s="67"/>
    </row>
    <row r="40" spans="2:29" ht="14.4" x14ac:dyDescent="0.3">
      <c r="B40" s="262" t="str">
        <f>IF(Cadastros!G31="","",Cadastros!G31)</f>
        <v>139 - Pingente Ecoturb</v>
      </c>
      <c r="C40" s="161">
        <f>SUMIFS(Vendas!$K$8:$K$2008,Vendas!$H$8:$H$2008,$B40,Vendas!$E$8:$E$2008,"&gt;=01/01/"&amp;$G$3,Vendas!$E$8:$E$2008,"&lt;=31/01/"&amp;$G$3)+SUMIFS(Vendas!$P$8:$P$2008,Vendas!$M$8:$M$2008,$B40,Vendas!$E$8:$E$2008,"&gt;=01/01/"&amp;$G$3,Vendas!$E$8:$E$2008,"&lt;=31/01/"&amp;$G$3)+SUMIFS(Vendas!$U$8:$U$2008,Vendas!$R$8:$R$2008,$B40,Vendas!$E$8:$E$2008,"&gt;=01/01/"&amp;$G$3,Vendas!$E$8:$E$2008,"&lt;=31/01/"&amp;$G$3)+SUMIFS(Vendas!$Z$8:$Z$2008,Vendas!$W$8:$W$2008,$B40,Vendas!$E$8:$E$2008,"&gt;=01/01/"&amp;$G$3,Vendas!$E$8:$E$2008,"&lt;=31/01/"&amp;$G$3)+SUMIFS(Vendas!$AE$8:$AE$2008,Vendas!$AB$8:$AB$2008,$B40,Vendas!$E$8:$E$2008,"&gt;=01/01/"&amp;$G$3,Vendas!$E$8:$E$2008,"&lt;=31/01/"&amp;$G$3)+SUMIFS(Vendas!$AJ$8:$AJ$2008,Vendas!$AG$8:$AG$2008,$B40,Vendas!$E$8:$E$2008,"&gt;=01/01/"&amp;$G$3,Vendas!$E$8:$E$2008,"&lt;=31/01/"&amp;$G$3)+SUMIFS(Vendas!$AO$8:$AO$2008,Vendas!$AL$8:$AL$2008,$B40,Vendas!$E$8:$E$2008,"&gt;=01/01/"&amp;$G$3,Vendas!$E$8:$E$2008,"&lt;=31/01/"&amp;$G$3)+SUMIFS(Vendas!$AT$8:$AT$2008,Vendas!$AQ$8:$AQ$2008,$B40,Vendas!$E$8:$E$2008,"&gt;=01/01/"&amp;$G$3,Vendas!$E$8:$E$2008,"&lt;=31/01/"&amp;$G$3)</f>
        <v>0</v>
      </c>
      <c r="D40" s="162">
        <f>SUMIFS(Vendas!$K$8:$K$2008,Vendas!$H$8:$H$2008,$B40,Vendas!$E$8:$E$2008,"&gt;=01/01/"&amp;$G$3,Vendas!$E$8:$E$2008,"&lt;=31/01/"&amp;$G$3,Vendas!$C$8:$C$2008,"Entregue")+SUMIFS(Vendas!$P$8:$P$2008,Vendas!$M$8:$M$2008,$B40,Vendas!$E$8:$E$2008,"&gt;=01/01/"&amp;$G$3,Vendas!$E$8:$E$2008,"&lt;=31/01/"&amp;$G$3,Vendas!$C$8:$C$2008,"Entregue")+SUMIFS(Vendas!$U$8:$U$2008,Vendas!$R$8:$R$2008,$B40,Vendas!$E$8:$E$2008,"&gt;=01/01/"&amp;$G$3,Vendas!$E$8:$E$2008,"&lt;=31/01/"&amp;$G$3,Vendas!$C$8:$C$2008,"Entregue")+SUMIFS(Vendas!$Z$8:$Z$2008,Vendas!$W$8:$W$2008,$B40,Vendas!$E$8:$E$2008,"&gt;=01/01/"&amp;$G$3,Vendas!$E$8:$E$2008,"&lt;=31/01/"&amp;$G$3,Vendas!$C$8:$C$2008,"Entregue")+SUMIFS(Vendas!$AE$8:$AE$2008,Vendas!$AB$8:$AB$2008,$B40,Vendas!$E$8:$E$2008,"&gt;=01/01/"&amp;$G$3,Vendas!$E$8:$E$2008,"&lt;=31/01/"&amp;$G$3,Vendas!$C$8:$C$2008,"Entregue")+SUMIFS(Vendas!$AJ$8:$AJ$2008,Vendas!$AG$8:$AG$2008,$B40,Vendas!$E$8:$E$2008,"&gt;=01/01/"&amp;$G$3,Vendas!$E$8:$E$2008,"&lt;=31/01/"&amp;$G$3,Vendas!$C$8:$C$2008,"Entregue")+SUMIFS(Vendas!$AO$8:$AO$2008,Vendas!$AL$8:$AL$2008,$B40,Vendas!$E$8:$E$2008,"&gt;=01/01/"&amp;$G$3,Vendas!$E$8:$E$2008,"&lt;=31/01/"&amp;$G$3,Vendas!$C$8:$C$2008,"Entregue")+SUMIFS(Vendas!$AT$8:$AT$2008,Vendas!$AQ$8:$AQ$2008,$B40,Vendas!$E$8:$E$2008,"&gt;=01/01/"&amp;$G$3,Vendas!$E$8:$E$2008,"&lt;=31/01/"&amp;$G$3,Vendas!$C$8:$C$2008,"Entregue")</f>
        <v>0</v>
      </c>
      <c r="E40" s="162">
        <f>SUMIFS(Vendas!$K$8:$K$2008,Vendas!$H$8:$H$2008,$B40,Vendas!$E$8:$E$2008,"&gt;=01/02/"&amp;$G$3,Vendas!$E$8:$E$2008,"&lt;=28/02/"&amp;$G$3)+SUMIFS(Vendas!$P$8:$P$2008,Vendas!$M$8:$M$2008,$B40,Vendas!$E$8:$E$2008,"&gt;=01/02/"&amp;$G$3,Vendas!$E$8:$E$2008,"&lt;=28/02/"&amp;$G$3)+SUMIFS(Vendas!$U$8:$U$2008,Vendas!$R$8:$R$2008,$B40,Vendas!$E$8:$E$2008,"&gt;=01/02/"&amp;$G$3,Vendas!$E$8:$E$2008,"&lt;=28/02/"&amp;$G$3)+SUMIFS(Vendas!$Z$8:$Z$2008,Vendas!$W$8:$W$2008,$B40,Vendas!$E$8:$E$2008,"&gt;=01/02/"&amp;$G$3,Vendas!$E$8:$E$2008,"&lt;=28/02/"&amp;$G$3)+SUMIFS(Vendas!$AE$8:$AE$2008,Vendas!$AB$8:$AB$2008,$B40,Vendas!$E$8:$E$2008,"&gt;=01/02/"&amp;$G$3,Vendas!$E$8:$E$2008,"&lt;=28/02/"&amp;$G$3)+SUMIFS(Vendas!$AJ$8:$AJ$2008,Vendas!$AG$8:$AG$2008,$B40,Vendas!$E$8:$E$2008,"&gt;=01/02/"&amp;$G$3,Vendas!$E$8:$E$2008,"&lt;=28/02/"&amp;$G$3)+SUMIFS(Vendas!$AO$8:$AO$2008,Vendas!$AL$8:$AL$2008,$B40,Vendas!$E$8:$E$2008,"&gt;=01/02/"&amp;$G$3,Vendas!$E$8:$E$2008,"&lt;=28/02/"&amp;$G$3)+SUMIFS(Vendas!$AT$8:$AT$2008,Vendas!$AQ$8:$AQ$2008,$B40,Vendas!$E$8:$E$2008,"&gt;=01/02/"&amp;$G$3,Vendas!$E$8:$E$2008,"&lt;=28/02/"&amp;$G$3)</f>
        <v>0</v>
      </c>
      <c r="F40" s="162">
        <f>SUMIFS(Vendas!$K$8:$K$2008,Vendas!$H$8:$H$2008,$B40,Vendas!$E$8:$E$2008,"&gt;=01/02/"&amp;$G$3,Vendas!$E$8:$E$2008,"&lt;=28/02/"&amp;$G$3,Vendas!$C$8:$C$2008,"Entregue")+SUMIFS(Vendas!$P$8:$P$2008,Vendas!$M$8:$M$2008,$B40,Vendas!$E$8:$E$2008,"&gt;=01/02/"&amp;$G$3,Vendas!$E$8:$E$2008,"&lt;=28/02/"&amp;$G$3,Vendas!$C$8:$C$2008,"Entregue")+SUMIFS(Vendas!$U$8:$U$2008,Vendas!$R$8:$R$2008,$B40,Vendas!$E$8:$E$2008,"&gt;=01/02/"&amp;$G$3,Vendas!$E$8:$E$2008,"&lt;=28/02/"&amp;$G$3,Vendas!$C$8:$C$2008,"Entregue")+SUMIFS(Vendas!$Z$8:$Z$2008,Vendas!$W$8:$W$2008,$B40,Vendas!$E$8:$E$2008,"&gt;=01/02/"&amp;$G$3,Vendas!$E$8:$E$2008,"&lt;=28/02/"&amp;$G$3,Vendas!$C$8:$C$2008,"Entregue")+SUMIFS(Vendas!$AE$8:$AE$2008,Vendas!$AB$8:$AB$2008,$B40,Vendas!$E$8:$E$2008,"&gt;=01/02/"&amp;$G$3,Vendas!$E$8:$E$2008,"&lt;=28/02/"&amp;$G$3,Vendas!$C$8:$C$2008,"Entregue")+SUMIFS(Vendas!$AJ$8:$AJ$2008,Vendas!$AG$8:$AG$2008,$B40,Vendas!$E$8:$E$2008,"&gt;=01/02/"&amp;$G$3,Vendas!$E$8:$E$2008,"&lt;=28/02/"&amp;$G$3,Vendas!$C$8:$C$2008,"Entregue")+SUMIFS(Vendas!$AO$8:$AO$2008,Vendas!$AL$8:$AL$2008,$B40,Vendas!$E$8:$E$2008,"&gt;=01/02/"&amp;$G$3,Vendas!$E$8:$E$2008,"&lt;=28/02/"&amp;$G$3,Vendas!$C$8:$C$2008,"Entregue")+SUMIFS(Vendas!$AT$8:$AT$2008,Vendas!$AQ$8:$AQ$2008,$B40,Vendas!$E$8:$E$2008,"&gt;=01/02/"&amp;$G$3,Vendas!$E$8:$E$2008,"&lt;=28/02/"&amp;$G$3,Vendas!$C$8:$C$2008,"Entregue")</f>
        <v>0</v>
      </c>
      <c r="G40" s="162">
        <f>SUMIFS(Vendas!$K$8:$K$2008,Vendas!$H$8:$H$2008,$B40,Vendas!$E$8:$E$2008,"&gt;=01/03/"&amp;$G$3,Vendas!$E$8:$E$2008,"&lt;=31/03/"&amp;$G$3)+SUMIFS(Vendas!$P$8:$P$2008,Vendas!$M$8:$M$2008,$B40,Vendas!$E$8:$E$2008,"&gt;=01/03/"&amp;$G$3,Vendas!$E$8:$E$2008,"&lt;=31/03/"&amp;$G$3)+SUMIFS(Vendas!$U$8:$U$2008,Vendas!$R$8:$R$2008,$B40,Vendas!$E$8:$E$2008,"&gt;=01/03/"&amp;$G$3,Vendas!$E$8:$E$2008,"&lt;=31/03/"&amp;$G$3)+SUMIFS(Vendas!$Z$8:$Z$2008,Vendas!$W$8:$W$2008,$B40,Vendas!$E$8:$E$2008,"&gt;=01/03/"&amp;$G$3,Vendas!$E$8:$E$2008,"&lt;=31/03/"&amp;$G$3)+SUMIFS(Vendas!$AE$8:$AE$2008,Vendas!$AB$8:$AB$2008,$B40,Vendas!$E$8:$E$2008,"&gt;=01/03/"&amp;$G$3,Vendas!$E$8:$E$2008,"&lt;=31/03/"&amp;$G$3)+SUMIFS(Vendas!$AJ$8:$AJ$2008,Vendas!$AG$8:$AG$2008,$B40,Vendas!$E$8:$E$2008,"&gt;=01/03/"&amp;$G$3,Vendas!$E$8:$E$2008,"&lt;=31/03/"&amp;$G$3)+SUMIFS(Vendas!$AO$8:$AO$2008,Vendas!$AL$8:$AL$2008,$B40,Vendas!$E$8:$E$2008,"&gt;=01/03/"&amp;$G$3,Vendas!$E$8:$E$2008,"&lt;=31/03/"&amp;$G$3)+SUMIFS(Vendas!$AT$8:$AT$2008,Vendas!$AQ$8:$AQ$2008,$B40,Vendas!$E$8:$E$2008,"&gt;=01/03/"&amp;$G$3,Vendas!$E$8:$E$2008,"&lt;=31/03/"&amp;$G$3)</f>
        <v>0</v>
      </c>
      <c r="H40" s="162">
        <f>SUMIFS(Vendas!$K$8:$K$2008,Vendas!$H$8:$H$2008,$B40,Vendas!$E$8:$E$2008,"&gt;=01/03/"&amp;$G$3,Vendas!$E$8:$E$2008,"&lt;=31/03/"&amp;$G$3,Vendas!$C$8:$C$2008,"Entregue")+SUMIFS(Vendas!$P$8:$P$2008,Vendas!$M$8:$M$2008,$B40,Vendas!$E$8:$E$2008,"&gt;=01/03/"&amp;$G$3,Vendas!$E$8:$E$2008,"&lt;=31/03/"&amp;$G$3,Vendas!$C$8:$C$2008,"Entregue")+SUMIFS(Vendas!$U$8:$U$2008,Vendas!$R$8:$R$2008,$B40,Vendas!$E$8:$E$2008,"&gt;=01/03/"&amp;$G$3,Vendas!$E$8:$E$2008,"&lt;=31/03/"&amp;$G$3,Vendas!$C$8:$C$2008,"Entregue")+SUMIFS(Vendas!$Z$8:$Z$2008,Vendas!$W$8:$W$2008,$B40,Vendas!$E$8:$E$2008,"&gt;=01/03/"&amp;$G$3,Vendas!$E$8:$E$2008,"&lt;=31/03/"&amp;$G$3,Vendas!$C$8:$C$2008,"Entregue")+SUMIFS(Vendas!$AE$8:$AE$2008,Vendas!$AB$8:$AB$2008,$B40,Vendas!$E$8:$E$2008,"&gt;=01/03/"&amp;$G$3,Vendas!$E$8:$E$2008,"&lt;=31/03/"&amp;$G$3,Vendas!$C$8:$C$2008,"Entregue")+SUMIFS(Vendas!$AJ$8:$AJ$2008,Vendas!$AG$8:$AG$2008,$B40,Vendas!$E$8:$E$2008,"&gt;=01/03/"&amp;$G$3,Vendas!$E$8:$E$2008,"&lt;=31/03/"&amp;$G$3,Vendas!$C$8:$C$2008,"Entregue")+SUMIFS(Vendas!$AO$8:$AO$2008,Vendas!$AL$8:$AL$2008,$B40,Vendas!$E$8:$E$2008,"&gt;=01/03/"&amp;$G$3,Vendas!$E$8:$E$2008,"&lt;=31/03/"&amp;$G$3,Vendas!$C$8:$C$2008,"Entregue")+SUMIFS(Vendas!$AT$8:$AT$2008,Vendas!$AQ$8:$AQ$2008,$B40,Vendas!$E$8:$E$2008,"&gt;=01/03/"&amp;$G$3,Vendas!$E$8:$E$2008,"&lt;=31/03/"&amp;$G$3,Vendas!$C$8:$C$2008,"Entregue")</f>
        <v>0</v>
      </c>
      <c r="I40" s="162">
        <f>SUMIFS(Vendas!$K$8:$K$2008,Vendas!$H$8:$H$2008,$B40,Vendas!$E$8:$E$2008,"&gt;=01/04/"&amp;$G$3,Vendas!$E$8:$E$2008,"&lt;=30/04/"&amp;$G$3)+SUMIFS(Vendas!$P$8:$P$2008,Vendas!$M$8:$M$2008,$B40,Vendas!$E$8:$E$2008,"&gt;=01/04/"&amp;$G$3,Vendas!$E$8:$E$2008,"&lt;=30/04/"&amp;$G$3)+SUMIFS(Vendas!$U$8:$U$2008,Vendas!$R$8:$R$2008,$B40,Vendas!$E$8:$E$2008,"&gt;=01/04/"&amp;$G$3,Vendas!$E$8:$E$2008,"&lt;=30/04/"&amp;$G$3)+SUMIFS(Vendas!$Z$8:$Z$2008,Vendas!$W$8:$W$2008,$B40,Vendas!$E$8:$E$2008,"&gt;=01/04/"&amp;$G$3,Vendas!$E$8:$E$2008,"&lt;=30/04/"&amp;$G$3)+SUMIFS(Vendas!$AE$8:$AE$2008,Vendas!$AB$8:$AB$2008,$B40,Vendas!$E$8:$E$2008,"&gt;=01/04/"&amp;$G$3,Vendas!$E$8:$E$2008,"&lt;=30/04/"&amp;$G$3)+SUMIFS(Vendas!$AJ$8:$AJ$2008,Vendas!$AG$8:$AG$2008,$B40,Vendas!$E$8:$E$2008,"&gt;=01/04/"&amp;$G$3,Vendas!$E$8:$E$2008,"&lt;=30/04/"&amp;$G$3)+SUMIFS(Vendas!$AO$8:$AO$2008,Vendas!$AL$8:$AL$2008,$B40,Vendas!$E$8:$E$2008,"&gt;=01/04/"&amp;$G$3,Vendas!$E$8:$E$2008,"&lt;=30/04/"&amp;$G$3)+SUMIFS(Vendas!$AT$8:$AT$2008,Vendas!$AQ$8:$AQ$2008,$B40,Vendas!$E$8:$E$2008,"&gt;=01/04/"&amp;$G$3,Vendas!$E$8:$E$2008,"&lt;=30/04/"&amp;$G$3)</f>
        <v>0</v>
      </c>
      <c r="J40" s="162">
        <f>SUMIFS(Vendas!$K$8:$K$2008,Vendas!$H$8:$H$2008,$B40,Vendas!$E$8:$E$2008,"&gt;=01/04/"&amp;$G$3,Vendas!$E$8:$E$2008,"&lt;=30/04/"&amp;$G$3,Vendas!$C$8:$C$2008,"Entregue")+SUMIFS(Vendas!$P$8:$P$2008,Vendas!$M$8:$M$2008,$B40,Vendas!$E$8:$E$2008,"&gt;=01/04/"&amp;$G$3,Vendas!$E$8:$E$2008,"&lt;=30/04/"&amp;$G$3,Vendas!$C$8:$C$2008,"Entregue")+SUMIFS(Vendas!$U$8:$U$2008,Vendas!$R$8:$R$2008,$B40,Vendas!$E$8:$E$2008,"&gt;=01/04/"&amp;$G$3,Vendas!$E$8:$E$2008,"&lt;=30/04/"&amp;$G$3,Vendas!$C$8:$C$2008,"Entregue")+SUMIFS(Vendas!$Z$8:$Z$2008,Vendas!$W$8:$W$2008,$B40,Vendas!$E$8:$E$2008,"&gt;=01/04/"&amp;$G$3,Vendas!$E$8:$E$2008,"&lt;=30/04/"&amp;$G$3,Vendas!$C$8:$C$2008,"Entregue")+SUMIFS(Vendas!$AE$8:$AE$2008,Vendas!$AB$8:$AB$2008,$B40,Vendas!$E$8:$E$2008,"&gt;=01/04/"&amp;$G$3,Vendas!$E$8:$E$2008,"&lt;=30/04/"&amp;$G$3,Vendas!$C$8:$C$2008,"Entregue")+SUMIFS(Vendas!$AJ$8:$AJ$2008,Vendas!$AG$8:$AG$2008,$B40,Vendas!$E$8:$E$2008,"&gt;=01/04/"&amp;$G$3,Vendas!$E$8:$E$2008,"&lt;=30/04/"&amp;$G$3,Vendas!$C$8:$C$2008,"Entregue")+SUMIFS(Vendas!$AO$8:$AO$2008,Vendas!$AL$8:$AL$2008,$B40,Vendas!$E$8:$E$2008,"&gt;=01/04/"&amp;$G$3,Vendas!$E$8:$E$2008,"&lt;=30/04/"&amp;$G$3,Vendas!$C$8:$C$2008,"Entregue")+SUMIFS(Vendas!$AT$8:$AT$2008,Vendas!$AQ$8:$AQ$2008,$B40,Vendas!$E$8:$E$2008,"&gt;=01/04/"&amp;$G$3,Vendas!$E$8:$E$2008,"&lt;=30/04/"&amp;$G$3,Vendas!$C$8:$C$2008,"Entregue")</f>
        <v>0</v>
      </c>
      <c r="K40" s="162">
        <f>SUMIFS(Vendas!$K$8:$K$2008,Vendas!$H$8:$H$2008,$B40,Vendas!$E$8:$E$2008,"&gt;=01/05/"&amp;$G$3,Vendas!$E$8:$E$2008,"&lt;=31/05/"&amp;$G$3)+SUMIFS(Vendas!$P$8:$P$2008,Vendas!$M$8:$M$2008,$B40,Vendas!$E$8:$E$2008,"&gt;=01/05/"&amp;$G$3,Vendas!$E$8:$E$2008,"&lt;=31/05/"&amp;$G$3)+SUMIFS(Vendas!$U$8:$U$2008,Vendas!$R$8:$R$2008,$B40,Vendas!$E$8:$E$2008,"&gt;=01/05/"&amp;$G$3,Vendas!$E$8:$E$2008,"&lt;=31/05/"&amp;$G$3)+SUMIFS(Vendas!$Z$8:$Z$2008,Vendas!$W$8:$W$2008,$B40,Vendas!$E$8:$E$2008,"&gt;=01/05/"&amp;$G$3,Vendas!$E$8:$E$2008,"&lt;=31/05/"&amp;$G$3)+SUMIFS(Vendas!$AE$8:$AE$2008,Vendas!$AB$8:$AB$2008,$B40,Vendas!$E$8:$E$2008,"&gt;=01/05/"&amp;$G$3,Vendas!$E$8:$E$2008,"&lt;=31/05/"&amp;$G$3)+SUMIFS(Vendas!$AJ$8:$AJ$2008,Vendas!$AG$8:$AG$2008,$B40,Vendas!$E$8:$E$2008,"&gt;=01/05/"&amp;$G$3,Vendas!$E$8:$E$2008,"&lt;=31/05/"&amp;$G$3)+SUMIFS(Vendas!$AO$8:$AO$2008,Vendas!$AL$8:$AL$2008,$B40,Vendas!$E$8:$E$2008,"&gt;=01/05/"&amp;$G$3,Vendas!$E$8:$E$2008,"&lt;=31/05/"&amp;$G$3)+SUMIFS(Vendas!$AT$8:$AT$2008,Vendas!$AQ$8:$AQ$2008,$B40,Vendas!$E$8:$E$2008,"&gt;=01/05/"&amp;$G$3,Vendas!$E$8:$E$2008,"&lt;=31/05/"&amp;$G$3)</f>
        <v>0</v>
      </c>
      <c r="L40" s="162">
        <f>SUMIFS(Vendas!$K$8:$K$2008,Vendas!$H$8:$H$2008,$B40,Vendas!$E$8:$E$2008,"&gt;=01/05/"&amp;$G$3,Vendas!$E$8:$E$2008,"&lt;=31/05/"&amp;$G$3,Vendas!$C$8:$C$2008,"Entregue")+SUMIFS(Vendas!$P$8:$P$2008,Vendas!$M$8:$M$2008,$B40,Vendas!$E$8:$E$2008,"&gt;=01/05/"&amp;$G$3,Vendas!$E$8:$E$2008,"&lt;=31/05/"&amp;$G$3,Vendas!$C$8:$C$2008,"Entregue")+SUMIFS(Vendas!$U$8:$U$2008,Vendas!$R$8:$R$2008,$B40,Vendas!$E$8:$E$2008,"&gt;=01/05/"&amp;$G$3,Vendas!$E$8:$E$2008,"&lt;=31/05/"&amp;$G$3,Vendas!$C$8:$C$2008,"Entregue")+SUMIFS(Vendas!$Z$8:$Z$2008,Vendas!$W$8:$W$2008,$B40,Vendas!$E$8:$E$2008,"&gt;=01/05/"&amp;$G$3,Vendas!$E$8:$E$2008,"&lt;=31/05/"&amp;$G$3,Vendas!$C$8:$C$2008,"Entregue")+SUMIFS(Vendas!$AE$8:$AE$2008,Vendas!$AB$8:$AB$2008,$B40,Vendas!$E$8:$E$2008,"&gt;=01/05/"&amp;$G$3,Vendas!$E$8:$E$2008,"&lt;=31/05/"&amp;$G$3,Vendas!$C$8:$C$2008,"Entregue")+SUMIFS(Vendas!$AJ$8:$AJ$2008,Vendas!$AG$8:$AG$2008,$B40,Vendas!$E$8:$E$2008,"&gt;=01/05/"&amp;$G$3,Vendas!$E$8:$E$2008,"&lt;=31/05/"&amp;$G$3,Vendas!$C$8:$C$2008,"Entregue")+SUMIFS(Vendas!$AO$8:$AO$2008,Vendas!$AL$8:$AL$2008,$B40,Vendas!$E$8:$E$2008,"&gt;=01/05/"&amp;$G$3,Vendas!$E$8:$E$2008,"&lt;=31/05/"&amp;$G$3,Vendas!$C$8:$C$2008,"Entregue")+SUMIFS(Vendas!$AT$8:$AT$2008,Vendas!$AQ$8:$AQ$2008,$B40,Vendas!$E$8:$E$2008,"&gt;=01/05/"&amp;$G$3,Vendas!$E$8:$E$2008,"&lt;=31/05/"&amp;$G$3,Vendas!$C$8:$C$2008,"Entregue")</f>
        <v>0</v>
      </c>
      <c r="M40" s="162">
        <f>SUMIFS(Vendas!$K$8:$K$2008,Vendas!$H$8:$H$2008,$B40,Vendas!$E$8:$E$2008,"&gt;=01/06/"&amp;$G$3,Vendas!$E$8:$E$2008,"&lt;=30/06/"&amp;$G$3)+SUMIFS(Vendas!$P$8:$P$2008,Vendas!$M$8:$M$2008,$B40,Vendas!$E$8:$E$2008,"&gt;=01/06/"&amp;$G$3,Vendas!$E$8:$E$2008,"&lt;=30/06/"&amp;$G$3)+SUMIFS(Vendas!$U$8:$U$2008,Vendas!$R$8:$R$2008,$B40,Vendas!$E$8:$E$2008,"&gt;=01/06/"&amp;$G$3,Vendas!$E$8:$E$2008,"&lt;=30/06/"&amp;$G$3)+SUMIFS(Vendas!$Z$8:$Z$2008,Vendas!$W$8:$W$2008,$B40,Vendas!$E$8:$E$2008,"&gt;=01/06/"&amp;$G$3,Vendas!$E$8:$E$2008,"&lt;=30/06/"&amp;$G$3)+SUMIFS(Vendas!$AE$8:$AE$2008,Vendas!$AB$8:$AB$2008,$B40,Vendas!$E$8:$E$2008,"&gt;=01/06/"&amp;$G$3,Vendas!$E$8:$E$2008,"&lt;=30/06/"&amp;$G$3)+SUMIFS(Vendas!$AJ$8:$AJ$2008,Vendas!$AG$8:$AG$2008,$B40,Vendas!$E$8:$E$2008,"&gt;=01/06/"&amp;$G$3,Vendas!$E$8:$E$2008,"&lt;=30/06/"&amp;$G$3)+SUMIFS(Vendas!$AO$8:$AO$2008,Vendas!$AL$8:$AL$2008,$B40,Vendas!$E$8:$E$2008,"&gt;=01/06/"&amp;$G$3,Vendas!$E$8:$E$2008,"&lt;=30/06/"&amp;$G$3)+SUMIFS(Vendas!$AT$8:$AT$2008,Vendas!$AQ$8:$AQ$2008,$B40,Vendas!$E$8:$E$2008,"&gt;=01/06/"&amp;$G$3,Vendas!$E$8:$E$2008,"&lt;=30/06/"&amp;$G$3)</f>
        <v>0</v>
      </c>
      <c r="N40" s="162">
        <f>SUMIFS(Vendas!$K$8:$K$2008,Vendas!$H$8:$H$2008,$B40,Vendas!$E$8:$E$2008,"&gt;=01/06/"&amp;$G$3,Vendas!$E$8:$E$2008,"&lt;=30/06/"&amp;$G$3,Vendas!$C$8:$C$2008,"Entregue")+SUMIFS(Vendas!$P$8:$P$2008,Vendas!$M$8:$M$2008,$B40,Vendas!$E$8:$E$2008,"&gt;=01/06/"&amp;$G$3,Vendas!$E$8:$E$2008,"&lt;=30/06/"&amp;$G$3,Vendas!$C$8:$C$2008,"Entregue")+SUMIFS(Vendas!$U$8:$U$2008,Vendas!$R$8:$R$2008,$B40,Vendas!$E$8:$E$2008,"&gt;=01/06/"&amp;$G$3,Vendas!$E$8:$E$2008,"&lt;=30/06/"&amp;$G$3,Vendas!$C$8:$C$2008,"Entregue")+SUMIFS(Vendas!$Z$8:$Z$2008,Vendas!$W$8:$W$2008,$B40,Vendas!$E$8:$E$2008,"&gt;=01/06/"&amp;$G$3,Vendas!$E$8:$E$2008,"&lt;=30/06/"&amp;$G$3,Vendas!$C$8:$C$2008,"Entregue")+SUMIFS(Vendas!$AE$8:$AE$2008,Vendas!$AB$8:$AB$2008,$B40,Vendas!$E$8:$E$2008,"&gt;=01/06/"&amp;$G$3,Vendas!$E$8:$E$2008,"&lt;=30/06/"&amp;$G$3,Vendas!$C$8:$C$2008,"Entregue")+SUMIFS(Vendas!$AJ$8:$AJ$2008,Vendas!$AG$8:$AG$2008,$B40,Vendas!$E$8:$E$2008,"&gt;=01/06/"&amp;$G$3,Vendas!$E$8:$E$2008,"&lt;=30/06/"&amp;$G$3,Vendas!$C$8:$C$2008,"Entregue")+SUMIFS(Vendas!$AO$8:$AO$2008,Vendas!$AL$8:$AL$2008,$B40,Vendas!$E$8:$E$2008,"&gt;=01/06/"&amp;$G$3,Vendas!$E$8:$E$2008,"&lt;=30/06/"&amp;$G$3,Vendas!$C$8:$C$2008,"Entregue")+SUMIFS(Vendas!$AT$8:$AT$2008,Vendas!$AQ$8:$AQ$2008,$B40,Vendas!$E$8:$E$2008,"&gt;=01/06/"&amp;$G$3,Vendas!$E$8:$E$2008,"&lt;=30/06/"&amp;$G$3,Vendas!$C$8:$C$2008,"Entregue")</f>
        <v>0</v>
      </c>
      <c r="O40" s="162">
        <f>SUMIFS(Vendas!$K$8:$K$2008,Vendas!$H$8:$H$2008,$B40,Vendas!$E$8:$E$2008,"&gt;=01/07/"&amp;$G$3,Vendas!$E$8:$E$2008,"&lt;=31/07/"&amp;$G$3)+SUMIFS(Vendas!$P$8:$P$2008,Vendas!$M$8:$M$2008,$B40,Vendas!$E$8:$E$2008,"&gt;=01/07/"&amp;$G$3,Vendas!$E$8:$E$2008,"&lt;=31/07/"&amp;$G$3)+SUMIFS(Vendas!$U$8:$U$2008,Vendas!$R$8:$R$2008,$B40,Vendas!$E$8:$E$2008,"&gt;=01/07/"&amp;$G$3,Vendas!$E$8:$E$2008,"&lt;=31/07/"&amp;$G$3)+SUMIFS(Vendas!$Z$8:$Z$2008,Vendas!$W$8:$W$2008,$B40,Vendas!$E$8:$E$2008,"&gt;=01/07/"&amp;$G$3,Vendas!$E$8:$E$2008,"&lt;=31/07/"&amp;$G$3)+SUMIFS(Vendas!$AE$8:$AE$2008,Vendas!$AB$8:$AB$2008,$B40,Vendas!$E$8:$E$2008,"&gt;=01/07/"&amp;$G$3,Vendas!$E$8:$E$2008,"&lt;=31/07/"&amp;$G$3)+SUMIFS(Vendas!$AJ$8:$AJ$2008,Vendas!$AG$8:$AG$2008,$B40,Vendas!$E$8:$E$2008,"&gt;=01/07/"&amp;$G$3,Vendas!$E$8:$E$2008,"&lt;=31/07/"&amp;$G$3)+SUMIFS(Vendas!$AO$8:$AO$2008,Vendas!$AL$8:$AL$2008,$B40,Vendas!$E$8:$E$2008,"&gt;=01/07/"&amp;$G$3,Vendas!$E$8:$E$2008,"&lt;=31/07/"&amp;$G$3)+SUMIFS(Vendas!$AT$8:$AT$2008,Vendas!$AQ$8:$AQ$2008,$B40,Vendas!$E$8:$E$2008,"&gt;=01/07/"&amp;$G$3,Vendas!$E$8:$E$2008,"&lt;=31/07/"&amp;$G$3)</f>
        <v>0</v>
      </c>
      <c r="P40" s="162">
        <f>SUMIFS(Vendas!$K$8:$K$2008,Vendas!$H$8:$H$2008,$B40,Vendas!$E$8:$E$2008,"&gt;=01/07/"&amp;$G$3,Vendas!$E$8:$E$2008,"&lt;=31/07/"&amp;$G$3,Vendas!$C$8:$C$2008,"Entregue")+SUMIFS(Vendas!$P$8:$P$2008,Vendas!$M$8:$M$2008,$B40,Vendas!$E$8:$E$2008,"&gt;=01/07/"&amp;$G$3,Vendas!$E$8:$E$2008,"&lt;=31/07/"&amp;$G$3,Vendas!$C$8:$C$2008,"Entregue")+SUMIFS(Vendas!$U$8:$U$2008,Vendas!$R$8:$R$2008,$B40,Vendas!$E$8:$E$2008,"&gt;=01/07/"&amp;$G$3,Vendas!$E$8:$E$2008,"&lt;=31/07/"&amp;$G$3,Vendas!$C$8:$C$2008,"Entregue")+SUMIFS(Vendas!$Z$8:$Z$2008,Vendas!$W$8:$W$2008,$B40,Vendas!$E$8:$E$2008,"&gt;=01/07/"&amp;$G$3,Vendas!$E$8:$E$2008,"&lt;=31/07/"&amp;$G$3,Vendas!$C$8:$C$2008,"Entregue")+SUMIFS(Vendas!$AE$8:$AE$2008,Vendas!$AB$8:$AB$2008,$B40,Vendas!$E$8:$E$2008,"&gt;=01/07/"&amp;$G$3,Vendas!$E$8:$E$2008,"&lt;=31/07/"&amp;$G$3,Vendas!$C$8:$C$2008,"Entregue")+SUMIFS(Vendas!$AJ$8:$AJ$2008,Vendas!$AG$8:$AG$2008,$B40,Vendas!$E$8:$E$2008,"&gt;=01/07/"&amp;$G$3,Vendas!$E$8:$E$2008,"&lt;=31/07/"&amp;$G$3,Vendas!$C$8:$C$2008,"Entregue")+SUMIFS(Vendas!$AO$8:$AO$2008,Vendas!$AL$8:$AL$2008,$B40,Vendas!$E$8:$E$2008,"&gt;=01/07/"&amp;$G$3,Vendas!$E$8:$E$2008,"&lt;=31/07/"&amp;$G$3,Vendas!$C$8:$C$2008,"Entregue")+SUMIFS(Vendas!$AT$8:$AT$2008,Vendas!$AQ$8:$AQ$2008,$B40,Vendas!$E$8:$E$2008,"&gt;=01/07/"&amp;$G$3,Vendas!$E$8:$E$2008,"&lt;=31/07/"&amp;$G$3,Vendas!$C$8:$C$2008,"Entregue")</f>
        <v>0</v>
      </c>
      <c r="Q40" s="162">
        <f>SUMIFS(Vendas!$K$8:$K$2008,Vendas!$H$8:$H$2008,$B40,Vendas!$E$8:$E$2008,"&gt;=01/08/"&amp;$G$3,Vendas!$E$8:$E$2008,"&lt;=31/08/"&amp;$G$3)+SUMIFS(Vendas!$P$8:$P$2008,Vendas!$M$8:$M$2008,$B40,Vendas!$E$8:$E$2008,"&gt;=01/08/"&amp;$G$3,Vendas!$E$8:$E$2008,"&lt;=31/08/"&amp;$G$3)+SUMIFS(Vendas!$U$8:$U$2008,Vendas!$R$8:$R$2008,$B40,Vendas!$E$8:$E$2008,"&gt;=01/08/"&amp;$G$3,Vendas!$E$8:$E$2008,"&lt;=31/08/"&amp;$G$3)+SUMIFS(Vendas!$Z$8:$Z$2008,Vendas!$W$8:$W$2008,$B40,Vendas!$E$8:$E$2008,"&gt;=01/08/"&amp;$G$3,Vendas!$E$8:$E$2008,"&lt;=31/08/"&amp;$G$3)+SUMIFS(Vendas!$AE$8:$AE$2008,Vendas!$AB$8:$AB$2008,$B40,Vendas!$E$8:$E$2008,"&gt;=01/08/"&amp;$G$3,Vendas!$E$8:$E$2008,"&lt;=31/08/"&amp;$G$3)+SUMIFS(Vendas!$AJ$8:$AJ$2008,Vendas!$AG$8:$AG$2008,$B40,Vendas!$E$8:$E$2008,"&gt;=01/08/"&amp;$G$3,Vendas!$E$8:$E$2008,"&lt;=31/08/"&amp;$G$3)+SUMIFS(Vendas!$AO$8:$AO$2008,Vendas!$AL$8:$AL$2008,$B40,Vendas!$E$8:$E$2008,"&gt;=01/08/"&amp;$G$3,Vendas!$E$8:$E$2008,"&lt;=31/08/"&amp;$G$3)+SUMIFS(Vendas!$AT$8:$AT$2008,Vendas!$AQ$8:$AQ$2008,$B40,Vendas!$E$8:$E$2008,"&gt;=01/08/"&amp;$G$3,Vendas!$E$8:$E$2008,"&lt;=31/08/"&amp;$G$3)</f>
        <v>0</v>
      </c>
      <c r="R40" s="162">
        <f>SUMIFS(Vendas!$K$8:$K$2008,Vendas!$H$8:$H$2008,$B40,Vendas!$E$8:$E$2008,"&gt;=01/08/"&amp;$G$3,Vendas!$E$8:$E$2008,"&lt;=31/08/"&amp;$G$3,Vendas!$C$8:$C$2008,"Entregue")+SUMIFS(Vendas!$P$8:$P$2008,Vendas!$M$8:$M$2008,$B40,Vendas!$E$8:$E$2008,"&gt;=01/08/"&amp;$G$3,Vendas!$E$8:$E$2008,"&lt;=31/08/"&amp;$G$3,Vendas!$C$8:$C$2008,"Entregue")+SUMIFS(Vendas!$U$8:$U$2008,Vendas!$R$8:$R$2008,$B40,Vendas!$E$8:$E$2008,"&gt;=01/08/"&amp;$G$3,Vendas!$E$8:$E$2008,"&lt;=31/08/"&amp;$G$3,Vendas!$C$8:$C$2008,"Entregue")+SUMIFS(Vendas!$Z$8:$Z$2008,Vendas!$W$8:$W$2008,$B40,Vendas!$E$8:$E$2008,"&gt;=01/08/"&amp;$G$3,Vendas!$E$8:$E$2008,"&lt;=31/08/"&amp;$G$3,Vendas!$C$8:$C$2008,"Entregue")+SUMIFS(Vendas!$AE$8:$AE$2008,Vendas!$AB$8:$AB$2008,$B40,Vendas!$E$8:$E$2008,"&gt;=01/08/"&amp;$G$3,Vendas!$E$8:$E$2008,"&lt;=31/08/"&amp;$G$3,Vendas!$C$8:$C$2008,"Entregue")+SUMIFS(Vendas!$AJ$8:$AJ$2008,Vendas!$AG$8:$AG$2008,$B40,Vendas!$E$8:$E$2008,"&gt;=01/08/"&amp;$G$3,Vendas!$E$8:$E$2008,"&lt;=31/08/"&amp;$G$3,Vendas!$C$8:$C$2008,"Entregue")+SUMIFS(Vendas!$AO$8:$AO$2008,Vendas!$AL$8:$AL$2008,$B40,Vendas!$E$8:$E$2008,"&gt;=01/08/"&amp;$G$3,Vendas!$E$8:$E$2008,"&lt;=31/08/"&amp;$G$3,Vendas!$C$8:$C$2008,"Entregue")+SUMIFS(Vendas!$AT$8:$AT$2008,Vendas!$AQ$8:$AQ$2008,$B40,Vendas!$E$8:$E$2008,"&gt;=01/08/"&amp;$G$3,Vendas!$E$8:$E$2008,"&lt;=31/08/"&amp;$G$3,Vendas!$C$8:$C$2008,"Entregue")</f>
        <v>0</v>
      </c>
      <c r="S40" s="162">
        <f>SUMIFS(Vendas!$K$8:$K$2008,Vendas!$H$8:$H$2008,$B40,Vendas!$E$8:$E$2008,"&gt;=01/09/"&amp;$G$3,Vendas!$E$8:$E$2008,"&lt;=30/09/"&amp;$G$3)+SUMIFS(Vendas!$P$8:$P$2008,Vendas!$M$8:$M$2008,$B40,Vendas!$E$8:$E$2008,"&gt;=01/09/"&amp;$G$3,Vendas!$E$8:$E$2008,"&lt;=30/09/"&amp;$G$3)+SUMIFS(Vendas!$U$8:$U$2008,Vendas!$R$8:$R$2008,$B40,Vendas!$E$8:$E$2008,"&gt;=01/09/"&amp;$G$3,Vendas!$E$8:$E$2008,"&lt;=30/09/"&amp;$G$3)+SUMIFS(Vendas!$Z$8:$Z$2008,Vendas!$W$8:$W$2008,$B40,Vendas!$E$8:$E$2008,"&gt;=01/09/"&amp;$G$3,Vendas!$E$8:$E$2008,"&lt;=30/09/"&amp;$G$3)+SUMIFS(Vendas!$AE$8:$AE$2008,Vendas!$AB$8:$AB$2008,$B40,Vendas!$E$8:$E$2008,"&gt;=01/09/"&amp;$G$3,Vendas!$E$8:$E$2008,"&lt;=30/09/"&amp;$G$3)+SUMIFS(Vendas!$AJ$8:$AJ$2008,Vendas!$AG$8:$AG$2008,$B40,Vendas!$E$8:$E$2008,"&gt;=01/09/"&amp;$G$3,Vendas!$E$8:$E$2008,"&lt;=30/09/"&amp;$G$3)+SUMIFS(Vendas!$AO$8:$AO$2008,Vendas!$AL$8:$AL$2008,$B40,Vendas!$E$8:$E$2008,"&gt;=01/09/"&amp;$G$3,Vendas!$E$8:$E$2008,"&lt;=30/09/"&amp;$G$3)+SUMIFS(Vendas!$AT$8:$AT$2008,Vendas!$AQ$8:$AQ$2008,$B40,Vendas!$E$8:$E$2008,"&gt;=01/09/"&amp;$G$3,Vendas!$E$8:$E$2008,"&lt;=30/09/"&amp;$G$3)</f>
        <v>0</v>
      </c>
      <c r="T40" s="162">
        <f>SUMIFS(Vendas!$K$8:$K$2008,Vendas!$H$8:$H$2008,$B40,Vendas!$E$8:$E$2008,"&gt;=01/09/"&amp;$G$3,Vendas!$E$8:$E$2008,"&lt;=30/09/"&amp;$G$3,Vendas!$C$8:$C$2008,"Entregue")+SUMIFS(Vendas!$P$8:$P$2008,Vendas!$M$8:$M$2008,$B40,Vendas!$E$8:$E$2008,"&gt;=01/09/"&amp;$G$3,Vendas!$E$8:$E$2008,"&lt;=30/09/"&amp;$G$3,Vendas!$C$8:$C$2008,"Entregue")+SUMIFS(Vendas!$U$8:$U$2008,Vendas!$R$8:$R$2008,$B40,Vendas!$E$8:$E$2008,"&gt;=01/09/"&amp;$G$3,Vendas!$E$8:$E$2008,"&lt;=30/09/"&amp;$G$3,Vendas!$C$8:$C$2008,"Entregue")+SUMIFS(Vendas!$Z$8:$Z$2008,Vendas!$W$8:$W$2008,$B40,Vendas!$E$8:$E$2008,"&gt;=01/09/"&amp;$G$3,Vendas!$E$8:$E$2008,"&lt;=30/09/"&amp;$G$3,Vendas!$C$8:$C$2008,"Entregue")+SUMIFS(Vendas!$AE$8:$AE$2008,Vendas!$AB$8:$AB$2008,$B40,Vendas!$E$8:$E$2008,"&gt;=01/09/"&amp;$G$3,Vendas!$E$8:$E$2008,"&lt;=30/09/"&amp;$G$3,Vendas!$C$8:$C$2008,"Entregue")+SUMIFS(Vendas!$AJ$8:$AJ$2008,Vendas!$AG$8:$AG$2008,$B40,Vendas!$E$8:$E$2008,"&gt;=01/09/"&amp;$G$3,Vendas!$E$8:$E$2008,"&lt;=30/09/"&amp;$G$3,Vendas!$C$8:$C$2008,"Entregue")+SUMIFS(Vendas!$AO$8:$AO$2008,Vendas!$AL$8:$AL$2008,$B40,Vendas!$E$8:$E$2008,"&gt;=01/09/"&amp;$G$3,Vendas!$E$8:$E$2008,"&lt;=30/09/"&amp;$G$3,Vendas!$C$8:$C$2008,"Entregue")+SUMIFS(Vendas!$AT$8:$AT$2008,Vendas!$AQ$8:$AQ$2008,$B40,Vendas!$E$8:$E$2008,"&gt;=01/09/"&amp;$G$3,Vendas!$E$8:$E$2008,"&lt;=30/09/"&amp;$G$3,Vendas!$C$8:$C$2008,"Entregue")</f>
        <v>0</v>
      </c>
      <c r="U40" s="162">
        <f>SUMIFS(Vendas!$K$8:$K$2008,Vendas!$H$8:$H$2008,$B40,Vendas!$E$8:$E$2008,"&gt;=01/10/"&amp;$G$3,Vendas!$E$8:$E$2008,"&lt;=31/10/"&amp;$G$3)+SUMIFS(Vendas!$P$8:$P$2008,Vendas!$M$8:$M$2008,$B40,Vendas!$E$8:$E$2008,"&gt;=01/10/"&amp;$G$3,Vendas!$E$8:$E$2008,"&lt;=31/10/"&amp;$G$3)+SUMIFS(Vendas!$U$8:$U$2008,Vendas!$R$8:$R$2008,$B40,Vendas!$E$8:$E$2008,"&gt;=01/10/"&amp;$G$3,Vendas!$E$8:$E$2008,"&lt;=31/10/"&amp;$G$3)+SUMIFS(Vendas!$Z$8:$Z$2008,Vendas!$W$8:$W$2008,$B40,Vendas!$E$8:$E$2008,"&gt;=01/10/"&amp;$G$3,Vendas!$E$8:$E$2008,"&lt;=31/10/"&amp;$G$3)+SUMIFS(Vendas!$AE$8:$AE$2008,Vendas!$AB$8:$AB$2008,$B40,Vendas!$E$8:$E$2008,"&gt;=01/10/"&amp;$G$3,Vendas!$E$8:$E$2008,"&lt;=31/10/"&amp;$G$3)+SUMIFS(Vendas!$AJ$8:$AJ$2008,Vendas!$AG$8:$AG$2008,$B40,Vendas!$E$8:$E$2008,"&gt;=01/10/"&amp;$G$3,Vendas!$E$8:$E$2008,"&lt;=31/10/"&amp;$G$3)+SUMIFS(Vendas!$AO$8:$AO$2008,Vendas!$AL$8:$AL$2008,$B40,Vendas!$E$8:$E$2008,"&gt;=01/10/"&amp;$G$3,Vendas!$E$8:$E$2008,"&lt;=31/10/"&amp;$G$3)+SUMIFS(Vendas!$AT$8:$AT$2008,Vendas!$AQ$8:$AQ$2008,$B40,Vendas!$E$8:$E$2008,"&gt;=01/10/"&amp;$G$3,Vendas!$E$8:$E$2008,"&lt;=31/10/"&amp;$G$3)</f>
        <v>0</v>
      </c>
      <c r="V40" s="162">
        <f>SUMIFS(Vendas!$K$8:$K$2008,Vendas!$H$8:$H$2008,$B40,Vendas!$E$8:$E$2008,"&gt;=01/10/"&amp;$G$3,Vendas!$E$8:$E$2008,"&lt;=31/10/"&amp;$G$3,Vendas!$C$8:$C$2008,"Entregue")+SUMIFS(Vendas!$P$8:$P$2008,Vendas!$M$8:$M$2008,$B40,Vendas!$E$8:$E$2008,"&gt;=01/10/"&amp;$G$3,Vendas!$E$8:$E$2008,"&lt;=31/10/"&amp;$G$3,Vendas!$C$8:$C$2008,"Entregue")+SUMIFS(Vendas!$U$8:$U$2008,Vendas!$R$8:$R$2008,$B40,Vendas!$E$8:$E$2008,"&gt;=01/10/"&amp;$G$3,Vendas!$E$8:$E$2008,"&lt;=31/10/"&amp;$G$3,Vendas!$C$8:$C$2008,"Entregue")+SUMIFS(Vendas!$Z$8:$Z$2008,Vendas!$W$8:$W$2008,$B40,Vendas!$E$8:$E$2008,"&gt;=01/10/"&amp;$G$3,Vendas!$E$8:$E$2008,"&lt;=31/10/"&amp;$G$3,Vendas!$C$8:$C$2008,"Entregue")+SUMIFS(Vendas!$AE$8:$AE$2008,Vendas!$AB$8:$AB$2008,$B40,Vendas!$E$8:$E$2008,"&gt;=01/10/"&amp;$G$3,Vendas!$E$8:$E$2008,"&lt;=31/10/"&amp;$G$3,Vendas!$C$8:$C$2008,"Entregue")+SUMIFS(Vendas!$AJ$8:$AJ$2008,Vendas!$AG$8:$AG$2008,$B40,Vendas!$E$8:$E$2008,"&gt;=01/10/"&amp;$G$3,Vendas!$E$8:$E$2008,"&lt;=31/10/"&amp;$G$3,Vendas!$C$8:$C$2008,"Entregue")+SUMIFS(Vendas!$AO$8:$AO$2008,Vendas!$AL$8:$AL$2008,$B40,Vendas!$E$8:$E$2008,"&gt;=01/10/"&amp;$G$3,Vendas!$E$8:$E$2008,"&lt;=31/10/"&amp;$G$3,Vendas!$C$8:$C$2008,"Entregue")+SUMIFS(Vendas!$AT$8:$AT$2008,Vendas!$AQ$8:$AQ$2008,$B40,Vendas!$E$8:$E$2008,"&gt;=01/10/"&amp;$G$3,Vendas!$E$8:$E$2008,"&lt;=31/10/"&amp;$G$3,Vendas!$C$8:$C$2008,"Entregue")</f>
        <v>0</v>
      </c>
      <c r="W40" s="162">
        <f>SUMIFS(Vendas!$K$8:$K$2008,Vendas!$H$8:$H$2008,$B40,Vendas!$E$8:$E$2008,"&gt;=01/11/"&amp;$G$3,Vendas!$E$8:$E$2008,"&lt;=30/11/"&amp;$G$3)+SUMIFS(Vendas!$P$8:$P$2008,Vendas!$M$8:$M$2008,$B40,Vendas!$E$8:$E$2008,"&gt;=01/11/"&amp;$G$3,Vendas!$E$8:$E$2008,"&lt;=30/11/"&amp;$G$3)+SUMIFS(Vendas!$U$8:$U$2008,Vendas!$R$8:$R$2008,$B40,Vendas!$E$8:$E$2008,"&gt;=01/11/"&amp;$G$3,Vendas!$E$8:$E$2008,"&lt;=30/11/"&amp;$G$3)+SUMIFS(Vendas!$Z$8:$Z$2008,Vendas!$W$8:$W$2008,$B40,Vendas!$E$8:$E$2008,"&gt;=01/11/"&amp;$G$3,Vendas!$E$8:$E$2008,"&lt;=30/11/"&amp;$G$3)+SUMIFS(Vendas!$AE$8:$AE$2008,Vendas!$AB$8:$AB$2008,$B40,Vendas!$E$8:$E$2008,"&gt;=01/11/"&amp;$G$3,Vendas!$E$8:$E$2008,"&lt;=30/11/"&amp;$G$3)+SUMIFS(Vendas!$AJ$8:$AJ$2008,Vendas!$AG$8:$AG$2008,$B40,Vendas!$E$8:$E$2008,"&gt;=01/11/"&amp;$G$3,Vendas!$E$8:$E$2008,"&lt;=30/11/"&amp;$G$3)+SUMIFS(Vendas!$AO$8:$AO$2008,Vendas!$AL$8:$AL$2008,$B40,Vendas!$E$8:$E$2008,"&gt;=01/11/"&amp;$G$3,Vendas!$E$8:$E$2008,"&lt;=30/11/"&amp;$G$3)+SUMIFS(Vendas!$AT$8:$AT$2008,Vendas!$AQ$8:$AQ$2008,$B40,Vendas!$E$8:$E$2008,"&gt;=01/11/"&amp;$G$3,Vendas!$E$8:$E$2008,"&lt;=30/11/"&amp;$G$3)</f>
        <v>0</v>
      </c>
      <c r="X40" s="162">
        <f>SUMIFS(Vendas!$K$8:$K$2008,Vendas!$H$8:$H$2008,$B40,Vendas!$E$8:$E$2008,"&gt;=01/11/"&amp;$G$3,Vendas!$E$8:$E$2008,"&lt;=30/11/"&amp;$G$3,Vendas!$C$8:$C$2008,"Entregue")+SUMIFS(Vendas!$P$8:$P$2008,Vendas!$M$8:$M$2008,$B40,Vendas!$E$8:$E$2008,"&gt;=01/11/"&amp;$G$3,Vendas!$E$8:$E$2008,"&lt;=30/11/"&amp;$G$3,Vendas!$C$8:$C$2008,"Entregue")+SUMIFS(Vendas!$U$8:$U$2008,Vendas!$R$8:$R$2008,$B40,Vendas!$E$8:$E$2008,"&gt;=01/11/"&amp;$G$3,Vendas!$E$8:$E$2008,"&lt;=30/11/"&amp;$G$3,Vendas!$C$8:$C$2008,"Entregue")+SUMIFS(Vendas!$Z$8:$Z$2008,Vendas!$W$8:$W$2008,$B40,Vendas!$E$8:$E$2008,"&gt;=01/11/"&amp;$G$3,Vendas!$E$8:$E$2008,"&lt;=30/11/"&amp;$G$3,Vendas!$C$8:$C$2008,"Entregue")+SUMIFS(Vendas!$AE$8:$AE$2008,Vendas!$AB$8:$AB$2008,$B40,Vendas!$E$8:$E$2008,"&gt;=01/11/"&amp;$G$3,Vendas!$E$8:$E$2008,"&lt;=30/11/"&amp;$G$3,Vendas!$C$8:$C$2008,"Entregue")+SUMIFS(Vendas!$AJ$8:$AJ$2008,Vendas!$AG$8:$AG$2008,$B40,Vendas!$E$8:$E$2008,"&gt;=01/11/"&amp;$G$3,Vendas!$E$8:$E$2008,"&lt;=30/11/"&amp;$G$3,Vendas!$C$8:$C$2008,"Entregue")+SUMIFS(Vendas!$AO$8:$AO$2008,Vendas!$AL$8:$AL$2008,$B40,Vendas!$E$8:$E$2008,"&gt;=01/11/"&amp;$G$3,Vendas!$E$8:$E$2008,"&lt;=30/11/"&amp;$G$3,Vendas!$C$8:$C$2008,"Entregue")+SUMIFS(Vendas!$AT$8:$AT$2008,Vendas!$AQ$8:$AQ$2008,$B40,Vendas!$E$8:$E$2008,"&gt;=01/11/"&amp;$G$3,Vendas!$E$8:$E$2008,"&lt;=30/11/"&amp;$G$3,Vendas!$C$8:$C$2008,"Entregue")</f>
        <v>0</v>
      </c>
      <c r="Y40" s="162">
        <f>SUMIFS(Vendas!$K$8:$K$2008,Vendas!$H$8:$H$2008,$B40,Vendas!$E$8:$E$2008,"&gt;=01/12/"&amp;$G$3,Vendas!$E$8:$E$2008,"&lt;=31/12/"&amp;$G$3)+SUMIFS(Vendas!$P$8:$P$2008,Vendas!$M$8:$M$2008,$B40,Vendas!$E$8:$E$2008,"&gt;=01/12/"&amp;$G$3,Vendas!$E$8:$E$2008,"&lt;=31/12/"&amp;$G$3)+SUMIFS(Vendas!$U$8:$U$2008,Vendas!$R$8:$R$2008,$B40,Vendas!$E$8:$E$2008,"&gt;=01/12/"&amp;$G$3,Vendas!$E$8:$E$2008,"&lt;=31/12/"&amp;$G$3)+SUMIFS(Vendas!$Z$8:$Z$2008,Vendas!$W$8:$W$2008,$B40,Vendas!$E$8:$E$2008,"&gt;=01/12/"&amp;$G$3,Vendas!$E$8:$E$2008,"&lt;=31/12/"&amp;$G$3)+SUMIFS(Vendas!$AE$8:$AE$2008,Vendas!$AB$8:$AB$2008,$B40,Vendas!$E$8:$E$2008,"&gt;=01/12/"&amp;$G$3,Vendas!$E$8:$E$2008,"&lt;=31/12/"&amp;$G$3)+SUMIFS(Vendas!$AJ$8:$AJ$2008,Vendas!$AG$8:$AG$2008,$B40,Vendas!$E$8:$E$2008,"&gt;=01/12/"&amp;$G$3,Vendas!$E$8:$E$2008,"&lt;=31/12/"&amp;$G$3)+SUMIFS(Vendas!$AO$8:$AO$2008,Vendas!$AL$8:$AL$2008,$B40,Vendas!$E$8:$E$2008,"&gt;=01/12/"&amp;$G$3,Vendas!$E$8:$E$2008,"&lt;=31/12/"&amp;$G$3)+SUMIFS(Vendas!$AT$8:$AT$2008,Vendas!$AQ$8:$AQ$2008,$B40,Vendas!$E$8:$E$2008,"&gt;=01/12/"&amp;$G$3,Vendas!$E$8:$E$2008,"&lt;=31/12/"&amp;$G$3)</f>
        <v>0</v>
      </c>
      <c r="Z40" s="163">
        <f>SUMIFS(Vendas!$K$8:$K$2008,Vendas!$H$8:$H$2008,$B40,Vendas!$E$8:$E$2008,"&gt;=01/12/"&amp;$G$3,Vendas!$E$8:$E$2008,"&lt;=31/12/"&amp;$G$3,Vendas!$C$8:$C$2008,"Entregue")+SUMIFS(Vendas!$P$8:$P$2008,Vendas!$M$8:$M$2008,$B40,Vendas!$E$8:$E$2008,"&gt;=01/12/"&amp;$G$3,Vendas!$E$8:$E$2008,"&lt;=31/12/"&amp;$G$3,Vendas!$C$8:$C$2008,"Entregue")+SUMIFS(Vendas!$U$8:$U$2008,Vendas!$R$8:$R$2008,$B40,Vendas!$E$8:$E$2008,"&gt;=01/12/"&amp;$G$3,Vendas!$E$8:$E$2008,"&lt;=31/12/"&amp;$G$3,Vendas!$C$8:$C$2008,"Entregue")+SUMIFS(Vendas!$Z$8:$Z$2008,Vendas!$W$8:$W$2008,$B40,Vendas!$E$8:$E$2008,"&gt;=01/12/"&amp;$G$3,Vendas!$E$8:$E$2008,"&lt;=31/12/"&amp;$G$3,Vendas!$C$8:$C$2008,"Entregue")+SUMIFS(Vendas!$AE$8:$AE$2008,Vendas!$AB$8:$AB$2008,$B40,Vendas!$E$8:$E$2008,"&gt;=01/12/"&amp;$G$3,Vendas!$E$8:$E$2008,"&lt;=31/12/"&amp;$G$3,Vendas!$C$8:$C$2008,"Entregue")+SUMIFS(Vendas!$AJ$8:$AJ$2008,Vendas!$AG$8:$AG$2008,$B40,Vendas!$E$8:$E$2008,"&gt;=01/12/"&amp;$G$3,Vendas!$E$8:$E$2008,"&lt;=31/12/"&amp;$G$3,Vendas!$C$8:$C$2008,"Entregue")+SUMIFS(Vendas!$AO$8:$AO$2008,Vendas!$AL$8:$AL$2008,$B40,Vendas!$E$8:$E$2008,"&gt;=01/12/"&amp;$G$3,Vendas!$E$8:$E$2008,"&lt;=31/12/"&amp;$G$3,Vendas!$C$8:$C$2008,"Entregue")+SUMIFS(Vendas!$AT$8:$AT$2008,Vendas!$AQ$8:$AQ$2008,$B40,Vendas!$E$8:$E$2008,"&gt;=01/12/"&amp;$G$3,Vendas!$E$8:$E$2008,"&lt;=31/12/"&amp;$G$3,Vendas!$C$8:$C$2008,"Entregue")</f>
        <v>0</v>
      </c>
      <c r="AA40" s="132">
        <f t="shared" si="0"/>
        <v>0</v>
      </c>
      <c r="AB40" s="132">
        <f t="shared" si="0"/>
        <v>0</v>
      </c>
      <c r="AC40" s="67"/>
    </row>
    <row r="41" spans="2:29" ht="14.4" x14ac:dyDescent="0.3">
      <c r="B41" s="262" t="str">
        <f>IF(Cadastros!G32="","",Cadastros!G32)</f>
        <v>249 - Pulseira Bioquântica Mhr</v>
      </c>
      <c r="C41" s="158">
        <f>SUMIFS(Vendas!$K$8:$K$2008,Vendas!$H$8:$H$2008,$B41,Vendas!$E$8:$E$2008,"&gt;=01/01/"&amp;$G$3,Vendas!$E$8:$E$2008,"&lt;=31/01/"&amp;$G$3)+SUMIFS(Vendas!$P$8:$P$2008,Vendas!$M$8:$M$2008,$B41,Vendas!$E$8:$E$2008,"&gt;=01/01/"&amp;$G$3,Vendas!$E$8:$E$2008,"&lt;=31/01/"&amp;$G$3)+SUMIFS(Vendas!$U$8:$U$2008,Vendas!$R$8:$R$2008,$B41,Vendas!$E$8:$E$2008,"&gt;=01/01/"&amp;$G$3,Vendas!$E$8:$E$2008,"&lt;=31/01/"&amp;$G$3)+SUMIFS(Vendas!$Z$8:$Z$2008,Vendas!$W$8:$W$2008,$B41,Vendas!$E$8:$E$2008,"&gt;=01/01/"&amp;$G$3,Vendas!$E$8:$E$2008,"&lt;=31/01/"&amp;$G$3)+SUMIFS(Vendas!$AE$8:$AE$2008,Vendas!$AB$8:$AB$2008,$B41,Vendas!$E$8:$E$2008,"&gt;=01/01/"&amp;$G$3,Vendas!$E$8:$E$2008,"&lt;=31/01/"&amp;$G$3)+SUMIFS(Vendas!$AJ$8:$AJ$2008,Vendas!$AG$8:$AG$2008,$B41,Vendas!$E$8:$E$2008,"&gt;=01/01/"&amp;$G$3,Vendas!$E$8:$E$2008,"&lt;=31/01/"&amp;$G$3)+SUMIFS(Vendas!$AO$8:$AO$2008,Vendas!$AL$8:$AL$2008,$B41,Vendas!$E$8:$E$2008,"&gt;=01/01/"&amp;$G$3,Vendas!$E$8:$E$2008,"&lt;=31/01/"&amp;$G$3)+SUMIFS(Vendas!$AT$8:$AT$2008,Vendas!$AQ$8:$AQ$2008,$B41,Vendas!$E$8:$E$2008,"&gt;=01/01/"&amp;$G$3,Vendas!$E$8:$E$2008,"&lt;=31/01/"&amp;$G$3)</f>
        <v>0</v>
      </c>
      <c r="D41" s="159">
        <f>SUMIFS(Vendas!$K$8:$K$2008,Vendas!$H$8:$H$2008,$B41,Vendas!$E$8:$E$2008,"&gt;=01/01/"&amp;$G$3,Vendas!$E$8:$E$2008,"&lt;=31/01/"&amp;$G$3,Vendas!$C$8:$C$2008,"Entregue")+SUMIFS(Vendas!$P$8:$P$2008,Vendas!$M$8:$M$2008,$B41,Vendas!$E$8:$E$2008,"&gt;=01/01/"&amp;$G$3,Vendas!$E$8:$E$2008,"&lt;=31/01/"&amp;$G$3,Vendas!$C$8:$C$2008,"Entregue")+SUMIFS(Vendas!$U$8:$U$2008,Vendas!$R$8:$R$2008,$B41,Vendas!$E$8:$E$2008,"&gt;=01/01/"&amp;$G$3,Vendas!$E$8:$E$2008,"&lt;=31/01/"&amp;$G$3,Vendas!$C$8:$C$2008,"Entregue")+SUMIFS(Vendas!$Z$8:$Z$2008,Vendas!$W$8:$W$2008,$B41,Vendas!$E$8:$E$2008,"&gt;=01/01/"&amp;$G$3,Vendas!$E$8:$E$2008,"&lt;=31/01/"&amp;$G$3,Vendas!$C$8:$C$2008,"Entregue")+SUMIFS(Vendas!$AE$8:$AE$2008,Vendas!$AB$8:$AB$2008,$B41,Vendas!$E$8:$E$2008,"&gt;=01/01/"&amp;$G$3,Vendas!$E$8:$E$2008,"&lt;=31/01/"&amp;$G$3,Vendas!$C$8:$C$2008,"Entregue")+SUMIFS(Vendas!$AJ$8:$AJ$2008,Vendas!$AG$8:$AG$2008,$B41,Vendas!$E$8:$E$2008,"&gt;=01/01/"&amp;$G$3,Vendas!$E$8:$E$2008,"&lt;=31/01/"&amp;$G$3,Vendas!$C$8:$C$2008,"Entregue")+SUMIFS(Vendas!$AO$8:$AO$2008,Vendas!$AL$8:$AL$2008,$B41,Vendas!$E$8:$E$2008,"&gt;=01/01/"&amp;$G$3,Vendas!$E$8:$E$2008,"&lt;=31/01/"&amp;$G$3,Vendas!$C$8:$C$2008,"Entregue")+SUMIFS(Vendas!$AT$8:$AT$2008,Vendas!$AQ$8:$AQ$2008,$B41,Vendas!$E$8:$E$2008,"&gt;=01/01/"&amp;$G$3,Vendas!$E$8:$E$2008,"&lt;=31/01/"&amp;$G$3,Vendas!$C$8:$C$2008,"Entregue")</f>
        <v>0</v>
      </c>
      <c r="E41" s="159">
        <f>SUMIFS(Vendas!$K$8:$K$2008,Vendas!$H$8:$H$2008,$B41,Vendas!$E$8:$E$2008,"&gt;=01/02/"&amp;$G$3,Vendas!$E$8:$E$2008,"&lt;=28/02/"&amp;$G$3)+SUMIFS(Vendas!$P$8:$P$2008,Vendas!$M$8:$M$2008,$B41,Vendas!$E$8:$E$2008,"&gt;=01/02/"&amp;$G$3,Vendas!$E$8:$E$2008,"&lt;=28/02/"&amp;$G$3)+SUMIFS(Vendas!$U$8:$U$2008,Vendas!$R$8:$R$2008,$B41,Vendas!$E$8:$E$2008,"&gt;=01/02/"&amp;$G$3,Vendas!$E$8:$E$2008,"&lt;=28/02/"&amp;$G$3)+SUMIFS(Vendas!$Z$8:$Z$2008,Vendas!$W$8:$W$2008,$B41,Vendas!$E$8:$E$2008,"&gt;=01/02/"&amp;$G$3,Vendas!$E$8:$E$2008,"&lt;=28/02/"&amp;$G$3)+SUMIFS(Vendas!$AE$8:$AE$2008,Vendas!$AB$8:$AB$2008,$B41,Vendas!$E$8:$E$2008,"&gt;=01/02/"&amp;$G$3,Vendas!$E$8:$E$2008,"&lt;=28/02/"&amp;$G$3)+SUMIFS(Vendas!$AJ$8:$AJ$2008,Vendas!$AG$8:$AG$2008,$B41,Vendas!$E$8:$E$2008,"&gt;=01/02/"&amp;$G$3,Vendas!$E$8:$E$2008,"&lt;=28/02/"&amp;$G$3)+SUMIFS(Vendas!$AO$8:$AO$2008,Vendas!$AL$8:$AL$2008,$B41,Vendas!$E$8:$E$2008,"&gt;=01/02/"&amp;$G$3,Vendas!$E$8:$E$2008,"&lt;=28/02/"&amp;$G$3)+SUMIFS(Vendas!$AT$8:$AT$2008,Vendas!$AQ$8:$AQ$2008,$B41,Vendas!$E$8:$E$2008,"&gt;=01/02/"&amp;$G$3,Vendas!$E$8:$E$2008,"&lt;=28/02/"&amp;$G$3)</f>
        <v>0</v>
      </c>
      <c r="F41" s="159">
        <f>SUMIFS(Vendas!$K$8:$K$2008,Vendas!$H$8:$H$2008,$B41,Vendas!$E$8:$E$2008,"&gt;=01/02/"&amp;$G$3,Vendas!$E$8:$E$2008,"&lt;=28/02/"&amp;$G$3,Vendas!$C$8:$C$2008,"Entregue")+SUMIFS(Vendas!$P$8:$P$2008,Vendas!$M$8:$M$2008,$B41,Vendas!$E$8:$E$2008,"&gt;=01/02/"&amp;$G$3,Vendas!$E$8:$E$2008,"&lt;=28/02/"&amp;$G$3,Vendas!$C$8:$C$2008,"Entregue")+SUMIFS(Vendas!$U$8:$U$2008,Vendas!$R$8:$R$2008,$B41,Vendas!$E$8:$E$2008,"&gt;=01/02/"&amp;$G$3,Vendas!$E$8:$E$2008,"&lt;=28/02/"&amp;$G$3,Vendas!$C$8:$C$2008,"Entregue")+SUMIFS(Vendas!$Z$8:$Z$2008,Vendas!$W$8:$W$2008,$B41,Vendas!$E$8:$E$2008,"&gt;=01/02/"&amp;$G$3,Vendas!$E$8:$E$2008,"&lt;=28/02/"&amp;$G$3,Vendas!$C$8:$C$2008,"Entregue")+SUMIFS(Vendas!$AE$8:$AE$2008,Vendas!$AB$8:$AB$2008,$B41,Vendas!$E$8:$E$2008,"&gt;=01/02/"&amp;$G$3,Vendas!$E$8:$E$2008,"&lt;=28/02/"&amp;$G$3,Vendas!$C$8:$C$2008,"Entregue")+SUMIFS(Vendas!$AJ$8:$AJ$2008,Vendas!$AG$8:$AG$2008,$B41,Vendas!$E$8:$E$2008,"&gt;=01/02/"&amp;$G$3,Vendas!$E$8:$E$2008,"&lt;=28/02/"&amp;$G$3,Vendas!$C$8:$C$2008,"Entregue")+SUMIFS(Vendas!$AO$8:$AO$2008,Vendas!$AL$8:$AL$2008,$B41,Vendas!$E$8:$E$2008,"&gt;=01/02/"&amp;$G$3,Vendas!$E$8:$E$2008,"&lt;=28/02/"&amp;$G$3,Vendas!$C$8:$C$2008,"Entregue")+SUMIFS(Vendas!$AT$8:$AT$2008,Vendas!$AQ$8:$AQ$2008,$B41,Vendas!$E$8:$E$2008,"&gt;=01/02/"&amp;$G$3,Vendas!$E$8:$E$2008,"&lt;=28/02/"&amp;$G$3,Vendas!$C$8:$C$2008,"Entregue")</f>
        <v>0</v>
      </c>
      <c r="G41" s="159">
        <f>SUMIFS(Vendas!$K$8:$K$2008,Vendas!$H$8:$H$2008,$B41,Vendas!$E$8:$E$2008,"&gt;=01/03/"&amp;$G$3,Vendas!$E$8:$E$2008,"&lt;=31/03/"&amp;$G$3)+SUMIFS(Vendas!$P$8:$P$2008,Vendas!$M$8:$M$2008,$B41,Vendas!$E$8:$E$2008,"&gt;=01/03/"&amp;$G$3,Vendas!$E$8:$E$2008,"&lt;=31/03/"&amp;$G$3)+SUMIFS(Vendas!$U$8:$U$2008,Vendas!$R$8:$R$2008,$B41,Vendas!$E$8:$E$2008,"&gt;=01/03/"&amp;$G$3,Vendas!$E$8:$E$2008,"&lt;=31/03/"&amp;$G$3)+SUMIFS(Vendas!$Z$8:$Z$2008,Vendas!$W$8:$W$2008,$B41,Vendas!$E$8:$E$2008,"&gt;=01/03/"&amp;$G$3,Vendas!$E$8:$E$2008,"&lt;=31/03/"&amp;$G$3)+SUMIFS(Vendas!$AE$8:$AE$2008,Vendas!$AB$8:$AB$2008,$B41,Vendas!$E$8:$E$2008,"&gt;=01/03/"&amp;$G$3,Vendas!$E$8:$E$2008,"&lt;=31/03/"&amp;$G$3)+SUMIFS(Vendas!$AJ$8:$AJ$2008,Vendas!$AG$8:$AG$2008,$B41,Vendas!$E$8:$E$2008,"&gt;=01/03/"&amp;$G$3,Vendas!$E$8:$E$2008,"&lt;=31/03/"&amp;$G$3)+SUMIFS(Vendas!$AO$8:$AO$2008,Vendas!$AL$8:$AL$2008,$B41,Vendas!$E$8:$E$2008,"&gt;=01/03/"&amp;$G$3,Vendas!$E$8:$E$2008,"&lt;=31/03/"&amp;$G$3)+SUMIFS(Vendas!$AT$8:$AT$2008,Vendas!$AQ$8:$AQ$2008,$B41,Vendas!$E$8:$E$2008,"&gt;=01/03/"&amp;$G$3,Vendas!$E$8:$E$2008,"&lt;=31/03/"&amp;$G$3)</f>
        <v>0</v>
      </c>
      <c r="H41" s="159">
        <f>SUMIFS(Vendas!$K$8:$K$2008,Vendas!$H$8:$H$2008,$B41,Vendas!$E$8:$E$2008,"&gt;=01/03/"&amp;$G$3,Vendas!$E$8:$E$2008,"&lt;=31/03/"&amp;$G$3,Vendas!$C$8:$C$2008,"Entregue")+SUMIFS(Vendas!$P$8:$P$2008,Vendas!$M$8:$M$2008,$B41,Vendas!$E$8:$E$2008,"&gt;=01/03/"&amp;$G$3,Vendas!$E$8:$E$2008,"&lt;=31/03/"&amp;$G$3,Vendas!$C$8:$C$2008,"Entregue")+SUMIFS(Vendas!$U$8:$U$2008,Vendas!$R$8:$R$2008,$B41,Vendas!$E$8:$E$2008,"&gt;=01/03/"&amp;$G$3,Vendas!$E$8:$E$2008,"&lt;=31/03/"&amp;$G$3,Vendas!$C$8:$C$2008,"Entregue")+SUMIFS(Vendas!$Z$8:$Z$2008,Vendas!$W$8:$W$2008,$B41,Vendas!$E$8:$E$2008,"&gt;=01/03/"&amp;$G$3,Vendas!$E$8:$E$2008,"&lt;=31/03/"&amp;$G$3,Vendas!$C$8:$C$2008,"Entregue")+SUMIFS(Vendas!$AE$8:$AE$2008,Vendas!$AB$8:$AB$2008,$B41,Vendas!$E$8:$E$2008,"&gt;=01/03/"&amp;$G$3,Vendas!$E$8:$E$2008,"&lt;=31/03/"&amp;$G$3,Vendas!$C$8:$C$2008,"Entregue")+SUMIFS(Vendas!$AJ$8:$AJ$2008,Vendas!$AG$8:$AG$2008,$B41,Vendas!$E$8:$E$2008,"&gt;=01/03/"&amp;$G$3,Vendas!$E$8:$E$2008,"&lt;=31/03/"&amp;$G$3,Vendas!$C$8:$C$2008,"Entregue")+SUMIFS(Vendas!$AO$8:$AO$2008,Vendas!$AL$8:$AL$2008,$B41,Vendas!$E$8:$E$2008,"&gt;=01/03/"&amp;$G$3,Vendas!$E$8:$E$2008,"&lt;=31/03/"&amp;$G$3,Vendas!$C$8:$C$2008,"Entregue")+SUMIFS(Vendas!$AT$8:$AT$2008,Vendas!$AQ$8:$AQ$2008,$B41,Vendas!$E$8:$E$2008,"&gt;=01/03/"&amp;$G$3,Vendas!$E$8:$E$2008,"&lt;=31/03/"&amp;$G$3,Vendas!$C$8:$C$2008,"Entregue")</f>
        <v>0</v>
      </c>
      <c r="I41" s="159">
        <f>SUMIFS(Vendas!$K$8:$K$2008,Vendas!$H$8:$H$2008,$B41,Vendas!$E$8:$E$2008,"&gt;=01/04/"&amp;$G$3,Vendas!$E$8:$E$2008,"&lt;=30/04/"&amp;$G$3)+SUMIFS(Vendas!$P$8:$P$2008,Vendas!$M$8:$M$2008,$B41,Vendas!$E$8:$E$2008,"&gt;=01/04/"&amp;$G$3,Vendas!$E$8:$E$2008,"&lt;=30/04/"&amp;$G$3)+SUMIFS(Vendas!$U$8:$U$2008,Vendas!$R$8:$R$2008,$B41,Vendas!$E$8:$E$2008,"&gt;=01/04/"&amp;$G$3,Vendas!$E$8:$E$2008,"&lt;=30/04/"&amp;$G$3)+SUMIFS(Vendas!$Z$8:$Z$2008,Vendas!$W$8:$W$2008,$B41,Vendas!$E$8:$E$2008,"&gt;=01/04/"&amp;$G$3,Vendas!$E$8:$E$2008,"&lt;=30/04/"&amp;$G$3)+SUMIFS(Vendas!$AE$8:$AE$2008,Vendas!$AB$8:$AB$2008,$B41,Vendas!$E$8:$E$2008,"&gt;=01/04/"&amp;$G$3,Vendas!$E$8:$E$2008,"&lt;=30/04/"&amp;$G$3)+SUMIFS(Vendas!$AJ$8:$AJ$2008,Vendas!$AG$8:$AG$2008,$B41,Vendas!$E$8:$E$2008,"&gt;=01/04/"&amp;$G$3,Vendas!$E$8:$E$2008,"&lt;=30/04/"&amp;$G$3)+SUMIFS(Vendas!$AO$8:$AO$2008,Vendas!$AL$8:$AL$2008,$B41,Vendas!$E$8:$E$2008,"&gt;=01/04/"&amp;$G$3,Vendas!$E$8:$E$2008,"&lt;=30/04/"&amp;$G$3)+SUMIFS(Vendas!$AT$8:$AT$2008,Vendas!$AQ$8:$AQ$2008,$B41,Vendas!$E$8:$E$2008,"&gt;=01/04/"&amp;$G$3,Vendas!$E$8:$E$2008,"&lt;=30/04/"&amp;$G$3)</f>
        <v>0</v>
      </c>
      <c r="J41" s="159">
        <f>SUMIFS(Vendas!$K$8:$K$2008,Vendas!$H$8:$H$2008,$B41,Vendas!$E$8:$E$2008,"&gt;=01/04/"&amp;$G$3,Vendas!$E$8:$E$2008,"&lt;=30/04/"&amp;$G$3,Vendas!$C$8:$C$2008,"Entregue")+SUMIFS(Vendas!$P$8:$P$2008,Vendas!$M$8:$M$2008,$B41,Vendas!$E$8:$E$2008,"&gt;=01/04/"&amp;$G$3,Vendas!$E$8:$E$2008,"&lt;=30/04/"&amp;$G$3,Vendas!$C$8:$C$2008,"Entregue")+SUMIFS(Vendas!$U$8:$U$2008,Vendas!$R$8:$R$2008,$B41,Vendas!$E$8:$E$2008,"&gt;=01/04/"&amp;$G$3,Vendas!$E$8:$E$2008,"&lt;=30/04/"&amp;$G$3,Vendas!$C$8:$C$2008,"Entregue")+SUMIFS(Vendas!$Z$8:$Z$2008,Vendas!$W$8:$W$2008,$B41,Vendas!$E$8:$E$2008,"&gt;=01/04/"&amp;$G$3,Vendas!$E$8:$E$2008,"&lt;=30/04/"&amp;$G$3,Vendas!$C$8:$C$2008,"Entregue")+SUMIFS(Vendas!$AE$8:$AE$2008,Vendas!$AB$8:$AB$2008,$B41,Vendas!$E$8:$E$2008,"&gt;=01/04/"&amp;$G$3,Vendas!$E$8:$E$2008,"&lt;=30/04/"&amp;$G$3,Vendas!$C$8:$C$2008,"Entregue")+SUMIFS(Vendas!$AJ$8:$AJ$2008,Vendas!$AG$8:$AG$2008,$B41,Vendas!$E$8:$E$2008,"&gt;=01/04/"&amp;$G$3,Vendas!$E$8:$E$2008,"&lt;=30/04/"&amp;$G$3,Vendas!$C$8:$C$2008,"Entregue")+SUMIFS(Vendas!$AO$8:$AO$2008,Vendas!$AL$8:$AL$2008,$B41,Vendas!$E$8:$E$2008,"&gt;=01/04/"&amp;$G$3,Vendas!$E$8:$E$2008,"&lt;=30/04/"&amp;$G$3,Vendas!$C$8:$C$2008,"Entregue")+SUMIFS(Vendas!$AT$8:$AT$2008,Vendas!$AQ$8:$AQ$2008,$B41,Vendas!$E$8:$E$2008,"&gt;=01/04/"&amp;$G$3,Vendas!$E$8:$E$2008,"&lt;=30/04/"&amp;$G$3,Vendas!$C$8:$C$2008,"Entregue")</f>
        <v>0</v>
      </c>
      <c r="K41" s="159">
        <f>SUMIFS(Vendas!$K$8:$K$2008,Vendas!$H$8:$H$2008,$B41,Vendas!$E$8:$E$2008,"&gt;=01/05/"&amp;$G$3,Vendas!$E$8:$E$2008,"&lt;=31/05/"&amp;$G$3)+SUMIFS(Vendas!$P$8:$P$2008,Vendas!$M$8:$M$2008,$B41,Vendas!$E$8:$E$2008,"&gt;=01/05/"&amp;$G$3,Vendas!$E$8:$E$2008,"&lt;=31/05/"&amp;$G$3)+SUMIFS(Vendas!$U$8:$U$2008,Vendas!$R$8:$R$2008,$B41,Vendas!$E$8:$E$2008,"&gt;=01/05/"&amp;$G$3,Vendas!$E$8:$E$2008,"&lt;=31/05/"&amp;$G$3)+SUMIFS(Vendas!$Z$8:$Z$2008,Vendas!$W$8:$W$2008,$B41,Vendas!$E$8:$E$2008,"&gt;=01/05/"&amp;$G$3,Vendas!$E$8:$E$2008,"&lt;=31/05/"&amp;$G$3)+SUMIFS(Vendas!$AE$8:$AE$2008,Vendas!$AB$8:$AB$2008,$B41,Vendas!$E$8:$E$2008,"&gt;=01/05/"&amp;$G$3,Vendas!$E$8:$E$2008,"&lt;=31/05/"&amp;$G$3)+SUMIFS(Vendas!$AJ$8:$AJ$2008,Vendas!$AG$8:$AG$2008,$B41,Vendas!$E$8:$E$2008,"&gt;=01/05/"&amp;$G$3,Vendas!$E$8:$E$2008,"&lt;=31/05/"&amp;$G$3)+SUMIFS(Vendas!$AO$8:$AO$2008,Vendas!$AL$8:$AL$2008,$B41,Vendas!$E$8:$E$2008,"&gt;=01/05/"&amp;$G$3,Vendas!$E$8:$E$2008,"&lt;=31/05/"&amp;$G$3)+SUMIFS(Vendas!$AT$8:$AT$2008,Vendas!$AQ$8:$AQ$2008,$B41,Vendas!$E$8:$E$2008,"&gt;=01/05/"&amp;$G$3,Vendas!$E$8:$E$2008,"&lt;=31/05/"&amp;$G$3)</f>
        <v>0</v>
      </c>
      <c r="L41" s="159">
        <f>SUMIFS(Vendas!$K$8:$K$2008,Vendas!$H$8:$H$2008,$B41,Vendas!$E$8:$E$2008,"&gt;=01/05/"&amp;$G$3,Vendas!$E$8:$E$2008,"&lt;=31/05/"&amp;$G$3,Vendas!$C$8:$C$2008,"Entregue")+SUMIFS(Vendas!$P$8:$P$2008,Vendas!$M$8:$M$2008,$B41,Vendas!$E$8:$E$2008,"&gt;=01/05/"&amp;$G$3,Vendas!$E$8:$E$2008,"&lt;=31/05/"&amp;$G$3,Vendas!$C$8:$C$2008,"Entregue")+SUMIFS(Vendas!$U$8:$U$2008,Vendas!$R$8:$R$2008,$B41,Vendas!$E$8:$E$2008,"&gt;=01/05/"&amp;$G$3,Vendas!$E$8:$E$2008,"&lt;=31/05/"&amp;$G$3,Vendas!$C$8:$C$2008,"Entregue")+SUMIFS(Vendas!$Z$8:$Z$2008,Vendas!$W$8:$W$2008,$B41,Vendas!$E$8:$E$2008,"&gt;=01/05/"&amp;$G$3,Vendas!$E$8:$E$2008,"&lt;=31/05/"&amp;$G$3,Vendas!$C$8:$C$2008,"Entregue")+SUMIFS(Vendas!$AE$8:$AE$2008,Vendas!$AB$8:$AB$2008,$B41,Vendas!$E$8:$E$2008,"&gt;=01/05/"&amp;$G$3,Vendas!$E$8:$E$2008,"&lt;=31/05/"&amp;$G$3,Vendas!$C$8:$C$2008,"Entregue")+SUMIFS(Vendas!$AJ$8:$AJ$2008,Vendas!$AG$8:$AG$2008,$B41,Vendas!$E$8:$E$2008,"&gt;=01/05/"&amp;$G$3,Vendas!$E$8:$E$2008,"&lt;=31/05/"&amp;$G$3,Vendas!$C$8:$C$2008,"Entregue")+SUMIFS(Vendas!$AO$8:$AO$2008,Vendas!$AL$8:$AL$2008,$B41,Vendas!$E$8:$E$2008,"&gt;=01/05/"&amp;$G$3,Vendas!$E$8:$E$2008,"&lt;=31/05/"&amp;$G$3,Vendas!$C$8:$C$2008,"Entregue")+SUMIFS(Vendas!$AT$8:$AT$2008,Vendas!$AQ$8:$AQ$2008,$B41,Vendas!$E$8:$E$2008,"&gt;=01/05/"&amp;$G$3,Vendas!$E$8:$E$2008,"&lt;=31/05/"&amp;$G$3,Vendas!$C$8:$C$2008,"Entregue")</f>
        <v>0</v>
      </c>
      <c r="M41" s="159">
        <f>SUMIFS(Vendas!$K$8:$K$2008,Vendas!$H$8:$H$2008,$B41,Vendas!$E$8:$E$2008,"&gt;=01/06/"&amp;$G$3,Vendas!$E$8:$E$2008,"&lt;=30/06/"&amp;$G$3)+SUMIFS(Vendas!$P$8:$P$2008,Vendas!$M$8:$M$2008,$B41,Vendas!$E$8:$E$2008,"&gt;=01/06/"&amp;$G$3,Vendas!$E$8:$E$2008,"&lt;=30/06/"&amp;$G$3)+SUMIFS(Vendas!$U$8:$U$2008,Vendas!$R$8:$R$2008,$B41,Vendas!$E$8:$E$2008,"&gt;=01/06/"&amp;$G$3,Vendas!$E$8:$E$2008,"&lt;=30/06/"&amp;$G$3)+SUMIFS(Vendas!$Z$8:$Z$2008,Vendas!$W$8:$W$2008,$B41,Vendas!$E$8:$E$2008,"&gt;=01/06/"&amp;$G$3,Vendas!$E$8:$E$2008,"&lt;=30/06/"&amp;$G$3)+SUMIFS(Vendas!$AE$8:$AE$2008,Vendas!$AB$8:$AB$2008,$B41,Vendas!$E$8:$E$2008,"&gt;=01/06/"&amp;$G$3,Vendas!$E$8:$E$2008,"&lt;=30/06/"&amp;$G$3)+SUMIFS(Vendas!$AJ$8:$AJ$2008,Vendas!$AG$8:$AG$2008,$B41,Vendas!$E$8:$E$2008,"&gt;=01/06/"&amp;$G$3,Vendas!$E$8:$E$2008,"&lt;=30/06/"&amp;$G$3)+SUMIFS(Vendas!$AO$8:$AO$2008,Vendas!$AL$8:$AL$2008,$B41,Vendas!$E$8:$E$2008,"&gt;=01/06/"&amp;$G$3,Vendas!$E$8:$E$2008,"&lt;=30/06/"&amp;$G$3)+SUMIFS(Vendas!$AT$8:$AT$2008,Vendas!$AQ$8:$AQ$2008,$B41,Vendas!$E$8:$E$2008,"&gt;=01/06/"&amp;$G$3,Vendas!$E$8:$E$2008,"&lt;=30/06/"&amp;$G$3)</f>
        <v>0</v>
      </c>
      <c r="N41" s="159">
        <f>SUMIFS(Vendas!$K$8:$K$2008,Vendas!$H$8:$H$2008,$B41,Vendas!$E$8:$E$2008,"&gt;=01/06/"&amp;$G$3,Vendas!$E$8:$E$2008,"&lt;=30/06/"&amp;$G$3,Vendas!$C$8:$C$2008,"Entregue")+SUMIFS(Vendas!$P$8:$P$2008,Vendas!$M$8:$M$2008,$B41,Vendas!$E$8:$E$2008,"&gt;=01/06/"&amp;$G$3,Vendas!$E$8:$E$2008,"&lt;=30/06/"&amp;$G$3,Vendas!$C$8:$C$2008,"Entregue")+SUMIFS(Vendas!$U$8:$U$2008,Vendas!$R$8:$R$2008,$B41,Vendas!$E$8:$E$2008,"&gt;=01/06/"&amp;$G$3,Vendas!$E$8:$E$2008,"&lt;=30/06/"&amp;$G$3,Vendas!$C$8:$C$2008,"Entregue")+SUMIFS(Vendas!$Z$8:$Z$2008,Vendas!$W$8:$W$2008,$B41,Vendas!$E$8:$E$2008,"&gt;=01/06/"&amp;$G$3,Vendas!$E$8:$E$2008,"&lt;=30/06/"&amp;$G$3,Vendas!$C$8:$C$2008,"Entregue")+SUMIFS(Vendas!$AE$8:$AE$2008,Vendas!$AB$8:$AB$2008,$B41,Vendas!$E$8:$E$2008,"&gt;=01/06/"&amp;$G$3,Vendas!$E$8:$E$2008,"&lt;=30/06/"&amp;$G$3,Vendas!$C$8:$C$2008,"Entregue")+SUMIFS(Vendas!$AJ$8:$AJ$2008,Vendas!$AG$8:$AG$2008,$B41,Vendas!$E$8:$E$2008,"&gt;=01/06/"&amp;$G$3,Vendas!$E$8:$E$2008,"&lt;=30/06/"&amp;$G$3,Vendas!$C$8:$C$2008,"Entregue")+SUMIFS(Vendas!$AO$8:$AO$2008,Vendas!$AL$8:$AL$2008,$B41,Vendas!$E$8:$E$2008,"&gt;=01/06/"&amp;$G$3,Vendas!$E$8:$E$2008,"&lt;=30/06/"&amp;$G$3,Vendas!$C$8:$C$2008,"Entregue")+SUMIFS(Vendas!$AT$8:$AT$2008,Vendas!$AQ$8:$AQ$2008,$B41,Vendas!$E$8:$E$2008,"&gt;=01/06/"&amp;$G$3,Vendas!$E$8:$E$2008,"&lt;=30/06/"&amp;$G$3,Vendas!$C$8:$C$2008,"Entregue")</f>
        <v>0</v>
      </c>
      <c r="O41" s="159">
        <f>SUMIFS(Vendas!$K$8:$K$2008,Vendas!$H$8:$H$2008,$B41,Vendas!$E$8:$E$2008,"&gt;=01/07/"&amp;$G$3,Vendas!$E$8:$E$2008,"&lt;=31/07/"&amp;$G$3)+SUMIFS(Vendas!$P$8:$P$2008,Vendas!$M$8:$M$2008,$B41,Vendas!$E$8:$E$2008,"&gt;=01/07/"&amp;$G$3,Vendas!$E$8:$E$2008,"&lt;=31/07/"&amp;$G$3)+SUMIFS(Vendas!$U$8:$U$2008,Vendas!$R$8:$R$2008,$B41,Vendas!$E$8:$E$2008,"&gt;=01/07/"&amp;$G$3,Vendas!$E$8:$E$2008,"&lt;=31/07/"&amp;$G$3)+SUMIFS(Vendas!$Z$8:$Z$2008,Vendas!$W$8:$W$2008,$B41,Vendas!$E$8:$E$2008,"&gt;=01/07/"&amp;$G$3,Vendas!$E$8:$E$2008,"&lt;=31/07/"&amp;$G$3)+SUMIFS(Vendas!$AE$8:$AE$2008,Vendas!$AB$8:$AB$2008,$B41,Vendas!$E$8:$E$2008,"&gt;=01/07/"&amp;$G$3,Vendas!$E$8:$E$2008,"&lt;=31/07/"&amp;$G$3)+SUMIFS(Vendas!$AJ$8:$AJ$2008,Vendas!$AG$8:$AG$2008,$B41,Vendas!$E$8:$E$2008,"&gt;=01/07/"&amp;$G$3,Vendas!$E$8:$E$2008,"&lt;=31/07/"&amp;$G$3)+SUMIFS(Vendas!$AO$8:$AO$2008,Vendas!$AL$8:$AL$2008,$B41,Vendas!$E$8:$E$2008,"&gt;=01/07/"&amp;$G$3,Vendas!$E$8:$E$2008,"&lt;=31/07/"&amp;$G$3)+SUMIFS(Vendas!$AT$8:$AT$2008,Vendas!$AQ$8:$AQ$2008,$B41,Vendas!$E$8:$E$2008,"&gt;=01/07/"&amp;$G$3,Vendas!$E$8:$E$2008,"&lt;=31/07/"&amp;$G$3)</f>
        <v>0</v>
      </c>
      <c r="P41" s="159">
        <f>SUMIFS(Vendas!$K$8:$K$2008,Vendas!$H$8:$H$2008,$B41,Vendas!$E$8:$E$2008,"&gt;=01/07/"&amp;$G$3,Vendas!$E$8:$E$2008,"&lt;=31/07/"&amp;$G$3,Vendas!$C$8:$C$2008,"Entregue")+SUMIFS(Vendas!$P$8:$P$2008,Vendas!$M$8:$M$2008,$B41,Vendas!$E$8:$E$2008,"&gt;=01/07/"&amp;$G$3,Vendas!$E$8:$E$2008,"&lt;=31/07/"&amp;$G$3,Vendas!$C$8:$C$2008,"Entregue")+SUMIFS(Vendas!$U$8:$U$2008,Vendas!$R$8:$R$2008,$B41,Vendas!$E$8:$E$2008,"&gt;=01/07/"&amp;$G$3,Vendas!$E$8:$E$2008,"&lt;=31/07/"&amp;$G$3,Vendas!$C$8:$C$2008,"Entregue")+SUMIFS(Vendas!$Z$8:$Z$2008,Vendas!$W$8:$W$2008,$B41,Vendas!$E$8:$E$2008,"&gt;=01/07/"&amp;$G$3,Vendas!$E$8:$E$2008,"&lt;=31/07/"&amp;$G$3,Vendas!$C$8:$C$2008,"Entregue")+SUMIFS(Vendas!$AE$8:$AE$2008,Vendas!$AB$8:$AB$2008,$B41,Vendas!$E$8:$E$2008,"&gt;=01/07/"&amp;$G$3,Vendas!$E$8:$E$2008,"&lt;=31/07/"&amp;$G$3,Vendas!$C$8:$C$2008,"Entregue")+SUMIFS(Vendas!$AJ$8:$AJ$2008,Vendas!$AG$8:$AG$2008,$B41,Vendas!$E$8:$E$2008,"&gt;=01/07/"&amp;$G$3,Vendas!$E$8:$E$2008,"&lt;=31/07/"&amp;$G$3,Vendas!$C$8:$C$2008,"Entregue")+SUMIFS(Vendas!$AO$8:$AO$2008,Vendas!$AL$8:$AL$2008,$B41,Vendas!$E$8:$E$2008,"&gt;=01/07/"&amp;$G$3,Vendas!$E$8:$E$2008,"&lt;=31/07/"&amp;$G$3,Vendas!$C$8:$C$2008,"Entregue")+SUMIFS(Vendas!$AT$8:$AT$2008,Vendas!$AQ$8:$AQ$2008,$B41,Vendas!$E$8:$E$2008,"&gt;=01/07/"&amp;$G$3,Vendas!$E$8:$E$2008,"&lt;=31/07/"&amp;$G$3,Vendas!$C$8:$C$2008,"Entregue")</f>
        <v>0</v>
      </c>
      <c r="Q41" s="159">
        <f>SUMIFS(Vendas!$K$8:$K$2008,Vendas!$H$8:$H$2008,$B41,Vendas!$E$8:$E$2008,"&gt;=01/08/"&amp;$G$3,Vendas!$E$8:$E$2008,"&lt;=31/08/"&amp;$G$3)+SUMIFS(Vendas!$P$8:$P$2008,Vendas!$M$8:$M$2008,$B41,Vendas!$E$8:$E$2008,"&gt;=01/08/"&amp;$G$3,Vendas!$E$8:$E$2008,"&lt;=31/08/"&amp;$G$3)+SUMIFS(Vendas!$U$8:$U$2008,Vendas!$R$8:$R$2008,$B41,Vendas!$E$8:$E$2008,"&gt;=01/08/"&amp;$G$3,Vendas!$E$8:$E$2008,"&lt;=31/08/"&amp;$G$3)+SUMIFS(Vendas!$Z$8:$Z$2008,Vendas!$W$8:$W$2008,$B41,Vendas!$E$8:$E$2008,"&gt;=01/08/"&amp;$G$3,Vendas!$E$8:$E$2008,"&lt;=31/08/"&amp;$G$3)+SUMIFS(Vendas!$AE$8:$AE$2008,Vendas!$AB$8:$AB$2008,$B41,Vendas!$E$8:$E$2008,"&gt;=01/08/"&amp;$G$3,Vendas!$E$8:$E$2008,"&lt;=31/08/"&amp;$G$3)+SUMIFS(Vendas!$AJ$8:$AJ$2008,Vendas!$AG$8:$AG$2008,$B41,Vendas!$E$8:$E$2008,"&gt;=01/08/"&amp;$G$3,Vendas!$E$8:$E$2008,"&lt;=31/08/"&amp;$G$3)+SUMIFS(Vendas!$AO$8:$AO$2008,Vendas!$AL$8:$AL$2008,$B41,Vendas!$E$8:$E$2008,"&gt;=01/08/"&amp;$G$3,Vendas!$E$8:$E$2008,"&lt;=31/08/"&amp;$G$3)+SUMIFS(Vendas!$AT$8:$AT$2008,Vendas!$AQ$8:$AQ$2008,$B41,Vendas!$E$8:$E$2008,"&gt;=01/08/"&amp;$G$3,Vendas!$E$8:$E$2008,"&lt;=31/08/"&amp;$G$3)</f>
        <v>0</v>
      </c>
      <c r="R41" s="159">
        <f>SUMIFS(Vendas!$K$8:$K$2008,Vendas!$H$8:$H$2008,$B41,Vendas!$E$8:$E$2008,"&gt;=01/08/"&amp;$G$3,Vendas!$E$8:$E$2008,"&lt;=31/08/"&amp;$G$3,Vendas!$C$8:$C$2008,"Entregue")+SUMIFS(Vendas!$P$8:$P$2008,Vendas!$M$8:$M$2008,$B41,Vendas!$E$8:$E$2008,"&gt;=01/08/"&amp;$G$3,Vendas!$E$8:$E$2008,"&lt;=31/08/"&amp;$G$3,Vendas!$C$8:$C$2008,"Entregue")+SUMIFS(Vendas!$U$8:$U$2008,Vendas!$R$8:$R$2008,$B41,Vendas!$E$8:$E$2008,"&gt;=01/08/"&amp;$G$3,Vendas!$E$8:$E$2008,"&lt;=31/08/"&amp;$G$3,Vendas!$C$8:$C$2008,"Entregue")+SUMIFS(Vendas!$Z$8:$Z$2008,Vendas!$W$8:$W$2008,$B41,Vendas!$E$8:$E$2008,"&gt;=01/08/"&amp;$G$3,Vendas!$E$8:$E$2008,"&lt;=31/08/"&amp;$G$3,Vendas!$C$8:$C$2008,"Entregue")+SUMIFS(Vendas!$AE$8:$AE$2008,Vendas!$AB$8:$AB$2008,$B41,Vendas!$E$8:$E$2008,"&gt;=01/08/"&amp;$G$3,Vendas!$E$8:$E$2008,"&lt;=31/08/"&amp;$G$3,Vendas!$C$8:$C$2008,"Entregue")+SUMIFS(Vendas!$AJ$8:$AJ$2008,Vendas!$AG$8:$AG$2008,$B41,Vendas!$E$8:$E$2008,"&gt;=01/08/"&amp;$G$3,Vendas!$E$8:$E$2008,"&lt;=31/08/"&amp;$G$3,Vendas!$C$8:$C$2008,"Entregue")+SUMIFS(Vendas!$AO$8:$AO$2008,Vendas!$AL$8:$AL$2008,$B41,Vendas!$E$8:$E$2008,"&gt;=01/08/"&amp;$G$3,Vendas!$E$8:$E$2008,"&lt;=31/08/"&amp;$G$3,Vendas!$C$8:$C$2008,"Entregue")+SUMIFS(Vendas!$AT$8:$AT$2008,Vendas!$AQ$8:$AQ$2008,$B41,Vendas!$E$8:$E$2008,"&gt;=01/08/"&amp;$G$3,Vendas!$E$8:$E$2008,"&lt;=31/08/"&amp;$G$3,Vendas!$C$8:$C$2008,"Entregue")</f>
        <v>0</v>
      </c>
      <c r="S41" s="159">
        <f>SUMIFS(Vendas!$K$8:$K$2008,Vendas!$H$8:$H$2008,$B41,Vendas!$E$8:$E$2008,"&gt;=01/09/"&amp;$G$3,Vendas!$E$8:$E$2008,"&lt;=30/09/"&amp;$G$3)+SUMIFS(Vendas!$P$8:$P$2008,Vendas!$M$8:$M$2008,$B41,Vendas!$E$8:$E$2008,"&gt;=01/09/"&amp;$G$3,Vendas!$E$8:$E$2008,"&lt;=30/09/"&amp;$G$3)+SUMIFS(Vendas!$U$8:$U$2008,Vendas!$R$8:$R$2008,$B41,Vendas!$E$8:$E$2008,"&gt;=01/09/"&amp;$G$3,Vendas!$E$8:$E$2008,"&lt;=30/09/"&amp;$G$3)+SUMIFS(Vendas!$Z$8:$Z$2008,Vendas!$W$8:$W$2008,$B41,Vendas!$E$8:$E$2008,"&gt;=01/09/"&amp;$G$3,Vendas!$E$8:$E$2008,"&lt;=30/09/"&amp;$G$3)+SUMIFS(Vendas!$AE$8:$AE$2008,Vendas!$AB$8:$AB$2008,$B41,Vendas!$E$8:$E$2008,"&gt;=01/09/"&amp;$G$3,Vendas!$E$8:$E$2008,"&lt;=30/09/"&amp;$G$3)+SUMIFS(Vendas!$AJ$8:$AJ$2008,Vendas!$AG$8:$AG$2008,$B41,Vendas!$E$8:$E$2008,"&gt;=01/09/"&amp;$G$3,Vendas!$E$8:$E$2008,"&lt;=30/09/"&amp;$G$3)+SUMIFS(Vendas!$AO$8:$AO$2008,Vendas!$AL$8:$AL$2008,$B41,Vendas!$E$8:$E$2008,"&gt;=01/09/"&amp;$G$3,Vendas!$E$8:$E$2008,"&lt;=30/09/"&amp;$G$3)+SUMIFS(Vendas!$AT$8:$AT$2008,Vendas!$AQ$8:$AQ$2008,$B41,Vendas!$E$8:$E$2008,"&gt;=01/09/"&amp;$G$3,Vendas!$E$8:$E$2008,"&lt;=30/09/"&amp;$G$3)</f>
        <v>0</v>
      </c>
      <c r="T41" s="159">
        <f>SUMIFS(Vendas!$K$8:$K$2008,Vendas!$H$8:$H$2008,$B41,Vendas!$E$8:$E$2008,"&gt;=01/09/"&amp;$G$3,Vendas!$E$8:$E$2008,"&lt;=30/09/"&amp;$G$3,Vendas!$C$8:$C$2008,"Entregue")+SUMIFS(Vendas!$P$8:$P$2008,Vendas!$M$8:$M$2008,$B41,Vendas!$E$8:$E$2008,"&gt;=01/09/"&amp;$G$3,Vendas!$E$8:$E$2008,"&lt;=30/09/"&amp;$G$3,Vendas!$C$8:$C$2008,"Entregue")+SUMIFS(Vendas!$U$8:$U$2008,Vendas!$R$8:$R$2008,$B41,Vendas!$E$8:$E$2008,"&gt;=01/09/"&amp;$G$3,Vendas!$E$8:$E$2008,"&lt;=30/09/"&amp;$G$3,Vendas!$C$8:$C$2008,"Entregue")+SUMIFS(Vendas!$Z$8:$Z$2008,Vendas!$W$8:$W$2008,$B41,Vendas!$E$8:$E$2008,"&gt;=01/09/"&amp;$G$3,Vendas!$E$8:$E$2008,"&lt;=30/09/"&amp;$G$3,Vendas!$C$8:$C$2008,"Entregue")+SUMIFS(Vendas!$AE$8:$AE$2008,Vendas!$AB$8:$AB$2008,$B41,Vendas!$E$8:$E$2008,"&gt;=01/09/"&amp;$G$3,Vendas!$E$8:$E$2008,"&lt;=30/09/"&amp;$G$3,Vendas!$C$8:$C$2008,"Entregue")+SUMIFS(Vendas!$AJ$8:$AJ$2008,Vendas!$AG$8:$AG$2008,$B41,Vendas!$E$8:$E$2008,"&gt;=01/09/"&amp;$G$3,Vendas!$E$8:$E$2008,"&lt;=30/09/"&amp;$G$3,Vendas!$C$8:$C$2008,"Entregue")+SUMIFS(Vendas!$AO$8:$AO$2008,Vendas!$AL$8:$AL$2008,$B41,Vendas!$E$8:$E$2008,"&gt;=01/09/"&amp;$G$3,Vendas!$E$8:$E$2008,"&lt;=30/09/"&amp;$G$3,Vendas!$C$8:$C$2008,"Entregue")+SUMIFS(Vendas!$AT$8:$AT$2008,Vendas!$AQ$8:$AQ$2008,$B41,Vendas!$E$8:$E$2008,"&gt;=01/09/"&amp;$G$3,Vendas!$E$8:$E$2008,"&lt;=30/09/"&amp;$G$3,Vendas!$C$8:$C$2008,"Entregue")</f>
        <v>0</v>
      </c>
      <c r="U41" s="159">
        <f>SUMIFS(Vendas!$K$8:$K$2008,Vendas!$H$8:$H$2008,$B41,Vendas!$E$8:$E$2008,"&gt;=01/10/"&amp;$G$3,Vendas!$E$8:$E$2008,"&lt;=31/10/"&amp;$G$3)+SUMIFS(Vendas!$P$8:$P$2008,Vendas!$M$8:$M$2008,$B41,Vendas!$E$8:$E$2008,"&gt;=01/10/"&amp;$G$3,Vendas!$E$8:$E$2008,"&lt;=31/10/"&amp;$G$3)+SUMIFS(Vendas!$U$8:$U$2008,Vendas!$R$8:$R$2008,$B41,Vendas!$E$8:$E$2008,"&gt;=01/10/"&amp;$G$3,Vendas!$E$8:$E$2008,"&lt;=31/10/"&amp;$G$3)+SUMIFS(Vendas!$Z$8:$Z$2008,Vendas!$W$8:$W$2008,$B41,Vendas!$E$8:$E$2008,"&gt;=01/10/"&amp;$G$3,Vendas!$E$8:$E$2008,"&lt;=31/10/"&amp;$G$3)+SUMIFS(Vendas!$AE$8:$AE$2008,Vendas!$AB$8:$AB$2008,$B41,Vendas!$E$8:$E$2008,"&gt;=01/10/"&amp;$G$3,Vendas!$E$8:$E$2008,"&lt;=31/10/"&amp;$G$3)+SUMIFS(Vendas!$AJ$8:$AJ$2008,Vendas!$AG$8:$AG$2008,$B41,Vendas!$E$8:$E$2008,"&gt;=01/10/"&amp;$G$3,Vendas!$E$8:$E$2008,"&lt;=31/10/"&amp;$G$3)+SUMIFS(Vendas!$AO$8:$AO$2008,Vendas!$AL$8:$AL$2008,$B41,Vendas!$E$8:$E$2008,"&gt;=01/10/"&amp;$G$3,Vendas!$E$8:$E$2008,"&lt;=31/10/"&amp;$G$3)+SUMIFS(Vendas!$AT$8:$AT$2008,Vendas!$AQ$8:$AQ$2008,$B41,Vendas!$E$8:$E$2008,"&gt;=01/10/"&amp;$G$3,Vendas!$E$8:$E$2008,"&lt;=31/10/"&amp;$G$3)</f>
        <v>0</v>
      </c>
      <c r="V41" s="159">
        <f>SUMIFS(Vendas!$K$8:$K$2008,Vendas!$H$8:$H$2008,$B41,Vendas!$E$8:$E$2008,"&gt;=01/10/"&amp;$G$3,Vendas!$E$8:$E$2008,"&lt;=31/10/"&amp;$G$3,Vendas!$C$8:$C$2008,"Entregue")+SUMIFS(Vendas!$P$8:$P$2008,Vendas!$M$8:$M$2008,$B41,Vendas!$E$8:$E$2008,"&gt;=01/10/"&amp;$G$3,Vendas!$E$8:$E$2008,"&lt;=31/10/"&amp;$G$3,Vendas!$C$8:$C$2008,"Entregue")+SUMIFS(Vendas!$U$8:$U$2008,Vendas!$R$8:$R$2008,$B41,Vendas!$E$8:$E$2008,"&gt;=01/10/"&amp;$G$3,Vendas!$E$8:$E$2008,"&lt;=31/10/"&amp;$G$3,Vendas!$C$8:$C$2008,"Entregue")+SUMIFS(Vendas!$Z$8:$Z$2008,Vendas!$W$8:$W$2008,$B41,Vendas!$E$8:$E$2008,"&gt;=01/10/"&amp;$G$3,Vendas!$E$8:$E$2008,"&lt;=31/10/"&amp;$G$3,Vendas!$C$8:$C$2008,"Entregue")+SUMIFS(Vendas!$AE$8:$AE$2008,Vendas!$AB$8:$AB$2008,$B41,Vendas!$E$8:$E$2008,"&gt;=01/10/"&amp;$G$3,Vendas!$E$8:$E$2008,"&lt;=31/10/"&amp;$G$3,Vendas!$C$8:$C$2008,"Entregue")+SUMIFS(Vendas!$AJ$8:$AJ$2008,Vendas!$AG$8:$AG$2008,$B41,Vendas!$E$8:$E$2008,"&gt;=01/10/"&amp;$G$3,Vendas!$E$8:$E$2008,"&lt;=31/10/"&amp;$G$3,Vendas!$C$8:$C$2008,"Entregue")+SUMIFS(Vendas!$AO$8:$AO$2008,Vendas!$AL$8:$AL$2008,$B41,Vendas!$E$8:$E$2008,"&gt;=01/10/"&amp;$G$3,Vendas!$E$8:$E$2008,"&lt;=31/10/"&amp;$G$3,Vendas!$C$8:$C$2008,"Entregue")+SUMIFS(Vendas!$AT$8:$AT$2008,Vendas!$AQ$8:$AQ$2008,$B41,Vendas!$E$8:$E$2008,"&gt;=01/10/"&amp;$G$3,Vendas!$E$8:$E$2008,"&lt;=31/10/"&amp;$G$3,Vendas!$C$8:$C$2008,"Entregue")</f>
        <v>0</v>
      </c>
      <c r="W41" s="159">
        <f>SUMIFS(Vendas!$K$8:$K$2008,Vendas!$H$8:$H$2008,$B41,Vendas!$E$8:$E$2008,"&gt;=01/11/"&amp;$G$3,Vendas!$E$8:$E$2008,"&lt;=30/11/"&amp;$G$3)+SUMIFS(Vendas!$P$8:$P$2008,Vendas!$M$8:$M$2008,$B41,Vendas!$E$8:$E$2008,"&gt;=01/11/"&amp;$G$3,Vendas!$E$8:$E$2008,"&lt;=30/11/"&amp;$G$3)+SUMIFS(Vendas!$U$8:$U$2008,Vendas!$R$8:$R$2008,$B41,Vendas!$E$8:$E$2008,"&gt;=01/11/"&amp;$G$3,Vendas!$E$8:$E$2008,"&lt;=30/11/"&amp;$G$3)+SUMIFS(Vendas!$Z$8:$Z$2008,Vendas!$W$8:$W$2008,$B41,Vendas!$E$8:$E$2008,"&gt;=01/11/"&amp;$G$3,Vendas!$E$8:$E$2008,"&lt;=30/11/"&amp;$G$3)+SUMIFS(Vendas!$AE$8:$AE$2008,Vendas!$AB$8:$AB$2008,$B41,Vendas!$E$8:$E$2008,"&gt;=01/11/"&amp;$G$3,Vendas!$E$8:$E$2008,"&lt;=30/11/"&amp;$G$3)+SUMIFS(Vendas!$AJ$8:$AJ$2008,Vendas!$AG$8:$AG$2008,$B41,Vendas!$E$8:$E$2008,"&gt;=01/11/"&amp;$G$3,Vendas!$E$8:$E$2008,"&lt;=30/11/"&amp;$G$3)+SUMIFS(Vendas!$AO$8:$AO$2008,Vendas!$AL$8:$AL$2008,$B41,Vendas!$E$8:$E$2008,"&gt;=01/11/"&amp;$G$3,Vendas!$E$8:$E$2008,"&lt;=30/11/"&amp;$G$3)+SUMIFS(Vendas!$AT$8:$AT$2008,Vendas!$AQ$8:$AQ$2008,$B41,Vendas!$E$8:$E$2008,"&gt;=01/11/"&amp;$G$3,Vendas!$E$8:$E$2008,"&lt;=30/11/"&amp;$G$3)</f>
        <v>0</v>
      </c>
      <c r="X41" s="159">
        <f>SUMIFS(Vendas!$K$8:$K$2008,Vendas!$H$8:$H$2008,$B41,Vendas!$E$8:$E$2008,"&gt;=01/11/"&amp;$G$3,Vendas!$E$8:$E$2008,"&lt;=30/11/"&amp;$G$3,Vendas!$C$8:$C$2008,"Entregue")+SUMIFS(Vendas!$P$8:$P$2008,Vendas!$M$8:$M$2008,$B41,Vendas!$E$8:$E$2008,"&gt;=01/11/"&amp;$G$3,Vendas!$E$8:$E$2008,"&lt;=30/11/"&amp;$G$3,Vendas!$C$8:$C$2008,"Entregue")+SUMIFS(Vendas!$U$8:$U$2008,Vendas!$R$8:$R$2008,$B41,Vendas!$E$8:$E$2008,"&gt;=01/11/"&amp;$G$3,Vendas!$E$8:$E$2008,"&lt;=30/11/"&amp;$G$3,Vendas!$C$8:$C$2008,"Entregue")+SUMIFS(Vendas!$Z$8:$Z$2008,Vendas!$W$8:$W$2008,$B41,Vendas!$E$8:$E$2008,"&gt;=01/11/"&amp;$G$3,Vendas!$E$8:$E$2008,"&lt;=30/11/"&amp;$G$3,Vendas!$C$8:$C$2008,"Entregue")+SUMIFS(Vendas!$AE$8:$AE$2008,Vendas!$AB$8:$AB$2008,$B41,Vendas!$E$8:$E$2008,"&gt;=01/11/"&amp;$G$3,Vendas!$E$8:$E$2008,"&lt;=30/11/"&amp;$G$3,Vendas!$C$8:$C$2008,"Entregue")+SUMIFS(Vendas!$AJ$8:$AJ$2008,Vendas!$AG$8:$AG$2008,$B41,Vendas!$E$8:$E$2008,"&gt;=01/11/"&amp;$G$3,Vendas!$E$8:$E$2008,"&lt;=30/11/"&amp;$G$3,Vendas!$C$8:$C$2008,"Entregue")+SUMIFS(Vendas!$AO$8:$AO$2008,Vendas!$AL$8:$AL$2008,$B41,Vendas!$E$8:$E$2008,"&gt;=01/11/"&amp;$G$3,Vendas!$E$8:$E$2008,"&lt;=30/11/"&amp;$G$3,Vendas!$C$8:$C$2008,"Entregue")+SUMIFS(Vendas!$AT$8:$AT$2008,Vendas!$AQ$8:$AQ$2008,$B41,Vendas!$E$8:$E$2008,"&gt;=01/11/"&amp;$G$3,Vendas!$E$8:$E$2008,"&lt;=30/11/"&amp;$G$3,Vendas!$C$8:$C$2008,"Entregue")</f>
        <v>0</v>
      </c>
      <c r="Y41" s="159">
        <f>SUMIFS(Vendas!$K$8:$K$2008,Vendas!$H$8:$H$2008,$B41,Vendas!$E$8:$E$2008,"&gt;=01/12/"&amp;$G$3,Vendas!$E$8:$E$2008,"&lt;=31/12/"&amp;$G$3)+SUMIFS(Vendas!$P$8:$P$2008,Vendas!$M$8:$M$2008,$B41,Vendas!$E$8:$E$2008,"&gt;=01/12/"&amp;$G$3,Vendas!$E$8:$E$2008,"&lt;=31/12/"&amp;$G$3)+SUMIFS(Vendas!$U$8:$U$2008,Vendas!$R$8:$R$2008,$B41,Vendas!$E$8:$E$2008,"&gt;=01/12/"&amp;$G$3,Vendas!$E$8:$E$2008,"&lt;=31/12/"&amp;$G$3)+SUMIFS(Vendas!$Z$8:$Z$2008,Vendas!$W$8:$W$2008,$B41,Vendas!$E$8:$E$2008,"&gt;=01/12/"&amp;$G$3,Vendas!$E$8:$E$2008,"&lt;=31/12/"&amp;$G$3)+SUMIFS(Vendas!$AE$8:$AE$2008,Vendas!$AB$8:$AB$2008,$B41,Vendas!$E$8:$E$2008,"&gt;=01/12/"&amp;$G$3,Vendas!$E$8:$E$2008,"&lt;=31/12/"&amp;$G$3)+SUMIFS(Vendas!$AJ$8:$AJ$2008,Vendas!$AG$8:$AG$2008,$B41,Vendas!$E$8:$E$2008,"&gt;=01/12/"&amp;$G$3,Vendas!$E$8:$E$2008,"&lt;=31/12/"&amp;$G$3)+SUMIFS(Vendas!$AO$8:$AO$2008,Vendas!$AL$8:$AL$2008,$B41,Vendas!$E$8:$E$2008,"&gt;=01/12/"&amp;$G$3,Vendas!$E$8:$E$2008,"&lt;=31/12/"&amp;$G$3)+SUMIFS(Vendas!$AT$8:$AT$2008,Vendas!$AQ$8:$AQ$2008,$B41,Vendas!$E$8:$E$2008,"&gt;=01/12/"&amp;$G$3,Vendas!$E$8:$E$2008,"&lt;=31/12/"&amp;$G$3)</f>
        <v>0</v>
      </c>
      <c r="Z41" s="160">
        <f>SUMIFS(Vendas!$K$8:$K$2008,Vendas!$H$8:$H$2008,$B41,Vendas!$E$8:$E$2008,"&gt;=01/12/"&amp;$G$3,Vendas!$E$8:$E$2008,"&lt;=31/12/"&amp;$G$3,Vendas!$C$8:$C$2008,"Entregue")+SUMIFS(Vendas!$P$8:$P$2008,Vendas!$M$8:$M$2008,$B41,Vendas!$E$8:$E$2008,"&gt;=01/12/"&amp;$G$3,Vendas!$E$8:$E$2008,"&lt;=31/12/"&amp;$G$3,Vendas!$C$8:$C$2008,"Entregue")+SUMIFS(Vendas!$U$8:$U$2008,Vendas!$R$8:$R$2008,$B41,Vendas!$E$8:$E$2008,"&gt;=01/12/"&amp;$G$3,Vendas!$E$8:$E$2008,"&lt;=31/12/"&amp;$G$3,Vendas!$C$8:$C$2008,"Entregue")+SUMIFS(Vendas!$Z$8:$Z$2008,Vendas!$W$8:$W$2008,$B41,Vendas!$E$8:$E$2008,"&gt;=01/12/"&amp;$G$3,Vendas!$E$8:$E$2008,"&lt;=31/12/"&amp;$G$3,Vendas!$C$8:$C$2008,"Entregue")+SUMIFS(Vendas!$AE$8:$AE$2008,Vendas!$AB$8:$AB$2008,$B41,Vendas!$E$8:$E$2008,"&gt;=01/12/"&amp;$G$3,Vendas!$E$8:$E$2008,"&lt;=31/12/"&amp;$G$3,Vendas!$C$8:$C$2008,"Entregue")+SUMIFS(Vendas!$AJ$8:$AJ$2008,Vendas!$AG$8:$AG$2008,$B41,Vendas!$E$8:$E$2008,"&gt;=01/12/"&amp;$G$3,Vendas!$E$8:$E$2008,"&lt;=31/12/"&amp;$G$3,Vendas!$C$8:$C$2008,"Entregue")+SUMIFS(Vendas!$AO$8:$AO$2008,Vendas!$AL$8:$AL$2008,$B41,Vendas!$E$8:$E$2008,"&gt;=01/12/"&amp;$G$3,Vendas!$E$8:$E$2008,"&lt;=31/12/"&amp;$G$3,Vendas!$C$8:$C$2008,"Entregue")+SUMIFS(Vendas!$AT$8:$AT$2008,Vendas!$AQ$8:$AQ$2008,$B41,Vendas!$E$8:$E$2008,"&gt;=01/12/"&amp;$G$3,Vendas!$E$8:$E$2008,"&lt;=31/12/"&amp;$G$3,Vendas!$C$8:$C$2008,"Entregue")</f>
        <v>0</v>
      </c>
      <c r="AA41" s="132">
        <f t="shared" si="0"/>
        <v>0</v>
      </c>
      <c r="AB41" s="132">
        <f t="shared" si="0"/>
        <v>0</v>
      </c>
      <c r="AC41" s="67"/>
    </row>
    <row r="42" spans="2:29" ht="14.4" x14ac:dyDescent="0.3">
      <c r="B42" s="262" t="str">
        <f>IF(Cadastros!G33="","",Cadastros!G33)</f>
        <v>174 - Cobre-Leito Queem</v>
      </c>
      <c r="C42" s="161">
        <f>SUMIFS(Vendas!$K$8:$K$2008,Vendas!$H$8:$H$2008,$B42,Vendas!$E$8:$E$2008,"&gt;=01/01/"&amp;$G$3,Vendas!$E$8:$E$2008,"&lt;=31/01/"&amp;$G$3)+SUMIFS(Vendas!$P$8:$P$2008,Vendas!$M$8:$M$2008,$B42,Vendas!$E$8:$E$2008,"&gt;=01/01/"&amp;$G$3,Vendas!$E$8:$E$2008,"&lt;=31/01/"&amp;$G$3)+SUMIFS(Vendas!$U$8:$U$2008,Vendas!$R$8:$R$2008,$B42,Vendas!$E$8:$E$2008,"&gt;=01/01/"&amp;$G$3,Vendas!$E$8:$E$2008,"&lt;=31/01/"&amp;$G$3)+SUMIFS(Vendas!$Z$8:$Z$2008,Vendas!$W$8:$W$2008,$B42,Vendas!$E$8:$E$2008,"&gt;=01/01/"&amp;$G$3,Vendas!$E$8:$E$2008,"&lt;=31/01/"&amp;$G$3)+SUMIFS(Vendas!$AE$8:$AE$2008,Vendas!$AB$8:$AB$2008,$B42,Vendas!$E$8:$E$2008,"&gt;=01/01/"&amp;$G$3,Vendas!$E$8:$E$2008,"&lt;=31/01/"&amp;$G$3)+SUMIFS(Vendas!$AJ$8:$AJ$2008,Vendas!$AG$8:$AG$2008,$B42,Vendas!$E$8:$E$2008,"&gt;=01/01/"&amp;$G$3,Vendas!$E$8:$E$2008,"&lt;=31/01/"&amp;$G$3)+SUMIFS(Vendas!$AO$8:$AO$2008,Vendas!$AL$8:$AL$2008,$B42,Vendas!$E$8:$E$2008,"&gt;=01/01/"&amp;$G$3,Vendas!$E$8:$E$2008,"&lt;=31/01/"&amp;$G$3)+SUMIFS(Vendas!$AT$8:$AT$2008,Vendas!$AQ$8:$AQ$2008,$B42,Vendas!$E$8:$E$2008,"&gt;=01/01/"&amp;$G$3,Vendas!$E$8:$E$2008,"&lt;=31/01/"&amp;$G$3)</f>
        <v>0</v>
      </c>
      <c r="D42" s="162">
        <f>SUMIFS(Vendas!$K$8:$K$2008,Vendas!$H$8:$H$2008,$B42,Vendas!$E$8:$E$2008,"&gt;=01/01/"&amp;$G$3,Vendas!$E$8:$E$2008,"&lt;=31/01/"&amp;$G$3,Vendas!$C$8:$C$2008,"Entregue")+SUMIFS(Vendas!$P$8:$P$2008,Vendas!$M$8:$M$2008,$B42,Vendas!$E$8:$E$2008,"&gt;=01/01/"&amp;$G$3,Vendas!$E$8:$E$2008,"&lt;=31/01/"&amp;$G$3,Vendas!$C$8:$C$2008,"Entregue")+SUMIFS(Vendas!$U$8:$U$2008,Vendas!$R$8:$R$2008,$B42,Vendas!$E$8:$E$2008,"&gt;=01/01/"&amp;$G$3,Vendas!$E$8:$E$2008,"&lt;=31/01/"&amp;$G$3,Vendas!$C$8:$C$2008,"Entregue")+SUMIFS(Vendas!$Z$8:$Z$2008,Vendas!$W$8:$W$2008,$B42,Vendas!$E$8:$E$2008,"&gt;=01/01/"&amp;$G$3,Vendas!$E$8:$E$2008,"&lt;=31/01/"&amp;$G$3,Vendas!$C$8:$C$2008,"Entregue")+SUMIFS(Vendas!$AE$8:$AE$2008,Vendas!$AB$8:$AB$2008,$B42,Vendas!$E$8:$E$2008,"&gt;=01/01/"&amp;$G$3,Vendas!$E$8:$E$2008,"&lt;=31/01/"&amp;$G$3,Vendas!$C$8:$C$2008,"Entregue")+SUMIFS(Vendas!$AJ$8:$AJ$2008,Vendas!$AG$8:$AG$2008,$B42,Vendas!$E$8:$E$2008,"&gt;=01/01/"&amp;$G$3,Vendas!$E$8:$E$2008,"&lt;=31/01/"&amp;$G$3,Vendas!$C$8:$C$2008,"Entregue")+SUMIFS(Vendas!$AO$8:$AO$2008,Vendas!$AL$8:$AL$2008,$B42,Vendas!$E$8:$E$2008,"&gt;=01/01/"&amp;$G$3,Vendas!$E$8:$E$2008,"&lt;=31/01/"&amp;$G$3,Vendas!$C$8:$C$2008,"Entregue")+SUMIFS(Vendas!$AT$8:$AT$2008,Vendas!$AQ$8:$AQ$2008,$B42,Vendas!$E$8:$E$2008,"&gt;=01/01/"&amp;$G$3,Vendas!$E$8:$E$2008,"&lt;=31/01/"&amp;$G$3,Vendas!$C$8:$C$2008,"Entregue")</f>
        <v>0</v>
      </c>
      <c r="E42" s="162">
        <f>SUMIFS(Vendas!$K$8:$K$2008,Vendas!$H$8:$H$2008,$B42,Vendas!$E$8:$E$2008,"&gt;=01/02/"&amp;$G$3,Vendas!$E$8:$E$2008,"&lt;=28/02/"&amp;$G$3)+SUMIFS(Vendas!$P$8:$P$2008,Vendas!$M$8:$M$2008,$B42,Vendas!$E$8:$E$2008,"&gt;=01/02/"&amp;$G$3,Vendas!$E$8:$E$2008,"&lt;=28/02/"&amp;$G$3)+SUMIFS(Vendas!$U$8:$U$2008,Vendas!$R$8:$R$2008,$B42,Vendas!$E$8:$E$2008,"&gt;=01/02/"&amp;$G$3,Vendas!$E$8:$E$2008,"&lt;=28/02/"&amp;$G$3)+SUMIFS(Vendas!$Z$8:$Z$2008,Vendas!$W$8:$W$2008,$B42,Vendas!$E$8:$E$2008,"&gt;=01/02/"&amp;$G$3,Vendas!$E$8:$E$2008,"&lt;=28/02/"&amp;$G$3)+SUMIFS(Vendas!$AE$8:$AE$2008,Vendas!$AB$8:$AB$2008,$B42,Vendas!$E$8:$E$2008,"&gt;=01/02/"&amp;$G$3,Vendas!$E$8:$E$2008,"&lt;=28/02/"&amp;$G$3)+SUMIFS(Vendas!$AJ$8:$AJ$2008,Vendas!$AG$8:$AG$2008,$B42,Vendas!$E$8:$E$2008,"&gt;=01/02/"&amp;$G$3,Vendas!$E$8:$E$2008,"&lt;=28/02/"&amp;$G$3)+SUMIFS(Vendas!$AO$8:$AO$2008,Vendas!$AL$8:$AL$2008,$B42,Vendas!$E$8:$E$2008,"&gt;=01/02/"&amp;$G$3,Vendas!$E$8:$E$2008,"&lt;=28/02/"&amp;$G$3)+SUMIFS(Vendas!$AT$8:$AT$2008,Vendas!$AQ$8:$AQ$2008,$B42,Vendas!$E$8:$E$2008,"&gt;=01/02/"&amp;$G$3,Vendas!$E$8:$E$2008,"&lt;=28/02/"&amp;$G$3)</f>
        <v>0</v>
      </c>
      <c r="F42" s="162">
        <f>SUMIFS(Vendas!$K$8:$K$2008,Vendas!$H$8:$H$2008,$B42,Vendas!$E$8:$E$2008,"&gt;=01/02/"&amp;$G$3,Vendas!$E$8:$E$2008,"&lt;=28/02/"&amp;$G$3,Vendas!$C$8:$C$2008,"Entregue")+SUMIFS(Vendas!$P$8:$P$2008,Vendas!$M$8:$M$2008,$B42,Vendas!$E$8:$E$2008,"&gt;=01/02/"&amp;$G$3,Vendas!$E$8:$E$2008,"&lt;=28/02/"&amp;$G$3,Vendas!$C$8:$C$2008,"Entregue")+SUMIFS(Vendas!$U$8:$U$2008,Vendas!$R$8:$R$2008,$B42,Vendas!$E$8:$E$2008,"&gt;=01/02/"&amp;$G$3,Vendas!$E$8:$E$2008,"&lt;=28/02/"&amp;$G$3,Vendas!$C$8:$C$2008,"Entregue")+SUMIFS(Vendas!$Z$8:$Z$2008,Vendas!$W$8:$W$2008,$B42,Vendas!$E$8:$E$2008,"&gt;=01/02/"&amp;$G$3,Vendas!$E$8:$E$2008,"&lt;=28/02/"&amp;$G$3,Vendas!$C$8:$C$2008,"Entregue")+SUMIFS(Vendas!$AE$8:$AE$2008,Vendas!$AB$8:$AB$2008,$B42,Vendas!$E$8:$E$2008,"&gt;=01/02/"&amp;$G$3,Vendas!$E$8:$E$2008,"&lt;=28/02/"&amp;$G$3,Vendas!$C$8:$C$2008,"Entregue")+SUMIFS(Vendas!$AJ$8:$AJ$2008,Vendas!$AG$8:$AG$2008,$B42,Vendas!$E$8:$E$2008,"&gt;=01/02/"&amp;$G$3,Vendas!$E$8:$E$2008,"&lt;=28/02/"&amp;$G$3,Vendas!$C$8:$C$2008,"Entregue")+SUMIFS(Vendas!$AO$8:$AO$2008,Vendas!$AL$8:$AL$2008,$B42,Vendas!$E$8:$E$2008,"&gt;=01/02/"&amp;$G$3,Vendas!$E$8:$E$2008,"&lt;=28/02/"&amp;$G$3,Vendas!$C$8:$C$2008,"Entregue")+SUMIFS(Vendas!$AT$8:$AT$2008,Vendas!$AQ$8:$AQ$2008,$B42,Vendas!$E$8:$E$2008,"&gt;=01/02/"&amp;$G$3,Vendas!$E$8:$E$2008,"&lt;=28/02/"&amp;$G$3,Vendas!$C$8:$C$2008,"Entregue")</f>
        <v>0</v>
      </c>
      <c r="G42" s="162">
        <f>SUMIFS(Vendas!$K$8:$K$2008,Vendas!$H$8:$H$2008,$B42,Vendas!$E$8:$E$2008,"&gt;=01/03/"&amp;$G$3,Vendas!$E$8:$E$2008,"&lt;=31/03/"&amp;$G$3)+SUMIFS(Vendas!$P$8:$P$2008,Vendas!$M$8:$M$2008,$B42,Vendas!$E$8:$E$2008,"&gt;=01/03/"&amp;$G$3,Vendas!$E$8:$E$2008,"&lt;=31/03/"&amp;$G$3)+SUMIFS(Vendas!$U$8:$U$2008,Vendas!$R$8:$R$2008,$B42,Vendas!$E$8:$E$2008,"&gt;=01/03/"&amp;$G$3,Vendas!$E$8:$E$2008,"&lt;=31/03/"&amp;$G$3)+SUMIFS(Vendas!$Z$8:$Z$2008,Vendas!$W$8:$W$2008,$B42,Vendas!$E$8:$E$2008,"&gt;=01/03/"&amp;$G$3,Vendas!$E$8:$E$2008,"&lt;=31/03/"&amp;$G$3)+SUMIFS(Vendas!$AE$8:$AE$2008,Vendas!$AB$8:$AB$2008,$B42,Vendas!$E$8:$E$2008,"&gt;=01/03/"&amp;$G$3,Vendas!$E$8:$E$2008,"&lt;=31/03/"&amp;$G$3)+SUMIFS(Vendas!$AJ$8:$AJ$2008,Vendas!$AG$8:$AG$2008,$B42,Vendas!$E$8:$E$2008,"&gt;=01/03/"&amp;$G$3,Vendas!$E$8:$E$2008,"&lt;=31/03/"&amp;$G$3)+SUMIFS(Vendas!$AO$8:$AO$2008,Vendas!$AL$8:$AL$2008,$B42,Vendas!$E$8:$E$2008,"&gt;=01/03/"&amp;$G$3,Vendas!$E$8:$E$2008,"&lt;=31/03/"&amp;$G$3)+SUMIFS(Vendas!$AT$8:$AT$2008,Vendas!$AQ$8:$AQ$2008,$B42,Vendas!$E$8:$E$2008,"&gt;=01/03/"&amp;$G$3,Vendas!$E$8:$E$2008,"&lt;=31/03/"&amp;$G$3)</f>
        <v>0</v>
      </c>
      <c r="H42" s="162">
        <f>SUMIFS(Vendas!$K$8:$K$2008,Vendas!$H$8:$H$2008,$B42,Vendas!$E$8:$E$2008,"&gt;=01/03/"&amp;$G$3,Vendas!$E$8:$E$2008,"&lt;=31/03/"&amp;$G$3,Vendas!$C$8:$C$2008,"Entregue")+SUMIFS(Vendas!$P$8:$P$2008,Vendas!$M$8:$M$2008,$B42,Vendas!$E$8:$E$2008,"&gt;=01/03/"&amp;$G$3,Vendas!$E$8:$E$2008,"&lt;=31/03/"&amp;$G$3,Vendas!$C$8:$C$2008,"Entregue")+SUMIFS(Vendas!$U$8:$U$2008,Vendas!$R$8:$R$2008,$B42,Vendas!$E$8:$E$2008,"&gt;=01/03/"&amp;$G$3,Vendas!$E$8:$E$2008,"&lt;=31/03/"&amp;$G$3,Vendas!$C$8:$C$2008,"Entregue")+SUMIFS(Vendas!$Z$8:$Z$2008,Vendas!$W$8:$W$2008,$B42,Vendas!$E$8:$E$2008,"&gt;=01/03/"&amp;$G$3,Vendas!$E$8:$E$2008,"&lt;=31/03/"&amp;$G$3,Vendas!$C$8:$C$2008,"Entregue")+SUMIFS(Vendas!$AE$8:$AE$2008,Vendas!$AB$8:$AB$2008,$B42,Vendas!$E$8:$E$2008,"&gt;=01/03/"&amp;$G$3,Vendas!$E$8:$E$2008,"&lt;=31/03/"&amp;$G$3,Vendas!$C$8:$C$2008,"Entregue")+SUMIFS(Vendas!$AJ$8:$AJ$2008,Vendas!$AG$8:$AG$2008,$B42,Vendas!$E$8:$E$2008,"&gt;=01/03/"&amp;$G$3,Vendas!$E$8:$E$2008,"&lt;=31/03/"&amp;$G$3,Vendas!$C$8:$C$2008,"Entregue")+SUMIFS(Vendas!$AO$8:$AO$2008,Vendas!$AL$8:$AL$2008,$B42,Vendas!$E$8:$E$2008,"&gt;=01/03/"&amp;$G$3,Vendas!$E$8:$E$2008,"&lt;=31/03/"&amp;$G$3,Vendas!$C$8:$C$2008,"Entregue")+SUMIFS(Vendas!$AT$8:$AT$2008,Vendas!$AQ$8:$AQ$2008,$B42,Vendas!$E$8:$E$2008,"&gt;=01/03/"&amp;$G$3,Vendas!$E$8:$E$2008,"&lt;=31/03/"&amp;$G$3,Vendas!$C$8:$C$2008,"Entregue")</f>
        <v>0</v>
      </c>
      <c r="I42" s="162">
        <f>SUMIFS(Vendas!$K$8:$K$2008,Vendas!$H$8:$H$2008,$B42,Vendas!$E$8:$E$2008,"&gt;=01/04/"&amp;$G$3,Vendas!$E$8:$E$2008,"&lt;=30/04/"&amp;$G$3)+SUMIFS(Vendas!$P$8:$P$2008,Vendas!$M$8:$M$2008,$B42,Vendas!$E$8:$E$2008,"&gt;=01/04/"&amp;$G$3,Vendas!$E$8:$E$2008,"&lt;=30/04/"&amp;$G$3)+SUMIFS(Vendas!$U$8:$U$2008,Vendas!$R$8:$R$2008,$B42,Vendas!$E$8:$E$2008,"&gt;=01/04/"&amp;$G$3,Vendas!$E$8:$E$2008,"&lt;=30/04/"&amp;$G$3)+SUMIFS(Vendas!$Z$8:$Z$2008,Vendas!$W$8:$W$2008,$B42,Vendas!$E$8:$E$2008,"&gt;=01/04/"&amp;$G$3,Vendas!$E$8:$E$2008,"&lt;=30/04/"&amp;$G$3)+SUMIFS(Vendas!$AE$8:$AE$2008,Vendas!$AB$8:$AB$2008,$B42,Vendas!$E$8:$E$2008,"&gt;=01/04/"&amp;$G$3,Vendas!$E$8:$E$2008,"&lt;=30/04/"&amp;$G$3)+SUMIFS(Vendas!$AJ$8:$AJ$2008,Vendas!$AG$8:$AG$2008,$B42,Vendas!$E$8:$E$2008,"&gt;=01/04/"&amp;$G$3,Vendas!$E$8:$E$2008,"&lt;=30/04/"&amp;$G$3)+SUMIFS(Vendas!$AO$8:$AO$2008,Vendas!$AL$8:$AL$2008,$B42,Vendas!$E$8:$E$2008,"&gt;=01/04/"&amp;$G$3,Vendas!$E$8:$E$2008,"&lt;=30/04/"&amp;$G$3)+SUMIFS(Vendas!$AT$8:$AT$2008,Vendas!$AQ$8:$AQ$2008,$B42,Vendas!$E$8:$E$2008,"&gt;=01/04/"&amp;$G$3,Vendas!$E$8:$E$2008,"&lt;=30/04/"&amp;$G$3)</f>
        <v>0</v>
      </c>
      <c r="J42" s="162">
        <f>SUMIFS(Vendas!$K$8:$K$2008,Vendas!$H$8:$H$2008,$B42,Vendas!$E$8:$E$2008,"&gt;=01/04/"&amp;$G$3,Vendas!$E$8:$E$2008,"&lt;=30/04/"&amp;$G$3,Vendas!$C$8:$C$2008,"Entregue")+SUMIFS(Vendas!$P$8:$P$2008,Vendas!$M$8:$M$2008,$B42,Vendas!$E$8:$E$2008,"&gt;=01/04/"&amp;$G$3,Vendas!$E$8:$E$2008,"&lt;=30/04/"&amp;$G$3,Vendas!$C$8:$C$2008,"Entregue")+SUMIFS(Vendas!$U$8:$U$2008,Vendas!$R$8:$R$2008,$B42,Vendas!$E$8:$E$2008,"&gt;=01/04/"&amp;$G$3,Vendas!$E$8:$E$2008,"&lt;=30/04/"&amp;$G$3,Vendas!$C$8:$C$2008,"Entregue")+SUMIFS(Vendas!$Z$8:$Z$2008,Vendas!$W$8:$W$2008,$B42,Vendas!$E$8:$E$2008,"&gt;=01/04/"&amp;$G$3,Vendas!$E$8:$E$2008,"&lt;=30/04/"&amp;$G$3,Vendas!$C$8:$C$2008,"Entregue")+SUMIFS(Vendas!$AE$8:$AE$2008,Vendas!$AB$8:$AB$2008,$B42,Vendas!$E$8:$E$2008,"&gt;=01/04/"&amp;$G$3,Vendas!$E$8:$E$2008,"&lt;=30/04/"&amp;$G$3,Vendas!$C$8:$C$2008,"Entregue")+SUMIFS(Vendas!$AJ$8:$AJ$2008,Vendas!$AG$8:$AG$2008,$B42,Vendas!$E$8:$E$2008,"&gt;=01/04/"&amp;$G$3,Vendas!$E$8:$E$2008,"&lt;=30/04/"&amp;$G$3,Vendas!$C$8:$C$2008,"Entregue")+SUMIFS(Vendas!$AO$8:$AO$2008,Vendas!$AL$8:$AL$2008,$B42,Vendas!$E$8:$E$2008,"&gt;=01/04/"&amp;$G$3,Vendas!$E$8:$E$2008,"&lt;=30/04/"&amp;$G$3,Vendas!$C$8:$C$2008,"Entregue")+SUMIFS(Vendas!$AT$8:$AT$2008,Vendas!$AQ$8:$AQ$2008,$B42,Vendas!$E$8:$E$2008,"&gt;=01/04/"&amp;$G$3,Vendas!$E$8:$E$2008,"&lt;=30/04/"&amp;$G$3,Vendas!$C$8:$C$2008,"Entregue")</f>
        <v>0</v>
      </c>
      <c r="K42" s="162">
        <f>SUMIFS(Vendas!$K$8:$K$2008,Vendas!$H$8:$H$2008,$B42,Vendas!$E$8:$E$2008,"&gt;=01/05/"&amp;$G$3,Vendas!$E$8:$E$2008,"&lt;=31/05/"&amp;$G$3)+SUMIFS(Vendas!$P$8:$P$2008,Vendas!$M$8:$M$2008,$B42,Vendas!$E$8:$E$2008,"&gt;=01/05/"&amp;$G$3,Vendas!$E$8:$E$2008,"&lt;=31/05/"&amp;$G$3)+SUMIFS(Vendas!$U$8:$U$2008,Vendas!$R$8:$R$2008,$B42,Vendas!$E$8:$E$2008,"&gt;=01/05/"&amp;$G$3,Vendas!$E$8:$E$2008,"&lt;=31/05/"&amp;$G$3)+SUMIFS(Vendas!$Z$8:$Z$2008,Vendas!$W$8:$W$2008,$B42,Vendas!$E$8:$E$2008,"&gt;=01/05/"&amp;$G$3,Vendas!$E$8:$E$2008,"&lt;=31/05/"&amp;$G$3)+SUMIFS(Vendas!$AE$8:$AE$2008,Vendas!$AB$8:$AB$2008,$B42,Vendas!$E$8:$E$2008,"&gt;=01/05/"&amp;$G$3,Vendas!$E$8:$E$2008,"&lt;=31/05/"&amp;$G$3)+SUMIFS(Vendas!$AJ$8:$AJ$2008,Vendas!$AG$8:$AG$2008,$B42,Vendas!$E$8:$E$2008,"&gt;=01/05/"&amp;$G$3,Vendas!$E$8:$E$2008,"&lt;=31/05/"&amp;$G$3)+SUMIFS(Vendas!$AO$8:$AO$2008,Vendas!$AL$8:$AL$2008,$B42,Vendas!$E$8:$E$2008,"&gt;=01/05/"&amp;$G$3,Vendas!$E$8:$E$2008,"&lt;=31/05/"&amp;$G$3)+SUMIFS(Vendas!$AT$8:$AT$2008,Vendas!$AQ$8:$AQ$2008,$B42,Vendas!$E$8:$E$2008,"&gt;=01/05/"&amp;$G$3,Vendas!$E$8:$E$2008,"&lt;=31/05/"&amp;$G$3)</f>
        <v>0</v>
      </c>
      <c r="L42" s="162">
        <f>SUMIFS(Vendas!$K$8:$K$2008,Vendas!$H$8:$H$2008,$B42,Vendas!$E$8:$E$2008,"&gt;=01/05/"&amp;$G$3,Vendas!$E$8:$E$2008,"&lt;=31/05/"&amp;$G$3,Vendas!$C$8:$C$2008,"Entregue")+SUMIFS(Vendas!$P$8:$P$2008,Vendas!$M$8:$M$2008,$B42,Vendas!$E$8:$E$2008,"&gt;=01/05/"&amp;$G$3,Vendas!$E$8:$E$2008,"&lt;=31/05/"&amp;$G$3,Vendas!$C$8:$C$2008,"Entregue")+SUMIFS(Vendas!$U$8:$U$2008,Vendas!$R$8:$R$2008,$B42,Vendas!$E$8:$E$2008,"&gt;=01/05/"&amp;$G$3,Vendas!$E$8:$E$2008,"&lt;=31/05/"&amp;$G$3,Vendas!$C$8:$C$2008,"Entregue")+SUMIFS(Vendas!$Z$8:$Z$2008,Vendas!$W$8:$W$2008,$B42,Vendas!$E$8:$E$2008,"&gt;=01/05/"&amp;$G$3,Vendas!$E$8:$E$2008,"&lt;=31/05/"&amp;$G$3,Vendas!$C$8:$C$2008,"Entregue")+SUMIFS(Vendas!$AE$8:$AE$2008,Vendas!$AB$8:$AB$2008,$B42,Vendas!$E$8:$E$2008,"&gt;=01/05/"&amp;$G$3,Vendas!$E$8:$E$2008,"&lt;=31/05/"&amp;$G$3,Vendas!$C$8:$C$2008,"Entregue")+SUMIFS(Vendas!$AJ$8:$AJ$2008,Vendas!$AG$8:$AG$2008,$B42,Vendas!$E$8:$E$2008,"&gt;=01/05/"&amp;$G$3,Vendas!$E$8:$E$2008,"&lt;=31/05/"&amp;$G$3,Vendas!$C$8:$C$2008,"Entregue")+SUMIFS(Vendas!$AO$8:$AO$2008,Vendas!$AL$8:$AL$2008,$B42,Vendas!$E$8:$E$2008,"&gt;=01/05/"&amp;$G$3,Vendas!$E$8:$E$2008,"&lt;=31/05/"&amp;$G$3,Vendas!$C$8:$C$2008,"Entregue")+SUMIFS(Vendas!$AT$8:$AT$2008,Vendas!$AQ$8:$AQ$2008,$B42,Vendas!$E$8:$E$2008,"&gt;=01/05/"&amp;$G$3,Vendas!$E$8:$E$2008,"&lt;=31/05/"&amp;$G$3,Vendas!$C$8:$C$2008,"Entregue")</f>
        <v>0</v>
      </c>
      <c r="M42" s="162">
        <f>SUMIFS(Vendas!$K$8:$K$2008,Vendas!$H$8:$H$2008,$B42,Vendas!$E$8:$E$2008,"&gt;=01/06/"&amp;$G$3,Vendas!$E$8:$E$2008,"&lt;=30/06/"&amp;$G$3)+SUMIFS(Vendas!$P$8:$P$2008,Vendas!$M$8:$M$2008,$B42,Vendas!$E$8:$E$2008,"&gt;=01/06/"&amp;$G$3,Vendas!$E$8:$E$2008,"&lt;=30/06/"&amp;$G$3)+SUMIFS(Vendas!$U$8:$U$2008,Vendas!$R$8:$R$2008,$B42,Vendas!$E$8:$E$2008,"&gt;=01/06/"&amp;$G$3,Vendas!$E$8:$E$2008,"&lt;=30/06/"&amp;$G$3)+SUMIFS(Vendas!$Z$8:$Z$2008,Vendas!$W$8:$W$2008,$B42,Vendas!$E$8:$E$2008,"&gt;=01/06/"&amp;$G$3,Vendas!$E$8:$E$2008,"&lt;=30/06/"&amp;$G$3)+SUMIFS(Vendas!$AE$8:$AE$2008,Vendas!$AB$8:$AB$2008,$B42,Vendas!$E$8:$E$2008,"&gt;=01/06/"&amp;$G$3,Vendas!$E$8:$E$2008,"&lt;=30/06/"&amp;$G$3)+SUMIFS(Vendas!$AJ$8:$AJ$2008,Vendas!$AG$8:$AG$2008,$B42,Vendas!$E$8:$E$2008,"&gt;=01/06/"&amp;$G$3,Vendas!$E$8:$E$2008,"&lt;=30/06/"&amp;$G$3)+SUMIFS(Vendas!$AO$8:$AO$2008,Vendas!$AL$8:$AL$2008,$B42,Vendas!$E$8:$E$2008,"&gt;=01/06/"&amp;$G$3,Vendas!$E$8:$E$2008,"&lt;=30/06/"&amp;$G$3)+SUMIFS(Vendas!$AT$8:$AT$2008,Vendas!$AQ$8:$AQ$2008,$B42,Vendas!$E$8:$E$2008,"&gt;=01/06/"&amp;$G$3,Vendas!$E$8:$E$2008,"&lt;=30/06/"&amp;$G$3)</f>
        <v>0</v>
      </c>
      <c r="N42" s="162">
        <f>SUMIFS(Vendas!$K$8:$K$2008,Vendas!$H$8:$H$2008,$B42,Vendas!$E$8:$E$2008,"&gt;=01/06/"&amp;$G$3,Vendas!$E$8:$E$2008,"&lt;=30/06/"&amp;$G$3,Vendas!$C$8:$C$2008,"Entregue")+SUMIFS(Vendas!$P$8:$P$2008,Vendas!$M$8:$M$2008,$B42,Vendas!$E$8:$E$2008,"&gt;=01/06/"&amp;$G$3,Vendas!$E$8:$E$2008,"&lt;=30/06/"&amp;$G$3,Vendas!$C$8:$C$2008,"Entregue")+SUMIFS(Vendas!$U$8:$U$2008,Vendas!$R$8:$R$2008,$B42,Vendas!$E$8:$E$2008,"&gt;=01/06/"&amp;$G$3,Vendas!$E$8:$E$2008,"&lt;=30/06/"&amp;$G$3,Vendas!$C$8:$C$2008,"Entregue")+SUMIFS(Vendas!$Z$8:$Z$2008,Vendas!$W$8:$W$2008,$B42,Vendas!$E$8:$E$2008,"&gt;=01/06/"&amp;$G$3,Vendas!$E$8:$E$2008,"&lt;=30/06/"&amp;$G$3,Vendas!$C$8:$C$2008,"Entregue")+SUMIFS(Vendas!$AE$8:$AE$2008,Vendas!$AB$8:$AB$2008,$B42,Vendas!$E$8:$E$2008,"&gt;=01/06/"&amp;$G$3,Vendas!$E$8:$E$2008,"&lt;=30/06/"&amp;$G$3,Vendas!$C$8:$C$2008,"Entregue")+SUMIFS(Vendas!$AJ$8:$AJ$2008,Vendas!$AG$8:$AG$2008,$B42,Vendas!$E$8:$E$2008,"&gt;=01/06/"&amp;$G$3,Vendas!$E$8:$E$2008,"&lt;=30/06/"&amp;$G$3,Vendas!$C$8:$C$2008,"Entregue")+SUMIFS(Vendas!$AO$8:$AO$2008,Vendas!$AL$8:$AL$2008,$B42,Vendas!$E$8:$E$2008,"&gt;=01/06/"&amp;$G$3,Vendas!$E$8:$E$2008,"&lt;=30/06/"&amp;$G$3,Vendas!$C$8:$C$2008,"Entregue")+SUMIFS(Vendas!$AT$8:$AT$2008,Vendas!$AQ$8:$AQ$2008,$B42,Vendas!$E$8:$E$2008,"&gt;=01/06/"&amp;$G$3,Vendas!$E$8:$E$2008,"&lt;=30/06/"&amp;$G$3,Vendas!$C$8:$C$2008,"Entregue")</f>
        <v>0</v>
      </c>
      <c r="O42" s="162">
        <f>SUMIFS(Vendas!$K$8:$K$2008,Vendas!$H$8:$H$2008,$B42,Vendas!$E$8:$E$2008,"&gt;=01/07/"&amp;$G$3,Vendas!$E$8:$E$2008,"&lt;=31/07/"&amp;$G$3)+SUMIFS(Vendas!$P$8:$P$2008,Vendas!$M$8:$M$2008,$B42,Vendas!$E$8:$E$2008,"&gt;=01/07/"&amp;$G$3,Vendas!$E$8:$E$2008,"&lt;=31/07/"&amp;$G$3)+SUMIFS(Vendas!$U$8:$U$2008,Vendas!$R$8:$R$2008,$B42,Vendas!$E$8:$E$2008,"&gt;=01/07/"&amp;$G$3,Vendas!$E$8:$E$2008,"&lt;=31/07/"&amp;$G$3)+SUMIFS(Vendas!$Z$8:$Z$2008,Vendas!$W$8:$W$2008,$B42,Vendas!$E$8:$E$2008,"&gt;=01/07/"&amp;$G$3,Vendas!$E$8:$E$2008,"&lt;=31/07/"&amp;$G$3)+SUMIFS(Vendas!$AE$8:$AE$2008,Vendas!$AB$8:$AB$2008,$B42,Vendas!$E$8:$E$2008,"&gt;=01/07/"&amp;$G$3,Vendas!$E$8:$E$2008,"&lt;=31/07/"&amp;$G$3)+SUMIFS(Vendas!$AJ$8:$AJ$2008,Vendas!$AG$8:$AG$2008,$B42,Vendas!$E$8:$E$2008,"&gt;=01/07/"&amp;$G$3,Vendas!$E$8:$E$2008,"&lt;=31/07/"&amp;$G$3)+SUMIFS(Vendas!$AO$8:$AO$2008,Vendas!$AL$8:$AL$2008,$B42,Vendas!$E$8:$E$2008,"&gt;=01/07/"&amp;$G$3,Vendas!$E$8:$E$2008,"&lt;=31/07/"&amp;$G$3)+SUMIFS(Vendas!$AT$8:$AT$2008,Vendas!$AQ$8:$AQ$2008,$B42,Vendas!$E$8:$E$2008,"&gt;=01/07/"&amp;$G$3,Vendas!$E$8:$E$2008,"&lt;=31/07/"&amp;$G$3)</f>
        <v>0</v>
      </c>
      <c r="P42" s="162">
        <f>SUMIFS(Vendas!$K$8:$K$2008,Vendas!$H$8:$H$2008,$B42,Vendas!$E$8:$E$2008,"&gt;=01/07/"&amp;$G$3,Vendas!$E$8:$E$2008,"&lt;=31/07/"&amp;$G$3,Vendas!$C$8:$C$2008,"Entregue")+SUMIFS(Vendas!$P$8:$P$2008,Vendas!$M$8:$M$2008,$B42,Vendas!$E$8:$E$2008,"&gt;=01/07/"&amp;$G$3,Vendas!$E$8:$E$2008,"&lt;=31/07/"&amp;$G$3,Vendas!$C$8:$C$2008,"Entregue")+SUMIFS(Vendas!$U$8:$U$2008,Vendas!$R$8:$R$2008,$B42,Vendas!$E$8:$E$2008,"&gt;=01/07/"&amp;$G$3,Vendas!$E$8:$E$2008,"&lt;=31/07/"&amp;$G$3,Vendas!$C$8:$C$2008,"Entregue")+SUMIFS(Vendas!$Z$8:$Z$2008,Vendas!$W$8:$W$2008,$B42,Vendas!$E$8:$E$2008,"&gt;=01/07/"&amp;$G$3,Vendas!$E$8:$E$2008,"&lt;=31/07/"&amp;$G$3,Vendas!$C$8:$C$2008,"Entregue")+SUMIFS(Vendas!$AE$8:$AE$2008,Vendas!$AB$8:$AB$2008,$B42,Vendas!$E$8:$E$2008,"&gt;=01/07/"&amp;$G$3,Vendas!$E$8:$E$2008,"&lt;=31/07/"&amp;$G$3,Vendas!$C$8:$C$2008,"Entregue")+SUMIFS(Vendas!$AJ$8:$AJ$2008,Vendas!$AG$8:$AG$2008,$B42,Vendas!$E$8:$E$2008,"&gt;=01/07/"&amp;$G$3,Vendas!$E$8:$E$2008,"&lt;=31/07/"&amp;$G$3,Vendas!$C$8:$C$2008,"Entregue")+SUMIFS(Vendas!$AO$8:$AO$2008,Vendas!$AL$8:$AL$2008,$B42,Vendas!$E$8:$E$2008,"&gt;=01/07/"&amp;$G$3,Vendas!$E$8:$E$2008,"&lt;=31/07/"&amp;$G$3,Vendas!$C$8:$C$2008,"Entregue")+SUMIFS(Vendas!$AT$8:$AT$2008,Vendas!$AQ$8:$AQ$2008,$B42,Vendas!$E$8:$E$2008,"&gt;=01/07/"&amp;$G$3,Vendas!$E$8:$E$2008,"&lt;=31/07/"&amp;$G$3,Vendas!$C$8:$C$2008,"Entregue")</f>
        <v>0</v>
      </c>
      <c r="Q42" s="162">
        <f>SUMIFS(Vendas!$K$8:$K$2008,Vendas!$H$8:$H$2008,$B42,Vendas!$E$8:$E$2008,"&gt;=01/08/"&amp;$G$3,Vendas!$E$8:$E$2008,"&lt;=31/08/"&amp;$G$3)+SUMIFS(Vendas!$P$8:$P$2008,Vendas!$M$8:$M$2008,$B42,Vendas!$E$8:$E$2008,"&gt;=01/08/"&amp;$G$3,Vendas!$E$8:$E$2008,"&lt;=31/08/"&amp;$G$3)+SUMIFS(Vendas!$U$8:$U$2008,Vendas!$R$8:$R$2008,$B42,Vendas!$E$8:$E$2008,"&gt;=01/08/"&amp;$G$3,Vendas!$E$8:$E$2008,"&lt;=31/08/"&amp;$G$3)+SUMIFS(Vendas!$Z$8:$Z$2008,Vendas!$W$8:$W$2008,$B42,Vendas!$E$8:$E$2008,"&gt;=01/08/"&amp;$G$3,Vendas!$E$8:$E$2008,"&lt;=31/08/"&amp;$G$3)+SUMIFS(Vendas!$AE$8:$AE$2008,Vendas!$AB$8:$AB$2008,$B42,Vendas!$E$8:$E$2008,"&gt;=01/08/"&amp;$G$3,Vendas!$E$8:$E$2008,"&lt;=31/08/"&amp;$G$3)+SUMIFS(Vendas!$AJ$8:$AJ$2008,Vendas!$AG$8:$AG$2008,$B42,Vendas!$E$8:$E$2008,"&gt;=01/08/"&amp;$G$3,Vendas!$E$8:$E$2008,"&lt;=31/08/"&amp;$G$3)+SUMIFS(Vendas!$AO$8:$AO$2008,Vendas!$AL$8:$AL$2008,$B42,Vendas!$E$8:$E$2008,"&gt;=01/08/"&amp;$G$3,Vendas!$E$8:$E$2008,"&lt;=31/08/"&amp;$G$3)+SUMIFS(Vendas!$AT$8:$AT$2008,Vendas!$AQ$8:$AQ$2008,$B42,Vendas!$E$8:$E$2008,"&gt;=01/08/"&amp;$G$3,Vendas!$E$8:$E$2008,"&lt;=31/08/"&amp;$G$3)</f>
        <v>0</v>
      </c>
      <c r="R42" s="162">
        <f>SUMIFS(Vendas!$K$8:$K$2008,Vendas!$H$8:$H$2008,$B42,Vendas!$E$8:$E$2008,"&gt;=01/08/"&amp;$G$3,Vendas!$E$8:$E$2008,"&lt;=31/08/"&amp;$G$3,Vendas!$C$8:$C$2008,"Entregue")+SUMIFS(Vendas!$P$8:$P$2008,Vendas!$M$8:$M$2008,$B42,Vendas!$E$8:$E$2008,"&gt;=01/08/"&amp;$G$3,Vendas!$E$8:$E$2008,"&lt;=31/08/"&amp;$G$3,Vendas!$C$8:$C$2008,"Entregue")+SUMIFS(Vendas!$U$8:$U$2008,Vendas!$R$8:$R$2008,$B42,Vendas!$E$8:$E$2008,"&gt;=01/08/"&amp;$G$3,Vendas!$E$8:$E$2008,"&lt;=31/08/"&amp;$G$3,Vendas!$C$8:$C$2008,"Entregue")+SUMIFS(Vendas!$Z$8:$Z$2008,Vendas!$W$8:$W$2008,$B42,Vendas!$E$8:$E$2008,"&gt;=01/08/"&amp;$G$3,Vendas!$E$8:$E$2008,"&lt;=31/08/"&amp;$G$3,Vendas!$C$8:$C$2008,"Entregue")+SUMIFS(Vendas!$AE$8:$AE$2008,Vendas!$AB$8:$AB$2008,$B42,Vendas!$E$8:$E$2008,"&gt;=01/08/"&amp;$G$3,Vendas!$E$8:$E$2008,"&lt;=31/08/"&amp;$G$3,Vendas!$C$8:$C$2008,"Entregue")+SUMIFS(Vendas!$AJ$8:$AJ$2008,Vendas!$AG$8:$AG$2008,$B42,Vendas!$E$8:$E$2008,"&gt;=01/08/"&amp;$G$3,Vendas!$E$8:$E$2008,"&lt;=31/08/"&amp;$G$3,Vendas!$C$8:$C$2008,"Entregue")+SUMIFS(Vendas!$AO$8:$AO$2008,Vendas!$AL$8:$AL$2008,$B42,Vendas!$E$8:$E$2008,"&gt;=01/08/"&amp;$G$3,Vendas!$E$8:$E$2008,"&lt;=31/08/"&amp;$G$3,Vendas!$C$8:$C$2008,"Entregue")+SUMIFS(Vendas!$AT$8:$AT$2008,Vendas!$AQ$8:$AQ$2008,$B42,Vendas!$E$8:$E$2008,"&gt;=01/08/"&amp;$G$3,Vendas!$E$8:$E$2008,"&lt;=31/08/"&amp;$G$3,Vendas!$C$8:$C$2008,"Entregue")</f>
        <v>0</v>
      </c>
      <c r="S42" s="162">
        <f>SUMIFS(Vendas!$K$8:$K$2008,Vendas!$H$8:$H$2008,$B42,Vendas!$E$8:$E$2008,"&gt;=01/09/"&amp;$G$3,Vendas!$E$8:$E$2008,"&lt;=30/09/"&amp;$G$3)+SUMIFS(Vendas!$P$8:$P$2008,Vendas!$M$8:$M$2008,$B42,Vendas!$E$8:$E$2008,"&gt;=01/09/"&amp;$G$3,Vendas!$E$8:$E$2008,"&lt;=30/09/"&amp;$G$3)+SUMIFS(Vendas!$U$8:$U$2008,Vendas!$R$8:$R$2008,$B42,Vendas!$E$8:$E$2008,"&gt;=01/09/"&amp;$G$3,Vendas!$E$8:$E$2008,"&lt;=30/09/"&amp;$G$3)+SUMIFS(Vendas!$Z$8:$Z$2008,Vendas!$W$8:$W$2008,$B42,Vendas!$E$8:$E$2008,"&gt;=01/09/"&amp;$G$3,Vendas!$E$8:$E$2008,"&lt;=30/09/"&amp;$G$3)+SUMIFS(Vendas!$AE$8:$AE$2008,Vendas!$AB$8:$AB$2008,$B42,Vendas!$E$8:$E$2008,"&gt;=01/09/"&amp;$G$3,Vendas!$E$8:$E$2008,"&lt;=30/09/"&amp;$G$3)+SUMIFS(Vendas!$AJ$8:$AJ$2008,Vendas!$AG$8:$AG$2008,$B42,Vendas!$E$8:$E$2008,"&gt;=01/09/"&amp;$G$3,Vendas!$E$8:$E$2008,"&lt;=30/09/"&amp;$G$3)+SUMIFS(Vendas!$AO$8:$AO$2008,Vendas!$AL$8:$AL$2008,$B42,Vendas!$E$8:$E$2008,"&gt;=01/09/"&amp;$G$3,Vendas!$E$8:$E$2008,"&lt;=30/09/"&amp;$G$3)+SUMIFS(Vendas!$AT$8:$AT$2008,Vendas!$AQ$8:$AQ$2008,$B42,Vendas!$E$8:$E$2008,"&gt;=01/09/"&amp;$G$3,Vendas!$E$8:$E$2008,"&lt;=30/09/"&amp;$G$3)</f>
        <v>0</v>
      </c>
      <c r="T42" s="162">
        <f>SUMIFS(Vendas!$K$8:$K$2008,Vendas!$H$8:$H$2008,$B42,Vendas!$E$8:$E$2008,"&gt;=01/09/"&amp;$G$3,Vendas!$E$8:$E$2008,"&lt;=30/09/"&amp;$G$3,Vendas!$C$8:$C$2008,"Entregue")+SUMIFS(Vendas!$P$8:$P$2008,Vendas!$M$8:$M$2008,$B42,Vendas!$E$8:$E$2008,"&gt;=01/09/"&amp;$G$3,Vendas!$E$8:$E$2008,"&lt;=30/09/"&amp;$G$3,Vendas!$C$8:$C$2008,"Entregue")+SUMIFS(Vendas!$U$8:$U$2008,Vendas!$R$8:$R$2008,$B42,Vendas!$E$8:$E$2008,"&gt;=01/09/"&amp;$G$3,Vendas!$E$8:$E$2008,"&lt;=30/09/"&amp;$G$3,Vendas!$C$8:$C$2008,"Entregue")+SUMIFS(Vendas!$Z$8:$Z$2008,Vendas!$W$8:$W$2008,$B42,Vendas!$E$8:$E$2008,"&gt;=01/09/"&amp;$G$3,Vendas!$E$8:$E$2008,"&lt;=30/09/"&amp;$G$3,Vendas!$C$8:$C$2008,"Entregue")+SUMIFS(Vendas!$AE$8:$AE$2008,Vendas!$AB$8:$AB$2008,$B42,Vendas!$E$8:$E$2008,"&gt;=01/09/"&amp;$G$3,Vendas!$E$8:$E$2008,"&lt;=30/09/"&amp;$G$3,Vendas!$C$8:$C$2008,"Entregue")+SUMIFS(Vendas!$AJ$8:$AJ$2008,Vendas!$AG$8:$AG$2008,$B42,Vendas!$E$8:$E$2008,"&gt;=01/09/"&amp;$G$3,Vendas!$E$8:$E$2008,"&lt;=30/09/"&amp;$G$3,Vendas!$C$8:$C$2008,"Entregue")+SUMIFS(Vendas!$AO$8:$AO$2008,Vendas!$AL$8:$AL$2008,$B42,Vendas!$E$8:$E$2008,"&gt;=01/09/"&amp;$G$3,Vendas!$E$8:$E$2008,"&lt;=30/09/"&amp;$G$3,Vendas!$C$8:$C$2008,"Entregue")+SUMIFS(Vendas!$AT$8:$AT$2008,Vendas!$AQ$8:$AQ$2008,$B42,Vendas!$E$8:$E$2008,"&gt;=01/09/"&amp;$G$3,Vendas!$E$8:$E$2008,"&lt;=30/09/"&amp;$G$3,Vendas!$C$8:$C$2008,"Entregue")</f>
        <v>0</v>
      </c>
      <c r="U42" s="162">
        <f>SUMIFS(Vendas!$K$8:$K$2008,Vendas!$H$8:$H$2008,$B42,Vendas!$E$8:$E$2008,"&gt;=01/10/"&amp;$G$3,Vendas!$E$8:$E$2008,"&lt;=31/10/"&amp;$G$3)+SUMIFS(Vendas!$P$8:$P$2008,Vendas!$M$8:$M$2008,$B42,Vendas!$E$8:$E$2008,"&gt;=01/10/"&amp;$G$3,Vendas!$E$8:$E$2008,"&lt;=31/10/"&amp;$G$3)+SUMIFS(Vendas!$U$8:$U$2008,Vendas!$R$8:$R$2008,$B42,Vendas!$E$8:$E$2008,"&gt;=01/10/"&amp;$G$3,Vendas!$E$8:$E$2008,"&lt;=31/10/"&amp;$G$3)+SUMIFS(Vendas!$Z$8:$Z$2008,Vendas!$W$8:$W$2008,$B42,Vendas!$E$8:$E$2008,"&gt;=01/10/"&amp;$G$3,Vendas!$E$8:$E$2008,"&lt;=31/10/"&amp;$G$3)+SUMIFS(Vendas!$AE$8:$AE$2008,Vendas!$AB$8:$AB$2008,$B42,Vendas!$E$8:$E$2008,"&gt;=01/10/"&amp;$G$3,Vendas!$E$8:$E$2008,"&lt;=31/10/"&amp;$G$3)+SUMIFS(Vendas!$AJ$8:$AJ$2008,Vendas!$AG$8:$AG$2008,$B42,Vendas!$E$8:$E$2008,"&gt;=01/10/"&amp;$G$3,Vendas!$E$8:$E$2008,"&lt;=31/10/"&amp;$G$3)+SUMIFS(Vendas!$AO$8:$AO$2008,Vendas!$AL$8:$AL$2008,$B42,Vendas!$E$8:$E$2008,"&gt;=01/10/"&amp;$G$3,Vendas!$E$8:$E$2008,"&lt;=31/10/"&amp;$G$3)+SUMIFS(Vendas!$AT$8:$AT$2008,Vendas!$AQ$8:$AQ$2008,$B42,Vendas!$E$8:$E$2008,"&gt;=01/10/"&amp;$G$3,Vendas!$E$8:$E$2008,"&lt;=31/10/"&amp;$G$3)</f>
        <v>0</v>
      </c>
      <c r="V42" s="162">
        <f>SUMIFS(Vendas!$K$8:$K$2008,Vendas!$H$8:$H$2008,$B42,Vendas!$E$8:$E$2008,"&gt;=01/10/"&amp;$G$3,Vendas!$E$8:$E$2008,"&lt;=31/10/"&amp;$G$3,Vendas!$C$8:$C$2008,"Entregue")+SUMIFS(Vendas!$P$8:$P$2008,Vendas!$M$8:$M$2008,$B42,Vendas!$E$8:$E$2008,"&gt;=01/10/"&amp;$G$3,Vendas!$E$8:$E$2008,"&lt;=31/10/"&amp;$G$3,Vendas!$C$8:$C$2008,"Entregue")+SUMIFS(Vendas!$U$8:$U$2008,Vendas!$R$8:$R$2008,$B42,Vendas!$E$8:$E$2008,"&gt;=01/10/"&amp;$G$3,Vendas!$E$8:$E$2008,"&lt;=31/10/"&amp;$G$3,Vendas!$C$8:$C$2008,"Entregue")+SUMIFS(Vendas!$Z$8:$Z$2008,Vendas!$W$8:$W$2008,$B42,Vendas!$E$8:$E$2008,"&gt;=01/10/"&amp;$G$3,Vendas!$E$8:$E$2008,"&lt;=31/10/"&amp;$G$3,Vendas!$C$8:$C$2008,"Entregue")+SUMIFS(Vendas!$AE$8:$AE$2008,Vendas!$AB$8:$AB$2008,$B42,Vendas!$E$8:$E$2008,"&gt;=01/10/"&amp;$G$3,Vendas!$E$8:$E$2008,"&lt;=31/10/"&amp;$G$3,Vendas!$C$8:$C$2008,"Entregue")+SUMIFS(Vendas!$AJ$8:$AJ$2008,Vendas!$AG$8:$AG$2008,$B42,Vendas!$E$8:$E$2008,"&gt;=01/10/"&amp;$G$3,Vendas!$E$8:$E$2008,"&lt;=31/10/"&amp;$G$3,Vendas!$C$8:$C$2008,"Entregue")+SUMIFS(Vendas!$AO$8:$AO$2008,Vendas!$AL$8:$AL$2008,$B42,Vendas!$E$8:$E$2008,"&gt;=01/10/"&amp;$G$3,Vendas!$E$8:$E$2008,"&lt;=31/10/"&amp;$G$3,Vendas!$C$8:$C$2008,"Entregue")+SUMIFS(Vendas!$AT$8:$AT$2008,Vendas!$AQ$8:$AQ$2008,$B42,Vendas!$E$8:$E$2008,"&gt;=01/10/"&amp;$G$3,Vendas!$E$8:$E$2008,"&lt;=31/10/"&amp;$G$3,Vendas!$C$8:$C$2008,"Entregue")</f>
        <v>0</v>
      </c>
      <c r="W42" s="162">
        <f>SUMIFS(Vendas!$K$8:$K$2008,Vendas!$H$8:$H$2008,$B42,Vendas!$E$8:$E$2008,"&gt;=01/11/"&amp;$G$3,Vendas!$E$8:$E$2008,"&lt;=30/11/"&amp;$G$3)+SUMIFS(Vendas!$P$8:$P$2008,Vendas!$M$8:$M$2008,$B42,Vendas!$E$8:$E$2008,"&gt;=01/11/"&amp;$G$3,Vendas!$E$8:$E$2008,"&lt;=30/11/"&amp;$G$3)+SUMIFS(Vendas!$U$8:$U$2008,Vendas!$R$8:$R$2008,$B42,Vendas!$E$8:$E$2008,"&gt;=01/11/"&amp;$G$3,Vendas!$E$8:$E$2008,"&lt;=30/11/"&amp;$G$3)+SUMIFS(Vendas!$Z$8:$Z$2008,Vendas!$W$8:$W$2008,$B42,Vendas!$E$8:$E$2008,"&gt;=01/11/"&amp;$G$3,Vendas!$E$8:$E$2008,"&lt;=30/11/"&amp;$G$3)+SUMIFS(Vendas!$AE$8:$AE$2008,Vendas!$AB$8:$AB$2008,$B42,Vendas!$E$8:$E$2008,"&gt;=01/11/"&amp;$G$3,Vendas!$E$8:$E$2008,"&lt;=30/11/"&amp;$G$3)+SUMIFS(Vendas!$AJ$8:$AJ$2008,Vendas!$AG$8:$AG$2008,$B42,Vendas!$E$8:$E$2008,"&gt;=01/11/"&amp;$G$3,Vendas!$E$8:$E$2008,"&lt;=30/11/"&amp;$G$3)+SUMIFS(Vendas!$AO$8:$AO$2008,Vendas!$AL$8:$AL$2008,$B42,Vendas!$E$8:$E$2008,"&gt;=01/11/"&amp;$G$3,Vendas!$E$8:$E$2008,"&lt;=30/11/"&amp;$G$3)+SUMIFS(Vendas!$AT$8:$AT$2008,Vendas!$AQ$8:$AQ$2008,$B42,Vendas!$E$8:$E$2008,"&gt;=01/11/"&amp;$G$3,Vendas!$E$8:$E$2008,"&lt;=30/11/"&amp;$G$3)</f>
        <v>0</v>
      </c>
      <c r="X42" s="162">
        <f>SUMIFS(Vendas!$K$8:$K$2008,Vendas!$H$8:$H$2008,$B42,Vendas!$E$8:$E$2008,"&gt;=01/11/"&amp;$G$3,Vendas!$E$8:$E$2008,"&lt;=30/11/"&amp;$G$3,Vendas!$C$8:$C$2008,"Entregue")+SUMIFS(Vendas!$P$8:$P$2008,Vendas!$M$8:$M$2008,$B42,Vendas!$E$8:$E$2008,"&gt;=01/11/"&amp;$G$3,Vendas!$E$8:$E$2008,"&lt;=30/11/"&amp;$G$3,Vendas!$C$8:$C$2008,"Entregue")+SUMIFS(Vendas!$U$8:$U$2008,Vendas!$R$8:$R$2008,$B42,Vendas!$E$8:$E$2008,"&gt;=01/11/"&amp;$G$3,Vendas!$E$8:$E$2008,"&lt;=30/11/"&amp;$G$3,Vendas!$C$8:$C$2008,"Entregue")+SUMIFS(Vendas!$Z$8:$Z$2008,Vendas!$W$8:$W$2008,$B42,Vendas!$E$8:$E$2008,"&gt;=01/11/"&amp;$G$3,Vendas!$E$8:$E$2008,"&lt;=30/11/"&amp;$G$3,Vendas!$C$8:$C$2008,"Entregue")+SUMIFS(Vendas!$AE$8:$AE$2008,Vendas!$AB$8:$AB$2008,$B42,Vendas!$E$8:$E$2008,"&gt;=01/11/"&amp;$G$3,Vendas!$E$8:$E$2008,"&lt;=30/11/"&amp;$G$3,Vendas!$C$8:$C$2008,"Entregue")+SUMIFS(Vendas!$AJ$8:$AJ$2008,Vendas!$AG$8:$AG$2008,$B42,Vendas!$E$8:$E$2008,"&gt;=01/11/"&amp;$G$3,Vendas!$E$8:$E$2008,"&lt;=30/11/"&amp;$G$3,Vendas!$C$8:$C$2008,"Entregue")+SUMIFS(Vendas!$AO$8:$AO$2008,Vendas!$AL$8:$AL$2008,$B42,Vendas!$E$8:$E$2008,"&gt;=01/11/"&amp;$G$3,Vendas!$E$8:$E$2008,"&lt;=30/11/"&amp;$G$3,Vendas!$C$8:$C$2008,"Entregue")+SUMIFS(Vendas!$AT$8:$AT$2008,Vendas!$AQ$8:$AQ$2008,$B42,Vendas!$E$8:$E$2008,"&gt;=01/11/"&amp;$G$3,Vendas!$E$8:$E$2008,"&lt;=30/11/"&amp;$G$3,Vendas!$C$8:$C$2008,"Entregue")</f>
        <v>0</v>
      </c>
      <c r="Y42" s="162">
        <f>SUMIFS(Vendas!$K$8:$K$2008,Vendas!$H$8:$H$2008,$B42,Vendas!$E$8:$E$2008,"&gt;=01/12/"&amp;$G$3,Vendas!$E$8:$E$2008,"&lt;=31/12/"&amp;$G$3)+SUMIFS(Vendas!$P$8:$P$2008,Vendas!$M$8:$M$2008,$B42,Vendas!$E$8:$E$2008,"&gt;=01/12/"&amp;$G$3,Vendas!$E$8:$E$2008,"&lt;=31/12/"&amp;$G$3)+SUMIFS(Vendas!$U$8:$U$2008,Vendas!$R$8:$R$2008,$B42,Vendas!$E$8:$E$2008,"&gt;=01/12/"&amp;$G$3,Vendas!$E$8:$E$2008,"&lt;=31/12/"&amp;$G$3)+SUMIFS(Vendas!$Z$8:$Z$2008,Vendas!$W$8:$W$2008,$B42,Vendas!$E$8:$E$2008,"&gt;=01/12/"&amp;$G$3,Vendas!$E$8:$E$2008,"&lt;=31/12/"&amp;$G$3)+SUMIFS(Vendas!$AE$8:$AE$2008,Vendas!$AB$8:$AB$2008,$B42,Vendas!$E$8:$E$2008,"&gt;=01/12/"&amp;$G$3,Vendas!$E$8:$E$2008,"&lt;=31/12/"&amp;$G$3)+SUMIFS(Vendas!$AJ$8:$AJ$2008,Vendas!$AG$8:$AG$2008,$B42,Vendas!$E$8:$E$2008,"&gt;=01/12/"&amp;$G$3,Vendas!$E$8:$E$2008,"&lt;=31/12/"&amp;$G$3)+SUMIFS(Vendas!$AO$8:$AO$2008,Vendas!$AL$8:$AL$2008,$B42,Vendas!$E$8:$E$2008,"&gt;=01/12/"&amp;$G$3,Vendas!$E$8:$E$2008,"&lt;=31/12/"&amp;$G$3)+SUMIFS(Vendas!$AT$8:$AT$2008,Vendas!$AQ$8:$AQ$2008,$B42,Vendas!$E$8:$E$2008,"&gt;=01/12/"&amp;$G$3,Vendas!$E$8:$E$2008,"&lt;=31/12/"&amp;$G$3)</f>
        <v>0</v>
      </c>
      <c r="Z42" s="163">
        <f>SUMIFS(Vendas!$K$8:$K$2008,Vendas!$H$8:$H$2008,$B42,Vendas!$E$8:$E$2008,"&gt;=01/12/"&amp;$G$3,Vendas!$E$8:$E$2008,"&lt;=31/12/"&amp;$G$3,Vendas!$C$8:$C$2008,"Entregue")+SUMIFS(Vendas!$P$8:$P$2008,Vendas!$M$8:$M$2008,$B42,Vendas!$E$8:$E$2008,"&gt;=01/12/"&amp;$G$3,Vendas!$E$8:$E$2008,"&lt;=31/12/"&amp;$G$3,Vendas!$C$8:$C$2008,"Entregue")+SUMIFS(Vendas!$U$8:$U$2008,Vendas!$R$8:$R$2008,$B42,Vendas!$E$8:$E$2008,"&gt;=01/12/"&amp;$G$3,Vendas!$E$8:$E$2008,"&lt;=31/12/"&amp;$G$3,Vendas!$C$8:$C$2008,"Entregue")+SUMIFS(Vendas!$Z$8:$Z$2008,Vendas!$W$8:$W$2008,$B42,Vendas!$E$8:$E$2008,"&gt;=01/12/"&amp;$G$3,Vendas!$E$8:$E$2008,"&lt;=31/12/"&amp;$G$3,Vendas!$C$8:$C$2008,"Entregue")+SUMIFS(Vendas!$AE$8:$AE$2008,Vendas!$AB$8:$AB$2008,$B42,Vendas!$E$8:$E$2008,"&gt;=01/12/"&amp;$G$3,Vendas!$E$8:$E$2008,"&lt;=31/12/"&amp;$G$3,Vendas!$C$8:$C$2008,"Entregue")+SUMIFS(Vendas!$AJ$8:$AJ$2008,Vendas!$AG$8:$AG$2008,$B42,Vendas!$E$8:$E$2008,"&gt;=01/12/"&amp;$G$3,Vendas!$E$8:$E$2008,"&lt;=31/12/"&amp;$G$3,Vendas!$C$8:$C$2008,"Entregue")+SUMIFS(Vendas!$AO$8:$AO$2008,Vendas!$AL$8:$AL$2008,$B42,Vendas!$E$8:$E$2008,"&gt;=01/12/"&amp;$G$3,Vendas!$E$8:$E$2008,"&lt;=31/12/"&amp;$G$3,Vendas!$C$8:$C$2008,"Entregue")+SUMIFS(Vendas!$AT$8:$AT$2008,Vendas!$AQ$8:$AQ$2008,$B42,Vendas!$E$8:$E$2008,"&gt;=01/12/"&amp;$G$3,Vendas!$E$8:$E$2008,"&lt;=31/12/"&amp;$G$3,Vendas!$C$8:$C$2008,"Entregue")</f>
        <v>0</v>
      </c>
      <c r="AA42" s="132">
        <f t="shared" si="0"/>
        <v>0</v>
      </c>
      <c r="AB42" s="132">
        <f t="shared" si="0"/>
        <v>0</v>
      </c>
      <c r="AC42" s="67"/>
    </row>
    <row r="43" spans="2:29" ht="14.4" x14ac:dyDescent="0.3">
      <c r="B43" s="262" t="str">
        <f>IF(Cadastros!G34="","",Cadastros!G34)</f>
        <v>176 - Cobre-Leito Casal</v>
      </c>
      <c r="C43" s="158">
        <f>SUMIFS(Vendas!$K$8:$K$2008,Vendas!$H$8:$H$2008,$B43,Vendas!$E$8:$E$2008,"&gt;=01/01/"&amp;$G$3,Vendas!$E$8:$E$2008,"&lt;=31/01/"&amp;$G$3)+SUMIFS(Vendas!$P$8:$P$2008,Vendas!$M$8:$M$2008,$B43,Vendas!$E$8:$E$2008,"&gt;=01/01/"&amp;$G$3,Vendas!$E$8:$E$2008,"&lt;=31/01/"&amp;$G$3)+SUMIFS(Vendas!$U$8:$U$2008,Vendas!$R$8:$R$2008,$B43,Vendas!$E$8:$E$2008,"&gt;=01/01/"&amp;$G$3,Vendas!$E$8:$E$2008,"&lt;=31/01/"&amp;$G$3)+SUMIFS(Vendas!$Z$8:$Z$2008,Vendas!$W$8:$W$2008,$B43,Vendas!$E$8:$E$2008,"&gt;=01/01/"&amp;$G$3,Vendas!$E$8:$E$2008,"&lt;=31/01/"&amp;$G$3)+SUMIFS(Vendas!$AE$8:$AE$2008,Vendas!$AB$8:$AB$2008,$B43,Vendas!$E$8:$E$2008,"&gt;=01/01/"&amp;$G$3,Vendas!$E$8:$E$2008,"&lt;=31/01/"&amp;$G$3)+SUMIFS(Vendas!$AJ$8:$AJ$2008,Vendas!$AG$8:$AG$2008,$B43,Vendas!$E$8:$E$2008,"&gt;=01/01/"&amp;$G$3,Vendas!$E$8:$E$2008,"&lt;=31/01/"&amp;$G$3)+SUMIFS(Vendas!$AO$8:$AO$2008,Vendas!$AL$8:$AL$2008,$B43,Vendas!$E$8:$E$2008,"&gt;=01/01/"&amp;$G$3,Vendas!$E$8:$E$2008,"&lt;=31/01/"&amp;$G$3)+SUMIFS(Vendas!$AT$8:$AT$2008,Vendas!$AQ$8:$AQ$2008,$B43,Vendas!$E$8:$E$2008,"&gt;=01/01/"&amp;$G$3,Vendas!$E$8:$E$2008,"&lt;=31/01/"&amp;$G$3)</f>
        <v>0</v>
      </c>
      <c r="D43" s="159">
        <f>SUMIFS(Vendas!$K$8:$K$2008,Vendas!$H$8:$H$2008,$B43,Vendas!$E$8:$E$2008,"&gt;=01/01/"&amp;$G$3,Vendas!$E$8:$E$2008,"&lt;=31/01/"&amp;$G$3,Vendas!$C$8:$C$2008,"Entregue")+SUMIFS(Vendas!$P$8:$P$2008,Vendas!$M$8:$M$2008,$B43,Vendas!$E$8:$E$2008,"&gt;=01/01/"&amp;$G$3,Vendas!$E$8:$E$2008,"&lt;=31/01/"&amp;$G$3,Vendas!$C$8:$C$2008,"Entregue")+SUMIFS(Vendas!$U$8:$U$2008,Vendas!$R$8:$R$2008,$B43,Vendas!$E$8:$E$2008,"&gt;=01/01/"&amp;$G$3,Vendas!$E$8:$E$2008,"&lt;=31/01/"&amp;$G$3,Vendas!$C$8:$C$2008,"Entregue")+SUMIFS(Vendas!$Z$8:$Z$2008,Vendas!$W$8:$W$2008,$B43,Vendas!$E$8:$E$2008,"&gt;=01/01/"&amp;$G$3,Vendas!$E$8:$E$2008,"&lt;=31/01/"&amp;$G$3,Vendas!$C$8:$C$2008,"Entregue")+SUMIFS(Vendas!$AE$8:$AE$2008,Vendas!$AB$8:$AB$2008,$B43,Vendas!$E$8:$E$2008,"&gt;=01/01/"&amp;$G$3,Vendas!$E$8:$E$2008,"&lt;=31/01/"&amp;$G$3,Vendas!$C$8:$C$2008,"Entregue")+SUMIFS(Vendas!$AJ$8:$AJ$2008,Vendas!$AG$8:$AG$2008,$B43,Vendas!$E$8:$E$2008,"&gt;=01/01/"&amp;$G$3,Vendas!$E$8:$E$2008,"&lt;=31/01/"&amp;$G$3,Vendas!$C$8:$C$2008,"Entregue")+SUMIFS(Vendas!$AO$8:$AO$2008,Vendas!$AL$8:$AL$2008,$B43,Vendas!$E$8:$E$2008,"&gt;=01/01/"&amp;$G$3,Vendas!$E$8:$E$2008,"&lt;=31/01/"&amp;$G$3,Vendas!$C$8:$C$2008,"Entregue")+SUMIFS(Vendas!$AT$8:$AT$2008,Vendas!$AQ$8:$AQ$2008,$B43,Vendas!$E$8:$E$2008,"&gt;=01/01/"&amp;$G$3,Vendas!$E$8:$E$2008,"&lt;=31/01/"&amp;$G$3,Vendas!$C$8:$C$2008,"Entregue")</f>
        <v>0</v>
      </c>
      <c r="E43" s="159">
        <f>SUMIFS(Vendas!$K$8:$K$2008,Vendas!$H$8:$H$2008,$B43,Vendas!$E$8:$E$2008,"&gt;=01/02/"&amp;$G$3,Vendas!$E$8:$E$2008,"&lt;=28/02/"&amp;$G$3)+SUMIFS(Vendas!$P$8:$P$2008,Vendas!$M$8:$M$2008,$B43,Vendas!$E$8:$E$2008,"&gt;=01/02/"&amp;$G$3,Vendas!$E$8:$E$2008,"&lt;=28/02/"&amp;$G$3)+SUMIFS(Vendas!$U$8:$U$2008,Vendas!$R$8:$R$2008,$B43,Vendas!$E$8:$E$2008,"&gt;=01/02/"&amp;$G$3,Vendas!$E$8:$E$2008,"&lt;=28/02/"&amp;$G$3)+SUMIFS(Vendas!$Z$8:$Z$2008,Vendas!$W$8:$W$2008,$B43,Vendas!$E$8:$E$2008,"&gt;=01/02/"&amp;$G$3,Vendas!$E$8:$E$2008,"&lt;=28/02/"&amp;$G$3)+SUMIFS(Vendas!$AE$8:$AE$2008,Vendas!$AB$8:$AB$2008,$B43,Vendas!$E$8:$E$2008,"&gt;=01/02/"&amp;$G$3,Vendas!$E$8:$E$2008,"&lt;=28/02/"&amp;$G$3)+SUMIFS(Vendas!$AJ$8:$AJ$2008,Vendas!$AG$8:$AG$2008,$B43,Vendas!$E$8:$E$2008,"&gt;=01/02/"&amp;$G$3,Vendas!$E$8:$E$2008,"&lt;=28/02/"&amp;$G$3)+SUMIFS(Vendas!$AO$8:$AO$2008,Vendas!$AL$8:$AL$2008,$B43,Vendas!$E$8:$E$2008,"&gt;=01/02/"&amp;$G$3,Vendas!$E$8:$E$2008,"&lt;=28/02/"&amp;$G$3)+SUMIFS(Vendas!$AT$8:$AT$2008,Vendas!$AQ$8:$AQ$2008,$B43,Vendas!$E$8:$E$2008,"&gt;=01/02/"&amp;$G$3,Vendas!$E$8:$E$2008,"&lt;=28/02/"&amp;$G$3)</f>
        <v>0</v>
      </c>
      <c r="F43" s="159">
        <f>SUMIFS(Vendas!$K$8:$K$2008,Vendas!$H$8:$H$2008,$B43,Vendas!$E$8:$E$2008,"&gt;=01/02/"&amp;$G$3,Vendas!$E$8:$E$2008,"&lt;=28/02/"&amp;$G$3,Vendas!$C$8:$C$2008,"Entregue")+SUMIFS(Vendas!$P$8:$P$2008,Vendas!$M$8:$M$2008,$B43,Vendas!$E$8:$E$2008,"&gt;=01/02/"&amp;$G$3,Vendas!$E$8:$E$2008,"&lt;=28/02/"&amp;$G$3,Vendas!$C$8:$C$2008,"Entregue")+SUMIFS(Vendas!$U$8:$U$2008,Vendas!$R$8:$R$2008,$B43,Vendas!$E$8:$E$2008,"&gt;=01/02/"&amp;$G$3,Vendas!$E$8:$E$2008,"&lt;=28/02/"&amp;$G$3,Vendas!$C$8:$C$2008,"Entregue")+SUMIFS(Vendas!$Z$8:$Z$2008,Vendas!$W$8:$W$2008,$B43,Vendas!$E$8:$E$2008,"&gt;=01/02/"&amp;$G$3,Vendas!$E$8:$E$2008,"&lt;=28/02/"&amp;$G$3,Vendas!$C$8:$C$2008,"Entregue")+SUMIFS(Vendas!$AE$8:$AE$2008,Vendas!$AB$8:$AB$2008,$B43,Vendas!$E$8:$E$2008,"&gt;=01/02/"&amp;$G$3,Vendas!$E$8:$E$2008,"&lt;=28/02/"&amp;$G$3,Vendas!$C$8:$C$2008,"Entregue")+SUMIFS(Vendas!$AJ$8:$AJ$2008,Vendas!$AG$8:$AG$2008,$B43,Vendas!$E$8:$E$2008,"&gt;=01/02/"&amp;$G$3,Vendas!$E$8:$E$2008,"&lt;=28/02/"&amp;$G$3,Vendas!$C$8:$C$2008,"Entregue")+SUMIFS(Vendas!$AO$8:$AO$2008,Vendas!$AL$8:$AL$2008,$B43,Vendas!$E$8:$E$2008,"&gt;=01/02/"&amp;$G$3,Vendas!$E$8:$E$2008,"&lt;=28/02/"&amp;$G$3,Vendas!$C$8:$C$2008,"Entregue")+SUMIFS(Vendas!$AT$8:$AT$2008,Vendas!$AQ$8:$AQ$2008,$B43,Vendas!$E$8:$E$2008,"&gt;=01/02/"&amp;$G$3,Vendas!$E$8:$E$2008,"&lt;=28/02/"&amp;$G$3,Vendas!$C$8:$C$2008,"Entregue")</f>
        <v>0</v>
      </c>
      <c r="G43" s="159">
        <f>SUMIFS(Vendas!$K$8:$K$2008,Vendas!$H$8:$H$2008,$B43,Vendas!$E$8:$E$2008,"&gt;=01/03/"&amp;$G$3,Vendas!$E$8:$E$2008,"&lt;=31/03/"&amp;$G$3)+SUMIFS(Vendas!$P$8:$P$2008,Vendas!$M$8:$M$2008,$B43,Vendas!$E$8:$E$2008,"&gt;=01/03/"&amp;$G$3,Vendas!$E$8:$E$2008,"&lt;=31/03/"&amp;$G$3)+SUMIFS(Vendas!$U$8:$U$2008,Vendas!$R$8:$R$2008,$B43,Vendas!$E$8:$E$2008,"&gt;=01/03/"&amp;$G$3,Vendas!$E$8:$E$2008,"&lt;=31/03/"&amp;$G$3)+SUMIFS(Vendas!$Z$8:$Z$2008,Vendas!$W$8:$W$2008,$B43,Vendas!$E$8:$E$2008,"&gt;=01/03/"&amp;$G$3,Vendas!$E$8:$E$2008,"&lt;=31/03/"&amp;$G$3)+SUMIFS(Vendas!$AE$8:$AE$2008,Vendas!$AB$8:$AB$2008,$B43,Vendas!$E$8:$E$2008,"&gt;=01/03/"&amp;$G$3,Vendas!$E$8:$E$2008,"&lt;=31/03/"&amp;$G$3)+SUMIFS(Vendas!$AJ$8:$AJ$2008,Vendas!$AG$8:$AG$2008,$B43,Vendas!$E$8:$E$2008,"&gt;=01/03/"&amp;$G$3,Vendas!$E$8:$E$2008,"&lt;=31/03/"&amp;$G$3)+SUMIFS(Vendas!$AO$8:$AO$2008,Vendas!$AL$8:$AL$2008,$B43,Vendas!$E$8:$E$2008,"&gt;=01/03/"&amp;$G$3,Vendas!$E$8:$E$2008,"&lt;=31/03/"&amp;$G$3)+SUMIFS(Vendas!$AT$8:$AT$2008,Vendas!$AQ$8:$AQ$2008,$B43,Vendas!$E$8:$E$2008,"&gt;=01/03/"&amp;$G$3,Vendas!$E$8:$E$2008,"&lt;=31/03/"&amp;$G$3)</f>
        <v>0</v>
      </c>
      <c r="H43" s="159">
        <f>SUMIFS(Vendas!$K$8:$K$2008,Vendas!$H$8:$H$2008,$B43,Vendas!$E$8:$E$2008,"&gt;=01/03/"&amp;$G$3,Vendas!$E$8:$E$2008,"&lt;=31/03/"&amp;$G$3,Vendas!$C$8:$C$2008,"Entregue")+SUMIFS(Vendas!$P$8:$P$2008,Vendas!$M$8:$M$2008,$B43,Vendas!$E$8:$E$2008,"&gt;=01/03/"&amp;$G$3,Vendas!$E$8:$E$2008,"&lt;=31/03/"&amp;$G$3,Vendas!$C$8:$C$2008,"Entregue")+SUMIFS(Vendas!$U$8:$U$2008,Vendas!$R$8:$R$2008,$B43,Vendas!$E$8:$E$2008,"&gt;=01/03/"&amp;$G$3,Vendas!$E$8:$E$2008,"&lt;=31/03/"&amp;$G$3,Vendas!$C$8:$C$2008,"Entregue")+SUMIFS(Vendas!$Z$8:$Z$2008,Vendas!$W$8:$W$2008,$B43,Vendas!$E$8:$E$2008,"&gt;=01/03/"&amp;$G$3,Vendas!$E$8:$E$2008,"&lt;=31/03/"&amp;$G$3,Vendas!$C$8:$C$2008,"Entregue")+SUMIFS(Vendas!$AE$8:$AE$2008,Vendas!$AB$8:$AB$2008,$B43,Vendas!$E$8:$E$2008,"&gt;=01/03/"&amp;$G$3,Vendas!$E$8:$E$2008,"&lt;=31/03/"&amp;$G$3,Vendas!$C$8:$C$2008,"Entregue")+SUMIFS(Vendas!$AJ$8:$AJ$2008,Vendas!$AG$8:$AG$2008,$B43,Vendas!$E$8:$E$2008,"&gt;=01/03/"&amp;$G$3,Vendas!$E$8:$E$2008,"&lt;=31/03/"&amp;$G$3,Vendas!$C$8:$C$2008,"Entregue")+SUMIFS(Vendas!$AO$8:$AO$2008,Vendas!$AL$8:$AL$2008,$B43,Vendas!$E$8:$E$2008,"&gt;=01/03/"&amp;$G$3,Vendas!$E$8:$E$2008,"&lt;=31/03/"&amp;$G$3,Vendas!$C$8:$C$2008,"Entregue")+SUMIFS(Vendas!$AT$8:$AT$2008,Vendas!$AQ$8:$AQ$2008,$B43,Vendas!$E$8:$E$2008,"&gt;=01/03/"&amp;$G$3,Vendas!$E$8:$E$2008,"&lt;=31/03/"&amp;$G$3,Vendas!$C$8:$C$2008,"Entregue")</f>
        <v>0</v>
      </c>
      <c r="I43" s="159">
        <f>SUMIFS(Vendas!$K$8:$K$2008,Vendas!$H$8:$H$2008,$B43,Vendas!$E$8:$E$2008,"&gt;=01/04/"&amp;$G$3,Vendas!$E$8:$E$2008,"&lt;=30/04/"&amp;$G$3)+SUMIFS(Vendas!$P$8:$P$2008,Vendas!$M$8:$M$2008,$B43,Vendas!$E$8:$E$2008,"&gt;=01/04/"&amp;$G$3,Vendas!$E$8:$E$2008,"&lt;=30/04/"&amp;$G$3)+SUMIFS(Vendas!$U$8:$U$2008,Vendas!$R$8:$R$2008,$B43,Vendas!$E$8:$E$2008,"&gt;=01/04/"&amp;$G$3,Vendas!$E$8:$E$2008,"&lt;=30/04/"&amp;$G$3)+SUMIFS(Vendas!$Z$8:$Z$2008,Vendas!$W$8:$W$2008,$B43,Vendas!$E$8:$E$2008,"&gt;=01/04/"&amp;$G$3,Vendas!$E$8:$E$2008,"&lt;=30/04/"&amp;$G$3)+SUMIFS(Vendas!$AE$8:$AE$2008,Vendas!$AB$8:$AB$2008,$B43,Vendas!$E$8:$E$2008,"&gt;=01/04/"&amp;$G$3,Vendas!$E$8:$E$2008,"&lt;=30/04/"&amp;$G$3)+SUMIFS(Vendas!$AJ$8:$AJ$2008,Vendas!$AG$8:$AG$2008,$B43,Vendas!$E$8:$E$2008,"&gt;=01/04/"&amp;$G$3,Vendas!$E$8:$E$2008,"&lt;=30/04/"&amp;$G$3)+SUMIFS(Vendas!$AO$8:$AO$2008,Vendas!$AL$8:$AL$2008,$B43,Vendas!$E$8:$E$2008,"&gt;=01/04/"&amp;$G$3,Vendas!$E$8:$E$2008,"&lt;=30/04/"&amp;$G$3)+SUMIFS(Vendas!$AT$8:$AT$2008,Vendas!$AQ$8:$AQ$2008,$B43,Vendas!$E$8:$E$2008,"&gt;=01/04/"&amp;$G$3,Vendas!$E$8:$E$2008,"&lt;=30/04/"&amp;$G$3)</f>
        <v>0</v>
      </c>
      <c r="J43" s="159">
        <f>SUMIFS(Vendas!$K$8:$K$2008,Vendas!$H$8:$H$2008,$B43,Vendas!$E$8:$E$2008,"&gt;=01/04/"&amp;$G$3,Vendas!$E$8:$E$2008,"&lt;=30/04/"&amp;$G$3,Vendas!$C$8:$C$2008,"Entregue")+SUMIFS(Vendas!$P$8:$P$2008,Vendas!$M$8:$M$2008,$B43,Vendas!$E$8:$E$2008,"&gt;=01/04/"&amp;$G$3,Vendas!$E$8:$E$2008,"&lt;=30/04/"&amp;$G$3,Vendas!$C$8:$C$2008,"Entregue")+SUMIFS(Vendas!$U$8:$U$2008,Vendas!$R$8:$R$2008,$B43,Vendas!$E$8:$E$2008,"&gt;=01/04/"&amp;$G$3,Vendas!$E$8:$E$2008,"&lt;=30/04/"&amp;$G$3,Vendas!$C$8:$C$2008,"Entregue")+SUMIFS(Vendas!$Z$8:$Z$2008,Vendas!$W$8:$W$2008,$B43,Vendas!$E$8:$E$2008,"&gt;=01/04/"&amp;$G$3,Vendas!$E$8:$E$2008,"&lt;=30/04/"&amp;$G$3,Vendas!$C$8:$C$2008,"Entregue")+SUMIFS(Vendas!$AE$8:$AE$2008,Vendas!$AB$8:$AB$2008,$B43,Vendas!$E$8:$E$2008,"&gt;=01/04/"&amp;$G$3,Vendas!$E$8:$E$2008,"&lt;=30/04/"&amp;$G$3,Vendas!$C$8:$C$2008,"Entregue")+SUMIFS(Vendas!$AJ$8:$AJ$2008,Vendas!$AG$8:$AG$2008,$B43,Vendas!$E$8:$E$2008,"&gt;=01/04/"&amp;$G$3,Vendas!$E$8:$E$2008,"&lt;=30/04/"&amp;$G$3,Vendas!$C$8:$C$2008,"Entregue")+SUMIFS(Vendas!$AO$8:$AO$2008,Vendas!$AL$8:$AL$2008,$B43,Vendas!$E$8:$E$2008,"&gt;=01/04/"&amp;$G$3,Vendas!$E$8:$E$2008,"&lt;=30/04/"&amp;$G$3,Vendas!$C$8:$C$2008,"Entregue")+SUMIFS(Vendas!$AT$8:$AT$2008,Vendas!$AQ$8:$AQ$2008,$B43,Vendas!$E$8:$E$2008,"&gt;=01/04/"&amp;$G$3,Vendas!$E$8:$E$2008,"&lt;=30/04/"&amp;$G$3,Vendas!$C$8:$C$2008,"Entregue")</f>
        <v>0</v>
      </c>
      <c r="K43" s="159">
        <f>SUMIFS(Vendas!$K$8:$K$2008,Vendas!$H$8:$H$2008,$B43,Vendas!$E$8:$E$2008,"&gt;=01/05/"&amp;$G$3,Vendas!$E$8:$E$2008,"&lt;=31/05/"&amp;$G$3)+SUMIFS(Vendas!$P$8:$P$2008,Vendas!$M$8:$M$2008,$B43,Vendas!$E$8:$E$2008,"&gt;=01/05/"&amp;$G$3,Vendas!$E$8:$E$2008,"&lt;=31/05/"&amp;$G$3)+SUMIFS(Vendas!$U$8:$U$2008,Vendas!$R$8:$R$2008,$B43,Vendas!$E$8:$E$2008,"&gt;=01/05/"&amp;$G$3,Vendas!$E$8:$E$2008,"&lt;=31/05/"&amp;$G$3)+SUMIFS(Vendas!$Z$8:$Z$2008,Vendas!$W$8:$W$2008,$B43,Vendas!$E$8:$E$2008,"&gt;=01/05/"&amp;$G$3,Vendas!$E$8:$E$2008,"&lt;=31/05/"&amp;$G$3)+SUMIFS(Vendas!$AE$8:$AE$2008,Vendas!$AB$8:$AB$2008,$B43,Vendas!$E$8:$E$2008,"&gt;=01/05/"&amp;$G$3,Vendas!$E$8:$E$2008,"&lt;=31/05/"&amp;$G$3)+SUMIFS(Vendas!$AJ$8:$AJ$2008,Vendas!$AG$8:$AG$2008,$B43,Vendas!$E$8:$E$2008,"&gt;=01/05/"&amp;$G$3,Vendas!$E$8:$E$2008,"&lt;=31/05/"&amp;$G$3)+SUMIFS(Vendas!$AO$8:$AO$2008,Vendas!$AL$8:$AL$2008,$B43,Vendas!$E$8:$E$2008,"&gt;=01/05/"&amp;$G$3,Vendas!$E$8:$E$2008,"&lt;=31/05/"&amp;$G$3)+SUMIFS(Vendas!$AT$8:$AT$2008,Vendas!$AQ$8:$AQ$2008,$B43,Vendas!$E$8:$E$2008,"&gt;=01/05/"&amp;$G$3,Vendas!$E$8:$E$2008,"&lt;=31/05/"&amp;$G$3)</f>
        <v>0</v>
      </c>
      <c r="L43" s="159">
        <f>SUMIFS(Vendas!$K$8:$K$2008,Vendas!$H$8:$H$2008,$B43,Vendas!$E$8:$E$2008,"&gt;=01/05/"&amp;$G$3,Vendas!$E$8:$E$2008,"&lt;=31/05/"&amp;$G$3,Vendas!$C$8:$C$2008,"Entregue")+SUMIFS(Vendas!$P$8:$P$2008,Vendas!$M$8:$M$2008,$B43,Vendas!$E$8:$E$2008,"&gt;=01/05/"&amp;$G$3,Vendas!$E$8:$E$2008,"&lt;=31/05/"&amp;$G$3,Vendas!$C$8:$C$2008,"Entregue")+SUMIFS(Vendas!$U$8:$U$2008,Vendas!$R$8:$R$2008,$B43,Vendas!$E$8:$E$2008,"&gt;=01/05/"&amp;$G$3,Vendas!$E$8:$E$2008,"&lt;=31/05/"&amp;$G$3,Vendas!$C$8:$C$2008,"Entregue")+SUMIFS(Vendas!$Z$8:$Z$2008,Vendas!$W$8:$W$2008,$B43,Vendas!$E$8:$E$2008,"&gt;=01/05/"&amp;$G$3,Vendas!$E$8:$E$2008,"&lt;=31/05/"&amp;$G$3,Vendas!$C$8:$C$2008,"Entregue")+SUMIFS(Vendas!$AE$8:$AE$2008,Vendas!$AB$8:$AB$2008,$B43,Vendas!$E$8:$E$2008,"&gt;=01/05/"&amp;$G$3,Vendas!$E$8:$E$2008,"&lt;=31/05/"&amp;$G$3,Vendas!$C$8:$C$2008,"Entregue")+SUMIFS(Vendas!$AJ$8:$AJ$2008,Vendas!$AG$8:$AG$2008,$B43,Vendas!$E$8:$E$2008,"&gt;=01/05/"&amp;$G$3,Vendas!$E$8:$E$2008,"&lt;=31/05/"&amp;$G$3,Vendas!$C$8:$C$2008,"Entregue")+SUMIFS(Vendas!$AO$8:$AO$2008,Vendas!$AL$8:$AL$2008,$B43,Vendas!$E$8:$E$2008,"&gt;=01/05/"&amp;$G$3,Vendas!$E$8:$E$2008,"&lt;=31/05/"&amp;$G$3,Vendas!$C$8:$C$2008,"Entregue")+SUMIFS(Vendas!$AT$8:$AT$2008,Vendas!$AQ$8:$AQ$2008,$B43,Vendas!$E$8:$E$2008,"&gt;=01/05/"&amp;$G$3,Vendas!$E$8:$E$2008,"&lt;=31/05/"&amp;$G$3,Vendas!$C$8:$C$2008,"Entregue")</f>
        <v>0</v>
      </c>
      <c r="M43" s="159">
        <f>SUMIFS(Vendas!$K$8:$K$2008,Vendas!$H$8:$H$2008,$B43,Vendas!$E$8:$E$2008,"&gt;=01/06/"&amp;$G$3,Vendas!$E$8:$E$2008,"&lt;=30/06/"&amp;$G$3)+SUMIFS(Vendas!$P$8:$P$2008,Vendas!$M$8:$M$2008,$B43,Vendas!$E$8:$E$2008,"&gt;=01/06/"&amp;$G$3,Vendas!$E$8:$E$2008,"&lt;=30/06/"&amp;$G$3)+SUMIFS(Vendas!$U$8:$U$2008,Vendas!$R$8:$R$2008,$B43,Vendas!$E$8:$E$2008,"&gt;=01/06/"&amp;$G$3,Vendas!$E$8:$E$2008,"&lt;=30/06/"&amp;$G$3)+SUMIFS(Vendas!$Z$8:$Z$2008,Vendas!$W$8:$W$2008,$B43,Vendas!$E$8:$E$2008,"&gt;=01/06/"&amp;$G$3,Vendas!$E$8:$E$2008,"&lt;=30/06/"&amp;$G$3)+SUMIFS(Vendas!$AE$8:$AE$2008,Vendas!$AB$8:$AB$2008,$B43,Vendas!$E$8:$E$2008,"&gt;=01/06/"&amp;$G$3,Vendas!$E$8:$E$2008,"&lt;=30/06/"&amp;$G$3)+SUMIFS(Vendas!$AJ$8:$AJ$2008,Vendas!$AG$8:$AG$2008,$B43,Vendas!$E$8:$E$2008,"&gt;=01/06/"&amp;$G$3,Vendas!$E$8:$E$2008,"&lt;=30/06/"&amp;$G$3)+SUMIFS(Vendas!$AO$8:$AO$2008,Vendas!$AL$8:$AL$2008,$B43,Vendas!$E$8:$E$2008,"&gt;=01/06/"&amp;$G$3,Vendas!$E$8:$E$2008,"&lt;=30/06/"&amp;$G$3)+SUMIFS(Vendas!$AT$8:$AT$2008,Vendas!$AQ$8:$AQ$2008,$B43,Vendas!$E$8:$E$2008,"&gt;=01/06/"&amp;$G$3,Vendas!$E$8:$E$2008,"&lt;=30/06/"&amp;$G$3)</f>
        <v>0</v>
      </c>
      <c r="N43" s="159">
        <f>SUMIFS(Vendas!$K$8:$K$2008,Vendas!$H$8:$H$2008,$B43,Vendas!$E$8:$E$2008,"&gt;=01/06/"&amp;$G$3,Vendas!$E$8:$E$2008,"&lt;=30/06/"&amp;$G$3,Vendas!$C$8:$C$2008,"Entregue")+SUMIFS(Vendas!$P$8:$P$2008,Vendas!$M$8:$M$2008,$B43,Vendas!$E$8:$E$2008,"&gt;=01/06/"&amp;$G$3,Vendas!$E$8:$E$2008,"&lt;=30/06/"&amp;$G$3,Vendas!$C$8:$C$2008,"Entregue")+SUMIFS(Vendas!$U$8:$U$2008,Vendas!$R$8:$R$2008,$B43,Vendas!$E$8:$E$2008,"&gt;=01/06/"&amp;$G$3,Vendas!$E$8:$E$2008,"&lt;=30/06/"&amp;$G$3,Vendas!$C$8:$C$2008,"Entregue")+SUMIFS(Vendas!$Z$8:$Z$2008,Vendas!$W$8:$W$2008,$B43,Vendas!$E$8:$E$2008,"&gt;=01/06/"&amp;$G$3,Vendas!$E$8:$E$2008,"&lt;=30/06/"&amp;$G$3,Vendas!$C$8:$C$2008,"Entregue")+SUMIFS(Vendas!$AE$8:$AE$2008,Vendas!$AB$8:$AB$2008,$B43,Vendas!$E$8:$E$2008,"&gt;=01/06/"&amp;$G$3,Vendas!$E$8:$E$2008,"&lt;=30/06/"&amp;$G$3,Vendas!$C$8:$C$2008,"Entregue")+SUMIFS(Vendas!$AJ$8:$AJ$2008,Vendas!$AG$8:$AG$2008,$B43,Vendas!$E$8:$E$2008,"&gt;=01/06/"&amp;$G$3,Vendas!$E$8:$E$2008,"&lt;=30/06/"&amp;$G$3,Vendas!$C$8:$C$2008,"Entregue")+SUMIFS(Vendas!$AO$8:$AO$2008,Vendas!$AL$8:$AL$2008,$B43,Vendas!$E$8:$E$2008,"&gt;=01/06/"&amp;$G$3,Vendas!$E$8:$E$2008,"&lt;=30/06/"&amp;$G$3,Vendas!$C$8:$C$2008,"Entregue")+SUMIFS(Vendas!$AT$8:$AT$2008,Vendas!$AQ$8:$AQ$2008,$B43,Vendas!$E$8:$E$2008,"&gt;=01/06/"&amp;$G$3,Vendas!$E$8:$E$2008,"&lt;=30/06/"&amp;$G$3,Vendas!$C$8:$C$2008,"Entregue")</f>
        <v>0</v>
      </c>
      <c r="O43" s="159">
        <f>SUMIFS(Vendas!$K$8:$K$2008,Vendas!$H$8:$H$2008,$B43,Vendas!$E$8:$E$2008,"&gt;=01/07/"&amp;$G$3,Vendas!$E$8:$E$2008,"&lt;=31/07/"&amp;$G$3)+SUMIFS(Vendas!$P$8:$P$2008,Vendas!$M$8:$M$2008,$B43,Vendas!$E$8:$E$2008,"&gt;=01/07/"&amp;$G$3,Vendas!$E$8:$E$2008,"&lt;=31/07/"&amp;$G$3)+SUMIFS(Vendas!$U$8:$U$2008,Vendas!$R$8:$R$2008,$B43,Vendas!$E$8:$E$2008,"&gt;=01/07/"&amp;$G$3,Vendas!$E$8:$E$2008,"&lt;=31/07/"&amp;$G$3)+SUMIFS(Vendas!$Z$8:$Z$2008,Vendas!$W$8:$W$2008,$B43,Vendas!$E$8:$E$2008,"&gt;=01/07/"&amp;$G$3,Vendas!$E$8:$E$2008,"&lt;=31/07/"&amp;$G$3)+SUMIFS(Vendas!$AE$8:$AE$2008,Vendas!$AB$8:$AB$2008,$B43,Vendas!$E$8:$E$2008,"&gt;=01/07/"&amp;$G$3,Vendas!$E$8:$E$2008,"&lt;=31/07/"&amp;$G$3)+SUMIFS(Vendas!$AJ$8:$AJ$2008,Vendas!$AG$8:$AG$2008,$B43,Vendas!$E$8:$E$2008,"&gt;=01/07/"&amp;$G$3,Vendas!$E$8:$E$2008,"&lt;=31/07/"&amp;$G$3)+SUMIFS(Vendas!$AO$8:$AO$2008,Vendas!$AL$8:$AL$2008,$B43,Vendas!$E$8:$E$2008,"&gt;=01/07/"&amp;$G$3,Vendas!$E$8:$E$2008,"&lt;=31/07/"&amp;$G$3)+SUMIFS(Vendas!$AT$8:$AT$2008,Vendas!$AQ$8:$AQ$2008,$B43,Vendas!$E$8:$E$2008,"&gt;=01/07/"&amp;$G$3,Vendas!$E$8:$E$2008,"&lt;=31/07/"&amp;$G$3)</f>
        <v>0</v>
      </c>
      <c r="P43" s="159">
        <f>SUMIFS(Vendas!$K$8:$K$2008,Vendas!$H$8:$H$2008,$B43,Vendas!$E$8:$E$2008,"&gt;=01/07/"&amp;$G$3,Vendas!$E$8:$E$2008,"&lt;=31/07/"&amp;$G$3,Vendas!$C$8:$C$2008,"Entregue")+SUMIFS(Vendas!$P$8:$P$2008,Vendas!$M$8:$M$2008,$B43,Vendas!$E$8:$E$2008,"&gt;=01/07/"&amp;$G$3,Vendas!$E$8:$E$2008,"&lt;=31/07/"&amp;$G$3,Vendas!$C$8:$C$2008,"Entregue")+SUMIFS(Vendas!$U$8:$U$2008,Vendas!$R$8:$R$2008,$B43,Vendas!$E$8:$E$2008,"&gt;=01/07/"&amp;$G$3,Vendas!$E$8:$E$2008,"&lt;=31/07/"&amp;$G$3,Vendas!$C$8:$C$2008,"Entregue")+SUMIFS(Vendas!$Z$8:$Z$2008,Vendas!$W$8:$W$2008,$B43,Vendas!$E$8:$E$2008,"&gt;=01/07/"&amp;$G$3,Vendas!$E$8:$E$2008,"&lt;=31/07/"&amp;$G$3,Vendas!$C$8:$C$2008,"Entregue")+SUMIFS(Vendas!$AE$8:$AE$2008,Vendas!$AB$8:$AB$2008,$B43,Vendas!$E$8:$E$2008,"&gt;=01/07/"&amp;$G$3,Vendas!$E$8:$E$2008,"&lt;=31/07/"&amp;$G$3,Vendas!$C$8:$C$2008,"Entregue")+SUMIFS(Vendas!$AJ$8:$AJ$2008,Vendas!$AG$8:$AG$2008,$B43,Vendas!$E$8:$E$2008,"&gt;=01/07/"&amp;$G$3,Vendas!$E$8:$E$2008,"&lt;=31/07/"&amp;$G$3,Vendas!$C$8:$C$2008,"Entregue")+SUMIFS(Vendas!$AO$8:$AO$2008,Vendas!$AL$8:$AL$2008,$B43,Vendas!$E$8:$E$2008,"&gt;=01/07/"&amp;$G$3,Vendas!$E$8:$E$2008,"&lt;=31/07/"&amp;$G$3,Vendas!$C$8:$C$2008,"Entregue")+SUMIFS(Vendas!$AT$8:$AT$2008,Vendas!$AQ$8:$AQ$2008,$B43,Vendas!$E$8:$E$2008,"&gt;=01/07/"&amp;$G$3,Vendas!$E$8:$E$2008,"&lt;=31/07/"&amp;$G$3,Vendas!$C$8:$C$2008,"Entregue")</f>
        <v>0</v>
      </c>
      <c r="Q43" s="159">
        <f>SUMIFS(Vendas!$K$8:$K$2008,Vendas!$H$8:$H$2008,$B43,Vendas!$E$8:$E$2008,"&gt;=01/08/"&amp;$G$3,Vendas!$E$8:$E$2008,"&lt;=31/08/"&amp;$G$3)+SUMIFS(Vendas!$P$8:$P$2008,Vendas!$M$8:$M$2008,$B43,Vendas!$E$8:$E$2008,"&gt;=01/08/"&amp;$G$3,Vendas!$E$8:$E$2008,"&lt;=31/08/"&amp;$G$3)+SUMIFS(Vendas!$U$8:$U$2008,Vendas!$R$8:$R$2008,$B43,Vendas!$E$8:$E$2008,"&gt;=01/08/"&amp;$G$3,Vendas!$E$8:$E$2008,"&lt;=31/08/"&amp;$G$3)+SUMIFS(Vendas!$Z$8:$Z$2008,Vendas!$W$8:$W$2008,$B43,Vendas!$E$8:$E$2008,"&gt;=01/08/"&amp;$G$3,Vendas!$E$8:$E$2008,"&lt;=31/08/"&amp;$G$3)+SUMIFS(Vendas!$AE$8:$AE$2008,Vendas!$AB$8:$AB$2008,$B43,Vendas!$E$8:$E$2008,"&gt;=01/08/"&amp;$G$3,Vendas!$E$8:$E$2008,"&lt;=31/08/"&amp;$G$3)+SUMIFS(Vendas!$AJ$8:$AJ$2008,Vendas!$AG$8:$AG$2008,$B43,Vendas!$E$8:$E$2008,"&gt;=01/08/"&amp;$G$3,Vendas!$E$8:$E$2008,"&lt;=31/08/"&amp;$G$3)+SUMIFS(Vendas!$AO$8:$AO$2008,Vendas!$AL$8:$AL$2008,$B43,Vendas!$E$8:$E$2008,"&gt;=01/08/"&amp;$G$3,Vendas!$E$8:$E$2008,"&lt;=31/08/"&amp;$G$3)+SUMIFS(Vendas!$AT$8:$AT$2008,Vendas!$AQ$8:$AQ$2008,$B43,Vendas!$E$8:$E$2008,"&gt;=01/08/"&amp;$G$3,Vendas!$E$8:$E$2008,"&lt;=31/08/"&amp;$G$3)</f>
        <v>0</v>
      </c>
      <c r="R43" s="159">
        <f>SUMIFS(Vendas!$K$8:$K$2008,Vendas!$H$8:$H$2008,$B43,Vendas!$E$8:$E$2008,"&gt;=01/08/"&amp;$G$3,Vendas!$E$8:$E$2008,"&lt;=31/08/"&amp;$G$3,Vendas!$C$8:$C$2008,"Entregue")+SUMIFS(Vendas!$P$8:$P$2008,Vendas!$M$8:$M$2008,$B43,Vendas!$E$8:$E$2008,"&gt;=01/08/"&amp;$G$3,Vendas!$E$8:$E$2008,"&lt;=31/08/"&amp;$G$3,Vendas!$C$8:$C$2008,"Entregue")+SUMIFS(Vendas!$U$8:$U$2008,Vendas!$R$8:$R$2008,$B43,Vendas!$E$8:$E$2008,"&gt;=01/08/"&amp;$G$3,Vendas!$E$8:$E$2008,"&lt;=31/08/"&amp;$G$3,Vendas!$C$8:$C$2008,"Entregue")+SUMIFS(Vendas!$Z$8:$Z$2008,Vendas!$W$8:$W$2008,$B43,Vendas!$E$8:$E$2008,"&gt;=01/08/"&amp;$G$3,Vendas!$E$8:$E$2008,"&lt;=31/08/"&amp;$G$3,Vendas!$C$8:$C$2008,"Entregue")+SUMIFS(Vendas!$AE$8:$AE$2008,Vendas!$AB$8:$AB$2008,$B43,Vendas!$E$8:$E$2008,"&gt;=01/08/"&amp;$G$3,Vendas!$E$8:$E$2008,"&lt;=31/08/"&amp;$G$3,Vendas!$C$8:$C$2008,"Entregue")+SUMIFS(Vendas!$AJ$8:$AJ$2008,Vendas!$AG$8:$AG$2008,$B43,Vendas!$E$8:$E$2008,"&gt;=01/08/"&amp;$G$3,Vendas!$E$8:$E$2008,"&lt;=31/08/"&amp;$G$3,Vendas!$C$8:$C$2008,"Entregue")+SUMIFS(Vendas!$AO$8:$AO$2008,Vendas!$AL$8:$AL$2008,$B43,Vendas!$E$8:$E$2008,"&gt;=01/08/"&amp;$G$3,Vendas!$E$8:$E$2008,"&lt;=31/08/"&amp;$G$3,Vendas!$C$8:$C$2008,"Entregue")+SUMIFS(Vendas!$AT$8:$AT$2008,Vendas!$AQ$8:$AQ$2008,$B43,Vendas!$E$8:$E$2008,"&gt;=01/08/"&amp;$G$3,Vendas!$E$8:$E$2008,"&lt;=31/08/"&amp;$G$3,Vendas!$C$8:$C$2008,"Entregue")</f>
        <v>0</v>
      </c>
      <c r="S43" s="159">
        <f>SUMIFS(Vendas!$K$8:$K$2008,Vendas!$H$8:$H$2008,$B43,Vendas!$E$8:$E$2008,"&gt;=01/09/"&amp;$G$3,Vendas!$E$8:$E$2008,"&lt;=30/09/"&amp;$G$3)+SUMIFS(Vendas!$P$8:$P$2008,Vendas!$M$8:$M$2008,$B43,Vendas!$E$8:$E$2008,"&gt;=01/09/"&amp;$G$3,Vendas!$E$8:$E$2008,"&lt;=30/09/"&amp;$G$3)+SUMIFS(Vendas!$U$8:$U$2008,Vendas!$R$8:$R$2008,$B43,Vendas!$E$8:$E$2008,"&gt;=01/09/"&amp;$G$3,Vendas!$E$8:$E$2008,"&lt;=30/09/"&amp;$G$3)+SUMIFS(Vendas!$Z$8:$Z$2008,Vendas!$W$8:$W$2008,$B43,Vendas!$E$8:$E$2008,"&gt;=01/09/"&amp;$G$3,Vendas!$E$8:$E$2008,"&lt;=30/09/"&amp;$G$3)+SUMIFS(Vendas!$AE$8:$AE$2008,Vendas!$AB$8:$AB$2008,$B43,Vendas!$E$8:$E$2008,"&gt;=01/09/"&amp;$G$3,Vendas!$E$8:$E$2008,"&lt;=30/09/"&amp;$G$3)+SUMIFS(Vendas!$AJ$8:$AJ$2008,Vendas!$AG$8:$AG$2008,$B43,Vendas!$E$8:$E$2008,"&gt;=01/09/"&amp;$G$3,Vendas!$E$8:$E$2008,"&lt;=30/09/"&amp;$G$3)+SUMIFS(Vendas!$AO$8:$AO$2008,Vendas!$AL$8:$AL$2008,$B43,Vendas!$E$8:$E$2008,"&gt;=01/09/"&amp;$G$3,Vendas!$E$8:$E$2008,"&lt;=30/09/"&amp;$G$3)+SUMIFS(Vendas!$AT$8:$AT$2008,Vendas!$AQ$8:$AQ$2008,$B43,Vendas!$E$8:$E$2008,"&gt;=01/09/"&amp;$G$3,Vendas!$E$8:$E$2008,"&lt;=30/09/"&amp;$G$3)</f>
        <v>0</v>
      </c>
      <c r="T43" s="159">
        <f>SUMIFS(Vendas!$K$8:$K$2008,Vendas!$H$8:$H$2008,$B43,Vendas!$E$8:$E$2008,"&gt;=01/09/"&amp;$G$3,Vendas!$E$8:$E$2008,"&lt;=30/09/"&amp;$G$3,Vendas!$C$8:$C$2008,"Entregue")+SUMIFS(Vendas!$P$8:$P$2008,Vendas!$M$8:$M$2008,$B43,Vendas!$E$8:$E$2008,"&gt;=01/09/"&amp;$G$3,Vendas!$E$8:$E$2008,"&lt;=30/09/"&amp;$G$3,Vendas!$C$8:$C$2008,"Entregue")+SUMIFS(Vendas!$U$8:$U$2008,Vendas!$R$8:$R$2008,$B43,Vendas!$E$8:$E$2008,"&gt;=01/09/"&amp;$G$3,Vendas!$E$8:$E$2008,"&lt;=30/09/"&amp;$G$3,Vendas!$C$8:$C$2008,"Entregue")+SUMIFS(Vendas!$Z$8:$Z$2008,Vendas!$W$8:$W$2008,$B43,Vendas!$E$8:$E$2008,"&gt;=01/09/"&amp;$G$3,Vendas!$E$8:$E$2008,"&lt;=30/09/"&amp;$G$3,Vendas!$C$8:$C$2008,"Entregue")+SUMIFS(Vendas!$AE$8:$AE$2008,Vendas!$AB$8:$AB$2008,$B43,Vendas!$E$8:$E$2008,"&gt;=01/09/"&amp;$G$3,Vendas!$E$8:$E$2008,"&lt;=30/09/"&amp;$G$3,Vendas!$C$8:$C$2008,"Entregue")+SUMIFS(Vendas!$AJ$8:$AJ$2008,Vendas!$AG$8:$AG$2008,$B43,Vendas!$E$8:$E$2008,"&gt;=01/09/"&amp;$G$3,Vendas!$E$8:$E$2008,"&lt;=30/09/"&amp;$G$3,Vendas!$C$8:$C$2008,"Entregue")+SUMIFS(Vendas!$AO$8:$AO$2008,Vendas!$AL$8:$AL$2008,$B43,Vendas!$E$8:$E$2008,"&gt;=01/09/"&amp;$G$3,Vendas!$E$8:$E$2008,"&lt;=30/09/"&amp;$G$3,Vendas!$C$8:$C$2008,"Entregue")+SUMIFS(Vendas!$AT$8:$AT$2008,Vendas!$AQ$8:$AQ$2008,$B43,Vendas!$E$8:$E$2008,"&gt;=01/09/"&amp;$G$3,Vendas!$E$8:$E$2008,"&lt;=30/09/"&amp;$G$3,Vendas!$C$8:$C$2008,"Entregue")</f>
        <v>0</v>
      </c>
      <c r="U43" s="159">
        <f>SUMIFS(Vendas!$K$8:$K$2008,Vendas!$H$8:$H$2008,$B43,Vendas!$E$8:$E$2008,"&gt;=01/10/"&amp;$G$3,Vendas!$E$8:$E$2008,"&lt;=31/10/"&amp;$G$3)+SUMIFS(Vendas!$P$8:$P$2008,Vendas!$M$8:$M$2008,$B43,Vendas!$E$8:$E$2008,"&gt;=01/10/"&amp;$G$3,Vendas!$E$8:$E$2008,"&lt;=31/10/"&amp;$G$3)+SUMIFS(Vendas!$U$8:$U$2008,Vendas!$R$8:$R$2008,$B43,Vendas!$E$8:$E$2008,"&gt;=01/10/"&amp;$G$3,Vendas!$E$8:$E$2008,"&lt;=31/10/"&amp;$G$3)+SUMIFS(Vendas!$Z$8:$Z$2008,Vendas!$W$8:$W$2008,$B43,Vendas!$E$8:$E$2008,"&gt;=01/10/"&amp;$G$3,Vendas!$E$8:$E$2008,"&lt;=31/10/"&amp;$G$3)+SUMIFS(Vendas!$AE$8:$AE$2008,Vendas!$AB$8:$AB$2008,$B43,Vendas!$E$8:$E$2008,"&gt;=01/10/"&amp;$G$3,Vendas!$E$8:$E$2008,"&lt;=31/10/"&amp;$G$3)+SUMIFS(Vendas!$AJ$8:$AJ$2008,Vendas!$AG$8:$AG$2008,$B43,Vendas!$E$8:$E$2008,"&gt;=01/10/"&amp;$G$3,Vendas!$E$8:$E$2008,"&lt;=31/10/"&amp;$G$3)+SUMIFS(Vendas!$AO$8:$AO$2008,Vendas!$AL$8:$AL$2008,$B43,Vendas!$E$8:$E$2008,"&gt;=01/10/"&amp;$G$3,Vendas!$E$8:$E$2008,"&lt;=31/10/"&amp;$G$3)+SUMIFS(Vendas!$AT$8:$AT$2008,Vendas!$AQ$8:$AQ$2008,$B43,Vendas!$E$8:$E$2008,"&gt;=01/10/"&amp;$G$3,Vendas!$E$8:$E$2008,"&lt;=31/10/"&amp;$G$3)</f>
        <v>0</v>
      </c>
      <c r="V43" s="159">
        <f>SUMIFS(Vendas!$K$8:$K$2008,Vendas!$H$8:$H$2008,$B43,Vendas!$E$8:$E$2008,"&gt;=01/10/"&amp;$G$3,Vendas!$E$8:$E$2008,"&lt;=31/10/"&amp;$G$3,Vendas!$C$8:$C$2008,"Entregue")+SUMIFS(Vendas!$P$8:$P$2008,Vendas!$M$8:$M$2008,$B43,Vendas!$E$8:$E$2008,"&gt;=01/10/"&amp;$G$3,Vendas!$E$8:$E$2008,"&lt;=31/10/"&amp;$G$3,Vendas!$C$8:$C$2008,"Entregue")+SUMIFS(Vendas!$U$8:$U$2008,Vendas!$R$8:$R$2008,$B43,Vendas!$E$8:$E$2008,"&gt;=01/10/"&amp;$G$3,Vendas!$E$8:$E$2008,"&lt;=31/10/"&amp;$G$3,Vendas!$C$8:$C$2008,"Entregue")+SUMIFS(Vendas!$Z$8:$Z$2008,Vendas!$W$8:$W$2008,$B43,Vendas!$E$8:$E$2008,"&gt;=01/10/"&amp;$G$3,Vendas!$E$8:$E$2008,"&lt;=31/10/"&amp;$G$3,Vendas!$C$8:$C$2008,"Entregue")+SUMIFS(Vendas!$AE$8:$AE$2008,Vendas!$AB$8:$AB$2008,$B43,Vendas!$E$8:$E$2008,"&gt;=01/10/"&amp;$G$3,Vendas!$E$8:$E$2008,"&lt;=31/10/"&amp;$G$3,Vendas!$C$8:$C$2008,"Entregue")+SUMIFS(Vendas!$AJ$8:$AJ$2008,Vendas!$AG$8:$AG$2008,$B43,Vendas!$E$8:$E$2008,"&gt;=01/10/"&amp;$G$3,Vendas!$E$8:$E$2008,"&lt;=31/10/"&amp;$G$3,Vendas!$C$8:$C$2008,"Entregue")+SUMIFS(Vendas!$AO$8:$AO$2008,Vendas!$AL$8:$AL$2008,$B43,Vendas!$E$8:$E$2008,"&gt;=01/10/"&amp;$G$3,Vendas!$E$8:$E$2008,"&lt;=31/10/"&amp;$G$3,Vendas!$C$8:$C$2008,"Entregue")+SUMIFS(Vendas!$AT$8:$AT$2008,Vendas!$AQ$8:$AQ$2008,$B43,Vendas!$E$8:$E$2008,"&gt;=01/10/"&amp;$G$3,Vendas!$E$8:$E$2008,"&lt;=31/10/"&amp;$G$3,Vendas!$C$8:$C$2008,"Entregue")</f>
        <v>0</v>
      </c>
      <c r="W43" s="159">
        <f>SUMIFS(Vendas!$K$8:$K$2008,Vendas!$H$8:$H$2008,$B43,Vendas!$E$8:$E$2008,"&gt;=01/11/"&amp;$G$3,Vendas!$E$8:$E$2008,"&lt;=30/11/"&amp;$G$3)+SUMIFS(Vendas!$P$8:$P$2008,Vendas!$M$8:$M$2008,$B43,Vendas!$E$8:$E$2008,"&gt;=01/11/"&amp;$G$3,Vendas!$E$8:$E$2008,"&lt;=30/11/"&amp;$G$3)+SUMIFS(Vendas!$U$8:$U$2008,Vendas!$R$8:$R$2008,$B43,Vendas!$E$8:$E$2008,"&gt;=01/11/"&amp;$G$3,Vendas!$E$8:$E$2008,"&lt;=30/11/"&amp;$G$3)+SUMIFS(Vendas!$Z$8:$Z$2008,Vendas!$W$8:$W$2008,$B43,Vendas!$E$8:$E$2008,"&gt;=01/11/"&amp;$G$3,Vendas!$E$8:$E$2008,"&lt;=30/11/"&amp;$G$3)+SUMIFS(Vendas!$AE$8:$AE$2008,Vendas!$AB$8:$AB$2008,$B43,Vendas!$E$8:$E$2008,"&gt;=01/11/"&amp;$G$3,Vendas!$E$8:$E$2008,"&lt;=30/11/"&amp;$G$3)+SUMIFS(Vendas!$AJ$8:$AJ$2008,Vendas!$AG$8:$AG$2008,$B43,Vendas!$E$8:$E$2008,"&gt;=01/11/"&amp;$G$3,Vendas!$E$8:$E$2008,"&lt;=30/11/"&amp;$G$3)+SUMIFS(Vendas!$AO$8:$AO$2008,Vendas!$AL$8:$AL$2008,$B43,Vendas!$E$8:$E$2008,"&gt;=01/11/"&amp;$G$3,Vendas!$E$8:$E$2008,"&lt;=30/11/"&amp;$G$3)+SUMIFS(Vendas!$AT$8:$AT$2008,Vendas!$AQ$8:$AQ$2008,$B43,Vendas!$E$8:$E$2008,"&gt;=01/11/"&amp;$G$3,Vendas!$E$8:$E$2008,"&lt;=30/11/"&amp;$G$3)</f>
        <v>0</v>
      </c>
      <c r="X43" s="159">
        <f>SUMIFS(Vendas!$K$8:$K$2008,Vendas!$H$8:$H$2008,$B43,Vendas!$E$8:$E$2008,"&gt;=01/11/"&amp;$G$3,Vendas!$E$8:$E$2008,"&lt;=30/11/"&amp;$G$3,Vendas!$C$8:$C$2008,"Entregue")+SUMIFS(Vendas!$P$8:$P$2008,Vendas!$M$8:$M$2008,$B43,Vendas!$E$8:$E$2008,"&gt;=01/11/"&amp;$G$3,Vendas!$E$8:$E$2008,"&lt;=30/11/"&amp;$G$3,Vendas!$C$8:$C$2008,"Entregue")+SUMIFS(Vendas!$U$8:$U$2008,Vendas!$R$8:$R$2008,$B43,Vendas!$E$8:$E$2008,"&gt;=01/11/"&amp;$G$3,Vendas!$E$8:$E$2008,"&lt;=30/11/"&amp;$G$3,Vendas!$C$8:$C$2008,"Entregue")+SUMIFS(Vendas!$Z$8:$Z$2008,Vendas!$W$8:$W$2008,$B43,Vendas!$E$8:$E$2008,"&gt;=01/11/"&amp;$G$3,Vendas!$E$8:$E$2008,"&lt;=30/11/"&amp;$G$3,Vendas!$C$8:$C$2008,"Entregue")+SUMIFS(Vendas!$AE$8:$AE$2008,Vendas!$AB$8:$AB$2008,$B43,Vendas!$E$8:$E$2008,"&gt;=01/11/"&amp;$G$3,Vendas!$E$8:$E$2008,"&lt;=30/11/"&amp;$G$3,Vendas!$C$8:$C$2008,"Entregue")+SUMIFS(Vendas!$AJ$8:$AJ$2008,Vendas!$AG$8:$AG$2008,$B43,Vendas!$E$8:$E$2008,"&gt;=01/11/"&amp;$G$3,Vendas!$E$8:$E$2008,"&lt;=30/11/"&amp;$G$3,Vendas!$C$8:$C$2008,"Entregue")+SUMIFS(Vendas!$AO$8:$AO$2008,Vendas!$AL$8:$AL$2008,$B43,Vendas!$E$8:$E$2008,"&gt;=01/11/"&amp;$G$3,Vendas!$E$8:$E$2008,"&lt;=30/11/"&amp;$G$3,Vendas!$C$8:$C$2008,"Entregue")+SUMIFS(Vendas!$AT$8:$AT$2008,Vendas!$AQ$8:$AQ$2008,$B43,Vendas!$E$8:$E$2008,"&gt;=01/11/"&amp;$G$3,Vendas!$E$8:$E$2008,"&lt;=30/11/"&amp;$G$3,Vendas!$C$8:$C$2008,"Entregue")</f>
        <v>0</v>
      </c>
      <c r="Y43" s="159">
        <f>SUMIFS(Vendas!$K$8:$K$2008,Vendas!$H$8:$H$2008,$B43,Vendas!$E$8:$E$2008,"&gt;=01/12/"&amp;$G$3,Vendas!$E$8:$E$2008,"&lt;=31/12/"&amp;$G$3)+SUMIFS(Vendas!$P$8:$P$2008,Vendas!$M$8:$M$2008,$B43,Vendas!$E$8:$E$2008,"&gt;=01/12/"&amp;$G$3,Vendas!$E$8:$E$2008,"&lt;=31/12/"&amp;$G$3)+SUMIFS(Vendas!$U$8:$U$2008,Vendas!$R$8:$R$2008,$B43,Vendas!$E$8:$E$2008,"&gt;=01/12/"&amp;$G$3,Vendas!$E$8:$E$2008,"&lt;=31/12/"&amp;$G$3)+SUMIFS(Vendas!$Z$8:$Z$2008,Vendas!$W$8:$W$2008,$B43,Vendas!$E$8:$E$2008,"&gt;=01/12/"&amp;$G$3,Vendas!$E$8:$E$2008,"&lt;=31/12/"&amp;$G$3)+SUMIFS(Vendas!$AE$8:$AE$2008,Vendas!$AB$8:$AB$2008,$B43,Vendas!$E$8:$E$2008,"&gt;=01/12/"&amp;$G$3,Vendas!$E$8:$E$2008,"&lt;=31/12/"&amp;$G$3)+SUMIFS(Vendas!$AJ$8:$AJ$2008,Vendas!$AG$8:$AG$2008,$B43,Vendas!$E$8:$E$2008,"&gt;=01/12/"&amp;$G$3,Vendas!$E$8:$E$2008,"&lt;=31/12/"&amp;$G$3)+SUMIFS(Vendas!$AO$8:$AO$2008,Vendas!$AL$8:$AL$2008,$B43,Vendas!$E$8:$E$2008,"&gt;=01/12/"&amp;$G$3,Vendas!$E$8:$E$2008,"&lt;=31/12/"&amp;$G$3)+SUMIFS(Vendas!$AT$8:$AT$2008,Vendas!$AQ$8:$AQ$2008,$B43,Vendas!$E$8:$E$2008,"&gt;=01/12/"&amp;$G$3,Vendas!$E$8:$E$2008,"&lt;=31/12/"&amp;$G$3)</f>
        <v>0</v>
      </c>
      <c r="Z43" s="160">
        <f>SUMIFS(Vendas!$K$8:$K$2008,Vendas!$H$8:$H$2008,$B43,Vendas!$E$8:$E$2008,"&gt;=01/12/"&amp;$G$3,Vendas!$E$8:$E$2008,"&lt;=31/12/"&amp;$G$3,Vendas!$C$8:$C$2008,"Entregue")+SUMIFS(Vendas!$P$8:$P$2008,Vendas!$M$8:$M$2008,$B43,Vendas!$E$8:$E$2008,"&gt;=01/12/"&amp;$G$3,Vendas!$E$8:$E$2008,"&lt;=31/12/"&amp;$G$3,Vendas!$C$8:$C$2008,"Entregue")+SUMIFS(Vendas!$U$8:$U$2008,Vendas!$R$8:$R$2008,$B43,Vendas!$E$8:$E$2008,"&gt;=01/12/"&amp;$G$3,Vendas!$E$8:$E$2008,"&lt;=31/12/"&amp;$G$3,Vendas!$C$8:$C$2008,"Entregue")+SUMIFS(Vendas!$Z$8:$Z$2008,Vendas!$W$8:$W$2008,$B43,Vendas!$E$8:$E$2008,"&gt;=01/12/"&amp;$G$3,Vendas!$E$8:$E$2008,"&lt;=31/12/"&amp;$G$3,Vendas!$C$8:$C$2008,"Entregue")+SUMIFS(Vendas!$AE$8:$AE$2008,Vendas!$AB$8:$AB$2008,$B43,Vendas!$E$8:$E$2008,"&gt;=01/12/"&amp;$G$3,Vendas!$E$8:$E$2008,"&lt;=31/12/"&amp;$G$3,Vendas!$C$8:$C$2008,"Entregue")+SUMIFS(Vendas!$AJ$8:$AJ$2008,Vendas!$AG$8:$AG$2008,$B43,Vendas!$E$8:$E$2008,"&gt;=01/12/"&amp;$G$3,Vendas!$E$8:$E$2008,"&lt;=31/12/"&amp;$G$3,Vendas!$C$8:$C$2008,"Entregue")+SUMIFS(Vendas!$AO$8:$AO$2008,Vendas!$AL$8:$AL$2008,$B43,Vendas!$E$8:$E$2008,"&gt;=01/12/"&amp;$G$3,Vendas!$E$8:$E$2008,"&lt;=31/12/"&amp;$G$3,Vendas!$C$8:$C$2008,"Entregue")+SUMIFS(Vendas!$AT$8:$AT$2008,Vendas!$AQ$8:$AQ$2008,$B43,Vendas!$E$8:$E$2008,"&gt;=01/12/"&amp;$G$3,Vendas!$E$8:$E$2008,"&lt;=31/12/"&amp;$G$3,Vendas!$C$8:$C$2008,"Entregue")</f>
        <v>0</v>
      </c>
      <c r="AA43" s="132">
        <f t="shared" si="0"/>
        <v>0</v>
      </c>
      <c r="AB43" s="132">
        <f t="shared" si="0"/>
        <v>0</v>
      </c>
      <c r="AC43" s="67"/>
    </row>
    <row r="44" spans="2:29" ht="14.4" x14ac:dyDescent="0.3">
      <c r="B44" s="262" t="str">
        <f>IF(Cadastros!G35="","",Cadastros!G35)</f>
        <v>175 - Cobre Leito Solteiro</v>
      </c>
      <c r="C44" s="161">
        <f>SUMIFS(Vendas!$K$8:$K$2008,Vendas!$H$8:$H$2008,$B44,Vendas!$E$8:$E$2008,"&gt;=01/01/"&amp;$G$3,Vendas!$E$8:$E$2008,"&lt;=31/01/"&amp;$G$3)+SUMIFS(Vendas!$P$8:$P$2008,Vendas!$M$8:$M$2008,$B44,Vendas!$E$8:$E$2008,"&gt;=01/01/"&amp;$G$3,Vendas!$E$8:$E$2008,"&lt;=31/01/"&amp;$G$3)+SUMIFS(Vendas!$U$8:$U$2008,Vendas!$R$8:$R$2008,$B44,Vendas!$E$8:$E$2008,"&gt;=01/01/"&amp;$G$3,Vendas!$E$8:$E$2008,"&lt;=31/01/"&amp;$G$3)+SUMIFS(Vendas!$Z$8:$Z$2008,Vendas!$W$8:$W$2008,$B44,Vendas!$E$8:$E$2008,"&gt;=01/01/"&amp;$G$3,Vendas!$E$8:$E$2008,"&lt;=31/01/"&amp;$G$3)+SUMIFS(Vendas!$AE$8:$AE$2008,Vendas!$AB$8:$AB$2008,$B44,Vendas!$E$8:$E$2008,"&gt;=01/01/"&amp;$G$3,Vendas!$E$8:$E$2008,"&lt;=31/01/"&amp;$G$3)+SUMIFS(Vendas!$AJ$8:$AJ$2008,Vendas!$AG$8:$AG$2008,$B44,Vendas!$E$8:$E$2008,"&gt;=01/01/"&amp;$G$3,Vendas!$E$8:$E$2008,"&lt;=31/01/"&amp;$G$3)+SUMIFS(Vendas!$AO$8:$AO$2008,Vendas!$AL$8:$AL$2008,$B44,Vendas!$E$8:$E$2008,"&gt;=01/01/"&amp;$G$3,Vendas!$E$8:$E$2008,"&lt;=31/01/"&amp;$G$3)+SUMIFS(Vendas!$AT$8:$AT$2008,Vendas!$AQ$8:$AQ$2008,$B44,Vendas!$E$8:$E$2008,"&gt;=01/01/"&amp;$G$3,Vendas!$E$8:$E$2008,"&lt;=31/01/"&amp;$G$3)</f>
        <v>0</v>
      </c>
      <c r="D44" s="162">
        <f>SUMIFS(Vendas!$K$8:$K$2008,Vendas!$H$8:$H$2008,$B44,Vendas!$E$8:$E$2008,"&gt;=01/01/"&amp;$G$3,Vendas!$E$8:$E$2008,"&lt;=31/01/"&amp;$G$3,Vendas!$C$8:$C$2008,"Entregue")+SUMIFS(Vendas!$P$8:$P$2008,Vendas!$M$8:$M$2008,$B44,Vendas!$E$8:$E$2008,"&gt;=01/01/"&amp;$G$3,Vendas!$E$8:$E$2008,"&lt;=31/01/"&amp;$G$3,Vendas!$C$8:$C$2008,"Entregue")+SUMIFS(Vendas!$U$8:$U$2008,Vendas!$R$8:$R$2008,$B44,Vendas!$E$8:$E$2008,"&gt;=01/01/"&amp;$G$3,Vendas!$E$8:$E$2008,"&lt;=31/01/"&amp;$G$3,Vendas!$C$8:$C$2008,"Entregue")+SUMIFS(Vendas!$Z$8:$Z$2008,Vendas!$W$8:$W$2008,$B44,Vendas!$E$8:$E$2008,"&gt;=01/01/"&amp;$G$3,Vendas!$E$8:$E$2008,"&lt;=31/01/"&amp;$G$3,Vendas!$C$8:$C$2008,"Entregue")+SUMIFS(Vendas!$AE$8:$AE$2008,Vendas!$AB$8:$AB$2008,$B44,Vendas!$E$8:$E$2008,"&gt;=01/01/"&amp;$G$3,Vendas!$E$8:$E$2008,"&lt;=31/01/"&amp;$G$3,Vendas!$C$8:$C$2008,"Entregue")+SUMIFS(Vendas!$AJ$8:$AJ$2008,Vendas!$AG$8:$AG$2008,$B44,Vendas!$E$8:$E$2008,"&gt;=01/01/"&amp;$G$3,Vendas!$E$8:$E$2008,"&lt;=31/01/"&amp;$G$3,Vendas!$C$8:$C$2008,"Entregue")+SUMIFS(Vendas!$AO$8:$AO$2008,Vendas!$AL$8:$AL$2008,$B44,Vendas!$E$8:$E$2008,"&gt;=01/01/"&amp;$G$3,Vendas!$E$8:$E$2008,"&lt;=31/01/"&amp;$G$3,Vendas!$C$8:$C$2008,"Entregue")+SUMIFS(Vendas!$AT$8:$AT$2008,Vendas!$AQ$8:$AQ$2008,$B44,Vendas!$E$8:$E$2008,"&gt;=01/01/"&amp;$G$3,Vendas!$E$8:$E$2008,"&lt;=31/01/"&amp;$G$3,Vendas!$C$8:$C$2008,"Entregue")</f>
        <v>0</v>
      </c>
      <c r="E44" s="162">
        <f>SUMIFS(Vendas!$K$8:$K$2008,Vendas!$H$8:$H$2008,$B44,Vendas!$E$8:$E$2008,"&gt;=01/02/"&amp;$G$3,Vendas!$E$8:$E$2008,"&lt;=28/02/"&amp;$G$3)+SUMIFS(Vendas!$P$8:$P$2008,Vendas!$M$8:$M$2008,$B44,Vendas!$E$8:$E$2008,"&gt;=01/02/"&amp;$G$3,Vendas!$E$8:$E$2008,"&lt;=28/02/"&amp;$G$3)+SUMIFS(Vendas!$U$8:$U$2008,Vendas!$R$8:$R$2008,$B44,Vendas!$E$8:$E$2008,"&gt;=01/02/"&amp;$G$3,Vendas!$E$8:$E$2008,"&lt;=28/02/"&amp;$G$3)+SUMIFS(Vendas!$Z$8:$Z$2008,Vendas!$W$8:$W$2008,$B44,Vendas!$E$8:$E$2008,"&gt;=01/02/"&amp;$G$3,Vendas!$E$8:$E$2008,"&lt;=28/02/"&amp;$G$3)+SUMIFS(Vendas!$AE$8:$AE$2008,Vendas!$AB$8:$AB$2008,$B44,Vendas!$E$8:$E$2008,"&gt;=01/02/"&amp;$G$3,Vendas!$E$8:$E$2008,"&lt;=28/02/"&amp;$G$3)+SUMIFS(Vendas!$AJ$8:$AJ$2008,Vendas!$AG$8:$AG$2008,$B44,Vendas!$E$8:$E$2008,"&gt;=01/02/"&amp;$G$3,Vendas!$E$8:$E$2008,"&lt;=28/02/"&amp;$G$3)+SUMIFS(Vendas!$AO$8:$AO$2008,Vendas!$AL$8:$AL$2008,$B44,Vendas!$E$8:$E$2008,"&gt;=01/02/"&amp;$G$3,Vendas!$E$8:$E$2008,"&lt;=28/02/"&amp;$G$3)+SUMIFS(Vendas!$AT$8:$AT$2008,Vendas!$AQ$8:$AQ$2008,$B44,Vendas!$E$8:$E$2008,"&gt;=01/02/"&amp;$G$3,Vendas!$E$8:$E$2008,"&lt;=28/02/"&amp;$G$3)</f>
        <v>0</v>
      </c>
      <c r="F44" s="162">
        <f>SUMIFS(Vendas!$K$8:$K$2008,Vendas!$H$8:$H$2008,$B44,Vendas!$E$8:$E$2008,"&gt;=01/02/"&amp;$G$3,Vendas!$E$8:$E$2008,"&lt;=28/02/"&amp;$G$3,Vendas!$C$8:$C$2008,"Entregue")+SUMIFS(Vendas!$P$8:$P$2008,Vendas!$M$8:$M$2008,$B44,Vendas!$E$8:$E$2008,"&gt;=01/02/"&amp;$G$3,Vendas!$E$8:$E$2008,"&lt;=28/02/"&amp;$G$3,Vendas!$C$8:$C$2008,"Entregue")+SUMIFS(Vendas!$U$8:$U$2008,Vendas!$R$8:$R$2008,$B44,Vendas!$E$8:$E$2008,"&gt;=01/02/"&amp;$G$3,Vendas!$E$8:$E$2008,"&lt;=28/02/"&amp;$G$3,Vendas!$C$8:$C$2008,"Entregue")+SUMIFS(Vendas!$Z$8:$Z$2008,Vendas!$W$8:$W$2008,$B44,Vendas!$E$8:$E$2008,"&gt;=01/02/"&amp;$G$3,Vendas!$E$8:$E$2008,"&lt;=28/02/"&amp;$G$3,Vendas!$C$8:$C$2008,"Entregue")+SUMIFS(Vendas!$AE$8:$AE$2008,Vendas!$AB$8:$AB$2008,$B44,Vendas!$E$8:$E$2008,"&gt;=01/02/"&amp;$G$3,Vendas!$E$8:$E$2008,"&lt;=28/02/"&amp;$G$3,Vendas!$C$8:$C$2008,"Entregue")+SUMIFS(Vendas!$AJ$8:$AJ$2008,Vendas!$AG$8:$AG$2008,$B44,Vendas!$E$8:$E$2008,"&gt;=01/02/"&amp;$G$3,Vendas!$E$8:$E$2008,"&lt;=28/02/"&amp;$G$3,Vendas!$C$8:$C$2008,"Entregue")+SUMIFS(Vendas!$AO$8:$AO$2008,Vendas!$AL$8:$AL$2008,$B44,Vendas!$E$8:$E$2008,"&gt;=01/02/"&amp;$G$3,Vendas!$E$8:$E$2008,"&lt;=28/02/"&amp;$G$3,Vendas!$C$8:$C$2008,"Entregue")+SUMIFS(Vendas!$AT$8:$AT$2008,Vendas!$AQ$8:$AQ$2008,$B44,Vendas!$E$8:$E$2008,"&gt;=01/02/"&amp;$G$3,Vendas!$E$8:$E$2008,"&lt;=28/02/"&amp;$G$3,Vendas!$C$8:$C$2008,"Entregue")</f>
        <v>0</v>
      </c>
      <c r="G44" s="162">
        <f>SUMIFS(Vendas!$K$8:$K$2008,Vendas!$H$8:$H$2008,$B44,Vendas!$E$8:$E$2008,"&gt;=01/03/"&amp;$G$3,Vendas!$E$8:$E$2008,"&lt;=31/03/"&amp;$G$3)+SUMIFS(Vendas!$P$8:$P$2008,Vendas!$M$8:$M$2008,$B44,Vendas!$E$8:$E$2008,"&gt;=01/03/"&amp;$G$3,Vendas!$E$8:$E$2008,"&lt;=31/03/"&amp;$G$3)+SUMIFS(Vendas!$U$8:$U$2008,Vendas!$R$8:$R$2008,$B44,Vendas!$E$8:$E$2008,"&gt;=01/03/"&amp;$G$3,Vendas!$E$8:$E$2008,"&lt;=31/03/"&amp;$G$3)+SUMIFS(Vendas!$Z$8:$Z$2008,Vendas!$W$8:$W$2008,$B44,Vendas!$E$8:$E$2008,"&gt;=01/03/"&amp;$G$3,Vendas!$E$8:$E$2008,"&lt;=31/03/"&amp;$G$3)+SUMIFS(Vendas!$AE$8:$AE$2008,Vendas!$AB$8:$AB$2008,$B44,Vendas!$E$8:$E$2008,"&gt;=01/03/"&amp;$G$3,Vendas!$E$8:$E$2008,"&lt;=31/03/"&amp;$G$3)+SUMIFS(Vendas!$AJ$8:$AJ$2008,Vendas!$AG$8:$AG$2008,$B44,Vendas!$E$8:$E$2008,"&gt;=01/03/"&amp;$G$3,Vendas!$E$8:$E$2008,"&lt;=31/03/"&amp;$G$3)+SUMIFS(Vendas!$AO$8:$AO$2008,Vendas!$AL$8:$AL$2008,$B44,Vendas!$E$8:$E$2008,"&gt;=01/03/"&amp;$G$3,Vendas!$E$8:$E$2008,"&lt;=31/03/"&amp;$G$3)+SUMIFS(Vendas!$AT$8:$AT$2008,Vendas!$AQ$8:$AQ$2008,$B44,Vendas!$E$8:$E$2008,"&gt;=01/03/"&amp;$G$3,Vendas!$E$8:$E$2008,"&lt;=31/03/"&amp;$G$3)</f>
        <v>0</v>
      </c>
      <c r="H44" s="162">
        <f>SUMIFS(Vendas!$K$8:$K$2008,Vendas!$H$8:$H$2008,$B44,Vendas!$E$8:$E$2008,"&gt;=01/03/"&amp;$G$3,Vendas!$E$8:$E$2008,"&lt;=31/03/"&amp;$G$3,Vendas!$C$8:$C$2008,"Entregue")+SUMIFS(Vendas!$P$8:$P$2008,Vendas!$M$8:$M$2008,$B44,Vendas!$E$8:$E$2008,"&gt;=01/03/"&amp;$G$3,Vendas!$E$8:$E$2008,"&lt;=31/03/"&amp;$G$3,Vendas!$C$8:$C$2008,"Entregue")+SUMIFS(Vendas!$U$8:$U$2008,Vendas!$R$8:$R$2008,$B44,Vendas!$E$8:$E$2008,"&gt;=01/03/"&amp;$G$3,Vendas!$E$8:$E$2008,"&lt;=31/03/"&amp;$G$3,Vendas!$C$8:$C$2008,"Entregue")+SUMIFS(Vendas!$Z$8:$Z$2008,Vendas!$W$8:$W$2008,$B44,Vendas!$E$8:$E$2008,"&gt;=01/03/"&amp;$G$3,Vendas!$E$8:$E$2008,"&lt;=31/03/"&amp;$G$3,Vendas!$C$8:$C$2008,"Entregue")+SUMIFS(Vendas!$AE$8:$AE$2008,Vendas!$AB$8:$AB$2008,$B44,Vendas!$E$8:$E$2008,"&gt;=01/03/"&amp;$G$3,Vendas!$E$8:$E$2008,"&lt;=31/03/"&amp;$G$3,Vendas!$C$8:$C$2008,"Entregue")+SUMIFS(Vendas!$AJ$8:$AJ$2008,Vendas!$AG$8:$AG$2008,$B44,Vendas!$E$8:$E$2008,"&gt;=01/03/"&amp;$G$3,Vendas!$E$8:$E$2008,"&lt;=31/03/"&amp;$G$3,Vendas!$C$8:$C$2008,"Entregue")+SUMIFS(Vendas!$AO$8:$AO$2008,Vendas!$AL$8:$AL$2008,$B44,Vendas!$E$8:$E$2008,"&gt;=01/03/"&amp;$G$3,Vendas!$E$8:$E$2008,"&lt;=31/03/"&amp;$G$3,Vendas!$C$8:$C$2008,"Entregue")+SUMIFS(Vendas!$AT$8:$AT$2008,Vendas!$AQ$8:$AQ$2008,$B44,Vendas!$E$8:$E$2008,"&gt;=01/03/"&amp;$G$3,Vendas!$E$8:$E$2008,"&lt;=31/03/"&amp;$G$3,Vendas!$C$8:$C$2008,"Entregue")</f>
        <v>0</v>
      </c>
      <c r="I44" s="162">
        <f>SUMIFS(Vendas!$K$8:$K$2008,Vendas!$H$8:$H$2008,$B44,Vendas!$E$8:$E$2008,"&gt;=01/04/"&amp;$G$3,Vendas!$E$8:$E$2008,"&lt;=30/04/"&amp;$G$3)+SUMIFS(Vendas!$P$8:$P$2008,Vendas!$M$8:$M$2008,$B44,Vendas!$E$8:$E$2008,"&gt;=01/04/"&amp;$G$3,Vendas!$E$8:$E$2008,"&lt;=30/04/"&amp;$G$3)+SUMIFS(Vendas!$U$8:$U$2008,Vendas!$R$8:$R$2008,$B44,Vendas!$E$8:$E$2008,"&gt;=01/04/"&amp;$G$3,Vendas!$E$8:$E$2008,"&lt;=30/04/"&amp;$G$3)+SUMIFS(Vendas!$Z$8:$Z$2008,Vendas!$W$8:$W$2008,$B44,Vendas!$E$8:$E$2008,"&gt;=01/04/"&amp;$G$3,Vendas!$E$8:$E$2008,"&lt;=30/04/"&amp;$G$3)+SUMIFS(Vendas!$AE$8:$AE$2008,Vendas!$AB$8:$AB$2008,$B44,Vendas!$E$8:$E$2008,"&gt;=01/04/"&amp;$G$3,Vendas!$E$8:$E$2008,"&lt;=30/04/"&amp;$G$3)+SUMIFS(Vendas!$AJ$8:$AJ$2008,Vendas!$AG$8:$AG$2008,$B44,Vendas!$E$8:$E$2008,"&gt;=01/04/"&amp;$G$3,Vendas!$E$8:$E$2008,"&lt;=30/04/"&amp;$G$3)+SUMIFS(Vendas!$AO$8:$AO$2008,Vendas!$AL$8:$AL$2008,$B44,Vendas!$E$8:$E$2008,"&gt;=01/04/"&amp;$G$3,Vendas!$E$8:$E$2008,"&lt;=30/04/"&amp;$G$3)+SUMIFS(Vendas!$AT$8:$AT$2008,Vendas!$AQ$8:$AQ$2008,$B44,Vendas!$E$8:$E$2008,"&gt;=01/04/"&amp;$G$3,Vendas!$E$8:$E$2008,"&lt;=30/04/"&amp;$G$3)</f>
        <v>0</v>
      </c>
      <c r="J44" s="162">
        <f>SUMIFS(Vendas!$K$8:$K$2008,Vendas!$H$8:$H$2008,$B44,Vendas!$E$8:$E$2008,"&gt;=01/04/"&amp;$G$3,Vendas!$E$8:$E$2008,"&lt;=30/04/"&amp;$G$3,Vendas!$C$8:$C$2008,"Entregue")+SUMIFS(Vendas!$P$8:$P$2008,Vendas!$M$8:$M$2008,$B44,Vendas!$E$8:$E$2008,"&gt;=01/04/"&amp;$G$3,Vendas!$E$8:$E$2008,"&lt;=30/04/"&amp;$G$3,Vendas!$C$8:$C$2008,"Entregue")+SUMIFS(Vendas!$U$8:$U$2008,Vendas!$R$8:$R$2008,$B44,Vendas!$E$8:$E$2008,"&gt;=01/04/"&amp;$G$3,Vendas!$E$8:$E$2008,"&lt;=30/04/"&amp;$G$3,Vendas!$C$8:$C$2008,"Entregue")+SUMIFS(Vendas!$Z$8:$Z$2008,Vendas!$W$8:$W$2008,$B44,Vendas!$E$8:$E$2008,"&gt;=01/04/"&amp;$G$3,Vendas!$E$8:$E$2008,"&lt;=30/04/"&amp;$G$3,Vendas!$C$8:$C$2008,"Entregue")+SUMIFS(Vendas!$AE$8:$AE$2008,Vendas!$AB$8:$AB$2008,$B44,Vendas!$E$8:$E$2008,"&gt;=01/04/"&amp;$G$3,Vendas!$E$8:$E$2008,"&lt;=30/04/"&amp;$G$3,Vendas!$C$8:$C$2008,"Entregue")+SUMIFS(Vendas!$AJ$8:$AJ$2008,Vendas!$AG$8:$AG$2008,$B44,Vendas!$E$8:$E$2008,"&gt;=01/04/"&amp;$G$3,Vendas!$E$8:$E$2008,"&lt;=30/04/"&amp;$G$3,Vendas!$C$8:$C$2008,"Entregue")+SUMIFS(Vendas!$AO$8:$AO$2008,Vendas!$AL$8:$AL$2008,$B44,Vendas!$E$8:$E$2008,"&gt;=01/04/"&amp;$G$3,Vendas!$E$8:$E$2008,"&lt;=30/04/"&amp;$G$3,Vendas!$C$8:$C$2008,"Entregue")+SUMIFS(Vendas!$AT$8:$AT$2008,Vendas!$AQ$8:$AQ$2008,$B44,Vendas!$E$8:$E$2008,"&gt;=01/04/"&amp;$G$3,Vendas!$E$8:$E$2008,"&lt;=30/04/"&amp;$G$3,Vendas!$C$8:$C$2008,"Entregue")</f>
        <v>0</v>
      </c>
      <c r="K44" s="162">
        <f>SUMIFS(Vendas!$K$8:$K$2008,Vendas!$H$8:$H$2008,$B44,Vendas!$E$8:$E$2008,"&gt;=01/05/"&amp;$G$3,Vendas!$E$8:$E$2008,"&lt;=31/05/"&amp;$G$3)+SUMIFS(Vendas!$P$8:$P$2008,Vendas!$M$8:$M$2008,$B44,Vendas!$E$8:$E$2008,"&gt;=01/05/"&amp;$G$3,Vendas!$E$8:$E$2008,"&lt;=31/05/"&amp;$G$3)+SUMIFS(Vendas!$U$8:$U$2008,Vendas!$R$8:$R$2008,$B44,Vendas!$E$8:$E$2008,"&gt;=01/05/"&amp;$G$3,Vendas!$E$8:$E$2008,"&lt;=31/05/"&amp;$G$3)+SUMIFS(Vendas!$Z$8:$Z$2008,Vendas!$W$8:$W$2008,$B44,Vendas!$E$8:$E$2008,"&gt;=01/05/"&amp;$G$3,Vendas!$E$8:$E$2008,"&lt;=31/05/"&amp;$G$3)+SUMIFS(Vendas!$AE$8:$AE$2008,Vendas!$AB$8:$AB$2008,$B44,Vendas!$E$8:$E$2008,"&gt;=01/05/"&amp;$G$3,Vendas!$E$8:$E$2008,"&lt;=31/05/"&amp;$G$3)+SUMIFS(Vendas!$AJ$8:$AJ$2008,Vendas!$AG$8:$AG$2008,$B44,Vendas!$E$8:$E$2008,"&gt;=01/05/"&amp;$G$3,Vendas!$E$8:$E$2008,"&lt;=31/05/"&amp;$G$3)+SUMIFS(Vendas!$AO$8:$AO$2008,Vendas!$AL$8:$AL$2008,$B44,Vendas!$E$8:$E$2008,"&gt;=01/05/"&amp;$G$3,Vendas!$E$8:$E$2008,"&lt;=31/05/"&amp;$G$3)+SUMIFS(Vendas!$AT$8:$AT$2008,Vendas!$AQ$8:$AQ$2008,$B44,Vendas!$E$8:$E$2008,"&gt;=01/05/"&amp;$G$3,Vendas!$E$8:$E$2008,"&lt;=31/05/"&amp;$G$3)</f>
        <v>0</v>
      </c>
      <c r="L44" s="162">
        <f>SUMIFS(Vendas!$K$8:$K$2008,Vendas!$H$8:$H$2008,$B44,Vendas!$E$8:$E$2008,"&gt;=01/05/"&amp;$G$3,Vendas!$E$8:$E$2008,"&lt;=31/05/"&amp;$G$3,Vendas!$C$8:$C$2008,"Entregue")+SUMIFS(Vendas!$P$8:$P$2008,Vendas!$M$8:$M$2008,$B44,Vendas!$E$8:$E$2008,"&gt;=01/05/"&amp;$G$3,Vendas!$E$8:$E$2008,"&lt;=31/05/"&amp;$G$3,Vendas!$C$8:$C$2008,"Entregue")+SUMIFS(Vendas!$U$8:$U$2008,Vendas!$R$8:$R$2008,$B44,Vendas!$E$8:$E$2008,"&gt;=01/05/"&amp;$G$3,Vendas!$E$8:$E$2008,"&lt;=31/05/"&amp;$G$3,Vendas!$C$8:$C$2008,"Entregue")+SUMIFS(Vendas!$Z$8:$Z$2008,Vendas!$W$8:$W$2008,$B44,Vendas!$E$8:$E$2008,"&gt;=01/05/"&amp;$G$3,Vendas!$E$8:$E$2008,"&lt;=31/05/"&amp;$G$3,Vendas!$C$8:$C$2008,"Entregue")+SUMIFS(Vendas!$AE$8:$AE$2008,Vendas!$AB$8:$AB$2008,$B44,Vendas!$E$8:$E$2008,"&gt;=01/05/"&amp;$G$3,Vendas!$E$8:$E$2008,"&lt;=31/05/"&amp;$G$3,Vendas!$C$8:$C$2008,"Entregue")+SUMIFS(Vendas!$AJ$8:$AJ$2008,Vendas!$AG$8:$AG$2008,$B44,Vendas!$E$8:$E$2008,"&gt;=01/05/"&amp;$G$3,Vendas!$E$8:$E$2008,"&lt;=31/05/"&amp;$G$3,Vendas!$C$8:$C$2008,"Entregue")+SUMIFS(Vendas!$AO$8:$AO$2008,Vendas!$AL$8:$AL$2008,$B44,Vendas!$E$8:$E$2008,"&gt;=01/05/"&amp;$G$3,Vendas!$E$8:$E$2008,"&lt;=31/05/"&amp;$G$3,Vendas!$C$8:$C$2008,"Entregue")+SUMIFS(Vendas!$AT$8:$AT$2008,Vendas!$AQ$8:$AQ$2008,$B44,Vendas!$E$8:$E$2008,"&gt;=01/05/"&amp;$G$3,Vendas!$E$8:$E$2008,"&lt;=31/05/"&amp;$G$3,Vendas!$C$8:$C$2008,"Entregue")</f>
        <v>0</v>
      </c>
      <c r="M44" s="162">
        <f>SUMIFS(Vendas!$K$8:$K$2008,Vendas!$H$8:$H$2008,$B44,Vendas!$E$8:$E$2008,"&gt;=01/06/"&amp;$G$3,Vendas!$E$8:$E$2008,"&lt;=30/06/"&amp;$G$3)+SUMIFS(Vendas!$P$8:$P$2008,Vendas!$M$8:$M$2008,$B44,Vendas!$E$8:$E$2008,"&gt;=01/06/"&amp;$G$3,Vendas!$E$8:$E$2008,"&lt;=30/06/"&amp;$G$3)+SUMIFS(Vendas!$U$8:$U$2008,Vendas!$R$8:$R$2008,$B44,Vendas!$E$8:$E$2008,"&gt;=01/06/"&amp;$G$3,Vendas!$E$8:$E$2008,"&lt;=30/06/"&amp;$G$3)+SUMIFS(Vendas!$Z$8:$Z$2008,Vendas!$W$8:$W$2008,$B44,Vendas!$E$8:$E$2008,"&gt;=01/06/"&amp;$G$3,Vendas!$E$8:$E$2008,"&lt;=30/06/"&amp;$G$3)+SUMIFS(Vendas!$AE$8:$AE$2008,Vendas!$AB$8:$AB$2008,$B44,Vendas!$E$8:$E$2008,"&gt;=01/06/"&amp;$G$3,Vendas!$E$8:$E$2008,"&lt;=30/06/"&amp;$G$3)+SUMIFS(Vendas!$AJ$8:$AJ$2008,Vendas!$AG$8:$AG$2008,$B44,Vendas!$E$8:$E$2008,"&gt;=01/06/"&amp;$G$3,Vendas!$E$8:$E$2008,"&lt;=30/06/"&amp;$G$3)+SUMIFS(Vendas!$AO$8:$AO$2008,Vendas!$AL$8:$AL$2008,$B44,Vendas!$E$8:$E$2008,"&gt;=01/06/"&amp;$G$3,Vendas!$E$8:$E$2008,"&lt;=30/06/"&amp;$G$3)+SUMIFS(Vendas!$AT$8:$AT$2008,Vendas!$AQ$8:$AQ$2008,$B44,Vendas!$E$8:$E$2008,"&gt;=01/06/"&amp;$G$3,Vendas!$E$8:$E$2008,"&lt;=30/06/"&amp;$G$3)</f>
        <v>0</v>
      </c>
      <c r="N44" s="162">
        <f>SUMIFS(Vendas!$K$8:$K$2008,Vendas!$H$8:$H$2008,$B44,Vendas!$E$8:$E$2008,"&gt;=01/06/"&amp;$G$3,Vendas!$E$8:$E$2008,"&lt;=30/06/"&amp;$G$3,Vendas!$C$8:$C$2008,"Entregue")+SUMIFS(Vendas!$P$8:$P$2008,Vendas!$M$8:$M$2008,$B44,Vendas!$E$8:$E$2008,"&gt;=01/06/"&amp;$G$3,Vendas!$E$8:$E$2008,"&lt;=30/06/"&amp;$G$3,Vendas!$C$8:$C$2008,"Entregue")+SUMIFS(Vendas!$U$8:$U$2008,Vendas!$R$8:$R$2008,$B44,Vendas!$E$8:$E$2008,"&gt;=01/06/"&amp;$G$3,Vendas!$E$8:$E$2008,"&lt;=30/06/"&amp;$G$3,Vendas!$C$8:$C$2008,"Entregue")+SUMIFS(Vendas!$Z$8:$Z$2008,Vendas!$W$8:$W$2008,$B44,Vendas!$E$8:$E$2008,"&gt;=01/06/"&amp;$G$3,Vendas!$E$8:$E$2008,"&lt;=30/06/"&amp;$G$3,Vendas!$C$8:$C$2008,"Entregue")+SUMIFS(Vendas!$AE$8:$AE$2008,Vendas!$AB$8:$AB$2008,$B44,Vendas!$E$8:$E$2008,"&gt;=01/06/"&amp;$G$3,Vendas!$E$8:$E$2008,"&lt;=30/06/"&amp;$G$3,Vendas!$C$8:$C$2008,"Entregue")+SUMIFS(Vendas!$AJ$8:$AJ$2008,Vendas!$AG$8:$AG$2008,$B44,Vendas!$E$8:$E$2008,"&gt;=01/06/"&amp;$G$3,Vendas!$E$8:$E$2008,"&lt;=30/06/"&amp;$G$3,Vendas!$C$8:$C$2008,"Entregue")+SUMIFS(Vendas!$AO$8:$AO$2008,Vendas!$AL$8:$AL$2008,$B44,Vendas!$E$8:$E$2008,"&gt;=01/06/"&amp;$G$3,Vendas!$E$8:$E$2008,"&lt;=30/06/"&amp;$G$3,Vendas!$C$8:$C$2008,"Entregue")+SUMIFS(Vendas!$AT$8:$AT$2008,Vendas!$AQ$8:$AQ$2008,$B44,Vendas!$E$8:$E$2008,"&gt;=01/06/"&amp;$G$3,Vendas!$E$8:$E$2008,"&lt;=30/06/"&amp;$G$3,Vendas!$C$8:$C$2008,"Entregue")</f>
        <v>0</v>
      </c>
      <c r="O44" s="162">
        <f>SUMIFS(Vendas!$K$8:$K$2008,Vendas!$H$8:$H$2008,$B44,Vendas!$E$8:$E$2008,"&gt;=01/07/"&amp;$G$3,Vendas!$E$8:$E$2008,"&lt;=31/07/"&amp;$G$3)+SUMIFS(Vendas!$P$8:$P$2008,Vendas!$M$8:$M$2008,$B44,Vendas!$E$8:$E$2008,"&gt;=01/07/"&amp;$G$3,Vendas!$E$8:$E$2008,"&lt;=31/07/"&amp;$G$3)+SUMIFS(Vendas!$U$8:$U$2008,Vendas!$R$8:$R$2008,$B44,Vendas!$E$8:$E$2008,"&gt;=01/07/"&amp;$G$3,Vendas!$E$8:$E$2008,"&lt;=31/07/"&amp;$G$3)+SUMIFS(Vendas!$Z$8:$Z$2008,Vendas!$W$8:$W$2008,$B44,Vendas!$E$8:$E$2008,"&gt;=01/07/"&amp;$G$3,Vendas!$E$8:$E$2008,"&lt;=31/07/"&amp;$G$3)+SUMIFS(Vendas!$AE$8:$AE$2008,Vendas!$AB$8:$AB$2008,$B44,Vendas!$E$8:$E$2008,"&gt;=01/07/"&amp;$G$3,Vendas!$E$8:$E$2008,"&lt;=31/07/"&amp;$G$3)+SUMIFS(Vendas!$AJ$8:$AJ$2008,Vendas!$AG$8:$AG$2008,$B44,Vendas!$E$8:$E$2008,"&gt;=01/07/"&amp;$G$3,Vendas!$E$8:$E$2008,"&lt;=31/07/"&amp;$G$3)+SUMIFS(Vendas!$AO$8:$AO$2008,Vendas!$AL$8:$AL$2008,$B44,Vendas!$E$8:$E$2008,"&gt;=01/07/"&amp;$G$3,Vendas!$E$8:$E$2008,"&lt;=31/07/"&amp;$G$3)+SUMIFS(Vendas!$AT$8:$AT$2008,Vendas!$AQ$8:$AQ$2008,$B44,Vendas!$E$8:$E$2008,"&gt;=01/07/"&amp;$G$3,Vendas!$E$8:$E$2008,"&lt;=31/07/"&amp;$G$3)</f>
        <v>0</v>
      </c>
      <c r="P44" s="162">
        <f>SUMIFS(Vendas!$K$8:$K$2008,Vendas!$H$8:$H$2008,$B44,Vendas!$E$8:$E$2008,"&gt;=01/07/"&amp;$G$3,Vendas!$E$8:$E$2008,"&lt;=31/07/"&amp;$G$3,Vendas!$C$8:$C$2008,"Entregue")+SUMIFS(Vendas!$P$8:$P$2008,Vendas!$M$8:$M$2008,$B44,Vendas!$E$8:$E$2008,"&gt;=01/07/"&amp;$G$3,Vendas!$E$8:$E$2008,"&lt;=31/07/"&amp;$G$3,Vendas!$C$8:$C$2008,"Entregue")+SUMIFS(Vendas!$U$8:$U$2008,Vendas!$R$8:$R$2008,$B44,Vendas!$E$8:$E$2008,"&gt;=01/07/"&amp;$G$3,Vendas!$E$8:$E$2008,"&lt;=31/07/"&amp;$G$3,Vendas!$C$8:$C$2008,"Entregue")+SUMIFS(Vendas!$Z$8:$Z$2008,Vendas!$W$8:$W$2008,$B44,Vendas!$E$8:$E$2008,"&gt;=01/07/"&amp;$G$3,Vendas!$E$8:$E$2008,"&lt;=31/07/"&amp;$G$3,Vendas!$C$8:$C$2008,"Entregue")+SUMIFS(Vendas!$AE$8:$AE$2008,Vendas!$AB$8:$AB$2008,$B44,Vendas!$E$8:$E$2008,"&gt;=01/07/"&amp;$G$3,Vendas!$E$8:$E$2008,"&lt;=31/07/"&amp;$G$3,Vendas!$C$8:$C$2008,"Entregue")+SUMIFS(Vendas!$AJ$8:$AJ$2008,Vendas!$AG$8:$AG$2008,$B44,Vendas!$E$8:$E$2008,"&gt;=01/07/"&amp;$G$3,Vendas!$E$8:$E$2008,"&lt;=31/07/"&amp;$G$3,Vendas!$C$8:$C$2008,"Entregue")+SUMIFS(Vendas!$AO$8:$AO$2008,Vendas!$AL$8:$AL$2008,$B44,Vendas!$E$8:$E$2008,"&gt;=01/07/"&amp;$G$3,Vendas!$E$8:$E$2008,"&lt;=31/07/"&amp;$G$3,Vendas!$C$8:$C$2008,"Entregue")+SUMIFS(Vendas!$AT$8:$AT$2008,Vendas!$AQ$8:$AQ$2008,$B44,Vendas!$E$8:$E$2008,"&gt;=01/07/"&amp;$G$3,Vendas!$E$8:$E$2008,"&lt;=31/07/"&amp;$G$3,Vendas!$C$8:$C$2008,"Entregue")</f>
        <v>0</v>
      </c>
      <c r="Q44" s="162">
        <f>SUMIFS(Vendas!$K$8:$K$2008,Vendas!$H$8:$H$2008,$B44,Vendas!$E$8:$E$2008,"&gt;=01/08/"&amp;$G$3,Vendas!$E$8:$E$2008,"&lt;=31/08/"&amp;$G$3)+SUMIFS(Vendas!$P$8:$P$2008,Vendas!$M$8:$M$2008,$B44,Vendas!$E$8:$E$2008,"&gt;=01/08/"&amp;$G$3,Vendas!$E$8:$E$2008,"&lt;=31/08/"&amp;$G$3)+SUMIFS(Vendas!$U$8:$U$2008,Vendas!$R$8:$R$2008,$B44,Vendas!$E$8:$E$2008,"&gt;=01/08/"&amp;$G$3,Vendas!$E$8:$E$2008,"&lt;=31/08/"&amp;$G$3)+SUMIFS(Vendas!$Z$8:$Z$2008,Vendas!$W$8:$W$2008,$B44,Vendas!$E$8:$E$2008,"&gt;=01/08/"&amp;$G$3,Vendas!$E$8:$E$2008,"&lt;=31/08/"&amp;$G$3)+SUMIFS(Vendas!$AE$8:$AE$2008,Vendas!$AB$8:$AB$2008,$B44,Vendas!$E$8:$E$2008,"&gt;=01/08/"&amp;$G$3,Vendas!$E$8:$E$2008,"&lt;=31/08/"&amp;$G$3)+SUMIFS(Vendas!$AJ$8:$AJ$2008,Vendas!$AG$8:$AG$2008,$B44,Vendas!$E$8:$E$2008,"&gt;=01/08/"&amp;$G$3,Vendas!$E$8:$E$2008,"&lt;=31/08/"&amp;$G$3)+SUMIFS(Vendas!$AO$8:$AO$2008,Vendas!$AL$8:$AL$2008,$B44,Vendas!$E$8:$E$2008,"&gt;=01/08/"&amp;$G$3,Vendas!$E$8:$E$2008,"&lt;=31/08/"&amp;$G$3)+SUMIFS(Vendas!$AT$8:$AT$2008,Vendas!$AQ$8:$AQ$2008,$B44,Vendas!$E$8:$E$2008,"&gt;=01/08/"&amp;$G$3,Vendas!$E$8:$E$2008,"&lt;=31/08/"&amp;$G$3)</f>
        <v>0</v>
      </c>
      <c r="R44" s="162">
        <f>SUMIFS(Vendas!$K$8:$K$2008,Vendas!$H$8:$H$2008,$B44,Vendas!$E$8:$E$2008,"&gt;=01/08/"&amp;$G$3,Vendas!$E$8:$E$2008,"&lt;=31/08/"&amp;$G$3,Vendas!$C$8:$C$2008,"Entregue")+SUMIFS(Vendas!$P$8:$P$2008,Vendas!$M$8:$M$2008,$B44,Vendas!$E$8:$E$2008,"&gt;=01/08/"&amp;$G$3,Vendas!$E$8:$E$2008,"&lt;=31/08/"&amp;$G$3,Vendas!$C$8:$C$2008,"Entregue")+SUMIFS(Vendas!$U$8:$U$2008,Vendas!$R$8:$R$2008,$B44,Vendas!$E$8:$E$2008,"&gt;=01/08/"&amp;$G$3,Vendas!$E$8:$E$2008,"&lt;=31/08/"&amp;$G$3,Vendas!$C$8:$C$2008,"Entregue")+SUMIFS(Vendas!$Z$8:$Z$2008,Vendas!$W$8:$W$2008,$B44,Vendas!$E$8:$E$2008,"&gt;=01/08/"&amp;$G$3,Vendas!$E$8:$E$2008,"&lt;=31/08/"&amp;$G$3,Vendas!$C$8:$C$2008,"Entregue")+SUMIFS(Vendas!$AE$8:$AE$2008,Vendas!$AB$8:$AB$2008,$B44,Vendas!$E$8:$E$2008,"&gt;=01/08/"&amp;$G$3,Vendas!$E$8:$E$2008,"&lt;=31/08/"&amp;$G$3,Vendas!$C$8:$C$2008,"Entregue")+SUMIFS(Vendas!$AJ$8:$AJ$2008,Vendas!$AG$8:$AG$2008,$B44,Vendas!$E$8:$E$2008,"&gt;=01/08/"&amp;$G$3,Vendas!$E$8:$E$2008,"&lt;=31/08/"&amp;$G$3,Vendas!$C$8:$C$2008,"Entregue")+SUMIFS(Vendas!$AO$8:$AO$2008,Vendas!$AL$8:$AL$2008,$B44,Vendas!$E$8:$E$2008,"&gt;=01/08/"&amp;$G$3,Vendas!$E$8:$E$2008,"&lt;=31/08/"&amp;$G$3,Vendas!$C$8:$C$2008,"Entregue")+SUMIFS(Vendas!$AT$8:$AT$2008,Vendas!$AQ$8:$AQ$2008,$B44,Vendas!$E$8:$E$2008,"&gt;=01/08/"&amp;$G$3,Vendas!$E$8:$E$2008,"&lt;=31/08/"&amp;$G$3,Vendas!$C$8:$C$2008,"Entregue")</f>
        <v>0</v>
      </c>
      <c r="S44" s="162">
        <f>SUMIFS(Vendas!$K$8:$K$2008,Vendas!$H$8:$H$2008,$B44,Vendas!$E$8:$E$2008,"&gt;=01/09/"&amp;$G$3,Vendas!$E$8:$E$2008,"&lt;=30/09/"&amp;$G$3)+SUMIFS(Vendas!$P$8:$P$2008,Vendas!$M$8:$M$2008,$B44,Vendas!$E$8:$E$2008,"&gt;=01/09/"&amp;$G$3,Vendas!$E$8:$E$2008,"&lt;=30/09/"&amp;$G$3)+SUMIFS(Vendas!$U$8:$U$2008,Vendas!$R$8:$R$2008,$B44,Vendas!$E$8:$E$2008,"&gt;=01/09/"&amp;$G$3,Vendas!$E$8:$E$2008,"&lt;=30/09/"&amp;$G$3)+SUMIFS(Vendas!$Z$8:$Z$2008,Vendas!$W$8:$W$2008,$B44,Vendas!$E$8:$E$2008,"&gt;=01/09/"&amp;$G$3,Vendas!$E$8:$E$2008,"&lt;=30/09/"&amp;$G$3)+SUMIFS(Vendas!$AE$8:$AE$2008,Vendas!$AB$8:$AB$2008,$B44,Vendas!$E$8:$E$2008,"&gt;=01/09/"&amp;$G$3,Vendas!$E$8:$E$2008,"&lt;=30/09/"&amp;$G$3)+SUMIFS(Vendas!$AJ$8:$AJ$2008,Vendas!$AG$8:$AG$2008,$B44,Vendas!$E$8:$E$2008,"&gt;=01/09/"&amp;$G$3,Vendas!$E$8:$E$2008,"&lt;=30/09/"&amp;$G$3)+SUMIFS(Vendas!$AO$8:$AO$2008,Vendas!$AL$8:$AL$2008,$B44,Vendas!$E$8:$E$2008,"&gt;=01/09/"&amp;$G$3,Vendas!$E$8:$E$2008,"&lt;=30/09/"&amp;$G$3)+SUMIFS(Vendas!$AT$8:$AT$2008,Vendas!$AQ$8:$AQ$2008,$B44,Vendas!$E$8:$E$2008,"&gt;=01/09/"&amp;$G$3,Vendas!$E$8:$E$2008,"&lt;=30/09/"&amp;$G$3)</f>
        <v>0</v>
      </c>
      <c r="T44" s="162">
        <f>SUMIFS(Vendas!$K$8:$K$2008,Vendas!$H$8:$H$2008,$B44,Vendas!$E$8:$E$2008,"&gt;=01/09/"&amp;$G$3,Vendas!$E$8:$E$2008,"&lt;=30/09/"&amp;$G$3,Vendas!$C$8:$C$2008,"Entregue")+SUMIFS(Vendas!$P$8:$P$2008,Vendas!$M$8:$M$2008,$B44,Vendas!$E$8:$E$2008,"&gt;=01/09/"&amp;$G$3,Vendas!$E$8:$E$2008,"&lt;=30/09/"&amp;$G$3,Vendas!$C$8:$C$2008,"Entregue")+SUMIFS(Vendas!$U$8:$U$2008,Vendas!$R$8:$R$2008,$B44,Vendas!$E$8:$E$2008,"&gt;=01/09/"&amp;$G$3,Vendas!$E$8:$E$2008,"&lt;=30/09/"&amp;$G$3,Vendas!$C$8:$C$2008,"Entregue")+SUMIFS(Vendas!$Z$8:$Z$2008,Vendas!$W$8:$W$2008,$B44,Vendas!$E$8:$E$2008,"&gt;=01/09/"&amp;$G$3,Vendas!$E$8:$E$2008,"&lt;=30/09/"&amp;$G$3,Vendas!$C$8:$C$2008,"Entregue")+SUMIFS(Vendas!$AE$8:$AE$2008,Vendas!$AB$8:$AB$2008,$B44,Vendas!$E$8:$E$2008,"&gt;=01/09/"&amp;$G$3,Vendas!$E$8:$E$2008,"&lt;=30/09/"&amp;$G$3,Vendas!$C$8:$C$2008,"Entregue")+SUMIFS(Vendas!$AJ$8:$AJ$2008,Vendas!$AG$8:$AG$2008,$B44,Vendas!$E$8:$E$2008,"&gt;=01/09/"&amp;$G$3,Vendas!$E$8:$E$2008,"&lt;=30/09/"&amp;$G$3,Vendas!$C$8:$C$2008,"Entregue")+SUMIFS(Vendas!$AO$8:$AO$2008,Vendas!$AL$8:$AL$2008,$B44,Vendas!$E$8:$E$2008,"&gt;=01/09/"&amp;$G$3,Vendas!$E$8:$E$2008,"&lt;=30/09/"&amp;$G$3,Vendas!$C$8:$C$2008,"Entregue")+SUMIFS(Vendas!$AT$8:$AT$2008,Vendas!$AQ$8:$AQ$2008,$B44,Vendas!$E$8:$E$2008,"&gt;=01/09/"&amp;$G$3,Vendas!$E$8:$E$2008,"&lt;=30/09/"&amp;$G$3,Vendas!$C$8:$C$2008,"Entregue")</f>
        <v>0</v>
      </c>
      <c r="U44" s="162">
        <f>SUMIFS(Vendas!$K$8:$K$2008,Vendas!$H$8:$H$2008,$B44,Vendas!$E$8:$E$2008,"&gt;=01/10/"&amp;$G$3,Vendas!$E$8:$E$2008,"&lt;=31/10/"&amp;$G$3)+SUMIFS(Vendas!$P$8:$P$2008,Vendas!$M$8:$M$2008,$B44,Vendas!$E$8:$E$2008,"&gt;=01/10/"&amp;$G$3,Vendas!$E$8:$E$2008,"&lt;=31/10/"&amp;$G$3)+SUMIFS(Vendas!$U$8:$U$2008,Vendas!$R$8:$R$2008,$B44,Vendas!$E$8:$E$2008,"&gt;=01/10/"&amp;$G$3,Vendas!$E$8:$E$2008,"&lt;=31/10/"&amp;$G$3)+SUMIFS(Vendas!$Z$8:$Z$2008,Vendas!$W$8:$W$2008,$B44,Vendas!$E$8:$E$2008,"&gt;=01/10/"&amp;$G$3,Vendas!$E$8:$E$2008,"&lt;=31/10/"&amp;$G$3)+SUMIFS(Vendas!$AE$8:$AE$2008,Vendas!$AB$8:$AB$2008,$B44,Vendas!$E$8:$E$2008,"&gt;=01/10/"&amp;$G$3,Vendas!$E$8:$E$2008,"&lt;=31/10/"&amp;$G$3)+SUMIFS(Vendas!$AJ$8:$AJ$2008,Vendas!$AG$8:$AG$2008,$B44,Vendas!$E$8:$E$2008,"&gt;=01/10/"&amp;$G$3,Vendas!$E$8:$E$2008,"&lt;=31/10/"&amp;$G$3)+SUMIFS(Vendas!$AO$8:$AO$2008,Vendas!$AL$8:$AL$2008,$B44,Vendas!$E$8:$E$2008,"&gt;=01/10/"&amp;$G$3,Vendas!$E$8:$E$2008,"&lt;=31/10/"&amp;$G$3)+SUMIFS(Vendas!$AT$8:$AT$2008,Vendas!$AQ$8:$AQ$2008,$B44,Vendas!$E$8:$E$2008,"&gt;=01/10/"&amp;$G$3,Vendas!$E$8:$E$2008,"&lt;=31/10/"&amp;$G$3)</f>
        <v>0</v>
      </c>
      <c r="V44" s="162">
        <f>SUMIFS(Vendas!$K$8:$K$2008,Vendas!$H$8:$H$2008,$B44,Vendas!$E$8:$E$2008,"&gt;=01/10/"&amp;$G$3,Vendas!$E$8:$E$2008,"&lt;=31/10/"&amp;$G$3,Vendas!$C$8:$C$2008,"Entregue")+SUMIFS(Vendas!$P$8:$P$2008,Vendas!$M$8:$M$2008,$B44,Vendas!$E$8:$E$2008,"&gt;=01/10/"&amp;$G$3,Vendas!$E$8:$E$2008,"&lt;=31/10/"&amp;$G$3,Vendas!$C$8:$C$2008,"Entregue")+SUMIFS(Vendas!$U$8:$U$2008,Vendas!$R$8:$R$2008,$B44,Vendas!$E$8:$E$2008,"&gt;=01/10/"&amp;$G$3,Vendas!$E$8:$E$2008,"&lt;=31/10/"&amp;$G$3,Vendas!$C$8:$C$2008,"Entregue")+SUMIFS(Vendas!$Z$8:$Z$2008,Vendas!$W$8:$W$2008,$B44,Vendas!$E$8:$E$2008,"&gt;=01/10/"&amp;$G$3,Vendas!$E$8:$E$2008,"&lt;=31/10/"&amp;$G$3,Vendas!$C$8:$C$2008,"Entregue")+SUMIFS(Vendas!$AE$8:$AE$2008,Vendas!$AB$8:$AB$2008,$B44,Vendas!$E$8:$E$2008,"&gt;=01/10/"&amp;$G$3,Vendas!$E$8:$E$2008,"&lt;=31/10/"&amp;$G$3,Vendas!$C$8:$C$2008,"Entregue")+SUMIFS(Vendas!$AJ$8:$AJ$2008,Vendas!$AG$8:$AG$2008,$B44,Vendas!$E$8:$E$2008,"&gt;=01/10/"&amp;$G$3,Vendas!$E$8:$E$2008,"&lt;=31/10/"&amp;$G$3,Vendas!$C$8:$C$2008,"Entregue")+SUMIFS(Vendas!$AO$8:$AO$2008,Vendas!$AL$8:$AL$2008,$B44,Vendas!$E$8:$E$2008,"&gt;=01/10/"&amp;$G$3,Vendas!$E$8:$E$2008,"&lt;=31/10/"&amp;$G$3,Vendas!$C$8:$C$2008,"Entregue")+SUMIFS(Vendas!$AT$8:$AT$2008,Vendas!$AQ$8:$AQ$2008,$B44,Vendas!$E$8:$E$2008,"&gt;=01/10/"&amp;$G$3,Vendas!$E$8:$E$2008,"&lt;=31/10/"&amp;$G$3,Vendas!$C$8:$C$2008,"Entregue")</f>
        <v>0</v>
      </c>
      <c r="W44" s="162">
        <f>SUMIFS(Vendas!$K$8:$K$2008,Vendas!$H$8:$H$2008,$B44,Vendas!$E$8:$E$2008,"&gt;=01/11/"&amp;$G$3,Vendas!$E$8:$E$2008,"&lt;=30/11/"&amp;$G$3)+SUMIFS(Vendas!$P$8:$P$2008,Vendas!$M$8:$M$2008,$B44,Vendas!$E$8:$E$2008,"&gt;=01/11/"&amp;$G$3,Vendas!$E$8:$E$2008,"&lt;=30/11/"&amp;$G$3)+SUMIFS(Vendas!$U$8:$U$2008,Vendas!$R$8:$R$2008,$B44,Vendas!$E$8:$E$2008,"&gt;=01/11/"&amp;$G$3,Vendas!$E$8:$E$2008,"&lt;=30/11/"&amp;$G$3)+SUMIFS(Vendas!$Z$8:$Z$2008,Vendas!$W$8:$W$2008,$B44,Vendas!$E$8:$E$2008,"&gt;=01/11/"&amp;$G$3,Vendas!$E$8:$E$2008,"&lt;=30/11/"&amp;$G$3)+SUMIFS(Vendas!$AE$8:$AE$2008,Vendas!$AB$8:$AB$2008,$B44,Vendas!$E$8:$E$2008,"&gt;=01/11/"&amp;$G$3,Vendas!$E$8:$E$2008,"&lt;=30/11/"&amp;$G$3)+SUMIFS(Vendas!$AJ$8:$AJ$2008,Vendas!$AG$8:$AG$2008,$B44,Vendas!$E$8:$E$2008,"&gt;=01/11/"&amp;$G$3,Vendas!$E$8:$E$2008,"&lt;=30/11/"&amp;$G$3)+SUMIFS(Vendas!$AO$8:$AO$2008,Vendas!$AL$8:$AL$2008,$B44,Vendas!$E$8:$E$2008,"&gt;=01/11/"&amp;$G$3,Vendas!$E$8:$E$2008,"&lt;=30/11/"&amp;$G$3)+SUMIFS(Vendas!$AT$8:$AT$2008,Vendas!$AQ$8:$AQ$2008,$B44,Vendas!$E$8:$E$2008,"&gt;=01/11/"&amp;$G$3,Vendas!$E$8:$E$2008,"&lt;=30/11/"&amp;$G$3)</f>
        <v>0</v>
      </c>
      <c r="X44" s="162">
        <f>SUMIFS(Vendas!$K$8:$K$2008,Vendas!$H$8:$H$2008,$B44,Vendas!$E$8:$E$2008,"&gt;=01/11/"&amp;$G$3,Vendas!$E$8:$E$2008,"&lt;=30/11/"&amp;$G$3,Vendas!$C$8:$C$2008,"Entregue")+SUMIFS(Vendas!$P$8:$P$2008,Vendas!$M$8:$M$2008,$B44,Vendas!$E$8:$E$2008,"&gt;=01/11/"&amp;$G$3,Vendas!$E$8:$E$2008,"&lt;=30/11/"&amp;$G$3,Vendas!$C$8:$C$2008,"Entregue")+SUMIFS(Vendas!$U$8:$U$2008,Vendas!$R$8:$R$2008,$B44,Vendas!$E$8:$E$2008,"&gt;=01/11/"&amp;$G$3,Vendas!$E$8:$E$2008,"&lt;=30/11/"&amp;$G$3,Vendas!$C$8:$C$2008,"Entregue")+SUMIFS(Vendas!$Z$8:$Z$2008,Vendas!$W$8:$W$2008,$B44,Vendas!$E$8:$E$2008,"&gt;=01/11/"&amp;$G$3,Vendas!$E$8:$E$2008,"&lt;=30/11/"&amp;$G$3,Vendas!$C$8:$C$2008,"Entregue")+SUMIFS(Vendas!$AE$8:$AE$2008,Vendas!$AB$8:$AB$2008,$B44,Vendas!$E$8:$E$2008,"&gt;=01/11/"&amp;$G$3,Vendas!$E$8:$E$2008,"&lt;=30/11/"&amp;$G$3,Vendas!$C$8:$C$2008,"Entregue")+SUMIFS(Vendas!$AJ$8:$AJ$2008,Vendas!$AG$8:$AG$2008,$B44,Vendas!$E$8:$E$2008,"&gt;=01/11/"&amp;$G$3,Vendas!$E$8:$E$2008,"&lt;=30/11/"&amp;$G$3,Vendas!$C$8:$C$2008,"Entregue")+SUMIFS(Vendas!$AO$8:$AO$2008,Vendas!$AL$8:$AL$2008,$B44,Vendas!$E$8:$E$2008,"&gt;=01/11/"&amp;$G$3,Vendas!$E$8:$E$2008,"&lt;=30/11/"&amp;$G$3,Vendas!$C$8:$C$2008,"Entregue")+SUMIFS(Vendas!$AT$8:$AT$2008,Vendas!$AQ$8:$AQ$2008,$B44,Vendas!$E$8:$E$2008,"&gt;=01/11/"&amp;$G$3,Vendas!$E$8:$E$2008,"&lt;=30/11/"&amp;$G$3,Vendas!$C$8:$C$2008,"Entregue")</f>
        <v>0</v>
      </c>
      <c r="Y44" s="162">
        <f>SUMIFS(Vendas!$K$8:$K$2008,Vendas!$H$8:$H$2008,$B44,Vendas!$E$8:$E$2008,"&gt;=01/12/"&amp;$G$3,Vendas!$E$8:$E$2008,"&lt;=31/12/"&amp;$G$3)+SUMIFS(Vendas!$P$8:$P$2008,Vendas!$M$8:$M$2008,$B44,Vendas!$E$8:$E$2008,"&gt;=01/12/"&amp;$G$3,Vendas!$E$8:$E$2008,"&lt;=31/12/"&amp;$G$3)+SUMIFS(Vendas!$U$8:$U$2008,Vendas!$R$8:$R$2008,$B44,Vendas!$E$8:$E$2008,"&gt;=01/12/"&amp;$G$3,Vendas!$E$8:$E$2008,"&lt;=31/12/"&amp;$G$3)+SUMIFS(Vendas!$Z$8:$Z$2008,Vendas!$W$8:$W$2008,$B44,Vendas!$E$8:$E$2008,"&gt;=01/12/"&amp;$G$3,Vendas!$E$8:$E$2008,"&lt;=31/12/"&amp;$G$3)+SUMIFS(Vendas!$AE$8:$AE$2008,Vendas!$AB$8:$AB$2008,$B44,Vendas!$E$8:$E$2008,"&gt;=01/12/"&amp;$G$3,Vendas!$E$8:$E$2008,"&lt;=31/12/"&amp;$G$3)+SUMIFS(Vendas!$AJ$8:$AJ$2008,Vendas!$AG$8:$AG$2008,$B44,Vendas!$E$8:$E$2008,"&gt;=01/12/"&amp;$G$3,Vendas!$E$8:$E$2008,"&lt;=31/12/"&amp;$G$3)+SUMIFS(Vendas!$AO$8:$AO$2008,Vendas!$AL$8:$AL$2008,$B44,Vendas!$E$8:$E$2008,"&gt;=01/12/"&amp;$G$3,Vendas!$E$8:$E$2008,"&lt;=31/12/"&amp;$G$3)+SUMIFS(Vendas!$AT$8:$AT$2008,Vendas!$AQ$8:$AQ$2008,$B44,Vendas!$E$8:$E$2008,"&gt;=01/12/"&amp;$G$3,Vendas!$E$8:$E$2008,"&lt;=31/12/"&amp;$G$3)</f>
        <v>0</v>
      </c>
      <c r="Z44" s="163">
        <f>SUMIFS(Vendas!$K$8:$K$2008,Vendas!$H$8:$H$2008,$B44,Vendas!$E$8:$E$2008,"&gt;=01/12/"&amp;$G$3,Vendas!$E$8:$E$2008,"&lt;=31/12/"&amp;$G$3,Vendas!$C$8:$C$2008,"Entregue")+SUMIFS(Vendas!$P$8:$P$2008,Vendas!$M$8:$M$2008,$B44,Vendas!$E$8:$E$2008,"&gt;=01/12/"&amp;$G$3,Vendas!$E$8:$E$2008,"&lt;=31/12/"&amp;$G$3,Vendas!$C$8:$C$2008,"Entregue")+SUMIFS(Vendas!$U$8:$U$2008,Vendas!$R$8:$R$2008,$B44,Vendas!$E$8:$E$2008,"&gt;=01/12/"&amp;$G$3,Vendas!$E$8:$E$2008,"&lt;=31/12/"&amp;$G$3,Vendas!$C$8:$C$2008,"Entregue")+SUMIFS(Vendas!$Z$8:$Z$2008,Vendas!$W$8:$W$2008,$B44,Vendas!$E$8:$E$2008,"&gt;=01/12/"&amp;$G$3,Vendas!$E$8:$E$2008,"&lt;=31/12/"&amp;$G$3,Vendas!$C$8:$C$2008,"Entregue")+SUMIFS(Vendas!$AE$8:$AE$2008,Vendas!$AB$8:$AB$2008,$B44,Vendas!$E$8:$E$2008,"&gt;=01/12/"&amp;$G$3,Vendas!$E$8:$E$2008,"&lt;=31/12/"&amp;$G$3,Vendas!$C$8:$C$2008,"Entregue")+SUMIFS(Vendas!$AJ$8:$AJ$2008,Vendas!$AG$8:$AG$2008,$B44,Vendas!$E$8:$E$2008,"&gt;=01/12/"&amp;$G$3,Vendas!$E$8:$E$2008,"&lt;=31/12/"&amp;$G$3,Vendas!$C$8:$C$2008,"Entregue")+SUMIFS(Vendas!$AO$8:$AO$2008,Vendas!$AL$8:$AL$2008,$B44,Vendas!$E$8:$E$2008,"&gt;=01/12/"&amp;$G$3,Vendas!$E$8:$E$2008,"&lt;=31/12/"&amp;$G$3,Vendas!$C$8:$C$2008,"Entregue")+SUMIFS(Vendas!$AT$8:$AT$2008,Vendas!$AQ$8:$AQ$2008,$B44,Vendas!$E$8:$E$2008,"&gt;=01/12/"&amp;$G$3,Vendas!$E$8:$E$2008,"&lt;=31/12/"&amp;$G$3,Vendas!$C$8:$C$2008,"Entregue")</f>
        <v>0</v>
      </c>
      <c r="AA44" s="132">
        <f t="shared" si="0"/>
        <v>0</v>
      </c>
      <c r="AB44" s="132">
        <f t="shared" si="0"/>
        <v>0</v>
      </c>
      <c r="AC44" s="67"/>
    </row>
    <row r="45" spans="2:29" ht="14.4" x14ac:dyDescent="0.3">
      <c r="B45" s="262" t="str">
        <f>IF(Cadastros!G23="","",Cadastros!G23)</f>
        <v xml:space="preserve">126 - Cama Articulada Zeus Casal 193 X 203 </v>
      </c>
      <c r="C45" s="158">
        <f>SUMIFS(Vendas!$K$8:$K$2008,Vendas!$H$8:$H$2008,$B45,Vendas!$E$8:$E$2008,"&gt;=01/01/"&amp;$G$3,Vendas!$E$8:$E$2008,"&lt;=31/01/"&amp;$G$3)+SUMIFS(Vendas!$P$8:$P$2008,Vendas!$M$8:$M$2008,$B45,Vendas!$E$8:$E$2008,"&gt;=01/01/"&amp;$G$3,Vendas!$E$8:$E$2008,"&lt;=31/01/"&amp;$G$3)+SUMIFS(Vendas!$U$8:$U$2008,Vendas!$R$8:$R$2008,$B45,Vendas!$E$8:$E$2008,"&gt;=01/01/"&amp;$G$3,Vendas!$E$8:$E$2008,"&lt;=31/01/"&amp;$G$3)+SUMIFS(Vendas!$Z$8:$Z$2008,Vendas!$W$8:$W$2008,$B45,Vendas!$E$8:$E$2008,"&gt;=01/01/"&amp;$G$3,Vendas!$E$8:$E$2008,"&lt;=31/01/"&amp;$G$3)+SUMIFS(Vendas!$AE$8:$AE$2008,Vendas!$AB$8:$AB$2008,$B45,Vendas!$E$8:$E$2008,"&gt;=01/01/"&amp;$G$3,Vendas!$E$8:$E$2008,"&lt;=31/01/"&amp;$G$3)+SUMIFS(Vendas!$AJ$8:$AJ$2008,Vendas!$AG$8:$AG$2008,$B45,Vendas!$E$8:$E$2008,"&gt;=01/01/"&amp;$G$3,Vendas!$E$8:$E$2008,"&lt;=31/01/"&amp;$G$3)+SUMIFS(Vendas!$AO$8:$AO$2008,Vendas!$AL$8:$AL$2008,$B45,Vendas!$E$8:$E$2008,"&gt;=01/01/"&amp;$G$3,Vendas!$E$8:$E$2008,"&lt;=31/01/"&amp;$G$3)+SUMIFS(Vendas!$AT$8:$AT$2008,Vendas!$AQ$8:$AQ$2008,$B45,Vendas!$E$8:$E$2008,"&gt;=01/01/"&amp;$G$3,Vendas!$E$8:$E$2008,"&lt;=31/01/"&amp;$G$3)</f>
        <v>0</v>
      </c>
      <c r="D45" s="159">
        <f>SUMIFS(Vendas!$K$8:$K$2008,Vendas!$H$8:$H$2008,$B45,Vendas!$E$8:$E$2008,"&gt;=01/01/"&amp;$G$3,Vendas!$E$8:$E$2008,"&lt;=31/01/"&amp;$G$3,Vendas!$C$8:$C$2008,"Entregue")+SUMIFS(Vendas!$P$8:$P$2008,Vendas!$M$8:$M$2008,$B45,Vendas!$E$8:$E$2008,"&gt;=01/01/"&amp;$G$3,Vendas!$E$8:$E$2008,"&lt;=31/01/"&amp;$G$3,Vendas!$C$8:$C$2008,"Entregue")+SUMIFS(Vendas!$U$8:$U$2008,Vendas!$R$8:$R$2008,$B45,Vendas!$E$8:$E$2008,"&gt;=01/01/"&amp;$G$3,Vendas!$E$8:$E$2008,"&lt;=31/01/"&amp;$G$3,Vendas!$C$8:$C$2008,"Entregue")+SUMIFS(Vendas!$Z$8:$Z$2008,Vendas!$W$8:$W$2008,$B45,Vendas!$E$8:$E$2008,"&gt;=01/01/"&amp;$G$3,Vendas!$E$8:$E$2008,"&lt;=31/01/"&amp;$G$3,Vendas!$C$8:$C$2008,"Entregue")+SUMIFS(Vendas!$AE$8:$AE$2008,Vendas!$AB$8:$AB$2008,$B45,Vendas!$E$8:$E$2008,"&gt;=01/01/"&amp;$G$3,Vendas!$E$8:$E$2008,"&lt;=31/01/"&amp;$G$3,Vendas!$C$8:$C$2008,"Entregue")+SUMIFS(Vendas!$AJ$8:$AJ$2008,Vendas!$AG$8:$AG$2008,$B45,Vendas!$E$8:$E$2008,"&gt;=01/01/"&amp;$G$3,Vendas!$E$8:$E$2008,"&lt;=31/01/"&amp;$G$3,Vendas!$C$8:$C$2008,"Entregue")+SUMIFS(Vendas!$AO$8:$AO$2008,Vendas!$AL$8:$AL$2008,$B45,Vendas!$E$8:$E$2008,"&gt;=01/01/"&amp;$G$3,Vendas!$E$8:$E$2008,"&lt;=31/01/"&amp;$G$3,Vendas!$C$8:$C$2008,"Entregue")+SUMIFS(Vendas!$AT$8:$AT$2008,Vendas!$AQ$8:$AQ$2008,$B45,Vendas!$E$8:$E$2008,"&gt;=01/01/"&amp;$G$3,Vendas!$E$8:$E$2008,"&lt;=31/01/"&amp;$G$3,Vendas!$C$8:$C$2008,"Entregue")</f>
        <v>0</v>
      </c>
      <c r="E45" s="159">
        <f>SUMIFS(Vendas!$K$8:$K$2008,Vendas!$H$8:$H$2008,$B45,Vendas!$E$8:$E$2008,"&gt;=01/02/"&amp;$G$3,Vendas!$E$8:$E$2008,"&lt;=28/02/"&amp;$G$3)+SUMIFS(Vendas!$P$8:$P$2008,Vendas!$M$8:$M$2008,$B45,Vendas!$E$8:$E$2008,"&gt;=01/02/"&amp;$G$3,Vendas!$E$8:$E$2008,"&lt;=28/02/"&amp;$G$3)+SUMIFS(Vendas!$U$8:$U$2008,Vendas!$R$8:$R$2008,$B45,Vendas!$E$8:$E$2008,"&gt;=01/02/"&amp;$G$3,Vendas!$E$8:$E$2008,"&lt;=28/02/"&amp;$G$3)+SUMIFS(Vendas!$Z$8:$Z$2008,Vendas!$W$8:$W$2008,$B45,Vendas!$E$8:$E$2008,"&gt;=01/02/"&amp;$G$3,Vendas!$E$8:$E$2008,"&lt;=28/02/"&amp;$G$3)+SUMIFS(Vendas!$AE$8:$AE$2008,Vendas!$AB$8:$AB$2008,$B45,Vendas!$E$8:$E$2008,"&gt;=01/02/"&amp;$G$3,Vendas!$E$8:$E$2008,"&lt;=28/02/"&amp;$G$3)+SUMIFS(Vendas!$AJ$8:$AJ$2008,Vendas!$AG$8:$AG$2008,$B45,Vendas!$E$8:$E$2008,"&gt;=01/02/"&amp;$G$3,Vendas!$E$8:$E$2008,"&lt;=28/02/"&amp;$G$3)+SUMIFS(Vendas!$AO$8:$AO$2008,Vendas!$AL$8:$AL$2008,$B45,Vendas!$E$8:$E$2008,"&gt;=01/02/"&amp;$G$3,Vendas!$E$8:$E$2008,"&lt;=28/02/"&amp;$G$3)+SUMIFS(Vendas!$AT$8:$AT$2008,Vendas!$AQ$8:$AQ$2008,$B45,Vendas!$E$8:$E$2008,"&gt;=01/02/"&amp;$G$3,Vendas!$E$8:$E$2008,"&lt;=28/02/"&amp;$G$3)</f>
        <v>0</v>
      </c>
      <c r="F45" s="159">
        <f>SUMIFS(Vendas!$K$8:$K$2008,Vendas!$H$8:$H$2008,$B45,Vendas!$E$8:$E$2008,"&gt;=01/02/"&amp;$G$3,Vendas!$E$8:$E$2008,"&lt;=28/02/"&amp;$G$3,Vendas!$C$8:$C$2008,"Entregue")+SUMIFS(Vendas!$P$8:$P$2008,Vendas!$M$8:$M$2008,$B45,Vendas!$E$8:$E$2008,"&gt;=01/02/"&amp;$G$3,Vendas!$E$8:$E$2008,"&lt;=28/02/"&amp;$G$3,Vendas!$C$8:$C$2008,"Entregue")+SUMIFS(Vendas!$U$8:$U$2008,Vendas!$R$8:$R$2008,$B45,Vendas!$E$8:$E$2008,"&gt;=01/02/"&amp;$G$3,Vendas!$E$8:$E$2008,"&lt;=28/02/"&amp;$G$3,Vendas!$C$8:$C$2008,"Entregue")+SUMIFS(Vendas!$Z$8:$Z$2008,Vendas!$W$8:$W$2008,$B45,Vendas!$E$8:$E$2008,"&gt;=01/02/"&amp;$G$3,Vendas!$E$8:$E$2008,"&lt;=28/02/"&amp;$G$3,Vendas!$C$8:$C$2008,"Entregue")+SUMIFS(Vendas!$AE$8:$AE$2008,Vendas!$AB$8:$AB$2008,$B45,Vendas!$E$8:$E$2008,"&gt;=01/02/"&amp;$G$3,Vendas!$E$8:$E$2008,"&lt;=28/02/"&amp;$G$3,Vendas!$C$8:$C$2008,"Entregue")+SUMIFS(Vendas!$AJ$8:$AJ$2008,Vendas!$AG$8:$AG$2008,$B45,Vendas!$E$8:$E$2008,"&gt;=01/02/"&amp;$G$3,Vendas!$E$8:$E$2008,"&lt;=28/02/"&amp;$G$3,Vendas!$C$8:$C$2008,"Entregue")+SUMIFS(Vendas!$AO$8:$AO$2008,Vendas!$AL$8:$AL$2008,$B45,Vendas!$E$8:$E$2008,"&gt;=01/02/"&amp;$G$3,Vendas!$E$8:$E$2008,"&lt;=28/02/"&amp;$G$3,Vendas!$C$8:$C$2008,"Entregue")+SUMIFS(Vendas!$AT$8:$AT$2008,Vendas!$AQ$8:$AQ$2008,$B45,Vendas!$E$8:$E$2008,"&gt;=01/02/"&amp;$G$3,Vendas!$E$8:$E$2008,"&lt;=28/02/"&amp;$G$3,Vendas!$C$8:$C$2008,"Entregue")</f>
        <v>0</v>
      </c>
      <c r="G45" s="159">
        <f>SUMIFS(Vendas!$K$8:$K$2008,Vendas!$H$8:$H$2008,$B45,Vendas!$E$8:$E$2008,"&gt;=01/03/"&amp;$G$3,Vendas!$E$8:$E$2008,"&lt;=31/03/"&amp;$G$3)+SUMIFS(Vendas!$P$8:$P$2008,Vendas!$M$8:$M$2008,$B45,Vendas!$E$8:$E$2008,"&gt;=01/03/"&amp;$G$3,Vendas!$E$8:$E$2008,"&lt;=31/03/"&amp;$G$3)+SUMIFS(Vendas!$U$8:$U$2008,Vendas!$R$8:$R$2008,$B45,Vendas!$E$8:$E$2008,"&gt;=01/03/"&amp;$G$3,Vendas!$E$8:$E$2008,"&lt;=31/03/"&amp;$G$3)+SUMIFS(Vendas!$Z$8:$Z$2008,Vendas!$W$8:$W$2008,$B45,Vendas!$E$8:$E$2008,"&gt;=01/03/"&amp;$G$3,Vendas!$E$8:$E$2008,"&lt;=31/03/"&amp;$G$3)+SUMIFS(Vendas!$AE$8:$AE$2008,Vendas!$AB$8:$AB$2008,$B45,Vendas!$E$8:$E$2008,"&gt;=01/03/"&amp;$G$3,Vendas!$E$8:$E$2008,"&lt;=31/03/"&amp;$G$3)+SUMIFS(Vendas!$AJ$8:$AJ$2008,Vendas!$AG$8:$AG$2008,$B45,Vendas!$E$8:$E$2008,"&gt;=01/03/"&amp;$G$3,Vendas!$E$8:$E$2008,"&lt;=31/03/"&amp;$G$3)+SUMIFS(Vendas!$AO$8:$AO$2008,Vendas!$AL$8:$AL$2008,$B45,Vendas!$E$8:$E$2008,"&gt;=01/03/"&amp;$G$3,Vendas!$E$8:$E$2008,"&lt;=31/03/"&amp;$G$3)+SUMIFS(Vendas!$AT$8:$AT$2008,Vendas!$AQ$8:$AQ$2008,$B45,Vendas!$E$8:$E$2008,"&gt;=01/03/"&amp;$G$3,Vendas!$E$8:$E$2008,"&lt;=31/03/"&amp;$G$3)</f>
        <v>0</v>
      </c>
      <c r="H45" s="159">
        <f>SUMIFS(Vendas!$K$8:$K$2008,Vendas!$H$8:$H$2008,$B45,Vendas!$E$8:$E$2008,"&gt;=01/03/"&amp;$G$3,Vendas!$E$8:$E$2008,"&lt;=31/03/"&amp;$G$3,Vendas!$C$8:$C$2008,"Entregue")+SUMIFS(Vendas!$P$8:$P$2008,Vendas!$M$8:$M$2008,$B45,Vendas!$E$8:$E$2008,"&gt;=01/03/"&amp;$G$3,Vendas!$E$8:$E$2008,"&lt;=31/03/"&amp;$G$3,Vendas!$C$8:$C$2008,"Entregue")+SUMIFS(Vendas!$U$8:$U$2008,Vendas!$R$8:$R$2008,$B45,Vendas!$E$8:$E$2008,"&gt;=01/03/"&amp;$G$3,Vendas!$E$8:$E$2008,"&lt;=31/03/"&amp;$G$3,Vendas!$C$8:$C$2008,"Entregue")+SUMIFS(Vendas!$Z$8:$Z$2008,Vendas!$W$8:$W$2008,$B45,Vendas!$E$8:$E$2008,"&gt;=01/03/"&amp;$G$3,Vendas!$E$8:$E$2008,"&lt;=31/03/"&amp;$G$3,Vendas!$C$8:$C$2008,"Entregue")+SUMIFS(Vendas!$AE$8:$AE$2008,Vendas!$AB$8:$AB$2008,$B45,Vendas!$E$8:$E$2008,"&gt;=01/03/"&amp;$G$3,Vendas!$E$8:$E$2008,"&lt;=31/03/"&amp;$G$3,Vendas!$C$8:$C$2008,"Entregue")+SUMIFS(Vendas!$AJ$8:$AJ$2008,Vendas!$AG$8:$AG$2008,$B45,Vendas!$E$8:$E$2008,"&gt;=01/03/"&amp;$G$3,Vendas!$E$8:$E$2008,"&lt;=31/03/"&amp;$G$3,Vendas!$C$8:$C$2008,"Entregue")+SUMIFS(Vendas!$AO$8:$AO$2008,Vendas!$AL$8:$AL$2008,$B45,Vendas!$E$8:$E$2008,"&gt;=01/03/"&amp;$G$3,Vendas!$E$8:$E$2008,"&lt;=31/03/"&amp;$G$3,Vendas!$C$8:$C$2008,"Entregue")+SUMIFS(Vendas!$AT$8:$AT$2008,Vendas!$AQ$8:$AQ$2008,$B45,Vendas!$E$8:$E$2008,"&gt;=01/03/"&amp;$G$3,Vendas!$E$8:$E$2008,"&lt;=31/03/"&amp;$G$3,Vendas!$C$8:$C$2008,"Entregue")</f>
        <v>0</v>
      </c>
      <c r="I45" s="159">
        <f>SUMIFS(Vendas!$K$8:$K$2008,Vendas!$H$8:$H$2008,$B45,Vendas!$E$8:$E$2008,"&gt;=01/04/"&amp;$G$3,Vendas!$E$8:$E$2008,"&lt;=30/04/"&amp;$G$3)+SUMIFS(Vendas!$P$8:$P$2008,Vendas!$M$8:$M$2008,$B45,Vendas!$E$8:$E$2008,"&gt;=01/04/"&amp;$G$3,Vendas!$E$8:$E$2008,"&lt;=30/04/"&amp;$G$3)+SUMIFS(Vendas!$U$8:$U$2008,Vendas!$R$8:$R$2008,$B45,Vendas!$E$8:$E$2008,"&gt;=01/04/"&amp;$G$3,Vendas!$E$8:$E$2008,"&lt;=30/04/"&amp;$G$3)+SUMIFS(Vendas!$Z$8:$Z$2008,Vendas!$W$8:$W$2008,$B45,Vendas!$E$8:$E$2008,"&gt;=01/04/"&amp;$G$3,Vendas!$E$8:$E$2008,"&lt;=30/04/"&amp;$G$3)+SUMIFS(Vendas!$AE$8:$AE$2008,Vendas!$AB$8:$AB$2008,$B45,Vendas!$E$8:$E$2008,"&gt;=01/04/"&amp;$G$3,Vendas!$E$8:$E$2008,"&lt;=30/04/"&amp;$G$3)+SUMIFS(Vendas!$AJ$8:$AJ$2008,Vendas!$AG$8:$AG$2008,$B45,Vendas!$E$8:$E$2008,"&gt;=01/04/"&amp;$G$3,Vendas!$E$8:$E$2008,"&lt;=30/04/"&amp;$G$3)+SUMIFS(Vendas!$AO$8:$AO$2008,Vendas!$AL$8:$AL$2008,$B45,Vendas!$E$8:$E$2008,"&gt;=01/04/"&amp;$G$3,Vendas!$E$8:$E$2008,"&lt;=30/04/"&amp;$G$3)+SUMIFS(Vendas!$AT$8:$AT$2008,Vendas!$AQ$8:$AQ$2008,$B45,Vendas!$E$8:$E$2008,"&gt;=01/04/"&amp;$G$3,Vendas!$E$8:$E$2008,"&lt;=30/04/"&amp;$G$3)</f>
        <v>0</v>
      </c>
      <c r="J45" s="159">
        <f>SUMIFS(Vendas!$K$8:$K$2008,Vendas!$H$8:$H$2008,$B45,Vendas!$E$8:$E$2008,"&gt;=01/04/"&amp;$G$3,Vendas!$E$8:$E$2008,"&lt;=30/04/"&amp;$G$3,Vendas!$C$8:$C$2008,"Entregue")+SUMIFS(Vendas!$P$8:$P$2008,Vendas!$M$8:$M$2008,$B45,Vendas!$E$8:$E$2008,"&gt;=01/04/"&amp;$G$3,Vendas!$E$8:$E$2008,"&lt;=30/04/"&amp;$G$3,Vendas!$C$8:$C$2008,"Entregue")+SUMIFS(Vendas!$U$8:$U$2008,Vendas!$R$8:$R$2008,$B45,Vendas!$E$8:$E$2008,"&gt;=01/04/"&amp;$G$3,Vendas!$E$8:$E$2008,"&lt;=30/04/"&amp;$G$3,Vendas!$C$8:$C$2008,"Entregue")+SUMIFS(Vendas!$Z$8:$Z$2008,Vendas!$W$8:$W$2008,$B45,Vendas!$E$8:$E$2008,"&gt;=01/04/"&amp;$G$3,Vendas!$E$8:$E$2008,"&lt;=30/04/"&amp;$G$3,Vendas!$C$8:$C$2008,"Entregue")+SUMIFS(Vendas!$AE$8:$AE$2008,Vendas!$AB$8:$AB$2008,$B45,Vendas!$E$8:$E$2008,"&gt;=01/04/"&amp;$G$3,Vendas!$E$8:$E$2008,"&lt;=30/04/"&amp;$G$3,Vendas!$C$8:$C$2008,"Entregue")+SUMIFS(Vendas!$AJ$8:$AJ$2008,Vendas!$AG$8:$AG$2008,$B45,Vendas!$E$8:$E$2008,"&gt;=01/04/"&amp;$G$3,Vendas!$E$8:$E$2008,"&lt;=30/04/"&amp;$G$3,Vendas!$C$8:$C$2008,"Entregue")+SUMIFS(Vendas!$AO$8:$AO$2008,Vendas!$AL$8:$AL$2008,$B45,Vendas!$E$8:$E$2008,"&gt;=01/04/"&amp;$G$3,Vendas!$E$8:$E$2008,"&lt;=30/04/"&amp;$G$3,Vendas!$C$8:$C$2008,"Entregue")+SUMIFS(Vendas!$AT$8:$AT$2008,Vendas!$AQ$8:$AQ$2008,$B45,Vendas!$E$8:$E$2008,"&gt;=01/04/"&amp;$G$3,Vendas!$E$8:$E$2008,"&lt;=30/04/"&amp;$G$3,Vendas!$C$8:$C$2008,"Entregue")</f>
        <v>0</v>
      </c>
      <c r="K45" s="159">
        <f>SUMIFS(Vendas!$K$8:$K$2008,Vendas!$H$8:$H$2008,$B45,Vendas!$E$8:$E$2008,"&gt;=01/05/"&amp;$G$3,Vendas!$E$8:$E$2008,"&lt;=31/05/"&amp;$G$3)+SUMIFS(Vendas!$P$8:$P$2008,Vendas!$M$8:$M$2008,$B45,Vendas!$E$8:$E$2008,"&gt;=01/05/"&amp;$G$3,Vendas!$E$8:$E$2008,"&lt;=31/05/"&amp;$G$3)+SUMIFS(Vendas!$U$8:$U$2008,Vendas!$R$8:$R$2008,$B45,Vendas!$E$8:$E$2008,"&gt;=01/05/"&amp;$G$3,Vendas!$E$8:$E$2008,"&lt;=31/05/"&amp;$G$3)+SUMIFS(Vendas!$Z$8:$Z$2008,Vendas!$W$8:$W$2008,$B45,Vendas!$E$8:$E$2008,"&gt;=01/05/"&amp;$G$3,Vendas!$E$8:$E$2008,"&lt;=31/05/"&amp;$G$3)+SUMIFS(Vendas!$AE$8:$AE$2008,Vendas!$AB$8:$AB$2008,$B45,Vendas!$E$8:$E$2008,"&gt;=01/05/"&amp;$G$3,Vendas!$E$8:$E$2008,"&lt;=31/05/"&amp;$G$3)+SUMIFS(Vendas!$AJ$8:$AJ$2008,Vendas!$AG$8:$AG$2008,$B45,Vendas!$E$8:$E$2008,"&gt;=01/05/"&amp;$G$3,Vendas!$E$8:$E$2008,"&lt;=31/05/"&amp;$G$3)+SUMIFS(Vendas!$AO$8:$AO$2008,Vendas!$AL$8:$AL$2008,$B45,Vendas!$E$8:$E$2008,"&gt;=01/05/"&amp;$G$3,Vendas!$E$8:$E$2008,"&lt;=31/05/"&amp;$G$3)+SUMIFS(Vendas!$AT$8:$AT$2008,Vendas!$AQ$8:$AQ$2008,$B45,Vendas!$E$8:$E$2008,"&gt;=01/05/"&amp;$G$3,Vendas!$E$8:$E$2008,"&lt;=31/05/"&amp;$G$3)</f>
        <v>0</v>
      </c>
      <c r="L45" s="159">
        <f>SUMIFS(Vendas!$K$8:$K$2008,Vendas!$H$8:$H$2008,$B45,Vendas!$E$8:$E$2008,"&gt;=01/05/"&amp;$G$3,Vendas!$E$8:$E$2008,"&lt;=31/05/"&amp;$G$3,Vendas!$C$8:$C$2008,"Entregue")+SUMIFS(Vendas!$P$8:$P$2008,Vendas!$M$8:$M$2008,$B45,Vendas!$E$8:$E$2008,"&gt;=01/05/"&amp;$G$3,Vendas!$E$8:$E$2008,"&lt;=31/05/"&amp;$G$3,Vendas!$C$8:$C$2008,"Entregue")+SUMIFS(Vendas!$U$8:$U$2008,Vendas!$R$8:$R$2008,$B45,Vendas!$E$8:$E$2008,"&gt;=01/05/"&amp;$G$3,Vendas!$E$8:$E$2008,"&lt;=31/05/"&amp;$G$3,Vendas!$C$8:$C$2008,"Entregue")+SUMIFS(Vendas!$Z$8:$Z$2008,Vendas!$W$8:$W$2008,$B45,Vendas!$E$8:$E$2008,"&gt;=01/05/"&amp;$G$3,Vendas!$E$8:$E$2008,"&lt;=31/05/"&amp;$G$3,Vendas!$C$8:$C$2008,"Entregue")+SUMIFS(Vendas!$AE$8:$AE$2008,Vendas!$AB$8:$AB$2008,$B45,Vendas!$E$8:$E$2008,"&gt;=01/05/"&amp;$G$3,Vendas!$E$8:$E$2008,"&lt;=31/05/"&amp;$G$3,Vendas!$C$8:$C$2008,"Entregue")+SUMIFS(Vendas!$AJ$8:$AJ$2008,Vendas!$AG$8:$AG$2008,$B45,Vendas!$E$8:$E$2008,"&gt;=01/05/"&amp;$G$3,Vendas!$E$8:$E$2008,"&lt;=31/05/"&amp;$G$3,Vendas!$C$8:$C$2008,"Entregue")+SUMIFS(Vendas!$AO$8:$AO$2008,Vendas!$AL$8:$AL$2008,$B45,Vendas!$E$8:$E$2008,"&gt;=01/05/"&amp;$G$3,Vendas!$E$8:$E$2008,"&lt;=31/05/"&amp;$G$3,Vendas!$C$8:$C$2008,"Entregue")+SUMIFS(Vendas!$AT$8:$AT$2008,Vendas!$AQ$8:$AQ$2008,$B45,Vendas!$E$8:$E$2008,"&gt;=01/05/"&amp;$G$3,Vendas!$E$8:$E$2008,"&lt;=31/05/"&amp;$G$3,Vendas!$C$8:$C$2008,"Entregue")</f>
        <v>0</v>
      </c>
      <c r="M45" s="159">
        <f>SUMIFS(Vendas!$K$8:$K$2008,Vendas!$H$8:$H$2008,$B45,Vendas!$E$8:$E$2008,"&gt;=01/06/"&amp;$G$3,Vendas!$E$8:$E$2008,"&lt;=30/06/"&amp;$G$3)+SUMIFS(Vendas!$P$8:$P$2008,Vendas!$M$8:$M$2008,$B45,Vendas!$E$8:$E$2008,"&gt;=01/06/"&amp;$G$3,Vendas!$E$8:$E$2008,"&lt;=30/06/"&amp;$G$3)+SUMIFS(Vendas!$U$8:$U$2008,Vendas!$R$8:$R$2008,$B45,Vendas!$E$8:$E$2008,"&gt;=01/06/"&amp;$G$3,Vendas!$E$8:$E$2008,"&lt;=30/06/"&amp;$G$3)+SUMIFS(Vendas!$Z$8:$Z$2008,Vendas!$W$8:$W$2008,$B45,Vendas!$E$8:$E$2008,"&gt;=01/06/"&amp;$G$3,Vendas!$E$8:$E$2008,"&lt;=30/06/"&amp;$G$3)+SUMIFS(Vendas!$AE$8:$AE$2008,Vendas!$AB$8:$AB$2008,$B45,Vendas!$E$8:$E$2008,"&gt;=01/06/"&amp;$G$3,Vendas!$E$8:$E$2008,"&lt;=30/06/"&amp;$G$3)+SUMIFS(Vendas!$AJ$8:$AJ$2008,Vendas!$AG$8:$AG$2008,$B45,Vendas!$E$8:$E$2008,"&gt;=01/06/"&amp;$G$3,Vendas!$E$8:$E$2008,"&lt;=30/06/"&amp;$G$3)+SUMIFS(Vendas!$AO$8:$AO$2008,Vendas!$AL$8:$AL$2008,$B45,Vendas!$E$8:$E$2008,"&gt;=01/06/"&amp;$G$3,Vendas!$E$8:$E$2008,"&lt;=30/06/"&amp;$G$3)+SUMIFS(Vendas!$AT$8:$AT$2008,Vendas!$AQ$8:$AQ$2008,$B45,Vendas!$E$8:$E$2008,"&gt;=01/06/"&amp;$G$3,Vendas!$E$8:$E$2008,"&lt;=30/06/"&amp;$G$3)</f>
        <v>0</v>
      </c>
      <c r="N45" s="159">
        <f>SUMIFS(Vendas!$K$8:$K$2008,Vendas!$H$8:$H$2008,$B45,Vendas!$E$8:$E$2008,"&gt;=01/06/"&amp;$G$3,Vendas!$E$8:$E$2008,"&lt;=30/06/"&amp;$G$3,Vendas!$C$8:$C$2008,"Entregue")+SUMIFS(Vendas!$P$8:$P$2008,Vendas!$M$8:$M$2008,$B45,Vendas!$E$8:$E$2008,"&gt;=01/06/"&amp;$G$3,Vendas!$E$8:$E$2008,"&lt;=30/06/"&amp;$G$3,Vendas!$C$8:$C$2008,"Entregue")+SUMIFS(Vendas!$U$8:$U$2008,Vendas!$R$8:$R$2008,$B45,Vendas!$E$8:$E$2008,"&gt;=01/06/"&amp;$G$3,Vendas!$E$8:$E$2008,"&lt;=30/06/"&amp;$G$3,Vendas!$C$8:$C$2008,"Entregue")+SUMIFS(Vendas!$Z$8:$Z$2008,Vendas!$W$8:$W$2008,$B45,Vendas!$E$8:$E$2008,"&gt;=01/06/"&amp;$G$3,Vendas!$E$8:$E$2008,"&lt;=30/06/"&amp;$G$3,Vendas!$C$8:$C$2008,"Entregue")+SUMIFS(Vendas!$AE$8:$AE$2008,Vendas!$AB$8:$AB$2008,$B45,Vendas!$E$8:$E$2008,"&gt;=01/06/"&amp;$G$3,Vendas!$E$8:$E$2008,"&lt;=30/06/"&amp;$G$3,Vendas!$C$8:$C$2008,"Entregue")+SUMIFS(Vendas!$AJ$8:$AJ$2008,Vendas!$AG$8:$AG$2008,$B45,Vendas!$E$8:$E$2008,"&gt;=01/06/"&amp;$G$3,Vendas!$E$8:$E$2008,"&lt;=30/06/"&amp;$G$3,Vendas!$C$8:$C$2008,"Entregue")+SUMIFS(Vendas!$AO$8:$AO$2008,Vendas!$AL$8:$AL$2008,$B45,Vendas!$E$8:$E$2008,"&gt;=01/06/"&amp;$G$3,Vendas!$E$8:$E$2008,"&lt;=30/06/"&amp;$G$3,Vendas!$C$8:$C$2008,"Entregue")+SUMIFS(Vendas!$AT$8:$AT$2008,Vendas!$AQ$8:$AQ$2008,$B45,Vendas!$E$8:$E$2008,"&gt;=01/06/"&amp;$G$3,Vendas!$E$8:$E$2008,"&lt;=30/06/"&amp;$G$3,Vendas!$C$8:$C$2008,"Entregue")</f>
        <v>0</v>
      </c>
      <c r="O45" s="159">
        <f>SUMIFS(Vendas!$K$8:$K$2008,Vendas!$H$8:$H$2008,$B45,Vendas!$E$8:$E$2008,"&gt;=01/07/"&amp;$G$3,Vendas!$E$8:$E$2008,"&lt;=31/07/"&amp;$G$3)+SUMIFS(Vendas!$P$8:$P$2008,Vendas!$M$8:$M$2008,$B45,Vendas!$E$8:$E$2008,"&gt;=01/07/"&amp;$G$3,Vendas!$E$8:$E$2008,"&lt;=31/07/"&amp;$G$3)+SUMIFS(Vendas!$U$8:$U$2008,Vendas!$R$8:$R$2008,$B45,Vendas!$E$8:$E$2008,"&gt;=01/07/"&amp;$G$3,Vendas!$E$8:$E$2008,"&lt;=31/07/"&amp;$G$3)+SUMIFS(Vendas!$Z$8:$Z$2008,Vendas!$W$8:$W$2008,$B45,Vendas!$E$8:$E$2008,"&gt;=01/07/"&amp;$G$3,Vendas!$E$8:$E$2008,"&lt;=31/07/"&amp;$G$3)+SUMIFS(Vendas!$AE$8:$AE$2008,Vendas!$AB$8:$AB$2008,$B45,Vendas!$E$8:$E$2008,"&gt;=01/07/"&amp;$G$3,Vendas!$E$8:$E$2008,"&lt;=31/07/"&amp;$G$3)+SUMIFS(Vendas!$AJ$8:$AJ$2008,Vendas!$AG$8:$AG$2008,$B45,Vendas!$E$8:$E$2008,"&gt;=01/07/"&amp;$G$3,Vendas!$E$8:$E$2008,"&lt;=31/07/"&amp;$G$3)+SUMIFS(Vendas!$AO$8:$AO$2008,Vendas!$AL$8:$AL$2008,$B45,Vendas!$E$8:$E$2008,"&gt;=01/07/"&amp;$G$3,Vendas!$E$8:$E$2008,"&lt;=31/07/"&amp;$G$3)+SUMIFS(Vendas!$AT$8:$AT$2008,Vendas!$AQ$8:$AQ$2008,$B45,Vendas!$E$8:$E$2008,"&gt;=01/07/"&amp;$G$3,Vendas!$E$8:$E$2008,"&lt;=31/07/"&amp;$G$3)</f>
        <v>0</v>
      </c>
      <c r="P45" s="159">
        <f>SUMIFS(Vendas!$K$8:$K$2008,Vendas!$H$8:$H$2008,$B45,Vendas!$E$8:$E$2008,"&gt;=01/07/"&amp;$G$3,Vendas!$E$8:$E$2008,"&lt;=31/07/"&amp;$G$3,Vendas!$C$8:$C$2008,"Entregue")+SUMIFS(Vendas!$P$8:$P$2008,Vendas!$M$8:$M$2008,$B45,Vendas!$E$8:$E$2008,"&gt;=01/07/"&amp;$G$3,Vendas!$E$8:$E$2008,"&lt;=31/07/"&amp;$G$3,Vendas!$C$8:$C$2008,"Entregue")+SUMIFS(Vendas!$U$8:$U$2008,Vendas!$R$8:$R$2008,$B45,Vendas!$E$8:$E$2008,"&gt;=01/07/"&amp;$G$3,Vendas!$E$8:$E$2008,"&lt;=31/07/"&amp;$G$3,Vendas!$C$8:$C$2008,"Entregue")+SUMIFS(Vendas!$Z$8:$Z$2008,Vendas!$W$8:$W$2008,$B45,Vendas!$E$8:$E$2008,"&gt;=01/07/"&amp;$G$3,Vendas!$E$8:$E$2008,"&lt;=31/07/"&amp;$G$3,Vendas!$C$8:$C$2008,"Entregue")+SUMIFS(Vendas!$AE$8:$AE$2008,Vendas!$AB$8:$AB$2008,$B45,Vendas!$E$8:$E$2008,"&gt;=01/07/"&amp;$G$3,Vendas!$E$8:$E$2008,"&lt;=31/07/"&amp;$G$3,Vendas!$C$8:$C$2008,"Entregue")+SUMIFS(Vendas!$AJ$8:$AJ$2008,Vendas!$AG$8:$AG$2008,$B45,Vendas!$E$8:$E$2008,"&gt;=01/07/"&amp;$G$3,Vendas!$E$8:$E$2008,"&lt;=31/07/"&amp;$G$3,Vendas!$C$8:$C$2008,"Entregue")+SUMIFS(Vendas!$AO$8:$AO$2008,Vendas!$AL$8:$AL$2008,$B45,Vendas!$E$8:$E$2008,"&gt;=01/07/"&amp;$G$3,Vendas!$E$8:$E$2008,"&lt;=31/07/"&amp;$G$3,Vendas!$C$8:$C$2008,"Entregue")+SUMIFS(Vendas!$AT$8:$AT$2008,Vendas!$AQ$8:$AQ$2008,$B45,Vendas!$E$8:$E$2008,"&gt;=01/07/"&amp;$G$3,Vendas!$E$8:$E$2008,"&lt;=31/07/"&amp;$G$3,Vendas!$C$8:$C$2008,"Entregue")</f>
        <v>0</v>
      </c>
      <c r="Q45" s="159">
        <f>SUMIFS(Vendas!$K$8:$K$2008,Vendas!$H$8:$H$2008,$B45,Vendas!$E$8:$E$2008,"&gt;=01/08/"&amp;$G$3,Vendas!$E$8:$E$2008,"&lt;=31/08/"&amp;$G$3)+SUMIFS(Vendas!$P$8:$P$2008,Vendas!$M$8:$M$2008,$B45,Vendas!$E$8:$E$2008,"&gt;=01/08/"&amp;$G$3,Vendas!$E$8:$E$2008,"&lt;=31/08/"&amp;$G$3)+SUMIFS(Vendas!$U$8:$U$2008,Vendas!$R$8:$R$2008,$B45,Vendas!$E$8:$E$2008,"&gt;=01/08/"&amp;$G$3,Vendas!$E$8:$E$2008,"&lt;=31/08/"&amp;$G$3)+SUMIFS(Vendas!$Z$8:$Z$2008,Vendas!$W$8:$W$2008,$B45,Vendas!$E$8:$E$2008,"&gt;=01/08/"&amp;$G$3,Vendas!$E$8:$E$2008,"&lt;=31/08/"&amp;$G$3)+SUMIFS(Vendas!$AE$8:$AE$2008,Vendas!$AB$8:$AB$2008,$B45,Vendas!$E$8:$E$2008,"&gt;=01/08/"&amp;$G$3,Vendas!$E$8:$E$2008,"&lt;=31/08/"&amp;$G$3)+SUMIFS(Vendas!$AJ$8:$AJ$2008,Vendas!$AG$8:$AG$2008,$B45,Vendas!$E$8:$E$2008,"&gt;=01/08/"&amp;$G$3,Vendas!$E$8:$E$2008,"&lt;=31/08/"&amp;$G$3)+SUMIFS(Vendas!$AO$8:$AO$2008,Vendas!$AL$8:$AL$2008,$B45,Vendas!$E$8:$E$2008,"&gt;=01/08/"&amp;$G$3,Vendas!$E$8:$E$2008,"&lt;=31/08/"&amp;$G$3)+SUMIFS(Vendas!$AT$8:$AT$2008,Vendas!$AQ$8:$AQ$2008,$B45,Vendas!$E$8:$E$2008,"&gt;=01/08/"&amp;$G$3,Vendas!$E$8:$E$2008,"&lt;=31/08/"&amp;$G$3)</f>
        <v>0</v>
      </c>
      <c r="R45" s="159">
        <f>SUMIFS(Vendas!$K$8:$K$2008,Vendas!$H$8:$H$2008,$B45,Vendas!$E$8:$E$2008,"&gt;=01/08/"&amp;$G$3,Vendas!$E$8:$E$2008,"&lt;=31/08/"&amp;$G$3,Vendas!$C$8:$C$2008,"Entregue")+SUMIFS(Vendas!$P$8:$P$2008,Vendas!$M$8:$M$2008,$B45,Vendas!$E$8:$E$2008,"&gt;=01/08/"&amp;$G$3,Vendas!$E$8:$E$2008,"&lt;=31/08/"&amp;$G$3,Vendas!$C$8:$C$2008,"Entregue")+SUMIFS(Vendas!$U$8:$U$2008,Vendas!$R$8:$R$2008,$B45,Vendas!$E$8:$E$2008,"&gt;=01/08/"&amp;$G$3,Vendas!$E$8:$E$2008,"&lt;=31/08/"&amp;$G$3,Vendas!$C$8:$C$2008,"Entregue")+SUMIFS(Vendas!$Z$8:$Z$2008,Vendas!$W$8:$W$2008,$B45,Vendas!$E$8:$E$2008,"&gt;=01/08/"&amp;$G$3,Vendas!$E$8:$E$2008,"&lt;=31/08/"&amp;$G$3,Vendas!$C$8:$C$2008,"Entregue")+SUMIFS(Vendas!$AE$8:$AE$2008,Vendas!$AB$8:$AB$2008,$B45,Vendas!$E$8:$E$2008,"&gt;=01/08/"&amp;$G$3,Vendas!$E$8:$E$2008,"&lt;=31/08/"&amp;$G$3,Vendas!$C$8:$C$2008,"Entregue")+SUMIFS(Vendas!$AJ$8:$AJ$2008,Vendas!$AG$8:$AG$2008,$B45,Vendas!$E$8:$E$2008,"&gt;=01/08/"&amp;$G$3,Vendas!$E$8:$E$2008,"&lt;=31/08/"&amp;$G$3,Vendas!$C$8:$C$2008,"Entregue")+SUMIFS(Vendas!$AO$8:$AO$2008,Vendas!$AL$8:$AL$2008,$B45,Vendas!$E$8:$E$2008,"&gt;=01/08/"&amp;$G$3,Vendas!$E$8:$E$2008,"&lt;=31/08/"&amp;$G$3,Vendas!$C$8:$C$2008,"Entregue")+SUMIFS(Vendas!$AT$8:$AT$2008,Vendas!$AQ$8:$AQ$2008,$B45,Vendas!$E$8:$E$2008,"&gt;=01/08/"&amp;$G$3,Vendas!$E$8:$E$2008,"&lt;=31/08/"&amp;$G$3,Vendas!$C$8:$C$2008,"Entregue")</f>
        <v>0</v>
      </c>
      <c r="S45" s="159">
        <f>SUMIFS(Vendas!$K$8:$K$2008,Vendas!$H$8:$H$2008,$B45,Vendas!$E$8:$E$2008,"&gt;=01/09/"&amp;$G$3,Vendas!$E$8:$E$2008,"&lt;=30/09/"&amp;$G$3)+SUMIFS(Vendas!$P$8:$P$2008,Vendas!$M$8:$M$2008,$B45,Vendas!$E$8:$E$2008,"&gt;=01/09/"&amp;$G$3,Vendas!$E$8:$E$2008,"&lt;=30/09/"&amp;$G$3)+SUMIFS(Vendas!$U$8:$U$2008,Vendas!$R$8:$R$2008,$B45,Vendas!$E$8:$E$2008,"&gt;=01/09/"&amp;$G$3,Vendas!$E$8:$E$2008,"&lt;=30/09/"&amp;$G$3)+SUMIFS(Vendas!$Z$8:$Z$2008,Vendas!$W$8:$W$2008,$B45,Vendas!$E$8:$E$2008,"&gt;=01/09/"&amp;$G$3,Vendas!$E$8:$E$2008,"&lt;=30/09/"&amp;$G$3)+SUMIFS(Vendas!$AE$8:$AE$2008,Vendas!$AB$8:$AB$2008,$B45,Vendas!$E$8:$E$2008,"&gt;=01/09/"&amp;$G$3,Vendas!$E$8:$E$2008,"&lt;=30/09/"&amp;$G$3)+SUMIFS(Vendas!$AJ$8:$AJ$2008,Vendas!$AG$8:$AG$2008,$B45,Vendas!$E$8:$E$2008,"&gt;=01/09/"&amp;$G$3,Vendas!$E$8:$E$2008,"&lt;=30/09/"&amp;$G$3)+SUMIFS(Vendas!$AO$8:$AO$2008,Vendas!$AL$8:$AL$2008,$B45,Vendas!$E$8:$E$2008,"&gt;=01/09/"&amp;$G$3,Vendas!$E$8:$E$2008,"&lt;=30/09/"&amp;$G$3)+SUMIFS(Vendas!$AT$8:$AT$2008,Vendas!$AQ$8:$AQ$2008,$B45,Vendas!$E$8:$E$2008,"&gt;=01/09/"&amp;$G$3,Vendas!$E$8:$E$2008,"&lt;=30/09/"&amp;$G$3)</f>
        <v>0</v>
      </c>
      <c r="T45" s="159">
        <f>SUMIFS(Vendas!$K$8:$K$2008,Vendas!$H$8:$H$2008,$B45,Vendas!$E$8:$E$2008,"&gt;=01/09/"&amp;$G$3,Vendas!$E$8:$E$2008,"&lt;=30/09/"&amp;$G$3,Vendas!$C$8:$C$2008,"Entregue")+SUMIFS(Vendas!$P$8:$P$2008,Vendas!$M$8:$M$2008,$B45,Vendas!$E$8:$E$2008,"&gt;=01/09/"&amp;$G$3,Vendas!$E$8:$E$2008,"&lt;=30/09/"&amp;$G$3,Vendas!$C$8:$C$2008,"Entregue")+SUMIFS(Vendas!$U$8:$U$2008,Vendas!$R$8:$R$2008,$B45,Vendas!$E$8:$E$2008,"&gt;=01/09/"&amp;$G$3,Vendas!$E$8:$E$2008,"&lt;=30/09/"&amp;$G$3,Vendas!$C$8:$C$2008,"Entregue")+SUMIFS(Vendas!$Z$8:$Z$2008,Vendas!$W$8:$W$2008,$B45,Vendas!$E$8:$E$2008,"&gt;=01/09/"&amp;$G$3,Vendas!$E$8:$E$2008,"&lt;=30/09/"&amp;$G$3,Vendas!$C$8:$C$2008,"Entregue")+SUMIFS(Vendas!$AE$8:$AE$2008,Vendas!$AB$8:$AB$2008,$B45,Vendas!$E$8:$E$2008,"&gt;=01/09/"&amp;$G$3,Vendas!$E$8:$E$2008,"&lt;=30/09/"&amp;$G$3,Vendas!$C$8:$C$2008,"Entregue")+SUMIFS(Vendas!$AJ$8:$AJ$2008,Vendas!$AG$8:$AG$2008,$B45,Vendas!$E$8:$E$2008,"&gt;=01/09/"&amp;$G$3,Vendas!$E$8:$E$2008,"&lt;=30/09/"&amp;$G$3,Vendas!$C$8:$C$2008,"Entregue")+SUMIFS(Vendas!$AO$8:$AO$2008,Vendas!$AL$8:$AL$2008,$B45,Vendas!$E$8:$E$2008,"&gt;=01/09/"&amp;$G$3,Vendas!$E$8:$E$2008,"&lt;=30/09/"&amp;$G$3,Vendas!$C$8:$C$2008,"Entregue")+SUMIFS(Vendas!$AT$8:$AT$2008,Vendas!$AQ$8:$AQ$2008,$B45,Vendas!$E$8:$E$2008,"&gt;=01/09/"&amp;$G$3,Vendas!$E$8:$E$2008,"&lt;=30/09/"&amp;$G$3,Vendas!$C$8:$C$2008,"Entregue")</f>
        <v>0</v>
      </c>
      <c r="U45" s="159">
        <f>SUMIFS(Vendas!$K$8:$K$2008,Vendas!$H$8:$H$2008,$B45,Vendas!$E$8:$E$2008,"&gt;=01/10/"&amp;$G$3,Vendas!$E$8:$E$2008,"&lt;=31/10/"&amp;$G$3)+SUMIFS(Vendas!$P$8:$P$2008,Vendas!$M$8:$M$2008,$B45,Vendas!$E$8:$E$2008,"&gt;=01/10/"&amp;$G$3,Vendas!$E$8:$E$2008,"&lt;=31/10/"&amp;$G$3)+SUMIFS(Vendas!$U$8:$U$2008,Vendas!$R$8:$R$2008,$B45,Vendas!$E$8:$E$2008,"&gt;=01/10/"&amp;$G$3,Vendas!$E$8:$E$2008,"&lt;=31/10/"&amp;$G$3)+SUMIFS(Vendas!$Z$8:$Z$2008,Vendas!$W$8:$W$2008,$B45,Vendas!$E$8:$E$2008,"&gt;=01/10/"&amp;$G$3,Vendas!$E$8:$E$2008,"&lt;=31/10/"&amp;$G$3)+SUMIFS(Vendas!$AE$8:$AE$2008,Vendas!$AB$8:$AB$2008,$B45,Vendas!$E$8:$E$2008,"&gt;=01/10/"&amp;$G$3,Vendas!$E$8:$E$2008,"&lt;=31/10/"&amp;$G$3)+SUMIFS(Vendas!$AJ$8:$AJ$2008,Vendas!$AG$8:$AG$2008,$B45,Vendas!$E$8:$E$2008,"&gt;=01/10/"&amp;$G$3,Vendas!$E$8:$E$2008,"&lt;=31/10/"&amp;$G$3)+SUMIFS(Vendas!$AO$8:$AO$2008,Vendas!$AL$8:$AL$2008,$B45,Vendas!$E$8:$E$2008,"&gt;=01/10/"&amp;$G$3,Vendas!$E$8:$E$2008,"&lt;=31/10/"&amp;$G$3)+SUMIFS(Vendas!$AT$8:$AT$2008,Vendas!$AQ$8:$AQ$2008,$B45,Vendas!$E$8:$E$2008,"&gt;=01/10/"&amp;$G$3,Vendas!$E$8:$E$2008,"&lt;=31/10/"&amp;$G$3)</f>
        <v>0</v>
      </c>
      <c r="V45" s="159">
        <f>SUMIFS(Vendas!$K$8:$K$2008,Vendas!$H$8:$H$2008,$B45,Vendas!$E$8:$E$2008,"&gt;=01/10/"&amp;$G$3,Vendas!$E$8:$E$2008,"&lt;=31/10/"&amp;$G$3,Vendas!$C$8:$C$2008,"Entregue")+SUMIFS(Vendas!$P$8:$P$2008,Vendas!$M$8:$M$2008,$B45,Vendas!$E$8:$E$2008,"&gt;=01/10/"&amp;$G$3,Vendas!$E$8:$E$2008,"&lt;=31/10/"&amp;$G$3,Vendas!$C$8:$C$2008,"Entregue")+SUMIFS(Vendas!$U$8:$U$2008,Vendas!$R$8:$R$2008,$B45,Vendas!$E$8:$E$2008,"&gt;=01/10/"&amp;$G$3,Vendas!$E$8:$E$2008,"&lt;=31/10/"&amp;$G$3,Vendas!$C$8:$C$2008,"Entregue")+SUMIFS(Vendas!$Z$8:$Z$2008,Vendas!$W$8:$W$2008,$B45,Vendas!$E$8:$E$2008,"&gt;=01/10/"&amp;$G$3,Vendas!$E$8:$E$2008,"&lt;=31/10/"&amp;$G$3,Vendas!$C$8:$C$2008,"Entregue")+SUMIFS(Vendas!$AE$8:$AE$2008,Vendas!$AB$8:$AB$2008,$B45,Vendas!$E$8:$E$2008,"&gt;=01/10/"&amp;$G$3,Vendas!$E$8:$E$2008,"&lt;=31/10/"&amp;$G$3,Vendas!$C$8:$C$2008,"Entregue")+SUMIFS(Vendas!$AJ$8:$AJ$2008,Vendas!$AG$8:$AG$2008,$B45,Vendas!$E$8:$E$2008,"&gt;=01/10/"&amp;$G$3,Vendas!$E$8:$E$2008,"&lt;=31/10/"&amp;$G$3,Vendas!$C$8:$C$2008,"Entregue")+SUMIFS(Vendas!$AO$8:$AO$2008,Vendas!$AL$8:$AL$2008,$B45,Vendas!$E$8:$E$2008,"&gt;=01/10/"&amp;$G$3,Vendas!$E$8:$E$2008,"&lt;=31/10/"&amp;$G$3,Vendas!$C$8:$C$2008,"Entregue")+SUMIFS(Vendas!$AT$8:$AT$2008,Vendas!$AQ$8:$AQ$2008,$B45,Vendas!$E$8:$E$2008,"&gt;=01/10/"&amp;$G$3,Vendas!$E$8:$E$2008,"&lt;=31/10/"&amp;$G$3,Vendas!$C$8:$C$2008,"Entregue")</f>
        <v>0</v>
      </c>
      <c r="W45" s="159">
        <f>SUMIFS(Vendas!$K$8:$K$2008,Vendas!$H$8:$H$2008,$B45,Vendas!$E$8:$E$2008,"&gt;=01/11/"&amp;$G$3,Vendas!$E$8:$E$2008,"&lt;=30/11/"&amp;$G$3)+SUMIFS(Vendas!$P$8:$P$2008,Vendas!$M$8:$M$2008,$B45,Vendas!$E$8:$E$2008,"&gt;=01/11/"&amp;$G$3,Vendas!$E$8:$E$2008,"&lt;=30/11/"&amp;$G$3)+SUMIFS(Vendas!$U$8:$U$2008,Vendas!$R$8:$R$2008,$B45,Vendas!$E$8:$E$2008,"&gt;=01/11/"&amp;$G$3,Vendas!$E$8:$E$2008,"&lt;=30/11/"&amp;$G$3)+SUMIFS(Vendas!$Z$8:$Z$2008,Vendas!$W$8:$W$2008,$B45,Vendas!$E$8:$E$2008,"&gt;=01/11/"&amp;$G$3,Vendas!$E$8:$E$2008,"&lt;=30/11/"&amp;$G$3)+SUMIFS(Vendas!$AE$8:$AE$2008,Vendas!$AB$8:$AB$2008,$B45,Vendas!$E$8:$E$2008,"&gt;=01/11/"&amp;$G$3,Vendas!$E$8:$E$2008,"&lt;=30/11/"&amp;$G$3)+SUMIFS(Vendas!$AJ$8:$AJ$2008,Vendas!$AG$8:$AG$2008,$B45,Vendas!$E$8:$E$2008,"&gt;=01/11/"&amp;$G$3,Vendas!$E$8:$E$2008,"&lt;=30/11/"&amp;$G$3)+SUMIFS(Vendas!$AO$8:$AO$2008,Vendas!$AL$8:$AL$2008,$B45,Vendas!$E$8:$E$2008,"&gt;=01/11/"&amp;$G$3,Vendas!$E$8:$E$2008,"&lt;=30/11/"&amp;$G$3)+SUMIFS(Vendas!$AT$8:$AT$2008,Vendas!$AQ$8:$AQ$2008,$B45,Vendas!$E$8:$E$2008,"&gt;=01/11/"&amp;$G$3,Vendas!$E$8:$E$2008,"&lt;=30/11/"&amp;$G$3)</f>
        <v>0</v>
      </c>
      <c r="X45" s="159">
        <f>SUMIFS(Vendas!$K$8:$K$2008,Vendas!$H$8:$H$2008,$B45,Vendas!$E$8:$E$2008,"&gt;=01/11/"&amp;$G$3,Vendas!$E$8:$E$2008,"&lt;=30/11/"&amp;$G$3,Vendas!$C$8:$C$2008,"Entregue")+SUMIFS(Vendas!$P$8:$P$2008,Vendas!$M$8:$M$2008,$B45,Vendas!$E$8:$E$2008,"&gt;=01/11/"&amp;$G$3,Vendas!$E$8:$E$2008,"&lt;=30/11/"&amp;$G$3,Vendas!$C$8:$C$2008,"Entregue")+SUMIFS(Vendas!$U$8:$U$2008,Vendas!$R$8:$R$2008,$B45,Vendas!$E$8:$E$2008,"&gt;=01/11/"&amp;$G$3,Vendas!$E$8:$E$2008,"&lt;=30/11/"&amp;$G$3,Vendas!$C$8:$C$2008,"Entregue")+SUMIFS(Vendas!$Z$8:$Z$2008,Vendas!$W$8:$W$2008,$B45,Vendas!$E$8:$E$2008,"&gt;=01/11/"&amp;$G$3,Vendas!$E$8:$E$2008,"&lt;=30/11/"&amp;$G$3,Vendas!$C$8:$C$2008,"Entregue")+SUMIFS(Vendas!$AE$8:$AE$2008,Vendas!$AB$8:$AB$2008,$B45,Vendas!$E$8:$E$2008,"&gt;=01/11/"&amp;$G$3,Vendas!$E$8:$E$2008,"&lt;=30/11/"&amp;$G$3,Vendas!$C$8:$C$2008,"Entregue")+SUMIFS(Vendas!$AJ$8:$AJ$2008,Vendas!$AG$8:$AG$2008,$B45,Vendas!$E$8:$E$2008,"&gt;=01/11/"&amp;$G$3,Vendas!$E$8:$E$2008,"&lt;=30/11/"&amp;$G$3,Vendas!$C$8:$C$2008,"Entregue")+SUMIFS(Vendas!$AO$8:$AO$2008,Vendas!$AL$8:$AL$2008,$B45,Vendas!$E$8:$E$2008,"&gt;=01/11/"&amp;$G$3,Vendas!$E$8:$E$2008,"&lt;=30/11/"&amp;$G$3,Vendas!$C$8:$C$2008,"Entregue")+SUMIFS(Vendas!$AT$8:$AT$2008,Vendas!$AQ$8:$AQ$2008,$B45,Vendas!$E$8:$E$2008,"&gt;=01/11/"&amp;$G$3,Vendas!$E$8:$E$2008,"&lt;=30/11/"&amp;$G$3,Vendas!$C$8:$C$2008,"Entregue")</f>
        <v>0</v>
      </c>
      <c r="Y45" s="159">
        <f>SUMIFS(Vendas!$K$8:$K$2008,Vendas!$H$8:$H$2008,$B45,Vendas!$E$8:$E$2008,"&gt;=01/12/"&amp;$G$3,Vendas!$E$8:$E$2008,"&lt;=31/12/"&amp;$G$3)+SUMIFS(Vendas!$P$8:$P$2008,Vendas!$M$8:$M$2008,$B45,Vendas!$E$8:$E$2008,"&gt;=01/12/"&amp;$G$3,Vendas!$E$8:$E$2008,"&lt;=31/12/"&amp;$G$3)+SUMIFS(Vendas!$U$8:$U$2008,Vendas!$R$8:$R$2008,$B45,Vendas!$E$8:$E$2008,"&gt;=01/12/"&amp;$G$3,Vendas!$E$8:$E$2008,"&lt;=31/12/"&amp;$G$3)+SUMIFS(Vendas!$Z$8:$Z$2008,Vendas!$W$8:$W$2008,$B45,Vendas!$E$8:$E$2008,"&gt;=01/12/"&amp;$G$3,Vendas!$E$8:$E$2008,"&lt;=31/12/"&amp;$G$3)+SUMIFS(Vendas!$AE$8:$AE$2008,Vendas!$AB$8:$AB$2008,$B45,Vendas!$E$8:$E$2008,"&gt;=01/12/"&amp;$G$3,Vendas!$E$8:$E$2008,"&lt;=31/12/"&amp;$G$3)+SUMIFS(Vendas!$AJ$8:$AJ$2008,Vendas!$AG$8:$AG$2008,$B45,Vendas!$E$8:$E$2008,"&gt;=01/12/"&amp;$G$3,Vendas!$E$8:$E$2008,"&lt;=31/12/"&amp;$G$3)+SUMIFS(Vendas!$AO$8:$AO$2008,Vendas!$AL$8:$AL$2008,$B45,Vendas!$E$8:$E$2008,"&gt;=01/12/"&amp;$G$3,Vendas!$E$8:$E$2008,"&lt;=31/12/"&amp;$G$3)+SUMIFS(Vendas!$AT$8:$AT$2008,Vendas!$AQ$8:$AQ$2008,$B45,Vendas!$E$8:$E$2008,"&gt;=01/12/"&amp;$G$3,Vendas!$E$8:$E$2008,"&lt;=31/12/"&amp;$G$3)</f>
        <v>0</v>
      </c>
      <c r="Z45" s="160">
        <f>SUMIFS(Vendas!$K$8:$K$2008,Vendas!$H$8:$H$2008,$B45,Vendas!$E$8:$E$2008,"&gt;=01/12/"&amp;$G$3,Vendas!$E$8:$E$2008,"&lt;=31/12/"&amp;$G$3,Vendas!$C$8:$C$2008,"Entregue")+SUMIFS(Vendas!$P$8:$P$2008,Vendas!$M$8:$M$2008,$B45,Vendas!$E$8:$E$2008,"&gt;=01/12/"&amp;$G$3,Vendas!$E$8:$E$2008,"&lt;=31/12/"&amp;$G$3,Vendas!$C$8:$C$2008,"Entregue")+SUMIFS(Vendas!$U$8:$U$2008,Vendas!$R$8:$R$2008,$B45,Vendas!$E$8:$E$2008,"&gt;=01/12/"&amp;$G$3,Vendas!$E$8:$E$2008,"&lt;=31/12/"&amp;$G$3,Vendas!$C$8:$C$2008,"Entregue")+SUMIFS(Vendas!$Z$8:$Z$2008,Vendas!$W$8:$W$2008,$B45,Vendas!$E$8:$E$2008,"&gt;=01/12/"&amp;$G$3,Vendas!$E$8:$E$2008,"&lt;=31/12/"&amp;$G$3,Vendas!$C$8:$C$2008,"Entregue")+SUMIFS(Vendas!$AE$8:$AE$2008,Vendas!$AB$8:$AB$2008,$B45,Vendas!$E$8:$E$2008,"&gt;=01/12/"&amp;$G$3,Vendas!$E$8:$E$2008,"&lt;=31/12/"&amp;$G$3,Vendas!$C$8:$C$2008,"Entregue")+SUMIFS(Vendas!$AJ$8:$AJ$2008,Vendas!$AG$8:$AG$2008,$B45,Vendas!$E$8:$E$2008,"&gt;=01/12/"&amp;$G$3,Vendas!$E$8:$E$2008,"&lt;=31/12/"&amp;$G$3,Vendas!$C$8:$C$2008,"Entregue")+SUMIFS(Vendas!$AO$8:$AO$2008,Vendas!$AL$8:$AL$2008,$B45,Vendas!$E$8:$E$2008,"&gt;=01/12/"&amp;$G$3,Vendas!$E$8:$E$2008,"&lt;=31/12/"&amp;$G$3,Vendas!$C$8:$C$2008,"Entregue")+SUMIFS(Vendas!$AT$8:$AT$2008,Vendas!$AQ$8:$AQ$2008,$B45,Vendas!$E$8:$E$2008,"&gt;=01/12/"&amp;$G$3,Vendas!$E$8:$E$2008,"&lt;=31/12/"&amp;$G$3,Vendas!$C$8:$C$2008,"Entregue")</f>
        <v>0</v>
      </c>
      <c r="AA45" s="132">
        <f t="shared" si="0"/>
        <v>0</v>
      </c>
      <c r="AB45" s="132">
        <f t="shared" si="0"/>
        <v>0</v>
      </c>
      <c r="AC45" s="67"/>
    </row>
    <row r="46" spans="2:29" ht="14.4" x14ac:dyDescent="0.3">
      <c r="B46" s="262" t="str">
        <f>IF(Cadastros!G24="","",Cadastros!G24)</f>
        <v xml:space="preserve">43 - Cama Articulada Zeus Casal 180 X 200 </v>
      </c>
      <c r="C46" s="161">
        <f>SUMIFS(Vendas!$K$8:$K$2008,Vendas!$H$8:$H$2008,$B46,Vendas!$E$8:$E$2008,"&gt;=01/01/"&amp;$G$3,Vendas!$E$8:$E$2008,"&lt;=31/01/"&amp;$G$3)+SUMIFS(Vendas!$P$8:$P$2008,Vendas!$M$8:$M$2008,$B46,Vendas!$E$8:$E$2008,"&gt;=01/01/"&amp;$G$3,Vendas!$E$8:$E$2008,"&lt;=31/01/"&amp;$G$3)+SUMIFS(Vendas!$U$8:$U$2008,Vendas!$R$8:$R$2008,$B46,Vendas!$E$8:$E$2008,"&gt;=01/01/"&amp;$G$3,Vendas!$E$8:$E$2008,"&lt;=31/01/"&amp;$G$3)+SUMIFS(Vendas!$Z$8:$Z$2008,Vendas!$W$8:$W$2008,$B46,Vendas!$E$8:$E$2008,"&gt;=01/01/"&amp;$G$3,Vendas!$E$8:$E$2008,"&lt;=31/01/"&amp;$G$3)+SUMIFS(Vendas!$AE$8:$AE$2008,Vendas!$AB$8:$AB$2008,$B46,Vendas!$E$8:$E$2008,"&gt;=01/01/"&amp;$G$3,Vendas!$E$8:$E$2008,"&lt;=31/01/"&amp;$G$3)+SUMIFS(Vendas!$AJ$8:$AJ$2008,Vendas!$AG$8:$AG$2008,$B46,Vendas!$E$8:$E$2008,"&gt;=01/01/"&amp;$G$3,Vendas!$E$8:$E$2008,"&lt;=31/01/"&amp;$G$3)+SUMIFS(Vendas!$AO$8:$AO$2008,Vendas!$AL$8:$AL$2008,$B46,Vendas!$E$8:$E$2008,"&gt;=01/01/"&amp;$G$3,Vendas!$E$8:$E$2008,"&lt;=31/01/"&amp;$G$3)+SUMIFS(Vendas!$AT$8:$AT$2008,Vendas!$AQ$8:$AQ$2008,$B46,Vendas!$E$8:$E$2008,"&gt;=01/01/"&amp;$G$3,Vendas!$E$8:$E$2008,"&lt;=31/01/"&amp;$G$3)</f>
        <v>0</v>
      </c>
      <c r="D46" s="162">
        <f>SUMIFS(Vendas!$K$8:$K$2008,Vendas!$H$8:$H$2008,$B46,Vendas!$E$8:$E$2008,"&gt;=01/01/"&amp;$G$3,Vendas!$E$8:$E$2008,"&lt;=31/01/"&amp;$G$3,Vendas!$C$8:$C$2008,"Entregue")+SUMIFS(Vendas!$P$8:$P$2008,Vendas!$M$8:$M$2008,$B46,Vendas!$E$8:$E$2008,"&gt;=01/01/"&amp;$G$3,Vendas!$E$8:$E$2008,"&lt;=31/01/"&amp;$G$3,Vendas!$C$8:$C$2008,"Entregue")+SUMIFS(Vendas!$U$8:$U$2008,Vendas!$R$8:$R$2008,$B46,Vendas!$E$8:$E$2008,"&gt;=01/01/"&amp;$G$3,Vendas!$E$8:$E$2008,"&lt;=31/01/"&amp;$G$3,Vendas!$C$8:$C$2008,"Entregue")+SUMIFS(Vendas!$Z$8:$Z$2008,Vendas!$W$8:$W$2008,$B46,Vendas!$E$8:$E$2008,"&gt;=01/01/"&amp;$G$3,Vendas!$E$8:$E$2008,"&lt;=31/01/"&amp;$G$3,Vendas!$C$8:$C$2008,"Entregue")+SUMIFS(Vendas!$AE$8:$AE$2008,Vendas!$AB$8:$AB$2008,$B46,Vendas!$E$8:$E$2008,"&gt;=01/01/"&amp;$G$3,Vendas!$E$8:$E$2008,"&lt;=31/01/"&amp;$G$3,Vendas!$C$8:$C$2008,"Entregue")+SUMIFS(Vendas!$AJ$8:$AJ$2008,Vendas!$AG$8:$AG$2008,$B46,Vendas!$E$8:$E$2008,"&gt;=01/01/"&amp;$G$3,Vendas!$E$8:$E$2008,"&lt;=31/01/"&amp;$G$3,Vendas!$C$8:$C$2008,"Entregue")+SUMIFS(Vendas!$AO$8:$AO$2008,Vendas!$AL$8:$AL$2008,$B46,Vendas!$E$8:$E$2008,"&gt;=01/01/"&amp;$G$3,Vendas!$E$8:$E$2008,"&lt;=31/01/"&amp;$G$3,Vendas!$C$8:$C$2008,"Entregue")+SUMIFS(Vendas!$AT$8:$AT$2008,Vendas!$AQ$8:$AQ$2008,$B46,Vendas!$E$8:$E$2008,"&gt;=01/01/"&amp;$G$3,Vendas!$E$8:$E$2008,"&lt;=31/01/"&amp;$G$3,Vendas!$C$8:$C$2008,"Entregue")</f>
        <v>0</v>
      </c>
      <c r="E46" s="162">
        <f>SUMIFS(Vendas!$K$8:$K$2008,Vendas!$H$8:$H$2008,$B46,Vendas!$E$8:$E$2008,"&gt;=01/02/"&amp;$G$3,Vendas!$E$8:$E$2008,"&lt;=28/02/"&amp;$G$3)+SUMIFS(Vendas!$P$8:$P$2008,Vendas!$M$8:$M$2008,$B46,Vendas!$E$8:$E$2008,"&gt;=01/02/"&amp;$G$3,Vendas!$E$8:$E$2008,"&lt;=28/02/"&amp;$G$3)+SUMIFS(Vendas!$U$8:$U$2008,Vendas!$R$8:$R$2008,$B46,Vendas!$E$8:$E$2008,"&gt;=01/02/"&amp;$G$3,Vendas!$E$8:$E$2008,"&lt;=28/02/"&amp;$G$3)+SUMIFS(Vendas!$Z$8:$Z$2008,Vendas!$W$8:$W$2008,$B46,Vendas!$E$8:$E$2008,"&gt;=01/02/"&amp;$G$3,Vendas!$E$8:$E$2008,"&lt;=28/02/"&amp;$G$3)+SUMIFS(Vendas!$AE$8:$AE$2008,Vendas!$AB$8:$AB$2008,$B46,Vendas!$E$8:$E$2008,"&gt;=01/02/"&amp;$G$3,Vendas!$E$8:$E$2008,"&lt;=28/02/"&amp;$G$3)+SUMIFS(Vendas!$AJ$8:$AJ$2008,Vendas!$AG$8:$AG$2008,$B46,Vendas!$E$8:$E$2008,"&gt;=01/02/"&amp;$G$3,Vendas!$E$8:$E$2008,"&lt;=28/02/"&amp;$G$3)+SUMIFS(Vendas!$AO$8:$AO$2008,Vendas!$AL$8:$AL$2008,$B46,Vendas!$E$8:$E$2008,"&gt;=01/02/"&amp;$G$3,Vendas!$E$8:$E$2008,"&lt;=28/02/"&amp;$G$3)+SUMIFS(Vendas!$AT$8:$AT$2008,Vendas!$AQ$8:$AQ$2008,$B46,Vendas!$E$8:$E$2008,"&gt;=01/02/"&amp;$G$3,Vendas!$E$8:$E$2008,"&lt;=28/02/"&amp;$G$3)</f>
        <v>0</v>
      </c>
      <c r="F46" s="162">
        <f>SUMIFS(Vendas!$K$8:$K$2008,Vendas!$H$8:$H$2008,$B46,Vendas!$E$8:$E$2008,"&gt;=01/02/"&amp;$G$3,Vendas!$E$8:$E$2008,"&lt;=28/02/"&amp;$G$3,Vendas!$C$8:$C$2008,"Entregue")+SUMIFS(Vendas!$P$8:$P$2008,Vendas!$M$8:$M$2008,$B46,Vendas!$E$8:$E$2008,"&gt;=01/02/"&amp;$G$3,Vendas!$E$8:$E$2008,"&lt;=28/02/"&amp;$G$3,Vendas!$C$8:$C$2008,"Entregue")+SUMIFS(Vendas!$U$8:$U$2008,Vendas!$R$8:$R$2008,$B46,Vendas!$E$8:$E$2008,"&gt;=01/02/"&amp;$G$3,Vendas!$E$8:$E$2008,"&lt;=28/02/"&amp;$G$3,Vendas!$C$8:$C$2008,"Entregue")+SUMIFS(Vendas!$Z$8:$Z$2008,Vendas!$W$8:$W$2008,$B46,Vendas!$E$8:$E$2008,"&gt;=01/02/"&amp;$G$3,Vendas!$E$8:$E$2008,"&lt;=28/02/"&amp;$G$3,Vendas!$C$8:$C$2008,"Entregue")+SUMIFS(Vendas!$AE$8:$AE$2008,Vendas!$AB$8:$AB$2008,$B46,Vendas!$E$8:$E$2008,"&gt;=01/02/"&amp;$G$3,Vendas!$E$8:$E$2008,"&lt;=28/02/"&amp;$G$3,Vendas!$C$8:$C$2008,"Entregue")+SUMIFS(Vendas!$AJ$8:$AJ$2008,Vendas!$AG$8:$AG$2008,$B46,Vendas!$E$8:$E$2008,"&gt;=01/02/"&amp;$G$3,Vendas!$E$8:$E$2008,"&lt;=28/02/"&amp;$G$3,Vendas!$C$8:$C$2008,"Entregue")+SUMIFS(Vendas!$AO$8:$AO$2008,Vendas!$AL$8:$AL$2008,$B46,Vendas!$E$8:$E$2008,"&gt;=01/02/"&amp;$G$3,Vendas!$E$8:$E$2008,"&lt;=28/02/"&amp;$G$3,Vendas!$C$8:$C$2008,"Entregue")+SUMIFS(Vendas!$AT$8:$AT$2008,Vendas!$AQ$8:$AQ$2008,$B46,Vendas!$E$8:$E$2008,"&gt;=01/02/"&amp;$G$3,Vendas!$E$8:$E$2008,"&lt;=28/02/"&amp;$G$3,Vendas!$C$8:$C$2008,"Entregue")</f>
        <v>0</v>
      </c>
      <c r="G46" s="162">
        <f>SUMIFS(Vendas!$K$8:$K$2008,Vendas!$H$8:$H$2008,$B46,Vendas!$E$8:$E$2008,"&gt;=01/03/"&amp;$G$3,Vendas!$E$8:$E$2008,"&lt;=31/03/"&amp;$G$3)+SUMIFS(Vendas!$P$8:$P$2008,Vendas!$M$8:$M$2008,$B46,Vendas!$E$8:$E$2008,"&gt;=01/03/"&amp;$G$3,Vendas!$E$8:$E$2008,"&lt;=31/03/"&amp;$G$3)+SUMIFS(Vendas!$U$8:$U$2008,Vendas!$R$8:$R$2008,$B46,Vendas!$E$8:$E$2008,"&gt;=01/03/"&amp;$G$3,Vendas!$E$8:$E$2008,"&lt;=31/03/"&amp;$G$3)+SUMIFS(Vendas!$Z$8:$Z$2008,Vendas!$W$8:$W$2008,$B46,Vendas!$E$8:$E$2008,"&gt;=01/03/"&amp;$G$3,Vendas!$E$8:$E$2008,"&lt;=31/03/"&amp;$G$3)+SUMIFS(Vendas!$AE$8:$AE$2008,Vendas!$AB$8:$AB$2008,$B46,Vendas!$E$8:$E$2008,"&gt;=01/03/"&amp;$G$3,Vendas!$E$8:$E$2008,"&lt;=31/03/"&amp;$G$3)+SUMIFS(Vendas!$AJ$8:$AJ$2008,Vendas!$AG$8:$AG$2008,$B46,Vendas!$E$8:$E$2008,"&gt;=01/03/"&amp;$G$3,Vendas!$E$8:$E$2008,"&lt;=31/03/"&amp;$G$3)+SUMIFS(Vendas!$AO$8:$AO$2008,Vendas!$AL$8:$AL$2008,$B46,Vendas!$E$8:$E$2008,"&gt;=01/03/"&amp;$G$3,Vendas!$E$8:$E$2008,"&lt;=31/03/"&amp;$G$3)+SUMIFS(Vendas!$AT$8:$AT$2008,Vendas!$AQ$8:$AQ$2008,$B46,Vendas!$E$8:$E$2008,"&gt;=01/03/"&amp;$G$3,Vendas!$E$8:$E$2008,"&lt;=31/03/"&amp;$G$3)</f>
        <v>0</v>
      </c>
      <c r="H46" s="162">
        <f>SUMIFS(Vendas!$K$8:$K$2008,Vendas!$H$8:$H$2008,$B46,Vendas!$E$8:$E$2008,"&gt;=01/03/"&amp;$G$3,Vendas!$E$8:$E$2008,"&lt;=31/03/"&amp;$G$3,Vendas!$C$8:$C$2008,"Entregue")+SUMIFS(Vendas!$P$8:$P$2008,Vendas!$M$8:$M$2008,$B46,Vendas!$E$8:$E$2008,"&gt;=01/03/"&amp;$G$3,Vendas!$E$8:$E$2008,"&lt;=31/03/"&amp;$G$3,Vendas!$C$8:$C$2008,"Entregue")+SUMIFS(Vendas!$U$8:$U$2008,Vendas!$R$8:$R$2008,$B46,Vendas!$E$8:$E$2008,"&gt;=01/03/"&amp;$G$3,Vendas!$E$8:$E$2008,"&lt;=31/03/"&amp;$G$3,Vendas!$C$8:$C$2008,"Entregue")+SUMIFS(Vendas!$Z$8:$Z$2008,Vendas!$W$8:$W$2008,$B46,Vendas!$E$8:$E$2008,"&gt;=01/03/"&amp;$G$3,Vendas!$E$8:$E$2008,"&lt;=31/03/"&amp;$G$3,Vendas!$C$8:$C$2008,"Entregue")+SUMIFS(Vendas!$AE$8:$AE$2008,Vendas!$AB$8:$AB$2008,$B46,Vendas!$E$8:$E$2008,"&gt;=01/03/"&amp;$G$3,Vendas!$E$8:$E$2008,"&lt;=31/03/"&amp;$G$3,Vendas!$C$8:$C$2008,"Entregue")+SUMIFS(Vendas!$AJ$8:$AJ$2008,Vendas!$AG$8:$AG$2008,$B46,Vendas!$E$8:$E$2008,"&gt;=01/03/"&amp;$G$3,Vendas!$E$8:$E$2008,"&lt;=31/03/"&amp;$G$3,Vendas!$C$8:$C$2008,"Entregue")+SUMIFS(Vendas!$AO$8:$AO$2008,Vendas!$AL$8:$AL$2008,$B46,Vendas!$E$8:$E$2008,"&gt;=01/03/"&amp;$G$3,Vendas!$E$8:$E$2008,"&lt;=31/03/"&amp;$G$3,Vendas!$C$8:$C$2008,"Entregue")+SUMIFS(Vendas!$AT$8:$AT$2008,Vendas!$AQ$8:$AQ$2008,$B46,Vendas!$E$8:$E$2008,"&gt;=01/03/"&amp;$G$3,Vendas!$E$8:$E$2008,"&lt;=31/03/"&amp;$G$3,Vendas!$C$8:$C$2008,"Entregue")</f>
        <v>0</v>
      </c>
      <c r="I46" s="162">
        <f>SUMIFS(Vendas!$K$8:$K$2008,Vendas!$H$8:$H$2008,$B46,Vendas!$E$8:$E$2008,"&gt;=01/04/"&amp;$G$3,Vendas!$E$8:$E$2008,"&lt;=30/04/"&amp;$G$3)+SUMIFS(Vendas!$P$8:$P$2008,Vendas!$M$8:$M$2008,$B46,Vendas!$E$8:$E$2008,"&gt;=01/04/"&amp;$G$3,Vendas!$E$8:$E$2008,"&lt;=30/04/"&amp;$G$3)+SUMIFS(Vendas!$U$8:$U$2008,Vendas!$R$8:$R$2008,$B46,Vendas!$E$8:$E$2008,"&gt;=01/04/"&amp;$G$3,Vendas!$E$8:$E$2008,"&lt;=30/04/"&amp;$G$3)+SUMIFS(Vendas!$Z$8:$Z$2008,Vendas!$W$8:$W$2008,$B46,Vendas!$E$8:$E$2008,"&gt;=01/04/"&amp;$G$3,Vendas!$E$8:$E$2008,"&lt;=30/04/"&amp;$G$3)+SUMIFS(Vendas!$AE$8:$AE$2008,Vendas!$AB$8:$AB$2008,$B46,Vendas!$E$8:$E$2008,"&gt;=01/04/"&amp;$G$3,Vendas!$E$8:$E$2008,"&lt;=30/04/"&amp;$G$3)+SUMIFS(Vendas!$AJ$8:$AJ$2008,Vendas!$AG$8:$AG$2008,$B46,Vendas!$E$8:$E$2008,"&gt;=01/04/"&amp;$G$3,Vendas!$E$8:$E$2008,"&lt;=30/04/"&amp;$G$3)+SUMIFS(Vendas!$AO$8:$AO$2008,Vendas!$AL$8:$AL$2008,$B46,Vendas!$E$8:$E$2008,"&gt;=01/04/"&amp;$G$3,Vendas!$E$8:$E$2008,"&lt;=30/04/"&amp;$G$3)+SUMIFS(Vendas!$AT$8:$AT$2008,Vendas!$AQ$8:$AQ$2008,$B46,Vendas!$E$8:$E$2008,"&gt;=01/04/"&amp;$G$3,Vendas!$E$8:$E$2008,"&lt;=30/04/"&amp;$G$3)</f>
        <v>0</v>
      </c>
      <c r="J46" s="162">
        <f>SUMIFS(Vendas!$K$8:$K$2008,Vendas!$H$8:$H$2008,$B46,Vendas!$E$8:$E$2008,"&gt;=01/04/"&amp;$G$3,Vendas!$E$8:$E$2008,"&lt;=30/04/"&amp;$G$3,Vendas!$C$8:$C$2008,"Entregue")+SUMIFS(Vendas!$P$8:$P$2008,Vendas!$M$8:$M$2008,$B46,Vendas!$E$8:$E$2008,"&gt;=01/04/"&amp;$G$3,Vendas!$E$8:$E$2008,"&lt;=30/04/"&amp;$G$3,Vendas!$C$8:$C$2008,"Entregue")+SUMIFS(Vendas!$U$8:$U$2008,Vendas!$R$8:$R$2008,$B46,Vendas!$E$8:$E$2008,"&gt;=01/04/"&amp;$G$3,Vendas!$E$8:$E$2008,"&lt;=30/04/"&amp;$G$3,Vendas!$C$8:$C$2008,"Entregue")+SUMIFS(Vendas!$Z$8:$Z$2008,Vendas!$W$8:$W$2008,$B46,Vendas!$E$8:$E$2008,"&gt;=01/04/"&amp;$G$3,Vendas!$E$8:$E$2008,"&lt;=30/04/"&amp;$G$3,Vendas!$C$8:$C$2008,"Entregue")+SUMIFS(Vendas!$AE$8:$AE$2008,Vendas!$AB$8:$AB$2008,$B46,Vendas!$E$8:$E$2008,"&gt;=01/04/"&amp;$G$3,Vendas!$E$8:$E$2008,"&lt;=30/04/"&amp;$G$3,Vendas!$C$8:$C$2008,"Entregue")+SUMIFS(Vendas!$AJ$8:$AJ$2008,Vendas!$AG$8:$AG$2008,$B46,Vendas!$E$8:$E$2008,"&gt;=01/04/"&amp;$G$3,Vendas!$E$8:$E$2008,"&lt;=30/04/"&amp;$G$3,Vendas!$C$8:$C$2008,"Entregue")+SUMIFS(Vendas!$AO$8:$AO$2008,Vendas!$AL$8:$AL$2008,$B46,Vendas!$E$8:$E$2008,"&gt;=01/04/"&amp;$G$3,Vendas!$E$8:$E$2008,"&lt;=30/04/"&amp;$G$3,Vendas!$C$8:$C$2008,"Entregue")+SUMIFS(Vendas!$AT$8:$AT$2008,Vendas!$AQ$8:$AQ$2008,$B46,Vendas!$E$8:$E$2008,"&gt;=01/04/"&amp;$G$3,Vendas!$E$8:$E$2008,"&lt;=30/04/"&amp;$G$3,Vendas!$C$8:$C$2008,"Entregue")</f>
        <v>0</v>
      </c>
      <c r="K46" s="162">
        <f>SUMIFS(Vendas!$K$8:$K$2008,Vendas!$H$8:$H$2008,$B46,Vendas!$E$8:$E$2008,"&gt;=01/05/"&amp;$G$3,Vendas!$E$8:$E$2008,"&lt;=31/05/"&amp;$G$3)+SUMIFS(Vendas!$P$8:$P$2008,Vendas!$M$8:$M$2008,$B46,Vendas!$E$8:$E$2008,"&gt;=01/05/"&amp;$G$3,Vendas!$E$8:$E$2008,"&lt;=31/05/"&amp;$G$3)+SUMIFS(Vendas!$U$8:$U$2008,Vendas!$R$8:$R$2008,$B46,Vendas!$E$8:$E$2008,"&gt;=01/05/"&amp;$G$3,Vendas!$E$8:$E$2008,"&lt;=31/05/"&amp;$G$3)+SUMIFS(Vendas!$Z$8:$Z$2008,Vendas!$W$8:$W$2008,$B46,Vendas!$E$8:$E$2008,"&gt;=01/05/"&amp;$G$3,Vendas!$E$8:$E$2008,"&lt;=31/05/"&amp;$G$3)+SUMIFS(Vendas!$AE$8:$AE$2008,Vendas!$AB$8:$AB$2008,$B46,Vendas!$E$8:$E$2008,"&gt;=01/05/"&amp;$G$3,Vendas!$E$8:$E$2008,"&lt;=31/05/"&amp;$G$3)+SUMIFS(Vendas!$AJ$8:$AJ$2008,Vendas!$AG$8:$AG$2008,$B46,Vendas!$E$8:$E$2008,"&gt;=01/05/"&amp;$G$3,Vendas!$E$8:$E$2008,"&lt;=31/05/"&amp;$G$3)+SUMIFS(Vendas!$AO$8:$AO$2008,Vendas!$AL$8:$AL$2008,$B46,Vendas!$E$8:$E$2008,"&gt;=01/05/"&amp;$G$3,Vendas!$E$8:$E$2008,"&lt;=31/05/"&amp;$G$3)+SUMIFS(Vendas!$AT$8:$AT$2008,Vendas!$AQ$8:$AQ$2008,$B46,Vendas!$E$8:$E$2008,"&gt;=01/05/"&amp;$G$3,Vendas!$E$8:$E$2008,"&lt;=31/05/"&amp;$G$3)</f>
        <v>0</v>
      </c>
      <c r="L46" s="162">
        <f>SUMIFS(Vendas!$K$8:$K$2008,Vendas!$H$8:$H$2008,$B46,Vendas!$E$8:$E$2008,"&gt;=01/05/"&amp;$G$3,Vendas!$E$8:$E$2008,"&lt;=31/05/"&amp;$G$3,Vendas!$C$8:$C$2008,"Entregue")+SUMIFS(Vendas!$P$8:$P$2008,Vendas!$M$8:$M$2008,$B46,Vendas!$E$8:$E$2008,"&gt;=01/05/"&amp;$G$3,Vendas!$E$8:$E$2008,"&lt;=31/05/"&amp;$G$3,Vendas!$C$8:$C$2008,"Entregue")+SUMIFS(Vendas!$U$8:$U$2008,Vendas!$R$8:$R$2008,$B46,Vendas!$E$8:$E$2008,"&gt;=01/05/"&amp;$G$3,Vendas!$E$8:$E$2008,"&lt;=31/05/"&amp;$G$3,Vendas!$C$8:$C$2008,"Entregue")+SUMIFS(Vendas!$Z$8:$Z$2008,Vendas!$W$8:$W$2008,$B46,Vendas!$E$8:$E$2008,"&gt;=01/05/"&amp;$G$3,Vendas!$E$8:$E$2008,"&lt;=31/05/"&amp;$G$3,Vendas!$C$8:$C$2008,"Entregue")+SUMIFS(Vendas!$AE$8:$AE$2008,Vendas!$AB$8:$AB$2008,$B46,Vendas!$E$8:$E$2008,"&gt;=01/05/"&amp;$G$3,Vendas!$E$8:$E$2008,"&lt;=31/05/"&amp;$G$3,Vendas!$C$8:$C$2008,"Entregue")+SUMIFS(Vendas!$AJ$8:$AJ$2008,Vendas!$AG$8:$AG$2008,$B46,Vendas!$E$8:$E$2008,"&gt;=01/05/"&amp;$G$3,Vendas!$E$8:$E$2008,"&lt;=31/05/"&amp;$G$3,Vendas!$C$8:$C$2008,"Entregue")+SUMIFS(Vendas!$AO$8:$AO$2008,Vendas!$AL$8:$AL$2008,$B46,Vendas!$E$8:$E$2008,"&gt;=01/05/"&amp;$G$3,Vendas!$E$8:$E$2008,"&lt;=31/05/"&amp;$G$3,Vendas!$C$8:$C$2008,"Entregue")+SUMIFS(Vendas!$AT$8:$AT$2008,Vendas!$AQ$8:$AQ$2008,$B46,Vendas!$E$8:$E$2008,"&gt;=01/05/"&amp;$G$3,Vendas!$E$8:$E$2008,"&lt;=31/05/"&amp;$G$3,Vendas!$C$8:$C$2008,"Entregue")</f>
        <v>0</v>
      </c>
      <c r="M46" s="162">
        <f>SUMIFS(Vendas!$K$8:$K$2008,Vendas!$H$8:$H$2008,$B46,Vendas!$E$8:$E$2008,"&gt;=01/06/"&amp;$G$3,Vendas!$E$8:$E$2008,"&lt;=30/06/"&amp;$G$3)+SUMIFS(Vendas!$P$8:$P$2008,Vendas!$M$8:$M$2008,$B46,Vendas!$E$8:$E$2008,"&gt;=01/06/"&amp;$G$3,Vendas!$E$8:$E$2008,"&lt;=30/06/"&amp;$G$3)+SUMIFS(Vendas!$U$8:$U$2008,Vendas!$R$8:$R$2008,$B46,Vendas!$E$8:$E$2008,"&gt;=01/06/"&amp;$G$3,Vendas!$E$8:$E$2008,"&lt;=30/06/"&amp;$G$3)+SUMIFS(Vendas!$Z$8:$Z$2008,Vendas!$W$8:$W$2008,$B46,Vendas!$E$8:$E$2008,"&gt;=01/06/"&amp;$G$3,Vendas!$E$8:$E$2008,"&lt;=30/06/"&amp;$G$3)+SUMIFS(Vendas!$AE$8:$AE$2008,Vendas!$AB$8:$AB$2008,$B46,Vendas!$E$8:$E$2008,"&gt;=01/06/"&amp;$G$3,Vendas!$E$8:$E$2008,"&lt;=30/06/"&amp;$G$3)+SUMIFS(Vendas!$AJ$8:$AJ$2008,Vendas!$AG$8:$AG$2008,$B46,Vendas!$E$8:$E$2008,"&gt;=01/06/"&amp;$G$3,Vendas!$E$8:$E$2008,"&lt;=30/06/"&amp;$G$3)+SUMIFS(Vendas!$AO$8:$AO$2008,Vendas!$AL$8:$AL$2008,$B46,Vendas!$E$8:$E$2008,"&gt;=01/06/"&amp;$G$3,Vendas!$E$8:$E$2008,"&lt;=30/06/"&amp;$G$3)+SUMIFS(Vendas!$AT$8:$AT$2008,Vendas!$AQ$8:$AQ$2008,$B46,Vendas!$E$8:$E$2008,"&gt;=01/06/"&amp;$G$3,Vendas!$E$8:$E$2008,"&lt;=30/06/"&amp;$G$3)</f>
        <v>0</v>
      </c>
      <c r="N46" s="162">
        <f>SUMIFS(Vendas!$K$8:$K$2008,Vendas!$H$8:$H$2008,$B46,Vendas!$E$8:$E$2008,"&gt;=01/06/"&amp;$G$3,Vendas!$E$8:$E$2008,"&lt;=30/06/"&amp;$G$3,Vendas!$C$8:$C$2008,"Entregue")+SUMIFS(Vendas!$P$8:$P$2008,Vendas!$M$8:$M$2008,$B46,Vendas!$E$8:$E$2008,"&gt;=01/06/"&amp;$G$3,Vendas!$E$8:$E$2008,"&lt;=30/06/"&amp;$G$3,Vendas!$C$8:$C$2008,"Entregue")+SUMIFS(Vendas!$U$8:$U$2008,Vendas!$R$8:$R$2008,$B46,Vendas!$E$8:$E$2008,"&gt;=01/06/"&amp;$G$3,Vendas!$E$8:$E$2008,"&lt;=30/06/"&amp;$G$3,Vendas!$C$8:$C$2008,"Entregue")+SUMIFS(Vendas!$Z$8:$Z$2008,Vendas!$W$8:$W$2008,$B46,Vendas!$E$8:$E$2008,"&gt;=01/06/"&amp;$G$3,Vendas!$E$8:$E$2008,"&lt;=30/06/"&amp;$G$3,Vendas!$C$8:$C$2008,"Entregue")+SUMIFS(Vendas!$AE$8:$AE$2008,Vendas!$AB$8:$AB$2008,$B46,Vendas!$E$8:$E$2008,"&gt;=01/06/"&amp;$G$3,Vendas!$E$8:$E$2008,"&lt;=30/06/"&amp;$G$3,Vendas!$C$8:$C$2008,"Entregue")+SUMIFS(Vendas!$AJ$8:$AJ$2008,Vendas!$AG$8:$AG$2008,$B46,Vendas!$E$8:$E$2008,"&gt;=01/06/"&amp;$G$3,Vendas!$E$8:$E$2008,"&lt;=30/06/"&amp;$G$3,Vendas!$C$8:$C$2008,"Entregue")+SUMIFS(Vendas!$AO$8:$AO$2008,Vendas!$AL$8:$AL$2008,$B46,Vendas!$E$8:$E$2008,"&gt;=01/06/"&amp;$G$3,Vendas!$E$8:$E$2008,"&lt;=30/06/"&amp;$G$3,Vendas!$C$8:$C$2008,"Entregue")+SUMIFS(Vendas!$AT$8:$AT$2008,Vendas!$AQ$8:$AQ$2008,$B46,Vendas!$E$8:$E$2008,"&gt;=01/06/"&amp;$G$3,Vendas!$E$8:$E$2008,"&lt;=30/06/"&amp;$G$3,Vendas!$C$8:$C$2008,"Entregue")</f>
        <v>0</v>
      </c>
      <c r="O46" s="162">
        <f>SUMIFS(Vendas!$K$8:$K$2008,Vendas!$H$8:$H$2008,$B46,Vendas!$E$8:$E$2008,"&gt;=01/07/"&amp;$G$3,Vendas!$E$8:$E$2008,"&lt;=31/07/"&amp;$G$3)+SUMIFS(Vendas!$P$8:$P$2008,Vendas!$M$8:$M$2008,$B46,Vendas!$E$8:$E$2008,"&gt;=01/07/"&amp;$G$3,Vendas!$E$8:$E$2008,"&lt;=31/07/"&amp;$G$3)+SUMIFS(Vendas!$U$8:$U$2008,Vendas!$R$8:$R$2008,$B46,Vendas!$E$8:$E$2008,"&gt;=01/07/"&amp;$G$3,Vendas!$E$8:$E$2008,"&lt;=31/07/"&amp;$G$3)+SUMIFS(Vendas!$Z$8:$Z$2008,Vendas!$W$8:$W$2008,$B46,Vendas!$E$8:$E$2008,"&gt;=01/07/"&amp;$G$3,Vendas!$E$8:$E$2008,"&lt;=31/07/"&amp;$G$3)+SUMIFS(Vendas!$AE$8:$AE$2008,Vendas!$AB$8:$AB$2008,$B46,Vendas!$E$8:$E$2008,"&gt;=01/07/"&amp;$G$3,Vendas!$E$8:$E$2008,"&lt;=31/07/"&amp;$G$3)+SUMIFS(Vendas!$AJ$8:$AJ$2008,Vendas!$AG$8:$AG$2008,$B46,Vendas!$E$8:$E$2008,"&gt;=01/07/"&amp;$G$3,Vendas!$E$8:$E$2008,"&lt;=31/07/"&amp;$G$3)+SUMIFS(Vendas!$AO$8:$AO$2008,Vendas!$AL$8:$AL$2008,$B46,Vendas!$E$8:$E$2008,"&gt;=01/07/"&amp;$G$3,Vendas!$E$8:$E$2008,"&lt;=31/07/"&amp;$G$3)+SUMIFS(Vendas!$AT$8:$AT$2008,Vendas!$AQ$8:$AQ$2008,$B46,Vendas!$E$8:$E$2008,"&gt;=01/07/"&amp;$G$3,Vendas!$E$8:$E$2008,"&lt;=31/07/"&amp;$G$3)</f>
        <v>0</v>
      </c>
      <c r="P46" s="162">
        <f>SUMIFS(Vendas!$K$8:$K$2008,Vendas!$H$8:$H$2008,$B46,Vendas!$E$8:$E$2008,"&gt;=01/07/"&amp;$G$3,Vendas!$E$8:$E$2008,"&lt;=31/07/"&amp;$G$3,Vendas!$C$8:$C$2008,"Entregue")+SUMIFS(Vendas!$P$8:$P$2008,Vendas!$M$8:$M$2008,$B46,Vendas!$E$8:$E$2008,"&gt;=01/07/"&amp;$G$3,Vendas!$E$8:$E$2008,"&lt;=31/07/"&amp;$G$3,Vendas!$C$8:$C$2008,"Entregue")+SUMIFS(Vendas!$U$8:$U$2008,Vendas!$R$8:$R$2008,$B46,Vendas!$E$8:$E$2008,"&gt;=01/07/"&amp;$G$3,Vendas!$E$8:$E$2008,"&lt;=31/07/"&amp;$G$3,Vendas!$C$8:$C$2008,"Entregue")+SUMIFS(Vendas!$Z$8:$Z$2008,Vendas!$W$8:$W$2008,$B46,Vendas!$E$8:$E$2008,"&gt;=01/07/"&amp;$G$3,Vendas!$E$8:$E$2008,"&lt;=31/07/"&amp;$G$3,Vendas!$C$8:$C$2008,"Entregue")+SUMIFS(Vendas!$AE$8:$AE$2008,Vendas!$AB$8:$AB$2008,$B46,Vendas!$E$8:$E$2008,"&gt;=01/07/"&amp;$G$3,Vendas!$E$8:$E$2008,"&lt;=31/07/"&amp;$G$3,Vendas!$C$8:$C$2008,"Entregue")+SUMIFS(Vendas!$AJ$8:$AJ$2008,Vendas!$AG$8:$AG$2008,$B46,Vendas!$E$8:$E$2008,"&gt;=01/07/"&amp;$G$3,Vendas!$E$8:$E$2008,"&lt;=31/07/"&amp;$G$3,Vendas!$C$8:$C$2008,"Entregue")+SUMIFS(Vendas!$AO$8:$AO$2008,Vendas!$AL$8:$AL$2008,$B46,Vendas!$E$8:$E$2008,"&gt;=01/07/"&amp;$G$3,Vendas!$E$8:$E$2008,"&lt;=31/07/"&amp;$G$3,Vendas!$C$8:$C$2008,"Entregue")+SUMIFS(Vendas!$AT$8:$AT$2008,Vendas!$AQ$8:$AQ$2008,$B46,Vendas!$E$8:$E$2008,"&gt;=01/07/"&amp;$G$3,Vendas!$E$8:$E$2008,"&lt;=31/07/"&amp;$G$3,Vendas!$C$8:$C$2008,"Entregue")</f>
        <v>0</v>
      </c>
      <c r="Q46" s="162">
        <f>SUMIFS(Vendas!$K$8:$K$2008,Vendas!$H$8:$H$2008,$B46,Vendas!$E$8:$E$2008,"&gt;=01/08/"&amp;$G$3,Vendas!$E$8:$E$2008,"&lt;=31/08/"&amp;$G$3)+SUMIFS(Vendas!$P$8:$P$2008,Vendas!$M$8:$M$2008,$B46,Vendas!$E$8:$E$2008,"&gt;=01/08/"&amp;$G$3,Vendas!$E$8:$E$2008,"&lt;=31/08/"&amp;$G$3)+SUMIFS(Vendas!$U$8:$U$2008,Vendas!$R$8:$R$2008,$B46,Vendas!$E$8:$E$2008,"&gt;=01/08/"&amp;$G$3,Vendas!$E$8:$E$2008,"&lt;=31/08/"&amp;$G$3)+SUMIFS(Vendas!$Z$8:$Z$2008,Vendas!$W$8:$W$2008,$B46,Vendas!$E$8:$E$2008,"&gt;=01/08/"&amp;$G$3,Vendas!$E$8:$E$2008,"&lt;=31/08/"&amp;$G$3)+SUMIFS(Vendas!$AE$8:$AE$2008,Vendas!$AB$8:$AB$2008,$B46,Vendas!$E$8:$E$2008,"&gt;=01/08/"&amp;$G$3,Vendas!$E$8:$E$2008,"&lt;=31/08/"&amp;$G$3)+SUMIFS(Vendas!$AJ$8:$AJ$2008,Vendas!$AG$8:$AG$2008,$B46,Vendas!$E$8:$E$2008,"&gt;=01/08/"&amp;$G$3,Vendas!$E$8:$E$2008,"&lt;=31/08/"&amp;$G$3)+SUMIFS(Vendas!$AO$8:$AO$2008,Vendas!$AL$8:$AL$2008,$B46,Vendas!$E$8:$E$2008,"&gt;=01/08/"&amp;$G$3,Vendas!$E$8:$E$2008,"&lt;=31/08/"&amp;$G$3)+SUMIFS(Vendas!$AT$8:$AT$2008,Vendas!$AQ$8:$AQ$2008,$B46,Vendas!$E$8:$E$2008,"&gt;=01/08/"&amp;$G$3,Vendas!$E$8:$E$2008,"&lt;=31/08/"&amp;$G$3)</f>
        <v>0</v>
      </c>
      <c r="R46" s="162">
        <f>SUMIFS(Vendas!$K$8:$K$2008,Vendas!$H$8:$H$2008,$B46,Vendas!$E$8:$E$2008,"&gt;=01/08/"&amp;$G$3,Vendas!$E$8:$E$2008,"&lt;=31/08/"&amp;$G$3,Vendas!$C$8:$C$2008,"Entregue")+SUMIFS(Vendas!$P$8:$P$2008,Vendas!$M$8:$M$2008,$B46,Vendas!$E$8:$E$2008,"&gt;=01/08/"&amp;$G$3,Vendas!$E$8:$E$2008,"&lt;=31/08/"&amp;$G$3,Vendas!$C$8:$C$2008,"Entregue")+SUMIFS(Vendas!$U$8:$U$2008,Vendas!$R$8:$R$2008,$B46,Vendas!$E$8:$E$2008,"&gt;=01/08/"&amp;$G$3,Vendas!$E$8:$E$2008,"&lt;=31/08/"&amp;$G$3,Vendas!$C$8:$C$2008,"Entregue")+SUMIFS(Vendas!$Z$8:$Z$2008,Vendas!$W$8:$W$2008,$B46,Vendas!$E$8:$E$2008,"&gt;=01/08/"&amp;$G$3,Vendas!$E$8:$E$2008,"&lt;=31/08/"&amp;$G$3,Vendas!$C$8:$C$2008,"Entregue")+SUMIFS(Vendas!$AE$8:$AE$2008,Vendas!$AB$8:$AB$2008,$B46,Vendas!$E$8:$E$2008,"&gt;=01/08/"&amp;$G$3,Vendas!$E$8:$E$2008,"&lt;=31/08/"&amp;$G$3,Vendas!$C$8:$C$2008,"Entregue")+SUMIFS(Vendas!$AJ$8:$AJ$2008,Vendas!$AG$8:$AG$2008,$B46,Vendas!$E$8:$E$2008,"&gt;=01/08/"&amp;$G$3,Vendas!$E$8:$E$2008,"&lt;=31/08/"&amp;$G$3,Vendas!$C$8:$C$2008,"Entregue")+SUMIFS(Vendas!$AO$8:$AO$2008,Vendas!$AL$8:$AL$2008,$B46,Vendas!$E$8:$E$2008,"&gt;=01/08/"&amp;$G$3,Vendas!$E$8:$E$2008,"&lt;=31/08/"&amp;$G$3,Vendas!$C$8:$C$2008,"Entregue")+SUMIFS(Vendas!$AT$8:$AT$2008,Vendas!$AQ$8:$AQ$2008,$B46,Vendas!$E$8:$E$2008,"&gt;=01/08/"&amp;$G$3,Vendas!$E$8:$E$2008,"&lt;=31/08/"&amp;$G$3,Vendas!$C$8:$C$2008,"Entregue")</f>
        <v>0</v>
      </c>
      <c r="S46" s="162">
        <f>SUMIFS(Vendas!$K$8:$K$2008,Vendas!$H$8:$H$2008,$B46,Vendas!$E$8:$E$2008,"&gt;=01/09/"&amp;$G$3,Vendas!$E$8:$E$2008,"&lt;=30/09/"&amp;$G$3)+SUMIFS(Vendas!$P$8:$P$2008,Vendas!$M$8:$M$2008,$B46,Vendas!$E$8:$E$2008,"&gt;=01/09/"&amp;$G$3,Vendas!$E$8:$E$2008,"&lt;=30/09/"&amp;$G$3)+SUMIFS(Vendas!$U$8:$U$2008,Vendas!$R$8:$R$2008,$B46,Vendas!$E$8:$E$2008,"&gt;=01/09/"&amp;$G$3,Vendas!$E$8:$E$2008,"&lt;=30/09/"&amp;$G$3)+SUMIFS(Vendas!$Z$8:$Z$2008,Vendas!$W$8:$W$2008,$B46,Vendas!$E$8:$E$2008,"&gt;=01/09/"&amp;$G$3,Vendas!$E$8:$E$2008,"&lt;=30/09/"&amp;$G$3)+SUMIFS(Vendas!$AE$8:$AE$2008,Vendas!$AB$8:$AB$2008,$B46,Vendas!$E$8:$E$2008,"&gt;=01/09/"&amp;$G$3,Vendas!$E$8:$E$2008,"&lt;=30/09/"&amp;$G$3)+SUMIFS(Vendas!$AJ$8:$AJ$2008,Vendas!$AG$8:$AG$2008,$B46,Vendas!$E$8:$E$2008,"&gt;=01/09/"&amp;$G$3,Vendas!$E$8:$E$2008,"&lt;=30/09/"&amp;$G$3)+SUMIFS(Vendas!$AO$8:$AO$2008,Vendas!$AL$8:$AL$2008,$B46,Vendas!$E$8:$E$2008,"&gt;=01/09/"&amp;$G$3,Vendas!$E$8:$E$2008,"&lt;=30/09/"&amp;$G$3)+SUMIFS(Vendas!$AT$8:$AT$2008,Vendas!$AQ$8:$AQ$2008,$B46,Vendas!$E$8:$E$2008,"&gt;=01/09/"&amp;$G$3,Vendas!$E$8:$E$2008,"&lt;=30/09/"&amp;$G$3)</f>
        <v>0</v>
      </c>
      <c r="T46" s="162">
        <f>SUMIFS(Vendas!$K$8:$K$2008,Vendas!$H$8:$H$2008,$B46,Vendas!$E$8:$E$2008,"&gt;=01/09/"&amp;$G$3,Vendas!$E$8:$E$2008,"&lt;=30/09/"&amp;$G$3,Vendas!$C$8:$C$2008,"Entregue")+SUMIFS(Vendas!$P$8:$P$2008,Vendas!$M$8:$M$2008,$B46,Vendas!$E$8:$E$2008,"&gt;=01/09/"&amp;$G$3,Vendas!$E$8:$E$2008,"&lt;=30/09/"&amp;$G$3,Vendas!$C$8:$C$2008,"Entregue")+SUMIFS(Vendas!$U$8:$U$2008,Vendas!$R$8:$R$2008,$B46,Vendas!$E$8:$E$2008,"&gt;=01/09/"&amp;$G$3,Vendas!$E$8:$E$2008,"&lt;=30/09/"&amp;$G$3,Vendas!$C$8:$C$2008,"Entregue")+SUMIFS(Vendas!$Z$8:$Z$2008,Vendas!$W$8:$W$2008,$B46,Vendas!$E$8:$E$2008,"&gt;=01/09/"&amp;$G$3,Vendas!$E$8:$E$2008,"&lt;=30/09/"&amp;$G$3,Vendas!$C$8:$C$2008,"Entregue")+SUMIFS(Vendas!$AE$8:$AE$2008,Vendas!$AB$8:$AB$2008,$B46,Vendas!$E$8:$E$2008,"&gt;=01/09/"&amp;$G$3,Vendas!$E$8:$E$2008,"&lt;=30/09/"&amp;$G$3,Vendas!$C$8:$C$2008,"Entregue")+SUMIFS(Vendas!$AJ$8:$AJ$2008,Vendas!$AG$8:$AG$2008,$B46,Vendas!$E$8:$E$2008,"&gt;=01/09/"&amp;$G$3,Vendas!$E$8:$E$2008,"&lt;=30/09/"&amp;$G$3,Vendas!$C$8:$C$2008,"Entregue")+SUMIFS(Vendas!$AO$8:$AO$2008,Vendas!$AL$8:$AL$2008,$B46,Vendas!$E$8:$E$2008,"&gt;=01/09/"&amp;$G$3,Vendas!$E$8:$E$2008,"&lt;=30/09/"&amp;$G$3,Vendas!$C$8:$C$2008,"Entregue")+SUMIFS(Vendas!$AT$8:$AT$2008,Vendas!$AQ$8:$AQ$2008,$B46,Vendas!$E$8:$E$2008,"&gt;=01/09/"&amp;$G$3,Vendas!$E$8:$E$2008,"&lt;=30/09/"&amp;$G$3,Vendas!$C$8:$C$2008,"Entregue")</f>
        <v>0</v>
      </c>
      <c r="U46" s="162">
        <f>SUMIFS(Vendas!$K$8:$K$2008,Vendas!$H$8:$H$2008,$B46,Vendas!$E$8:$E$2008,"&gt;=01/10/"&amp;$G$3,Vendas!$E$8:$E$2008,"&lt;=31/10/"&amp;$G$3)+SUMIFS(Vendas!$P$8:$P$2008,Vendas!$M$8:$M$2008,$B46,Vendas!$E$8:$E$2008,"&gt;=01/10/"&amp;$G$3,Vendas!$E$8:$E$2008,"&lt;=31/10/"&amp;$G$3)+SUMIFS(Vendas!$U$8:$U$2008,Vendas!$R$8:$R$2008,$B46,Vendas!$E$8:$E$2008,"&gt;=01/10/"&amp;$G$3,Vendas!$E$8:$E$2008,"&lt;=31/10/"&amp;$G$3)+SUMIFS(Vendas!$Z$8:$Z$2008,Vendas!$W$8:$W$2008,$B46,Vendas!$E$8:$E$2008,"&gt;=01/10/"&amp;$G$3,Vendas!$E$8:$E$2008,"&lt;=31/10/"&amp;$G$3)+SUMIFS(Vendas!$AE$8:$AE$2008,Vendas!$AB$8:$AB$2008,$B46,Vendas!$E$8:$E$2008,"&gt;=01/10/"&amp;$G$3,Vendas!$E$8:$E$2008,"&lt;=31/10/"&amp;$G$3)+SUMIFS(Vendas!$AJ$8:$AJ$2008,Vendas!$AG$8:$AG$2008,$B46,Vendas!$E$8:$E$2008,"&gt;=01/10/"&amp;$G$3,Vendas!$E$8:$E$2008,"&lt;=31/10/"&amp;$G$3)+SUMIFS(Vendas!$AO$8:$AO$2008,Vendas!$AL$8:$AL$2008,$B46,Vendas!$E$8:$E$2008,"&gt;=01/10/"&amp;$G$3,Vendas!$E$8:$E$2008,"&lt;=31/10/"&amp;$G$3)+SUMIFS(Vendas!$AT$8:$AT$2008,Vendas!$AQ$8:$AQ$2008,$B46,Vendas!$E$8:$E$2008,"&gt;=01/10/"&amp;$G$3,Vendas!$E$8:$E$2008,"&lt;=31/10/"&amp;$G$3)</f>
        <v>0</v>
      </c>
      <c r="V46" s="162">
        <f>SUMIFS(Vendas!$K$8:$K$2008,Vendas!$H$8:$H$2008,$B46,Vendas!$E$8:$E$2008,"&gt;=01/10/"&amp;$G$3,Vendas!$E$8:$E$2008,"&lt;=31/10/"&amp;$G$3,Vendas!$C$8:$C$2008,"Entregue")+SUMIFS(Vendas!$P$8:$P$2008,Vendas!$M$8:$M$2008,$B46,Vendas!$E$8:$E$2008,"&gt;=01/10/"&amp;$G$3,Vendas!$E$8:$E$2008,"&lt;=31/10/"&amp;$G$3,Vendas!$C$8:$C$2008,"Entregue")+SUMIFS(Vendas!$U$8:$U$2008,Vendas!$R$8:$R$2008,$B46,Vendas!$E$8:$E$2008,"&gt;=01/10/"&amp;$G$3,Vendas!$E$8:$E$2008,"&lt;=31/10/"&amp;$G$3,Vendas!$C$8:$C$2008,"Entregue")+SUMIFS(Vendas!$Z$8:$Z$2008,Vendas!$W$8:$W$2008,$B46,Vendas!$E$8:$E$2008,"&gt;=01/10/"&amp;$G$3,Vendas!$E$8:$E$2008,"&lt;=31/10/"&amp;$G$3,Vendas!$C$8:$C$2008,"Entregue")+SUMIFS(Vendas!$AE$8:$AE$2008,Vendas!$AB$8:$AB$2008,$B46,Vendas!$E$8:$E$2008,"&gt;=01/10/"&amp;$G$3,Vendas!$E$8:$E$2008,"&lt;=31/10/"&amp;$G$3,Vendas!$C$8:$C$2008,"Entregue")+SUMIFS(Vendas!$AJ$8:$AJ$2008,Vendas!$AG$8:$AG$2008,$B46,Vendas!$E$8:$E$2008,"&gt;=01/10/"&amp;$G$3,Vendas!$E$8:$E$2008,"&lt;=31/10/"&amp;$G$3,Vendas!$C$8:$C$2008,"Entregue")+SUMIFS(Vendas!$AO$8:$AO$2008,Vendas!$AL$8:$AL$2008,$B46,Vendas!$E$8:$E$2008,"&gt;=01/10/"&amp;$G$3,Vendas!$E$8:$E$2008,"&lt;=31/10/"&amp;$G$3,Vendas!$C$8:$C$2008,"Entregue")+SUMIFS(Vendas!$AT$8:$AT$2008,Vendas!$AQ$8:$AQ$2008,$B46,Vendas!$E$8:$E$2008,"&gt;=01/10/"&amp;$G$3,Vendas!$E$8:$E$2008,"&lt;=31/10/"&amp;$G$3,Vendas!$C$8:$C$2008,"Entregue")</f>
        <v>0</v>
      </c>
      <c r="W46" s="162">
        <f>SUMIFS(Vendas!$K$8:$K$2008,Vendas!$H$8:$H$2008,$B46,Vendas!$E$8:$E$2008,"&gt;=01/11/"&amp;$G$3,Vendas!$E$8:$E$2008,"&lt;=30/11/"&amp;$G$3)+SUMIFS(Vendas!$P$8:$P$2008,Vendas!$M$8:$M$2008,$B46,Vendas!$E$8:$E$2008,"&gt;=01/11/"&amp;$G$3,Vendas!$E$8:$E$2008,"&lt;=30/11/"&amp;$G$3)+SUMIFS(Vendas!$U$8:$U$2008,Vendas!$R$8:$R$2008,$B46,Vendas!$E$8:$E$2008,"&gt;=01/11/"&amp;$G$3,Vendas!$E$8:$E$2008,"&lt;=30/11/"&amp;$G$3)+SUMIFS(Vendas!$Z$8:$Z$2008,Vendas!$W$8:$W$2008,$B46,Vendas!$E$8:$E$2008,"&gt;=01/11/"&amp;$G$3,Vendas!$E$8:$E$2008,"&lt;=30/11/"&amp;$G$3)+SUMIFS(Vendas!$AE$8:$AE$2008,Vendas!$AB$8:$AB$2008,$B46,Vendas!$E$8:$E$2008,"&gt;=01/11/"&amp;$G$3,Vendas!$E$8:$E$2008,"&lt;=30/11/"&amp;$G$3)+SUMIFS(Vendas!$AJ$8:$AJ$2008,Vendas!$AG$8:$AG$2008,$B46,Vendas!$E$8:$E$2008,"&gt;=01/11/"&amp;$G$3,Vendas!$E$8:$E$2008,"&lt;=30/11/"&amp;$G$3)+SUMIFS(Vendas!$AO$8:$AO$2008,Vendas!$AL$8:$AL$2008,$B46,Vendas!$E$8:$E$2008,"&gt;=01/11/"&amp;$G$3,Vendas!$E$8:$E$2008,"&lt;=30/11/"&amp;$G$3)+SUMIFS(Vendas!$AT$8:$AT$2008,Vendas!$AQ$8:$AQ$2008,$B46,Vendas!$E$8:$E$2008,"&gt;=01/11/"&amp;$G$3,Vendas!$E$8:$E$2008,"&lt;=30/11/"&amp;$G$3)</f>
        <v>0</v>
      </c>
      <c r="X46" s="162">
        <f>SUMIFS(Vendas!$K$8:$K$2008,Vendas!$H$8:$H$2008,$B46,Vendas!$E$8:$E$2008,"&gt;=01/11/"&amp;$G$3,Vendas!$E$8:$E$2008,"&lt;=30/11/"&amp;$G$3,Vendas!$C$8:$C$2008,"Entregue")+SUMIFS(Vendas!$P$8:$P$2008,Vendas!$M$8:$M$2008,$B46,Vendas!$E$8:$E$2008,"&gt;=01/11/"&amp;$G$3,Vendas!$E$8:$E$2008,"&lt;=30/11/"&amp;$G$3,Vendas!$C$8:$C$2008,"Entregue")+SUMIFS(Vendas!$U$8:$U$2008,Vendas!$R$8:$R$2008,$B46,Vendas!$E$8:$E$2008,"&gt;=01/11/"&amp;$G$3,Vendas!$E$8:$E$2008,"&lt;=30/11/"&amp;$G$3,Vendas!$C$8:$C$2008,"Entregue")+SUMIFS(Vendas!$Z$8:$Z$2008,Vendas!$W$8:$W$2008,$B46,Vendas!$E$8:$E$2008,"&gt;=01/11/"&amp;$G$3,Vendas!$E$8:$E$2008,"&lt;=30/11/"&amp;$G$3,Vendas!$C$8:$C$2008,"Entregue")+SUMIFS(Vendas!$AE$8:$AE$2008,Vendas!$AB$8:$AB$2008,$B46,Vendas!$E$8:$E$2008,"&gt;=01/11/"&amp;$G$3,Vendas!$E$8:$E$2008,"&lt;=30/11/"&amp;$G$3,Vendas!$C$8:$C$2008,"Entregue")+SUMIFS(Vendas!$AJ$8:$AJ$2008,Vendas!$AG$8:$AG$2008,$B46,Vendas!$E$8:$E$2008,"&gt;=01/11/"&amp;$G$3,Vendas!$E$8:$E$2008,"&lt;=30/11/"&amp;$G$3,Vendas!$C$8:$C$2008,"Entregue")+SUMIFS(Vendas!$AO$8:$AO$2008,Vendas!$AL$8:$AL$2008,$B46,Vendas!$E$8:$E$2008,"&gt;=01/11/"&amp;$G$3,Vendas!$E$8:$E$2008,"&lt;=30/11/"&amp;$G$3,Vendas!$C$8:$C$2008,"Entregue")+SUMIFS(Vendas!$AT$8:$AT$2008,Vendas!$AQ$8:$AQ$2008,$B46,Vendas!$E$8:$E$2008,"&gt;=01/11/"&amp;$G$3,Vendas!$E$8:$E$2008,"&lt;=30/11/"&amp;$G$3,Vendas!$C$8:$C$2008,"Entregue")</f>
        <v>0</v>
      </c>
      <c r="Y46" s="162">
        <f>SUMIFS(Vendas!$K$8:$K$2008,Vendas!$H$8:$H$2008,$B46,Vendas!$E$8:$E$2008,"&gt;=01/12/"&amp;$G$3,Vendas!$E$8:$E$2008,"&lt;=31/12/"&amp;$G$3)+SUMIFS(Vendas!$P$8:$P$2008,Vendas!$M$8:$M$2008,$B46,Vendas!$E$8:$E$2008,"&gt;=01/12/"&amp;$G$3,Vendas!$E$8:$E$2008,"&lt;=31/12/"&amp;$G$3)+SUMIFS(Vendas!$U$8:$U$2008,Vendas!$R$8:$R$2008,$B46,Vendas!$E$8:$E$2008,"&gt;=01/12/"&amp;$G$3,Vendas!$E$8:$E$2008,"&lt;=31/12/"&amp;$G$3)+SUMIFS(Vendas!$Z$8:$Z$2008,Vendas!$W$8:$W$2008,$B46,Vendas!$E$8:$E$2008,"&gt;=01/12/"&amp;$G$3,Vendas!$E$8:$E$2008,"&lt;=31/12/"&amp;$G$3)+SUMIFS(Vendas!$AE$8:$AE$2008,Vendas!$AB$8:$AB$2008,$B46,Vendas!$E$8:$E$2008,"&gt;=01/12/"&amp;$G$3,Vendas!$E$8:$E$2008,"&lt;=31/12/"&amp;$G$3)+SUMIFS(Vendas!$AJ$8:$AJ$2008,Vendas!$AG$8:$AG$2008,$B46,Vendas!$E$8:$E$2008,"&gt;=01/12/"&amp;$G$3,Vendas!$E$8:$E$2008,"&lt;=31/12/"&amp;$G$3)+SUMIFS(Vendas!$AO$8:$AO$2008,Vendas!$AL$8:$AL$2008,$B46,Vendas!$E$8:$E$2008,"&gt;=01/12/"&amp;$G$3,Vendas!$E$8:$E$2008,"&lt;=31/12/"&amp;$G$3)+SUMIFS(Vendas!$AT$8:$AT$2008,Vendas!$AQ$8:$AQ$2008,$B46,Vendas!$E$8:$E$2008,"&gt;=01/12/"&amp;$G$3,Vendas!$E$8:$E$2008,"&lt;=31/12/"&amp;$G$3)</f>
        <v>0</v>
      </c>
      <c r="Z46" s="163">
        <f>SUMIFS(Vendas!$K$8:$K$2008,Vendas!$H$8:$H$2008,$B46,Vendas!$E$8:$E$2008,"&gt;=01/12/"&amp;$G$3,Vendas!$E$8:$E$2008,"&lt;=31/12/"&amp;$G$3,Vendas!$C$8:$C$2008,"Entregue")+SUMIFS(Vendas!$P$8:$P$2008,Vendas!$M$8:$M$2008,$B46,Vendas!$E$8:$E$2008,"&gt;=01/12/"&amp;$G$3,Vendas!$E$8:$E$2008,"&lt;=31/12/"&amp;$G$3,Vendas!$C$8:$C$2008,"Entregue")+SUMIFS(Vendas!$U$8:$U$2008,Vendas!$R$8:$R$2008,$B46,Vendas!$E$8:$E$2008,"&gt;=01/12/"&amp;$G$3,Vendas!$E$8:$E$2008,"&lt;=31/12/"&amp;$G$3,Vendas!$C$8:$C$2008,"Entregue")+SUMIFS(Vendas!$Z$8:$Z$2008,Vendas!$W$8:$W$2008,$B46,Vendas!$E$8:$E$2008,"&gt;=01/12/"&amp;$G$3,Vendas!$E$8:$E$2008,"&lt;=31/12/"&amp;$G$3,Vendas!$C$8:$C$2008,"Entregue")+SUMIFS(Vendas!$AE$8:$AE$2008,Vendas!$AB$8:$AB$2008,$B46,Vendas!$E$8:$E$2008,"&gt;=01/12/"&amp;$G$3,Vendas!$E$8:$E$2008,"&lt;=31/12/"&amp;$G$3,Vendas!$C$8:$C$2008,"Entregue")+SUMIFS(Vendas!$AJ$8:$AJ$2008,Vendas!$AG$8:$AG$2008,$B46,Vendas!$E$8:$E$2008,"&gt;=01/12/"&amp;$G$3,Vendas!$E$8:$E$2008,"&lt;=31/12/"&amp;$G$3,Vendas!$C$8:$C$2008,"Entregue")+SUMIFS(Vendas!$AO$8:$AO$2008,Vendas!$AL$8:$AL$2008,$B46,Vendas!$E$8:$E$2008,"&gt;=01/12/"&amp;$G$3,Vendas!$E$8:$E$2008,"&lt;=31/12/"&amp;$G$3,Vendas!$C$8:$C$2008,"Entregue")+SUMIFS(Vendas!$AT$8:$AT$2008,Vendas!$AQ$8:$AQ$2008,$B46,Vendas!$E$8:$E$2008,"&gt;=01/12/"&amp;$G$3,Vendas!$E$8:$E$2008,"&lt;=31/12/"&amp;$G$3,Vendas!$C$8:$C$2008,"Entregue")</f>
        <v>0</v>
      </c>
      <c r="AA46" s="132">
        <f t="shared" si="0"/>
        <v>0</v>
      </c>
      <c r="AB46" s="132">
        <f t="shared" si="0"/>
        <v>0</v>
      </c>
      <c r="AC46" s="67"/>
    </row>
    <row r="47" spans="2:29" ht="14.4" x14ac:dyDescent="0.3">
      <c r="B47" s="262" t="str">
        <f>IF(Cadastros!G25="","",Cadastros!G25)</f>
        <v xml:space="preserve">41 - Cama Articulada Zeus Solt 0,90 X 2,00 X 41 </v>
      </c>
      <c r="C47" s="158">
        <f>SUMIFS(Vendas!$K$8:$K$2008,Vendas!$H$8:$H$2008,$B47,Vendas!$E$8:$E$2008,"&gt;=01/01/"&amp;$G$3,Vendas!$E$8:$E$2008,"&lt;=31/01/"&amp;$G$3)+SUMIFS(Vendas!$P$8:$P$2008,Vendas!$M$8:$M$2008,$B47,Vendas!$E$8:$E$2008,"&gt;=01/01/"&amp;$G$3,Vendas!$E$8:$E$2008,"&lt;=31/01/"&amp;$G$3)+SUMIFS(Vendas!$U$8:$U$2008,Vendas!$R$8:$R$2008,$B47,Vendas!$E$8:$E$2008,"&gt;=01/01/"&amp;$G$3,Vendas!$E$8:$E$2008,"&lt;=31/01/"&amp;$G$3)+SUMIFS(Vendas!$Z$8:$Z$2008,Vendas!$W$8:$W$2008,$B47,Vendas!$E$8:$E$2008,"&gt;=01/01/"&amp;$G$3,Vendas!$E$8:$E$2008,"&lt;=31/01/"&amp;$G$3)+SUMIFS(Vendas!$AE$8:$AE$2008,Vendas!$AB$8:$AB$2008,$B47,Vendas!$E$8:$E$2008,"&gt;=01/01/"&amp;$G$3,Vendas!$E$8:$E$2008,"&lt;=31/01/"&amp;$G$3)+SUMIFS(Vendas!$AJ$8:$AJ$2008,Vendas!$AG$8:$AG$2008,$B47,Vendas!$E$8:$E$2008,"&gt;=01/01/"&amp;$G$3,Vendas!$E$8:$E$2008,"&lt;=31/01/"&amp;$G$3)+SUMIFS(Vendas!$AO$8:$AO$2008,Vendas!$AL$8:$AL$2008,$B47,Vendas!$E$8:$E$2008,"&gt;=01/01/"&amp;$G$3,Vendas!$E$8:$E$2008,"&lt;=31/01/"&amp;$G$3)+SUMIFS(Vendas!$AT$8:$AT$2008,Vendas!$AQ$8:$AQ$2008,$B47,Vendas!$E$8:$E$2008,"&gt;=01/01/"&amp;$G$3,Vendas!$E$8:$E$2008,"&lt;=31/01/"&amp;$G$3)</f>
        <v>0</v>
      </c>
      <c r="D47" s="159">
        <f>SUMIFS(Vendas!$K$8:$K$2008,Vendas!$H$8:$H$2008,$B47,Vendas!$E$8:$E$2008,"&gt;=01/01/"&amp;$G$3,Vendas!$E$8:$E$2008,"&lt;=31/01/"&amp;$G$3,Vendas!$C$8:$C$2008,"Entregue")+SUMIFS(Vendas!$P$8:$P$2008,Vendas!$M$8:$M$2008,$B47,Vendas!$E$8:$E$2008,"&gt;=01/01/"&amp;$G$3,Vendas!$E$8:$E$2008,"&lt;=31/01/"&amp;$G$3,Vendas!$C$8:$C$2008,"Entregue")+SUMIFS(Vendas!$U$8:$U$2008,Vendas!$R$8:$R$2008,$B47,Vendas!$E$8:$E$2008,"&gt;=01/01/"&amp;$G$3,Vendas!$E$8:$E$2008,"&lt;=31/01/"&amp;$G$3,Vendas!$C$8:$C$2008,"Entregue")+SUMIFS(Vendas!$Z$8:$Z$2008,Vendas!$W$8:$W$2008,$B47,Vendas!$E$8:$E$2008,"&gt;=01/01/"&amp;$G$3,Vendas!$E$8:$E$2008,"&lt;=31/01/"&amp;$G$3,Vendas!$C$8:$C$2008,"Entregue")+SUMIFS(Vendas!$AE$8:$AE$2008,Vendas!$AB$8:$AB$2008,$B47,Vendas!$E$8:$E$2008,"&gt;=01/01/"&amp;$G$3,Vendas!$E$8:$E$2008,"&lt;=31/01/"&amp;$G$3,Vendas!$C$8:$C$2008,"Entregue")+SUMIFS(Vendas!$AJ$8:$AJ$2008,Vendas!$AG$8:$AG$2008,$B47,Vendas!$E$8:$E$2008,"&gt;=01/01/"&amp;$G$3,Vendas!$E$8:$E$2008,"&lt;=31/01/"&amp;$G$3,Vendas!$C$8:$C$2008,"Entregue")+SUMIFS(Vendas!$AO$8:$AO$2008,Vendas!$AL$8:$AL$2008,$B47,Vendas!$E$8:$E$2008,"&gt;=01/01/"&amp;$G$3,Vendas!$E$8:$E$2008,"&lt;=31/01/"&amp;$G$3,Vendas!$C$8:$C$2008,"Entregue")+SUMIFS(Vendas!$AT$8:$AT$2008,Vendas!$AQ$8:$AQ$2008,$B47,Vendas!$E$8:$E$2008,"&gt;=01/01/"&amp;$G$3,Vendas!$E$8:$E$2008,"&lt;=31/01/"&amp;$G$3,Vendas!$C$8:$C$2008,"Entregue")</f>
        <v>0</v>
      </c>
      <c r="E47" s="159">
        <f>SUMIFS(Vendas!$K$8:$K$2008,Vendas!$H$8:$H$2008,$B47,Vendas!$E$8:$E$2008,"&gt;=01/02/"&amp;$G$3,Vendas!$E$8:$E$2008,"&lt;=28/02/"&amp;$G$3)+SUMIFS(Vendas!$P$8:$P$2008,Vendas!$M$8:$M$2008,$B47,Vendas!$E$8:$E$2008,"&gt;=01/02/"&amp;$G$3,Vendas!$E$8:$E$2008,"&lt;=28/02/"&amp;$G$3)+SUMIFS(Vendas!$U$8:$U$2008,Vendas!$R$8:$R$2008,$B47,Vendas!$E$8:$E$2008,"&gt;=01/02/"&amp;$G$3,Vendas!$E$8:$E$2008,"&lt;=28/02/"&amp;$G$3)+SUMIFS(Vendas!$Z$8:$Z$2008,Vendas!$W$8:$W$2008,$B47,Vendas!$E$8:$E$2008,"&gt;=01/02/"&amp;$G$3,Vendas!$E$8:$E$2008,"&lt;=28/02/"&amp;$G$3)+SUMIFS(Vendas!$AE$8:$AE$2008,Vendas!$AB$8:$AB$2008,$B47,Vendas!$E$8:$E$2008,"&gt;=01/02/"&amp;$G$3,Vendas!$E$8:$E$2008,"&lt;=28/02/"&amp;$G$3)+SUMIFS(Vendas!$AJ$8:$AJ$2008,Vendas!$AG$8:$AG$2008,$B47,Vendas!$E$8:$E$2008,"&gt;=01/02/"&amp;$G$3,Vendas!$E$8:$E$2008,"&lt;=28/02/"&amp;$G$3)+SUMIFS(Vendas!$AO$8:$AO$2008,Vendas!$AL$8:$AL$2008,$B47,Vendas!$E$8:$E$2008,"&gt;=01/02/"&amp;$G$3,Vendas!$E$8:$E$2008,"&lt;=28/02/"&amp;$G$3)+SUMIFS(Vendas!$AT$8:$AT$2008,Vendas!$AQ$8:$AQ$2008,$B47,Vendas!$E$8:$E$2008,"&gt;=01/02/"&amp;$G$3,Vendas!$E$8:$E$2008,"&lt;=28/02/"&amp;$G$3)</f>
        <v>0</v>
      </c>
      <c r="F47" s="159">
        <f>SUMIFS(Vendas!$K$8:$K$2008,Vendas!$H$8:$H$2008,$B47,Vendas!$E$8:$E$2008,"&gt;=01/02/"&amp;$G$3,Vendas!$E$8:$E$2008,"&lt;=28/02/"&amp;$G$3,Vendas!$C$8:$C$2008,"Entregue")+SUMIFS(Vendas!$P$8:$P$2008,Vendas!$M$8:$M$2008,$B47,Vendas!$E$8:$E$2008,"&gt;=01/02/"&amp;$G$3,Vendas!$E$8:$E$2008,"&lt;=28/02/"&amp;$G$3,Vendas!$C$8:$C$2008,"Entregue")+SUMIFS(Vendas!$U$8:$U$2008,Vendas!$R$8:$R$2008,$B47,Vendas!$E$8:$E$2008,"&gt;=01/02/"&amp;$G$3,Vendas!$E$8:$E$2008,"&lt;=28/02/"&amp;$G$3,Vendas!$C$8:$C$2008,"Entregue")+SUMIFS(Vendas!$Z$8:$Z$2008,Vendas!$W$8:$W$2008,$B47,Vendas!$E$8:$E$2008,"&gt;=01/02/"&amp;$G$3,Vendas!$E$8:$E$2008,"&lt;=28/02/"&amp;$G$3,Vendas!$C$8:$C$2008,"Entregue")+SUMIFS(Vendas!$AE$8:$AE$2008,Vendas!$AB$8:$AB$2008,$B47,Vendas!$E$8:$E$2008,"&gt;=01/02/"&amp;$G$3,Vendas!$E$8:$E$2008,"&lt;=28/02/"&amp;$G$3,Vendas!$C$8:$C$2008,"Entregue")+SUMIFS(Vendas!$AJ$8:$AJ$2008,Vendas!$AG$8:$AG$2008,$B47,Vendas!$E$8:$E$2008,"&gt;=01/02/"&amp;$G$3,Vendas!$E$8:$E$2008,"&lt;=28/02/"&amp;$G$3,Vendas!$C$8:$C$2008,"Entregue")+SUMIFS(Vendas!$AO$8:$AO$2008,Vendas!$AL$8:$AL$2008,$B47,Vendas!$E$8:$E$2008,"&gt;=01/02/"&amp;$G$3,Vendas!$E$8:$E$2008,"&lt;=28/02/"&amp;$G$3,Vendas!$C$8:$C$2008,"Entregue")+SUMIFS(Vendas!$AT$8:$AT$2008,Vendas!$AQ$8:$AQ$2008,$B47,Vendas!$E$8:$E$2008,"&gt;=01/02/"&amp;$G$3,Vendas!$E$8:$E$2008,"&lt;=28/02/"&amp;$G$3,Vendas!$C$8:$C$2008,"Entregue")</f>
        <v>0</v>
      </c>
      <c r="G47" s="159">
        <f>SUMIFS(Vendas!$K$8:$K$2008,Vendas!$H$8:$H$2008,$B47,Vendas!$E$8:$E$2008,"&gt;=01/03/"&amp;$G$3,Vendas!$E$8:$E$2008,"&lt;=31/03/"&amp;$G$3)+SUMIFS(Vendas!$P$8:$P$2008,Vendas!$M$8:$M$2008,$B47,Vendas!$E$8:$E$2008,"&gt;=01/03/"&amp;$G$3,Vendas!$E$8:$E$2008,"&lt;=31/03/"&amp;$G$3)+SUMIFS(Vendas!$U$8:$U$2008,Vendas!$R$8:$R$2008,$B47,Vendas!$E$8:$E$2008,"&gt;=01/03/"&amp;$G$3,Vendas!$E$8:$E$2008,"&lt;=31/03/"&amp;$G$3)+SUMIFS(Vendas!$Z$8:$Z$2008,Vendas!$W$8:$W$2008,$B47,Vendas!$E$8:$E$2008,"&gt;=01/03/"&amp;$G$3,Vendas!$E$8:$E$2008,"&lt;=31/03/"&amp;$G$3)+SUMIFS(Vendas!$AE$8:$AE$2008,Vendas!$AB$8:$AB$2008,$B47,Vendas!$E$8:$E$2008,"&gt;=01/03/"&amp;$G$3,Vendas!$E$8:$E$2008,"&lt;=31/03/"&amp;$G$3)+SUMIFS(Vendas!$AJ$8:$AJ$2008,Vendas!$AG$8:$AG$2008,$B47,Vendas!$E$8:$E$2008,"&gt;=01/03/"&amp;$G$3,Vendas!$E$8:$E$2008,"&lt;=31/03/"&amp;$G$3)+SUMIFS(Vendas!$AO$8:$AO$2008,Vendas!$AL$8:$AL$2008,$B47,Vendas!$E$8:$E$2008,"&gt;=01/03/"&amp;$G$3,Vendas!$E$8:$E$2008,"&lt;=31/03/"&amp;$G$3)+SUMIFS(Vendas!$AT$8:$AT$2008,Vendas!$AQ$8:$AQ$2008,$B47,Vendas!$E$8:$E$2008,"&gt;=01/03/"&amp;$G$3,Vendas!$E$8:$E$2008,"&lt;=31/03/"&amp;$G$3)</f>
        <v>0</v>
      </c>
      <c r="H47" s="159">
        <f>SUMIFS(Vendas!$K$8:$K$2008,Vendas!$H$8:$H$2008,$B47,Vendas!$E$8:$E$2008,"&gt;=01/03/"&amp;$G$3,Vendas!$E$8:$E$2008,"&lt;=31/03/"&amp;$G$3,Vendas!$C$8:$C$2008,"Entregue")+SUMIFS(Vendas!$P$8:$P$2008,Vendas!$M$8:$M$2008,$B47,Vendas!$E$8:$E$2008,"&gt;=01/03/"&amp;$G$3,Vendas!$E$8:$E$2008,"&lt;=31/03/"&amp;$G$3,Vendas!$C$8:$C$2008,"Entregue")+SUMIFS(Vendas!$U$8:$U$2008,Vendas!$R$8:$R$2008,$B47,Vendas!$E$8:$E$2008,"&gt;=01/03/"&amp;$G$3,Vendas!$E$8:$E$2008,"&lt;=31/03/"&amp;$G$3,Vendas!$C$8:$C$2008,"Entregue")+SUMIFS(Vendas!$Z$8:$Z$2008,Vendas!$W$8:$W$2008,$B47,Vendas!$E$8:$E$2008,"&gt;=01/03/"&amp;$G$3,Vendas!$E$8:$E$2008,"&lt;=31/03/"&amp;$G$3,Vendas!$C$8:$C$2008,"Entregue")+SUMIFS(Vendas!$AE$8:$AE$2008,Vendas!$AB$8:$AB$2008,$B47,Vendas!$E$8:$E$2008,"&gt;=01/03/"&amp;$G$3,Vendas!$E$8:$E$2008,"&lt;=31/03/"&amp;$G$3,Vendas!$C$8:$C$2008,"Entregue")+SUMIFS(Vendas!$AJ$8:$AJ$2008,Vendas!$AG$8:$AG$2008,$B47,Vendas!$E$8:$E$2008,"&gt;=01/03/"&amp;$G$3,Vendas!$E$8:$E$2008,"&lt;=31/03/"&amp;$G$3,Vendas!$C$8:$C$2008,"Entregue")+SUMIFS(Vendas!$AO$8:$AO$2008,Vendas!$AL$8:$AL$2008,$B47,Vendas!$E$8:$E$2008,"&gt;=01/03/"&amp;$G$3,Vendas!$E$8:$E$2008,"&lt;=31/03/"&amp;$G$3,Vendas!$C$8:$C$2008,"Entregue")+SUMIFS(Vendas!$AT$8:$AT$2008,Vendas!$AQ$8:$AQ$2008,$B47,Vendas!$E$8:$E$2008,"&gt;=01/03/"&amp;$G$3,Vendas!$E$8:$E$2008,"&lt;=31/03/"&amp;$G$3,Vendas!$C$8:$C$2008,"Entregue")</f>
        <v>0</v>
      </c>
      <c r="I47" s="159">
        <f>SUMIFS(Vendas!$K$8:$K$2008,Vendas!$H$8:$H$2008,$B47,Vendas!$E$8:$E$2008,"&gt;=01/04/"&amp;$G$3,Vendas!$E$8:$E$2008,"&lt;=30/04/"&amp;$G$3)+SUMIFS(Vendas!$P$8:$P$2008,Vendas!$M$8:$M$2008,$B47,Vendas!$E$8:$E$2008,"&gt;=01/04/"&amp;$G$3,Vendas!$E$8:$E$2008,"&lt;=30/04/"&amp;$G$3)+SUMIFS(Vendas!$U$8:$U$2008,Vendas!$R$8:$R$2008,$B47,Vendas!$E$8:$E$2008,"&gt;=01/04/"&amp;$G$3,Vendas!$E$8:$E$2008,"&lt;=30/04/"&amp;$G$3)+SUMIFS(Vendas!$Z$8:$Z$2008,Vendas!$W$8:$W$2008,$B47,Vendas!$E$8:$E$2008,"&gt;=01/04/"&amp;$G$3,Vendas!$E$8:$E$2008,"&lt;=30/04/"&amp;$G$3)+SUMIFS(Vendas!$AE$8:$AE$2008,Vendas!$AB$8:$AB$2008,$B47,Vendas!$E$8:$E$2008,"&gt;=01/04/"&amp;$G$3,Vendas!$E$8:$E$2008,"&lt;=30/04/"&amp;$G$3)+SUMIFS(Vendas!$AJ$8:$AJ$2008,Vendas!$AG$8:$AG$2008,$B47,Vendas!$E$8:$E$2008,"&gt;=01/04/"&amp;$G$3,Vendas!$E$8:$E$2008,"&lt;=30/04/"&amp;$G$3)+SUMIFS(Vendas!$AO$8:$AO$2008,Vendas!$AL$8:$AL$2008,$B47,Vendas!$E$8:$E$2008,"&gt;=01/04/"&amp;$G$3,Vendas!$E$8:$E$2008,"&lt;=30/04/"&amp;$G$3)+SUMIFS(Vendas!$AT$8:$AT$2008,Vendas!$AQ$8:$AQ$2008,$B47,Vendas!$E$8:$E$2008,"&gt;=01/04/"&amp;$G$3,Vendas!$E$8:$E$2008,"&lt;=30/04/"&amp;$G$3)</f>
        <v>0</v>
      </c>
      <c r="J47" s="159">
        <f>SUMIFS(Vendas!$K$8:$K$2008,Vendas!$H$8:$H$2008,$B47,Vendas!$E$8:$E$2008,"&gt;=01/04/"&amp;$G$3,Vendas!$E$8:$E$2008,"&lt;=30/04/"&amp;$G$3,Vendas!$C$8:$C$2008,"Entregue")+SUMIFS(Vendas!$P$8:$P$2008,Vendas!$M$8:$M$2008,$B47,Vendas!$E$8:$E$2008,"&gt;=01/04/"&amp;$G$3,Vendas!$E$8:$E$2008,"&lt;=30/04/"&amp;$G$3,Vendas!$C$8:$C$2008,"Entregue")+SUMIFS(Vendas!$U$8:$U$2008,Vendas!$R$8:$R$2008,$B47,Vendas!$E$8:$E$2008,"&gt;=01/04/"&amp;$G$3,Vendas!$E$8:$E$2008,"&lt;=30/04/"&amp;$G$3,Vendas!$C$8:$C$2008,"Entregue")+SUMIFS(Vendas!$Z$8:$Z$2008,Vendas!$W$8:$W$2008,$B47,Vendas!$E$8:$E$2008,"&gt;=01/04/"&amp;$G$3,Vendas!$E$8:$E$2008,"&lt;=30/04/"&amp;$G$3,Vendas!$C$8:$C$2008,"Entregue")+SUMIFS(Vendas!$AE$8:$AE$2008,Vendas!$AB$8:$AB$2008,$B47,Vendas!$E$8:$E$2008,"&gt;=01/04/"&amp;$G$3,Vendas!$E$8:$E$2008,"&lt;=30/04/"&amp;$G$3,Vendas!$C$8:$C$2008,"Entregue")+SUMIFS(Vendas!$AJ$8:$AJ$2008,Vendas!$AG$8:$AG$2008,$B47,Vendas!$E$8:$E$2008,"&gt;=01/04/"&amp;$G$3,Vendas!$E$8:$E$2008,"&lt;=30/04/"&amp;$G$3,Vendas!$C$8:$C$2008,"Entregue")+SUMIFS(Vendas!$AO$8:$AO$2008,Vendas!$AL$8:$AL$2008,$B47,Vendas!$E$8:$E$2008,"&gt;=01/04/"&amp;$G$3,Vendas!$E$8:$E$2008,"&lt;=30/04/"&amp;$G$3,Vendas!$C$8:$C$2008,"Entregue")+SUMIFS(Vendas!$AT$8:$AT$2008,Vendas!$AQ$8:$AQ$2008,$B47,Vendas!$E$8:$E$2008,"&gt;=01/04/"&amp;$G$3,Vendas!$E$8:$E$2008,"&lt;=30/04/"&amp;$G$3,Vendas!$C$8:$C$2008,"Entregue")</f>
        <v>0</v>
      </c>
      <c r="K47" s="159">
        <f>SUMIFS(Vendas!$K$8:$K$2008,Vendas!$H$8:$H$2008,$B47,Vendas!$E$8:$E$2008,"&gt;=01/05/"&amp;$G$3,Vendas!$E$8:$E$2008,"&lt;=31/05/"&amp;$G$3)+SUMIFS(Vendas!$P$8:$P$2008,Vendas!$M$8:$M$2008,$B47,Vendas!$E$8:$E$2008,"&gt;=01/05/"&amp;$G$3,Vendas!$E$8:$E$2008,"&lt;=31/05/"&amp;$G$3)+SUMIFS(Vendas!$U$8:$U$2008,Vendas!$R$8:$R$2008,$B47,Vendas!$E$8:$E$2008,"&gt;=01/05/"&amp;$G$3,Vendas!$E$8:$E$2008,"&lt;=31/05/"&amp;$G$3)+SUMIFS(Vendas!$Z$8:$Z$2008,Vendas!$W$8:$W$2008,$B47,Vendas!$E$8:$E$2008,"&gt;=01/05/"&amp;$G$3,Vendas!$E$8:$E$2008,"&lt;=31/05/"&amp;$G$3)+SUMIFS(Vendas!$AE$8:$AE$2008,Vendas!$AB$8:$AB$2008,$B47,Vendas!$E$8:$E$2008,"&gt;=01/05/"&amp;$G$3,Vendas!$E$8:$E$2008,"&lt;=31/05/"&amp;$G$3)+SUMIFS(Vendas!$AJ$8:$AJ$2008,Vendas!$AG$8:$AG$2008,$B47,Vendas!$E$8:$E$2008,"&gt;=01/05/"&amp;$G$3,Vendas!$E$8:$E$2008,"&lt;=31/05/"&amp;$G$3)+SUMIFS(Vendas!$AO$8:$AO$2008,Vendas!$AL$8:$AL$2008,$B47,Vendas!$E$8:$E$2008,"&gt;=01/05/"&amp;$G$3,Vendas!$E$8:$E$2008,"&lt;=31/05/"&amp;$G$3)+SUMIFS(Vendas!$AT$8:$AT$2008,Vendas!$AQ$8:$AQ$2008,$B47,Vendas!$E$8:$E$2008,"&gt;=01/05/"&amp;$G$3,Vendas!$E$8:$E$2008,"&lt;=31/05/"&amp;$G$3)</f>
        <v>0</v>
      </c>
      <c r="L47" s="159">
        <f>SUMIFS(Vendas!$K$8:$K$2008,Vendas!$H$8:$H$2008,$B47,Vendas!$E$8:$E$2008,"&gt;=01/05/"&amp;$G$3,Vendas!$E$8:$E$2008,"&lt;=31/05/"&amp;$G$3,Vendas!$C$8:$C$2008,"Entregue")+SUMIFS(Vendas!$P$8:$P$2008,Vendas!$M$8:$M$2008,$B47,Vendas!$E$8:$E$2008,"&gt;=01/05/"&amp;$G$3,Vendas!$E$8:$E$2008,"&lt;=31/05/"&amp;$G$3,Vendas!$C$8:$C$2008,"Entregue")+SUMIFS(Vendas!$U$8:$U$2008,Vendas!$R$8:$R$2008,$B47,Vendas!$E$8:$E$2008,"&gt;=01/05/"&amp;$G$3,Vendas!$E$8:$E$2008,"&lt;=31/05/"&amp;$G$3,Vendas!$C$8:$C$2008,"Entregue")+SUMIFS(Vendas!$Z$8:$Z$2008,Vendas!$W$8:$W$2008,$B47,Vendas!$E$8:$E$2008,"&gt;=01/05/"&amp;$G$3,Vendas!$E$8:$E$2008,"&lt;=31/05/"&amp;$G$3,Vendas!$C$8:$C$2008,"Entregue")+SUMIFS(Vendas!$AE$8:$AE$2008,Vendas!$AB$8:$AB$2008,$B47,Vendas!$E$8:$E$2008,"&gt;=01/05/"&amp;$G$3,Vendas!$E$8:$E$2008,"&lt;=31/05/"&amp;$G$3,Vendas!$C$8:$C$2008,"Entregue")+SUMIFS(Vendas!$AJ$8:$AJ$2008,Vendas!$AG$8:$AG$2008,$B47,Vendas!$E$8:$E$2008,"&gt;=01/05/"&amp;$G$3,Vendas!$E$8:$E$2008,"&lt;=31/05/"&amp;$G$3,Vendas!$C$8:$C$2008,"Entregue")+SUMIFS(Vendas!$AO$8:$AO$2008,Vendas!$AL$8:$AL$2008,$B47,Vendas!$E$8:$E$2008,"&gt;=01/05/"&amp;$G$3,Vendas!$E$8:$E$2008,"&lt;=31/05/"&amp;$G$3,Vendas!$C$8:$C$2008,"Entregue")+SUMIFS(Vendas!$AT$8:$AT$2008,Vendas!$AQ$8:$AQ$2008,$B47,Vendas!$E$8:$E$2008,"&gt;=01/05/"&amp;$G$3,Vendas!$E$8:$E$2008,"&lt;=31/05/"&amp;$G$3,Vendas!$C$8:$C$2008,"Entregue")</f>
        <v>0</v>
      </c>
      <c r="M47" s="159">
        <f>SUMIFS(Vendas!$K$8:$K$2008,Vendas!$H$8:$H$2008,$B47,Vendas!$E$8:$E$2008,"&gt;=01/06/"&amp;$G$3,Vendas!$E$8:$E$2008,"&lt;=30/06/"&amp;$G$3)+SUMIFS(Vendas!$P$8:$P$2008,Vendas!$M$8:$M$2008,$B47,Vendas!$E$8:$E$2008,"&gt;=01/06/"&amp;$G$3,Vendas!$E$8:$E$2008,"&lt;=30/06/"&amp;$G$3)+SUMIFS(Vendas!$U$8:$U$2008,Vendas!$R$8:$R$2008,$B47,Vendas!$E$8:$E$2008,"&gt;=01/06/"&amp;$G$3,Vendas!$E$8:$E$2008,"&lt;=30/06/"&amp;$G$3)+SUMIFS(Vendas!$Z$8:$Z$2008,Vendas!$W$8:$W$2008,$B47,Vendas!$E$8:$E$2008,"&gt;=01/06/"&amp;$G$3,Vendas!$E$8:$E$2008,"&lt;=30/06/"&amp;$G$3)+SUMIFS(Vendas!$AE$8:$AE$2008,Vendas!$AB$8:$AB$2008,$B47,Vendas!$E$8:$E$2008,"&gt;=01/06/"&amp;$G$3,Vendas!$E$8:$E$2008,"&lt;=30/06/"&amp;$G$3)+SUMIFS(Vendas!$AJ$8:$AJ$2008,Vendas!$AG$8:$AG$2008,$B47,Vendas!$E$8:$E$2008,"&gt;=01/06/"&amp;$G$3,Vendas!$E$8:$E$2008,"&lt;=30/06/"&amp;$G$3)+SUMIFS(Vendas!$AO$8:$AO$2008,Vendas!$AL$8:$AL$2008,$B47,Vendas!$E$8:$E$2008,"&gt;=01/06/"&amp;$G$3,Vendas!$E$8:$E$2008,"&lt;=30/06/"&amp;$G$3)+SUMIFS(Vendas!$AT$8:$AT$2008,Vendas!$AQ$8:$AQ$2008,$B47,Vendas!$E$8:$E$2008,"&gt;=01/06/"&amp;$G$3,Vendas!$E$8:$E$2008,"&lt;=30/06/"&amp;$G$3)</f>
        <v>0</v>
      </c>
      <c r="N47" s="159">
        <f>SUMIFS(Vendas!$K$8:$K$2008,Vendas!$H$8:$H$2008,$B47,Vendas!$E$8:$E$2008,"&gt;=01/06/"&amp;$G$3,Vendas!$E$8:$E$2008,"&lt;=30/06/"&amp;$G$3,Vendas!$C$8:$C$2008,"Entregue")+SUMIFS(Vendas!$P$8:$P$2008,Vendas!$M$8:$M$2008,$B47,Vendas!$E$8:$E$2008,"&gt;=01/06/"&amp;$G$3,Vendas!$E$8:$E$2008,"&lt;=30/06/"&amp;$G$3,Vendas!$C$8:$C$2008,"Entregue")+SUMIFS(Vendas!$U$8:$U$2008,Vendas!$R$8:$R$2008,$B47,Vendas!$E$8:$E$2008,"&gt;=01/06/"&amp;$G$3,Vendas!$E$8:$E$2008,"&lt;=30/06/"&amp;$G$3,Vendas!$C$8:$C$2008,"Entregue")+SUMIFS(Vendas!$Z$8:$Z$2008,Vendas!$W$8:$W$2008,$B47,Vendas!$E$8:$E$2008,"&gt;=01/06/"&amp;$G$3,Vendas!$E$8:$E$2008,"&lt;=30/06/"&amp;$G$3,Vendas!$C$8:$C$2008,"Entregue")+SUMIFS(Vendas!$AE$8:$AE$2008,Vendas!$AB$8:$AB$2008,$B47,Vendas!$E$8:$E$2008,"&gt;=01/06/"&amp;$G$3,Vendas!$E$8:$E$2008,"&lt;=30/06/"&amp;$G$3,Vendas!$C$8:$C$2008,"Entregue")+SUMIFS(Vendas!$AJ$8:$AJ$2008,Vendas!$AG$8:$AG$2008,$B47,Vendas!$E$8:$E$2008,"&gt;=01/06/"&amp;$G$3,Vendas!$E$8:$E$2008,"&lt;=30/06/"&amp;$G$3,Vendas!$C$8:$C$2008,"Entregue")+SUMIFS(Vendas!$AO$8:$AO$2008,Vendas!$AL$8:$AL$2008,$B47,Vendas!$E$8:$E$2008,"&gt;=01/06/"&amp;$G$3,Vendas!$E$8:$E$2008,"&lt;=30/06/"&amp;$G$3,Vendas!$C$8:$C$2008,"Entregue")+SUMIFS(Vendas!$AT$8:$AT$2008,Vendas!$AQ$8:$AQ$2008,$B47,Vendas!$E$8:$E$2008,"&gt;=01/06/"&amp;$G$3,Vendas!$E$8:$E$2008,"&lt;=30/06/"&amp;$G$3,Vendas!$C$8:$C$2008,"Entregue")</f>
        <v>0</v>
      </c>
      <c r="O47" s="159">
        <f>SUMIFS(Vendas!$K$8:$K$2008,Vendas!$H$8:$H$2008,$B47,Vendas!$E$8:$E$2008,"&gt;=01/07/"&amp;$G$3,Vendas!$E$8:$E$2008,"&lt;=31/07/"&amp;$G$3)+SUMIFS(Vendas!$P$8:$P$2008,Vendas!$M$8:$M$2008,$B47,Vendas!$E$8:$E$2008,"&gt;=01/07/"&amp;$G$3,Vendas!$E$8:$E$2008,"&lt;=31/07/"&amp;$G$3)+SUMIFS(Vendas!$U$8:$U$2008,Vendas!$R$8:$R$2008,$B47,Vendas!$E$8:$E$2008,"&gt;=01/07/"&amp;$G$3,Vendas!$E$8:$E$2008,"&lt;=31/07/"&amp;$G$3)+SUMIFS(Vendas!$Z$8:$Z$2008,Vendas!$W$8:$W$2008,$B47,Vendas!$E$8:$E$2008,"&gt;=01/07/"&amp;$G$3,Vendas!$E$8:$E$2008,"&lt;=31/07/"&amp;$G$3)+SUMIFS(Vendas!$AE$8:$AE$2008,Vendas!$AB$8:$AB$2008,$B47,Vendas!$E$8:$E$2008,"&gt;=01/07/"&amp;$G$3,Vendas!$E$8:$E$2008,"&lt;=31/07/"&amp;$G$3)+SUMIFS(Vendas!$AJ$8:$AJ$2008,Vendas!$AG$8:$AG$2008,$B47,Vendas!$E$8:$E$2008,"&gt;=01/07/"&amp;$G$3,Vendas!$E$8:$E$2008,"&lt;=31/07/"&amp;$G$3)+SUMIFS(Vendas!$AO$8:$AO$2008,Vendas!$AL$8:$AL$2008,$B47,Vendas!$E$8:$E$2008,"&gt;=01/07/"&amp;$G$3,Vendas!$E$8:$E$2008,"&lt;=31/07/"&amp;$G$3)+SUMIFS(Vendas!$AT$8:$AT$2008,Vendas!$AQ$8:$AQ$2008,$B47,Vendas!$E$8:$E$2008,"&gt;=01/07/"&amp;$G$3,Vendas!$E$8:$E$2008,"&lt;=31/07/"&amp;$G$3)</f>
        <v>0</v>
      </c>
      <c r="P47" s="159">
        <f>SUMIFS(Vendas!$K$8:$K$2008,Vendas!$H$8:$H$2008,$B47,Vendas!$E$8:$E$2008,"&gt;=01/07/"&amp;$G$3,Vendas!$E$8:$E$2008,"&lt;=31/07/"&amp;$G$3,Vendas!$C$8:$C$2008,"Entregue")+SUMIFS(Vendas!$P$8:$P$2008,Vendas!$M$8:$M$2008,$B47,Vendas!$E$8:$E$2008,"&gt;=01/07/"&amp;$G$3,Vendas!$E$8:$E$2008,"&lt;=31/07/"&amp;$G$3,Vendas!$C$8:$C$2008,"Entregue")+SUMIFS(Vendas!$U$8:$U$2008,Vendas!$R$8:$R$2008,$B47,Vendas!$E$8:$E$2008,"&gt;=01/07/"&amp;$G$3,Vendas!$E$8:$E$2008,"&lt;=31/07/"&amp;$G$3,Vendas!$C$8:$C$2008,"Entregue")+SUMIFS(Vendas!$Z$8:$Z$2008,Vendas!$W$8:$W$2008,$B47,Vendas!$E$8:$E$2008,"&gt;=01/07/"&amp;$G$3,Vendas!$E$8:$E$2008,"&lt;=31/07/"&amp;$G$3,Vendas!$C$8:$C$2008,"Entregue")+SUMIFS(Vendas!$AE$8:$AE$2008,Vendas!$AB$8:$AB$2008,$B47,Vendas!$E$8:$E$2008,"&gt;=01/07/"&amp;$G$3,Vendas!$E$8:$E$2008,"&lt;=31/07/"&amp;$G$3,Vendas!$C$8:$C$2008,"Entregue")+SUMIFS(Vendas!$AJ$8:$AJ$2008,Vendas!$AG$8:$AG$2008,$B47,Vendas!$E$8:$E$2008,"&gt;=01/07/"&amp;$G$3,Vendas!$E$8:$E$2008,"&lt;=31/07/"&amp;$G$3,Vendas!$C$8:$C$2008,"Entregue")+SUMIFS(Vendas!$AO$8:$AO$2008,Vendas!$AL$8:$AL$2008,$B47,Vendas!$E$8:$E$2008,"&gt;=01/07/"&amp;$G$3,Vendas!$E$8:$E$2008,"&lt;=31/07/"&amp;$G$3,Vendas!$C$8:$C$2008,"Entregue")+SUMIFS(Vendas!$AT$8:$AT$2008,Vendas!$AQ$8:$AQ$2008,$B47,Vendas!$E$8:$E$2008,"&gt;=01/07/"&amp;$G$3,Vendas!$E$8:$E$2008,"&lt;=31/07/"&amp;$G$3,Vendas!$C$8:$C$2008,"Entregue")</f>
        <v>0</v>
      </c>
      <c r="Q47" s="159">
        <f>SUMIFS(Vendas!$K$8:$K$2008,Vendas!$H$8:$H$2008,$B47,Vendas!$E$8:$E$2008,"&gt;=01/08/"&amp;$G$3,Vendas!$E$8:$E$2008,"&lt;=31/08/"&amp;$G$3)+SUMIFS(Vendas!$P$8:$P$2008,Vendas!$M$8:$M$2008,$B47,Vendas!$E$8:$E$2008,"&gt;=01/08/"&amp;$G$3,Vendas!$E$8:$E$2008,"&lt;=31/08/"&amp;$G$3)+SUMIFS(Vendas!$U$8:$U$2008,Vendas!$R$8:$R$2008,$B47,Vendas!$E$8:$E$2008,"&gt;=01/08/"&amp;$G$3,Vendas!$E$8:$E$2008,"&lt;=31/08/"&amp;$G$3)+SUMIFS(Vendas!$Z$8:$Z$2008,Vendas!$W$8:$W$2008,$B47,Vendas!$E$8:$E$2008,"&gt;=01/08/"&amp;$G$3,Vendas!$E$8:$E$2008,"&lt;=31/08/"&amp;$G$3)+SUMIFS(Vendas!$AE$8:$AE$2008,Vendas!$AB$8:$AB$2008,$B47,Vendas!$E$8:$E$2008,"&gt;=01/08/"&amp;$G$3,Vendas!$E$8:$E$2008,"&lt;=31/08/"&amp;$G$3)+SUMIFS(Vendas!$AJ$8:$AJ$2008,Vendas!$AG$8:$AG$2008,$B47,Vendas!$E$8:$E$2008,"&gt;=01/08/"&amp;$G$3,Vendas!$E$8:$E$2008,"&lt;=31/08/"&amp;$G$3)+SUMIFS(Vendas!$AO$8:$AO$2008,Vendas!$AL$8:$AL$2008,$B47,Vendas!$E$8:$E$2008,"&gt;=01/08/"&amp;$G$3,Vendas!$E$8:$E$2008,"&lt;=31/08/"&amp;$G$3)+SUMIFS(Vendas!$AT$8:$AT$2008,Vendas!$AQ$8:$AQ$2008,$B47,Vendas!$E$8:$E$2008,"&gt;=01/08/"&amp;$G$3,Vendas!$E$8:$E$2008,"&lt;=31/08/"&amp;$G$3)</f>
        <v>0</v>
      </c>
      <c r="R47" s="159">
        <f>SUMIFS(Vendas!$K$8:$K$2008,Vendas!$H$8:$H$2008,$B47,Vendas!$E$8:$E$2008,"&gt;=01/08/"&amp;$G$3,Vendas!$E$8:$E$2008,"&lt;=31/08/"&amp;$G$3,Vendas!$C$8:$C$2008,"Entregue")+SUMIFS(Vendas!$P$8:$P$2008,Vendas!$M$8:$M$2008,$B47,Vendas!$E$8:$E$2008,"&gt;=01/08/"&amp;$G$3,Vendas!$E$8:$E$2008,"&lt;=31/08/"&amp;$G$3,Vendas!$C$8:$C$2008,"Entregue")+SUMIFS(Vendas!$U$8:$U$2008,Vendas!$R$8:$R$2008,$B47,Vendas!$E$8:$E$2008,"&gt;=01/08/"&amp;$G$3,Vendas!$E$8:$E$2008,"&lt;=31/08/"&amp;$G$3,Vendas!$C$8:$C$2008,"Entregue")+SUMIFS(Vendas!$Z$8:$Z$2008,Vendas!$W$8:$W$2008,$B47,Vendas!$E$8:$E$2008,"&gt;=01/08/"&amp;$G$3,Vendas!$E$8:$E$2008,"&lt;=31/08/"&amp;$G$3,Vendas!$C$8:$C$2008,"Entregue")+SUMIFS(Vendas!$AE$8:$AE$2008,Vendas!$AB$8:$AB$2008,$B47,Vendas!$E$8:$E$2008,"&gt;=01/08/"&amp;$G$3,Vendas!$E$8:$E$2008,"&lt;=31/08/"&amp;$G$3,Vendas!$C$8:$C$2008,"Entregue")+SUMIFS(Vendas!$AJ$8:$AJ$2008,Vendas!$AG$8:$AG$2008,$B47,Vendas!$E$8:$E$2008,"&gt;=01/08/"&amp;$G$3,Vendas!$E$8:$E$2008,"&lt;=31/08/"&amp;$G$3,Vendas!$C$8:$C$2008,"Entregue")+SUMIFS(Vendas!$AO$8:$AO$2008,Vendas!$AL$8:$AL$2008,$B47,Vendas!$E$8:$E$2008,"&gt;=01/08/"&amp;$G$3,Vendas!$E$8:$E$2008,"&lt;=31/08/"&amp;$G$3,Vendas!$C$8:$C$2008,"Entregue")+SUMIFS(Vendas!$AT$8:$AT$2008,Vendas!$AQ$8:$AQ$2008,$B47,Vendas!$E$8:$E$2008,"&gt;=01/08/"&amp;$G$3,Vendas!$E$8:$E$2008,"&lt;=31/08/"&amp;$G$3,Vendas!$C$8:$C$2008,"Entregue")</f>
        <v>0</v>
      </c>
      <c r="S47" s="159">
        <f>SUMIFS(Vendas!$K$8:$K$2008,Vendas!$H$8:$H$2008,$B47,Vendas!$E$8:$E$2008,"&gt;=01/09/"&amp;$G$3,Vendas!$E$8:$E$2008,"&lt;=30/09/"&amp;$G$3)+SUMIFS(Vendas!$P$8:$P$2008,Vendas!$M$8:$M$2008,$B47,Vendas!$E$8:$E$2008,"&gt;=01/09/"&amp;$G$3,Vendas!$E$8:$E$2008,"&lt;=30/09/"&amp;$G$3)+SUMIFS(Vendas!$U$8:$U$2008,Vendas!$R$8:$R$2008,$B47,Vendas!$E$8:$E$2008,"&gt;=01/09/"&amp;$G$3,Vendas!$E$8:$E$2008,"&lt;=30/09/"&amp;$G$3)+SUMIFS(Vendas!$Z$8:$Z$2008,Vendas!$W$8:$W$2008,$B47,Vendas!$E$8:$E$2008,"&gt;=01/09/"&amp;$G$3,Vendas!$E$8:$E$2008,"&lt;=30/09/"&amp;$G$3)+SUMIFS(Vendas!$AE$8:$AE$2008,Vendas!$AB$8:$AB$2008,$B47,Vendas!$E$8:$E$2008,"&gt;=01/09/"&amp;$G$3,Vendas!$E$8:$E$2008,"&lt;=30/09/"&amp;$G$3)+SUMIFS(Vendas!$AJ$8:$AJ$2008,Vendas!$AG$8:$AG$2008,$B47,Vendas!$E$8:$E$2008,"&gt;=01/09/"&amp;$G$3,Vendas!$E$8:$E$2008,"&lt;=30/09/"&amp;$G$3)+SUMIFS(Vendas!$AO$8:$AO$2008,Vendas!$AL$8:$AL$2008,$B47,Vendas!$E$8:$E$2008,"&gt;=01/09/"&amp;$G$3,Vendas!$E$8:$E$2008,"&lt;=30/09/"&amp;$G$3)+SUMIFS(Vendas!$AT$8:$AT$2008,Vendas!$AQ$8:$AQ$2008,$B47,Vendas!$E$8:$E$2008,"&gt;=01/09/"&amp;$G$3,Vendas!$E$8:$E$2008,"&lt;=30/09/"&amp;$G$3)</f>
        <v>0</v>
      </c>
      <c r="T47" s="159">
        <f>SUMIFS(Vendas!$K$8:$K$2008,Vendas!$H$8:$H$2008,$B47,Vendas!$E$8:$E$2008,"&gt;=01/09/"&amp;$G$3,Vendas!$E$8:$E$2008,"&lt;=30/09/"&amp;$G$3,Vendas!$C$8:$C$2008,"Entregue")+SUMIFS(Vendas!$P$8:$P$2008,Vendas!$M$8:$M$2008,$B47,Vendas!$E$8:$E$2008,"&gt;=01/09/"&amp;$G$3,Vendas!$E$8:$E$2008,"&lt;=30/09/"&amp;$G$3,Vendas!$C$8:$C$2008,"Entregue")+SUMIFS(Vendas!$U$8:$U$2008,Vendas!$R$8:$R$2008,$B47,Vendas!$E$8:$E$2008,"&gt;=01/09/"&amp;$G$3,Vendas!$E$8:$E$2008,"&lt;=30/09/"&amp;$G$3,Vendas!$C$8:$C$2008,"Entregue")+SUMIFS(Vendas!$Z$8:$Z$2008,Vendas!$W$8:$W$2008,$B47,Vendas!$E$8:$E$2008,"&gt;=01/09/"&amp;$G$3,Vendas!$E$8:$E$2008,"&lt;=30/09/"&amp;$G$3,Vendas!$C$8:$C$2008,"Entregue")+SUMIFS(Vendas!$AE$8:$AE$2008,Vendas!$AB$8:$AB$2008,$B47,Vendas!$E$8:$E$2008,"&gt;=01/09/"&amp;$G$3,Vendas!$E$8:$E$2008,"&lt;=30/09/"&amp;$G$3,Vendas!$C$8:$C$2008,"Entregue")+SUMIFS(Vendas!$AJ$8:$AJ$2008,Vendas!$AG$8:$AG$2008,$B47,Vendas!$E$8:$E$2008,"&gt;=01/09/"&amp;$G$3,Vendas!$E$8:$E$2008,"&lt;=30/09/"&amp;$G$3,Vendas!$C$8:$C$2008,"Entregue")+SUMIFS(Vendas!$AO$8:$AO$2008,Vendas!$AL$8:$AL$2008,$B47,Vendas!$E$8:$E$2008,"&gt;=01/09/"&amp;$G$3,Vendas!$E$8:$E$2008,"&lt;=30/09/"&amp;$G$3,Vendas!$C$8:$C$2008,"Entregue")+SUMIFS(Vendas!$AT$8:$AT$2008,Vendas!$AQ$8:$AQ$2008,$B47,Vendas!$E$8:$E$2008,"&gt;=01/09/"&amp;$G$3,Vendas!$E$8:$E$2008,"&lt;=30/09/"&amp;$G$3,Vendas!$C$8:$C$2008,"Entregue")</f>
        <v>0</v>
      </c>
      <c r="U47" s="159">
        <f>SUMIFS(Vendas!$K$8:$K$2008,Vendas!$H$8:$H$2008,$B47,Vendas!$E$8:$E$2008,"&gt;=01/10/"&amp;$G$3,Vendas!$E$8:$E$2008,"&lt;=31/10/"&amp;$G$3)+SUMIFS(Vendas!$P$8:$P$2008,Vendas!$M$8:$M$2008,$B47,Vendas!$E$8:$E$2008,"&gt;=01/10/"&amp;$G$3,Vendas!$E$8:$E$2008,"&lt;=31/10/"&amp;$G$3)+SUMIFS(Vendas!$U$8:$U$2008,Vendas!$R$8:$R$2008,$B47,Vendas!$E$8:$E$2008,"&gt;=01/10/"&amp;$G$3,Vendas!$E$8:$E$2008,"&lt;=31/10/"&amp;$G$3)+SUMIFS(Vendas!$Z$8:$Z$2008,Vendas!$W$8:$W$2008,$B47,Vendas!$E$8:$E$2008,"&gt;=01/10/"&amp;$G$3,Vendas!$E$8:$E$2008,"&lt;=31/10/"&amp;$G$3)+SUMIFS(Vendas!$AE$8:$AE$2008,Vendas!$AB$8:$AB$2008,$B47,Vendas!$E$8:$E$2008,"&gt;=01/10/"&amp;$G$3,Vendas!$E$8:$E$2008,"&lt;=31/10/"&amp;$G$3)+SUMIFS(Vendas!$AJ$8:$AJ$2008,Vendas!$AG$8:$AG$2008,$B47,Vendas!$E$8:$E$2008,"&gt;=01/10/"&amp;$G$3,Vendas!$E$8:$E$2008,"&lt;=31/10/"&amp;$G$3)+SUMIFS(Vendas!$AO$8:$AO$2008,Vendas!$AL$8:$AL$2008,$B47,Vendas!$E$8:$E$2008,"&gt;=01/10/"&amp;$G$3,Vendas!$E$8:$E$2008,"&lt;=31/10/"&amp;$G$3)+SUMIFS(Vendas!$AT$8:$AT$2008,Vendas!$AQ$8:$AQ$2008,$B47,Vendas!$E$8:$E$2008,"&gt;=01/10/"&amp;$G$3,Vendas!$E$8:$E$2008,"&lt;=31/10/"&amp;$G$3)</f>
        <v>0</v>
      </c>
      <c r="V47" s="159">
        <f>SUMIFS(Vendas!$K$8:$K$2008,Vendas!$H$8:$H$2008,$B47,Vendas!$E$8:$E$2008,"&gt;=01/10/"&amp;$G$3,Vendas!$E$8:$E$2008,"&lt;=31/10/"&amp;$G$3,Vendas!$C$8:$C$2008,"Entregue")+SUMIFS(Vendas!$P$8:$P$2008,Vendas!$M$8:$M$2008,$B47,Vendas!$E$8:$E$2008,"&gt;=01/10/"&amp;$G$3,Vendas!$E$8:$E$2008,"&lt;=31/10/"&amp;$G$3,Vendas!$C$8:$C$2008,"Entregue")+SUMIFS(Vendas!$U$8:$U$2008,Vendas!$R$8:$R$2008,$B47,Vendas!$E$8:$E$2008,"&gt;=01/10/"&amp;$G$3,Vendas!$E$8:$E$2008,"&lt;=31/10/"&amp;$G$3,Vendas!$C$8:$C$2008,"Entregue")+SUMIFS(Vendas!$Z$8:$Z$2008,Vendas!$W$8:$W$2008,$B47,Vendas!$E$8:$E$2008,"&gt;=01/10/"&amp;$G$3,Vendas!$E$8:$E$2008,"&lt;=31/10/"&amp;$G$3,Vendas!$C$8:$C$2008,"Entregue")+SUMIFS(Vendas!$AE$8:$AE$2008,Vendas!$AB$8:$AB$2008,$B47,Vendas!$E$8:$E$2008,"&gt;=01/10/"&amp;$G$3,Vendas!$E$8:$E$2008,"&lt;=31/10/"&amp;$G$3,Vendas!$C$8:$C$2008,"Entregue")+SUMIFS(Vendas!$AJ$8:$AJ$2008,Vendas!$AG$8:$AG$2008,$B47,Vendas!$E$8:$E$2008,"&gt;=01/10/"&amp;$G$3,Vendas!$E$8:$E$2008,"&lt;=31/10/"&amp;$G$3,Vendas!$C$8:$C$2008,"Entregue")+SUMIFS(Vendas!$AO$8:$AO$2008,Vendas!$AL$8:$AL$2008,$B47,Vendas!$E$8:$E$2008,"&gt;=01/10/"&amp;$G$3,Vendas!$E$8:$E$2008,"&lt;=31/10/"&amp;$G$3,Vendas!$C$8:$C$2008,"Entregue")+SUMIFS(Vendas!$AT$8:$AT$2008,Vendas!$AQ$8:$AQ$2008,$B47,Vendas!$E$8:$E$2008,"&gt;=01/10/"&amp;$G$3,Vendas!$E$8:$E$2008,"&lt;=31/10/"&amp;$G$3,Vendas!$C$8:$C$2008,"Entregue")</f>
        <v>0</v>
      </c>
      <c r="W47" s="159">
        <f>SUMIFS(Vendas!$K$8:$K$2008,Vendas!$H$8:$H$2008,$B47,Vendas!$E$8:$E$2008,"&gt;=01/11/"&amp;$G$3,Vendas!$E$8:$E$2008,"&lt;=30/11/"&amp;$G$3)+SUMIFS(Vendas!$P$8:$P$2008,Vendas!$M$8:$M$2008,$B47,Vendas!$E$8:$E$2008,"&gt;=01/11/"&amp;$G$3,Vendas!$E$8:$E$2008,"&lt;=30/11/"&amp;$G$3)+SUMIFS(Vendas!$U$8:$U$2008,Vendas!$R$8:$R$2008,$B47,Vendas!$E$8:$E$2008,"&gt;=01/11/"&amp;$G$3,Vendas!$E$8:$E$2008,"&lt;=30/11/"&amp;$G$3)+SUMIFS(Vendas!$Z$8:$Z$2008,Vendas!$W$8:$W$2008,$B47,Vendas!$E$8:$E$2008,"&gt;=01/11/"&amp;$G$3,Vendas!$E$8:$E$2008,"&lt;=30/11/"&amp;$G$3)+SUMIFS(Vendas!$AE$8:$AE$2008,Vendas!$AB$8:$AB$2008,$B47,Vendas!$E$8:$E$2008,"&gt;=01/11/"&amp;$G$3,Vendas!$E$8:$E$2008,"&lt;=30/11/"&amp;$G$3)+SUMIFS(Vendas!$AJ$8:$AJ$2008,Vendas!$AG$8:$AG$2008,$B47,Vendas!$E$8:$E$2008,"&gt;=01/11/"&amp;$G$3,Vendas!$E$8:$E$2008,"&lt;=30/11/"&amp;$G$3)+SUMIFS(Vendas!$AO$8:$AO$2008,Vendas!$AL$8:$AL$2008,$B47,Vendas!$E$8:$E$2008,"&gt;=01/11/"&amp;$G$3,Vendas!$E$8:$E$2008,"&lt;=30/11/"&amp;$G$3)+SUMIFS(Vendas!$AT$8:$AT$2008,Vendas!$AQ$8:$AQ$2008,$B47,Vendas!$E$8:$E$2008,"&gt;=01/11/"&amp;$G$3,Vendas!$E$8:$E$2008,"&lt;=30/11/"&amp;$G$3)</f>
        <v>0</v>
      </c>
      <c r="X47" s="159">
        <f>SUMIFS(Vendas!$K$8:$K$2008,Vendas!$H$8:$H$2008,$B47,Vendas!$E$8:$E$2008,"&gt;=01/11/"&amp;$G$3,Vendas!$E$8:$E$2008,"&lt;=30/11/"&amp;$G$3,Vendas!$C$8:$C$2008,"Entregue")+SUMIFS(Vendas!$P$8:$P$2008,Vendas!$M$8:$M$2008,$B47,Vendas!$E$8:$E$2008,"&gt;=01/11/"&amp;$G$3,Vendas!$E$8:$E$2008,"&lt;=30/11/"&amp;$G$3,Vendas!$C$8:$C$2008,"Entregue")+SUMIFS(Vendas!$U$8:$U$2008,Vendas!$R$8:$R$2008,$B47,Vendas!$E$8:$E$2008,"&gt;=01/11/"&amp;$G$3,Vendas!$E$8:$E$2008,"&lt;=30/11/"&amp;$G$3,Vendas!$C$8:$C$2008,"Entregue")+SUMIFS(Vendas!$Z$8:$Z$2008,Vendas!$W$8:$W$2008,$B47,Vendas!$E$8:$E$2008,"&gt;=01/11/"&amp;$G$3,Vendas!$E$8:$E$2008,"&lt;=30/11/"&amp;$G$3,Vendas!$C$8:$C$2008,"Entregue")+SUMIFS(Vendas!$AE$8:$AE$2008,Vendas!$AB$8:$AB$2008,$B47,Vendas!$E$8:$E$2008,"&gt;=01/11/"&amp;$G$3,Vendas!$E$8:$E$2008,"&lt;=30/11/"&amp;$G$3,Vendas!$C$8:$C$2008,"Entregue")+SUMIFS(Vendas!$AJ$8:$AJ$2008,Vendas!$AG$8:$AG$2008,$B47,Vendas!$E$8:$E$2008,"&gt;=01/11/"&amp;$G$3,Vendas!$E$8:$E$2008,"&lt;=30/11/"&amp;$G$3,Vendas!$C$8:$C$2008,"Entregue")+SUMIFS(Vendas!$AO$8:$AO$2008,Vendas!$AL$8:$AL$2008,$B47,Vendas!$E$8:$E$2008,"&gt;=01/11/"&amp;$G$3,Vendas!$E$8:$E$2008,"&lt;=30/11/"&amp;$G$3,Vendas!$C$8:$C$2008,"Entregue")+SUMIFS(Vendas!$AT$8:$AT$2008,Vendas!$AQ$8:$AQ$2008,$B47,Vendas!$E$8:$E$2008,"&gt;=01/11/"&amp;$G$3,Vendas!$E$8:$E$2008,"&lt;=30/11/"&amp;$G$3,Vendas!$C$8:$C$2008,"Entregue")</f>
        <v>0</v>
      </c>
      <c r="Y47" s="159">
        <f>SUMIFS(Vendas!$K$8:$K$2008,Vendas!$H$8:$H$2008,$B47,Vendas!$E$8:$E$2008,"&gt;=01/12/"&amp;$G$3,Vendas!$E$8:$E$2008,"&lt;=31/12/"&amp;$G$3)+SUMIFS(Vendas!$P$8:$P$2008,Vendas!$M$8:$M$2008,$B47,Vendas!$E$8:$E$2008,"&gt;=01/12/"&amp;$G$3,Vendas!$E$8:$E$2008,"&lt;=31/12/"&amp;$G$3)+SUMIFS(Vendas!$U$8:$U$2008,Vendas!$R$8:$R$2008,$B47,Vendas!$E$8:$E$2008,"&gt;=01/12/"&amp;$G$3,Vendas!$E$8:$E$2008,"&lt;=31/12/"&amp;$G$3)+SUMIFS(Vendas!$Z$8:$Z$2008,Vendas!$W$8:$W$2008,$B47,Vendas!$E$8:$E$2008,"&gt;=01/12/"&amp;$G$3,Vendas!$E$8:$E$2008,"&lt;=31/12/"&amp;$G$3)+SUMIFS(Vendas!$AE$8:$AE$2008,Vendas!$AB$8:$AB$2008,$B47,Vendas!$E$8:$E$2008,"&gt;=01/12/"&amp;$G$3,Vendas!$E$8:$E$2008,"&lt;=31/12/"&amp;$G$3)+SUMIFS(Vendas!$AJ$8:$AJ$2008,Vendas!$AG$8:$AG$2008,$B47,Vendas!$E$8:$E$2008,"&gt;=01/12/"&amp;$G$3,Vendas!$E$8:$E$2008,"&lt;=31/12/"&amp;$G$3)+SUMIFS(Vendas!$AO$8:$AO$2008,Vendas!$AL$8:$AL$2008,$B47,Vendas!$E$8:$E$2008,"&gt;=01/12/"&amp;$G$3,Vendas!$E$8:$E$2008,"&lt;=31/12/"&amp;$G$3)+SUMIFS(Vendas!$AT$8:$AT$2008,Vendas!$AQ$8:$AQ$2008,$B47,Vendas!$E$8:$E$2008,"&gt;=01/12/"&amp;$G$3,Vendas!$E$8:$E$2008,"&lt;=31/12/"&amp;$G$3)</f>
        <v>0</v>
      </c>
      <c r="Z47" s="160">
        <f>SUMIFS(Vendas!$K$8:$K$2008,Vendas!$H$8:$H$2008,$B47,Vendas!$E$8:$E$2008,"&gt;=01/12/"&amp;$G$3,Vendas!$E$8:$E$2008,"&lt;=31/12/"&amp;$G$3,Vendas!$C$8:$C$2008,"Entregue")+SUMIFS(Vendas!$P$8:$P$2008,Vendas!$M$8:$M$2008,$B47,Vendas!$E$8:$E$2008,"&gt;=01/12/"&amp;$G$3,Vendas!$E$8:$E$2008,"&lt;=31/12/"&amp;$G$3,Vendas!$C$8:$C$2008,"Entregue")+SUMIFS(Vendas!$U$8:$U$2008,Vendas!$R$8:$R$2008,$B47,Vendas!$E$8:$E$2008,"&gt;=01/12/"&amp;$G$3,Vendas!$E$8:$E$2008,"&lt;=31/12/"&amp;$G$3,Vendas!$C$8:$C$2008,"Entregue")+SUMIFS(Vendas!$Z$8:$Z$2008,Vendas!$W$8:$W$2008,$B47,Vendas!$E$8:$E$2008,"&gt;=01/12/"&amp;$G$3,Vendas!$E$8:$E$2008,"&lt;=31/12/"&amp;$G$3,Vendas!$C$8:$C$2008,"Entregue")+SUMIFS(Vendas!$AE$8:$AE$2008,Vendas!$AB$8:$AB$2008,$B47,Vendas!$E$8:$E$2008,"&gt;=01/12/"&amp;$G$3,Vendas!$E$8:$E$2008,"&lt;=31/12/"&amp;$G$3,Vendas!$C$8:$C$2008,"Entregue")+SUMIFS(Vendas!$AJ$8:$AJ$2008,Vendas!$AG$8:$AG$2008,$B47,Vendas!$E$8:$E$2008,"&gt;=01/12/"&amp;$G$3,Vendas!$E$8:$E$2008,"&lt;=31/12/"&amp;$G$3,Vendas!$C$8:$C$2008,"Entregue")+SUMIFS(Vendas!$AO$8:$AO$2008,Vendas!$AL$8:$AL$2008,$B47,Vendas!$E$8:$E$2008,"&gt;=01/12/"&amp;$G$3,Vendas!$E$8:$E$2008,"&lt;=31/12/"&amp;$G$3,Vendas!$C$8:$C$2008,"Entregue")+SUMIFS(Vendas!$AT$8:$AT$2008,Vendas!$AQ$8:$AQ$2008,$B47,Vendas!$E$8:$E$2008,"&gt;=01/12/"&amp;$G$3,Vendas!$E$8:$E$2008,"&lt;=31/12/"&amp;$G$3,Vendas!$C$8:$C$2008,"Entregue")</f>
        <v>0</v>
      </c>
      <c r="AA47" s="132">
        <f t="shared" si="0"/>
        <v>0</v>
      </c>
      <c r="AB47" s="132">
        <f t="shared" si="0"/>
        <v>0</v>
      </c>
      <c r="AC47" s="67"/>
    </row>
    <row r="48" spans="2:29" ht="14.4" x14ac:dyDescent="0.3">
      <c r="B48" s="262" t="str">
        <f>IF(Cadastros!G26="","",Cadastros!G26)</f>
        <v xml:space="preserve">42 - Cama Articulada Zeus Solt 0,96 X 2,03 X 41 </v>
      </c>
      <c r="C48" s="164">
        <f>SUMIFS(Vendas!$K$8:$K$2008,Vendas!$H$8:$H$2008,$B48,Vendas!$E$8:$E$2008,"&gt;=01/01/"&amp;$G$3,Vendas!$E$8:$E$2008,"&lt;=31/01/"&amp;$G$3)+SUMIFS(Vendas!$P$8:$P$2008,Vendas!$M$8:$M$2008,$B48,Vendas!$E$8:$E$2008,"&gt;=01/01/"&amp;$G$3,Vendas!$E$8:$E$2008,"&lt;=31/01/"&amp;$G$3)+SUMIFS(Vendas!$U$8:$U$2008,Vendas!$R$8:$R$2008,$B48,Vendas!$E$8:$E$2008,"&gt;=01/01/"&amp;$G$3,Vendas!$E$8:$E$2008,"&lt;=31/01/"&amp;$G$3)+SUMIFS(Vendas!$Z$8:$Z$2008,Vendas!$W$8:$W$2008,$B48,Vendas!$E$8:$E$2008,"&gt;=01/01/"&amp;$G$3,Vendas!$E$8:$E$2008,"&lt;=31/01/"&amp;$G$3)+SUMIFS(Vendas!$AE$8:$AE$2008,Vendas!$AB$8:$AB$2008,$B48,Vendas!$E$8:$E$2008,"&gt;=01/01/"&amp;$G$3,Vendas!$E$8:$E$2008,"&lt;=31/01/"&amp;$G$3)+SUMIFS(Vendas!$AJ$8:$AJ$2008,Vendas!$AG$8:$AG$2008,$B48,Vendas!$E$8:$E$2008,"&gt;=01/01/"&amp;$G$3,Vendas!$E$8:$E$2008,"&lt;=31/01/"&amp;$G$3)+SUMIFS(Vendas!$AO$8:$AO$2008,Vendas!$AL$8:$AL$2008,$B48,Vendas!$E$8:$E$2008,"&gt;=01/01/"&amp;$G$3,Vendas!$E$8:$E$2008,"&lt;=31/01/"&amp;$G$3)+SUMIFS(Vendas!$AT$8:$AT$2008,Vendas!$AQ$8:$AQ$2008,$B48,Vendas!$E$8:$E$2008,"&gt;=01/01/"&amp;$G$3,Vendas!$E$8:$E$2008,"&lt;=31/01/"&amp;$G$3)</f>
        <v>0</v>
      </c>
      <c r="D48" s="165">
        <f>SUMIFS(Vendas!$K$8:$K$2008,Vendas!$H$8:$H$2008,$B48,Vendas!$E$8:$E$2008,"&gt;=01/01/"&amp;$G$3,Vendas!$E$8:$E$2008,"&lt;=31/01/"&amp;$G$3,Vendas!$C$8:$C$2008,"Entregue")+SUMIFS(Vendas!$P$8:$P$2008,Vendas!$M$8:$M$2008,$B48,Vendas!$E$8:$E$2008,"&gt;=01/01/"&amp;$G$3,Vendas!$E$8:$E$2008,"&lt;=31/01/"&amp;$G$3,Vendas!$C$8:$C$2008,"Entregue")+SUMIFS(Vendas!$U$8:$U$2008,Vendas!$R$8:$R$2008,$B48,Vendas!$E$8:$E$2008,"&gt;=01/01/"&amp;$G$3,Vendas!$E$8:$E$2008,"&lt;=31/01/"&amp;$G$3,Vendas!$C$8:$C$2008,"Entregue")+SUMIFS(Vendas!$Z$8:$Z$2008,Vendas!$W$8:$W$2008,$B48,Vendas!$E$8:$E$2008,"&gt;=01/01/"&amp;$G$3,Vendas!$E$8:$E$2008,"&lt;=31/01/"&amp;$G$3,Vendas!$C$8:$C$2008,"Entregue")+SUMIFS(Vendas!$AE$8:$AE$2008,Vendas!$AB$8:$AB$2008,$B48,Vendas!$E$8:$E$2008,"&gt;=01/01/"&amp;$G$3,Vendas!$E$8:$E$2008,"&lt;=31/01/"&amp;$G$3,Vendas!$C$8:$C$2008,"Entregue")+SUMIFS(Vendas!$AJ$8:$AJ$2008,Vendas!$AG$8:$AG$2008,$B48,Vendas!$E$8:$E$2008,"&gt;=01/01/"&amp;$G$3,Vendas!$E$8:$E$2008,"&lt;=31/01/"&amp;$G$3,Vendas!$C$8:$C$2008,"Entregue")+SUMIFS(Vendas!$AO$8:$AO$2008,Vendas!$AL$8:$AL$2008,$B48,Vendas!$E$8:$E$2008,"&gt;=01/01/"&amp;$G$3,Vendas!$E$8:$E$2008,"&lt;=31/01/"&amp;$G$3,Vendas!$C$8:$C$2008,"Entregue")+SUMIFS(Vendas!$AT$8:$AT$2008,Vendas!$AQ$8:$AQ$2008,$B48,Vendas!$E$8:$E$2008,"&gt;=01/01/"&amp;$G$3,Vendas!$E$8:$E$2008,"&lt;=31/01/"&amp;$G$3,Vendas!$C$8:$C$2008,"Entregue")</f>
        <v>0</v>
      </c>
      <c r="E48" s="165">
        <f>SUMIFS(Vendas!$K$8:$K$2008,Vendas!$H$8:$H$2008,$B48,Vendas!$E$8:$E$2008,"&gt;=01/02/"&amp;$G$3,Vendas!$E$8:$E$2008,"&lt;=28/02/"&amp;$G$3)+SUMIFS(Vendas!$P$8:$P$2008,Vendas!$M$8:$M$2008,$B48,Vendas!$E$8:$E$2008,"&gt;=01/02/"&amp;$G$3,Vendas!$E$8:$E$2008,"&lt;=28/02/"&amp;$G$3)+SUMIFS(Vendas!$U$8:$U$2008,Vendas!$R$8:$R$2008,$B48,Vendas!$E$8:$E$2008,"&gt;=01/02/"&amp;$G$3,Vendas!$E$8:$E$2008,"&lt;=28/02/"&amp;$G$3)+SUMIFS(Vendas!$Z$8:$Z$2008,Vendas!$W$8:$W$2008,$B48,Vendas!$E$8:$E$2008,"&gt;=01/02/"&amp;$G$3,Vendas!$E$8:$E$2008,"&lt;=28/02/"&amp;$G$3)+SUMIFS(Vendas!$AE$8:$AE$2008,Vendas!$AB$8:$AB$2008,$B48,Vendas!$E$8:$E$2008,"&gt;=01/02/"&amp;$G$3,Vendas!$E$8:$E$2008,"&lt;=28/02/"&amp;$G$3)+SUMIFS(Vendas!$AJ$8:$AJ$2008,Vendas!$AG$8:$AG$2008,$B48,Vendas!$E$8:$E$2008,"&gt;=01/02/"&amp;$G$3,Vendas!$E$8:$E$2008,"&lt;=28/02/"&amp;$G$3)+SUMIFS(Vendas!$AO$8:$AO$2008,Vendas!$AL$8:$AL$2008,$B48,Vendas!$E$8:$E$2008,"&gt;=01/02/"&amp;$G$3,Vendas!$E$8:$E$2008,"&lt;=28/02/"&amp;$G$3)+SUMIFS(Vendas!$AT$8:$AT$2008,Vendas!$AQ$8:$AQ$2008,$B48,Vendas!$E$8:$E$2008,"&gt;=01/02/"&amp;$G$3,Vendas!$E$8:$E$2008,"&lt;=28/02/"&amp;$G$3)</f>
        <v>0</v>
      </c>
      <c r="F48" s="165">
        <f>SUMIFS(Vendas!$K$8:$K$2008,Vendas!$H$8:$H$2008,$B48,Vendas!$E$8:$E$2008,"&gt;=01/02/"&amp;$G$3,Vendas!$E$8:$E$2008,"&lt;=28/02/"&amp;$G$3,Vendas!$C$8:$C$2008,"Entregue")+SUMIFS(Vendas!$P$8:$P$2008,Vendas!$M$8:$M$2008,$B48,Vendas!$E$8:$E$2008,"&gt;=01/02/"&amp;$G$3,Vendas!$E$8:$E$2008,"&lt;=28/02/"&amp;$G$3,Vendas!$C$8:$C$2008,"Entregue")+SUMIFS(Vendas!$U$8:$U$2008,Vendas!$R$8:$R$2008,$B48,Vendas!$E$8:$E$2008,"&gt;=01/02/"&amp;$G$3,Vendas!$E$8:$E$2008,"&lt;=28/02/"&amp;$G$3,Vendas!$C$8:$C$2008,"Entregue")+SUMIFS(Vendas!$Z$8:$Z$2008,Vendas!$W$8:$W$2008,$B48,Vendas!$E$8:$E$2008,"&gt;=01/02/"&amp;$G$3,Vendas!$E$8:$E$2008,"&lt;=28/02/"&amp;$G$3,Vendas!$C$8:$C$2008,"Entregue")+SUMIFS(Vendas!$AE$8:$AE$2008,Vendas!$AB$8:$AB$2008,$B48,Vendas!$E$8:$E$2008,"&gt;=01/02/"&amp;$G$3,Vendas!$E$8:$E$2008,"&lt;=28/02/"&amp;$G$3,Vendas!$C$8:$C$2008,"Entregue")+SUMIFS(Vendas!$AJ$8:$AJ$2008,Vendas!$AG$8:$AG$2008,$B48,Vendas!$E$8:$E$2008,"&gt;=01/02/"&amp;$G$3,Vendas!$E$8:$E$2008,"&lt;=28/02/"&amp;$G$3,Vendas!$C$8:$C$2008,"Entregue")+SUMIFS(Vendas!$AO$8:$AO$2008,Vendas!$AL$8:$AL$2008,$B48,Vendas!$E$8:$E$2008,"&gt;=01/02/"&amp;$G$3,Vendas!$E$8:$E$2008,"&lt;=28/02/"&amp;$G$3,Vendas!$C$8:$C$2008,"Entregue")+SUMIFS(Vendas!$AT$8:$AT$2008,Vendas!$AQ$8:$AQ$2008,$B48,Vendas!$E$8:$E$2008,"&gt;=01/02/"&amp;$G$3,Vendas!$E$8:$E$2008,"&lt;=28/02/"&amp;$G$3,Vendas!$C$8:$C$2008,"Entregue")</f>
        <v>0</v>
      </c>
      <c r="G48" s="165">
        <f>SUMIFS(Vendas!$K$8:$K$2008,Vendas!$H$8:$H$2008,$B48,Vendas!$E$8:$E$2008,"&gt;=01/03/"&amp;$G$3,Vendas!$E$8:$E$2008,"&lt;=31/03/"&amp;$G$3)+SUMIFS(Vendas!$P$8:$P$2008,Vendas!$M$8:$M$2008,$B48,Vendas!$E$8:$E$2008,"&gt;=01/03/"&amp;$G$3,Vendas!$E$8:$E$2008,"&lt;=31/03/"&amp;$G$3)+SUMIFS(Vendas!$U$8:$U$2008,Vendas!$R$8:$R$2008,$B48,Vendas!$E$8:$E$2008,"&gt;=01/03/"&amp;$G$3,Vendas!$E$8:$E$2008,"&lt;=31/03/"&amp;$G$3)+SUMIFS(Vendas!$Z$8:$Z$2008,Vendas!$W$8:$W$2008,$B48,Vendas!$E$8:$E$2008,"&gt;=01/03/"&amp;$G$3,Vendas!$E$8:$E$2008,"&lt;=31/03/"&amp;$G$3)+SUMIFS(Vendas!$AE$8:$AE$2008,Vendas!$AB$8:$AB$2008,$B48,Vendas!$E$8:$E$2008,"&gt;=01/03/"&amp;$G$3,Vendas!$E$8:$E$2008,"&lt;=31/03/"&amp;$G$3)+SUMIFS(Vendas!$AJ$8:$AJ$2008,Vendas!$AG$8:$AG$2008,$B48,Vendas!$E$8:$E$2008,"&gt;=01/03/"&amp;$G$3,Vendas!$E$8:$E$2008,"&lt;=31/03/"&amp;$G$3)+SUMIFS(Vendas!$AO$8:$AO$2008,Vendas!$AL$8:$AL$2008,$B48,Vendas!$E$8:$E$2008,"&gt;=01/03/"&amp;$G$3,Vendas!$E$8:$E$2008,"&lt;=31/03/"&amp;$G$3)+SUMIFS(Vendas!$AT$8:$AT$2008,Vendas!$AQ$8:$AQ$2008,$B48,Vendas!$E$8:$E$2008,"&gt;=01/03/"&amp;$G$3,Vendas!$E$8:$E$2008,"&lt;=31/03/"&amp;$G$3)</f>
        <v>0</v>
      </c>
      <c r="H48" s="165">
        <f>SUMIFS(Vendas!$K$8:$K$2008,Vendas!$H$8:$H$2008,$B48,Vendas!$E$8:$E$2008,"&gt;=01/03/"&amp;$G$3,Vendas!$E$8:$E$2008,"&lt;=31/03/"&amp;$G$3,Vendas!$C$8:$C$2008,"Entregue")+SUMIFS(Vendas!$P$8:$P$2008,Vendas!$M$8:$M$2008,$B48,Vendas!$E$8:$E$2008,"&gt;=01/03/"&amp;$G$3,Vendas!$E$8:$E$2008,"&lt;=31/03/"&amp;$G$3,Vendas!$C$8:$C$2008,"Entregue")+SUMIFS(Vendas!$U$8:$U$2008,Vendas!$R$8:$R$2008,$B48,Vendas!$E$8:$E$2008,"&gt;=01/03/"&amp;$G$3,Vendas!$E$8:$E$2008,"&lt;=31/03/"&amp;$G$3,Vendas!$C$8:$C$2008,"Entregue")+SUMIFS(Vendas!$Z$8:$Z$2008,Vendas!$W$8:$W$2008,$B48,Vendas!$E$8:$E$2008,"&gt;=01/03/"&amp;$G$3,Vendas!$E$8:$E$2008,"&lt;=31/03/"&amp;$G$3,Vendas!$C$8:$C$2008,"Entregue")+SUMIFS(Vendas!$AE$8:$AE$2008,Vendas!$AB$8:$AB$2008,$B48,Vendas!$E$8:$E$2008,"&gt;=01/03/"&amp;$G$3,Vendas!$E$8:$E$2008,"&lt;=31/03/"&amp;$G$3,Vendas!$C$8:$C$2008,"Entregue")+SUMIFS(Vendas!$AJ$8:$AJ$2008,Vendas!$AG$8:$AG$2008,$B48,Vendas!$E$8:$E$2008,"&gt;=01/03/"&amp;$G$3,Vendas!$E$8:$E$2008,"&lt;=31/03/"&amp;$G$3,Vendas!$C$8:$C$2008,"Entregue")+SUMIFS(Vendas!$AO$8:$AO$2008,Vendas!$AL$8:$AL$2008,$B48,Vendas!$E$8:$E$2008,"&gt;=01/03/"&amp;$G$3,Vendas!$E$8:$E$2008,"&lt;=31/03/"&amp;$G$3,Vendas!$C$8:$C$2008,"Entregue")+SUMIFS(Vendas!$AT$8:$AT$2008,Vendas!$AQ$8:$AQ$2008,$B48,Vendas!$E$8:$E$2008,"&gt;=01/03/"&amp;$G$3,Vendas!$E$8:$E$2008,"&lt;=31/03/"&amp;$G$3,Vendas!$C$8:$C$2008,"Entregue")</f>
        <v>0</v>
      </c>
      <c r="I48" s="165">
        <f>SUMIFS(Vendas!$K$8:$K$2008,Vendas!$H$8:$H$2008,$B48,Vendas!$E$8:$E$2008,"&gt;=01/04/"&amp;$G$3,Vendas!$E$8:$E$2008,"&lt;=30/04/"&amp;$G$3)+SUMIFS(Vendas!$P$8:$P$2008,Vendas!$M$8:$M$2008,$B48,Vendas!$E$8:$E$2008,"&gt;=01/04/"&amp;$G$3,Vendas!$E$8:$E$2008,"&lt;=30/04/"&amp;$G$3)+SUMIFS(Vendas!$U$8:$U$2008,Vendas!$R$8:$R$2008,$B48,Vendas!$E$8:$E$2008,"&gt;=01/04/"&amp;$G$3,Vendas!$E$8:$E$2008,"&lt;=30/04/"&amp;$G$3)+SUMIFS(Vendas!$Z$8:$Z$2008,Vendas!$W$8:$W$2008,$B48,Vendas!$E$8:$E$2008,"&gt;=01/04/"&amp;$G$3,Vendas!$E$8:$E$2008,"&lt;=30/04/"&amp;$G$3)+SUMIFS(Vendas!$AE$8:$AE$2008,Vendas!$AB$8:$AB$2008,$B48,Vendas!$E$8:$E$2008,"&gt;=01/04/"&amp;$G$3,Vendas!$E$8:$E$2008,"&lt;=30/04/"&amp;$G$3)+SUMIFS(Vendas!$AJ$8:$AJ$2008,Vendas!$AG$8:$AG$2008,$B48,Vendas!$E$8:$E$2008,"&gt;=01/04/"&amp;$G$3,Vendas!$E$8:$E$2008,"&lt;=30/04/"&amp;$G$3)+SUMIFS(Vendas!$AO$8:$AO$2008,Vendas!$AL$8:$AL$2008,$B48,Vendas!$E$8:$E$2008,"&gt;=01/04/"&amp;$G$3,Vendas!$E$8:$E$2008,"&lt;=30/04/"&amp;$G$3)+SUMIFS(Vendas!$AT$8:$AT$2008,Vendas!$AQ$8:$AQ$2008,$B48,Vendas!$E$8:$E$2008,"&gt;=01/04/"&amp;$G$3,Vendas!$E$8:$E$2008,"&lt;=30/04/"&amp;$G$3)</f>
        <v>0</v>
      </c>
      <c r="J48" s="165">
        <f>SUMIFS(Vendas!$K$8:$K$2008,Vendas!$H$8:$H$2008,$B48,Vendas!$E$8:$E$2008,"&gt;=01/04/"&amp;$G$3,Vendas!$E$8:$E$2008,"&lt;=30/04/"&amp;$G$3,Vendas!$C$8:$C$2008,"Entregue")+SUMIFS(Vendas!$P$8:$P$2008,Vendas!$M$8:$M$2008,$B48,Vendas!$E$8:$E$2008,"&gt;=01/04/"&amp;$G$3,Vendas!$E$8:$E$2008,"&lt;=30/04/"&amp;$G$3,Vendas!$C$8:$C$2008,"Entregue")+SUMIFS(Vendas!$U$8:$U$2008,Vendas!$R$8:$R$2008,$B48,Vendas!$E$8:$E$2008,"&gt;=01/04/"&amp;$G$3,Vendas!$E$8:$E$2008,"&lt;=30/04/"&amp;$G$3,Vendas!$C$8:$C$2008,"Entregue")+SUMIFS(Vendas!$Z$8:$Z$2008,Vendas!$W$8:$W$2008,$B48,Vendas!$E$8:$E$2008,"&gt;=01/04/"&amp;$G$3,Vendas!$E$8:$E$2008,"&lt;=30/04/"&amp;$G$3,Vendas!$C$8:$C$2008,"Entregue")+SUMIFS(Vendas!$AE$8:$AE$2008,Vendas!$AB$8:$AB$2008,$B48,Vendas!$E$8:$E$2008,"&gt;=01/04/"&amp;$G$3,Vendas!$E$8:$E$2008,"&lt;=30/04/"&amp;$G$3,Vendas!$C$8:$C$2008,"Entregue")+SUMIFS(Vendas!$AJ$8:$AJ$2008,Vendas!$AG$8:$AG$2008,$B48,Vendas!$E$8:$E$2008,"&gt;=01/04/"&amp;$G$3,Vendas!$E$8:$E$2008,"&lt;=30/04/"&amp;$G$3,Vendas!$C$8:$C$2008,"Entregue")+SUMIFS(Vendas!$AO$8:$AO$2008,Vendas!$AL$8:$AL$2008,$B48,Vendas!$E$8:$E$2008,"&gt;=01/04/"&amp;$G$3,Vendas!$E$8:$E$2008,"&lt;=30/04/"&amp;$G$3,Vendas!$C$8:$C$2008,"Entregue")+SUMIFS(Vendas!$AT$8:$AT$2008,Vendas!$AQ$8:$AQ$2008,$B48,Vendas!$E$8:$E$2008,"&gt;=01/04/"&amp;$G$3,Vendas!$E$8:$E$2008,"&lt;=30/04/"&amp;$G$3,Vendas!$C$8:$C$2008,"Entregue")</f>
        <v>0</v>
      </c>
      <c r="K48" s="165">
        <f>SUMIFS(Vendas!$K$8:$K$2008,Vendas!$H$8:$H$2008,$B48,Vendas!$E$8:$E$2008,"&gt;=01/05/"&amp;$G$3,Vendas!$E$8:$E$2008,"&lt;=31/05/"&amp;$G$3)+SUMIFS(Vendas!$P$8:$P$2008,Vendas!$M$8:$M$2008,$B48,Vendas!$E$8:$E$2008,"&gt;=01/05/"&amp;$G$3,Vendas!$E$8:$E$2008,"&lt;=31/05/"&amp;$G$3)+SUMIFS(Vendas!$U$8:$U$2008,Vendas!$R$8:$R$2008,$B48,Vendas!$E$8:$E$2008,"&gt;=01/05/"&amp;$G$3,Vendas!$E$8:$E$2008,"&lt;=31/05/"&amp;$G$3)+SUMIFS(Vendas!$Z$8:$Z$2008,Vendas!$W$8:$W$2008,$B48,Vendas!$E$8:$E$2008,"&gt;=01/05/"&amp;$G$3,Vendas!$E$8:$E$2008,"&lt;=31/05/"&amp;$G$3)+SUMIFS(Vendas!$AE$8:$AE$2008,Vendas!$AB$8:$AB$2008,$B48,Vendas!$E$8:$E$2008,"&gt;=01/05/"&amp;$G$3,Vendas!$E$8:$E$2008,"&lt;=31/05/"&amp;$G$3)+SUMIFS(Vendas!$AJ$8:$AJ$2008,Vendas!$AG$8:$AG$2008,$B48,Vendas!$E$8:$E$2008,"&gt;=01/05/"&amp;$G$3,Vendas!$E$8:$E$2008,"&lt;=31/05/"&amp;$G$3)+SUMIFS(Vendas!$AO$8:$AO$2008,Vendas!$AL$8:$AL$2008,$B48,Vendas!$E$8:$E$2008,"&gt;=01/05/"&amp;$G$3,Vendas!$E$8:$E$2008,"&lt;=31/05/"&amp;$G$3)+SUMIFS(Vendas!$AT$8:$AT$2008,Vendas!$AQ$8:$AQ$2008,$B48,Vendas!$E$8:$E$2008,"&gt;=01/05/"&amp;$G$3,Vendas!$E$8:$E$2008,"&lt;=31/05/"&amp;$G$3)</f>
        <v>0</v>
      </c>
      <c r="L48" s="165">
        <f>SUMIFS(Vendas!$K$8:$K$2008,Vendas!$H$8:$H$2008,$B48,Vendas!$E$8:$E$2008,"&gt;=01/05/"&amp;$G$3,Vendas!$E$8:$E$2008,"&lt;=31/05/"&amp;$G$3,Vendas!$C$8:$C$2008,"Entregue")+SUMIFS(Vendas!$P$8:$P$2008,Vendas!$M$8:$M$2008,$B48,Vendas!$E$8:$E$2008,"&gt;=01/05/"&amp;$G$3,Vendas!$E$8:$E$2008,"&lt;=31/05/"&amp;$G$3,Vendas!$C$8:$C$2008,"Entregue")+SUMIFS(Vendas!$U$8:$U$2008,Vendas!$R$8:$R$2008,$B48,Vendas!$E$8:$E$2008,"&gt;=01/05/"&amp;$G$3,Vendas!$E$8:$E$2008,"&lt;=31/05/"&amp;$G$3,Vendas!$C$8:$C$2008,"Entregue")+SUMIFS(Vendas!$Z$8:$Z$2008,Vendas!$W$8:$W$2008,$B48,Vendas!$E$8:$E$2008,"&gt;=01/05/"&amp;$G$3,Vendas!$E$8:$E$2008,"&lt;=31/05/"&amp;$G$3,Vendas!$C$8:$C$2008,"Entregue")+SUMIFS(Vendas!$AE$8:$AE$2008,Vendas!$AB$8:$AB$2008,$B48,Vendas!$E$8:$E$2008,"&gt;=01/05/"&amp;$G$3,Vendas!$E$8:$E$2008,"&lt;=31/05/"&amp;$G$3,Vendas!$C$8:$C$2008,"Entregue")+SUMIFS(Vendas!$AJ$8:$AJ$2008,Vendas!$AG$8:$AG$2008,$B48,Vendas!$E$8:$E$2008,"&gt;=01/05/"&amp;$G$3,Vendas!$E$8:$E$2008,"&lt;=31/05/"&amp;$G$3,Vendas!$C$8:$C$2008,"Entregue")+SUMIFS(Vendas!$AO$8:$AO$2008,Vendas!$AL$8:$AL$2008,$B48,Vendas!$E$8:$E$2008,"&gt;=01/05/"&amp;$G$3,Vendas!$E$8:$E$2008,"&lt;=31/05/"&amp;$G$3,Vendas!$C$8:$C$2008,"Entregue")+SUMIFS(Vendas!$AT$8:$AT$2008,Vendas!$AQ$8:$AQ$2008,$B48,Vendas!$E$8:$E$2008,"&gt;=01/05/"&amp;$G$3,Vendas!$E$8:$E$2008,"&lt;=31/05/"&amp;$G$3,Vendas!$C$8:$C$2008,"Entregue")</f>
        <v>0</v>
      </c>
      <c r="M48" s="165">
        <f>SUMIFS(Vendas!$K$8:$K$2008,Vendas!$H$8:$H$2008,$B48,Vendas!$E$8:$E$2008,"&gt;=01/06/"&amp;$G$3,Vendas!$E$8:$E$2008,"&lt;=30/06/"&amp;$G$3)+SUMIFS(Vendas!$P$8:$P$2008,Vendas!$M$8:$M$2008,$B48,Vendas!$E$8:$E$2008,"&gt;=01/06/"&amp;$G$3,Vendas!$E$8:$E$2008,"&lt;=30/06/"&amp;$G$3)+SUMIFS(Vendas!$U$8:$U$2008,Vendas!$R$8:$R$2008,$B48,Vendas!$E$8:$E$2008,"&gt;=01/06/"&amp;$G$3,Vendas!$E$8:$E$2008,"&lt;=30/06/"&amp;$G$3)+SUMIFS(Vendas!$Z$8:$Z$2008,Vendas!$W$8:$W$2008,$B48,Vendas!$E$8:$E$2008,"&gt;=01/06/"&amp;$G$3,Vendas!$E$8:$E$2008,"&lt;=30/06/"&amp;$G$3)+SUMIFS(Vendas!$AE$8:$AE$2008,Vendas!$AB$8:$AB$2008,$B48,Vendas!$E$8:$E$2008,"&gt;=01/06/"&amp;$G$3,Vendas!$E$8:$E$2008,"&lt;=30/06/"&amp;$G$3)+SUMIFS(Vendas!$AJ$8:$AJ$2008,Vendas!$AG$8:$AG$2008,$B48,Vendas!$E$8:$E$2008,"&gt;=01/06/"&amp;$G$3,Vendas!$E$8:$E$2008,"&lt;=30/06/"&amp;$G$3)+SUMIFS(Vendas!$AO$8:$AO$2008,Vendas!$AL$8:$AL$2008,$B48,Vendas!$E$8:$E$2008,"&gt;=01/06/"&amp;$G$3,Vendas!$E$8:$E$2008,"&lt;=30/06/"&amp;$G$3)+SUMIFS(Vendas!$AT$8:$AT$2008,Vendas!$AQ$8:$AQ$2008,$B48,Vendas!$E$8:$E$2008,"&gt;=01/06/"&amp;$G$3,Vendas!$E$8:$E$2008,"&lt;=30/06/"&amp;$G$3)</f>
        <v>0</v>
      </c>
      <c r="N48" s="165">
        <f>SUMIFS(Vendas!$K$8:$K$2008,Vendas!$H$8:$H$2008,$B48,Vendas!$E$8:$E$2008,"&gt;=01/06/"&amp;$G$3,Vendas!$E$8:$E$2008,"&lt;=30/06/"&amp;$G$3,Vendas!$C$8:$C$2008,"Entregue")+SUMIFS(Vendas!$P$8:$P$2008,Vendas!$M$8:$M$2008,$B48,Vendas!$E$8:$E$2008,"&gt;=01/06/"&amp;$G$3,Vendas!$E$8:$E$2008,"&lt;=30/06/"&amp;$G$3,Vendas!$C$8:$C$2008,"Entregue")+SUMIFS(Vendas!$U$8:$U$2008,Vendas!$R$8:$R$2008,$B48,Vendas!$E$8:$E$2008,"&gt;=01/06/"&amp;$G$3,Vendas!$E$8:$E$2008,"&lt;=30/06/"&amp;$G$3,Vendas!$C$8:$C$2008,"Entregue")+SUMIFS(Vendas!$Z$8:$Z$2008,Vendas!$W$8:$W$2008,$B48,Vendas!$E$8:$E$2008,"&gt;=01/06/"&amp;$G$3,Vendas!$E$8:$E$2008,"&lt;=30/06/"&amp;$G$3,Vendas!$C$8:$C$2008,"Entregue")+SUMIFS(Vendas!$AE$8:$AE$2008,Vendas!$AB$8:$AB$2008,$B48,Vendas!$E$8:$E$2008,"&gt;=01/06/"&amp;$G$3,Vendas!$E$8:$E$2008,"&lt;=30/06/"&amp;$G$3,Vendas!$C$8:$C$2008,"Entregue")+SUMIFS(Vendas!$AJ$8:$AJ$2008,Vendas!$AG$8:$AG$2008,$B48,Vendas!$E$8:$E$2008,"&gt;=01/06/"&amp;$G$3,Vendas!$E$8:$E$2008,"&lt;=30/06/"&amp;$G$3,Vendas!$C$8:$C$2008,"Entregue")+SUMIFS(Vendas!$AO$8:$AO$2008,Vendas!$AL$8:$AL$2008,$B48,Vendas!$E$8:$E$2008,"&gt;=01/06/"&amp;$G$3,Vendas!$E$8:$E$2008,"&lt;=30/06/"&amp;$G$3,Vendas!$C$8:$C$2008,"Entregue")+SUMIFS(Vendas!$AT$8:$AT$2008,Vendas!$AQ$8:$AQ$2008,$B48,Vendas!$E$8:$E$2008,"&gt;=01/06/"&amp;$G$3,Vendas!$E$8:$E$2008,"&lt;=30/06/"&amp;$G$3,Vendas!$C$8:$C$2008,"Entregue")</f>
        <v>0</v>
      </c>
      <c r="O48" s="165">
        <f>SUMIFS(Vendas!$K$8:$K$2008,Vendas!$H$8:$H$2008,$B48,Vendas!$E$8:$E$2008,"&gt;=01/07/"&amp;$G$3,Vendas!$E$8:$E$2008,"&lt;=31/07/"&amp;$G$3)+SUMIFS(Vendas!$P$8:$P$2008,Vendas!$M$8:$M$2008,$B48,Vendas!$E$8:$E$2008,"&gt;=01/07/"&amp;$G$3,Vendas!$E$8:$E$2008,"&lt;=31/07/"&amp;$G$3)+SUMIFS(Vendas!$U$8:$U$2008,Vendas!$R$8:$R$2008,$B48,Vendas!$E$8:$E$2008,"&gt;=01/07/"&amp;$G$3,Vendas!$E$8:$E$2008,"&lt;=31/07/"&amp;$G$3)+SUMIFS(Vendas!$Z$8:$Z$2008,Vendas!$W$8:$W$2008,$B48,Vendas!$E$8:$E$2008,"&gt;=01/07/"&amp;$G$3,Vendas!$E$8:$E$2008,"&lt;=31/07/"&amp;$G$3)+SUMIFS(Vendas!$AE$8:$AE$2008,Vendas!$AB$8:$AB$2008,$B48,Vendas!$E$8:$E$2008,"&gt;=01/07/"&amp;$G$3,Vendas!$E$8:$E$2008,"&lt;=31/07/"&amp;$G$3)+SUMIFS(Vendas!$AJ$8:$AJ$2008,Vendas!$AG$8:$AG$2008,$B48,Vendas!$E$8:$E$2008,"&gt;=01/07/"&amp;$G$3,Vendas!$E$8:$E$2008,"&lt;=31/07/"&amp;$G$3)+SUMIFS(Vendas!$AO$8:$AO$2008,Vendas!$AL$8:$AL$2008,$B48,Vendas!$E$8:$E$2008,"&gt;=01/07/"&amp;$G$3,Vendas!$E$8:$E$2008,"&lt;=31/07/"&amp;$G$3)+SUMIFS(Vendas!$AT$8:$AT$2008,Vendas!$AQ$8:$AQ$2008,$B48,Vendas!$E$8:$E$2008,"&gt;=01/07/"&amp;$G$3,Vendas!$E$8:$E$2008,"&lt;=31/07/"&amp;$G$3)</f>
        <v>0</v>
      </c>
      <c r="P48" s="165">
        <f>SUMIFS(Vendas!$K$8:$K$2008,Vendas!$H$8:$H$2008,$B48,Vendas!$E$8:$E$2008,"&gt;=01/07/"&amp;$G$3,Vendas!$E$8:$E$2008,"&lt;=31/07/"&amp;$G$3,Vendas!$C$8:$C$2008,"Entregue")+SUMIFS(Vendas!$P$8:$P$2008,Vendas!$M$8:$M$2008,$B48,Vendas!$E$8:$E$2008,"&gt;=01/07/"&amp;$G$3,Vendas!$E$8:$E$2008,"&lt;=31/07/"&amp;$G$3,Vendas!$C$8:$C$2008,"Entregue")+SUMIFS(Vendas!$U$8:$U$2008,Vendas!$R$8:$R$2008,$B48,Vendas!$E$8:$E$2008,"&gt;=01/07/"&amp;$G$3,Vendas!$E$8:$E$2008,"&lt;=31/07/"&amp;$G$3,Vendas!$C$8:$C$2008,"Entregue")+SUMIFS(Vendas!$Z$8:$Z$2008,Vendas!$W$8:$W$2008,$B48,Vendas!$E$8:$E$2008,"&gt;=01/07/"&amp;$G$3,Vendas!$E$8:$E$2008,"&lt;=31/07/"&amp;$G$3,Vendas!$C$8:$C$2008,"Entregue")+SUMIFS(Vendas!$AE$8:$AE$2008,Vendas!$AB$8:$AB$2008,$B48,Vendas!$E$8:$E$2008,"&gt;=01/07/"&amp;$G$3,Vendas!$E$8:$E$2008,"&lt;=31/07/"&amp;$G$3,Vendas!$C$8:$C$2008,"Entregue")+SUMIFS(Vendas!$AJ$8:$AJ$2008,Vendas!$AG$8:$AG$2008,$B48,Vendas!$E$8:$E$2008,"&gt;=01/07/"&amp;$G$3,Vendas!$E$8:$E$2008,"&lt;=31/07/"&amp;$G$3,Vendas!$C$8:$C$2008,"Entregue")+SUMIFS(Vendas!$AO$8:$AO$2008,Vendas!$AL$8:$AL$2008,$B48,Vendas!$E$8:$E$2008,"&gt;=01/07/"&amp;$G$3,Vendas!$E$8:$E$2008,"&lt;=31/07/"&amp;$G$3,Vendas!$C$8:$C$2008,"Entregue")+SUMIFS(Vendas!$AT$8:$AT$2008,Vendas!$AQ$8:$AQ$2008,$B48,Vendas!$E$8:$E$2008,"&gt;=01/07/"&amp;$G$3,Vendas!$E$8:$E$2008,"&lt;=31/07/"&amp;$G$3,Vendas!$C$8:$C$2008,"Entregue")</f>
        <v>0</v>
      </c>
      <c r="Q48" s="165">
        <f>SUMIFS(Vendas!$K$8:$K$2008,Vendas!$H$8:$H$2008,$B48,Vendas!$E$8:$E$2008,"&gt;=01/08/"&amp;$G$3,Vendas!$E$8:$E$2008,"&lt;=31/08/"&amp;$G$3)+SUMIFS(Vendas!$P$8:$P$2008,Vendas!$M$8:$M$2008,$B48,Vendas!$E$8:$E$2008,"&gt;=01/08/"&amp;$G$3,Vendas!$E$8:$E$2008,"&lt;=31/08/"&amp;$G$3)+SUMIFS(Vendas!$U$8:$U$2008,Vendas!$R$8:$R$2008,$B48,Vendas!$E$8:$E$2008,"&gt;=01/08/"&amp;$G$3,Vendas!$E$8:$E$2008,"&lt;=31/08/"&amp;$G$3)+SUMIFS(Vendas!$Z$8:$Z$2008,Vendas!$W$8:$W$2008,$B48,Vendas!$E$8:$E$2008,"&gt;=01/08/"&amp;$G$3,Vendas!$E$8:$E$2008,"&lt;=31/08/"&amp;$G$3)+SUMIFS(Vendas!$AE$8:$AE$2008,Vendas!$AB$8:$AB$2008,$B48,Vendas!$E$8:$E$2008,"&gt;=01/08/"&amp;$G$3,Vendas!$E$8:$E$2008,"&lt;=31/08/"&amp;$G$3)+SUMIFS(Vendas!$AJ$8:$AJ$2008,Vendas!$AG$8:$AG$2008,$B48,Vendas!$E$8:$E$2008,"&gt;=01/08/"&amp;$G$3,Vendas!$E$8:$E$2008,"&lt;=31/08/"&amp;$G$3)+SUMIFS(Vendas!$AO$8:$AO$2008,Vendas!$AL$8:$AL$2008,$B48,Vendas!$E$8:$E$2008,"&gt;=01/08/"&amp;$G$3,Vendas!$E$8:$E$2008,"&lt;=31/08/"&amp;$G$3)+SUMIFS(Vendas!$AT$8:$AT$2008,Vendas!$AQ$8:$AQ$2008,$B48,Vendas!$E$8:$E$2008,"&gt;=01/08/"&amp;$G$3,Vendas!$E$8:$E$2008,"&lt;=31/08/"&amp;$G$3)</f>
        <v>0</v>
      </c>
      <c r="R48" s="165">
        <f>SUMIFS(Vendas!$K$8:$K$2008,Vendas!$H$8:$H$2008,$B48,Vendas!$E$8:$E$2008,"&gt;=01/08/"&amp;$G$3,Vendas!$E$8:$E$2008,"&lt;=31/08/"&amp;$G$3,Vendas!$C$8:$C$2008,"Entregue")+SUMIFS(Vendas!$P$8:$P$2008,Vendas!$M$8:$M$2008,$B48,Vendas!$E$8:$E$2008,"&gt;=01/08/"&amp;$G$3,Vendas!$E$8:$E$2008,"&lt;=31/08/"&amp;$G$3,Vendas!$C$8:$C$2008,"Entregue")+SUMIFS(Vendas!$U$8:$U$2008,Vendas!$R$8:$R$2008,$B48,Vendas!$E$8:$E$2008,"&gt;=01/08/"&amp;$G$3,Vendas!$E$8:$E$2008,"&lt;=31/08/"&amp;$G$3,Vendas!$C$8:$C$2008,"Entregue")+SUMIFS(Vendas!$Z$8:$Z$2008,Vendas!$W$8:$W$2008,$B48,Vendas!$E$8:$E$2008,"&gt;=01/08/"&amp;$G$3,Vendas!$E$8:$E$2008,"&lt;=31/08/"&amp;$G$3,Vendas!$C$8:$C$2008,"Entregue")+SUMIFS(Vendas!$AE$8:$AE$2008,Vendas!$AB$8:$AB$2008,$B48,Vendas!$E$8:$E$2008,"&gt;=01/08/"&amp;$G$3,Vendas!$E$8:$E$2008,"&lt;=31/08/"&amp;$G$3,Vendas!$C$8:$C$2008,"Entregue")+SUMIFS(Vendas!$AJ$8:$AJ$2008,Vendas!$AG$8:$AG$2008,$B48,Vendas!$E$8:$E$2008,"&gt;=01/08/"&amp;$G$3,Vendas!$E$8:$E$2008,"&lt;=31/08/"&amp;$G$3,Vendas!$C$8:$C$2008,"Entregue")+SUMIFS(Vendas!$AO$8:$AO$2008,Vendas!$AL$8:$AL$2008,$B48,Vendas!$E$8:$E$2008,"&gt;=01/08/"&amp;$G$3,Vendas!$E$8:$E$2008,"&lt;=31/08/"&amp;$G$3,Vendas!$C$8:$C$2008,"Entregue")+SUMIFS(Vendas!$AT$8:$AT$2008,Vendas!$AQ$8:$AQ$2008,$B48,Vendas!$E$8:$E$2008,"&gt;=01/08/"&amp;$G$3,Vendas!$E$8:$E$2008,"&lt;=31/08/"&amp;$G$3,Vendas!$C$8:$C$2008,"Entregue")</f>
        <v>0</v>
      </c>
      <c r="S48" s="165">
        <f>SUMIFS(Vendas!$K$8:$K$2008,Vendas!$H$8:$H$2008,$B48,Vendas!$E$8:$E$2008,"&gt;=01/09/"&amp;$G$3,Vendas!$E$8:$E$2008,"&lt;=30/09/"&amp;$G$3)+SUMIFS(Vendas!$P$8:$P$2008,Vendas!$M$8:$M$2008,$B48,Vendas!$E$8:$E$2008,"&gt;=01/09/"&amp;$G$3,Vendas!$E$8:$E$2008,"&lt;=30/09/"&amp;$G$3)+SUMIFS(Vendas!$U$8:$U$2008,Vendas!$R$8:$R$2008,$B48,Vendas!$E$8:$E$2008,"&gt;=01/09/"&amp;$G$3,Vendas!$E$8:$E$2008,"&lt;=30/09/"&amp;$G$3)+SUMIFS(Vendas!$Z$8:$Z$2008,Vendas!$W$8:$W$2008,$B48,Vendas!$E$8:$E$2008,"&gt;=01/09/"&amp;$G$3,Vendas!$E$8:$E$2008,"&lt;=30/09/"&amp;$G$3)+SUMIFS(Vendas!$AE$8:$AE$2008,Vendas!$AB$8:$AB$2008,$B48,Vendas!$E$8:$E$2008,"&gt;=01/09/"&amp;$G$3,Vendas!$E$8:$E$2008,"&lt;=30/09/"&amp;$G$3)+SUMIFS(Vendas!$AJ$8:$AJ$2008,Vendas!$AG$8:$AG$2008,$B48,Vendas!$E$8:$E$2008,"&gt;=01/09/"&amp;$G$3,Vendas!$E$8:$E$2008,"&lt;=30/09/"&amp;$G$3)+SUMIFS(Vendas!$AO$8:$AO$2008,Vendas!$AL$8:$AL$2008,$B48,Vendas!$E$8:$E$2008,"&gt;=01/09/"&amp;$G$3,Vendas!$E$8:$E$2008,"&lt;=30/09/"&amp;$G$3)+SUMIFS(Vendas!$AT$8:$AT$2008,Vendas!$AQ$8:$AQ$2008,$B48,Vendas!$E$8:$E$2008,"&gt;=01/09/"&amp;$G$3,Vendas!$E$8:$E$2008,"&lt;=30/09/"&amp;$G$3)</f>
        <v>0</v>
      </c>
      <c r="T48" s="165">
        <f>SUMIFS(Vendas!$K$8:$K$2008,Vendas!$H$8:$H$2008,$B48,Vendas!$E$8:$E$2008,"&gt;=01/09/"&amp;$G$3,Vendas!$E$8:$E$2008,"&lt;=30/09/"&amp;$G$3,Vendas!$C$8:$C$2008,"Entregue")+SUMIFS(Vendas!$P$8:$P$2008,Vendas!$M$8:$M$2008,$B48,Vendas!$E$8:$E$2008,"&gt;=01/09/"&amp;$G$3,Vendas!$E$8:$E$2008,"&lt;=30/09/"&amp;$G$3,Vendas!$C$8:$C$2008,"Entregue")+SUMIFS(Vendas!$U$8:$U$2008,Vendas!$R$8:$R$2008,$B48,Vendas!$E$8:$E$2008,"&gt;=01/09/"&amp;$G$3,Vendas!$E$8:$E$2008,"&lt;=30/09/"&amp;$G$3,Vendas!$C$8:$C$2008,"Entregue")+SUMIFS(Vendas!$Z$8:$Z$2008,Vendas!$W$8:$W$2008,$B48,Vendas!$E$8:$E$2008,"&gt;=01/09/"&amp;$G$3,Vendas!$E$8:$E$2008,"&lt;=30/09/"&amp;$G$3,Vendas!$C$8:$C$2008,"Entregue")+SUMIFS(Vendas!$AE$8:$AE$2008,Vendas!$AB$8:$AB$2008,$B48,Vendas!$E$8:$E$2008,"&gt;=01/09/"&amp;$G$3,Vendas!$E$8:$E$2008,"&lt;=30/09/"&amp;$G$3,Vendas!$C$8:$C$2008,"Entregue")+SUMIFS(Vendas!$AJ$8:$AJ$2008,Vendas!$AG$8:$AG$2008,$B48,Vendas!$E$8:$E$2008,"&gt;=01/09/"&amp;$G$3,Vendas!$E$8:$E$2008,"&lt;=30/09/"&amp;$G$3,Vendas!$C$8:$C$2008,"Entregue")+SUMIFS(Vendas!$AO$8:$AO$2008,Vendas!$AL$8:$AL$2008,$B48,Vendas!$E$8:$E$2008,"&gt;=01/09/"&amp;$G$3,Vendas!$E$8:$E$2008,"&lt;=30/09/"&amp;$G$3,Vendas!$C$8:$C$2008,"Entregue")+SUMIFS(Vendas!$AT$8:$AT$2008,Vendas!$AQ$8:$AQ$2008,$B48,Vendas!$E$8:$E$2008,"&gt;=01/09/"&amp;$G$3,Vendas!$E$8:$E$2008,"&lt;=30/09/"&amp;$G$3,Vendas!$C$8:$C$2008,"Entregue")</f>
        <v>0</v>
      </c>
      <c r="U48" s="165">
        <f>SUMIFS(Vendas!$K$8:$K$2008,Vendas!$H$8:$H$2008,$B48,Vendas!$E$8:$E$2008,"&gt;=01/10/"&amp;$G$3,Vendas!$E$8:$E$2008,"&lt;=31/10/"&amp;$G$3)+SUMIFS(Vendas!$P$8:$P$2008,Vendas!$M$8:$M$2008,$B48,Vendas!$E$8:$E$2008,"&gt;=01/10/"&amp;$G$3,Vendas!$E$8:$E$2008,"&lt;=31/10/"&amp;$G$3)+SUMIFS(Vendas!$U$8:$U$2008,Vendas!$R$8:$R$2008,$B48,Vendas!$E$8:$E$2008,"&gt;=01/10/"&amp;$G$3,Vendas!$E$8:$E$2008,"&lt;=31/10/"&amp;$G$3)+SUMIFS(Vendas!$Z$8:$Z$2008,Vendas!$W$8:$W$2008,$B48,Vendas!$E$8:$E$2008,"&gt;=01/10/"&amp;$G$3,Vendas!$E$8:$E$2008,"&lt;=31/10/"&amp;$G$3)+SUMIFS(Vendas!$AE$8:$AE$2008,Vendas!$AB$8:$AB$2008,$B48,Vendas!$E$8:$E$2008,"&gt;=01/10/"&amp;$G$3,Vendas!$E$8:$E$2008,"&lt;=31/10/"&amp;$G$3)+SUMIFS(Vendas!$AJ$8:$AJ$2008,Vendas!$AG$8:$AG$2008,$B48,Vendas!$E$8:$E$2008,"&gt;=01/10/"&amp;$G$3,Vendas!$E$8:$E$2008,"&lt;=31/10/"&amp;$G$3)+SUMIFS(Vendas!$AO$8:$AO$2008,Vendas!$AL$8:$AL$2008,$B48,Vendas!$E$8:$E$2008,"&gt;=01/10/"&amp;$G$3,Vendas!$E$8:$E$2008,"&lt;=31/10/"&amp;$G$3)+SUMIFS(Vendas!$AT$8:$AT$2008,Vendas!$AQ$8:$AQ$2008,$B48,Vendas!$E$8:$E$2008,"&gt;=01/10/"&amp;$G$3,Vendas!$E$8:$E$2008,"&lt;=31/10/"&amp;$G$3)</f>
        <v>0</v>
      </c>
      <c r="V48" s="165">
        <f>SUMIFS(Vendas!$K$8:$K$2008,Vendas!$H$8:$H$2008,$B48,Vendas!$E$8:$E$2008,"&gt;=01/10/"&amp;$G$3,Vendas!$E$8:$E$2008,"&lt;=31/10/"&amp;$G$3,Vendas!$C$8:$C$2008,"Entregue")+SUMIFS(Vendas!$P$8:$P$2008,Vendas!$M$8:$M$2008,$B48,Vendas!$E$8:$E$2008,"&gt;=01/10/"&amp;$G$3,Vendas!$E$8:$E$2008,"&lt;=31/10/"&amp;$G$3,Vendas!$C$8:$C$2008,"Entregue")+SUMIFS(Vendas!$U$8:$U$2008,Vendas!$R$8:$R$2008,$B48,Vendas!$E$8:$E$2008,"&gt;=01/10/"&amp;$G$3,Vendas!$E$8:$E$2008,"&lt;=31/10/"&amp;$G$3,Vendas!$C$8:$C$2008,"Entregue")+SUMIFS(Vendas!$Z$8:$Z$2008,Vendas!$W$8:$W$2008,$B48,Vendas!$E$8:$E$2008,"&gt;=01/10/"&amp;$G$3,Vendas!$E$8:$E$2008,"&lt;=31/10/"&amp;$G$3,Vendas!$C$8:$C$2008,"Entregue")+SUMIFS(Vendas!$AE$8:$AE$2008,Vendas!$AB$8:$AB$2008,$B48,Vendas!$E$8:$E$2008,"&gt;=01/10/"&amp;$G$3,Vendas!$E$8:$E$2008,"&lt;=31/10/"&amp;$G$3,Vendas!$C$8:$C$2008,"Entregue")+SUMIFS(Vendas!$AJ$8:$AJ$2008,Vendas!$AG$8:$AG$2008,$B48,Vendas!$E$8:$E$2008,"&gt;=01/10/"&amp;$G$3,Vendas!$E$8:$E$2008,"&lt;=31/10/"&amp;$G$3,Vendas!$C$8:$C$2008,"Entregue")+SUMIFS(Vendas!$AO$8:$AO$2008,Vendas!$AL$8:$AL$2008,$B48,Vendas!$E$8:$E$2008,"&gt;=01/10/"&amp;$G$3,Vendas!$E$8:$E$2008,"&lt;=31/10/"&amp;$G$3,Vendas!$C$8:$C$2008,"Entregue")+SUMIFS(Vendas!$AT$8:$AT$2008,Vendas!$AQ$8:$AQ$2008,$B48,Vendas!$E$8:$E$2008,"&gt;=01/10/"&amp;$G$3,Vendas!$E$8:$E$2008,"&lt;=31/10/"&amp;$G$3,Vendas!$C$8:$C$2008,"Entregue")</f>
        <v>0</v>
      </c>
      <c r="W48" s="165">
        <f>SUMIFS(Vendas!$K$8:$K$2008,Vendas!$H$8:$H$2008,$B48,Vendas!$E$8:$E$2008,"&gt;=01/11/"&amp;$G$3,Vendas!$E$8:$E$2008,"&lt;=30/11/"&amp;$G$3)+SUMIFS(Vendas!$P$8:$P$2008,Vendas!$M$8:$M$2008,$B48,Vendas!$E$8:$E$2008,"&gt;=01/11/"&amp;$G$3,Vendas!$E$8:$E$2008,"&lt;=30/11/"&amp;$G$3)+SUMIFS(Vendas!$U$8:$U$2008,Vendas!$R$8:$R$2008,$B48,Vendas!$E$8:$E$2008,"&gt;=01/11/"&amp;$G$3,Vendas!$E$8:$E$2008,"&lt;=30/11/"&amp;$G$3)+SUMIFS(Vendas!$Z$8:$Z$2008,Vendas!$W$8:$W$2008,$B48,Vendas!$E$8:$E$2008,"&gt;=01/11/"&amp;$G$3,Vendas!$E$8:$E$2008,"&lt;=30/11/"&amp;$G$3)+SUMIFS(Vendas!$AE$8:$AE$2008,Vendas!$AB$8:$AB$2008,$B48,Vendas!$E$8:$E$2008,"&gt;=01/11/"&amp;$G$3,Vendas!$E$8:$E$2008,"&lt;=30/11/"&amp;$G$3)+SUMIFS(Vendas!$AJ$8:$AJ$2008,Vendas!$AG$8:$AG$2008,$B48,Vendas!$E$8:$E$2008,"&gt;=01/11/"&amp;$G$3,Vendas!$E$8:$E$2008,"&lt;=30/11/"&amp;$G$3)+SUMIFS(Vendas!$AO$8:$AO$2008,Vendas!$AL$8:$AL$2008,$B48,Vendas!$E$8:$E$2008,"&gt;=01/11/"&amp;$G$3,Vendas!$E$8:$E$2008,"&lt;=30/11/"&amp;$G$3)+SUMIFS(Vendas!$AT$8:$AT$2008,Vendas!$AQ$8:$AQ$2008,$B48,Vendas!$E$8:$E$2008,"&gt;=01/11/"&amp;$G$3,Vendas!$E$8:$E$2008,"&lt;=30/11/"&amp;$G$3)</f>
        <v>0</v>
      </c>
      <c r="X48" s="165">
        <f>SUMIFS(Vendas!$K$8:$K$2008,Vendas!$H$8:$H$2008,$B48,Vendas!$E$8:$E$2008,"&gt;=01/11/"&amp;$G$3,Vendas!$E$8:$E$2008,"&lt;=30/11/"&amp;$G$3,Vendas!$C$8:$C$2008,"Entregue")+SUMIFS(Vendas!$P$8:$P$2008,Vendas!$M$8:$M$2008,$B48,Vendas!$E$8:$E$2008,"&gt;=01/11/"&amp;$G$3,Vendas!$E$8:$E$2008,"&lt;=30/11/"&amp;$G$3,Vendas!$C$8:$C$2008,"Entregue")+SUMIFS(Vendas!$U$8:$U$2008,Vendas!$R$8:$R$2008,$B48,Vendas!$E$8:$E$2008,"&gt;=01/11/"&amp;$G$3,Vendas!$E$8:$E$2008,"&lt;=30/11/"&amp;$G$3,Vendas!$C$8:$C$2008,"Entregue")+SUMIFS(Vendas!$Z$8:$Z$2008,Vendas!$W$8:$W$2008,$B48,Vendas!$E$8:$E$2008,"&gt;=01/11/"&amp;$G$3,Vendas!$E$8:$E$2008,"&lt;=30/11/"&amp;$G$3,Vendas!$C$8:$C$2008,"Entregue")+SUMIFS(Vendas!$AE$8:$AE$2008,Vendas!$AB$8:$AB$2008,$B48,Vendas!$E$8:$E$2008,"&gt;=01/11/"&amp;$G$3,Vendas!$E$8:$E$2008,"&lt;=30/11/"&amp;$G$3,Vendas!$C$8:$C$2008,"Entregue")+SUMIFS(Vendas!$AJ$8:$AJ$2008,Vendas!$AG$8:$AG$2008,$B48,Vendas!$E$8:$E$2008,"&gt;=01/11/"&amp;$G$3,Vendas!$E$8:$E$2008,"&lt;=30/11/"&amp;$G$3,Vendas!$C$8:$C$2008,"Entregue")+SUMIFS(Vendas!$AO$8:$AO$2008,Vendas!$AL$8:$AL$2008,$B48,Vendas!$E$8:$E$2008,"&gt;=01/11/"&amp;$G$3,Vendas!$E$8:$E$2008,"&lt;=30/11/"&amp;$G$3,Vendas!$C$8:$C$2008,"Entregue")+SUMIFS(Vendas!$AT$8:$AT$2008,Vendas!$AQ$8:$AQ$2008,$B48,Vendas!$E$8:$E$2008,"&gt;=01/11/"&amp;$G$3,Vendas!$E$8:$E$2008,"&lt;=30/11/"&amp;$G$3,Vendas!$C$8:$C$2008,"Entregue")</f>
        <v>0</v>
      </c>
      <c r="Y48" s="165">
        <f>SUMIFS(Vendas!$K$8:$K$2008,Vendas!$H$8:$H$2008,$B48,Vendas!$E$8:$E$2008,"&gt;=01/12/"&amp;$G$3,Vendas!$E$8:$E$2008,"&lt;=31/12/"&amp;$G$3)+SUMIFS(Vendas!$P$8:$P$2008,Vendas!$M$8:$M$2008,$B48,Vendas!$E$8:$E$2008,"&gt;=01/12/"&amp;$G$3,Vendas!$E$8:$E$2008,"&lt;=31/12/"&amp;$G$3)+SUMIFS(Vendas!$U$8:$U$2008,Vendas!$R$8:$R$2008,$B48,Vendas!$E$8:$E$2008,"&gt;=01/12/"&amp;$G$3,Vendas!$E$8:$E$2008,"&lt;=31/12/"&amp;$G$3)+SUMIFS(Vendas!$Z$8:$Z$2008,Vendas!$W$8:$W$2008,$B48,Vendas!$E$8:$E$2008,"&gt;=01/12/"&amp;$G$3,Vendas!$E$8:$E$2008,"&lt;=31/12/"&amp;$G$3)+SUMIFS(Vendas!$AE$8:$AE$2008,Vendas!$AB$8:$AB$2008,$B48,Vendas!$E$8:$E$2008,"&gt;=01/12/"&amp;$G$3,Vendas!$E$8:$E$2008,"&lt;=31/12/"&amp;$G$3)+SUMIFS(Vendas!$AJ$8:$AJ$2008,Vendas!$AG$8:$AG$2008,$B48,Vendas!$E$8:$E$2008,"&gt;=01/12/"&amp;$G$3,Vendas!$E$8:$E$2008,"&lt;=31/12/"&amp;$G$3)+SUMIFS(Vendas!$AO$8:$AO$2008,Vendas!$AL$8:$AL$2008,$B48,Vendas!$E$8:$E$2008,"&gt;=01/12/"&amp;$G$3,Vendas!$E$8:$E$2008,"&lt;=31/12/"&amp;$G$3)+SUMIFS(Vendas!$AT$8:$AT$2008,Vendas!$AQ$8:$AQ$2008,$B48,Vendas!$E$8:$E$2008,"&gt;=01/12/"&amp;$G$3,Vendas!$E$8:$E$2008,"&lt;=31/12/"&amp;$G$3)</f>
        <v>0</v>
      </c>
      <c r="Z48" s="166">
        <f>SUMIFS(Vendas!$K$8:$K$2008,Vendas!$H$8:$H$2008,$B48,Vendas!$E$8:$E$2008,"&gt;=01/12/"&amp;$G$3,Vendas!$E$8:$E$2008,"&lt;=31/12/"&amp;$G$3,Vendas!$C$8:$C$2008,"Entregue")+SUMIFS(Vendas!$P$8:$P$2008,Vendas!$M$8:$M$2008,$B48,Vendas!$E$8:$E$2008,"&gt;=01/12/"&amp;$G$3,Vendas!$E$8:$E$2008,"&lt;=31/12/"&amp;$G$3,Vendas!$C$8:$C$2008,"Entregue")+SUMIFS(Vendas!$U$8:$U$2008,Vendas!$R$8:$R$2008,$B48,Vendas!$E$8:$E$2008,"&gt;=01/12/"&amp;$G$3,Vendas!$E$8:$E$2008,"&lt;=31/12/"&amp;$G$3,Vendas!$C$8:$C$2008,"Entregue")+SUMIFS(Vendas!$Z$8:$Z$2008,Vendas!$W$8:$W$2008,$B48,Vendas!$E$8:$E$2008,"&gt;=01/12/"&amp;$G$3,Vendas!$E$8:$E$2008,"&lt;=31/12/"&amp;$G$3,Vendas!$C$8:$C$2008,"Entregue")+SUMIFS(Vendas!$AE$8:$AE$2008,Vendas!$AB$8:$AB$2008,$B48,Vendas!$E$8:$E$2008,"&gt;=01/12/"&amp;$G$3,Vendas!$E$8:$E$2008,"&lt;=31/12/"&amp;$G$3,Vendas!$C$8:$C$2008,"Entregue")+SUMIFS(Vendas!$AJ$8:$AJ$2008,Vendas!$AG$8:$AG$2008,$B48,Vendas!$E$8:$E$2008,"&gt;=01/12/"&amp;$G$3,Vendas!$E$8:$E$2008,"&lt;=31/12/"&amp;$G$3,Vendas!$C$8:$C$2008,"Entregue")+SUMIFS(Vendas!$AO$8:$AO$2008,Vendas!$AL$8:$AL$2008,$B48,Vendas!$E$8:$E$2008,"&gt;=01/12/"&amp;$G$3,Vendas!$E$8:$E$2008,"&lt;=31/12/"&amp;$G$3,Vendas!$C$8:$C$2008,"Entregue")+SUMIFS(Vendas!$AT$8:$AT$2008,Vendas!$AQ$8:$AQ$2008,$B48,Vendas!$E$8:$E$2008,"&gt;=01/12/"&amp;$G$3,Vendas!$E$8:$E$2008,"&lt;=31/12/"&amp;$G$3,Vendas!$C$8:$C$2008,"Entregue")</f>
        <v>0</v>
      </c>
      <c r="AA48" s="132">
        <f t="shared" si="0"/>
        <v>0</v>
      </c>
      <c r="AB48" s="132">
        <f t="shared" si="0"/>
        <v>0</v>
      </c>
      <c r="AC48" s="67"/>
    </row>
    <row r="49" spans="1:29" ht="14.4" x14ac:dyDescent="0.3">
      <c r="B49" s="73" t="s">
        <v>105</v>
      </c>
      <c r="C49" s="74">
        <f t="shared" ref="C49:AB49" si="1">SUM(C8:C48)</f>
        <v>0</v>
      </c>
      <c r="D49" s="75">
        <f t="shared" si="1"/>
        <v>0</v>
      </c>
      <c r="E49" s="74">
        <f t="shared" si="1"/>
        <v>0</v>
      </c>
      <c r="F49" s="75">
        <f t="shared" si="1"/>
        <v>0</v>
      </c>
      <c r="G49" s="74">
        <f t="shared" si="1"/>
        <v>0</v>
      </c>
      <c r="H49" s="75">
        <f t="shared" si="1"/>
        <v>0</v>
      </c>
      <c r="I49" s="74">
        <f t="shared" si="1"/>
        <v>0</v>
      </c>
      <c r="J49" s="75">
        <f t="shared" si="1"/>
        <v>0</v>
      </c>
      <c r="K49" s="74">
        <f t="shared" si="1"/>
        <v>0</v>
      </c>
      <c r="L49" s="75">
        <f t="shared" si="1"/>
        <v>0</v>
      </c>
      <c r="M49" s="74">
        <f t="shared" si="1"/>
        <v>14925.179999999998</v>
      </c>
      <c r="N49" s="75">
        <f t="shared" si="1"/>
        <v>14925.179999999998</v>
      </c>
      <c r="O49" s="74">
        <f t="shared" si="1"/>
        <v>0</v>
      </c>
      <c r="P49" s="75">
        <f t="shared" si="1"/>
        <v>0</v>
      </c>
      <c r="Q49" s="74">
        <f t="shared" si="1"/>
        <v>0</v>
      </c>
      <c r="R49" s="75">
        <f t="shared" si="1"/>
        <v>0</v>
      </c>
      <c r="S49" s="74">
        <f t="shared" si="1"/>
        <v>0</v>
      </c>
      <c r="T49" s="75">
        <f t="shared" si="1"/>
        <v>0</v>
      </c>
      <c r="U49" s="74">
        <f t="shared" si="1"/>
        <v>0</v>
      </c>
      <c r="V49" s="75">
        <f t="shared" si="1"/>
        <v>0</v>
      </c>
      <c r="W49" s="74">
        <f t="shared" si="1"/>
        <v>0</v>
      </c>
      <c r="X49" s="75">
        <f t="shared" si="1"/>
        <v>0</v>
      </c>
      <c r="Y49" s="74">
        <f t="shared" si="1"/>
        <v>0</v>
      </c>
      <c r="Z49" s="75">
        <f t="shared" si="1"/>
        <v>0</v>
      </c>
      <c r="AA49" s="133">
        <f t="shared" si="1"/>
        <v>14925.179999999998</v>
      </c>
      <c r="AB49" s="134">
        <f t="shared" si="1"/>
        <v>14925.179999999998</v>
      </c>
      <c r="AC49" s="76">
        <f>AB49/AA49</f>
        <v>1</v>
      </c>
    </row>
    <row r="50" spans="1:29" ht="14.4" x14ac:dyDescent="0.3">
      <c r="B50" s="67"/>
      <c r="C50" s="67"/>
      <c r="D50" s="67"/>
      <c r="E50" s="67"/>
      <c r="F50" s="67"/>
      <c r="G50" s="67"/>
      <c r="H50" s="67"/>
      <c r="I50" s="67"/>
      <c r="J50" s="67"/>
      <c r="K50" s="67"/>
      <c r="L50" s="67"/>
      <c r="M50" s="67"/>
      <c r="N50" s="67"/>
      <c r="O50" s="67"/>
      <c r="P50" s="67"/>
      <c r="Q50" s="67"/>
      <c r="R50" s="67"/>
      <c r="S50" s="67"/>
      <c r="T50" s="67"/>
      <c r="U50" s="67"/>
      <c r="V50" s="67"/>
      <c r="W50" s="67"/>
      <c r="X50" s="67"/>
      <c r="Y50" s="67"/>
      <c r="Z50" s="67"/>
      <c r="AA50" s="67"/>
      <c r="AB50" s="67"/>
      <c r="AC50" s="67"/>
    </row>
    <row r="51" spans="1:29" ht="18" x14ac:dyDescent="0.35">
      <c r="A51" s="68" t="s">
        <v>109</v>
      </c>
      <c r="B51" s="67"/>
      <c r="C51" s="67"/>
      <c r="D51" s="67"/>
      <c r="E51" s="67"/>
      <c r="F51" s="67"/>
      <c r="G51" s="67"/>
      <c r="H51" s="67"/>
      <c r="I51" s="67"/>
      <c r="J51" s="67"/>
      <c r="K51" s="67"/>
      <c r="L51" s="67"/>
      <c r="M51" s="67"/>
      <c r="N51" s="67"/>
      <c r="O51" s="67"/>
      <c r="P51" s="67"/>
      <c r="Q51" s="67"/>
      <c r="R51" s="67"/>
      <c r="S51" s="67"/>
      <c r="T51" s="67"/>
      <c r="U51" s="67"/>
      <c r="V51" s="67"/>
      <c r="W51" s="67"/>
      <c r="X51" s="67"/>
      <c r="Y51" s="67"/>
      <c r="Z51" s="67"/>
      <c r="AA51" s="67"/>
      <c r="AB51" s="67"/>
      <c r="AC51" s="67"/>
    </row>
    <row r="52" spans="1:29" ht="17.399999999999999" x14ac:dyDescent="0.3">
      <c r="B52" s="69"/>
      <c r="C52" s="67"/>
      <c r="D52" s="67"/>
      <c r="E52" s="67"/>
      <c r="F52" s="67"/>
      <c r="G52" s="67"/>
      <c r="H52" s="67"/>
      <c r="I52" s="67"/>
      <c r="J52" s="67"/>
      <c r="K52" s="67"/>
      <c r="L52" s="67"/>
      <c r="M52" s="67"/>
      <c r="N52" s="67"/>
      <c r="O52" s="67"/>
      <c r="P52" s="67"/>
      <c r="Q52" s="67"/>
      <c r="R52" s="67"/>
      <c r="S52" s="67"/>
      <c r="T52" s="67"/>
      <c r="U52" s="67"/>
      <c r="V52" s="67"/>
      <c r="W52" s="67"/>
      <c r="X52" s="67"/>
      <c r="Y52" s="67"/>
      <c r="Z52" s="67"/>
      <c r="AA52" s="67"/>
      <c r="AB52" s="67"/>
      <c r="AC52" s="67"/>
    </row>
    <row r="53" spans="1:29" ht="14.4" x14ac:dyDescent="0.3">
      <c r="B53" s="67"/>
      <c r="C53" s="311" t="s">
        <v>93</v>
      </c>
      <c r="D53" s="312"/>
      <c r="E53" s="311" t="s">
        <v>94</v>
      </c>
      <c r="F53" s="312"/>
      <c r="G53" s="311" t="s">
        <v>95</v>
      </c>
      <c r="H53" s="312"/>
      <c r="I53" s="311" t="s">
        <v>96</v>
      </c>
      <c r="J53" s="312"/>
      <c r="K53" s="311" t="s">
        <v>97</v>
      </c>
      <c r="L53" s="312"/>
      <c r="M53" s="311" t="s">
        <v>98</v>
      </c>
      <c r="N53" s="312"/>
      <c r="O53" s="311" t="s">
        <v>99</v>
      </c>
      <c r="P53" s="312"/>
      <c r="Q53" s="311" t="s">
        <v>100</v>
      </c>
      <c r="R53" s="312"/>
      <c r="S53" s="311" t="s">
        <v>101</v>
      </c>
      <c r="T53" s="312"/>
      <c r="U53" s="311" t="s">
        <v>102</v>
      </c>
      <c r="V53" s="312"/>
      <c r="W53" s="311" t="s">
        <v>103</v>
      </c>
      <c r="X53" s="312"/>
      <c r="Y53" s="311" t="s">
        <v>104</v>
      </c>
      <c r="Z53" s="312"/>
      <c r="AA53" s="305" t="s">
        <v>105</v>
      </c>
      <c r="AB53" s="306"/>
      <c r="AC53" s="67"/>
    </row>
    <row r="54" spans="1:29" ht="14.4" x14ac:dyDescent="0.3">
      <c r="B54" s="67"/>
      <c r="C54" s="71" t="s">
        <v>107</v>
      </c>
      <c r="D54" s="71" t="s">
        <v>108</v>
      </c>
      <c r="E54" s="71" t="s">
        <v>107</v>
      </c>
      <c r="F54" s="71" t="s">
        <v>108</v>
      </c>
      <c r="G54" s="71" t="s">
        <v>107</v>
      </c>
      <c r="H54" s="71" t="s">
        <v>108</v>
      </c>
      <c r="I54" s="71" t="s">
        <v>107</v>
      </c>
      <c r="J54" s="71" t="s">
        <v>108</v>
      </c>
      <c r="K54" s="71" t="s">
        <v>107</v>
      </c>
      <c r="L54" s="71" t="s">
        <v>108</v>
      </c>
      <c r="M54" s="71" t="s">
        <v>107</v>
      </c>
      <c r="N54" s="71" t="s">
        <v>108</v>
      </c>
      <c r="O54" s="71" t="s">
        <v>107</v>
      </c>
      <c r="P54" s="71" t="s">
        <v>108</v>
      </c>
      <c r="Q54" s="71" t="s">
        <v>107</v>
      </c>
      <c r="R54" s="71" t="s">
        <v>108</v>
      </c>
      <c r="S54" s="71" t="s">
        <v>107</v>
      </c>
      <c r="T54" s="71" t="s">
        <v>108</v>
      </c>
      <c r="U54" s="71" t="s">
        <v>107</v>
      </c>
      <c r="V54" s="71" t="s">
        <v>108</v>
      </c>
      <c r="W54" s="71" t="s">
        <v>107</v>
      </c>
      <c r="X54" s="71" t="s">
        <v>108</v>
      </c>
      <c r="Y54" s="71" t="s">
        <v>107</v>
      </c>
      <c r="Z54" s="71" t="s">
        <v>108</v>
      </c>
      <c r="AA54" s="131" t="s">
        <v>107</v>
      </c>
      <c r="AB54" s="131" t="s">
        <v>108</v>
      </c>
      <c r="AC54" s="67"/>
    </row>
    <row r="55" spans="1:29" ht="14.4" x14ac:dyDescent="0.3">
      <c r="B55" s="71" t="s">
        <v>110</v>
      </c>
      <c r="C55" s="77">
        <f>COUNTIFS(Vendas!$E$8:$E$2008,"&gt;=01/01/"&amp;G3,Vendas!$E$8:$E$2008,"&lt;=31/01/"&amp;G3)</f>
        <v>0</v>
      </c>
      <c r="D55" s="78">
        <f>COUNTIFS(Vendas!$E$8:$E$2008,"&gt;=01/01/"&amp;G3,Vendas!$E$8:$E$2008,"&lt;=31/01/"&amp;G3,Vendas!$C$8:$C$2008,"entregue")</f>
        <v>0</v>
      </c>
      <c r="E55" s="77">
        <f>COUNTIFS(Vendas!$E$8:$E$2008,"&gt;=01/02/"&amp;G3,Vendas!$E$8:$E$2008,"&lt;=28/02/"&amp;G3)</f>
        <v>0</v>
      </c>
      <c r="F55" s="78">
        <f>COUNTIFS(Vendas!$E$8:$E$2008,"&gt;=01/02/"&amp;G3,Vendas!$E$8:$E$2008,"&lt;=28/02/"&amp;G3,Vendas!$C$8:$C$2008,"entregue")</f>
        <v>0</v>
      </c>
      <c r="G55" s="77">
        <f>COUNTIFS(Vendas!$E$8:$E$2008,"&gt;=01/03/"&amp;G3,Vendas!$E$8:$E$2008,"&lt;=31/03/"&amp;G3)</f>
        <v>0</v>
      </c>
      <c r="H55" s="78">
        <f>COUNTIFS(Vendas!$E$8:$E$2008,"&gt;=01/03/"&amp;G3,Vendas!$E$8:$E$2008,"&lt;=31/03/"&amp;G3,Vendas!$C$8:$C$2008,"entregue")</f>
        <v>0</v>
      </c>
      <c r="I55" s="77">
        <f>COUNTIFS(Vendas!$E$8:$E$2008,"&gt;=01/04/"&amp;G3,Vendas!$E$8:$E$2008,"&lt;=30/04/"&amp;G3)</f>
        <v>0</v>
      </c>
      <c r="J55" s="78">
        <f>COUNTIFS(Vendas!$E$8:$E$2008,"&gt;=01/04/"&amp;G3,Vendas!$E$8:$E$2008,"&lt;=30/04/"&amp;G3,Vendas!$C$8:$C$2008,"entregue")</f>
        <v>0</v>
      </c>
      <c r="K55" s="77">
        <f>COUNTIFS(Vendas!$E$8:$E$2008,"&gt;=01/05/"&amp;G3,Vendas!$E$8:$E$2008,"&lt;=31/05/"&amp;G3)</f>
        <v>0</v>
      </c>
      <c r="L55" s="78">
        <f>COUNTIFS(Vendas!$E$8:$E$2008,"&gt;=01/05/"&amp;G3,Vendas!$E$8:$E$2008,"&lt;=31/05/"&amp;G3,Vendas!$C$8:$C$2008,"entregue")</f>
        <v>0</v>
      </c>
      <c r="M55" s="77">
        <f>COUNTIFS(Vendas!$E$8:$E$2008,"&gt;=01/06/"&amp;G3,Vendas!$E$8:$E$2008,"&lt;=30/06/"&amp;G3)</f>
        <v>6</v>
      </c>
      <c r="N55" s="78">
        <f>COUNTIFS(Vendas!$E$8:$E$2008,"&gt;=01/06/"&amp;G3,Vendas!$E$8:$E$2008,"&lt;=30/06/"&amp;G3,Vendas!$C$8:$C$2008,"entregue")</f>
        <v>6</v>
      </c>
      <c r="O55" s="77">
        <f>COUNTIFS(Vendas!$E$8:$E$2008,"&gt;=01/07/"&amp;G3,Vendas!$E$8:$E$2008,"&lt;=31/07/"&amp;G3)</f>
        <v>0</v>
      </c>
      <c r="P55" s="78">
        <f>COUNTIFS(Vendas!$E$8:$E$2008,"&gt;=01/07/"&amp;G3,Vendas!$E$8:$E$2008,"&lt;=31/07/"&amp;G3)</f>
        <v>0</v>
      </c>
      <c r="Q55" s="77">
        <f>COUNTIFS(Vendas!$E$8:$E$2008,"&gt;=01/08/"&amp;G3,Vendas!$E$8:$E$2008,"&lt;=31/08/"&amp;G3)</f>
        <v>0</v>
      </c>
      <c r="R55" s="78">
        <f>COUNTIFS(Vendas!$E$8:$E$2008,"&gt;=01/08/"&amp;G3,Vendas!$E$8:$E$2008,"&lt;=31/08/"&amp;G3,Vendas!$C$8:$C$2008,"entregue")</f>
        <v>0</v>
      </c>
      <c r="S55" s="77">
        <f>COUNTIFS(Vendas!$E$8:$E$2008,"&gt;=01/09/"&amp;G3,Vendas!$E$8:$E$2008,"&lt;=30/09/"&amp;G3)</f>
        <v>0</v>
      </c>
      <c r="T55" s="78">
        <f>COUNTIFS(Vendas!$E$8:$E$2008,"&gt;=01/09/"&amp;G3,Vendas!$E$8:$E$2008,"&lt;=30/09/"&amp;G3,Vendas!$C$8:$C$2008,"entregue")</f>
        <v>0</v>
      </c>
      <c r="U55" s="77">
        <f>COUNTIFS(Vendas!$E$8:$E$2008,"&gt;=01/10/"&amp;G3,Vendas!$E$8:$E$2008,"&lt;=31/10/"&amp;G3)</f>
        <v>0</v>
      </c>
      <c r="V55" s="78">
        <f>COUNTIFS(Vendas!$E$8:$E$2008,"&gt;=01/10/"&amp;G3,Vendas!$E$8:$E$2008,"&lt;=31/10/"&amp;G3,Vendas!$C$8:$C$2008,"entregue")</f>
        <v>0</v>
      </c>
      <c r="W55" s="77">
        <f>COUNTIFS(Vendas!$E$8:$E$2008,"&gt;=01/11/"&amp;G3,Vendas!$E$8:$E$2008,"&lt;=30/11/"&amp;G3)</f>
        <v>0</v>
      </c>
      <c r="X55" s="78">
        <f>COUNTIFS(Vendas!$E$8:$E$2008,"&gt;=01/11/"&amp;G3,Vendas!$E$8:$E$2008,"&lt;=30/11/"&amp;G3,Vendas!$C$8:$C$2008,"entregue")</f>
        <v>0</v>
      </c>
      <c r="Y55" s="77">
        <f>COUNTIFS(Vendas!$E$8:$E$2008,"&gt;=01/12/"&amp;G3,Vendas!$E$8:$E$2008,"&lt;=31/12/"&amp;G3)</f>
        <v>0</v>
      </c>
      <c r="Z55" s="135">
        <f>COUNTIFS(Vendas!$E$8:$E$2008,"&gt;=01/12/"&amp;G3,Vendas!$E$8:$E$2008,"&lt;=31/12/"&amp;G3,Vendas!$C$8:$C$2008,"entregue")</f>
        <v>0</v>
      </c>
      <c r="AA55" s="137">
        <f>SUM(Y55,W55,U55,S55,Q55,O55,M55,K55,I55,G55,E55,C55)</f>
        <v>6</v>
      </c>
      <c r="AB55" s="137">
        <f>SUM(Z55,X55,V55,T55,R55,P55,N55,L55,J55,H55,F55,D55)</f>
        <v>6</v>
      </c>
      <c r="AC55" s="67">
        <f>AB55/AA55</f>
        <v>1</v>
      </c>
    </row>
    <row r="56" spans="1:29" ht="14.4" x14ac:dyDescent="0.3">
      <c r="B56" s="71" t="s">
        <v>111</v>
      </c>
      <c r="C56" s="79">
        <f>C49</f>
        <v>0</v>
      </c>
      <c r="D56" s="80">
        <f t="shared" ref="D56:AB56" si="2">D49</f>
        <v>0</v>
      </c>
      <c r="E56" s="79">
        <f t="shared" si="2"/>
        <v>0</v>
      </c>
      <c r="F56" s="80">
        <f t="shared" si="2"/>
        <v>0</v>
      </c>
      <c r="G56" s="79">
        <f t="shared" si="2"/>
        <v>0</v>
      </c>
      <c r="H56" s="80">
        <f t="shared" si="2"/>
        <v>0</v>
      </c>
      <c r="I56" s="79">
        <f t="shared" si="2"/>
        <v>0</v>
      </c>
      <c r="J56" s="80">
        <f t="shared" si="2"/>
        <v>0</v>
      </c>
      <c r="K56" s="79">
        <f t="shared" si="2"/>
        <v>0</v>
      </c>
      <c r="L56" s="80">
        <f t="shared" si="2"/>
        <v>0</v>
      </c>
      <c r="M56" s="79">
        <f t="shared" si="2"/>
        <v>14925.179999999998</v>
      </c>
      <c r="N56" s="80">
        <f t="shared" si="2"/>
        <v>14925.179999999998</v>
      </c>
      <c r="O56" s="79">
        <f t="shared" si="2"/>
        <v>0</v>
      </c>
      <c r="P56" s="80">
        <f t="shared" si="2"/>
        <v>0</v>
      </c>
      <c r="Q56" s="79">
        <f t="shared" si="2"/>
        <v>0</v>
      </c>
      <c r="R56" s="80">
        <f t="shared" si="2"/>
        <v>0</v>
      </c>
      <c r="S56" s="79">
        <f t="shared" si="2"/>
        <v>0</v>
      </c>
      <c r="T56" s="80">
        <f t="shared" si="2"/>
        <v>0</v>
      </c>
      <c r="U56" s="79">
        <f t="shared" si="2"/>
        <v>0</v>
      </c>
      <c r="V56" s="80">
        <f t="shared" si="2"/>
        <v>0</v>
      </c>
      <c r="W56" s="79">
        <f t="shared" si="2"/>
        <v>0</v>
      </c>
      <c r="X56" s="80">
        <f t="shared" si="2"/>
        <v>0</v>
      </c>
      <c r="Y56" s="79">
        <f t="shared" si="2"/>
        <v>0</v>
      </c>
      <c r="Z56" s="136">
        <f t="shared" si="2"/>
        <v>0</v>
      </c>
      <c r="AA56" s="132">
        <f t="shared" si="2"/>
        <v>14925.179999999998</v>
      </c>
      <c r="AB56" s="132">
        <f t="shared" si="2"/>
        <v>14925.179999999998</v>
      </c>
      <c r="AC56" s="67"/>
    </row>
    <row r="57" spans="1:29" ht="14.4" x14ac:dyDescent="0.3">
      <c r="B57" s="81"/>
    </row>
    <row r="58" spans="1:29" ht="14.4" x14ac:dyDescent="0.3">
      <c r="B58" s="81"/>
      <c r="C58" s="307" t="s">
        <v>105</v>
      </c>
      <c r="D58" s="308"/>
      <c r="E58" s="308"/>
    </row>
    <row r="59" spans="1:29" ht="14.4" x14ac:dyDescent="0.3">
      <c r="B59" s="81"/>
      <c r="C59" s="71" t="s">
        <v>107</v>
      </c>
      <c r="D59" s="71" t="s">
        <v>108</v>
      </c>
      <c r="E59" s="71" t="s">
        <v>112</v>
      </c>
    </row>
    <row r="60" spans="1:29" ht="14.4" x14ac:dyDescent="0.3">
      <c r="B60" s="71" t="s">
        <v>110</v>
      </c>
      <c r="C60" s="82">
        <f>AA55</f>
        <v>6</v>
      </c>
      <c r="D60" s="82">
        <f>AB55</f>
        <v>6</v>
      </c>
      <c r="E60" s="83">
        <f>IF(C60=0,"",D60/C60)</f>
        <v>1</v>
      </c>
    </row>
    <row r="61" spans="1:29" ht="14.4" x14ac:dyDescent="0.3">
      <c r="B61" s="71" t="s">
        <v>111</v>
      </c>
      <c r="C61" s="82">
        <f>AA56</f>
        <v>14925.179999999998</v>
      </c>
      <c r="D61" s="82">
        <f>AB56</f>
        <v>14925.179999999998</v>
      </c>
      <c r="E61" s="83">
        <f>IF(C61=0,"",D61/C61)</f>
        <v>1</v>
      </c>
    </row>
    <row r="62" spans="1:29" ht="14.4" x14ac:dyDescent="0.3"/>
    <row r="63" spans="1:29" ht="14.4" x14ac:dyDescent="0.3"/>
    <row r="64" spans="1:29" ht="14.4" x14ac:dyDescent="0.3"/>
    <row r="65" ht="14.4" x14ac:dyDescent="0.3"/>
    <row r="66" ht="14.4" x14ac:dyDescent="0.3"/>
    <row r="67" ht="14.4" x14ac:dyDescent="0.3"/>
    <row r="68" ht="14.4" x14ac:dyDescent="0.3"/>
    <row r="69" ht="14.4" x14ac:dyDescent="0.3"/>
    <row r="70" ht="14.4" x14ac:dyDescent="0.3"/>
    <row r="71" ht="14.4" x14ac:dyDescent="0.3"/>
    <row r="72" ht="14.4" x14ac:dyDescent="0.3"/>
    <row r="73" ht="14.4" x14ac:dyDescent="0.3"/>
    <row r="74" ht="14.4" x14ac:dyDescent="0.3"/>
    <row r="75" ht="14.4" x14ac:dyDescent="0.3"/>
    <row r="76" ht="14.4" x14ac:dyDescent="0.3"/>
    <row r="77" ht="14.4" x14ac:dyDescent="0.3"/>
    <row r="78" ht="14.4" x14ac:dyDescent="0.3"/>
    <row r="79" ht="14.4" x14ac:dyDescent="0.3"/>
    <row r="80" ht="14.4" x14ac:dyDescent="0.3"/>
    <row r="81" spans="1:3" ht="14.4" x14ac:dyDescent="0.3"/>
    <row r="82" spans="1:3" ht="14.4" x14ac:dyDescent="0.3"/>
    <row r="83" spans="1:3" ht="14.4" x14ac:dyDescent="0.3"/>
    <row r="84" spans="1:3" ht="18" x14ac:dyDescent="0.35">
      <c r="A84" s="68" t="s">
        <v>113</v>
      </c>
    </row>
    <row r="85" spans="1:3" ht="17.399999999999999" x14ac:dyDescent="0.3">
      <c r="B85" s="69"/>
    </row>
    <row r="86" spans="1:3" ht="14.4" x14ac:dyDescent="0.3">
      <c r="B86" s="67"/>
    </row>
    <row r="87" spans="1:3" ht="14.4" x14ac:dyDescent="0.3">
      <c r="B87" s="84" t="s">
        <v>114</v>
      </c>
      <c r="C87" s="84" t="s">
        <v>9</v>
      </c>
    </row>
    <row r="88" spans="1:3" ht="14.4" x14ac:dyDescent="0.3">
      <c r="B88" s="85" t="str">
        <f>IF(Cadastros!B6="","",Cadastros!B6)</f>
        <v>Indicação</v>
      </c>
      <c r="C88" s="86">
        <v>0</v>
      </c>
    </row>
    <row r="89" spans="1:3" ht="14.4" x14ac:dyDescent="0.3">
      <c r="B89" s="85" t="str">
        <f>IF(Cadastros!B7="","",Cadastros!B7)</f>
        <v>Cliente</v>
      </c>
      <c r="C89" s="86">
        <v>0</v>
      </c>
    </row>
    <row r="90" spans="1:3" ht="14.4" x14ac:dyDescent="0.3">
      <c r="B90" s="85" t="str">
        <f>IF(Cadastros!B8="","",Cadastros!B8)</f>
        <v>Contato passado</v>
      </c>
      <c r="C90" s="86">
        <v>0</v>
      </c>
    </row>
    <row r="91" spans="1:3" ht="14.4" x14ac:dyDescent="0.3">
      <c r="B91" s="85" t="str">
        <f>IF(Cadastros!B9="","",Cadastros!B9)</f>
        <v>Google</v>
      </c>
      <c r="C91" s="86">
        <v>0</v>
      </c>
    </row>
    <row r="92" spans="1:3" ht="14.4" x14ac:dyDescent="0.3">
      <c r="B92" s="85" t="str">
        <f>IF(Cadastros!B10="","",Cadastros!B10)</f>
        <v>Evento</v>
      </c>
      <c r="C92" s="86">
        <v>0</v>
      </c>
    </row>
    <row r="93" spans="1:3" ht="14.4" x14ac:dyDescent="0.3">
      <c r="B93" s="85" t="str">
        <f>IF(Cadastros!B11="","",Cadastros!B11)</f>
        <v>Prospecção Ativa</v>
      </c>
      <c r="C93" s="86">
        <v>0</v>
      </c>
    </row>
    <row r="94" spans="1:3" ht="14.4" x14ac:dyDescent="0.3">
      <c r="B94" s="85" t="str">
        <f>IF(Cadastros!B12="","",Cadastros!B12)</f>
        <v>Redes Sociais</v>
      </c>
      <c r="C94" s="86">
        <v>0</v>
      </c>
    </row>
    <row r="95" spans="1:3" ht="14.4" x14ac:dyDescent="0.3">
      <c r="B95" s="85" t="str">
        <f>IF(Cadastros!B13="","",Cadastros!B13)</f>
        <v/>
      </c>
      <c r="C95" s="86" t="s">
        <v>133</v>
      </c>
    </row>
    <row r="96" spans="1:3" ht="14.4" x14ac:dyDescent="0.3">
      <c r="B96" s="85" t="str">
        <f>IF(Cadastros!B14="","",Cadastros!B14)</f>
        <v/>
      </c>
      <c r="C96" s="86" t="s">
        <v>133</v>
      </c>
    </row>
    <row r="97" spans="2:3" ht="14.4" x14ac:dyDescent="0.3">
      <c r="B97" s="85" t="str">
        <f>IF(Cadastros!B15="","",Cadastros!B15)</f>
        <v/>
      </c>
      <c r="C97" s="86" t="s">
        <v>133</v>
      </c>
    </row>
    <row r="98" spans="2:3" ht="14.4" x14ac:dyDescent="0.3">
      <c r="B98" s="85" t="str">
        <f>IF(Cadastros!B16="","",Cadastros!B16)</f>
        <v/>
      </c>
      <c r="C98" s="86" t="s">
        <v>133</v>
      </c>
    </row>
    <row r="99" spans="2:3" ht="14.4" x14ac:dyDescent="0.3">
      <c r="B99" s="85" t="str">
        <f>IF(Cadastros!B17="","",Cadastros!B17)</f>
        <v/>
      </c>
      <c r="C99" s="86" t="s">
        <v>133</v>
      </c>
    </row>
    <row r="100" spans="2:3" ht="14.4" x14ac:dyDescent="0.3">
      <c r="B100" s="85" t="str">
        <f>IF(Cadastros!B18="","",Cadastros!B18)</f>
        <v/>
      </c>
      <c r="C100" s="86" t="s">
        <v>133</v>
      </c>
    </row>
    <row r="101" spans="2:3" ht="14.4" x14ac:dyDescent="0.3">
      <c r="B101" s="85" t="str">
        <f>IF(Cadastros!B19="","",Cadastros!B19)</f>
        <v/>
      </c>
      <c r="C101" s="86" t="s">
        <v>133</v>
      </c>
    </row>
    <row r="102" spans="2:3" ht="14.4" x14ac:dyDescent="0.3">
      <c r="B102" s="85" t="str">
        <f>IF(Cadastros!B20="","",Cadastros!B20)</f>
        <v/>
      </c>
      <c r="C102" s="86" t="s">
        <v>133</v>
      </c>
    </row>
    <row r="103" spans="2:3" ht="14.4" x14ac:dyDescent="0.3">
      <c r="B103" s="85" t="str">
        <f>IF(Cadastros!B21="","",Cadastros!B21)</f>
        <v/>
      </c>
      <c r="C103" s="86" t="s">
        <v>133</v>
      </c>
    </row>
    <row r="104" spans="2:3" ht="14.4" x14ac:dyDescent="0.3">
      <c r="B104" s="85" t="str">
        <f>IF(Cadastros!B22="","",Cadastros!B22)</f>
        <v/>
      </c>
      <c r="C104" s="86" t="s">
        <v>133</v>
      </c>
    </row>
    <row r="105" spans="2:3" ht="14.4" x14ac:dyDescent="0.3">
      <c r="B105" s="85" t="str">
        <f>IF(Cadastros!B23="","",Cadastros!B23)</f>
        <v/>
      </c>
      <c r="C105" s="86" t="s">
        <v>133</v>
      </c>
    </row>
    <row r="106" spans="2:3" ht="14.4" x14ac:dyDescent="0.3">
      <c r="B106" s="85" t="str">
        <f>IF(Cadastros!B24="","",Cadastros!B24)</f>
        <v/>
      </c>
      <c r="C106" s="86" t="s">
        <v>133</v>
      </c>
    </row>
    <row r="107" spans="2:3" ht="14.4" x14ac:dyDescent="0.3">
      <c r="B107" s="87" t="str">
        <f>IF(Cadastros!B25="","",Cadastros!B25)</f>
        <v/>
      </c>
      <c r="C107" s="88" t="s">
        <v>133</v>
      </c>
    </row>
    <row r="108" spans="2:3" ht="14.4" x14ac:dyDescent="0.3"/>
    <row r="109" spans="2:3" ht="14.4" x14ac:dyDescent="0.3"/>
    <row r="110" spans="2:3" ht="14.4" x14ac:dyDescent="0.3"/>
    <row r="111" spans="2:3" ht="14.4" x14ac:dyDescent="0.3"/>
    <row r="112" spans="2:3" ht="14.4" x14ac:dyDescent="0.3"/>
    <row r="113" ht="14.4" x14ac:dyDescent="0.3"/>
    <row r="114" ht="14.4" x14ac:dyDescent="0.3"/>
    <row r="115" ht="14.4" x14ac:dyDescent="0.3"/>
    <row r="116" ht="14.4" x14ac:dyDescent="0.3"/>
    <row r="117" ht="14.4" x14ac:dyDescent="0.3"/>
    <row r="118" ht="14.4" x14ac:dyDescent="0.3"/>
    <row r="119" ht="14.4" x14ac:dyDescent="0.3"/>
    <row r="120" ht="14.4" x14ac:dyDescent="0.3"/>
    <row r="121" ht="14.4" x14ac:dyDescent="0.3"/>
    <row r="122" ht="14.4" x14ac:dyDescent="0.3"/>
    <row r="123" ht="14.4" x14ac:dyDescent="0.3"/>
    <row r="124" ht="14.4" x14ac:dyDescent="0.3"/>
    <row r="125" ht="14.4" x14ac:dyDescent="0.3"/>
    <row r="126" ht="14.4" x14ac:dyDescent="0.3"/>
    <row r="127" ht="14.4" x14ac:dyDescent="0.3"/>
    <row r="128" ht="14.4" x14ac:dyDescent="0.3"/>
    <row r="129" ht="14.4" x14ac:dyDescent="0.3"/>
    <row r="130" ht="14.4" x14ac:dyDescent="0.3"/>
    <row r="131" ht="14.4" x14ac:dyDescent="0.3"/>
    <row r="132" ht="14.4" x14ac:dyDescent="0.3"/>
    <row r="133" ht="14.4" x14ac:dyDescent="0.3"/>
    <row r="134" ht="14.4" x14ac:dyDescent="0.3"/>
    <row r="135" ht="14.4" x14ac:dyDescent="0.3"/>
    <row r="136" ht="14.4" x14ac:dyDescent="0.3"/>
    <row r="137" ht="14.4" x14ac:dyDescent="0.3"/>
    <row r="138" ht="14.4" x14ac:dyDescent="0.3"/>
    <row r="139" ht="14.4" x14ac:dyDescent="0.3"/>
    <row r="140" ht="14.4" x14ac:dyDescent="0.3"/>
    <row r="141" ht="14.4" x14ac:dyDescent="0.3"/>
    <row r="142" ht="14.4" x14ac:dyDescent="0.3"/>
    <row r="143" ht="14.4" x14ac:dyDescent="0.3"/>
    <row r="144" ht="14.4" x14ac:dyDescent="0.3"/>
    <row r="145" ht="14.4" x14ac:dyDescent="0.3"/>
    <row r="146" ht="14.4" x14ac:dyDescent="0.3"/>
    <row r="147" ht="14.4" x14ac:dyDescent="0.3"/>
    <row r="148" ht="14.4" x14ac:dyDescent="0.3"/>
    <row r="149" ht="14.4" x14ac:dyDescent="0.3"/>
    <row r="150" ht="14.4" x14ac:dyDescent="0.3"/>
    <row r="151" ht="14.4" x14ac:dyDescent="0.3"/>
    <row r="152" ht="14.4" x14ac:dyDescent="0.3"/>
    <row r="153" ht="14.4" x14ac:dyDescent="0.3"/>
    <row r="154" ht="14.4" x14ac:dyDescent="0.3"/>
    <row r="155" ht="14.4" x14ac:dyDescent="0.3"/>
    <row r="156" ht="14.4" x14ac:dyDescent="0.3"/>
    <row r="157" ht="14.4" x14ac:dyDescent="0.3"/>
    <row r="158" ht="14.4" x14ac:dyDescent="0.3"/>
    <row r="159" ht="14.4" x14ac:dyDescent="0.3"/>
    <row r="160" ht="14.4" x14ac:dyDescent="0.3"/>
    <row r="161" ht="14.4" x14ac:dyDescent="0.3"/>
    <row r="162" ht="14.4" x14ac:dyDescent="0.3"/>
    <row r="163" ht="14.4" x14ac:dyDescent="0.3"/>
    <row r="164" ht="14.4" x14ac:dyDescent="0.3"/>
    <row r="165" ht="14.4" x14ac:dyDescent="0.3"/>
    <row r="166" ht="14.4" x14ac:dyDescent="0.3"/>
    <row r="167" ht="14.4" x14ac:dyDescent="0.3"/>
    <row r="168" ht="14.4" x14ac:dyDescent="0.3"/>
    <row r="169" ht="14.4" x14ac:dyDescent="0.3"/>
    <row r="170" ht="14.4" x14ac:dyDescent="0.3"/>
    <row r="171" ht="14.4" x14ac:dyDescent="0.3"/>
    <row r="172" ht="14.4" x14ac:dyDescent="0.3"/>
    <row r="173" ht="14.4" x14ac:dyDescent="0.3"/>
    <row r="174" ht="14.4" x14ac:dyDescent="0.3"/>
    <row r="175" ht="14.4" x14ac:dyDescent="0.3"/>
    <row r="176" ht="14.4" x14ac:dyDescent="0.3"/>
    <row r="177" ht="14.4" x14ac:dyDescent="0.3"/>
    <row r="178" ht="14.4" x14ac:dyDescent="0.3"/>
    <row r="179" ht="14.4" x14ac:dyDescent="0.3"/>
    <row r="180" ht="14.4" x14ac:dyDescent="0.3"/>
    <row r="181" ht="14.4" x14ac:dyDescent="0.3"/>
    <row r="182" ht="14.4" x14ac:dyDescent="0.3"/>
    <row r="183" ht="14.4" x14ac:dyDescent="0.3"/>
    <row r="184" ht="14.4" x14ac:dyDescent="0.3"/>
    <row r="185" ht="14.4" x14ac:dyDescent="0.3"/>
    <row r="186" ht="14.4" x14ac:dyDescent="0.3"/>
    <row r="187" ht="14.4" x14ac:dyDescent="0.3"/>
    <row r="188" ht="14.4" x14ac:dyDescent="0.3"/>
    <row r="189" ht="14.4" x14ac:dyDescent="0.3"/>
    <row r="190" ht="14.4" x14ac:dyDescent="0.3"/>
    <row r="191" ht="14.4" x14ac:dyDescent="0.3"/>
    <row r="192" ht="14.4" x14ac:dyDescent="0.3"/>
    <row r="193" ht="14.4" x14ac:dyDescent="0.3"/>
    <row r="194" ht="14.4" x14ac:dyDescent="0.3"/>
    <row r="195" ht="14.4" x14ac:dyDescent="0.3"/>
    <row r="196" ht="14.4" x14ac:dyDescent="0.3"/>
    <row r="197" ht="14.4" x14ac:dyDescent="0.3"/>
    <row r="198" ht="14.4" x14ac:dyDescent="0.3"/>
    <row r="199" ht="14.4" x14ac:dyDescent="0.3"/>
    <row r="200" ht="14.4" x14ac:dyDescent="0.3"/>
    <row r="201" ht="14.4" x14ac:dyDescent="0.3"/>
  </sheetData>
  <sheetProtection algorithmName="SHA-512" hashValue="A160BpKEaqKc/J+NZy7gj+WGPqLCWqDuvKwDECglNnDPYtEpoaVs8P29Lrc9HCoVPJqafP0IeSc+7A/ZQyPxGA==" saltValue="XMFy0XXMHVJO4ofxPSFFhA==" spinCount="100000" sheet="1" objects="1" scenarios="1"/>
  <mergeCells count="29">
    <mergeCell ref="F3:F4"/>
    <mergeCell ref="G3:G4"/>
    <mergeCell ref="U53:V53"/>
    <mergeCell ref="W53:X53"/>
    <mergeCell ref="Y53:Z53"/>
    <mergeCell ref="W6:X6"/>
    <mergeCell ref="Y6:Z6"/>
    <mergeCell ref="M6:N6"/>
    <mergeCell ref="AA53:AB53"/>
    <mergeCell ref="C58:E58"/>
    <mergeCell ref="AA6:AB6"/>
    <mergeCell ref="C53:D53"/>
    <mergeCell ref="E53:F53"/>
    <mergeCell ref="G53:H53"/>
    <mergeCell ref="I53:J53"/>
    <mergeCell ref="K53:L53"/>
    <mergeCell ref="M53:N53"/>
    <mergeCell ref="O53:P53"/>
    <mergeCell ref="Q53:R53"/>
    <mergeCell ref="S53:T53"/>
    <mergeCell ref="O6:P6"/>
    <mergeCell ref="Q6:R6"/>
    <mergeCell ref="S6:T6"/>
    <mergeCell ref="U6:V6"/>
    <mergeCell ref="C6:D6"/>
    <mergeCell ref="E6:F6"/>
    <mergeCell ref="G6:H6"/>
    <mergeCell ref="I6:J6"/>
    <mergeCell ref="K6:L6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37E6B4-2690-48EE-ACAC-2D418B494B02}">
  <sheetPr codeName="Planilha5"/>
  <dimension ref="A1:O100"/>
  <sheetViews>
    <sheetView showGridLines="0" showRowColHeaders="0" workbookViewId="0"/>
  </sheetViews>
  <sheetFormatPr defaultColWidth="0" defaultRowHeight="14.4" zeroHeight="1" x14ac:dyDescent="0.3"/>
  <cols>
    <col min="1" max="1" width="9.109375" customWidth="1"/>
    <col min="2" max="2" width="20.88671875" customWidth="1"/>
    <col min="3" max="3" width="9.109375" customWidth="1"/>
    <col min="4" max="4" width="51.77734375" bestFit="1" customWidth="1"/>
    <col min="5" max="5" width="14" customWidth="1"/>
    <col min="6" max="6" width="10.88671875" customWidth="1"/>
    <col min="7" max="7" width="51.77734375" customWidth="1"/>
    <col min="8" max="8" width="14" customWidth="1"/>
    <col min="9" max="9" width="9.109375" customWidth="1"/>
    <col min="10" max="10" width="22" customWidth="1"/>
    <col min="11" max="11" width="10.33203125" bestFit="1" customWidth="1"/>
    <col min="12" max="12" width="22.33203125" bestFit="1" customWidth="1"/>
    <col min="13" max="13" width="14.5546875" bestFit="1" customWidth="1"/>
    <col min="14" max="14" width="8.6640625" bestFit="1" customWidth="1"/>
    <col min="15" max="15" width="29" customWidth="1"/>
    <col min="16" max="16384" width="9.109375" hidden="1"/>
  </cols>
  <sheetData>
    <row r="1" spans="1:15" ht="69" customHeight="1" x14ac:dyDescent="0.3">
      <c r="E1" s="106"/>
      <c r="F1" s="106"/>
      <c r="G1" s="106"/>
      <c r="H1" s="106"/>
      <c r="I1" s="106"/>
      <c r="J1" s="106"/>
      <c r="K1" s="106"/>
      <c r="L1" s="106"/>
      <c r="M1" s="106"/>
      <c r="N1" s="106"/>
    </row>
    <row r="2" spans="1:15" s="120" customFormat="1" x14ac:dyDescent="0.3">
      <c r="A2" s="167"/>
      <c r="B2" s="167"/>
      <c r="C2" s="167"/>
      <c r="D2" s="167"/>
      <c r="E2" s="167"/>
      <c r="F2" s="167"/>
      <c r="G2" s="167"/>
      <c r="H2" s="167"/>
      <c r="I2" s="167"/>
      <c r="J2" s="167"/>
      <c r="K2" s="167"/>
      <c r="L2" s="167"/>
      <c r="M2" s="167"/>
      <c r="N2" s="167"/>
    </row>
    <row r="3" spans="1:15" ht="21" x14ac:dyDescent="0.4">
      <c r="B3" s="89" t="s">
        <v>115</v>
      </c>
    </row>
    <row r="4" spans="1:15" x14ac:dyDescent="0.3">
      <c r="J4" s="90" t="s">
        <v>116</v>
      </c>
    </row>
    <row r="5" spans="1:15" x14ac:dyDescent="0.3">
      <c r="B5" s="91" t="s">
        <v>14</v>
      </c>
      <c r="C5" s="13"/>
      <c r="D5" s="92" t="s">
        <v>60</v>
      </c>
      <c r="E5" s="236" t="s">
        <v>342</v>
      </c>
      <c r="F5" s="93"/>
      <c r="G5" s="232" t="s">
        <v>286</v>
      </c>
      <c r="H5" s="237" t="s">
        <v>342</v>
      </c>
      <c r="I5" s="13"/>
      <c r="J5" s="93" t="s">
        <v>12</v>
      </c>
      <c r="L5" s="94" t="s">
        <v>77</v>
      </c>
      <c r="M5" s="94" t="s">
        <v>117</v>
      </c>
      <c r="N5" s="94" t="s">
        <v>118</v>
      </c>
    </row>
    <row r="6" spans="1:15" x14ac:dyDescent="0.3">
      <c r="B6" s="2" t="s">
        <v>119</v>
      </c>
      <c r="C6" s="3"/>
      <c r="D6" s="244" t="s">
        <v>322</v>
      </c>
      <c r="E6" s="241"/>
      <c r="F6" s="95"/>
      <c r="G6" s="247" t="s">
        <v>292</v>
      </c>
      <c r="H6" s="239"/>
      <c r="I6" s="3"/>
      <c r="J6" s="32" t="s">
        <v>68</v>
      </c>
      <c r="L6" s="96" t="s">
        <v>88</v>
      </c>
      <c r="M6" s="97">
        <v>3356</v>
      </c>
      <c r="N6" s="98">
        <v>0</v>
      </c>
    </row>
    <row r="7" spans="1:15" x14ac:dyDescent="0.3">
      <c r="B7" s="2" t="s">
        <v>76</v>
      </c>
      <c r="C7" s="3"/>
      <c r="D7" s="245" t="s">
        <v>225</v>
      </c>
      <c r="E7" s="241">
        <v>2262</v>
      </c>
      <c r="F7" s="95"/>
      <c r="G7" s="248" t="s">
        <v>293</v>
      </c>
      <c r="H7" s="240">
        <v>588</v>
      </c>
      <c r="I7" s="3"/>
      <c r="J7" s="32" t="s">
        <v>120</v>
      </c>
      <c r="L7" s="96" t="s">
        <v>121</v>
      </c>
      <c r="M7" s="97">
        <f>$M$6-($M$6*N7)</f>
        <v>3087.52</v>
      </c>
      <c r="N7" s="98">
        <v>0.08</v>
      </c>
    </row>
    <row r="8" spans="1:15" x14ac:dyDescent="0.3">
      <c r="B8" s="2" t="s">
        <v>122</v>
      </c>
      <c r="C8" s="3"/>
      <c r="D8" s="245" t="s">
        <v>226</v>
      </c>
      <c r="E8" s="241">
        <v>2490</v>
      </c>
      <c r="F8" s="95"/>
      <c r="G8" s="248" t="s">
        <v>294</v>
      </c>
      <c r="H8" s="240">
        <v>894</v>
      </c>
      <c r="I8" s="3"/>
      <c r="J8" s="32" t="s">
        <v>62</v>
      </c>
      <c r="L8" s="96" t="s">
        <v>124</v>
      </c>
      <c r="M8" s="97">
        <f>$M$6-($M$6*N8)</f>
        <v>2819.04</v>
      </c>
      <c r="N8" s="98">
        <v>0.16</v>
      </c>
    </row>
    <row r="9" spans="1:15" x14ac:dyDescent="0.3">
      <c r="B9" s="99" t="s">
        <v>125</v>
      </c>
      <c r="C9" s="3"/>
      <c r="D9" s="245" t="s">
        <v>227</v>
      </c>
      <c r="E9" s="241">
        <v>2825</v>
      </c>
      <c r="F9" s="95"/>
      <c r="G9" s="248" t="s">
        <v>295</v>
      </c>
      <c r="H9" s="240">
        <v>1014</v>
      </c>
      <c r="I9" s="3"/>
      <c r="J9" s="32" t="s">
        <v>127</v>
      </c>
      <c r="L9" s="96" t="s">
        <v>89</v>
      </c>
      <c r="M9" s="97">
        <f>$M$6-($M$6*N9)</f>
        <v>2483.44</v>
      </c>
      <c r="N9" s="98">
        <v>0.26</v>
      </c>
    </row>
    <row r="10" spans="1:15" x14ac:dyDescent="0.3">
      <c r="B10" s="99" t="s">
        <v>128</v>
      </c>
      <c r="C10" s="3"/>
      <c r="D10" s="245" t="s">
        <v>228</v>
      </c>
      <c r="E10" s="241">
        <v>2995</v>
      </c>
      <c r="F10" s="100"/>
      <c r="G10" s="248" t="s">
        <v>296</v>
      </c>
      <c r="H10" s="240">
        <v>473.5</v>
      </c>
      <c r="I10" s="3"/>
      <c r="J10" s="32"/>
      <c r="L10" s="96" t="s">
        <v>86</v>
      </c>
      <c r="M10" s="97">
        <f>$M$6-($M$6*N10)</f>
        <v>2147.84</v>
      </c>
      <c r="N10" s="98">
        <v>0.36</v>
      </c>
    </row>
    <row r="11" spans="1:15" x14ac:dyDescent="0.3">
      <c r="B11" s="99" t="s">
        <v>129</v>
      </c>
      <c r="C11" s="3"/>
      <c r="D11" s="245" t="s">
        <v>229</v>
      </c>
      <c r="E11" s="241">
        <v>3356</v>
      </c>
      <c r="F11" s="100"/>
      <c r="G11" s="248"/>
      <c r="H11" s="240"/>
      <c r="I11" s="3"/>
      <c r="L11" s="96" t="s">
        <v>130</v>
      </c>
      <c r="M11" s="97">
        <v>6712</v>
      </c>
      <c r="N11" s="98">
        <v>-1</v>
      </c>
    </row>
    <row r="12" spans="1:15" x14ac:dyDescent="0.3">
      <c r="B12" s="99" t="s">
        <v>131</v>
      </c>
      <c r="C12" s="3"/>
      <c r="D12" s="245" t="s">
        <v>230</v>
      </c>
      <c r="E12" s="241">
        <v>3707</v>
      </c>
      <c r="F12" s="100"/>
      <c r="G12" s="249" t="s">
        <v>297</v>
      </c>
      <c r="H12" s="240"/>
      <c r="I12" s="3"/>
      <c r="J12" s="92" t="s">
        <v>61</v>
      </c>
      <c r="K12" s="102"/>
      <c r="L12" s="96"/>
      <c r="M12" s="97"/>
      <c r="N12" s="101"/>
      <c r="O12" s="102"/>
    </row>
    <row r="13" spans="1:15" x14ac:dyDescent="0.3">
      <c r="B13" s="99"/>
      <c r="C13" s="3"/>
      <c r="D13" s="245" t="s">
        <v>231</v>
      </c>
      <c r="E13" s="241">
        <v>3495</v>
      </c>
      <c r="F13" s="100"/>
      <c r="G13" s="248" t="s">
        <v>290</v>
      </c>
      <c r="H13" s="240">
        <v>1656</v>
      </c>
      <c r="I13" s="3"/>
      <c r="J13" s="95" t="s">
        <v>64</v>
      </c>
      <c r="L13" s="96" t="s">
        <v>132</v>
      </c>
      <c r="M13" s="97">
        <f>$M$6-($M$6*N13)</f>
        <v>3356</v>
      </c>
      <c r="N13" s="101"/>
      <c r="O13" s="102"/>
    </row>
    <row r="14" spans="1:15" x14ac:dyDescent="0.3">
      <c r="B14" s="99"/>
      <c r="C14" s="3"/>
      <c r="D14" s="245" t="s">
        <v>232</v>
      </c>
      <c r="E14" s="241">
        <v>3876</v>
      </c>
      <c r="F14" s="100"/>
      <c r="G14" s="250" t="s">
        <v>289</v>
      </c>
      <c r="H14" s="240">
        <v>1704</v>
      </c>
      <c r="I14" s="3"/>
      <c r="J14" s="95" t="s">
        <v>67</v>
      </c>
      <c r="M14" s="102"/>
      <c r="N14" s="102"/>
      <c r="O14" s="102"/>
    </row>
    <row r="15" spans="1:15" x14ac:dyDescent="0.3">
      <c r="B15" s="99"/>
      <c r="C15" s="3"/>
      <c r="D15" s="245" t="s">
        <v>233</v>
      </c>
      <c r="E15" s="241">
        <v>4344</v>
      </c>
      <c r="F15" s="100"/>
      <c r="G15" s="250" t="s">
        <v>291</v>
      </c>
      <c r="H15" s="240">
        <v>2664</v>
      </c>
      <c r="I15" s="3"/>
      <c r="J15" s="95" t="s">
        <v>123</v>
      </c>
    </row>
    <row r="16" spans="1:15" x14ac:dyDescent="0.3">
      <c r="B16" s="99"/>
      <c r="C16" s="3"/>
      <c r="D16" s="245" t="s">
        <v>234</v>
      </c>
      <c r="E16" s="241">
        <v>4192</v>
      </c>
      <c r="F16" s="100"/>
      <c r="G16" s="250" t="s">
        <v>298</v>
      </c>
      <c r="H16" s="240">
        <v>1122</v>
      </c>
      <c r="I16" s="3"/>
      <c r="J16" s="95" t="s">
        <v>126</v>
      </c>
    </row>
    <row r="17" spans="2:10" x14ac:dyDescent="0.3">
      <c r="B17" s="99"/>
      <c r="C17" s="3"/>
      <c r="D17" s="245" t="s">
        <v>235</v>
      </c>
      <c r="E17" s="241">
        <v>4482</v>
      </c>
      <c r="F17" s="100"/>
      <c r="G17" s="250" t="s">
        <v>299</v>
      </c>
      <c r="H17" s="242">
        <v>1295</v>
      </c>
      <c r="I17" s="32">
        <v>30</v>
      </c>
      <c r="J17" s="100"/>
    </row>
    <row r="18" spans="2:10" x14ac:dyDescent="0.3">
      <c r="B18" s="99"/>
      <c r="C18" s="3"/>
      <c r="D18" s="245" t="s">
        <v>236</v>
      </c>
      <c r="E18" s="241">
        <v>4885</v>
      </c>
      <c r="F18" s="100"/>
      <c r="G18" s="251" t="s">
        <v>300</v>
      </c>
      <c r="H18" s="242">
        <v>1792</v>
      </c>
      <c r="I18" s="32">
        <v>30</v>
      </c>
      <c r="J18" s="100"/>
    </row>
    <row r="19" spans="2:10" x14ac:dyDescent="0.3">
      <c r="B19" s="99"/>
      <c r="C19" s="3"/>
      <c r="D19" s="245"/>
      <c r="E19" s="241"/>
      <c r="F19" s="100"/>
      <c r="G19" s="251" t="s">
        <v>301</v>
      </c>
      <c r="H19" s="242">
        <v>1900.5</v>
      </c>
      <c r="I19" s="32">
        <v>30</v>
      </c>
      <c r="J19" s="100"/>
    </row>
    <row r="20" spans="2:10" x14ac:dyDescent="0.3">
      <c r="D20" s="244" t="s">
        <v>329</v>
      </c>
      <c r="E20" s="241"/>
      <c r="F20" s="100"/>
      <c r="G20" s="248" t="s">
        <v>302</v>
      </c>
      <c r="H20" s="242">
        <v>2772</v>
      </c>
      <c r="I20" s="243">
        <v>30</v>
      </c>
    </row>
    <row r="21" spans="2:10" x14ac:dyDescent="0.3">
      <c r="D21" s="245" t="s">
        <v>267</v>
      </c>
      <c r="E21" s="241">
        <v>144</v>
      </c>
      <c r="F21" s="100"/>
      <c r="G21" s="248"/>
      <c r="H21" s="240"/>
    </row>
    <row r="22" spans="2:10" x14ac:dyDescent="0.3">
      <c r="D22" s="245" t="s">
        <v>268</v>
      </c>
      <c r="E22" s="241">
        <v>160</v>
      </c>
      <c r="F22" s="100"/>
      <c r="G22" s="246" t="s">
        <v>304</v>
      </c>
      <c r="H22" s="240"/>
    </row>
    <row r="23" spans="2:10" x14ac:dyDescent="0.3">
      <c r="D23" s="245" t="s">
        <v>269</v>
      </c>
      <c r="E23" s="241">
        <v>160</v>
      </c>
      <c r="F23" s="100"/>
      <c r="G23" s="250" t="s">
        <v>308</v>
      </c>
      <c r="H23" s="240">
        <v>6798</v>
      </c>
    </row>
    <row r="24" spans="2:10" x14ac:dyDescent="0.3">
      <c r="D24" s="245" t="s">
        <v>270</v>
      </c>
      <c r="E24" s="241">
        <v>99.5</v>
      </c>
      <c r="F24" s="100"/>
      <c r="G24" s="250" t="s">
        <v>305</v>
      </c>
      <c r="H24" s="240">
        <v>6559.2</v>
      </c>
    </row>
    <row r="25" spans="2:10" x14ac:dyDescent="0.3">
      <c r="D25" s="245"/>
      <c r="E25" s="241"/>
      <c r="F25" s="100"/>
      <c r="G25" s="250" t="s">
        <v>306</v>
      </c>
      <c r="H25" s="240">
        <v>3510</v>
      </c>
    </row>
    <row r="26" spans="2:10" x14ac:dyDescent="0.3">
      <c r="D26" s="244" t="s">
        <v>331</v>
      </c>
      <c r="E26" s="241"/>
      <c r="F26" s="100"/>
      <c r="G26" s="250" t="s">
        <v>307</v>
      </c>
      <c r="H26" s="240">
        <v>3564</v>
      </c>
    </row>
    <row r="27" spans="2:10" x14ac:dyDescent="0.3">
      <c r="D27" s="245" t="s">
        <v>237</v>
      </c>
      <c r="E27" s="241">
        <v>2934</v>
      </c>
      <c r="F27" s="100"/>
      <c r="G27" s="250"/>
      <c r="H27" s="240"/>
    </row>
    <row r="28" spans="2:10" x14ac:dyDescent="0.3">
      <c r="D28" s="245" t="s">
        <v>238</v>
      </c>
      <c r="E28" s="241">
        <v>2785.5</v>
      </c>
      <c r="F28" s="100"/>
      <c r="G28" s="246" t="s">
        <v>287</v>
      </c>
      <c r="H28" s="240"/>
    </row>
    <row r="29" spans="2:10" x14ac:dyDescent="0.3">
      <c r="D29" s="245"/>
      <c r="E29" s="241"/>
      <c r="F29" s="100"/>
      <c r="G29" s="250" t="s">
        <v>280</v>
      </c>
      <c r="H29" s="240">
        <v>150</v>
      </c>
    </row>
    <row r="30" spans="2:10" x14ac:dyDescent="0.3">
      <c r="D30" s="244" t="s">
        <v>332</v>
      </c>
      <c r="E30" s="241"/>
      <c r="F30" s="100"/>
      <c r="G30" s="250" t="s">
        <v>279</v>
      </c>
      <c r="H30" s="240">
        <v>60</v>
      </c>
    </row>
    <row r="31" spans="2:10" x14ac:dyDescent="0.3">
      <c r="D31" s="245" t="s">
        <v>239</v>
      </c>
      <c r="E31" s="241">
        <v>1470</v>
      </c>
      <c r="F31" s="100"/>
      <c r="G31" s="250" t="s">
        <v>281</v>
      </c>
      <c r="H31" s="240">
        <v>60</v>
      </c>
    </row>
    <row r="32" spans="2:10" x14ac:dyDescent="0.3">
      <c r="D32" s="245" t="s">
        <v>240</v>
      </c>
      <c r="E32" s="241">
        <v>2065</v>
      </c>
      <c r="F32" s="100"/>
      <c r="G32" s="250" t="s">
        <v>282</v>
      </c>
      <c r="H32" s="240">
        <v>150</v>
      </c>
    </row>
    <row r="33" spans="4:8" x14ac:dyDescent="0.3">
      <c r="D33" s="245" t="s">
        <v>241</v>
      </c>
      <c r="E33" s="241">
        <v>2295</v>
      </c>
      <c r="F33" s="100"/>
      <c r="G33" s="250" t="s">
        <v>347</v>
      </c>
      <c r="H33" s="240">
        <v>588</v>
      </c>
    </row>
    <row r="34" spans="4:8" x14ac:dyDescent="0.3">
      <c r="D34" s="245" t="s">
        <v>242</v>
      </c>
      <c r="E34" s="241">
        <v>2495</v>
      </c>
      <c r="F34" s="100"/>
      <c r="G34" s="250" t="s">
        <v>362</v>
      </c>
      <c r="H34" s="240">
        <v>474</v>
      </c>
    </row>
    <row r="35" spans="4:8" x14ac:dyDescent="0.3">
      <c r="D35" s="245"/>
      <c r="E35" s="241"/>
      <c r="F35" s="100"/>
      <c r="G35" s="250" t="s">
        <v>363</v>
      </c>
      <c r="H35" s="240">
        <v>414</v>
      </c>
    </row>
    <row r="36" spans="4:8" x14ac:dyDescent="0.3">
      <c r="D36" s="244" t="s">
        <v>333</v>
      </c>
      <c r="E36" s="241"/>
      <c r="F36" s="100"/>
      <c r="G36" s="250"/>
      <c r="H36" s="240"/>
    </row>
    <row r="37" spans="4:8" x14ac:dyDescent="0.3">
      <c r="D37" s="245" t="s">
        <v>243</v>
      </c>
      <c r="E37" s="241">
        <v>3700</v>
      </c>
      <c r="F37" s="100"/>
      <c r="G37" s="246" t="s">
        <v>303</v>
      </c>
      <c r="H37" s="240"/>
    </row>
    <row r="38" spans="4:8" x14ac:dyDescent="0.3">
      <c r="D38" s="245" t="s">
        <v>244</v>
      </c>
      <c r="E38" s="241">
        <v>4275</v>
      </c>
      <c r="F38" s="100"/>
      <c r="G38" s="250" t="s">
        <v>283</v>
      </c>
      <c r="H38" s="240">
        <v>54</v>
      </c>
    </row>
    <row r="39" spans="4:8" x14ac:dyDescent="0.3">
      <c r="D39" s="245" t="s">
        <v>245</v>
      </c>
      <c r="E39" s="241">
        <v>4943</v>
      </c>
      <c r="F39" s="100"/>
      <c r="G39" s="250" t="s">
        <v>285</v>
      </c>
      <c r="H39" s="240">
        <v>210</v>
      </c>
    </row>
    <row r="40" spans="4:8" x14ac:dyDescent="0.3">
      <c r="D40" s="245" t="s">
        <v>246</v>
      </c>
      <c r="E40" s="241">
        <v>2746</v>
      </c>
      <c r="F40" s="100"/>
      <c r="G40" s="250" t="s">
        <v>284</v>
      </c>
      <c r="H40" s="240">
        <v>66</v>
      </c>
    </row>
    <row r="41" spans="4:8" x14ac:dyDescent="0.3">
      <c r="D41" s="245"/>
      <c r="E41" s="241"/>
      <c r="F41" s="100"/>
      <c r="G41" s="250" t="s">
        <v>278</v>
      </c>
      <c r="H41" s="240">
        <v>210</v>
      </c>
    </row>
    <row r="42" spans="4:8" x14ac:dyDescent="0.3">
      <c r="D42" s="244" t="s">
        <v>334</v>
      </c>
      <c r="E42" s="241"/>
      <c r="F42" s="100"/>
      <c r="G42" s="250" t="s">
        <v>275</v>
      </c>
      <c r="H42" s="240">
        <v>66</v>
      </c>
    </row>
    <row r="43" spans="4:8" x14ac:dyDescent="0.3">
      <c r="D43" s="245" t="s">
        <v>247</v>
      </c>
      <c r="E43" s="238">
        <v>1295</v>
      </c>
      <c r="F43" s="100"/>
      <c r="G43" s="250" t="s">
        <v>276</v>
      </c>
      <c r="H43" s="240">
        <v>54</v>
      </c>
    </row>
    <row r="44" spans="4:8" x14ac:dyDescent="0.3">
      <c r="D44" s="245" t="s">
        <v>248</v>
      </c>
      <c r="E44" s="238">
        <v>1880</v>
      </c>
      <c r="F44" s="100"/>
      <c r="G44" s="250" t="s">
        <v>277</v>
      </c>
      <c r="H44" s="238">
        <v>354</v>
      </c>
    </row>
    <row r="45" spans="4:8" x14ac:dyDescent="0.3">
      <c r="D45" s="245" t="s">
        <v>249</v>
      </c>
      <c r="E45" s="238">
        <v>2182</v>
      </c>
      <c r="F45" s="100"/>
      <c r="G45" s="250" t="s">
        <v>350</v>
      </c>
      <c r="H45" s="240">
        <v>31.2</v>
      </c>
    </row>
    <row r="46" spans="4:8" x14ac:dyDescent="0.3">
      <c r="D46" s="245" t="s">
        <v>250</v>
      </c>
      <c r="E46" s="238">
        <v>2711</v>
      </c>
      <c r="F46" s="100"/>
      <c r="G46" s="250"/>
      <c r="H46" s="240"/>
    </row>
    <row r="47" spans="4:8" x14ac:dyDescent="0.3">
      <c r="D47" s="245"/>
      <c r="E47" s="241"/>
      <c r="G47" s="246" t="s">
        <v>321</v>
      </c>
      <c r="H47" s="240"/>
    </row>
    <row r="48" spans="4:8" x14ac:dyDescent="0.3">
      <c r="D48" s="244" t="s">
        <v>323</v>
      </c>
      <c r="E48" s="241"/>
      <c r="G48" s="250" t="s">
        <v>309</v>
      </c>
      <c r="H48" s="240"/>
    </row>
    <row r="49" spans="4:8" x14ac:dyDescent="0.3">
      <c r="D49" s="245" t="s">
        <v>251</v>
      </c>
      <c r="E49" s="241">
        <v>1787</v>
      </c>
      <c r="G49" s="248" t="s">
        <v>310</v>
      </c>
      <c r="H49" s="240"/>
    </row>
    <row r="50" spans="4:8" x14ac:dyDescent="0.3">
      <c r="D50" s="245" t="s">
        <v>252</v>
      </c>
      <c r="E50" s="241">
        <v>1995</v>
      </c>
      <c r="G50" s="248" t="s">
        <v>311</v>
      </c>
      <c r="H50" s="240"/>
    </row>
    <row r="51" spans="4:8" x14ac:dyDescent="0.3">
      <c r="D51" s="245" t="s">
        <v>253</v>
      </c>
      <c r="E51" s="241">
        <v>2825</v>
      </c>
      <c r="G51" s="248" t="s">
        <v>312</v>
      </c>
      <c r="H51" s="240"/>
    </row>
    <row r="52" spans="4:8" x14ac:dyDescent="0.3">
      <c r="D52" s="245" t="s">
        <v>254</v>
      </c>
      <c r="E52" s="241">
        <v>2420</v>
      </c>
      <c r="G52" s="248" t="s">
        <v>313</v>
      </c>
      <c r="H52" s="240"/>
    </row>
    <row r="53" spans="4:8" x14ac:dyDescent="0.3">
      <c r="D53" s="245" t="s">
        <v>255</v>
      </c>
      <c r="E53" s="241">
        <v>2781</v>
      </c>
      <c r="G53" s="248" t="s">
        <v>314</v>
      </c>
      <c r="H53" s="240"/>
    </row>
    <row r="54" spans="4:8" x14ac:dyDescent="0.3">
      <c r="D54" s="245" t="s">
        <v>256</v>
      </c>
      <c r="E54" s="241">
        <v>3132</v>
      </c>
      <c r="G54" s="248" t="s">
        <v>315</v>
      </c>
      <c r="H54" s="240"/>
    </row>
    <row r="55" spans="4:8" x14ac:dyDescent="0.3">
      <c r="D55" s="245" t="s">
        <v>257</v>
      </c>
      <c r="E55" s="241">
        <v>2920</v>
      </c>
      <c r="G55" s="248" t="s">
        <v>316</v>
      </c>
      <c r="H55" s="240"/>
    </row>
    <row r="56" spans="4:8" x14ac:dyDescent="0.3">
      <c r="D56" s="245" t="s">
        <v>258</v>
      </c>
      <c r="E56" s="241">
        <v>3301</v>
      </c>
      <c r="G56" s="250" t="s">
        <v>317</v>
      </c>
      <c r="H56" s="240"/>
    </row>
    <row r="57" spans="4:8" x14ac:dyDescent="0.3">
      <c r="D57" s="245" t="s">
        <v>259</v>
      </c>
      <c r="E57" s="241">
        <v>3769</v>
      </c>
      <c r="G57" s="250" t="s">
        <v>318</v>
      </c>
      <c r="H57" s="240"/>
    </row>
    <row r="58" spans="4:8" x14ac:dyDescent="0.3">
      <c r="D58" s="245" t="s">
        <v>260</v>
      </c>
      <c r="E58" s="241">
        <v>3617</v>
      </c>
      <c r="G58" s="250" t="s">
        <v>319</v>
      </c>
      <c r="H58" s="240"/>
    </row>
    <row r="59" spans="4:8" x14ac:dyDescent="0.3">
      <c r="D59" s="245" t="s">
        <v>261</v>
      </c>
      <c r="E59" s="241">
        <v>3907</v>
      </c>
      <c r="G59" s="250" t="s">
        <v>320</v>
      </c>
      <c r="H59" s="240"/>
    </row>
    <row r="60" spans="4:8" x14ac:dyDescent="0.3">
      <c r="D60" s="245" t="s">
        <v>262</v>
      </c>
      <c r="E60" s="241">
        <v>4310</v>
      </c>
      <c r="G60" s="250"/>
      <c r="H60" s="240"/>
    </row>
    <row r="61" spans="4:8" x14ac:dyDescent="0.3">
      <c r="D61" s="245"/>
      <c r="E61" s="241"/>
      <c r="G61" s="246" t="s">
        <v>324</v>
      </c>
      <c r="H61" s="240"/>
    </row>
    <row r="62" spans="4:8" x14ac:dyDescent="0.3">
      <c r="D62" s="245" t="s">
        <v>263</v>
      </c>
      <c r="E62" s="241">
        <v>995</v>
      </c>
      <c r="G62" s="250" t="s">
        <v>325</v>
      </c>
      <c r="H62" s="240">
        <v>177</v>
      </c>
    </row>
    <row r="63" spans="4:8" x14ac:dyDescent="0.3">
      <c r="D63" s="245" t="s">
        <v>264</v>
      </c>
      <c r="E63" s="241">
        <v>1490</v>
      </c>
      <c r="G63" s="250" t="s">
        <v>326</v>
      </c>
      <c r="H63" s="240">
        <v>45</v>
      </c>
    </row>
    <row r="64" spans="4:8" x14ac:dyDescent="0.3">
      <c r="D64" s="245" t="s">
        <v>265</v>
      </c>
      <c r="E64" s="241">
        <v>1720</v>
      </c>
      <c r="G64" s="250" t="s">
        <v>327</v>
      </c>
      <c r="H64" s="240">
        <v>21</v>
      </c>
    </row>
    <row r="65" spans="4:8" x14ac:dyDescent="0.3">
      <c r="D65" s="245" t="s">
        <v>266</v>
      </c>
      <c r="E65" s="241">
        <v>1920</v>
      </c>
      <c r="G65" s="250" t="s">
        <v>328</v>
      </c>
      <c r="H65" s="240">
        <v>15</v>
      </c>
    </row>
    <row r="66" spans="4:8" x14ac:dyDescent="0.3">
      <c r="D66" s="245"/>
      <c r="E66" s="241"/>
      <c r="G66" s="250"/>
      <c r="H66" s="240">
        <v>45</v>
      </c>
    </row>
    <row r="67" spans="4:8" x14ac:dyDescent="0.3">
      <c r="D67" s="246" t="s">
        <v>330</v>
      </c>
      <c r="E67" s="241"/>
      <c r="G67" s="246" t="s">
        <v>339</v>
      </c>
      <c r="H67" s="240"/>
    </row>
    <row r="68" spans="4:8" x14ac:dyDescent="0.3">
      <c r="D68" s="245" t="s">
        <v>335</v>
      </c>
      <c r="E68" s="241">
        <v>895</v>
      </c>
      <c r="G68" s="250" t="s">
        <v>337</v>
      </c>
      <c r="H68" s="240">
        <v>395</v>
      </c>
    </row>
    <row r="69" spans="4:8" x14ac:dyDescent="0.3">
      <c r="D69" s="245" t="s">
        <v>343</v>
      </c>
      <c r="E69" s="241">
        <v>395</v>
      </c>
      <c r="G69" s="250" t="s">
        <v>338</v>
      </c>
      <c r="H69" s="240">
        <v>745</v>
      </c>
    </row>
    <row r="70" spans="4:8" x14ac:dyDescent="0.3">
      <c r="D70" s="245"/>
      <c r="E70" s="241"/>
      <c r="G70" s="250"/>
      <c r="H70" s="240"/>
    </row>
    <row r="71" spans="4:8" x14ac:dyDescent="0.3">
      <c r="D71" s="245" t="s">
        <v>271</v>
      </c>
      <c r="E71" s="241">
        <v>95</v>
      </c>
      <c r="G71" s="250" t="s">
        <v>348</v>
      </c>
      <c r="H71" s="240">
        <v>130</v>
      </c>
    </row>
    <row r="72" spans="4:8" x14ac:dyDescent="0.3">
      <c r="D72" s="245" t="s">
        <v>272</v>
      </c>
      <c r="E72" s="241">
        <v>110</v>
      </c>
      <c r="G72" s="250" t="s">
        <v>349</v>
      </c>
      <c r="H72" s="240">
        <v>250</v>
      </c>
    </row>
    <row r="73" spans="4:8" x14ac:dyDescent="0.3">
      <c r="D73" s="245" t="s">
        <v>273</v>
      </c>
      <c r="E73" s="241">
        <v>72</v>
      </c>
      <c r="G73" s="250"/>
      <c r="H73" s="240"/>
    </row>
    <row r="74" spans="4:8" x14ac:dyDescent="0.3">
      <c r="D74" s="245"/>
      <c r="E74" s="241"/>
      <c r="G74" s="274" t="s">
        <v>340</v>
      </c>
      <c r="H74" s="240"/>
    </row>
    <row r="75" spans="4:8" x14ac:dyDescent="0.3">
      <c r="D75" s="245"/>
      <c r="E75" s="241"/>
      <c r="G75" s="273" t="s">
        <v>344</v>
      </c>
      <c r="H75" s="240">
        <v>714</v>
      </c>
    </row>
    <row r="76" spans="4:8" x14ac:dyDescent="0.3">
      <c r="D76" s="246" t="s">
        <v>352</v>
      </c>
      <c r="E76" s="261"/>
      <c r="G76" s="250" t="s">
        <v>341</v>
      </c>
      <c r="H76" s="252">
        <v>774</v>
      </c>
    </row>
    <row r="77" spans="4:8" x14ac:dyDescent="0.3">
      <c r="D77" s="260" t="s">
        <v>353</v>
      </c>
      <c r="E77" s="261"/>
      <c r="G77" s="250" t="s">
        <v>345</v>
      </c>
      <c r="H77" s="252">
        <v>810</v>
      </c>
    </row>
    <row r="78" spans="4:8" x14ac:dyDescent="0.3">
      <c r="D78" s="260" t="s">
        <v>354</v>
      </c>
      <c r="E78" s="261"/>
      <c r="G78" s="250" t="s">
        <v>346</v>
      </c>
      <c r="H78" s="252">
        <v>870</v>
      </c>
    </row>
    <row r="79" spans="4:8" x14ac:dyDescent="0.3">
      <c r="D79" s="260" t="s">
        <v>355</v>
      </c>
      <c r="E79" s="261"/>
      <c r="G79" s="250"/>
      <c r="H79" s="252"/>
    </row>
    <row r="80" spans="4:8" x14ac:dyDescent="0.3">
      <c r="D80" s="260" t="s">
        <v>356</v>
      </c>
      <c r="E80" s="261"/>
      <c r="G80" s="253" t="s">
        <v>351</v>
      </c>
      <c r="H80" s="254"/>
    </row>
    <row r="81" spans="4:8" x14ac:dyDescent="0.3">
      <c r="D81" s="260"/>
      <c r="E81" s="261"/>
      <c r="G81" s="250" t="s">
        <v>336</v>
      </c>
      <c r="H81" s="252">
        <v>294</v>
      </c>
    </row>
    <row r="82" spans="4:8" x14ac:dyDescent="0.3">
      <c r="D82" s="260"/>
      <c r="E82" s="261"/>
      <c r="G82" s="250" t="s">
        <v>274</v>
      </c>
      <c r="H82" s="252">
        <v>46.8</v>
      </c>
    </row>
    <row r="83" spans="4:8" x14ac:dyDescent="0.3">
      <c r="D83" s="260"/>
      <c r="E83" s="261"/>
      <c r="G83" s="250"/>
      <c r="H83" s="252"/>
    </row>
    <row r="84" spans="4:8" x14ac:dyDescent="0.3">
      <c r="D84" s="260"/>
      <c r="E84" s="261"/>
      <c r="G84" s="250"/>
      <c r="H84" s="252"/>
    </row>
    <row r="85" spans="4:8" x14ac:dyDescent="0.3">
      <c r="D85" s="260"/>
      <c r="E85" s="261"/>
      <c r="G85" s="250"/>
      <c r="H85" s="252"/>
    </row>
    <row r="86" spans="4:8" x14ac:dyDescent="0.3">
      <c r="D86" s="260"/>
      <c r="E86" s="261"/>
      <c r="G86" s="256"/>
      <c r="H86" s="257"/>
    </row>
    <row r="87" spans="4:8" x14ac:dyDescent="0.3">
      <c r="D87" s="260"/>
      <c r="E87" s="261"/>
      <c r="G87" s="256"/>
      <c r="H87" s="257"/>
    </row>
    <row r="88" spans="4:8" x14ac:dyDescent="0.3">
      <c r="D88" s="260"/>
      <c r="E88" s="261"/>
      <c r="G88" s="256"/>
      <c r="H88" s="257"/>
    </row>
    <row r="89" spans="4:8" x14ac:dyDescent="0.3">
      <c r="D89" s="260"/>
      <c r="E89" s="261"/>
      <c r="G89" s="256"/>
      <c r="H89" s="257"/>
    </row>
    <row r="90" spans="4:8" x14ac:dyDescent="0.3">
      <c r="D90" s="260"/>
      <c r="E90" s="261"/>
      <c r="G90" s="258"/>
      <c r="H90" s="259"/>
    </row>
    <row r="91" spans="4:8" x14ac:dyDescent="0.3"/>
    <row r="92" spans="4:8" x14ac:dyDescent="0.3"/>
    <row r="93" spans="4:8" x14ac:dyDescent="0.3"/>
    <row r="94" spans="4:8" x14ac:dyDescent="0.3"/>
    <row r="95" spans="4:8" x14ac:dyDescent="0.3"/>
    <row r="96" spans="4:8" x14ac:dyDescent="0.3"/>
    <row r="97" x14ac:dyDescent="0.3"/>
    <row r="98" x14ac:dyDescent="0.3"/>
    <row r="99" x14ac:dyDescent="0.3"/>
    <row r="100" x14ac:dyDescent="0.3"/>
  </sheetData>
  <sheetProtection algorithmName="SHA-512" hashValue="FQXUpk4obOM+d0/ehciejFQs9XpbOefxBShhmINVlkn+zzyMvbU1AeRhxIhAiXY7lUH34fYX9zvv29Gq16QAFA==" saltValue="+rnkSZS5+SMjynOxM76bag==" spinCount="100000" sheet="1" objects="1" scenarios="1" formatCells="0" formatColumns="0" formatRows="0" pivotTables="0"/>
  <protectedRanges>
    <protectedRange sqref="B6:B19 D6:D90 E6:E90 G6:G90 H6:H90 J13:J19 L6:N13" name="Cadastros"/>
  </protectedRanges>
  <phoneticPr fontId="39" type="noConversion"/>
  <pageMargins left="0.511811024" right="0.511811024" top="0.78740157499999996" bottom="0.78740157499999996" header="0.31496062000000002" footer="0.31496062000000002"/>
  <pageSetup paperSize="9" orientation="portrait" horizontalDpi="300" verticalDpi="300" r:id="rId1"/>
  <drawing r:id="rId2"/>
  <tableParts count="6">
    <tablePart r:id="rId3"/>
    <tablePart r:id="rId4"/>
    <tablePart r:id="rId5"/>
    <tablePart r:id="rId6"/>
    <tablePart r:id="rId7"/>
    <tablePart r:id="rId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6</vt:i4>
      </vt:variant>
    </vt:vector>
  </HeadingPairs>
  <TitlesOfParts>
    <vt:vector size="11" baseType="lpstr">
      <vt:lpstr>Vendas</vt:lpstr>
      <vt:lpstr>Pedido</vt:lpstr>
      <vt:lpstr>Clientes</vt:lpstr>
      <vt:lpstr>Análises</vt:lpstr>
      <vt:lpstr>Cadastros</vt:lpstr>
      <vt:lpstr>Pedido!Area_de_impressao</vt:lpstr>
      <vt:lpstr>Cliente</vt:lpstr>
      <vt:lpstr>Clientes</vt:lpstr>
      <vt:lpstr>infospedidos</vt:lpstr>
      <vt:lpstr>Nível</vt:lpstr>
      <vt:lpstr>Pedido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User-PC</dc:creator>
  <cp:lastModifiedBy>Plenosono Colchões</cp:lastModifiedBy>
  <cp:lastPrinted>2020-06-16T21:09:18Z</cp:lastPrinted>
  <dcterms:created xsi:type="dcterms:W3CDTF">2020-06-06T16:00:50Z</dcterms:created>
  <dcterms:modified xsi:type="dcterms:W3CDTF">2020-06-17T20:51:01Z</dcterms:modified>
</cp:coreProperties>
</file>